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5.xml" ContentType="application/vnd.ms-excel.controlproperties+xml"/>
  <Override PartName="/xl/drawings/drawing6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7.xml" ContentType="application/vnd.openxmlformats-officedocument.drawing+xml"/>
  <Override PartName="/xl/ctrlProps/ctrlProp6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432" windowWidth="9132" windowHeight="4752" tabRatio="855" activeTab="3"/>
  </bookViews>
  <sheets>
    <sheet name="Summary" sheetId="10" r:id="rId1"/>
    <sheet name="Extendible Collars" sheetId="9" r:id="rId2"/>
    <sheet name="Basket Options" sheetId="12" r:id="rId3"/>
    <sheet name="Pivot" sheetId="29" r:id="rId4"/>
    <sheet name="BASIS GREEKS" sheetId="34" r:id="rId5"/>
    <sheet name="Option Gamma" sheetId="30" r:id="rId6"/>
    <sheet name="CrvSh Location" sheetId="36" r:id="rId7"/>
    <sheet name="Basis Options" sheetId="7" r:id="rId8"/>
    <sheet name="CHANGE" sheetId="33" r:id="rId9"/>
    <sheet name="GD Spread Options" sheetId="31" r:id="rId10"/>
    <sheet name="Digital" sheetId="24" r:id="rId11"/>
    <sheet name="CashFlows" sheetId="25" r:id="rId12"/>
    <sheet name="Correllations" sheetId="8" r:id="rId13"/>
    <sheet name="POSITION" sheetId="13" r:id="rId14"/>
    <sheet name="Curves" sheetId="22" r:id="rId15"/>
    <sheet name="GD Curves" sheetId="32" r:id="rId16"/>
    <sheet name="PREVCURVES" sheetId="18" r:id="rId17"/>
    <sheet name="pipe_opt" sheetId="23" r:id="rId18"/>
    <sheet name="DATA3" sheetId="27" r:id="rId19"/>
    <sheet name="DATA2" sheetId="26" r:id="rId20"/>
    <sheet name="TXT File-D" sheetId="35" r:id="rId21"/>
    <sheet name="TXT File-P" sheetId="28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xlnm._FilterDatabase" localSheetId="7" hidden="1">'Basis Options'!$A$6:$DF$654</definedName>
    <definedName name="_xlnm._FilterDatabase" localSheetId="9" hidden="1">'GD Spread Options'!$A$6:$BK$216</definedName>
    <definedName name="_xlnm._FilterDatabase" localSheetId="5" hidden="1">'Option Gamma'!#REF!</definedName>
    <definedName name="_xlnm._FilterDatabase" localSheetId="17" hidden="1">pipe_opt!$A$1:$AM$746</definedName>
    <definedName name="Adjustments">[3]CurveFetch!$A$16:$B$33</definedName>
    <definedName name="basisoptcount">POSITION!$AA$7</definedName>
    <definedName name="basisoptmonths">POSITION!$B$36:$B$79</definedName>
    <definedName name="basisoptpos">POSITION!$B$36:$P$79</definedName>
    <definedName name="BASISPLBREAKDOWN" localSheetId="9">'GD Spread Options'!#REF!</definedName>
    <definedName name="BASISPLBREAKDOWN">'Basis Options'!#REF!</definedName>
    <definedName name="BASISPRINT" localSheetId="9">'GD Spread Options'!$AQ$1:$AW$48</definedName>
    <definedName name="BASISPRINT">'Basis Options'!$CR$1:$CX$48</definedName>
    <definedName name="BASISPRINT2">'Basis Options'!$CZ$1:$DF$48</definedName>
    <definedName name="basketoptcount">POSITION!$AA$8</definedName>
    <definedName name="basketoptmonths">POSITION!$B$83:$B$109</definedName>
    <definedName name="basketoptpos">POSITION!$B$83:$C$109</definedName>
    <definedName name="BasOptPos" localSheetId="9">'GD Spread Options'!#REF!</definedName>
    <definedName name="BasOptPos">'Basis Options'!$BB$7:$BC$167</definedName>
    <definedName name="BENCH">POSITION!$B$117:$C$156</definedName>
    <definedName name="BLAHBLAH" localSheetId="15">'GD Curves'!#REF!</definedName>
    <definedName name="BLAHBLAH">Curves!$C$11:$L$26</definedName>
    <definedName name="BookType">#REF!</definedName>
    <definedName name="BsktOptPos">'Basket Options'!$S$6:$T$166</definedName>
    <definedName name="cella2">DATA2!#REF!</definedName>
    <definedName name="CHANGE">CHANGE!$A$2:$N$40</definedName>
    <definedName name="COLLARPRINT">'Extendible Collars'!$BH$1:$BM$26</definedName>
    <definedName name="Copy">#REF!</definedName>
    <definedName name="CorMove">Correllations!$P$4:$Q$229</definedName>
    <definedName name="Correllate">Correllations!$B$3:$N$229</definedName>
    <definedName name="Count" localSheetId="16">[5]Curves!$A$10</definedName>
    <definedName name="Count">#REF!</definedName>
    <definedName name="counttable">#REF!</definedName>
    <definedName name="CurveCode">#REF!</definedName>
    <definedName name="CurveEffDt">#REF!</definedName>
    <definedName name="CurveRange" localSheetId="15">'GD Curves'!$C$11</definedName>
    <definedName name="CurveRange">Curves!$C$11</definedName>
    <definedName name="Curves" localSheetId="14">Curves!$B$11:$AW$311</definedName>
    <definedName name="Curves" localSheetId="15">Curves!$B$11:$AW$311</definedName>
    <definedName name="Curves">#REF!</definedName>
    <definedName name="CURVES8">[4]CURVES!$D$14:$S$1094</definedName>
    <definedName name="CurvesMonth">Curves!$B$11:$B$311</definedName>
    <definedName name="CurveTable" localSheetId="16">[5]Curves!$E$7:$AG$13</definedName>
    <definedName name="CurveTable">#REF!</definedName>
    <definedName name="CurveType">#REF!</definedName>
    <definedName name="Date1">Summary!$P$1</definedName>
    <definedName name="Dates" localSheetId="15">'GD Curves'!$B$16:$B$147</definedName>
    <definedName name="Dates">Curves!$B$16:$B$147</definedName>
    <definedName name="DBase" localSheetId="15">'GD Curves'!$B$3</definedName>
    <definedName name="DBase">Curves!$B$3</definedName>
    <definedName name="digitaloptcount">POSITION!$AA$10</definedName>
    <definedName name="digitaloptmonths">POSITION!$E$83:$E$109</definedName>
    <definedName name="digitaloptpos">POSITION!$E$83:$I$109</definedName>
    <definedName name="discount" localSheetId="15">'GD Curves'!$K$16:$M$272</definedName>
    <definedName name="discount">Curves!$BB$16:$BD$272</definedName>
    <definedName name="discountmonths" localSheetId="15">'GD Curves'!$K$16:$K$272</definedName>
    <definedName name="discountmonths">Curves!$BB$16:$BB$272</definedName>
    <definedName name="Dump">#REF!</definedName>
    <definedName name="EffDt" localSheetId="15">'GD Curves'!#REF!</definedName>
    <definedName name="EffDt">Curves!$B$5</definedName>
    <definedName name="EffDt1">'GD Curves'!$B$5</definedName>
    <definedName name="EffectiveDate">[3]CurveFetch!$B$2</definedName>
    <definedName name="EndDate" localSheetId="15">'GD Curves'!#REF!</definedName>
    <definedName name="EndDate">Curves!#REF!</definedName>
    <definedName name="ExoticBenchPosition">POSITION!$B$117:$C$272</definedName>
    <definedName name="ExoticBenchPositionMonth">POSITION!$B$117:$B$272</definedName>
    <definedName name="ExtColPos">'Extendible Collars'!$AI$7:$AJ$169</definedName>
    <definedName name="extdcollarcount">POSITION!$AA$6</definedName>
    <definedName name="extendiblecollarmonths">POSITION!$B$5:$B$30</definedName>
    <definedName name="extendiblecollarpos">POSITION!$B$5:$J$30</definedName>
    <definedName name="F" localSheetId="15" hidden="1">{"BookBal",#N/A,FALSE,"Roll-1";"DailyChange",#N/A,FALSE,"Roll-1";"Schedules",#N/A,FALSE,"Roll-1"}</definedName>
    <definedName name="F" localSheetId="9" hidden="1">{"BookBal",#N/A,FALSE,"Roll-1";"DailyChange",#N/A,FALSE,"Roll-1";"Schedules",#N/A,FALSE,"Roll-1"}</definedName>
    <definedName name="F" hidden="1">{"BookBal",#N/A,FALSE,"Roll-1";"DailyChange",#N/A,FALSE,"Roll-1";"Schedules",#N/A,FALSE,"Roll-1"}</definedName>
    <definedName name="FetchCurves">[1]!FetchCurves</definedName>
    <definedName name="GDCorMove">'GD Spread Options'!$BJ$6:$BK$307</definedName>
    <definedName name="GDcorr">'GD Spread Options'!$BG$4:$BH$307</definedName>
    <definedName name="GDmove_down">'GD Curves'!$I$16:$J$272</definedName>
    <definedName name="GDmove_down2">'GD Curves'!$R$16:$S$272</definedName>
    <definedName name="GDPrev">'GD Curves'!$N$13:$O$45</definedName>
    <definedName name="GDPrevVols">'GD Curves'!$P$13:$P$45</definedName>
    <definedName name="GDPRICES">'GD Curves'!$C$13:$G$168</definedName>
    <definedName name="gdspreadoptcount">POSITION!$AA$9</definedName>
    <definedName name="gdspreadoptmonths">POSITION!$K$83:$K$109</definedName>
    <definedName name="gdspreadoptpos">POSITION!$K$83:$L$109</definedName>
    <definedName name="GDVol">'GD Curves'!$E$13:$E$346</definedName>
    <definedName name="GetDown">#REF!</definedName>
    <definedName name="INDEXPR" localSheetId="15">'GD Curves'!$B$16:$B$157</definedName>
    <definedName name="INDEXPR">Curves!$B$16:$AD$157</definedName>
    <definedName name="move_down" localSheetId="15">'GD Curves'!$O$16:$P$235</definedName>
    <definedName name="move_down">Curves!$BF$16:$BG$235</definedName>
    <definedName name="move_down1">#REF!</definedName>
    <definedName name="MOVE_DOWN2">PREVCURVES!$HZ$14:$IA$248</definedName>
    <definedName name="Multiplier">Summary!$G$2</definedName>
    <definedName name="NetPositions">'Basis Options'!$AN$4:$BC$53</definedName>
    <definedName name="NGPREVPRICES">PREVCURVES!$B$16:$E$307</definedName>
    <definedName name="NGPrices" localSheetId="15">'GD Curves'!$B$16:$B$157</definedName>
    <definedName name="NGPrices">Curves!$B$16:$E$157</definedName>
    <definedName name="NymEq" localSheetId="9">'GD Spread Options'!#REF!</definedName>
    <definedName name="NymEq">'Basis Options'!$BS$7:$BT$167</definedName>
    <definedName name="NYMEXPrices" localSheetId="15">'GD Curves'!$B$11:$B$142</definedName>
    <definedName name="NYMEXPrices">Curves!$B$11:$C$142</definedName>
    <definedName name="OptionGamma">'Option Gamma'!#REF!</definedName>
    <definedName name="Password" localSheetId="15">'GD Curves'!$B$2</definedName>
    <definedName name="Password">Curves!$B$2</definedName>
    <definedName name="PREVCURVES">PREVCURVES!$F$13:$AD$306</definedName>
    <definedName name="PREVVOLS">PREVCURVES!$AE$13:$AV$230</definedName>
    <definedName name="PriceCurve">[2]Curves!$D$14:$G$318</definedName>
    <definedName name="Prices" localSheetId="15">'GD Curves'!$H$304:$AC$367</definedName>
    <definedName name="Prices">Curves!$F$13:$AD$367</definedName>
    <definedName name="Prices1" localSheetId="16">[5]Curves!#REF!</definedName>
    <definedName name="Prices1">#REF!</definedName>
    <definedName name="PRINT_AREA1">POSITION!$B$1:$P$115</definedName>
    <definedName name="PRINT_AREA2">POSITION!$R$3:$S$42</definedName>
    <definedName name="_xlnm.Print_Titles" localSheetId="1">'Extendible Collars'!$5:$6</definedName>
    <definedName name="PromptMonth">#REF!</definedName>
    <definedName name="RockyOptGamma">'Option Gamma'!#REF!</definedName>
    <definedName name="StartDate" localSheetId="15">'GD Curves'!#REF!</definedName>
    <definedName name="StartDate">Curves!#REF!</definedName>
    <definedName name="Today">[6]Front!$B$2</definedName>
    <definedName name="TOTALBASISPL" localSheetId="9">'GD Spread Options'!#REF!</definedName>
    <definedName name="TOTALBASISPL">'Basis Options'!#REF!</definedName>
    <definedName name="TotalPos">Summary!$A$14:$I$60</definedName>
    <definedName name="TrueCor">Correllations!$AB$3:$AG$229</definedName>
    <definedName name="UpperLeftOfCurveTable" localSheetId="15">'GD Curves'!$B$11</definedName>
    <definedName name="UpperLeftOfCurveTable">Curves!$B$11</definedName>
    <definedName name="UserName" localSheetId="15">'GD Curves'!$B$1</definedName>
    <definedName name="UserName">Curves!$B$1</definedName>
    <definedName name="VOLS" localSheetId="15">'GD Curves'!$C$13:$N$235</definedName>
    <definedName name="VOLS">Curves!$AE$13:$BE$235</definedName>
    <definedName name="volsim">'Basis Options'!$AB$3</definedName>
    <definedName name="wrn.RollDetail." localSheetId="19" hidden="1">{"BookBal",#N/A,FALSE,"Roll-1";"DailyChange",#N/A,FALSE,"Roll-1";"Schedules",#N/A,FALSE,"Roll-1"}</definedName>
    <definedName name="wrn.RollDetail." localSheetId="18" hidden="1">{"BookBal",#N/A,FALSE,"Roll-1";"DailyChange",#N/A,FALSE,"Roll-1";"Schedules",#N/A,FALSE,"Roll-1"}</definedName>
    <definedName name="wrn.RollDetail." localSheetId="15" hidden="1">{"BookBal",#N/A,FALSE,"Roll-1";"DailyChange",#N/A,FALSE,"Roll-1";"Schedules",#N/A,FALSE,"Roll-1"}</definedName>
    <definedName name="wrn.RollDetail." localSheetId="9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  <definedName name="Z6OptionGamma">'Option Gamma'!#REF!</definedName>
  </definedNames>
  <calcPr calcId="0" calcMode="manual" fullCalcOnLoad="1" calcOnSave="0"/>
  <pivotCaches>
    <pivotCache cacheId="0" r:id="rId29"/>
    <pivotCache cacheId="1" r:id="rId30"/>
    <pivotCache cacheId="2" r:id="rId31"/>
  </pivotCaches>
</workbook>
</file>

<file path=xl/calcChain.xml><?xml version="1.0" encoding="utf-8"?>
<calcChain xmlns="http://schemas.openxmlformats.org/spreadsheetml/2006/main">
  <c r="C4" i="34" l="1"/>
  <c r="D4" i="34"/>
  <c r="E4" i="34"/>
  <c r="F4" i="34"/>
  <c r="G4" i="34"/>
  <c r="H4" i="34"/>
  <c r="C5" i="34"/>
  <c r="D5" i="34"/>
  <c r="E5" i="34"/>
  <c r="F5" i="34"/>
  <c r="G5" i="34"/>
  <c r="H5" i="34"/>
  <c r="C6" i="34"/>
  <c r="D6" i="34"/>
  <c r="E6" i="34"/>
  <c r="F6" i="34"/>
  <c r="G6" i="34"/>
  <c r="H6" i="34"/>
  <c r="C7" i="34"/>
  <c r="D7" i="34"/>
  <c r="E7" i="34"/>
  <c r="F7" i="34"/>
  <c r="G7" i="34"/>
  <c r="H7" i="34"/>
  <c r="C8" i="34"/>
  <c r="D8" i="34"/>
  <c r="E8" i="34"/>
  <c r="F8" i="34"/>
  <c r="G8" i="34"/>
  <c r="H8" i="34"/>
  <c r="C9" i="34"/>
  <c r="D9" i="34"/>
  <c r="E9" i="34"/>
  <c r="F9" i="34"/>
  <c r="G9" i="34"/>
  <c r="H9" i="34"/>
  <c r="C10" i="34"/>
  <c r="D10" i="34"/>
  <c r="E10" i="34"/>
  <c r="F10" i="34"/>
  <c r="G10" i="34"/>
  <c r="H10" i="34"/>
  <c r="C11" i="34"/>
  <c r="D11" i="34"/>
  <c r="E11" i="34"/>
  <c r="F11" i="34"/>
  <c r="G11" i="34"/>
  <c r="H11" i="34"/>
  <c r="C12" i="34"/>
  <c r="D12" i="34"/>
  <c r="E12" i="34"/>
  <c r="F12" i="34"/>
  <c r="G12" i="34"/>
  <c r="H12" i="34"/>
  <c r="C13" i="34"/>
  <c r="D13" i="34"/>
  <c r="E13" i="34"/>
  <c r="F13" i="34"/>
  <c r="G13" i="34"/>
  <c r="H13" i="34"/>
  <c r="C14" i="34"/>
  <c r="D14" i="34"/>
  <c r="E14" i="34"/>
  <c r="F14" i="34"/>
  <c r="G14" i="34"/>
  <c r="H14" i="34"/>
  <c r="C15" i="34"/>
  <c r="D15" i="34"/>
  <c r="E15" i="34"/>
  <c r="F15" i="34"/>
  <c r="G15" i="34"/>
  <c r="H15" i="34"/>
  <c r="C16" i="34"/>
  <c r="D16" i="34"/>
  <c r="E16" i="34"/>
  <c r="F16" i="34"/>
  <c r="G16" i="34"/>
  <c r="H16" i="34"/>
  <c r="C17" i="34"/>
  <c r="D17" i="34"/>
  <c r="E17" i="34"/>
  <c r="F17" i="34"/>
  <c r="G17" i="34"/>
  <c r="H17" i="34"/>
  <c r="C18" i="34"/>
  <c r="D18" i="34"/>
  <c r="E18" i="34"/>
  <c r="F18" i="34"/>
  <c r="G18" i="34"/>
  <c r="H18" i="34"/>
  <c r="C19" i="34"/>
  <c r="D19" i="34"/>
  <c r="E19" i="34"/>
  <c r="F19" i="34"/>
  <c r="G19" i="34"/>
  <c r="H19" i="34"/>
  <c r="C20" i="34"/>
  <c r="D20" i="34"/>
  <c r="E20" i="34"/>
  <c r="F20" i="34"/>
  <c r="G20" i="34"/>
  <c r="H20" i="34"/>
  <c r="C21" i="34"/>
  <c r="D21" i="34"/>
  <c r="E21" i="34"/>
  <c r="F21" i="34"/>
  <c r="G21" i="34"/>
  <c r="H21" i="34"/>
  <c r="C22" i="34"/>
  <c r="D22" i="34"/>
  <c r="E22" i="34"/>
  <c r="F22" i="34"/>
  <c r="G22" i="34"/>
  <c r="H22" i="34"/>
  <c r="C23" i="34"/>
  <c r="D23" i="34"/>
  <c r="E23" i="34"/>
  <c r="F23" i="34"/>
  <c r="G23" i="34"/>
  <c r="H23" i="34"/>
  <c r="C24" i="34"/>
  <c r="D24" i="34"/>
  <c r="E24" i="34"/>
  <c r="F24" i="34"/>
  <c r="G24" i="34"/>
  <c r="H24" i="34"/>
  <c r="C25" i="34"/>
  <c r="D25" i="34"/>
  <c r="E25" i="34"/>
  <c r="F25" i="34"/>
  <c r="G25" i="34"/>
  <c r="H25" i="34"/>
  <c r="C26" i="34"/>
  <c r="D26" i="34"/>
  <c r="E26" i="34"/>
  <c r="F26" i="34"/>
  <c r="G26" i="34"/>
  <c r="H26" i="34"/>
  <c r="C27" i="34"/>
  <c r="D27" i="34"/>
  <c r="E27" i="34"/>
  <c r="F27" i="34"/>
  <c r="G27" i="34"/>
  <c r="H27" i="34"/>
  <c r="C28" i="34"/>
  <c r="D28" i="34"/>
  <c r="E28" i="34"/>
  <c r="F28" i="34"/>
  <c r="G28" i="34"/>
  <c r="H28" i="34"/>
  <c r="C29" i="34"/>
  <c r="D29" i="34"/>
  <c r="E29" i="34"/>
  <c r="F29" i="34"/>
  <c r="G29" i="34"/>
  <c r="H29" i="34"/>
  <c r="C30" i="34"/>
  <c r="D30" i="34"/>
  <c r="E30" i="34"/>
  <c r="F30" i="34"/>
  <c r="G30" i="34"/>
  <c r="H30" i="34"/>
  <c r="C31" i="34"/>
  <c r="D31" i="34"/>
  <c r="E31" i="34"/>
  <c r="F31" i="34"/>
  <c r="G31" i="34"/>
  <c r="H31" i="34"/>
  <c r="C32" i="34"/>
  <c r="D32" i="34"/>
  <c r="E32" i="34"/>
  <c r="F32" i="34"/>
  <c r="G32" i="34"/>
  <c r="H32" i="34"/>
  <c r="C33" i="34"/>
  <c r="D33" i="34"/>
  <c r="E33" i="34"/>
  <c r="F33" i="34"/>
  <c r="G33" i="34"/>
  <c r="H33" i="34"/>
  <c r="C34" i="34"/>
  <c r="D34" i="34"/>
  <c r="E34" i="34"/>
  <c r="F34" i="34"/>
  <c r="G34" i="34"/>
  <c r="H34" i="34"/>
  <c r="C35" i="34"/>
  <c r="D35" i="34"/>
  <c r="E35" i="34"/>
  <c r="F35" i="34"/>
  <c r="G35" i="34"/>
  <c r="H35" i="34"/>
  <c r="C36" i="34"/>
  <c r="D36" i="34"/>
  <c r="E36" i="34"/>
  <c r="F36" i="34"/>
  <c r="G36" i="34"/>
  <c r="C37" i="34"/>
  <c r="D37" i="34"/>
  <c r="E37" i="34"/>
  <c r="F37" i="34"/>
  <c r="G37" i="34"/>
  <c r="C38" i="34"/>
  <c r="D38" i="34"/>
  <c r="E38" i="34"/>
  <c r="F38" i="34"/>
  <c r="G38" i="34"/>
  <c r="C39" i="34"/>
  <c r="D39" i="34"/>
  <c r="E39" i="34"/>
  <c r="F39" i="34"/>
  <c r="G39" i="34"/>
  <c r="C40" i="34"/>
  <c r="D40" i="34"/>
  <c r="E40" i="34"/>
  <c r="F40" i="34"/>
  <c r="G40" i="34"/>
  <c r="C41" i="34"/>
  <c r="D41" i="34"/>
  <c r="E41" i="34"/>
  <c r="F41" i="34"/>
  <c r="G41" i="34"/>
  <c r="C42" i="34"/>
  <c r="D42" i="34"/>
  <c r="E42" i="34"/>
  <c r="F42" i="34"/>
  <c r="G42" i="34"/>
  <c r="C43" i="34"/>
  <c r="D43" i="34"/>
  <c r="E43" i="34"/>
  <c r="F43" i="34"/>
  <c r="G43" i="34"/>
  <c r="C44" i="34"/>
  <c r="D44" i="34"/>
  <c r="E44" i="34"/>
  <c r="F44" i="34"/>
  <c r="G44" i="34"/>
  <c r="C45" i="34"/>
  <c r="D45" i="34"/>
  <c r="E45" i="34"/>
  <c r="F45" i="34"/>
  <c r="G45" i="34"/>
  <c r="C46" i="34"/>
  <c r="D46" i="34"/>
  <c r="E46" i="34"/>
  <c r="F46" i="34"/>
  <c r="G46" i="34"/>
  <c r="C47" i="34"/>
  <c r="D47" i="34"/>
  <c r="E47" i="34"/>
  <c r="F47" i="34"/>
  <c r="G47" i="34"/>
  <c r="C48" i="34"/>
  <c r="D48" i="34"/>
  <c r="E48" i="34"/>
  <c r="F48" i="34"/>
  <c r="G48" i="34"/>
  <c r="C49" i="34"/>
  <c r="D49" i="34"/>
  <c r="E49" i="34"/>
  <c r="F49" i="34"/>
  <c r="G49" i="34"/>
  <c r="C50" i="34"/>
  <c r="D50" i="34"/>
  <c r="E50" i="34"/>
  <c r="F50" i="34"/>
  <c r="G50" i="34"/>
  <c r="C51" i="34"/>
  <c r="D51" i="34"/>
  <c r="E51" i="34"/>
  <c r="F51" i="34"/>
  <c r="G51" i="34"/>
  <c r="C52" i="34"/>
  <c r="D52" i="34"/>
  <c r="E52" i="34"/>
  <c r="F52" i="34"/>
  <c r="G52" i="34"/>
  <c r="C53" i="34"/>
  <c r="D53" i="34"/>
  <c r="E53" i="34"/>
  <c r="F53" i="34"/>
  <c r="G53" i="34"/>
  <c r="C54" i="34"/>
  <c r="D54" i="34"/>
  <c r="E54" i="34"/>
  <c r="F54" i="34"/>
  <c r="G54" i="34"/>
  <c r="C55" i="34"/>
  <c r="D55" i="34"/>
  <c r="E55" i="34"/>
  <c r="F55" i="34"/>
  <c r="G55" i="34"/>
  <c r="C56" i="34"/>
  <c r="D56" i="34"/>
  <c r="E56" i="34"/>
  <c r="F56" i="34"/>
  <c r="G56" i="34"/>
  <c r="CW1" i="7"/>
  <c r="DE1" i="7"/>
  <c r="AB2" i="7"/>
  <c r="CD2" i="7"/>
  <c r="CE2" i="7"/>
  <c r="CF2" i="7"/>
  <c r="CG2" i="7"/>
  <c r="CH2" i="7"/>
  <c r="CI2" i="7"/>
  <c r="CJ2" i="7"/>
  <c r="CL2" i="7"/>
  <c r="CW2" i="7"/>
  <c r="DE2" i="7"/>
  <c r="C3" i="7"/>
  <c r="T3" i="7"/>
  <c r="U3" i="7"/>
  <c r="W3" i="7"/>
  <c r="CD3" i="7"/>
  <c r="CW3" i="7"/>
  <c r="DE3" i="7"/>
  <c r="AI5" i="7"/>
  <c r="AE6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CC7" i="7"/>
  <c r="CD7" i="7"/>
  <c r="CE7" i="7"/>
  <c r="CF7" i="7"/>
  <c r="CG7" i="7"/>
  <c r="CH7" i="7"/>
  <c r="CI7" i="7"/>
  <c r="CJ7" i="7"/>
  <c r="CK7" i="7"/>
  <c r="CM7" i="7"/>
  <c r="CN7" i="7"/>
  <c r="CO7" i="7"/>
  <c r="CP7" i="7"/>
  <c r="CQ7" i="7"/>
  <c r="CS7" i="7"/>
  <c r="CT7" i="7"/>
  <c r="CU7" i="7"/>
  <c r="CV7" i="7"/>
  <c r="CW7" i="7"/>
  <c r="CX7" i="7"/>
  <c r="CZ7" i="7"/>
  <c r="DA7" i="7"/>
  <c r="DB7" i="7"/>
  <c r="DC7" i="7"/>
  <c r="DD7" i="7"/>
  <c r="DE7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CC8" i="7"/>
  <c r="CD8" i="7"/>
  <c r="CE8" i="7"/>
  <c r="CF8" i="7"/>
  <c r="CG8" i="7"/>
  <c r="CH8" i="7"/>
  <c r="CI8" i="7"/>
  <c r="CJ8" i="7"/>
  <c r="CK8" i="7"/>
  <c r="CM8" i="7"/>
  <c r="CN8" i="7"/>
  <c r="CO8" i="7"/>
  <c r="CP8" i="7"/>
  <c r="CQ8" i="7"/>
  <c r="CR8" i="7"/>
  <c r="CS8" i="7"/>
  <c r="CT8" i="7"/>
  <c r="CU8" i="7"/>
  <c r="CV8" i="7"/>
  <c r="CW8" i="7"/>
  <c r="CX8" i="7"/>
  <c r="CZ8" i="7"/>
  <c r="DA8" i="7"/>
  <c r="DB8" i="7"/>
  <c r="DC8" i="7"/>
  <c r="DD8" i="7"/>
  <c r="DE8" i="7"/>
  <c r="DF8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CC9" i="7"/>
  <c r="CD9" i="7"/>
  <c r="CE9" i="7"/>
  <c r="CF9" i="7"/>
  <c r="CG9" i="7"/>
  <c r="CH9" i="7"/>
  <c r="CI9" i="7"/>
  <c r="CJ9" i="7"/>
  <c r="CK9" i="7"/>
  <c r="CM9" i="7"/>
  <c r="CN9" i="7"/>
  <c r="CO9" i="7"/>
  <c r="CP9" i="7"/>
  <c r="CQ9" i="7"/>
  <c r="CR9" i="7"/>
  <c r="CS9" i="7"/>
  <c r="CT9" i="7"/>
  <c r="CU9" i="7"/>
  <c r="CV9" i="7"/>
  <c r="CW9" i="7"/>
  <c r="CX9" i="7"/>
  <c r="CZ9" i="7"/>
  <c r="DA9" i="7"/>
  <c r="DB9" i="7"/>
  <c r="DC9" i="7"/>
  <c r="DD9" i="7"/>
  <c r="DE9" i="7"/>
  <c r="DF9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CC10" i="7"/>
  <c r="CD10" i="7"/>
  <c r="CE10" i="7"/>
  <c r="CF10" i="7"/>
  <c r="CG10" i="7"/>
  <c r="CH10" i="7"/>
  <c r="CI10" i="7"/>
  <c r="CJ10" i="7"/>
  <c r="CK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Z10" i="7"/>
  <c r="DA10" i="7"/>
  <c r="DB10" i="7"/>
  <c r="DC10" i="7"/>
  <c r="DD10" i="7"/>
  <c r="DE10" i="7"/>
  <c r="DF10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CC11" i="7"/>
  <c r="CD11" i="7"/>
  <c r="CE11" i="7"/>
  <c r="CF11" i="7"/>
  <c r="CG11" i="7"/>
  <c r="CH11" i="7"/>
  <c r="CI11" i="7"/>
  <c r="CJ11" i="7"/>
  <c r="CK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Z11" i="7"/>
  <c r="DA11" i="7"/>
  <c r="DB11" i="7"/>
  <c r="DC11" i="7"/>
  <c r="DD11" i="7"/>
  <c r="DE11" i="7"/>
  <c r="DF11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CC12" i="7"/>
  <c r="CD12" i="7"/>
  <c r="CE12" i="7"/>
  <c r="CF12" i="7"/>
  <c r="CG12" i="7"/>
  <c r="CH12" i="7"/>
  <c r="CI12" i="7"/>
  <c r="CJ12" i="7"/>
  <c r="CK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Z12" i="7"/>
  <c r="DA12" i="7"/>
  <c r="DB12" i="7"/>
  <c r="DC12" i="7"/>
  <c r="DD12" i="7"/>
  <c r="DE12" i="7"/>
  <c r="DF12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CC13" i="7"/>
  <c r="CD13" i="7"/>
  <c r="CE13" i="7"/>
  <c r="CF13" i="7"/>
  <c r="CG13" i="7"/>
  <c r="CH13" i="7"/>
  <c r="CI13" i="7"/>
  <c r="CJ13" i="7"/>
  <c r="CK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Z13" i="7"/>
  <c r="DA13" i="7"/>
  <c r="DB13" i="7"/>
  <c r="DC13" i="7"/>
  <c r="DD13" i="7"/>
  <c r="DE13" i="7"/>
  <c r="DF13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CC14" i="7"/>
  <c r="CD14" i="7"/>
  <c r="CE14" i="7"/>
  <c r="CF14" i="7"/>
  <c r="CG14" i="7"/>
  <c r="CH14" i="7"/>
  <c r="CI14" i="7"/>
  <c r="CJ14" i="7"/>
  <c r="CK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Z14" i="7"/>
  <c r="DA14" i="7"/>
  <c r="DB14" i="7"/>
  <c r="DC14" i="7"/>
  <c r="DD14" i="7"/>
  <c r="DE14" i="7"/>
  <c r="DF14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CC15" i="7"/>
  <c r="CD15" i="7"/>
  <c r="CE15" i="7"/>
  <c r="CF15" i="7"/>
  <c r="CG15" i="7"/>
  <c r="CH15" i="7"/>
  <c r="CI15" i="7"/>
  <c r="CJ15" i="7"/>
  <c r="CK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Z15" i="7"/>
  <c r="DA15" i="7"/>
  <c r="DB15" i="7"/>
  <c r="DC15" i="7"/>
  <c r="DD15" i="7"/>
  <c r="DE15" i="7"/>
  <c r="DF15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CC16" i="7"/>
  <c r="CD16" i="7"/>
  <c r="CE16" i="7"/>
  <c r="CF16" i="7"/>
  <c r="CG16" i="7"/>
  <c r="CH16" i="7"/>
  <c r="CI16" i="7"/>
  <c r="CJ16" i="7"/>
  <c r="CK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Z16" i="7"/>
  <c r="DA16" i="7"/>
  <c r="DB16" i="7"/>
  <c r="DC16" i="7"/>
  <c r="DD16" i="7"/>
  <c r="DE16" i="7"/>
  <c r="DF16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CC17" i="7"/>
  <c r="CD17" i="7"/>
  <c r="CE17" i="7"/>
  <c r="CF17" i="7"/>
  <c r="CG17" i="7"/>
  <c r="CH17" i="7"/>
  <c r="CI17" i="7"/>
  <c r="CJ17" i="7"/>
  <c r="CK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Z17" i="7"/>
  <c r="DA17" i="7"/>
  <c r="DB17" i="7"/>
  <c r="DC17" i="7"/>
  <c r="DD17" i="7"/>
  <c r="DE17" i="7"/>
  <c r="DF17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CC18" i="7"/>
  <c r="CD18" i="7"/>
  <c r="CE18" i="7"/>
  <c r="CF18" i="7"/>
  <c r="CG18" i="7"/>
  <c r="CH18" i="7"/>
  <c r="CI18" i="7"/>
  <c r="CJ18" i="7"/>
  <c r="CK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Z18" i="7"/>
  <c r="DA18" i="7"/>
  <c r="DB18" i="7"/>
  <c r="DC18" i="7"/>
  <c r="DD18" i="7"/>
  <c r="DE18" i="7"/>
  <c r="DF18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CC19" i="7"/>
  <c r="CD19" i="7"/>
  <c r="CE19" i="7"/>
  <c r="CF19" i="7"/>
  <c r="CG19" i="7"/>
  <c r="CH19" i="7"/>
  <c r="CI19" i="7"/>
  <c r="CJ19" i="7"/>
  <c r="CK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Z19" i="7"/>
  <c r="DA19" i="7"/>
  <c r="DB19" i="7"/>
  <c r="DC19" i="7"/>
  <c r="DD19" i="7"/>
  <c r="DE19" i="7"/>
  <c r="DF19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CC20" i="7"/>
  <c r="CD20" i="7"/>
  <c r="CE20" i="7"/>
  <c r="CF20" i="7"/>
  <c r="CG20" i="7"/>
  <c r="CH20" i="7"/>
  <c r="CI20" i="7"/>
  <c r="CJ20" i="7"/>
  <c r="CK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Z20" i="7"/>
  <c r="DA20" i="7"/>
  <c r="DB20" i="7"/>
  <c r="DC20" i="7"/>
  <c r="DD20" i="7"/>
  <c r="DE20" i="7"/>
  <c r="DF20" i="7"/>
  <c r="H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CC21" i="7"/>
  <c r="CD21" i="7"/>
  <c r="CE21" i="7"/>
  <c r="CF21" i="7"/>
  <c r="CG21" i="7"/>
  <c r="CH21" i="7"/>
  <c r="CI21" i="7"/>
  <c r="CJ21" i="7"/>
  <c r="CK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Z21" i="7"/>
  <c r="DA21" i="7"/>
  <c r="DB21" i="7"/>
  <c r="DC21" i="7"/>
  <c r="DD21" i="7"/>
  <c r="DE21" i="7"/>
  <c r="DF21" i="7"/>
  <c r="H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CC22" i="7"/>
  <c r="CD22" i="7"/>
  <c r="CE22" i="7"/>
  <c r="CF22" i="7"/>
  <c r="CG22" i="7"/>
  <c r="CH22" i="7"/>
  <c r="CI22" i="7"/>
  <c r="CJ22" i="7"/>
  <c r="CK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Z22" i="7"/>
  <c r="DA22" i="7"/>
  <c r="DB22" i="7"/>
  <c r="DC22" i="7"/>
  <c r="DD22" i="7"/>
  <c r="DE22" i="7"/>
  <c r="DF22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CC23" i="7"/>
  <c r="CD23" i="7"/>
  <c r="CE23" i="7"/>
  <c r="CF23" i="7"/>
  <c r="CG23" i="7"/>
  <c r="CH23" i="7"/>
  <c r="CI23" i="7"/>
  <c r="CJ23" i="7"/>
  <c r="CK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Z23" i="7"/>
  <c r="DA23" i="7"/>
  <c r="DB23" i="7"/>
  <c r="DC23" i="7"/>
  <c r="DD23" i="7"/>
  <c r="DE23" i="7"/>
  <c r="DF23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CC24" i="7"/>
  <c r="CD24" i="7"/>
  <c r="CE24" i="7"/>
  <c r="CF24" i="7"/>
  <c r="CG24" i="7"/>
  <c r="CH24" i="7"/>
  <c r="CI24" i="7"/>
  <c r="CJ24" i="7"/>
  <c r="CK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Z24" i="7"/>
  <c r="DA24" i="7"/>
  <c r="DB24" i="7"/>
  <c r="DC24" i="7"/>
  <c r="DD24" i="7"/>
  <c r="DE24" i="7"/>
  <c r="DF24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CC25" i="7"/>
  <c r="CD25" i="7"/>
  <c r="CE25" i="7"/>
  <c r="CF25" i="7"/>
  <c r="CG25" i="7"/>
  <c r="CH25" i="7"/>
  <c r="CI25" i="7"/>
  <c r="CJ25" i="7"/>
  <c r="CK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Z25" i="7"/>
  <c r="DA25" i="7"/>
  <c r="DB25" i="7"/>
  <c r="DC25" i="7"/>
  <c r="DD25" i="7"/>
  <c r="DE25" i="7"/>
  <c r="DF25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CC26" i="7"/>
  <c r="CD26" i="7"/>
  <c r="CE26" i="7"/>
  <c r="CF26" i="7"/>
  <c r="CG26" i="7"/>
  <c r="CH26" i="7"/>
  <c r="CI26" i="7"/>
  <c r="CJ26" i="7"/>
  <c r="CK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Z26" i="7"/>
  <c r="DA26" i="7"/>
  <c r="DB26" i="7"/>
  <c r="DC26" i="7"/>
  <c r="DD26" i="7"/>
  <c r="DE26" i="7"/>
  <c r="DF26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CC27" i="7"/>
  <c r="CD27" i="7"/>
  <c r="CE27" i="7"/>
  <c r="CF27" i="7"/>
  <c r="CG27" i="7"/>
  <c r="CH27" i="7"/>
  <c r="CI27" i="7"/>
  <c r="CJ27" i="7"/>
  <c r="CK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Z27" i="7"/>
  <c r="DA27" i="7"/>
  <c r="DB27" i="7"/>
  <c r="DC27" i="7"/>
  <c r="DD27" i="7"/>
  <c r="DE27" i="7"/>
  <c r="DF27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CC28" i="7"/>
  <c r="CD28" i="7"/>
  <c r="CE28" i="7"/>
  <c r="CF28" i="7"/>
  <c r="CG28" i="7"/>
  <c r="CH28" i="7"/>
  <c r="CI28" i="7"/>
  <c r="CJ28" i="7"/>
  <c r="CK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Z28" i="7"/>
  <c r="DA28" i="7"/>
  <c r="DB28" i="7"/>
  <c r="DC28" i="7"/>
  <c r="DD28" i="7"/>
  <c r="DE28" i="7"/>
  <c r="DF28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CC29" i="7"/>
  <c r="CD29" i="7"/>
  <c r="CE29" i="7"/>
  <c r="CF29" i="7"/>
  <c r="CG29" i="7"/>
  <c r="CH29" i="7"/>
  <c r="CI29" i="7"/>
  <c r="CJ29" i="7"/>
  <c r="CK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Z29" i="7"/>
  <c r="DA29" i="7"/>
  <c r="DB29" i="7"/>
  <c r="DC29" i="7"/>
  <c r="DD29" i="7"/>
  <c r="DE29" i="7"/>
  <c r="DF29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CC30" i="7"/>
  <c r="CD30" i="7"/>
  <c r="CE30" i="7"/>
  <c r="CF30" i="7"/>
  <c r="CG30" i="7"/>
  <c r="CH30" i="7"/>
  <c r="CI30" i="7"/>
  <c r="CJ30" i="7"/>
  <c r="CK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Z30" i="7"/>
  <c r="DA30" i="7"/>
  <c r="DB30" i="7"/>
  <c r="DC30" i="7"/>
  <c r="DD30" i="7"/>
  <c r="DE30" i="7"/>
  <c r="DF30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CC31" i="7"/>
  <c r="CD31" i="7"/>
  <c r="CE31" i="7"/>
  <c r="CF31" i="7"/>
  <c r="CG31" i="7"/>
  <c r="CH31" i="7"/>
  <c r="CI31" i="7"/>
  <c r="CJ31" i="7"/>
  <c r="CK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Z31" i="7"/>
  <c r="DA31" i="7"/>
  <c r="DB31" i="7"/>
  <c r="DC31" i="7"/>
  <c r="DD31" i="7"/>
  <c r="DE31" i="7"/>
  <c r="DF31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CC32" i="7"/>
  <c r="CD32" i="7"/>
  <c r="CE32" i="7"/>
  <c r="CF32" i="7"/>
  <c r="CG32" i="7"/>
  <c r="CH32" i="7"/>
  <c r="CI32" i="7"/>
  <c r="CJ32" i="7"/>
  <c r="CK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Z32" i="7"/>
  <c r="DA32" i="7"/>
  <c r="DB32" i="7"/>
  <c r="DC32" i="7"/>
  <c r="DD32" i="7"/>
  <c r="DE32" i="7"/>
  <c r="DF32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CC33" i="7"/>
  <c r="CD33" i="7"/>
  <c r="CE33" i="7"/>
  <c r="CF33" i="7"/>
  <c r="CG33" i="7"/>
  <c r="CH33" i="7"/>
  <c r="CI33" i="7"/>
  <c r="CJ33" i="7"/>
  <c r="CK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Z33" i="7"/>
  <c r="DA33" i="7"/>
  <c r="DB33" i="7"/>
  <c r="DC33" i="7"/>
  <c r="DD33" i="7"/>
  <c r="DE33" i="7"/>
  <c r="DF33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CC34" i="7"/>
  <c r="CD34" i="7"/>
  <c r="CE34" i="7"/>
  <c r="CF34" i="7"/>
  <c r="CG34" i="7"/>
  <c r="CH34" i="7"/>
  <c r="CI34" i="7"/>
  <c r="CJ34" i="7"/>
  <c r="CK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Z34" i="7"/>
  <c r="DA34" i="7"/>
  <c r="DB34" i="7"/>
  <c r="DC34" i="7"/>
  <c r="DD34" i="7"/>
  <c r="DE34" i="7"/>
  <c r="DF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CC35" i="7"/>
  <c r="CD35" i="7"/>
  <c r="CE35" i="7"/>
  <c r="CF35" i="7"/>
  <c r="CG35" i="7"/>
  <c r="CH35" i="7"/>
  <c r="CI35" i="7"/>
  <c r="CJ35" i="7"/>
  <c r="CK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Z35" i="7"/>
  <c r="DA35" i="7"/>
  <c r="DB35" i="7"/>
  <c r="DC35" i="7"/>
  <c r="DD35" i="7"/>
  <c r="DE35" i="7"/>
  <c r="DF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CC36" i="7"/>
  <c r="CD36" i="7"/>
  <c r="CE36" i="7"/>
  <c r="CF36" i="7"/>
  <c r="CG36" i="7"/>
  <c r="CH36" i="7"/>
  <c r="CI36" i="7"/>
  <c r="CJ36" i="7"/>
  <c r="CK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Z36" i="7"/>
  <c r="DA36" i="7"/>
  <c r="DB36" i="7"/>
  <c r="DC36" i="7"/>
  <c r="DD36" i="7"/>
  <c r="DE36" i="7"/>
  <c r="DF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CC37" i="7"/>
  <c r="CD37" i="7"/>
  <c r="CE37" i="7"/>
  <c r="CF37" i="7"/>
  <c r="CG37" i="7"/>
  <c r="CH37" i="7"/>
  <c r="CI37" i="7"/>
  <c r="CJ37" i="7"/>
  <c r="CK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Z37" i="7"/>
  <c r="DA37" i="7"/>
  <c r="DB37" i="7"/>
  <c r="DC37" i="7"/>
  <c r="DD37" i="7"/>
  <c r="DE37" i="7"/>
  <c r="DF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CC38" i="7"/>
  <c r="CD38" i="7"/>
  <c r="CE38" i="7"/>
  <c r="CF38" i="7"/>
  <c r="CG38" i="7"/>
  <c r="CH38" i="7"/>
  <c r="CI38" i="7"/>
  <c r="CJ38" i="7"/>
  <c r="CK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Z38" i="7"/>
  <c r="DA38" i="7"/>
  <c r="DB38" i="7"/>
  <c r="DC38" i="7"/>
  <c r="DD38" i="7"/>
  <c r="DE38" i="7"/>
  <c r="DF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CC39" i="7"/>
  <c r="CD39" i="7"/>
  <c r="CE39" i="7"/>
  <c r="CF39" i="7"/>
  <c r="CG39" i="7"/>
  <c r="CH39" i="7"/>
  <c r="CI39" i="7"/>
  <c r="CJ39" i="7"/>
  <c r="CK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Z39" i="7"/>
  <c r="DA39" i="7"/>
  <c r="DB39" i="7"/>
  <c r="DC39" i="7"/>
  <c r="DD39" i="7"/>
  <c r="DE39" i="7"/>
  <c r="DF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CC40" i="7"/>
  <c r="CD40" i="7"/>
  <c r="CE40" i="7"/>
  <c r="CF40" i="7"/>
  <c r="CG40" i="7"/>
  <c r="CH40" i="7"/>
  <c r="CI40" i="7"/>
  <c r="CJ40" i="7"/>
  <c r="CK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Z40" i="7"/>
  <c r="DA40" i="7"/>
  <c r="DB40" i="7"/>
  <c r="DC40" i="7"/>
  <c r="DD40" i="7"/>
  <c r="DE40" i="7"/>
  <c r="DF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CC41" i="7"/>
  <c r="CD41" i="7"/>
  <c r="CE41" i="7"/>
  <c r="CF41" i="7"/>
  <c r="CG41" i="7"/>
  <c r="CH41" i="7"/>
  <c r="CI41" i="7"/>
  <c r="CJ41" i="7"/>
  <c r="CK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Z41" i="7"/>
  <c r="DA41" i="7"/>
  <c r="DB41" i="7"/>
  <c r="DC41" i="7"/>
  <c r="DD41" i="7"/>
  <c r="DE41" i="7"/>
  <c r="DF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CC42" i="7"/>
  <c r="CD42" i="7"/>
  <c r="CE42" i="7"/>
  <c r="CF42" i="7"/>
  <c r="CG42" i="7"/>
  <c r="CH42" i="7"/>
  <c r="CI42" i="7"/>
  <c r="CJ42" i="7"/>
  <c r="CK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Z42" i="7"/>
  <c r="DA42" i="7"/>
  <c r="DB42" i="7"/>
  <c r="DC42" i="7"/>
  <c r="DD42" i="7"/>
  <c r="DE42" i="7"/>
  <c r="DF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CC43" i="7"/>
  <c r="CD43" i="7"/>
  <c r="CE43" i="7"/>
  <c r="CF43" i="7"/>
  <c r="CG43" i="7"/>
  <c r="CH43" i="7"/>
  <c r="CI43" i="7"/>
  <c r="CJ43" i="7"/>
  <c r="CK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Z43" i="7"/>
  <c r="DA43" i="7"/>
  <c r="DB43" i="7"/>
  <c r="DC43" i="7"/>
  <c r="DD43" i="7"/>
  <c r="DE43" i="7"/>
  <c r="DF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CC44" i="7"/>
  <c r="CD44" i="7"/>
  <c r="CE44" i="7"/>
  <c r="CF44" i="7"/>
  <c r="CG44" i="7"/>
  <c r="CH44" i="7"/>
  <c r="CI44" i="7"/>
  <c r="CJ44" i="7"/>
  <c r="CK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Z44" i="7"/>
  <c r="DA44" i="7"/>
  <c r="DB44" i="7"/>
  <c r="DC44" i="7"/>
  <c r="DD44" i="7"/>
  <c r="DE44" i="7"/>
  <c r="DF44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CC45" i="7"/>
  <c r="CD45" i="7"/>
  <c r="CE45" i="7"/>
  <c r="CF45" i="7"/>
  <c r="CG45" i="7"/>
  <c r="CH45" i="7"/>
  <c r="CI45" i="7"/>
  <c r="CJ45" i="7"/>
  <c r="CK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Z45" i="7"/>
  <c r="DA45" i="7"/>
  <c r="DB45" i="7"/>
  <c r="DC45" i="7"/>
  <c r="DD45" i="7"/>
  <c r="DE45" i="7"/>
  <c r="DF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CC46" i="7"/>
  <c r="CD46" i="7"/>
  <c r="CE46" i="7"/>
  <c r="CF46" i="7"/>
  <c r="CG46" i="7"/>
  <c r="CH46" i="7"/>
  <c r="CI46" i="7"/>
  <c r="CJ46" i="7"/>
  <c r="CK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Z46" i="7"/>
  <c r="DA46" i="7"/>
  <c r="DB46" i="7"/>
  <c r="DC46" i="7"/>
  <c r="DD46" i="7"/>
  <c r="DE46" i="7"/>
  <c r="DF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CC47" i="7"/>
  <c r="CD47" i="7"/>
  <c r="CE47" i="7"/>
  <c r="CF47" i="7"/>
  <c r="CG47" i="7"/>
  <c r="CH47" i="7"/>
  <c r="CI47" i="7"/>
  <c r="CJ47" i="7"/>
  <c r="CK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Z47" i="7"/>
  <c r="DA47" i="7"/>
  <c r="DB47" i="7"/>
  <c r="DC47" i="7"/>
  <c r="DD47" i="7"/>
  <c r="DE47" i="7"/>
  <c r="DF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CC48" i="7"/>
  <c r="CD48" i="7"/>
  <c r="CE48" i="7"/>
  <c r="CF48" i="7"/>
  <c r="CG48" i="7"/>
  <c r="CH48" i="7"/>
  <c r="CI48" i="7"/>
  <c r="CJ48" i="7"/>
  <c r="CK48" i="7"/>
  <c r="CM48" i="7"/>
  <c r="CN48" i="7"/>
  <c r="CO48" i="7"/>
  <c r="CP48" i="7"/>
  <c r="CQ48" i="7"/>
  <c r="CS48" i="7"/>
  <c r="CT48" i="7"/>
  <c r="CU48" i="7"/>
  <c r="CV48" i="7"/>
  <c r="CW48" i="7"/>
  <c r="CX48" i="7"/>
  <c r="DA48" i="7"/>
  <c r="DB48" i="7"/>
  <c r="DC48" i="7"/>
  <c r="DD48" i="7"/>
  <c r="DE48" i="7"/>
  <c r="DF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CC49" i="7"/>
  <c r="CD49" i="7"/>
  <c r="CE49" i="7"/>
  <c r="CF49" i="7"/>
  <c r="CG49" i="7"/>
  <c r="CH49" i="7"/>
  <c r="CI49" i="7"/>
  <c r="CJ49" i="7"/>
  <c r="CK49" i="7"/>
  <c r="CM49" i="7"/>
  <c r="CN49" i="7"/>
  <c r="CO49" i="7"/>
  <c r="CP49" i="7"/>
  <c r="CQ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CC50" i="7"/>
  <c r="CD50" i="7"/>
  <c r="CE50" i="7"/>
  <c r="CF50" i="7"/>
  <c r="CG50" i="7"/>
  <c r="CH50" i="7"/>
  <c r="CI50" i="7"/>
  <c r="CJ50" i="7"/>
  <c r="CK50" i="7"/>
  <c r="CM50" i="7"/>
  <c r="CN50" i="7"/>
  <c r="CO50" i="7"/>
  <c r="CP50" i="7"/>
  <c r="CQ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CC51" i="7"/>
  <c r="CD51" i="7"/>
  <c r="CE51" i="7"/>
  <c r="CF51" i="7"/>
  <c r="CG51" i="7"/>
  <c r="CH51" i="7"/>
  <c r="CI51" i="7"/>
  <c r="CJ51" i="7"/>
  <c r="CK51" i="7"/>
  <c r="CM51" i="7"/>
  <c r="CN51" i="7"/>
  <c r="CO51" i="7"/>
  <c r="CP51" i="7"/>
  <c r="CQ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CC52" i="7"/>
  <c r="CD52" i="7"/>
  <c r="CE52" i="7"/>
  <c r="CF52" i="7"/>
  <c r="CG52" i="7"/>
  <c r="CH52" i="7"/>
  <c r="CI52" i="7"/>
  <c r="CJ52" i="7"/>
  <c r="CK52" i="7"/>
  <c r="CM52" i="7"/>
  <c r="CN52" i="7"/>
  <c r="CO52" i="7"/>
  <c r="CP52" i="7"/>
  <c r="CQ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CC53" i="7"/>
  <c r="CD53" i="7"/>
  <c r="CE53" i="7"/>
  <c r="CF53" i="7"/>
  <c r="CG53" i="7"/>
  <c r="CH53" i="7"/>
  <c r="CI53" i="7"/>
  <c r="CJ53" i="7"/>
  <c r="CK53" i="7"/>
  <c r="CM53" i="7"/>
  <c r="CN53" i="7"/>
  <c r="CO53" i="7"/>
  <c r="CP53" i="7"/>
  <c r="CQ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CC54" i="7"/>
  <c r="CD54" i="7"/>
  <c r="CE54" i="7"/>
  <c r="CF54" i="7"/>
  <c r="CG54" i="7"/>
  <c r="CH54" i="7"/>
  <c r="CI54" i="7"/>
  <c r="CJ54" i="7"/>
  <c r="CK54" i="7"/>
  <c r="CM54" i="7"/>
  <c r="CN54" i="7"/>
  <c r="CO54" i="7"/>
  <c r="CP54" i="7"/>
  <c r="CQ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CC55" i="7"/>
  <c r="CD55" i="7"/>
  <c r="CE55" i="7"/>
  <c r="CF55" i="7"/>
  <c r="CG55" i="7"/>
  <c r="CH55" i="7"/>
  <c r="CI55" i="7"/>
  <c r="CJ55" i="7"/>
  <c r="CK55" i="7"/>
  <c r="CM55" i="7"/>
  <c r="CN55" i="7"/>
  <c r="CO55" i="7"/>
  <c r="CP55" i="7"/>
  <c r="CQ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CC56" i="7"/>
  <c r="CD56" i="7"/>
  <c r="CE56" i="7"/>
  <c r="CF56" i="7"/>
  <c r="CG56" i="7"/>
  <c r="CH56" i="7"/>
  <c r="CI56" i="7"/>
  <c r="CJ56" i="7"/>
  <c r="CK56" i="7"/>
  <c r="CM56" i="7"/>
  <c r="CN56" i="7"/>
  <c r="CO56" i="7"/>
  <c r="CP56" i="7"/>
  <c r="CQ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CC57" i="7"/>
  <c r="CD57" i="7"/>
  <c r="CE57" i="7"/>
  <c r="CF57" i="7"/>
  <c r="CG57" i="7"/>
  <c r="CH57" i="7"/>
  <c r="CI57" i="7"/>
  <c r="CJ57" i="7"/>
  <c r="CK57" i="7"/>
  <c r="CM57" i="7"/>
  <c r="CN57" i="7"/>
  <c r="CO57" i="7"/>
  <c r="CP57" i="7"/>
  <c r="CQ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CC58" i="7"/>
  <c r="CD58" i="7"/>
  <c r="CE58" i="7"/>
  <c r="CF58" i="7"/>
  <c r="CG58" i="7"/>
  <c r="CH58" i="7"/>
  <c r="CI58" i="7"/>
  <c r="CJ58" i="7"/>
  <c r="CK58" i="7"/>
  <c r="CM58" i="7"/>
  <c r="CN58" i="7"/>
  <c r="CO58" i="7"/>
  <c r="CP58" i="7"/>
  <c r="CQ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CC59" i="7"/>
  <c r="CD59" i="7"/>
  <c r="CE59" i="7"/>
  <c r="CF59" i="7"/>
  <c r="CG59" i="7"/>
  <c r="CH59" i="7"/>
  <c r="CI59" i="7"/>
  <c r="CJ59" i="7"/>
  <c r="CK59" i="7"/>
  <c r="CM59" i="7"/>
  <c r="CN59" i="7"/>
  <c r="CO59" i="7"/>
  <c r="CP59" i="7"/>
  <c r="CQ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CC60" i="7"/>
  <c r="CD60" i="7"/>
  <c r="CE60" i="7"/>
  <c r="CF60" i="7"/>
  <c r="CG60" i="7"/>
  <c r="CH60" i="7"/>
  <c r="CI60" i="7"/>
  <c r="CJ60" i="7"/>
  <c r="CK60" i="7"/>
  <c r="CM60" i="7"/>
  <c r="CN60" i="7"/>
  <c r="CO60" i="7"/>
  <c r="CP60" i="7"/>
  <c r="CQ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CC61" i="7"/>
  <c r="CD61" i="7"/>
  <c r="CE61" i="7"/>
  <c r="CF61" i="7"/>
  <c r="CG61" i="7"/>
  <c r="CH61" i="7"/>
  <c r="CI61" i="7"/>
  <c r="CJ61" i="7"/>
  <c r="CK61" i="7"/>
  <c r="CM61" i="7"/>
  <c r="CN61" i="7"/>
  <c r="CO61" i="7"/>
  <c r="CP61" i="7"/>
  <c r="CQ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CC62" i="7"/>
  <c r="CD62" i="7"/>
  <c r="CE62" i="7"/>
  <c r="CF62" i="7"/>
  <c r="CG62" i="7"/>
  <c r="CH62" i="7"/>
  <c r="CI62" i="7"/>
  <c r="CJ62" i="7"/>
  <c r="CK62" i="7"/>
  <c r="CM62" i="7"/>
  <c r="CN62" i="7"/>
  <c r="CO62" i="7"/>
  <c r="CP62" i="7"/>
  <c r="CQ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CC63" i="7"/>
  <c r="CD63" i="7"/>
  <c r="CE63" i="7"/>
  <c r="CF63" i="7"/>
  <c r="CG63" i="7"/>
  <c r="CH63" i="7"/>
  <c r="CI63" i="7"/>
  <c r="CJ63" i="7"/>
  <c r="CK63" i="7"/>
  <c r="CM63" i="7"/>
  <c r="CN63" i="7"/>
  <c r="CO63" i="7"/>
  <c r="CP63" i="7"/>
  <c r="CQ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CC64" i="7"/>
  <c r="CD64" i="7"/>
  <c r="CE64" i="7"/>
  <c r="CF64" i="7"/>
  <c r="CG64" i="7"/>
  <c r="CH64" i="7"/>
  <c r="CI64" i="7"/>
  <c r="CJ64" i="7"/>
  <c r="CK64" i="7"/>
  <c r="CM64" i="7"/>
  <c r="CN64" i="7"/>
  <c r="CO64" i="7"/>
  <c r="CP64" i="7"/>
  <c r="CQ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CC65" i="7"/>
  <c r="CD65" i="7"/>
  <c r="CE65" i="7"/>
  <c r="CF65" i="7"/>
  <c r="CG65" i="7"/>
  <c r="CH65" i="7"/>
  <c r="CI65" i="7"/>
  <c r="CJ65" i="7"/>
  <c r="CK65" i="7"/>
  <c r="CM65" i="7"/>
  <c r="CN65" i="7"/>
  <c r="CO65" i="7"/>
  <c r="CP65" i="7"/>
  <c r="CQ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CC66" i="7"/>
  <c r="CD66" i="7"/>
  <c r="CE66" i="7"/>
  <c r="CF66" i="7"/>
  <c r="CG66" i="7"/>
  <c r="CH66" i="7"/>
  <c r="CI66" i="7"/>
  <c r="CJ66" i="7"/>
  <c r="CK66" i="7"/>
  <c r="CM66" i="7"/>
  <c r="CN66" i="7"/>
  <c r="CO66" i="7"/>
  <c r="CP66" i="7"/>
  <c r="CQ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CC67" i="7"/>
  <c r="CD67" i="7"/>
  <c r="CE67" i="7"/>
  <c r="CF67" i="7"/>
  <c r="CG67" i="7"/>
  <c r="CH67" i="7"/>
  <c r="CI67" i="7"/>
  <c r="CJ67" i="7"/>
  <c r="CK67" i="7"/>
  <c r="CM67" i="7"/>
  <c r="CN67" i="7"/>
  <c r="CO67" i="7"/>
  <c r="CP67" i="7"/>
  <c r="CQ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CC68" i="7"/>
  <c r="CD68" i="7"/>
  <c r="CE68" i="7"/>
  <c r="CF68" i="7"/>
  <c r="CG68" i="7"/>
  <c r="CH68" i="7"/>
  <c r="CI68" i="7"/>
  <c r="CJ68" i="7"/>
  <c r="CK68" i="7"/>
  <c r="CM68" i="7"/>
  <c r="CN68" i="7"/>
  <c r="CO68" i="7"/>
  <c r="CP68" i="7"/>
  <c r="CQ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CC69" i="7"/>
  <c r="CD69" i="7"/>
  <c r="CE69" i="7"/>
  <c r="CF69" i="7"/>
  <c r="CG69" i="7"/>
  <c r="CH69" i="7"/>
  <c r="CI69" i="7"/>
  <c r="CJ69" i="7"/>
  <c r="CK69" i="7"/>
  <c r="CM69" i="7"/>
  <c r="CN69" i="7"/>
  <c r="CO69" i="7"/>
  <c r="CP69" i="7"/>
  <c r="CQ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CC70" i="7"/>
  <c r="CD70" i="7"/>
  <c r="CE70" i="7"/>
  <c r="CF70" i="7"/>
  <c r="CG70" i="7"/>
  <c r="CH70" i="7"/>
  <c r="CI70" i="7"/>
  <c r="CJ70" i="7"/>
  <c r="CK70" i="7"/>
  <c r="CM70" i="7"/>
  <c r="CN70" i="7"/>
  <c r="CO70" i="7"/>
  <c r="CP70" i="7"/>
  <c r="CQ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CC71" i="7"/>
  <c r="CD71" i="7"/>
  <c r="CE71" i="7"/>
  <c r="CF71" i="7"/>
  <c r="CG71" i="7"/>
  <c r="CH71" i="7"/>
  <c r="CI71" i="7"/>
  <c r="CJ71" i="7"/>
  <c r="CK71" i="7"/>
  <c r="CM71" i="7"/>
  <c r="CN71" i="7"/>
  <c r="CO71" i="7"/>
  <c r="CP71" i="7"/>
  <c r="CQ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CC72" i="7"/>
  <c r="CD72" i="7"/>
  <c r="CE72" i="7"/>
  <c r="CF72" i="7"/>
  <c r="CG72" i="7"/>
  <c r="CH72" i="7"/>
  <c r="CI72" i="7"/>
  <c r="CJ72" i="7"/>
  <c r="CK72" i="7"/>
  <c r="CM72" i="7"/>
  <c r="CN72" i="7"/>
  <c r="CO72" i="7"/>
  <c r="CP72" i="7"/>
  <c r="CQ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CC73" i="7"/>
  <c r="CD73" i="7"/>
  <c r="CE73" i="7"/>
  <c r="CF73" i="7"/>
  <c r="CG73" i="7"/>
  <c r="CH73" i="7"/>
  <c r="CI73" i="7"/>
  <c r="CJ73" i="7"/>
  <c r="CK73" i="7"/>
  <c r="CM73" i="7"/>
  <c r="CN73" i="7"/>
  <c r="CO73" i="7"/>
  <c r="CP73" i="7"/>
  <c r="CQ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CC74" i="7"/>
  <c r="CD74" i="7"/>
  <c r="CE74" i="7"/>
  <c r="CF74" i="7"/>
  <c r="CG74" i="7"/>
  <c r="CH74" i="7"/>
  <c r="CI74" i="7"/>
  <c r="CJ74" i="7"/>
  <c r="CK74" i="7"/>
  <c r="CM74" i="7"/>
  <c r="CN74" i="7"/>
  <c r="CO74" i="7"/>
  <c r="CP74" i="7"/>
  <c r="CQ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CC75" i="7"/>
  <c r="CD75" i="7"/>
  <c r="CE75" i="7"/>
  <c r="CF75" i="7"/>
  <c r="CG75" i="7"/>
  <c r="CH75" i="7"/>
  <c r="CI75" i="7"/>
  <c r="CJ75" i="7"/>
  <c r="CK75" i="7"/>
  <c r="CM75" i="7"/>
  <c r="CN75" i="7"/>
  <c r="CO75" i="7"/>
  <c r="CP75" i="7"/>
  <c r="CQ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CC76" i="7"/>
  <c r="CD76" i="7"/>
  <c r="CE76" i="7"/>
  <c r="CF76" i="7"/>
  <c r="CG76" i="7"/>
  <c r="CH76" i="7"/>
  <c r="CI76" i="7"/>
  <c r="CJ76" i="7"/>
  <c r="CK76" i="7"/>
  <c r="CM76" i="7"/>
  <c r="CN76" i="7"/>
  <c r="CO76" i="7"/>
  <c r="CP76" i="7"/>
  <c r="CQ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CC77" i="7"/>
  <c r="CD77" i="7"/>
  <c r="CE77" i="7"/>
  <c r="CF77" i="7"/>
  <c r="CG77" i="7"/>
  <c r="CH77" i="7"/>
  <c r="CI77" i="7"/>
  <c r="CJ77" i="7"/>
  <c r="CK77" i="7"/>
  <c r="CM77" i="7"/>
  <c r="CN77" i="7"/>
  <c r="CO77" i="7"/>
  <c r="CP77" i="7"/>
  <c r="CQ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CC78" i="7"/>
  <c r="CD78" i="7"/>
  <c r="CE78" i="7"/>
  <c r="CF78" i="7"/>
  <c r="CG78" i="7"/>
  <c r="CH78" i="7"/>
  <c r="CI78" i="7"/>
  <c r="CJ78" i="7"/>
  <c r="CK78" i="7"/>
  <c r="CM78" i="7"/>
  <c r="CN78" i="7"/>
  <c r="CO78" i="7"/>
  <c r="CP78" i="7"/>
  <c r="CQ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CC79" i="7"/>
  <c r="CD79" i="7"/>
  <c r="CE79" i="7"/>
  <c r="CF79" i="7"/>
  <c r="CG79" i="7"/>
  <c r="CH79" i="7"/>
  <c r="CI79" i="7"/>
  <c r="CJ79" i="7"/>
  <c r="CK79" i="7"/>
  <c r="CM79" i="7"/>
  <c r="CN79" i="7"/>
  <c r="CO79" i="7"/>
  <c r="CP79" i="7"/>
  <c r="CQ79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CC80" i="7"/>
  <c r="CD80" i="7"/>
  <c r="CE80" i="7"/>
  <c r="CF80" i="7"/>
  <c r="CG80" i="7"/>
  <c r="CH80" i="7"/>
  <c r="CI80" i="7"/>
  <c r="CJ80" i="7"/>
  <c r="CK80" i="7"/>
  <c r="CM80" i="7"/>
  <c r="CN80" i="7"/>
  <c r="CO80" i="7"/>
  <c r="CP80" i="7"/>
  <c r="CQ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CC81" i="7"/>
  <c r="CD81" i="7"/>
  <c r="CE81" i="7"/>
  <c r="CF81" i="7"/>
  <c r="CG81" i="7"/>
  <c r="CH81" i="7"/>
  <c r="CI81" i="7"/>
  <c r="CJ81" i="7"/>
  <c r="CK81" i="7"/>
  <c r="CM81" i="7"/>
  <c r="CN81" i="7"/>
  <c r="CO81" i="7"/>
  <c r="CP81" i="7"/>
  <c r="CQ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CC82" i="7"/>
  <c r="CD82" i="7"/>
  <c r="CE82" i="7"/>
  <c r="CF82" i="7"/>
  <c r="CG82" i="7"/>
  <c r="CH82" i="7"/>
  <c r="CI82" i="7"/>
  <c r="CJ82" i="7"/>
  <c r="CK82" i="7"/>
  <c r="CM82" i="7"/>
  <c r="CN82" i="7"/>
  <c r="CO82" i="7"/>
  <c r="CP82" i="7"/>
  <c r="CQ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CC83" i="7"/>
  <c r="CD83" i="7"/>
  <c r="CE83" i="7"/>
  <c r="CF83" i="7"/>
  <c r="CG83" i="7"/>
  <c r="CH83" i="7"/>
  <c r="CI83" i="7"/>
  <c r="CJ83" i="7"/>
  <c r="CK83" i="7"/>
  <c r="CM83" i="7"/>
  <c r="CN83" i="7"/>
  <c r="CO83" i="7"/>
  <c r="CP83" i="7"/>
  <c r="CQ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CC84" i="7"/>
  <c r="CD84" i="7"/>
  <c r="CE84" i="7"/>
  <c r="CF84" i="7"/>
  <c r="CG84" i="7"/>
  <c r="CH84" i="7"/>
  <c r="CI84" i="7"/>
  <c r="CJ84" i="7"/>
  <c r="CK84" i="7"/>
  <c r="CM84" i="7"/>
  <c r="CN84" i="7"/>
  <c r="CO84" i="7"/>
  <c r="CP84" i="7"/>
  <c r="CQ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CC85" i="7"/>
  <c r="CD85" i="7"/>
  <c r="CE85" i="7"/>
  <c r="CF85" i="7"/>
  <c r="CG85" i="7"/>
  <c r="CH85" i="7"/>
  <c r="CI85" i="7"/>
  <c r="CJ85" i="7"/>
  <c r="CK85" i="7"/>
  <c r="CM85" i="7"/>
  <c r="CN85" i="7"/>
  <c r="CO85" i="7"/>
  <c r="CP85" i="7"/>
  <c r="CQ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CC86" i="7"/>
  <c r="CD86" i="7"/>
  <c r="CE86" i="7"/>
  <c r="CF86" i="7"/>
  <c r="CG86" i="7"/>
  <c r="CH86" i="7"/>
  <c r="CI86" i="7"/>
  <c r="CJ86" i="7"/>
  <c r="CK86" i="7"/>
  <c r="CM86" i="7"/>
  <c r="CN86" i="7"/>
  <c r="CO86" i="7"/>
  <c r="CP86" i="7"/>
  <c r="CQ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CC87" i="7"/>
  <c r="CD87" i="7"/>
  <c r="CE87" i="7"/>
  <c r="CF87" i="7"/>
  <c r="CG87" i="7"/>
  <c r="CH87" i="7"/>
  <c r="CI87" i="7"/>
  <c r="CJ87" i="7"/>
  <c r="CK87" i="7"/>
  <c r="CM87" i="7"/>
  <c r="CN87" i="7"/>
  <c r="CO87" i="7"/>
  <c r="CP87" i="7"/>
  <c r="CQ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CC88" i="7"/>
  <c r="CD88" i="7"/>
  <c r="CE88" i="7"/>
  <c r="CF88" i="7"/>
  <c r="CG88" i="7"/>
  <c r="CH88" i="7"/>
  <c r="CI88" i="7"/>
  <c r="CJ88" i="7"/>
  <c r="CK88" i="7"/>
  <c r="CM88" i="7"/>
  <c r="CN88" i="7"/>
  <c r="CO88" i="7"/>
  <c r="CP88" i="7"/>
  <c r="CQ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CC89" i="7"/>
  <c r="CD89" i="7"/>
  <c r="CE89" i="7"/>
  <c r="CF89" i="7"/>
  <c r="CG89" i="7"/>
  <c r="CH89" i="7"/>
  <c r="CI89" i="7"/>
  <c r="CJ89" i="7"/>
  <c r="CK89" i="7"/>
  <c r="CM89" i="7"/>
  <c r="CN89" i="7"/>
  <c r="CO89" i="7"/>
  <c r="CP89" i="7"/>
  <c r="CQ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CC90" i="7"/>
  <c r="CD90" i="7"/>
  <c r="CE90" i="7"/>
  <c r="CF90" i="7"/>
  <c r="CG90" i="7"/>
  <c r="CH90" i="7"/>
  <c r="CI90" i="7"/>
  <c r="CJ90" i="7"/>
  <c r="CK90" i="7"/>
  <c r="CM90" i="7"/>
  <c r="CN90" i="7"/>
  <c r="CO90" i="7"/>
  <c r="CP90" i="7"/>
  <c r="CQ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CC91" i="7"/>
  <c r="CD91" i="7"/>
  <c r="CE91" i="7"/>
  <c r="CF91" i="7"/>
  <c r="CG91" i="7"/>
  <c r="CH91" i="7"/>
  <c r="CI91" i="7"/>
  <c r="CJ91" i="7"/>
  <c r="CK91" i="7"/>
  <c r="CM91" i="7"/>
  <c r="CN91" i="7"/>
  <c r="CO91" i="7"/>
  <c r="CP91" i="7"/>
  <c r="CQ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CC92" i="7"/>
  <c r="CD92" i="7"/>
  <c r="CE92" i="7"/>
  <c r="CF92" i="7"/>
  <c r="CG92" i="7"/>
  <c r="CH92" i="7"/>
  <c r="CI92" i="7"/>
  <c r="CJ92" i="7"/>
  <c r="CK92" i="7"/>
  <c r="CM92" i="7"/>
  <c r="CN92" i="7"/>
  <c r="CO92" i="7"/>
  <c r="CP92" i="7"/>
  <c r="CQ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CC93" i="7"/>
  <c r="CD93" i="7"/>
  <c r="CE93" i="7"/>
  <c r="CF93" i="7"/>
  <c r="CG93" i="7"/>
  <c r="CH93" i="7"/>
  <c r="CI93" i="7"/>
  <c r="CJ93" i="7"/>
  <c r="CK93" i="7"/>
  <c r="CM93" i="7"/>
  <c r="CN93" i="7"/>
  <c r="CO93" i="7"/>
  <c r="CP93" i="7"/>
  <c r="CQ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CC94" i="7"/>
  <c r="CD94" i="7"/>
  <c r="CE94" i="7"/>
  <c r="CF94" i="7"/>
  <c r="CG94" i="7"/>
  <c r="CH94" i="7"/>
  <c r="CI94" i="7"/>
  <c r="CJ94" i="7"/>
  <c r="CK94" i="7"/>
  <c r="CM94" i="7"/>
  <c r="CN94" i="7"/>
  <c r="CO94" i="7"/>
  <c r="CP94" i="7"/>
  <c r="CQ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CC95" i="7"/>
  <c r="CD95" i="7"/>
  <c r="CE95" i="7"/>
  <c r="CF95" i="7"/>
  <c r="CG95" i="7"/>
  <c r="CH95" i="7"/>
  <c r="CI95" i="7"/>
  <c r="CJ95" i="7"/>
  <c r="CK95" i="7"/>
  <c r="CM95" i="7"/>
  <c r="CN95" i="7"/>
  <c r="CO95" i="7"/>
  <c r="CP95" i="7"/>
  <c r="CQ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CC96" i="7"/>
  <c r="CD96" i="7"/>
  <c r="CE96" i="7"/>
  <c r="CF96" i="7"/>
  <c r="CG96" i="7"/>
  <c r="CH96" i="7"/>
  <c r="CI96" i="7"/>
  <c r="CJ96" i="7"/>
  <c r="CK96" i="7"/>
  <c r="CM96" i="7"/>
  <c r="CN96" i="7"/>
  <c r="CO96" i="7"/>
  <c r="CP96" i="7"/>
  <c r="CQ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CC97" i="7"/>
  <c r="CD97" i="7"/>
  <c r="CE97" i="7"/>
  <c r="CF97" i="7"/>
  <c r="CG97" i="7"/>
  <c r="CH97" i="7"/>
  <c r="CI97" i="7"/>
  <c r="CJ97" i="7"/>
  <c r="CK97" i="7"/>
  <c r="CM97" i="7"/>
  <c r="CN97" i="7"/>
  <c r="CO97" i="7"/>
  <c r="CP97" i="7"/>
  <c r="CQ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CC98" i="7"/>
  <c r="CD98" i="7"/>
  <c r="CE98" i="7"/>
  <c r="CF98" i="7"/>
  <c r="CG98" i="7"/>
  <c r="CH98" i="7"/>
  <c r="CI98" i="7"/>
  <c r="CJ98" i="7"/>
  <c r="CK98" i="7"/>
  <c r="CM98" i="7"/>
  <c r="CN98" i="7"/>
  <c r="CO98" i="7"/>
  <c r="CP98" i="7"/>
  <c r="CQ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CC99" i="7"/>
  <c r="CD99" i="7"/>
  <c r="CE99" i="7"/>
  <c r="CF99" i="7"/>
  <c r="CG99" i="7"/>
  <c r="CH99" i="7"/>
  <c r="CI99" i="7"/>
  <c r="CJ99" i="7"/>
  <c r="CK99" i="7"/>
  <c r="CM99" i="7"/>
  <c r="CN99" i="7"/>
  <c r="CO99" i="7"/>
  <c r="CP99" i="7"/>
  <c r="CQ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CC100" i="7"/>
  <c r="CD100" i="7"/>
  <c r="CE100" i="7"/>
  <c r="CF100" i="7"/>
  <c r="CG100" i="7"/>
  <c r="CH100" i="7"/>
  <c r="CI100" i="7"/>
  <c r="CJ100" i="7"/>
  <c r="CK100" i="7"/>
  <c r="CM100" i="7"/>
  <c r="CN100" i="7"/>
  <c r="CO100" i="7"/>
  <c r="CP100" i="7"/>
  <c r="CQ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CC101" i="7"/>
  <c r="CD101" i="7"/>
  <c r="CE101" i="7"/>
  <c r="CF101" i="7"/>
  <c r="CG101" i="7"/>
  <c r="CH101" i="7"/>
  <c r="CI101" i="7"/>
  <c r="CJ101" i="7"/>
  <c r="CK101" i="7"/>
  <c r="CM101" i="7"/>
  <c r="CN101" i="7"/>
  <c r="CO101" i="7"/>
  <c r="CP101" i="7"/>
  <c r="CQ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CC102" i="7"/>
  <c r="CD102" i="7"/>
  <c r="CE102" i="7"/>
  <c r="CF102" i="7"/>
  <c r="CG102" i="7"/>
  <c r="CH102" i="7"/>
  <c r="CI102" i="7"/>
  <c r="CJ102" i="7"/>
  <c r="CK102" i="7"/>
  <c r="CM102" i="7"/>
  <c r="CN102" i="7"/>
  <c r="CO102" i="7"/>
  <c r="CP102" i="7"/>
  <c r="CQ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CC103" i="7"/>
  <c r="CD103" i="7"/>
  <c r="CE103" i="7"/>
  <c r="CF103" i="7"/>
  <c r="CG103" i="7"/>
  <c r="CH103" i="7"/>
  <c r="CI103" i="7"/>
  <c r="CJ103" i="7"/>
  <c r="CK103" i="7"/>
  <c r="CM103" i="7"/>
  <c r="CN103" i="7"/>
  <c r="CO103" i="7"/>
  <c r="CP103" i="7"/>
  <c r="CQ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CC104" i="7"/>
  <c r="CD104" i="7"/>
  <c r="CE104" i="7"/>
  <c r="CF104" i="7"/>
  <c r="CG104" i="7"/>
  <c r="CH104" i="7"/>
  <c r="CI104" i="7"/>
  <c r="CJ104" i="7"/>
  <c r="CK104" i="7"/>
  <c r="CM104" i="7"/>
  <c r="CN104" i="7"/>
  <c r="CO104" i="7"/>
  <c r="CP104" i="7"/>
  <c r="CQ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CC105" i="7"/>
  <c r="CD105" i="7"/>
  <c r="CE105" i="7"/>
  <c r="CF105" i="7"/>
  <c r="CG105" i="7"/>
  <c r="CH105" i="7"/>
  <c r="CI105" i="7"/>
  <c r="CJ105" i="7"/>
  <c r="CK105" i="7"/>
  <c r="CM105" i="7"/>
  <c r="CN105" i="7"/>
  <c r="CO105" i="7"/>
  <c r="CP105" i="7"/>
  <c r="CQ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CC106" i="7"/>
  <c r="CD106" i="7"/>
  <c r="CE106" i="7"/>
  <c r="CF106" i="7"/>
  <c r="CG106" i="7"/>
  <c r="CH106" i="7"/>
  <c r="CI106" i="7"/>
  <c r="CJ106" i="7"/>
  <c r="CK106" i="7"/>
  <c r="CM106" i="7"/>
  <c r="CN106" i="7"/>
  <c r="CO106" i="7"/>
  <c r="CP106" i="7"/>
  <c r="CQ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CC107" i="7"/>
  <c r="CD107" i="7"/>
  <c r="CE107" i="7"/>
  <c r="CF107" i="7"/>
  <c r="CG107" i="7"/>
  <c r="CH107" i="7"/>
  <c r="CI107" i="7"/>
  <c r="CJ107" i="7"/>
  <c r="CK107" i="7"/>
  <c r="CM107" i="7"/>
  <c r="CN107" i="7"/>
  <c r="CO107" i="7"/>
  <c r="CP107" i="7"/>
  <c r="CQ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CC108" i="7"/>
  <c r="CD108" i="7"/>
  <c r="CE108" i="7"/>
  <c r="CF108" i="7"/>
  <c r="CG108" i="7"/>
  <c r="CH108" i="7"/>
  <c r="CI108" i="7"/>
  <c r="CJ108" i="7"/>
  <c r="CK108" i="7"/>
  <c r="CM108" i="7"/>
  <c r="CN108" i="7"/>
  <c r="CO108" i="7"/>
  <c r="CP108" i="7"/>
  <c r="CQ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CC109" i="7"/>
  <c r="CD109" i="7"/>
  <c r="CE109" i="7"/>
  <c r="CF109" i="7"/>
  <c r="CG109" i="7"/>
  <c r="CH109" i="7"/>
  <c r="CI109" i="7"/>
  <c r="CJ109" i="7"/>
  <c r="CK109" i="7"/>
  <c r="CM109" i="7"/>
  <c r="CN109" i="7"/>
  <c r="CO109" i="7"/>
  <c r="CP109" i="7"/>
  <c r="CQ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CC110" i="7"/>
  <c r="CD110" i="7"/>
  <c r="CE110" i="7"/>
  <c r="CF110" i="7"/>
  <c r="CG110" i="7"/>
  <c r="CH110" i="7"/>
  <c r="CI110" i="7"/>
  <c r="CJ110" i="7"/>
  <c r="CK110" i="7"/>
  <c r="CM110" i="7"/>
  <c r="CN110" i="7"/>
  <c r="CO110" i="7"/>
  <c r="CP110" i="7"/>
  <c r="CQ110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CC111" i="7"/>
  <c r="CD111" i="7"/>
  <c r="CE111" i="7"/>
  <c r="CF111" i="7"/>
  <c r="CG111" i="7"/>
  <c r="CH111" i="7"/>
  <c r="CI111" i="7"/>
  <c r="CJ111" i="7"/>
  <c r="CK111" i="7"/>
  <c r="CM111" i="7"/>
  <c r="CN111" i="7"/>
  <c r="CO111" i="7"/>
  <c r="CP111" i="7"/>
  <c r="CQ111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CC112" i="7"/>
  <c r="CD112" i="7"/>
  <c r="CE112" i="7"/>
  <c r="CF112" i="7"/>
  <c r="CG112" i="7"/>
  <c r="CH112" i="7"/>
  <c r="CI112" i="7"/>
  <c r="CJ112" i="7"/>
  <c r="CK112" i="7"/>
  <c r="CM112" i="7"/>
  <c r="CN112" i="7"/>
  <c r="CO112" i="7"/>
  <c r="CP112" i="7"/>
  <c r="CQ112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CC113" i="7"/>
  <c r="CD113" i="7"/>
  <c r="CE113" i="7"/>
  <c r="CF113" i="7"/>
  <c r="CG113" i="7"/>
  <c r="CH113" i="7"/>
  <c r="CI113" i="7"/>
  <c r="CJ113" i="7"/>
  <c r="CK113" i="7"/>
  <c r="CM113" i="7"/>
  <c r="CN113" i="7"/>
  <c r="CO113" i="7"/>
  <c r="CP113" i="7"/>
  <c r="CQ113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CC114" i="7"/>
  <c r="CD114" i="7"/>
  <c r="CE114" i="7"/>
  <c r="CF114" i="7"/>
  <c r="CG114" i="7"/>
  <c r="CH114" i="7"/>
  <c r="CI114" i="7"/>
  <c r="CJ114" i="7"/>
  <c r="CK114" i="7"/>
  <c r="CM114" i="7"/>
  <c r="CN114" i="7"/>
  <c r="CO114" i="7"/>
  <c r="CP114" i="7"/>
  <c r="CQ114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CC115" i="7"/>
  <c r="CD115" i="7"/>
  <c r="CE115" i="7"/>
  <c r="CF115" i="7"/>
  <c r="CG115" i="7"/>
  <c r="CH115" i="7"/>
  <c r="CI115" i="7"/>
  <c r="CJ115" i="7"/>
  <c r="CK115" i="7"/>
  <c r="CM115" i="7"/>
  <c r="CN115" i="7"/>
  <c r="CO115" i="7"/>
  <c r="CP115" i="7"/>
  <c r="CQ115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CC116" i="7"/>
  <c r="CD116" i="7"/>
  <c r="CE116" i="7"/>
  <c r="CF116" i="7"/>
  <c r="CG116" i="7"/>
  <c r="CH116" i="7"/>
  <c r="CI116" i="7"/>
  <c r="CJ116" i="7"/>
  <c r="CK116" i="7"/>
  <c r="CM116" i="7"/>
  <c r="CN116" i="7"/>
  <c r="CO116" i="7"/>
  <c r="CP116" i="7"/>
  <c r="CQ116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CC117" i="7"/>
  <c r="CD117" i="7"/>
  <c r="CE117" i="7"/>
  <c r="CF117" i="7"/>
  <c r="CG117" i="7"/>
  <c r="CH117" i="7"/>
  <c r="CI117" i="7"/>
  <c r="CJ117" i="7"/>
  <c r="CK117" i="7"/>
  <c r="CM117" i="7"/>
  <c r="CN117" i="7"/>
  <c r="CO117" i="7"/>
  <c r="CP117" i="7"/>
  <c r="CQ117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CC118" i="7"/>
  <c r="CD118" i="7"/>
  <c r="CE118" i="7"/>
  <c r="CF118" i="7"/>
  <c r="CG118" i="7"/>
  <c r="CH118" i="7"/>
  <c r="CI118" i="7"/>
  <c r="CJ118" i="7"/>
  <c r="CK118" i="7"/>
  <c r="CM118" i="7"/>
  <c r="CN118" i="7"/>
  <c r="CO118" i="7"/>
  <c r="CP118" i="7"/>
  <c r="CQ118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CC119" i="7"/>
  <c r="CD119" i="7"/>
  <c r="CE119" i="7"/>
  <c r="CF119" i="7"/>
  <c r="CG119" i="7"/>
  <c r="CH119" i="7"/>
  <c r="CI119" i="7"/>
  <c r="CJ119" i="7"/>
  <c r="CK119" i="7"/>
  <c r="CM119" i="7"/>
  <c r="CN119" i="7"/>
  <c r="CO119" i="7"/>
  <c r="CP119" i="7"/>
  <c r="CQ119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CC120" i="7"/>
  <c r="CD120" i="7"/>
  <c r="CE120" i="7"/>
  <c r="CF120" i="7"/>
  <c r="CG120" i="7"/>
  <c r="CH120" i="7"/>
  <c r="CI120" i="7"/>
  <c r="CJ120" i="7"/>
  <c r="CK120" i="7"/>
  <c r="CM120" i="7"/>
  <c r="CN120" i="7"/>
  <c r="CO120" i="7"/>
  <c r="CP120" i="7"/>
  <c r="CQ120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CC121" i="7"/>
  <c r="CD121" i="7"/>
  <c r="CE121" i="7"/>
  <c r="CF121" i="7"/>
  <c r="CG121" i="7"/>
  <c r="CH121" i="7"/>
  <c r="CI121" i="7"/>
  <c r="CJ121" i="7"/>
  <c r="CK121" i="7"/>
  <c r="CM121" i="7"/>
  <c r="CN121" i="7"/>
  <c r="CO121" i="7"/>
  <c r="CP121" i="7"/>
  <c r="CQ121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CC122" i="7"/>
  <c r="CD122" i="7"/>
  <c r="CE122" i="7"/>
  <c r="CF122" i="7"/>
  <c r="CG122" i="7"/>
  <c r="CH122" i="7"/>
  <c r="CI122" i="7"/>
  <c r="CJ122" i="7"/>
  <c r="CK122" i="7"/>
  <c r="CM122" i="7"/>
  <c r="CN122" i="7"/>
  <c r="CO122" i="7"/>
  <c r="CP122" i="7"/>
  <c r="CQ122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CC123" i="7"/>
  <c r="CD123" i="7"/>
  <c r="CE123" i="7"/>
  <c r="CF123" i="7"/>
  <c r="CG123" i="7"/>
  <c r="CH123" i="7"/>
  <c r="CI123" i="7"/>
  <c r="CJ123" i="7"/>
  <c r="CK123" i="7"/>
  <c r="CM123" i="7"/>
  <c r="CN123" i="7"/>
  <c r="CO123" i="7"/>
  <c r="CP123" i="7"/>
  <c r="CQ123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CC124" i="7"/>
  <c r="CD124" i="7"/>
  <c r="CE124" i="7"/>
  <c r="CF124" i="7"/>
  <c r="CG124" i="7"/>
  <c r="CH124" i="7"/>
  <c r="CI124" i="7"/>
  <c r="CJ124" i="7"/>
  <c r="CK124" i="7"/>
  <c r="CM124" i="7"/>
  <c r="CN124" i="7"/>
  <c r="CO124" i="7"/>
  <c r="CP124" i="7"/>
  <c r="CQ124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CC125" i="7"/>
  <c r="CD125" i="7"/>
  <c r="CE125" i="7"/>
  <c r="CF125" i="7"/>
  <c r="CG125" i="7"/>
  <c r="CH125" i="7"/>
  <c r="CI125" i="7"/>
  <c r="CJ125" i="7"/>
  <c r="CK125" i="7"/>
  <c r="CM125" i="7"/>
  <c r="CN125" i="7"/>
  <c r="CO125" i="7"/>
  <c r="CP125" i="7"/>
  <c r="CQ125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CC126" i="7"/>
  <c r="CD126" i="7"/>
  <c r="CE126" i="7"/>
  <c r="CF126" i="7"/>
  <c r="CG126" i="7"/>
  <c r="CH126" i="7"/>
  <c r="CI126" i="7"/>
  <c r="CJ126" i="7"/>
  <c r="CK126" i="7"/>
  <c r="CM126" i="7"/>
  <c r="CN126" i="7"/>
  <c r="CO126" i="7"/>
  <c r="CP126" i="7"/>
  <c r="CQ126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CC127" i="7"/>
  <c r="CD127" i="7"/>
  <c r="CE127" i="7"/>
  <c r="CF127" i="7"/>
  <c r="CG127" i="7"/>
  <c r="CH127" i="7"/>
  <c r="CI127" i="7"/>
  <c r="CJ127" i="7"/>
  <c r="CK127" i="7"/>
  <c r="CM127" i="7"/>
  <c r="CN127" i="7"/>
  <c r="CO127" i="7"/>
  <c r="CP127" i="7"/>
  <c r="CQ127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CC128" i="7"/>
  <c r="CD128" i="7"/>
  <c r="CE128" i="7"/>
  <c r="CF128" i="7"/>
  <c r="CG128" i="7"/>
  <c r="CH128" i="7"/>
  <c r="CI128" i="7"/>
  <c r="CJ128" i="7"/>
  <c r="CK128" i="7"/>
  <c r="CM128" i="7"/>
  <c r="CN128" i="7"/>
  <c r="CO128" i="7"/>
  <c r="CP128" i="7"/>
  <c r="CQ128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CC129" i="7"/>
  <c r="CD129" i="7"/>
  <c r="CE129" i="7"/>
  <c r="CF129" i="7"/>
  <c r="CG129" i="7"/>
  <c r="CH129" i="7"/>
  <c r="CI129" i="7"/>
  <c r="CJ129" i="7"/>
  <c r="CK129" i="7"/>
  <c r="CM129" i="7"/>
  <c r="CN129" i="7"/>
  <c r="CO129" i="7"/>
  <c r="CP129" i="7"/>
  <c r="CQ129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CC130" i="7"/>
  <c r="CD130" i="7"/>
  <c r="CE130" i="7"/>
  <c r="CF130" i="7"/>
  <c r="CG130" i="7"/>
  <c r="CH130" i="7"/>
  <c r="CI130" i="7"/>
  <c r="CJ130" i="7"/>
  <c r="CK130" i="7"/>
  <c r="CM130" i="7"/>
  <c r="CN130" i="7"/>
  <c r="CO130" i="7"/>
  <c r="CP130" i="7"/>
  <c r="CQ130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CC131" i="7"/>
  <c r="CD131" i="7"/>
  <c r="CE131" i="7"/>
  <c r="CF131" i="7"/>
  <c r="CG131" i="7"/>
  <c r="CH131" i="7"/>
  <c r="CI131" i="7"/>
  <c r="CJ131" i="7"/>
  <c r="CK131" i="7"/>
  <c r="CM131" i="7"/>
  <c r="CN131" i="7"/>
  <c r="CO131" i="7"/>
  <c r="CP131" i="7"/>
  <c r="CQ131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CC132" i="7"/>
  <c r="CD132" i="7"/>
  <c r="CE132" i="7"/>
  <c r="CF132" i="7"/>
  <c r="CG132" i="7"/>
  <c r="CH132" i="7"/>
  <c r="CI132" i="7"/>
  <c r="CJ132" i="7"/>
  <c r="CK132" i="7"/>
  <c r="CM132" i="7"/>
  <c r="CN132" i="7"/>
  <c r="CO132" i="7"/>
  <c r="CP132" i="7"/>
  <c r="CQ132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CC133" i="7"/>
  <c r="CD133" i="7"/>
  <c r="CE133" i="7"/>
  <c r="CF133" i="7"/>
  <c r="CG133" i="7"/>
  <c r="CH133" i="7"/>
  <c r="CI133" i="7"/>
  <c r="CJ133" i="7"/>
  <c r="CK133" i="7"/>
  <c r="CM133" i="7"/>
  <c r="CN133" i="7"/>
  <c r="CO133" i="7"/>
  <c r="CP133" i="7"/>
  <c r="CQ133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CC134" i="7"/>
  <c r="CD134" i="7"/>
  <c r="CE134" i="7"/>
  <c r="CF134" i="7"/>
  <c r="CG134" i="7"/>
  <c r="CH134" i="7"/>
  <c r="CI134" i="7"/>
  <c r="CJ134" i="7"/>
  <c r="CK134" i="7"/>
  <c r="CM134" i="7"/>
  <c r="CN134" i="7"/>
  <c r="CO134" i="7"/>
  <c r="CP134" i="7"/>
  <c r="CQ134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CC135" i="7"/>
  <c r="CD135" i="7"/>
  <c r="CE135" i="7"/>
  <c r="CF135" i="7"/>
  <c r="CG135" i="7"/>
  <c r="CH135" i="7"/>
  <c r="CI135" i="7"/>
  <c r="CJ135" i="7"/>
  <c r="CK135" i="7"/>
  <c r="CM135" i="7"/>
  <c r="CN135" i="7"/>
  <c r="CO135" i="7"/>
  <c r="CP135" i="7"/>
  <c r="CQ135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CC136" i="7"/>
  <c r="CD136" i="7"/>
  <c r="CE136" i="7"/>
  <c r="CF136" i="7"/>
  <c r="CG136" i="7"/>
  <c r="CH136" i="7"/>
  <c r="CI136" i="7"/>
  <c r="CJ136" i="7"/>
  <c r="CK136" i="7"/>
  <c r="CM136" i="7"/>
  <c r="CN136" i="7"/>
  <c r="CO136" i="7"/>
  <c r="CP136" i="7"/>
  <c r="CQ136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CC137" i="7"/>
  <c r="CD137" i="7"/>
  <c r="CE137" i="7"/>
  <c r="CF137" i="7"/>
  <c r="CG137" i="7"/>
  <c r="CH137" i="7"/>
  <c r="CI137" i="7"/>
  <c r="CJ137" i="7"/>
  <c r="CK137" i="7"/>
  <c r="CM137" i="7"/>
  <c r="CN137" i="7"/>
  <c r="CO137" i="7"/>
  <c r="CP137" i="7"/>
  <c r="CQ137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CC138" i="7"/>
  <c r="CD138" i="7"/>
  <c r="CE138" i="7"/>
  <c r="CF138" i="7"/>
  <c r="CG138" i="7"/>
  <c r="CH138" i="7"/>
  <c r="CI138" i="7"/>
  <c r="CJ138" i="7"/>
  <c r="CK138" i="7"/>
  <c r="CM138" i="7"/>
  <c r="CN138" i="7"/>
  <c r="CO138" i="7"/>
  <c r="CP138" i="7"/>
  <c r="CQ138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CC139" i="7"/>
  <c r="CD139" i="7"/>
  <c r="CE139" i="7"/>
  <c r="CF139" i="7"/>
  <c r="CG139" i="7"/>
  <c r="CH139" i="7"/>
  <c r="CI139" i="7"/>
  <c r="CJ139" i="7"/>
  <c r="CK139" i="7"/>
  <c r="CM139" i="7"/>
  <c r="CN139" i="7"/>
  <c r="CO139" i="7"/>
  <c r="CP139" i="7"/>
  <c r="CQ139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CC140" i="7"/>
  <c r="CD140" i="7"/>
  <c r="CE140" i="7"/>
  <c r="CF140" i="7"/>
  <c r="CG140" i="7"/>
  <c r="CH140" i="7"/>
  <c r="CI140" i="7"/>
  <c r="CJ140" i="7"/>
  <c r="CK140" i="7"/>
  <c r="CM140" i="7"/>
  <c r="CN140" i="7"/>
  <c r="CO140" i="7"/>
  <c r="CP140" i="7"/>
  <c r="CQ140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CC141" i="7"/>
  <c r="CD141" i="7"/>
  <c r="CE141" i="7"/>
  <c r="CF141" i="7"/>
  <c r="CG141" i="7"/>
  <c r="CH141" i="7"/>
  <c r="CI141" i="7"/>
  <c r="CJ141" i="7"/>
  <c r="CK141" i="7"/>
  <c r="CM141" i="7"/>
  <c r="CN141" i="7"/>
  <c r="CO141" i="7"/>
  <c r="CP141" i="7"/>
  <c r="CQ141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CC142" i="7"/>
  <c r="CD142" i="7"/>
  <c r="CE142" i="7"/>
  <c r="CF142" i="7"/>
  <c r="CG142" i="7"/>
  <c r="CH142" i="7"/>
  <c r="CI142" i="7"/>
  <c r="CJ142" i="7"/>
  <c r="CK142" i="7"/>
  <c r="CM142" i="7"/>
  <c r="CN142" i="7"/>
  <c r="CO142" i="7"/>
  <c r="CP142" i="7"/>
  <c r="CQ142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CC143" i="7"/>
  <c r="CD143" i="7"/>
  <c r="CE143" i="7"/>
  <c r="CF143" i="7"/>
  <c r="CG143" i="7"/>
  <c r="CH143" i="7"/>
  <c r="CI143" i="7"/>
  <c r="CJ143" i="7"/>
  <c r="CK143" i="7"/>
  <c r="CM143" i="7"/>
  <c r="CN143" i="7"/>
  <c r="CO143" i="7"/>
  <c r="CP143" i="7"/>
  <c r="CQ143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CC144" i="7"/>
  <c r="CD144" i="7"/>
  <c r="CE144" i="7"/>
  <c r="CF144" i="7"/>
  <c r="CG144" i="7"/>
  <c r="CH144" i="7"/>
  <c r="CI144" i="7"/>
  <c r="CJ144" i="7"/>
  <c r="CK144" i="7"/>
  <c r="CM144" i="7"/>
  <c r="CN144" i="7"/>
  <c r="CO144" i="7"/>
  <c r="CP144" i="7"/>
  <c r="CQ144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CC145" i="7"/>
  <c r="CD145" i="7"/>
  <c r="CE145" i="7"/>
  <c r="CF145" i="7"/>
  <c r="CG145" i="7"/>
  <c r="CH145" i="7"/>
  <c r="CI145" i="7"/>
  <c r="CJ145" i="7"/>
  <c r="CK145" i="7"/>
  <c r="CM145" i="7"/>
  <c r="CN145" i="7"/>
  <c r="CO145" i="7"/>
  <c r="CP145" i="7"/>
  <c r="CQ145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CC146" i="7"/>
  <c r="CD146" i="7"/>
  <c r="CE146" i="7"/>
  <c r="CF146" i="7"/>
  <c r="CG146" i="7"/>
  <c r="CH146" i="7"/>
  <c r="CI146" i="7"/>
  <c r="CJ146" i="7"/>
  <c r="CK146" i="7"/>
  <c r="CM146" i="7"/>
  <c r="CN146" i="7"/>
  <c r="CO146" i="7"/>
  <c r="CP146" i="7"/>
  <c r="CQ146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CC147" i="7"/>
  <c r="CD147" i="7"/>
  <c r="CE147" i="7"/>
  <c r="CF147" i="7"/>
  <c r="CG147" i="7"/>
  <c r="CH147" i="7"/>
  <c r="CI147" i="7"/>
  <c r="CJ147" i="7"/>
  <c r="CK147" i="7"/>
  <c r="CM147" i="7"/>
  <c r="CN147" i="7"/>
  <c r="CO147" i="7"/>
  <c r="CP147" i="7"/>
  <c r="CQ147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CC148" i="7"/>
  <c r="CD148" i="7"/>
  <c r="CE148" i="7"/>
  <c r="CF148" i="7"/>
  <c r="CG148" i="7"/>
  <c r="CH148" i="7"/>
  <c r="CI148" i="7"/>
  <c r="CJ148" i="7"/>
  <c r="CK148" i="7"/>
  <c r="CM148" i="7"/>
  <c r="CN148" i="7"/>
  <c r="CO148" i="7"/>
  <c r="CP148" i="7"/>
  <c r="CQ148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CC149" i="7"/>
  <c r="CD149" i="7"/>
  <c r="CE149" i="7"/>
  <c r="CF149" i="7"/>
  <c r="CG149" i="7"/>
  <c r="CH149" i="7"/>
  <c r="CI149" i="7"/>
  <c r="CJ149" i="7"/>
  <c r="CK149" i="7"/>
  <c r="CM149" i="7"/>
  <c r="CN149" i="7"/>
  <c r="CO149" i="7"/>
  <c r="CP149" i="7"/>
  <c r="CQ149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BC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CC150" i="7"/>
  <c r="CD150" i="7"/>
  <c r="CE150" i="7"/>
  <c r="CF150" i="7"/>
  <c r="CG150" i="7"/>
  <c r="CH150" i="7"/>
  <c r="CI150" i="7"/>
  <c r="CJ150" i="7"/>
  <c r="CK150" i="7"/>
  <c r="CM150" i="7"/>
  <c r="CN150" i="7"/>
  <c r="CO150" i="7"/>
  <c r="CP150" i="7"/>
  <c r="CQ150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BC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CC151" i="7"/>
  <c r="CD151" i="7"/>
  <c r="CE151" i="7"/>
  <c r="CF151" i="7"/>
  <c r="CG151" i="7"/>
  <c r="CH151" i="7"/>
  <c r="CI151" i="7"/>
  <c r="CJ151" i="7"/>
  <c r="CK151" i="7"/>
  <c r="CM151" i="7"/>
  <c r="CN151" i="7"/>
  <c r="CO151" i="7"/>
  <c r="CP151" i="7"/>
  <c r="CQ151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CC152" i="7"/>
  <c r="CD152" i="7"/>
  <c r="CE152" i="7"/>
  <c r="CF152" i="7"/>
  <c r="CG152" i="7"/>
  <c r="CH152" i="7"/>
  <c r="CI152" i="7"/>
  <c r="CJ152" i="7"/>
  <c r="CK152" i="7"/>
  <c r="CM152" i="7"/>
  <c r="CN152" i="7"/>
  <c r="CO152" i="7"/>
  <c r="CP152" i="7"/>
  <c r="CQ152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BC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CC153" i="7"/>
  <c r="CD153" i="7"/>
  <c r="CE153" i="7"/>
  <c r="CF153" i="7"/>
  <c r="CG153" i="7"/>
  <c r="CH153" i="7"/>
  <c r="CI153" i="7"/>
  <c r="CJ153" i="7"/>
  <c r="CK153" i="7"/>
  <c r="CM153" i="7"/>
  <c r="CN153" i="7"/>
  <c r="CO153" i="7"/>
  <c r="CP153" i="7"/>
  <c r="CQ153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BC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CC154" i="7"/>
  <c r="CD154" i="7"/>
  <c r="CE154" i="7"/>
  <c r="CF154" i="7"/>
  <c r="CG154" i="7"/>
  <c r="CH154" i="7"/>
  <c r="CI154" i="7"/>
  <c r="CJ154" i="7"/>
  <c r="CK154" i="7"/>
  <c r="CM154" i="7"/>
  <c r="CN154" i="7"/>
  <c r="CO154" i="7"/>
  <c r="CP154" i="7"/>
  <c r="CQ154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BC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CC155" i="7"/>
  <c r="CD155" i="7"/>
  <c r="CE155" i="7"/>
  <c r="CF155" i="7"/>
  <c r="CG155" i="7"/>
  <c r="CH155" i="7"/>
  <c r="CI155" i="7"/>
  <c r="CJ155" i="7"/>
  <c r="CK155" i="7"/>
  <c r="CM155" i="7"/>
  <c r="CN155" i="7"/>
  <c r="CO155" i="7"/>
  <c r="CP155" i="7"/>
  <c r="CQ155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BC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CC156" i="7"/>
  <c r="CD156" i="7"/>
  <c r="CE156" i="7"/>
  <c r="CF156" i="7"/>
  <c r="CG156" i="7"/>
  <c r="CH156" i="7"/>
  <c r="CI156" i="7"/>
  <c r="CJ156" i="7"/>
  <c r="CK156" i="7"/>
  <c r="CM156" i="7"/>
  <c r="CN156" i="7"/>
  <c r="CO156" i="7"/>
  <c r="CP156" i="7"/>
  <c r="CQ156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CC157" i="7"/>
  <c r="CD157" i="7"/>
  <c r="CE157" i="7"/>
  <c r="CF157" i="7"/>
  <c r="CG157" i="7"/>
  <c r="CH157" i="7"/>
  <c r="CI157" i="7"/>
  <c r="CJ157" i="7"/>
  <c r="CK157" i="7"/>
  <c r="CM157" i="7"/>
  <c r="CN157" i="7"/>
  <c r="CO157" i="7"/>
  <c r="CP157" i="7"/>
  <c r="CQ157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CC158" i="7"/>
  <c r="CD158" i="7"/>
  <c r="CE158" i="7"/>
  <c r="CF158" i="7"/>
  <c r="CG158" i="7"/>
  <c r="CH158" i="7"/>
  <c r="CI158" i="7"/>
  <c r="CJ158" i="7"/>
  <c r="CK158" i="7"/>
  <c r="CM158" i="7"/>
  <c r="CN158" i="7"/>
  <c r="CO158" i="7"/>
  <c r="CP158" i="7"/>
  <c r="CQ158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CC159" i="7"/>
  <c r="CD159" i="7"/>
  <c r="CE159" i="7"/>
  <c r="CF159" i="7"/>
  <c r="CG159" i="7"/>
  <c r="CH159" i="7"/>
  <c r="CI159" i="7"/>
  <c r="CJ159" i="7"/>
  <c r="CK159" i="7"/>
  <c r="CM159" i="7"/>
  <c r="CN159" i="7"/>
  <c r="CO159" i="7"/>
  <c r="CP159" i="7"/>
  <c r="CQ159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CC160" i="7"/>
  <c r="CD160" i="7"/>
  <c r="CE160" i="7"/>
  <c r="CF160" i="7"/>
  <c r="CG160" i="7"/>
  <c r="CH160" i="7"/>
  <c r="CI160" i="7"/>
  <c r="CJ160" i="7"/>
  <c r="CK160" i="7"/>
  <c r="CM160" i="7"/>
  <c r="CN160" i="7"/>
  <c r="CO160" i="7"/>
  <c r="CP160" i="7"/>
  <c r="CQ160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CC161" i="7"/>
  <c r="CD161" i="7"/>
  <c r="CE161" i="7"/>
  <c r="CF161" i="7"/>
  <c r="CG161" i="7"/>
  <c r="CH161" i="7"/>
  <c r="CI161" i="7"/>
  <c r="CJ161" i="7"/>
  <c r="CK161" i="7"/>
  <c r="CM161" i="7"/>
  <c r="CN161" i="7"/>
  <c r="CO161" i="7"/>
  <c r="CP161" i="7"/>
  <c r="CQ161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CC162" i="7"/>
  <c r="CD162" i="7"/>
  <c r="CE162" i="7"/>
  <c r="CF162" i="7"/>
  <c r="CG162" i="7"/>
  <c r="CH162" i="7"/>
  <c r="CI162" i="7"/>
  <c r="CJ162" i="7"/>
  <c r="CK162" i="7"/>
  <c r="CM162" i="7"/>
  <c r="CN162" i="7"/>
  <c r="CO162" i="7"/>
  <c r="CP162" i="7"/>
  <c r="CQ162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CC163" i="7"/>
  <c r="CD163" i="7"/>
  <c r="CE163" i="7"/>
  <c r="CF163" i="7"/>
  <c r="CG163" i="7"/>
  <c r="CH163" i="7"/>
  <c r="CI163" i="7"/>
  <c r="CJ163" i="7"/>
  <c r="CK163" i="7"/>
  <c r="CM163" i="7"/>
  <c r="CN163" i="7"/>
  <c r="CO163" i="7"/>
  <c r="CP163" i="7"/>
  <c r="CQ163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CC164" i="7"/>
  <c r="CD164" i="7"/>
  <c r="CE164" i="7"/>
  <c r="CF164" i="7"/>
  <c r="CG164" i="7"/>
  <c r="CH164" i="7"/>
  <c r="CI164" i="7"/>
  <c r="CJ164" i="7"/>
  <c r="CK164" i="7"/>
  <c r="CM164" i="7"/>
  <c r="CN164" i="7"/>
  <c r="CO164" i="7"/>
  <c r="CP164" i="7"/>
  <c r="CQ164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CC165" i="7"/>
  <c r="CD165" i="7"/>
  <c r="CE165" i="7"/>
  <c r="CF165" i="7"/>
  <c r="CG165" i="7"/>
  <c r="CH165" i="7"/>
  <c r="CI165" i="7"/>
  <c r="CJ165" i="7"/>
  <c r="CK165" i="7"/>
  <c r="CM165" i="7"/>
  <c r="CN165" i="7"/>
  <c r="CO165" i="7"/>
  <c r="CP165" i="7"/>
  <c r="CQ165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CC166" i="7"/>
  <c r="CD166" i="7"/>
  <c r="CE166" i="7"/>
  <c r="CF166" i="7"/>
  <c r="CG166" i="7"/>
  <c r="CH166" i="7"/>
  <c r="CI166" i="7"/>
  <c r="CJ166" i="7"/>
  <c r="CK166" i="7"/>
  <c r="CM166" i="7"/>
  <c r="CN166" i="7"/>
  <c r="CO166" i="7"/>
  <c r="CP166" i="7"/>
  <c r="CQ166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CC167" i="7"/>
  <c r="CD167" i="7"/>
  <c r="CE167" i="7"/>
  <c r="CF167" i="7"/>
  <c r="CG167" i="7"/>
  <c r="CH167" i="7"/>
  <c r="CI167" i="7"/>
  <c r="CJ167" i="7"/>
  <c r="CK167" i="7"/>
  <c r="CM167" i="7"/>
  <c r="CN167" i="7"/>
  <c r="CO167" i="7"/>
  <c r="CP167" i="7"/>
  <c r="CQ167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CC168" i="7"/>
  <c r="CD168" i="7"/>
  <c r="CE168" i="7"/>
  <c r="CF168" i="7"/>
  <c r="CG168" i="7"/>
  <c r="CH168" i="7"/>
  <c r="CI168" i="7"/>
  <c r="CJ168" i="7"/>
  <c r="CK168" i="7"/>
  <c r="CM168" i="7"/>
  <c r="CN168" i="7"/>
  <c r="CO168" i="7"/>
  <c r="CP168" i="7"/>
  <c r="CQ168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CC169" i="7"/>
  <c r="CD169" i="7"/>
  <c r="CE169" i="7"/>
  <c r="CF169" i="7"/>
  <c r="CG169" i="7"/>
  <c r="CH169" i="7"/>
  <c r="CI169" i="7"/>
  <c r="CJ169" i="7"/>
  <c r="CK169" i="7"/>
  <c r="CM169" i="7"/>
  <c r="CN169" i="7"/>
  <c r="CO169" i="7"/>
  <c r="CP169" i="7"/>
  <c r="CQ169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CC170" i="7"/>
  <c r="CD170" i="7"/>
  <c r="CE170" i="7"/>
  <c r="CF170" i="7"/>
  <c r="CG170" i="7"/>
  <c r="CH170" i="7"/>
  <c r="CI170" i="7"/>
  <c r="CJ170" i="7"/>
  <c r="CK170" i="7"/>
  <c r="CM170" i="7"/>
  <c r="CN170" i="7"/>
  <c r="CO170" i="7"/>
  <c r="CP170" i="7"/>
  <c r="CQ170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CC171" i="7"/>
  <c r="CD171" i="7"/>
  <c r="CE171" i="7"/>
  <c r="CF171" i="7"/>
  <c r="CG171" i="7"/>
  <c r="CH171" i="7"/>
  <c r="CI171" i="7"/>
  <c r="CJ171" i="7"/>
  <c r="CK171" i="7"/>
  <c r="CM171" i="7"/>
  <c r="CN171" i="7"/>
  <c r="CO171" i="7"/>
  <c r="CP171" i="7"/>
  <c r="CQ171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CC172" i="7"/>
  <c r="CD172" i="7"/>
  <c r="CE172" i="7"/>
  <c r="CF172" i="7"/>
  <c r="CG172" i="7"/>
  <c r="CH172" i="7"/>
  <c r="CI172" i="7"/>
  <c r="CJ172" i="7"/>
  <c r="CK172" i="7"/>
  <c r="CM172" i="7"/>
  <c r="CN172" i="7"/>
  <c r="CO172" i="7"/>
  <c r="CP172" i="7"/>
  <c r="CQ172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CC173" i="7"/>
  <c r="CD173" i="7"/>
  <c r="CE173" i="7"/>
  <c r="CF173" i="7"/>
  <c r="CG173" i="7"/>
  <c r="CH173" i="7"/>
  <c r="CI173" i="7"/>
  <c r="CJ173" i="7"/>
  <c r="CK173" i="7"/>
  <c r="CM173" i="7"/>
  <c r="CN173" i="7"/>
  <c r="CO173" i="7"/>
  <c r="CP173" i="7"/>
  <c r="CQ173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CC174" i="7"/>
  <c r="CD174" i="7"/>
  <c r="CE174" i="7"/>
  <c r="CF174" i="7"/>
  <c r="CG174" i="7"/>
  <c r="CH174" i="7"/>
  <c r="CI174" i="7"/>
  <c r="CJ174" i="7"/>
  <c r="CK174" i="7"/>
  <c r="CM174" i="7"/>
  <c r="CN174" i="7"/>
  <c r="CO174" i="7"/>
  <c r="CP174" i="7"/>
  <c r="CQ174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CC175" i="7"/>
  <c r="CD175" i="7"/>
  <c r="CE175" i="7"/>
  <c r="CF175" i="7"/>
  <c r="CG175" i="7"/>
  <c r="CH175" i="7"/>
  <c r="CI175" i="7"/>
  <c r="CJ175" i="7"/>
  <c r="CK175" i="7"/>
  <c r="CM175" i="7"/>
  <c r="CN175" i="7"/>
  <c r="CO175" i="7"/>
  <c r="CP175" i="7"/>
  <c r="CQ175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CC176" i="7"/>
  <c r="CD176" i="7"/>
  <c r="CE176" i="7"/>
  <c r="CF176" i="7"/>
  <c r="CG176" i="7"/>
  <c r="CH176" i="7"/>
  <c r="CI176" i="7"/>
  <c r="CJ176" i="7"/>
  <c r="CK176" i="7"/>
  <c r="CM176" i="7"/>
  <c r="CN176" i="7"/>
  <c r="CO176" i="7"/>
  <c r="CP176" i="7"/>
  <c r="CQ176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CC177" i="7"/>
  <c r="CD177" i="7"/>
  <c r="CE177" i="7"/>
  <c r="CF177" i="7"/>
  <c r="CG177" i="7"/>
  <c r="CH177" i="7"/>
  <c r="CI177" i="7"/>
  <c r="CJ177" i="7"/>
  <c r="CK177" i="7"/>
  <c r="CM177" i="7"/>
  <c r="CN177" i="7"/>
  <c r="CO177" i="7"/>
  <c r="CP177" i="7"/>
  <c r="CQ177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CC178" i="7"/>
  <c r="CD178" i="7"/>
  <c r="CE178" i="7"/>
  <c r="CF178" i="7"/>
  <c r="CG178" i="7"/>
  <c r="CH178" i="7"/>
  <c r="CI178" i="7"/>
  <c r="CJ178" i="7"/>
  <c r="CK178" i="7"/>
  <c r="CM178" i="7"/>
  <c r="CN178" i="7"/>
  <c r="CO178" i="7"/>
  <c r="CP178" i="7"/>
  <c r="CQ178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CC179" i="7"/>
  <c r="CD179" i="7"/>
  <c r="CE179" i="7"/>
  <c r="CF179" i="7"/>
  <c r="CG179" i="7"/>
  <c r="CH179" i="7"/>
  <c r="CI179" i="7"/>
  <c r="CJ179" i="7"/>
  <c r="CK179" i="7"/>
  <c r="CM179" i="7"/>
  <c r="CN179" i="7"/>
  <c r="CO179" i="7"/>
  <c r="CP179" i="7"/>
  <c r="CQ179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CC180" i="7"/>
  <c r="CD180" i="7"/>
  <c r="CE180" i="7"/>
  <c r="CF180" i="7"/>
  <c r="CG180" i="7"/>
  <c r="CH180" i="7"/>
  <c r="CI180" i="7"/>
  <c r="CJ180" i="7"/>
  <c r="CK180" i="7"/>
  <c r="CM180" i="7"/>
  <c r="CN180" i="7"/>
  <c r="CO180" i="7"/>
  <c r="CP180" i="7"/>
  <c r="CQ180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CC181" i="7"/>
  <c r="CD181" i="7"/>
  <c r="CE181" i="7"/>
  <c r="CF181" i="7"/>
  <c r="CG181" i="7"/>
  <c r="CH181" i="7"/>
  <c r="CI181" i="7"/>
  <c r="CJ181" i="7"/>
  <c r="CK181" i="7"/>
  <c r="CM181" i="7"/>
  <c r="CN181" i="7"/>
  <c r="CO181" i="7"/>
  <c r="CP181" i="7"/>
  <c r="CQ181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CC182" i="7"/>
  <c r="CD182" i="7"/>
  <c r="CE182" i="7"/>
  <c r="CF182" i="7"/>
  <c r="CG182" i="7"/>
  <c r="CH182" i="7"/>
  <c r="CI182" i="7"/>
  <c r="CJ182" i="7"/>
  <c r="CK182" i="7"/>
  <c r="CM182" i="7"/>
  <c r="CN182" i="7"/>
  <c r="CO182" i="7"/>
  <c r="CP182" i="7"/>
  <c r="CQ182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CC183" i="7"/>
  <c r="CD183" i="7"/>
  <c r="CE183" i="7"/>
  <c r="CF183" i="7"/>
  <c r="CG183" i="7"/>
  <c r="CH183" i="7"/>
  <c r="CI183" i="7"/>
  <c r="CJ183" i="7"/>
  <c r="CK183" i="7"/>
  <c r="CM183" i="7"/>
  <c r="CN183" i="7"/>
  <c r="CO183" i="7"/>
  <c r="CP183" i="7"/>
  <c r="CQ183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CC184" i="7"/>
  <c r="CD184" i="7"/>
  <c r="CE184" i="7"/>
  <c r="CF184" i="7"/>
  <c r="CG184" i="7"/>
  <c r="CH184" i="7"/>
  <c r="CI184" i="7"/>
  <c r="CJ184" i="7"/>
  <c r="CK184" i="7"/>
  <c r="CM184" i="7"/>
  <c r="CN184" i="7"/>
  <c r="CO184" i="7"/>
  <c r="CP184" i="7"/>
  <c r="CQ184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CC185" i="7"/>
  <c r="CD185" i="7"/>
  <c r="CE185" i="7"/>
  <c r="CF185" i="7"/>
  <c r="CG185" i="7"/>
  <c r="CH185" i="7"/>
  <c r="CI185" i="7"/>
  <c r="CJ185" i="7"/>
  <c r="CK185" i="7"/>
  <c r="CM185" i="7"/>
  <c r="CN185" i="7"/>
  <c r="CO185" i="7"/>
  <c r="CP185" i="7"/>
  <c r="CQ185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CC186" i="7"/>
  <c r="CD186" i="7"/>
  <c r="CE186" i="7"/>
  <c r="CF186" i="7"/>
  <c r="CG186" i="7"/>
  <c r="CH186" i="7"/>
  <c r="CI186" i="7"/>
  <c r="CJ186" i="7"/>
  <c r="CK186" i="7"/>
  <c r="CM186" i="7"/>
  <c r="CN186" i="7"/>
  <c r="CO186" i="7"/>
  <c r="CP186" i="7"/>
  <c r="CQ186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CC187" i="7"/>
  <c r="CD187" i="7"/>
  <c r="CE187" i="7"/>
  <c r="CF187" i="7"/>
  <c r="CG187" i="7"/>
  <c r="CH187" i="7"/>
  <c r="CI187" i="7"/>
  <c r="CJ187" i="7"/>
  <c r="CK187" i="7"/>
  <c r="CM187" i="7"/>
  <c r="CN187" i="7"/>
  <c r="CO187" i="7"/>
  <c r="CP187" i="7"/>
  <c r="CQ187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CC188" i="7"/>
  <c r="CD188" i="7"/>
  <c r="CE188" i="7"/>
  <c r="CF188" i="7"/>
  <c r="CG188" i="7"/>
  <c r="CH188" i="7"/>
  <c r="CI188" i="7"/>
  <c r="CJ188" i="7"/>
  <c r="CK188" i="7"/>
  <c r="CM188" i="7"/>
  <c r="CN188" i="7"/>
  <c r="CO188" i="7"/>
  <c r="CP188" i="7"/>
  <c r="CQ188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CC189" i="7"/>
  <c r="CD189" i="7"/>
  <c r="CE189" i="7"/>
  <c r="CF189" i="7"/>
  <c r="CG189" i="7"/>
  <c r="CH189" i="7"/>
  <c r="CI189" i="7"/>
  <c r="CJ189" i="7"/>
  <c r="CK189" i="7"/>
  <c r="CM189" i="7"/>
  <c r="CN189" i="7"/>
  <c r="CO189" i="7"/>
  <c r="CP189" i="7"/>
  <c r="CQ189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CC190" i="7"/>
  <c r="CD190" i="7"/>
  <c r="CE190" i="7"/>
  <c r="CF190" i="7"/>
  <c r="CG190" i="7"/>
  <c r="CH190" i="7"/>
  <c r="CI190" i="7"/>
  <c r="CJ190" i="7"/>
  <c r="CK190" i="7"/>
  <c r="CM190" i="7"/>
  <c r="CN190" i="7"/>
  <c r="CO190" i="7"/>
  <c r="CP190" i="7"/>
  <c r="CQ190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CC191" i="7"/>
  <c r="CD191" i="7"/>
  <c r="CE191" i="7"/>
  <c r="CF191" i="7"/>
  <c r="CG191" i="7"/>
  <c r="CH191" i="7"/>
  <c r="CI191" i="7"/>
  <c r="CJ191" i="7"/>
  <c r="CK191" i="7"/>
  <c r="CM191" i="7"/>
  <c r="CN191" i="7"/>
  <c r="CO191" i="7"/>
  <c r="CP191" i="7"/>
  <c r="CQ191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CC192" i="7"/>
  <c r="CD192" i="7"/>
  <c r="CE192" i="7"/>
  <c r="CF192" i="7"/>
  <c r="CG192" i="7"/>
  <c r="CH192" i="7"/>
  <c r="CI192" i="7"/>
  <c r="CJ192" i="7"/>
  <c r="CK192" i="7"/>
  <c r="CM192" i="7"/>
  <c r="CN192" i="7"/>
  <c r="CO192" i="7"/>
  <c r="CP192" i="7"/>
  <c r="CQ192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CC193" i="7"/>
  <c r="CD193" i="7"/>
  <c r="CE193" i="7"/>
  <c r="CF193" i="7"/>
  <c r="CG193" i="7"/>
  <c r="CH193" i="7"/>
  <c r="CI193" i="7"/>
  <c r="CJ193" i="7"/>
  <c r="CK193" i="7"/>
  <c r="CM193" i="7"/>
  <c r="CN193" i="7"/>
  <c r="CO193" i="7"/>
  <c r="CP193" i="7"/>
  <c r="CQ193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CC194" i="7"/>
  <c r="CD194" i="7"/>
  <c r="CE194" i="7"/>
  <c r="CF194" i="7"/>
  <c r="CG194" i="7"/>
  <c r="CH194" i="7"/>
  <c r="CI194" i="7"/>
  <c r="CJ194" i="7"/>
  <c r="CK194" i="7"/>
  <c r="CM194" i="7"/>
  <c r="CN194" i="7"/>
  <c r="CO194" i="7"/>
  <c r="CP194" i="7"/>
  <c r="CQ194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CC195" i="7"/>
  <c r="CD195" i="7"/>
  <c r="CE195" i="7"/>
  <c r="CF195" i="7"/>
  <c r="CG195" i="7"/>
  <c r="CH195" i="7"/>
  <c r="CI195" i="7"/>
  <c r="CJ195" i="7"/>
  <c r="CK195" i="7"/>
  <c r="CM195" i="7"/>
  <c r="CN195" i="7"/>
  <c r="CO195" i="7"/>
  <c r="CP195" i="7"/>
  <c r="CQ195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CC196" i="7"/>
  <c r="CD196" i="7"/>
  <c r="CE196" i="7"/>
  <c r="CF196" i="7"/>
  <c r="CG196" i="7"/>
  <c r="CH196" i="7"/>
  <c r="CI196" i="7"/>
  <c r="CJ196" i="7"/>
  <c r="CK196" i="7"/>
  <c r="CM196" i="7"/>
  <c r="CN196" i="7"/>
  <c r="CO196" i="7"/>
  <c r="CP196" i="7"/>
  <c r="CQ196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CC197" i="7"/>
  <c r="CD197" i="7"/>
  <c r="CE197" i="7"/>
  <c r="CF197" i="7"/>
  <c r="CG197" i="7"/>
  <c r="CH197" i="7"/>
  <c r="CI197" i="7"/>
  <c r="CJ197" i="7"/>
  <c r="CK197" i="7"/>
  <c r="CM197" i="7"/>
  <c r="CN197" i="7"/>
  <c r="CO197" i="7"/>
  <c r="CP197" i="7"/>
  <c r="CQ197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CC198" i="7"/>
  <c r="CD198" i="7"/>
  <c r="CE198" i="7"/>
  <c r="CF198" i="7"/>
  <c r="CG198" i="7"/>
  <c r="CH198" i="7"/>
  <c r="CI198" i="7"/>
  <c r="CJ198" i="7"/>
  <c r="CK198" i="7"/>
  <c r="CM198" i="7"/>
  <c r="CN198" i="7"/>
  <c r="CO198" i="7"/>
  <c r="CP198" i="7"/>
  <c r="CQ198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CC199" i="7"/>
  <c r="CD199" i="7"/>
  <c r="CE199" i="7"/>
  <c r="CF199" i="7"/>
  <c r="CG199" i="7"/>
  <c r="CH199" i="7"/>
  <c r="CI199" i="7"/>
  <c r="CJ199" i="7"/>
  <c r="CK199" i="7"/>
  <c r="CM199" i="7"/>
  <c r="CN199" i="7"/>
  <c r="CO199" i="7"/>
  <c r="CP199" i="7"/>
  <c r="CQ199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CC200" i="7"/>
  <c r="CD200" i="7"/>
  <c r="CE200" i="7"/>
  <c r="CF200" i="7"/>
  <c r="CG200" i="7"/>
  <c r="CH200" i="7"/>
  <c r="CI200" i="7"/>
  <c r="CJ200" i="7"/>
  <c r="CK200" i="7"/>
  <c r="CM200" i="7"/>
  <c r="CN200" i="7"/>
  <c r="CO200" i="7"/>
  <c r="CP200" i="7"/>
  <c r="CQ200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CC201" i="7"/>
  <c r="CD201" i="7"/>
  <c r="CE201" i="7"/>
  <c r="CF201" i="7"/>
  <c r="CG201" i="7"/>
  <c r="CH201" i="7"/>
  <c r="CI201" i="7"/>
  <c r="CJ201" i="7"/>
  <c r="CK201" i="7"/>
  <c r="CM201" i="7"/>
  <c r="CN201" i="7"/>
  <c r="CO201" i="7"/>
  <c r="CP201" i="7"/>
  <c r="CQ201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CC202" i="7"/>
  <c r="CD202" i="7"/>
  <c r="CE202" i="7"/>
  <c r="CF202" i="7"/>
  <c r="CG202" i="7"/>
  <c r="CH202" i="7"/>
  <c r="CI202" i="7"/>
  <c r="CJ202" i="7"/>
  <c r="CK202" i="7"/>
  <c r="CM202" i="7"/>
  <c r="CN202" i="7"/>
  <c r="CO202" i="7"/>
  <c r="CP202" i="7"/>
  <c r="CQ202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CC203" i="7"/>
  <c r="CD203" i="7"/>
  <c r="CE203" i="7"/>
  <c r="CF203" i="7"/>
  <c r="CG203" i="7"/>
  <c r="CH203" i="7"/>
  <c r="CI203" i="7"/>
  <c r="CJ203" i="7"/>
  <c r="CK203" i="7"/>
  <c r="CM203" i="7"/>
  <c r="CN203" i="7"/>
  <c r="CO203" i="7"/>
  <c r="CP203" i="7"/>
  <c r="CQ203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CC204" i="7"/>
  <c r="CD204" i="7"/>
  <c r="CE204" i="7"/>
  <c r="CF204" i="7"/>
  <c r="CG204" i="7"/>
  <c r="CH204" i="7"/>
  <c r="CI204" i="7"/>
  <c r="CJ204" i="7"/>
  <c r="CK204" i="7"/>
  <c r="CM204" i="7"/>
  <c r="CN204" i="7"/>
  <c r="CO204" i="7"/>
  <c r="CP204" i="7"/>
  <c r="CQ204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CC205" i="7"/>
  <c r="CD205" i="7"/>
  <c r="CE205" i="7"/>
  <c r="CF205" i="7"/>
  <c r="CG205" i="7"/>
  <c r="CH205" i="7"/>
  <c r="CI205" i="7"/>
  <c r="CJ205" i="7"/>
  <c r="CK205" i="7"/>
  <c r="CM205" i="7"/>
  <c r="CN205" i="7"/>
  <c r="CO205" i="7"/>
  <c r="CP205" i="7"/>
  <c r="CQ205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CC206" i="7"/>
  <c r="CD206" i="7"/>
  <c r="CE206" i="7"/>
  <c r="CF206" i="7"/>
  <c r="CG206" i="7"/>
  <c r="CH206" i="7"/>
  <c r="CI206" i="7"/>
  <c r="CJ206" i="7"/>
  <c r="CK206" i="7"/>
  <c r="CM206" i="7"/>
  <c r="CN206" i="7"/>
  <c r="CO206" i="7"/>
  <c r="CP206" i="7"/>
  <c r="CQ206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CC207" i="7"/>
  <c r="CD207" i="7"/>
  <c r="CE207" i="7"/>
  <c r="CF207" i="7"/>
  <c r="CG207" i="7"/>
  <c r="CH207" i="7"/>
  <c r="CI207" i="7"/>
  <c r="CJ207" i="7"/>
  <c r="CK207" i="7"/>
  <c r="CM207" i="7"/>
  <c r="CN207" i="7"/>
  <c r="CO207" i="7"/>
  <c r="CP207" i="7"/>
  <c r="CQ207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CC208" i="7"/>
  <c r="CD208" i="7"/>
  <c r="CE208" i="7"/>
  <c r="CF208" i="7"/>
  <c r="CG208" i="7"/>
  <c r="CH208" i="7"/>
  <c r="CI208" i="7"/>
  <c r="CJ208" i="7"/>
  <c r="CK208" i="7"/>
  <c r="CM208" i="7"/>
  <c r="CN208" i="7"/>
  <c r="CO208" i="7"/>
  <c r="CP208" i="7"/>
  <c r="CQ208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CC209" i="7"/>
  <c r="CD209" i="7"/>
  <c r="CE209" i="7"/>
  <c r="CF209" i="7"/>
  <c r="CG209" i="7"/>
  <c r="CH209" i="7"/>
  <c r="CI209" i="7"/>
  <c r="CJ209" i="7"/>
  <c r="CK209" i="7"/>
  <c r="CM209" i="7"/>
  <c r="CN209" i="7"/>
  <c r="CO209" i="7"/>
  <c r="CP209" i="7"/>
  <c r="CQ209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CC210" i="7"/>
  <c r="CD210" i="7"/>
  <c r="CE210" i="7"/>
  <c r="CF210" i="7"/>
  <c r="CG210" i="7"/>
  <c r="CH210" i="7"/>
  <c r="CI210" i="7"/>
  <c r="CJ210" i="7"/>
  <c r="CK210" i="7"/>
  <c r="CM210" i="7"/>
  <c r="CN210" i="7"/>
  <c r="CO210" i="7"/>
  <c r="CP210" i="7"/>
  <c r="CQ210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CC211" i="7"/>
  <c r="CD211" i="7"/>
  <c r="CE211" i="7"/>
  <c r="CF211" i="7"/>
  <c r="CG211" i="7"/>
  <c r="CH211" i="7"/>
  <c r="CI211" i="7"/>
  <c r="CJ211" i="7"/>
  <c r="CK211" i="7"/>
  <c r="CM211" i="7"/>
  <c r="CN211" i="7"/>
  <c r="CO211" i="7"/>
  <c r="CP211" i="7"/>
  <c r="CQ211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CC212" i="7"/>
  <c r="CD212" i="7"/>
  <c r="CE212" i="7"/>
  <c r="CF212" i="7"/>
  <c r="CG212" i="7"/>
  <c r="CH212" i="7"/>
  <c r="CI212" i="7"/>
  <c r="CJ212" i="7"/>
  <c r="CK212" i="7"/>
  <c r="CM212" i="7"/>
  <c r="CN212" i="7"/>
  <c r="CO212" i="7"/>
  <c r="CP212" i="7"/>
  <c r="CQ212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CC213" i="7"/>
  <c r="CD213" i="7"/>
  <c r="CE213" i="7"/>
  <c r="CF213" i="7"/>
  <c r="CG213" i="7"/>
  <c r="CH213" i="7"/>
  <c r="CI213" i="7"/>
  <c r="CJ213" i="7"/>
  <c r="CK213" i="7"/>
  <c r="CM213" i="7"/>
  <c r="CN213" i="7"/>
  <c r="CO213" i="7"/>
  <c r="CP213" i="7"/>
  <c r="CQ213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CC214" i="7"/>
  <c r="CD214" i="7"/>
  <c r="CE214" i="7"/>
  <c r="CF214" i="7"/>
  <c r="CG214" i="7"/>
  <c r="CH214" i="7"/>
  <c r="CI214" i="7"/>
  <c r="CJ214" i="7"/>
  <c r="CK214" i="7"/>
  <c r="CM214" i="7"/>
  <c r="CN214" i="7"/>
  <c r="CO214" i="7"/>
  <c r="CP214" i="7"/>
  <c r="CQ214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CC215" i="7"/>
  <c r="CD215" i="7"/>
  <c r="CE215" i="7"/>
  <c r="CF215" i="7"/>
  <c r="CG215" i="7"/>
  <c r="CH215" i="7"/>
  <c r="CI215" i="7"/>
  <c r="CJ215" i="7"/>
  <c r="CK215" i="7"/>
  <c r="CM215" i="7"/>
  <c r="CN215" i="7"/>
  <c r="CO215" i="7"/>
  <c r="CP215" i="7"/>
  <c r="CQ215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CC216" i="7"/>
  <c r="CD216" i="7"/>
  <c r="CE216" i="7"/>
  <c r="CF216" i="7"/>
  <c r="CG216" i="7"/>
  <c r="CH216" i="7"/>
  <c r="CI216" i="7"/>
  <c r="CJ216" i="7"/>
  <c r="CK216" i="7"/>
  <c r="CM216" i="7"/>
  <c r="CN216" i="7"/>
  <c r="CO216" i="7"/>
  <c r="CP216" i="7"/>
  <c r="CQ216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CC217" i="7"/>
  <c r="CD217" i="7"/>
  <c r="CE217" i="7"/>
  <c r="CF217" i="7"/>
  <c r="CG217" i="7"/>
  <c r="CH217" i="7"/>
  <c r="CI217" i="7"/>
  <c r="CJ217" i="7"/>
  <c r="CK217" i="7"/>
  <c r="CM217" i="7"/>
  <c r="CN217" i="7"/>
  <c r="CO217" i="7"/>
  <c r="CP217" i="7"/>
  <c r="CQ217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CC218" i="7"/>
  <c r="CD218" i="7"/>
  <c r="CE218" i="7"/>
  <c r="CF218" i="7"/>
  <c r="CG218" i="7"/>
  <c r="CH218" i="7"/>
  <c r="CI218" i="7"/>
  <c r="CJ218" i="7"/>
  <c r="CK218" i="7"/>
  <c r="CM218" i="7"/>
  <c r="CN218" i="7"/>
  <c r="CO218" i="7"/>
  <c r="CP218" i="7"/>
  <c r="CQ218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CC219" i="7"/>
  <c r="CD219" i="7"/>
  <c r="CE219" i="7"/>
  <c r="CF219" i="7"/>
  <c r="CG219" i="7"/>
  <c r="CH219" i="7"/>
  <c r="CI219" i="7"/>
  <c r="CJ219" i="7"/>
  <c r="CK219" i="7"/>
  <c r="CM219" i="7"/>
  <c r="CN219" i="7"/>
  <c r="CO219" i="7"/>
  <c r="CP219" i="7"/>
  <c r="CQ219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CC220" i="7"/>
  <c r="CD220" i="7"/>
  <c r="CE220" i="7"/>
  <c r="CF220" i="7"/>
  <c r="CG220" i="7"/>
  <c r="CH220" i="7"/>
  <c r="CI220" i="7"/>
  <c r="CJ220" i="7"/>
  <c r="CK220" i="7"/>
  <c r="CM220" i="7"/>
  <c r="CN220" i="7"/>
  <c r="CO220" i="7"/>
  <c r="CP220" i="7"/>
  <c r="CQ220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CC221" i="7"/>
  <c r="CD221" i="7"/>
  <c r="CE221" i="7"/>
  <c r="CF221" i="7"/>
  <c r="CG221" i="7"/>
  <c r="CH221" i="7"/>
  <c r="CI221" i="7"/>
  <c r="CJ221" i="7"/>
  <c r="CK221" i="7"/>
  <c r="CM221" i="7"/>
  <c r="CN221" i="7"/>
  <c r="CO221" i="7"/>
  <c r="CP221" i="7"/>
  <c r="CQ221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CC222" i="7"/>
  <c r="CD222" i="7"/>
  <c r="CE222" i="7"/>
  <c r="CF222" i="7"/>
  <c r="CG222" i="7"/>
  <c r="CH222" i="7"/>
  <c r="CI222" i="7"/>
  <c r="CJ222" i="7"/>
  <c r="CK222" i="7"/>
  <c r="CM222" i="7"/>
  <c r="CN222" i="7"/>
  <c r="CO222" i="7"/>
  <c r="CP222" i="7"/>
  <c r="CQ222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CC223" i="7"/>
  <c r="CD223" i="7"/>
  <c r="CE223" i="7"/>
  <c r="CF223" i="7"/>
  <c r="CG223" i="7"/>
  <c r="CH223" i="7"/>
  <c r="CI223" i="7"/>
  <c r="CJ223" i="7"/>
  <c r="CK223" i="7"/>
  <c r="CM223" i="7"/>
  <c r="CN223" i="7"/>
  <c r="CO223" i="7"/>
  <c r="CP223" i="7"/>
  <c r="CQ223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CC224" i="7"/>
  <c r="CD224" i="7"/>
  <c r="CE224" i="7"/>
  <c r="CF224" i="7"/>
  <c r="CG224" i="7"/>
  <c r="CH224" i="7"/>
  <c r="CI224" i="7"/>
  <c r="CJ224" i="7"/>
  <c r="CK224" i="7"/>
  <c r="CM224" i="7"/>
  <c r="CN224" i="7"/>
  <c r="CO224" i="7"/>
  <c r="CP224" i="7"/>
  <c r="CQ224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CC225" i="7"/>
  <c r="CD225" i="7"/>
  <c r="CE225" i="7"/>
  <c r="CF225" i="7"/>
  <c r="CG225" i="7"/>
  <c r="CH225" i="7"/>
  <c r="CI225" i="7"/>
  <c r="CJ225" i="7"/>
  <c r="CK225" i="7"/>
  <c r="CM225" i="7"/>
  <c r="CN225" i="7"/>
  <c r="CO225" i="7"/>
  <c r="CP225" i="7"/>
  <c r="CQ225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CC226" i="7"/>
  <c r="CD226" i="7"/>
  <c r="CE226" i="7"/>
  <c r="CF226" i="7"/>
  <c r="CG226" i="7"/>
  <c r="CH226" i="7"/>
  <c r="CI226" i="7"/>
  <c r="CJ226" i="7"/>
  <c r="CK226" i="7"/>
  <c r="CM226" i="7"/>
  <c r="CN226" i="7"/>
  <c r="CO226" i="7"/>
  <c r="CP226" i="7"/>
  <c r="CQ226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CC227" i="7"/>
  <c r="CD227" i="7"/>
  <c r="CE227" i="7"/>
  <c r="CF227" i="7"/>
  <c r="CG227" i="7"/>
  <c r="CH227" i="7"/>
  <c r="CI227" i="7"/>
  <c r="CJ227" i="7"/>
  <c r="CK227" i="7"/>
  <c r="CM227" i="7"/>
  <c r="CN227" i="7"/>
  <c r="CO227" i="7"/>
  <c r="CP227" i="7"/>
  <c r="CQ227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CC228" i="7"/>
  <c r="CD228" i="7"/>
  <c r="CE228" i="7"/>
  <c r="CF228" i="7"/>
  <c r="CG228" i="7"/>
  <c r="CH228" i="7"/>
  <c r="CI228" i="7"/>
  <c r="CJ228" i="7"/>
  <c r="CK228" i="7"/>
  <c r="CM228" i="7"/>
  <c r="CN228" i="7"/>
  <c r="CO228" i="7"/>
  <c r="CP228" i="7"/>
  <c r="CQ228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CC229" i="7"/>
  <c r="CD229" i="7"/>
  <c r="CE229" i="7"/>
  <c r="CF229" i="7"/>
  <c r="CG229" i="7"/>
  <c r="CH229" i="7"/>
  <c r="CI229" i="7"/>
  <c r="CJ229" i="7"/>
  <c r="CK229" i="7"/>
  <c r="CM229" i="7"/>
  <c r="CN229" i="7"/>
  <c r="CO229" i="7"/>
  <c r="CP229" i="7"/>
  <c r="CQ229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CC230" i="7"/>
  <c r="CD230" i="7"/>
  <c r="CE230" i="7"/>
  <c r="CF230" i="7"/>
  <c r="CG230" i="7"/>
  <c r="CH230" i="7"/>
  <c r="CI230" i="7"/>
  <c r="CJ230" i="7"/>
  <c r="CK230" i="7"/>
  <c r="CM230" i="7"/>
  <c r="CN230" i="7"/>
  <c r="CO230" i="7"/>
  <c r="CP230" i="7"/>
  <c r="CQ230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CC231" i="7"/>
  <c r="CD231" i="7"/>
  <c r="CE231" i="7"/>
  <c r="CF231" i="7"/>
  <c r="CG231" i="7"/>
  <c r="CH231" i="7"/>
  <c r="CI231" i="7"/>
  <c r="CJ231" i="7"/>
  <c r="CK231" i="7"/>
  <c r="CM231" i="7"/>
  <c r="CN231" i="7"/>
  <c r="CO231" i="7"/>
  <c r="CP231" i="7"/>
  <c r="CQ231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CC232" i="7"/>
  <c r="CD232" i="7"/>
  <c r="CE232" i="7"/>
  <c r="CF232" i="7"/>
  <c r="CG232" i="7"/>
  <c r="CH232" i="7"/>
  <c r="CI232" i="7"/>
  <c r="CJ232" i="7"/>
  <c r="CK232" i="7"/>
  <c r="CM232" i="7"/>
  <c r="CN232" i="7"/>
  <c r="CO232" i="7"/>
  <c r="CP232" i="7"/>
  <c r="CQ232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CC233" i="7"/>
  <c r="CD233" i="7"/>
  <c r="CE233" i="7"/>
  <c r="CF233" i="7"/>
  <c r="CG233" i="7"/>
  <c r="CH233" i="7"/>
  <c r="CI233" i="7"/>
  <c r="CJ233" i="7"/>
  <c r="CK233" i="7"/>
  <c r="CM233" i="7"/>
  <c r="CN233" i="7"/>
  <c r="CO233" i="7"/>
  <c r="CP233" i="7"/>
  <c r="CQ233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CC234" i="7"/>
  <c r="CD234" i="7"/>
  <c r="CE234" i="7"/>
  <c r="CF234" i="7"/>
  <c r="CG234" i="7"/>
  <c r="CH234" i="7"/>
  <c r="CI234" i="7"/>
  <c r="CJ234" i="7"/>
  <c r="CK234" i="7"/>
  <c r="CM234" i="7"/>
  <c r="CN234" i="7"/>
  <c r="CO234" i="7"/>
  <c r="CP234" i="7"/>
  <c r="CQ234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CC235" i="7"/>
  <c r="CD235" i="7"/>
  <c r="CE235" i="7"/>
  <c r="CF235" i="7"/>
  <c r="CG235" i="7"/>
  <c r="CH235" i="7"/>
  <c r="CI235" i="7"/>
  <c r="CJ235" i="7"/>
  <c r="CK235" i="7"/>
  <c r="CM235" i="7"/>
  <c r="CN235" i="7"/>
  <c r="CO235" i="7"/>
  <c r="CP235" i="7"/>
  <c r="CQ235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CC236" i="7"/>
  <c r="CD236" i="7"/>
  <c r="CE236" i="7"/>
  <c r="CF236" i="7"/>
  <c r="CG236" i="7"/>
  <c r="CH236" i="7"/>
  <c r="CI236" i="7"/>
  <c r="CJ236" i="7"/>
  <c r="CK236" i="7"/>
  <c r="CM236" i="7"/>
  <c r="CN236" i="7"/>
  <c r="CO236" i="7"/>
  <c r="CP236" i="7"/>
  <c r="CQ236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CC237" i="7"/>
  <c r="CD237" i="7"/>
  <c r="CE237" i="7"/>
  <c r="CF237" i="7"/>
  <c r="CG237" i="7"/>
  <c r="CH237" i="7"/>
  <c r="CI237" i="7"/>
  <c r="CJ237" i="7"/>
  <c r="CK237" i="7"/>
  <c r="CM237" i="7"/>
  <c r="CN237" i="7"/>
  <c r="CO237" i="7"/>
  <c r="CP237" i="7"/>
  <c r="CQ237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CC238" i="7"/>
  <c r="CD238" i="7"/>
  <c r="CE238" i="7"/>
  <c r="CF238" i="7"/>
  <c r="CG238" i="7"/>
  <c r="CH238" i="7"/>
  <c r="CI238" i="7"/>
  <c r="CJ238" i="7"/>
  <c r="CK238" i="7"/>
  <c r="CM238" i="7"/>
  <c r="CN238" i="7"/>
  <c r="CO238" i="7"/>
  <c r="CP238" i="7"/>
  <c r="CQ238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CC239" i="7"/>
  <c r="CD239" i="7"/>
  <c r="CE239" i="7"/>
  <c r="CF239" i="7"/>
  <c r="CG239" i="7"/>
  <c r="CH239" i="7"/>
  <c r="CI239" i="7"/>
  <c r="CJ239" i="7"/>
  <c r="CK239" i="7"/>
  <c r="CM239" i="7"/>
  <c r="CN239" i="7"/>
  <c r="CO239" i="7"/>
  <c r="CP239" i="7"/>
  <c r="CQ239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CC240" i="7"/>
  <c r="CD240" i="7"/>
  <c r="CE240" i="7"/>
  <c r="CF240" i="7"/>
  <c r="CG240" i="7"/>
  <c r="CH240" i="7"/>
  <c r="CI240" i="7"/>
  <c r="CJ240" i="7"/>
  <c r="CK240" i="7"/>
  <c r="CM240" i="7"/>
  <c r="CN240" i="7"/>
  <c r="CO240" i="7"/>
  <c r="CP240" i="7"/>
  <c r="CQ240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CC241" i="7"/>
  <c r="CD241" i="7"/>
  <c r="CE241" i="7"/>
  <c r="CF241" i="7"/>
  <c r="CG241" i="7"/>
  <c r="CH241" i="7"/>
  <c r="CI241" i="7"/>
  <c r="CJ241" i="7"/>
  <c r="CK241" i="7"/>
  <c r="CM241" i="7"/>
  <c r="CN241" i="7"/>
  <c r="CO241" i="7"/>
  <c r="CP241" i="7"/>
  <c r="CQ241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CC242" i="7"/>
  <c r="CD242" i="7"/>
  <c r="CE242" i="7"/>
  <c r="CF242" i="7"/>
  <c r="CG242" i="7"/>
  <c r="CH242" i="7"/>
  <c r="CI242" i="7"/>
  <c r="CJ242" i="7"/>
  <c r="CK242" i="7"/>
  <c r="CM242" i="7"/>
  <c r="CN242" i="7"/>
  <c r="CO242" i="7"/>
  <c r="CP242" i="7"/>
  <c r="CQ242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CC243" i="7"/>
  <c r="CD243" i="7"/>
  <c r="CE243" i="7"/>
  <c r="CF243" i="7"/>
  <c r="CG243" i="7"/>
  <c r="CH243" i="7"/>
  <c r="CI243" i="7"/>
  <c r="CJ243" i="7"/>
  <c r="CK243" i="7"/>
  <c r="CM243" i="7"/>
  <c r="CN243" i="7"/>
  <c r="CO243" i="7"/>
  <c r="CP243" i="7"/>
  <c r="CQ243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CC244" i="7"/>
  <c r="CD244" i="7"/>
  <c r="CE244" i="7"/>
  <c r="CF244" i="7"/>
  <c r="CG244" i="7"/>
  <c r="CH244" i="7"/>
  <c r="CI244" i="7"/>
  <c r="CJ244" i="7"/>
  <c r="CK244" i="7"/>
  <c r="CM244" i="7"/>
  <c r="CN244" i="7"/>
  <c r="CO244" i="7"/>
  <c r="CP244" i="7"/>
  <c r="CQ244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CC245" i="7"/>
  <c r="CD245" i="7"/>
  <c r="CE245" i="7"/>
  <c r="CF245" i="7"/>
  <c r="CG245" i="7"/>
  <c r="CH245" i="7"/>
  <c r="CI245" i="7"/>
  <c r="CJ245" i="7"/>
  <c r="CK245" i="7"/>
  <c r="CM245" i="7"/>
  <c r="CN245" i="7"/>
  <c r="CO245" i="7"/>
  <c r="CP245" i="7"/>
  <c r="CQ245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CC246" i="7"/>
  <c r="CD246" i="7"/>
  <c r="CE246" i="7"/>
  <c r="CF246" i="7"/>
  <c r="CG246" i="7"/>
  <c r="CH246" i="7"/>
  <c r="CI246" i="7"/>
  <c r="CJ246" i="7"/>
  <c r="CK246" i="7"/>
  <c r="CM246" i="7"/>
  <c r="CN246" i="7"/>
  <c r="CO246" i="7"/>
  <c r="CP246" i="7"/>
  <c r="CQ246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CC247" i="7"/>
  <c r="CD247" i="7"/>
  <c r="CE247" i="7"/>
  <c r="CF247" i="7"/>
  <c r="CG247" i="7"/>
  <c r="CH247" i="7"/>
  <c r="CI247" i="7"/>
  <c r="CJ247" i="7"/>
  <c r="CK247" i="7"/>
  <c r="CM247" i="7"/>
  <c r="CN247" i="7"/>
  <c r="CO247" i="7"/>
  <c r="CP247" i="7"/>
  <c r="CQ247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CC248" i="7"/>
  <c r="CD248" i="7"/>
  <c r="CE248" i="7"/>
  <c r="CF248" i="7"/>
  <c r="CG248" i="7"/>
  <c r="CH248" i="7"/>
  <c r="CI248" i="7"/>
  <c r="CJ248" i="7"/>
  <c r="CK248" i="7"/>
  <c r="CM248" i="7"/>
  <c r="CN248" i="7"/>
  <c r="CO248" i="7"/>
  <c r="CP248" i="7"/>
  <c r="CQ248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CC249" i="7"/>
  <c r="CD249" i="7"/>
  <c r="CE249" i="7"/>
  <c r="CF249" i="7"/>
  <c r="CG249" i="7"/>
  <c r="CH249" i="7"/>
  <c r="CI249" i="7"/>
  <c r="CJ249" i="7"/>
  <c r="CK249" i="7"/>
  <c r="CM249" i="7"/>
  <c r="CN249" i="7"/>
  <c r="CO249" i="7"/>
  <c r="CP249" i="7"/>
  <c r="CQ249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CC250" i="7"/>
  <c r="CD250" i="7"/>
  <c r="CE250" i="7"/>
  <c r="CF250" i="7"/>
  <c r="CG250" i="7"/>
  <c r="CH250" i="7"/>
  <c r="CI250" i="7"/>
  <c r="CJ250" i="7"/>
  <c r="CK250" i="7"/>
  <c r="CM250" i="7"/>
  <c r="CN250" i="7"/>
  <c r="CO250" i="7"/>
  <c r="CP250" i="7"/>
  <c r="CQ250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CC251" i="7"/>
  <c r="CD251" i="7"/>
  <c r="CE251" i="7"/>
  <c r="CF251" i="7"/>
  <c r="CG251" i="7"/>
  <c r="CH251" i="7"/>
  <c r="CI251" i="7"/>
  <c r="CJ251" i="7"/>
  <c r="CK251" i="7"/>
  <c r="CM251" i="7"/>
  <c r="CN251" i="7"/>
  <c r="CO251" i="7"/>
  <c r="CP251" i="7"/>
  <c r="CQ251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CC252" i="7"/>
  <c r="CD252" i="7"/>
  <c r="CE252" i="7"/>
  <c r="CF252" i="7"/>
  <c r="CG252" i="7"/>
  <c r="CH252" i="7"/>
  <c r="CI252" i="7"/>
  <c r="CJ252" i="7"/>
  <c r="CK252" i="7"/>
  <c r="CM252" i="7"/>
  <c r="CN252" i="7"/>
  <c r="CO252" i="7"/>
  <c r="CP252" i="7"/>
  <c r="CQ252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CC253" i="7"/>
  <c r="CD253" i="7"/>
  <c r="CE253" i="7"/>
  <c r="CF253" i="7"/>
  <c r="CG253" i="7"/>
  <c r="CH253" i="7"/>
  <c r="CI253" i="7"/>
  <c r="CJ253" i="7"/>
  <c r="CK253" i="7"/>
  <c r="CM253" i="7"/>
  <c r="CN253" i="7"/>
  <c r="CO253" i="7"/>
  <c r="CP253" i="7"/>
  <c r="CQ253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CC254" i="7"/>
  <c r="CD254" i="7"/>
  <c r="CE254" i="7"/>
  <c r="CF254" i="7"/>
  <c r="CG254" i="7"/>
  <c r="CH254" i="7"/>
  <c r="CI254" i="7"/>
  <c r="CJ254" i="7"/>
  <c r="CK254" i="7"/>
  <c r="CM254" i="7"/>
  <c r="CN254" i="7"/>
  <c r="CO254" i="7"/>
  <c r="CP254" i="7"/>
  <c r="CQ254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CC255" i="7"/>
  <c r="CD255" i="7"/>
  <c r="CE255" i="7"/>
  <c r="CF255" i="7"/>
  <c r="CG255" i="7"/>
  <c r="CH255" i="7"/>
  <c r="CI255" i="7"/>
  <c r="CJ255" i="7"/>
  <c r="CK255" i="7"/>
  <c r="CM255" i="7"/>
  <c r="CN255" i="7"/>
  <c r="CO255" i="7"/>
  <c r="CP255" i="7"/>
  <c r="CQ255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CC256" i="7"/>
  <c r="CD256" i="7"/>
  <c r="CE256" i="7"/>
  <c r="CF256" i="7"/>
  <c r="CG256" i="7"/>
  <c r="CH256" i="7"/>
  <c r="CI256" i="7"/>
  <c r="CJ256" i="7"/>
  <c r="CK256" i="7"/>
  <c r="CM256" i="7"/>
  <c r="CN256" i="7"/>
  <c r="CO256" i="7"/>
  <c r="CP256" i="7"/>
  <c r="CQ256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CC257" i="7"/>
  <c r="CD257" i="7"/>
  <c r="CE257" i="7"/>
  <c r="CF257" i="7"/>
  <c r="CG257" i="7"/>
  <c r="CH257" i="7"/>
  <c r="CI257" i="7"/>
  <c r="CJ257" i="7"/>
  <c r="CK257" i="7"/>
  <c r="CM257" i="7"/>
  <c r="CN257" i="7"/>
  <c r="CO257" i="7"/>
  <c r="CP257" i="7"/>
  <c r="CQ257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CC258" i="7"/>
  <c r="CD258" i="7"/>
  <c r="CE258" i="7"/>
  <c r="CF258" i="7"/>
  <c r="CG258" i="7"/>
  <c r="CH258" i="7"/>
  <c r="CI258" i="7"/>
  <c r="CJ258" i="7"/>
  <c r="CK258" i="7"/>
  <c r="CM258" i="7"/>
  <c r="CN258" i="7"/>
  <c r="CO258" i="7"/>
  <c r="CP258" i="7"/>
  <c r="CQ258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CC259" i="7"/>
  <c r="CD259" i="7"/>
  <c r="CE259" i="7"/>
  <c r="CF259" i="7"/>
  <c r="CG259" i="7"/>
  <c r="CH259" i="7"/>
  <c r="CI259" i="7"/>
  <c r="CJ259" i="7"/>
  <c r="CK259" i="7"/>
  <c r="CM259" i="7"/>
  <c r="CN259" i="7"/>
  <c r="CO259" i="7"/>
  <c r="CP259" i="7"/>
  <c r="CQ259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CC260" i="7"/>
  <c r="CD260" i="7"/>
  <c r="CE260" i="7"/>
  <c r="CF260" i="7"/>
  <c r="CG260" i="7"/>
  <c r="CH260" i="7"/>
  <c r="CI260" i="7"/>
  <c r="CJ260" i="7"/>
  <c r="CK260" i="7"/>
  <c r="CM260" i="7"/>
  <c r="CN260" i="7"/>
  <c r="CO260" i="7"/>
  <c r="CP260" i="7"/>
  <c r="CQ260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CC261" i="7"/>
  <c r="CD261" i="7"/>
  <c r="CE261" i="7"/>
  <c r="CF261" i="7"/>
  <c r="CG261" i="7"/>
  <c r="CH261" i="7"/>
  <c r="CI261" i="7"/>
  <c r="CJ261" i="7"/>
  <c r="CK261" i="7"/>
  <c r="CM261" i="7"/>
  <c r="CN261" i="7"/>
  <c r="CO261" i="7"/>
  <c r="CP261" i="7"/>
  <c r="CQ261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CC262" i="7"/>
  <c r="CD262" i="7"/>
  <c r="CE262" i="7"/>
  <c r="CF262" i="7"/>
  <c r="CG262" i="7"/>
  <c r="CH262" i="7"/>
  <c r="CI262" i="7"/>
  <c r="CJ262" i="7"/>
  <c r="CK262" i="7"/>
  <c r="CM262" i="7"/>
  <c r="CN262" i="7"/>
  <c r="CO262" i="7"/>
  <c r="CP262" i="7"/>
  <c r="CQ262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CC263" i="7"/>
  <c r="CD263" i="7"/>
  <c r="CE263" i="7"/>
  <c r="CF263" i="7"/>
  <c r="CG263" i="7"/>
  <c r="CH263" i="7"/>
  <c r="CI263" i="7"/>
  <c r="CJ263" i="7"/>
  <c r="CK263" i="7"/>
  <c r="CM263" i="7"/>
  <c r="CN263" i="7"/>
  <c r="CO263" i="7"/>
  <c r="CP263" i="7"/>
  <c r="CQ263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CC264" i="7"/>
  <c r="CD264" i="7"/>
  <c r="CE264" i="7"/>
  <c r="CF264" i="7"/>
  <c r="CG264" i="7"/>
  <c r="CH264" i="7"/>
  <c r="CI264" i="7"/>
  <c r="CJ264" i="7"/>
  <c r="CK264" i="7"/>
  <c r="CM264" i="7"/>
  <c r="CN264" i="7"/>
  <c r="CO264" i="7"/>
  <c r="CP264" i="7"/>
  <c r="CQ264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CC265" i="7"/>
  <c r="CD265" i="7"/>
  <c r="CE265" i="7"/>
  <c r="CF265" i="7"/>
  <c r="CG265" i="7"/>
  <c r="CH265" i="7"/>
  <c r="CI265" i="7"/>
  <c r="CJ265" i="7"/>
  <c r="CK265" i="7"/>
  <c r="CM265" i="7"/>
  <c r="CN265" i="7"/>
  <c r="CO265" i="7"/>
  <c r="CP265" i="7"/>
  <c r="CQ265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CC266" i="7"/>
  <c r="CD266" i="7"/>
  <c r="CE266" i="7"/>
  <c r="CF266" i="7"/>
  <c r="CG266" i="7"/>
  <c r="CH266" i="7"/>
  <c r="CI266" i="7"/>
  <c r="CJ266" i="7"/>
  <c r="CK266" i="7"/>
  <c r="CM266" i="7"/>
  <c r="CN266" i="7"/>
  <c r="CO266" i="7"/>
  <c r="CP266" i="7"/>
  <c r="CQ266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CC267" i="7"/>
  <c r="CD267" i="7"/>
  <c r="CE267" i="7"/>
  <c r="CF267" i="7"/>
  <c r="CG267" i="7"/>
  <c r="CH267" i="7"/>
  <c r="CI267" i="7"/>
  <c r="CJ267" i="7"/>
  <c r="CK267" i="7"/>
  <c r="CM267" i="7"/>
  <c r="CN267" i="7"/>
  <c r="CO267" i="7"/>
  <c r="CP267" i="7"/>
  <c r="CQ267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CC268" i="7"/>
  <c r="CD268" i="7"/>
  <c r="CE268" i="7"/>
  <c r="CF268" i="7"/>
  <c r="CG268" i="7"/>
  <c r="CH268" i="7"/>
  <c r="CI268" i="7"/>
  <c r="CJ268" i="7"/>
  <c r="CK268" i="7"/>
  <c r="CM268" i="7"/>
  <c r="CN268" i="7"/>
  <c r="CO268" i="7"/>
  <c r="CP268" i="7"/>
  <c r="CQ268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CC269" i="7"/>
  <c r="CD269" i="7"/>
  <c r="CE269" i="7"/>
  <c r="CF269" i="7"/>
  <c r="CG269" i="7"/>
  <c r="CH269" i="7"/>
  <c r="CI269" i="7"/>
  <c r="CJ269" i="7"/>
  <c r="CK269" i="7"/>
  <c r="CM269" i="7"/>
  <c r="CN269" i="7"/>
  <c r="CO269" i="7"/>
  <c r="CP269" i="7"/>
  <c r="CQ269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CC270" i="7"/>
  <c r="CD270" i="7"/>
  <c r="CE270" i="7"/>
  <c r="CF270" i="7"/>
  <c r="CG270" i="7"/>
  <c r="CH270" i="7"/>
  <c r="CI270" i="7"/>
  <c r="CJ270" i="7"/>
  <c r="CK270" i="7"/>
  <c r="CM270" i="7"/>
  <c r="CN270" i="7"/>
  <c r="CO270" i="7"/>
  <c r="CP270" i="7"/>
  <c r="CQ270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CC271" i="7"/>
  <c r="CD271" i="7"/>
  <c r="CE271" i="7"/>
  <c r="CF271" i="7"/>
  <c r="CG271" i="7"/>
  <c r="CH271" i="7"/>
  <c r="CI271" i="7"/>
  <c r="CJ271" i="7"/>
  <c r="CK271" i="7"/>
  <c r="CM271" i="7"/>
  <c r="CN271" i="7"/>
  <c r="CO271" i="7"/>
  <c r="CP271" i="7"/>
  <c r="CQ271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CC272" i="7"/>
  <c r="CD272" i="7"/>
  <c r="CE272" i="7"/>
  <c r="CF272" i="7"/>
  <c r="CG272" i="7"/>
  <c r="CH272" i="7"/>
  <c r="CI272" i="7"/>
  <c r="CJ272" i="7"/>
  <c r="CK272" i="7"/>
  <c r="CM272" i="7"/>
  <c r="CN272" i="7"/>
  <c r="CO272" i="7"/>
  <c r="CP272" i="7"/>
  <c r="CQ272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CC273" i="7"/>
  <c r="CD273" i="7"/>
  <c r="CE273" i="7"/>
  <c r="CF273" i="7"/>
  <c r="CG273" i="7"/>
  <c r="CH273" i="7"/>
  <c r="CI273" i="7"/>
  <c r="CJ273" i="7"/>
  <c r="CK273" i="7"/>
  <c r="CM273" i="7"/>
  <c r="CN273" i="7"/>
  <c r="CO273" i="7"/>
  <c r="CP273" i="7"/>
  <c r="CQ273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CC274" i="7"/>
  <c r="CD274" i="7"/>
  <c r="CE274" i="7"/>
  <c r="CF274" i="7"/>
  <c r="CG274" i="7"/>
  <c r="CH274" i="7"/>
  <c r="CI274" i="7"/>
  <c r="CJ274" i="7"/>
  <c r="CK274" i="7"/>
  <c r="CM274" i="7"/>
  <c r="CN274" i="7"/>
  <c r="CO274" i="7"/>
  <c r="CP274" i="7"/>
  <c r="CQ274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CC275" i="7"/>
  <c r="CD275" i="7"/>
  <c r="CE275" i="7"/>
  <c r="CF275" i="7"/>
  <c r="CG275" i="7"/>
  <c r="CH275" i="7"/>
  <c r="CI275" i="7"/>
  <c r="CJ275" i="7"/>
  <c r="CK275" i="7"/>
  <c r="CM275" i="7"/>
  <c r="CN275" i="7"/>
  <c r="CO275" i="7"/>
  <c r="CP275" i="7"/>
  <c r="CQ275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CC276" i="7"/>
  <c r="CD276" i="7"/>
  <c r="CE276" i="7"/>
  <c r="CF276" i="7"/>
  <c r="CG276" i="7"/>
  <c r="CH276" i="7"/>
  <c r="CI276" i="7"/>
  <c r="CJ276" i="7"/>
  <c r="CK276" i="7"/>
  <c r="CM276" i="7"/>
  <c r="CN276" i="7"/>
  <c r="CO276" i="7"/>
  <c r="CP276" i="7"/>
  <c r="CQ276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CC277" i="7"/>
  <c r="CD277" i="7"/>
  <c r="CE277" i="7"/>
  <c r="CF277" i="7"/>
  <c r="CG277" i="7"/>
  <c r="CH277" i="7"/>
  <c r="CI277" i="7"/>
  <c r="CJ277" i="7"/>
  <c r="CK277" i="7"/>
  <c r="CM277" i="7"/>
  <c r="CN277" i="7"/>
  <c r="CO277" i="7"/>
  <c r="CP277" i="7"/>
  <c r="CQ277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CC278" i="7"/>
  <c r="CD278" i="7"/>
  <c r="CE278" i="7"/>
  <c r="CF278" i="7"/>
  <c r="CG278" i="7"/>
  <c r="CH278" i="7"/>
  <c r="CI278" i="7"/>
  <c r="CJ278" i="7"/>
  <c r="CK278" i="7"/>
  <c r="CM278" i="7"/>
  <c r="CN278" i="7"/>
  <c r="CO278" i="7"/>
  <c r="CP278" i="7"/>
  <c r="CQ278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CC279" i="7"/>
  <c r="CD279" i="7"/>
  <c r="CE279" i="7"/>
  <c r="CF279" i="7"/>
  <c r="CG279" i="7"/>
  <c r="CH279" i="7"/>
  <c r="CI279" i="7"/>
  <c r="CJ279" i="7"/>
  <c r="CK279" i="7"/>
  <c r="CM279" i="7"/>
  <c r="CN279" i="7"/>
  <c r="CO279" i="7"/>
  <c r="CP279" i="7"/>
  <c r="CQ279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CC280" i="7"/>
  <c r="CD280" i="7"/>
  <c r="CE280" i="7"/>
  <c r="CF280" i="7"/>
  <c r="CG280" i="7"/>
  <c r="CH280" i="7"/>
  <c r="CI280" i="7"/>
  <c r="CJ280" i="7"/>
  <c r="CK280" i="7"/>
  <c r="CM280" i="7"/>
  <c r="CN280" i="7"/>
  <c r="CO280" i="7"/>
  <c r="CP280" i="7"/>
  <c r="CQ280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CC281" i="7"/>
  <c r="CD281" i="7"/>
  <c r="CE281" i="7"/>
  <c r="CF281" i="7"/>
  <c r="CG281" i="7"/>
  <c r="CH281" i="7"/>
  <c r="CI281" i="7"/>
  <c r="CJ281" i="7"/>
  <c r="CK281" i="7"/>
  <c r="CM281" i="7"/>
  <c r="CN281" i="7"/>
  <c r="CO281" i="7"/>
  <c r="CP281" i="7"/>
  <c r="CQ281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CC282" i="7"/>
  <c r="CD282" i="7"/>
  <c r="CE282" i="7"/>
  <c r="CF282" i="7"/>
  <c r="CG282" i="7"/>
  <c r="CH282" i="7"/>
  <c r="CI282" i="7"/>
  <c r="CJ282" i="7"/>
  <c r="CK282" i="7"/>
  <c r="CM282" i="7"/>
  <c r="CN282" i="7"/>
  <c r="CO282" i="7"/>
  <c r="CP282" i="7"/>
  <c r="CQ282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CC283" i="7"/>
  <c r="CD283" i="7"/>
  <c r="CE283" i="7"/>
  <c r="CF283" i="7"/>
  <c r="CG283" i="7"/>
  <c r="CH283" i="7"/>
  <c r="CI283" i="7"/>
  <c r="CJ283" i="7"/>
  <c r="CK283" i="7"/>
  <c r="CM283" i="7"/>
  <c r="CN283" i="7"/>
  <c r="CO283" i="7"/>
  <c r="CP283" i="7"/>
  <c r="CQ283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CC284" i="7"/>
  <c r="CD284" i="7"/>
  <c r="CE284" i="7"/>
  <c r="CF284" i="7"/>
  <c r="CG284" i="7"/>
  <c r="CH284" i="7"/>
  <c r="CI284" i="7"/>
  <c r="CJ284" i="7"/>
  <c r="CK284" i="7"/>
  <c r="CM284" i="7"/>
  <c r="CN284" i="7"/>
  <c r="CO284" i="7"/>
  <c r="CP284" i="7"/>
  <c r="CQ284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CC285" i="7"/>
  <c r="CD285" i="7"/>
  <c r="CE285" i="7"/>
  <c r="CF285" i="7"/>
  <c r="CG285" i="7"/>
  <c r="CH285" i="7"/>
  <c r="CI285" i="7"/>
  <c r="CJ285" i="7"/>
  <c r="CK285" i="7"/>
  <c r="CM285" i="7"/>
  <c r="CN285" i="7"/>
  <c r="CO285" i="7"/>
  <c r="CP285" i="7"/>
  <c r="CQ285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CC286" i="7"/>
  <c r="CD286" i="7"/>
  <c r="CE286" i="7"/>
  <c r="CF286" i="7"/>
  <c r="CG286" i="7"/>
  <c r="CH286" i="7"/>
  <c r="CI286" i="7"/>
  <c r="CJ286" i="7"/>
  <c r="CK286" i="7"/>
  <c r="CM286" i="7"/>
  <c r="CN286" i="7"/>
  <c r="CO286" i="7"/>
  <c r="CP286" i="7"/>
  <c r="CQ286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CC287" i="7"/>
  <c r="CD287" i="7"/>
  <c r="CE287" i="7"/>
  <c r="CF287" i="7"/>
  <c r="CG287" i="7"/>
  <c r="CH287" i="7"/>
  <c r="CI287" i="7"/>
  <c r="CJ287" i="7"/>
  <c r="CK287" i="7"/>
  <c r="CM287" i="7"/>
  <c r="CN287" i="7"/>
  <c r="CO287" i="7"/>
  <c r="CP287" i="7"/>
  <c r="CQ287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CC288" i="7"/>
  <c r="CD288" i="7"/>
  <c r="CE288" i="7"/>
  <c r="CF288" i="7"/>
  <c r="CG288" i="7"/>
  <c r="CH288" i="7"/>
  <c r="CI288" i="7"/>
  <c r="CJ288" i="7"/>
  <c r="CK288" i="7"/>
  <c r="CM288" i="7"/>
  <c r="CN288" i="7"/>
  <c r="CO288" i="7"/>
  <c r="CP288" i="7"/>
  <c r="CQ288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CC289" i="7"/>
  <c r="CD289" i="7"/>
  <c r="CE289" i="7"/>
  <c r="CF289" i="7"/>
  <c r="CG289" i="7"/>
  <c r="CH289" i="7"/>
  <c r="CI289" i="7"/>
  <c r="CJ289" i="7"/>
  <c r="CK289" i="7"/>
  <c r="CM289" i="7"/>
  <c r="CN289" i="7"/>
  <c r="CO289" i="7"/>
  <c r="CP289" i="7"/>
  <c r="CQ289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CC290" i="7"/>
  <c r="CD290" i="7"/>
  <c r="CE290" i="7"/>
  <c r="CF290" i="7"/>
  <c r="CG290" i="7"/>
  <c r="CH290" i="7"/>
  <c r="CI290" i="7"/>
  <c r="CJ290" i="7"/>
  <c r="CK290" i="7"/>
  <c r="CM290" i="7"/>
  <c r="CN290" i="7"/>
  <c r="CO290" i="7"/>
  <c r="CP290" i="7"/>
  <c r="CQ290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CC291" i="7"/>
  <c r="CD291" i="7"/>
  <c r="CE291" i="7"/>
  <c r="CF291" i="7"/>
  <c r="CG291" i="7"/>
  <c r="CH291" i="7"/>
  <c r="CI291" i="7"/>
  <c r="CJ291" i="7"/>
  <c r="CK291" i="7"/>
  <c r="CM291" i="7"/>
  <c r="CN291" i="7"/>
  <c r="CO291" i="7"/>
  <c r="CP291" i="7"/>
  <c r="CQ291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CC292" i="7"/>
  <c r="CD292" i="7"/>
  <c r="CE292" i="7"/>
  <c r="CF292" i="7"/>
  <c r="CG292" i="7"/>
  <c r="CH292" i="7"/>
  <c r="CI292" i="7"/>
  <c r="CJ292" i="7"/>
  <c r="CK292" i="7"/>
  <c r="CM292" i="7"/>
  <c r="CN292" i="7"/>
  <c r="CO292" i="7"/>
  <c r="CP292" i="7"/>
  <c r="CQ292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CC293" i="7"/>
  <c r="CD293" i="7"/>
  <c r="CE293" i="7"/>
  <c r="CF293" i="7"/>
  <c r="CG293" i="7"/>
  <c r="CH293" i="7"/>
  <c r="CI293" i="7"/>
  <c r="CJ293" i="7"/>
  <c r="CK293" i="7"/>
  <c r="CM293" i="7"/>
  <c r="CN293" i="7"/>
  <c r="CO293" i="7"/>
  <c r="CP293" i="7"/>
  <c r="CQ293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CC294" i="7"/>
  <c r="CD294" i="7"/>
  <c r="CE294" i="7"/>
  <c r="CF294" i="7"/>
  <c r="CG294" i="7"/>
  <c r="CH294" i="7"/>
  <c r="CI294" i="7"/>
  <c r="CJ294" i="7"/>
  <c r="CK294" i="7"/>
  <c r="CM294" i="7"/>
  <c r="CN294" i="7"/>
  <c r="CO294" i="7"/>
  <c r="CP294" i="7"/>
  <c r="CQ294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CC295" i="7"/>
  <c r="CD295" i="7"/>
  <c r="CE295" i="7"/>
  <c r="CF295" i="7"/>
  <c r="CG295" i="7"/>
  <c r="CH295" i="7"/>
  <c r="CI295" i="7"/>
  <c r="CJ295" i="7"/>
  <c r="CK295" i="7"/>
  <c r="CM295" i="7"/>
  <c r="CN295" i="7"/>
  <c r="CO295" i="7"/>
  <c r="CP295" i="7"/>
  <c r="CQ295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CC296" i="7"/>
  <c r="CD296" i="7"/>
  <c r="CE296" i="7"/>
  <c r="CF296" i="7"/>
  <c r="CG296" i="7"/>
  <c r="CH296" i="7"/>
  <c r="CI296" i="7"/>
  <c r="CJ296" i="7"/>
  <c r="CK296" i="7"/>
  <c r="CM296" i="7"/>
  <c r="CN296" i="7"/>
  <c r="CO296" i="7"/>
  <c r="CP296" i="7"/>
  <c r="CQ296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CC297" i="7"/>
  <c r="CD297" i="7"/>
  <c r="CE297" i="7"/>
  <c r="CF297" i="7"/>
  <c r="CG297" i="7"/>
  <c r="CH297" i="7"/>
  <c r="CI297" i="7"/>
  <c r="CJ297" i="7"/>
  <c r="CK297" i="7"/>
  <c r="CM297" i="7"/>
  <c r="CN297" i="7"/>
  <c r="CO297" i="7"/>
  <c r="CP297" i="7"/>
  <c r="CQ297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CC298" i="7"/>
  <c r="CD298" i="7"/>
  <c r="CE298" i="7"/>
  <c r="CF298" i="7"/>
  <c r="CG298" i="7"/>
  <c r="CH298" i="7"/>
  <c r="CI298" i="7"/>
  <c r="CJ298" i="7"/>
  <c r="CK298" i="7"/>
  <c r="CM298" i="7"/>
  <c r="CN298" i="7"/>
  <c r="CO298" i="7"/>
  <c r="CP298" i="7"/>
  <c r="CQ298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CC299" i="7"/>
  <c r="CD299" i="7"/>
  <c r="CE299" i="7"/>
  <c r="CF299" i="7"/>
  <c r="CG299" i="7"/>
  <c r="CH299" i="7"/>
  <c r="CI299" i="7"/>
  <c r="CJ299" i="7"/>
  <c r="CK299" i="7"/>
  <c r="CM299" i="7"/>
  <c r="CN299" i="7"/>
  <c r="CO299" i="7"/>
  <c r="CP299" i="7"/>
  <c r="CQ299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CC300" i="7"/>
  <c r="CD300" i="7"/>
  <c r="CE300" i="7"/>
  <c r="CF300" i="7"/>
  <c r="CG300" i="7"/>
  <c r="CH300" i="7"/>
  <c r="CI300" i="7"/>
  <c r="CJ300" i="7"/>
  <c r="CK300" i="7"/>
  <c r="CM300" i="7"/>
  <c r="CN300" i="7"/>
  <c r="CO300" i="7"/>
  <c r="CP300" i="7"/>
  <c r="CQ300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CC301" i="7"/>
  <c r="CD301" i="7"/>
  <c r="CE301" i="7"/>
  <c r="CF301" i="7"/>
  <c r="CG301" i="7"/>
  <c r="CH301" i="7"/>
  <c r="CI301" i="7"/>
  <c r="CJ301" i="7"/>
  <c r="CK301" i="7"/>
  <c r="CM301" i="7"/>
  <c r="CN301" i="7"/>
  <c r="CO301" i="7"/>
  <c r="CP301" i="7"/>
  <c r="CQ301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CC302" i="7"/>
  <c r="CD302" i="7"/>
  <c r="CE302" i="7"/>
  <c r="CF302" i="7"/>
  <c r="CG302" i="7"/>
  <c r="CH302" i="7"/>
  <c r="CI302" i="7"/>
  <c r="CJ302" i="7"/>
  <c r="CK302" i="7"/>
  <c r="CM302" i="7"/>
  <c r="CN302" i="7"/>
  <c r="CO302" i="7"/>
  <c r="CP302" i="7"/>
  <c r="CQ302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CC303" i="7"/>
  <c r="CD303" i="7"/>
  <c r="CE303" i="7"/>
  <c r="CF303" i="7"/>
  <c r="CG303" i="7"/>
  <c r="CH303" i="7"/>
  <c r="CI303" i="7"/>
  <c r="CJ303" i="7"/>
  <c r="CK303" i="7"/>
  <c r="CM303" i="7"/>
  <c r="CN303" i="7"/>
  <c r="CO303" i="7"/>
  <c r="CP303" i="7"/>
  <c r="CQ303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CC304" i="7"/>
  <c r="CD304" i="7"/>
  <c r="CE304" i="7"/>
  <c r="CF304" i="7"/>
  <c r="CG304" i="7"/>
  <c r="CH304" i="7"/>
  <c r="CI304" i="7"/>
  <c r="CJ304" i="7"/>
  <c r="CK304" i="7"/>
  <c r="CM304" i="7"/>
  <c r="CN304" i="7"/>
  <c r="CO304" i="7"/>
  <c r="CP304" i="7"/>
  <c r="CQ304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CC305" i="7"/>
  <c r="CD305" i="7"/>
  <c r="CE305" i="7"/>
  <c r="CF305" i="7"/>
  <c r="CG305" i="7"/>
  <c r="CH305" i="7"/>
  <c r="CI305" i="7"/>
  <c r="CJ305" i="7"/>
  <c r="CK305" i="7"/>
  <c r="CM305" i="7"/>
  <c r="CN305" i="7"/>
  <c r="CO305" i="7"/>
  <c r="CP305" i="7"/>
  <c r="CQ305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CC306" i="7"/>
  <c r="CD306" i="7"/>
  <c r="CE306" i="7"/>
  <c r="CF306" i="7"/>
  <c r="CG306" i="7"/>
  <c r="CH306" i="7"/>
  <c r="CI306" i="7"/>
  <c r="CJ306" i="7"/>
  <c r="CK306" i="7"/>
  <c r="CM306" i="7"/>
  <c r="CN306" i="7"/>
  <c r="CO306" i="7"/>
  <c r="CP306" i="7"/>
  <c r="CQ306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CC307" i="7"/>
  <c r="CD307" i="7"/>
  <c r="CE307" i="7"/>
  <c r="CF307" i="7"/>
  <c r="CG307" i="7"/>
  <c r="CH307" i="7"/>
  <c r="CI307" i="7"/>
  <c r="CJ307" i="7"/>
  <c r="CK307" i="7"/>
  <c r="CM307" i="7"/>
  <c r="CN307" i="7"/>
  <c r="CO307" i="7"/>
  <c r="CP307" i="7"/>
  <c r="CQ307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CC308" i="7"/>
  <c r="CD308" i="7"/>
  <c r="CE308" i="7"/>
  <c r="CF308" i="7"/>
  <c r="CG308" i="7"/>
  <c r="CH308" i="7"/>
  <c r="CI308" i="7"/>
  <c r="CJ308" i="7"/>
  <c r="CK308" i="7"/>
  <c r="CM308" i="7"/>
  <c r="CN308" i="7"/>
  <c r="CO308" i="7"/>
  <c r="CP308" i="7"/>
  <c r="CQ308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CC309" i="7"/>
  <c r="CD309" i="7"/>
  <c r="CE309" i="7"/>
  <c r="CF309" i="7"/>
  <c r="CG309" i="7"/>
  <c r="CH309" i="7"/>
  <c r="CI309" i="7"/>
  <c r="CJ309" i="7"/>
  <c r="CK309" i="7"/>
  <c r="CM309" i="7"/>
  <c r="CN309" i="7"/>
  <c r="CO309" i="7"/>
  <c r="CP309" i="7"/>
  <c r="CQ309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CC310" i="7"/>
  <c r="CD310" i="7"/>
  <c r="CE310" i="7"/>
  <c r="CF310" i="7"/>
  <c r="CG310" i="7"/>
  <c r="CH310" i="7"/>
  <c r="CI310" i="7"/>
  <c r="CJ310" i="7"/>
  <c r="CK310" i="7"/>
  <c r="CM310" i="7"/>
  <c r="CN310" i="7"/>
  <c r="CO310" i="7"/>
  <c r="CP310" i="7"/>
  <c r="CQ310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CC311" i="7"/>
  <c r="CD311" i="7"/>
  <c r="CE311" i="7"/>
  <c r="CF311" i="7"/>
  <c r="CG311" i="7"/>
  <c r="CH311" i="7"/>
  <c r="CI311" i="7"/>
  <c r="CJ311" i="7"/>
  <c r="CK311" i="7"/>
  <c r="CM311" i="7"/>
  <c r="CN311" i="7"/>
  <c r="CO311" i="7"/>
  <c r="CP311" i="7"/>
  <c r="CQ311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CC312" i="7"/>
  <c r="CD312" i="7"/>
  <c r="CE312" i="7"/>
  <c r="CF312" i="7"/>
  <c r="CG312" i="7"/>
  <c r="CH312" i="7"/>
  <c r="CI312" i="7"/>
  <c r="CJ312" i="7"/>
  <c r="CK312" i="7"/>
  <c r="CM312" i="7"/>
  <c r="CN312" i="7"/>
  <c r="CO312" i="7"/>
  <c r="CP312" i="7"/>
  <c r="CQ312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CC313" i="7"/>
  <c r="CD313" i="7"/>
  <c r="CE313" i="7"/>
  <c r="CF313" i="7"/>
  <c r="CG313" i="7"/>
  <c r="CH313" i="7"/>
  <c r="CI313" i="7"/>
  <c r="CJ313" i="7"/>
  <c r="CK313" i="7"/>
  <c r="CM313" i="7"/>
  <c r="CN313" i="7"/>
  <c r="CO313" i="7"/>
  <c r="CP313" i="7"/>
  <c r="CQ313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CC314" i="7"/>
  <c r="CD314" i="7"/>
  <c r="CE314" i="7"/>
  <c r="CF314" i="7"/>
  <c r="CG314" i="7"/>
  <c r="CH314" i="7"/>
  <c r="CI314" i="7"/>
  <c r="CJ314" i="7"/>
  <c r="CK314" i="7"/>
  <c r="CM314" i="7"/>
  <c r="CN314" i="7"/>
  <c r="CO314" i="7"/>
  <c r="CP314" i="7"/>
  <c r="CQ314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CC315" i="7"/>
  <c r="CD315" i="7"/>
  <c r="CE315" i="7"/>
  <c r="CF315" i="7"/>
  <c r="CG315" i="7"/>
  <c r="CH315" i="7"/>
  <c r="CI315" i="7"/>
  <c r="CJ315" i="7"/>
  <c r="CK315" i="7"/>
  <c r="CM315" i="7"/>
  <c r="CN315" i="7"/>
  <c r="CO315" i="7"/>
  <c r="CP315" i="7"/>
  <c r="CQ315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CC316" i="7"/>
  <c r="CD316" i="7"/>
  <c r="CE316" i="7"/>
  <c r="CF316" i="7"/>
  <c r="CG316" i="7"/>
  <c r="CH316" i="7"/>
  <c r="CI316" i="7"/>
  <c r="CJ316" i="7"/>
  <c r="CK316" i="7"/>
  <c r="CM316" i="7"/>
  <c r="CN316" i="7"/>
  <c r="CO316" i="7"/>
  <c r="CP316" i="7"/>
  <c r="CQ316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CC317" i="7"/>
  <c r="CD317" i="7"/>
  <c r="CE317" i="7"/>
  <c r="CF317" i="7"/>
  <c r="CG317" i="7"/>
  <c r="CH317" i="7"/>
  <c r="CI317" i="7"/>
  <c r="CJ317" i="7"/>
  <c r="CK317" i="7"/>
  <c r="CM317" i="7"/>
  <c r="CN317" i="7"/>
  <c r="CO317" i="7"/>
  <c r="CP317" i="7"/>
  <c r="CQ317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CC318" i="7"/>
  <c r="CD318" i="7"/>
  <c r="CE318" i="7"/>
  <c r="CF318" i="7"/>
  <c r="CG318" i="7"/>
  <c r="CH318" i="7"/>
  <c r="CI318" i="7"/>
  <c r="CJ318" i="7"/>
  <c r="CK318" i="7"/>
  <c r="CM318" i="7"/>
  <c r="CN318" i="7"/>
  <c r="CO318" i="7"/>
  <c r="CP318" i="7"/>
  <c r="CQ318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CC319" i="7"/>
  <c r="CD319" i="7"/>
  <c r="CE319" i="7"/>
  <c r="CF319" i="7"/>
  <c r="CG319" i="7"/>
  <c r="CH319" i="7"/>
  <c r="CI319" i="7"/>
  <c r="CJ319" i="7"/>
  <c r="CK319" i="7"/>
  <c r="CM319" i="7"/>
  <c r="CN319" i="7"/>
  <c r="CO319" i="7"/>
  <c r="CP319" i="7"/>
  <c r="CQ319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CC320" i="7"/>
  <c r="CD320" i="7"/>
  <c r="CE320" i="7"/>
  <c r="CF320" i="7"/>
  <c r="CG320" i="7"/>
  <c r="CH320" i="7"/>
  <c r="CI320" i="7"/>
  <c r="CJ320" i="7"/>
  <c r="CK320" i="7"/>
  <c r="CM320" i="7"/>
  <c r="CN320" i="7"/>
  <c r="CO320" i="7"/>
  <c r="CP320" i="7"/>
  <c r="CQ320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CC321" i="7"/>
  <c r="CD321" i="7"/>
  <c r="CE321" i="7"/>
  <c r="CF321" i="7"/>
  <c r="CG321" i="7"/>
  <c r="CH321" i="7"/>
  <c r="CI321" i="7"/>
  <c r="CJ321" i="7"/>
  <c r="CK321" i="7"/>
  <c r="CM321" i="7"/>
  <c r="CN321" i="7"/>
  <c r="CO321" i="7"/>
  <c r="CP321" i="7"/>
  <c r="CQ321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CC322" i="7"/>
  <c r="CD322" i="7"/>
  <c r="CE322" i="7"/>
  <c r="CF322" i="7"/>
  <c r="CG322" i="7"/>
  <c r="CH322" i="7"/>
  <c r="CI322" i="7"/>
  <c r="CJ322" i="7"/>
  <c r="CK322" i="7"/>
  <c r="CM322" i="7"/>
  <c r="CN322" i="7"/>
  <c r="CO322" i="7"/>
  <c r="CP322" i="7"/>
  <c r="CQ322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CC323" i="7"/>
  <c r="CD323" i="7"/>
  <c r="CE323" i="7"/>
  <c r="CF323" i="7"/>
  <c r="CG323" i="7"/>
  <c r="CH323" i="7"/>
  <c r="CI323" i="7"/>
  <c r="CJ323" i="7"/>
  <c r="CK323" i="7"/>
  <c r="CM323" i="7"/>
  <c r="CN323" i="7"/>
  <c r="CO323" i="7"/>
  <c r="CP323" i="7"/>
  <c r="CQ323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CC324" i="7"/>
  <c r="CD324" i="7"/>
  <c r="CE324" i="7"/>
  <c r="CF324" i="7"/>
  <c r="CG324" i="7"/>
  <c r="CH324" i="7"/>
  <c r="CI324" i="7"/>
  <c r="CJ324" i="7"/>
  <c r="CK324" i="7"/>
  <c r="CM324" i="7"/>
  <c r="CN324" i="7"/>
  <c r="CO324" i="7"/>
  <c r="CP324" i="7"/>
  <c r="CQ324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CC325" i="7"/>
  <c r="CD325" i="7"/>
  <c r="CE325" i="7"/>
  <c r="CF325" i="7"/>
  <c r="CG325" i="7"/>
  <c r="CH325" i="7"/>
  <c r="CI325" i="7"/>
  <c r="CJ325" i="7"/>
  <c r="CK325" i="7"/>
  <c r="CM325" i="7"/>
  <c r="CN325" i="7"/>
  <c r="CO325" i="7"/>
  <c r="CP325" i="7"/>
  <c r="CQ325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CC326" i="7"/>
  <c r="CD326" i="7"/>
  <c r="CE326" i="7"/>
  <c r="CF326" i="7"/>
  <c r="CG326" i="7"/>
  <c r="CH326" i="7"/>
  <c r="CI326" i="7"/>
  <c r="CJ326" i="7"/>
  <c r="CK326" i="7"/>
  <c r="CM326" i="7"/>
  <c r="CN326" i="7"/>
  <c r="CO326" i="7"/>
  <c r="CP326" i="7"/>
  <c r="CQ326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CC327" i="7"/>
  <c r="CD327" i="7"/>
  <c r="CE327" i="7"/>
  <c r="CF327" i="7"/>
  <c r="CG327" i="7"/>
  <c r="CH327" i="7"/>
  <c r="CI327" i="7"/>
  <c r="CJ327" i="7"/>
  <c r="CK327" i="7"/>
  <c r="CM327" i="7"/>
  <c r="CN327" i="7"/>
  <c r="CO327" i="7"/>
  <c r="CP327" i="7"/>
  <c r="CQ327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CC328" i="7"/>
  <c r="CD328" i="7"/>
  <c r="CE328" i="7"/>
  <c r="CF328" i="7"/>
  <c r="CG328" i="7"/>
  <c r="CH328" i="7"/>
  <c r="CI328" i="7"/>
  <c r="CJ328" i="7"/>
  <c r="CK328" i="7"/>
  <c r="CM328" i="7"/>
  <c r="CN328" i="7"/>
  <c r="CO328" i="7"/>
  <c r="CP328" i="7"/>
  <c r="CQ328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CC329" i="7"/>
  <c r="CD329" i="7"/>
  <c r="CE329" i="7"/>
  <c r="CF329" i="7"/>
  <c r="CG329" i="7"/>
  <c r="CH329" i="7"/>
  <c r="CI329" i="7"/>
  <c r="CJ329" i="7"/>
  <c r="CK329" i="7"/>
  <c r="CM329" i="7"/>
  <c r="CN329" i="7"/>
  <c r="CO329" i="7"/>
  <c r="CP329" i="7"/>
  <c r="CQ329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CC330" i="7"/>
  <c r="CD330" i="7"/>
  <c r="CE330" i="7"/>
  <c r="CF330" i="7"/>
  <c r="CG330" i="7"/>
  <c r="CH330" i="7"/>
  <c r="CI330" i="7"/>
  <c r="CJ330" i="7"/>
  <c r="CK330" i="7"/>
  <c r="CM330" i="7"/>
  <c r="CN330" i="7"/>
  <c r="CO330" i="7"/>
  <c r="CP330" i="7"/>
  <c r="CQ330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CC331" i="7"/>
  <c r="CD331" i="7"/>
  <c r="CE331" i="7"/>
  <c r="CF331" i="7"/>
  <c r="CG331" i="7"/>
  <c r="CH331" i="7"/>
  <c r="CI331" i="7"/>
  <c r="CJ331" i="7"/>
  <c r="CK331" i="7"/>
  <c r="CM331" i="7"/>
  <c r="CN331" i="7"/>
  <c r="CO331" i="7"/>
  <c r="CP331" i="7"/>
  <c r="CQ331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CC332" i="7"/>
  <c r="CD332" i="7"/>
  <c r="CE332" i="7"/>
  <c r="CF332" i="7"/>
  <c r="CG332" i="7"/>
  <c r="CH332" i="7"/>
  <c r="CI332" i="7"/>
  <c r="CJ332" i="7"/>
  <c r="CK332" i="7"/>
  <c r="CM332" i="7"/>
  <c r="CN332" i="7"/>
  <c r="CO332" i="7"/>
  <c r="CP332" i="7"/>
  <c r="CQ332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CC333" i="7"/>
  <c r="CD333" i="7"/>
  <c r="CE333" i="7"/>
  <c r="CF333" i="7"/>
  <c r="CG333" i="7"/>
  <c r="CH333" i="7"/>
  <c r="CI333" i="7"/>
  <c r="CJ333" i="7"/>
  <c r="CK333" i="7"/>
  <c r="CM333" i="7"/>
  <c r="CN333" i="7"/>
  <c r="CO333" i="7"/>
  <c r="CP333" i="7"/>
  <c r="CQ333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CC334" i="7"/>
  <c r="CD334" i="7"/>
  <c r="CE334" i="7"/>
  <c r="CF334" i="7"/>
  <c r="CG334" i="7"/>
  <c r="CH334" i="7"/>
  <c r="CI334" i="7"/>
  <c r="CJ334" i="7"/>
  <c r="CK334" i="7"/>
  <c r="CM334" i="7"/>
  <c r="CN334" i="7"/>
  <c r="CO334" i="7"/>
  <c r="CP334" i="7"/>
  <c r="CQ334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CC335" i="7"/>
  <c r="CD335" i="7"/>
  <c r="CE335" i="7"/>
  <c r="CF335" i="7"/>
  <c r="CG335" i="7"/>
  <c r="CH335" i="7"/>
  <c r="CI335" i="7"/>
  <c r="CJ335" i="7"/>
  <c r="CK335" i="7"/>
  <c r="CM335" i="7"/>
  <c r="CN335" i="7"/>
  <c r="CO335" i="7"/>
  <c r="CP335" i="7"/>
  <c r="CQ335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CC336" i="7"/>
  <c r="CD336" i="7"/>
  <c r="CE336" i="7"/>
  <c r="CF336" i="7"/>
  <c r="CG336" i="7"/>
  <c r="CH336" i="7"/>
  <c r="CI336" i="7"/>
  <c r="CJ336" i="7"/>
  <c r="CK336" i="7"/>
  <c r="CM336" i="7"/>
  <c r="CN336" i="7"/>
  <c r="CO336" i="7"/>
  <c r="CP336" i="7"/>
  <c r="CQ336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CC337" i="7"/>
  <c r="CD337" i="7"/>
  <c r="CE337" i="7"/>
  <c r="CF337" i="7"/>
  <c r="CG337" i="7"/>
  <c r="CH337" i="7"/>
  <c r="CI337" i="7"/>
  <c r="CJ337" i="7"/>
  <c r="CK337" i="7"/>
  <c r="CM337" i="7"/>
  <c r="CN337" i="7"/>
  <c r="CO337" i="7"/>
  <c r="CP337" i="7"/>
  <c r="CQ337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CC338" i="7"/>
  <c r="CD338" i="7"/>
  <c r="CE338" i="7"/>
  <c r="CF338" i="7"/>
  <c r="CG338" i="7"/>
  <c r="CH338" i="7"/>
  <c r="CI338" i="7"/>
  <c r="CJ338" i="7"/>
  <c r="CK338" i="7"/>
  <c r="CM338" i="7"/>
  <c r="CN338" i="7"/>
  <c r="CO338" i="7"/>
  <c r="CP338" i="7"/>
  <c r="CQ338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CC339" i="7"/>
  <c r="CD339" i="7"/>
  <c r="CE339" i="7"/>
  <c r="CF339" i="7"/>
  <c r="CG339" i="7"/>
  <c r="CH339" i="7"/>
  <c r="CI339" i="7"/>
  <c r="CJ339" i="7"/>
  <c r="CK339" i="7"/>
  <c r="CM339" i="7"/>
  <c r="CN339" i="7"/>
  <c r="CO339" i="7"/>
  <c r="CP339" i="7"/>
  <c r="CQ339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CC340" i="7"/>
  <c r="CD340" i="7"/>
  <c r="CE340" i="7"/>
  <c r="CF340" i="7"/>
  <c r="CG340" i="7"/>
  <c r="CH340" i="7"/>
  <c r="CI340" i="7"/>
  <c r="CJ340" i="7"/>
  <c r="CK340" i="7"/>
  <c r="CM340" i="7"/>
  <c r="CN340" i="7"/>
  <c r="CO340" i="7"/>
  <c r="CP340" i="7"/>
  <c r="CQ340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CC341" i="7"/>
  <c r="CD341" i="7"/>
  <c r="CE341" i="7"/>
  <c r="CF341" i="7"/>
  <c r="CG341" i="7"/>
  <c r="CH341" i="7"/>
  <c r="CI341" i="7"/>
  <c r="CJ341" i="7"/>
  <c r="CK341" i="7"/>
  <c r="CM341" i="7"/>
  <c r="CN341" i="7"/>
  <c r="CO341" i="7"/>
  <c r="CP341" i="7"/>
  <c r="CQ341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CC342" i="7"/>
  <c r="CD342" i="7"/>
  <c r="CE342" i="7"/>
  <c r="CF342" i="7"/>
  <c r="CG342" i="7"/>
  <c r="CH342" i="7"/>
  <c r="CI342" i="7"/>
  <c r="CJ342" i="7"/>
  <c r="CK342" i="7"/>
  <c r="CM342" i="7"/>
  <c r="CN342" i="7"/>
  <c r="CO342" i="7"/>
  <c r="CP342" i="7"/>
  <c r="CQ342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CC343" i="7"/>
  <c r="CD343" i="7"/>
  <c r="CE343" i="7"/>
  <c r="CF343" i="7"/>
  <c r="CG343" i="7"/>
  <c r="CH343" i="7"/>
  <c r="CI343" i="7"/>
  <c r="CJ343" i="7"/>
  <c r="CK343" i="7"/>
  <c r="CM343" i="7"/>
  <c r="CN343" i="7"/>
  <c r="CO343" i="7"/>
  <c r="CP343" i="7"/>
  <c r="CQ343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CC344" i="7"/>
  <c r="CD344" i="7"/>
  <c r="CE344" i="7"/>
  <c r="CF344" i="7"/>
  <c r="CG344" i="7"/>
  <c r="CH344" i="7"/>
  <c r="CI344" i="7"/>
  <c r="CJ344" i="7"/>
  <c r="CK344" i="7"/>
  <c r="CM344" i="7"/>
  <c r="CN344" i="7"/>
  <c r="CO344" i="7"/>
  <c r="CP344" i="7"/>
  <c r="CQ344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CC345" i="7"/>
  <c r="CD345" i="7"/>
  <c r="CE345" i="7"/>
  <c r="CF345" i="7"/>
  <c r="CG345" i="7"/>
  <c r="CH345" i="7"/>
  <c r="CI345" i="7"/>
  <c r="CJ345" i="7"/>
  <c r="CK345" i="7"/>
  <c r="CM345" i="7"/>
  <c r="CN345" i="7"/>
  <c r="CO345" i="7"/>
  <c r="CP345" i="7"/>
  <c r="CQ345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CC346" i="7"/>
  <c r="CD346" i="7"/>
  <c r="CE346" i="7"/>
  <c r="CF346" i="7"/>
  <c r="CG346" i="7"/>
  <c r="CH346" i="7"/>
  <c r="CI346" i="7"/>
  <c r="CJ346" i="7"/>
  <c r="CK346" i="7"/>
  <c r="CM346" i="7"/>
  <c r="CN346" i="7"/>
  <c r="CO346" i="7"/>
  <c r="CP346" i="7"/>
  <c r="CQ346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CC347" i="7"/>
  <c r="CD347" i="7"/>
  <c r="CE347" i="7"/>
  <c r="CF347" i="7"/>
  <c r="CG347" i="7"/>
  <c r="CH347" i="7"/>
  <c r="CI347" i="7"/>
  <c r="CJ347" i="7"/>
  <c r="CK347" i="7"/>
  <c r="CM347" i="7"/>
  <c r="CN347" i="7"/>
  <c r="CO347" i="7"/>
  <c r="CP347" i="7"/>
  <c r="CQ347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CC348" i="7"/>
  <c r="CD348" i="7"/>
  <c r="CE348" i="7"/>
  <c r="CF348" i="7"/>
  <c r="CG348" i="7"/>
  <c r="CH348" i="7"/>
  <c r="CI348" i="7"/>
  <c r="CJ348" i="7"/>
  <c r="CK348" i="7"/>
  <c r="CM348" i="7"/>
  <c r="CN348" i="7"/>
  <c r="CO348" i="7"/>
  <c r="CP348" i="7"/>
  <c r="CQ348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CC349" i="7"/>
  <c r="CD349" i="7"/>
  <c r="CE349" i="7"/>
  <c r="CF349" i="7"/>
  <c r="CG349" i="7"/>
  <c r="CH349" i="7"/>
  <c r="CI349" i="7"/>
  <c r="CJ349" i="7"/>
  <c r="CK349" i="7"/>
  <c r="CM349" i="7"/>
  <c r="CN349" i="7"/>
  <c r="CO349" i="7"/>
  <c r="CP349" i="7"/>
  <c r="CQ349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CC350" i="7"/>
  <c r="CD350" i="7"/>
  <c r="CE350" i="7"/>
  <c r="CF350" i="7"/>
  <c r="CG350" i="7"/>
  <c r="CH350" i="7"/>
  <c r="CI350" i="7"/>
  <c r="CJ350" i="7"/>
  <c r="CK350" i="7"/>
  <c r="CM350" i="7"/>
  <c r="CN350" i="7"/>
  <c r="CO350" i="7"/>
  <c r="CP350" i="7"/>
  <c r="CQ350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CC351" i="7"/>
  <c r="CD351" i="7"/>
  <c r="CE351" i="7"/>
  <c r="CF351" i="7"/>
  <c r="CG351" i="7"/>
  <c r="CH351" i="7"/>
  <c r="CI351" i="7"/>
  <c r="CJ351" i="7"/>
  <c r="CK351" i="7"/>
  <c r="CM351" i="7"/>
  <c r="CN351" i="7"/>
  <c r="CO351" i="7"/>
  <c r="CP351" i="7"/>
  <c r="CQ351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CC352" i="7"/>
  <c r="CD352" i="7"/>
  <c r="CE352" i="7"/>
  <c r="CF352" i="7"/>
  <c r="CG352" i="7"/>
  <c r="CH352" i="7"/>
  <c r="CI352" i="7"/>
  <c r="CJ352" i="7"/>
  <c r="CK352" i="7"/>
  <c r="CM352" i="7"/>
  <c r="CN352" i="7"/>
  <c r="CO352" i="7"/>
  <c r="CP352" i="7"/>
  <c r="CQ352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CC353" i="7"/>
  <c r="CD353" i="7"/>
  <c r="CE353" i="7"/>
  <c r="CF353" i="7"/>
  <c r="CG353" i="7"/>
  <c r="CH353" i="7"/>
  <c r="CI353" i="7"/>
  <c r="CJ353" i="7"/>
  <c r="CK353" i="7"/>
  <c r="CM353" i="7"/>
  <c r="CN353" i="7"/>
  <c r="CO353" i="7"/>
  <c r="CP353" i="7"/>
  <c r="CQ353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CC354" i="7"/>
  <c r="CD354" i="7"/>
  <c r="CE354" i="7"/>
  <c r="CF354" i="7"/>
  <c r="CG354" i="7"/>
  <c r="CH354" i="7"/>
  <c r="CI354" i="7"/>
  <c r="CJ354" i="7"/>
  <c r="CK354" i="7"/>
  <c r="CM354" i="7"/>
  <c r="CN354" i="7"/>
  <c r="CO354" i="7"/>
  <c r="CP354" i="7"/>
  <c r="CQ354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CC355" i="7"/>
  <c r="CD355" i="7"/>
  <c r="CE355" i="7"/>
  <c r="CF355" i="7"/>
  <c r="CG355" i="7"/>
  <c r="CH355" i="7"/>
  <c r="CI355" i="7"/>
  <c r="CJ355" i="7"/>
  <c r="CK355" i="7"/>
  <c r="CM355" i="7"/>
  <c r="CN355" i="7"/>
  <c r="CO355" i="7"/>
  <c r="CP355" i="7"/>
  <c r="CQ355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CC356" i="7"/>
  <c r="CD356" i="7"/>
  <c r="CE356" i="7"/>
  <c r="CF356" i="7"/>
  <c r="CG356" i="7"/>
  <c r="CH356" i="7"/>
  <c r="CI356" i="7"/>
  <c r="CJ356" i="7"/>
  <c r="CK356" i="7"/>
  <c r="CM356" i="7"/>
  <c r="CN356" i="7"/>
  <c r="CO356" i="7"/>
  <c r="CP356" i="7"/>
  <c r="CQ356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CC357" i="7"/>
  <c r="CD357" i="7"/>
  <c r="CE357" i="7"/>
  <c r="CF357" i="7"/>
  <c r="CG357" i="7"/>
  <c r="CH357" i="7"/>
  <c r="CI357" i="7"/>
  <c r="CJ357" i="7"/>
  <c r="CK357" i="7"/>
  <c r="CM357" i="7"/>
  <c r="CN357" i="7"/>
  <c r="CO357" i="7"/>
  <c r="CP357" i="7"/>
  <c r="CQ357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CC358" i="7"/>
  <c r="CD358" i="7"/>
  <c r="CE358" i="7"/>
  <c r="CF358" i="7"/>
  <c r="CG358" i="7"/>
  <c r="CH358" i="7"/>
  <c r="CI358" i="7"/>
  <c r="CJ358" i="7"/>
  <c r="CK358" i="7"/>
  <c r="CM358" i="7"/>
  <c r="CN358" i="7"/>
  <c r="CO358" i="7"/>
  <c r="CP358" i="7"/>
  <c r="CQ358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CC359" i="7"/>
  <c r="CD359" i="7"/>
  <c r="CE359" i="7"/>
  <c r="CF359" i="7"/>
  <c r="CG359" i="7"/>
  <c r="CH359" i="7"/>
  <c r="CI359" i="7"/>
  <c r="CJ359" i="7"/>
  <c r="CK359" i="7"/>
  <c r="CM359" i="7"/>
  <c r="CN359" i="7"/>
  <c r="CO359" i="7"/>
  <c r="CP359" i="7"/>
  <c r="CQ359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CC360" i="7"/>
  <c r="CD360" i="7"/>
  <c r="CE360" i="7"/>
  <c r="CF360" i="7"/>
  <c r="CG360" i="7"/>
  <c r="CH360" i="7"/>
  <c r="CI360" i="7"/>
  <c r="CJ360" i="7"/>
  <c r="CK360" i="7"/>
  <c r="CM360" i="7"/>
  <c r="CN360" i="7"/>
  <c r="CO360" i="7"/>
  <c r="CP360" i="7"/>
  <c r="CQ360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CC361" i="7"/>
  <c r="CD361" i="7"/>
  <c r="CE361" i="7"/>
  <c r="CF361" i="7"/>
  <c r="CG361" i="7"/>
  <c r="CH361" i="7"/>
  <c r="CI361" i="7"/>
  <c r="CJ361" i="7"/>
  <c r="CK361" i="7"/>
  <c r="CM361" i="7"/>
  <c r="CN361" i="7"/>
  <c r="CO361" i="7"/>
  <c r="CP361" i="7"/>
  <c r="CQ361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CC362" i="7"/>
  <c r="CD362" i="7"/>
  <c r="CE362" i="7"/>
  <c r="CF362" i="7"/>
  <c r="CG362" i="7"/>
  <c r="CH362" i="7"/>
  <c r="CI362" i="7"/>
  <c r="CJ362" i="7"/>
  <c r="CK362" i="7"/>
  <c r="CM362" i="7"/>
  <c r="CN362" i="7"/>
  <c r="CO362" i="7"/>
  <c r="CP362" i="7"/>
  <c r="CQ362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CC363" i="7"/>
  <c r="CD363" i="7"/>
  <c r="CE363" i="7"/>
  <c r="CF363" i="7"/>
  <c r="CG363" i="7"/>
  <c r="CH363" i="7"/>
  <c r="CI363" i="7"/>
  <c r="CJ363" i="7"/>
  <c r="CK363" i="7"/>
  <c r="CM363" i="7"/>
  <c r="CN363" i="7"/>
  <c r="CO363" i="7"/>
  <c r="CP363" i="7"/>
  <c r="CQ363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CC364" i="7"/>
  <c r="CD364" i="7"/>
  <c r="CE364" i="7"/>
  <c r="CF364" i="7"/>
  <c r="CG364" i="7"/>
  <c r="CH364" i="7"/>
  <c r="CI364" i="7"/>
  <c r="CJ364" i="7"/>
  <c r="CK364" i="7"/>
  <c r="CM364" i="7"/>
  <c r="CN364" i="7"/>
  <c r="CO364" i="7"/>
  <c r="CP364" i="7"/>
  <c r="CQ364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CC365" i="7"/>
  <c r="CD365" i="7"/>
  <c r="CE365" i="7"/>
  <c r="CF365" i="7"/>
  <c r="CG365" i="7"/>
  <c r="CH365" i="7"/>
  <c r="CI365" i="7"/>
  <c r="CJ365" i="7"/>
  <c r="CK365" i="7"/>
  <c r="CM365" i="7"/>
  <c r="CN365" i="7"/>
  <c r="CO365" i="7"/>
  <c r="CP365" i="7"/>
  <c r="CQ365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CC366" i="7"/>
  <c r="CD366" i="7"/>
  <c r="CE366" i="7"/>
  <c r="CF366" i="7"/>
  <c r="CG366" i="7"/>
  <c r="CH366" i="7"/>
  <c r="CI366" i="7"/>
  <c r="CJ366" i="7"/>
  <c r="CK366" i="7"/>
  <c r="CM366" i="7"/>
  <c r="CN366" i="7"/>
  <c r="CO366" i="7"/>
  <c r="CP366" i="7"/>
  <c r="CQ366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CC367" i="7"/>
  <c r="CD367" i="7"/>
  <c r="CE367" i="7"/>
  <c r="CF367" i="7"/>
  <c r="CG367" i="7"/>
  <c r="CH367" i="7"/>
  <c r="CI367" i="7"/>
  <c r="CJ367" i="7"/>
  <c r="CK367" i="7"/>
  <c r="CM367" i="7"/>
  <c r="CN367" i="7"/>
  <c r="CO367" i="7"/>
  <c r="CP367" i="7"/>
  <c r="CQ367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CC368" i="7"/>
  <c r="CD368" i="7"/>
  <c r="CE368" i="7"/>
  <c r="CF368" i="7"/>
  <c r="CG368" i="7"/>
  <c r="CH368" i="7"/>
  <c r="CI368" i="7"/>
  <c r="CJ368" i="7"/>
  <c r="CK368" i="7"/>
  <c r="CM368" i="7"/>
  <c r="CN368" i="7"/>
  <c r="CO368" i="7"/>
  <c r="CP368" i="7"/>
  <c r="CQ368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CC369" i="7"/>
  <c r="CD369" i="7"/>
  <c r="CE369" i="7"/>
  <c r="CF369" i="7"/>
  <c r="CG369" i="7"/>
  <c r="CH369" i="7"/>
  <c r="CI369" i="7"/>
  <c r="CJ369" i="7"/>
  <c r="CK369" i="7"/>
  <c r="CM369" i="7"/>
  <c r="CN369" i="7"/>
  <c r="CO369" i="7"/>
  <c r="CP369" i="7"/>
  <c r="CQ369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CC370" i="7"/>
  <c r="CD370" i="7"/>
  <c r="CE370" i="7"/>
  <c r="CF370" i="7"/>
  <c r="CG370" i="7"/>
  <c r="CH370" i="7"/>
  <c r="CI370" i="7"/>
  <c r="CJ370" i="7"/>
  <c r="CK370" i="7"/>
  <c r="CM370" i="7"/>
  <c r="CN370" i="7"/>
  <c r="CO370" i="7"/>
  <c r="CP370" i="7"/>
  <c r="CQ370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CC371" i="7"/>
  <c r="CD371" i="7"/>
  <c r="CE371" i="7"/>
  <c r="CF371" i="7"/>
  <c r="CG371" i="7"/>
  <c r="CH371" i="7"/>
  <c r="CI371" i="7"/>
  <c r="CJ371" i="7"/>
  <c r="CK371" i="7"/>
  <c r="CM371" i="7"/>
  <c r="CN371" i="7"/>
  <c r="CO371" i="7"/>
  <c r="CP371" i="7"/>
  <c r="CQ371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CC372" i="7"/>
  <c r="CD372" i="7"/>
  <c r="CE372" i="7"/>
  <c r="CF372" i="7"/>
  <c r="CG372" i="7"/>
  <c r="CH372" i="7"/>
  <c r="CI372" i="7"/>
  <c r="CJ372" i="7"/>
  <c r="CK372" i="7"/>
  <c r="CM372" i="7"/>
  <c r="CN372" i="7"/>
  <c r="CO372" i="7"/>
  <c r="CP372" i="7"/>
  <c r="CQ372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CC373" i="7"/>
  <c r="CD373" i="7"/>
  <c r="CE373" i="7"/>
  <c r="CF373" i="7"/>
  <c r="CG373" i="7"/>
  <c r="CH373" i="7"/>
  <c r="CI373" i="7"/>
  <c r="CJ373" i="7"/>
  <c r="CK373" i="7"/>
  <c r="CM373" i="7"/>
  <c r="CN373" i="7"/>
  <c r="CO373" i="7"/>
  <c r="CP373" i="7"/>
  <c r="CQ373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CC374" i="7"/>
  <c r="CD374" i="7"/>
  <c r="CE374" i="7"/>
  <c r="CF374" i="7"/>
  <c r="CG374" i="7"/>
  <c r="CH374" i="7"/>
  <c r="CI374" i="7"/>
  <c r="CJ374" i="7"/>
  <c r="CK374" i="7"/>
  <c r="CM374" i="7"/>
  <c r="CN374" i="7"/>
  <c r="CO374" i="7"/>
  <c r="CP374" i="7"/>
  <c r="CQ374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CC375" i="7"/>
  <c r="CD375" i="7"/>
  <c r="CE375" i="7"/>
  <c r="CF375" i="7"/>
  <c r="CG375" i="7"/>
  <c r="CH375" i="7"/>
  <c r="CI375" i="7"/>
  <c r="CJ375" i="7"/>
  <c r="CK375" i="7"/>
  <c r="CM375" i="7"/>
  <c r="CN375" i="7"/>
  <c r="CO375" i="7"/>
  <c r="CP375" i="7"/>
  <c r="CQ375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CC376" i="7"/>
  <c r="CD376" i="7"/>
  <c r="CE376" i="7"/>
  <c r="CF376" i="7"/>
  <c r="CG376" i="7"/>
  <c r="CH376" i="7"/>
  <c r="CI376" i="7"/>
  <c r="CJ376" i="7"/>
  <c r="CK376" i="7"/>
  <c r="CM376" i="7"/>
  <c r="CN376" i="7"/>
  <c r="CO376" i="7"/>
  <c r="CP376" i="7"/>
  <c r="CQ376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CC377" i="7"/>
  <c r="CD377" i="7"/>
  <c r="CE377" i="7"/>
  <c r="CF377" i="7"/>
  <c r="CG377" i="7"/>
  <c r="CH377" i="7"/>
  <c r="CI377" i="7"/>
  <c r="CJ377" i="7"/>
  <c r="CK377" i="7"/>
  <c r="CM377" i="7"/>
  <c r="CN377" i="7"/>
  <c r="CO377" i="7"/>
  <c r="CP377" i="7"/>
  <c r="CQ377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CC378" i="7"/>
  <c r="CD378" i="7"/>
  <c r="CE378" i="7"/>
  <c r="CF378" i="7"/>
  <c r="CG378" i="7"/>
  <c r="CH378" i="7"/>
  <c r="CI378" i="7"/>
  <c r="CJ378" i="7"/>
  <c r="CK378" i="7"/>
  <c r="CM378" i="7"/>
  <c r="CN378" i="7"/>
  <c r="CO378" i="7"/>
  <c r="CP378" i="7"/>
  <c r="CQ378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CC379" i="7"/>
  <c r="CD379" i="7"/>
  <c r="CE379" i="7"/>
  <c r="CF379" i="7"/>
  <c r="CG379" i="7"/>
  <c r="CH379" i="7"/>
  <c r="CI379" i="7"/>
  <c r="CJ379" i="7"/>
  <c r="CK379" i="7"/>
  <c r="CM379" i="7"/>
  <c r="CN379" i="7"/>
  <c r="CO379" i="7"/>
  <c r="CP379" i="7"/>
  <c r="CQ379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CC380" i="7"/>
  <c r="CD380" i="7"/>
  <c r="CE380" i="7"/>
  <c r="CF380" i="7"/>
  <c r="CG380" i="7"/>
  <c r="CH380" i="7"/>
  <c r="CI380" i="7"/>
  <c r="CJ380" i="7"/>
  <c r="CK380" i="7"/>
  <c r="CM380" i="7"/>
  <c r="CN380" i="7"/>
  <c r="CO380" i="7"/>
  <c r="CP380" i="7"/>
  <c r="CQ380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CC381" i="7"/>
  <c r="CD381" i="7"/>
  <c r="CE381" i="7"/>
  <c r="CF381" i="7"/>
  <c r="CG381" i="7"/>
  <c r="CH381" i="7"/>
  <c r="CI381" i="7"/>
  <c r="CJ381" i="7"/>
  <c r="CK381" i="7"/>
  <c r="CM381" i="7"/>
  <c r="CN381" i="7"/>
  <c r="CO381" i="7"/>
  <c r="CP381" i="7"/>
  <c r="CQ381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CC382" i="7"/>
  <c r="CD382" i="7"/>
  <c r="CE382" i="7"/>
  <c r="CF382" i="7"/>
  <c r="CG382" i="7"/>
  <c r="CH382" i="7"/>
  <c r="CI382" i="7"/>
  <c r="CJ382" i="7"/>
  <c r="CK382" i="7"/>
  <c r="CM382" i="7"/>
  <c r="CN382" i="7"/>
  <c r="CO382" i="7"/>
  <c r="CP382" i="7"/>
  <c r="CQ382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CC383" i="7"/>
  <c r="CD383" i="7"/>
  <c r="CE383" i="7"/>
  <c r="CF383" i="7"/>
  <c r="CG383" i="7"/>
  <c r="CH383" i="7"/>
  <c r="CI383" i="7"/>
  <c r="CJ383" i="7"/>
  <c r="CK383" i="7"/>
  <c r="CM383" i="7"/>
  <c r="CN383" i="7"/>
  <c r="CO383" i="7"/>
  <c r="CP383" i="7"/>
  <c r="CQ383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CC384" i="7"/>
  <c r="CD384" i="7"/>
  <c r="CE384" i="7"/>
  <c r="CF384" i="7"/>
  <c r="CG384" i="7"/>
  <c r="CH384" i="7"/>
  <c r="CI384" i="7"/>
  <c r="CJ384" i="7"/>
  <c r="CK384" i="7"/>
  <c r="CM384" i="7"/>
  <c r="CN384" i="7"/>
  <c r="CO384" i="7"/>
  <c r="CP384" i="7"/>
  <c r="CQ384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CC385" i="7"/>
  <c r="CD385" i="7"/>
  <c r="CE385" i="7"/>
  <c r="CF385" i="7"/>
  <c r="CG385" i="7"/>
  <c r="CH385" i="7"/>
  <c r="CI385" i="7"/>
  <c r="CJ385" i="7"/>
  <c r="CK385" i="7"/>
  <c r="CM385" i="7"/>
  <c r="CN385" i="7"/>
  <c r="CO385" i="7"/>
  <c r="CP385" i="7"/>
  <c r="CQ385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CC386" i="7"/>
  <c r="CD386" i="7"/>
  <c r="CE386" i="7"/>
  <c r="CF386" i="7"/>
  <c r="CG386" i="7"/>
  <c r="CH386" i="7"/>
  <c r="CI386" i="7"/>
  <c r="CJ386" i="7"/>
  <c r="CK386" i="7"/>
  <c r="CM386" i="7"/>
  <c r="CN386" i="7"/>
  <c r="CO386" i="7"/>
  <c r="CP386" i="7"/>
  <c r="CQ386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CC387" i="7"/>
  <c r="CD387" i="7"/>
  <c r="CE387" i="7"/>
  <c r="CF387" i="7"/>
  <c r="CG387" i="7"/>
  <c r="CH387" i="7"/>
  <c r="CI387" i="7"/>
  <c r="CJ387" i="7"/>
  <c r="CK387" i="7"/>
  <c r="CM387" i="7"/>
  <c r="CN387" i="7"/>
  <c r="CO387" i="7"/>
  <c r="CP387" i="7"/>
  <c r="CQ387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CC388" i="7"/>
  <c r="CD388" i="7"/>
  <c r="CE388" i="7"/>
  <c r="CF388" i="7"/>
  <c r="CG388" i="7"/>
  <c r="CH388" i="7"/>
  <c r="CI388" i="7"/>
  <c r="CJ388" i="7"/>
  <c r="CK388" i="7"/>
  <c r="CM388" i="7"/>
  <c r="CN388" i="7"/>
  <c r="CO388" i="7"/>
  <c r="CP388" i="7"/>
  <c r="CQ388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CC389" i="7"/>
  <c r="CD389" i="7"/>
  <c r="CE389" i="7"/>
  <c r="CF389" i="7"/>
  <c r="CG389" i="7"/>
  <c r="CH389" i="7"/>
  <c r="CI389" i="7"/>
  <c r="CJ389" i="7"/>
  <c r="CK389" i="7"/>
  <c r="CM389" i="7"/>
  <c r="CN389" i="7"/>
  <c r="CO389" i="7"/>
  <c r="CP389" i="7"/>
  <c r="CQ389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CC390" i="7"/>
  <c r="CD390" i="7"/>
  <c r="CE390" i="7"/>
  <c r="CF390" i="7"/>
  <c r="CG390" i="7"/>
  <c r="CH390" i="7"/>
  <c r="CI390" i="7"/>
  <c r="CJ390" i="7"/>
  <c r="CK390" i="7"/>
  <c r="CM390" i="7"/>
  <c r="CN390" i="7"/>
  <c r="CO390" i="7"/>
  <c r="CP390" i="7"/>
  <c r="CQ390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CC391" i="7"/>
  <c r="CD391" i="7"/>
  <c r="CE391" i="7"/>
  <c r="CF391" i="7"/>
  <c r="CG391" i="7"/>
  <c r="CH391" i="7"/>
  <c r="CI391" i="7"/>
  <c r="CJ391" i="7"/>
  <c r="CK391" i="7"/>
  <c r="CM391" i="7"/>
  <c r="CN391" i="7"/>
  <c r="CO391" i="7"/>
  <c r="CP391" i="7"/>
  <c r="CQ391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CC392" i="7"/>
  <c r="CD392" i="7"/>
  <c r="CE392" i="7"/>
  <c r="CF392" i="7"/>
  <c r="CG392" i="7"/>
  <c r="CH392" i="7"/>
  <c r="CI392" i="7"/>
  <c r="CJ392" i="7"/>
  <c r="CK392" i="7"/>
  <c r="CM392" i="7"/>
  <c r="CN392" i="7"/>
  <c r="CO392" i="7"/>
  <c r="CP392" i="7"/>
  <c r="CQ392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CC393" i="7"/>
  <c r="CD393" i="7"/>
  <c r="CE393" i="7"/>
  <c r="CF393" i="7"/>
  <c r="CG393" i="7"/>
  <c r="CH393" i="7"/>
  <c r="CI393" i="7"/>
  <c r="CJ393" i="7"/>
  <c r="CK393" i="7"/>
  <c r="CM393" i="7"/>
  <c r="CN393" i="7"/>
  <c r="CO393" i="7"/>
  <c r="CP393" i="7"/>
  <c r="CQ393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CC394" i="7"/>
  <c r="CD394" i="7"/>
  <c r="CE394" i="7"/>
  <c r="CF394" i="7"/>
  <c r="CG394" i="7"/>
  <c r="CH394" i="7"/>
  <c r="CI394" i="7"/>
  <c r="CJ394" i="7"/>
  <c r="CK394" i="7"/>
  <c r="CM394" i="7"/>
  <c r="CN394" i="7"/>
  <c r="CO394" i="7"/>
  <c r="CP394" i="7"/>
  <c r="CQ394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CC395" i="7"/>
  <c r="CD395" i="7"/>
  <c r="CE395" i="7"/>
  <c r="CF395" i="7"/>
  <c r="CG395" i="7"/>
  <c r="CH395" i="7"/>
  <c r="CI395" i="7"/>
  <c r="CJ395" i="7"/>
  <c r="CK395" i="7"/>
  <c r="CM395" i="7"/>
  <c r="CN395" i="7"/>
  <c r="CO395" i="7"/>
  <c r="CP395" i="7"/>
  <c r="CQ395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CC396" i="7"/>
  <c r="CD396" i="7"/>
  <c r="CE396" i="7"/>
  <c r="CF396" i="7"/>
  <c r="CG396" i="7"/>
  <c r="CH396" i="7"/>
  <c r="CI396" i="7"/>
  <c r="CJ396" i="7"/>
  <c r="CK396" i="7"/>
  <c r="CM396" i="7"/>
  <c r="CN396" i="7"/>
  <c r="CO396" i="7"/>
  <c r="CP396" i="7"/>
  <c r="CQ396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CC397" i="7"/>
  <c r="CD397" i="7"/>
  <c r="CE397" i="7"/>
  <c r="CF397" i="7"/>
  <c r="CG397" i="7"/>
  <c r="CH397" i="7"/>
  <c r="CI397" i="7"/>
  <c r="CJ397" i="7"/>
  <c r="CK397" i="7"/>
  <c r="CM397" i="7"/>
  <c r="CN397" i="7"/>
  <c r="CO397" i="7"/>
  <c r="CP397" i="7"/>
  <c r="CQ397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CC398" i="7"/>
  <c r="CD398" i="7"/>
  <c r="CE398" i="7"/>
  <c r="CF398" i="7"/>
  <c r="CG398" i="7"/>
  <c r="CH398" i="7"/>
  <c r="CI398" i="7"/>
  <c r="CJ398" i="7"/>
  <c r="CK398" i="7"/>
  <c r="CM398" i="7"/>
  <c r="CN398" i="7"/>
  <c r="CO398" i="7"/>
  <c r="CP398" i="7"/>
  <c r="CQ398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CC399" i="7"/>
  <c r="CD399" i="7"/>
  <c r="CE399" i="7"/>
  <c r="CF399" i="7"/>
  <c r="CG399" i="7"/>
  <c r="CH399" i="7"/>
  <c r="CI399" i="7"/>
  <c r="CJ399" i="7"/>
  <c r="CK399" i="7"/>
  <c r="CM399" i="7"/>
  <c r="CN399" i="7"/>
  <c r="CO399" i="7"/>
  <c r="CP399" i="7"/>
  <c r="CQ399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CC400" i="7"/>
  <c r="CD400" i="7"/>
  <c r="CE400" i="7"/>
  <c r="CF400" i="7"/>
  <c r="CG400" i="7"/>
  <c r="CH400" i="7"/>
  <c r="CI400" i="7"/>
  <c r="CJ400" i="7"/>
  <c r="CK400" i="7"/>
  <c r="CM400" i="7"/>
  <c r="CN400" i="7"/>
  <c r="CO400" i="7"/>
  <c r="CP400" i="7"/>
  <c r="CQ400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CC401" i="7"/>
  <c r="CD401" i="7"/>
  <c r="CE401" i="7"/>
  <c r="CF401" i="7"/>
  <c r="CG401" i="7"/>
  <c r="CH401" i="7"/>
  <c r="CI401" i="7"/>
  <c r="CJ401" i="7"/>
  <c r="CK401" i="7"/>
  <c r="CM401" i="7"/>
  <c r="CN401" i="7"/>
  <c r="CO401" i="7"/>
  <c r="CP401" i="7"/>
  <c r="CQ401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CC402" i="7"/>
  <c r="CD402" i="7"/>
  <c r="CE402" i="7"/>
  <c r="CF402" i="7"/>
  <c r="CG402" i="7"/>
  <c r="CH402" i="7"/>
  <c r="CI402" i="7"/>
  <c r="CJ402" i="7"/>
  <c r="CK402" i="7"/>
  <c r="CM402" i="7"/>
  <c r="CN402" i="7"/>
  <c r="CO402" i="7"/>
  <c r="CP402" i="7"/>
  <c r="CQ402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CC403" i="7"/>
  <c r="CD403" i="7"/>
  <c r="CE403" i="7"/>
  <c r="CF403" i="7"/>
  <c r="CG403" i="7"/>
  <c r="CH403" i="7"/>
  <c r="CI403" i="7"/>
  <c r="CJ403" i="7"/>
  <c r="CK403" i="7"/>
  <c r="CM403" i="7"/>
  <c r="CN403" i="7"/>
  <c r="CO403" i="7"/>
  <c r="CP403" i="7"/>
  <c r="CQ403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CC404" i="7"/>
  <c r="CD404" i="7"/>
  <c r="CE404" i="7"/>
  <c r="CF404" i="7"/>
  <c r="CG404" i="7"/>
  <c r="CH404" i="7"/>
  <c r="CI404" i="7"/>
  <c r="CJ404" i="7"/>
  <c r="CK404" i="7"/>
  <c r="CM404" i="7"/>
  <c r="CN404" i="7"/>
  <c r="CO404" i="7"/>
  <c r="CP404" i="7"/>
  <c r="CQ404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CC405" i="7"/>
  <c r="CD405" i="7"/>
  <c r="CE405" i="7"/>
  <c r="CF405" i="7"/>
  <c r="CG405" i="7"/>
  <c r="CH405" i="7"/>
  <c r="CI405" i="7"/>
  <c r="CJ405" i="7"/>
  <c r="CK405" i="7"/>
  <c r="CM405" i="7"/>
  <c r="CN405" i="7"/>
  <c r="CO405" i="7"/>
  <c r="CP405" i="7"/>
  <c r="CQ405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CC406" i="7"/>
  <c r="CD406" i="7"/>
  <c r="CE406" i="7"/>
  <c r="CF406" i="7"/>
  <c r="CG406" i="7"/>
  <c r="CH406" i="7"/>
  <c r="CI406" i="7"/>
  <c r="CJ406" i="7"/>
  <c r="CK406" i="7"/>
  <c r="CM406" i="7"/>
  <c r="CN406" i="7"/>
  <c r="CO406" i="7"/>
  <c r="CP406" i="7"/>
  <c r="CQ406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CC407" i="7"/>
  <c r="CD407" i="7"/>
  <c r="CE407" i="7"/>
  <c r="CF407" i="7"/>
  <c r="CG407" i="7"/>
  <c r="CH407" i="7"/>
  <c r="CI407" i="7"/>
  <c r="CJ407" i="7"/>
  <c r="CK407" i="7"/>
  <c r="CM407" i="7"/>
  <c r="CN407" i="7"/>
  <c r="CO407" i="7"/>
  <c r="CP407" i="7"/>
  <c r="CQ407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CC408" i="7"/>
  <c r="CD408" i="7"/>
  <c r="CE408" i="7"/>
  <c r="CF408" i="7"/>
  <c r="CG408" i="7"/>
  <c r="CH408" i="7"/>
  <c r="CI408" i="7"/>
  <c r="CJ408" i="7"/>
  <c r="CK408" i="7"/>
  <c r="CM408" i="7"/>
  <c r="CN408" i="7"/>
  <c r="CO408" i="7"/>
  <c r="CP408" i="7"/>
  <c r="CQ408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CC409" i="7"/>
  <c r="CD409" i="7"/>
  <c r="CE409" i="7"/>
  <c r="CF409" i="7"/>
  <c r="CG409" i="7"/>
  <c r="CH409" i="7"/>
  <c r="CI409" i="7"/>
  <c r="CJ409" i="7"/>
  <c r="CK409" i="7"/>
  <c r="CM409" i="7"/>
  <c r="CN409" i="7"/>
  <c r="CO409" i="7"/>
  <c r="CP409" i="7"/>
  <c r="CQ409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CC410" i="7"/>
  <c r="CD410" i="7"/>
  <c r="CE410" i="7"/>
  <c r="CF410" i="7"/>
  <c r="CG410" i="7"/>
  <c r="CH410" i="7"/>
  <c r="CI410" i="7"/>
  <c r="CJ410" i="7"/>
  <c r="CK410" i="7"/>
  <c r="CM410" i="7"/>
  <c r="CN410" i="7"/>
  <c r="CO410" i="7"/>
  <c r="CP410" i="7"/>
  <c r="CQ410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CC411" i="7"/>
  <c r="CD411" i="7"/>
  <c r="CE411" i="7"/>
  <c r="CF411" i="7"/>
  <c r="CG411" i="7"/>
  <c r="CH411" i="7"/>
  <c r="CI411" i="7"/>
  <c r="CJ411" i="7"/>
  <c r="CK411" i="7"/>
  <c r="CM411" i="7"/>
  <c r="CN411" i="7"/>
  <c r="CO411" i="7"/>
  <c r="CP411" i="7"/>
  <c r="CQ411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CC412" i="7"/>
  <c r="CD412" i="7"/>
  <c r="CE412" i="7"/>
  <c r="CF412" i="7"/>
  <c r="CG412" i="7"/>
  <c r="CH412" i="7"/>
  <c r="CI412" i="7"/>
  <c r="CJ412" i="7"/>
  <c r="CK412" i="7"/>
  <c r="CM412" i="7"/>
  <c r="CN412" i="7"/>
  <c r="CO412" i="7"/>
  <c r="CP412" i="7"/>
  <c r="CQ412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CC413" i="7"/>
  <c r="CD413" i="7"/>
  <c r="CE413" i="7"/>
  <c r="CF413" i="7"/>
  <c r="CG413" i="7"/>
  <c r="CH413" i="7"/>
  <c r="CI413" i="7"/>
  <c r="CJ413" i="7"/>
  <c r="CK413" i="7"/>
  <c r="CM413" i="7"/>
  <c r="CN413" i="7"/>
  <c r="CO413" i="7"/>
  <c r="CP413" i="7"/>
  <c r="CQ413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CC414" i="7"/>
  <c r="CD414" i="7"/>
  <c r="CE414" i="7"/>
  <c r="CF414" i="7"/>
  <c r="CG414" i="7"/>
  <c r="CH414" i="7"/>
  <c r="CI414" i="7"/>
  <c r="CJ414" i="7"/>
  <c r="CK414" i="7"/>
  <c r="CM414" i="7"/>
  <c r="CN414" i="7"/>
  <c r="CO414" i="7"/>
  <c r="CP414" i="7"/>
  <c r="CQ414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CC415" i="7"/>
  <c r="CD415" i="7"/>
  <c r="CE415" i="7"/>
  <c r="CF415" i="7"/>
  <c r="CG415" i="7"/>
  <c r="CH415" i="7"/>
  <c r="CI415" i="7"/>
  <c r="CJ415" i="7"/>
  <c r="CK415" i="7"/>
  <c r="CM415" i="7"/>
  <c r="CN415" i="7"/>
  <c r="CO415" i="7"/>
  <c r="CP415" i="7"/>
  <c r="CQ415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CC416" i="7"/>
  <c r="CD416" i="7"/>
  <c r="CE416" i="7"/>
  <c r="CF416" i="7"/>
  <c r="CG416" i="7"/>
  <c r="CH416" i="7"/>
  <c r="CI416" i="7"/>
  <c r="CJ416" i="7"/>
  <c r="CK416" i="7"/>
  <c r="CM416" i="7"/>
  <c r="CN416" i="7"/>
  <c r="CO416" i="7"/>
  <c r="CP416" i="7"/>
  <c r="CQ416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CC417" i="7"/>
  <c r="CD417" i="7"/>
  <c r="CE417" i="7"/>
  <c r="CF417" i="7"/>
  <c r="CG417" i="7"/>
  <c r="CH417" i="7"/>
  <c r="CI417" i="7"/>
  <c r="CJ417" i="7"/>
  <c r="CK417" i="7"/>
  <c r="CM417" i="7"/>
  <c r="CN417" i="7"/>
  <c r="CO417" i="7"/>
  <c r="CP417" i="7"/>
  <c r="CQ417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CC418" i="7"/>
  <c r="CD418" i="7"/>
  <c r="CE418" i="7"/>
  <c r="CF418" i="7"/>
  <c r="CG418" i="7"/>
  <c r="CH418" i="7"/>
  <c r="CI418" i="7"/>
  <c r="CJ418" i="7"/>
  <c r="CK418" i="7"/>
  <c r="CM418" i="7"/>
  <c r="CN418" i="7"/>
  <c r="CO418" i="7"/>
  <c r="CP418" i="7"/>
  <c r="CQ418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CC419" i="7"/>
  <c r="CD419" i="7"/>
  <c r="CE419" i="7"/>
  <c r="CF419" i="7"/>
  <c r="CG419" i="7"/>
  <c r="CH419" i="7"/>
  <c r="CI419" i="7"/>
  <c r="CJ419" i="7"/>
  <c r="CK419" i="7"/>
  <c r="CM419" i="7"/>
  <c r="CN419" i="7"/>
  <c r="CO419" i="7"/>
  <c r="CP419" i="7"/>
  <c r="CQ419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CC420" i="7"/>
  <c r="CD420" i="7"/>
  <c r="CE420" i="7"/>
  <c r="CF420" i="7"/>
  <c r="CG420" i="7"/>
  <c r="CH420" i="7"/>
  <c r="CI420" i="7"/>
  <c r="CJ420" i="7"/>
  <c r="CK420" i="7"/>
  <c r="CM420" i="7"/>
  <c r="CN420" i="7"/>
  <c r="CO420" i="7"/>
  <c r="CP420" i="7"/>
  <c r="CQ420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CC421" i="7"/>
  <c r="CD421" i="7"/>
  <c r="CE421" i="7"/>
  <c r="CF421" i="7"/>
  <c r="CG421" i="7"/>
  <c r="CH421" i="7"/>
  <c r="CI421" i="7"/>
  <c r="CJ421" i="7"/>
  <c r="CK421" i="7"/>
  <c r="CM421" i="7"/>
  <c r="CN421" i="7"/>
  <c r="CO421" i="7"/>
  <c r="CP421" i="7"/>
  <c r="CQ421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CC422" i="7"/>
  <c r="CD422" i="7"/>
  <c r="CE422" i="7"/>
  <c r="CF422" i="7"/>
  <c r="CG422" i="7"/>
  <c r="CH422" i="7"/>
  <c r="CI422" i="7"/>
  <c r="CJ422" i="7"/>
  <c r="CK422" i="7"/>
  <c r="CM422" i="7"/>
  <c r="CN422" i="7"/>
  <c r="CO422" i="7"/>
  <c r="CP422" i="7"/>
  <c r="CQ422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CC423" i="7"/>
  <c r="CD423" i="7"/>
  <c r="CE423" i="7"/>
  <c r="CF423" i="7"/>
  <c r="CG423" i="7"/>
  <c r="CH423" i="7"/>
  <c r="CI423" i="7"/>
  <c r="CJ423" i="7"/>
  <c r="CK423" i="7"/>
  <c r="CM423" i="7"/>
  <c r="CN423" i="7"/>
  <c r="CO423" i="7"/>
  <c r="CP423" i="7"/>
  <c r="CQ423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CC424" i="7"/>
  <c r="CD424" i="7"/>
  <c r="CE424" i="7"/>
  <c r="CF424" i="7"/>
  <c r="CG424" i="7"/>
  <c r="CH424" i="7"/>
  <c r="CI424" i="7"/>
  <c r="CJ424" i="7"/>
  <c r="CK424" i="7"/>
  <c r="CM424" i="7"/>
  <c r="CN424" i="7"/>
  <c r="CO424" i="7"/>
  <c r="CP424" i="7"/>
  <c r="CQ424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CC425" i="7"/>
  <c r="CD425" i="7"/>
  <c r="CE425" i="7"/>
  <c r="CF425" i="7"/>
  <c r="CG425" i="7"/>
  <c r="CH425" i="7"/>
  <c r="CI425" i="7"/>
  <c r="CJ425" i="7"/>
  <c r="CK425" i="7"/>
  <c r="CM425" i="7"/>
  <c r="CN425" i="7"/>
  <c r="CO425" i="7"/>
  <c r="CP425" i="7"/>
  <c r="CQ425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CC426" i="7"/>
  <c r="CD426" i="7"/>
  <c r="CE426" i="7"/>
  <c r="CF426" i="7"/>
  <c r="CG426" i="7"/>
  <c r="CH426" i="7"/>
  <c r="CI426" i="7"/>
  <c r="CJ426" i="7"/>
  <c r="CK426" i="7"/>
  <c r="CM426" i="7"/>
  <c r="CN426" i="7"/>
  <c r="CO426" i="7"/>
  <c r="CP426" i="7"/>
  <c r="CQ426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CC427" i="7"/>
  <c r="CD427" i="7"/>
  <c r="CE427" i="7"/>
  <c r="CF427" i="7"/>
  <c r="CG427" i="7"/>
  <c r="CH427" i="7"/>
  <c r="CI427" i="7"/>
  <c r="CJ427" i="7"/>
  <c r="CK427" i="7"/>
  <c r="CM427" i="7"/>
  <c r="CN427" i="7"/>
  <c r="CO427" i="7"/>
  <c r="CP427" i="7"/>
  <c r="CQ427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CC428" i="7"/>
  <c r="CD428" i="7"/>
  <c r="CE428" i="7"/>
  <c r="CF428" i="7"/>
  <c r="CG428" i="7"/>
  <c r="CH428" i="7"/>
  <c r="CI428" i="7"/>
  <c r="CJ428" i="7"/>
  <c r="CK428" i="7"/>
  <c r="CM428" i="7"/>
  <c r="CN428" i="7"/>
  <c r="CO428" i="7"/>
  <c r="CP428" i="7"/>
  <c r="CQ428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CC429" i="7"/>
  <c r="CD429" i="7"/>
  <c r="CE429" i="7"/>
  <c r="CF429" i="7"/>
  <c r="CG429" i="7"/>
  <c r="CH429" i="7"/>
  <c r="CI429" i="7"/>
  <c r="CJ429" i="7"/>
  <c r="CK429" i="7"/>
  <c r="CM429" i="7"/>
  <c r="CN429" i="7"/>
  <c r="CO429" i="7"/>
  <c r="CP429" i="7"/>
  <c r="CQ429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CC430" i="7"/>
  <c r="CD430" i="7"/>
  <c r="CE430" i="7"/>
  <c r="CF430" i="7"/>
  <c r="CG430" i="7"/>
  <c r="CH430" i="7"/>
  <c r="CI430" i="7"/>
  <c r="CJ430" i="7"/>
  <c r="CK430" i="7"/>
  <c r="CM430" i="7"/>
  <c r="CN430" i="7"/>
  <c r="CO430" i="7"/>
  <c r="CP430" i="7"/>
  <c r="CQ430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CC431" i="7"/>
  <c r="CD431" i="7"/>
  <c r="CE431" i="7"/>
  <c r="CF431" i="7"/>
  <c r="CG431" i="7"/>
  <c r="CH431" i="7"/>
  <c r="CI431" i="7"/>
  <c r="CJ431" i="7"/>
  <c r="CK431" i="7"/>
  <c r="CM431" i="7"/>
  <c r="CN431" i="7"/>
  <c r="CO431" i="7"/>
  <c r="CP431" i="7"/>
  <c r="CQ431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CC432" i="7"/>
  <c r="CD432" i="7"/>
  <c r="CE432" i="7"/>
  <c r="CF432" i="7"/>
  <c r="CG432" i="7"/>
  <c r="CH432" i="7"/>
  <c r="CI432" i="7"/>
  <c r="CJ432" i="7"/>
  <c r="CK432" i="7"/>
  <c r="CM432" i="7"/>
  <c r="CN432" i="7"/>
  <c r="CO432" i="7"/>
  <c r="CP432" i="7"/>
  <c r="CQ432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CC433" i="7"/>
  <c r="CD433" i="7"/>
  <c r="CE433" i="7"/>
  <c r="CF433" i="7"/>
  <c r="CG433" i="7"/>
  <c r="CH433" i="7"/>
  <c r="CI433" i="7"/>
  <c r="CJ433" i="7"/>
  <c r="CK433" i="7"/>
  <c r="CM433" i="7"/>
  <c r="CN433" i="7"/>
  <c r="CO433" i="7"/>
  <c r="CP433" i="7"/>
  <c r="CQ433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CC434" i="7"/>
  <c r="CD434" i="7"/>
  <c r="CE434" i="7"/>
  <c r="CF434" i="7"/>
  <c r="CG434" i="7"/>
  <c r="CH434" i="7"/>
  <c r="CI434" i="7"/>
  <c r="CJ434" i="7"/>
  <c r="CK434" i="7"/>
  <c r="CM434" i="7"/>
  <c r="CN434" i="7"/>
  <c r="CO434" i="7"/>
  <c r="CP434" i="7"/>
  <c r="CQ434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CC435" i="7"/>
  <c r="CD435" i="7"/>
  <c r="CE435" i="7"/>
  <c r="CF435" i="7"/>
  <c r="CG435" i="7"/>
  <c r="CH435" i="7"/>
  <c r="CI435" i="7"/>
  <c r="CJ435" i="7"/>
  <c r="CK435" i="7"/>
  <c r="CM435" i="7"/>
  <c r="CN435" i="7"/>
  <c r="CO435" i="7"/>
  <c r="CP435" i="7"/>
  <c r="CQ435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CC436" i="7"/>
  <c r="CD436" i="7"/>
  <c r="CE436" i="7"/>
  <c r="CF436" i="7"/>
  <c r="CG436" i="7"/>
  <c r="CH436" i="7"/>
  <c r="CI436" i="7"/>
  <c r="CJ436" i="7"/>
  <c r="CK436" i="7"/>
  <c r="CM436" i="7"/>
  <c r="CN436" i="7"/>
  <c r="CO436" i="7"/>
  <c r="CP436" i="7"/>
  <c r="CQ436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CC437" i="7"/>
  <c r="CD437" i="7"/>
  <c r="CE437" i="7"/>
  <c r="CF437" i="7"/>
  <c r="CG437" i="7"/>
  <c r="CH437" i="7"/>
  <c r="CI437" i="7"/>
  <c r="CJ437" i="7"/>
  <c r="CK437" i="7"/>
  <c r="CM437" i="7"/>
  <c r="CN437" i="7"/>
  <c r="CO437" i="7"/>
  <c r="CP437" i="7"/>
  <c r="CQ437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CC438" i="7"/>
  <c r="CD438" i="7"/>
  <c r="CE438" i="7"/>
  <c r="CF438" i="7"/>
  <c r="CG438" i="7"/>
  <c r="CH438" i="7"/>
  <c r="CI438" i="7"/>
  <c r="CJ438" i="7"/>
  <c r="CK438" i="7"/>
  <c r="CM438" i="7"/>
  <c r="CN438" i="7"/>
  <c r="CO438" i="7"/>
  <c r="CP438" i="7"/>
  <c r="CQ438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CC439" i="7"/>
  <c r="CD439" i="7"/>
  <c r="CE439" i="7"/>
  <c r="CF439" i="7"/>
  <c r="CG439" i="7"/>
  <c r="CH439" i="7"/>
  <c r="CI439" i="7"/>
  <c r="CJ439" i="7"/>
  <c r="CK439" i="7"/>
  <c r="CM439" i="7"/>
  <c r="CN439" i="7"/>
  <c r="CO439" i="7"/>
  <c r="CP439" i="7"/>
  <c r="CQ439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CC440" i="7"/>
  <c r="CD440" i="7"/>
  <c r="CE440" i="7"/>
  <c r="CF440" i="7"/>
  <c r="CG440" i="7"/>
  <c r="CH440" i="7"/>
  <c r="CI440" i="7"/>
  <c r="CJ440" i="7"/>
  <c r="CK440" i="7"/>
  <c r="CM440" i="7"/>
  <c r="CN440" i="7"/>
  <c r="CO440" i="7"/>
  <c r="CP440" i="7"/>
  <c r="CQ440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CC441" i="7"/>
  <c r="CD441" i="7"/>
  <c r="CE441" i="7"/>
  <c r="CF441" i="7"/>
  <c r="CG441" i="7"/>
  <c r="CH441" i="7"/>
  <c r="CI441" i="7"/>
  <c r="CJ441" i="7"/>
  <c r="CK441" i="7"/>
  <c r="CM441" i="7"/>
  <c r="CN441" i="7"/>
  <c r="CO441" i="7"/>
  <c r="CP441" i="7"/>
  <c r="CQ441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CC442" i="7"/>
  <c r="CD442" i="7"/>
  <c r="CE442" i="7"/>
  <c r="CF442" i="7"/>
  <c r="CG442" i="7"/>
  <c r="CH442" i="7"/>
  <c r="CI442" i="7"/>
  <c r="CJ442" i="7"/>
  <c r="CK442" i="7"/>
  <c r="CM442" i="7"/>
  <c r="CN442" i="7"/>
  <c r="CO442" i="7"/>
  <c r="CP442" i="7"/>
  <c r="CQ442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CC443" i="7"/>
  <c r="CD443" i="7"/>
  <c r="CE443" i="7"/>
  <c r="CF443" i="7"/>
  <c r="CG443" i="7"/>
  <c r="CH443" i="7"/>
  <c r="CI443" i="7"/>
  <c r="CJ443" i="7"/>
  <c r="CK443" i="7"/>
  <c r="CM443" i="7"/>
  <c r="CN443" i="7"/>
  <c r="CO443" i="7"/>
  <c r="CP443" i="7"/>
  <c r="CQ443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CC444" i="7"/>
  <c r="CD444" i="7"/>
  <c r="CE444" i="7"/>
  <c r="CF444" i="7"/>
  <c r="CG444" i="7"/>
  <c r="CH444" i="7"/>
  <c r="CI444" i="7"/>
  <c r="CJ444" i="7"/>
  <c r="CK444" i="7"/>
  <c r="CM444" i="7"/>
  <c r="CN444" i="7"/>
  <c r="CO444" i="7"/>
  <c r="CP444" i="7"/>
  <c r="CQ444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CC445" i="7"/>
  <c r="CD445" i="7"/>
  <c r="CE445" i="7"/>
  <c r="CF445" i="7"/>
  <c r="CG445" i="7"/>
  <c r="CH445" i="7"/>
  <c r="CI445" i="7"/>
  <c r="CJ445" i="7"/>
  <c r="CK445" i="7"/>
  <c r="CM445" i="7"/>
  <c r="CN445" i="7"/>
  <c r="CO445" i="7"/>
  <c r="CP445" i="7"/>
  <c r="CQ445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CC446" i="7"/>
  <c r="CD446" i="7"/>
  <c r="CE446" i="7"/>
  <c r="CF446" i="7"/>
  <c r="CG446" i="7"/>
  <c r="CH446" i="7"/>
  <c r="CI446" i="7"/>
  <c r="CJ446" i="7"/>
  <c r="CK446" i="7"/>
  <c r="CM446" i="7"/>
  <c r="CN446" i="7"/>
  <c r="CO446" i="7"/>
  <c r="CP446" i="7"/>
  <c r="CQ446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CC447" i="7"/>
  <c r="CD447" i="7"/>
  <c r="CE447" i="7"/>
  <c r="CF447" i="7"/>
  <c r="CG447" i="7"/>
  <c r="CH447" i="7"/>
  <c r="CI447" i="7"/>
  <c r="CJ447" i="7"/>
  <c r="CK447" i="7"/>
  <c r="CM447" i="7"/>
  <c r="CN447" i="7"/>
  <c r="CO447" i="7"/>
  <c r="CP447" i="7"/>
  <c r="CQ447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CC448" i="7"/>
  <c r="CD448" i="7"/>
  <c r="CE448" i="7"/>
  <c r="CF448" i="7"/>
  <c r="CG448" i="7"/>
  <c r="CH448" i="7"/>
  <c r="CI448" i="7"/>
  <c r="CJ448" i="7"/>
  <c r="CK448" i="7"/>
  <c r="CM448" i="7"/>
  <c r="CN448" i="7"/>
  <c r="CO448" i="7"/>
  <c r="CP448" i="7"/>
  <c r="CQ448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CC449" i="7"/>
  <c r="CD449" i="7"/>
  <c r="CE449" i="7"/>
  <c r="CF449" i="7"/>
  <c r="CG449" i="7"/>
  <c r="CH449" i="7"/>
  <c r="CI449" i="7"/>
  <c r="CJ449" i="7"/>
  <c r="CK449" i="7"/>
  <c r="CM449" i="7"/>
  <c r="CN449" i="7"/>
  <c r="CO449" i="7"/>
  <c r="CP449" i="7"/>
  <c r="CQ449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CC450" i="7"/>
  <c r="CD450" i="7"/>
  <c r="CE450" i="7"/>
  <c r="CF450" i="7"/>
  <c r="CG450" i="7"/>
  <c r="CH450" i="7"/>
  <c r="CI450" i="7"/>
  <c r="CJ450" i="7"/>
  <c r="CK450" i="7"/>
  <c r="CM450" i="7"/>
  <c r="CN450" i="7"/>
  <c r="CO450" i="7"/>
  <c r="CP450" i="7"/>
  <c r="CQ450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CC451" i="7"/>
  <c r="CD451" i="7"/>
  <c r="CE451" i="7"/>
  <c r="CF451" i="7"/>
  <c r="CG451" i="7"/>
  <c r="CH451" i="7"/>
  <c r="CI451" i="7"/>
  <c r="CJ451" i="7"/>
  <c r="CK451" i="7"/>
  <c r="CM451" i="7"/>
  <c r="CN451" i="7"/>
  <c r="CO451" i="7"/>
  <c r="CP451" i="7"/>
  <c r="CQ451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CC452" i="7"/>
  <c r="CD452" i="7"/>
  <c r="CE452" i="7"/>
  <c r="CF452" i="7"/>
  <c r="CG452" i="7"/>
  <c r="CH452" i="7"/>
  <c r="CI452" i="7"/>
  <c r="CJ452" i="7"/>
  <c r="CK452" i="7"/>
  <c r="CM452" i="7"/>
  <c r="CN452" i="7"/>
  <c r="CO452" i="7"/>
  <c r="CP452" i="7"/>
  <c r="CQ452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CC453" i="7"/>
  <c r="CD453" i="7"/>
  <c r="CE453" i="7"/>
  <c r="CF453" i="7"/>
  <c r="CG453" i="7"/>
  <c r="CH453" i="7"/>
  <c r="CI453" i="7"/>
  <c r="CJ453" i="7"/>
  <c r="CK453" i="7"/>
  <c r="CM453" i="7"/>
  <c r="CN453" i="7"/>
  <c r="CO453" i="7"/>
  <c r="CP453" i="7"/>
  <c r="CQ453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CC454" i="7"/>
  <c r="CD454" i="7"/>
  <c r="CE454" i="7"/>
  <c r="CF454" i="7"/>
  <c r="CG454" i="7"/>
  <c r="CH454" i="7"/>
  <c r="CI454" i="7"/>
  <c r="CJ454" i="7"/>
  <c r="CK454" i="7"/>
  <c r="CM454" i="7"/>
  <c r="CN454" i="7"/>
  <c r="CO454" i="7"/>
  <c r="CP454" i="7"/>
  <c r="CQ454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CC455" i="7"/>
  <c r="CD455" i="7"/>
  <c r="CE455" i="7"/>
  <c r="CF455" i="7"/>
  <c r="CG455" i="7"/>
  <c r="CH455" i="7"/>
  <c r="CI455" i="7"/>
  <c r="CJ455" i="7"/>
  <c r="CK455" i="7"/>
  <c r="CM455" i="7"/>
  <c r="CN455" i="7"/>
  <c r="CO455" i="7"/>
  <c r="CP455" i="7"/>
  <c r="CQ455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CC456" i="7"/>
  <c r="CD456" i="7"/>
  <c r="CE456" i="7"/>
  <c r="CF456" i="7"/>
  <c r="CG456" i="7"/>
  <c r="CH456" i="7"/>
  <c r="CI456" i="7"/>
  <c r="CJ456" i="7"/>
  <c r="CK456" i="7"/>
  <c r="CM456" i="7"/>
  <c r="CN456" i="7"/>
  <c r="CO456" i="7"/>
  <c r="CP456" i="7"/>
  <c r="CQ456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CC457" i="7"/>
  <c r="CD457" i="7"/>
  <c r="CE457" i="7"/>
  <c r="CF457" i="7"/>
  <c r="CG457" i="7"/>
  <c r="CH457" i="7"/>
  <c r="CI457" i="7"/>
  <c r="CJ457" i="7"/>
  <c r="CK457" i="7"/>
  <c r="CM457" i="7"/>
  <c r="CN457" i="7"/>
  <c r="CO457" i="7"/>
  <c r="CP457" i="7"/>
  <c r="CQ457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CC458" i="7"/>
  <c r="CD458" i="7"/>
  <c r="CE458" i="7"/>
  <c r="CF458" i="7"/>
  <c r="CG458" i="7"/>
  <c r="CH458" i="7"/>
  <c r="CI458" i="7"/>
  <c r="CJ458" i="7"/>
  <c r="CK458" i="7"/>
  <c r="CM458" i="7"/>
  <c r="CN458" i="7"/>
  <c r="CO458" i="7"/>
  <c r="CP458" i="7"/>
  <c r="CQ458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CC459" i="7"/>
  <c r="CD459" i="7"/>
  <c r="CE459" i="7"/>
  <c r="CF459" i="7"/>
  <c r="CG459" i="7"/>
  <c r="CH459" i="7"/>
  <c r="CI459" i="7"/>
  <c r="CJ459" i="7"/>
  <c r="CK459" i="7"/>
  <c r="CM459" i="7"/>
  <c r="CN459" i="7"/>
  <c r="CO459" i="7"/>
  <c r="CP459" i="7"/>
  <c r="CQ459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CC460" i="7"/>
  <c r="CD460" i="7"/>
  <c r="CE460" i="7"/>
  <c r="CF460" i="7"/>
  <c r="CG460" i="7"/>
  <c r="CH460" i="7"/>
  <c r="CI460" i="7"/>
  <c r="CJ460" i="7"/>
  <c r="CK460" i="7"/>
  <c r="CM460" i="7"/>
  <c r="CN460" i="7"/>
  <c r="CO460" i="7"/>
  <c r="CP460" i="7"/>
  <c r="CQ460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CC461" i="7"/>
  <c r="CD461" i="7"/>
  <c r="CE461" i="7"/>
  <c r="CF461" i="7"/>
  <c r="CG461" i="7"/>
  <c r="CH461" i="7"/>
  <c r="CI461" i="7"/>
  <c r="CJ461" i="7"/>
  <c r="CK461" i="7"/>
  <c r="CM461" i="7"/>
  <c r="CN461" i="7"/>
  <c r="CO461" i="7"/>
  <c r="CP461" i="7"/>
  <c r="CQ461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CC462" i="7"/>
  <c r="CD462" i="7"/>
  <c r="CE462" i="7"/>
  <c r="CF462" i="7"/>
  <c r="CG462" i="7"/>
  <c r="CH462" i="7"/>
  <c r="CI462" i="7"/>
  <c r="CJ462" i="7"/>
  <c r="CK462" i="7"/>
  <c r="CM462" i="7"/>
  <c r="CN462" i="7"/>
  <c r="CO462" i="7"/>
  <c r="CP462" i="7"/>
  <c r="CQ462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CC463" i="7"/>
  <c r="CD463" i="7"/>
  <c r="CE463" i="7"/>
  <c r="CF463" i="7"/>
  <c r="CG463" i="7"/>
  <c r="CH463" i="7"/>
  <c r="CI463" i="7"/>
  <c r="CJ463" i="7"/>
  <c r="CK463" i="7"/>
  <c r="CM463" i="7"/>
  <c r="CN463" i="7"/>
  <c r="CO463" i="7"/>
  <c r="CP463" i="7"/>
  <c r="CQ463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CC464" i="7"/>
  <c r="CD464" i="7"/>
  <c r="CE464" i="7"/>
  <c r="CF464" i="7"/>
  <c r="CG464" i="7"/>
  <c r="CH464" i="7"/>
  <c r="CI464" i="7"/>
  <c r="CJ464" i="7"/>
  <c r="CK464" i="7"/>
  <c r="CM464" i="7"/>
  <c r="CN464" i="7"/>
  <c r="CO464" i="7"/>
  <c r="CP464" i="7"/>
  <c r="CQ464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CC465" i="7"/>
  <c r="CD465" i="7"/>
  <c r="CE465" i="7"/>
  <c r="CF465" i="7"/>
  <c r="CG465" i="7"/>
  <c r="CH465" i="7"/>
  <c r="CI465" i="7"/>
  <c r="CJ465" i="7"/>
  <c r="CK465" i="7"/>
  <c r="CM465" i="7"/>
  <c r="CN465" i="7"/>
  <c r="CO465" i="7"/>
  <c r="CP465" i="7"/>
  <c r="CQ465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CC466" i="7"/>
  <c r="CD466" i="7"/>
  <c r="CE466" i="7"/>
  <c r="CF466" i="7"/>
  <c r="CG466" i="7"/>
  <c r="CH466" i="7"/>
  <c r="CI466" i="7"/>
  <c r="CJ466" i="7"/>
  <c r="CK466" i="7"/>
  <c r="CM466" i="7"/>
  <c r="CN466" i="7"/>
  <c r="CO466" i="7"/>
  <c r="CP466" i="7"/>
  <c r="CQ466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CC467" i="7"/>
  <c r="CD467" i="7"/>
  <c r="CE467" i="7"/>
  <c r="CF467" i="7"/>
  <c r="CG467" i="7"/>
  <c r="CH467" i="7"/>
  <c r="CI467" i="7"/>
  <c r="CJ467" i="7"/>
  <c r="CK467" i="7"/>
  <c r="CM467" i="7"/>
  <c r="CN467" i="7"/>
  <c r="CO467" i="7"/>
  <c r="CP467" i="7"/>
  <c r="CQ467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CC468" i="7"/>
  <c r="CD468" i="7"/>
  <c r="CE468" i="7"/>
  <c r="CF468" i="7"/>
  <c r="CG468" i="7"/>
  <c r="CH468" i="7"/>
  <c r="CI468" i="7"/>
  <c r="CJ468" i="7"/>
  <c r="CK468" i="7"/>
  <c r="CM468" i="7"/>
  <c r="CN468" i="7"/>
  <c r="CO468" i="7"/>
  <c r="CP468" i="7"/>
  <c r="CQ468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CC469" i="7"/>
  <c r="CD469" i="7"/>
  <c r="CE469" i="7"/>
  <c r="CF469" i="7"/>
  <c r="CG469" i="7"/>
  <c r="CH469" i="7"/>
  <c r="CI469" i="7"/>
  <c r="CJ469" i="7"/>
  <c r="CK469" i="7"/>
  <c r="CM469" i="7"/>
  <c r="CN469" i="7"/>
  <c r="CO469" i="7"/>
  <c r="CP469" i="7"/>
  <c r="CQ469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CC470" i="7"/>
  <c r="CD470" i="7"/>
  <c r="CE470" i="7"/>
  <c r="CF470" i="7"/>
  <c r="CG470" i="7"/>
  <c r="CH470" i="7"/>
  <c r="CI470" i="7"/>
  <c r="CJ470" i="7"/>
  <c r="CK470" i="7"/>
  <c r="CM470" i="7"/>
  <c r="CN470" i="7"/>
  <c r="CO470" i="7"/>
  <c r="CP470" i="7"/>
  <c r="CQ470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CC471" i="7"/>
  <c r="CD471" i="7"/>
  <c r="CE471" i="7"/>
  <c r="CF471" i="7"/>
  <c r="CG471" i="7"/>
  <c r="CH471" i="7"/>
  <c r="CI471" i="7"/>
  <c r="CJ471" i="7"/>
  <c r="CK471" i="7"/>
  <c r="CM471" i="7"/>
  <c r="CN471" i="7"/>
  <c r="CO471" i="7"/>
  <c r="CP471" i="7"/>
  <c r="CQ471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CC472" i="7"/>
  <c r="CD472" i="7"/>
  <c r="CE472" i="7"/>
  <c r="CF472" i="7"/>
  <c r="CG472" i="7"/>
  <c r="CH472" i="7"/>
  <c r="CI472" i="7"/>
  <c r="CJ472" i="7"/>
  <c r="CK472" i="7"/>
  <c r="CM472" i="7"/>
  <c r="CN472" i="7"/>
  <c r="CO472" i="7"/>
  <c r="CP472" i="7"/>
  <c r="CQ472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CC473" i="7"/>
  <c r="CD473" i="7"/>
  <c r="CE473" i="7"/>
  <c r="CF473" i="7"/>
  <c r="CG473" i="7"/>
  <c r="CH473" i="7"/>
  <c r="CI473" i="7"/>
  <c r="CJ473" i="7"/>
  <c r="CK473" i="7"/>
  <c r="CM473" i="7"/>
  <c r="CN473" i="7"/>
  <c r="CO473" i="7"/>
  <c r="CP473" i="7"/>
  <c r="CQ473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CC474" i="7"/>
  <c r="CD474" i="7"/>
  <c r="CE474" i="7"/>
  <c r="CF474" i="7"/>
  <c r="CG474" i="7"/>
  <c r="CH474" i="7"/>
  <c r="CI474" i="7"/>
  <c r="CJ474" i="7"/>
  <c r="CK474" i="7"/>
  <c r="CM474" i="7"/>
  <c r="CN474" i="7"/>
  <c r="CO474" i="7"/>
  <c r="CP474" i="7"/>
  <c r="CQ474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CC475" i="7"/>
  <c r="CD475" i="7"/>
  <c r="CE475" i="7"/>
  <c r="CF475" i="7"/>
  <c r="CG475" i="7"/>
  <c r="CH475" i="7"/>
  <c r="CI475" i="7"/>
  <c r="CJ475" i="7"/>
  <c r="CK475" i="7"/>
  <c r="CM475" i="7"/>
  <c r="CN475" i="7"/>
  <c r="CO475" i="7"/>
  <c r="CP475" i="7"/>
  <c r="CQ475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CC476" i="7"/>
  <c r="CD476" i="7"/>
  <c r="CE476" i="7"/>
  <c r="CF476" i="7"/>
  <c r="CG476" i="7"/>
  <c r="CH476" i="7"/>
  <c r="CI476" i="7"/>
  <c r="CJ476" i="7"/>
  <c r="CK476" i="7"/>
  <c r="CM476" i="7"/>
  <c r="CN476" i="7"/>
  <c r="CO476" i="7"/>
  <c r="CP476" i="7"/>
  <c r="CQ476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CC477" i="7"/>
  <c r="CD477" i="7"/>
  <c r="CE477" i="7"/>
  <c r="CF477" i="7"/>
  <c r="CG477" i="7"/>
  <c r="CH477" i="7"/>
  <c r="CI477" i="7"/>
  <c r="CJ477" i="7"/>
  <c r="CK477" i="7"/>
  <c r="CM477" i="7"/>
  <c r="CN477" i="7"/>
  <c r="CO477" i="7"/>
  <c r="CP477" i="7"/>
  <c r="CQ477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CC478" i="7"/>
  <c r="CD478" i="7"/>
  <c r="CE478" i="7"/>
  <c r="CF478" i="7"/>
  <c r="CG478" i="7"/>
  <c r="CH478" i="7"/>
  <c r="CI478" i="7"/>
  <c r="CJ478" i="7"/>
  <c r="CK478" i="7"/>
  <c r="CM478" i="7"/>
  <c r="CN478" i="7"/>
  <c r="CO478" i="7"/>
  <c r="CP478" i="7"/>
  <c r="CQ478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CC479" i="7"/>
  <c r="CD479" i="7"/>
  <c r="CE479" i="7"/>
  <c r="CF479" i="7"/>
  <c r="CG479" i="7"/>
  <c r="CH479" i="7"/>
  <c r="CI479" i="7"/>
  <c r="CJ479" i="7"/>
  <c r="CK479" i="7"/>
  <c r="CM479" i="7"/>
  <c r="CN479" i="7"/>
  <c r="CO479" i="7"/>
  <c r="CP479" i="7"/>
  <c r="CQ479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CC480" i="7"/>
  <c r="CD480" i="7"/>
  <c r="CE480" i="7"/>
  <c r="CF480" i="7"/>
  <c r="CG480" i="7"/>
  <c r="CH480" i="7"/>
  <c r="CI480" i="7"/>
  <c r="CJ480" i="7"/>
  <c r="CK480" i="7"/>
  <c r="CM480" i="7"/>
  <c r="CN480" i="7"/>
  <c r="CO480" i="7"/>
  <c r="CP480" i="7"/>
  <c r="CQ480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CC481" i="7"/>
  <c r="CD481" i="7"/>
  <c r="CE481" i="7"/>
  <c r="CF481" i="7"/>
  <c r="CG481" i="7"/>
  <c r="CH481" i="7"/>
  <c r="CI481" i="7"/>
  <c r="CJ481" i="7"/>
  <c r="CK481" i="7"/>
  <c r="CM481" i="7"/>
  <c r="CN481" i="7"/>
  <c r="CO481" i="7"/>
  <c r="CP481" i="7"/>
  <c r="CQ481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CC482" i="7"/>
  <c r="CD482" i="7"/>
  <c r="CE482" i="7"/>
  <c r="CF482" i="7"/>
  <c r="CG482" i="7"/>
  <c r="CH482" i="7"/>
  <c r="CI482" i="7"/>
  <c r="CJ482" i="7"/>
  <c r="CK482" i="7"/>
  <c r="CM482" i="7"/>
  <c r="CN482" i="7"/>
  <c r="CO482" i="7"/>
  <c r="CP482" i="7"/>
  <c r="CQ482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CC483" i="7"/>
  <c r="CD483" i="7"/>
  <c r="CE483" i="7"/>
  <c r="CF483" i="7"/>
  <c r="CG483" i="7"/>
  <c r="CH483" i="7"/>
  <c r="CI483" i="7"/>
  <c r="CJ483" i="7"/>
  <c r="CK483" i="7"/>
  <c r="CM483" i="7"/>
  <c r="CN483" i="7"/>
  <c r="CO483" i="7"/>
  <c r="CP483" i="7"/>
  <c r="CQ483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CC484" i="7"/>
  <c r="CD484" i="7"/>
  <c r="CE484" i="7"/>
  <c r="CF484" i="7"/>
  <c r="CG484" i="7"/>
  <c r="CH484" i="7"/>
  <c r="CI484" i="7"/>
  <c r="CJ484" i="7"/>
  <c r="CK484" i="7"/>
  <c r="CM484" i="7"/>
  <c r="CN484" i="7"/>
  <c r="CO484" i="7"/>
  <c r="CP484" i="7"/>
  <c r="CQ484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CC485" i="7"/>
  <c r="CD485" i="7"/>
  <c r="CE485" i="7"/>
  <c r="CF485" i="7"/>
  <c r="CG485" i="7"/>
  <c r="CH485" i="7"/>
  <c r="CI485" i="7"/>
  <c r="CJ485" i="7"/>
  <c r="CK485" i="7"/>
  <c r="CM485" i="7"/>
  <c r="CN485" i="7"/>
  <c r="CO485" i="7"/>
  <c r="CP485" i="7"/>
  <c r="CQ485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CC486" i="7"/>
  <c r="CD486" i="7"/>
  <c r="CE486" i="7"/>
  <c r="CF486" i="7"/>
  <c r="CG486" i="7"/>
  <c r="CH486" i="7"/>
  <c r="CI486" i="7"/>
  <c r="CJ486" i="7"/>
  <c r="CK486" i="7"/>
  <c r="CM486" i="7"/>
  <c r="CN486" i="7"/>
  <c r="CO486" i="7"/>
  <c r="CP486" i="7"/>
  <c r="CQ486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CC487" i="7"/>
  <c r="CD487" i="7"/>
  <c r="CE487" i="7"/>
  <c r="CF487" i="7"/>
  <c r="CG487" i="7"/>
  <c r="CH487" i="7"/>
  <c r="CI487" i="7"/>
  <c r="CJ487" i="7"/>
  <c r="CK487" i="7"/>
  <c r="CM487" i="7"/>
  <c r="CN487" i="7"/>
  <c r="CO487" i="7"/>
  <c r="CP487" i="7"/>
  <c r="CQ487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CC488" i="7"/>
  <c r="CD488" i="7"/>
  <c r="CE488" i="7"/>
  <c r="CF488" i="7"/>
  <c r="CG488" i="7"/>
  <c r="CH488" i="7"/>
  <c r="CI488" i="7"/>
  <c r="CJ488" i="7"/>
  <c r="CK488" i="7"/>
  <c r="CM488" i="7"/>
  <c r="CN488" i="7"/>
  <c r="CO488" i="7"/>
  <c r="CP488" i="7"/>
  <c r="CQ488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CC489" i="7"/>
  <c r="CD489" i="7"/>
  <c r="CE489" i="7"/>
  <c r="CF489" i="7"/>
  <c r="CG489" i="7"/>
  <c r="CH489" i="7"/>
  <c r="CI489" i="7"/>
  <c r="CJ489" i="7"/>
  <c r="CK489" i="7"/>
  <c r="CM489" i="7"/>
  <c r="CN489" i="7"/>
  <c r="CO489" i="7"/>
  <c r="CP489" i="7"/>
  <c r="CQ489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CC490" i="7"/>
  <c r="CD490" i="7"/>
  <c r="CE490" i="7"/>
  <c r="CF490" i="7"/>
  <c r="CG490" i="7"/>
  <c r="CH490" i="7"/>
  <c r="CI490" i="7"/>
  <c r="CJ490" i="7"/>
  <c r="CK490" i="7"/>
  <c r="CM490" i="7"/>
  <c r="CN490" i="7"/>
  <c r="CO490" i="7"/>
  <c r="CP490" i="7"/>
  <c r="CQ490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CC491" i="7"/>
  <c r="CD491" i="7"/>
  <c r="CE491" i="7"/>
  <c r="CF491" i="7"/>
  <c r="CG491" i="7"/>
  <c r="CH491" i="7"/>
  <c r="CI491" i="7"/>
  <c r="CJ491" i="7"/>
  <c r="CK491" i="7"/>
  <c r="CM491" i="7"/>
  <c r="CN491" i="7"/>
  <c r="CO491" i="7"/>
  <c r="CP491" i="7"/>
  <c r="CQ491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CC492" i="7"/>
  <c r="CD492" i="7"/>
  <c r="CE492" i="7"/>
  <c r="CF492" i="7"/>
  <c r="CG492" i="7"/>
  <c r="CH492" i="7"/>
  <c r="CI492" i="7"/>
  <c r="CJ492" i="7"/>
  <c r="CK492" i="7"/>
  <c r="CM492" i="7"/>
  <c r="CN492" i="7"/>
  <c r="CO492" i="7"/>
  <c r="CP492" i="7"/>
  <c r="CQ492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CC493" i="7"/>
  <c r="CD493" i="7"/>
  <c r="CE493" i="7"/>
  <c r="CF493" i="7"/>
  <c r="CG493" i="7"/>
  <c r="CH493" i="7"/>
  <c r="CI493" i="7"/>
  <c r="CJ493" i="7"/>
  <c r="CK493" i="7"/>
  <c r="CM493" i="7"/>
  <c r="CN493" i="7"/>
  <c r="CO493" i="7"/>
  <c r="CP493" i="7"/>
  <c r="CQ493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CC494" i="7"/>
  <c r="CD494" i="7"/>
  <c r="CE494" i="7"/>
  <c r="CF494" i="7"/>
  <c r="CG494" i="7"/>
  <c r="CH494" i="7"/>
  <c r="CI494" i="7"/>
  <c r="CJ494" i="7"/>
  <c r="CK494" i="7"/>
  <c r="CM494" i="7"/>
  <c r="CN494" i="7"/>
  <c r="CO494" i="7"/>
  <c r="CP494" i="7"/>
  <c r="CQ494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CC495" i="7"/>
  <c r="CD495" i="7"/>
  <c r="CE495" i="7"/>
  <c r="CF495" i="7"/>
  <c r="CG495" i="7"/>
  <c r="CH495" i="7"/>
  <c r="CI495" i="7"/>
  <c r="CJ495" i="7"/>
  <c r="CK495" i="7"/>
  <c r="CM495" i="7"/>
  <c r="CN495" i="7"/>
  <c r="CO495" i="7"/>
  <c r="CP495" i="7"/>
  <c r="CQ495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CC496" i="7"/>
  <c r="CD496" i="7"/>
  <c r="CE496" i="7"/>
  <c r="CF496" i="7"/>
  <c r="CG496" i="7"/>
  <c r="CH496" i="7"/>
  <c r="CI496" i="7"/>
  <c r="CJ496" i="7"/>
  <c r="CK496" i="7"/>
  <c r="CM496" i="7"/>
  <c r="CN496" i="7"/>
  <c r="CO496" i="7"/>
  <c r="CP496" i="7"/>
  <c r="CQ496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CC497" i="7"/>
  <c r="CD497" i="7"/>
  <c r="CE497" i="7"/>
  <c r="CF497" i="7"/>
  <c r="CG497" i="7"/>
  <c r="CH497" i="7"/>
  <c r="CI497" i="7"/>
  <c r="CJ497" i="7"/>
  <c r="CK497" i="7"/>
  <c r="CM497" i="7"/>
  <c r="CN497" i="7"/>
  <c r="CO497" i="7"/>
  <c r="CP497" i="7"/>
  <c r="CQ497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CC498" i="7"/>
  <c r="CD498" i="7"/>
  <c r="CE498" i="7"/>
  <c r="CF498" i="7"/>
  <c r="CG498" i="7"/>
  <c r="CH498" i="7"/>
  <c r="CI498" i="7"/>
  <c r="CJ498" i="7"/>
  <c r="CK498" i="7"/>
  <c r="CM498" i="7"/>
  <c r="CN498" i="7"/>
  <c r="CO498" i="7"/>
  <c r="CP498" i="7"/>
  <c r="CQ498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CC499" i="7"/>
  <c r="CD499" i="7"/>
  <c r="CE499" i="7"/>
  <c r="CF499" i="7"/>
  <c r="CG499" i="7"/>
  <c r="CH499" i="7"/>
  <c r="CI499" i="7"/>
  <c r="CJ499" i="7"/>
  <c r="CK499" i="7"/>
  <c r="CM499" i="7"/>
  <c r="CN499" i="7"/>
  <c r="CO499" i="7"/>
  <c r="CP499" i="7"/>
  <c r="CQ499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CC500" i="7"/>
  <c r="CD500" i="7"/>
  <c r="CE500" i="7"/>
  <c r="CF500" i="7"/>
  <c r="CG500" i="7"/>
  <c r="CH500" i="7"/>
  <c r="CI500" i="7"/>
  <c r="CJ500" i="7"/>
  <c r="CK500" i="7"/>
  <c r="CM500" i="7"/>
  <c r="CN500" i="7"/>
  <c r="CO500" i="7"/>
  <c r="CP500" i="7"/>
  <c r="CQ500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CC501" i="7"/>
  <c r="CD501" i="7"/>
  <c r="CE501" i="7"/>
  <c r="CF501" i="7"/>
  <c r="CG501" i="7"/>
  <c r="CH501" i="7"/>
  <c r="CI501" i="7"/>
  <c r="CJ501" i="7"/>
  <c r="CK501" i="7"/>
  <c r="CM501" i="7"/>
  <c r="CN501" i="7"/>
  <c r="CO501" i="7"/>
  <c r="CP501" i="7"/>
  <c r="CQ501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CC502" i="7"/>
  <c r="CD502" i="7"/>
  <c r="CE502" i="7"/>
  <c r="CF502" i="7"/>
  <c r="CG502" i="7"/>
  <c r="CH502" i="7"/>
  <c r="CI502" i="7"/>
  <c r="CJ502" i="7"/>
  <c r="CK502" i="7"/>
  <c r="CM502" i="7"/>
  <c r="CN502" i="7"/>
  <c r="CO502" i="7"/>
  <c r="CP502" i="7"/>
  <c r="CQ502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CC503" i="7"/>
  <c r="CD503" i="7"/>
  <c r="CE503" i="7"/>
  <c r="CF503" i="7"/>
  <c r="CG503" i="7"/>
  <c r="CH503" i="7"/>
  <c r="CI503" i="7"/>
  <c r="CJ503" i="7"/>
  <c r="CK503" i="7"/>
  <c r="CM503" i="7"/>
  <c r="CN503" i="7"/>
  <c r="CO503" i="7"/>
  <c r="CP503" i="7"/>
  <c r="CQ503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CC504" i="7"/>
  <c r="CD504" i="7"/>
  <c r="CE504" i="7"/>
  <c r="CF504" i="7"/>
  <c r="CG504" i="7"/>
  <c r="CH504" i="7"/>
  <c r="CI504" i="7"/>
  <c r="CJ504" i="7"/>
  <c r="CK504" i="7"/>
  <c r="CM504" i="7"/>
  <c r="CN504" i="7"/>
  <c r="CO504" i="7"/>
  <c r="CP504" i="7"/>
  <c r="CQ504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CC505" i="7"/>
  <c r="CD505" i="7"/>
  <c r="CE505" i="7"/>
  <c r="CF505" i="7"/>
  <c r="CG505" i="7"/>
  <c r="CH505" i="7"/>
  <c r="CI505" i="7"/>
  <c r="CJ505" i="7"/>
  <c r="CK505" i="7"/>
  <c r="CM505" i="7"/>
  <c r="CN505" i="7"/>
  <c r="CO505" i="7"/>
  <c r="CP505" i="7"/>
  <c r="CQ505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CC506" i="7"/>
  <c r="CD506" i="7"/>
  <c r="CE506" i="7"/>
  <c r="CF506" i="7"/>
  <c r="CG506" i="7"/>
  <c r="CH506" i="7"/>
  <c r="CI506" i="7"/>
  <c r="CJ506" i="7"/>
  <c r="CK506" i="7"/>
  <c r="CM506" i="7"/>
  <c r="CN506" i="7"/>
  <c r="CO506" i="7"/>
  <c r="CP506" i="7"/>
  <c r="CQ506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CC507" i="7"/>
  <c r="CD507" i="7"/>
  <c r="CE507" i="7"/>
  <c r="CF507" i="7"/>
  <c r="CG507" i="7"/>
  <c r="CH507" i="7"/>
  <c r="CI507" i="7"/>
  <c r="CJ507" i="7"/>
  <c r="CK507" i="7"/>
  <c r="CM507" i="7"/>
  <c r="CN507" i="7"/>
  <c r="CO507" i="7"/>
  <c r="CP507" i="7"/>
  <c r="CQ507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CC508" i="7"/>
  <c r="CD508" i="7"/>
  <c r="CE508" i="7"/>
  <c r="CF508" i="7"/>
  <c r="CG508" i="7"/>
  <c r="CH508" i="7"/>
  <c r="CI508" i="7"/>
  <c r="CJ508" i="7"/>
  <c r="CK508" i="7"/>
  <c r="CM508" i="7"/>
  <c r="CN508" i="7"/>
  <c r="CO508" i="7"/>
  <c r="CP508" i="7"/>
  <c r="CQ508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CC509" i="7"/>
  <c r="CD509" i="7"/>
  <c r="CE509" i="7"/>
  <c r="CF509" i="7"/>
  <c r="CG509" i="7"/>
  <c r="CH509" i="7"/>
  <c r="CI509" i="7"/>
  <c r="CJ509" i="7"/>
  <c r="CK509" i="7"/>
  <c r="CM509" i="7"/>
  <c r="CN509" i="7"/>
  <c r="CO509" i="7"/>
  <c r="CP509" i="7"/>
  <c r="CQ509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CC510" i="7"/>
  <c r="CD510" i="7"/>
  <c r="CE510" i="7"/>
  <c r="CF510" i="7"/>
  <c r="CG510" i="7"/>
  <c r="CH510" i="7"/>
  <c r="CI510" i="7"/>
  <c r="CJ510" i="7"/>
  <c r="CK510" i="7"/>
  <c r="CM510" i="7"/>
  <c r="CN510" i="7"/>
  <c r="CO510" i="7"/>
  <c r="CP510" i="7"/>
  <c r="CQ510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CC511" i="7"/>
  <c r="CD511" i="7"/>
  <c r="CE511" i="7"/>
  <c r="CF511" i="7"/>
  <c r="CG511" i="7"/>
  <c r="CH511" i="7"/>
  <c r="CI511" i="7"/>
  <c r="CJ511" i="7"/>
  <c r="CK511" i="7"/>
  <c r="CM511" i="7"/>
  <c r="CN511" i="7"/>
  <c r="CO511" i="7"/>
  <c r="CP511" i="7"/>
  <c r="CQ511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CC512" i="7"/>
  <c r="CD512" i="7"/>
  <c r="CE512" i="7"/>
  <c r="CF512" i="7"/>
  <c r="CG512" i="7"/>
  <c r="CH512" i="7"/>
  <c r="CI512" i="7"/>
  <c r="CJ512" i="7"/>
  <c r="CK512" i="7"/>
  <c r="CM512" i="7"/>
  <c r="CN512" i="7"/>
  <c r="CO512" i="7"/>
  <c r="CP512" i="7"/>
  <c r="CQ512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CC513" i="7"/>
  <c r="CD513" i="7"/>
  <c r="CE513" i="7"/>
  <c r="CF513" i="7"/>
  <c r="CG513" i="7"/>
  <c r="CH513" i="7"/>
  <c r="CI513" i="7"/>
  <c r="CJ513" i="7"/>
  <c r="CK513" i="7"/>
  <c r="CM513" i="7"/>
  <c r="CN513" i="7"/>
  <c r="CO513" i="7"/>
  <c r="CP513" i="7"/>
  <c r="CQ513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CC514" i="7"/>
  <c r="CD514" i="7"/>
  <c r="CE514" i="7"/>
  <c r="CF514" i="7"/>
  <c r="CG514" i="7"/>
  <c r="CH514" i="7"/>
  <c r="CI514" i="7"/>
  <c r="CJ514" i="7"/>
  <c r="CK514" i="7"/>
  <c r="CM514" i="7"/>
  <c r="CN514" i="7"/>
  <c r="CO514" i="7"/>
  <c r="CP514" i="7"/>
  <c r="CQ514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CC515" i="7"/>
  <c r="CD515" i="7"/>
  <c r="CE515" i="7"/>
  <c r="CF515" i="7"/>
  <c r="CG515" i="7"/>
  <c r="CH515" i="7"/>
  <c r="CI515" i="7"/>
  <c r="CJ515" i="7"/>
  <c r="CK515" i="7"/>
  <c r="CM515" i="7"/>
  <c r="CN515" i="7"/>
  <c r="CO515" i="7"/>
  <c r="CP515" i="7"/>
  <c r="CQ515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CC516" i="7"/>
  <c r="CD516" i="7"/>
  <c r="CE516" i="7"/>
  <c r="CF516" i="7"/>
  <c r="CG516" i="7"/>
  <c r="CH516" i="7"/>
  <c r="CI516" i="7"/>
  <c r="CJ516" i="7"/>
  <c r="CK516" i="7"/>
  <c r="CM516" i="7"/>
  <c r="CN516" i="7"/>
  <c r="CO516" i="7"/>
  <c r="CP516" i="7"/>
  <c r="CQ516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CC517" i="7"/>
  <c r="CD517" i="7"/>
  <c r="CE517" i="7"/>
  <c r="CF517" i="7"/>
  <c r="CG517" i="7"/>
  <c r="CH517" i="7"/>
  <c r="CI517" i="7"/>
  <c r="CJ517" i="7"/>
  <c r="CK517" i="7"/>
  <c r="CM517" i="7"/>
  <c r="CN517" i="7"/>
  <c r="CO517" i="7"/>
  <c r="CP517" i="7"/>
  <c r="CQ517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CC518" i="7"/>
  <c r="CD518" i="7"/>
  <c r="CE518" i="7"/>
  <c r="CF518" i="7"/>
  <c r="CG518" i="7"/>
  <c r="CH518" i="7"/>
  <c r="CI518" i="7"/>
  <c r="CJ518" i="7"/>
  <c r="CK518" i="7"/>
  <c r="CM518" i="7"/>
  <c r="CN518" i="7"/>
  <c r="CO518" i="7"/>
  <c r="CP518" i="7"/>
  <c r="CQ518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CC519" i="7"/>
  <c r="CD519" i="7"/>
  <c r="CE519" i="7"/>
  <c r="CF519" i="7"/>
  <c r="CG519" i="7"/>
  <c r="CH519" i="7"/>
  <c r="CI519" i="7"/>
  <c r="CJ519" i="7"/>
  <c r="CK519" i="7"/>
  <c r="CM519" i="7"/>
  <c r="CN519" i="7"/>
  <c r="CO519" i="7"/>
  <c r="CP519" i="7"/>
  <c r="CQ519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CC520" i="7"/>
  <c r="CD520" i="7"/>
  <c r="CE520" i="7"/>
  <c r="CF520" i="7"/>
  <c r="CG520" i="7"/>
  <c r="CH520" i="7"/>
  <c r="CI520" i="7"/>
  <c r="CJ520" i="7"/>
  <c r="CK520" i="7"/>
  <c r="CM520" i="7"/>
  <c r="CN520" i="7"/>
  <c r="CO520" i="7"/>
  <c r="CP520" i="7"/>
  <c r="CQ520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CC521" i="7"/>
  <c r="CD521" i="7"/>
  <c r="CE521" i="7"/>
  <c r="CF521" i="7"/>
  <c r="CG521" i="7"/>
  <c r="CH521" i="7"/>
  <c r="CI521" i="7"/>
  <c r="CJ521" i="7"/>
  <c r="CK521" i="7"/>
  <c r="CM521" i="7"/>
  <c r="CN521" i="7"/>
  <c r="CO521" i="7"/>
  <c r="CP521" i="7"/>
  <c r="CQ521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CC522" i="7"/>
  <c r="CD522" i="7"/>
  <c r="CE522" i="7"/>
  <c r="CF522" i="7"/>
  <c r="CG522" i="7"/>
  <c r="CH522" i="7"/>
  <c r="CI522" i="7"/>
  <c r="CJ522" i="7"/>
  <c r="CK522" i="7"/>
  <c r="CM522" i="7"/>
  <c r="CN522" i="7"/>
  <c r="CO522" i="7"/>
  <c r="CP522" i="7"/>
  <c r="CQ522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CC523" i="7"/>
  <c r="CD523" i="7"/>
  <c r="CE523" i="7"/>
  <c r="CF523" i="7"/>
  <c r="CG523" i="7"/>
  <c r="CH523" i="7"/>
  <c r="CI523" i="7"/>
  <c r="CJ523" i="7"/>
  <c r="CK523" i="7"/>
  <c r="CM523" i="7"/>
  <c r="CN523" i="7"/>
  <c r="CO523" i="7"/>
  <c r="CP523" i="7"/>
  <c r="CQ523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CC524" i="7"/>
  <c r="CD524" i="7"/>
  <c r="CE524" i="7"/>
  <c r="CF524" i="7"/>
  <c r="CG524" i="7"/>
  <c r="CH524" i="7"/>
  <c r="CI524" i="7"/>
  <c r="CJ524" i="7"/>
  <c r="CK524" i="7"/>
  <c r="CM524" i="7"/>
  <c r="CN524" i="7"/>
  <c r="CO524" i="7"/>
  <c r="CP524" i="7"/>
  <c r="CQ524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CC525" i="7"/>
  <c r="CD525" i="7"/>
  <c r="CE525" i="7"/>
  <c r="CF525" i="7"/>
  <c r="CG525" i="7"/>
  <c r="CH525" i="7"/>
  <c r="CI525" i="7"/>
  <c r="CJ525" i="7"/>
  <c r="CK525" i="7"/>
  <c r="CM525" i="7"/>
  <c r="CN525" i="7"/>
  <c r="CO525" i="7"/>
  <c r="CP525" i="7"/>
  <c r="CQ525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CC526" i="7"/>
  <c r="CD526" i="7"/>
  <c r="CE526" i="7"/>
  <c r="CF526" i="7"/>
  <c r="CG526" i="7"/>
  <c r="CH526" i="7"/>
  <c r="CI526" i="7"/>
  <c r="CJ526" i="7"/>
  <c r="CK526" i="7"/>
  <c r="CM526" i="7"/>
  <c r="CN526" i="7"/>
  <c r="CO526" i="7"/>
  <c r="CP526" i="7"/>
  <c r="CQ526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CC527" i="7"/>
  <c r="CD527" i="7"/>
  <c r="CE527" i="7"/>
  <c r="CF527" i="7"/>
  <c r="CG527" i="7"/>
  <c r="CH527" i="7"/>
  <c r="CI527" i="7"/>
  <c r="CJ527" i="7"/>
  <c r="CK527" i="7"/>
  <c r="CM527" i="7"/>
  <c r="CN527" i="7"/>
  <c r="CO527" i="7"/>
  <c r="CP527" i="7"/>
  <c r="CQ527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CC528" i="7"/>
  <c r="CD528" i="7"/>
  <c r="CE528" i="7"/>
  <c r="CF528" i="7"/>
  <c r="CG528" i="7"/>
  <c r="CH528" i="7"/>
  <c r="CI528" i="7"/>
  <c r="CJ528" i="7"/>
  <c r="CK528" i="7"/>
  <c r="CM528" i="7"/>
  <c r="CN528" i="7"/>
  <c r="CO528" i="7"/>
  <c r="CP528" i="7"/>
  <c r="CQ528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CC529" i="7"/>
  <c r="CD529" i="7"/>
  <c r="CE529" i="7"/>
  <c r="CF529" i="7"/>
  <c r="CG529" i="7"/>
  <c r="CH529" i="7"/>
  <c r="CI529" i="7"/>
  <c r="CJ529" i="7"/>
  <c r="CK529" i="7"/>
  <c r="CM529" i="7"/>
  <c r="CN529" i="7"/>
  <c r="CO529" i="7"/>
  <c r="CP529" i="7"/>
  <c r="CQ529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CC530" i="7"/>
  <c r="CD530" i="7"/>
  <c r="CE530" i="7"/>
  <c r="CF530" i="7"/>
  <c r="CG530" i="7"/>
  <c r="CH530" i="7"/>
  <c r="CI530" i="7"/>
  <c r="CJ530" i="7"/>
  <c r="CK530" i="7"/>
  <c r="CM530" i="7"/>
  <c r="CN530" i="7"/>
  <c r="CO530" i="7"/>
  <c r="CP530" i="7"/>
  <c r="CQ530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CC531" i="7"/>
  <c r="CD531" i="7"/>
  <c r="CE531" i="7"/>
  <c r="CF531" i="7"/>
  <c r="CG531" i="7"/>
  <c r="CH531" i="7"/>
  <c r="CI531" i="7"/>
  <c r="CJ531" i="7"/>
  <c r="CK531" i="7"/>
  <c r="CM531" i="7"/>
  <c r="CN531" i="7"/>
  <c r="CO531" i="7"/>
  <c r="CP531" i="7"/>
  <c r="CQ531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CC532" i="7"/>
  <c r="CD532" i="7"/>
  <c r="CE532" i="7"/>
  <c r="CF532" i="7"/>
  <c r="CG532" i="7"/>
  <c r="CH532" i="7"/>
  <c r="CI532" i="7"/>
  <c r="CJ532" i="7"/>
  <c r="CK532" i="7"/>
  <c r="CM532" i="7"/>
  <c r="CN532" i="7"/>
  <c r="CO532" i="7"/>
  <c r="CP532" i="7"/>
  <c r="CQ532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CC533" i="7"/>
  <c r="CD533" i="7"/>
  <c r="CE533" i="7"/>
  <c r="CF533" i="7"/>
  <c r="CG533" i="7"/>
  <c r="CH533" i="7"/>
  <c r="CI533" i="7"/>
  <c r="CJ533" i="7"/>
  <c r="CK533" i="7"/>
  <c r="CM533" i="7"/>
  <c r="CN533" i="7"/>
  <c r="CO533" i="7"/>
  <c r="CP533" i="7"/>
  <c r="CQ533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CC534" i="7"/>
  <c r="CD534" i="7"/>
  <c r="CE534" i="7"/>
  <c r="CF534" i="7"/>
  <c r="CG534" i="7"/>
  <c r="CH534" i="7"/>
  <c r="CI534" i="7"/>
  <c r="CJ534" i="7"/>
  <c r="CK534" i="7"/>
  <c r="CM534" i="7"/>
  <c r="CN534" i="7"/>
  <c r="CO534" i="7"/>
  <c r="CP534" i="7"/>
  <c r="CQ534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CC535" i="7"/>
  <c r="CD535" i="7"/>
  <c r="CE535" i="7"/>
  <c r="CF535" i="7"/>
  <c r="CG535" i="7"/>
  <c r="CH535" i="7"/>
  <c r="CI535" i="7"/>
  <c r="CJ535" i="7"/>
  <c r="CK535" i="7"/>
  <c r="CM535" i="7"/>
  <c r="CN535" i="7"/>
  <c r="CO535" i="7"/>
  <c r="CP535" i="7"/>
  <c r="CQ535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CC536" i="7"/>
  <c r="CD536" i="7"/>
  <c r="CE536" i="7"/>
  <c r="CF536" i="7"/>
  <c r="CG536" i="7"/>
  <c r="CH536" i="7"/>
  <c r="CI536" i="7"/>
  <c r="CJ536" i="7"/>
  <c r="CK536" i="7"/>
  <c r="CM536" i="7"/>
  <c r="CN536" i="7"/>
  <c r="CO536" i="7"/>
  <c r="CP536" i="7"/>
  <c r="CQ536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G537" i="7"/>
  <c r="AH537" i="7"/>
  <c r="AI537" i="7"/>
  <c r="CC537" i="7"/>
  <c r="CD537" i="7"/>
  <c r="CE537" i="7"/>
  <c r="CF537" i="7"/>
  <c r="CG537" i="7"/>
  <c r="CH537" i="7"/>
  <c r="CI537" i="7"/>
  <c r="CJ537" i="7"/>
  <c r="CK537" i="7"/>
  <c r="CM537" i="7"/>
  <c r="CN537" i="7"/>
  <c r="CO537" i="7"/>
  <c r="CP537" i="7"/>
  <c r="CQ537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G538" i="7"/>
  <c r="AH538" i="7"/>
  <c r="AI538" i="7"/>
  <c r="CC538" i="7"/>
  <c r="CD538" i="7"/>
  <c r="CE538" i="7"/>
  <c r="CF538" i="7"/>
  <c r="CG538" i="7"/>
  <c r="CH538" i="7"/>
  <c r="CI538" i="7"/>
  <c r="CJ538" i="7"/>
  <c r="CK538" i="7"/>
  <c r="CM538" i="7"/>
  <c r="CN538" i="7"/>
  <c r="CO538" i="7"/>
  <c r="CP538" i="7"/>
  <c r="CQ538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G539" i="7"/>
  <c r="AH539" i="7"/>
  <c r="AI539" i="7"/>
  <c r="CC539" i="7"/>
  <c r="CD539" i="7"/>
  <c r="CE539" i="7"/>
  <c r="CF539" i="7"/>
  <c r="CG539" i="7"/>
  <c r="CH539" i="7"/>
  <c r="CI539" i="7"/>
  <c r="CJ539" i="7"/>
  <c r="CK539" i="7"/>
  <c r="CM539" i="7"/>
  <c r="CN539" i="7"/>
  <c r="CO539" i="7"/>
  <c r="CP539" i="7"/>
  <c r="CQ539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G540" i="7"/>
  <c r="AH540" i="7"/>
  <c r="AI540" i="7"/>
  <c r="CC540" i="7"/>
  <c r="CD540" i="7"/>
  <c r="CE540" i="7"/>
  <c r="CF540" i="7"/>
  <c r="CG540" i="7"/>
  <c r="CH540" i="7"/>
  <c r="CI540" i="7"/>
  <c r="CJ540" i="7"/>
  <c r="CK540" i="7"/>
  <c r="CM540" i="7"/>
  <c r="CN540" i="7"/>
  <c r="CO540" i="7"/>
  <c r="CP540" i="7"/>
  <c r="CQ540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G541" i="7"/>
  <c r="AH541" i="7"/>
  <c r="AI541" i="7"/>
  <c r="CC541" i="7"/>
  <c r="CD541" i="7"/>
  <c r="CE541" i="7"/>
  <c r="CF541" i="7"/>
  <c r="CG541" i="7"/>
  <c r="CH541" i="7"/>
  <c r="CI541" i="7"/>
  <c r="CJ541" i="7"/>
  <c r="CK541" i="7"/>
  <c r="CM541" i="7"/>
  <c r="CN541" i="7"/>
  <c r="CO541" i="7"/>
  <c r="CP541" i="7"/>
  <c r="CQ541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G542" i="7"/>
  <c r="AH542" i="7"/>
  <c r="AI542" i="7"/>
  <c r="CC542" i="7"/>
  <c r="CD542" i="7"/>
  <c r="CE542" i="7"/>
  <c r="CF542" i="7"/>
  <c r="CG542" i="7"/>
  <c r="CH542" i="7"/>
  <c r="CI542" i="7"/>
  <c r="CJ542" i="7"/>
  <c r="CK542" i="7"/>
  <c r="CM542" i="7"/>
  <c r="CN542" i="7"/>
  <c r="CO542" i="7"/>
  <c r="CP542" i="7"/>
  <c r="CQ542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G543" i="7"/>
  <c r="AH543" i="7"/>
  <c r="AI543" i="7"/>
  <c r="CC543" i="7"/>
  <c r="CD543" i="7"/>
  <c r="CE543" i="7"/>
  <c r="CF543" i="7"/>
  <c r="CG543" i="7"/>
  <c r="CH543" i="7"/>
  <c r="CI543" i="7"/>
  <c r="CJ543" i="7"/>
  <c r="CK543" i="7"/>
  <c r="CM543" i="7"/>
  <c r="CN543" i="7"/>
  <c r="CO543" i="7"/>
  <c r="CP543" i="7"/>
  <c r="CQ543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G544" i="7"/>
  <c r="AH544" i="7"/>
  <c r="AI544" i="7"/>
  <c r="CC544" i="7"/>
  <c r="CD544" i="7"/>
  <c r="CE544" i="7"/>
  <c r="CF544" i="7"/>
  <c r="CG544" i="7"/>
  <c r="CH544" i="7"/>
  <c r="CI544" i="7"/>
  <c r="CJ544" i="7"/>
  <c r="CK544" i="7"/>
  <c r="CM544" i="7"/>
  <c r="CN544" i="7"/>
  <c r="CO544" i="7"/>
  <c r="CP544" i="7"/>
  <c r="CQ544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G545" i="7"/>
  <c r="AH545" i="7"/>
  <c r="AI545" i="7"/>
  <c r="CC545" i="7"/>
  <c r="CD545" i="7"/>
  <c r="CE545" i="7"/>
  <c r="CF545" i="7"/>
  <c r="CG545" i="7"/>
  <c r="CH545" i="7"/>
  <c r="CI545" i="7"/>
  <c r="CJ545" i="7"/>
  <c r="CK545" i="7"/>
  <c r="CM545" i="7"/>
  <c r="CN545" i="7"/>
  <c r="CO545" i="7"/>
  <c r="CP545" i="7"/>
  <c r="CQ545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G546" i="7"/>
  <c r="AH546" i="7"/>
  <c r="AI546" i="7"/>
  <c r="CC546" i="7"/>
  <c r="CD546" i="7"/>
  <c r="CE546" i="7"/>
  <c r="CF546" i="7"/>
  <c r="CG546" i="7"/>
  <c r="CH546" i="7"/>
  <c r="CI546" i="7"/>
  <c r="CJ546" i="7"/>
  <c r="CK546" i="7"/>
  <c r="CM546" i="7"/>
  <c r="CN546" i="7"/>
  <c r="CO546" i="7"/>
  <c r="CP546" i="7"/>
  <c r="CQ546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G547" i="7"/>
  <c r="AH547" i="7"/>
  <c r="AI547" i="7"/>
  <c r="CC547" i="7"/>
  <c r="CD547" i="7"/>
  <c r="CE547" i="7"/>
  <c r="CF547" i="7"/>
  <c r="CG547" i="7"/>
  <c r="CH547" i="7"/>
  <c r="CI547" i="7"/>
  <c r="CJ547" i="7"/>
  <c r="CK547" i="7"/>
  <c r="CM547" i="7"/>
  <c r="CN547" i="7"/>
  <c r="CO547" i="7"/>
  <c r="CP547" i="7"/>
  <c r="CQ547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G548" i="7"/>
  <c r="AH548" i="7"/>
  <c r="AI548" i="7"/>
  <c r="CC548" i="7"/>
  <c r="CD548" i="7"/>
  <c r="CE548" i="7"/>
  <c r="CF548" i="7"/>
  <c r="CG548" i="7"/>
  <c r="CH548" i="7"/>
  <c r="CI548" i="7"/>
  <c r="CJ548" i="7"/>
  <c r="CK548" i="7"/>
  <c r="CM548" i="7"/>
  <c r="CN548" i="7"/>
  <c r="CO548" i="7"/>
  <c r="CP548" i="7"/>
  <c r="CQ548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G549" i="7"/>
  <c r="AH549" i="7"/>
  <c r="AI549" i="7"/>
  <c r="CC549" i="7"/>
  <c r="CD549" i="7"/>
  <c r="CE549" i="7"/>
  <c r="CF549" i="7"/>
  <c r="CG549" i="7"/>
  <c r="CH549" i="7"/>
  <c r="CI549" i="7"/>
  <c r="CJ549" i="7"/>
  <c r="CK549" i="7"/>
  <c r="CM549" i="7"/>
  <c r="CN549" i="7"/>
  <c r="CO549" i="7"/>
  <c r="CP549" i="7"/>
  <c r="CQ549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G550" i="7"/>
  <c r="AH550" i="7"/>
  <c r="AI550" i="7"/>
  <c r="CC550" i="7"/>
  <c r="CD550" i="7"/>
  <c r="CE550" i="7"/>
  <c r="CF550" i="7"/>
  <c r="CG550" i="7"/>
  <c r="CH550" i="7"/>
  <c r="CI550" i="7"/>
  <c r="CJ550" i="7"/>
  <c r="CK550" i="7"/>
  <c r="CM550" i="7"/>
  <c r="CN550" i="7"/>
  <c r="CO550" i="7"/>
  <c r="CP550" i="7"/>
  <c r="CQ550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G551" i="7"/>
  <c r="AH551" i="7"/>
  <c r="AI551" i="7"/>
  <c r="CC551" i="7"/>
  <c r="CD551" i="7"/>
  <c r="CE551" i="7"/>
  <c r="CF551" i="7"/>
  <c r="CG551" i="7"/>
  <c r="CH551" i="7"/>
  <c r="CI551" i="7"/>
  <c r="CJ551" i="7"/>
  <c r="CK551" i="7"/>
  <c r="CM551" i="7"/>
  <c r="CN551" i="7"/>
  <c r="CO551" i="7"/>
  <c r="CP551" i="7"/>
  <c r="CQ551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G552" i="7"/>
  <c r="AH552" i="7"/>
  <c r="AI552" i="7"/>
  <c r="CC552" i="7"/>
  <c r="CD552" i="7"/>
  <c r="CE552" i="7"/>
  <c r="CF552" i="7"/>
  <c r="CG552" i="7"/>
  <c r="CH552" i="7"/>
  <c r="CI552" i="7"/>
  <c r="CJ552" i="7"/>
  <c r="CK552" i="7"/>
  <c r="CM552" i="7"/>
  <c r="CN552" i="7"/>
  <c r="CO552" i="7"/>
  <c r="CP552" i="7"/>
  <c r="CQ552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G553" i="7"/>
  <c r="AH553" i="7"/>
  <c r="AI553" i="7"/>
  <c r="CC553" i="7"/>
  <c r="CD553" i="7"/>
  <c r="CE553" i="7"/>
  <c r="CF553" i="7"/>
  <c r="CG553" i="7"/>
  <c r="CH553" i="7"/>
  <c r="CI553" i="7"/>
  <c r="CJ553" i="7"/>
  <c r="CK553" i="7"/>
  <c r="CM553" i="7"/>
  <c r="CN553" i="7"/>
  <c r="CO553" i="7"/>
  <c r="CP553" i="7"/>
  <c r="CQ553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G554" i="7"/>
  <c r="AH554" i="7"/>
  <c r="AI554" i="7"/>
  <c r="CC554" i="7"/>
  <c r="CD554" i="7"/>
  <c r="CE554" i="7"/>
  <c r="CF554" i="7"/>
  <c r="CG554" i="7"/>
  <c r="CH554" i="7"/>
  <c r="CI554" i="7"/>
  <c r="CJ554" i="7"/>
  <c r="CK554" i="7"/>
  <c r="CM554" i="7"/>
  <c r="CN554" i="7"/>
  <c r="CO554" i="7"/>
  <c r="CP554" i="7"/>
  <c r="CQ554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G555" i="7"/>
  <c r="AH555" i="7"/>
  <c r="AI555" i="7"/>
  <c r="CC555" i="7"/>
  <c r="CD555" i="7"/>
  <c r="CE555" i="7"/>
  <c r="CF555" i="7"/>
  <c r="CG555" i="7"/>
  <c r="CH555" i="7"/>
  <c r="CI555" i="7"/>
  <c r="CJ555" i="7"/>
  <c r="CK555" i="7"/>
  <c r="CM555" i="7"/>
  <c r="CN555" i="7"/>
  <c r="CO555" i="7"/>
  <c r="CP555" i="7"/>
  <c r="CQ555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G556" i="7"/>
  <c r="AH556" i="7"/>
  <c r="AI556" i="7"/>
  <c r="CC556" i="7"/>
  <c r="CD556" i="7"/>
  <c r="CE556" i="7"/>
  <c r="CF556" i="7"/>
  <c r="CG556" i="7"/>
  <c r="CH556" i="7"/>
  <c r="CI556" i="7"/>
  <c r="CJ556" i="7"/>
  <c r="CK556" i="7"/>
  <c r="CM556" i="7"/>
  <c r="CN556" i="7"/>
  <c r="CO556" i="7"/>
  <c r="CP556" i="7"/>
  <c r="CQ556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G557" i="7"/>
  <c r="AH557" i="7"/>
  <c r="AI557" i="7"/>
  <c r="CC557" i="7"/>
  <c r="CD557" i="7"/>
  <c r="CE557" i="7"/>
  <c r="CF557" i="7"/>
  <c r="CG557" i="7"/>
  <c r="CH557" i="7"/>
  <c r="CI557" i="7"/>
  <c r="CJ557" i="7"/>
  <c r="CK557" i="7"/>
  <c r="CM557" i="7"/>
  <c r="CN557" i="7"/>
  <c r="CO557" i="7"/>
  <c r="CP557" i="7"/>
  <c r="CQ557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G558" i="7"/>
  <c r="AH558" i="7"/>
  <c r="AI558" i="7"/>
  <c r="CC558" i="7"/>
  <c r="CD558" i="7"/>
  <c r="CE558" i="7"/>
  <c r="CF558" i="7"/>
  <c r="CG558" i="7"/>
  <c r="CH558" i="7"/>
  <c r="CI558" i="7"/>
  <c r="CJ558" i="7"/>
  <c r="CK558" i="7"/>
  <c r="CM558" i="7"/>
  <c r="CN558" i="7"/>
  <c r="CO558" i="7"/>
  <c r="CP558" i="7"/>
  <c r="CQ558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G559" i="7"/>
  <c r="AH559" i="7"/>
  <c r="AI559" i="7"/>
  <c r="CC559" i="7"/>
  <c r="CD559" i="7"/>
  <c r="CE559" i="7"/>
  <c r="CF559" i="7"/>
  <c r="CG559" i="7"/>
  <c r="CH559" i="7"/>
  <c r="CI559" i="7"/>
  <c r="CJ559" i="7"/>
  <c r="CK559" i="7"/>
  <c r="CM559" i="7"/>
  <c r="CN559" i="7"/>
  <c r="CO559" i="7"/>
  <c r="CP559" i="7"/>
  <c r="CQ559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G560" i="7"/>
  <c r="AH560" i="7"/>
  <c r="AI560" i="7"/>
  <c r="CC560" i="7"/>
  <c r="CD560" i="7"/>
  <c r="CE560" i="7"/>
  <c r="CF560" i="7"/>
  <c r="CG560" i="7"/>
  <c r="CH560" i="7"/>
  <c r="CI560" i="7"/>
  <c r="CJ560" i="7"/>
  <c r="CK560" i="7"/>
  <c r="CM560" i="7"/>
  <c r="CN560" i="7"/>
  <c r="CO560" i="7"/>
  <c r="CP560" i="7"/>
  <c r="CQ560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G561" i="7"/>
  <c r="AH561" i="7"/>
  <c r="AI561" i="7"/>
  <c r="CC561" i="7"/>
  <c r="CD561" i="7"/>
  <c r="CE561" i="7"/>
  <c r="CF561" i="7"/>
  <c r="CG561" i="7"/>
  <c r="CH561" i="7"/>
  <c r="CI561" i="7"/>
  <c r="CJ561" i="7"/>
  <c r="CK561" i="7"/>
  <c r="CM561" i="7"/>
  <c r="CN561" i="7"/>
  <c r="CO561" i="7"/>
  <c r="CP561" i="7"/>
  <c r="CQ561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G562" i="7"/>
  <c r="AH562" i="7"/>
  <c r="AI562" i="7"/>
  <c r="CC562" i="7"/>
  <c r="CD562" i="7"/>
  <c r="CE562" i="7"/>
  <c r="CF562" i="7"/>
  <c r="CG562" i="7"/>
  <c r="CH562" i="7"/>
  <c r="CI562" i="7"/>
  <c r="CJ562" i="7"/>
  <c r="CK562" i="7"/>
  <c r="CM562" i="7"/>
  <c r="CN562" i="7"/>
  <c r="CO562" i="7"/>
  <c r="CP562" i="7"/>
  <c r="CQ562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G563" i="7"/>
  <c r="AH563" i="7"/>
  <c r="AI563" i="7"/>
  <c r="CC563" i="7"/>
  <c r="CD563" i="7"/>
  <c r="CE563" i="7"/>
  <c r="CF563" i="7"/>
  <c r="CG563" i="7"/>
  <c r="CH563" i="7"/>
  <c r="CI563" i="7"/>
  <c r="CJ563" i="7"/>
  <c r="CK563" i="7"/>
  <c r="CM563" i="7"/>
  <c r="CN563" i="7"/>
  <c r="CO563" i="7"/>
  <c r="CP563" i="7"/>
  <c r="CQ563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G564" i="7"/>
  <c r="AH564" i="7"/>
  <c r="AI564" i="7"/>
  <c r="CC564" i="7"/>
  <c r="CD564" i="7"/>
  <c r="CE564" i="7"/>
  <c r="CF564" i="7"/>
  <c r="CG564" i="7"/>
  <c r="CH564" i="7"/>
  <c r="CI564" i="7"/>
  <c r="CJ564" i="7"/>
  <c r="CK564" i="7"/>
  <c r="CM564" i="7"/>
  <c r="CN564" i="7"/>
  <c r="CO564" i="7"/>
  <c r="CP564" i="7"/>
  <c r="CQ564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G565" i="7"/>
  <c r="AH565" i="7"/>
  <c r="AI565" i="7"/>
  <c r="CC565" i="7"/>
  <c r="CD565" i="7"/>
  <c r="CE565" i="7"/>
  <c r="CF565" i="7"/>
  <c r="CG565" i="7"/>
  <c r="CH565" i="7"/>
  <c r="CI565" i="7"/>
  <c r="CJ565" i="7"/>
  <c r="CK565" i="7"/>
  <c r="CM565" i="7"/>
  <c r="CN565" i="7"/>
  <c r="CO565" i="7"/>
  <c r="CP565" i="7"/>
  <c r="CQ565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G566" i="7"/>
  <c r="AH566" i="7"/>
  <c r="AI566" i="7"/>
  <c r="CC566" i="7"/>
  <c r="CD566" i="7"/>
  <c r="CE566" i="7"/>
  <c r="CF566" i="7"/>
  <c r="CG566" i="7"/>
  <c r="CH566" i="7"/>
  <c r="CI566" i="7"/>
  <c r="CJ566" i="7"/>
  <c r="CK566" i="7"/>
  <c r="CM566" i="7"/>
  <c r="CN566" i="7"/>
  <c r="CO566" i="7"/>
  <c r="CP566" i="7"/>
  <c r="CQ566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G567" i="7"/>
  <c r="AH567" i="7"/>
  <c r="AI567" i="7"/>
  <c r="CC567" i="7"/>
  <c r="CD567" i="7"/>
  <c r="CE567" i="7"/>
  <c r="CF567" i="7"/>
  <c r="CG567" i="7"/>
  <c r="CH567" i="7"/>
  <c r="CI567" i="7"/>
  <c r="CJ567" i="7"/>
  <c r="CK567" i="7"/>
  <c r="CM567" i="7"/>
  <c r="CN567" i="7"/>
  <c r="CO567" i="7"/>
  <c r="CP567" i="7"/>
  <c r="CQ567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G568" i="7"/>
  <c r="AH568" i="7"/>
  <c r="AI568" i="7"/>
  <c r="CC568" i="7"/>
  <c r="CD568" i="7"/>
  <c r="CE568" i="7"/>
  <c r="CF568" i="7"/>
  <c r="CG568" i="7"/>
  <c r="CH568" i="7"/>
  <c r="CI568" i="7"/>
  <c r="CJ568" i="7"/>
  <c r="CK568" i="7"/>
  <c r="CM568" i="7"/>
  <c r="CN568" i="7"/>
  <c r="CO568" i="7"/>
  <c r="CP568" i="7"/>
  <c r="CQ568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G569" i="7"/>
  <c r="AH569" i="7"/>
  <c r="AI569" i="7"/>
  <c r="CC569" i="7"/>
  <c r="CD569" i="7"/>
  <c r="CE569" i="7"/>
  <c r="CF569" i="7"/>
  <c r="CG569" i="7"/>
  <c r="CH569" i="7"/>
  <c r="CI569" i="7"/>
  <c r="CJ569" i="7"/>
  <c r="CK569" i="7"/>
  <c r="CM569" i="7"/>
  <c r="CN569" i="7"/>
  <c r="CO569" i="7"/>
  <c r="CP569" i="7"/>
  <c r="CQ569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G570" i="7"/>
  <c r="AH570" i="7"/>
  <c r="AI570" i="7"/>
  <c r="CC570" i="7"/>
  <c r="CD570" i="7"/>
  <c r="CE570" i="7"/>
  <c r="CF570" i="7"/>
  <c r="CG570" i="7"/>
  <c r="CH570" i="7"/>
  <c r="CI570" i="7"/>
  <c r="CJ570" i="7"/>
  <c r="CK570" i="7"/>
  <c r="CM570" i="7"/>
  <c r="CN570" i="7"/>
  <c r="CO570" i="7"/>
  <c r="CP570" i="7"/>
  <c r="CQ570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G571" i="7"/>
  <c r="AH571" i="7"/>
  <c r="AI571" i="7"/>
  <c r="CC571" i="7"/>
  <c r="CD571" i="7"/>
  <c r="CE571" i="7"/>
  <c r="CF571" i="7"/>
  <c r="CG571" i="7"/>
  <c r="CH571" i="7"/>
  <c r="CI571" i="7"/>
  <c r="CJ571" i="7"/>
  <c r="CK571" i="7"/>
  <c r="CM571" i="7"/>
  <c r="CN571" i="7"/>
  <c r="CO571" i="7"/>
  <c r="CP571" i="7"/>
  <c r="CQ571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G572" i="7"/>
  <c r="AH572" i="7"/>
  <c r="AI572" i="7"/>
  <c r="CC572" i="7"/>
  <c r="CD572" i="7"/>
  <c r="CE572" i="7"/>
  <c r="CF572" i="7"/>
  <c r="CG572" i="7"/>
  <c r="CH572" i="7"/>
  <c r="CI572" i="7"/>
  <c r="CJ572" i="7"/>
  <c r="CK572" i="7"/>
  <c r="CM572" i="7"/>
  <c r="CN572" i="7"/>
  <c r="CO572" i="7"/>
  <c r="CP572" i="7"/>
  <c r="CQ572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G573" i="7"/>
  <c r="AH573" i="7"/>
  <c r="AI573" i="7"/>
  <c r="CC573" i="7"/>
  <c r="CD573" i="7"/>
  <c r="CE573" i="7"/>
  <c r="CF573" i="7"/>
  <c r="CG573" i="7"/>
  <c r="CH573" i="7"/>
  <c r="CI573" i="7"/>
  <c r="CJ573" i="7"/>
  <c r="CK573" i="7"/>
  <c r="CM573" i="7"/>
  <c r="CN573" i="7"/>
  <c r="CO573" i="7"/>
  <c r="CP573" i="7"/>
  <c r="CQ573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G574" i="7"/>
  <c r="AH574" i="7"/>
  <c r="AI574" i="7"/>
  <c r="CC574" i="7"/>
  <c r="CD574" i="7"/>
  <c r="CE574" i="7"/>
  <c r="CF574" i="7"/>
  <c r="CG574" i="7"/>
  <c r="CH574" i="7"/>
  <c r="CI574" i="7"/>
  <c r="CJ574" i="7"/>
  <c r="CK574" i="7"/>
  <c r="CM574" i="7"/>
  <c r="CN574" i="7"/>
  <c r="CO574" i="7"/>
  <c r="CP574" i="7"/>
  <c r="CQ574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G575" i="7"/>
  <c r="AH575" i="7"/>
  <c r="AI575" i="7"/>
  <c r="CC575" i="7"/>
  <c r="CD575" i="7"/>
  <c r="CE575" i="7"/>
  <c r="CF575" i="7"/>
  <c r="CG575" i="7"/>
  <c r="CH575" i="7"/>
  <c r="CI575" i="7"/>
  <c r="CJ575" i="7"/>
  <c r="CK575" i="7"/>
  <c r="CM575" i="7"/>
  <c r="CN575" i="7"/>
  <c r="CO575" i="7"/>
  <c r="CP575" i="7"/>
  <c r="CQ575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G576" i="7"/>
  <c r="AH576" i="7"/>
  <c r="AI576" i="7"/>
  <c r="CC576" i="7"/>
  <c r="CD576" i="7"/>
  <c r="CE576" i="7"/>
  <c r="CF576" i="7"/>
  <c r="CG576" i="7"/>
  <c r="CH576" i="7"/>
  <c r="CI576" i="7"/>
  <c r="CJ576" i="7"/>
  <c r="CK576" i="7"/>
  <c r="CM576" i="7"/>
  <c r="CN576" i="7"/>
  <c r="CO576" i="7"/>
  <c r="CP576" i="7"/>
  <c r="CQ576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G577" i="7"/>
  <c r="AH577" i="7"/>
  <c r="AI577" i="7"/>
  <c r="CC577" i="7"/>
  <c r="CD577" i="7"/>
  <c r="CE577" i="7"/>
  <c r="CF577" i="7"/>
  <c r="CG577" i="7"/>
  <c r="CH577" i="7"/>
  <c r="CI577" i="7"/>
  <c r="CJ577" i="7"/>
  <c r="CK577" i="7"/>
  <c r="CM577" i="7"/>
  <c r="CN577" i="7"/>
  <c r="CO577" i="7"/>
  <c r="CP577" i="7"/>
  <c r="CQ577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G578" i="7"/>
  <c r="AH578" i="7"/>
  <c r="AI578" i="7"/>
  <c r="CC578" i="7"/>
  <c r="CD578" i="7"/>
  <c r="CE578" i="7"/>
  <c r="CF578" i="7"/>
  <c r="CG578" i="7"/>
  <c r="CH578" i="7"/>
  <c r="CI578" i="7"/>
  <c r="CJ578" i="7"/>
  <c r="CK578" i="7"/>
  <c r="CM578" i="7"/>
  <c r="CN578" i="7"/>
  <c r="CO578" i="7"/>
  <c r="CP578" i="7"/>
  <c r="CQ578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G579" i="7"/>
  <c r="AH579" i="7"/>
  <c r="AI579" i="7"/>
  <c r="CC579" i="7"/>
  <c r="CD579" i="7"/>
  <c r="CE579" i="7"/>
  <c r="CF579" i="7"/>
  <c r="CG579" i="7"/>
  <c r="CH579" i="7"/>
  <c r="CI579" i="7"/>
  <c r="CJ579" i="7"/>
  <c r="CK579" i="7"/>
  <c r="CM579" i="7"/>
  <c r="CN579" i="7"/>
  <c r="CO579" i="7"/>
  <c r="CP579" i="7"/>
  <c r="CQ579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G580" i="7"/>
  <c r="AH580" i="7"/>
  <c r="AI580" i="7"/>
  <c r="CC580" i="7"/>
  <c r="CD580" i="7"/>
  <c r="CE580" i="7"/>
  <c r="CF580" i="7"/>
  <c r="CG580" i="7"/>
  <c r="CH580" i="7"/>
  <c r="CI580" i="7"/>
  <c r="CJ580" i="7"/>
  <c r="CK580" i="7"/>
  <c r="CM580" i="7"/>
  <c r="CN580" i="7"/>
  <c r="CO580" i="7"/>
  <c r="CP580" i="7"/>
  <c r="CQ580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G581" i="7"/>
  <c r="AH581" i="7"/>
  <c r="AI581" i="7"/>
  <c r="CC581" i="7"/>
  <c r="CD581" i="7"/>
  <c r="CE581" i="7"/>
  <c r="CF581" i="7"/>
  <c r="CG581" i="7"/>
  <c r="CH581" i="7"/>
  <c r="CI581" i="7"/>
  <c r="CJ581" i="7"/>
  <c r="CK581" i="7"/>
  <c r="CM581" i="7"/>
  <c r="CN581" i="7"/>
  <c r="CO581" i="7"/>
  <c r="CP581" i="7"/>
  <c r="CQ581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G582" i="7"/>
  <c r="AH582" i="7"/>
  <c r="AI582" i="7"/>
  <c r="CC582" i="7"/>
  <c r="CD582" i="7"/>
  <c r="CE582" i="7"/>
  <c r="CF582" i="7"/>
  <c r="CG582" i="7"/>
  <c r="CH582" i="7"/>
  <c r="CI582" i="7"/>
  <c r="CJ582" i="7"/>
  <c r="CK582" i="7"/>
  <c r="CM582" i="7"/>
  <c r="CN582" i="7"/>
  <c r="CO582" i="7"/>
  <c r="CP582" i="7"/>
  <c r="CQ582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G583" i="7"/>
  <c r="AH583" i="7"/>
  <c r="AI583" i="7"/>
  <c r="CC583" i="7"/>
  <c r="CD583" i="7"/>
  <c r="CE583" i="7"/>
  <c r="CF583" i="7"/>
  <c r="CG583" i="7"/>
  <c r="CH583" i="7"/>
  <c r="CI583" i="7"/>
  <c r="CJ583" i="7"/>
  <c r="CK583" i="7"/>
  <c r="CM583" i="7"/>
  <c r="CN583" i="7"/>
  <c r="CO583" i="7"/>
  <c r="CP583" i="7"/>
  <c r="CQ583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G584" i="7"/>
  <c r="AH584" i="7"/>
  <c r="AI584" i="7"/>
  <c r="CC584" i="7"/>
  <c r="CD584" i="7"/>
  <c r="CE584" i="7"/>
  <c r="CF584" i="7"/>
  <c r="CG584" i="7"/>
  <c r="CH584" i="7"/>
  <c r="CI584" i="7"/>
  <c r="CJ584" i="7"/>
  <c r="CK584" i="7"/>
  <c r="CM584" i="7"/>
  <c r="CN584" i="7"/>
  <c r="CO584" i="7"/>
  <c r="CP584" i="7"/>
  <c r="CQ584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G585" i="7"/>
  <c r="AH585" i="7"/>
  <c r="AI585" i="7"/>
  <c r="CC585" i="7"/>
  <c r="CD585" i="7"/>
  <c r="CE585" i="7"/>
  <c r="CF585" i="7"/>
  <c r="CG585" i="7"/>
  <c r="CH585" i="7"/>
  <c r="CI585" i="7"/>
  <c r="CJ585" i="7"/>
  <c r="CK585" i="7"/>
  <c r="CM585" i="7"/>
  <c r="CN585" i="7"/>
  <c r="CO585" i="7"/>
  <c r="CP585" i="7"/>
  <c r="CQ585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G586" i="7"/>
  <c r="AH586" i="7"/>
  <c r="AI586" i="7"/>
  <c r="CC586" i="7"/>
  <c r="CD586" i="7"/>
  <c r="CE586" i="7"/>
  <c r="CF586" i="7"/>
  <c r="CG586" i="7"/>
  <c r="CH586" i="7"/>
  <c r="CI586" i="7"/>
  <c r="CJ586" i="7"/>
  <c r="CK586" i="7"/>
  <c r="CM586" i="7"/>
  <c r="CN586" i="7"/>
  <c r="CO586" i="7"/>
  <c r="CP586" i="7"/>
  <c r="CQ586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G587" i="7"/>
  <c r="AH587" i="7"/>
  <c r="AI587" i="7"/>
  <c r="CC587" i="7"/>
  <c r="CD587" i="7"/>
  <c r="CE587" i="7"/>
  <c r="CF587" i="7"/>
  <c r="CG587" i="7"/>
  <c r="CH587" i="7"/>
  <c r="CI587" i="7"/>
  <c r="CJ587" i="7"/>
  <c r="CK587" i="7"/>
  <c r="CM587" i="7"/>
  <c r="CN587" i="7"/>
  <c r="CO587" i="7"/>
  <c r="CP587" i="7"/>
  <c r="CQ587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G588" i="7"/>
  <c r="AH588" i="7"/>
  <c r="AI588" i="7"/>
  <c r="CC588" i="7"/>
  <c r="CD588" i="7"/>
  <c r="CE588" i="7"/>
  <c r="CF588" i="7"/>
  <c r="CG588" i="7"/>
  <c r="CH588" i="7"/>
  <c r="CI588" i="7"/>
  <c r="CJ588" i="7"/>
  <c r="CK588" i="7"/>
  <c r="CM588" i="7"/>
  <c r="CN588" i="7"/>
  <c r="CO588" i="7"/>
  <c r="CP588" i="7"/>
  <c r="CQ588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G589" i="7"/>
  <c r="AH589" i="7"/>
  <c r="AI589" i="7"/>
  <c r="CC589" i="7"/>
  <c r="CD589" i="7"/>
  <c r="CE589" i="7"/>
  <c r="CF589" i="7"/>
  <c r="CG589" i="7"/>
  <c r="CH589" i="7"/>
  <c r="CI589" i="7"/>
  <c r="CJ589" i="7"/>
  <c r="CK589" i="7"/>
  <c r="CM589" i="7"/>
  <c r="CN589" i="7"/>
  <c r="CO589" i="7"/>
  <c r="CP589" i="7"/>
  <c r="CQ589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G590" i="7"/>
  <c r="AH590" i="7"/>
  <c r="AI590" i="7"/>
  <c r="CC590" i="7"/>
  <c r="CD590" i="7"/>
  <c r="CE590" i="7"/>
  <c r="CF590" i="7"/>
  <c r="CG590" i="7"/>
  <c r="CH590" i="7"/>
  <c r="CI590" i="7"/>
  <c r="CJ590" i="7"/>
  <c r="CK590" i="7"/>
  <c r="CM590" i="7"/>
  <c r="CN590" i="7"/>
  <c r="CO590" i="7"/>
  <c r="CP590" i="7"/>
  <c r="CQ590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G591" i="7"/>
  <c r="AH591" i="7"/>
  <c r="AI591" i="7"/>
  <c r="CC591" i="7"/>
  <c r="CD591" i="7"/>
  <c r="CE591" i="7"/>
  <c r="CF591" i="7"/>
  <c r="CG591" i="7"/>
  <c r="CH591" i="7"/>
  <c r="CI591" i="7"/>
  <c r="CJ591" i="7"/>
  <c r="CK591" i="7"/>
  <c r="CM591" i="7"/>
  <c r="CN591" i="7"/>
  <c r="CO591" i="7"/>
  <c r="CP591" i="7"/>
  <c r="CQ591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G592" i="7"/>
  <c r="AH592" i="7"/>
  <c r="AI592" i="7"/>
  <c r="CC592" i="7"/>
  <c r="CD592" i="7"/>
  <c r="CE592" i="7"/>
  <c r="CF592" i="7"/>
  <c r="CG592" i="7"/>
  <c r="CH592" i="7"/>
  <c r="CI592" i="7"/>
  <c r="CJ592" i="7"/>
  <c r="CK592" i="7"/>
  <c r="CM592" i="7"/>
  <c r="CN592" i="7"/>
  <c r="CO592" i="7"/>
  <c r="CP592" i="7"/>
  <c r="CQ592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G593" i="7"/>
  <c r="AH593" i="7"/>
  <c r="AI593" i="7"/>
  <c r="CC593" i="7"/>
  <c r="CD593" i="7"/>
  <c r="CE593" i="7"/>
  <c r="CF593" i="7"/>
  <c r="CG593" i="7"/>
  <c r="CH593" i="7"/>
  <c r="CI593" i="7"/>
  <c r="CJ593" i="7"/>
  <c r="CK593" i="7"/>
  <c r="CM593" i="7"/>
  <c r="CN593" i="7"/>
  <c r="CO593" i="7"/>
  <c r="CP593" i="7"/>
  <c r="CQ593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G594" i="7"/>
  <c r="AH594" i="7"/>
  <c r="AI594" i="7"/>
  <c r="CC594" i="7"/>
  <c r="CD594" i="7"/>
  <c r="CE594" i="7"/>
  <c r="CF594" i="7"/>
  <c r="CG594" i="7"/>
  <c r="CH594" i="7"/>
  <c r="CI594" i="7"/>
  <c r="CJ594" i="7"/>
  <c r="CK594" i="7"/>
  <c r="CM594" i="7"/>
  <c r="CN594" i="7"/>
  <c r="CO594" i="7"/>
  <c r="CP594" i="7"/>
  <c r="CQ594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G595" i="7"/>
  <c r="AH595" i="7"/>
  <c r="AI595" i="7"/>
  <c r="CC595" i="7"/>
  <c r="CD595" i="7"/>
  <c r="CE595" i="7"/>
  <c r="CF595" i="7"/>
  <c r="CG595" i="7"/>
  <c r="CH595" i="7"/>
  <c r="CI595" i="7"/>
  <c r="CJ595" i="7"/>
  <c r="CK595" i="7"/>
  <c r="CM595" i="7"/>
  <c r="CN595" i="7"/>
  <c r="CO595" i="7"/>
  <c r="CP595" i="7"/>
  <c r="CQ595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G596" i="7"/>
  <c r="AH596" i="7"/>
  <c r="AI596" i="7"/>
  <c r="CC596" i="7"/>
  <c r="CD596" i="7"/>
  <c r="CE596" i="7"/>
  <c r="CF596" i="7"/>
  <c r="CG596" i="7"/>
  <c r="CH596" i="7"/>
  <c r="CI596" i="7"/>
  <c r="CJ596" i="7"/>
  <c r="CK596" i="7"/>
  <c r="CM596" i="7"/>
  <c r="CN596" i="7"/>
  <c r="CO596" i="7"/>
  <c r="CP596" i="7"/>
  <c r="CQ596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G597" i="7"/>
  <c r="AH597" i="7"/>
  <c r="AI597" i="7"/>
  <c r="CC597" i="7"/>
  <c r="CD597" i="7"/>
  <c r="CE597" i="7"/>
  <c r="CF597" i="7"/>
  <c r="CG597" i="7"/>
  <c r="CH597" i="7"/>
  <c r="CI597" i="7"/>
  <c r="CJ597" i="7"/>
  <c r="CK597" i="7"/>
  <c r="CM597" i="7"/>
  <c r="CN597" i="7"/>
  <c r="CO597" i="7"/>
  <c r="CP597" i="7"/>
  <c r="CQ597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G598" i="7"/>
  <c r="AH598" i="7"/>
  <c r="AI598" i="7"/>
  <c r="CC598" i="7"/>
  <c r="CD598" i="7"/>
  <c r="CE598" i="7"/>
  <c r="CF598" i="7"/>
  <c r="CG598" i="7"/>
  <c r="CH598" i="7"/>
  <c r="CI598" i="7"/>
  <c r="CJ598" i="7"/>
  <c r="CK598" i="7"/>
  <c r="CM598" i="7"/>
  <c r="CN598" i="7"/>
  <c r="CO598" i="7"/>
  <c r="CP598" i="7"/>
  <c r="CQ598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G599" i="7"/>
  <c r="AH599" i="7"/>
  <c r="AI599" i="7"/>
  <c r="CC599" i="7"/>
  <c r="CD599" i="7"/>
  <c r="CE599" i="7"/>
  <c r="CF599" i="7"/>
  <c r="CG599" i="7"/>
  <c r="CH599" i="7"/>
  <c r="CI599" i="7"/>
  <c r="CJ599" i="7"/>
  <c r="CK599" i="7"/>
  <c r="CM599" i="7"/>
  <c r="CN599" i="7"/>
  <c r="CO599" i="7"/>
  <c r="CP599" i="7"/>
  <c r="CQ599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G600" i="7"/>
  <c r="AH600" i="7"/>
  <c r="AI600" i="7"/>
  <c r="CC600" i="7"/>
  <c r="CD600" i="7"/>
  <c r="CE600" i="7"/>
  <c r="CF600" i="7"/>
  <c r="CG600" i="7"/>
  <c r="CH600" i="7"/>
  <c r="CI600" i="7"/>
  <c r="CJ600" i="7"/>
  <c r="CK600" i="7"/>
  <c r="CM600" i="7"/>
  <c r="CN600" i="7"/>
  <c r="CO600" i="7"/>
  <c r="CP600" i="7"/>
  <c r="CQ600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G601" i="7"/>
  <c r="AH601" i="7"/>
  <c r="AI601" i="7"/>
  <c r="CC601" i="7"/>
  <c r="CD601" i="7"/>
  <c r="CE601" i="7"/>
  <c r="CF601" i="7"/>
  <c r="CG601" i="7"/>
  <c r="CH601" i="7"/>
  <c r="CI601" i="7"/>
  <c r="CJ601" i="7"/>
  <c r="CK601" i="7"/>
  <c r="CM601" i="7"/>
  <c r="CN601" i="7"/>
  <c r="CO601" i="7"/>
  <c r="CP601" i="7"/>
  <c r="CQ601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G602" i="7"/>
  <c r="AH602" i="7"/>
  <c r="AI602" i="7"/>
  <c r="CC602" i="7"/>
  <c r="CD602" i="7"/>
  <c r="CE602" i="7"/>
  <c r="CF602" i="7"/>
  <c r="CG602" i="7"/>
  <c r="CH602" i="7"/>
  <c r="CI602" i="7"/>
  <c r="CJ602" i="7"/>
  <c r="CK602" i="7"/>
  <c r="CM602" i="7"/>
  <c r="CN602" i="7"/>
  <c r="CO602" i="7"/>
  <c r="CP602" i="7"/>
  <c r="CQ602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G603" i="7"/>
  <c r="AH603" i="7"/>
  <c r="AI603" i="7"/>
  <c r="CC603" i="7"/>
  <c r="CD603" i="7"/>
  <c r="CE603" i="7"/>
  <c r="CF603" i="7"/>
  <c r="CG603" i="7"/>
  <c r="CH603" i="7"/>
  <c r="CI603" i="7"/>
  <c r="CJ603" i="7"/>
  <c r="CK603" i="7"/>
  <c r="CM603" i="7"/>
  <c r="CN603" i="7"/>
  <c r="CO603" i="7"/>
  <c r="CP603" i="7"/>
  <c r="CQ603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G604" i="7"/>
  <c r="AH604" i="7"/>
  <c r="AI604" i="7"/>
  <c r="CC604" i="7"/>
  <c r="CD604" i="7"/>
  <c r="CE604" i="7"/>
  <c r="CF604" i="7"/>
  <c r="CG604" i="7"/>
  <c r="CH604" i="7"/>
  <c r="CI604" i="7"/>
  <c r="CJ604" i="7"/>
  <c r="CK604" i="7"/>
  <c r="CM604" i="7"/>
  <c r="CN604" i="7"/>
  <c r="CO604" i="7"/>
  <c r="CP604" i="7"/>
  <c r="CQ604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G605" i="7"/>
  <c r="AH605" i="7"/>
  <c r="AI605" i="7"/>
  <c r="CC605" i="7"/>
  <c r="CD605" i="7"/>
  <c r="CE605" i="7"/>
  <c r="CF605" i="7"/>
  <c r="CG605" i="7"/>
  <c r="CH605" i="7"/>
  <c r="CI605" i="7"/>
  <c r="CJ605" i="7"/>
  <c r="CK605" i="7"/>
  <c r="CM605" i="7"/>
  <c r="CN605" i="7"/>
  <c r="CO605" i="7"/>
  <c r="CP605" i="7"/>
  <c r="CQ605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G606" i="7"/>
  <c r="AH606" i="7"/>
  <c r="AI606" i="7"/>
  <c r="CC606" i="7"/>
  <c r="CD606" i="7"/>
  <c r="CE606" i="7"/>
  <c r="CF606" i="7"/>
  <c r="CG606" i="7"/>
  <c r="CH606" i="7"/>
  <c r="CI606" i="7"/>
  <c r="CJ606" i="7"/>
  <c r="CK606" i="7"/>
  <c r="CM606" i="7"/>
  <c r="CN606" i="7"/>
  <c r="CO606" i="7"/>
  <c r="CP606" i="7"/>
  <c r="CQ606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G607" i="7"/>
  <c r="AH607" i="7"/>
  <c r="AI607" i="7"/>
  <c r="CC607" i="7"/>
  <c r="CD607" i="7"/>
  <c r="CE607" i="7"/>
  <c r="CF607" i="7"/>
  <c r="CG607" i="7"/>
  <c r="CH607" i="7"/>
  <c r="CI607" i="7"/>
  <c r="CJ607" i="7"/>
  <c r="CK607" i="7"/>
  <c r="CM607" i="7"/>
  <c r="CN607" i="7"/>
  <c r="CO607" i="7"/>
  <c r="CP607" i="7"/>
  <c r="CQ607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G608" i="7"/>
  <c r="AH608" i="7"/>
  <c r="AI608" i="7"/>
  <c r="CC608" i="7"/>
  <c r="CD608" i="7"/>
  <c r="CE608" i="7"/>
  <c r="CF608" i="7"/>
  <c r="CG608" i="7"/>
  <c r="CH608" i="7"/>
  <c r="CI608" i="7"/>
  <c r="CJ608" i="7"/>
  <c r="CK608" i="7"/>
  <c r="CM608" i="7"/>
  <c r="CN608" i="7"/>
  <c r="CO608" i="7"/>
  <c r="CP608" i="7"/>
  <c r="CQ608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G609" i="7"/>
  <c r="AH609" i="7"/>
  <c r="AI609" i="7"/>
  <c r="CC609" i="7"/>
  <c r="CD609" i="7"/>
  <c r="CE609" i="7"/>
  <c r="CF609" i="7"/>
  <c r="CG609" i="7"/>
  <c r="CH609" i="7"/>
  <c r="CI609" i="7"/>
  <c r="CJ609" i="7"/>
  <c r="CK609" i="7"/>
  <c r="CM609" i="7"/>
  <c r="CN609" i="7"/>
  <c r="CO609" i="7"/>
  <c r="CP609" i="7"/>
  <c r="CQ609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G610" i="7"/>
  <c r="AH610" i="7"/>
  <c r="AI610" i="7"/>
  <c r="CC610" i="7"/>
  <c r="CD610" i="7"/>
  <c r="CE610" i="7"/>
  <c r="CF610" i="7"/>
  <c r="CG610" i="7"/>
  <c r="CH610" i="7"/>
  <c r="CI610" i="7"/>
  <c r="CJ610" i="7"/>
  <c r="CK610" i="7"/>
  <c r="CM610" i="7"/>
  <c r="CN610" i="7"/>
  <c r="CO610" i="7"/>
  <c r="CP610" i="7"/>
  <c r="CQ610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G611" i="7"/>
  <c r="AH611" i="7"/>
  <c r="AI611" i="7"/>
  <c r="CC611" i="7"/>
  <c r="CD611" i="7"/>
  <c r="CE611" i="7"/>
  <c r="CF611" i="7"/>
  <c r="CG611" i="7"/>
  <c r="CH611" i="7"/>
  <c r="CI611" i="7"/>
  <c r="CJ611" i="7"/>
  <c r="CK611" i="7"/>
  <c r="CM611" i="7"/>
  <c r="CN611" i="7"/>
  <c r="CO611" i="7"/>
  <c r="CP611" i="7"/>
  <c r="CQ611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G612" i="7"/>
  <c r="AH612" i="7"/>
  <c r="AI612" i="7"/>
  <c r="CC612" i="7"/>
  <c r="CD612" i="7"/>
  <c r="CE612" i="7"/>
  <c r="CF612" i="7"/>
  <c r="CG612" i="7"/>
  <c r="CH612" i="7"/>
  <c r="CI612" i="7"/>
  <c r="CJ612" i="7"/>
  <c r="CK612" i="7"/>
  <c r="CM612" i="7"/>
  <c r="CN612" i="7"/>
  <c r="CO612" i="7"/>
  <c r="CP612" i="7"/>
  <c r="CQ612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G613" i="7"/>
  <c r="AH613" i="7"/>
  <c r="AI613" i="7"/>
  <c r="CC613" i="7"/>
  <c r="CD613" i="7"/>
  <c r="CE613" i="7"/>
  <c r="CF613" i="7"/>
  <c r="CG613" i="7"/>
  <c r="CH613" i="7"/>
  <c r="CI613" i="7"/>
  <c r="CJ613" i="7"/>
  <c r="CK613" i="7"/>
  <c r="CM613" i="7"/>
  <c r="CN613" i="7"/>
  <c r="CO613" i="7"/>
  <c r="CP613" i="7"/>
  <c r="CQ613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G614" i="7"/>
  <c r="AH614" i="7"/>
  <c r="AI614" i="7"/>
  <c r="CC614" i="7"/>
  <c r="CD614" i="7"/>
  <c r="CE614" i="7"/>
  <c r="CF614" i="7"/>
  <c r="CG614" i="7"/>
  <c r="CH614" i="7"/>
  <c r="CI614" i="7"/>
  <c r="CJ614" i="7"/>
  <c r="CK614" i="7"/>
  <c r="CM614" i="7"/>
  <c r="CN614" i="7"/>
  <c r="CO614" i="7"/>
  <c r="CP614" i="7"/>
  <c r="CQ614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G615" i="7"/>
  <c r="AH615" i="7"/>
  <c r="AI615" i="7"/>
  <c r="CC615" i="7"/>
  <c r="CD615" i="7"/>
  <c r="CE615" i="7"/>
  <c r="CF615" i="7"/>
  <c r="CG615" i="7"/>
  <c r="CH615" i="7"/>
  <c r="CI615" i="7"/>
  <c r="CJ615" i="7"/>
  <c r="CK615" i="7"/>
  <c r="CM615" i="7"/>
  <c r="CN615" i="7"/>
  <c r="CO615" i="7"/>
  <c r="CP615" i="7"/>
  <c r="CQ615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G616" i="7"/>
  <c r="AH616" i="7"/>
  <c r="AI616" i="7"/>
  <c r="CC616" i="7"/>
  <c r="CD616" i="7"/>
  <c r="CE616" i="7"/>
  <c r="CF616" i="7"/>
  <c r="CG616" i="7"/>
  <c r="CH616" i="7"/>
  <c r="CI616" i="7"/>
  <c r="CJ616" i="7"/>
  <c r="CK616" i="7"/>
  <c r="CM616" i="7"/>
  <c r="CN616" i="7"/>
  <c r="CO616" i="7"/>
  <c r="CP616" i="7"/>
  <c r="CQ616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G617" i="7"/>
  <c r="AH617" i="7"/>
  <c r="AI617" i="7"/>
  <c r="CC617" i="7"/>
  <c r="CD617" i="7"/>
  <c r="CE617" i="7"/>
  <c r="CF617" i="7"/>
  <c r="CG617" i="7"/>
  <c r="CH617" i="7"/>
  <c r="CI617" i="7"/>
  <c r="CJ617" i="7"/>
  <c r="CK617" i="7"/>
  <c r="CM617" i="7"/>
  <c r="CN617" i="7"/>
  <c r="CO617" i="7"/>
  <c r="CP617" i="7"/>
  <c r="CQ617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G618" i="7"/>
  <c r="AH618" i="7"/>
  <c r="AI618" i="7"/>
  <c r="CC618" i="7"/>
  <c r="CD618" i="7"/>
  <c r="CE618" i="7"/>
  <c r="CF618" i="7"/>
  <c r="CG618" i="7"/>
  <c r="CH618" i="7"/>
  <c r="CI618" i="7"/>
  <c r="CJ618" i="7"/>
  <c r="CK618" i="7"/>
  <c r="CM618" i="7"/>
  <c r="CN618" i="7"/>
  <c r="CO618" i="7"/>
  <c r="CP618" i="7"/>
  <c r="CQ618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G619" i="7"/>
  <c r="AH619" i="7"/>
  <c r="AI619" i="7"/>
  <c r="CC619" i="7"/>
  <c r="CD619" i="7"/>
  <c r="CE619" i="7"/>
  <c r="CF619" i="7"/>
  <c r="CG619" i="7"/>
  <c r="CH619" i="7"/>
  <c r="CI619" i="7"/>
  <c r="CJ619" i="7"/>
  <c r="CK619" i="7"/>
  <c r="CM619" i="7"/>
  <c r="CN619" i="7"/>
  <c r="CO619" i="7"/>
  <c r="CP619" i="7"/>
  <c r="CQ619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G620" i="7"/>
  <c r="AH620" i="7"/>
  <c r="AI620" i="7"/>
  <c r="CC620" i="7"/>
  <c r="CD620" i="7"/>
  <c r="CE620" i="7"/>
  <c r="CF620" i="7"/>
  <c r="CG620" i="7"/>
  <c r="CH620" i="7"/>
  <c r="CI620" i="7"/>
  <c r="CJ620" i="7"/>
  <c r="CK620" i="7"/>
  <c r="CM620" i="7"/>
  <c r="CN620" i="7"/>
  <c r="CO620" i="7"/>
  <c r="CP620" i="7"/>
  <c r="CQ620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G621" i="7"/>
  <c r="AH621" i="7"/>
  <c r="AI621" i="7"/>
  <c r="CC621" i="7"/>
  <c r="CD621" i="7"/>
  <c r="CE621" i="7"/>
  <c r="CF621" i="7"/>
  <c r="CG621" i="7"/>
  <c r="CH621" i="7"/>
  <c r="CI621" i="7"/>
  <c r="CJ621" i="7"/>
  <c r="CK621" i="7"/>
  <c r="CM621" i="7"/>
  <c r="CN621" i="7"/>
  <c r="CO621" i="7"/>
  <c r="CP621" i="7"/>
  <c r="CQ621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G622" i="7"/>
  <c r="AH622" i="7"/>
  <c r="AI622" i="7"/>
  <c r="CC622" i="7"/>
  <c r="CD622" i="7"/>
  <c r="CE622" i="7"/>
  <c r="CF622" i="7"/>
  <c r="CG622" i="7"/>
  <c r="CH622" i="7"/>
  <c r="CI622" i="7"/>
  <c r="CJ622" i="7"/>
  <c r="CK622" i="7"/>
  <c r="CM622" i="7"/>
  <c r="CN622" i="7"/>
  <c r="CO622" i="7"/>
  <c r="CP622" i="7"/>
  <c r="CQ622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G623" i="7"/>
  <c r="AH623" i="7"/>
  <c r="AI623" i="7"/>
  <c r="CC623" i="7"/>
  <c r="CD623" i="7"/>
  <c r="CE623" i="7"/>
  <c r="CF623" i="7"/>
  <c r="CG623" i="7"/>
  <c r="CH623" i="7"/>
  <c r="CI623" i="7"/>
  <c r="CJ623" i="7"/>
  <c r="CK623" i="7"/>
  <c r="CM623" i="7"/>
  <c r="CN623" i="7"/>
  <c r="CO623" i="7"/>
  <c r="CP623" i="7"/>
  <c r="CQ623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G624" i="7"/>
  <c r="AH624" i="7"/>
  <c r="AI624" i="7"/>
  <c r="CC624" i="7"/>
  <c r="CD624" i="7"/>
  <c r="CE624" i="7"/>
  <c r="CF624" i="7"/>
  <c r="CG624" i="7"/>
  <c r="CH624" i="7"/>
  <c r="CI624" i="7"/>
  <c r="CJ624" i="7"/>
  <c r="CK624" i="7"/>
  <c r="CM624" i="7"/>
  <c r="CN624" i="7"/>
  <c r="CO624" i="7"/>
  <c r="CP624" i="7"/>
  <c r="CQ624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G625" i="7"/>
  <c r="AH625" i="7"/>
  <c r="AI625" i="7"/>
  <c r="CC625" i="7"/>
  <c r="CD625" i="7"/>
  <c r="CE625" i="7"/>
  <c r="CF625" i="7"/>
  <c r="CG625" i="7"/>
  <c r="CH625" i="7"/>
  <c r="CI625" i="7"/>
  <c r="CJ625" i="7"/>
  <c r="CK625" i="7"/>
  <c r="CM625" i="7"/>
  <c r="CN625" i="7"/>
  <c r="CO625" i="7"/>
  <c r="CP625" i="7"/>
  <c r="CQ625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G626" i="7"/>
  <c r="AH626" i="7"/>
  <c r="AI626" i="7"/>
  <c r="CC626" i="7"/>
  <c r="CD626" i="7"/>
  <c r="CE626" i="7"/>
  <c r="CF626" i="7"/>
  <c r="CG626" i="7"/>
  <c r="CH626" i="7"/>
  <c r="CI626" i="7"/>
  <c r="CJ626" i="7"/>
  <c r="CK626" i="7"/>
  <c r="CM626" i="7"/>
  <c r="CN626" i="7"/>
  <c r="CO626" i="7"/>
  <c r="CP626" i="7"/>
  <c r="CQ626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G627" i="7"/>
  <c r="AH627" i="7"/>
  <c r="AI627" i="7"/>
  <c r="CC627" i="7"/>
  <c r="CD627" i="7"/>
  <c r="CE627" i="7"/>
  <c r="CF627" i="7"/>
  <c r="CG627" i="7"/>
  <c r="CH627" i="7"/>
  <c r="CI627" i="7"/>
  <c r="CJ627" i="7"/>
  <c r="CK627" i="7"/>
  <c r="CM627" i="7"/>
  <c r="CN627" i="7"/>
  <c r="CO627" i="7"/>
  <c r="CP627" i="7"/>
  <c r="CQ627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G628" i="7"/>
  <c r="AH628" i="7"/>
  <c r="AI628" i="7"/>
  <c r="CC628" i="7"/>
  <c r="CD628" i="7"/>
  <c r="CE628" i="7"/>
  <c r="CF628" i="7"/>
  <c r="CG628" i="7"/>
  <c r="CH628" i="7"/>
  <c r="CI628" i="7"/>
  <c r="CJ628" i="7"/>
  <c r="CK628" i="7"/>
  <c r="CM628" i="7"/>
  <c r="CN628" i="7"/>
  <c r="CO628" i="7"/>
  <c r="CP628" i="7"/>
  <c r="CQ628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G629" i="7"/>
  <c r="AH629" i="7"/>
  <c r="AI629" i="7"/>
  <c r="CC629" i="7"/>
  <c r="CD629" i="7"/>
  <c r="CE629" i="7"/>
  <c r="CF629" i="7"/>
  <c r="CG629" i="7"/>
  <c r="CH629" i="7"/>
  <c r="CI629" i="7"/>
  <c r="CJ629" i="7"/>
  <c r="CK629" i="7"/>
  <c r="CM629" i="7"/>
  <c r="CN629" i="7"/>
  <c r="CO629" i="7"/>
  <c r="CP629" i="7"/>
  <c r="CQ629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G630" i="7"/>
  <c r="AH630" i="7"/>
  <c r="AI630" i="7"/>
  <c r="CC630" i="7"/>
  <c r="CD630" i="7"/>
  <c r="CE630" i="7"/>
  <c r="CF630" i="7"/>
  <c r="CG630" i="7"/>
  <c r="CH630" i="7"/>
  <c r="CI630" i="7"/>
  <c r="CJ630" i="7"/>
  <c r="CK630" i="7"/>
  <c r="CM630" i="7"/>
  <c r="CN630" i="7"/>
  <c r="CO630" i="7"/>
  <c r="CP630" i="7"/>
  <c r="CQ630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G631" i="7"/>
  <c r="AH631" i="7"/>
  <c r="AI631" i="7"/>
  <c r="CC631" i="7"/>
  <c r="CD631" i="7"/>
  <c r="CE631" i="7"/>
  <c r="CF631" i="7"/>
  <c r="CG631" i="7"/>
  <c r="CH631" i="7"/>
  <c r="CI631" i="7"/>
  <c r="CJ631" i="7"/>
  <c r="CK631" i="7"/>
  <c r="CM631" i="7"/>
  <c r="CN631" i="7"/>
  <c r="CO631" i="7"/>
  <c r="CP631" i="7"/>
  <c r="CQ631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G632" i="7"/>
  <c r="AH632" i="7"/>
  <c r="AI632" i="7"/>
  <c r="CC632" i="7"/>
  <c r="CD632" i="7"/>
  <c r="CE632" i="7"/>
  <c r="CF632" i="7"/>
  <c r="CG632" i="7"/>
  <c r="CH632" i="7"/>
  <c r="CI632" i="7"/>
  <c r="CJ632" i="7"/>
  <c r="CK632" i="7"/>
  <c r="CM632" i="7"/>
  <c r="CN632" i="7"/>
  <c r="CO632" i="7"/>
  <c r="CP632" i="7"/>
  <c r="CQ632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G633" i="7"/>
  <c r="AH633" i="7"/>
  <c r="AI633" i="7"/>
  <c r="CC633" i="7"/>
  <c r="CD633" i="7"/>
  <c r="CE633" i="7"/>
  <c r="CF633" i="7"/>
  <c r="CG633" i="7"/>
  <c r="CH633" i="7"/>
  <c r="CI633" i="7"/>
  <c r="CJ633" i="7"/>
  <c r="CK633" i="7"/>
  <c r="CM633" i="7"/>
  <c r="CN633" i="7"/>
  <c r="CO633" i="7"/>
  <c r="CP633" i="7"/>
  <c r="CQ633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G634" i="7"/>
  <c r="AH634" i="7"/>
  <c r="AI634" i="7"/>
  <c r="CC634" i="7"/>
  <c r="CD634" i="7"/>
  <c r="CE634" i="7"/>
  <c r="CF634" i="7"/>
  <c r="CG634" i="7"/>
  <c r="CH634" i="7"/>
  <c r="CI634" i="7"/>
  <c r="CJ634" i="7"/>
  <c r="CK634" i="7"/>
  <c r="CM634" i="7"/>
  <c r="CN634" i="7"/>
  <c r="CO634" i="7"/>
  <c r="CP634" i="7"/>
  <c r="CQ634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G635" i="7"/>
  <c r="AH635" i="7"/>
  <c r="AI635" i="7"/>
  <c r="CC635" i="7"/>
  <c r="CD635" i="7"/>
  <c r="CE635" i="7"/>
  <c r="CF635" i="7"/>
  <c r="CG635" i="7"/>
  <c r="CH635" i="7"/>
  <c r="CI635" i="7"/>
  <c r="CJ635" i="7"/>
  <c r="CK635" i="7"/>
  <c r="CM635" i="7"/>
  <c r="CN635" i="7"/>
  <c r="CO635" i="7"/>
  <c r="CP635" i="7"/>
  <c r="CQ635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G636" i="7"/>
  <c r="AH636" i="7"/>
  <c r="AI636" i="7"/>
  <c r="CC636" i="7"/>
  <c r="CD636" i="7"/>
  <c r="CE636" i="7"/>
  <c r="CF636" i="7"/>
  <c r="CG636" i="7"/>
  <c r="CH636" i="7"/>
  <c r="CI636" i="7"/>
  <c r="CJ636" i="7"/>
  <c r="CK636" i="7"/>
  <c r="CM636" i="7"/>
  <c r="CN636" i="7"/>
  <c r="CO636" i="7"/>
  <c r="CP636" i="7"/>
  <c r="CQ636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G637" i="7"/>
  <c r="AH637" i="7"/>
  <c r="AI637" i="7"/>
  <c r="CC637" i="7"/>
  <c r="CD637" i="7"/>
  <c r="CE637" i="7"/>
  <c r="CF637" i="7"/>
  <c r="CG637" i="7"/>
  <c r="CH637" i="7"/>
  <c r="CI637" i="7"/>
  <c r="CJ637" i="7"/>
  <c r="CK637" i="7"/>
  <c r="CM637" i="7"/>
  <c r="CN637" i="7"/>
  <c r="CO637" i="7"/>
  <c r="CP637" i="7"/>
  <c r="CQ637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G638" i="7"/>
  <c r="AH638" i="7"/>
  <c r="AI638" i="7"/>
  <c r="CC638" i="7"/>
  <c r="CD638" i="7"/>
  <c r="CE638" i="7"/>
  <c r="CF638" i="7"/>
  <c r="CG638" i="7"/>
  <c r="CH638" i="7"/>
  <c r="CI638" i="7"/>
  <c r="CJ638" i="7"/>
  <c r="CK638" i="7"/>
  <c r="CM638" i="7"/>
  <c r="CN638" i="7"/>
  <c r="CO638" i="7"/>
  <c r="CP638" i="7"/>
  <c r="CQ638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G639" i="7"/>
  <c r="AH639" i="7"/>
  <c r="AI639" i="7"/>
  <c r="CC639" i="7"/>
  <c r="CD639" i="7"/>
  <c r="CE639" i="7"/>
  <c r="CF639" i="7"/>
  <c r="CG639" i="7"/>
  <c r="CH639" i="7"/>
  <c r="CI639" i="7"/>
  <c r="CJ639" i="7"/>
  <c r="CK639" i="7"/>
  <c r="CM639" i="7"/>
  <c r="CN639" i="7"/>
  <c r="CO639" i="7"/>
  <c r="CP639" i="7"/>
  <c r="CQ639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G640" i="7"/>
  <c r="AH640" i="7"/>
  <c r="AI640" i="7"/>
  <c r="CC640" i="7"/>
  <c r="CD640" i="7"/>
  <c r="CE640" i="7"/>
  <c r="CF640" i="7"/>
  <c r="CG640" i="7"/>
  <c r="CH640" i="7"/>
  <c r="CI640" i="7"/>
  <c r="CJ640" i="7"/>
  <c r="CK640" i="7"/>
  <c r="CM640" i="7"/>
  <c r="CN640" i="7"/>
  <c r="CO640" i="7"/>
  <c r="CP640" i="7"/>
  <c r="CQ640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G641" i="7"/>
  <c r="AH641" i="7"/>
  <c r="AI641" i="7"/>
  <c r="CC641" i="7"/>
  <c r="CD641" i="7"/>
  <c r="CE641" i="7"/>
  <c r="CF641" i="7"/>
  <c r="CG641" i="7"/>
  <c r="CH641" i="7"/>
  <c r="CI641" i="7"/>
  <c r="CJ641" i="7"/>
  <c r="CK641" i="7"/>
  <c r="CM641" i="7"/>
  <c r="CN641" i="7"/>
  <c r="CO641" i="7"/>
  <c r="CP641" i="7"/>
  <c r="CQ641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G642" i="7"/>
  <c r="AH642" i="7"/>
  <c r="AI642" i="7"/>
  <c r="CC642" i="7"/>
  <c r="CD642" i="7"/>
  <c r="CE642" i="7"/>
  <c r="CF642" i="7"/>
  <c r="CG642" i="7"/>
  <c r="CH642" i="7"/>
  <c r="CI642" i="7"/>
  <c r="CJ642" i="7"/>
  <c r="CK642" i="7"/>
  <c r="CM642" i="7"/>
  <c r="CN642" i="7"/>
  <c r="CO642" i="7"/>
  <c r="CP642" i="7"/>
  <c r="CQ642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G643" i="7"/>
  <c r="AH643" i="7"/>
  <c r="AI643" i="7"/>
  <c r="CC643" i="7"/>
  <c r="CD643" i="7"/>
  <c r="CE643" i="7"/>
  <c r="CF643" i="7"/>
  <c r="CG643" i="7"/>
  <c r="CH643" i="7"/>
  <c r="CI643" i="7"/>
  <c r="CJ643" i="7"/>
  <c r="CK643" i="7"/>
  <c r="CM643" i="7"/>
  <c r="CN643" i="7"/>
  <c r="CO643" i="7"/>
  <c r="CP643" i="7"/>
  <c r="CQ643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G644" i="7"/>
  <c r="AH644" i="7"/>
  <c r="AI644" i="7"/>
  <c r="CC644" i="7"/>
  <c r="CD644" i="7"/>
  <c r="CE644" i="7"/>
  <c r="CF644" i="7"/>
  <c r="CG644" i="7"/>
  <c r="CH644" i="7"/>
  <c r="CI644" i="7"/>
  <c r="CJ644" i="7"/>
  <c r="CK644" i="7"/>
  <c r="CM644" i="7"/>
  <c r="CN644" i="7"/>
  <c r="CO644" i="7"/>
  <c r="CP644" i="7"/>
  <c r="CQ644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G645" i="7"/>
  <c r="AH645" i="7"/>
  <c r="AI645" i="7"/>
  <c r="CC645" i="7"/>
  <c r="CD645" i="7"/>
  <c r="CE645" i="7"/>
  <c r="CF645" i="7"/>
  <c r="CG645" i="7"/>
  <c r="CH645" i="7"/>
  <c r="CI645" i="7"/>
  <c r="CJ645" i="7"/>
  <c r="CK645" i="7"/>
  <c r="CM645" i="7"/>
  <c r="CN645" i="7"/>
  <c r="CO645" i="7"/>
  <c r="CP645" i="7"/>
  <c r="CQ645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G646" i="7"/>
  <c r="AH646" i="7"/>
  <c r="AI646" i="7"/>
  <c r="CC646" i="7"/>
  <c r="CD646" i="7"/>
  <c r="CE646" i="7"/>
  <c r="CF646" i="7"/>
  <c r="CG646" i="7"/>
  <c r="CH646" i="7"/>
  <c r="CI646" i="7"/>
  <c r="CJ646" i="7"/>
  <c r="CK646" i="7"/>
  <c r="CM646" i="7"/>
  <c r="CN646" i="7"/>
  <c r="CO646" i="7"/>
  <c r="CP646" i="7"/>
  <c r="CQ646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G647" i="7"/>
  <c r="AH647" i="7"/>
  <c r="AI647" i="7"/>
  <c r="CC647" i="7"/>
  <c r="CD647" i="7"/>
  <c r="CE647" i="7"/>
  <c r="CF647" i="7"/>
  <c r="CG647" i="7"/>
  <c r="CH647" i="7"/>
  <c r="CI647" i="7"/>
  <c r="CJ647" i="7"/>
  <c r="CK647" i="7"/>
  <c r="CM647" i="7"/>
  <c r="CN647" i="7"/>
  <c r="CO647" i="7"/>
  <c r="CP647" i="7"/>
  <c r="CQ647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G648" i="7"/>
  <c r="AH648" i="7"/>
  <c r="AI648" i="7"/>
  <c r="CC648" i="7"/>
  <c r="CD648" i="7"/>
  <c r="CE648" i="7"/>
  <c r="CF648" i="7"/>
  <c r="CG648" i="7"/>
  <c r="CH648" i="7"/>
  <c r="CI648" i="7"/>
  <c r="CJ648" i="7"/>
  <c r="CK648" i="7"/>
  <c r="CM648" i="7"/>
  <c r="CN648" i="7"/>
  <c r="CO648" i="7"/>
  <c r="CP648" i="7"/>
  <c r="CQ648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G649" i="7"/>
  <c r="AH649" i="7"/>
  <c r="AI649" i="7"/>
  <c r="CC649" i="7"/>
  <c r="CD649" i="7"/>
  <c r="CE649" i="7"/>
  <c r="CF649" i="7"/>
  <c r="CG649" i="7"/>
  <c r="CH649" i="7"/>
  <c r="CI649" i="7"/>
  <c r="CJ649" i="7"/>
  <c r="CK649" i="7"/>
  <c r="CM649" i="7"/>
  <c r="CN649" i="7"/>
  <c r="CO649" i="7"/>
  <c r="CP649" i="7"/>
  <c r="CQ649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G650" i="7"/>
  <c r="AH650" i="7"/>
  <c r="AI650" i="7"/>
  <c r="CC650" i="7"/>
  <c r="CD650" i="7"/>
  <c r="CE650" i="7"/>
  <c r="CF650" i="7"/>
  <c r="CG650" i="7"/>
  <c r="CH650" i="7"/>
  <c r="CI650" i="7"/>
  <c r="CJ650" i="7"/>
  <c r="CK650" i="7"/>
  <c r="CM650" i="7"/>
  <c r="CN650" i="7"/>
  <c r="CO650" i="7"/>
  <c r="CP650" i="7"/>
  <c r="CQ650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G651" i="7"/>
  <c r="AH651" i="7"/>
  <c r="AI651" i="7"/>
  <c r="CC651" i="7"/>
  <c r="CD651" i="7"/>
  <c r="CE651" i="7"/>
  <c r="CF651" i="7"/>
  <c r="CG651" i="7"/>
  <c r="CH651" i="7"/>
  <c r="CI651" i="7"/>
  <c r="CJ651" i="7"/>
  <c r="CK651" i="7"/>
  <c r="CM651" i="7"/>
  <c r="CN651" i="7"/>
  <c r="CO651" i="7"/>
  <c r="CP651" i="7"/>
  <c r="CQ651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G652" i="7"/>
  <c r="AH652" i="7"/>
  <c r="AI652" i="7"/>
  <c r="CC652" i="7"/>
  <c r="CD652" i="7"/>
  <c r="CE652" i="7"/>
  <c r="CF652" i="7"/>
  <c r="CG652" i="7"/>
  <c r="CH652" i="7"/>
  <c r="CI652" i="7"/>
  <c r="CJ652" i="7"/>
  <c r="CK652" i="7"/>
  <c r="CM652" i="7"/>
  <c r="CN652" i="7"/>
  <c r="CO652" i="7"/>
  <c r="CP652" i="7"/>
  <c r="CQ652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G653" i="7"/>
  <c r="AH653" i="7"/>
  <c r="AI653" i="7"/>
  <c r="CC653" i="7"/>
  <c r="CD653" i="7"/>
  <c r="CE653" i="7"/>
  <c r="CF653" i="7"/>
  <c r="CG653" i="7"/>
  <c r="CH653" i="7"/>
  <c r="CI653" i="7"/>
  <c r="CJ653" i="7"/>
  <c r="CK653" i="7"/>
  <c r="CM653" i="7"/>
  <c r="CN653" i="7"/>
  <c r="CO653" i="7"/>
  <c r="CP653" i="7"/>
  <c r="CQ653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G654" i="7"/>
  <c r="AH654" i="7"/>
  <c r="AI654" i="7"/>
  <c r="CC654" i="7"/>
  <c r="CD654" i="7"/>
  <c r="CE654" i="7"/>
  <c r="CF654" i="7"/>
  <c r="CG654" i="7"/>
  <c r="CH654" i="7"/>
  <c r="CI654" i="7"/>
  <c r="CJ654" i="7"/>
  <c r="CK654" i="7"/>
  <c r="CM654" i="7"/>
  <c r="CN654" i="7"/>
  <c r="CO654" i="7"/>
  <c r="CP654" i="7"/>
  <c r="CQ654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G655" i="7"/>
  <c r="AH655" i="7"/>
  <c r="AI655" i="7"/>
  <c r="CC655" i="7"/>
  <c r="CD655" i="7"/>
  <c r="CE655" i="7"/>
  <c r="CF655" i="7"/>
  <c r="CG655" i="7"/>
  <c r="CH655" i="7"/>
  <c r="CI655" i="7"/>
  <c r="CJ655" i="7"/>
  <c r="CK655" i="7"/>
  <c r="CM655" i="7"/>
  <c r="CN655" i="7"/>
  <c r="CO655" i="7"/>
  <c r="CP655" i="7"/>
  <c r="CQ655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G656" i="7"/>
  <c r="AH656" i="7"/>
  <c r="AI656" i="7"/>
  <c r="CC656" i="7"/>
  <c r="CD656" i="7"/>
  <c r="CE656" i="7"/>
  <c r="CF656" i="7"/>
  <c r="CG656" i="7"/>
  <c r="CH656" i="7"/>
  <c r="CI656" i="7"/>
  <c r="CJ656" i="7"/>
  <c r="CK656" i="7"/>
  <c r="CM656" i="7"/>
  <c r="CN656" i="7"/>
  <c r="CO656" i="7"/>
  <c r="CP656" i="7"/>
  <c r="CQ656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G657" i="7"/>
  <c r="AH657" i="7"/>
  <c r="AI657" i="7"/>
  <c r="CC657" i="7"/>
  <c r="CD657" i="7"/>
  <c r="CE657" i="7"/>
  <c r="CF657" i="7"/>
  <c r="CG657" i="7"/>
  <c r="CH657" i="7"/>
  <c r="CI657" i="7"/>
  <c r="CJ657" i="7"/>
  <c r="CK657" i="7"/>
  <c r="CM657" i="7"/>
  <c r="CN657" i="7"/>
  <c r="CO657" i="7"/>
  <c r="CP657" i="7"/>
  <c r="CQ657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G658" i="7"/>
  <c r="AH658" i="7"/>
  <c r="AI658" i="7"/>
  <c r="CC658" i="7"/>
  <c r="CD658" i="7"/>
  <c r="CE658" i="7"/>
  <c r="CF658" i="7"/>
  <c r="CG658" i="7"/>
  <c r="CH658" i="7"/>
  <c r="CI658" i="7"/>
  <c r="CJ658" i="7"/>
  <c r="CK658" i="7"/>
  <c r="CM658" i="7"/>
  <c r="CN658" i="7"/>
  <c r="CO658" i="7"/>
  <c r="CP658" i="7"/>
  <c r="CQ658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G659" i="7"/>
  <c r="AH659" i="7"/>
  <c r="AI659" i="7"/>
  <c r="CC659" i="7"/>
  <c r="CD659" i="7"/>
  <c r="CE659" i="7"/>
  <c r="CF659" i="7"/>
  <c r="CG659" i="7"/>
  <c r="CH659" i="7"/>
  <c r="CI659" i="7"/>
  <c r="CJ659" i="7"/>
  <c r="CK659" i="7"/>
  <c r="CM659" i="7"/>
  <c r="CN659" i="7"/>
  <c r="CO659" i="7"/>
  <c r="CP659" i="7"/>
  <c r="CQ659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G660" i="7"/>
  <c r="AH660" i="7"/>
  <c r="AI660" i="7"/>
  <c r="CC660" i="7"/>
  <c r="CD660" i="7"/>
  <c r="CE660" i="7"/>
  <c r="CF660" i="7"/>
  <c r="CG660" i="7"/>
  <c r="CH660" i="7"/>
  <c r="CI660" i="7"/>
  <c r="CJ660" i="7"/>
  <c r="CK660" i="7"/>
  <c r="CM660" i="7"/>
  <c r="CN660" i="7"/>
  <c r="CO660" i="7"/>
  <c r="CP660" i="7"/>
  <c r="CQ660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G661" i="7"/>
  <c r="AH661" i="7"/>
  <c r="AI661" i="7"/>
  <c r="CC661" i="7"/>
  <c r="CD661" i="7"/>
  <c r="CE661" i="7"/>
  <c r="CF661" i="7"/>
  <c r="CG661" i="7"/>
  <c r="CH661" i="7"/>
  <c r="CI661" i="7"/>
  <c r="CJ661" i="7"/>
  <c r="CK661" i="7"/>
  <c r="CM661" i="7"/>
  <c r="CN661" i="7"/>
  <c r="CO661" i="7"/>
  <c r="CP661" i="7"/>
  <c r="CQ661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G662" i="7"/>
  <c r="AH662" i="7"/>
  <c r="AI662" i="7"/>
  <c r="CC662" i="7"/>
  <c r="CD662" i="7"/>
  <c r="CE662" i="7"/>
  <c r="CF662" i="7"/>
  <c r="CG662" i="7"/>
  <c r="CH662" i="7"/>
  <c r="CI662" i="7"/>
  <c r="CJ662" i="7"/>
  <c r="CK662" i="7"/>
  <c r="CM662" i="7"/>
  <c r="CN662" i="7"/>
  <c r="CO662" i="7"/>
  <c r="CP662" i="7"/>
  <c r="CQ662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G663" i="7"/>
  <c r="AH663" i="7"/>
  <c r="AI663" i="7"/>
  <c r="CC663" i="7"/>
  <c r="CD663" i="7"/>
  <c r="CE663" i="7"/>
  <c r="CF663" i="7"/>
  <c r="CG663" i="7"/>
  <c r="CH663" i="7"/>
  <c r="CI663" i="7"/>
  <c r="CJ663" i="7"/>
  <c r="CK663" i="7"/>
  <c r="CM663" i="7"/>
  <c r="CN663" i="7"/>
  <c r="CO663" i="7"/>
  <c r="CP663" i="7"/>
  <c r="CQ663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G664" i="7"/>
  <c r="AH664" i="7"/>
  <c r="AI664" i="7"/>
  <c r="CC664" i="7"/>
  <c r="CD664" i="7"/>
  <c r="CE664" i="7"/>
  <c r="CF664" i="7"/>
  <c r="CG664" i="7"/>
  <c r="CH664" i="7"/>
  <c r="CI664" i="7"/>
  <c r="CJ664" i="7"/>
  <c r="CK664" i="7"/>
  <c r="CM664" i="7"/>
  <c r="CN664" i="7"/>
  <c r="CO664" i="7"/>
  <c r="CP664" i="7"/>
  <c r="CQ664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G665" i="7"/>
  <c r="AH665" i="7"/>
  <c r="AI665" i="7"/>
  <c r="CC665" i="7"/>
  <c r="CD665" i="7"/>
  <c r="CE665" i="7"/>
  <c r="CF665" i="7"/>
  <c r="CG665" i="7"/>
  <c r="CH665" i="7"/>
  <c r="CI665" i="7"/>
  <c r="CJ665" i="7"/>
  <c r="CK665" i="7"/>
  <c r="CM665" i="7"/>
  <c r="CN665" i="7"/>
  <c r="CO665" i="7"/>
  <c r="CP665" i="7"/>
  <c r="CQ665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G666" i="7"/>
  <c r="AH666" i="7"/>
  <c r="AI666" i="7"/>
  <c r="CC666" i="7"/>
  <c r="CD666" i="7"/>
  <c r="CE666" i="7"/>
  <c r="CF666" i="7"/>
  <c r="CG666" i="7"/>
  <c r="CH666" i="7"/>
  <c r="CI666" i="7"/>
  <c r="CJ666" i="7"/>
  <c r="CK666" i="7"/>
  <c r="CM666" i="7"/>
  <c r="CN666" i="7"/>
  <c r="CO666" i="7"/>
  <c r="CP666" i="7"/>
  <c r="CQ666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G667" i="7"/>
  <c r="AH667" i="7"/>
  <c r="AI667" i="7"/>
  <c r="CC667" i="7"/>
  <c r="CD667" i="7"/>
  <c r="CE667" i="7"/>
  <c r="CF667" i="7"/>
  <c r="CG667" i="7"/>
  <c r="CH667" i="7"/>
  <c r="CI667" i="7"/>
  <c r="CJ667" i="7"/>
  <c r="CK667" i="7"/>
  <c r="CM667" i="7"/>
  <c r="CN667" i="7"/>
  <c r="CO667" i="7"/>
  <c r="CP667" i="7"/>
  <c r="CQ667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G668" i="7"/>
  <c r="AH668" i="7"/>
  <c r="AI668" i="7"/>
  <c r="CC668" i="7"/>
  <c r="CD668" i="7"/>
  <c r="CE668" i="7"/>
  <c r="CF668" i="7"/>
  <c r="CG668" i="7"/>
  <c r="CH668" i="7"/>
  <c r="CI668" i="7"/>
  <c r="CJ668" i="7"/>
  <c r="CK668" i="7"/>
  <c r="CM668" i="7"/>
  <c r="CN668" i="7"/>
  <c r="CO668" i="7"/>
  <c r="CP668" i="7"/>
  <c r="CQ668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G669" i="7"/>
  <c r="AH669" i="7"/>
  <c r="AI669" i="7"/>
  <c r="CC669" i="7"/>
  <c r="CD669" i="7"/>
  <c r="CE669" i="7"/>
  <c r="CF669" i="7"/>
  <c r="CG669" i="7"/>
  <c r="CH669" i="7"/>
  <c r="CI669" i="7"/>
  <c r="CJ669" i="7"/>
  <c r="CK669" i="7"/>
  <c r="CM669" i="7"/>
  <c r="CN669" i="7"/>
  <c r="CO669" i="7"/>
  <c r="CP669" i="7"/>
  <c r="CQ669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G670" i="7"/>
  <c r="AH670" i="7"/>
  <c r="AI670" i="7"/>
  <c r="CC670" i="7"/>
  <c r="CD670" i="7"/>
  <c r="CE670" i="7"/>
  <c r="CF670" i="7"/>
  <c r="CG670" i="7"/>
  <c r="CH670" i="7"/>
  <c r="CI670" i="7"/>
  <c r="CJ670" i="7"/>
  <c r="CK670" i="7"/>
  <c r="CM670" i="7"/>
  <c r="CN670" i="7"/>
  <c r="CO670" i="7"/>
  <c r="CP670" i="7"/>
  <c r="CQ670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G671" i="7"/>
  <c r="AH671" i="7"/>
  <c r="AI671" i="7"/>
  <c r="CC671" i="7"/>
  <c r="CD671" i="7"/>
  <c r="CE671" i="7"/>
  <c r="CF671" i="7"/>
  <c r="CG671" i="7"/>
  <c r="CH671" i="7"/>
  <c r="CI671" i="7"/>
  <c r="CJ671" i="7"/>
  <c r="CK671" i="7"/>
  <c r="CM671" i="7"/>
  <c r="CN671" i="7"/>
  <c r="CO671" i="7"/>
  <c r="CP671" i="7"/>
  <c r="CQ671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G672" i="7"/>
  <c r="AH672" i="7"/>
  <c r="AI672" i="7"/>
  <c r="CC672" i="7"/>
  <c r="CD672" i="7"/>
  <c r="CE672" i="7"/>
  <c r="CF672" i="7"/>
  <c r="CG672" i="7"/>
  <c r="CH672" i="7"/>
  <c r="CI672" i="7"/>
  <c r="CJ672" i="7"/>
  <c r="CK672" i="7"/>
  <c r="CM672" i="7"/>
  <c r="CN672" i="7"/>
  <c r="CO672" i="7"/>
  <c r="CP672" i="7"/>
  <c r="CQ672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G673" i="7"/>
  <c r="AH673" i="7"/>
  <c r="AI673" i="7"/>
  <c r="CC673" i="7"/>
  <c r="CD673" i="7"/>
  <c r="CE673" i="7"/>
  <c r="CF673" i="7"/>
  <c r="CG673" i="7"/>
  <c r="CH673" i="7"/>
  <c r="CI673" i="7"/>
  <c r="CJ673" i="7"/>
  <c r="CK673" i="7"/>
  <c r="CM673" i="7"/>
  <c r="CN673" i="7"/>
  <c r="CO673" i="7"/>
  <c r="CP673" i="7"/>
  <c r="CQ673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G674" i="7"/>
  <c r="AH674" i="7"/>
  <c r="AI674" i="7"/>
  <c r="CC674" i="7"/>
  <c r="CD674" i="7"/>
  <c r="CE674" i="7"/>
  <c r="CF674" i="7"/>
  <c r="CG674" i="7"/>
  <c r="CH674" i="7"/>
  <c r="CI674" i="7"/>
  <c r="CJ674" i="7"/>
  <c r="CK674" i="7"/>
  <c r="CM674" i="7"/>
  <c r="CN674" i="7"/>
  <c r="CO674" i="7"/>
  <c r="CP674" i="7"/>
  <c r="CQ674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G675" i="7"/>
  <c r="AH675" i="7"/>
  <c r="AI675" i="7"/>
  <c r="CC675" i="7"/>
  <c r="CD675" i="7"/>
  <c r="CE675" i="7"/>
  <c r="CF675" i="7"/>
  <c r="CG675" i="7"/>
  <c r="CH675" i="7"/>
  <c r="CI675" i="7"/>
  <c r="CJ675" i="7"/>
  <c r="CK675" i="7"/>
  <c r="CM675" i="7"/>
  <c r="CN675" i="7"/>
  <c r="CO675" i="7"/>
  <c r="CP675" i="7"/>
  <c r="CQ675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G676" i="7"/>
  <c r="AH676" i="7"/>
  <c r="AI676" i="7"/>
  <c r="CC676" i="7"/>
  <c r="CD676" i="7"/>
  <c r="CE676" i="7"/>
  <c r="CF676" i="7"/>
  <c r="CG676" i="7"/>
  <c r="CH676" i="7"/>
  <c r="CI676" i="7"/>
  <c r="CJ676" i="7"/>
  <c r="CK676" i="7"/>
  <c r="CM676" i="7"/>
  <c r="CN676" i="7"/>
  <c r="CO676" i="7"/>
  <c r="CP676" i="7"/>
  <c r="CQ676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G677" i="7"/>
  <c r="AH677" i="7"/>
  <c r="AI677" i="7"/>
  <c r="CC677" i="7"/>
  <c r="CD677" i="7"/>
  <c r="CE677" i="7"/>
  <c r="CF677" i="7"/>
  <c r="CG677" i="7"/>
  <c r="CH677" i="7"/>
  <c r="CI677" i="7"/>
  <c r="CJ677" i="7"/>
  <c r="CK677" i="7"/>
  <c r="CM677" i="7"/>
  <c r="CN677" i="7"/>
  <c r="CO677" i="7"/>
  <c r="CP677" i="7"/>
  <c r="CQ677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G678" i="7"/>
  <c r="AH678" i="7"/>
  <c r="AI678" i="7"/>
  <c r="CC678" i="7"/>
  <c r="CD678" i="7"/>
  <c r="CE678" i="7"/>
  <c r="CF678" i="7"/>
  <c r="CG678" i="7"/>
  <c r="CH678" i="7"/>
  <c r="CI678" i="7"/>
  <c r="CJ678" i="7"/>
  <c r="CK678" i="7"/>
  <c r="CM678" i="7"/>
  <c r="CN678" i="7"/>
  <c r="CO678" i="7"/>
  <c r="CP678" i="7"/>
  <c r="CQ678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G679" i="7"/>
  <c r="AH679" i="7"/>
  <c r="AI679" i="7"/>
  <c r="CC679" i="7"/>
  <c r="CD679" i="7"/>
  <c r="CE679" i="7"/>
  <c r="CF679" i="7"/>
  <c r="CG679" i="7"/>
  <c r="CH679" i="7"/>
  <c r="CI679" i="7"/>
  <c r="CJ679" i="7"/>
  <c r="CK679" i="7"/>
  <c r="CM679" i="7"/>
  <c r="CN679" i="7"/>
  <c r="CO679" i="7"/>
  <c r="CP679" i="7"/>
  <c r="CQ679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G680" i="7"/>
  <c r="AH680" i="7"/>
  <c r="AI680" i="7"/>
  <c r="CC680" i="7"/>
  <c r="CD680" i="7"/>
  <c r="CE680" i="7"/>
  <c r="CF680" i="7"/>
  <c r="CG680" i="7"/>
  <c r="CH680" i="7"/>
  <c r="CI680" i="7"/>
  <c r="CJ680" i="7"/>
  <c r="CK680" i="7"/>
  <c r="CM680" i="7"/>
  <c r="CN680" i="7"/>
  <c r="CO680" i="7"/>
  <c r="CP680" i="7"/>
  <c r="CQ680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G681" i="7"/>
  <c r="AH681" i="7"/>
  <c r="AI681" i="7"/>
  <c r="CC681" i="7"/>
  <c r="CD681" i="7"/>
  <c r="CE681" i="7"/>
  <c r="CF681" i="7"/>
  <c r="CG681" i="7"/>
  <c r="CH681" i="7"/>
  <c r="CI681" i="7"/>
  <c r="CJ681" i="7"/>
  <c r="CK681" i="7"/>
  <c r="CM681" i="7"/>
  <c r="CN681" i="7"/>
  <c r="CO681" i="7"/>
  <c r="CP681" i="7"/>
  <c r="CQ681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G682" i="7"/>
  <c r="AH682" i="7"/>
  <c r="AI682" i="7"/>
  <c r="CC682" i="7"/>
  <c r="CD682" i="7"/>
  <c r="CE682" i="7"/>
  <c r="CF682" i="7"/>
  <c r="CG682" i="7"/>
  <c r="CH682" i="7"/>
  <c r="CI682" i="7"/>
  <c r="CJ682" i="7"/>
  <c r="CK682" i="7"/>
  <c r="CM682" i="7"/>
  <c r="CN682" i="7"/>
  <c r="CO682" i="7"/>
  <c r="CP682" i="7"/>
  <c r="CQ682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G683" i="7"/>
  <c r="AH683" i="7"/>
  <c r="AI683" i="7"/>
  <c r="CC683" i="7"/>
  <c r="CD683" i="7"/>
  <c r="CE683" i="7"/>
  <c r="CF683" i="7"/>
  <c r="CG683" i="7"/>
  <c r="CH683" i="7"/>
  <c r="CI683" i="7"/>
  <c r="CJ683" i="7"/>
  <c r="CK683" i="7"/>
  <c r="CM683" i="7"/>
  <c r="CN683" i="7"/>
  <c r="CO683" i="7"/>
  <c r="CP683" i="7"/>
  <c r="CQ683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G684" i="7"/>
  <c r="AH684" i="7"/>
  <c r="AI684" i="7"/>
  <c r="CC684" i="7"/>
  <c r="CD684" i="7"/>
  <c r="CE684" i="7"/>
  <c r="CF684" i="7"/>
  <c r="CG684" i="7"/>
  <c r="CH684" i="7"/>
  <c r="CI684" i="7"/>
  <c r="CJ684" i="7"/>
  <c r="CK684" i="7"/>
  <c r="CM684" i="7"/>
  <c r="CN684" i="7"/>
  <c r="CO684" i="7"/>
  <c r="CP684" i="7"/>
  <c r="CQ684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G685" i="7"/>
  <c r="AH685" i="7"/>
  <c r="AI685" i="7"/>
  <c r="CC685" i="7"/>
  <c r="CD685" i="7"/>
  <c r="CE685" i="7"/>
  <c r="CF685" i="7"/>
  <c r="CG685" i="7"/>
  <c r="CH685" i="7"/>
  <c r="CI685" i="7"/>
  <c r="CJ685" i="7"/>
  <c r="CK685" i="7"/>
  <c r="CM685" i="7"/>
  <c r="CN685" i="7"/>
  <c r="CO685" i="7"/>
  <c r="CP685" i="7"/>
  <c r="CQ685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G686" i="7"/>
  <c r="AH686" i="7"/>
  <c r="AI686" i="7"/>
  <c r="CC686" i="7"/>
  <c r="CD686" i="7"/>
  <c r="CE686" i="7"/>
  <c r="CF686" i="7"/>
  <c r="CG686" i="7"/>
  <c r="CH686" i="7"/>
  <c r="CI686" i="7"/>
  <c r="CJ686" i="7"/>
  <c r="CK686" i="7"/>
  <c r="CM686" i="7"/>
  <c r="CN686" i="7"/>
  <c r="CO686" i="7"/>
  <c r="CP686" i="7"/>
  <c r="CQ686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G687" i="7"/>
  <c r="AH687" i="7"/>
  <c r="AI687" i="7"/>
  <c r="CC687" i="7"/>
  <c r="CD687" i="7"/>
  <c r="CE687" i="7"/>
  <c r="CF687" i="7"/>
  <c r="CG687" i="7"/>
  <c r="CH687" i="7"/>
  <c r="CI687" i="7"/>
  <c r="CJ687" i="7"/>
  <c r="CK687" i="7"/>
  <c r="CM687" i="7"/>
  <c r="CN687" i="7"/>
  <c r="CO687" i="7"/>
  <c r="CP687" i="7"/>
  <c r="CQ687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G688" i="7"/>
  <c r="AH688" i="7"/>
  <c r="AI688" i="7"/>
  <c r="CC688" i="7"/>
  <c r="CD688" i="7"/>
  <c r="CE688" i="7"/>
  <c r="CF688" i="7"/>
  <c r="CG688" i="7"/>
  <c r="CH688" i="7"/>
  <c r="CI688" i="7"/>
  <c r="CJ688" i="7"/>
  <c r="CK688" i="7"/>
  <c r="CM688" i="7"/>
  <c r="CN688" i="7"/>
  <c r="CO688" i="7"/>
  <c r="CP688" i="7"/>
  <c r="CQ688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G689" i="7"/>
  <c r="AH689" i="7"/>
  <c r="AI689" i="7"/>
  <c r="CC689" i="7"/>
  <c r="CD689" i="7"/>
  <c r="CE689" i="7"/>
  <c r="CF689" i="7"/>
  <c r="CG689" i="7"/>
  <c r="CH689" i="7"/>
  <c r="CI689" i="7"/>
  <c r="CJ689" i="7"/>
  <c r="CK689" i="7"/>
  <c r="CM689" i="7"/>
  <c r="CN689" i="7"/>
  <c r="CO689" i="7"/>
  <c r="CP689" i="7"/>
  <c r="CQ689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G690" i="7"/>
  <c r="AH690" i="7"/>
  <c r="AI690" i="7"/>
  <c r="CC690" i="7"/>
  <c r="CD690" i="7"/>
  <c r="CE690" i="7"/>
  <c r="CF690" i="7"/>
  <c r="CG690" i="7"/>
  <c r="CH690" i="7"/>
  <c r="CI690" i="7"/>
  <c r="CJ690" i="7"/>
  <c r="CK690" i="7"/>
  <c r="CM690" i="7"/>
  <c r="CN690" i="7"/>
  <c r="CO690" i="7"/>
  <c r="CP690" i="7"/>
  <c r="CQ690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G691" i="7"/>
  <c r="AH691" i="7"/>
  <c r="AI691" i="7"/>
  <c r="CC691" i="7"/>
  <c r="CD691" i="7"/>
  <c r="CE691" i="7"/>
  <c r="CF691" i="7"/>
  <c r="CG691" i="7"/>
  <c r="CH691" i="7"/>
  <c r="CI691" i="7"/>
  <c r="CJ691" i="7"/>
  <c r="CK691" i="7"/>
  <c r="CM691" i="7"/>
  <c r="CN691" i="7"/>
  <c r="CO691" i="7"/>
  <c r="CP691" i="7"/>
  <c r="CQ691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G692" i="7"/>
  <c r="AH692" i="7"/>
  <c r="AI692" i="7"/>
  <c r="CC692" i="7"/>
  <c r="CD692" i="7"/>
  <c r="CE692" i="7"/>
  <c r="CF692" i="7"/>
  <c r="CG692" i="7"/>
  <c r="CH692" i="7"/>
  <c r="CI692" i="7"/>
  <c r="CJ692" i="7"/>
  <c r="CK692" i="7"/>
  <c r="CM692" i="7"/>
  <c r="CN692" i="7"/>
  <c r="CO692" i="7"/>
  <c r="CP692" i="7"/>
  <c r="CQ692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G693" i="7"/>
  <c r="AH693" i="7"/>
  <c r="AI693" i="7"/>
  <c r="CC693" i="7"/>
  <c r="CD693" i="7"/>
  <c r="CE693" i="7"/>
  <c r="CF693" i="7"/>
  <c r="CG693" i="7"/>
  <c r="CH693" i="7"/>
  <c r="CI693" i="7"/>
  <c r="CJ693" i="7"/>
  <c r="CK693" i="7"/>
  <c r="CM693" i="7"/>
  <c r="CN693" i="7"/>
  <c r="CO693" i="7"/>
  <c r="CP693" i="7"/>
  <c r="CQ693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G694" i="7"/>
  <c r="AH694" i="7"/>
  <c r="AI694" i="7"/>
  <c r="CC694" i="7"/>
  <c r="CD694" i="7"/>
  <c r="CE694" i="7"/>
  <c r="CF694" i="7"/>
  <c r="CG694" i="7"/>
  <c r="CH694" i="7"/>
  <c r="CI694" i="7"/>
  <c r="CJ694" i="7"/>
  <c r="CK694" i="7"/>
  <c r="CM694" i="7"/>
  <c r="CN694" i="7"/>
  <c r="CO694" i="7"/>
  <c r="CP694" i="7"/>
  <c r="CQ694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G695" i="7"/>
  <c r="AH695" i="7"/>
  <c r="AI695" i="7"/>
  <c r="CC695" i="7"/>
  <c r="CD695" i="7"/>
  <c r="CE695" i="7"/>
  <c r="CF695" i="7"/>
  <c r="CG695" i="7"/>
  <c r="CH695" i="7"/>
  <c r="CI695" i="7"/>
  <c r="CJ695" i="7"/>
  <c r="CK695" i="7"/>
  <c r="CM695" i="7"/>
  <c r="CN695" i="7"/>
  <c r="CO695" i="7"/>
  <c r="CP695" i="7"/>
  <c r="CQ695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G696" i="7"/>
  <c r="AH696" i="7"/>
  <c r="AI696" i="7"/>
  <c r="CC696" i="7"/>
  <c r="CD696" i="7"/>
  <c r="CE696" i="7"/>
  <c r="CF696" i="7"/>
  <c r="CG696" i="7"/>
  <c r="CH696" i="7"/>
  <c r="CI696" i="7"/>
  <c r="CJ696" i="7"/>
  <c r="CK696" i="7"/>
  <c r="CM696" i="7"/>
  <c r="CN696" i="7"/>
  <c r="CO696" i="7"/>
  <c r="CP696" i="7"/>
  <c r="CQ696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G697" i="7"/>
  <c r="AH697" i="7"/>
  <c r="AI697" i="7"/>
  <c r="CC697" i="7"/>
  <c r="CD697" i="7"/>
  <c r="CE697" i="7"/>
  <c r="CF697" i="7"/>
  <c r="CG697" i="7"/>
  <c r="CH697" i="7"/>
  <c r="CI697" i="7"/>
  <c r="CJ697" i="7"/>
  <c r="CK697" i="7"/>
  <c r="CM697" i="7"/>
  <c r="CN697" i="7"/>
  <c r="CO697" i="7"/>
  <c r="CP697" i="7"/>
  <c r="CQ697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G698" i="7"/>
  <c r="AH698" i="7"/>
  <c r="AI698" i="7"/>
  <c r="CC698" i="7"/>
  <c r="CD698" i="7"/>
  <c r="CE698" i="7"/>
  <c r="CF698" i="7"/>
  <c r="CG698" i="7"/>
  <c r="CH698" i="7"/>
  <c r="CI698" i="7"/>
  <c r="CJ698" i="7"/>
  <c r="CK698" i="7"/>
  <c r="CM698" i="7"/>
  <c r="CN698" i="7"/>
  <c r="CO698" i="7"/>
  <c r="CP698" i="7"/>
  <c r="CQ698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G699" i="7"/>
  <c r="AH699" i="7"/>
  <c r="AI699" i="7"/>
  <c r="CC699" i="7"/>
  <c r="CD699" i="7"/>
  <c r="CE699" i="7"/>
  <c r="CF699" i="7"/>
  <c r="CG699" i="7"/>
  <c r="CH699" i="7"/>
  <c r="CI699" i="7"/>
  <c r="CJ699" i="7"/>
  <c r="CK699" i="7"/>
  <c r="CM699" i="7"/>
  <c r="CN699" i="7"/>
  <c r="CO699" i="7"/>
  <c r="CP699" i="7"/>
  <c r="CQ699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G700" i="7"/>
  <c r="AH700" i="7"/>
  <c r="AI700" i="7"/>
  <c r="CC700" i="7"/>
  <c r="CD700" i="7"/>
  <c r="CE700" i="7"/>
  <c r="CF700" i="7"/>
  <c r="CG700" i="7"/>
  <c r="CH700" i="7"/>
  <c r="CI700" i="7"/>
  <c r="CJ700" i="7"/>
  <c r="CK700" i="7"/>
  <c r="CM700" i="7"/>
  <c r="CN700" i="7"/>
  <c r="CO700" i="7"/>
  <c r="CP700" i="7"/>
  <c r="CQ700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G701" i="7"/>
  <c r="AH701" i="7"/>
  <c r="AI701" i="7"/>
  <c r="CC701" i="7"/>
  <c r="CD701" i="7"/>
  <c r="CE701" i="7"/>
  <c r="CF701" i="7"/>
  <c r="CG701" i="7"/>
  <c r="CH701" i="7"/>
  <c r="CI701" i="7"/>
  <c r="CJ701" i="7"/>
  <c r="CK701" i="7"/>
  <c r="CM701" i="7"/>
  <c r="CN701" i="7"/>
  <c r="CO701" i="7"/>
  <c r="CP701" i="7"/>
  <c r="CQ701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G702" i="7"/>
  <c r="AH702" i="7"/>
  <c r="AI702" i="7"/>
  <c r="CC702" i="7"/>
  <c r="CD702" i="7"/>
  <c r="CE702" i="7"/>
  <c r="CF702" i="7"/>
  <c r="CG702" i="7"/>
  <c r="CH702" i="7"/>
  <c r="CI702" i="7"/>
  <c r="CJ702" i="7"/>
  <c r="CK702" i="7"/>
  <c r="CM702" i="7"/>
  <c r="CN702" i="7"/>
  <c r="CO702" i="7"/>
  <c r="CP702" i="7"/>
  <c r="CQ702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G703" i="7"/>
  <c r="AH703" i="7"/>
  <c r="AI703" i="7"/>
  <c r="CC703" i="7"/>
  <c r="CD703" i="7"/>
  <c r="CE703" i="7"/>
  <c r="CF703" i="7"/>
  <c r="CG703" i="7"/>
  <c r="CH703" i="7"/>
  <c r="CI703" i="7"/>
  <c r="CJ703" i="7"/>
  <c r="CK703" i="7"/>
  <c r="CM703" i="7"/>
  <c r="CN703" i="7"/>
  <c r="CO703" i="7"/>
  <c r="CP703" i="7"/>
  <c r="CQ703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G704" i="7"/>
  <c r="AH704" i="7"/>
  <c r="AI704" i="7"/>
  <c r="CC704" i="7"/>
  <c r="CD704" i="7"/>
  <c r="CE704" i="7"/>
  <c r="CF704" i="7"/>
  <c r="CG704" i="7"/>
  <c r="CH704" i="7"/>
  <c r="CI704" i="7"/>
  <c r="CJ704" i="7"/>
  <c r="CK704" i="7"/>
  <c r="CM704" i="7"/>
  <c r="CN704" i="7"/>
  <c r="CO704" i="7"/>
  <c r="CP704" i="7"/>
  <c r="CQ704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G705" i="7"/>
  <c r="AH705" i="7"/>
  <c r="AI705" i="7"/>
  <c r="CC705" i="7"/>
  <c r="CD705" i="7"/>
  <c r="CE705" i="7"/>
  <c r="CF705" i="7"/>
  <c r="CG705" i="7"/>
  <c r="CH705" i="7"/>
  <c r="CI705" i="7"/>
  <c r="CJ705" i="7"/>
  <c r="CK705" i="7"/>
  <c r="CM705" i="7"/>
  <c r="CN705" i="7"/>
  <c r="CO705" i="7"/>
  <c r="CP705" i="7"/>
  <c r="CQ705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G706" i="7"/>
  <c r="AH706" i="7"/>
  <c r="AI706" i="7"/>
  <c r="CC706" i="7"/>
  <c r="CD706" i="7"/>
  <c r="CE706" i="7"/>
  <c r="CF706" i="7"/>
  <c r="CG706" i="7"/>
  <c r="CH706" i="7"/>
  <c r="CI706" i="7"/>
  <c r="CJ706" i="7"/>
  <c r="CK706" i="7"/>
  <c r="CM706" i="7"/>
  <c r="CN706" i="7"/>
  <c r="CO706" i="7"/>
  <c r="CP706" i="7"/>
  <c r="CQ706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G707" i="7"/>
  <c r="AH707" i="7"/>
  <c r="AI707" i="7"/>
  <c r="CC707" i="7"/>
  <c r="CD707" i="7"/>
  <c r="CE707" i="7"/>
  <c r="CF707" i="7"/>
  <c r="CG707" i="7"/>
  <c r="CH707" i="7"/>
  <c r="CI707" i="7"/>
  <c r="CJ707" i="7"/>
  <c r="CK707" i="7"/>
  <c r="CM707" i="7"/>
  <c r="CN707" i="7"/>
  <c r="CO707" i="7"/>
  <c r="CP707" i="7"/>
  <c r="CQ707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G708" i="7"/>
  <c r="AH708" i="7"/>
  <c r="AI708" i="7"/>
  <c r="CC708" i="7"/>
  <c r="CD708" i="7"/>
  <c r="CE708" i="7"/>
  <c r="CF708" i="7"/>
  <c r="CG708" i="7"/>
  <c r="CH708" i="7"/>
  <c r="CI708" i="7"/>
  <c r="CJ708" i="7"/>
  <c r="CK708" i="7"/>
  <c r="CM708" i="7"/>
  <c r="CN708" i="7"/>
  <c r="CO708" i="7"/>
  <c r="CP708" i="7"/>
  <c r="CQ708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G709" i="7"/>
  <c r="AH709" i="7"/>
  <c r="AI709" i="7"/>
  <c r="CC709" i="7"/>
  <c r="CD709" i="7"/>
  <c r="CE709" i="7"/>
  <c r="CF709" i="7"/>
  <c r="CG709" i="7"/>
  <c r="CH709" i="7"/>
  <c r="CI709" i="7"/>
  <c r="CJ709" i="7"/>
  <c r="CK709" i="7"/>
  <c r="CM709" i="7"/>
  <c r="CN709" i="7"/>
  <c r="CO709" i="7"/>
  <c r="CP709" i="7"/>
  <c r="CQ709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G710" i="7"/>
  <c r="AH710" i="7"/>
  <c r="AI710" i="7"/>
  <c r="CC710" i="7"/>
  <c r="CD710" i="7"/>
  <c r="CE710" i="7"/>
  <c r="CF710" i="7"/>
  <c r="CG710" i="7"/>
  <c r="CH710" i="7"/>
  <c r="CI710" i="7"/>
  <c r="CJ710" i="7"/>
  <c r="CK710" i="7"/>
  <c r="CM710" i="7"/>
  <c r="CN710" i="7"/>
  <c r="CO710" i="7"/>
  <c r="CP710" i="7"/>
  <c r="CQ710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G711" i="7"/>
  <c r="AH711" i="7"/>
  <c r="AI711" i="7"/>
  <c r="CC711" i="7"/>
  <c r="CD711" i="7"/>
  <c r="CE711" i="7"/>
  <c r="CF711" i="7"/>
  <c r="CG711" i="7"/>
  <c r="CH711" i="7"/>
  <c r="CI711" i="7"/>
  <c r="CJ711" i="7"/>
  <c r="CK711" i="7"/>
  <c r="CM711" i="7"/>
  <c r="CN711" i="7"/>
  <c r="CO711" i="7"/>
  <c r="CP711" i="7"/>
  <c r="CQ711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G712" i="7"/>
  <c r="AH712" i="7"/>
  <c r="AI712" i="7"/>
  <c r="CC712" i="7"/>
  <c r="CD712" i="7"/>
  <c r="CE712" i="7"/>
  <c r="CF712" i="7"/>
  <c r="CG712" i="7"/>
  <c r="CH712" i="7"/>
  <c r="CI712" i="7"/>
  <c r="CJ712" i="7"/>
  <c r="CK712" i="7"/>
  <c r="CM712" i="7"/>
  <c r="CN712" i="7"/>
  <c r="CO712" i="7"/>
  <c r="CP712" i="7"/>
  <c r="CQ712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G713" i="7"/>
  <c r="AH713" i="7"/>
  <c r="AI713" i="7"/>
  <c r="CC713" i="7"/>
  <c r="CD713" i="7"/>
  <c r="CE713" i="7"/>
  <c r="CF713" i="7"/>
  <c r="CG713" i="7"/>
  <c r="CH713" i="7"/>
  <c r="CI713" i="7"/>
  <c r="CJ713" i="7"/>
  <c r="CK713" i="7"/>
  <c r="CM713" i="7"/>
  <c r="CN713" i="7"/>
  <c r="CO713" i="7"/>
  <c r="CP713" i="7"/>
  <c r="CQ713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G714" i="7"/>
  <c r="AH714" i="7"/>
  <c r="AI714" i="7"/>
  <c r="CC714" i="7"/>
  <c r="CD714" i="7"/>
  <c r="CE714" i="7"/>
  <c r="CF714" i="7"/>
  <c r="CG714" i="7"/>
  <c r="CH714" i="7"/>
  <c r="CI714" i="7"/>
  <c r="CJ714" i="7"/>
  <c r="CK714" i="7"/>
  <c r="CM714" i="7"/>
  <c r="CN714" i="7"/>
  <c r="CO714" i="7"/>
  <c r="CP714" i="7"/>
  <c r="CQ714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G715" i="7"/>
  <c r="AH715" i="7"/>
  <c r="AI715" i="7"/>
  <c r="CC715" i="7"/>
  <c r="CD715" i="7"/>
  <c r="CE715" i="7"/>
  <c r="CF715" i="7"/>
  <c r="CG715" i="7"/>
  <c r="CH715" i="7"/>
  <c r="CI715" i="7"/>
  <c r="CJ715" i="7"/>
  <c r="CK715" i="7"/>
  <c r="CM715" i="7"/>
  <c r="CN715" i="7"/>
  <c r="CO715" i="7"/>
  <c r="CP715" i="7"/>
  <c r="CQ715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G716" i="7"/>
  <c r="AH716" i="7"/>
  <c r="AI716" i="7"/>
  <c r="CC716" i="7"/>
  <c r="CD716" i="7"/>
  <c r="CE716" i="7"/>
  <c r="CF716" i="7"/>
  <c r="CG716" i="7"/>
  <c r="CH716" i="7"/>
  <c r="CI716" i="7"/>
  <c r="CJ716" i="7"/>
  <c r="CK716" i="7"/>
  <c r="CM716" i="7"/>
  <c r="CN716" i="7"/>
  <c r="CO716" i="7"/>
  <c r="CP716" i="7"/>
  <c r="CQ716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G717" i="7"/>
  <c r="AH717" i="7"/>
  <c r="AI717" i="7"/>
  <c r="CC717" i="7"/>
  <c r="CD717" i="7"/>
  <c r="CE717" i="7"/>
  <c r="CF717" i="7"/>
  <c r="CG717" i="7"/>
  <c r="CH717" i="7"/>
  <c r="CI717" i="7"/>
  <c r="CJ717" i="7"/>
  <c r="CK717" i="7"/>
  <c r="CM717" i="7"/>
  <c r="CN717" i="7"/>
  <c r="CO717" i="7"/>
  <c r="CP717" i="7"/>
  <c r="CQ717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G718" i="7"/>
  <c r="AH718" i="7"/>
  <c r="AI718" i="7"/>
  <c r="CC718" i="7"/>
  <c r="CD718" i="7"/>
  <c r="CE718" i="7"/>
  <c r="CF718" i="7"/>
  <c r="CG718" i="7"/>
  <c r="CH718" i="7"/>
  <c r="CI718" i="7"/>
  <c r="CJ718" i="7"/>
  <c r="CK718" i="7"/>
  <c r="CM718" i="7"/>
  <c r="CN718" i="7"/>
  <c r="CO718" i="7"/>
  <c r="CP718" i="7"/>
  <c r="CQ718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G719" i="7"/>
  <c r="AH719" i="7"/>
  <c r="AI719" i="7"/>
  <c r="CC719" i="7"/>
  <c r="CD719" i="7"/>
  <c r="CE719" i="7"/>
  <c r="CF719" i="7"/>
  <c r="CG719" i="7"/>
  <c r="CH719" i="7"/>
  <c r="CI719" i="7"/>
  <c r="CJ719" i="7"/>
  <c r="CK719" i="7"/>
  <c r="CM719" i="7"/>
  <c r="CN719" i="7"/>
  <c r="CO719" i="7"/>
  <c r="CP719" i="7"/>
  <c r="CQ719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G720" i="7"/>
  <c r="AH720" i="7"/>
  <c r="AI720" i="7"/>
  <c r="CC720" i="7"/>
  <c r="CD720" i="7"/>
  <c r="CE720" i="7"/>
  <c r="CF720" i="7"/>
  <c r="CG720" i="7"/>
  <c r="CH720" i="7"/>
  <c r="CI720" i="7"/>
  <c r="CJ720" i="7"/>
  <c r="CK720" i="7"/>
  <c r="CM720" i="7"/>
  <c r="CN720" i="7"/>
  <c r="CO720" i="7"/>
  <c r="CP720" i="7"/>
  <c r="CQ720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G721" i="7"/>
  <c r="AH721" i="7"/>
  <c r="AI721" i="7"/>
  <c r="CC721" i="7"/>
  <c r="CD721" i="7"/>
  <c r="CE721" i="7"/>
  <c r="CF721" i="7"/>
  <c r="CG721" i="7"/>
  <c r="CH721" i="7"/>
  <c r="CI721" i="7"/>
  <c r="CJ721" i="7"/>
  <c r="CK721" i="7"/>
  <c r="CM721" i="7"/>
  <c r="CN721" i="7"/>
  <c r="CO721" i="7"/>
  <c r="CP721" i="7"/>
  <c r="CQ721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G722" i="7"/>
  <c r="AH722" i="7"/>
  <c r="AI722" i="7"/>
  <c r="CC722" i="7"/>
  <c r="CD722" i="7"/>
  <c r="CE722" i="7"/>
  <c r="CF722" i="7"/>
  <c r="CG722" i="7"/>
  <c r="CH722" i="7"/>
  <c r="CI722" i="7"/>
  <c r="CJ722" i="7"/>
  <c r="CK722" i="7"/>
  <c r="CM722" i="7"/>
  <c r="CN722" i="7"/>
  <c r="CO722" i="7"/>
  <c r="CP722" i="7"/>
  <c r="CQ722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G723" i="7"/>
  <c r="AH723" i="7"/>
  <c r="AI723" i="7"/>
  <c r="CC723" i="7"/>
  <c r="CD723" i="7"/>
  <c r="CE723" i="7"/>
  <c r="CF723" i="7"/>
  <c r="CG723" i="7"/>
  <c r="CH723" i="7"/>
  <c r="CI723" i="7"/>
  <c r="CJ723" i="7"/>
  <c r="CK723" i="7"/>
  <c r="CM723" i="7"/>
  <c r="CN723" i="7"/>
  <c r="CO723" i="7"/>
  <c r="CP723" i="7"/>
  <c r="CQ723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G724" i="7"/>
  <c r="AH724" i="7"/>
  <c r="AI724" i="7"/>
  <c r="CC724" i="7"/>
  <c r="CD724" i="7"/>
  <c r="CE724" i="7"/>
  <c r="CF724" i="7"/>
  <c r="CG724" i="7"/>
  <c r="CH724" i="7"/>
  <c r="CI724" i="7"/>
  <c r="CJ724" i="7"/>
  <c r="CK724" i="7"/>
  <c r="CM724" i="7"/>
  <c r="CN724" i="7"/>
  <c r="CO724" i="7"/>
  <c r="CP724" i="7"/>
  <c r="CQ724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G725" i="7"/>
  <c r="AH725" i="7"/>
  <c r="AI725" i="7"/>
  <c r="CC725" i="7"/>
  <c r="CD725" i="7"/>
  <c r="CE725" i="7"/>
  <c r="CF725" i="7"/>
  <c r="CG725" i="7"/>
  <c r="CH725" i="7"/>
  <c r="CI725" i="7"/>
  <c r="CJ725" i="7"/>
  <c r="CK725" i="7"/>
  <c r="CM725" i="7"/>
  <c r="CN725" i="7"/>
  <c r="CO725" i="7"/>
  <c r="CP725" i="7"/>
  <c r="CQ725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G726" i="7"/>
  <c r="AH726" i="7"/>
  <c r="AI726" i="7"/>
  <c r="CC726" i="7"/>
  <c r="CD726" i="7"/>
  <c r="CE726" i="7"/>
  <c r="CF726" i="7"/>
  <c r="CG726" i="7"/>
  <c r="CH726" i="7"/>
  <c r="CI726" i="7"/>
  <c r="CJ726" i="7"/>
  <c r="CK726" i="7"/>
  <c r="CM726" i="7"/>
  <c r="CN726" i="7"/>
  <c r="CO726" i="7"/>
  <c r="CP726" i="7"/>
  <c r="CQ726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G727" i="7"/>
  <c r="AH727" i="7"/>
  <c r="AI727" i="7"/>
  <c r="CC727" i="7"/>
  <c r="CD727" i="7"/>
  <c r="CE727" i="7"/>
  <c r="CF727" i="7"/>
  <c r="CG727" i="7"/>
  <c r="CH727" i="7"/>
  <c r="CI727" i="7"/>
  <c r="CJ727" i="7"/>
  <c r="CK727" i="7"/>
  <c r="CM727" i="7"/>
  <c r="CN727" i="7"/>
  <c r="CO727" i="7"/>
  <c r="CP727" i="7"/>
  <c r="CQ727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G728" i="7"/>
  <c r="AH728" i="7"/>
  <c r="AI728" i="7"/>
  <c r="CC728" i="7"/>
  <c r="CD728" i="7"/>
  <c r="CE728" i="7"/>
  <c r="CF728" i="7"/>
  <c r="CG728" i="7"/>
  <c r="CH728" i="7"/>
  <c r="CI728" i="7"/>
  <c r="CJ728" i="7"/>
  <c r="CK728" i="7"/>
  <c r="CM728" i="7"/>
  <c r="CN728" i="7"/>
  <c r="CO728" i="7"/>
  <c r="CP728" i="7"/>
  <c r="CQ728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G729" i="7"/>
  <c r="AH729" i="7"/>
  <c r="AI729" i="7"/>
  <c r="CC729" i="7"/>
  <c r="CD729" i="7"/>
  <c r="CE729" i="7"/>
  <c r="CF729" i="7"/>
  <c r="CG729" i="7"/>
  <c r="CH729" i="7"/>
  <c r="CI729" i="7"/>
  <c r="CJ729" i="7"/>
  <c r="CK729" i="7"/>
  <c r="CM729" i="7"/>
  <c r="CN729" i="7"/>
  <c r="CO729" i="7"/>
  <c r="CP729" i="7"/>
  <c r="CQ729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G730" i="7"/>
  <c r="AH730" i="7"/>
  <c r="AI730" i="7"/>
  <c r="CC730" i="7"/>
  <c r="CD730" i="7"/>
  <c r="CE730" i="7"/>
  <c r="CF730" i="7"/>
  <c r="CG730" i="7"/>
  <c r="CH730" i="7"/>
  <c r="CI730" i="7"/>
  <c r="CJ730" i="7"/>
  <c r="CK730" i="7"/>
  <c r="CM730" i="7"/>
  <c r="CN730" i="7"/>
  <c r="CO730" i="7"/>
  <c r="CP730" i="7"/>
  <c r="CQ730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G731" i="7"/>
  <c r="AH731" i="7"/>
  <c r="AI731" i="7"/>
  <c r="CC731" i="7"/>
  <c r="CD731" i="7"/>
  <c r="CE731" i="7"/>
  <c r="CF731" i="7"/>
  <c r="CG731" i="7"/>
  <c r="CH731" i="7"/>
  <c r="CI731" i="7"/>
  <c r="CJ731" i="7"/>
  <c r="CK731" i="7"/>
  <c r="CM731" i="7"/>
  <c r="CN731" i="7"/>
  <c r="CO731" i="7"/>
  <c r="CP731" i="7"/>
  <c r="CQ731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G732" i="7"/>
  <c r="AH732" i="7"/>
  <c r="AI732" i="7"/>
  <c r="CC732" i="7"/>
  <c r="CD732" i="7"/>
  <c r="CE732" i="7"/>
  <c r="CF732" i="7"/>
  <c r="CG732" i="7"/>
  <c r="CH732" i="7"/>
  <c r="CI732" i="7"/>
  <c r="CJ732" i="7"/>
  <c r="CK732" i="7"/>
  <c r="CM732" i="7"/>
  <c r="CN732" i="7"/>
  <c r="CO732" i="7"/>
  <c r="CP732" i="7"/>
  <c r="CQ732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G733" i="7"/>
  <c r="AH733" i="7"/>
  <c r="AI733" i="7"/>
  <c r="CC733" i="7"/>
  <c r="CD733" i="7"/>
  <c r="CE733" i="7"/>
  <c r="CF733" i="7"/>
  <c r="CG733" i="7"/>
  <c r="CH733" i="7"/>
  <c r="CI733" i="7"/>
  <c r="CJ733" i="7"/>
  <c r="CK733" i="7"/>
  <c r="CM733" i="7"/>
  <c r="CN733" i="7"/>
  <c r="CO733" i="7"/>
  <c r="CP733" i="7"/>
  <c r="CQ733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G734" i="7"/>
  <c r="AH734" i="7"/>
  <c r="AI734" i="7"/>
  <c r="CC734" i="7"/>
  <c r="CD734" i="7"/>
  <c r="CE734" i="7"/>
  <c r="CF734" i="7"/>
  <c r="CG734" i="7"/>
  <c r="CH734" i="7"/>
  <c r="CI734" i="7"/>
  <c r="CJ734" i="7"/>
  <c r="CK734" i="7"/>
  <c r="CM734" i="7"/>
  <c r="CN734" i="7"/>
  <c r="CO734" i="7"/>
  <c r="CP734" i="7"/>
  <c r="CQ734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G735" i="7"/>
  <c r="AH735" i="7"/>
  <c r="AI735" i="7"/>
  <c r="CC735" i="7"/>
  <c r="CD735" i="7"/>
  <c r="CE735" i="7"/>
  <c r="CF735" i="7"/>
  <c r="CG735" i="7"/>
  <c r="CH735" i="7"/>
  <c r="CI735" i="7"/>
  <c r="CJ735" i="7"/>
  <c r="CK735" i="7"/>
  <c r="CM735" i="7"/>
  <c r="CN735" i="7"/>
  <c r="CO735" i="7"/>
  <c r="CP735" i="7"/>
  <c r="CQ735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G736" i="7"/>
  <c r="AH736" i="7"/>
  <c r="AI736" i="7"/>
  <c r="CC736" i="7"/>
  <c r="CD736" i="7"/>
  <c r="CE736" i="7"/>
  <c r="CF736" i="7"/>
  <c r="CG736" i="7"/>
  <c r="CH736" i="7"/>
  <c r="CI736" i="7"/>
  <c r="CJ736" i="7"/>
  <c r="CK736" i="7"/>
  <c r="CM736" i="7"/>
  <c r="CN736" i="7"/>
  <c r="CO736" i="7"/>
  <c r="CP736" i="7"/>
  <c r="CQ736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G737" i="7"/>
  <c r="AH737" i="7"/>
  <c r="AI737" i="7"/>
  <c r="CC737" i="7"/>
  <c r="CD737" i="7"/>
  <c r="CE737" i="7"/>
  <c r="CF737" i="7"/>
  <c r="CG737" i="7"/>
  <c r="CH737" i="7"/>
  <c r="CI737" i="7"/>
  <c r="CJ737" i="7"/>
  <c r="CK737" i="7"/>
  <c r="CM737" i="7"/>
  <c r="CN737" i="7"/>
  <c r="CO737" i="7"/>
  <c r="CP737" i="7"/>
  <c r="CQ737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G738" i="7"/>
  <c r="AH738" i="7"/>
  <c r="AI738" i="7"/>
  <c r="CC738" i="7"/>
  <c r="CD738" i="7"/>
  <c r="CE738" i="7"/>
  <c r="CF738" i="7"/>
  <c r="CG738" i="7"/>
  <c r="CH738" i="7"/>
  <c r="CI738" i="7"/>
  <c r="CJ738" i="7"/>
  <c r="CK738" i="7"/>
  <c r="CM738" i="7"/>
  <c r="CN738" i="7"/>
  <c r="CO738" i="7"/>
  <c r="CP738" i="7"/>
  <c r="CQ738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G739" i="7"/>
  <c r="AH739" i="7"/>
  <c r="AI739" i="7"/>
  <c r="CC739" i="7"/>
  <c r="CD739" i="7"/>
  <c r="CE739" i="7"/>
  <c r="CF739" i="7"/>
  <c r="CG739" i="7"/>
  <c r="CH739" i="7"/>
  <c r="CI739" i="7"/>
  <c r="CJ739" i="7"/>
  <c r="CK739" i="7"/>
  <c r="CM739" i="7"/>
  <c r="CN739" i="7"/>
  <c r="CO739" i="7"/>
  <c r="CP739" i="7"/>
  <c r="CQ739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G740" i="7"/>
  <c r="AH740" i="7"/>
  <c r="AI740" i="7"/>
  <c r="CC740" i="7"/>
  <c r="CD740" i="7"/>
  <c r="CE740" i="7"/>
  <c r="CF740" i="7"/>
  <c r="CG740" i="7"/>
  <c r="CH740" i="7"/>
  <c r="CI740" i="7"/>
  <c r="CJ740" i="7"/>
  <c r="CK740" i="7"/>
  <c r="CM740" i="7"/>
  <c r="CN740" i="7"/>
  <c r="CO740" i="7"/>
  <c r="CP740" i="7"/>
  <c r="CQ740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G741" i="7"/>
  <c r="AH741" i="7"/>
  <c r="AI741" i="7"/>
  <c r="CC741" i="7"/>
  <c r="CD741" i="7"/>
  <c r="CE741" i="7"/>
  <c r="CF741" i="7"/>
  <c r="CG741" i="7"/>
  <c r="CH741" i="7"/>
  <c r="CI741" i="7"/>
  <c r="CJ741" i="7"/>
  <c r="CK741" i="7"/>
  <c r="CM741" i="7"/>
  <c r="CN741" i="7"/>
  <c r="CO741" i="7"/>
  <c r="CP741" i="7"/>
  <c r="CQ741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G742" i="7"/>
  <c r="AH742" i="7"/>
  <c r="AI742" i="7"/>
  <c r="CC742" i="7"/>
  <c r="CD742" i="7"/>
  <c r="CE742" i="7"/>
  <c r="CF742" i="7"/>
  <c r="CG742" i="7"/>
  <c r="CH742" i="7"/>
  <c r="CI742" i="7"/>
  <c r="CJ742" i="7"/>
  <c r="CK742" i="7"/>
  <c r="CM742" i="7"/>
  <c r="CN742" i="7"/>
  <c r="CO742" i="7"/>
  <c r="CP742" i="7"/>
  <c r="CQ742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G743" i="7"/>
  <c r="AH743" i="7"/>
  <c r="AI743" i="7"/>
  <c r="CC743" i="7"/>
  <c r="CD743" i="7"/>
  <c r="CE743" i="7"/>
  <c r="CF743" i="7"/>
  <c r="CG743" i="7"/>
  <c r="CH743" i="7"/>
  <c r="CI743" i="7"/>
  <c r="CJ743" i="7"/>
  <c r="CK743" i="7"/>
  <c r="CM743" i="7"/>
  <c r="CN743" i="7"/>
  <c r="CO743" i="7"/>
  <c r="CP743" i="7"/>
  <c r="CQ743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G744" i="7"/>
  <c r="AH744" i="7"/>
  <c r="AI744" i="7"/>
  <c r="CC744" i="7"/>
  <c r="CD744" i="7"/>
  <c r="CE744" i="7"/>
  <c r="CF744" i="7"/>
  <c r="CG744" i="7"/>
  <c r="CH744" i="7"/>
  <c r="CI744" i="7"/>
  <c r="CJ744" i="7"/>
  <c r="CK744" i="7"/>
  <c r="CM744" i="7"/>
  <c r="CN744" i="7"/>
  <c r="CO744" i="7"/>
  <c r="CP744" i="7"/>
  <c r="CQ744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G745" i="7"/>
  <c r="AH745" i="7"/>
  <c r="AI745" i="7"/>
  <c r="CC745" i="7"/>
  <c r="CD745" i="7"/>
  <c r="CE745" i="7"/>
  <c r="CF745" i="7"/>
  <c r="CG745" i="7"/>
  <c r="CH745" i="7"/>
  <c r="CI745" i="7"/>
  <c r="CJ745" i="7"/>
  <c r="CK745" i="7"/>
  <c r="CM745" i="7"/>
  <c r="CN745" i="7"/>
  <c r="CO745" i="7"/>
  <c r="CP745" i="7"/>
  <c r="CQ745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G746" i="7"/>
  <c r="AH746" i="7"/>
  <c r="AI746" i="7"/>
  <c r="CC746" i="7"/>
  <c r="CD746" i="7"/>
  <c r="CE746" i="7"/>
  <c r="CF746" i="7"/>
  <c r="CG746" i="7"/>
  <c r="CH746" i="7"/>
  <c r="CI746" i="7"/>
  <c r="CJ746" i="7"/>
  <c r="CK746" i="7"/>
  <c r="CM746" i="7"/>
  <c r="CN746" i="7"/>
  <c r="CO746" i="7"/>
  <c r="CP746" i="7"/>
  <c r="CQ746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G747" i="7"/>
  <c r="AH747" i="7"/>
  <c r="AI747" i="7"/>
  <c r="CC747" i="7"/>
  <c r="CD747" i="7"/>
  <c r="CE747" i="7"/>
  <c r="CF747" i="7"/>
  <c r="CG747" i="7"/>
  <c r="CH747" i="7"/>
  <c r="CI747" i="7"/>
  <c r="CJ747" i="7"/>
  <c r="CK747" i="7"/>
  <c r="CM747" i="7"/>
  <c r="CN747" i="7"/>
  <c r="CO747" i="7"/>
  <c r="CP747" i="7"/>
  <c r="CQ747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G748" i="7"/>
  <c r="AH748" i="7"/>
  <c r="AI748" i="7"/>
  <c r="CC748" i="7"/>
  <c r="CD748" i="7"/>
  <c r="CE748" i="7"/>
  <c r="CF748" i="7"/>
  <c r="CG748" i="7"/>
  <c r="CH748" i="7"/>
  <c r="CI748" i="7"/>
  <c r="CJ748" i="7"/>
  <c r="CK748" i="7"/>
  <c r="CM748" i="7"/>
  <c r="CN748" i="7"/>
  <c r="CO748" i="7"/>
  <c r="CP748" i="7"/>
  <c r="CQ748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G749" i="7"/>
  <c r="AH749" i="7"/>
  <c r="AI749" i="7"/>
  <c r="CC749" i="7"/>
  <c r="CD749" i="7"/>
  <c r="CE749" i="7"/>
  <c r="CF749" i="7"/>
  <c r="CG749" i="7"/>
  <c r="CH749" i="7"/>
  <c r="CI749" i="7"/>
  <c r="CJ749" i="7"/>
  <c r="CK749" i="7"/>
  <c r="CM749" i="7"/>
  <c r="CN749" i="7"/>
  <c r="CO749" i="7"/>
  <c r="CP749" i="7"/>
  <c r="CQ749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G750" i="7"/>
  <c r="AH750" i="7"/>
  <c r="AI750" i="7"/>
  <c r="CC750" i="7"/>
  <c r="CD750" i="7"/>
  <c r="CE750" i="7"/>
  <c r="CF750" i="7"/>
  <c r="CG750" i="7"/>
  <c r="CH750" i="7"/>
  <c r="CI750" i="7"/>
  <c r="CJ750" i="7"/>
  <c r="CK750" i="7"/>
  <c r="CM750" i="7"/>
  <c r="CN750" i="7"/>
  <c r="CO750" i="7"/>
  <c r="CP750" i="7"/>
  <c r="CQ750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G751" i="7"/>
  <c r="AH751" i="7"/>
  <c r="AI751" i="7"/>
  <c r="CC751" i="7"/>
  <c r="CD751" i="7"/>
  <c r="CE751" i="7"/>
  <c r="CF751" i="7"/>
  <c r="CG751" i="7"/>
  <c r="CH751" i="7"/>
  <c r="CI751" i="7"/>
  <c r="CJ751" i="7"/>
  <c r="CK751" i="7"/>
  <c r="CM751" i="7"/>
  <c r="CN751" i="7"/>
  <c r="CO751" i="7"/>
  <c r="CP751" i="7"/>
  <c r="CQ751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G752" i="7"/>
  <c r="AH752" i="7"/>
  <c r="AI752" i="7"/>
  <c r="CC752" i="7"/>
  <c r="CD752" i="7"/>
  <c r="CE752" i="7"/>
  <c r="CF752" i="7"/>
  <c r="CG752" i="7"/>
  <c r="CH752" i="7"/>
  <c r="CI752" i="7"/>
  <c r="CJ752" i="7"/>
  <c r="CK752" i="7"/>
  <c r="CM752" i="7"/>
  <c r="CN752" i="7"/>
  <c r="CO752" i="7"/>
  <c r="CP752" i="7"/>
  <c r="CQ752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G753" i="7"/>
  <c r="AH753" i="7"/>
  <c r="AI753" i="7"/>
  <c r="CC753" i="7"/>
  <c r="CD753" i="7"/>
  <c r="CE753" i="7"/>
  <c r="CF753" i="7"/>
  <c r="CG753" i="7"/>
  <c r="CH753" i="7"/>
  <c r="CI753" i="7"/>
  <c r="CJ753" i="7"/>
  <c r="CK753" i="7"/>
  <c r="CM753" i="7"/>
  <c r="CN753" i="7"/>
  <c r="CO753" i="7"/>
  <c r="CP753" i="7"/>
  <c r="CQ753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G754" i="7"/>
  <c r="AH754" i="7"/>
  <c r="AI754" i="7"/>
  <c r="CC754" i="7"/>
  <c r="CD754" i="7"/>
  <c r="CE754" i="7"/>
  <c r="CF754" i="7"/>
  <c r="CG754" i="7"/>
  <c r="CH754" i="7"/>
  <c r="CI754" i="7"/>
  <c r="CJ754" i="7"/>
  <c r="CK754" i="7"/>
  <c r="CM754" i="7"/>
  <c r="CN754" i="7"/>
  <c r="CO754" i="7"/>
  <c r="CP754" i="7"/>
  <c r="CQ754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G755" i="7"/>
  <c r="AH755" i="7"/>
  <c r="AI755" i="7"/>
  <c r="CC755" i="7"/>
  <c r="CD755" i="7"/>
  <c r="CE755" i="7"/>
  <c r="CF755" i="7"/>
  <c r="CG755" i="7"/>
  <c r="CH755" i="7"/>
  <c r="CI755" i="7"/>
  <c r="CJ755" i="7"/>
  <c r="CK755" i="7"/>
  <c r="CM755" i="7"/>
  <c r="CN755" i="7"/>
  <c r="CO755" i="7"/>
  <c r="CP755" i="7"/>
  <c r="CQ755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G756" i="7"/>
  <c r="AH756" i="7"/>
  <c r="AI756" i="7"/>
  <c r="CC756" i="7"/>
  <c r="CD756" i="7"/>
  <c r="CE756" i="7"/>
  <c r="CF756" i="7"/>
  <c r="CG756" i="7"/>
  <c r="CH756" i="7"/>
  <c r="CI756" i="7"/>
  <c r="CJ756" i="7"/>
  <c r="CK756" i="7"/>
  <c r="CM756" i="7"/>
  <c r="CN756" i="7"/>
  <c r="CO756" i="7"/>
  <c r="CP756" i="7"/>
  <c r="CQ756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G757" i="7"/>
  <c r="AH757" i="7"/>
  <c r="AI757" i="7"/>
  <c r="CC757" i="7"/>
  <c r="CD757" i="7"/>
  <c r="CE757" i="7"/>
  <c r="CF757" i="7"/>
  <c r="CG757" i="7"/>
  <c r="CH757" i="7"/>
  <c r="CI757" i="7"/>
  <c r="CJ757" i="7"/>
  <c r="CK757" i="7"/>
  <c r="CM757" i="7"/>
  <c r="CN757" i="7"/>
  <c r="CO757" i="7"/>
  <c r="CP757" i="7"/>
  <c r="CQ757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G758" i="7"/>
  <c r="AH758" i="7"/>
  <c r="AI758" i="7"/>
  <c r="CC758" i="7"/>
  <c r="CD758" i="7"/>
  <c r="CE758" i="7"/>
  <c r="CF758" i="7"/>
  <c r="CG758" i="7"/>
  <c r="CH758" i="7"/>
  <c r="CI758" i="7"/>
  <c r="CJ758" i="7"/>
  <c r="CK758" i="7"/>
  <c r="CM758" i="7"/>
  <c r="CN758" i="7"/>
  <c r="CO758" i="7"/>
  <c r="CP758" i="7"/>
  <c r="CQ758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G759" i="7"/>
  <c r="AH759" i="7"/>
  <c r="AI759" i="7"/>
  <c r="CC759" i="7"/>
  <c r="CD759" i="7"/>
  <c r="CE759" i="7"/>
  <c r="CF759" i="7"/>
  <c r="CG759" i="7"/>
  <c r="CH759" i="7"/>
  <c r="CI759" i="7"/>
  <c r="CJ759" i="7"/>
  <c r="CK759" i="7"/>
  <c r="CM759" i="7"/>
  <c r="CN759" i="7"/>
  <c r="CO759" i="7"/>
  <c r="CP759" i="7"/>
  <c r="CQ759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G760" i="7"/>
  <c r="AH760" i="7"/>
  <c r="AI760" i="7"/>
  <c r="CC760" i="7"/>
  <c r="CD760" i="7"/>
  <c r="CE760" i="7"/>
  <c r="CF760" i="7"/>
  <c r="CG760" i="7"/>
  <c r="CH760" i="7"/>
  <c r="CI760" i="7"/>
  <c r="CJ760" i="7"/>
  <c r="CK760" i="7"/>
  <c r="CM760" i="7"/>
  <c r="CN760" i="7"/>
  <c r="CO760" i="7"/>
  <c r="CP760" i="7"/>
  <c r="CQ760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G761" i="7"/>
  <c r="AH761" i="7"/>
  <c r="AI761" i="7"/>
  <c r="CC761" i="7"/>
  <c r="CD761" i="7"/>
  <c r="CE761" i="7"/>
  <c r="CF761" i="7"/>
  <c r="CG761" i="7"/>
  <c r="CH761" i="7"/>
  <c r="CI761" i="7"/>
  <c r="CJ761" i="7"/>
  <c r="CK761" i="7"/>
  <c r="CM761" i="7"/>
  <c r="CN761" i="7"/>
  <c r="CO761" i="7"/>
  <c r="CP761" i="7"/>
  <c r="CQ761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G762" i="7"/>
  <c r="AH762" i="7"/>
  <c r="AI762" i="7"/>
  <c r="CC762" i="7"/>
  <c r="CD762" i="7"/>
  <c r="CE762" i="7"/>
  <c r="CF762" i="7"/>
  <c r="CG762" i="7"/>
  <c r="CH762" i="7"/>
  <c r="CI762" i="7"/>
  <c r="CJ762" i="7"/>
  <c r="CK762" i="7"/>
  <c r="CM762" i="7"/>
  <c r="CN762" i="7"/>
  <c r="CO762" i="7"/>
  <c r="CP762" i="7"/>
  <c r="CQ762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G763" i="7"/>
  <c r="AH763" i="7"/>
  <c r="AI763" i="7"/>
  <c r="CC763" i="7"/>
  <c r="CD763" i="7"/>
  <c r="CE763" i="7"/>
  <c r="CF763" i="7"/>
  <c r="CG763" i="7"/>
  <c r="CH763" i="7"/>
  <c r="CI763" i="7"/>
  <c r="CJ763" i="7"/>
  <c r="CK763" i="7"/>
  <c r="CM763" i="7"/>
  <c r="CN763" i="7"/>
  <c r="CO763" i="7"/>
  <c r="CP763" i="7"/>
  <c r="CQ763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G764" i="7"/>
  <c r="AH764" i="7"/>
  <c r="AI764" i="7"/>
  <c r="CC764" i="7"/>
  <c r="CD764" i="7"/>
  <c r="CE764" i="7"/>
  <c r="CF764" i="7"/>
  <c r="CG764" i="7"/>
  <c r="CH764" i="7"/>
  <c r="CI764" i="7"/>
  <c r="CJ764" i="7"/>
  <c r="CK764" i="7"/>
  <c r="CM764" i="7"/>
  <c r="CN764" i="7"/>
  <c r="CO764" i="7"/>
  <c r="CP764" i="7"/>
  <c r="CQ764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G765" i="7"/>
  <c r="AH765" i="7"/>
  <c r="AI765" i="7"/>
  <c r="CC765" i="7"/>
  <c r="CD765" i="7"/>
  <c r="CE765" i="7"/>
  <c r="CF765" i="7"/>
  <c r="CG765" i="7"/>
  <c r="CH765" i="7"/>
  <c r="CI765" i="7"/>
  <c r="CJ765" i="7"/>
  <c r="CK765" i="7"/>
  <c r="CM765" i="7"/>
  <c r="CN765" i="7"/>
  <c r="CO765" i="7"/>
  <c r="CP765" i="7"/>
  <c r="CQ765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G766" i="7"/>
  <c r="AH766" i="7"/>
  <c r="AI766" i="7"/>
  <c r="CC766" i="7"/>
  <c r="CD766" i="7"/>
  <c r="CE766" i="7"/>
  <c r="CF766" i="7"/>
  <c r="CG766" i="7"/>
  <c r="CH766" i="7"/>
  <c r="CI766" i="7"/>
  <c r="CJ766" i="7"/>
  <c r="CK766" i="7"/>
  <c r="CM766" i="7"/>
  <c r="CN766" i="7"/>
  <c r="CO766" i="7"/>
  <c r="CP766" i="7"/>
  <c r="CQ766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G767" i="7"/>
  <c r="AH767" i="7"/>
  <c r="AI767" i="7"/>
  <c r="CC767" i="7"/>
  <c r="CD767" i="7"/>
  <c r="CE767" i="7"/>
  <c r="CF767" i="7"/>
  <c r="CG767" i="7"/>
  <c r="CH767" i="7"/>
  <c r="CI767" i="7"/>
  <c r="CJ767" i="7"/>
  <c r="CK767" i="7"/>
  <c r="CM767" i="7"/>
  <c r="CN767" i="7"/>
  <c r="CO767" i="7"/>
  <c r="CP767" i="7"/>
  <c r="CQ767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G768" i="7"/>
  <c r="AH768" i="7"/>
  <c r="AI768" i="7"/>
  <c r="CC768" i="7"/>
  <c r="CD768" i="7"/>
  <c r="CE768" i="7"/>
  <c r="CF768" i="7"/>
  <c r="CG768" i="7"/>
  <c r="CH768" i="7"/>
  <c r="CI768" i="7"/>
  <c r="CJ768" i="7"/>
  <c r="CK768" i="7"/>
  <c r="CM768" i="7"/>
  <c r="CN768" i="7"/>
  <c r="CO768" i="7"/>
  <c r="CP768" i="7"/>
  <c r="CQ768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G769" i="7"/>
  <c r="AH769" i="7"/>
  <c r="AI769" i="7"/>
  <c r="CC769" i="7"/>
  <c r="CD769" i="7"/>
  <c r="CE769" i="7"/>
  <c r="CF769" i="7"/>
  <c r="CG769" i="7"/>
  <c r="CH769" i="7"/>
  <c r="CI769" i="7"/>
  <c r="CJ769" i="7"/>
  <c r="CK769" i="7"/>
  <c r="CM769" i="7"/>
  <c r="CN769" i="7"/>
  <c r="CO769" i="7"/>
  <c r="CP769" i="7"/>
  <c r="CQ769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G770" i="7"/>
  <c r="AH770" i="7"/>
  <c r="AI770" i="7"/>
  <c r="CC770" i="7"/>
  <c r="CD770" i="7"/>
  <c r="CE770" i="7"/>
  <c r="CF770" i="7"/>
  <c r="CG770" i="7"/>
  <c r="CH770" i="7"/>
  <c r="CI770" i="7"/>
  <c r="CJ770" i="7"/>
  <c r="CK770" i="7"/>
  <c r="CM770" i="7"/>
  <c r="CN770" i="7"/>
  <c r="CO770" i="7"/>
  <c r="CP770" i="7"/>
  <c r="CQ770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G771" i="7"/>
  <c r="AH771" i="7"/>
  <c r="AI771" i="7"/>
  <c r="CC771" i="7"/>
  <c r="CD771" i="7"/>
  <c r="CE771" i="7"/>
  <c r="CF771" i="7"/>
  <c r="CG771" i="7"/>
  <c r="CH771" i="7"/>
  <c r="CI771" i="7"/>
  <c r="CJ771" i="7"/>
  <c r="CK771" i="7"/>
  <c r="CM771" i="7"/>
  <c r="CN771" i="7"/>
  <c r="CO771" i="7"/>
  <c r="CP771" i="7"/>
  <c r="CQ771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G772" i="7"/>
  <c r="AH772" i="7"/>
  <c r="AI772" i="7"/>
  <c r="CC772" i="7"/>
  <c r="CD772" i="7"/>
  <c r="CE772" i="7"/>
  <c r="CF772" i="7"/>
  <c r="CG772" i="7"/>
  <c r="CH772" i="7"/>
  <c r="CI772" i="7"/>
  <c r="CJ772" i="7"/>
  <c r="CK772" i="7"/>
  <c r="CM772" i="7"/>
  <c r="CN772" i="7"/>
  <c r="CO772" i="7"/>
  <c r="CP772" i="7"/>
  <c r="CQ772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G773" i="7"/>
  <c r="AH773" i="7"/>
  <c r="AI773" i="7"/>
  <c r="CC773" i="7"/>
  <c r="CD773" i="7"/>
  <c r="CE773" i="7"/>
  <c r="CF773" i="7"/>
  <c r="CG773" i="7"/>
  <c r="CH773" i="7"/>
  <c r="CI773" i="7"/>
  <c r="CJ773" i="7"/>
  <c r="CK773" i="7"/>
  <c r="CM773" i="7"/>
  <c r="CN773" i="7"/>
  <c r="CO773" i="7"/>
  <c r="CP773" i="7"/>
  <c r="CQ773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G774" i="7"/>
  <c r="AH774" i="7"/>
  <c r="AI774" i="7"/>
  <c r="CC774" i="7"/>
  <c r="CD774" i="7"/>
  <c r="CE774" i="7"/>
  <c r="CF774" i="7"/>
  <c r="CG774" i="7"/>
  <c r="CH774" i="7"/>
  <c r="CI774" i="7"/>
  <c r="CJ774" i="7"/>
  <c r="CK774" i="7"/>
  <c r="CM774" i="7"/>
  <c r="CN774" i="7"/>
  <c r="CO774" i="7"/>
  <c r="CP774" i="7"/>
  <c r="CQ774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G775" i="7"/>
  <c r="AH775" i="7"/>
  <c r="AI775" i="7"/>
  <c r="CC775" i="7"/>
  <c r="CD775" i="7"/>
  <c r="CE775" i="7"/>
  <c r="CF775" i="7"/>
  <c r="CG775" i="7"/>
  <c r="CH775" i="7"/>
  <c r="CI775" i="7"/>
  <c r="CJ775" i="7"/>
  <c r="CK775" i="7"/>
  <c r="CM775" i="7"/>
  <c r="CN775" i="7"/>
  <c r="CO775" i="7"/>
  <c r="CP775" i="7"/>
  <c r="CQ775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G776" i="7"/>
  <c r="AH776" i="7"/>
  <c r="AI776" i="7"/>
  <c r="CC776" i="7"/>
  <c r="CD776" i="7"/>
  <c r="CE776" i="7"/>
  <c r="CF776" i="7"/>
  <c r="CG776" i="7"/>
  <c r="CH776" i="7"/>
  <c r="CI776" i="7"/>
  <c r="CJ776" i="7"/>
  <c r="CK776" i="7"/>
  <c r="CM776" i="7"/>
  <c r="CN776" i="7"/>
  <c r="CO776" i="7"/>
  <c r="CP776" i="7"/>
  <c r="CQ776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G777" i="7"/>
  <c r="AH777" i="7"/>
  <c r="AI777" i="7"/>
  <c r="CC777" i="7"/>
  <c r="CD777" i="7"/>
  <c r="CE777" i="7"/>
  <c r="CF777" i="7"/>
  <c r="CG777" i="7"/>
  <c r="CH777" i="7"/>
  <c r="CI777" i="7"/>
  <c r="CJ777" i="7"/>
  <c r="CK777" i="7"/>
  <c r="CM777" i="7"/>
  <c r="CN777" i="7"/>
  <c r="CO777" i="7"/>
  <c r="CP777" i="7"/>
  <c r="CQ777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G778" i="7"/>
  <c r="AH778" i="7"/>
  <c r="AI778" i="7"/>
  <c r="CC778" i="7"/>
  <c r="CD778" i="7"/>
  <c r="CE778" i="7"/>
  <c r="CF778" i="7"/>
  <c r="CG778" i="7"/>
  <c r="CH778" i="7"/>
  <c r="CI778" i="7"/>
  <c r="CJ778" i="7"/>
  <c r="CK778" i="7"/>
  <c r="CM778" i="7"/>
  <c r="CN778" i="7"/>
  <c r="CO778" i="7"/>
  <c r="CP778" i="7"/>
  <c r="CQ778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G779" i="7"/>
  <c r="AH779" i="7"/>
  <c r="AI779" i="7"/>
  <c r="CC779" i="7"/>
  <c r="CD779" i="7"/>
  <c r="CE779" i="7"/>
  <c r="CF779" i="7"/>
  <c r="CG779" i="7"/>
  <c r="CH779" i="7"/>
  <c r="CI779" i="7"/>
  <c r="CJ779" i="7"/>
  <c r="CK779" i="7"/>
  <c r="CM779" i="7"/>
  <c r="CN779" i="7"/>
  <c r="CO779" i="7"/>
  <c r="CP779" i="7"/>
  <c r="CQ779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G780" i="7"/>
  <c r="AH780" i="7"/>
  <c r="AI780" i="7"/>
  <c r="CC780" i="7"/>
  <c r="CD780" i="7"/>
  <c r="CE780" i="7"/>
  <c r="CF780" i="7"/>
  <c r="CG780" i="7"/>
  <c r="CH780" i="7"/>
  <c r="CI780" i="7"/>
  <c r="CJ780" i="7"/>
  <c r="CK780" i="7"/>
  <c r="CM780" i="7"/>
  <c r="CN780" i="7"/>
  <c r="CO780" i="7"/>
  <c r="CP780" i="7"/>
  <c r="CQ780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G781" i="7"/>
  <c r="AH781" i="7"/>
  <c r="AI781" i="7"/>
  <c r="CC781" i="7"/>
  <c r="CD781" i="7"/>
  <c r="CE781" i="7"/>
  <c r="CF781" i="7"/>
  <c r="CG781" i="7"/>
  <c r="CH781" i="7"/>
  <c r="CI781" i="7"/>
  <c r="CJ781" i="7"/>
  <c r="CK781" i="7"/>
  <c r="CM781" i="7"/>
  <c r="CN781" i="7"/>
  <c r="CO781" i="7"/>
  <c r="CP781" i="7"/>
  <c r="CQ781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G782" i="7"/>
  <c r="AH782" i="7"/>
  <c r="AI782" i="7"/>
  <c r="CC782" i="7"/>
  <c r="CD782" i="7"/>
  <c r="CE782" i="7"/>
  <c r="CF782" i="7"/>
  <c r="CG782" i="7"/>
  <c r="CH782" i="7"/>
  <c r="CI782" i="7"/>
  <c r="CJ782" i="7"/>
  <c r="CK782" i="7"/>
  <c r="CM782" i="7"/>
  <c r="CN782" i="7"/>
  <c r="CO782" i="7"/>
  <c r="CP782" i="7"/>
  <c r="CQ782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G783" i="7"/>
  <c r="AH783" i="7"/>
  <c r="AI783" i="7"/>
  <c r="CC783" i="7"/>
  <c r="CD783" i="7"/>
  <c r="CE783" i="7"/>
  <c r="CF783" i="7"/>
  <c r="CG783" i="7"/>
  <c r="CH783" i="7"/>
  <c r="CI783" i="7"/>
  <c r="CJ783" i="7"/>
  <c r="CK783" i="7"/>
  <c r="CM783" i="7"/>
  <c r="CN783" i="7"/>
  <c r="CO783" i="7"/>
  <c r="CP783" i="7"/>
  <c r="CQ783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G784" i="7"/>
  <c r="AH784" i="7"/>
  <c r="AI784" i="7"/>
  <c r="CC784" i="7"/>
  <c r="CD784" i="7"/>
  <c r="CE784" i="7"/>
  <c r="CF784" i="7"/>
  <c r="CG784" i="7"/>
  <c r="CH784" i="7"/>
  <c r="CI784" i="7"/>
  <c r="CJ784" i="7"/>
  <c r="CK784" i="7"/>
  <c r="CM784" i="7"/>
  <c r="CN784" i="7"/>
  <c r="CO784" i="7"/>
  <c r="CP784" i="7"/>
  <c r="CQ784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G785" i="7"/>
  <c r="AH785" i="7"/>
  <c r="AI785" i="7"/>
  <c r="CC785" i="7"/>
  <c r="CD785" i="7"/>
  <c r="CE785" i="7"/>
  <c r="CF785" i="7"/>
  <c r="CG785" i="7"/>
  <c r="CH785" i="7"/>
  <c r="CI785" i="7"/>
  <c r="CJ785" i="7"/>
  <c r="CK785" i="7"/>
  <c r="CM785" i="7"/>
  <c r="CN785" i="7"/>
  <c r="CO785" i="7"/>
  <c r="CP785" i="7"/>
  <c r="CQ785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G786" i="7"/>
  <c r="AH786" i="7"/>
  <c r="AI786" i="7"/>
  <c r="CC786" i="7"/>
  <c r="CD786" i="7"/>
  <c r="CE786" i="7"/>
  <c r="CF786" i="7"/>
  <c r="CG786" i="7"/>
  <c r="CH786" i="7"/>
  <c r="CI786" i="7"/>
  <c r="CJ786" i="7"/>
  <c r="CK786" i="7"/>
  <c r="CM786" i="7"/>
  <c r="CN786" i="7"/>
  <c r="CO786" i="7"/>
  <c r="CP786" i="7"/>
  <c r="CQ786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G787" i="7"/>
  <c r="AH787" i="7"/>
  <c r="AI787" i="7"/>
  <c r="CC787" i="7"/>
  <c r="CD787" i="7"/>
  <c r="CE787" i="7"/>
  <c r="CF787" i="7"/>
  <c r="CG787" i="7"/>
  <c r="CH787" i="7"/>
  <c r="CI787" i="7"/>
  <c r="CJ787" i="7"/>
  <c r="CK787" i="7"/>
  <c r="CM787" i="7"/>
  <c r="CN787" i="7"/>
  <c r="CO787" i="7"/>
  <c r="CP787" i="7"/>
  <c r="CQ787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G788" i="7"/>
  <c r="AH788" i="7"/>
  <c r="AI788" i="7"/>
  <c r="CC788" i="7"/>
  <c r="CD788" i="7"/>
  <c r="CE788" i="7"/>
  <c r="CF788" i="7"/>
  <c r="CG788" i="7"/>
  <c r="CH788" i="7"/>
  <c r="CI788" i="7"/>
  <c r="CJ788" i="7"/>
  <c r="CK788" i="7"/>
  <c r="CM788" i="7"/>
  <c r="CN788" i="7"/>
  <c r="CO788" i="7"/>
  <c r="CP788" i="7"/>
  <c r="CQ788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G789" i="7"/>
  <c r="AH789" i="7"/>
  <c r="AI789" i="7"/>
  <c r="CC789" i="7"/>
  <c r="CD789" i="7"/>
  <c r="CE789" i="7"/>
  <c r="CF789" i="7"/>
  <c r="CG789" i="7"/>
  <c r="CH789" i="7"/>
  <c r="CI789" i="7"/>
  <c r="CJ789" i="7"/>
  <c r="CK789" i="7"/>
  <c r="CM789" i="7"/>
  <c r="CN789" i="7"/>
  <c r="CO789" i="7"/>
  <c r="CP789" i="7"/>
  <c r="CQ789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G790" i="7"/>
  <c r="AH790" i="7"/>
  <c r="AI790" i="7"/>
  <c r="CC790" i="7"/>
  <c r="CD790" i="7"/>
  <c r="CE790" i="7"/>
  <c r="CF790" i="7"/>
  <c r="CG790" i="7"/>
  <c r="CH790" i="7"/>
  <c r="CI790" i="7"/>
  <c r="CJ790" i="7"/>
  <c r="CK790" i="7"/>
  <c r="CM790" i="7"/>
  <c r="CN790" i="7"/>
  <c r="CO790" i="7"/>
  <c r="CP790" i="7"/>
  <c r="CQ790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G791" i="7"/>
  <c r="AH791" i="7"/>
  <c r="AI791" i="7"/>
  <c r="CC791" i="7"/>
  <c r="CD791" i="7"/>
  <c r="CE791" i="7"/>
  <c r="CF791" i="7"/>
  <c r="CG791" i="7"/>
  <c r="CH791" i="7"/>
  <c r="CI791" i="7"/>
  <c r="CJ791" i="7"/>
  <c r="CK791" i="7"/>
  <c r="CM791" i="7"/>
  <c r="CN791" i="7"/>
  <c r="CO791" i="7"/>
  <c r="CP791" i="7"/>
  <c r="CQ791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G792" i="7"/>
  <c r="AH792" i="7"/>
  <c r="AI792" i="7"/>
  <c r="CC792" i="7"/>
  <c r="CD792" i="7"/>
  <c r="CE792" i="7"/>
  <c r="CF792" i="7"/>
  <c r="CG792" i="7"/>
  <c r="CH792" i="7"/>
  <c r="CI792" i="7"/>
  <c r="CJ792" i="7"/>
  <c r="CK792" i="7"/>
  <c r="CM792" i="7"/>
  <c r="CN792" i="7"/>
  <c r="CO792" i="7"/>
  <c r="CP792" i="7"/>
  <c r="CQ792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G793" i="7"/>
  <c r="AH793" i="7"/>
  <c r="AI793" i="7"/>
  <c r="CC793" i="7"/>
  <c r="CD793" i="7"/>
  <c r="CE793" i="7"/>
  <c r="CF793" i="7"/>
  <c r="CG793" i="7"/>
  <c r="CH793" i="7"/>
  <c r="CI793" i="7"/>
  <c r="CJ793" i="7"/>
  <c r="CK793" i="7"/>
  <c r="CM793" i="7"/>
  <c r="CN793" i="7"/>
  <c r="CO793" i="7"/>
  <c r="CP793" i="7"/>
  <c r="CQ793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G794" i="7"/>
  <c r="AH794" i="7"/>
  <c r="AI794" i="7"/>
  <c r="CC794" i="7"/>
  <c r="CD794" i="7"/>
  <c r="CE794" i="7"/>
  <c r="CF794" i="7"/>
  <c r="CG794" i="7"/>
  <c r="CH794" i="7"/>
  <c r="CI794" i="7"/>
  <c r="CJ794" i="7"/>
  <c r="CK794" i="7"/>
  <c r="CM794" i="7"/>
  <c r="CN794" i="7"/>
  <c r="CO794" i="7"/>
  <c r="CP794" i="7"/>
  <c r="CQ794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G795" i="7"/>
  <c r="AH795" i="7"/>
  <c r="AI795" i="7"/>
  <c r="CC795" i="7"/>
  <c r="CD795" i="7"/>
  <c r="CE795" i="7"/>
  <c r="CF795" i="7"/>
  <c r="CG795" i="7"/>
  <c r="CH795" i="7"/>
  <c r="CI795" i="7"/>
  <c r="CJ795" i="7"/>
  <c r="CK795" i="7"/>
  <c r="CM795" i="7"/>
  <c r="CN795" i="7"/>
  <c r="CO795" i="7"/>
  <c r="CP795" i="7"/>
  <c r="CQ795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G796" i="7"/>
  <c r="AH796" i="7"/>
  <c r="AI796" i="7"/>
  <c r="CC796" i="7"/>
  <c r="CD796" i="7"/>
  <c r="CE796" i="7"/>
  <c r="CF796" i="7"/>
  <c r="CG796" i="7"/>
  <c r="CH796" i="7"/>
  <c r="CI796" i="7"/>
  <c r="CJ796" i="7"/>
  <c r="CK796" i="7"/>
  <c r="CM796" i="7"/>
  <c r="CN796" i="7"/>
  <c r="CO796" i="7"/>
  <c r="CP796" i="7"/>
  <c r="CQ796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G797" i="7"/>
  <c r="AH797" i="7"/>
  <c r="AI797" i="7"/>
  <c r="CC797" i="7"/>
  <c r="CD797" i="7"/>
  <c r="CE797" i="7"/>
  <c r="CF797" i="7"/>
  <c r="CG797" i="7"/>
  <c r="CH797" i="7"/>
  <c r="CI797" i="7"/>
  <c r="CJ797" i="7"/>
  <c r="CK797" i="7"/>
  <c r="CM797" i="7"/>
  <c r="CN797" i="7"/>
  <c r="CO797" i="7"/>
  <c r="CP797" i="7"/>
  <c r="CQ797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G798" i="7"/>
  <c r="AH798" i="7"/>
  <c r="AI798" i="7"/>
  <c r="CC798" i="7"/>
  <c r="CD798" i="7"/>
  <c r="CE798" i="7"/>
  <c r="CF798" i="7"/>
  <c r="CG798" i="7"/>
  <c r="CH798" i="7"/>
  <c r="CI798" i="7"/>
  <c r="CJ798" i="7"/>
  <c r="CK798" i="7"/>
  <c r="CM798" i="7"/>
  <c r="CN798" i="7"/>
  <c r="CO798" i="7"/>
  <c r="CP798" i="7"/>
  <c r="CQ798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G799" i="7"/>
  <c r="AH799" i="7"/>
  <c r="AI799" i="7"/>
  <c r="CC799" i="7"/>
  <c r="CD799" i="7"/>
  <c r="CE799" i="7"/>
  <c r="CF799" i="7"/>
  <c r="CG799" i="7"/>
  <c r="CH799" i="7"/>
  <c r="CI799" i="7"/>
  <c r="CJ799" i="7"/>
  <c r="CK799" i="7"/>
  <c r="CM799" i="7"/>
  <c r="CN799" i="7"/>
  <c r="CO799" i="7"/>
  <c r="CP799" i="7"/>
  <c r="CQ799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G800" i="7"/>
  <c r="AH800" i="7"/>
  <c r="AI800" i="7"/>
  <c r="CC800" i="7"/>
  <c r="CD800" i="7"/>
  <c r="CE800" i="7"/>
  <c r="CF800" i="7"/>
  <c r="CG800" i="7"/>
  <c r="CH800" i="7"/>
  <c r="CI800" i="7"/>
  <c r="CJ800" i="7"/>
  <c r="CK800" i="7"/>
  <c r="CM800" i="7"/>
  <c r="CN800" i="7"/>
  <c r="CO800" i="7"/>
  <c r="CP800" i="7"/>
  <c r="CQ800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G801" i="7"/>
  <c r="AH801" i="7"/>
  <c r="AI801" i="7"/>
  <c r="CC801" i="7"/>
  <c r="CD801" i="7"/>
  <c r="CE801" i="7"/>
  <c r="CF801" i="7"/>
  <c r="CG801" i="7"/>
  <c r="CH801" i="7"/>
  <c r="CI801" i="7"/>
  <c r="CJ801" i="7"/>
  <c r="CK801" i="7"/>
  <c r="CM801" i="7"/>
  <c r="CN801" i="7"/>
  <c r="CO801" i="7"/>
  <c r="CP801" i="7"/>
  <c r="CQ801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G802" i="7"/>
  <c r="AH802" i="7"/>
  <c r="AI802" i="7"/>
  <c r="CC802" i="7"/>
  <c r="CD802" i="7"/>
  <c r="CE802" i="7"/>
  <c r="CF802" i="7"/>
  <c r="CG802" i="7"/>
  <c r="CH802" i="7"/>
  <c r="CI802" i="7"/>
  <c r="CJ802" i="7"/>
  <c r="CK802" i="7"/>
  <c r="CM802" i="7"/>
  <c r="CN802" i="7"/>
  <c r="CO802" i="7"/>
  <c r="CP802" i="7"/>
  <c r="CQ802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G803" i="7"/>
  <c r="AH803" i="7"/>
  <c r="AI803" i="7"/>
  <c r="CC803" i="7"/>
  <c r="CD803" i="7"/>
  <c r="CE803" i="7"/>
  <c r="CF803" i="7"/>
  <c r="CG803" i="7"/>
  <c r="CH803" i="7"/>
  <c r="CI803" i="7"/>
  <c r="CJ803" i="7"/>
  <c r="CK803" i="7"/>
  <c r="CM803" i="7"/>
  <c r="CN803" i="7"/>
  <c r="CO803" i="7"/>
  <c r="CP803" i="7"/>
  <c r="CQ803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G804" i="7"/>
  <c r="AH804" i="7"/>
  <c r="AI804" i="7"/>
  <c r="CC804" i="7"/>
  <c r="CD804" i="7"/>
  <c r="CE804" i="7"/>
  <c r="CF804" i="7"/>
  <c r="CG804" i="7"/>
  <c r="CH804" i="7"/>
  <c r="CI804" i="7"/>
  <c r="CJ804" i="7"/>
  <c r="CK804" i="7"/>
  <c r="CM804" i="7"/>
  <c r="CN804" i="7"/>
  <c r="CO804" i="7"/>
  <c r="CP804" i="7"/>
  <c r="CQ804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G805" i="7"/>
  <c r="AH805" i="7"/>
  <c r="AI805" i="7"/>
  <c r="CC805" i="7"/>
  <c r="CD805" i="7"/>
  <c r="CE805" i="7"/>
  <c r="CF805" i="7"/>
  <c r="CG805" i="7"/>
  <c r="CH805" i="7"/>
  <c r="CI805" i="7"/>
  <c r="CJ805" i="7"/>
  <c r="CK805" i="7"/>
  <c r="CM805" i="7"/>
  <c r="CN805" i="7"/>
  <c r="CO805" i="7"/>
  <c r="CP805" i="7"/>
  <c r="CQ805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G806" i="7"/>
  <c r="AH806" i="7"/>
  <c r="AI806" i="7"/>
  <c r="CC806" i="7"/>
  <c r="CD806" i="7"/>
  <c r="CE806" i="7"/>
  <c r="CF806" i="7"/>
  <c r="CG806" i="7"/>
  <c r="CH806" i="7"/>
  <c r="CI806" i="7"/>
  <c r="CJ806" i="7"/>
  <c r="CK806" i="7"/>
  <c r="CM806" i="7"/>
  <c r="CN806" i="7"/>
  <c r="CO806" i="7"/>
  <c r="CP806" i="7"/>
  <c r="CQ806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G807" i="7"/>
  <c r="AH807" i="7"/>
  <c r="AI807" i="7"/>
  <c r="CC807" i="7"/>
  <c r="CD807" i="7"/>
  <c r="CE807" i="7"/>
  <c r="CF807" i="7"/>
  <c r="CG807" i="7"/>
  <c r="CH807" i="7"/>
  <c r="CI807" i="7"/>
  <c r="CJ807" i="7"/>
  <c r="CK807" i="7"/>
  <c r="CM807" i="7"/>
  <c r="CN807" i="7"/>
  <c r="CO807" i="7"/>
  <c r="CP807" i="7"/>
  <c r="CQ807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G808" i="7"/>
  <c r="AH808" i="7"/>
  <c r="AI808" i="7"/>
  <c r="CC808" i="7"/>
  <c r="CD808" i="7"/>
  <c r="CE808" i="7"/>
  <c r="CF808" i="7"/>
  <c r="CG808" i="7"/>
  <c r="CH808" i="7"/>
  <c r="CI808" i="7"/>
  <c r="CJ808" i="7"/>
  <c r="CK808" i="7"/>
  <c r="CM808" i="7"/>
  <c r="CN808" i="7"/>
  <c r="CO808" i="7"/>
  <c r="CP808" i="7"/>
  <c r="CQ808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G809" i="7"/>
  <c r="AH809" i="7"/>
  <c r="AI809" i="7"/>
  <c r="CC809" i="7"/>
  <c r="CD809" i="7"/>
  <c r="CE809" i="7"/>
  <c r="CF809" i="7"/>
  <c r="CG809" i="7"/>
  <c r="CH809" i="7"/>
  <c r="CI809" i="7"/>
  <c r="CJ809" i="7"/>
  <c r="CK809" i="7"/>
  <c r="CM809" i="7"/>
  <c r="CN809" i="7"/>
  <c r="CO809" i="7"/>
  <c r="CP809" i="7"/>
  <c r="CQ809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G810" i="7"/>
  <c r="AH810" i="7"/>
  <c r="AI810" i="7"/>
  <c r="CC810" i="7"/>
  <c r="CD810" i="7"/>
  <c r="CE810" i="7"/>
  <c r="CF810" i="7"/>
  <c r="CG810" i="7"/>
  <c r="CH810" i="7"/>
  <c r="CI810" i="7"/>
  <c r="CJ810" i="7"/>
  <c r="CK810" i="7"/>
  <c r="CM810" i="7"/>
  <c r="CN810" i="7"/>
  <c r="CO810" i="7"/>
  <c r="CP810" i="7"/>
  <c r="CQ810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G811" i="7"/>
  <c r="AH811" i="7"/>
  <c r="AI811" i="7"/>
  <c r="CC811" i="7"/>
  <c r="CD811" i="7"/>
  <c r="CE811" i="7"/>
  <c r="CF811" i="7"/>
  <c r="CG811" i="7"/>
  <c r="CH811" i="7"/>
  <c r="CI811" i="7"/>
  <c r="CJ811" i="7"/>
  <c r="CK811" i="7"/>
  <c r="CM811" i="7"/>
  <c r="CN811" i="7"/>
  <c r="CO811" i="7"/>
  <c r="CP811" i="7"/>
  <c r="CQ811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G812" i="7"/>
  <c r="AH812" i="7"/>
  <c r="AI812" i="7"/>
  <c r="CC812" i="7"/>
  <c r="CD812" i="7"/>
  <c r="CE812" i="7"/>
  <c r="CF812" i="7"/>
  <c r="CG812" i="7"/>
  <c r="CH812" i="7"/>
  <c r="CI812" i="7"/>
  <c r="CJ812" i="7"/>
  <c r="CK812" i="7"/>
  <c r="CM812" i="7"/>
  <c r="CN812" i="7"/>
  <c r="CO812" i="7"/>
  <c r="CP812" i="7"/>
  <c r="CQ812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G813" i="7"/>
  <c r="AH813" i="7"/>
  <c r="AI813" i="7"/>
  <c r="CC813" i="7"/>
  <c r="CD813" i="7"/>
  <c r="CE813" i="7"/>
  <c r="CF813" i="7"/>
  <c r="CG813" i="7"/>
  <c r="CH813" i="7"/>
  <c r="CI813" i="7"/>
  <c r="CJ813" i="7"/>
  <c r="CK813" i="7"/>
  <c r="CM813" i="7"/>
  <c r="CN813" i="7"/>
  <c r="CO813" i="7"/>
  <c r="CP813" i="7"/>
  <c r="CQ813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G814" i="7"/>
  <c r="AH814" i="7"/>
  <c r="AI814" i="7"/>
  <c r="CC814" i="7"/>
  <c r="CD814" i="7"/>
  <c r="CE814" i="7"/>
  <c r="CF814" i="7"/>
  <c r="CG814" i="7"/>
  <c r="CH814" i="7"/>
  <c r="CI814" i="7"/>
  <c r="CJ814" i="7"/>
  <c r="CK814" i="7"/>
  <c r="CM814" i="7"/>
  <c r="CN814" i="7"/>
  <c r="CO814" i="7"/>
  <c r="CP814" i="7"/>
  <c r="CQ814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G815" i="7"/>
  <c r="AH815" i="7"/>
  <c r="AI815" i="7"/>
  <c r="CC815" i="7"/>
  <c r="CD815" i="7"/>
  <c r="CE815" i="7"/>
  <c r="CF815" i="7"/>
  <c r="CG815" i="7"/>
  <c r="CH815" i="7"/>
  <c r="CI815" i="7"/>
  <c r="CJ815" i="7"/>
  <c r="CK815" i="7"/>
  <c r="CM815" i="7"/>
  <c r="CN815" i="7"/>
  <c r="CO815" i="7"/>
  <c r="CP815" i="7"/>
  <c r="CQ815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G816" i="7"/>
  <c r="AH816" i="7"/>
  <c r="AI816" i="7"/>
  <c r="CC816" i="7"/>
  <c r="CD816" i="7"/>
  <c r="CE816" i="7"/>
  <c r="CF816" i="7"/>
  <c r="CG816" i="7"/>
  <c r="CH816" i="7"/>
  <c r="CI816" i="7"/>
  <c r="CJ816" i="7"/>
  <c r="CK816" i="7"/>
  <c r="CM816" i="7"/>
  <c r="CN816" i="7"/>
  <c r="CO816" i="7"/>
  <c r="CP816" i="7"/>
  <c r="CQ816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G817" i="7"/>
  <c r="AH817" i="7"/>
  <c r="AI817" i="7"/>
  <c r="CC817" i="7"/>
  <c r="CD817" i="7"/>
  <c r="CE817" i="7"/>
  <c r="CF817" i="7"/>
  <c r="CG817" i="7"/>
  <c r="CH817" i="7"/>
  <c r="CI817" i="7"/>
  <c r="CJ817" i="7"/>
  <c r="CK817" i="7"/>
  <c r="CM817" i="7"/>
  <c r="CN817" i="7"/>
  <c r="CO817" i="7"/>
  <c r="CP817" i="7"/>
  <c r="CQ817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G818" i="7"/>
  <c r="AH818" i="7"/>
  <c r="AI818" i="7"/>
  <c r="CC818" i="7"/>
  <c r="CD818" i="7"/>
  <c r="CE818" i="7"/>
  <c r="CF818" i="7"/>
  <c r="CG818" i="7"/>
  <c r="CH818" i="7"/>
  <c r="CI818" i="7"/>
  <c r="CJ818" i="7"/>
  <c r="CK818" i="7"/>
  <c r="CM818" i="7"/>
  <c r="CN818" i="7"/>
  <c r="CO818" i="7"/>
  <c r="CP818" i="7"/>
  <c r="CQ818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G819" i="7"/>
  <c r="AH819" i="7"/>
  <c r="AI819" i="7"/>
  <c r="CC819" i="7"/>
  <c r="CD819" i="7"/>
  <c r="CE819" i="7"/>
  <c r="CF819" i="7"/>
  <c r="CG819" i="7"/>
  <c r="CH819" i="7"/>
  <c r="CI819" i="7"/>
  <c r="CJ819" i="7"/>
  <c r="CK819" i="7"/>
  <c r="CM819" i="7"/>
  <c r="CN819" i="7"/>
  <c r="CO819" i="7"/>
  <c r="CP819" i="7"/>
  <c r="CQ819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G820" i="7"/>
  <c r="AH820" i="7"/>
  <c r="AI820" i="7"/>
  <c r="CC820" i="7"/>
  <c r="CD820" i="7"/>
  <c r="CE820" i="7"/>
  <c r="CF820" i="7"/>
  <c r="CG820" i="7"/>
  <c r="CH820" i="7"/>
  <c r="CI820" i="7"/>
  <c r="CJ820" i="7"/>
  <c r="CK820" i="7"/>
  <c r="CM820" i="7"/>
  <c r="CN820" i="7"/>
  <c r="CO820" i="7"/>
  <c r="CP820" i="7"/>
  <c r="CQ820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G821" i="7"/>
  <c r="AH821" i="7"/>
  <c r="AI821" i="7"/>
  <c r="CC821" i="7"/>
  <c r="CD821" i="7"/>
  <c r="CE821" i="7"/>
  <c r="CF821" i="7"/>
  <c r="CG821" i="7"/>
  <c r="CH821" i="7"/>
  <c r="CI821" i="7"/>
  <c r="CJ821" i="7"/>
  <c r="CK821" i="7"/>
  <c r="CM821" i="7"/>
  <c r="CN821" i="7"/>
  <c r="CO821" i="7"/>
  <c r="CP821" i="7"/>
  <c r="CQ821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G822" i="7"/>
  <c r="AH822" i="7"/>
  <c r="AI822" i="7"/>
  <c r="CC822" i="7"/>
  <c r="CD822" i="7"/>
  <c r="CE822" i="7"/>
  <c r="CF822" i="7"/>
  <c r="CG822" i="7"/>
  <c r="CH822" i="7"/>
  <c r="CI822" i="7"/>
  <c r="CJ822" i="7"/>
  <c r="CK822" i="7"/>
  <c r="CM822" i="7"/>
  <c r="CN822" i="7"/>
  <c r="CO822" i="7"/>
  <c r="CP822" i="7"/>
  <c r="CQ822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G823" i="7"/>
  <c r="AH823" i="7"/>
  <c r="AI823" i="7"/>
  <c r="CC823" i="7"/>
  <c r="CD823" i="7"/>
  <c r="CE823" i="7"/>
  <c r="CF823" i="7"/>
  <c r="CG823" i="7"/>
  <c r="CH823" i="7"/>
  <c r="CI823" i="7"/>
  <c r="CJ823" i="7"/>
  <c r="CK823" i="7"/>
  <c r="CM823" i="7"/>
  <c r="CN823" i="7"/>
  <c r="CO823" i="7"/>
  <c r="CP823" i="7"/>
  <c r="CQ823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G824" i="7"/>
  <c r="AH824" i="7"/>
  <c r="AI824" i="7"/>
  <c r="CC824" i="7"/>
  <c r="CD824" i="7"/>
  <c r="CE824" i="7"/>
  <c r="CF824" i="7"/>
  <c r="CG824" i="7"/>
  <c r="CH824" i="7"/>
  <c r="CI824" i="7"/>
  <c r="CJ824" i="7"/>
  <c r="CK824" i="7"/>
  <c r="CM824" i="7"/>
  <c r="CN824" i="7"/>
  <c r="CO824" i="7"/>
  <c r="CP824" i="7"/>
  <c r="CQ824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G825" i="7"/>
  <c r="AH825" i="7"/>
  <c r="AI825" i="7"/>
  <c r="CC825" i="7"/>
  <c r="CD825" i="7"/>
  <c r="CE825" i="7"/>
  <c r="CF825" i="7"/>
  <c r="CG825" i="7"/>
  <c r="CH825" i="7"/>
  <c r="CI825" i="7"/>
  <c r="CJ825" i="7"/>
  <c r="CK825" i="7"/>
  <c r="CM825" i="7"/>
  <c r="CN825" i="7"/>
  <c r="CO825" i="7"/>
  <c r="CP825" i="7"/>
  <c r="CQ825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G826" i="7"/>
  <c r="AH826" i="7"/>
  <c r="AI826" i="7"/>
  <c r="CC826" i="7"/>
  <c r="CD826" i="7"/>
  <c r="CE826" i="7"/>
  <c r="CF826" i="7"/>
  <c r="CG826" i="7"/>
  <c r="CH826" i="7"/>
  <c r="CI826" i="7"/>
  <c r="CJ826" i="7"/>
  <c r="CK826" i="7"/>
  <c r="CM826" i="7"/>
  <c r="CN826" i="7"/>
  <c r="CO826" i="7"/>
  <c r="CP826" i="7"/>
  <c r="CQ826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G827" i="7"/>
  <c r="AH827" i="7"/>
  <c r="AI827" i="7"/>
  <c r="CC827" i="7"/>
  <c r="CD827" i="7"/>
  <c r="CE827" i="7"/>
  <c r="CF827" i="7"/>
  <c r="CG827" i="7"/>
  <c r="CH827" i="7"/>
  <c r="CI827" i="7"/>
  <c r="CJ827" i="7"/>
  <c r="CK827" i="7"/>
  <c r="CM827" i="7"/>
  <c r="CN827" i="7"/>
  <c r="CO827" i="7"/>
  <c r="CP827" i="7"/>
  <c r="CQ827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G828" i="7"/>
  <c r="AH828" i="7"/>
  <c r="AI828" i="7"/>
  <c r="CC828" i="7"/>
  <c r="CD828" i="7"/>
  <c r="CE828" i="7"/>
  <c r="CF828" i="7"/>
  <c r="CG828" i="7"/>
  <c r="CH828" i="7"/>
  <c r="CI828" i="7"/>
  <c r="CJ828" i="7"/>
  <c r="CK828" i="7"/>
  <c r="CM828" i="7"/>
  <c r="CN828" i="7"/>
  <c r="CO828" i="7"/>
  <c r="CP828" i="7"/>
  <c r="CQ828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G829" i="7"/>
  <c r="AH829" i="7"/>
  <c r="AI829" i="7"/>
  <c r="CC829" i="7"/>
  <c r="CD829" i="7"/>
  <c r="CE829" i="7"/>
  <c r="CF829" i="7"/>
  <c r="CG829" i="7"/>
  <c r="CH829" i="7"/>
  <c r="CI829" i="7"/>
  <c r="CJ829" i="7"/>
  <c r="CK829" i="7"/>
  <c r="CM829" i="7"/>
  <c r="CN829" i="7"/>
  <c r="CO829" i="7"/>
  <c r="CP829" i="7"/>
  <c r="CQ829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G830" i="7"/>
  <c r="AH830" i="7"/>
  <c r="AI830" i="7"/>
  <c r="CC830" i="7"/>
  <c r="CD830" i="7"/>
  <c r="CE830" i="7"/>
  <c r="CF830" i="7"/>
  <c r="CG830" i="7"/>
  <c r="CH830" i="7"/>
  <c r="CI830" i="7"/>
  <c r="CJ830" i="7"/>
  <c r="CK830" i="7"/>
  <c r="CM830" i="7"/>
  <c r="CN830" i="7"/>
  <c r="CO830" i="7"/>
  <c r="CP830" i="7"/>
  <c r="CQ830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G831" i="7"/>
  <c r="AH831" i="7"/>
  <c r="AI831" i="7"/>
  <c r="CC831" i="7"/>
  <c r="CD831" i="7"/>
  <c r="CE831" i="7"/>
  <c r="CF831" i="7"/>
  <c r="CG831" i="7"/>
  <c r="CH831" i="7"/>
  <c r="CI831" i="7"/>
  <c r="CJ831" i="7"/>
  <c r="CK831" i="7"/>
  <c r="CM831" i="7"/>
  <c r="CN831" i="7"/>
  <c r="CO831" i="7"/>
  <c r="CP831" i="7"/>
  <c r="CQ831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G832" i="7"/>
  <c r="AH832" i="7"/>
  <c r="AI832" i="7"/>
  <c r="CC832" i="7"/>
  <c r="CD832" i="7"/>
  <c r="CE832" i="7"/>
  <c r="CF832" i="7"/>
  <c r="CG832" i="7"/>
  <c r="CH832" i="7"/>
  <c r="CI832" i="7"/>
  <c r="CJ832" i="7"/>
  <c r="CK832" i="7"/>
  <c r="CM832" i="7"/>
  <c r="CN832" i="7"/>
  <c r="CO832" i="7"/>
  <c r="CP832" i="7"/>
  <c r="CQ832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G833" i="7"/>
  <c r="AH833" i="7"/>
  <c r="AI833" i="7"/>
  <c r="CC833" i="7"/>
  <c r="CD833" i="7"/>
  <c r="CE833" i="7"/>
  <c r="CF833" i="7"/>
  <c r="CG833" i="7"/>
  <c r="CH833" i="7"/>
  <c r="CI833" i="7"/>
  <c r="CJ833" i="7"/>
  <c r="CK833" i="7"/>
  <c r="CM833" i="7"/>
  <c r="CN833" i="7"/>
  <c r="CO833" i="7"/>
  <c r="CP833" i="7"/>
  <c r="CQ833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G834" i="7"/>
  <c r="AH834" i="7"/>
  <c r="AI834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G835" i="7"/>
  <c r="AH835" i="7"/>
  <c r="AI835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G836" i="7"/>
  <c r="AH836" i="7"/>
  <c r="AI836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G837" i="7"/>
  <c r="AH837" i="7"/>
  <c r="AI837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G838" i="7"/>
  <c r="AH838" i="7"/>
  <c r="AI838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G839" i="7"/>
  <c r="AH839" i="7"/>
  <c r="AI839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G840" i="7"/>
  <c r="AH840" i="7"/>
  <c r="AI840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G841" i="7"/>
  <c r="AH841" i="7"/>
  <c r="AI841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G842" i="7"/>
  <c r="AH842" i="7"/>
  <c r="AI842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G843" i="7"/>
  <c r="AH843" i="7"/>
  <c r="AI843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G844" i="7"/>
  <c r="AH844" i="7"/>
  <c r="AI844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G845" i="7"/>
  <c r="AH845" i="7"/>
  <c r="AI845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G846" i="7"/>
  <c r="AH846" i="7"/>
  <c r="AI846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G847" i="7"/>
  <c r="AH847" i="7"/>
  <c r="AI847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G848" i="7"/>
  <c r="AH848" i="7"/>
  <c r="AI848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G849" i="7"/>
  <c r="AH849" i="7"/>
  <c r="AI849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G850" i="7"/>
  <c r="AH850" i="7"/>
  <c r="AI850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G851" i="7"/>
  <c r="AH851" i="7"/>
  <c r="AI851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G852" i="7"/>
  <c r="AH852" i="7"/>
  <c r="AI852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G853" i="7"/>
  <c r="AH853" i="7"/>
  <c r="AI853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G854" i="7"/>
  <c r="AH854" i="7"/>
  <c r="AI854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G855" i="7"/>
  <c r="AH855" i="7"/>
  <c r="AI855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G856" i="7"/>
  <c r="AH856" i="7"/>
  <c r="AI856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G857" i="7"/>
  <c r="AH857" i="7"/>
  <c r="AI857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G858" i="7"/>
  <c r="AH858" i="7"/>
  <c r="AI858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G859" i="7"/>
  <c r="AH859" i="7"/>
  <c r="AI859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G860" i="7"/>
  <c r="AH860" i="7"/>
  <c r="AI860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G861" i="7"/>
  <c r="AH861" i="7"/>
  <c r="AI861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G862" i="7"/>
  <c r="AH862" i="7"/>
  <c r="AI862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G863" i="7"/>
  <c r="AH863" i="7"/>
  <c r="AI863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G864" i="7"/>
  <c r="AH864" i="7"/>
  <c r="AI864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G865" i="7"/>
  <c r="AH865" i="7"/>
  <c r="AI865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G866" i="7"/>
  <c r="AH866" i="7"/>
  <c r="AI866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G867" i="7"/>
  <c r="AH867" i="7"/>
  <c r="AI867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G868" i="7"/>
  <c r="AH868" i="7"/>
  <c r="AI868" i="7"/>
  <c r="B3" i="12"/>
  <c r="O3" i="12"/>
  <c r="P3" i="12"/>
  <c r="T6" i="12"/>
  <c r="I7" i="12"/>
  <c r="J7" i="12"/>
  <c r="K7" i="12"/>
  <c r="L7" i="12"/>
  <c r="M7" i="12"/>
  <c r="O7" i="12"/>
  <c r="S7" i="12"/>
  <c r="T7" i="12"/>
  <c r="I8" i="12"/>
  <c r="J8" i="12"/>
  <c r="K8" i="12"/>
  <c r="L8" i="12"/>
  <c r="M8" i="12"/>
  <c r="O8" i="12"/>
  <c r="S8" i="12"/>
  <c r="T8" i="12"/>
  <c r="I9" i="12"/>
  <c r="J9" i="12"/>
  <c r="K9" i="12"/>
  <c r="L9" i="12"/>
  <c r="M9" i="12"/>
  <c r="O9" i="12"/>
  <c r="S9" i="12"/>
  <c r="T9" i="12"/>
  <c r="I10" i="12"/>
  <c r="J10" i="12"/>
  <c r="K10" i="12"/>
  <c r="L10" i="12"/>
  <c r="M10" i="12"/>
  <c r="O10" i="12"/>
  <c r="S10" i="12"/>
  <c r="T10" i="12"/>
  <c r="I11" i="12"/>
  <c r="J11" i="12"/>
  <c r="K11" i="12"/>
  <c r="L11" i="12"/>
  <c r="M11" i="12"/>
  <c r="S11" i="12"/>
  <c r="T11" i="12"/>
  <c r="I12" i="12"/>
  <c r="J12" i="12"/>
  <c r="K12" i="12"/>
  <c r="L12" i="12"/>
  <c r="M12" i="12"/>
  <c r="S12" i="12"/>
  <c r="T12" i="12"/>
  <c r="I13" i="12"/>
  <c r="J13" i="12"/>
  <c r="K13" i="12"/>
  <c r="L13" i="12"/>
  <c r="M13" i="12"/>
  <c r="O13" i="12"/>
  <c r="S13" i="12"/>
  <c r="T13" i="12"/>
  <c r="I14" i="12"/>
  <c r="J14" i="12"/>
  <c r="K14" i="12"/>
  <c r="L14" i="12"/>
  <c r="M14" i="12"/>
  <c r="S14" i="12"/>
  <c r="T14" i="12"/>
  <c r="I15" i="12"/>
  <c r="J15" i="12"/>
  <c r="K15" i="12"/>
  <c r="L15" i="12"/>
  <c r="M15" i="12"/>
  <c r="S15" i="12"/>
  <c r="T15" i="12"/>
  <c r="I16" i="12"/>
  <c r="J16" i="12"/>
  <c r="K16" i="12"/>
  <c r="L16" i="12"/>
  <c r="M16" i="12"/>
  <c r="S16" i="12"/>
  <c r="T16" i="12"/>
  <c r="I17" i="12"/>
  <c r="J17" i="12"/>
  <c r="K17" i="12"/>
  <c r="L17" i="12"/>
  <c r="M17" i="12"/>
  <c r="S17" i="12"/>
  <c r="T17" i="12"/>
  <c r="I18" i="12"/>
  <c r="J18" i="12"/>
  <c r="K18" i="12"/>
  <c r="L18" i="12"/>
  <c r="M18" i="12"/>
  <c r="N18" i="12"/>
  <c r="O18" i="12"/>
  <c r="P18" i="12"/>
  <c r="S18" i="12"/>
  <c r="T18" i="12"/>
  <c r="S19" i="12"/>
  <c r="T19" i="12"/>
  <c r="S20" i="12"/>
  <c r="T20" i="12"/>
  <c r="S21" i="12"/>
  <c r="T21" i="12"/>
  <c r="S22" i="12"/>
  <c r="T22" i="12"/>
  <c r="S23" i="12"/>
  <c r="T23" i="12"/>
  <c r="S24" i="12"/>
  <c r="T24" i="12"/>
  <c r="S25" i="12"/>
  <c r="T25" i="12"/>
  <c r="S26" i="12"/>
  <c r="T26" i="12"/>
  <c r="S27" i="12"/>
  <c r="T27" i="12"/>
  <c r="S28" i="12"/>
  <c r="T28" i="12"/>
  <c r="S29" i="12"/>
  <c r="T29" i="12"/>
  <c r="S30" i="12"/>
  <c r="T30" i="12"/>
  <c r="S31" i="12"/>
  <c r="T31" i="12"/>
  <c r="S32" i="12"/>
  <c r="T32" i="12"/>
  <c r="S33" i="12"/>
  <c r="T33" i="12"/>
  <c r="S34" i="12"/>
  <c r="T34" i="12"/>
  <c r="S35" i="12"/>
  <c r="T35" i="12"/>
  <c r="S36" i="12"/>
  <c r="T36" i="12"/>
  <c r="S37" i="12"/>
  <c r="T37" i="12"/>
  <c r="S38" i="12"/>
  <c r="T38" i="12"/>
  <c r="S39" i="12"/>
  <c r="T39" i="12"/>
  <c r="S40" i="12"/>
  <c r="T40" i="12"/>
  <c r="S41" i="12"/>
  <c r="T41" i="12"/>
  <c r="S42" i="12"/>
  <c r="T42" i="12"/>
  <c r="S43" i="12"/>
  <c r="T43" i="12"/>
  <c r="S44" i="12"/>
  <c r="T44" i="12"/>
  <c r="S45" i="12"/>
  <c r="T45" i="12"/>
  <c r="S46" i="12"/>
  <c r="T46" i="12"/>
  <c r="S47" i="12"/>
  <c r="T47" i="12"/>
  <c r="S48" i="12"/>
  <c r="T48" i="12"/>
  <c r="S49" i="12"/>
  <c r="T49" i="12"/>
  <c r="S50" i="12"/>
  <c r="T50" i="12"/>
  <c r="S51" i="12"/>
  <c r="T51" i="12"/>
  <c r="S52" i="12"/>
  <c r="T52" i="12"/>
  <c r="S53" i="12"/>
  <c r="T53" i="12"/>
  <c r="S54" i="12"/>
  <c r="T54" i="12"/>
  <c r="S55" i="12"/>
  <c r="T55" i="12"/>
  <c r="S56" i="12"/>
  <c r="T56" i="12"/>
  <c r="S57" i="12"/>
  <c r="T57" i="12"/>
  <c r="S58" i="12"/>
  <c r="T58" i="12"/>
  <c r="S59" i="12"/>
  <c r="T59" i="12"/>
  <c r="S60" i="12"/>
  <c r="T60" i="12"/>
  <c r="S61" i="12"/>
  <c r="T61" i="12"/>
  <c r="S62" i="12"/>
  <c r="T62" i="12"/>
  <c r="S63" i="12"/>
  <c r="T63" i="12"/>
  <c r="S64" i="12"/>
  <c r="T64" i="12"/>
  <c r="S65" i="12"/>
  <c r="T65" i="12"/>
  <c r="S66" i="12"/>
  <c r="T66" i="12"/>
  <c r="S67" i="12"/>
  <c r="T67" i="12"/>
  <c r="S68" i="12"/>
  <c r="T68" i="12"/>
  <c r="S69" i="12"/>
  <c r="T69" i="12"/>
  <c r="S70" i="12"/>
  <c r="T70" i="12"/>
  <c r="S71" i="12"/>
  <c r="T71" i="12"/>
  <c r="S72" i="12"/>
  <c r="T72" i="12"/>
  <c r="S73" i="12"/>
  <c r="T73" i="12"/>
  <c r="S74" i="12"/>
  <c r="T74" i="12"/>
  <c r="S75" i="12"/>
  <c r="T75" i="12"/>
  <c r="S76" i="12"/>
  <c r="T76" i="12"/>
  <c r="S77" i="12"/>
  <c r="T77" i="12"/>
  <c r="S78" i="12"/>
  <c r="T78" i="12"/>
  <c r="S79" i="12"/>
  <c r="T79" i="12"/>
  <c r="S80" i="12"/>
  <c r="T80" i="12"/>
  <c r="S81" i="12"/>
  <c r="T81" i="12"/>
  <c r="S82" i="12"/>
  <c r="T82" i="12"/>
  <c r="S83" i="12"/>
  <c r="T83" i="12"/>
  <c r="S84" i="12"/>
  <c r="T84" i="12"/>
  <c r="S85" i="12"/>
  <c r="T85" i="12"/>
  <c r="S86" i="12"/>
  <c r="T86" i="12"/>
  <c r="S87" i="12"/>
  <c r="T87" i="12"/>
  <c r="S88" i="12"/>
  <c r="T88" i="12"/>
  <c r="S89" i="12"/>
  <c r="T89" i="12"/>
  <c r="S90" i="12"/>
  <c r="T90" i="12"/>
  <c r="S91" i="12"/>
  <c r="T91" i="12"/>
  <c r="S92" i="12"/>
  <c r="T92" i="12"/>
  <c r="S93" i="12"/>
  <c r="T93" i="12"/>
  <c r="S94" i="12"/>
  <c r="T94" i="12"/>
  <c r="S95" i="12"/>
  <c r="T95" i="12"/>
  <c r="S96" i="12"/>
  <c r="T96" i="12"/>
  <c r="S97" i="12"/>
  <c r="T97" i="12"/>
  <c r="S98" i="12"/>
  <c r="T98" i="12"/>
  <c r="S99" i="12"/>
  <c r="T99" i="12"/>
  <c r="S100" i="12"/>
  <c r="T100" i="12"/>
  <c r="S101" i="12"/>
  <c r="T101" i="12"/>
  <c r="S102" i="12"/>
  <c r="T102" i="12"/>
  <c r="S103" i="12"/>
  <c r="T103" i="12"/>
  <c r="S104" i="12"/>
  <c r="T104" i="12"/>
  <c r="S105" i="12"/>
  <c r="T105" i="12"/>
  <c r="S106" i="12"/>
  <c r="T106" i="12"/>
  <c r="S107" i="12"/>
  <c r="T107" i="12"/>
  <c r="S108" i="12"/>
  <c r="T108" i="12"/>
  <c r="S109" i="12"/>
  <c r="T109" i="12"/>
  <c r="S110" i="12"/>
  <c r="T110" i="12"/>
  <c r="S111" i="12"/>
  <c r="T111" i="12"/>
  <c r="S112" i="12"/>
  <c r="T112" i="12"/>
  <c r="S113" i="12"/>
  <c r="T113" i="12"/>
  <c r="S114" i="12"/>
  <c r="T114" i="12"/>
  <c r="S115" i="12"/>
  <c r="T115" i="12"/>
  <c r="S116" i="12"/>
  <c r="T116" i="12"/>
  <c r="S117" i="12"/>
  <c r="T117" i="12"/>
  <c r="S118" i="12"/>
  <c r="T118" i="12"/>
  <c r="S119" i="12"/>
  <c r="T119" i="12"/>
  <c r="S120" i="12"/>
  <c r="T120" i="12"/>
  <c r="S121" i="12"/>
  <c r="T121" i="12"/>
  <c r="S122" i="12"/>
  <c r="T122" i="12"/>
  <c r="S123" i="12"/>
  <c r="T123" i="12"/>
  <c r="S124" i="12"/>
  <c r="T124" i="12"/>
  <c r="S125" i="12"/>
  <c r="T125" i="12"/>
  <c r="S126" i="12"/>
  <c r="T126" i="12"/>
  <c r="S127" i="12"/>
  <c r="T127" i="12"/>
  <c r="S128" i="12"/>
  <c r="T128" i="12"/>
  <c r="S129" i="12"/>
  <c r="T129" i="12"/>
  <c r="S130" i="12"/>
  <c r="T130" i="12"/>
  <c r="S131" i="12"/>
  <c r="T131" i="12"/>
  <c r="S132" i="12"/>
  <c r="T132" i="12"/>
  <c r="S133" i="12"/>
  <c r="T133" i="12"/>
  <c r="S134" i="12"/>
  <c r="T134" i="12"/>
  <c r="S135" i="12"/>
  <c r="T135" i="12"/>
  <c r="S136" i="12"/>
  <c r="T136" i="12"/>
  <c r="S137" i="12"/>
  <c r="T137" i="12"/>
  <c r="S138" i="12"/>
  <c r="T138" i="12"/>
  <c r="S139" i="12"/>
  <c r="T139" i="12"/>
  <c r="S140" i="12"/>
  <c r="T140" i="12"/>
  <c r="S141" i="12"/>
  <c r="T141" i="12"/>
  <c r="S142" i="12"/>
  <c r="T142" i="12"/>
  <c r="S143" i="12"/>
  <c r="T143" i="12"/>
  <c r="S144" i="12"/>
  <c r="T144" i="12"/>
  <c r="S145" i="12"/>
  <c r="T145" i="12"/>
  <c r="S146" i="12"/>
  <c r="T146" i="12"/>
  <c r="S147" i="12"/>
  <c r="T147" i="12"/>
  <c r="S148" i="12"/>
  <c r="T148" i="12"/>
  <c r="S149" i="12"/>
  <c r="T149" i="12"/>
  <c r="S150" i="12"/>
  <c r="T150" i="12"/>
  <c r="S151" i="12"/>
  <c r="T151" i="12"/>
  <c r="S152" i="12"/>
  <c r="T152" i="12"/>
  <c r="S153" i="12"/>
  <c r="T153" i="12"/>
  <c r="S154" i="12"/>
  <c r="T154" i="12"/>
  <c r="S155" i="12"/>
  <c r="T155" i="12"/>
  <c r="S156" i="12"/>
  <c r="T156" i="12"/>
  <c r="S157" i="12"/>
  <c r="T157" i="12"/>
  <c r="S158" i="12"/>
  <c r="T158" i="12"/>
  <c r="S159" i="12"/>
  <c r="T159" i="12"/>
  <c r="S160" i="12"/>
  <c r="T160" i="12"/>
  <c r="S161" i="12"/>
  <c r="T161" i="12"/>
  <c r="S162" i="12"/>
  <c r="T162" i="12"/>
  <c r="S163" i="12"/>
  <c r="T163" i="12"/>
  <c r="S164" i="12"/>
  <c r="T164" i="12"/>
  <c r="S165" i="12"/>
  <c r="T165" i="12"/>
  <c r="S166" i="12"/>
  <c r="T166" i="12"/>
  <c r="C5" i="25"/>
  <c r="D5" i="25"/>
  <c r="E5" i="25"/>
  <c r="F5" i="25"/>
  <c r="G5" i="25"/>
  <c r="H5" i="25"/>
  <c r="I5" i="25"/>
  <c r="J5" i="25"/>
  <c r="K5" i="25"/>
  <c r="L5" i="25"/>
  <c r="M5" i="25"/>
  <c r="N5" i="25"/>
  <c r="Q5" i="25"/>
  <c r="R5" i="25"/>
  <c r="S5" i="25"/>
  <c r="T5" i="25"/>
  <c r="U5" i="25"/>
  <c r="B6" i="25"/>
  <c r="C6" i="25"/>
  <c r="D6" i="25"/>
  <c r="E6" i="25"/>
  <c r="F6" i="25"/>
  <c r="G6" i="25"/>
  <c r="H6" i="25"/>
  <c r="I6" i="25"/>
  <c r="J6" i="25"/>
  <c r="K6" i="25"/>
  <c r="L6" i="25"/>
  <c r="M6" i="25"/>
  <c r="N6" i="25"/>
  <c r="P6" i="25"/>
  <c r="Q6" i="25"/>
  <c r="R6" i="25"/>
  <c r="S6" i="25"/>
  <c r="T6" i="25"/>
  <c r="U6" i="25"/>
  <c r="B7" i="25"/>
  <c r="C7" i="25"/>
  <c r="D7" i="25"/>
  <c r="E7" i="25"/>
  <c r="F7" i="25"/>
  <c r="G7" i="25"/>
  <c r="H7" i="25"/>
  <c r="I7" i="25"/>
  <c r="J7" i="25"/>
  <c r="K7" i="25"/>
  <c r="L7" i="25"/>
  <c r="M7" i="25"/>
  <c r="N7" i="25"/>
  <c r="P7" i="25"/>
  <c r="Q7" i="25"/>
  <c r="R7" i="25"/>
  <c r="S7" i="25"/>
  <c r="T7" i="25"/>
  <c r="U7" i="25"/>
  <c r="B8" i="25"/>
  <c r="C8" i="25"/>
  <c r="D8" i="25"/>
  <c r="E8" i="25"/>
  <c r="F8" i="25"/>
  <c r="G8" i="25"/>
  <c r="H8" i="25"/>
  <c r="I8" i="25"/>
  <c r="J8" i="25"/>
  <c r="K8" i="25"/>
  <c r="L8" i="25"/>
  <c r="M8" i="25"/>
  <c r="N8" i="25"/>
  <c r="P8" i="25"/>
  <c r="Q8" i="25"/>
  <c r="R8" i="25"/>
  <c r="S8" i="25"/>
  <c r="T8" i="25"/>
  <c r="U8" i="25"/>
  <c r="B9" i="25"/>
  <c r="C9" i="25"/>
  <c r="D9" i="25"/>
  <c r="E9" i="25"/>
  <c r="F9" i="25"/>
  <c r="G9" i="25"/>
  <c r="H9" i="25"/>
  <c r="I9" i="25"/>
  <c r="J9" i="25"/>
  <c r="K9" i="25"/>
  <c r="L9" i="25"/>
  <c r="M9" i="25"/>
  <c r="N9" i="25"/>
  <c r="P9" i="25"/>
  <c r="Q9" i="25"/>
  <c r="R9" i="25"/>
  <c r="S9" i="25"/>
  <c r="T9" i="25"/>
  <c r="U9" i="25"/>
  <c r="B10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B11" i="25"/>
  <c r="C11" i="25"/>
  <c r="D11" i="25"/>
  <c r="E11" i="25"/>
  <c r="F11" i="25"/>
  <c r="G11" i="25"/>
  <c r="H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B12" i="25"/>
  <c r="C12" i="25"/>
  <c r="D12" i="25"/>
  <c r="E12" i="25"/>
  <c r="F12" i="25"/>
  <c r="G12" i="25"/>
  <c r="H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B13" i="25"/>
  <c r="C13" i="25"/>
  <c r="D13" i="25"/>
  <c r="E13" i="25"/>
  <c r="F13" i="25"/>
  <c r="G13" i="25"/>
  <c r="H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B14" i="25"/>
  <c r="C14" i="25"/>
  <c r="D14" i="25"/>
  <c r="E14" i="25"/>
  <c r="F14" i="25"/>
  <c r="G14" i="25"/>
  <c r="H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B15" i="25"/>
  <c r="C15" i="25"/>
  <c r="D15" i="25"/>
  <c r="E15" i="25"/>
  <c r="F15" i="25"/>
  <c r="G15" i="25"/>
  <c r="H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B16" i="25"/>
  <c r="C16" i="25"/>
  <c r="D16" i="25"/>
  <c r="E16" i="25"/>
  <c r="F16" i="25"/>
  <c r="G16" i="25"/>
  <c r="H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B17" i="25"/>
  <c r="C17" i="25"/>
  <c r="D17" i="25"/>
  <c r="E17" i="25"/>
  <c r="F17" i="25"/>
  <c r="G17" i="25"/>
  <c r="H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B18" i="25"/>
  <c r="C18" i="25"/>
  <c r="D18" i="25"/>
  <c r="E18" i="25"/>
  <c r="F18" i="25"/>
  <c r="G18" i="25"/>
  <c r="H18" i="25"/>
  <c r="I18" i="25"/>
  <c r="J18" i="25"/>
  <c r="K18" i="25"/>
  <c r="L18" i="25"/>
  <c r="M18" i="25"/>
  <c r="N18" i="25"/>
  <c r="P18" i="25"/>
  <c r="R18" i="25"/>
  <c r="S18" i="25"/>
  <c r="T18" i="25"/>
  <c r="U18" i="25"/>
  <c r="B19" i="25"/>
  <c r="C19" i="25"/>
  <c r="D19" i="25"/>
  <c r="E19" i="25"/>
  <c r="F19" i="25"/>
  <c r="G19" i="25"/>
  <c r="H19" i="25"/>
  <c r="I19" i="25"/>
  <c r="J19" i="25"/>
  <c r="K19" i="25"/>
  <c r="L19" i="25"/>
  <c r="M19" i="25"/>
  <c r="N19" i="25"/>
  <c r="P19" i="25"/>
  <c r="R19" i="25"/>
  <c r="S19" i="25"/>
  <c r="T19" i="25"/>
  <c r="U19" i="25"/>
  <c r="B20" i="25"/>
  <c r="C20" i="25"/>
  <c r="D20" i="25"/>
  <c r="E20" i="25"/>
  <c r="F20" i="25"/>
  <c r="G20" i="25"/>
  <c r="H20" i="25"/>
  <c r="I20" i="25"/>
  <c r="J20" i="25"/>
  <c r="K20" i="25"/>
  <c r="L20" i="25"/>
  <c r="M20" i="25"/>
  <c r="N20" i="25"/>
  <c r="P20" i="25"/>
  <c r="R20" i="25"/>
  <c r="S20" i="25"/>
  <c r="T20" i="25"/>
  <c r="U20" i="25"/>
  <c r="B21" i="25"/>
  <c r="C21" i="25"/>
  <c r="D21" i="25"/>
  <c r="E21" i="25"/>
  <c r="F21" i="25"/>
  <c r="G21" i="25"/>
  <c r="H21" i="25"/>
  <c r="I21" i="25"/>
  <c r="J21" i="25"/>
  <c r="K21" i="25"/>
  <c r="L21" i="25"/>
  <c r="M21" i="25"/>
  <c r="N21" i="25"/>
  <c r="P21" i="25"/>
  <c r="R21" i="25"/>
  <c r="S21" i="25"/>
  <c r="T21" i="25"/>
  <c r="U21" i="25"/>
  <c r="B22" i="25"/>
  <c r="C22" i="25"/>
  <c r="D22" i="25"/>
  <c r="E22" i="25"/>
  <c r="F22" i="25"/>
  <c r="G22" i="25"/>
  <c r="H22" i="25"/>
  <c r="I22" i="25"/>
  <c r="J22" i="25"/>
  <c r="K22" i="25"/>
  <c r="L22" i="25"/>
  <c r="M22" i="25"/>
  <c r="N22" i="25"/>
  <c r="P22" i="25"/>
  <c r="R22" i="25"/>
  <c r="S22" i="25"/>
  <c r="T22" i="25"/>
  <c r="U22" i="25"/>
  <c r="B23" i="25"/>
  <c r="C23" i="25"/>
  <c r="D23" i="25"/>
  <c r="E23" i="25"/>
  <c r="F23" i="25"/>
  <c r="G23" i="25"/>
  <c r="H23" i="25"/>
  <c r="I23" i="25"/>
  <c r="J23" i="25"/>
  <c r="K23" i="25"/>
  <c r="L23" i="25"/>
  <c r="M23" i="25"/>
  <c r="N23" i="25"/>
  <c r="P23" i="25"/>
  <c r="R23" i="25"/>
  <c r="S23" i="25"/>
  <c r="T23" i="25"/>
  <c r="U23" i="25"/>
  <c r="B24" i="25"/>
  <c r="C24" i="25"/>
  <c r="D24" i="25"/>
  <c r="E24" i="25"/>
  <c r="F24" i="25"/>
  <c r="G24" i="25"/>
  <c r="H24" i="25"/>
  <c r="I24" i="25"/>
  <c r="J24" i="25"/>
  <c r="K24" i="25"/>
  <c r="L24" i="25"/>
  <c r="M24" i="25"/>
  <c r="N24" i="25"/>
  <c r="P24" i="25"/>
  <c r="R24" i="25"/>
  <c r="S24" i="25"/>
  <c r="T24" i="25"/>
  <c r="U24" i="25"/>
  <c r="B25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P25" i="25"/>
  <c r="R25" i="25"/>
  <c r="S25" i="25"/>
  <c r="T25" i="25"/>
  <c r="U25" i="25"/>
  <c r="B26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P26" i="25"/>
  <c r="R26" i="25"/>
  <c r="S26" i="25"/>
  <c r="T26" i="25"/>
  <c r="U26" i="25"/>
  <c r="B27" i="25"/>
  <c r="C27" i="25"/>
  <c r="D27" i="25"/>
  <c r="E27" i="25"/>
  <c r="F27" i="25"/>
  <c r="G27" i="25"/>
  <c r="H27" i="25"/>
  <c r="I27" i="25"/>
  <c r="J27" i="25"/>
  <c r="K27" i="25"/>
  <c r="L27" i="25"/>
  <c r="M27" i="25"/>
  <c r="N27" i="25"/>
  <c r="P27" i="25"/>
  <c r="R27" i="25"/>
  <c r="S27" i="25"/>
  <c r="T27" i="25"/>
  <c r="U27" i="25"/>
  <c r="B28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P28" i="25"/>
  <c r="R28" i="25"/>
  <c r="S28" i="25"/>
  <c r="T28" i="25"/>
  <c r="U28" i="25"/>
  <c r="B29" i="25"/>
  <c r="C29" i="25"/>
  <c r="D29" i="25"/>
  <c r="E29" i="25"/>
  <c r="F29" i="25"/>
  <c r="G29" i="25"/>
  <c r="H29" i="25"/>
  <c r="I29" i="25"/>
  <c r="J29" i="25"/>
  <c r="K29" i="25"/>
  <c r="L29" i="25"/>
  <c r="M29" i="25"/>
  <c r="N29" i="25"/>
  <c r="P29" i="25"/>
  <c r="R29" i="25"/>
  <c r="S29" i="25"/>
  <c r="T29" i="25"/>
  <c r="U29" i="25"/>
  <c r="B30" i="25"/>
  <c r="C30" i="25"/>
  <c r="D30" i="25"/>
  <c r="E30" i="25"/>
  <c r="F30" i="25"/>
  <c r="G30" i="25"/>
  <c r="H30" i="25"/>
  <c r="I30" i="25"/>
  <c r="J30" i="25"/>
  <c r="K30" i="25"/>
  <c r="L30" i="25"/>
  <c r="M30" i="25"/>
  <c r="N30" i="25"/>
  <c r="P30" i="25"/>
  <c r="R30" i="25"/>
  <c r="S30" i="25"/>
  <c r="T30" i="25"/>
  <c r="U30" i="25"/>
  <c r="B31" i="25"/>
  <c r="C31" i="25"/>
  <c r="D31" i="25"/>
  <c r="E31" i="25"/>
  <c r="F31" i="25"/>
  <c r="G31" i="25"/>
  <c r="H31" i="25"/>
  <c r="I31" i="25"/>
  <c r="J31" i="25"/>
  <c r="K31" i="25"/>
  <c r="L31" i="25"/>
  <c r="M31" i="25"/>
  <c r="N31" i="25"/>
  <c r="P31" i="25"/>
  <c r="R31" i="25"/>
  <c r="S31" i="25"/>
  <c r="T31" i="25"/>
  <c r="U31" i="25"/>
  <c r="B32" i="25"/>
  <c r="C32" i="25"/>
  <c r="D32" i="25"/>
  <c r="E32" i="25"/>
  <c r="F32" i="25"/>
  <c r="G32" i="25"/>
  <c r="H32" i="25"/>
  <c r="I32" i="25"/>
  <c r="J32" i="25"/>
  <c r="K32" i="25"/>
  <c r="L32" i="25"/>
  <c r="M32" i="25"/>
  <c r="N32" i="25"/>
  <c r="P32" i="25"/>
  <c r="R32" i="25"/>
  <c r="S32" i="25"/>
  <c r="T32" i="25"/>
  <c r="U32" i="25"/>
  <c r="B33" i="25"/>
  <c r="C33" i="25"/>
  <c r="D33" i="25"/>
  <c r="E33" i="25"/>
  <c r="F33" i="25"/>
  <c r="G33" i="25"/>
  <c r="H33" i="25"/>
  <c r="I33" i="25"/>
  <c r="J33" i="25"/>
  <c r="K33" i="25"/>
  <c r="L33" i="25"/>
  <c r="M33" i="25"/>
  <c r="N33" i="25"/>
  <c r="P33" i="25"/>
  <c r="R33" i="25"/>
  <c r="S33" i="25"/>
  <c r="T33" i="25"/>
  <c r="U33" i="25"/>
  <c r="B34" i="25"/>
  <c r="C34" i="25"/>
  <c r="D34" i="25"/>
  <c r="E34" i="25"/>
  <c r="F34" i="25"/>
  <c r="G34" i="25"/>
  <c r="H34" i="25"/>
  <c r="I34" i="25"/>
  <c r="J34" i="25"/>
  <c r="K34" i="25"/>
  <c r="L34" i="25"/>
  <c r="M34" i="25"/>
  <c r="N34" i="25"/>
  <c r="P34" i="25"/>
  <c r="R34" i="25"/>
  <c r="S34" i="25"/>
  <c r="T34" i="25"/>
  <c r="U34" i="25"/>
  <c r="B35" i="25"/>
  <c r="C35" i="25"/>
  <c r="D35" i="25"/>
  <c r="E35" i="25"/>
  <c r="F35" i="25"/>
  <c r="G35" i="25"/>
  <c r="H35" i="25"/>
  <c r="I35" i="25"/>
  <c r="J35" i="25"/>
  <c r="K35" i="25"/>
  <c r="L35" i="25"/>
  <c r="M35" i="25"/>
  <c r="N35" i="25"/>
  <c r="P35" i="25"/>
  <c r="R35" i="25"/>
  <c r="S35" i="25"/>
  <c r="T35" i="25"/>
  <c r="U35" i="25"/>
  <c r="B36" i="25"/>
  <c r="C36" i="25"/>
  <c r="D36" i="25"/>
  <c r="E36" i="25"/>
  <c r="F36" i="25"/>
  <c r="G36" i="25"/>
  <c r="H36" i="25"/>
  <c r="I36" i="25"/>
  <c r="J36" i="25"/>
  <c r="K36" i="25"/>
  <c r="L36" i="25"/>
  <c r="M36" i="25"/>
  <c r="N36" i="25"/>
  <c r="P36" i="25"/>
  <c r="R36" i="25"/>
  <c r="S36" i="25"/>
  <c r="T36" i="25"/>
  <c r="U36" i="25"/>
  <c r="B37" i="25"/>
  <c r="C37" i="25"/>
  <c r="D37" i="25"/>
  <c r="E37" i="25"/>
  <c r="F37" i="25"/>
  <c r="G37" i="25"/>
  <c r="H37" i="25"/>
  <c r="I37" i="25"/>
  <c r="J37" i="25"/>
  <c r="K37" i="25"/>
  <c r="L37" i="25"/>
  <c r="M37" i="25"/>
  <c r="N37" i="25"/>
  <c r="P37" i="25"/>
  <c r="R37" i="25"/>
  <c r="S37" i="25"/>
  <c r="T37" i="25"/>
  <c r="U37" i="25"/>
  <c r="B4" i="8"/>
  <c r="P4" i="8"/>
  <c r="B5" i="8"/>
  <c r="P5" i="8"/>
  <c r="Q5" i="8"/>
  <c r="B6" i="8"/>
  <c r="P6" i="8"/>
  <c r="Q6" i="8"/>
  <c r="B7" i="8"/>
  <c r="P7" i="8"/>
  <c r="Q7" i="8"/>
  <c r="B8" i="8"/>
  <c r="P8" i="8"/>
  <c r="Q8" i="8"/>
  <c r="B9" i="8"/>
  <c r="P9" i="8"/>
  <c r="Q9" i="8"/>
  <c r="B10" i="8"/>
  <c r="P10" i="8"/>
  <c r="Q10" i="8"/>
  <c r="B11" i="8"/>
  <c r="P11" i="8"/>
  <c r="Q11" i="8"/>
  <c r="B12" i="8"/>
  <c r="P12" i="8"/>
  <c r="Q12" i="8"/>
  <c r="B13" i="8"/>
  <c r="P13" i="8"/>
  <c r="Q13" i="8"/>
  <c r="B14" i="8"/>
  <c r="P14" i="8"/>
  <c r="Q14" i="8"/>
  <c r="B15" i="8"/>
  <c r="P15" i="8"/>
  <c r="Q15" i="8"/>
  <c r="B16" i="8"/>
  <c r="P16" i="8"/>
  <c r="Q16" i="8"/>
  <c r="B17" i="8"/>
  <c r="P17" i="8"/>
  <c r="Q17" i="8"/>
  <c r="B18" i="8"/>
  <c r="P18" i="8"/>
  <c r="Q18" i="8"/>
  <c r="B19" i="8"/>
  <c r="P19" i="8"/>
  <c r="Q19" i="8"/>
  <c r="B20" i="8"/>
  <c r="P20" i="8"/>
  <c r="Q20" i="8"/>
  <c r="B21" i="8"/>
  <c r="P21" i="8"/>
  <c r="Q21" i="8"/>
  <c r="B22" i="8"/>
  <c r="P22" i="8"/>
  <c r="Q22" i="8"/>
  <c r="B23" i="8"/>
  <c r="P23" i="8"/>
  <c r="Q23" i="8"/>
  <c r="B24" i="8"/>
  <c r="P24" i="8"/>
  <c r="Q24" i="8"/>
  <c r="B25" i="8"/>
  <c r="P25" i="8"/>
  <c r="Q25" i="8"/>
  <c r="B26" i="8"/>
  <c r="P26" i="8"/>
  <c r="Q26" i="8"/>
  <c r="B27" i="8"/>
  <c r="P27" i="8"/>
  <c r="Q27" i="8"/>
  <c r="B28" i="8"/>
  <c r="P28" i="8"/>
  <c r="Q28" i="8"/>
  <c r="B29" i="8"/>
  <c r="P29" i="8"/>
  <c r="Q29" i="8"/>
  <c r="B30" i="8"/>
  <c r="P30" i="8"/>
  <c r="Q30" i="8"/>
  <c r="B31" i="8"/>
  <c r="P31" i="8"/>
  <c r="Q31" i="8"/>
  <c r="B32" i="8"/>
  <c r="P32" i="8"/>
  <c r="Q32" i="8"/>
  <c r="B33" i="8"/>
  <c r="P33" i="8"/>
  <c r="Q33" i="8"/>
  <c r="B34" i="8"/>
  <c r="P34" i="8"/>
  <c r="Q34" i="8"/>
  <c r="B35" i="8"/>
  <c r="P35" i="8"/>
  <c r="Q35" i="8"/>
  <c r="B36" i="8"/>
  <c r="P36" i="8"/>
  <c r="Q36" i="8"/>
  <c r="B37" i="8"/>
  <c r="P37" i="8"/>
  <c r="Q37" i="8"/>
  <c r="B38" i="8"/>
  <c r="P38" i="8"/>
  <c r="Q38" i="8"/>
  <c r="B39" i="8"/>
  <c r="P39" i="8"/>
  <c r="Q39" i="8"/>
  <c r="B40" i="8"/>
  <c r="P40" i="8"/>
  <c r="Q40" i="8"/>
  <c r="B41" i="8"/>
  <c r="P41" i="8"/>
  <c r="Q41" i="8"/>
  <c r="B42" i="8"/>
  <c r="P42" i="8"/>
  <c r="Q42" i="8"/>
  <c r="B43" i="8"/>
  <c r="P43" i="8"/>
  <c r="Q43" i="8"/>
  <c r="B44" i="8"/>
  <c r="P44" i="8"/>
  <c r="Q44" i="8"/>
  <c r="B45" i="8"/>
  <c r="P45" i="8"/>
  <c r="Q45" i="8"/>
  <c r="B46" i="8"/>
  <c r="P46" i="8"/>
  <c r="Q46" i="8"/>
  <c r="B47" i="8"/>
  <c r="P47" i="8"/>
  <c r="Q47" i="8"/>
  <c r="B48" i="8"/>
  <c r="P48" i="8"/>
  <c r="Q48" i="8"/>
  <c r="B49" i="8"/>
  <c r="P49" i="8"/>
  <c r="Q49" i="8"/>
  <c r="B50" i="8"/>
  <c r="P50" i="8"/>
  <c r="Q50" i="8"/>
  <c r="B51" i="8"/>
  <c r="P51" i="8"/>
  <c r="Q51" i="8"/>
  <c r="B52" i="8"/>
  <c r="P52" i="8"/>
  <c r="Q52" i="8"/>
  <c r="B53" i="8"/>
  <c r="P53" i="8"/>
  <c r="Q53" i="8"/>
  <c r="B54" i="8"/>
  <c r="P54" i="8"/>
  <c r="Q54" i="8"/>
  <c r="B55" i="8"/>
  <c r="P55" i="8"/>
  <c r="Q55" i="8"/>
  <c r="B56" i="8"/>
  <c r="P56" i="8"/>
  <c r="Q56" i="8"/>
  <c r="B57" i="8"/>
  <c r="P57" i="8"/>
  <c r="Q57" i="8"/>
  <c r="B58" i="8"/>
  <c r="P58" i="8"/>
  <c r="Q58" i="8"/>
  <c r="B59" i="8"/>
  <c r="P59" i="8"/>
  <c r="Q59" i="8"/>
  <c r="B60" i="8"/>
  <c r="P60" i="8"/>
  <c r="Q60" i="8"/>
  <c r="B61" i="8"/>
  <c r="P61" i="8"/>
  <c r="Q61" i="8"/>
  <c r="B62" i="8"/>
  <c r="P62" i="8"/>
  <c r="Q62" i="8"/>
  <c r="B63" i="8"/>
  <c r="P63" i="8"/>
  <c r="Q63" i="8"/>
  <c r="B64" i="8"/>
  <c r="P64" i="8"/>
  <c r="Q64" i="8"/>
  <c r="B65" i="8"/>
  <c r="P65" i="8"/>
  <c r="Q65" i="8"/>
  <c r="B66" i="8"/>
  <c r="P66" i="8"/>
  <c r="Q66" i="8"/>
  <c r="B67" i="8"/>
  <c r="P67" i="8"/>
  <c r="Q67" i="8"/>
  <c r="B68" i="8"/>
  <c r="P68" i="8"/>
  <c r="Q68" i="8"/>
  <c r="B69" i="8"/>
  <c r="P69" i="8"/>
  <c r="Q69" i="8"/>
  <c r="B70" i="8"/>
  <c r="P70" i="8"/>
  <c r="Q70" i="8"/>
  <c r="B71" i="8"/>
  <c r="P71" i="8"/>
  <c r="Q71" i="8"/>
  <c r="B72" i="8"/>
  <c r="P72" i="8"/>
  <c r="Q72" i="8"/>
  <c r="B73" i="8"/>
  <c r="P73" i="8"/>
  <c r="Q73" i="8"/>
  <c r="B74" i="8"/>
  <c r="P74" i="8"/>
  <c r="Q74" i="8"/>
  <c r="B75" i="8"/>
  <c r="P75" i="8"/>
  <c r="Q75" i="8"/>
  <c r="B76" i="8"/>
  <c r="P76" i="8"/>
  <c r="Q76" i="8"/>
  <c r="B77" i="8"/>
  <c r="P77" i="8"/>
  <c r="Q77" i="8"/>
  <c r="B78" i="8"/>
  <c r="P78" i="8"/>
  <c r="Q78" i="8"/>
  <c r="B79" i="8"/>
  <c r="P79" i="8"/>
  <c r="Q79" i="8"/>
  <c r="B80" i="8"/>
  <c r="P80" i="8"/>
  <c r="Q80" i="8"/>
  <c r="B81" i="8"/>
  <c r="P81" i="8"/>
  <c r="Q81" i="8"/>
  <c r="B82" i="8"/>
  <c r="P82" i="8"/>
  <c r="Q82" i="8"/>
  <c r="B83" i="8"/>
  <c r="P83" i="8"/>
  <c r="Q83" i="8"/>
  <c r="B84" i="8"/>
  <c r="P84" i="8"/>
  <c r="Q84" i="8"/>
  <c r="B85" i="8"/>
  <c r="P85" i="8"/>
  <c r="Q85" i="8"/>
  <c r="B86" i="8"/>
  <c r="P86" i="8"/>
  <c r="Q86" i="8"/>
  <c r="B87" i="8"/>
  <c r="P87" i="8"/>
  <c r="Q87" i="8"/>
  <c r="B88" i="8"/>
  <c r="P88" i="8"/>
  <c r="Q88" i="8"/>
  <c r="B89" i="8"/>
  <c r="P89" i="8"/>
  <c r="Q89" i="8"/>
  <c r="B90" i="8"/>
  <c r="P90" i="8"/>
  <c r="Q90" i="8"/>
  <c r="B91" i="8"/>
  <c r="P91" i="8"/>
  <c r="Q91" i="8"/>
  <c r="B92" i="8"/>
  <c r="P92" i="8"/>
  <c r="Q92" i="8"/>
  <c r="B93" i="8"/>
  <c r="P93" i="8"/>
  <c r="Q93" i="8"/>
  <c r="B94" i="8"/>
  <c r="P94" i="8"/>
  <c r="Q94" i="8"/>
  <c r="B95" i="8"/>
  <c r="P95" i="8"/>
  <c r="Q95" i="8"/>
  <c r="B96" i="8"/>
  <c r="P96" i="8"/>
  <c r="Q96" i="8"/>
  <c r="B97" i="8"/>
  <c r="P97" i="8"/>
  <c r="Q97" i="8"/>
  <c r="B98" i="8"/>
  <c r="P98" i="8"/>
  <c r="Q98" i="8"/>
  <c r="B99" i="8"/>
  <c r="P99" i="8"/>
  <c r="Q99" i="8"/>
  <c r="B100" i="8"/>
  <c r="P100" i="8"/>
  <c r="Q100" i="8"/>
  <c r="B101" i="8"/>
  <c r="P101" i="8"/>
  <c r="Q101" i="8"/>
  <c r="B102" i="8"/>
  <c r="P102" i="8"/>
  <c r="Q102" i="8"/>
  <c r="B103" i="8"/>
  <c r="P103" i="8"/>
  <c r="Q103" i="8"/>
  <c r="B104" i="8"/>
  <c r="P104" i="8"/>
  <c r="Q104" i="8"/>
  <c r="B105" i="8"/>
  <c r="P105" i="8"/>
  <c r="Q105" i="8"/>
  <c r="B106" i="8"/>
  <c r="P106" i="8"/>
  <c r="Q106" i="8"/>
  <c r="B107" i="8"/>
  <c r="P107" i="8"/>
  <c r="Q107" i="8"/>
  <c r="B108" i="8"/>
  <c r="P108" i="8"/>
  <c r="Q108" i="8"/>
  <c r="B109" i="8"/>
  <c r="P109" i="8"/>
  <c r="Q109" i="8"/>
  <c r="B110" i="8"/>
  <c r="P110" i="8"/>
  <c r="Q110" i="8"/>
  <c r="B111" i="8"/>
  <c r="P111" i="8"/>
  <c r="Q111" i="8"/>
  <c r="B112" i="8"/>
  <c r="P112" i="8"/>
  <c r="Q112" i="8"/>
  <c r="B113" i="8"/>
  <c r="P113" i="8"/>
  <c r="Q113" i="8"/>
  <c r="B114" i="8"/>
  <c r="P114" i="8"/>
  <c r="Q114" i="8"/>
  <c r="B115" i="8"/>
  <c r="P115" i="8"/>
  <c r="Q115" i="8"/>
  <c r="B116" i="8"/>
  <c r="P116" i="8"/>
  <c r="Q116" i="8"/>
  <c r="B117" i="8"/>
  <c r="P117" i="8"/>
  <c r="Q117" i="8"/>
  <c r="B118" i="8"/>
  <c r="P118" i="8"/>
  <c r="Q118" i="8"/>
  <c r="B119" i="8"/>
  <c r="P119" i="8"/>
  <c r="Q119" i="8"/>
  <c r="B120" i="8"/>
  <c r="P120" i="8"/>
  <c r="Q120" i="8"/>
  <c r="B121" i="8"/>
  <c r="P121" i="8"/>
  <c r="Q121" i="8"/>
  <c r="B122" i="8"/>
  <c r="P122" i="8"/>
  <c r="Q122" i="8"/>
  <c r="B123" i="8"/>
  <c r="P123" i="8"/>
  <c r="Q123" i="8"/>
  <c r="B124" i="8"/>
  <c r="P124" i="8"/>
  <c r="Q124" i="8"/>
  <c r="B125" i="8"/>
  <c r="P125" i="8"/>
  <c r="Q125" i="8"/>
  <c r="B126" i="8"/>
  <c r="P126" i="8"/>
  <c r="Q126" i="8"/>
  <c r="B127" i="8"/>
  <c r="P127" i="8"/>
  <c r="Q127" i="8"/>
  <c r="B128" i="8"/>
  <c r="P128" i="8"/>
  <c r="Q128" i="8"/>
  <c r="B129" i="8"/>
  <c r="P129" i="8"/>
  <c r="Q129" i="8"/>
  <c r="B130" i="8"/>
  <c r="P130" i="8"/>
  <c r="Q130" i="8"/>
  <c r="B131" i="8"/>
  <c r="P131" i="8"/>
  <c r="Q131" i="8"/>
  <c r="B132" i="8"/>
  <c r="P132" i="8"/>
  <c r="Q132" i="8"/>
  <c r="B133" i="8"/>
  <c r="P133" i="8"/>
  <c r="Q133" i="8"/>
  <c r="B134" i="8"/>
  <c r="P134" i="8"/>
  <c r="Q134" i="8"/>
  <c r="B135" i="8"/>
  <c r="P135" i="8"/>
  <c r="Q135" i="8"/>
  <c r="B136" i="8"/>
  <c r="P136" i="8"/>
  <c r="Q136" i="8"/>
  <c r="B137" i="8"/>
  <c r="P137" i="8"/>
  <c r="Q137" i="8"/>
  <c r="B138" i="8"/>
  <c r="P138" i="8"/>
  <c r="Q138" i="8"/>
  <c r="B139" i="8"/>
  <c r="P139" i="8"/>
  <c r="Q139" i="8"/>
  <c r="B140" i="8"/>
  <c r="P140" i="8"/>
  <c r="Q140" i="8"/>
  <c r="B141" i="8"/>
  <c r="P141" i="8"/>
  <c r="Q141" i="8"/>
  <c r="B142" i="8"/>
  <c r="P142" i="8"/>
  <c r="Q142" i="8"/>
  <c r="B143" i="8"/>
  <c r="P143" i="8"/>
  <c r="Q143" i="8"/>
  <c r="B144" i="8"/>
  <c r="P144" i="8"/>
  <c r="Q144" i="8"/>
  <c r="B145" i="8"/>
  <c r="P145" i="8"/>
  <c r="Q145" i="8"/>
  <c r="B146" i="8"/>
  <c r="P146" i="8"/>
  <c r="Q146" i="8"/>
  <c r="B147" i="8"/>
  <c r="P147" i="8"/>
  <c r="Q147" i="8"/>
  <c r="B148" i="8"/>
  <c r="P148" i="8"/>
  <c r="Q148" i="8"/>
  <c r="B149" i="8"/>
  <c r="P149" i="8"/>
  <c r="Q149" i="8"/>
  <c r="B150" i="8"/>
  <c r="P150" i="8"/>
  <c r="Q150" i="8"/>
  <c r="B151" i="8"/>
  <c r="P151" i="8"/>
  <c r="Q151" i="8"/>
  <c r="B152" i="8"/>
  <c r="P152" i="8"/>
  <c r="Q152" i="8"/>
  <c r="B153" i="8"/>
  <c r="P153" i="8"/>
  <c r="Q153" i="8"/>
  <c r="B154" i="8"/>
  <c r="P154" i="8"/>
  <c r="Q154" i="8"/>
  <c r="B155" i="8"/>
  <c r="P155" i="8"/>
  <c r="Q155" i="8"/>
  <c r="B156" i="8"/>
  <c r="P156" i="8"/>
  <c r="Q156" i="8"/>
  <c r="B157" i="8"/>
  <c r="P157" i="8"/>
  <c r="Q157" i="8"/>
  <c r="B158" i="8"/>
  <c r="P158" i="8"/>
  <c r="Q158" i="8"/>
  <c r="B159" i="8"/>
  <c r="P159" i="8"/>
  <c r="Q159" i="8"/>
  <c r="B160" i="8"/>
  <c r="P160" i="8"/>
  <c r="Q160" i="8"/>
  <c r="B161" i="8"/>
  <c r="P161" i="8"/>
  <c r="Q161" i="8"/>
  <c r="B162" i="8"/>
  <c r="P162" i="8"/>
  <c r="Q162" i="8"/>
  <c r="B163" i="8"/>
  <c r="P163" i="8"/>
  <c r="Q163" i="8"/>
  <c r="B164" i="8"/>
  <c r="P164" i="8"/>
  <c r="Q164" i="8"/>
  <c r="B165" i="8"/>
  <c r="P165" i="8"/>
  <c r="Q165" i="8"/>
  <c r="B166" i="8"/>
  <c r="P166" i="8"/>
  <c r="Q166" i="8"/>
  <c r="B167" i="8"/>
  <c r="P167" i="8"/>
  <c r="Q167" i="8"/>
  <c r="B168" i="8"/>
  <c r="P168" i="8"/>
  <c r="Q168" i="8"/>
  <c r="B169" i="8"/>
  <c r="P169" i="8"/>
  <c r="Q169" i="8"/>
  <c r="B170" i="8"/>
  <c r="P170" i="8"/>
  <c r="Q170" i="8"/>
  <c r="B171" i="8"/>
  <c r="P171" i="8"/>
  <c r="Q171" i="8"/>
  <c r="B172" i="8"/>
  <c r="P172" i="8"/>
  <c r="Q172" i="8"/>
  <c r="B173" i="8"/>
  <c r="P173" i="8"/>
  <c r="Q173" i="8"/>
  <c r="B174" i="8"/>
  <c r="P174" i="8"/>
  <c r="Q174" i="8"/>
  <c r="B175" i="8"/>
  <c r="P175" i="8"/>
  <c r="Q175" i="8"/>
  <c r="B176" i="8"/>
  <c r="P176" i="8"/>
  <c r="Q176" i="8"/>
  <c r="B177" i="8"/>
  <c r="P177" i="8"/>
  <c r="Q177" i="8"/>
  <c r="B178" i="8"/>
  <c r="P178" i="8"/>
  <c r="Q178" i="8"/>
  <c r="B179" i="8"/>
  <c r="P179" i="8"/>
  <c r="Q179" i="8"/>
  <c r="B180" i="8"/>
  <c r="P180" i="8"/>
  <c r="Q180" i="8"/>
  <c r="B181" i="8"/>
  <c r="P181" i="8"/>
  <c r="Q181" i="8"/>
  <c r="B182" i="8"/>
  <c r="P182" i="8"/>
  <c r="Q182" i="8"/>
  <c r="B183" i="8"/>
  <c r="P183" i="8"/>
  <c r="Q183" i="8"/>
  <c r="B184" i="8"/>
  <c r="P184" i="8"/>
  <c r="Q184" i="8"/>
  <c r="B185" i="8"/>
  <c r="P185" i="8"/>
  <c r="Q185" i="8"/>
  <c r="B186" i="8"/>
  <c r="P186" i="8"/>
  <c r="Q186" i="8"/>
  <c r="B187" i="8"/>
  <c r="P187" i="8"/>
  <c r="Q187" i="8"/>
  <c r="B188" i="8"/>
  <c r="P188" i="8"/>
  <c r="Q188" i="8"/>
  <c r="B189" i="8"/>
  <c r="P189" i="8"/>
  <c r="Q189" i="8"/>
  <c r="B190" i="8"/>
  <c r="P190" i="8"/>
  <c r="Q190" i="8"/>
  <c r="B191" i="8"/>
  <c r="P191" i="8"/>
  <c r="Q191" i="8"/>
  <c r="B192" i="8"/>
  <c r="P192" i="8"/>
  <c r="Q192" i="8"/>
  <c r="B193" i="8"/>
  <c r="P193" i="8"/>
  <c r="Q193" i="8"/>
  <c r="B194" i="8"/>
  <c r="P194" i="8"/>
  <c r="Q194" i="8"/>
  <c r="B195" i="8"/>
  <c r="P195" i="8"/>
  <c r="Q195" i="8"/>
  <c r="B196" i="8"/>
  <c r="P196" i="8"/>
  <c r="Q196" i="8"/>
  <c r="B197" i="8"/>
  <c r="P197" i="8"/>
  <c r="Q197" i="8"/>
  <c r="B198" i="8"/>
  <c r="P198" i="8"/>
  <c r="Q198" i="8"/>
  <c r="B199" i="8"/>
  <c r="P199" i="8"/>
  <c r="Q199" i="8"/>
  <c r="B200" i="8"/>
  <c r="P200" i="8"/>
  <c r="Q200" i="8"/>
  <c r="B201" i="8"/>
  <c r="P201" i="8"/>
  <c r="Q201" i="8"/>
  <c r="B202" i="8"/>
  <c r="P202" i="8"/>
  <c r="Q202" i="8"/>
  <c r="B203" i="8"/>
  <c r="P203" i="8"/>
  <c r="Q203" i="8"/>
  <c r="B204" i="8"/>
  <c r="P204" i="8"/>
  <c r="Q204" i="8"/>
  <c r="B205" i="8"/>
  <c r="P205" i="8"/>
  <c r="Q205" i="8"/>
  <c r="B206" i="8"/>
  <c r="P206" i="8"/>
  <c r="Q206" i="8"/>
  <c r="B207" i="8"/>
  <c r="P207" i="8"/>
  <c r="Q207" i="8"/>
  <c r="B208" i="8"/>
  <c r="P208" i="8"/>
  <c r="Q208" i="8"/>
  <c r="B209" i="8"/>
  <c r="P209" i="8"/>
  <c r="Q209" i="8"/>
  <c r="B210" i="8"/>
  <c r="P210" i="8"/>
  <c r="Q210" i="8"/>
  <c r="B211" i="8"/>
  <c r="P211" i="8"/>
  <c r="Q211" i="8"/>
  <c r="B212" i="8"/>
  <c r="P212" i="8"/>
  <c r="Q212" i="8"/>
  <c r="B213" i="8"/>
  <c r="P213" i="8"/>
  <c r="Q213" i="8"/>
  <c r="B214" i="8"/>
  <c r="P214" i="8"/>
  <c r="Q214" i="8"/>
  <c r="B215" i="8"/>
  <c r="P215" i="8"/>
  <c r="Q215" i="8"/>
  <c r="B216" i="8"/>
  <c r="P216" i="8"/>
  <c r="Q216" i="8"/>
  <c r="B217" i="8"/>
  <c r="P217" i="8"/>
  <c r="Q217" i="8"/>
  <c r="B218" i="8"/>
  <c r="P218" i="8"/>
  <c r="Q218" i="8"/>
  <c r="B219" i="8"/>
  <c r="P219" i="8"/>
  <c r="Q219" i="8"/>
  <c r="B220" i="8"/>
  <c r="P220" i="8"/>
  <c r="Q220" i="8"/>
  <c r="B221" i="8"/>
  <c r="P221" i="8"/>
  <c r="Q221" i="8"/>
  <c r="B222" i="8"/>
  <c r="P222" i="8"/>
  <c r="Q222" i="8"/>
  <c r="B223" i="8"/>
  <c r="P223" i="8"/>
  <c r="Q223" i="8"/>
  <c r="B224" i="8"/>
  <c r="P224" i="8"/>
  <c r="Q224" i="8"/>
  <c r="B225" i="8"/>
  <c r="P225" i="8"/>
  <c r="Q225" i="8"/>
  <c r="B226" i="8"/>
  <c r="P226" i="8"/>
  <c r="Q226" i="8"/>
  <c r="B227" i="8"/>
  <c r="P227" i="8"/>
  <c r="Q227" i="8"/>
  <c r="B228" i="8"/>
  <c r="P228" i="8"/>
  <c r="Q228" i="8"/>
  <c r="B229" i="8"/>
  <c r="P229" i="8"/>
  <c r="Q229" i="8"/>
  <c r="B29" i="36"/>
  <c r="C29" i="36"/>
  <c r="D29" i="36"/>
  <c r="E29" i="36"/>
  <c r="F29" i="36"/>
  <c r="G29" i="36"/>
  <c r="H29" i="36"/>
  <c r="I29" i="36"/>
  <c r="J29" i="36"/>
  <c r="K29" i="36"/>
  <c r="L29" i="36"/>
  <c r="M29" i="36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AK11" i="22"/>
  <c r="AL11" i="22"/>
  <c r="AM11" i="22"/>
  <c r="AN11" i="22"/>
  <c r="AO11" i="22"/>
  <c r="AP11" i="22"/>
  <c r="AQ11" i="22"/>
  <c r="AR11" i="22"/>
  <c r="AS11" i="22"/>
  <c r="AT11" i="22"/>
  <c r="AU11" i="22"/>
  <c r="AV11" i="22"/>
  <c r="AW11" i="22"/>
  <c r="AY11" i="22"/>
  <c r="AZ11" i="22"/>
  <c r="BA11" i="22"/>
  <c r="BC11" i="22"/>
  <c r="BD11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Y12" i="22"/>
  <c r="AZ12" i="22"/>
  <c r="BA12" i="22"/>
  <c r="B16" i="22"/>
  <c r="AY16" i="22"/>
  <c r="AZ16" i="22"/>
  <c r="BA16" i="22"/>
  <c r="BB16" i="22"/>
  <c r="BC16" i="22"/>
  <c r="BD16" i="22"/>
  <c r="BF16" i="22"/>
  <c r="BI16" i="22"/>
  <c r="BJ16" i="22"/>
  <c r="B17" i="22"/>
  <c r="AY17" i="22"/>
  <c r="AZ17" i="22"/>
  <c r="BA17" i="22"/>
  <c r="BB17" i="22"/>
  <c r="BC17" i="22"/>
  <c r="BD17" i="22"/>
  <c r="BF17" i="22"/>
  <c r="BI17" i="22"/>
  <c r="BJ17" i="22"/>
  <c r="B18" i="22"/>
  <c r="AY18" i="22"/>
  <c r="AZ18" i="22"/>
  <c r="BA18" i="22"/>
  <c r="BB18" i="22"/>
  <c r="BC18" i="22"/>
  <c r="BD18" i="22"/>
  <c r="BF18" i="22"/>
  <c r="BI18" i="22"/>
  <c r="BJ18" i="22"/>
  <c r="B19" i="22"/>
  <c r="AY19" i="22"/>
  <c r="AZ19" i="22"/>
  <c r="BA19" i="22"/>
  <c r="BB19" i="22"/>
  <c r="BC19" i="22"/>
  <c r="BD19" i="22"/>
  <c r="BF19" i="22"/>
  <c r="BI19" i="22"/>
  <c r="BJ19" i="22"/>
  <c r="B20" i="22"/>
  <c r="AY20" i="22"/>
  <c r="AZ20" i="22"/>
  <c r="BA20" i="22"/>
  <c r="BB20" i="22"/>
  <c r="BC20" i="22"/>
  <c r="BD20" i="22"/>
  <c r="BF20" i="22"/>
  <c r="BI20" i="22"/>
  <c r="BJ20" i="22"/>
  <c r="B21" i="22"/>
  <c r="AY21" i="22"/>
  <c r="AZ21" i="22"/>
  <c r="BA21" i="22"/>
  <c r="BB21" i="22"/>
  <c r="BC21" i="22"/>
  <c r="BD21" i="22"/>
  <c r="BF21" i="22"/>
  <c r="BI21" i="22"/>
  <c r="BJ21" i="22"/>
  <c r="B22" i="22"/>
  <c r="AY22" i="22"/>
  <c r="AZ22" i="22"/>
  <c r="BA22" i="22"/>
  <c r="BB22" i="22"/>
  <c r="BC22" i="22"/>
  <c r="BD22" i="22"/>
  <c r="BF22" i="22"/>
  <c r="BI22" i="22"/>
  <c r="BJ22" i="22"/>
  <c r="B23" i="22"/>
  <c r="AY23" i="22"/>
  <c r="AZ23" i="22"/>
  <c r="BA23" i="22"/>
  <c r="BB23" i="22"/>
  <c r="BC23" i="22"/>
  <c r="BD23" i="22"/>
  <c r="BF23" i="22"/>
  <c r="BI23" i="22"/>
  <c r="BJ23" i="22"/>
  <c r="B24" i="22"/>
  <c r="AY24" i="22"/>
  <c r="AZ24" i="22"/>
  <c r="BA24" i="22"/>
  <c r="BB24" i="22"/>
  <c r="BC24" i="22"/>
  <c r="BD24" i="22"/>
  <c r="BF24" i="22"/>
  <c r="BI24" i="22"/>
  <c r="BJ24" i="22"/>
  <c r="B25" i="22"/>
  <c r="AY25" i="22"/>
  <c r="AZ25" i="22"/>
  <c r="BA25" i="22"/>
  <c r="BB25" i="22"/>
  <c r="BC25" i="22"/>
  <c r="BD25" i="22"/>
  <c r="BF25" i="22"/>
  <c r="BI25" i="22"/>
  <c r="BJ25" i="22"/>
  <c r="B26" i="22"/>
  <c r="AY26" i="22"/>
  <c r="AZ26" i="22"/>
  <c r="BA26" i="22"/>
  <c r="BB26" i="22"/>
  <c r="BC26" i="22"/>
  <c r="BD26" i="22"/>
  <c r="BF26" i="22"/>
  <c r="BI26" i="22"/>
  <c r="BJ26" i="22"/>
  <c r="B27" i="22"/>
  <c r="AY27" i="22"/>
  <c r="AZ27" i="22"/>
  <c r="BA27" i="22"/>
  <c r="BB27" i="22"/>
  <c r="BC27" i="22"/>
  <c r="BD27" i="22"/>
  <c r="BF27" i="22"/>
  <c r="BI27" i="22"/>
  <c r="BJ27" i="22"/>
  <c r="B28" i="22"/>
  <c r="AY28" i="22"/>
  <c r="AZ28" i="22"/>
  <c r="BA28" i="22"/>
  <c r="BB28" i="22"/>
  <c r="BC28" i="22"/>
  <c r="BD28" i="22"/>
  <c r="BF28" i="22"/>
  <c r="BI28" i="22"/>
  <c r="BJ28" i="22"/>
  <c r="B29" i="22"/>
  <c r="AY29" i="22"/>
  <c r="AZ29" i="22"/>
  <c r="BA29" i="22"/>
  <c r="BB29" i="22"/>
  <c r="BC29" i="22"/>
  <c r="BD29" i="22"/>
  <c r="BF29" i="22"/>
  <c r="BI29" i="22"/>
  <c r="BJ29" i="22"/>
  <c r="B30" i="22"/>
  <c r="AY30" i="22"/>
  <c r="AZ30" i="22"/>
  <c r="BA30" i="22"/>
  <c r="BB30" i="22"/>
  <c r="BC30" i="22"/>
  <c r="BD30" i="22"/>
  <c r="BF30" i="22"/>
  <c r="BI30" i="22"/>
  <c r="BJ30" i="22"/>
  <c r="B31" i="22"/>
  <c r="AY31" i="22"/>
  <c r="AZ31" i="22"/>
  <c r="BA31" i="22"/>
  <c r="BB31" i="22"/>
  <c r="BC31" i="22"/>
  <c r="BD31" i="22"/>
  <c r="BF31" i="22"/>
  <c r="BI31" i="22"/>
  <c r="BJ31" i="22"/>
  <c r="B32" i="22"/>
  <c r="AY32" i="22"/>
  <c r="AZ32" i="22"/>
  <c r="BA32" i="22"/>
  <c r="BB32" i="22"/>
  <c r="BC32" i="22"/>
  <c r="BD32" i="22"/>
  <c r="BF32" i="22"/>
  <c r="BI32" i="22"/>
  <c r="BJ32" i="22"/>
  <c r="B33" i="22"/>
  <c r="AY33" i="22"/>
  <c r="AZ33" i="22"/>
  <c r="BA33" i="22"/>
  <c r="BB33" i="22"/>
  <c r="BC33" i="22"/>
  <c r="BD33" i="22"/>
  <c r="BF33" i="22"/>
  <c r="BI33" i="22"/>
  <c r="BJ33" i="22"/>
  <c r="B34" i="22"/>
  <c r="AY34" i="22"/>
  <c r="AZ34" i="22"/>
  <c r="BA34" i="22"/>
  <c r="BB34" i="22"/>
  <c r="BC34" i="22"/>
  <c r="BD34" i="22"/>
  <c r="BF34" i="22"/>
  <c r="BI34" i="22"/>
  <c r="BJ34" i="22"/>
  <c r="B35" i="22"/>
  <c r="AY35" i="22"/>
  <c r="AZ35" i="22"/>
  <c r="BA35" i="22"/>
  <c r="BB35" i="22"/>
  <c r="BC35" i="22"/>
  <c r="BD35" i="22"/>
  <c r="BF35" i="22"/>
  <c r="BI35" i="22"/>
  <c r="BJ35" i="22"/>
  <c r="B36" i="22"/>
  <c r="AY36" i="22"/>
  <c r="AZ36" i="22"/>
  <c r="BA36" i="22"/>
  <c r="BB36" i="22"/>
  <c r="BC36" i="22"/>
  <c r="BD36" i="22"/>
  <c r="BF36" i="22"/>
  <c r="BI36" i="22"/>
  <c r="BJ36" i="22"/>
  <c r="B37" i="22"/>
  <c r="AY37" i="22"/>
  <c r="AZ37" i="22"/>
  <c r="BA37" i="22"/>
  <c r="BB37" i="22"/>
  <c r="BC37" i="22"/>
  <c r="BD37" i="22"/>
  <c r="BF37" i="22"/>
  <c r="BI37" i="22"/>
  <c r="BJ37" i="22"/>
  <c r="B38" i="22"/>
  <c r="AY38" i="22"/>
  <c r="AZ38" i="22"/>
  <c r="BA38" i="22"/>
  <c r="BB38" i="22"/>
  <c r="BC38" i="22"/>
  <c r="BD38" i="22"/>
  <c r="BF38" i="22"/>
  <c r="BI38" i="22"/>
  <c r="BJ38" i="22"/>
  <c r="B39" i="22"/>
  <c r="AY39" i="22"/>
  <c r="AZ39" i="22"/>
  <c r="BA39" i="22"/>
  <c r="BB39" i="22"/>
  <c r="BC39" i="22"/>
  <c r="BD39" i="22"/>
  <c r="BF39" i="22"/>
  <c r="BI39" i="22"/>
  <c r="BJ39" i="22"/>
  <c r="B40" i="22"/>
  <c r="AY40" i="22"/>
  <c r="AZ40" i="22"/>
  <c r="BA40" i="22"/>
  <c r="BB40" i="22"/>
  <c r="BC40" i="22"/>
  <c r="BD40" i="22"/>
  <c r="BF40" i="22"/>
  <c r="BI40" i="22"/>
  <c r="BJ40" i="22"/>
  <c r="B41" i="22"/>
  <c r="AY41" i="22"/>
  <c r="AZ41" i="22"/>
  <c r="BA41" i="22"/>
  <c r="BB41" i="22"/>
  <c r="BC41" i="22"/>
  <c r="BD41" i="22"/>
  <c r="BF41" i="22"/>
  <c r="BI41" i="22"/>
  <c r="BJ41" i="22"/>
  <c r="B42" i="22"/>
  <c r="AY42" i="22"/>
  <c r="AZ42" i="22"/>
  <c r="BA42" i="22"/>
  <c r="BB42" i="22"/>
  <c r="BC42" i="22"/>
  <c r="BD42" i="22"/>
  <c r="BF42" i="22"/>
  <c r="BI42" i="22"/>
  <c r="BJ42" i="22"/>
  <c r="B43" i="22"/>
  <c r="AY43" i="22"/>
  <c r="AZ43" i="22"/>
  <c r="BA43" i="22"/>
  <c r="BB43" i="22"/>
  <c r="BC43" i="22"/>
  <c r="BD43" i="22"/>
  <c r="BF43" i="22"/>
  <c r="BI43" i="22"/>
  <c r="BJ43" i="22"/>
  <c r="B44" i="22"/>
  <c r="AY44" i="22"/>
  <c r="AZ44" i="22"/>
  <c r="BA44" i="22"/>
  <c r="BB44" i="22"/>
  <c r="BC44" i="22"/>
  <c r="BD44" i="22"/>
  <c r="BF44" i="22"/>
  <c r="BI44" i="22"/>
  <c r="BJ44" i="22"/>
  <c r="B45" i="22"/>
  <c r="AY45" i="22"/>
  <c r="AZ45" i="22"/>
  <c r="BA45" i="22"/>
  <c r="BB45" i="22"/>
  <c r="BC45" i="22"/>
  <c r="BD45" i="22"/>
  <c r="BF45" i="22"/>
  <c r="BI45" i="22"/>
  <c r="BJ45" i="22"/>
  <c r="B46" i="22"/>
  <c r="AY46" i="22"/>
  <c r="AZ46" i="22"/>
  <c r="BA46" i="22"/>
  <c r="BB46" i="22"/>
  <c r="BC46" i="22"/>
  <c r="BD46" i="22"/>
  <c r="BF46" i="22"/>
  <c r="BI46" i="22"/>
  <c r="BJ46" i="22"/>
  <c r="B47" i="22"/>
  <c r="AY47" i="22"/>
  <c r="AZ47" i="22"/>
  <c r="BA47" i="22"/>
  <c r="BB47" i="22"/>
  <c r="BC47" i="22"/>
  <c r="BD47" i="22"/>
  <c r="BF47" i="22"/>
  <c r="BI47" i="22"/>
  <c r="BJ47" i="22"/>
  <c r="B48" i="22"/>
  <c r="AY48" i="22"/>
  <c r="AZ48" i="22"/>
  <c r="BA48" i="22"/>
  <c r="BB48" i="22"/>
  <c r="BC48" i="22"/>
  <c r="BD48" i="22"/>
  <c r="BF48" i="22"/>
  <c r="BI48" i="22"/>
  <c r="BJ48" i="22"/>
  <c r="B49" i="22"/>
  <c r="AY49" i="22"/>
  <c r="AZ49" i="22"/>
  <c r="BA49" i="22"/>
  <c r="BB49" i="22"/>
  <c r="BC49" i="22"/>
  <c r="BD49" i="22"/>
  <c r="BF49" i="22"/>
  <c r="BI49" i="22"/>
  <c r="BJ49" i="22"/>
  <c r="B50" i="22"/>
  <c r="AY50" i="22"/>
  <c r="AZ50" i="22"/>
  <c r="BA50" i="22"/>
  <c r="BB50" i="22"/>
  <c r="BC50" i="22"/>
  <c r="BD50" i="22"/>
  <c r="BF50" i="22"/>
  <c r="BI50" i="22"/>
  <c r="BJ50" i="22"/>
  <c r="B51" i="22"/>
  <c r="AY51" i="22"/>
  <c r="AZ51" i="22"/>
  <c r="BA51" i="22"/>
  <c r="BB51" i="22"/>
  <c r="BC51" i="22"/>
  <c r="BD51" i="22"/>
  <c r="BF51" i="22"/>
  <c r="BI51" i="22"/>
  <c r="BJ51" i="22"/>
  <c r="B52" i="22"/>
  <c r="AY52" i="22"/>
  <c r="AZ52" i="22"/>
  <c r="BA52" i="22"/>
  <c r="BB52" i="22"/>
  <c r="BC52" i="22"/>
  <c r="BD52" i="22"/>
  <c r="BF52" i="22"/>
  <c r="BI52" i="22"/>
  <c r="BJ52" i="22"/>
  <c r="B53" i="22"/>
  <c r="AY53" i="22"/>
  <c r="AZ53" i="22"/>
  <c r="BA53" i="22"/>
  <c r="BB53" i="22"/>
  <c r="BC53" i="22"/>
  <c r="BD53" i="22"/>
  <c r="BF53" i="22"/>
  <c r="BI53" i="22"/>
  <c r="BJ53" i="22"/>
  <c r="B54" i="22"/>
  <c r="AY54" i="22"/>
  <c r="AZ54" i="22"/>
  <c r="BA54" i="22"/>
  <c r="BB54" i="22"/>
  <c r="BC54" i="22"/>
  <c r="BD54" i="22"/>
  <c r="BF54" i="22"/>
  <c r="BI54" i="22"/>
  <c r="BJ54" i="22"/>
  <c r="B55" i="22"/>
  <c r="AY55" i="22"/>
  <c r="AZ55" i="22"/>
  <c r="BA55" i="22"/>
  <c r="BB55" i="22"/>
  <c r="BC55" i="22"/>
  <c r="BD55" i="22"/>
  <c r="BF55" i="22"/>
  <c r="BI55" i="22"/>
  <c r="BJ55" i="22"/>
  <c r="B56" i="22"/>
  <c r="AY56" i="22"/>
  <c r="AZ56" i="22"/>
  <c r="BA56" i="22"/>
  <c r="BB56" i="22"/>
  <c r="BC56" i="22"/>
  <c r="BD56" i="22"/>
  <c r="BF56" i="22"/>
  <c r="BI56" i="22"/>
  <c r="BJ56" i="22"/>
  <c r="B57" i="22"/>
  <c r="AY57" i="22"/>
  <c r="AZ57" i="22"/>
  <c r="BA57" i="22"/>
  <c r="BB57" i="22"/>
  <c r="BC57" i="22"/>
  <c r="BD57" i="22"/>
  <c r="BF57" i="22"/>
  <c r="BI57" i="22"/>
  <c r="BJ57" i="22"/>
  <c r="B58" i="22"/>
  <c r="AY58" i="22"/>
  <c r="AZ58" i="22"/>
  <c r="BA58" i="22"/>
  <c r="BB58" i="22"/>
  <c r="BC58" i="22"/>
  <c r="BD58" i="22"/>
  <c r="BF58" i="22"/>
  <c r="BI58" i="22"/>
  <c r="BJ58" i="22"/>
  <c r="B59" i="22"/>
  <c r="AY59" i="22"/>
  <c r="AZ59" i="22"/>
  <c r="BA59" i="22"/>
  <c r="BB59" i="22"/>
  <c r="BC59" i="22"/>
  <c r="BD59" i="22"/>
  <c r="BF59" i="22"/>
  <c r="BI59" i="22"/>
  <c r="BJ59" i="22"/>
  <c r="B60" i="22"/>
  <c r="AY60" i="22"/>
  <c r="AZ60" i="22"/>
  <c r="BA60" i="22"/>
  <c r="BB60" i="22"/>
  <c r="BC60" i="22"/>
  <c r="BD60" i="22"/>
  <c r="BF60" i="22"/>
  <c r="BI60" i="22"/>
  <c r="BJ60" i="22"/>
  <c r="B61" i="22"/>
  <c r="AY61" i="22"/>
  <c r="AZ61" i="22"/>
  <c r="BA61" i="22"/>
  <c r="BB61" i="22"/>
  <c r="BC61" i="22"/>
  <c r="BD61" i="22"/>
  <c r="BF61" i="22"/>
  <c r="BI61" i="22"/>
  <c r="BJ61" i="22"/>
  <c r="B62" i="22"/>
  <c r="AY62" i="22"/>
  <c r="AZ62" i="22"/>
  <c r="BA62" i="22"/>
  <c r="BB62" i="22"/>
  <c r="BC62" i="22"/>
  <c r="BD62" i="22"/>
  <c r="BF62" i="22"/>
  <c r="BI62" i="22"/>
  <c r="BJ62" i="22"/>
  <c r="B63" i="22"/>
  <c r="AY63" i="22"/>
  <c r="AZ63" i="22"/>
  <c r="BA63" i="22"/>
  <c r="BB63" i="22"/>
  <c r="BC63" i="22"/>
  <c r="BD63" i="22"/>
  <c r="BF63" i="22"/>
  <c r="BI63" i="22"/>
  <c r="BJ63" i="22"/>
  <c r="B64" i="22"/>
  <c r="AY64" i="22"/>
  <c r="AZ64" i="22"/>
  <c r="BA64" i="22"/>
  <c r="BB64" i="22"/>
  <c r="BC64" i="22"/>
  <c r="BD64" i="22"/>
  <c r="BF64" i="22"/>
  <c r="BI64" i="22"/>
  <c r="BJ64" i="22"/>
  <c r="B65" i="22"/>
  <c r="AY65" i="22"/>
  <c r="AZ65" i="22"/>
  <c r="BA65" i="22"/>
  <c r="BB65" i="22"/>
  <c r="BC65" i="22"/>
  <c r="BD65" i="22"/>
  <c r="BF65" i="22"/>
  <c r="BI65" i="22"/>
  <c r="BJ65" i="22"/>
  <c r="B66" i="22"/>
  <c r="AY66" i="22"/>
  <c r="AZ66" i="22"/>
  <c r="BA66" i="22"/>
  <c r="BB66" i="22"/>
  <c r="BC66" i="22"/>
  <c r="BD66" i="22"/>
  <c r="BF66" i="22"/>
  <c r="BI66" i="22"/>
  <c r="BJ66" i="22"/>
  <c r="B67" i="22"/>
  <c r="AY67" i="22"/>
  <c r="AZ67" i="22"/>
  <c r="BA67" i="22"/>
  <c r="BB67" i="22"/>
  <c r="BC67" i="22"/>
  <c r="BD67" i="22"/>
  <c r="BF67" i="22"/>
  <c r="BI67" i="22"/>
  <c r="BJ67" i="22"/>
  <c r="B68" i="22"/>
  <c r="AY68" i="22"/>
  <c r="AZ68" i="22"/>
  <c r="BA68" i="22"/>
  <c r="BB68" i="22"/>
  <c r="BC68" i="22"/>
  <c r="BD68" i="22"/>
  <c r="BF68" i="22"/>
  <c r="BI68" i="22"/>
  <c r="BJ68" i="22"/>
  <c r="B69" i="22"/>
  <c r="AY69" i="22"/>
  <c r="AZ69" i="22"/>
  <c r="BA69" i="22"/>
  <c r="BB69" i="22"/>
  <c r="BC69" i="22"/>
  <c r="BD69" i="22"/>
  <c r="BF69" i="22"/>
  <c r="BI69" i="22"/>
  <c r="BJ69" i="22"/>
  <c r="B70" i="22"/>
  <c r="AY70" i="22"/>
  <c r="AZ70" i="22"/>
  <c r="BA70" i="22"/>
  <c r="BB70" i="22"/>
  <c r="BC70" i="22"/>
  <c r="BD70" i="22"/>
  <c r="BF70" i="22"/>
  <c r="BI70" i="22"/>
  <c r="BJ70" i="22"/>
  <c r="B71" i="22"/>
  <c r="AY71" i="22"/>
  <c r="AZ71" i="22"/>
  <c r="BA71" i="22"/>
  <c r="BB71" i="22"/>
  <c r="BC71" i="22"/>
  <c r="BD71" i="22"/>
  <c r="BF71" i="22"/>
  <c r="BI71" i="22"/>
  <c r="BJ71" i="22"/>
  <c r="B72" i="22"/>
  <c r="AY72" i="22"/>
  <c r="AZ72" i="22"/>
  <c r="BA72" i="22"/>
  <c r="BB72" i="22"/>
  <c r="BC72" i="22"/>
  <c r="BD72" i="22"/>
  <c r="BF72" i="22"/>
  <c r="BI72" i="22"/>
  <c r="BJ72" i="22"/>
  <c r="B73" i="22"/>
  <c r="AY73" i="22"/>
  <c r="AZ73" i="22"/>
  <c r="BA73" i="22"/>
  <c r="BB73" i="22"/>
  <c r="BC73" i="22"/>
  <c r="BD73" i="22"/>
  <c r="BF73" i="22"/>
  <c r="BI73" i="22"/>
  <c r="BJ73" i="22"/>
  <c r="B74" i="22"/>
  <c r="AY74" i="22"/>
  <c r="AZ74" i="22"/>
  <c r="BA74" i="22"/>
  <c r="BB74" i="22"/>
  <c r="BC74" i="22"/>
  <c r="BD74" i="22"/>
  <c r="BF74" i="22"/>
  <c r="BI74" i="22"/>
  <c r="BJ74" i="22"/>
  <c r="B75" i="22"/>
  <c r="AY75" i="22"/>
  <c r="AZ75" i="22"/>
  <c r="BA75" i="22"/>
  <c r="BB75" i="22"/>
  <c r="BC75" i="22"/>
  <c r="BD75" i="22"/>
  <c r="BF75" i="22"/>
  <c r="BI75" i="22"/>
  <c r="BJ75" i="22"/>
  <c r="B76" i="22"/>
  <c r="AY76" i="22"/>
  <c r="AZ76" i="22"/>
  <c r="BA76" i="22"/>
  <c r="BB76" i="22"/>
  <c r="BC76" i="22"/>
  <c r="BD76" i="22"/>
  <c r="BF76" i="22"/>
  <c r="BI76" i="22"/>
  <c r="BJ76" i="22"/>
  <c r="B77" i="22"/>
  <c r="AY77" i="22"/>
  <c r="AZ77" i="22"/>
  <c r="BA77" i="22"/>
  <c r="BB77" i="22"/>
  <c r="BC77" i="22"/>
  <c r="BD77" i="22"/>
  <c r="BF77" i="22"/>
  <c r="BI77" i="22"/>
  <c r="BJ77" i="22"/>
  <c r="B78" i="22"/>
  <c r="AY78" i="22"/>
  <c r="AZ78" i="22"/>
  <c r="BA78" i="22"/>
  <c r="BB78" i="22"/>
  <c r="BC78" i="22"/>
  <c r="BD78" i="22"/>
  <c r="BF78" i="22"/>
  <c r="BI78" i="22"/>
  <c r="BJ78" i="22"/>
  <c r="B79" i="22"/>
  <c r="AY79" i="22"/>
  <c r="AZ79" i="22"/>
  <c r="BA79" i="22"/>
  <c r="BB79" i="22"/>
  <c r="BC79" i="22"/>
  <c r="BD79" i="22"/>
  <c r="BF79" i="22"/>
  <c r="BI79" i="22"/>
  <c r="BJ79" i="22"/>
  <c r="B80" i="22"/>
  <c r="AY80" i="22"/>
  <c r="AZ80" i="22"/>
  <c r="BA80" i="22"/>
  <c r="BB80" i="22"/>
  <c r="BC80" i="22"/>
  <c r="BD80" i="22"/>
  <c r="BF80" i="22"/>
  <c r="BI80" i="22"/>
  <c r="BJ80" i="22"/>
  <c r="B81" i="22"/>
  <c r="AY81" i="22"/>
  <c r="AZ81" i="22"/>
  <c r="BA81" i="22"/>
  <c r="BB81" i="22"/>
  <c r="BC81" i="22"/>
  <c r="BD81" i="22"/>
  <c r="BF81" i="22"/>
  <c r="BI81" i="22"/>
  <c r="BJ81" i="22"/>
  <c r="B82" i="22"/>
  <c r="AY82" i="22"/>
  <c r="AZ82" i="22"/>
  <c r="BA82" i="22"/>
  <c r="BB82" i="22"/>
  <c r="BC82" i="22"/>
  <c r="BD82" i="22"/>
  <c r="BF82" i="22"/>
  <c r="BI82" i="22"/>
  <c r="BJ82" i="22"/>
  <c r="B83" i="22"/>
  <c r="AY83" i="22"/>
  <c r="AZ83" i="22"/>
  <c r="BA83" i="22"/>
  <c r="BB83" i="22"/>
  <c r="BC83" i="22"/>
  <c r="BD83" i="22"/>
  <c r="BF83" i="22"/>
  <c r="BI83" i="22"/>
  <c r="BJ83" i="22"/>
  <c r="B84" i="22"/>
  <c r="AY84" i="22"/>
  <c r="AZ84" i="22"/>
  <c r="BA84" i="22"/>
  <c r="BB84" i="22"/>
  <c r="BC84" i="22"/>
  <c r="BD84" i="22"/>
  <c r="BF84" i="22"/>
  <c r="BI84" i="22"/>
  <c r="BJ84" i="22"/>
  <c r="B85" i="22"/>
  <c r="AY85" i="22"/>
  <c r="AZ85" i="22"/>
  <c r="BA85" i="22"/>
  <c r="BB85" i="22"/>
  <c r="BC85" i="22"/>
  <c r="BD85" i="22"/>
  <c r="BF85" i="22"/>
  <c r="BI85" i="22"/>
  <c r="BJ85" i="22"/>
  <c r="B86" i="22"/>
  <c r="AY86" i="22"/>
  <c r="AZ86" i="22"/>
  <c r="BA86" i="22"/>
  <c r="BB86" i="22"/>
  <c r="BC86" i="22"/>
  <c r="BD86" i="22"/>
  <c r="BF86" i="22"/>
  <c r="BI86" i="22"/>
  <c r="BJ86" i="22"/>
  <c r="B87" i="22"/>
  <c r="AY87" i="22"/>
  <c r="AZ87" i="22"/>
  <c r="BA87" i="22"/>
  <c r="BB87" i="22"/>
  <c r="BC87" i="22"/>
  <c r="BD87" i="22"/>
  <c r="BF87" i="22"/>
  <c r="B88" i="22"/>
  <c r="AY88" i="22"/>
  <c r="AZ88" i="22"/>
  <c r="BA88" i="22"/>
  <c r="BB88" i="22"/>
  <c r="BC88" i="22"/>
  <c r="BD88" i="22"/>
  <c r="BF88" i="22"/>
  <c r="B89" i="22"/>
  <c r="AY89" i="22"/>
  <c r="AZ89" i="22"/>
  <c r="BA89" i="22"/>
  <c r="BB89" i="22"/>
  <c r="BC89" i="22"/>
  <c r="BD89" i="22"/>
  <c r="BF89" i="22"/>
  <c r="B90" i="22"/>
  <c r="AY90" i="22"/>
  <c r="AZ90" i="22"/>
  <c r="BA90" i="22"/>
  <c r="BB90" i="22"/>
  <c r="BC90" i="22"/>
  <c r="BD90" i="22"/>
  <c r="BF90" i="22"/>
  <c r="B91" i="22"/>
  <c r="AY91" i="22"/>
  <c r="AZ91" i="22"/>
  <c r="BA91" i="22"/>
  <c r="BB91" i="22"/>
  <c r="BC91" i="22"/>
  <c r="BD91" i="22"/>
  <c r="BF91" i="22"/>
  <c r="B92" i="22"/>
  <c r="AY92" i="22"/>
  <c r="AZ92" i="22"/>
  <c r="BA92" i="22"/>
  <c r="BB92" i="22"/>
  <c r="BC92" i="22"/>
  <c r="BD92" i="22"/>
  <c r="BF92" i="22"/>
  <c r="B93" i="22"/>
  <c r="AY93" i="22"/>
  <c r="AZ93" i="22"/>
  <c r="BA93" i="22"/>
  <c r="BB93" i="22"/>
  <c r="BC93" i="22"/>
  <c r="BD93" i="22"/>
  <c r="BF93" i="22"/>
  <c r="B94" i="22"/>
  <c r="AY94" i="22"/>
  <c r="AZ94" i="22"/>
  <c r="BA94" i="22"/>
  <c r="BB94" i="22"/>
  <c r="BC94" i="22"/>
  <c r="BD94" i="22"/>
  <c r="BF94" i="22"/>
  <c r="B95" i="22"/>
  <c r="AY95" i="22"/>
  <c r="AZ95" i="22"/>
  <c r="BA95" i="22"/>
  <c r="BB95" i="22"/>
  <c r="BC95" i="22"/>
  <c r="BD95" i="22"/>
  <c r="BF95" i="22"/>
  <c r="B96" i="22"/>
  <c r="AY96" i="22"/>
  <c r="AZ96" i="22"/>
  <c r="BA96" i="22"/>
  <c r="BB96" i="22"/>
  <c r="BC96" i="22"/>
  <c r="BD96" i="22"/>
  <c r="BF96" i="22"/>
  <c r="B97" i="22"/>
  <c r="AY97" i="22"/>
  <c r="AZ97" i="22"/>
  <c r="BA97" i="22"/>
  <c r="BB97" i="22"/>
  <c r="BC97" i="22"/>
  <c r="BD97" i="22"/>
  <c r="BF97" i="22"/>
  <c r="B98" i="22"/>
  <c r="AY98" i="22"/>
  <c r="AZ98" i="22"/>
  <c r="BA98" i="22"/>
  <c r="BB98" i="22"/>
  <c r="BC98" i="22"/>
  <c r="BD98" i="22"/>
  <c r="BF98" i="22"/>
  <c r="B99" i="22"/>
  <c r="AY99" i="22"/>
  <c r="AZ99" i="22"/>
  <c r="BA99" i="22"/>
  <c r="BB99" i="22"/>
  <c r="BC99" i="22"/>
  <c r="BD99" i="22"/>
  <c r="BF99" i="22"/>
  <c r="B100" i="22"/>
  <c r="AY100" i="22"/>
  <c r="AZ100" i="22"/>
  <c r="BA100" i="22"/>
  <c r="BB100" i="22"/>
  <c r="BC100" i="22"/>
  <c r="BD100" i="22"/>
  <c r="BF100" i="22"/>
  <c r="B101" i="22"/>
  <c r="AY101" i="22"/>
  <c r="AZ101" i="22"/>
  <c r="BA101" i="22"/>
  <c r="BB101" i="22"/>
  <c r="BC101" i="22"/>
  <c r="BD101" i="22"/>
  <c r="BF101" i="22"/>
  <c r="B102" i="22"/>
  <c r="AY102" i="22"/>
  <c r="AZ102" i="22"/>
  <c r="BA102" i="22"/>
  <c r="BB102" i="22"/>
  <c r="BC102" i="22"/>
  <c r="BD102" i="22"/>
  <c r="BF102" i="22"/>
  <c r="B103" i="22"/>
  <c r="AY103" i="22"/>
  <c r="AZ103" i="22"/>
  <c r="BA103" i="22"/>
  <c r="BB103" i="22"/>
  <c r="BC103" i="22"/>
  <c r="BD103" i="22"/>
  <c r="BF103" i="22"/>
  <c r="B104" i="22"/>
  <c r="AY104" i="22"/>
  <c r="AZ104" i="22"/>
  <c r="BA104" i="22"/>
  <c r="BB104" i="22"/>
  <c r="BC104" i="22"/>
  <c r="BD104" i="22"/>
  <c r="BF104" i="22"/>
  <c r="B105" i="22"/>
  <c r="AY105" i="22"/>
  <c r="AZ105" i="22"/>
  <c r="BA105" i="22"/>
  <c r="BB105" i="22"/>
  <c r="BC105" i="22"/>
  <c r="BD105" i="22"/>
  <c r="BF105" i="22"/>
  <c r="B106" i="22"/>
  <c r="AY106" i="22"/>
  <c r="AZ106" i="22"/>
  <c r="BA106" i="22"/>
  <c r="BB106" i="22"/>
  <c r="BC106" i="22"/>
  <c r="BD106" i="22"/>
  <c r="BF106" i="22"/>
  <c r="B107" i="22"/>
  <c r="AY107" i="22"/>
  <c r="AZ107" i="22"/>
  <c r="BA107" i="22"/>
  <c r="BB107" i="22"/>
  <c r="BC107" i="22"/>
  <c r="BD107" i="22"/>
  <c r="BF107" i="22"/>
  <c r="B108" i="22"/>
  <c r="AY108" i="22"/>
  <c r="AZ108" i="22"/>
  <c r="BA108" i="22"/>
  <c r="BB108" i="22"/>
  <c r="BC108" i="22"/>
  <c r="BD108" i="22"/>
  <c r="BF108" i="22"/>
  <c r="B109" i="22"/>
  <c r="AY109" i="22"/>
  <c r="AZ109" i="22"/>
  <c r="BA109" i="22"/>
  <c r="BB109" i="22"/>
  <c r="BC109" i="22"/>
  <c r="BD109" i="22"/>
  <c r="BF109" i="22"/>
  <c r="B110" i="22"/>
  <c r="AY110" i="22"/>
  <c r="AZ110" i="22"/>
  <c r="BA110" i="22"/>
  <c r="BB110" i="22"/>
  <c r="BC110" i="22"/>
  <c r="BD110" i="22"/>
  <c r="BF110" i="22"/>
  <c r="B111" i="22"/>
  <c r="AY111" i="22"/>
  <c r="AZ111" i="22"/>
  <c r="BA111" i="22"/>
  <c r="BB111" i="22"/>
  <c r="BC111" i="22"/>
  <c r="BD111" i="22"/>
  <c r="BF111" i="22"/>
  <c r="B112" i="22"/>
  <c r="AY112" i="22"/>
  <c r="AZ112" i="22"/>
  <c r="BA112" i="22"/>
  <c r="BB112" i="22"/>
  <c r="BC112" i="22"/>
  <c r="BD112" i="22"/>
  <c r="BF112" i="22"/>
  <c r="B113" i="22"/>
  <c r="AY113" i="22"/>
  <c r="AZ113" i="22"/>
  <c r="BA113" i="22"/>
  <c r="BB113" i="22"/>
  <c r="BC113" i="22"/>
  <c r="BD113" i="22"/>
  <c r="BF113" i="22"/>
  <c r="B114" i="22"/>
  <c r="AY114" i="22"/>
  <c r="AZ114" i="22"/>
  <c r="BA114" i="22"/>
  <c r="BB114" i="22"/>
  <c r="BC114" i="22"/>
  <c r="BD114" i="22"/>
  <c r="BF114" i="22"/>
  <c r="B115" i="22"/>
  <c r="AY115" i="22"/>
  <c r="AZ115" i="22"/>
  <c r="BA115" i="22"/>
  <c r="BB115" i="22"/>
  <c r="BC115" i="22"/>
  <c r="BD115" i="22"/>
  <c r="BF115" i="22"/>
  <c r="B116" i="22"/>
  <c r="AY116" i="22"/>
  <c r="AZ116" i="22"/>
  <c r="BA116" i="22"/>
  <c r="BB116" i="22"/>
  <c r="BC116" i="22"/>
  <c r="BD116" i="22"/>
  <c r="BF116" i="22"/>
  <c r="B117" i="22"/>
  <c r="AY117" i="22"/>
  <c r="AZ117" i="22"/>
  <c r="BA117" i="22"/>
  <c r="BB117" i="22"/>
  <c r="BC117" i="22"/>
  <c r="BD117" i="22"/>
  <c r="BF117" i="22"/>
  <c r="B118" i="22"/>
  <c r="AY118" i="22"/>
  <c r="AZ118" i="22"/>
  <c r="BA118" i="22"/>
  <c r="BB118" i="22"/>
  <c r="BC118" i="22"/>
  <c r="BD118" i="22"/>
  <c r="BF118" i="22"/>
  <c r="B119" i="22"/>
  <c r="AY119" i="22"/>
  <c r="AZ119" i="22"/>
  <c r="BA119" i="22"/>
  <c r="BB119" i="22"/>
  <c r="BC119" i="22"/>
  <c r="BD119" i="22"/>
  <c r="BF119" i="22"/>
  <c r="B120" i="22"/>
  <c r="AY120" i="22"/>
  <c r="AZ120" i="22"/>
  <c r="BA120" i="22"/>
  <c r="BB120" i="22"/>
  <c r="BC120" i="22"/>
  <c r="BD120" i="22"/>
  <c r="BF120" i="22"/>
  <c r="B121" i="22"/>
  <c r="AY121" i="22"/>
  <c r="AZ121" i="22"/>
  <c r="BA121" i="22"/>
  <c r="BB121" i="22"/>
  <c r="BC121" i="22"/>
  <c r="BD121" i="22"/>
  <c r="BF121" i="22"/>
  <c r="B122" i="22"/>
  <c r="AY122" i="22"/>
  <c r="AZ122" i="22"/>
  <c r="BA122" i="22"/>
  <c r="BB122" i="22"/>
  <c r="BC122" i="22"/>
  <c r="BD122" i="22"/>
  <c r="BF122" i="22"/>
  <c r="B123" i="22"/>
  <c r="AY123" i="22"/>
  <c r="AZ123" i="22"/>
  <c r="BA123" i="22"/>
  <c r="BB123" i="22"/>
  <c r="BC123" i="22"/>
  <c r="BD123" i="22"/>
  <c r="BF123" i="22"/>
  <c r="B124" i="22"/>
  <c r="AY124" i="22"/>
  <c r="AZ124" i="22"/>
  <c r="BA124" i="22"/>
  <c r="BB124" i="22"/>
  <c r="BC124" i="22"/>
  <c r="BD124" i="22"/>
  <c r="BF124" i="22"/>
  <c r="B125" i="22"/>
  <c r="AY125" i="22"/>
  <c r="AZ125" i="22"/>
  <c r="BA125" i="22"/>
  <c r="BB125" i="22"/>
  <c r="BC125" i="22"/>
  <c r="BD125" i="22"/>
  <c r="BF125" i="22"/>
  <c r="B126" i="22"/>
  <c r="AY126" i="22"/>
  <c r="AZ126" i="22"/>
  <c r="BA126" i="22"/>
  <c r="BB126" i="22"/>
  <c r="BC126" i="22"/>
  <c r="BD126" i="22"/>
  <c r="BF126" i="22"/>
  <c r="B127" i="22"/>
  <c r="AY127" i="22"/>
  <c r="AZ127" i="22"/>
  <c r="BA127" i="22"/>
  <c r="BB127" i="22"/>
  <c r="BC127" i="22"/>
  <c r="BD127" i="22"/>
  <c r="BF127" i="22"/>
  <c r="B128" i="22"/>
  <c r="AY128" i="22"/>
  <c r="AZ128" i="22"/>
  <c r="BA128" i="22"/>
  <c r="BB128" i="22"/>
  <c r="BC128" i="22"/>
  <c r="BD128" i="22"/>
  <c r="BF128" i="22"/>
  <c r="B129" i="22"/>
  <c r="AY129" i="22"/>
  <c r="AZ129" i="22"/>
  <c r="BA129" i="22"/>
  <c r="BB129" i="22"/>
  <c r="BC129" i="22"/>
  <c r="BD129" i="22"/>
  <c r="BF129" i="22"/>
  <c r="B130" i="22"/>
  <c r="AY130" i="22"/>
  <c r="AZ130" i="22"/>
  <c r="BA130" i="22"/>
  <c r="BB130" i="22"/>
  <c r="BC130" i="22"/>
  <c r="BD130" i="22"/>
  <c r="BF130" i="22"/>
  <c r="B131" i="22"/>
  <c r="AY131" i="22"/>
  <c r="AZ131" i="22"/>
  <c r="BA131" i="22"/>
  <c r="BB131" i="22"/>
  <c r="BC131" i="22"/>
  <c r="BD131" i="22"/>
  <c r="BF131" i="22"/>
  <c r="B132" i="22"/>
  <c r="AY132" i="22"/>
  <c r="AZ132" i="22"/>
  <c r="BA132" i="22"/>
  <c r="BB132" i="22"/>
  <c r="BC132" i="22"/>
  <c r="BD132" i="22"/>
  <c r="BF132" i="22"/>
  <c r="B133" i="22"/>
  <c r="AY133" i="22"/>
  <c r="AZ133" i="22"/>
  <c r="BA133" i="22"/>
  <c r="BB133" i="22"/>
  <c r="BC133" i="22"/>
  <c r="BD133" i="22"/>
  <c r="BF133" i="22"/>
  <c r="B134" i="22"/>
  <c r="AY134" i="22"/>
  <c r="AZ134" i="22"/>
  <c r="BA134" i="22"/>
  <c r="BB134" i="22"/>
  <c r="BC134" i="22"/>
  <c r="BD134" i="22"/>
  <c r="BF134" i="22"/>
  <c r="B135" i="22"/>
  <c r="AY135" i="22"/>
  <c r="AZ135" i="22"/>
  <c r="BA135" i="22"/>
  <c r="BB135" i="22"/>
  <c r="BC135" i="22"/>
  <c r="BD135" i="22"/>
  <c r="BF135" i="22"/>
  <c r="B136" i="22"/>
  <c r="AY136" i="22"/>
  <c r="AZ136" i="22"/>
  <c r="BA136" i="22"/>
  <c r="BB136" i="22"/>
  <c r="BC136" i="22"/>
  <c r="BD136" i="22"/>
  <c r="BF136" i="22"/>
  <c r="B137" i="22"/>
  <c r="AY137" i="22"/>
  <c r="AZ137" i="22"/>
  <c r="BA137" i="22"/>
  <c r="BB137" i="22"/>
  <c r="BC137" i="22"/>
  <c r="BD137" i="22"/>
  <c r="BF137" i="22"/>
  <c r="B138" i="22"/>
  <c r="AY138" i="22"/>
  <c r="AZ138" i="22"/>
  <c r="BA138" i="22"/>
  <c r="BB138" i="22"/>
  <c r="BC138" i="22"/>
  <c r="BD138" i="22"/>
  <c r="BF138" i="22"/>
  <c r="B139" i="22"/>
  <c r="AY139" i="22"/>
  <c r="AZ139" i="22"/>
  <c r="BA139" i="22"/>
  <c r="BB139" i="22"/>
  <c r="BC139" i="22"/>
  <c r="BD139" i="22"/>
  <c r="BF139" i="22"/>
  <c r="B140" i="22"/>
  <c r="AY140" i="22"/>
  <c r="AZ140" i="22"/>
  <c r="BA140" i="22"/>
  <c r="BB140" i="22"/>
  <c r="BC140" i="22"/>
  <c r="BD140" i="22"/>
  <c r="BF140" i="22"/>
  <c r="B141" i="22"/>
  <c r="AY141" i="22"/>
  <c r="AZ141" i="22"/>
  <c r="BA141" i="22"/>
  <c r="BB141" i="22"/>
  <c r="BC141" i="22"/>
  <c r="BD141" i="22"/>
  <c r="BF141" i="22"/>
  <c r="B142" i="22"/>
  <c r="AY142" i="22"/>
  <c r="AZ142" i="22"/>
  <c r="BA142" i="22"/>
  <c r="BB142" i="22"/>
  <c r="BC142" i="22"/>
  <c r="BD142" i="22"/>
  <c r="BF142" i="22"/>
  <c r="B143" i="22"/>
  <c r="AY143" i="22"/>
  <c r="AZ143" i="22"/>
  <c r="BA143" i="22"/>
  <c r="BB143" i="22"/>
  <c r="BC143" i="22"/>
  <c r="BD143" i="22"/>
  <c r="BF143" i="22"/>
  <c r="B144" i="22"/>
  <c r="AY144" i="22"/>
  <c r="AZ144" i="22"/>
  <c r="BA144" i="22"/>
  <c r="BB144" i="22"/>
  <c r="BC144" i="22"/>
  <c r="BD144" i="22"/>
  <c r="BF144" i="22"/>
  <c r="B145" i="22"/>
  <c r="AY145" i="22"/>
  <c r="AZ145" i="22"/>
  <c r="BA145" i="22"/>
  <c r="BB145" i="22"/>
  <c r="BC145" i="22"/>
  <c r="BD145" i="22"/>
  <c r="BF145" i="22"/>
  <c r="B146" i="22"/>
  <c r="AY146" i="22"/>
  <c r="AZ146" i="22"/>
  <c r="BA146" i="22"/>
  <c r="BB146" i="22"/>
  <c r="BC146" i="22"/>
  <c r="BD146" i="22"/>
  <c r="BF146" i="22"/>
  <c r="B147" i="22"/>
  <c r="AY147" i="22"/>
  <c r="AZ147" i="22"/>
  <c r="BA147" i="22"/>
  <c r="BB147" i="22"/>
  <c r="BC147" i="22"/>
  <c r="BD147" i="22"/>
  <c r="BF147" i="22"/>
  <c r="B148" i="22"/>
  <c r="AY148" i="22"/>
  <c r="AZ148" i="22"/>
  <c r="BA148" i="22"/>
  <c r="BB148" i="22"/>
  <c r="BC148" i="22"/>
  <c r="BD148" i="22"/>
  <c r="BF148" i="22"/>
  <c r="B149" i="22"/>
  <c r="AY149" i="22"/>
  <c r="AZ149" i="22"/>
  <c r="BA149" i="22"/>
  <c r="BB149" i="22"/>
  <c r="BC149" i="22"/>
  <c r="BD149" i="22"/>
  <c r="BF149" i="22"/>
  <c r="B150" i="22"/>
  <c r="AY150" i="22"/>
  <c r="AZ150" i="22"/>
  <c r="BA150" i="22"/>
  <c r="BB150" i="22"/>
  <c r="BC150" i="22"/>
  <c r="BD150" i="22"/>
  <c r="BF150" i="22"/>
  <c r="B151" i="22"/>
  <c r="AY151" i="22"/>
  <c r="AZ151" i="22"/>
  <c r="BA151" i="22"/>
  <c r="BB151" i="22"/>
  <c r="BC151" i="22"/>
  <c r="BD151" i="22"/>
  <c r="BF151" i="22"/>
  <c r="B152" i="22"/>
  <c r="AY152" i="22"/>
  <c r="AZ152" i="22"/>
  <c r="BA152" i="22"/>
  <c r="BB152" i="22"/>
  <c r="BC152" i="22"/>
  <c r="BD152" i="22"/>
  <c r="BF152" i="22"/>
  <c r="B153" i="22"/>
  <c r="AY153" i="22"/>
  <c r="AZ153" i="22"/>
  <c r="BA153" i="22"/>
  <c r="BB153" i="22"/>
  <c r="BC153" i="22"/>
  <c r="BD153" i="22"/>
  <c r="BF153" i="22"/>
  <c r="B154" i="22"/>
  <c r="AY154" i="22"/>
  <c r="AZ154" i="22"/>
  <c r="BA154" i="22"/>
  <c r="BB154" i="22"/>
  <c r="BC154" i="22"/>
  <c r="BD154" i="22"/>
  <c r="BF154" i="22"/>
  <c r="B155" i="22"/>
  <c r="AY155" i="22"/>
  <c r="AZ155" i="22"/>
  <c r="BA155" i="22"/>
  <c r="BB155" i="22"/>
  <c r="BC155" i="22"/>
  <c r="BD155" i="22"/>
  <c r="BF155" i="22"/>
  <c r="B156" i="22"/>
  <c r="AY156" i="22"/>
  <c r="AZ156" i="22"/>
  <c r="BA156" i="22"/>
  <c r="BB156" i="22"/>
  <c r="BC156" i="22"/>
  <c r="BD156" i="22"/>
  <c r="BF156" i="22"/>
  <c r="B157" i="22"/>
  <c r="AY157" i="22"/>
  <c r="AZ157" i="22"/>
  <c r="BA157" i="22"/>
  <c r="BB157" i="22"/>
  <c r="BC157" i="22"/>
  <c r="BD157" i="22"/>
  <c r="BF157" i="22"/>
  <c r="B158" i="22"/>
  <c r="AY158" i="22"/>
  <c r="AZ158" i="22"/>
  <c r="BA158" i="22"/>
  <c r="BB158" i="22"/>
  <c r="BC158" i="22"/>
  <c r="BD158" i="22"/>
  <c r="BF158" i="22"/>
  <c r="B159" i="22"/>
  <c r="AY159" i="22"/>
  <c r="AZ159" i="22"/>
  <c r="BA159" i="22"/>
  <c r="BB159" i="22"/>
  <c r="BC159" i="22"/>
  <c r="BD159" i="22"/>
  <c r="BF159" i="22"/>
  <c r="B160" i="22"/>
  <c r="AY160" i="22"/>
  <c r="AZ160" i="22"/>
  <c r="BA160" i="22"/>
  <c r="BB160" i="22"/>
  <c r="BC160" i="22"/>
  <c r="BD160" i="22"/>
  <c r="BF160" i="22"/>
  <c r="B161" i="22"/>
  <c r="AY161" i="22"/>
  <c r="AZ161" i="22"/>
  <c r="BA161" i="22"/>
  <c r="BB161" i="22"/>
  <c r="BC161" i="22"/>
  <c r="BD161" i="22"/>
  <c r="BF161" i="22"/>
  <c r="B162" i="22"/>
  <c r="AY162" i="22"/>
  <c r="AZ162" i="22"/>
  <c r="BA162" i="22"/>
  <c r="BB162" i="22"/>
  <c r="BC162" i="22"/>
  <c r="BD162" i="22"/>
  <c r="BF162" i="22"/>
  <c r="B163" i="22"/>
  <c r="AY163" i="22"/>
  <c r="AZ163" i="22"/>
  <c r="BA163" i="22"/>
  <c r="BB163" i="22"/>
  <c r="BC163" i="22"/>
  <c r="BD163" i="22"/>
  <c r="BF163" i="22"/>
  <c r="B164" i="22"/>
  <c r="AY164" i="22"/>
  <c r="AZ164" i="22"/>
  <c r="BA164" i="22"/>
  <c r="BB164" i="22"/>
  <c r="BC164" i="22"/>
  <c r="BD164" i="22"/>
  <c r="BF164" i="22"/>
  <c r="B165" i="22"/>
  <c r="AY165" i="22"/>
  <c r="AZ165" i="22"/>
  <c r="BA165" i="22"/>
  <c r="BB165" i="22"/>
  <c r="BC165" i="22"/>
  <c r="BD165" i="22"/>
  <c r="BF165" i="22"/>
  <c r="B166" i="22"/>
  <c r="AY166" i="22"/>
  <c r="AZ166" i="22"/>
  <c r="BA166" i="22"/>
  <c r="BB166" i="22"/>
  <c r="BC166" i="22"/>
  <c r="BD166" i="22"/>
  <c r="BF166" i="22"/>
  <c r="B167" i="22"/>
  <c r="AY167" i="22"/>
  <c r="AZ167" i="22"/>
  <c r="BA167" i="22"/>
  <c r="BB167" i="22"/>
  <c r="BC167" i="22"/>
  <c r="BD167" i="22"/>
  <c r="BF167" i="22"/>
  <c r="B168" i="22"/>
  <c r="AY168" i="22"/>
  <c r="AZ168" i="22"/>
  <c r="BA168" i="22"/>
  <c r="BB168" i="22"/>
  <c r="BC168" i="22"/>
  <c r="BD168" i="22"/>
  <c r="BF168" i="22"/>
  <c r="B169" i="22"/>
  <c r="AY169" i="22"/>
  <c r="AZ169" i="22"/>
  <c r="BA169" i="22"/>
  <c r="BB169" i="22"/>
  <c r="BC169" i="22"/>
  <c r="BD169" i="22"/>
  <c r="BF169" i="22"/>
  <c r="B170" i="22"/>
  <c r="AY170" i="22"/>
  <c r="AZ170" i="22"/>
  <c r="BA170" i="22"/>
  <c r="BB170" i="22"/>
  <c r="BC170" i="22"/>
  <c r="BD170" i="22"/>
  <c r="BF170" i="22"/>
  <c r="B171" i="22"/>
  <c r="AY171" i="22"/>
  <c r="AZ171" i="22"/>
  <c r="BA171" i="22"/>
  <c r="BB171" i="22"/>
  <c r="BC171" i="22"/>
  <c r="BD171" i="22"/>
  <c r="BF171" i="22"/>
  <c r="B172" i="22"/>
  <c r="AY172" i="22"/>
  <c r="AZ172" i="22"/>
  <c r="BA172" i="22"/>
  <c r="BB172" i="22"/>
  <c r="BC172" i="22"/>
  <c r="BD172" i="22"/>
  <c r="BF172" i="22"/>
  <c r="B173" i="22"/>
  <c r="AY173" i="22"/>
  <c r="AZ173" i="22"/>
  <c r="BA173" i="22"/>
  <c r="BB173" i="22"/>
  <c r="BC173" i="22"/>
  <c r="BD173" i="22"/>
  <c r="BF173" i="22"/>
  <c r="B174" i="22"/>
  <c r="AY174" i="22"/>
  <c r="AZ174" i="22"/>
  <c r="BA174" i="22"/>
  <c r="BB174" i="22"/>
  <c r="BC174" i="22"/>
  <c r="BD174" i="22"/>
  <c r="BF174" i="22"/>
  <c r="B175" i="22"/>
  <c r="AY175" i="22"/>
  <c r="AZ175" i="22"/>
  <c r="BA175" i="22"/>
  <c r="BB175" i="22"/>
  <c r="BC175" i="22"/>
  <c r="BD175" i="22"/>
  <c r="BF175" i="22"/>
  <c r="B176" i="22"/>
  <c r="AY176" i="22"/>
  <c r="AZ176" i="22"/>
  <c r="BA176" i="22"/>
  <c r="BB176" i="22"/>
  <c r="BC176" i="22"/>
  <c r="BD176" i="22"/>
  <c r="BF176" i="22"/>
  <c r="B177" i="22"/>
  <c r="AY177" i="22"/>
  <c r="AZ177" i="22"/>
  <c r="BA177" i="22"/>
  <c r="BB177" i="22"/>
  <c r="BC177" i="22"/>
  <c r="BD177" i="22"/>
  <c r="BF177" i="22"/>
  <c r="B178" i="22"/>
  <c r="AY178" i="22"/>
  <c r="AZ178" i="22"/>
  <c r="BA178" i="22"/>
  <c r="BB178" i="22"/>
  <c r="BC178" i="22"/>
  <c r="BD178" i="22"/>
  <c r="BF178" i="22"/>
  <c r="B179" i="22"/>
  <c r="AY179" i="22"/>
  <c r="AZ179" i="22"/>
  <c r="BA179" i="22"/>
  <c r="BB179" i="22"/>
  <c r="BC179" i="22"/>
  <c r="BD179" i="22"/>
  <c r="BF179" i="22"/>
  <c r="B180" i="22"/>
  <c r="AY180" i="22"/>
  <c r="AZ180" i="22"/>
  <c r="BA180" i="22"/>
  <c r="BB180" i="22"/>
  <c r="BC180" i="22"/>
  <c r="BD180" i="22"/>
  <c r="BF180" i="22"/>
  <c r="B181" i="22"/>
  <c r="AY181" i="22"/>
  <c r="AZ181" i="22"/>
  <c r="BA181" i="22"/>
  <c r="BB181" i="22"/>
  <c r="BC181" i="22"/>
  <c r="BD181" i="22"/>
  <c r="BF181" i="22"/>
  <c r="B182" i="22"/>
  <c r="AY182" i="22"/>
  <c r="AZ182" i="22"/>
  <c r="BA182" i="22"/>
  <c r="BB182" i="22"/>
  <c r="BC182" i="22"/>
  <c r="BD182" i="22"/>
  <c r="BF182" i="22"/>
  <c r="B183" i="22"/>
  <c r="AY183" i="22"/>
  <c r="AZ183" i="22"/>
  <c r="BA183" i="22"/>
  <c r="BB183" i="22"/>
  <c r="BC183" i="22"/>
  <c r="BD183" i="22"/>
  <c r="BF183" i="22"/>
  <c r="B184" i="22"/>
  <c r="AY184" i="22"/>
  <c r="AZ184" i="22"/>
  <c r="BA184" i="22"/>
  <c r="BB184" i="22"/>
  <c r="BC184" i="22"/>
  <c r="BD184" i="22"/>
  <c r="BF184" i="22"/>
  <c r="B185" i="22"/>
  <c r="AY185" i="22"/>
  <c r="AZ185" i="22"/>
  <c r="BA185" i="22"/>
  <c r="BB185" i="22"/>
  <c r="BC185" i="22"/>
  <c r="BD185" i="22"/>
  <c r="BF185" i="22"/>
  <c r="B186" i="22"/>
  <c r="AY186" i="22"/>
  <c r="AZ186" i="22"/>
  <c r="BA186" i="22"/>
  <c r="BB186" i="22"/>
  <c r="BC186" i="22"/>
  <c r="BD186" i="22"/>
  <c r="BF186" i="22"/>
  <c r="B187" i="22"/>
  <c r="AY187" i="22"/>
  <c r="AZ187" i="22"/>
  <c r="BA187" i="22"/>
  <c r="BB187" i="22"/>
  <c r="BC187" i="22"/>
  <c r="BD187" i="22"/>
  <c r="BF187" i="22"/>
  <c r="B188" i="22"/>
  <c r="AY188" i="22"/>
  <c r="AZ188" i="22"/>
  <c r="BA188" i="22"/>
  <c r="BB188" i="22"/>
  <c r="BC188" i="22"/>
  <c r="BD188" i="22"/>
  <c r="BF188" i="22"/>
  <c r="B189" i="22"/>
  <c r="AY189" i="22"/>
  <c r="AZ189" i="22"/>
  <c r="BA189" i="22"/>
  <c r="BB189" i="22"/>
  <c r="BC189" i="22"/>
  <c r="BD189" i="22"/>
  <c r="BF189" i="22"/>
  <c r="B190" i="22"/>
  <c r="AY190" i="22"/>
  <c r="AZ190" i="22"/>
  <c r="BA190" i="22"/>
  <c r="BB190" i="22"/>
  <c r="BC190" i="22"/>
  <c r="BD190" i="22"/>
  <c r="BF190" i="22"/>
  <c r="B191" i="22"/>
  <c r="AY191" i="22"/>
  <c r="AZ191" i="22"/>
  <c r="BA191" i="22"/>
  <c r="BB191" i="22"/>
  <c r="BC191" i="22"/>
  <c r="BD191" i="22"/>
  <c r="BF191" i="22"/>
  <c r="B192" i="22"/>
  <c r="AY192" i="22"/>
  <c r="AZ192" i="22"/>
  <c r="BA192" i="22"/>
  <c r="BB192" i="22"/>
  <c r="BC192" i="22"/>
  <c r="BD192" i="22"/>
  <c r="BF192" i="22"/>
  <c r="B193" i="22"/>
  <c r="AY193" i="22"/>
  <c r="AZ193" i="22"/>
  <c r="BA193" i="22"/>
  <c r="BB193" i="22"/>
  <c r="BC193" i="22"/>
  <c r="BD193" i="22"/>
  <c r="BF193" i="22"/>
  <c r="B194" i="22"/>
  <c r="AY194" i="22"/>
  <c r="AZ194" i="22"/>
  <c r="BA194" i="22"/>
  <c r="BB194" i="22"/>
  <c r="BC194" i="22"/>
  <c r="BD194" i="22"/>
  <c r="BF194" i="22"/>
  <c r="B195" i="22"/>
  <c r="AY195" i="22"/>
  <c r="AZ195" i="22"/>
  <c r="BA195" i="22"/>
  <c r="BB195" i="22"/>
  <c r="BC195" i="22"/>
  <c r="BD195" i="22"/>
  <c r="BF195" i="22"/>
  <c r="B196" i="22"/>
  <c r="AY196" i="22"/>
  <c r="AZ196" i="22"/>
  <c r="BA196" i="22"/>
  <c r="BB196" i="22"/>
  <c r="BC196" i="22"/>
  <c r="BD196" i="22"/>
  <c r="BF196" i="22"/>
  <c r="B197" i="22"/>
  <c r="AY197" i="22"/>
  <c r="AZ197" i="22"/>
  <c r="BA197" i="22"/>
  <c r="BB197" i="22"/>
  <c r="BC197" i="22"/>
  <c r="BD197" i="22"/>
  <c r="BF197" i="22"/>
  <c r="B198" i="22"/>
  <c r="AY198" i="22"/>
  <c r="AZ198" i="22"/>
  <c r="BA198" i="22"/>
  <c r="BB198" i="22"/>
  <c r="BC198" i="22"/>
  <c r="BD198" i="22"/>
  <c r="BF198" i="22"/>
  <c r="B199" i="22"/>
  <c r="AY199" i="22"/>
  <c r="AZ199" i="22"/>
  <c r="BA199" i="22"/>
  <c r="BB199" i="22"/>
  <c r="BC199" i="22"/>
  <c r="BD199" i="22"/>
  <c r="BF199" i="22"/>
  <c r="B200" i="22"/>
  <c r="AY200" i="22"/>
  <c r="AZ200" i="22"/>
  <c r="BA200" i="22"/>
  <c r="BB200" i="22"/>
  <c r="BC200" i="22"/>
  <c r="BD200" i="22"/>
  <c r="BF200" i="22"/>
  <c r="B201" i="22"/>
  <c r="AY201" i="22"/>
  <c r="AZ201" i="22"/>
  <c r="BA201" i="22"/>
  <c r="BB201" i="22"/>
  <c r="BC201" i="22"/>
  <c r="BD201" i="22"/>
  <c r="BF201" i="22"/>
  <c r="B202" i="22"/>
  <c r="AY202" i="22"/>
  <c r="AZ202" i="22"/>
  <c r="BA202" i="22"/>
  <c r="BB202" i="22"/>
  <c r="BC202" i="22"/>
  <c r="BD202" i="22"/>
  <c r="BF202" i="22"/>
  <c r="B203" i="22"/>
  <c r="AY203" i="22"/>
  <c r="AZ203" i="22"/>
  <c r="BA203" i="22"/>
  <c r="BB203" i="22"/>
  <c r="BC203" i="22"/>
  <c r="BD203" i="22"/>
  <c r="BF203" i="22"/>
  <c r="B204" i="22"/>
  <c r="AY204" i="22"/>
  <c r="AZ204" i="22"/>
  <c r="BA204" i="22"/>
  <c r="BB204" i="22"/>
  <c r="BC204" i="22"/>
  <c r="BD204" i="22"/>
  <c r="BF204" i="22"/>
  <c r="B205" i="22"/>
  <c r="AY205" i="22"/>
  <c r="AZ205" i="22"/>
  <c r="BA205" i="22"/>
  <c r="BB205" i="22"/>
  <c r="BC205" i="22"/>
  <c r="BD205" i="22"/>
  <c r="BF205" i="22"/>
  <c r="B206" i="22"/>
  <c r="AY206" i="22"/>
  <c r="AZ206" i="22"/>
  <c r="BA206" i="22"/>
  <c r="BB206" i="22"/>
  <c r="BC206" i="22"/>
  <c r="BD206" i="22"/>
  <c r="BF206" i="22"/>
  <c r="B207" i="22"/>
  <c r="AY207" i="22"/>
  <c r="AZ207" i="22"/>
  <c r="BA207" i="22"/>
  <c r="BB207" i="22"/>
  <c r="BC207" i="22"/>
  <c r="BD207" i="22"/>
  <c r="BF207" i="22"/>
  <c r="B208" i="22"/>
  <c r="AY208" i="22"/>
  <c r="AZ208" i="22"/>
  <c r="BA208" i="22"/>
  <c r="BB208" i="22"/>
  <c r="BC208" i="22"/>
  <c r="BD208" i="22"/>
  <c r="BF208" i="22"/>
  <c r="B209" i="22"/>
  <c r="AY209" i="22"/>
  <c r="AZ209" i="22"/>
  <c r="BA209" i="22"/>
  <c r="BB209" i="22"/>
  <c r="BC209" i="22"/>
  <c r="BD209" i="22"/>
  <c r="BF209" i="22"/>
  <c r="B210" i="22"/>
  <c r="AY210" i="22"/>
  <c r="AZ210" i="22"/>
  <c r="BA210" i="22"/>
  <c r="BB210" i="22"/>
  <c r="BC210" i="22"/>
  <c r="BD210" i="22"/>
  <c r="BF210" i="22"/>
  <c r="B211" i="22"/>
  <c r="AY211" i="22"/>
  <c r="AZ211" i="22"/>
  <c r="BA211" i="22"/>
  <c r="BB211" i="22"/>
  <c r="BC211" i="22"/>
  <c r="BD211" i="22"/>
  <c r="BF211" i="22"/>
  <c r="B212" i="22"/>
  <c r="AY212" i="22"/>
  <c r="AZ212" i="22"/>
  <c r="BA212" i="22"/>
  <c r="BB212" i="22"/>
  <c r="BC212" i="22"/>
  <c r="BD212" i="22"/>
  <c r="BF212" i="22"/>
  <c r="B213" i="22"/>
  <c r="AY213" i="22"/>
  <c r="AZ213" i="22"/>
  <c r="BA213" i="22"/>
  <c r="BB213" i="22"/>
  <c r="BC213" i="22"/>
  <c r="BD213" i="22"/>
  <c r="BF213" i="22"/>
  <c r="B214" i="22"/>
  <c r="AY214" i="22"/>
  <c r="AZ214" i="22"/>
  <c r="BA214" i="22"/>
  <c r="BB214" i="22"/>
  <c r="BC214" i="22"/>
  <c r="BD214" i="22"/>
  <c r="BF214" i="22"/>
  <c r="B215" i="22"/>
  <c r="AY215" i="22"/>
  <c r="AZ215" i="22"/>
  <c r="BA215" i="22"/>
  <c r="BB215" i="22"/>
  <c r="BC215" i="22"/>
  <c r="BD215" i="22"/>
  <c r="BF215" i="22"/>
  <c r="B216" i="22"/>
  <c r="AY216" i="22"/>
  <c r="AZ216" i="22"/>
  <c r="BA216" i="22"/>
  <c r="BB216" i="22"/>
  <c r="BC216" i="22"/>
  <c r="BD216" i="22"/>
  <c r="BF216" i="22"/>
  <c r="B217" i="22"/>
  <c r="AY217" i="22"/>
  <c r="AZ217" i="22"/>
  <c r="BA217" i="22"/>
  <c r="BB217" i="22"/>
  <c r="BC217" i="22"/>
  <c r="BD217" i="22"/>
  <c r="BF217" i="22"/>
  <c r="B218" i="22"/>
  <c r="AY218" i="22"/>
  <c r="AZ218" i="22"/>
  <c r="BA218" i="22"/>
  <c r="BB218" i="22"/>
  <c r="BC218" i="22"/>
  <c r="BD218" i="22"/>
  <c r="BF218" i="22"/>
  <c r="B219" i="22"/>
  <c r="AY219" i="22"/>
  <c r="AZ219" i="22"/>
  <c r="BA219" i="22"/>
  <c r="BB219" i="22"/>
  <c r="BC219" i="22"/>
  <c r="BD219" i="22"/>
  <c r="BF219" i="22"/>
  <c r="B220" i="22"/>
  <c r="AY220" i="22"/>
  <c r="AZ220" i="22"/>
  <c r="BA220" i="22"/>
  <c r="BB220" i="22"/>
  <c r="BC220" i="22"/>
  <c r="BD220" i="22"/>
  <c r="BF220" i="22"/>
  <c r="B221" i="22"/>
  <c r="AY221" i="22"/>
  <c r="AZ221" i="22"/>
  <c r="BA221" i="22"/>
  <c r="BB221" i="22"/>
  <c r="BC221" i="22"/>
  <c r="BD221" i="22"/>
  <c r="BF221" i="22"/>
  <c r="B222" i="22"/>
  <c r="AY222" i="22"/>
  <c r="AZ222" i="22"/>
  <c r="BA222" i="22"/>
  <c r="BB222" i="22"/>
  <c r="BC222" i="22"/>
  <c r="BD222" i="22"/>
  <c r="BF222" i="22"/>
  <c r="B223" i="22"/>
  <c r="AY223" i="22"/>
  <c r="AZ223" i="22"/>
  <c r="BA223" i="22"/>
  <c r="BB223" i="22"/>
  <c r="BC223" i="22"/>
  <c r="BD223" i="22"/>
  <c r="BF223" i="22"/>
  <c r="B224" i="22"/>
  <c r="AY224" i="22"/>
  <c r="AZ224" i="22"/>
  <c r="BA224" i="22"/>
  <c r="BB224" i="22"/>
  <c r="BC224" i="22"/>
  <c r="BD224" i="22"/>
  <c r="BF224" i="22"/>
  <c r="B225" i="22"/>
  <c r="AY225" i="22"/>
  <c r="AZ225" i="22"/>
  <c r="BA225" i="22"/>
  <c r="BB225" i="22"/>
  <c r="BC225" i="22"/>
  <c r="BD225" i="22"/>
  <c r="BF225" i="22"/>
  <c r="B226" i="22"/>
  <c r="AY226" i="22"/>
  <c r="AZ226" i="22"/>
  <c r="BA226" i="22"/>
  <c r="BB226" i="22"/>
  <c r="BC226" i="22"/>
  <c r="BD226" i="22"/>
  <c r="BF226" i="22"/>
  <c r="B227" i="22"/>
  <c r="AY227" i="22"/>
  <c r="AZ227" i="22"/>
  <c r="BA227" i="22"/>
  <c r="BB227" i="22"/>
  <c r="BC227" i="22"/>
  <c r="BD227" i="22"/>
  <c r="BF227" i="22"/>
  <c r="B228" i="22"/>
  <c r="AY228" i="22"/>
  <c r="AZ228" i="22"/>
  <c r="BA228" i="22"/>
  <c r="BB228" i="22"/>
  <c r="BC228" i="22"/>
  <c r="BD228" i="22"/>
  <c r="BF228" i="22"/>
  <c r="B229" i="22"/>
  <c r="AY229" i="22"/>
  <c r="AZ229" i="22"/>
  <c r="BA229" i="22"/>
  <c r="BB229" i="22"/>
  <c r="BC229" i="22"/>
  <c r="BD229" i="22"/>
  <c r="BF229" i="22"/>
  <c r="B230" i="22"/>
  <c r="AY230" i="22"/>
  <c r="AZ230" i="22"/>
  <c r="BA230" i="22"/>
  <c r="BB230" i="22"/>
  <c r="BC230" i="22"/>
  <c r="BD230" i="22"/>
  <c r="BF230" i="22"/>
  <c r="B231" i="22"/>
  <c r="AY231" i="22"/>
  <c r="AZ231" i="22"/>
  <c r="BA231" i="22"/>
  <c r="BB231" i="22"/>
  <c r="BC231" i="22"/>
  <c r="BD231" i="22"/>
  <c r="BF231" i="22"/>
  <c r="B232" i="22"/>
  <c r="AY232" i="22"/>
  <c r="AZ232" i="22"/>
  <c r="BA232" i="22"/>
  <c r="BB232" i="22"/>
  <c r="BC232" i="22"/>
  <c r="BD232" i="22"/>
  <c r="BF232" i="22"/>
  <c r="B233" i="22"/>
  <c r="AY233" i="22"/>
  <c r="AZ233" i="22"/>
  <c r="BA233" i="22"/>
  <c r="BB233" i="22"/>
  <c r="BC233" i="22"/>
  <c r="BD233" i="22"/>
  <c r="BF233" i="22"/>
  <c r="B234" i="22"/>
  <c r="AY234" i="22"/>
  <c r="AZ234" i="22"/>
  <c r="BA234" i="22"/>
  <c r="BB234" i="22"/>
  <c r="BC234" i="22"/>
  <c r="BD234" i="22"/>
  <c r="BF234" i="22"/>
  <c r="B235" i="22"/>
  <c r="AY235" i="22"/>
  <c r="AZ235" i="22"/>
  <c r="BA235" i="22"/>
  <c r="BB235" i="22"/>
  <c r="BF235" i="22"/>
  <c r="B236" i="22"/>
  <c r="BB236" i="22"/>
  <c r="BF236" i="22"/>
  <c r="B237" i="22"/>
  <c r="BB237" i="22"/>
  <c r="BF237" i="22"/>
  <c r="B238" i="22"/>
  <c r="BB238" i="22"/>
  <c r="BF238" i="22"/>
  <c r="B239" i="22"/>
  <c r="BB239" i="22"/>
  <c r="BF239" i="22"/>
  <c r="B240" i="22"/>
  <c r="BB240" i="22"/>
  <c r="BF240" i="22"/>
  <c r="B241" i="22"/>
  <c r="BB241" i="22"/>
  <c r="BF241" i="22"/>
  <c r="B242" i="22"/>
  <c r="BB242" i="22"/>
  <c r="BF242" i="22"/>
  <c r="B243" i="22"/>
  <c r="BB243" i="22"/>
  <c r="BF243" i="22"/>
  <c r="B244" i="22"/>
  <c r="BB244" i="22"/>
  <c r="BF244" i="22"/>
  <c r="B245" i="22"/>
  <c r="BB245" i="22"/>
  <c r="BF245" i="22"/>
  <c r="B246" i="22"/>
  <c r="BB246" i="22"/>
  <c r="BF246" i="22"/>
  <c r="B247" i="22"/>
  <c r="BB247" i="22"/>
  <c r="BF247" i="22"/>
  <c r="B248" i="22"/>
  <c r="BB248" i="22"/>
  <c r="BF248" i="22"/>
  <c r="B249" i="22"/>
  <c r="BB249" i="22"/>
  <c r="BF249" i="22"/>
  <c r="B250" i="22"/>
  <c r="BB250" i="22"/>
  <c r="BF250" i="22"/>
  <c r="B251" i="22"/>
  <c r="BB251" i="22"/>
  <c r="BF251" i="22"/>
  <c r="B252" i="22"/>
  <c r="BB252" i="22"/>
  <c r="BF252" i="22"/>
  <c r="B253" i="22"/>
  <c r="BB253" i="22"/>
  <c r="BF253" i="22"/>
  <c r="B254" i="22"/>
  <c r="BB254" i="22"/>
  <c r="BF254" i="22"/>
  <c r="B255" i="22"/>
  <c r="BB255" i="22"/>
  <c r="BF255" i="22"/>
  <c r="B256" i="22"/>
  <c r="BB256" i="22"/>
  <c r="BF256" i="22"/>
  <c r="B257" i="22"/>
  <c r="BB257" i="22"/>
  <c r="BF257" i="22"/>
  <c r="B258" i="22"/>
  <c r="BB258" i="22"/>
  <c r="BF258" i="22"/>
  <c r="B259" i="22"/>
  <c r="BB259" i="22"/>
  <c r="BF259" i="22"/>
  <c r="B260" i="22"/>
  <c r="BB260" i="22"/>
  <c r="BF260" i="22"/>
  <c r="B261" i="22"/>
  <c r="BB261" i="22"/>
  <c r="BF261" i="22"/>
  <c r="B262" i="22"/>
  <c r="BB262" i="22"/>
  <c r="BF262" i="22"/>
  <c r="B263" i="22"/>
  <c r="BB263" i="22"/>
  <c r="BF263" i="22"/>
  <c r="B264" i="22"/>
  <c r="BB264" i="22"/>
  <c r="BF264" i="22"/>
  <c r="B265" i="22"/>
  <c r="BB265" i="22"/>
  <c r="BF265" i="22"/>
  <c r="B266" i="22"/>
  <c r="BB266" i="22"/>
  <c r="BF266" i="22"/>
  <c r="B267" i="22"/>
  <c r="BB267" i="22"/>
  <c r="BF267" i="22"/>
  <c r="B268" i="22"/>
  <c r="BB268" i="22"/>
  <c r="BF268" i="22"/>
  <c r="B269" i="22"/>
  <c r="BB269" i="22"/>
  <c r="BF269" i="22"/>
  <c r="B270" i="22"/>
  <c r="BB270" i="22"/>
  <c r="BF270" i="22"/>
  <c r="B271" i="22"/>
  <c r="BB271" i="22"/>
  <c r="BF271" i="22"/>
  <c r="B272" i="22"/>
  <c r="BB272" i="22"/>
  <c r="BF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2" i="26"/>
  <c r="F2" i="26"/>
  <c r="K2" i="26"/>
  <c r="L2" i="26"/>
  <c r="M2" i="26"/>
  <c r="N2" i="26"/>
  <c r="O2" i="26"/>
  <c r="U2" i="26"/>
  <c r="V2" i="26"/>
  <c r="AC2" i="26"/>
  <c r="AD2" i="26"/>
  <c r="AH2" i="26"/>
  <c r="B3" i="26"/>
  <c r="F3" i="26"/>
  <c r="K3" i="26"/>
  <c r="L3" i="26"/>
  <c r="M3" i="26"/>
  <c r="N3" i="26"/>
  <c r="O3" i="26"/>
  <c r="U3" i="26"/>
  <c r="V3" i="26"/>
  <c r="AC3" i="26"/>
  <c r="AD3" i="26"/>
  <c r="AH3" i="26"/>
  <c r="B4" i="26"/>
  <c r="F4" i="26"/>
  <c r="K4" i="26"/>
  <c r="L4" i="26"/>
  <c r="M4" i="26"/>
  <c r="N4" i="26"/>
  <c r="O4" i="26"/>
  <c r="U4" i="26"/>
  <c r="V4" i="26"/>
  <c r="AC4" i="26"/>
  <c r="AD4" i="26"/>
  <c r="AH4" i="26"/>
  <c r="B5" i="26"/>
  <c r="F5" i="26"/>
  <c r="K5" i="26"/>
  <c r="L5" i="26"/>
  <c r="M5" i="26"/>
  <c r="N5" i="26"/>
  <c r="O5" i="26"/>
  <c r="U5" i="26"/>
  <c r="V5" i="26"/>
  <c r="AC5" i="26"/>
  <c r="AD5" i="26"/>
  <c r="AH5" i="26"/>
  <c r="B6" i="26"/>
  <c r="F6" i="26"/>
  <c r="K6" i="26"/>
  <c r="L6" i="26"/>
  <c r="M6" i="26"/>
  <c r="N6" i="26"/>
  <c r="O6" i="26"/>
  <c r="U6" i="26"/>
  <c r="V6" i="26"/>
  <c r="AC6" i="26"/>
  <c r="AD6" i="26"/>
  <c r="AH6" i="26"/>
  <c r="B3" i="24"/>
  <c r="S3" i="24"/>
  <c r="N7" i="24"/>
  <c r="P7" i="24"/>
  <c r="T7" i="24"/>
  <c r="U7" i="24"/>
  <c r="W7" i="24"/>
  <c r="X7" i="24"/>
  <c r="Y7" i="24"/>
  <c r="Z7" i="24"/>
  <c r="AB7" i="24"/>
  <c r="W8" i="24"/>
  <c r="X8" i="24"/>
  <c r="Y8" i="24"/>
  <c r="Z8" i="24"/>
  <c r="AB8" i="24"/>
  <c r="U9" i="24"/>
  <c r="W9" i="24"/>
  <c r="X9" i="24"/>
  <c r="Y9" i="24"/>
  <c r="Z9" i="24"/>
  <c r="AB9" i="24"/>
  <c r="U10" i="24"/>
  <c r="W10" i="24"/>
  <c r="X10" i="24"/>
  <c r="Y10" i="24"/>
  <c r="Z10" i="24"/>
  <c r="AB10" i="24"/>
  <c r="U11" i="24"/>
  <c r="W11" i="24"/>
  <c r="X11" i="24"/>
  <c r="Y11" i="24"/>
  <c r="Z11" i="24"/>
  <c r="AB11" i="24"/>
  <c r="W12" i="24"/>
  <c r="X12" i="24"/>
  <c r="Y12" i="24"/>
  <c r="Z12" i="24"/>
  <c r="AB12" i="24"/>
  <c r="W13" i="24"/>
  <c r="X13" i="24"/>
  <c r="Y13" i="24"/>
  <c r="Z13" i="24"/>
  <c r="AB13" i="24"/>
  <c r="W14" i="24"/>
  <c r="X14" i="24"/>
  <c r="Y14" i="24"/>
  <c r="Z14" i="24"/>
  <c r="AB14" i="24"/>
  <c r="W15" i="24"/>
  <c r="X15" i="24"/>
  <c r="Y15" i="24"/>
  <c r="Z15" i="24"/>
  <c r="AB15" i="24"/>
  <c r="W16" i="24"/>
  <c r="X16" i="24"/>
  <c r="Y16" i="24"/>
  <c r="Z16" i="24"/>
  <c r="AB16" i="24"/>
  <c r="W17" i="24"/>
  <c r="X17" i="24"/>
  <c r="Y17" i="24"/>
  <c r="Z17" i="24"/>
  <c r="AB17" i="24"/>
  <c r="W18" i="24"/>
  <c r="X18" i="24"/>
  <c r="Y18" i="24"/>
  <c r="Z18" i="24"/>
  <c r="AB18" i="24"/>
  <c r="W19" i="24"/>
  <c r="X19" i="24"/>
  <c r="Y19" i="24"/>
  <c r="Z19" i="24"/>
  <c r="AB19" i="24"/>
  <c r="W20" i="24"/>
  <c r="X20" i="24"/>
  <c r="Y20" i="24"/>
  <c r="Z20" i="24"/>
  <c r="AB20" i="24"/>
  <c r="BK1" i="9"/>
  <c r="AP2" i="9"/>
  <c r="BK2" i="9"/>
  <c r="B3" i="9"/>
  <c r="BK3" i="9"/>
  <c r="E7" i="9"/>
  <c r="I7" i="9"/>
  <c r="J7" i="9"/>
  <c r="K7" i="9"/>
  <c r="L7" i="9"/>
  <c r="M7" i="9"/>
  <c r="O7" i="9"/>
  <c r="R7" i="9"/>
  <c r="S7" i="9"/>
  <c r="T7" i="9"/>
  <c r="U7" i="9"/>
  <c r="V7" i="9"/>
  <c r="AA7" i="9"/>
  <c r="AB7" i="9"/>
  <c r="AC7" i="9"/>
  <c r="AD7" i="9"/>
  <c r="AE7" i="9"/>
  <c r="AF7" i="9"/>
  <c r="AG7" i="9"/>
  <c r="AJ7" i="9"/>
  <c r="AP7" i="9"/>
  <c r="AQ7" i="9"/>
  <c r="AR7" i="9"/>
  <c r="AS7" i="9"/>
  <c r="AU7" i="9"/>
  <c r="I8" i="9"/>
  <c r="J8" i="9"/>
  <c r="K8" i="9"/>
  <c r="L8" i="9"/>
  <c r="M8" i="9"/>
  <c r="O8" i="9"/>
  <c r="R8" i="9"/>
  <c r="X8" i="9"/>
  <c r="Z8" i="9"/>
  <c r="AA8" i="9"/>
  <c r="AB8" i="9"/>
  <c r="AC8" i="9"/>
  <c r="AD8" i="9"/>
  <c r="AE8" i="9"/>
  <c r="AF8" i="9"/>
  <c r="AG8" i="9"/>
  <c r="AI8" i="9"/>
  <c r="AJ8" i="9"/>
  <c r="AP8" i="9"/>
  <c r="AQ8" i="9"/>
  <c r="AR8" i="9"/>
  <c r="AS8" i="9"/>
  <c r="I9" i="9"/>
  <c r="J9" i="9"/>
  <c r="K9" i="9"/>
  <c r="L9" i="9"/>
  <c r="M9" i="9"/>
  <c r="O9" i="9"/>
  <c r="R9" i="9"/>
  <c r="X9" i="9"/>
  <c r="Z9" i="9"/>
  <c r="AA9" i="9"/>
  <c r="AB9" i="9"/>
  <c r="AC9" i="9"/>
  <c r="AD9" i="9"/>
  <c r="AE9" i="9"/>
  <c r="AF9" i="9"/>
  <c r="AG9" i="9"/>
  <c r="AI9" i="9"/>
  <c r="AJ9" i="9"/>
  <c r="AP9" i="9"/>
  <c r="AQ9" i="9"/>
  <c r="AR9" i="9"/>
  <c r="AS9" i="9"/>
  <c r="I10" i="9"/>
  <c r="J10" i="9"/>
  <c r="K10" i="9"/>
  <c r="L10" i="9"/>
  <c r="M10" i="9"/>
  <c r="O10" i="9"/>
  <c r="R10" i="9"/>
  <c r="X10" i="9"/>
  <c r="Z10" i="9"/>
  <c r="AA10" i="9"/>
  <c r="AB10" i="9"/>
  <c r="AC10" i="9"/>
  <c r="AD10" i="9"/>
  <c r="AE10" i="9"/>
  <c r="AF10" i="9"/>
  <c r="AG10" i="9"/>
  <c r="AI10" i="9"/>
  <c r="AJ10" i="9"/>
  <c r="AP10" i="9"/>
  <c r="AQ10" i="9"/>
  <c r="AR10" i="9"/>
  <c r="AS10" i="9"/>
  <c r="I11" i="9"/>
  <c r="J11" i="9"/>
  <c r="K11" i="9"/>
  <c r="L11" i="9"/>
  <c r="M11" i="9"/>
  <c r="O11" i="9"/>
  <c r="R11" i="9"/>
  <c r="X11" i="9"/>
  <c r="Z11" i="9"/>
  <c r="AA11" i="9"/>
  <c r="AB11" i="9"/>
  <c r="AC11" i="9"/>
  <c r="AD11" i="9"/>
  <c r="AE11" i="9"/>
  <c r="AF11" i="9"/>
  <c r="AG11" i="9"/>
  <c r="AI11" i="9"/>
  <c r="AJ11" i="9"/>
  <c r="AP11" i="9"/>
  <c r="AQ11" i="9"/>
  <c r="AR11" i="9"/>
  <c r="AS11" i="9"/>
  <c r="I12" i="9"/>
  <c r="J12" i="9"/>
  <c r="K12" i="9"/>
  <c r="L12" i="9"/>
  <c r="M12" i="9"/>
  <c r="O12" i="9"/>
  <c r="R12" i="9"/>
  <c r="X12" i="9"/>
  <c r="Z12" i="9"/>
  <c r="AA12" i="9"/>
  <c r="AB12" i="9"/>
  <c r="AC12" i="9"/>
  <c r="AD12" i="9"/>
  <c r="AE12" i="9"/>
  <c r="AF12" i="9"/>
  <c r="AG12" i="9"/>
  <c r="AI12" i="9"/>
  <c r="AJ12" i="9"/>
  <c r="AP12" i="9"/>
  <c r="AQ12" i="9"/>
  <c r="AR12" i="9"/>
  <c r="AS12" i="9"/>
  <c r="E13" i="9"/>
  <c r="I13" i="9"/>
  <c r="J13" i="9"/>
  <c r="K13" i="9"/>
  <c r="L13" i="9"/>
  <c r="M13" i="9"/>
  <c r="O13" i="9"/>
  <c r="R13" i="9"/>
  <c r="X13" i="9"/>
  <c r="Z13" i="9"/>
  <c r="AA13" i="9"/>
  <c r="AB13" i="9"/>
  <c r="AC13" i="9"/>
  <c r="AD13" i="9"/>
  <c r="AE13" i="9"/>
  <c r="AF13" i="9"/>
  <c r="AG13" i="9"/>
  <c r="AI13" i="9"/>
  <c r="AJ13" i="9"/>
  <c r="AP13" i="9"/>
  <c r="AQ13" i="9"/>
  <c r="AR13" i="9"/>
  <c r="AS13" i="9"/>
  <c r="AU13" i="9"/>
  <c r="I14" i="9"/>
  <c r="J14" i="9"/>
  <c r="K14" i="9"/>
  <c r="L14" i="9"/>
  <c r="M14" i="9"/>
  <c r="O14" i="9"/>
  <c r="R14" i="9"/>
  <c r="X14" i="9"/>
  <c r="Z14" i="9"/>
  <c r="AA14" i="9"/>
  <c r="AB14" i="9"/>
  <c r="AC14" i="9"/>
  <c r="AD14" i="9"/>
  <c r="AE14" i="9"/>
  <c r="AF14" i="9"/>
  <c r="AG14" i="9"/>
  <c r="AI14" i="9"/>
  <c r="AJ14" i="9"/>
  <c r="AP14" i="9"/>
  <c r="AQ14" i="9"/>
  <c r="AR14" i="9"/>
  <c r="AS14" i="9"/>
  <c r="I15" i="9"/>
  <c r="J15" i="9"/>
  <c r="K15" i="9"/>
  <c r="L15" i="9"/>
  <c r="M15" i="9"/>
  <c r="O15" i="9"/>
  <c r="R15" i="9"/>
  <c r="X15" i="9"/>
  <c r="Z15" i="9"/>
  <c r="AA15" i="9"/>
  <c r="AB15" i="9"/>
  <c r="AC15" i="9"/>
  <c r="AD15" i="9"/>
  <c r="AE15" i="9"/>
  <c r="AF15" i="9"/>
  <c r="AG15" i="9"/>
  <c r="AI15" i="9"/>
  <c r="AJ15" i="9"/>
  <c r="AP15" i="9"/>
  <c r="AQ15" i="9"/>
  <c r="AR15" i="9"/>
  <c r="AS15" i="9"/>
  <c r="I16" i="9"/>
  <c r="J16" i="9"/>
  <c r="K16" i="9"/>
  <c r="L16" i="9"/>
  <c r="M16" i="9"/>
  <c r="O16" i="9"/>
  <c r="R16" i="9"/>
  <c r="X16" i="9"/>
  <c r="Z16" i="9"/>
  <c r="AA16" i="9"/>
  <c r="AB16" i="9"/>
  <c r="AC16" i="9"/>
  <c r="AD16" i="9"/>
  <c r="AE16" i="9"/>
  <c r="AF16" i="9"/>
  <c r="AG16" i="9"/>
  <c r="AI16" i="9"/>
  <c r="AJ16" i="9"/>
  <c r="AP16" i="9"/>
  <c r="AQ16" i="9"/>
  <c r="AR16" i="9"/>
  <c r="AS16" i="9"/>
  <c r="I17" i="9"/>
  <c r="J17" i="9"/>
  <c r="K17" i="9"/>
  <c r="L17" i="9"/>
  <c r="M17" i="9"/>
  <c r="O17" i="9"/>
  <c r="R17" i="9"/>
  <c r="X17" i="9"/>
  <c r="Z17" i="9"/>
  <c r="AA17" i="9"/>
  <c r="AB17" i="9"/>
  <c r="AC17" i="9"/>
  <c r="AD17" i="9"/>
  <c r="AE17" i="9"/>
  <c r="AF17" i="9"/>
  <c r="AG17" i="9"/>
  <c r="AI17" i="9"/>
  <c r="AJ17" i="9"/>
  <c r="AP17" i="9"/>
  <c r="AQ17" i="9"/>
  <c r="AR17" i="9"/>
  <c r="AS17" i="9"/>
  <c r="I18" i="9"/>
  <c r="J18" i="9"/>
  <c r="K18" i="9"/>
  <c r="L18" i="9"/>
  <c r="M18" i="9"/>
  <c r="O18" i="9"/>
  <c r="R18" i="9"/>
  <c r="X18" i="9"/>
  <c r="Z18" i="9"/>
  <c r="AA18" i="9"/>
  <c r="AB18" i="9"/>
  <c r="AC18" i="9"/>
  <c r="AD18" i="9"/>
  <c r="AE18" i="9"/>
  <c r="AF18" i="9"/>
  <c r="AG18" i="9"/>
  <c r="AI18" i="9"/>
  <c r="AJ18" i="9"/>
  <c r="AP18" i="9"/>
  <c r="AQ18" i="9"/>
  <c r="AR18" i="9"/>
  <c r="AS18" i="9"/>
  <c r="E19" i="9"/>
  <c r="I19" i="9"/>
  <c r="J19" i="9"/>
  <c r="K19" i="9"/>
  <c r="L19" i="9"/>
  <c r="M19" i="9"/>
  <c r="O19" i="9"/>
  <c r="R19" i="9"/>
  <c r="X19" i="9"/>
  <c r="Z19" i="9"/>
  <c r="AA19" i="9"/>
  <c r="AB19" i="9"/>
  <c r="AC19" i="9"/>
  <c r="AD19" i="9"/>
  <c r="AE19" i="9"/>
  <c r="AF19" i="9"/>
  <c r="AG19" i="9"/>
  <c r="AI19" i="9"/>
  <c r="AJ19" i="9"/>
  <c r="AP19" i="9"/>
  <c r="AQ19" i="9"/>
  <c r="AR19" i="9"/>
  <c r="AS19" i="9"/>
  <c r="AU19" i="9"/>
  <c r="I20" i="9"/>
  <c r="J20" i="9"/>
  <c r="K20" i="9"/>
  <c r="L20" i="9"/>
  <c r="M20" i="9"/>
  <c r="O20" i="9"/>
  <c r="R20" i="9"/>
  <c r="X20" i="9"/>
  <c r="Z20" i="9"/>
  <c r="AA20" i="9"/>
  <c r="AB20" i="9"/>
  <c r="AC20" i="9"/>
  <c r="AD20" i="9"/>
  <c r="AE20" i="9"/>
  <c r="AF20" i="9"/>
  <c r="AG20" i="9"/>
  <c r="AI20" i="9"/>
  <c r="AJ20" i="9"/>
  <c r="AP20" i="9"/>
  <c r="AQ20" i="9"/>
  <c r="AR20" i="9"/>
  <c r="AS20" i="9"/>
  <c r="I21" i="9"/>
  <c r="J21" i="9"/>
  <c r="K21" i="9"/>
  <c r="L21" i="9"/>
  <c r="M21" i="9"/>
  <c r="O21" i="9"/>
  <c r="R21" i="9"/>
  <c r="X21" i="9"/>
  <c r="Z21" i="9"/>
  <c r="AA21" i="9"/>
  <c r="AB21" i="9"/>
  <c r="AC21" i="9"/>
  <c r="AD21" i="9"/>
  <c r="AE21" i="9"/>
  <c r="AF21" i="9"/>
  <c r="AG21" i="9"/>
  <c r="AI21" i="9"/>
  <c r="AJ21" i="9"/>
  <c r="AP21" i="9"/>
  <c r="AQ21" i="9"/>
  <c r="AR21" i="9"/>
  <c r="AS21" i="9"/>
  <c r="I22" i="9"/>
  <c r="J22" i="9"/>
  <c r="K22" i="9"/>
  <c r="L22" i="9"/>
  <c r="M22" i="9"/>
  <c r="O22" i="9"/>
  <c r="R22" i="9"/>
  <c r="X22" i="9"/>
  <c r="Z22" i="9"/>
  <c r="AA22" i="9"/>
  <c r="AB22" i="9"/>
  <c r="AC22" i="9"/>
  <c r="AD22" i="9"/>
  <c r="AE22" i="9"/>
  <c r="AF22" i="9"/>
  <c r="AG22" i="9"/>
  <c r="AI22" i="9"/>
  <c r="AJ22" i="9"/>
  <c r="AP22" i="9"/>
  <c r="AQ22" i="9"/>
  <c r="AR22" i="9"/>
  <c r="AS22" i="9"/>
  <c r="I23" i="9"/>
  <c r="J23" i="9"/>
  <c r="K23" i="9"/>
  <c r="L23" i="9"/>
  <c r="M23" i="9"/>
  <c r="O23" i="9"/>
  <c r="R23" i="9"/>
  <c r="X23" i="9"/>
  <c r="Z23" i="9"/>
  <c r="AA23" i="9"/>
  <c r="AB23" i="9"/>
  <c r="AC23" i="9"/>
  <c r="AD23" i="9"/>
  <c r="AE23" i="9"/>
  <c r="AF23" i="9"/>
  <c r="AG23" i="9"/>
  <c r="AI23" i="9"/>
  <c r="AJ23" i="9"/>
  <c r="AP23" i="9"/>
  <c r="AQ23" i="9"/>
  <c r="AR23" i="9"/>
  <c r="AS23" i="9"/>
  <c r="I24" i="9"/>
  <c r="J24" i="9"/>
  <c r="K24" i="9"/>
  <c r="L24" i="9"/>
  <c r="M24" i="9"/>
  <c r="O24" i="9"/>
  <c r="R24" i="9"/>
  <c r="X24" i="9"/>
  <c r="Z24" i="9"/>
  <c r="AA24" i="9"/>
  <c r="AB24" i="9"/>
  <c r="AC24" i="9"/>
  <c r="AD24" i="9"/>
  <c r="AE24" i="9"/>
  <c r="AF24" i="9"/>
  <c r="AG24" i="9"/>
  <c r="AI24" i="9"/>
  <c r="AJ24" i="9"/>
  <c r="AP24" i="9"/>
  <c r="AQ24" i="9"/>
  <c r="AR24" i="9"/>
  <c r="AS24" i="9"/>
  <c r="BL24" i="9"/>
  <c r="E25" i="9"/>
  <c r="I25" i="9"/>
  <c r="J25" i="9"/>
  <c r="K25" i="9"/>
  <c r="L25" i="9"/>
  <c r="M25" i="9"/>
  <c r="O25" i="9"/>
  <c r="R25" i="9"/>
  <c r="X25" i="9"/>
  <c r="Z25" i="9"/>
  <c r="AA25" i="9"/>
  <c r="AB25" i="9"/>
  <c r="AC25" i="9"/>
  <c r="AD25" i="9"/>
  <c r="AE25" i="9"/>
  <c r="AF25" i="9"/>
  <c r="AG25" i="9"/>
  <c r="AI25" i="9"/>
  <c r="AJ25" i="9"/>
  <c r="AP25" i="9"/>
  <c r="AQ25" i="9"/>
  <c r="AR25" i="9"/>
  <c r="AS25" i="9"/>
  <c r="AU25" i="9"/>
  <c r="I26" i="9"/>
  <c r="J26" i="9"/>
  <c r="K26" i="9"/>
  <c r="L26" i="9"/>
  <c r="M26" i="9"/>
  <c r="O26" i="9"/>
  <c r="R26" i="9"/>
  <c r="X26" i="9"/>
  <c r="Z26" i="9"/>
  <c r="AA26" i="9"/>
  <c r="AB26" i="9"/>
  <c r="AC26" i="9"/>
  <c r="AD26" i="9"/>
  <c r="AE26" i="9"/>
  <c r="AF26" i="9"/>
  <c r="AG26" i="9"/>
  <c r="AI26" i="9"/>
  <c r="AJ26" i="9"/>
  <c r="AP26" i="9"/>
  <c r="AQ26" i="9"/>
  <c r="AR26" i="9"/>
  <c r="AS26" i="9"/>
  <c r="I27" i="9"/>
  <c r="J27" i="9"/>
  <c r="K27" i="9"/>
  <c r="L27" i="9"/>
  <c r="M27" i="9"/>
  <c r="O27" i="9"/>
  <c r="R27" i="9"/>
  <c r="X27" i="9"/>
  <c r="Z27" i="9"/>
  <c r="AA27" i="9"/>
  <c r="AB27" i="9"/>
  <c r="AC27" i="9"/>
  <c r="AD27" i="9"/>
  <c r="AE27" i="9"/>
  <c r="AF27" i="9"/>
  <c r="AG27" i="9"/>
  <c r="AI27" i="9"/>
  <c r="AJ27" i="9"/>
  <c r="AP27" i="9"/>
  <c r="AQ27" i="9"/>
  <c r="AR27" i="9"/>
  <c r="AS27" i="9"/>
  <c r="I28" i="9"/>
  <c r="J28" i="9"/>
  <c r="K28" i="9"/>
  <c r="L28" i="9"/>
  <c r="M28" i="9"/>
  <c r="O28" i="9"/>
  <c r="R28" i="9"/>
  <c r="X28" i="9"/>
  <c r="Z28" i="9"/>
  <c r="AA28" i="9"/>
  <c r="AB28" i="9"/>
  <c r="AC28" i="9"/>
  <c r="AD28" i="9"/>
  <c r="AE28" i="9"/>
  <c r="AF28" i="9"/>
  <c r="AG28" i="9"/>
  <c r="AI28" i="9"/>
  <c r="AJ28" i="9"/>
  <c r="AP28" i="9"/>
  <c r="AQ28" i="9"/>
  <c r="AR28" i="9"/>
  <c r="AS28" i="9"/>
  <c r="I29" i="9"/>
  <c r="J29" i="9"/>
  <c r="K29" i="9"/>
  <c r="L29" i="9"/>
  <c r="M29" i="9"/>
  <c r="O29" i="9"/>
  <c r="R29" i="9"/>
  <c r="X29" i="9"/>
  <c r="Z29" i="9"/>
  <c r="AA29" i="9"/>
  <c r="AB29" i="9"/>
  <c r="AC29" i="9"/>
  <c r="AD29" i="9"/>
  <c r="AE29" i="9"/>
  <c r="AF29" i="9"/>
  <c r="AG29" i="9"/>
  <c r="AI29" i="9"/>
  <c r="AJ29" i="9"/>
  <c r="AP29" i="9"/>
  <c r="AQ29" i="9"/>
  <c r="AR29" i="9"/>
  <c r="AS29" i="9"/>
  <c r="I30" i="9"/>
  <c r="J30" i="9"/>
  <c r="K30" i="9"/>
  <c r="L30" i="9"/>
  <c r="M30" i="9"/>
  <c r="O30" i="9"/>
  <c r="R30" i="9"/>
  <c r="X30" i="9"/>
  <c r="Z30" i="9"/>
  <c r="AA30" i="9"/>
  <c r="AB30" i="9"/>
  <c r="AC30" i="9"/>
  <c r="AD30" i="9"/>
  <c r="AE30" i="9"/>
  <c r="AF30" i="9"/>
  <c r="AG30" i="9"/>
  <c r="AI30" i="9"/>
  <c r="AJ30" i="9"/>
  <c r="AP30" i="9"/>
  <c r="AQ30" i="9"/>
  <c r="AR30" i="9"/>
  <c r="AS30" i="9"/>
  <c r="Z31" i="9"/>
  <c r="AA31" i="9"/>
  <c r="AB31" i="9"/>
  <c r="AC31" i="9"/>
  <c r="AD31" i="9"/>
  <c r="AE31" i="9"/>
  <c r="AF31" i="9"/>
  <c r="AG31" i="9"/>
  <c r="AI31" i="9"/>
  <c r="AJ31" i="9"/>
  <c r="Z32" i="9"/>
  <c r="AA32" i="9"/>
  <c r="AB32" i="9"/>
  <c r="AC32" i="9"/>
  <c r="AD32" i="9"/>
  <c r="AE32" i="9"/>
  <c r="AF32" i="9"/>
  <c r="AG32" i="9"/>
  <c r="AI32" i="9"/>
  <c r="AJ32" i="9"/>
  <c r="Z33" i="9"/>
  <c r="AA33" i="9"/>
  <c r="AB33" i="9"/>
  <c r="AC33" i="9"/>
  <c r="AD33" i="9"/>
  <c r="AE33" i="9"/>
  <c r="AF33" i="9"/>
  <c r="AG33" i="9"/>
  <c r="AI33" i="9"/>
  <c r="AJ33" i="9"/>
  <c r="Z34" i="9"/>
  <c r="AA34" i="9"/>
  <c r="AB34" i="9"/>
  <c r="AC34" i="9"/>
  <c r="AD34" i="9"/>
  <c r="AE34" i="9"/>
  <c r="AF34" i="9"/>
  <c r="AG34" i="9"/>
  <c r="AI34" i="9"/>
  <c r="AJ34" i="9"/>
  <c r="Z35" i="9"/>
  <c r="AA35" i="9"/>
  <c r="AB35" i="9"/>
  <c r="AC35" i="9"/>
  <c r="AD35" i="9"/>
  <c r="AE35" i="9"/>
  <c r="AF35" i="9"/>
  <c r="AG35" i="9"/>
  <c r="AI35" i="9"/>
  <c r="AJ35" i="9"/>
  <c r="Z36" i="9"/>
  <c r="AA36" i="9"/>
  <c r="AB36" i="9"/>
  <c r="AC36" i="9"/>
  <c r="AD36" i="9"/>
  <c r="AE36" i="9"/>
  <c r="AF36" i="9"/>
  <c r="AG36" i="9"/>
  <c r="AI36" i="9"/>
  <c r="AJ36" i="9"/>
  <c r="Z37" i="9"/>
  <c r="AA37" i="9"/>
  <c r="AB37" i="9"/>
  <c r="AC37" i="9"/>
  <c r="AD37" i="9"/>
  <c r="AE37" i="9"/>
  <c r="AF37" i="9"/>
  <c r="AG37" i="9"/>
  <c r="AI37" i="9"/>
  <c r="AJ37" i="9"/>
  <c r="Z38" i="9"/>
  <c r="AA38" i="9"/>
  <c r="AB38" i="9"/>
  <c r="AC38" i="9"/>
  <c r="AD38" i="9"/>
  <c r="AE38" i="9"/>
  <c r="AF38" i="9"/>
  <c r="AG38" i="9"/>
  <c r="AI38" i="9"/>
  <c r="AJ38" i="9"/>
  <c r="Z39" i="9"/>
  <c r="AA39" i="9"/>
  <c r="AB39" i="9"/>
  <c r="AC39" i="9"/>
  <c r="AD39" i="9"/>
  <c r="AE39" i="9"/>
  <c r="AF39" i="9"/>
  <c r="AG39" i="9"/>
  <c r="AI39" i="9"/>
  <c r="AJ39" i="9"/>
  <c r="Z40" i="9"/>
  <c r="AA40" i="9"/>
  <c r="AB40" i="9"/>
  <c r="AC40" i="9"/>
  <c r="AD40" i="9"/>
  <c r="AE40" i="9"/>
  <c r="AF40" i="9"/>
  <c r="AG40" i="9"/>
  <c r="AI40" i="9"/>
  <c r="AJ40" i="9"/>
  <c r="Z41" i="9"/>
  <c r="AA41" i="9"/>
  <c r="AB41" i="9"/>
  <c r="AC41" i="9"/>
  <c r="AD41" i="9"/>
  <c r="AE41" i="9"/>
  <c r="AF41" i="9"/>
  <c r="AG41" i="9"/>
  <c r="AI41" i="9"/>
  <c r="AJ41" i="9"/>
  <c r="Z42" i="9"/>
  <c r="AA42" i="9"/>
  <c r="AB42" i="9"/>
  <c r="AC42" i="9"/>
  <c r="AD42" i="9"/>
  <c r="AE42" i="9"/>
  <c r="AF42" i="9"/>
  <c r="AG42" i="9"/>
  <c r="AI42" i="9"/>
  <c r="AJ42" i="9"/>
  <c r="Z43" i="9"/>
  <c r="AA43" i="9"/>
  <c r="AB43" i="9"/>
  <c r="AC43" i="9"/>
  <c r="AD43" i="9"/>
  <c r="AE43" i="9"/>
  <c r="AF43" i="9"/>
  <c r="AG43" i="9"/>
  <c r="AI43" i="9"/>
  <c r="AJ43" i="9"/>
  <c r="Z44" i="9"/>
  <c r="AA44" i="9"/>
  <c r="AB44" i="9"/>
  <c r="AC44" i="9"/>
  <c r="AD44" i="9"/>
  <c r="AE44" i="9"/>
  <c r="AF44" i="9"/>
  <c r="AG44" i="9"/>
  <c r="AI44" i="9"/>
  <c r="AJ44" i="9"/>
  <c r="Z45" i="9"/>
  <c r="AA45" i="9"/>
  <c r="AB45" i="9"/>
  <c r="AC45" i="9"/>
  <c r="AD45" i="9"/>
  <c r="AE45" i="9"/>
  <c r="AF45" i="9"/>
  <c r="AG45" i="9"/>
  <c r="AI45" i="9"/>
  <c r="AJ45" i="9"/>
  <c r="Z46" i="9"/>
  <c r="AA46" i="9"/>
  <c r="AB46" i="9"/>
  <c r="AC46" i="9"/>
  <c r="AD46" i="9"/>
  <c r="AE46" i="9"/>
  <c r="AF46" i="9"/>
  <c r="AG46" i="9"/>
  <c r="AI46" i="9"/>
  <c r="AJ46" i="9"/>
  <c r="Z47" i="9"/>
  <c r="AA47" i="9"/>
  <c r="AB47" i="9"/>
  <c r="AC47" i="9"/>
  <c r="AD47" i="9"/>
  <c r="AE47" i="9"/>
  <c r="AF47" i="9"/>
  <c r="AG47" i="9"/>
  <c r="AI47" i="9"/>
  <c r="AJ47" i="9"/>
  <c r="Z48" i="9"/>
  <c r="AA48" i="9"/>
  <c r="AB48" i="9"/>
  <c r="AC48" i="9"/>
  <c r="AD48" i="9"/>
  <c r="AE48" i="9"/>
  <c r="AF48" i="9"/>
  <c r="AG48" i="9"/>
  <c r="AI48" i="9"/>
  <c r="AJ48" i="9"/>
  <c r="Z49" i="9"/>
  <c r="AA49" i="9"/>
  <c r="AB49" i="9"/>
  <c r="AC49" i="9"/>
  <c r="AD49" i="9"/>
  <c r="AE49" i="9"/>
  <c r="AF49" i="9"/>
  <c r="AG49" i="9"/>
  <c r="AI49" i="9"/>
  <c r="AJ49" i="9"/>
  <c r="Z50" i="9"/>
  <c r="AA50" i="9"/>
  <c r="AB50" i="9"/>
  <c r="AC50" i="9"/>
  <c r="AD50" i="9"/>
  <c r="AE50" i="9"/>
  <c r="AF50" i="9"/>
  <c r="AG50" i="9"/>
  <c r="AI50" i="9"/>
  <c r="AJ50" i="9"/>
  <c r="Z51" i="9"/>
  <c r="AA51" i="9"/>
  <c r="AB51" i="9"/>
  <c r="AC51" i="9"/>
  <c r="AD51" i="9"/>
  <c r="AE51" i="9"/>
  <c r="AF51" i="9"/>
  <c r="AG51" i="9"/>
  <c r="AI51" i="9"/>
  <c r="AJ51" i="9"/>
  <c r="Z52" i="9"/>
  <c r="AA52" i="9"/>
  <c r="AB52" i="9"/>
  <c r="AC52" i="9"/>
  <c r="AD52" i="9"/>
  <c r="AE52" i="9"/>
  <c r="AF52" i="9"/>
  <c r="AG52" i="9"/>
  <c r="AI52" i="9"/>
  <c r="AJ52" i="9"/>
  <c r="Z53" i="9"/>
  <c r="AA53" i="9"/>
  <c r="AB53" i="9"/>
  <c r="AC53" i="9"/>
  <c r="AD53" i="9"/>
  <c r="AE53" i="9"/>
  <c r="AF53" i="9"/>
  <c r="AG53" i="9"/>
  <c r="AI53" i="9"/>
  <c r="AJ53" i="9"/>
  <c r="Z54" i="9"/>
  <c r="AA54" i="9"/>
  <c r="AB54" i="9"/>
  <c r="AC54" i="9"/>
  <c r="AD54" i="9"/>
  <c r="AE54" i="9"/>
  <c r="AF54" i="9"/>
  <c r="AG54" i="9"/>
  <c r="AI54" i="9"/>
  <c r="AJ54" i="9"/>
  <c r="Z55" i="9"/>
  <c r="AA55" i="9"/>
  <c r="AB55" i="9"/>
  <c r="AC55" i="9"/>
  <c r="AD55" i="9"/>
  <c r="AE55" i="9"/>
  <c r="AF55" i="9"/>
  <c r="AG55" i="9"/>
  <c r="AI55" i="9"/>
  <c r="AJ55" i="9"/>
  <c r="Z56" i="9"/>
  <c r="AA56" i="9"/>
  <c r="AB56" i="9"/>
  <c r="AC56" i="9"/>
  <c r="AD56" i="9"/>
  <c r="AE56" i="9"/>
  <c r="AF56" i="9"/>
  <c r="AG56" i="9"/>
  <c r="AI56" i="9"/>
  <c r="AJ56" i="9"/>
  <c r="Z57" i="9"/>
  <c r="AA57" i="9"/>
  <c r="AB57" i="9"/>
  <c r="AC57" i="9"/>
  <c r="AD57" i="9"/>
  <c r="AE57" i="9"/>
  <c r="AF57" i="9"/>
  <c r="AG57" i="9"/>
  <c r="AI57" i="9"/>
  <c r="AJ57" i="9"/>
  <c r="Z58" i="9"/>
  <c r="AA58" i="9"/>
  <c r="AB58" i="9"/>
  <c r="AC58" i="9"/>
  <c r="AD58" i="9"/>
  <c r="AE58" i="9"/>
  <c r="AF58" i="9"/>
  <c r="AG58" i="9"/>
  <c r="AI58" i="9"/>
  <c r="AJ58" i="9"/>
  <c r="Z59" i="9"/>
  <c r="AA59" i="9"/>
  <c r="AB59" i="9"/>
  <c r="AC59" i="9"/>
  <c r="AD59" i="9"/>
  <c r="AE59" i="9"/>
  <c r="AF59" i="9"/>
  <c r="AG59" i="9"/>
  <c r="AI59" i="9"/>
  <c r="AJ59" i="9"/>
  <c r="Z60" i="9"/>
  <c r="AA60" i="9"/>
  <c r="AB60" i="9"/>
  <c r="AC60" i="9"/>
  <c r="AD60" i="9"/>
  <c r="AE60" i="9"/>
  <c r="AF60" i="9"/>
  <c r="AG60" i="9"/>
  <c r="AI60" i="9"/>
  <c r="AJ60" i="9"/>
  <c r="Z61" i="9"/>
  <c r="AA61" i="9"/>
  <c r="AB61" i="9"/>
  <c r="AC61" i="9"/>
  <c r="AD61" i="9"/>
  <c r="AE61" i="9"/>
  <c r="AF61" i="9"/>
  <c r="AG61" i="9"/>
  <c r="AI61" i="9"/>
  <c r="AJ61" i="9"/>
  <c r="Z62" i="9"/>
  <c r="AA62" i="9"/>
  <c r="AB62" i="9"/>
  <c r="AC62" i="9"/>
  <c r="AD62" i="9"/>
  <c r="AE62" i="9"/>
  <c r="AF62" i="9"/>
  <c r="AG62" i="9"/>
  <c r="AI62" i="9"/>
  <c r="AJ62" i="9"/>
  <c r="Z63" i="9"/>
  <c r="AA63" i="9"/>
  <c r="AB63" i="9"/>
  <c r="AC63" i="9"/>
  <c r="AD63" i="9"/>
  <c r="AE63" i="9"/>
  <c r="AF63" i="9"/>
  <c r="AG63" i="9"/>
  <c r="AI63" i="9"/>
  <c r="AJ63" i="9"/>
  <c r="Z64" i="9"/>
  <c r="AA64" i="9"/>
  <c r="AB64" i="9"/>
  <c r="AC64" i="9"/>
  <c r="AD64" i="9"/>
  <c r="AE64" i="9"/>
  <c r="AF64" i="9"/>
  <c r="AG64" i="9"/>
  <c r="AI64" i="9"/>
  <c r="AJ64" i="9"/>
  <c r="Z65" i="9"/>
  <c r="AA65" i="9"/>
  <c r="AB65" i="9"/>
  <c r="AC65" i="9"/>
  <c r="AD65" i="9"/>
  <c r="AE65" i="9"/>
  <c r="AF65" i="9"/>
  <c r="AG65" i="9"/>
  <c r="AI65" i="9"/>
  <c r="AJ65" i="9"/>
  <c r="Z66" i="9"/>
  <c r="AA66" i="9"/>
  <c r="AB66" i="9"/>
  <c r="AC66" i="9"/>
  <c r="AD66" i="9"/>
  <c r="AE66" i="9"/>
  <c r="AF66" i="9"/>
  <c r="AG66" i="9"/>
  <c r="AI66" i="9"/>
  <c r="AJ66" i="9"/>
  <c r="Z67" i="9"/>
  <c r="AA67" i="9"/>
  <c r="AB67" i="9"/>
  <c r="AC67" i="9"/>
  <c r="AD67" i="9"/>
  <c r="AE67" i="9"/>
  <c r="AF67" i="9"/>
  <c r="AG67" i="9"/>
  <c r="AI67" i="9"/>
  <c r="AJ67" i="9"/>
  <c r="Z68" i="9"/>
  <c r="AA68" i="9"/>
  <c r="AB68" i="9"/>
  <c r="AC68" i="9"/>
  <c r="AD68" i="9"/>
  <c r="AE68" i="9"/>
  <c r="AF68" i="9"/>
  <c r="AG68" i="9"/>
  <c r="AI68" i="9"/>
  <c r="AJ68" i="9"/>
  <c r="Z69" i="9"/>
  <c r="AA69" i="9"/>
  <c r="AB69" i="9"/>
  <c r="AC69" i="9"/>
  <c r="AD69" i="9"/>
  <c r="AE69" i="9"/>
  <c r="AF69" i="9"/>
  <c r="AG69" i="9"/>
  <c r="AI69" i="9"/>
  <c r="AJ69" i="9"/>
  <c r="Z70" i="9"/>
  <c r="AA70" i="9"/>
  <c r="AB70" i="9"/>
  <c r="AC70" i="9"/>
  <c r="AD70" i="9"/>
  <c r="AE70" i="9"/>
  <c r="AF70" i="9"/>
  <c r="AG70" i="9"/>
  <c r="AI70" i="9"/>
  <c r="AJ70" i="9"/>
  <c r="Z71" i="9"/>
  <c r="AA71" i="9"/>
  <c r="AB71" i="9"/>
  <c r="AC71" i="9"/>
  <c r="AD71" i="9"/>
  <c r="AE71" i="9"/>
  <c r="AF71" i="9"/>
  <c r="AG71" i="9"/>
  <c r="AI71" i="9"/>
  <c r="AJ71" i="9"/>
  <c r="Z72" i="9"/>
  <c r="AA72" i="9"/>
  <c r="AB72" i="9"/>
  <c r="AC72" i="9"/>
  <c r="AD72" i="9"/>
  <c r="AE72" i="9"/>
  <c r="AF72" i="9"/>
  <c r="AG72" i="9"/>
  <c r="AI72" i="9"/>
  <c r="AJ72" i="9"/>
  <c r="Z73" i="9"/>
  <c r="AA73" i="9"/>
  <c r="AB73" i="9"/>
  <c r="AC73" i="9"/>
  <c r="AD73" i="9"/>
  <c r="AE73" i="9"/>
  <c r="AF73" i="9"/>
  <c r="AG73" i="9"/>
  <c r="AI73" i="9"/>
  <c r="AJ73" i="9"/>
  <c r="Z74" i="9"/>
  <c r="AA74" i="9"/>
  <c r="AB74" i="9"/>
  <c r="AC74" i="9"/>
  <c r="AD74" i="9"/>
  <c r="AE74" i="9"/>
  <c r="AF74" i="9"/>
  <c r="AG74" i="9"/>
  <c r="AI74" i="9"/>
  <c r="AJ74" i="9"/>
  <c r="Z75" i="9"/>
  <c r="AA75" i="9"/>
  <c r="AB75" i="9"/>
  <c r="AC75" i="9"/>
  <c r="AD75" i="9"/>
  <c r="AE75" i="9"/>
  <c r="AF75" i="9"/>
  <c r="AG75" i="9"/>
  <c r="AI75" i="9"/>
  <c r="AJ75" i="9"/>
  <c r="Z76" i="9"/>
  <c r="AA76" i="9"/>
  <c r="AB76" i="9"/>
  <c r="AC76" i="9"/>
  <c r="AD76" i="9"/>
  <c r="AE76" i="9"/>
  <c r="AF76" i="9"/>
  <c r="AG76" i="9"/>
  <c r="AI76" i="9"/>
  <c r="AJ76" i="9"/>
  <c r="Z77" i="9"/>
  <c r="AA77" i="9"/>
  <c r="AB77" i="9"/>
  <c r="AC77" i="9"/>
  <c r="AD77" i="9"/>
  <c r="AE77" i="9"/>
  <c r="AF77" i="9"/>
  <c r="AG77" i="9"/>
  <c r="AI77" i="9"/>
  <c r="AJ77" i="9"/>
  <c r="Z78" i="9"/>
  <c r="AA78" i="9"/>
  <c r="AB78" i="9"/>
  <c r="AC78" i="9"/>
  <c r="AD78" i="9"/>
  <c r="AE78" i="9"/>
  <c r="AF78" i="9"/>
  <c r="AG78" i="9"/>
  <c r="AI78" i="9"/>
  <c r="AJ78" i="9"/>
  <c r="Z79" i="9"/>
  <c r="AA79" i="9"/>
  <c r="AB79" i="9"/>
  <c r="AC79" i="9"/>
  <c r="AD79" i="9"/>
  <c r="AE79" i="9"/>
  <c r="AF79" i="9"/>
  <c r="AG79" i="9"/>
  <c r="AI79" i="9"/>
  <c r="AJ79" i="9"/>
  <c r="Z80" i="9"/>
  <c r="AA80" i="9"/>
  <c r="AB80" i="9"/>
  <c r="AC80" i="9"/>
  <c r="AD80" i="9"/>
  <c r="AE80" i="9"/>
  <c r="AF80" i="9"/>
  <c r="AG80" i="9"/>
  <c r="AI80" i="9"/>
  <c r="AJ80" i="9"/>
  <c r="Z81" i="9"/>
  <c r="AA81" i="9"/>
  <c r="AB81" i="9"/>
  <c r="AC81" i="9"/>
  <c r="AD81" i="9"/>
  <c r="AE81" i="9"/>
  <c r="AF81" i="9"/>
  <c r="AG81" i="9"/>
  <c r="AI81" i="9"/>
  <c r="AJ81" i="9"/>
  <c r="Z82" i="9"/>
  <c r="AA82" i="9"/>
  <c r="AB82" i="9"/>
  <c r="AC82" i="9"/>
  <c r="AD82" i="9"/>
  <c r="AE82" i="9"/>
  <c r="AF82" i="9"/>
  <c r="AG82" i="9"/>
  <c r="AI82" i="9"/>
  <c r="AJ82" i="9"/>
  <c r="Z83" i="9"/>
  <c r="AA83" i="9"/>
  <c r="AB83" i="9"/>
  <c r="AC83" i="9"/>
  <c r="AD83" i="9"/>
  <c r="AE83" i="9"/>
  <c r="AF83" i="9"/>
  <c r="AG83" i="9"/>
  <c r="AI83" i="9"/>
  <c r="AJ83" i="9"/>
  <c r="Z84" i="9"/>
  <c r="AA84" i="9"/>
  <c r="AB84" i="9"/>
  <c r="AC84" i="9"/>
  <c r="AD84" i="9"/>
  <c r="AE84" i="9"/>
  <c r="AF84" i="9"/>
  <c r="AG84" i="9"/>
  <c r="AI84" i="9"/>
  <c r="AJ84" i="9"/>
  <c r="Z85" i="9"/>
  <c r="AA85" i="9"/>
  <c r="AB85" i="9"/>
  <c r="AC85" i="9"/>
  <c r="AD85" i="9"/>
  <c r="AE85" i="9"/>
  <c r="AF85" i="9"/>
  <c r="AG85" i="9"/>
  <c r="AI85" i="9"/>
  <c r="AJ85" i="9"/>
  <c r="Z86" i="9"/>
  <c r="AA86" i="9"/>
  <c r="AB86" i="9"/>
  <c r="AC86" i="9"/>
  <c r="AD86" i="9"/>
  <c r="AE86" i="9"/>
  <c r="AF86" i="9"/>
  <c r="AG86" i="9"/>
  <c r="AI86" i="9"/>
  <c r="AJ86" i="9"/>
  <c r="Z87" i="9"/>
  <c r="AA87" i="9"/>
  <c r="AB87" i="9"/>
  <c r="AC87" i="9"/>
  <c r="AD87" i="9"/>
  <c r="AE87" i="9"/>
  <c r="AF87" i="9"/>
  <c r="AG87" i="9"/>
  <c r="AI87" i="9"/>
  <c r="AJ87" i="9"/>
  <c r="Z88" i="9"/>
  <c r="AA88" i="9"/>
  <c r="AB88" i="9"/>
  <c r="AC88" i="9"/>
  <c r="AD88" i="9"/>
  <c r="AE88" i="9"/>
  <c r="AF88" i="9"/>
  <c r="AG88" i="9"/>
  <c r="AI88" i="9"/>
  <c r="AJ88" i="9"/>
  <c r="Z89" i="9"/>
  <c r="AA89" i="9"/>
  <c r="AB89" i="9"/>
  <c r="AC89" i="9"/>
  <c r="AD89" i="9"/>
  <c r="AE89" i="9"/>
  <c r="AF89" i="9"/>
  <c r="AG89" i="9"/>
  <c r="AI89" i="9"/>
  <c r="AJ89" i="9"/>
  <c r="Z90" i="9"/>
  <c r="AA90" i="9"/>
  <c r="AB90" i="9"/>
  <c r="AC90" i="9"/>
  <c r="AD90" i="9"/>
  <c r="AE90" i="9"/>
  <c r="AF90" i="9"/>
  <c r="AG90" i="9"/>
  <c r="AI90" i="9"/>
  <c r="AJ90" i="9"/>
  <c r="Z91" i="9"/>
  <c r="AA91" i="9"/>
  <c r="AB91" i="9"/>
  <c r="AC91" i="9"/>
  <c r="AD91" i="9"/>
  <c r="AE91" i="9"/>
  <c r="AF91" i="9"/>
  <c r="AG91" i="9"/>
  <c r="AI91" i="9"/>
  <c r="AJ91" i="9"/>
  <c r="Z92" i="9"/>
  <c r="AA92" i="9"/>
  <c r="AB92" i="9"/>
  <c r="AC92" i="9"/>
  <c r="AD92" i="9"/>
  <c r="AE92" i="9"/>
  <c r="AF92" i="9"/>
  <c r="AG92" i="9"/>
  <c r="AI92" i="9"/>
  <c r="AJ92" i="9"/>
  <c r="Z93" i="9"/>
  <c r="AA93" i="9"/>
  <c r="AB93" i="9"/>
  <c r="AC93" i="9"/>
  <c r="AD93" i="9"/>
  <c r="AE93" i="9"/>
  <c r="AF93" i="9"/>
  <c r="AG93" i="9"/>
  <c r="AI93" i="9"/>
  <c r="AJ93" i="9"/>
  <c r="Z94" i="9"/>
  <c r="AA94" i="9"/>
  <c r="AB94" i="9"/>
  <c r="AC94" i="9"/>
  <c r="AD94" i="9"/>
  <c r="AE94" i="9"/>
  <c r="AF94" i="9"/>
  <c r="AG94" i="9"/>
  <c r="AI94" i="9"/>
  <c r="AJ94" i="9"/>
  <c r="Z95" i="9"/>
  <c r="AA95" i="9"/>
  <c r="AB95" i="9"/>
  <c r="AC95" i="9"/>
  <c r="AD95" i="9"/>
  <c r="AE95" i="9"/>
  <c r="AF95" i="9"/>
  <c r="AG95" i="9"/>
  <c r="AI95" i="9"/>
  <c r="AJ95" i="9"/>
  <c r="Z96" i="9"/>
  <c r="AA96" i="9"/>
  <c r="AB96" i="9"/>
  <c r="AC96" i="9"/>
  <c r="AD96" i="9"/>
  <c r="AE96" i="9"/>
  <c r="AF96" i="9"/>
  <c r="AG96" i="9"/>
  <c r="AI96" i="9"/>
  <c r="AJ96" i="9"/>
  <c r="Z97" i="9"/>
  <c r="AA97" i="9"/>
  <c r="AB97" i="9"/>
  <c r="AC97" i="9"/>
  <c r="AD97" i="9"/>
  <c r="AE97" i="9"/>
  <c r="AF97" i="9"/>
  <c r="AG97" i="9"/>
  <c r="AI97" i="9"/>
  <c r="AJ97" i="9"/>
  <c r="Z98" i="9"/>
  <c r="AA98" i="9"/>
  <c r="AB98" i="9"/>
  <c r="AC98" i="9"/>
  <c r="AD98" i="9"/>
  <c r="AE98" i="9"/>
  <c r="AF98" i="9"/>
  <c r="AG98" i="9"/>
  <c r="AI98" i="9"/>
  <c r="AJ98" i="9"/>
  <c r="Z99" i="9"/>
  <c r="AA99" i="9"/>
  <c r="AB99" i="9"/>
  <c r="AC99" i="9"/>
  <c r="AD99" i="9"/>
  <c r="AE99" i="9"/>
  <c r="AF99" i="9"/>
  <c r="AG99" i="9"/>
  <c r="AI99" i="9"/>
  <c r="AJ99" i="9"/>
  <c r="Z100" i="9"/>
  <c r="AA100" i="9"/>
  <c r="AB100" i="9"/>
  <c r="AC100" i="9"/>
  <c r="AD100" i="9"/>
  <c r="AE100" i="9"/>
  <c r="AF100" i="9"/>
  <c r="AG100" i="9"/>
  <c r="AI100" i="9"/>
  <c r="AJ100" i="9"/>
  <c r="Z101" i="9"/>
  <c r="AA101" i="9"/>
  <c r="AB101" i="9"/>
  <c r="AC101" i="9"/>
  <c r="AD101" i="9"/>
  <c r="AE101" i="9"/>
  <c r="AF101" i="9"/>
  <c r="AG101" i="9"/>
  <c r="AI101" i="9"/>
  <c r="AJ101" i="9"/>
  <c r="Z102" i="9"/>
  <c r="AA102" i="9"/>
  <c r="AB102" i="9"/>
  <c r="AC102" i="9"/>
  <c r="AD102" i="9"/>
  <c r="AE102" i="9"/>
  <c r="AF102" i="9"/>
  <c r="AG102" i="9"/>
  <c r="AI102" i="9"/>
  <c r="AJ102" i="9"/>
  <c r="Z103" i="9"/>
  <c r="AA103" i="9"/>
  <c r="AB103" i="9"/>
  <c r="AC103" i="9"/>
  <c r="AD103" i="9"/>
  <c r="AE103" i="9"/>
  <c r="AF103" i="9"/>
  <c r="AG103" i="9"/>
  <c r="AI103" i="9"/>
  <c r="AJ103" i="9"/>
  <c r="Z104" i="9"/>
  <c r="AA104" i="9"/>
  <c r="AB104" i="9"/>
  <c r="AC104" i="9"/>
  <c r="AD104" i="9"/>
  <c r="AE104" i="9"/>
  <c r="AF104" i="9"/>
  <c r="AG104" i="9"/>
  <c r="AI104" i="9"/>
  <c r="AJ104" i="9"/>
  <c r="Z105" i="9"/>
  <c r="AA105" i="9"/>
  <c r="AB105" i="9"/>
  <c r="AC105" i="9"/>
  <c r="AD105" i="9"/>
  <c r="AE105" i="9"/>
  <c r="AF105" i="9"/>
  <c r="AG105" i="9"/>
  <c r="AI105" i="9"/>
  <c r="AJ105" i="9"/>
  <c r="Z106" i="9"/>
  <c r="AA106" i="9"/>
  <c r="AB106" i="9"/>
  <c r="AC106" i="9"/>
  <c r="AD106" i="9"/>
  <c r="AE106" i="9"/>
  <c r="AF106" i="9"/>
  <c r="AG106" i="9"/>
  <c r="AI106" i="9"/>
  <c r="AJ106" i="9"/>
  <c r="Z107" i="9"/>
  <c r="AA107" i="9"/>
  <c r="AB107" i="9"/>
  <c r="AC107" i="9"/>
  <c r="AD107" i="9"/>
  <c r="AE107" i="9"/>
  <c r="AF107" i="9"/>
  <c r="AG107" i="9"/>
  <c r="AI107" i="9"/>
  <c r="AJ107" i="9"/>
  <c r="Z108" i="9"/>
  <c r="AA108" i="9"/>
  <c r="AB108" i="9"/>
  <c r="AC108" i="9"/>
  <c r="AD108" i="9"/>
  <c r="AE108" i="9"/>
  <c r="AF108" i="9"/>
  <c r="AG108" i="9"/>
  <c r="AI108" i="9"/>
  <c r="AJ108" i="9"/>
  <c r="Z109" i="9"/>
  <c r="AA109" i="9"/>
  <c r="AB109" i="9"/>
  <c r="AC109" i="9"/>
  <c r="AD109" i="9"/>
  <c r="AE109" i="9"/>
  <c r="AF109" i="9"/>
  <c r="AG109" i="9"/>
  <c r="AI109" i="9"/>
  <c r="AJ109" i="9"/>
  <c r="Z110" i="9"/>
  <c r="AA110" i="9"/>
  <c r="AB110" i="9"/>
  <c r="AC110" i="9"/>
  <c r="AD110" i="9"/>
  <c r="AE110" i="9"/>
  <c r="AF110" i="9"/>
  <c r="AG110" i="9"/>
  <c r="AI110" i="9"/>
  <c r="AJ110" i="9"/>
  <c r="Z111" i="9"/>
  <c r="AA111" i="9"/>
  <c r="AB111" i="9"/>
  <c r="AC111" i="9"/>
  <c r="AD111" i="9"/>
  <c r="AE111" i="9"/>
  <c r="AF111" i="9"/>
  <c r="AG111" i="9"/>
  <c r="AI111" i="9"/>
  <c r="AJ111" i="9"/>
  <c r="Z112" i="9"/>
  <c r="AA112" i="9"/>
  <c r="AB112" i="9"/>
  <c r="AC112" i="9"/>
  <c r="AD112" i="9"/>
  <c r="AE112" i="9"/>
  <c r="AF112" i="9"/>
  <c r="AG112" i="9"/>
  <c r="AI112" i="9"/>
  <c r="AJ112" i="9"/>
  <c r="Z113" i="9"/>
  <c r="AA113" i="9"/>
  <c r="AB113" i="9"/>
  <c r="AC113" i="9"/>
  <c r="AD113" i="9"/>
  <c r="AE113" i="9"/>
  <c r="AF113" i="9"/>
  <c r="AG113" i="9"/>
  <c r="AI113" i="9"/>
  <c r="AJ113" i="9"/>
  <c r="Z114" i="9"/>
  <c r="AA114" i="9"/>
  <c r="AB114" i="9"/>
  <c r="AC114" i="9"/>
  <c r="AD114" i="9"/>
  <c r="AE114" i="9"/>
  <c r="AF114" i="9"/>
  <c r="AG114" i="9"/>
  <c r="AI114" i="9"/>
  <c r="AJ114" i="9"/>
  <c r="Z115" i="9"/>
  <c r="AA115" i="9"/>
  <c r="AB115" i="9"/>
  <c r="AC115" i="9"/>
  <c r="AD115" i="9"/>
  <c r="AE115" i="9"/>
  <c r="AF115" i="9"/>
  <c r="AG115" i="9"/>
  <c r="AI115" i="9"/>
  <c r="AJ115" i="9"/>
  <c r="Z116" i="9"/>
  <c r="AA116" i="9"/>
  <c r="AB116" i="9"/>
  <c r="AC116" i="9"/>
  <c r="AD116" i="9"/>
  <c r="AE116" i="9"/>
  <c r="AF116" i="9"/>
  <c r="AG116" i="9"/>
  <c r="AI116" i="9"/>
  <c r="AJ116" i="9"/>
  <c r="Z117" i="9"/>
  <c r="AA117" i="9"/>
  <c r="AB117" i="9"/>
  <c r="AC117" i="9"/>
  <c r="AD117" i="9"/>
  <c r="AE117" i="9"/>
  <c r="AF117" i="9"/>
  <c r="AG117" i="9"/>
  <c r="AI117" i="9"/>
  <c r="AJ117" i="9"/>
  <c r="Z118" i="9"/>
  <c r="AA118" i="9"/>
  <c r="AB118" i="9"/>
  <c r="AC118" i="9"/>
  <c r="AD118" i="9"/>
  <c r="AE118" i="9"/>
  <c r="AF118" i="9"/>
  <c r="AG118" i="9"/>
  <c r="AI118" i="9"/>
  <c r="AJ118" i="9"/>
  <c r="Z119" i="9"/>
  <c r="AA119" i="9"/>
  <c r="AB119" i="9"/>
  <c r="AC119" i="9"/>
  <c r="AD119" i="9"/>
  <c r="AE119" i="9"/>
  <c r="AF119" i="9"/>
  <c r="AG119" i="9"/>
  <c r="AI119" i="9"/>
  <c r="AJ119" i="9"/>
  <c r="Z120" i="9"/>
  <c r="AA120" i="9"/>
  <c r="AB120" i="9"/>
  <c r="AC120" i="9"/>
  <c r="AD120" i="9"/>
  <c r="AE120" i="9"/>
  <c r="AF120" i="9"/>
  <c r="AG120" i="9"/>
  <c r="AI120" i="9"/>
  <c r="AJ120" i="9"/>
  <c r="Z121" i="9"/>
  <c r="AA121" i="9"/>
  <c r="AB121" i="9"/>
  <c r="AC121" i="9"/>
  <c r="AD121" i="9"/>
  <c r="AE121" i="9"/>
  <c r="AF121" i="9"/>
  <c r="AG121" i="9"/>
  <c r="AI121" i="9"/>
  <c r="AJ121" i="9"/>
  <c r="Z122" i="9"/>
  <c r="AA122" i="9"/>
  <c r="AB122" i="9"/>
  <c r="AC122" i="9"/>
  <c r="AD122" i="9"/>
  <c r="AE122" i="9"/>
  <c r="AF122" i="9"/>
  <c r="AG122" i="9"/>
  <c r="AI122" i="9"/>
  <c r="AJ122" i="9"/>
  <c r="Z123" i="9"/>
  <c r="AA123" i="9"/>
  <c r="AB123" i="9"/>
  <c r="AC123" i="9"/>
  <c r="AD123" i="9"/>
  <c r="AE123" i="9"/>
  <c r="AF123" i="9"/>
  <c r="AG123" i="9"/>
  <c r="AI123" i="9"/>
  <c r="AJ123" i="9"/>
  <c r="Z124" i="9"/>
  <c r="AA124" i="9"/>
  <c r="AB124" i="9"/>
  <c r="AC124" i="9"/>
  <c r="AD124" i="9"/>
  <c r="AE124" i="9"/>
  <c r="AF124" i="9"/>
  <c r="AG124" i="9"/>
  <c r="AI124" i="9"/>
  <c r="AJ124" i="9"/>
  <c r="Z125" i="9"/>
  <c r="AA125" i="9"/>
  <c r="AB125" i="9"/>
  <c r="AC125" i="9"/>
  <c r="AD125" i="9"/>
  <c r="AE125" i="9"/>
  <c r="AF125" i="9"/>
  <c r="AG125" i="9"/>
  <c r="AI125" i="9"/>
  <c r="AJ125" i="9"/>
  <c r="Z126" i="9"/>
  <c r="AA126" i="9"/>
  <c r="AB126" i="9"/>
  <c r="AC126" i="9"/>
  <c r="AD126" i="9"/>
  <c r="AE126" i="9"/>
  <c r="AF126" i="9"/>
  <c r="AG126" i="9"/>
  <c r="AI126" i="9"/>
  <c r="AJ126" i="9"/>
  <c r="Z127" i="9"/>
  <c r="AA127" i="9"/>
  <c r="AB127" i="9"/>
  <c r="AC127" i="9"/>
  <c r="AD127" i="9"/>
  <c r="AE127" i="9"/>
  <c r="AF127" i="9"/>
  <c r="AG127" i="9"/>
  <c r="AI127" i="9"/>
  <c r="AJ127" i="9"/>
  <c r="Z128" i="9"/>
  <c r="AA128" i="9"/>
  <c r="AB128" i="9"/>
  <c r="AC128" i="9"/>
  <c r="AD128" i="9"/>
  <c r="AE128" i="9"/>
  <c r="AF128" i="9"/>
  <c r="AG128" i="9"/>
  <c r="AI128" i="9"/>
  <c r="AJ128" i="9"/>
  <c r="Z129" i="9"/>
  <c r="AA129" i="9"/>
  <c r="AB129" i="9"/>
  <c r="AC129" i="9"/>
  <c r="AD129" i="9"/>
  <c r="AE129" i="9"/>
  <c r="AF129" i="9"/>
  <c r="AG129" i="9"/>
  <c r="AI129" i="9"/>
  <c r="AJ129" i="9"/>
  <c r="Z130" i="9"/>
  <c r="AA130" i="9"/>
  <c r="AB130" i="9"/>
  <c r="AC130" i="9"/>
  <c r="AD130" i="9"/>
  <c r="AE130" i="9"/>
  <c r="AF130" i="9"/>
  <c r="AG130" i="9"/>
  <c r="AI130" i="9"/>
  <c r="AJ130" i="9"/>
  <c r="Z131" i="9"/>
  <c r="AA131" i="9"/>
  <c r="AB131" i="9"/>
  <c r="AC131" i="9"/>
  <c r="AD131" i="9"/>
  <c r="AE131" i="9"/>
  <c r="AF131" i="9"/>
  <c r="AG131" i="9"/>
  <c r="AI131" i="9"/>
  <c r="AJ131" i="9"/>
  <c r="Z132" i="9"/>
  <c r="AA132" i="9"/>
  <c r="AB132" i="9"/>
  <c r="AC132" i="9"/>
  <c r="AD132" i="9"/>
  <c r="AE132" i="9"/>
  <c r="AF132" i="9"/>
  <c r="AG132" i="9"/>
  <c r="AI132" i="9"/>
  <c r="AJ132" i="9"/>
  <c r="Z133" i="9"/>
  <c r="AA133" i="9"/>
  <c r="AB133" i="9"/>
  <c r="AC133" i="9"/>
  <c r="AD133" i="9"/>
  <c r="AE133" i="9"/>
  <c r="AF133" i="9"/>
  <c r="AG133" i="9"/>
  <c r="AI133" i="9"/>
  <c r="AJ133" i="9"/>
  <c r="Z134" i="9"/>
  <c r="AA134" i="9"/>
  <c r="AB134" i="9"/>
  <c r="AC134" i="9"/>
  <c r="AD134" i="9"/>
  <c r="AE134" i="9"/>
  <c r="AF134" i="9"/>
  <c r="AG134" i="9"/>
  <c r="AI134" i="9"/>
  <c r="AJ134" i="9"/>
  <c r="Z135" i="9"/>
  <c r="AA135" i="9"/>
  <c r="AB135" i="9"/>
  <c r="AC135" i="9"/>
  <c r="AD135" i="9"/>
  <c r="AE135" i="9"/>
  <c r="AF135" i="9"/>
  <c r="AG135" i="9"/>
  <c r="AI135" i="9"/>
  <c r="AJ135" i="9"/>
  <c r="Z136" i="9"/>
  <c r="AA136" i="9"/>
  <c r="AB136" i="9"/>
  <c r="AC136" i="9"/>
  <c r="AD136" i="9"/>
  <c r="AE136" i="9"/>
  <c r="AF136" i="9"/>
  <c r="AG136" i="9"/>
  <c r="AI136" i="9"/>
  <c r="AJ136" i="9"/>
  <c r="Z137" i="9"/>
  <c r="AA137" i="9"/>
  <c r="AB137" i="9"/>
  <c r="AC137" i="9"/>
  <c r="AD137" i="9"/>
  <c r="AE137" i="9"/>
  <c r="AF137" i="9"/>
  <c r="AG137" i="9"/>
  <c r="AI137" i="9"/>
  <c r="AJ137" i="9"/>
  <c r="Z138" i="9"/>
  <c r="AA138" i="9"/>
  <c r="AB138" i="9"/>
  <c r="AC138" i="9"/>
  <c r="AD138" i="9"/>
  <c r="AE138" i="9"/>
  <c r="AF138" i="9"/>
  <c r="AG138" i="9"/>
  <c r="AI138" i="9"/>
  <c r="AJ138" i="9"/>
  <c r="Z139" i="9"/>
  <c r="AA139" i="9"/>
  <c r="AB139" i="9"/>
  <c r="AC139" i="9"/>
  <c r="AD139" i="9"/>
  <c r="AE139" i="9"/>
  <c r="AF139" i="9"/>
  <c r="AG139" i="9"/>
  <c r="AI139" i="9"/>
  <c r="AJ139" i="9"/>
  <c r="Z140" i="9"/>
  <c r="AA140" i="9"/>
  <c r="AB140" i="9"/>
  <c r="AC140" i="9"/>
  <c r="AD140" i="9"/>
  <c r="AE140" i="9"/>
  <c r="AF140" i="9"/>
  <c r="AG140" i="9"/>
  <c r="AI140" i="9"/>
  <c r="AJ140" i="9"/>
  <c r="Z141" i="9"/>
  <c r="AA141" i="9"/>
  <c r="AB141" i="9"/>
  <c r="AC141" i="9"/>
  <c r="AD141" i="9"/>
  <c r="AE141" i="9"/>
  <c r="AF141" i="9"/>
  <c r="AG141" i="9"/>
  <c r="AI141" i="9"/>
  <c r="AJ141" i="9"/>
  <c r="Z142" i="9"/>
  <c r="AA142" i="9"/>
  <c r="AB142" i="9"/>
  <c r="AC142" i="9"/>
  <c r="AD142" i="9"/>
  <c r="AE142" i="9"/>
  <c r="AF142" i="9"/>
  <c r="AG142" i="9"/>
  <c r="AI142" i="9"/>
  <c r="AJ142" i="9"/>
  <c r="Z143" i="9"/>
  <c r="AA143" i="9"/>
  <c r="AB143" i="9"/>
  <c r="AC143" i="9"/>
  <c r="AD143" i="9"/>
  <c r="AE143" i="9"/>
  <c r="AF143" i="9"/>
  <c r="AG143" i="9"/>
  <c r="AI143" i="9"/>
  <c r="AJ143" i="9"/>
  <c r="Z144" i="9"/>
  <c r="AA144" i="9"/>
  <c r="AB144" i="9"/>
  <c r="AC144" i="9"/>
  <c r="AD144" i="9"/>
  <c r="AE144" i="9"/>
  <c r="AF144" i="9"/>
  <c r="AG144" i="9"/>
  <c r="AI144" i="9"/>
  <c r="AJ144" i="9"/>
  <c r="Z145" i="9"/>
  <c r="AA145" i="9"/>
  <c r="AB145" i="9"/>
  <c r="AC145" i="9"/>
  <c r="AD145" i="9"/>
  <c r="AE145" i="9"/>
  <c r="AF145" i="9"/>
  <c r="AG145" i="9"/>
  <c r="AI145" i="9"/>
  <c r="AJ145" i="9"/>
  <c r="Z146" i="9"/>
  <c r="AA146" i="9"/>
  <c r="AB146" i="9"/>
  <c r="AC146" i="9"/>
  <c r="AD146" i="9"/>
  <c r="AE146" i="9"/>
  <c r="AF146" i="9"/>
  <c r="AG146" i="9"/>
  <c r="AI146" i="9"/>
  <c r="AJ146" i="9"/>
  <c r="Z147" i="9"/>
  <c r="AA147" i="9"/>
  <c r="AB147" i="9"/>
  <c r="AC147" i="9"/>
  <c r="AD147" i="9"/>
  <c r="AE147" i="9"/>
  <c r="AF147" i="9"/>
  <c r="AG147" i="9"/>
  <c r="AI147" i="9"/>
  <c r="AJ147" i="9"/>
  <c r="Z148" i="9"/>
  <c r="AA148" i="9"/>
  <c r="AB148" i="9"/>
  <c r="AC148" i="9"/>
  <c r="AD148" i="9"/>
  <c r="AE148" i="9"/>
  <c r="AF148" i="9"/>
  <c r="AG148" i="9"/>
  <c r="AI148" i="9"/>
  <c r="AJ148" i="9"/>
  <c r="Z149" i="9"/>
  <c r="AA149" i="9"/>
  <c r="AB149" i="9"/>
  <c r="AC149" i="9"/>
  <c r="AD149" i="9"/>
  <c r="AE149" i="9"/>
  <c r="AF149" i="9"/>
  <c r="AG149" i="9"/>
  <c r="AI149" i="9"/>
  <c r="AJ149" i="9"/>
  <c r="Z150" i="9"/>
  <c r="AA150" i="9"/>
  <c r="AB150" i="9"/>
  <c r="AC150" i="9"/>
  <c r="AD150" i="9"/>
  <c r="AE150" i="9"/>
  <c r="AF150" i="9"/>
  <c r="AG150" i="9"/>
  <c r="AI150" i="9"/>
  <c r="AJ150" i="9"/>
  <c r="Z151" i="9"/>
  <c r="AA151" i="9"/>
  <c r="AB151" i="9"/>
  <c r="AC151" i="9"/>
  <c r="AD151" i="9"/>
  <c r="AE151" i="9"/>
  <c r="AF151" i="9"/>
  <c r="AG151" i="9"/>
  <c r="AI151" i="9"/>
  <c r="AJ151" i="9"/>
  <c r="Z152" i="9"/>
  <c r="AA152" i="9"/>
  <c r="AB152" i="9"/>
  <c r="AC152" i="9"/>
  <c r="AD152" i="9"/>
  <c r="AE152" i="9"/>
  <c r="AF152" i="9"/>
  <c r="AG152" i="9"/>
  <c r="AI152" i="9"/>
  <c r="AJ152" i="9"/>
  <c r="Z153" i="9"/>
  <c r="AA153" i="9"/>
  <c r="AB153" i="9"/>
  <c r="AC153" i="9"/>
  <c r="AD153" i="9"/>
  <c r="AE153" i="9"/>
  <c r="AF153" i="9"/>
  <c r="AG153" i="9"/>
  <c r="AI153" i="9"/>
  <c r="AJ153" i="9"/>
  <c r="Z154" i="9"/>
  <c r="AA154" i="9"/>
  <c r="AB154" i="9"/>
  <c r="AC154" i="9"/>
  <c r="AD154" i="9"/>
  <c r="AE154" i="9"/>
  <c r="AF154" i="9"/>
  <c r="AG154" i="9"/>
  <c r="AI154" i="9"/>
  <c r="AJ154" i="9"/>
  <c r="Z155" i="9"/>
  <c r="AA155" i="9"/>
  <c r="AB155" i="9"/>
  <c r="AC155" i="9"/>
  <c r="AD155" i="9"/>
  <c r="AE155" i="9"/>
  <c r="AF155" i="9"/>
  <c r="AG155" i="9"/>
  <c r="AI155" i="9"/>
  <c r="AJ155" i="9"/>
  <c r="Z156" i="9"/>
  <c r="AA156" i="9"/>
  <c r="AB156" i="9"/>
  <c r="AC156" i="9"/>
  <c r="AD156" i="9"/>
  <c r="AE156" i="9"/>
  <c r="AF156" i="9"/>
  <c r="AG156" i="9"/>
  <c r="AI156" i="9"/>
  <c r="AJ156" i="9"/>
  <c r="Z157" i="9"/>
  <c r="AA157" i="9"/>
  <c r="AB157" i="9"/>
  <c r="AC157" i="9"/>
  <c r="AD157" i="9"/>
  <c r="AE157" i="9"/>
  <c r="AF157" i="9"/>
  <c r="AG157" i="9"/>
  <c r="AI157" i="9"/>
  <c r="AJ157" i="9"/>
  <c r="Z158" i="9"/>
  <c r="AA158" i="9"/>
  <c r="AB158" i="9"/>
  <c r="AC158" i="9"/>
  <c r="AD158" i="9"/>
  <c r="AE158" i="9"/>
  <c r="AF158" i="9"/>
  <c r="AG158" i="9"/>
  <c r="AI158" i="9"/>
  <c r="AJ158" i="9"/>
  <c r="Z159" i="9"/>
  <c r="AA159" i="9"/>
  <c r="AB159" i="9"/>
  <c r="AC159" i="9"/>
  <c r="AD159" i="9"/>
  <c r="AE159" i="9"/>
  <c r="AF159" i="9"/>
  <c r="AG159" i="9"/>
  <c r="AI159" i="9"/>
  <c r="AJ159" i="9"/>
  <c r="Z160" i="9"/>
  <c r="AA160" i="9"/>
  <c r="AB160" i="9"/>
  <c r="AC160" i="9"/>
  <c r="AD160" i="9"/>
  <c r="AE160" i="9"/>
  <c r="AF160" i="9"/>
  <c r="AG160" i="9"/>
  <c r="AI160" i="9"/>
  <c r="AJ160" i="9"/>
  <c r="Z161" i="9"/>
  <c r="AA161" i="9"/>
  <c r="AB161" i="9"/>
  <c r="AC161" i="9"/>
  <c r="AD161" i="9"/>
  <c r="AE161" i="9"/>
  <c r="AF161" i="9"/>
  <c r="AG161" i="9"/>
  <c r="AI161" i="9"/>
  <c r="AJ161" i="9"/>
  <c r="Z162" i="9"/>
  <c r="AA162" i="9"/>
  <c r="AB162" i="9"/>
  <c r="AC162" i="9"/>
  <c r="AD162" i="9"/>
  <c r="AE162" i="9"/>
  <c r="AF162" i="9"/>
  <c r="AG162" i="9"/>
  <c r="AI162" i="9"/>
  <c r="AJ162" i="9"/>
  <c r="Z163" i="9"/>
  <c r="AA163" i="9"/>
  <c r="AB163" i="9"/>
  <c r="AC163" i="9"/>
  <c r="AD163" i="9"/>
  <c r="AE163" i="9"/>
  <c r="AF163" i="9"/>
  <c r="AG163" i="9"/>
  <c r="AI163" i="9"/>
  <c r="AJ163" i="9"/>
  <c r="Z164" i="9"/>
  <c r="AA164" i="9"/>
  <c r="AB164" i="9"/>
  <c r="AC164" i="9"/>
  <c r="AD164" i="9"/>
  <c r="AE164" i="9"/>
  <c r="AF164" i="9"/>
  <c r="AG164" i="9"/>
  <c r="AI164" i="9"/>
  <c r="AJ164" i="9"/>
  <c r="Z165" i="9"/>
  <c r="AA165" i="9"/>
  <c r="AB165" i="9"/>
  <c r="AC165" i="9"/>
  <c r="AD165" i="9"/>
  <c r="AE165" i="9"/>
  <c r="AF165" i="9"/>
  <c r="AG165" i="9"/>
  <c r="AI165" i="9"/>
  <c r="AJ165" i="9"/>
  <c r="Z166" i="9"/>
  <c r="AA166" i="9"/>
  <c r="AB166" i="9"/>
  <c r="AC166" i="9"/>
  <c r="AD166" i="9"/>
  <c r="AE166" i="9"/>
  <c r="AF166" i="9"/>
  <c r="AG166" i="9"/>
  <c r="AI166" i="9"/>
  <c r="AJ166" i="9"/>
  <c r="Z167" i="9"/>
  <c r="AA167" i="9"/>
  <c r="AB167" i="9"/>
  <c r="AC167" i="9"/>
  <c r="AD167" i="9"/>
  <c r="AE167" i="9"/>
  <c r="AF167" i="9"/>
  <c r="AG167" i="9"/>
  <c r="AI167" i="9"/>
  <c r="AJ167" i="9"/>
  <c r="Z168" i="9"/>
  <c r="AA168" i="9"/>
  <c r="AB168" i="9"/>
  <c r="AC168" i="9"/>
  <c r="AD168" i="9"/>
  <c r="AE168" i="9"/>
  <c r="AF168" i="9"/>
  <c r="AG168" i="9"/>
  <c r="AI168" i="9"/>
  <c r="AJ168" i="9"/>
  <c r="Z169" i="9"/>
  <c r="AA169" i="9"/>
  <c r="AB169" i="9"/>
  <c r="AC169" i="9"/>
  <c r="AD169" i="9"/>
  <c r="AE169" i="9"/>
  <c r="AF169" i="9"/>
  <c r="AG169" i="9"/>
  <c r="AI169" i="9"/>
  <c r="AJ169" i="9"/>
  <c r="C11" i="32"/>
  <c r="D11" i="32"/>
  <c r="E11" i="32"/>
  <c r="F11" i="32"/>
  <c r="G11" i="32"/>
  <c r="C12" i="32"/>
  <c r="D12" i="32"/>
  <c r="E12" i="32"/>
  <c r="F12" i="32"/>
  <c r="G12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M236" i="32"/>
  <c r="B237" i="32"/>
  <c r="M237" i="32"/>
  <c r="B238" i="32"/>
  <c r="M238" i="32"/>
  <c r="B239" i="32"/>
  <c r="M239" i="32"/>
  <c r="B240" i="32"/>
  <c r="M240" i="32"/>
  <c r="B241" i="32"/>
  <c r="M241" i="32"/>
  <c r="B242" i="32"/>
  <c r="M242" i="32"/>
  <c r="B243" i="32"/>
  <c r="M243" i="32"/>
  <c r="B244" i="32"/>
  <c r="M244" i="32"/>
  <c r="B245" i="32"/>
  <c r="M245" i="32"/>
  <c r="B246" i="32"/>
  <c r="M246" i="32"/>
  <c r="B247" i="32"/>
  <c r="M247" i="32"/>
  <c r="B248" i="32"/>
  <c r="M248" i="32"/>
  <c r="B249" i="32"/>
  <c r="M249" i="32"/>
  <c r="B250" i="32"/>
  <c r="M250" i="32"/>
  <c r="B251" i="32"/>
  <c r="M251" i="32"/>
  <c r="B252" i="32"/>
  <c r="M252" i="32"/>
  <c r="B253" i="32"/>
  <c r="M253" i="32"/>
  <c r="B254" i="32"/>
  <c r="M254" i="32"/>
  <c r="B255" i="32"/>
  <c r="M255" i="32"/>
  <c r="B256" i="32"/>
  <c r="M256" i="32"/>
  <c r="B257" i="32"/>
  <c r="M257" i="32"/>
  <c r="B258" i="32"/>
  <c r="M258" i="32"/>
  <c r="B259" i="32"/>
  <c r="M259" i="32"/>
  <c r="B260" i="32"/>
  <c r="M260" i="32"/>
  <c r="B261" i="32"/>
  <c r="M261" i="32"/>
  <c r="B262" i="32"/>
  <c r="M262" i="32"/>
  <c r="B263" i="32"/>
  <c r="M263" i="32"/>
  <c r="B264" i="32"/>
  <c r="M264" i="32"/>
  <c r="B265" i="32"/>
  <c r="M265" i="32"/>
  <c r="B266" i="32"/>
  <c r="M266" i="32"/>
  <c r="B267" i="32"/>
  <c r="M267" i="32"/>
  <c r="B268" i="32"/>
  <c r="M268" i="32"/>
  <c r="B269" i="32"/>
  <c r="M269" i="32"/>
  <c r="B270" i="32"/>
  <c r="M270" i="32"/>
  <c r="B271" i="32"/>
  <c r="M271" i="32"/>
  <c r="B272" i="32"/>
  <c r="M272" i="32"/>
  <c r="B273" i="32"/>
  <c r="M273" i="32"/>
  <c r="B274" i="32"/>
  <c r="M274" i="32"/>
  <c r="B275" i="32"/>
  <c r="M275" i="32"/>
  <c r="B276" i="32"/>
  <c r="M276" i="32"/>
  <c r="B277" i="32"/>
  <c r="M277" i="32"/>
  <c r="B278" i="32"/>
  <c r="M278" i="32"/>
  <c r="B279" i="32"/>
  <c r="M279" i="32"/>
  <c r="B280" i="32"/>
  <c r="M280" i="32"/>
  <c r="B281" i="32"/>
  <c r="M281" i="32"/>
  <c r="B282" i="32"/>
  <c r="M282" i="32"/>
  <c r="B283" i="32"/>
  <c r="M283" i="32"/>
  <c r="B284" i="32"/>
  <c r="M284" i="32"/>
  <c r="B285" i="32"/>
  <c r="M285" i="32"/>
  <c r="B286" i="32"/>
  <c r="M286" i="32"/>
  <c r="B287" i="32"/>
  <c r="M287" i="32"/>
  <c r="B288" i="32"/>
  <c r="M288" i="32"/>
  <c r="B289" i="32"/>
  <c r="M289" i="32"/>
  <c r="B290" i="32"/>
  <c r="M290" i="32"/>
  <c r="B291" i="32"/>
  <c r="M291" i="32"/>
  <c r="B292" i="32"/>
  <c r="M292" i="32"/>
  <c r="B293" i="32"/>
  <c r="M293" i="32"/>
  <c r="B294" i="32"/>
  <c r="M294" i="32"/>
  <c r="B295" i="32"/>
  <c r="M295" i="32"/>
  <c r="B296" i="32"/>
  <c r="M296" i="32"/>
  <c r="B297" i="32"/>
  <c r="M297" i="32"/>
  <c r="B298" i="32"/>
  <c r="M298" i="32"/>
  <c r="B299" i="32"/>
  <c r="M299" i="32"/>
  <c r="B300" i="32"/>
  <c r="M300" i="32"/>
  <c r="B301" i="32"/>
  <c r="M301" i="32"/>
  <c r="B302" i="32"/>
  <c r="M302" i="32"/>
  <c r="B303" i="32"/>
  <c r="M303" i="32"/>
  <c r="B304" i="32"/>
  <c r="M304" i="32"/>
  <c r="B305" i="32"/>
  <c r="M305" i="32"/>
  <c r="B306" i="32"/>
  <c r="M306" i="32"/>
  <c r="B307" i="32"/>
  <c r="M307" i="32"/>
  <c r="B308" i="32"/>
  <c r="M308" i="32"/>
  <c r="B309" i="32"/>
  <c r="M309" i="32"/>
  <c r="B310" i="32"/>
  <c r="M310" i="32"/>
  <c r="B311" i="32"/>
  <c r="M311" i="32"/>
  <c r="AV1" i="31"/>
  <c r="AC2" i="31"/>
  <c r="AD2" i="31"/>
  <c r="AE2" i="31"/>
  <c r="AF2" i="31"/>
  <c r="AG2" i="31"/>
  <c r="AH2" i="31"/>
  <c r="AI2" i="31"/>
  <c r="AK2" i="31"/>
  <c r="AV2" i="31"/>
  <c r="C3" i="31"/>
  <c r="T3" i="31"/>
  <c r="U3" i="31"/>
  <c r="W3" i="31"/>
  <c r="AC3" i="31"/>
  <c r="AV3" i="31"/>
  <c r="K7" i="31"/>
  <c r="L7" i="31"/>
  <c r="P7" i="31"/>
  <c r="R7" i="31"/>
  <c r="S7" i="31"/>
  <c r="T7" i="31"/>
  <c r="V7" i="31"/>
  <c r="W7" i="31"/>
  <c r="X7" i="31"/>
  <c r="Y7" i="31"/>
  <c r="AB7" i="31"/>
  <c r="AJ7" i="31"/>
  <c r="AL7" i="31"/>
  <c r="AM7" i="31"/>
  <c r="AN7" i="31"/>
  <c r="AO7" i="31"/>
  <c r="AP7" i="31"/>
  <c r="AR7" i="31"/>
  <c r="AS7" i="31"/>
  <c r="AT7" i="31"/>
  <c r="AU7" i="31"/>
  <c r="AV7" i="31"/>
  <c r="AW7" i="31"/>
  <c r="K8" i="31"/>
  <c r="L8" i="31"/>
  <c r="P8" i="31"/>
  <c r="R8" i="31"/>
  <c r="S8" i="31"/>
  <c r="T8" i="31"/>
  <c r="V8" i="31"/>
  <c r="W8" i="31"/>
  <c r="X8" i="31"/>
  <c r="Y8" i="31"/>
  <c r="AB8" i="31"/>
  <c r="AJ8" i="31"/>
  <c r="AL8" i="31"/>
  <c r="AM8" i="31"/>
  <c r="AN8" i="31"/>
  <c r="AO8" i="31"/>
  <c r="AP8" i="31"/>
  <c r="AQ8" i="31"/>
  <c r="AR8" i="31"/>
  <c r="AS8" i="31"/>
  <c r="AT8" i="31"/>
  <c r="AU8" i="31"/>
  <c r="AV8" i="31"/>
  <c r="AW8" i="31"/>
  <c r="K9" i="31"/>
  <c r="L9" i="31"/>
  <c r="P9" i="31"/>
  <c r="R9" i="31"/>
  <c r="S9" i="31"/>
  <c r="T9" i="31"/>
  <c r="V9" i="31"/>
  <c r="W9" i="31"/>
  <c r="X9" i="31"/>
  <c r="Y9" i="31"/>
  <c r="AB9" i="31"/>
  <c r="AJ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Z9" i="31"/>
  <c r="K10" i="31"/>
  <c r="L10" i="31"/>
  <c r="P10" i="31"/>
  <c r="R10" i="31"/>
  <c r="S10" i="31"/>
  <c r="T10" i="31"/>
  <c r="V10" i="31"/>
  <c r="W10" i="31"/>
  <c r="X10" i="31"/>
  <c r="Y10" i="31"/>
  <c r="AB10" i="31"/>
  <c r="AJ10" i="31"/>
  <c r="AL10" i="31"/>
  <c r="AM10" i="31"/>
  <c r="AN10" i="31"/>
  <c r="AO10" i="31"/>
  <c r="AP10" i="31"/>
  <c r="AQ10" i="31"/>
  <c r="AR10" i="31"/>
  <c r="AS10" i="31"/>
  <c r="AT10" i="31"/>
  <c r="AU10" i="31"/>
  <c r="AV10" i="31"/>
  <c r="AW10" i="31"/>
  <c r="AZ10" i="31"/>
  <c r="K11" i="31"/>
  <c r="L11" i="31"/>
  <c r="P11" i="31"/>
  <c r="R11" i="31"/>
  <c r="S11" i="31"/>
  <c r="T11" i="31"/>
  <c r="V11" i="31"/>
  <c r="W11" i="31"/>
  <c r="X11" i="31"/>
  <c r="Y11" i="31"/>
  <c r="AB11" i="31"/>
  <c r="AJ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Z11" i="31"/>
  <c r="K12" i="31"/>
  <c r="L12" i="31"/>
  <c r="P12" i="31"/>
  <c r="R12" i="31"/>
  <c r="S12" i="31"/>
  <c r="T12" i="31"/>
  <c r="V12" i="31"/>
  <c r="W12" i="31"/>
  <c r="X12" i="31"/>
  <c r="Y12" i="31"/>
  <c r="AB12" i="31"/>
  <c r="AJ12" i="31"/>
  <c r="AL12" i="31"/>
  <c r="AM12" i="31"/>
  <c r="AN12" i="31"/>
  <c r="AO12" i="31"/>
  <c r="AP12" i="31"/>
  <c r="AQ12" i="31"/>
  <c r="AR12" i="31"/>
  <c r="AS12" i="31"/>
  <c r="AT12" i="31"/>
  <c r="AU12" i="31"/>
  <c r="AV12" i="31"/>
  <c r="AW12" i="31"/>
  <c r="AZ12" i="31"/>
  <c r="K13" i="31"/>
  <c r="L13" i="31"/>
  <c r="P13" i="31"/>
  <c r="R13" i="31"/>
  <c r="S13" i="31"/>
  <c r="T13" i="31"/>
  <c r="V13" i="31"/>
  <c r="W13" i="31"/>
  <c r="X13" i="31"/>
  <c r="Y13" i="31"/>
  <c r="AB13" i="31"/>
  <c r="AJ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Z13" i="31"/>
  <c r="K14" i="31"/>
  <c r="L14" i="31"/>
  <c r="P14" i="31"/>
  <c r="R14" i="31"/>
  <c r="S14" i="31"/>
  <c r="T14" i="31"/>
  <c r="V14" i="31"/>
  <c r="W14" i="31"/>
  <c r="X14" i="31"/>
  <c r="Y14" i="31"/>
  <c r="AB14" i="31"/>
  <c r="AJ14" i="31"/>
  <c r="AL14" i="31"/>
  <c r="AM14" i="31"/>
  <c r="AN14" i="31"/>
  <c r="AO14" i="31"/>
  <c r="AP14" i="31"/>
  <c r="AQ14" i="31"/>
  <c r="AR14" i="31"/>
  <c r="AS14" i="31"/>
  <c r="AT14" i="31"/>
  <c r="AU14" i="31"/>
  <c r="AV14" i="31"/>
  <c r="AW14" i="31"/>
  <c r="AZ14" i="31"/>
  <c r="K15" i="31"/>
  <c r="L15" i="31"/>
  <c r="P15" i="31"/>
  <c r="R15" i="31"/>
  <c r="S15" i="31"/>
  <c r="T15" i="31"/>
  <c r="V15" i="31"/>
  <c r="W15" i="31"/>
  <c r="X15" i="31"/>
  <c r="Y15" i="31"/>
  <c r="AB15" i="31"/>
  <c r="AJ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Z15" i="31"/>
  <c r="K16" i="31"/>
  <c r="L16" i="31"/>
  <c r="P16" i="31"/>
  <c r="R16" i="31"/>
  <c r="S16" i="31"/>
  <c r="T16" i="31"/>
  <c r="V16" i="31"/>
  <c r="W16" i="31"/>
  <c r="X16" i="31"/>
  <c r="Y16" i="31"/>
  <c r="AB16" i="31"/>
  <c r="AJ16" i="31"/>
  <c r="AL16" i="31"/>
  <c r="AM16" i="31"/>
  <c r="AN16" i="31"/>
  <c r="AO16" i="31"/>
  <c r="AP16" i="31"/>
  <c r="AQ16" i="31"/>
  <c r="AR16" i="31"/>
  <c r="AS16" i="31"/>
  <c r="AT16" i="31"/>
  <c r="AU16" i="31"/>
  <c r="AV16" i="31"/>
  <c r="AW16" i="31"/>
  <c r="AZ16" i="31"/>
  <c r="K17" i="31"/>
  <c r="L17" i="31"/>
  <c r="P17" i="31"/>
  <c r="R17" i="31"/>
  <c r="S17" i="31"/>
  <c r="T17" i="31"/>
  <c r="V17" i="31"/>
  <c r="W17" i="31"/>
  <c r="X17" i="31"/>
  <c r="Y17" i="31"/>
  <c r="AB17" i="31"/>
  <c r="AJ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Z17" i="31"/>
  <c r="K18" i="31"/>
  <c r="L18" i="31"/>
  <c r="P18" i="31"/>
  <c r="R18" i="31"/>
  <c r="S18" i="31"/>
  <c r="T18" i="31"/>
  <c r="V18" i="31"/>
  <c r="W18" i="31"/>
  <c r="X18" i="31"/>
  <c r="Y18" i="31"/>
  <c r="AB18" i="31"/>
  <c r="AJ18" i="31"/>
  <c r="AL18" i="31"/>
  <c r="AM18" i="31"/>
  <c r="AN18" i="31"/>
  <c r="AO18" i="31"/>
  <c r="AP18" i="31"/>
  <c r="AQ18" i="31"/>
  <c r="AR18" i="31"/>
  <c r="AS18" i="31"/>
  <c r="AT18" i="31"/>
  <c r="AU18" i="31"/>
  <c r="AV18" i="31"/>
  <c r="AW18" i="31"/>
  <c r="AZ18" i="31"/>
  <c r="K19" i="31"/>
  <c r="L19" i="31"/>
  <c r="P19" i="31"/>
  <c r="R19" i="31"/>
  <c r="S19" i="31"/>
  <c r="T19" i="31"/>
  <c r="V19" i="31"/>
  <c r="W19" i="31"/>
  <c r="X19" i="31"/>
  <c r="Y19" i="31"/>
  <c r="AB19" i="31"/>
  <c r="AJ19" i="31"/>
  <c r="AL19" i="31"/>
  <c r="AM19" i="31"/>
  <c r="AN19" i="31"/>
  <c r="AO19" i="31"/>
  <c r="AP19" i="31"/>
  <c r="AQ19" i="31"/>
  <c r="AR19" i="31"/>
  <c r="AS19" i="31"/>
  <c r="AT19" i="31"/>
  <c r="AU19" i="31"/>
  <c r="AV19" i="31"/>
  <c r="AW19" i="31"/>
  <c r="AZ19" i="31"/>
  <c r="K20" i="31"/>
  <c r="L20" i="31"/>
  <c r="P20" i="31"/>
  <c r="R20" i="31"/>
  <c r="S20" i="31"/>
  <c r="T20" i="31"/>
  <c r="V20" i="31"/>
  <c r="W20" i="31"/>
  <c r="X20" i="31"/>
  <c r="Y20" i="31"/>
  <c r="AB20" i="31"/>
  <c r="AJ20" i="31"/>
  <c r="AL20" i="31"/>
  <c r="AM20" i="31"/>
  <c r="AN20" i="31"/>
  <c r="AO20" i="31"/>
  <c r="AP20" i="31"/>
  <c r="AQ20" i="31"/>
  <c r="AR20" i="31"/>
  <c r="AS20" i="31"/>
  <c r="AT20" i="31"/>
  <c r="AU20" i="31"/>
  <c r="AV20" i="31"/>
  <c r="AW20" i="31"/>
  <c r="AZ20" i="31"/>
  <c r="K21" i="31"/>
  <c r="L21" i="31"/>
  <c r="P21" i="31"/>
  <c r="R21" i="31"/>
  <c r="S21" i="31"/>
  <c r="T21" i="31"/>
  <c r="V21" i="31"/>
  <c r="W21" i="31"/>
  <c r="X21" i="31"/>
  <c r="Y21" i="31"/>
  <c r="AB21" i="31"/>
  <c r="AJ21" i="31"/>
  <c r="AL21" i="31"/>
  <c r="AM21" i="31"/>
  <c r="AN21" i="31"/>
  <c r="AO21" i="31"/>
  <c r="AP21" i="31"/>
  <c r="AQ21" i="31"/>
  <c r="AR21" i="31"/>
  <c r="AS21" i="31"/>
  <c r="AT21" i="31"/>
  <c r="AU21" i="31"/>
  <c r="AV21" i="31"/>
  <c r="AW21" i="31"/>
  <c r="AZ21" i="31"/>
  <c r="K22" i="31"/>
  <c r="L22" i="31"/>
  <c r="P22" i="31"/>
  <c r="R22" i="31"/>
  <c r="S22" i="31"/>
  <c r="T22" i="31"/>
  <c r="V22" i="31"/>
  <c r="W22" i="31"/>
  <c r="X22" i="31"/>
  <c r="Y22" i="31"/>
  <c r="AB22" i="31"/>
  <c r="AJ22" i="31"/>
  <c r="AL22" i="31"/>
  <c r="AM22" i="31"/>
  <c r="AN22" i="31"/>
  <c r="AO22" i="31"/>
  <c r="AP22" i="31"/>
  <c r="AQ22" i="31"/>
  <c r="AR22" i="31"/>
  <c r="AS22" i="31"/>
  <c r="AT22" i="31"/>
  <c r="AU22" i="31"/>
  <c r="AV22" i="31"/>
  <c r="AW22" i="31"/>
  <c r="AZ22" i="31"/>
  <c r="K23" i="31"/>
  <c r="L23" i="31"/>
  <c r="P23" i="31"/>
  <c r="R23" i="31"/>
  <c r="S23" i="31"/>
  <c r="T23" i="31"/>
  <c r="V23" i="31"/>
  <c r="W23" i="31"/>
  <c r="X23" i="31"/>
  <c r="Y23" i="31"/>
  <c r="AB23" i="31"/>
  <c r="AJ23" i="31"/>
  <c r="AL23" i="31"/>
  <c r="AM23" i="31"/>
  <c r="AN23" i="31"/>
  <c r="AO23" i="31"/>
  <c r="AP23" i="31"/>
  <c r="AQ23" i="31"/>
  <c r="AR23" i="31"/>
  <c r="AS23" i="31"/>
  <c r="AT23" i="31"/>
  <c r="AU23" i="31"/>
  <c r="AV23" i="31"/>
  <c r="AW23" i="31"/>
  <c r="AZ23" i="31"/>
  <c r="K24" i="31"/>
  <c r="L24" i="31"/>
  <c r="P24" i="31"/>
  <c r="R24" i="31"/>
  <c r="S24" i="31"/>
  <c r="T24" i="31"/>
  <c r="V24" i="31"/>
  <c r="W24" i="31"/>
  <c r="X24" i="31"/>
  <c r="Y24" i="31"/>
  <c r="AB24" i="31"/>
  <c r="AJ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Z24" i="31"/>
  <c r="BA24" i="31"/>
  <c r="K25" i="31"/>
  <c r="L25" i="31"/>
  <c r="P25" i="31"/>
  <c r="R25" i="31"/>
  <c r="S25" i="31"/>
  <c r="T25" i="31"/>
  <c r="V25" i="31"/>
  <c r="W25" i="31"/>
  <c r="X25" i="31"/>
  <c r="Y25" i="31"/>
  <c r="AB25" i="31"/>
  <c r="AJ25" i="31"/>
  <c r="AL25" i="31"/>
  <c r="AM25" i="31"/>
  <c r="AN25" i="31"/>
  <c r="AO25" i="31"/>
  <c r="AP25" i="31"/>
  <c r="AQ25" i="31"/>
  <c r="AR25" i="31"/>
  <c r="AS25" i="31"/>
  <c r="AT25" i="31"/>
  <c r="AU25" i="31"/>
  <c r="AV25" i="31"/>
  <c r="AW25" i="31"/>
  <c r="AZ25" i="31"/>
  <c r="K26" i="31"/>
  <c r="L26" i="31"/>
  <c r="P26" i="31"/>
  <c r="R26" i="31"/>
  <c r="S26" i="31"/>
  <c r="T26" i="31"/>
  <c r="V26" i="31"/>
  <c r="W26" i="31"/>
  <c r="X26" i="31"/>
  <c r="Y26" i="31"/>
  <c r="AB26" i="31"/>
  <c r="AJ26" i="31"/>
  <c r="AL26" i="31"/>
  <c r="AM26" i="31"/>
  <c r="AN26" i="31"/>
  <c r="AO26" i="31"/>
  <c r="AP26" i="31"/>
  <c r="AQ26" i="31"/>
  <c r="AR26" i="31"/>
  <c r="AS26" i="31"/>
  <c r="AT26" i="31"/>
  <c r="AU26" i="31"/>
  <c r="AV26" i="31"/>
  <c r="AW26" i="31"/>
  <c r="AZ26" i="31"/>
  <c r="K27" i="31"/>
  <c r="L27" i="31"/>
  <c r="P27" i="31"/>
  <c r="R27" i="31"/>
  <c r="S27" i="31"/>
  <c r="T27" i="31"/>
  <c r="V27" i="31"/>
  <c r="W27" i="31"/>
  <c r="X27" i="31"/>
  <c r="Y27" i="31"/>
  <c r="AB27" i="31"/>
  <c r="AJ27" i="31"/>
  <c r="AL27" i="31"/>
  <c r="AM27" i="31"/>
  <c r="AN27" i="31"/>
  <c r="AO27" i="31"/>
  <c r="AP27" i="31"/>
  <c r="AQ27" i="31"/>
  <c r="AR27" i="31"/>
  <c r="AS27" i="31"/>
  <c r="AT27" i="31"/>
  <c r="AU27" i="31"/>
  <c r="AV27" i="31"/>
  <c r="AW27" i="31"/>
  <c r="AZ27" i="31"/>
  <c r="K28" i="31"/>
  <c r="L28" i="31"/>
  <c r="P28" i="31"/>
  <c r="R28" i="31"/>
  <c r="S28" i="31"/>
  <c r="T28" i="31"/>
  <c r="V28" i="31"/>
  <c r="W28" i="31"/>
  <c r="X28" i="31"/>
  <c r="Y28" i="31"/>
  <c r="AB28" i="31"/>
  <c r="AJ28" i="31"/>
  <c r="AL28" i="31"/>
  <c r="AM28" i="31"/>
  <c r="AN28" i="31"/>
  <c r="AO28" i="31"/>
  <c r="AP28" i="31"/>
  <c r="AQ28" i="31"/>
  <c r="AR28" i="31"/>
  <c r="AS28" i="31"/>
  <c r="AT28" i="31"/>
  <c r="AU28" i="31"/>
  <c r="AV28" i="31"/>
  <c r="AW28" i="31"/>
  <c r="AZ28" i="31"/>
  <c r="K29" i="31"/>
  <c r="L29" i="31"/>
  <c r="P29" i="31"/>
  <c r="R29" i="31"/>
  <c r="S29" i="31"/>
  <c r="T29" i="31"/>
  <c r="V29" i="31"/>
  <c r="W29" i="31"/>
  <c r="X29" i="31"/>
  <c r="Y29" i="31"/>
  <c r="AB29" i="31"/>
  <c r="AJ29" i="31"/>
  <c r="AL29" i="31"/>
  <c r="AM29" i="31"/>
  <c r="AN29" i="31"/>
  <c r="AO29" i="31"/>
  <c r="AP29" i="31"/>
  <c r="AQ29" i="31"/>
  <c r="AR29" i="31"/>
  <c r="AS29" i="31"/>
  <c r="AT29" i="31"/>
  <c r="AU29" i="31"/>
  <c r="AV29" i="31"/>
  <c r="AW29" i="31"/>
  <c r="AZ29" i="31"/>
  <c r="K30" i="31"/>
  <c r="L30" i="31"/>
  <c r="P30" i="31"/>
  <c r="R30" i="31"/>
  <c r="S30" i="31"/>
  <c r="T30" i="31"/>
  <c r="V30" i="31"/>
  <c r="W30" i="31"/>
  <c r="X30" i="31"/>
  <c r="Y30" i="31"/>
  <c r="AB30" i="31"/>
  <c r="AJ30" i="31"/>
  <c r="AL30" i="31"/>
  <c r="AM30" i="31"/>
  <c r="AN30" i="31"/>
  <c r="AO30" i="31"/>
  <c r="AP30" i="31"/>
  <c r="AQ30" i="31"/>
  <c r="AR30" i="31"/>
  <c r="AS30" i="31"/>
  <c r="AT30" i="31"/>
  <c r="AU30" i="31"/>
  <c r="AV30" i="31"/>
  <c r="AW30" i="31"/>
  <c r="AZ30" i="31"/>
  <c r="K31" i="31"/>
  <c r="L31" i="31"/>
  <c r="P31" i="31"/>
  <c r="R31" i="31"/>
  <c r="S31" i="31"/>
  <c r="T31" i="31"/>
  <c r="V31" i="31"/>
  <c r="W31" i="31"/>
  <c r="X31" i="31"/>
  <c r="Y31" i="31"/>
  <c r="AB31" i="31"/>
  <c r="AJ31" i="31"/>
  <c r="AL31" i="31"/>
  <c r="AM31" i="31"/>
  <c r="AN31" i="31"/>
  <c r="AO31" i="31"/>
  <c r="AP31" i="31"/>
  <c r="AQ31" i="31"/>
  <c r="AR31" i="31"/>
  <c r="AS31" i="31"/>
  <c r="AT31" i="31"/>
  <c r="AU31" i="31"/>
  <c r="AV31" i="31"/>
  <c r="AW31" i="31"/>
  <c r="AZ31" i="31"/>
  <c r="K32" i="31"/>
  <c r="L32" i="31"/>
  <c r="P32" i="31"/>
  <c r="R32" i="31"/>
  <c r="S32" i="31"/>
  <c r="T32" i="31"/>
  <c r="V32" i="31"/>
  <c r="W32" i="31"/>
  <c r="X32" i="31"/>
  <c r="Y32" i="31"/>
  <c r="AB32" i="31"/>
  <c r="AJ32" i="31"/>
  <c r="AL32" i="31"/>
  <c r="AM32" i="31"/>
  <c r="AN32" i="31"/>
  <c r="AO32" i="31"/>
  <c r="AP32" i="31"/>
  <c r="AQ32" i="31"/>
  <c r="AR32" i="31"/>
  <c r="AS32" i="31"/>
  <c r="AT32" i="31"/>
  <c r="AU32" i="31"/>
  <c r="AV32" i="31"/>
  <c r="AW32" i="31"/>
  <c r="AZ32" i="31"/>
  <c r="K33" i="31"/>
  <c r="L33" i="31"/>
  <c r="P33" i="31"/>
  <c r="R33" i="31"/>
  <c r="S33" i="31"/>
  <c r="T33" i="31"/>
  <c r="V33" i="31"/>
  <c r="W33" i="31"/>
  <c r="X33" i="31"/>
  <c r="Y33" i="31"/>
  <c r="AB33" i="31"/>
  <c r="AJ33" i="31"/>
  <c r="AL33" i="31"/>
  <c r="AM33" i="31"/>
  <c r="AN33" i="31"/>
  <c r="AO33" i="31"/>
  <c r="AP33" i="31"/>
  <c r="AQ33" i="31"/>
  <c r="AR33" i="31"/>
  <c r="AS33" i="31"/>
  <c r="AT33" i="31"/>
  <c r="AU33" i="31"/>
  <c r="AV33" i="31"/>
  <c r="AW33" i="31"/>
  <c r="AZ33" i="31"/>
  <c r="K34" i="31"/>
  <c r="L34" i="31"/>
  <c r="P34" i="31"/>
  <c r="R34" i="31"/>
  <c r="S34" i="31"/>
  <c r="T34" i="31"/>
  <c r="V34" i="31"/>
  <c r="W34" i="31"/>
  <c r="X34" i="31"/>
  <c r="Y34" i="31"/>
  <c r="AB34" i="31"/>
  <c r="AJ34" i="31"/>
  <c r="AL34" i="31"/>
  <c r="AM34" i="31"/>
  <c r="AN34" i="31"/>
  <c r="AO34" i="31"/>
  <c r="AP34" i="31"/>
  <c r="AQ34" i="31"/>
  <c r="AR34" i="31"/>
  <c r="AS34" i="31"/>
  <c r="AT34" i="31"/>
  <c r="AU34" i="31"/>
  <c r="AV34" i="31"/>
  <c r="AW34" i="31"/>
  <c r="AZ34" i="31"/>
  <c r="K35" i="31"/>
  <c r="L35" i="31"/>
  <c r="P35" i="31"/>
  <c r="R35" i="31"/>
  <c r="S35" i="31"/>
  <c r="T35" i="31"/>
  <c r="V35" i="31"/>
  <c r="W35" i="31"/>
  <c r="X35" i="31"/>
  <c r="Y35" i="31"/>
  <c r="AB35" i="31"/>
  <c r="AJ35" i="31"/>
  <c r="AL35" i="31"/>
  <c r="AM35" i="31"/>
  <c r="AN35" i="31"/>
  <c r="AO35" i="31"/>
  <c r="AP35" i="31"/>
  <c r="AQ35" i="31"/>
  <c r="AR35" i="31"/>
  <c r="AS35" i="31"/>
  <c r="AT35" i="31"/>
  <c r="AU35" i="31"/>
  <c r="AV35" i="31"/>
  <c r="AW35" i="31"/>
  <c r="AZ35" i="31"/>
  <c r="K36" i="31"/>
  <c r="L36" i="31"/>
  <c r="P36" i="31"/>
  <c r="R36" i="31"/>
  <c r="S36" i="31"/>
  <c r="T36" i="31"/>
  <c r="V36" i="31"/>
  <c r="W36" i="31"/>
  <c r="X36" i="31"/>
  <c r="Y36" i="31"/>
  <c r="AB36" i="31"/>
  <c r="AJ36" i="31"/>
  <c r="AL36" i="31"/>
  <c r="AM36" i="31"/>
  <c r="AN36" i="31"/>
  <c r="AO36" i="31"/>
  <c r="AP36" i="31"/>
  <c r="AQ36" i="31"/>
  <c r="AR36" i="31"/>
  <c r="AS36" i="31"/>
  <c r="AT36" i="31"/>
  <c r="AU36" i="31"/>
  <c r="AV36" i="31"/>
  <c r="AW36" i="31"/>
  <c r="AZ36" i="31"/>
  <c r="K37" i="31"/>
  <c r="L37" i="31"/>
  <c r="P37" i="31"/>
  <c r="R37" i="31"/>
  <c r="S37" i="31"/>
  <c r="T37" i="31"/>
  <c r="V37" i="31"/>
  <c r="W37" i="31"/>
  <c r="X37" i="31"/>
  <c r="Y37" i="31"/>
  <c r="AB37" i="31"/>
  <c r="AJ37" i="31"/>
  <c r="AL37" i="31"/>
  <c r="AM37" i="31"/>
  <c r="AN37" i="31"/>
  <c r="AO37" i="31"/>
  <c r="AP37" i="31"/>
  <c r="AQ37" i="31"/>
  <c r="AR37" i="31"/>
  <c r="AS37" i="31"/>
  <c r="AT37" i="31"/>
  <c r="AU37" i="31"/>
  <c r="AV37" i="31"/>
  <c r="AW37" i="31"/>
  <c r="AZ37" i="31"/>
  <c r="K38" i="31"/>
  <c r="L38" i="31"/>
  <c r="P38" i="31"/>
  <c r="R38" i="31"/>
  <c r="S38" i="31"/>
  <c r="T38" i="31"/>
  <c r="V38" i="31"/>
  <c r="W38" i="31"/>
  <c r="X38" i="31"/>
  <c r="Y38" i="31"/>
  <c r="AB38" i="31"/>
  <c r="AJ38" i="31"/>
  <c r="AL38" i="31"/>
  <c r="AM38" i="31"/>
  <c r="AN38" i="31"/>
  <c r="AO38" i="31"/>
  <c r="AP38" i="31"/>
  <c r="AQ38" i="31"/>
  <c r="AR38" i="31"/>
  <c r="AS38" i="31"/>
  <c r="AT38" i="31"/>
  <c r="AU38" i="31"/>
  <c r="AV38" i="31"/>
  <c r="AW38" i="31"/>
  <c r="AZ38" i="31"/>
  <c r="K39" i="31"/>
  <c r="L39" i="31"/>
  <c r="P39" i="31"/>
  <c r="R39" i="31"/>
  <c r="S39" i="31"/>
  <c r="T39" i="31"/>
  <c r="V39" i="31"/>
  <c r="W39" i="31"/>
  <c r="X39" i="31"/>
  <c r="Y39" i="31"/>
  <c r="AB39" i="31"/>
  <c r="AJ39" i="31"/>
  <c r="AL39" i="31"/>
  <c r="AM39" i="31"/>
  <c r="AN39" i="31"/>
  <c r="AO39" i="31"/>
  <c r="AP39" i="31"/>
  <c r="AQ39" i="31"/>
  <c r="AR39" i="31"/>
  <c r="AS39" i="31"/>
  <c r="AT39" i="31"/>
  <c r="AU39" i="31"/>
  <c r="AV39" i="31"/>
  <c r="AW39" i="31"/>
  <c r="AZ39" i="31"/>
  <c r="K40" i="31"/>
  <c r="L40" i="31"/>
  <c r="P40" i="31"/>
  <c r="R40" i="31"/>
  <c r="S40" i="31"/>
  <c r="T40" i="31"/>
  <c r="V40" i="31"/>
  <c r="W40" i="31"/>
  <c r="X40" i="31"/>
  <c r="Y40" i="31"/>
  <c r="AB40" i="31"/>
  <c r="AJ40" i="31"/>
  <c r="AL40" i="31"/>
  <c r="AM40" i="31"/>
  <c r="AN40" i="31"/>
  <c r="AO40" i="31"/>
  <c r="AP40" i="31"/>
  <c r="AQ40" i="31"/>
  <c r="AR40" i="31"/>
  <c r="AS40" i="31"/>
  <c r="AT40" i="31"/>
  <c r="AU40" i="31"/>
  <c r="AV40" i="31"/>
  <c r="AW40" i="31"/>
  <c r="AZ40" i="31"/>
  <c r="K41" i="31"/>
  <c r="L41" i="31"/>
  <c r="P41" i="31"/>
  <c r="R41" i="31"/>
  <c r="S41" i="31"/>
  <c r="T41" i="31"/>
  <c r="V41" i="31"/>
  <c r="W41" i="31"/>
  <c r="X41" i="31"/>
  <c r="Y41" i="31"/>
  <c r="AB41" i="31"/>
  <c r="AJ41" i="31"/>
  <c r="AL41" i="31"/>
  <c r="AM41" i="31"/>
  <c r="AN41" i="31"/>
  <c r="AO41" i="31"/>
  <c r="AP41" i="31"/>
  <c r="AQ41" i="31"/>
  <c r="AR41" i="31"/>
  <c r="AS41" i="31"/>
  <c r="AT41" i="31"/>
  <c r="AU41" i="31"/>
  <c r="AV41" i="31"/>
  <c r="AW41" i="31"/>
  <c r="AZ41" i="31"/>
  <c r="K42" i="31"/>
  <c r="L42" i="31"/>
  <c r="P42" i="31"/>
  <c r="R42" i="31"/>
  <c r="S42" i="31"/>
  <c r="T42" i="31"/>
  <c r="V42" i="31"/>
  <c r="W42" i="31"/>
  <c r="X42" i="31"/>
  <c r="Y42" i="31"/>
  <c r="AB42" i="31"/>
  <c r="AJ42" i="31"/>
  <c r="AL42" i="31"/>
  <c r="AM42" i="31"/>
  <c r="AN42" i="31"/>
  <c r="AO42" i="31"/>
  <c r="AP42" i="31"/>
  <c r="AQ42" i="31"/>
  <c r="AR42" i="31"/>
  <c r="AS42" i="31"/>
  <c r="AT42" i="31"/>
  <c r="AU42" i="31"/>
  <c r="AV42" i="31"/>
  <c r="AW42" i="31"/>
  <c r="AZ42" i="31"/>
  <c r="K43" i="31"/>
  <c r="L43" i="31"/>
  <c r="P43" i="31"/>
  <c r="R43" i="31"/>
  <c r="S43" i="31"/>
  <c r="T43" i="31"/>
  <c r="V43" i="31"/>
  <c r="W43" i="31"/>
  <c r="X43" i="31"/>
  <c r="Y43" i="31"/>
  <c r="AB43" i="31"/>
  <c r="AJ43" i="31"/>
  <c r="AL43" i="31"/>
  <c r="AM43" i="31"/>
  <c r="AN43" i="31"/>
  <c r="AO43" i="31"/>
  <c r="AP43" i="31"/>
  <c r="AQ43" i="31"/>
  <c r="AR43" i="31"/>
  <c r="AS43" i="31"/>
  <c r="AT43" i="31"/>
  <c r="AU43" i="31"/>
  <c r="AV43" i="31"/>
  <c r="AW43" i="31"/>
  <c r="AZ43" i="31"/>
  <c r="K44" i="31"/>
  <c r="L44" i="31"/>
  <c r="P44" i="31"/>
  <c r="R44" i="31"/>
  <c r="S44" i="31"/>
  <c r="T44" i="31"/>
  <c r="V44" i="31"/>
  <c r="W44" i="31"/>
  <c r="X44" i="31"/>
  <c r="Y44" i="31"/>
  <c r="AB44" i="31"/>
  <c r="AJ44" i="31"/>
  <c r="AL44" i="31"/>
  <c r="AM44" i="31"/>
  <c r="AN44" i="31"/>
  <c r="AO44" i="31"/>
  <c r="AP44" i="31"/>
  <c r="AQ44" i="31"/>
  <c r="AR44" i="31"/>
  <c r="AS44" i="31"/>
  <c r="AT44" i="31"/>
  <c r="AU44" i="31"/>
  <c r="AV44" i="31"/>
  <c r="AW44" i="31"/>
  <c r="AZ44" i="31"/>
  <c r="K45" i="31"/>
  <c r="L45" i="31"/>
  <c r="P45" i="31"/>
  <c r="R45" i="31"/>
  <c r="S45" i="31"/>
  <c r="T45" i="31"/>
  <c r="V45" i="31"/>
  <c r="W45" i="31"/>
  <c r="X45" i="31"/>
  <c r="Y45" i="31"/>
  <c r="AB45" i="31"/>
  <c r="AJ45" i="31"/>
  <c r="AL45" i="31"/>
  <c r="AM45" i="31"/>
  <c r="AN45" i="31"/>
  <c r="AO45" i="31"/>
  <c r="AP45" i="31"/>
  <c r="AQ45" i="31"/>
  <c r="AR45" i="31"/>
  <c r="AS45" i="31"/>
  <c r="AT45" i="31"/>
  <c r="AU45" i="31"/>
  <c r="AV45" i="31"/>
  <c r="AW45" i="31"/>
  <c r="AZ45" i="31"/>
  <c r="K46" i="31"/>
  <c r="L46" i="31"/>
  <c r="P46" i="31"/>
  <c r="R46" i="31"/>
  <c r="S46" i="31"/>
  <c r="T46" i="31"/>
  <c r="V46" i="31"/>
  <c r="W46" i="31"/>
  <c r="X46" i="31"/>
  <c r="Y46" i="31"/>
  <c r="AB46" i="31"/>
  <c r="AJ46" i="31"/>
  <c r="AL46" i="31"/>
  <c r="AM46" i="31"/>
  <c r="AN46" i="31"/>
  <c r="AO46" i="31"/>
  <c r="AP46" i="31"/>
  <c r="AQ46" i="31"/>
  <c r="AR46" i="31"/>
  <c r="AS46" i="31"/>
  <c r="AT46" i="31"/>
  <c r="AU46" i="31"/>
  <c r="AV46" i="31"/>
  <c r="AW46" i="31"/>
  <c r="AZ46" i="31"/>
  <c r="K47" i="31"/>
  <c r="L47" i="31"/>
  <c r="P47" i="31"/>
  <c r="R47" i="31"/>
  <c r="S47" i="31"/>
  <c r="T47" i="31"/>
  <c r="V47" i="31"/>
  <c r="W47" i="31"/>
  <c r="X47" i="31"/>
  <c r="Y47" i="31"/>
  <c r="AB47" i="31"/>
  <c r="AJ47" i="31"/>
  <c r="AL47" i="31"/>
  <c r="AM47" i="31"/>
  <c r="AN47" i="31"/>
  <c r="AO47" i="31"/>
  <c r="AP47" i="31"/>
  <c r="AQ47" i="31"/>
  <c r="AR47" i="31"/>
  <c r="AS47" i="31"/>
  <c r="AT47" i="31"/>
  <c r="AU47" i="31"/>
  <c r="AV47" i="31"/>
  <c r="AW47" i="31"/>
  <c r="AZ47" i="31"/>
  <c r="K48" i="31"/>
  <c r="L48" i="31"/>
  <c r="P48" i="31"/>
  <c r="R48" i="31"/>
  <c r="S48" i="31"/>
  <c r="T48" i="31"/>
  <c r="V48" i="31"/>
  <c r="W48" i="31"/>
  <c r="X48" i="31"/>
  <c r="Y48" i="31"/>
  <c r="AB48" i="31"/>
  <c r="AJ48" i="31"/>
  <c r="AL48" i="31"/>
  <c r="AM48" i="31"/>
  <c r="AN48" i="31"/>
  <c r="AO48" i="31"/>
  <c r="AP48" i="31"/>
  <c r="AR48" i="31"/>
  <c r="AS48" i="31"/>
  <c r="AT48" i="31"/>
  <c r="AU48" i="31"/>
  <c r="AV48" i="31"/>
  <c r="AW48" i="31"/>
  <c r="AZ48" i="31"/>
  <c r="K49" i="31"/>
  <c r="L49" i="31"/>
  <c r="P49" i="31"/>
  <c r="R49" i="31"/>
  <c r="S49" i="31"/>
  <c r="T49" i="31"/>
  <c r="V49" i="31"/>
  <c r="W49" i="31"/>
  <c r="X49" i="31"/>
  <c r="Y49" i="31"/>
  <c r="AB49" i="31"/>
  <c r="AJ49" i="31"/>
  <c r="AL49" i="31"/>
  <c r="AM49" i="31"/>
  <c r="AN49" i="31"/>
  <c r="AO49" i="31"/>
  <c r="AP49" i="31"/>
  <c r="AZ49" i="31"/>
  <c r="K50" i="31"/>
  <c r="L50" i="31"/>
  <c r="P50" i="31"/>
  <c r="R50" i="31"/>
  <c r="S50" i="31"/>
  <c r="T50" i="31"/>
  <c r="V50" i="31"/>
  <c r="W50" i="31"/>
  <c r="X50" i="31"/>
  <c r="Y50" i="31"/>
  <c r="AB50" i="31"/>
  <c r="AJ50" i="31"/>
  <c r="AL50" i="31"/>
  <c r="AM50" i="31"/>
  <c r="AN50" i="31"/>
  <c r="AO50" i="31"/>
  <c r="AP50" i="31"/>
  <c r="AZ50" i="31"/>
  <c r="K51" i="31"/>
  <c r="L51" i="31"/>
  <c r="P51" i="31"/>
  <c r="R51" i="31"/>
  <c r="S51" i="31"/>
  <c r="T51" i="31"/>
  <c r="V51" i="31"/>
  <c r="W51" i="31"/>
  <c r="X51" i="31"/>
  <c r="Y51" i="31"/>
  <c r="AB51" i="31"/>
  <c r="AJ51" i="31"/>
  <c r="AL51" i="31"/>
  <c r="AM51" i="31"/>
  <c r="AN51" i="31"/>
  <c r="AO51" i="31"/>
  <c r="AP51" i="31"/>
  <c r="AZ51" i="31"/>
  <c r="K52" i="31"/>
  <c r="L52" i="31"/>
  <c r="P52" i="31"/>
  <c r="R52" i="31"/>
  <c r="S52" i="31"/>
  <c r="T52" i="31"/>
  <c r="V52" i="31"/>
  <c r="W52" i="31"/>
  <c r="X52" i="31"/>
  <c r="Y52" i="31"/>
  <c r="AB52" i="31"/>
  <c r="AJ52" i="31"/>
  <c r="AL52" i="31"/>
  <c r="AM52" i="31"/>
  <c r="AN52" i="31"/>
  <c r="AO52" i="31"/>
  <c r="AP52" i="31"/>
  <c r="AZ52" i="31"/>
  <c r="K53" i="31"/>
  <c r="L53" i="31"/>
  <c r="P53" i="31"/>
  <c r="R53" i="31"/>
  <c r="S53" i="31"/>
  <c r="T53" i="31"/>
  <c r="V53" i="31"/>
  <c r="W53" i="31"/>
  <c r="X53" i="31"/>
  <c r="Y53" i="31"/>
  <c r="AB53" i="31"/>
  <c r="AJ53" i="31"/>
  <c r="AL53" i="31"/>
  <c r="AM53" i="31"/>
  <c r="AN53" i="31"/>
  <c r="AO53" i="31"/>
  <c r="AP53" i="31"/>
  <c r="AZ53" i="31"/>
  <c r="K54" i="31"/>
  <c r="L54" i="31"/>
  <c r="P54" i="31"/>
  <c r="R54" i="31"/>
  <c r="S54" i="31"/>
  <c r="T54" i="31"/>
  <c r="V54" i="31"/>
  <c r="W54" i="31"/>
  <c r="X54" i="31"/>
  <c r="Y54" i="31"/>
  <c r="AB54" i="31"/>
  <c r="AJ54" i="31"/>
  <c r="AL54" i="31"/>
  <c r="AM54" i="31"/>
  <c r="AN54" i="31"/>
  <c r="AO54" i="31"/>
  <c r="AP54" i="31"/>
  <c r="AZ54" i="31"/>
  <c r="K55" i="31"/>
  <c r="L55" i="31"/>
  <c r="P55" i="31"/>
  <c r="R55" i="31"/>
  <c r="S55" i="31"/>
  <c r="T55" i="31"/>
  <c r="V55" i="31"/>
  <c r="W55" i="31"/>
  <c r="X55" i="31"/>
  <c r="Y55" i="31"/>
  <c r="AB55" i="31"/>
  <c r="AJ55" i="31"/>
  <c r="AL55" i="31"/>
  <c r="AM55" i="31"/>
  <c r="AN55" i="31"/>
  <c r="AO55" i="31"/>
  <c r="AP55" i="31"/>
  <c r="AZ55" i="31"/>
  <c r="K56" i="31"/>
  <c r="L56" i="31"/>
  <c r="P56" i="31"/>
  <c r="R56" i="31"/>
  <c r="S56" i="31"/>
  <c r="T56" i="31"/>
  <c r="V56" i="31"/>
  <c r="W56" i="31"/>
  <c r="X56" i="31"/>
  <c r="Y56" i="31"/>
  <c r="AB56" i="31"/>
  <c r="AC56" i="31"/>
  <c r="AD56" i="31"/>
  <c r="AE56" i="31"/>
  <c r="AF56" i="31"/>
  <c r="AG56" i="31"/>
  <c r="AH56" i="31"/>
  <c r="AI56" i="31"/>
  <c r="AJ56" i="31"/>
  <c r="AL56" i="31"/>
  <c r="AM56" i="31"/>
  <c r="AN56" i="31"/>
  <c r="AO56" i="31"/>
  <c r="AP56" i="31"/>
  <c r="AZ56" i="31"/>
  <c r="K57" i="31"/>
  <c r="L57" i="31"/>
  <c r="P57" i="31"/>
  <c r="R57" i="31"/>
  <c r="S57" i="31"/>
  <c r="T57" i="31"/>
  <c r="V57" i="31"/>
  <c r="W57" i="31"/>
  <c r="X57" i="31"/>
  <c r="Y57" i="31"/>
  <c r="AB57" i="31"/>
  <c r="AC57" i="31"/>
  <c r="AD57" i="31"/>
  <c r="AE57" i="31"/>
  <c r="AF57" i="31"/>
  <c r="AG57" i="31"/>
  <c r="AH57" i="31"/>
  <c r="AI57" i="31"/>
  <c r="AJ57" i="31"/>
  <c r="AL57" i="31"/>
  <c r="AM57" i="31"/>
  <c r="AN57" i="31"/>
  <c r="AO57" i="31"/>
  <c r="AP57" i="31"/>
  <c r="AZ57" i="31"/>
  <c r="K58" i="31"/>
  <c r="L58" i="31"/>
  <c r="P58" i="31"/>
  <c r="R58" i="31"/>
  <c r="S58" i="31"/>
  <c r="T58" i="31"/>
  <c r="V58" i="31"/>
  <c r="W58" i="31"/>
  <c r="X58" i="31"/>
  <c r="Y58" i="31"/>
  <c r="AB58" i="31"/>
  <c r="AC58" i="31"/>
  <c r="AD58" i="31"/>
  <c r="AE58" i="31"/>
  <c r="AF58" i="31"/>
  <c r="AG58" i="31"/>
  <c r="AH58" i="31"/>
  <c r="AI58" i="31"/>
  <c r="AJ58" i="31"/>
  <c r="AL58" i="31"/>
  <c r="AM58" i="31"/>
  <c r="AN58" i="31"/>
  <c r="AO58" i="31"/>
  <c r="AP58" i="31"/>
  <c r="AZ58" i="31"/>
  <c r="K59" i="31"/>
  <c r="L59" i="31"/>
  <c r="P59" i="31"/>
  <c r="R59" i="31"/>
  <c r="S59" i="31"/>
  <c r="T59" i="31"/>
  <c r="V59" i="31"/>
  <c r="W59" i="31"/>
  <c r="X59" i="31"/>
  <c r="Y59" i="31"/>
  <c r="AB59" i="31"/>
  <c r="AC59" i="31"/>
  <c r="AD59" i="31"/>
  <c r="AE59" i="31"/>
  <c r="AF59" i="31"/>
  <c r="AG59" i="31"/>
  <c r="AH59" i="31"/>
  <c r="AI59" i="31"/>
  <c r="AJ59" i="31"/>
  <c r="AL59" i="31"/>
  <c r="AM59" i="31"/>
  <c r="AN59" i="31"/>
  <c r="AO59" i="31"/>
  <c r="AP59" i="31"/>
  <c r="AZ59" i="31"/>
  <c r="K60" i="31"/>
  <c r="L60" i="31"/>
  <c r="P60" i="31"/>
  <c r="R60" i="31"/>
  <c r="S60" i="31"/>
  <c r="T60" i="31"/>
  <c r="V60" i="31"/>
  <c r="W60" i="31"/>
  <c r="X60" i="31"/>
  <c r="Y60" i="31"/>
  <c r="AB60" i="31"/>
  <c r="AC60" i="31"/>
  <c r="AD60" i="31"/>
  <c r="AE60" i="31"/>
  <c r="AF60" i="31"/>
  <c r="AG60" i="31"/>
  <c r="AH60" i="31"/>
  <c r="AI60" i="31"/>
  <c r="AJ60" i="31"/>
  <c r="AL60" i="31"/>
  <c r="AM60" i="31"/>
  <c r="AN60" i="31"/>
  <c r="AO60" i="31"/>
  <c r="AP60" i="31"/>
  <c r="AZ60" i="31"/>
  <c r="K61" i="31"/>
  <c r="L61" i="31"/>
  <c r="P61" i="31"/>
  <c r="R61" i="31"/>
  <c r="S61" i="31"/>
  <c r="T61" i="31"/>
  <c r="V61" i="31"/>
  <c r="W61" i="31"/>
  <c r="X61" i="31"/>
  <c r="Y61" i="31"/>
  <c r="AB61" i="31"/>
  <c r="AC61" i="31"/>
  <c r="AD61" i="31"/>
  <c r="AE61" i="31"/>
  <c r="AF61" i="31"/>
  <c r="AG61" i="31"/>
  <c r="AH61" i="31"/>
  <c r="AI61" i="31"/>
  <c r="AJ61" i="31"/>
  <c r="AL61" i="31"/>
  <c r="AM61" i="31"/>
  <c r="AN61" i="31"/>
  <c r="AO61" i="31"/>
  <c r="AP61" i="31"/>
  <c r="AZ61" i="31"/>
  <c r="K62" i="31"/>
  <c r="L62" i="31"/>
  <c r="P62" i="31"/>
  <c r="R62" i="31"/>
  <c r="S62" i="31"/>
  <c r="T62" i="31"/>
  <c r="V62" i="31"/>
  <c r="W62" i="31"/>
  <c r="X62" i="31"/>
  <c r="Y62" i="31"/>
  <c r="AB62" i="31"/>
  <c r="AC62" i="31"/>
  <c r="AD62" i="31"/>
  <c r="AE62" i="31"/>
  <c r="AF62" i="31"/>
  <c r="AG62" i="31"/>
  <c r="AH62" i="31"/>
  <c r="AI62" i="31"/>
  <c r="AJ62" i="31"/>
  <c r="AL62" i="31"/>
  <c r="AM62" i="31"/>
  <c r="AN62" i="31"/>
  <c r="AO62" i="31"/>
  <c r="AP62" i="31"/>
  <c r="AZ62" i="31"/>
  <c r="K63" i="31"/>
  <c r="L63" i="31"/>
  <c r="P63" i="31"/>
  <c r="R63" i="31"/>
  <c r="S63" i="31"/>
  <c r="T63" i="31"/>
  <c r="V63" i="31"/>
  <c r="W63" i="31"/>
  <c r="X63" i="31"/>
  <c r="Y63" i="31"/>
  <c r="AB63" i="31"/>
  <c r="AC63" i="31"/>
  <c r="AD63" i="31"/>
  <c r="AE63" i="31"/>
  <c r="AF63" i="31"/>
  <c r="AG63" i="31"/>
  <c r="AH63" i="31"/>
  <c r="AI63" i="31"/>
  <c r="AJ63" i="31"/>
  <c r="AL63" i="31"/>
  <c r="AM63" i="31"/>
  <c r="AN63" i="31"/>
  <c r="AO63" i="31"/>
  <c r="AP63" i="31"/>
  <c r="AZ63" i="31"/>
  <c r="K64" i="31"/>
  <c r="L64" i="31"/>
  <c r="P64" i="31"/>
  <c r="R64" i="31"/>
  <c r="S64" i="31"/>
  <c r="T64" i="31"/>
  <c r="V64" i="31"/>
  <c r="W64" i="31"/>
  <c r="X64" i="31"/>
  <c r="Y64" i="31"/>
  <c r="AB64" i="31"/>
  <c r="AC64" i="31"/>
  <c r="AD64" i="31"/>
  <c r="AE64" i="31"/>
  <c r="AF64" i="31"/>
  <c r="AG64" i="31"/>
  <c r="AH64" i="31"/>
  <c r="AI64" i="31"/>
  <c r="AJ64" i="31"/>
  <c r="AL64" i="31"/>
  <c r="AM64" i="31"/>
  <c r="AN64" i="31"/>
  <c r="AO64" i="31"/>
  <c r="AP64" i="31"/>
  <c r="AZ64" i="31"/>
  <c r="K65" i="31"/>
  <c r="L65" i="31"/>
  <c r="P65" i="31"/>
  <c r="R65" i="31"/>
  <c r="S65" i="31"/>
  <c r="T65" i="31"/>
  <c r="V65" i="31"/>
  <c r="W65" i="31"/>
  <c r="X65" i="31"/>
  <c r="Y65" i="31"/>
  <c r="AB65" i="31"/>
  <c r="AC65" i="31"/>
  <c r="AD65" i="31"/>
  <c r="AE65" i="31"/>
  <c r="AF65" i="31"/>
  <c r="AG65" i="31"/>
  <c r="AH65" i="31"/>
  <c r="AI65" i="31"/>
  <c r="AJ65" i="31"/>
  <c r="AL65" i="31"/>
  <c r="AM65" i="31"/>
  <c r="AN65" i="31"/>
  <c r="AO65" i="31"/>
  <c r="AP65" i="31"/>
  <c r="AZ65" i="31"/>
  <c r="K66" i="31"/>
  <c r="L66" i="31"/>
  <c r="P66" i="31"/>
  <c r="R66" i="31"/>
  <c r="S66" i="31"/>
  <c r="T66" i="31"/>
  <c r="V66" i="31"/>
  <c r="W66" i="31"/>
  <c r="X66" i="31"/>
  <c r="Y66" i="31"/>
  <c r="AB66" i="31"/>
  <c r="AC66" i="31"/>
  <c r="AD66" i="31"/>
  <c r="AE66" i="31"/>
  <c r="AF66" i="31"/>
  <c r="AG66" i="31"/>
  <c r="AH66" i="31"/>
  <c r="AI66" i="31"/>
  <c r="AJ66" i="31"/>
  <c r="AL66" i="31"/>
  <c r="AM66" i="31"/>
  <c r="AN66" i="31"/>
  <c r="AO66" i="31"/>
  <c r="AP66" i="31"/>
  <c r="AZ66" i="31"/>
  <c r="K67" i="31"/>
  <c r="L67" i="31"/>
  <c r="P67" i="31"/>
  <c r="R67" i="31"/>
  <c r="S67" i="31"/>
  <c r="T67" i="31"/>
  <c r="V67" i="31"/>
  <c r="W67" i="31"/>
  <c r="X67" i="31"/>
  <c r="Y67" i="31"/>
  <c r="AB67" i="31"/>
  <c r="AC67" i="31"/>
  <c r="AD67" i="31"/>
  <c r="AE67" i="31"/>
  <c r="AF67" i="31"/>
  <c r="AG67" i="31"/>
  <c r="AH67" i="31"/>
  <c r="AI67" i="31"/>
  <c r="AJ67" i="31"/>
  <c r="AL67" i="31"/>
  <c r="AM67" i="31"/>
  <c r="AN67" i="31"/>
  <c r="AO67" i="31"/>
  <c r="AP67" i="31"/>
  <c r="AZ67" i="31"/>
  <c r="K68" i="31"/>
  <c r="L68" i="31"/>
  <c r="P68" i="31"/>
  <c r="R68" i="31"/>
  <c r="S68" i="31"/>
  <c r="T68" i="31"/>
  <c r="V68" i="31"/>
  <c r="W68" i="31"/>
  <c r="X68" i="31"/>
  <c r="Y68" i="31"/>
  <c r="AB68" i="31"/>
  <c r="AC68" i="31"/>
  <c r="AD68" i="31"/>
  <c r="AE68" i="31"/>
  <c r="AF68" i="31"/>
  <c r="AG68" i="31"/>
  <c r="AH68" i="31"/>
  <c r="AI68" i="31"/>
  <c r="AJ68" i="31"/>
  <c r="AL68" i="31"/>
  <c r="AM68" i="31"/>
  <c r="AN68" i="31"/>
  <c r="AO68" i="31"/>
  <c r="AP68" i="31"/>
  <c r="AZ68" i="31"/>
  <c r="K69" i="31"/>
  <c r="L69" i="31"/>
  <c r="P69" i="31"/>
  <c r="R69" i="31"/>
  <c r="S69" i="31"/>
  <c r="T69" i="31"/>
  <c r="V69" i="31"/>
  <c r="W69" i="31"/>
  <c r="X69" i="31"/>
  <c r="Y69" i="31"/>
  <c r="AB69" i="31"/>
  <c r="AC69" i="31"/>
  <c r="AD69" i="31"/>
  <c r="AE69" i="31"/>
  <c r="AF69" i="31"/>
  <c r="AG69" i="31"/>
  <c r="AH69" i="31"/>
  <c r="AI69" i="31"/>
  <c r="AJ69" i="31"/>
  <c r="AL69" i="31"/>
  <c r="AM69" i="31"/>
  <c r="AN69" i="31"/>
  <c r="AO69" i="31"/>
  <c r="AP69" i="31"/>
  <c r="AZ69" i="31"/>
  <c r="K70" i="31"/>
  <c r="L70" i="31"/>
  <c r="P70" i="31"/>
  <c r="R70" i="31"/>
  <c r="S70" i="31"/>
  <c r="T70" i="31"/>
  <c r="V70" i="31"/>
  <c r="W70" i="31"/>
  <c r="X70" i="31"/>
  <c r="Y70" i="31"/>
  <c r="AB70" i="31"/>
  <c r="AC70" i="31"/>
  <c r="AD70" i="31"/>
  <c r="AE70" i="31"/>
  <c r="AF70" i="31"/>
  <c r="AG70" i="31"/>
  <c r="AH70" i="31"/>
  <c r="AI70" i="31"/>
  <c r="AJ70" i="31"/>
  <c r="AL70" i="31"/>
  <c r="AM70" i="31"/>
  <c r="AN70" i="31"/>
  <c r="AO70" i="31"/>
  <c r="AP70" i="31"/>
  <c r="AZ70" i="31"/>
  <c r="K71" i="31"/>
  <c r="L71" i="31"/>
  <c r="P71" i="31"/>
  <c r="R71" i="31"/>
  <c r="S71" i="31"/>
  <c r="T71" i="31"/>
  <c r="V71" i="31"/>
  <c r="W71" i="31"/>
  <c r="X71" i="31"/>
  <c r="Y71" i="31"/>
  <c r="AB71" i="31"/>
  <c r="AC71" i="31"/>
  <c r="AD71" i="31"/>
  <c r="AE71" i="31"/>
  <c r="AF71" i="31"/>
  <c r="AG71" i="31"/>
  <c r="AH71" i="31"/>
  <c r="AI71" i="31"/>
  <c r="AJ71" i="31"/>
  <c r="AL71" i="31"/>
  <c r="AM71" i="31"/>
  <c r="AN71" i="31"/>
  <c r="AO71" i="31"/>
  <c r="AP71" i="31"/>
  <c r="AZ71" i="31"/>
  <c r="K72" i="31"/>
  <c r="L72" i="31"/>
  <c r="P72" i="31"/>
  <c r="R72" i="31"/>
  <c r="S72" i="31"/>
  <c r="T72" i="31"/>
  <c r="V72" i="31"/>
  <c r="W72" i="31"/>
  <c r="X72" i="31"/>
  <c r="Y72" i="31"/>
  <c r="AB72" i="31"/>
  <c r="AC72" i="31"/>
  <c r="AD72" i="31"/>
  <c r="AE72" i="31"/>
  <c r="AF72" i="31"/>
  <c r="AG72" i="31"/>
  <c r="AH72" i="31"/>
  <c r="AI72" i="31"/>
  <c r="AJ72" i="31"/>
  <c r="AL72" i="31"/>
  <c r="AM72" i="31"/>
  <c r="AN72" i="31"/>
  <c r="AO72" i="31"/>
  <c r="AP72" i="31"/>
  <c r="AZ72" i="31"/>
  <c r="K73" i="31"/>
  <c r="L73" i="31"/>
  <c r="P73" i="31"/>
  <c r="R73" i="31"/>
  <c r="S73" i="31"/>
  <c r="T73" i="31"/>
  <c r="V73" i="31"/>
  <c r="W73" i="31"/>
  <c r="X73" i="31"/>
  <c r="Y73" i="31"/>
  <c r="AB73" i="31"/>
  <c r="AC73" i="31"/>
  <c r="AD73" i="31"/>
  <c r="AE73" i="31"/>
  <c r="AF73" i="31"/>
  <c r="AG73" i="31"/>
  <c r="AH73" i="31"/>
  <c r="AI73" i="31"/>
  <c r="AJ73" i="31"/>
  <c r="AL73" i="31"/>
  <c r="AM73" i="31"/>
  <c r="AN73" i="31"/>
  <c r="AO73" i="31"/>
  <c r="AP73" i="31"/>
  <c r="AZ73" i="31"/>
  <c r="K74" i="31"/>
  <c r="L74" i="31"/>
  <c r="P74" i="31"/>
  <c r="R74" i="31"/>
  <c r="S74" i="31"/>
  <c r="T74" i="31"/>
  <c r="V74" i="31"/>
  <c r="W74" i="31"/>
  <c r="X74" i="31"/>
  <c r="Y74" i="31"/>
  <c r="AB74" i="31"/>
  <c r="AC74" i="31"/>
  <c r="AD74" i="31"/>
  <c r="AE74" i="31"/>
  <c r="AF74" i="31"/>
  <c r="AG74" i="31"/>
  <c r="AH74" i="31"/>
  <c r="AI74" i="31"/>
  <c r="AJ74" i="31"/>
  <c r="AL74" i="31"/>
  <c r="AM74" i="31"/>
  <c r="AN74" i="31"/>
  <c r="AO74" i="31"/>
  <c r="AP74" i="31"/>
  <c r="AZ74" i="31"/>
  <c r="K75" i="31"/>
  <c r="L75" i="31"/>
  <c r="P75" i="31"/>
  <c r="R75" i="31"/>
  <c r="S75" i="31"/>
  <c r="T75" i="31"/>
  <c r="V75" i="31"/>
  <c r="W75" i="31"/>
  <c r="X75" i="31"/>
  <c r="Y75" i="31"/>
  <c r="AB75" i="31"/>
  <c r="AC75" i="31"/>
  <c r="AD75" i="31"/>
  <c r="AE75" i="31"/>
  <c r="AF75" i="31"/>
  <c r="AG75" i="31"/>
  <c r="AH75" i="31"/>
  <c r="AI75" i="31"/>
  <c r="AJ75" i="31"/>
  <c r="AL75" i="31"/>
  <c r="AM75" i="31"/>
  <c r="AN75" i="31"/>
  <c r="AO75" i="31"/>
  <c r="AP75" i="31"/>
  <c r="AZ75" i="31"/>
  <c r="K76" i="31"/>
  <c r="L76" i="31"/>
  <c r="P76" i="31"/>
  <c r="R76" i="31"/>
  <c r="S76" i="31"/>
  <c r="T76" i="31"/>
  <c r="V76" i="31"/>
  <c r="W76" i="31"/>
  <c r="X76" i="31"/>
  <c r="Y76" i="31"/>
  <c r="AB76" i="31"/>
  <c r="AC76" i="31"/>
  <c r="AD76" i="31"/>
  <c r="AE76" i="31"/>
  <c r="AF76" i="31"/>
  <c r="AG76" i="31"/>
  <c r="AH76" i="31"/>
  <c r="AI76" i="31"/>
  <c r="AJ76" i="31"/>
  <c r="AL76" i="31"/>
  <c r="AM76" i="31"/>
  <c r="AN76" i="31"/>
  <c r="AO76" i="31"/>
  <c r="AP76" i="31"/>
  <c r="AZ76" i="31"/>
  <c r="K77" i="31"/>
  <c r="L77" i="31"/>
  <c r="P77" i="31"/>
  <c r="R77" i="31"/>
  <c r="S77" i="31"/>
  <c r="T77" i="31"/>
  <c r="V77" i="31"/>
  <c r="W77" i="31"/>
  <c r="X77" i="31"/>
  <c r="Y77" i="31"/>
  <c r="AB77" i="31"/>
  <c r="AC77" i="31"/>
  <c r="AD77" i="31"/>
  <c r="AE77" i="31"/>
  <c r="AF77" i="31"/>
  <c r="AG77" i="31"/>
  <c r="AH77" i="31"/>
  <c r="AI77" i="31"/>
  <c r="AJ77" i="31"/>
  <c r="AL77" i="31"/>
  <c r="AM77" i="31"/>
  <c r="AN77" i="31"/>
  <c r="AO77" i="31"/>
  <c r="AP77" i="31"/>
  <c r="AZ77" i="31"/>
  <c r="K78" i="31"/>
  <c r="L78" i="31"/>
  <c r="P78" i="31"/>
  <c r="R78" i="31"/>
  <c r="S78" i="31"/>
  <c r="T78" i="31"/>
  <c r="V78" i="31"/>
  <c r="W78" i="31"/>
  <c r="X78" i="31"/>
  <c r="Y78" i="31"/>
  <c r="AB78" i="31"/>
  <c r="AC78" i="31"/>
  <c r="AD78" i="31"/>
  <c r="AE78" i="31"/>
  <c r="AF78" i="31"/>
  <c r="AG78" i="31"/>
  <c r="AH78" i="31"/>
  <c r="AI78" i="31"/>
  <c r="AJ78" i="31"/>
  <c r="AL78" i="31"/>
  <c r="AM78" i="31"/>
  <c r="AN78" i="31"/>
  <c r="AO78" i="31"/>
  <c r="AP78" i="31"/>
  <c r="AZ78" i="31"/>
  <c r="K79" i="31"/>
  <c r="L79" i="31"/>
  <c r="P79" i="31"/>
  <c r="R79" i="31"/>
  <c r="S79" i="31"/>
  <c r="T79" i="31"/>
  <c r="V79" i="31"/>
  <c r="W79" i="31"/>
  <c r="X79" i="31"/>
  <c r="Y79" i="31"/>
  <c r="AB79" i="31"/>
  <c r="AC79" i="31"/>
  <c r="AD79" i="31"/>
  <c r="AE79" i="31"/>
  <c r="AF79" i="31"/>
  <c r="AG79" i="31"/>
  <c r="AH79" i="31"/>
  <c r="AI79" i="31"/>
  <c r="AJ79" i="31"/>
  <c r="AL79" i="31"/>
  <c r="AM79" i="31"/>
  <c r="AN79" i="31"/>
  <c r="AO79" i="31"/>
  <c r="AP79" i="31"/>
  <c r="AZ79" i="31"/>
  <c r="K80" i="31"/>
  <c r="L80" i="31"/>
  <c r="P80" i="31"/>
  <c r="R80" i="31"/>
  <c r="S80" i="31"/>
  <c r="T80" i="31"/>
  <c r="V80" i="31"/>
  <c r="W80" i="31"/>
  <c r="X80" i="31"/>
  <c r="Y80" i="31"/>
  <c r="AB80" i="31"/>
  <c r="AC80" i="31"/>
  <c r="AD80" i="31"/>
  <c r="AE80" i="31"/>
  <c r="AF80" i="31"/>
  <c r="AG80" i="31"/>
  <c r="AH80" i="31"/>
  <c r="AI80" i="31"/>
  <c r="AJ80" i="31"/>
  <c r="AL80" i="31"/>
  <c r="AM80" i="31"/>
  <c r="AN80" i="31"/>
  <c r="AO80" i="31"/>
  <c r="AP80" i="31"/>
  <c r="AZ80" i="31"/>
  <c r="K81" i="31"/>
  <c r="L81" i="31"/>
  <c r="P81" i="31"/>
  <c r="R81" i="31"/>
  <c r="S81" i="31"/>
  <c r="T81" i="31"/>
  <c r="V81" i="31"/>
  <c r="W81" i="31"/>
  <c r="X81" i="31"/>
  <c r="Y81" i="31"/>
  <c r="AB81" i="31"/>
  <c r="AC81" i="31"/>
  <c r="AD81" i="31"/>
  <c r="AE81" i="31"/>
  <c r="AF81" i="31"/>
  <c r="AG81" i="31"/>
  <c r="AH81" i="31"/>
  <c r="AI81" i="31"/>
  <c r="AJ81" i="31"/>
  <c r="AL81" i="31"/>
  <c r="AM81" i="31"/>
  <c r="AN81" i="31"/>
  <c r="AO81" i="31"/>
  <c r="AP81" i="31"/>
  <c r="AZ81" i="31"/>
  <c r="K82" i="31"/>
  <c r="L82" i="31"/>
  <c r="P82" i="31"/>
  <c r="R82" i="31"/>
  <c r="S82" i="31"/>
  <c r="T82" i="31"/>
  <c r="V82" i="31"/>
  <c r="W82" i="31"/>
  <c r="X82" i="31"/>
  <c r="Y82" i="31"/>
  <c r="AB82" i="31"/>
  <c r="AC82" i="31"/>
  <c r="AD82" i="31"/>
  <c r="AE82" i="31"/>
  <c r="AF82" i="31"/>
  <c r="AG82" i="31"/>
  <c r="AH82" i="31"/>
  <c r="AI82" i="31"/>
  <c r="AJ82" i="31"/>
  <c r="AL82" i="31"/>
  <c r="AM82" i="31"/>
  <c r="AN82" i="31"/>
  <c r="AO82" i="31"/>
  <c r="AP82" i="31"/>
  <c r="AZ82" i="31"/>
  <c r="K83" i="31"/>
  <c r="L83" i="31"/>
  <c r="P83" i="31"/>
  <c r="R83" i="31"/>
  <c r="S83" i="31"/>
  <c r="T83" i="31"/>
  <c r="V83" i="31"/>
  <c r="W83" i="31"/>
  <c r="X83" i="31"/>
  <c r="Y83" i="31"/>
  <c r="AB83" i="31"/>
  <c r="AC83" i="31"/>
  <c r="AD83" i="31"/>
  <c r="AE83" i="31"/>
  <c r="AF83" i="31"/>
  <c r="AG83" i="31"/>
  <c r="AH83" i="31"/>
  <c r="AI83" i="31"/>
  <c r="AJ83" i="31"/>
  <c r="AL83" i="31"/>
  <c r="AM83" i="31"/>
  <c r="AN83" i="31"/>
  <c r="AO83" i="31"/>
  <c r="AP83" i="31"/>
  <c r="AZ83" i="31"/>
  <c r="K84" i="31"/>
  <c r="L84" i="31"/>
  <c r="P84" i="31"/>
  <c r="R84" i="31"/>
  <c r="S84" i="31"/>
  <c r="T84" i="31"/>
  <c r="V84" i="31"/>
  <c r="W84" i="31"/>
  <c r="X84" i="31"/>
  <c r="Y84" i="31"/>
  <c r="AB84" i="31"/>
  <c r="AC84" i="31"/>
  <c r="AD84" i="31"/>
  <c r="AE84" i="31"/>
  <c r="AF84" i="31"/>
  <c r="AG84" i="31"/>
  <c r="AH84" i="31"/>
  <c r="AI84" i="31"/>
  <c r="AJ84" i="31"/>
  <c r="AL84" i="31"/>
  <c r="AM84" i="31"/>
  <c r="AN84" i="31"/>
  <c r="AO84" i="31"/>
  <c r="AP84" i="31"/>
  <c r="AZ84" i="31"/>
  <c r="K85" i="31"/>
  <c r="L85" i="31"/>
  <c r="P85" i="31"/>
  <c r="R85" i="31"/>
  <c r="S85" i="31"/>
  <c r="T85" i="31"/>
  <c r="V85" i="31"/>
  <c r="W85" i="31"/>
  <c r="X85" i="31"/>
  <c r="Y85" i="31"/>
  <c r="AB85" i="31"/>
  <c r="AC85" i="31"/>
  <c r="AD85" i="31"/>
  <c r="AE85" i="31"/>
  <c r="AF85" i="31"/>
  <c r="AG85" i="31"/>
  <c r="AH85" i="31"/>
  <c r="AI85" i="31"/>
  <c r="AJ85" i="31"/>
  <c r="AL85" i="31"/>
  <c r="AM85" i="31"/>
  <c r="AN85" i="31"/>
  <c r="AO85" i="31"/>
  <c r="AP85" i="31"/>
  <c r="AZ85" i="31"/>
  <c r="K86" i="31"/>
  <c r="L86" i="31"/>
  <c r="P86" i="31"/>
  <c r="R86" i="31"/>
  <c r="S86" i="31"/>
  <c r="T86" i="31"/>
  <c r="V86" i="31"/>
  <c r="W86" i="31"/>
  <c r="X86" i="31"/>
  <c r="Y86" i="31"/>
  <c r="AB86" i="31"/>
  <c r="AC86" i="31"/>
  <c r="AD86" i="31"/>
  <c r="AE86" i="31"/>
  <c r="AF86" i="31"/>
  <c r="AG86" i="31"/>
  <c r="AH86" i="31"/>
  <c r="AI86" i="31"/>
  <c r="AJ86" i="31"/>
  <c r="AL86" i="31"/>
  <c r="AM86" i="31"/>
  <c r="AN86" i="31"/>
  <c r="AO86" i="31"/>
  <c r="AP86" i="31"/>
  <c r="AZ86" i="31"/>
  <c r="K87" i="31"/>
  <c r="L87" i="31"/>
  <c r="P87" i="31"/>
  <c r="R87" i="31"/>
  <c r="S87" i="31"/>
  <c r="T87" i="31"/>
  <c r="V87" i="31"/>
  <c r="W87" i="31"/>
  <c r="X87" i="31"/>
  <c r="Y87" i="31"/>
  <c r="AB87" i="31"/>
  <c r="AC87" i="31"/>
  <c r="AD87" i="31"/>
  <c r="AE87" i="31"/>
  <c r="AF87" i="31"/>
  <c r="AG87" i="31"/>
  <c r="AH87" i="31"/>
  <c r="AI87" i="31"/>
  <c r="AJ87" i="31"/>
  <c r="AL87" i="31"/>
  <c r="AM87" i="31"/>
  <c r="AN87" i="31"/>
  <c r="AO87" i="31"/>
  <c r="AP87" i="31"/>
  <c r="AZ87" i="31"/>
  <c r="K88" i="31"/>
  <c r="L88" i="31"/>
  <c r="P88" i="31"/>
  <c r="R88" i="31"/>
  <c r="S88" i="31"/>
  <c r="T88" i="31"/>
  <c r="V88" i="31"/>
  <c r="W88" i="31"/>
  <c r="X88" i="31"/>
  <c r="Y88" i="31"/>
  <c r="AB88" i="31"/>
  <c r="AC88" i="31"/>
  <c r="AD88" i="31"/>
  <c r="AE88" i="31"/>
  <c r="AF88" i="31"/>
  <c r="AG88" i="31"/>
  <c r="AH88" i="31"/>
  <c r="AI88" i="31"/>
  <c r="AJ88" i="31"/>
  <c r="AL88" i="31"/>
  <c r="AM88" i="31"/>
  <c r="AN88" i="31"/>
  <c r="AO88" i="31"/>
  <c r="AP88" i="31"/>
  <c r="AZ88" i="31"/>
  <c r="K89" i="31"/>
  <c r="L89" i="31"/>
  <c r="P89" i="31"/>
  <c r="R89" i="31"/>
  <c r="S89" i="31"/>
  <c r="T89" i="31"/>
  <c r="V89" i="31"/>
  <c r="W89" i="31"/>
  <c r="X89" i="31"/>
  <c r="Y89" i="31"/>
  <c r="AB89" i="31"/>
  <c r="AC89" i="31"/>
  <c r="AD89" i="31"/>
  <c r="AE89" i="31"/>
  <c r="AF89" i="31"/>
  <c r="AG89" i="31"/>
  <c r="AH89" i="31"/>
  <c r="AI89" i="31"/>
  <c r="AJ89" i="31"/>
  <c r="AL89" i="31"/>
  <c r="AM89" i="31"/>
  <c r="AN89" i="31"/>
  <c r="AO89" i="31"/>
  <c r="AP89" i="31"/>
  <c r="AZ89" i="31"/>
  <c r="K90" i="31"/>
  <c r="L90" i="31"/>
  <c r="P90" i="31"/>
  <c r="R90" i="31"/>
  <c r="S90" i="31"/>
  <c r="T90" i="31"/>
  <c r="V90" i="31"/>
  <c r="W90" i="31"/>
  <c r="X90" i="31"/>
  <c r="Y90" i="31"/>
  <c r="AB90" i="31"/>
  <c r="AC90" i="31"/>
  <c r="AD90" i="31"/>
  <c r="AE90" i="31"/>
  <c r="AF90" i="31"/>
  <c r="AG90" i="31"/>
  <c r="AH90" i="31"/>
  <c r="AI90" i="31"/>
  <c r="AJ90" i="31"/>
  <c r="AL90" i="31"/>
  <c r="AM90" i="31"/>
  <c r="AN90" i="31"/>
  <c r="AO90" i="31"/>
  <c r="AP90" i="31"/>
  <c r="AZ90" i="31"/>
  <c r="K91" i="31"/>
  <c r="L91" i="31"/>
  <c r="P91" i="31"/>
  <c r="R91" i="31"/>
  <c r="S91" i="31"/>
  <c r="T91" i="31"/>
  <c r="V91" i="31"/>
  <c r="W91" i="31"/>
  <c r="X91" i="31"/>
  <c r="Y91" i="31"/>
  <c r="AB91" i="31"/>
  <c r="AC91" i="31"/>
  <c r="AD91" i="31"/>
  <c r="AE91" i="31"/>
  <c r="AF91" i="31"/>
  <c r="AG91" i="31"/>
  <c r="AH91" i="31"/>
  <c r="AI91" i="31"/>
  <c r="AJ91" i="31"/>
  <c r="AL91" i="31"/>
  <c r="AM91" i="31"/>
  <c r="AN91" i="31"/>
  <c r="AO91" i="31"/>
  <c r="AP91" i="31"/>
  <c r="AZ91" i="31"/>
  <c r="K92" i="31"/>
  <c r="L92" i="31"/>
  <c r="P92" i="31"/>
  <c r="R92" i="31"/>
  <c r="S92" i="31"/>
  <c r="T92" i="31"/>
  <c r="V92" i="31"/>
  <c r="W92" i="31"/>
  <c r="X92" i="31"/>
  <c r="Y92" i="31"/>
  <c r="AB92" i="31"/>
  <c r="AC92" i="31"/>
  <c r="AD92" i="31"/>
  <c r="AE92" i="31"/>
  <c r="AF92" i="31"/>
  <c r="AG92" i="31"/>
  <c r="AH92" i="31"/>
  <c r="AI92" i="31"/>
  <c r="AJ92" i="31"/>
  <c r="AL92" i="31"/>
  <c r="AM92" i="31"/>
  <c r="AN92" i="31"/>
  <c r="AO92" i="31"/>
  <c r="AP92" i="31"/>
  <c r="AZ92" i="31"/>
  <c r="K93" i="31"/>
  <c r="L93" i="31"/>
  <c r="P93" i="31"/>
  <c r="R93" i="31"/>
  <c r="S93" i="31"/>
  <c r="T93" i="31"/>
  <c r="V93" i="31"/>
  <c r="W93" i="31"/>
  <c r="X93" i="31"/>
  <c r="Y93" i="31"/>
  <c r="AB93" i="31"/>
  <c r="AC93" i="31"/>
  <c r="AD93" i="31"/>
  <c r="AE93" i="31"/>
  <c r="AF93" i="31"/>
  <c r="AG93" i="31"/>
  <c r="AH93" i="31"/>
  <c r="AI93" i="31"/>
  <c r="AJ93" i="31"/>
  <c r="AL93" i="31"/>
  <c r="AM93" i="31"/>
  <c r="AN93" i="31"/>
  <c r="AO93" i="31"/>
  <c r="AP93" i="31"/>
  <c r="AZ93" i="31"/>
  <c r="K94" i="31"/>
  <c r="L94" i="31"/>
  <c r="P94" i="31"/>
  <c r="R94" i="31"/>
  <c r="S94" i="31"/>
  <c r="T94" i="31"/>
  <c r="V94" i="31"/>
  <c r="W94" i="31"/>
  <c r="X94" i="31"/>
  <c r="Y94" i="31"/>
  <c r="AB94" i="31"/>
  <c r="AC94" i="31"/>
  <c r="AD94" i="31"/>
  <c r="AE94" i="31"/>
  <c r="AF94" i="31"/>
  <c r="AG94" i="31"/>
  <c r="AH94" i="31"/>
  <c r="AI94" i="31"/>
  <c r="AJ94" i="31"/>
  <c r="AL94" i="31"/>
  <c r="AM94" i="31"/>
  <c r="AN94" i="31"/>
  <c r="AO94" i="31"/>
  <c r="AP94" i="31"/>
  <c r="AZ94" i="31"/>
  <c r="K95" i="31"/>
  <c r="L95" i="31"/>
  <c r="P95" i="31"/>
  <c r="R95" i="31"/>
  <c r="S95" i="31"/>
  <c r="T95" i="31"/>
  <c r="V95" i="31"/>
  <c r="W95" i="31"/>
  <c r="X95" i="31"/>
  <c r="Y95" i="31"/>
  <c r="AB95" i="31"/>
  <c r="AC95" i="31"/>
  <c r="AD95" i="31"/>
  <c r="AE95" i="31"/>
  <c r="AF95" i="31"/>
  <c r="AG95" i="31"/>
  <c r="AH95" i="31"/>
  <c r="AI95" i="31"/>
  <c r="AJ95" i="31"/>
  <c r="AL95" i="31"/>
  <c r="AM95" i="31"/>
  <c r="AN95" i="31"/>
  <c r="AO95" i="31"/>
  <c r="AP95" i="31"/>
  <c r="AZ95" i="31"/>
  <c r="K96" i="31"/>
  <c r="L96" i="31"/>
  <c r="P96" i="31"/>
  <c r="R96" i="31"/>
  <c r="S96" i="31"/>
  <c r="T96" i="31"/>
  <c r="V96" i="31"/>
  <c r="W96" i="31"/>
  <c r="X96" i="31"/>
  <c r="Y96" i="31"/>
  <c r="AB96" i="31"/>
  <c r="AC96" i="31"/>
  <c r="AD96" i="31"/>
  <c r="AE96" i="31"/>
  <c r="AF96" i="31"/>
  <c r="AG96" i="31"/>
  <c r="AH96" i="31"/>
  <c r="AI96" i="31"/>
  <c r="AJ96" i="31"/>
  <c r="AL96" i="31"/>
  <c r="AM96" i="31"/>
  <c r="AN96" i="31"/>
  <c r="AO96" i="31"/>
  <c r="AP96" i="31"/>
  <c r="AZ96" i="31"/>
  <c r="K97" i="31"/>
  <c r="L97" i="31"/>
  <c r="P97" i="31"/>
  <c r="R97" i="31"/>
  <c r="S97" i="31"/>
  <c r="T97" i="31"/>
  <c r="V97" i="31"/>
  <c r="W97" i="31"/>
  <c r="X97" i="31"/>
  <c r="Y97" i="31"/>
  <c r="AB97" i="31"/>
  <c r="AC97" i="31"/>
  <c r="AD97" i="31"/>
  <c r="AE97" i="31"/>
  <c r="AF97" i="31"/>
  <c r="AG97" i="31"/>
  <c r="AH97" i="31"/>
  <c r="AI97" i="31"/>
  <c r="AJ97" i="31"/>
  <c r="AL97" i="31"/>
  <c r="AM97" i="31"/>
  <c r="AN97" i="31"/>
  <c r="AO97" i="31"/>
  <c r="AP97" i="31"/>
  <c r="AZ97" i="31"/>
  <c r="K98" i="31"/>
  <c r="L98" i="31"/>
  <c r="P98" i="31"/>
  <c r="R98" i="31"/>
  <c r="S98" i="31"/>
  <c r="T98" i="31"/>
  <c r="V98" i="31"/>
  <c r="W98" i="31"/>
  <c r="X98" i="31"/>
  <c r="Y98" i="31"/>
  <c r="AB98" i="31"/>
  <c r="AC98" i="31"/>
  <c r="AD98" i="31"/>
  <c r="AE98" i="31"/>
  <c r="AF98" i="31"/>
  <c r="AG98" i="31"/>
  <c r="AH98" i="31"/>
  <c r="AI98" i="31"/>
  <c r="AJ98" i="31"/>
  <c r="AL98" i="31"/>
  <c r="AM98" i="31"/>
  <c r="AN98" i="31"/>
  <c r="AO98" i="31"/>
  <c r="AP98" i="31"/>
  <c r="AZ98" i="31"/>
  <c r="K99" i="31"/>
  <c r="L99" i="31"/>
  <c r="P99" i="31"/>
  <c r="R99" i="31"/>
  <c r="S99" i="31"/>
  <c r="T99" i="31"/>
  <c r="V99" i="31"/>
  <c r="W99" i="31"/>
  <c r="X99" i="31"/>
  <c r="Y99" i="31"/>
  <c r="AB99" i="31"/>
  <c r="AC99" i="31"/>
  <c r="AD99" i="31"/>
  <c r="AE99" i="31"/>
  <c r="AF99" i="31"/>
  <c r="AG99" i="31"/>
  <c r="AH99" i="31"/>
  <c r="AI99" i="31"/>
  <c r="AJ99" i="31"/>
  <c r="AL99" i="31"/>
  <c r="AM99" i="31"/>
  <c r="AN99" i="31"/>
  <c r="AO99" i="31"/>
  <c r="AP99" i="31"/>
  <c r="AZ99" i="31"/>
  <c r="K100" i="31"/>
  <c r="L100" i="31"/>
  <c r="P100" i="31"/>
  <c r="R100" i="31"/>
  <c r="S100" i="31"/>
  <c r="T100" i="31"/>
  <c r="V100" i="31"/>
  <c r="W100" i="31"/>
  <c r="X100" i="31"/>
  <c r="Y100" i="31"/>
  <c r="AB100" i="31"/>
  <c r="AC100" i="31"/>
  <c r="AD100" i="31"/>
  <c r="AE100" i="31"/>
  <c r="AF100" i="31"/>
  <c r="AG100" i="31"/>
  <c r="AH100" i="31"/>
  <c r="AI100" i="31"/>
  <c r="AJ100" i="31"/>
  <c r="AL100" i="31"/>
  <c r="AM100" i="31"/>
  <c r="AN100" i="31"/>
  <c r="AO100" i="31"/>
  <c r="AP100" i="31"/>
  <c r="AZ100" i="31"/>
  <c r="K101" i="31"/>
  <c r="L101" i="31"/>
  <c r="P101" i="31"/>
  <c r="R101" i="31"/>
  <c r="S101" i="31"/>
  <c r="T101" i="31"/>
  <c r="V101" i="31"/>
  <c r="W101" i="31"/>
  <c r="X101" i="31"/>
  <c r="Y101" i="31"/>
  <c r="AB101" i="31"/>
  <c r="AC101" i="31"/>
  <c r="AD101" i="31"/>
  <c r="AE101" i="31"/>
  <c r="AF101" i="31"/>
  <c r="AG101" i="31"/>
  <c r="AH101" i="31"/>
  <c r="AI101" i="31"/>
  <c r="AJ101" i="31"/>
  <c r="AL101" i="31"/>
  <c r="AM101" i="31"/>
  <c r="AN101" i="31"/>
  <c r="AO101" i="31"/>
  <c r="AP101" i="31"/>
  <c r="AZ101" i="31"/>
  <c r="K102" i="31"/>
  <c r="L102" i="31"/>
  <c r="P102" i="31"/>
  <c r="R102" i="31"/>
  <c r="S102" i="31"/>
  <c r="T102" i="31"/>
  <c r="V102" i="31"/>
  <c r="W102" i="31"/>
  <c r="X102" i="31"/>
  <c r="Y102" i="31"/>
  <c r="AB102" i="31"/>
  <c r="AC102" i="31"/>
  <c r="AD102" i="31"/>
  <c r="AE102" i="31"/>
  <c r="AF102" i="31"/>
  <c r="AG102" i="31"/>
  <c r="AH102" i="31"/>
  <c r="AI102" i="31"/>
  <c r="AJ102" i="31"/>
  <c r="AL102" i="31"/>
  <c r="AM102" i="31"/>
  <c r="AN102" i="31"/>
  <c r="AO102" i="31"/>
  <c r="AP102" i="31"/>
  <c r="AZ102" i="31"/>
  <c r="K103" i="31"/>
  <c r="L103" i="31"/>
  <c r="P103" i="31"/>
  <c r="R103" i="31"/>
  <c r="S103" i="31"/>
  <c r="T103" i="31"/>
  <c r="V103" i="31"/>
  <c r="W103" i="31"/>
  <c r="X103" i="31"/>
  <c r="Y103" i="31"/>
  <c r="AB103" i="31"/>
  <c r="AC103" i="31"/>
  <c r="AD103" i="31"/>
  <c r="AE103" i="31"/>
  <c r="AF103" i="31"/>
  <c r="AG103" i="31"/>
  <c r="AH103" i="31"/>
  <c r="AI103" i="31"/>
  <c r="AJ103" i="31"/>
  <c r="AL103" i="31"/>
  <c r="AM103" i="31"/>
  <c r="AN103" i="31"/>
  <c r="AO103" i="31"/>
  <c r="AP103" i="31"/>
  <c r="AZ103" i="31"/>
  <c r="K104" i="31"/>
  <c r="L104" i="31"/>
  <c r="P104" i="31"/>
  <c r="R104" i="31"/>
  <c r="S104" i="31"/>
  <c r="T104" i="31"/>
  <c r="V104" i="31"/>
  <c r="W104" i="31"/>
  <c r="X104" i="31"/>
  <c r="Y104" i="31"/>
  <c r="AB104" i="31"/>
  <c r="AC104" i="31"/>
  <c r="AD104" i="31"/>
  <c r="AE104" i="31"/>
  <c r="AF104" i="31"/>
  <c r="AG104" i="31"/>
  <c r="AH104" i="31"/>
  <c r="AI104" i="31"/>
  <c r="AJ104" i="31"/>
  <c r="AL104" i="31"/>
  <c r="AM104" i="31"/>
  <c r="AN104" i="31"/>
  <c r="AO104" i="31"/>
  <c r="AP104" i="31"/>
  <c r="AZ104" i="31"/>
  <c r="K105" i="31"/>
  <c r="L105" i="31"/>
  <c r="P105" i="31"/>
  <c r="R105" i="31"/>
  <c r="S105" i="31"/>
  <c r="T105" i="31"/>
  <c r="V105" i="31"/>
  <c r="W105" i="31"/>
  <c r="X105" i="31"/>
  <c r="Y105" i="31"/>
  <c r="AB105" i="31"/>
  <c r="AC105" i="31"/>
  <c r="AD105" i="31"/>
  <c r="AE105" i="31"/>
  <c r="AF105" i="31"/>
  <c r="AG105" i="31"/>
  <c r="AH105" i="31"/>
  <c r="AI105" i="31"/>
  <c r="AJ105" i="31"/>
  <c r="AL105" i="31"/>
  <c r="AM105" i="31"/>
  <c r="AN105" i="31"/>
  <c r="AO105" i="31"/>
  <c r="AP105" i="31"/>
  <c r="AZ105" i="31"/>
  <c r="K106" i="31"/>
  <c r="L106" i="31"/>
  <c r="P106" i="31"/>
  <c r="R106" i="31"/>
  <c r="S106" i="31"/>
  <c r="T106" i="31"/>
  <c r="V106" i="31"/>
  <c r="W106" i="31"/>
  <c r="X106" i="31"/>
  <c r="Y106" i="31"/>
  <c r="AB106" i="31"/>
  <c r="AC106" i="31"/>
  <c r="AD106" i="31"/>
  <c r="AE106" i="31"/>
  <c r="AF106" i="31"/>
  <c r="AG106" i="31"/>
  <c r="AH106" i="31"/>
  <c r="AI106" i="31"/>
  <c r="AJ106" i="31"/>
  <c r="AL106" i="31"/>
  <c r="AM106" i="31"/>
  <c r="AN106" i="31"/>
  <c r="AO106" i="31"/>
  <c r="AP106" i="31"/>
  <c r="AZ106" i="31"/>
  <c r="K107" i="31"/>
  <c r="L107" i="31"/>
  <c r="P107" i="31"/>
  <c r="R107" i="31"/>
  <c r="S107" i="31"/>
  <c r="T107" i="31"/>
  <c r="V107" i="31"/>
  <c r="W107" i="31"/>
  <c r="X107" i="31"/>
  <c r="Y107" i="31"/>
  <c r="AB107" i="31"/>
  <c r="AC107" i="31"/>
  <c r="AD107" i="31"/>
  <c r="AE107" i="31"/>
  <c r="AF107" i="31"/>
  <c r="AG107" i="31"/>
  <c r="AH107" i="31"/>
  <c r="AI107" i="31"/>
  <c r="AJ107" i="31"/>
  <c r="AL107" i="31"/>
  <c r="AM107" i="31"/>
  <c r="AN107" i="31"/>
  <c r="AO107" i="31"/>
  <c r="AP107" i="31"/>
  <c r="AZ107" i="31"/>
  <c r="K108" i="31"/>
  <c r="L108" i="31"/>
  <c r="P108" i="31"/>
  <c r="R108" i="31"/>
  <c r="S108" i="31"/>
  <c r="T108" i="31"/>
  <c r="V108" i="31"/>
  <c r="W108" i="31"/>
  <c r="X108" i="31"/>
  <c r="Y108" i="31"/>
  <c r="AB108" i="31"/>
  <c r="AC108" i="31"/>
  <c r="AD108" i="31"/>
  <c r="AE108" i="31"/>
  <c r="AF108" i="31"/>
  <c r="AG108" i="31"/>
  <c r="AH108" i="31"/>
  <c r="AI108" i="31"/>
  <c r="AJ108" i="31"/>
  <c r="AL108" i="31"/>
  <c r="AM108" i="31"/>
  <c r="AN108" i="31"/>
  <c r="AO108" i="31"/>
  <c r="AP108" i="31"/>
  <c r="AZ108" i="31"/>
  <c r="K109" i="31"/>
  <c r="L109" i="31"/>
  <c r="P109" i="31"/>
  <c r="R109" i="31"/>
  <c r="S109" i="31"/>
  <c r="T109" i="31"/>
  <c r="V109" i="31"/>
  <c r="W109" i="31"/>
  <c r="X109" i="31"/>
  <c r="Y109" i="31"/>
  <c r="AB109" i="31"/>
  <c r="AC109" i="31"/>
  <c r="AD109" i="31"/>
  <c r="AE109" i="31"/>
  <c r="AF109" i="31"/>
  <c r="AG109" i="31"/>
  <c r="AH109" i="31"/>
  <c r="AI109" i="31"/>
  <c r="AJ109" i="31"/>
  <c r="AL109" i="31"/>
  <c r="AM109" i="31"/>
  <c r="AN109" i="31"/>
  <c r="AO109" i="31"/>
  <c r="AP109" i="31"/>
  <c r="AZ109" i="31"/>
  <c r="K110" i="31"/>
  <c r="L110" i="31"/>
  <c r="P110" i="31"/>
  <c r="R110" i="31"/>
  <c r="S110" i="31"/>
  <c r="T110" i="31"/>
  <c r="V110" i="31"/>
  <c r="W110" i="31"/>
  <c r="X110" i="31"/>
  <c r="Y110" i="31"/>
  <c r="AB110" i="31"/>
  <c r="AC110" i="31"/>
  <c r="AD110" i="31"/>
  <c r="AE110" i="31"/>
  <c r="AF110" i="31"/>
  <c r="AG110" i="31"/>
  <c r="AH110" i="31"/>
  <c r="AI110" i="31"/>
  <c r="AJ110" i="31"/>
  <c r="AL110" i="31"/>
  <c r="AM110" i="31"/>
  <c r="AN110" i="31"/>
  <c r="AO110" i="31"/>
  <c r="AP110" i="31"/>
  <c r="AZ110" i="31"/>
  <c r="K111" i="31"/>
  <c r="L111" i="31"/>
  <c r="P111" i="31"/>
  <c r="R111" i="31"/>
  <c r="S111" i="31"/>
  <c r="T111" i="31"/>
  <c r="V111" i="31"/>
  <c r="W111" i="31"/>
  <c r="X111" i="31"/>
  <c r="Y111" i="31"/>
  <c r="AB111" i="31"/>
  <c r="AC111" i="31"/>
  <c r="AD111" i="31"/>
  <c r="AE111" i="31"/>
  <c r="AF111" i="31"/>
  <c r="AG111" i="31"/>
  <c r="AH111" i="31"/>
  <c r="AI111" i="31"/>
  <c r="AJ111" i="31"/>
  <c r="AL111" i="31"/>
  <c r="AM111" i="31"/>
  <c r="AN111" i="31"/>
  <c r="AO111" i="31"/>
  <c r="AP111" i="31"/>
  <c r="AZ111" i="31"/>
  <c r="K112" i="31"/>
  <c r="L112" i="31"/>
  <c r="P112" i="31"/>
  <c r="R112" i="31"/>
  <c r="S112" i="31"/>
  <c r="T112" i="31"/>
  <c r="V112" i="31"/>
  <c r="W112" i="31"/>
  <c r="X112" i="31"/>
  <c r="Y112" i="31"/>
  <c r="AB112" i="31"/>
  <c r="AC112" i="31"/>
  <c r="AD112" i="31"/>
  <c r="AE112" i="31"/>
  <c r="AF112" i="31"/>
  <c r="AG112" i="31"/>
  <c r="AH112" i="31"/>
  <c r="AI112" i="31"/>
  <c r="AJ112" i="31"/>
  <c r="AL112" i="31"/>
  <c r="AM112" i="31"/>
  <c r="AN112" i="31"/>
  <c r="AO112" i="31"/>
  <c r="AP112" i="31"/>
  <c r="AZ112" i="31"/>
  <c r="K113" i="31"/>
  <c r="L113" i="31"/>
  <c r="P113" i="31"/>
  <c r="R113" i="31"/>
  <c r="S113" i="31"/>
  <c r="T113" i="31"/>
  <c r="V113" i="31"/>
  <c r="W113" i="31"/>
  <c r="X113" i="31"/>
  <c r="Y113" i="31"/>
  <c r="AB113" i="31"/>
  <c r="AC113" i="31"/>
  <c r="AD113" i="31"/>
  <c r="AE113" i="31"/>
  <c r="AF113" i="31"/>
  <c r="AG113" i="31"/>
  <c r="AH113" i="31"/>
  <c r="AI113" i="31"/>
  <c r="AJ113" i="31"/>
  <c r="AL113" i="31"/>
  <c r="AM113" i="31"/>
  <c r="AN113" i="31"/>
  <c r="AO113" i="31"/>
  <c r="AP113" i="31"/>
  <c r="AZ113" i="31"/>
  <c r="K114" i="31"/>
  <c r="L114" i="31"/>
  <c r="P114" i="31"/>
  <c r="R114" i="31"/>
  <c r="S114" i="31"/>
  <c r="T114" i="31"/>
  <c r="V114" i="31"/>
  <c r="W114" i="31"/>
  <c r="X114" i="31"/>
  <c r="Y114" i="31"/>
  <c r="AB114" i="31"/>
  <c r="AC114" i="31"/>
  <c r="AD114" i="31"/>
  <c r="AE114" i="31"/>
  <c r="AF114" i="31"/>
  <c r="AG114" i="31"/>
  <c r="AH114" i="31"/>
  <c r="AI114" i="31"/>
  <c r="AJ114" i="31"/>
  <c r="AL114" i="31"/>
  <c r="AM114" i="31"/>
  <c r="AN114" i="31"/>
  <c r="AO114" i="31"/>
  <c r="AP114" i="31"/>
  <c r="AZ114" i="31"/>
  <c r="K115" i="31"/>
  <c r="L115" i="31"/>
  <c r="P115" i="31"/>
  <c r="R115" i="31"/>
  <c r="S115" i="31"/>
  <c r="T115" i="31"/>
  <c r="V115" i="31"/>
  <c r="W115" i="31"/>
  <c r="X115" i="31"/>
  <c r="Y115" i="31"/>
  <c r="AB115" i="31"/>
  <c r="AC115" i="31"/>
  <c r="AD115" i="31"/>
  <c r="AE115" i="31"/>
  <c r="AF115" i="31"/>
  <c r="AG115" i="31"/>
  <c r="AH115" i="31"/>
  <c r="AI115" i="31"/>
  <c r="AJ115" i="31"/>
  <c r="AL115" i="31"/>
  <c r="AM115" i="31"/>
  <c r="AN115" i="31"/>
  <c r="AO115" i="31"/>
  <c r="AP115" i="31"/>
  <c r="AZ115" i="31"/>
  <c r="K116" i="31"/>
  <c r="L116" i="31"/>
  <c r="P116" i="31"/>
  <c r="R116" i="31"/>
  <c r="S116" i="31"/>
  <c r="T116" i="31"/>
  <c r="V116" i="31"/>
  <c r="W116" i="31"/>
  <c r="X116" i="31"/>
  <c r="Y116" i="31"/>
  <c r="AB116" i="31"/>
  <c r="AC116" i="31"/>
  <c r="AD116" i="31"/>
  <c r="AE116" i="31"/>
  <c r="AF116" i="31"/>
  <c r="AG116" i="31"/>
  <c r="AH116" i="31"/>
  <c r="AI116" i="31"/>
  <c r="AJ116" i="31"/>
  <c r="AL116" i="31"/>
  <c r="AM116" i="31"/>
  <c r="AN116" i="31"/>
  <c r="AO116" i="31"/>
  <c r="AP116" i="31"/>
  <c r="AZ116" i="31"/>
  <c r="K117" i="31"/>
  <c r="L117" i="31"/>
  <c r="P117" i="31"/>
  <c r="R117" i="31"/>
  <c r="S117" i="31"/>
  <c r="T117" i="31"/>
  <c r="V117" i="31"/>
  <c r="W117" i="31"/>
  <c r="X117" i="31"/>
  <c r="Y117" i="31"/>
  <c r="AB117" i="31"/>
  <c r="AC117" i="31"/>
  <c r="AD117" i="31"/>
  <c r="AE117" i="31"/>
  <c r="AF117" i="31"/>
  <c r="AG117" i="31"/>
  <c r="AH117" i="31"/>
  <c r="AI117" i="31"/>
  <c r="AJ117" i="31"/>
  <c r="AL117" i="31"/>
  <c r="AM117" i="31"/>
  <c r="AN117" i="31"/>
  <c r="AO117" i="31"/>
  <c r="AP117" i="31"/>
  <c r="AZ117" i="31"/>
  <c r="K118" i="31"/>
  <c r="L118" i="31"/>
  <c r="P118" i="31"/>
  <c r="R118" i="31"/>
  <c r="S118" i="31"/>
  <c r="T118" i="31"/>
  <c r="V118" i="31"/>
  <c r="W118" i="31"/>
  <c r="X118" i="31"/>
  <c r="Y118" i="31"/>
  <c r="AB118" i="31"/>
  <c r="AC118" i="31"/>
  <c r="AD118" i="31"/>
  <c r="AE118" i="31"/>
  <c r="AF118" i="31"/>
  <c r="AG118" i="31"/>
  <c r="AH118" i="31"/>
  <c r="AI118" i="31"/>
  <c r="AJ118" i="31"/>
  <c r="AL118" i="31"/>
  <c r="AM118" i="31"/>
  <c r="AN118" i="31"/>
  <c r="AO118" i="31"/>
  <c r="AP118" i="31"/>
  <c r="AZ118" i="31"/>
  <c r="K119" i="31"/>
  <c r="L119" i="31"/>
  <c r="P119" i="31"/>
  <c r="R119" i="31"/>
  <c r="S119" i="31"/>
  <c r="T119" i="31"/>
  <c r="V119" i="31"/>
  <c r="W119" i="31"/>
  <c r="X119" i="31"/>
  <c r="Y119" i="31"/>
  <c r="AB119" i="31"/>
  <c r="AC119" i="31"/>
  <c r="AD119" i="31"/>
  <c r="AE119" i="31"/>
  <c r="AF119" i="31"/>
  <c r="AG119" i="31"/>
  <c r="AH119" i="31"/>
  <c r="AI119" i="31"/>
  <c r="AJ119" i="31"/>
  <c r="AL119" i="31"/>
  <c r="AM119" i="31"/>
  <c r="AN119" i="31"/>
  <c r="AO119" i="31"/>
  <c r="AP119" i="31"/>
  <c r="AZ119" i="31"/>
  <c r="K120" i="31"/>
  <c r="L120" i="31"/>
  <c r="P120" i="31"/>
  <c r="R120" i="31"/>
  <c r="S120" i="31"/>
  <c r="T120" i="31"/>
  <c r="V120" i="31"/>
  <c r="W120" i="31"/>
  <c r="X120" i="31"/>
  <c r="Y120" i="31"/>
  <c r="AB120" i="31"/>
  <c r="AC120" i="31"/>
  <c r="AD120" i="31"/>
  <c r="AE120" i="31"/>
  <c r="AF120" i="31"/>
  <c r="AG120" i="31"/>
  <c r="AH120" i="31"/>
  <c r="AI120" i="31"/>
  <c r="AJ120" i="31"/>
  <c r="AL120" i="31"/>
  <c r="AM120" i="31"/>
  <c r="AN120" i="31"/>
  <c r="AO120" i="31"/>
  <c r="AP120" i="31"/>
  <c r="AZ120" i="31"/>
  <c r="K121" i="31"/>
  <c r="L121" i="31"/>
  <c r="P121" i="31"/>
  <c r="R121" i="31"/>
  <c r="S121" i="31"/>
  <c r="T121" i="31"/>
  <c r="V121" i="31"/>
  <c r="W121" i="31"/>
  <c r="X121" i="31"/>
  <c r="Y121" i="31"/>
  <c r="AB121" i="31"/>
  <c r="AC121" i="31"/>
  <c r="AD121" i="31"/>
  <c r="AE121" i="31"/>
  <c r="AF121" i="31"/>
  <c r="AG121" i="31"/>
  <c r="AH121" i="31"/>
  <c r="AI121" i="31"/>
  <c r="AJ121" i="31"/>
  <c r="AL121" i="31"/>
  <c r="AM121" i="31"/>
  <c r="AN121" i="31"/>
  <c r="AO121" i="31"/>
  <c r="AP121" i="31"/>
  <c r="AZ121" i="31"/>
  <c r="K122" i="31"/>
  <c r="L122" i="31"/>
  <c r="P122" i="31"/>
  <c r="R122" i="31"/>
  <c r="S122" i="31"/>
  <c r="T122" i="31"/>
  <c r="V122" i="31"/>
  <c r="W122" i="31"/>
  <c r="X122" i="31"/>
  <c r="Y122" i="31"/>
  <c r="AB122" i="31"/>
  <c r="AC122" i="31"/>
  <c r="AD122" i="31"/>
  <c r="AE122" i="31"/>
  <c r="AF122" i="31"/>
  <c r="AG122" i="31"/>
  <c r="AH122" i="31"/>
  <c r="AI122" i="31"/>
  <c r="AJ122" i="31"/>
  <c r="AL122" i="31"/>
  <c r="AM122" i="31"/>
  <c r="AN122" i="31"/>
  <c r="AO122" i="31"/>
  <c r="AP122" i="31"/>
  <c r="AZ122" i="31"/>
  <c r="K123" i="31"/>
  <c r="L123" i="31"/>
  <c r="P123" i="31"/>
  <c r="R123" i="31"/>
  <c r="S123" i="31"/>
  <c r="T123" i="31"/>
  <c r="V123" i="31"/>
  <c r="W123" i="31"/>
  <c r="X123" i="31"/>
  <c r="Y123" i="31"/>
  <c r="AB123" i="31"/>
  <c r="AC123" i="31"/>
  <c r="AD123" i="31"/>
  <c r="AE123" i="31"/>
  <c r="AF123" i="31"/>
  <c r="AG123" i="31"/>
  <c r="AH123" i="31"/>
  <c r="AI123" i="31"/>
  <c r="AJ123" i="31"/>
  <c r="AL123" i="31"/>
  <c r="AM123" i="31"/>
  <c r="AN123" i="31"/>
  <c r="AO123" i="31"/>
  <c r="AP123" i="31"/>
  <c r="AZ123" i="31"/>
  <c r="K124" i="31"/>
  <c r="L124" i="31"/>
  <c r="P124" i="31"/>
  <c r="R124" i="31"/>
  <c r="S124" i="31"/>
  <c r="T124" i="31"/>
  <c r="V124" i="31"/>
  <c r="W124" i="31"/>
  <c r="X124" i="31"/>
  <c r="Y124" i="31"/>
  <c r="AB124" i="31"/>
  <c r="AC124" i="31"/>
  <c r="AD124" i="31"/>
  <c r="AE124" i="31"/>
  <c r="AF124" i="31"/>
  <c r="AG124" i="31"/>
  <c r="AH124" i="31"/>
  <c r="AI124" i="31"/>
  <c r="AJ124" i="31"/>
  <c r="AL124" i="31"/>
  <c r="AM124" i="31"/>
  <c r="AN124" i="31"/>
  <c r="AO124" i="31"/>
  <c r="AP124" i="31"/>
  <c r="AZ124" i="31"/>
  <c r="K125" i="31"/>
  <c r="L125" i="31"/>
  <c r="P125" i="31"/>
  <c r="R125" i="31"/>
  <c r="S125" i="31"/>
  <c r="T125" i="31"/>
  <c r="V125" i="31"/>
  <c r="W125" i="31"/>
  <c r="X125" i="31"/>
  <c r="Y125" i="31"/>
  <c r="AB125" i="31"/>
  <c r="AC125" i="31"/>
  <c r="AD125" i="31"/>
  <c r="AE125" i="31"/>
  <c r="AF125" i="31"/>
  <c r="AG125" i="31"/>
  <c r="AH125" i="31"/>
  <c r="AI125" i="31"/>
  <c r="AJ125" i="31"/>
  <c r="AL125" i="31"/>
  <c r="AM125" i="31"/>
  <c r="AN125" i="31"/>
  <c r="AO125" i="31"/>
  <c r="AP125" i="31"/>
  <c r="AZ125" i="31"/>
  <c r="K126" i="31"/>
  <c r="L126" i="31"/>
  <c r="P126" i="31"/>
  <c r="R126" i="31"/>
  <c r="S126" i="31"/>
  <c r="T126" i="31"/>
  <c r="V126" i="31"/>
  <c r="W126" i="31"/>
  <c r="X126" i="31"/>
  <c r="Y126" i="31"/>
  <c r="AB126" i="31"/>
  <c r="AC126" i="31"/>
  <c r="AD126" i="31"/>
  <c r="AE126" i="31"/>
  <c r="AF126" i="31"/>
  <c r="AG126" i="31"/>
  <c r="AH126" i="31"/>
  <c r="AI126" i="31"/>
  <c r="AJ126" i="31"/>
  <c r="AL126" i="31"/>
  <c r="AM126" i="31"/>
  <c r="AN126" i="31"/>
  <c r="AO126" i="31"/>
  <c r="AP126" i="31"/>
  <c r="AZ126" i="31"/>
  <c r="K127" i="31"/>
  <c r="L127" i="31"/>
  <c r="P127" i="31"/>
  <c r="R127" i="31"/>
  <c r="S127" i="31"/>
  <c r="T127" i="31"/>
  <c r="V127" i="31"/>
  <c r="W127" i="31"/>
  <c r="X127" i="31"/>
  <c r="Y127" i="31"/>
  <c r="AB127" i="31"/>
  <c r="AC127" i="31"/>
  <c r="AD127" i="31"/>
  <c r="AE127" i="31"/>
  <c r="AF127" i="31"/>
  <c r="AG127" i="31"/>
  <c r="AH127" i="31"/>
  <c r="AI127" i="31"/>
  <c r="AJ127" i="31"/>
  <c r="AL127" i="31"/>
  <c r="AM127" i="31"/>
  <c r="AN127" i="31"/>
  <c r="AO127" i="31"/>
  <c r="AP127" i="31"/>
  <c r="AZ127" i="31"/>
  <c r="K128" i="31"/>
  <c r="L128" i="31"/>
  <c r="P128" i="31"/>
  <c r="R128" i="31"/>
  <c r="S128" i="31"/>
  <c r="T128" i="31"/>
  <c r="V128" i="31"/>
  <c r="W128" i="31"/>
  <c r="X128" i="31"/>
  <c r="Y128" i="31"/>
  <c r="AB128" i="31"/>
  <c r="AC128" i="31"/>
  <c r="AD128" i="31"/>
  <c r="AE128" i="31"/>
  <c r="AF128" i="31"/>
  <c r="AG128" i="31"/>
  <c r="AH128" i="31"/>
  <c r="AI128" i="31"/>
  <c r="AJ128" i="31"/>
  <c r="AL128" i="31"/>
  <c r="AM128" i="31"/>
  <c r="AN128" i="31"/>
  <c r="AO128" i="31"/>
  <c r="AP128" i="31"/>
  <c r="AZ128" i="31"/>
  <c r="K129" i="31"/>
  <c r="L129" i="31"/>
  <c r="P129" i="31"/>
  <c r="R129" i="31"/>
  <c r="S129" i="31"/>
  <c r="T129" i="31"/>
  <c r="V129" i="31"/>
  <c r="W129" i="31"/>
  <c r="X129" i="31"/>
  <c r="Y129" i="31"/>
  <c r="AB129" i="31"/>
  <c r="AC129" i="31"/>
  <c r="AD129" i="31"/>
  <c r="AE129" i="31"/>
  <c r="AF129" i="31"/>
  <c r="AG129" i="31"/>
  <c r="AH129" i="31"/>
  <c r="AI129" i="31"/>
  <c r="AJ129" i="31"/>
  <c r="AL129" i="31"/>
  <c r="AM129" i="31"/>
  <c r="AN129" i="31"/>
  <c r="AO129" i="31"/>
  <c r="AP129" i="31"/>
  <c r="AZ129" i="31"/>
  <c r="K130" i="31"/>
  <c r="L130" i="31"/>
  <c r="P130" i="31"/>
  <c r="R130" i="31"/>
  <c r="S130" i="31"/>
  <c r="T130" i="31"/>
  <c r="V130" i="31"/>
  <c r="W130" i="31"/>
  <c r="X130" i="31"/>
  <c r="Y130" i="31"/>
  <c r="AB130" i="31"/>
  <c r="AC130" i="31"/>
  <c r="AD130" i="31"/>
  <c r="AE130" i="31"/>
  <c r="AF130" i="31"/>
  <c r="AG130" i="31"/>
  <c r="AH130" i="31"/>
  <c r="AI130" i="31"/>
  <c r="AJ130" i="31"/>
  <c r="AL130" i="31"/>
  <c r="AM130" i="31"/>
  <c r="AN130" i="31"/>
  <c r="AO130" i="31"/>
  <c r="AP130" i="31"/>
  <c r="AZ130" i="31"/>
  <c r="K131" i="31"/>
  <c r="L131" i="31"/>
  <c r="P131" i="31"/>
  <c r="R131" i="31"/>
  <c r="S131" i="31"/>
  <c r="T131" i="31"/>
  <c r="V131" i="31"/>
  <c r="W131" i="31"/>
  <c r="X131" i="31"/>
  <c r="Y131" i="31"/>
  <c r="AB131" i="31"/>
  <c r="AC131" i="31"/>
  <c r="AD131" i="31"/>
  <c r="AE131" i="31"/>
  <c r="AF131" i="31"/>
  <c r="AG131" i="31"/>
  <c r="AH131" i="31"/>
  <c r="AI131" i="31"/>
  <c r="AJ131" i="31"/>
  <c r="AL131" i="31"/>
  <c r="AM131" i="31"/>
  <c r="AN131" i="31"/>
  <c r="AO131" i="31"/>
  <c r="AP131" i="31"/>
  <c r="AZ131" i="31"/>
  <c r="K132" i="31"/>
  <c r="L132" i="31"/>
  <c r="P132" i="31"/>
  <c r="R132" i="31"/>
  <c r="S132" i="31"/>
  <c r="T132" i="31"/>
  <c r="V132" i="31"/>
  <c r="W132" i="31"/>
  <c r="X132" i="31"/>
  <c r="Y132" i="31"/>
  <c r="AB132" i="31"/>
  <c r="AC132" i="31"/>
  <c r="AD132" i="31"/>
  <c r="AE132" i="31"/>
  <c r="AF132" i="31"/>
  <c r="AG132" i="31"/>
  <c r="AH132" i="31"/>
  <c r="AI132" i="31"/>
  <c r="AJ132" i="31"/>
  <c r="AL132" i="31"/>
  <c r="AM132" i="31"/>
  <c r="AN132" i="31"/>
  <c r="AO132" i="31"/>
  <c r="AP132" i="31"/>
  <c r="AZ132" i="31"/>
  <c r="K133" i="31"/>
  <c r="L133" i="31"/>
  <c r="P133" i="31"/>
  <c r="R133" i="31"/>
  <c r="S133" i="31"/>
  <c r="T133" i="31"/>
  <c r="V133" i="31"/>
  <c r="W133" i="31"/>
  <c r="X133" i="31"/>
  <c r="Y133" i="31"/>
  <c r="AB133" i="31"/>
  <c r="AC133" i="31"/>
  <c r="AD133" i="31"/>
  <c r="AE133" i="31"/>
  <c r="AF133" i="31"/>
  <c r="AG133" i="31"/>
  <c r="AH133" i="31"/>
  <c r="AI133" i="31"/>
  <c r="AJ133" i="31"/>
  <c r="AL133" i="31"/>
  <c r="AM133" i="31"/>
  <c r="AN133" i="31"/>
  <c r="AO133" i="31"/>
  <c r="AP133" i="31"/>
  <c r="AZ133" i="31"/>
  <c r="K134" i="31"/>
  <c r="L134" i="31"/>
  <c r="P134" i="31"/>
  <c r="R134" i="31"/>
  <c r="S134" i="31"/>
  <c r="T134" i="31"/>
  <c r="V134" i="31"/>
  <c r="W134" i="31"/>
  <c r="X134" i="31"/>
  <c r="Y134" i="31"/>
  <c r="AB134" i="31"/>
  <c r="AC134" i="31"/>
  <c r="AD134" i="31"/>
  <c r="AE134" i="31"/>
  <c r="AF134" i="31"/>
  <c r="AG134" i="31"/>
  <c r="AH134" i="31"/>
  <c r="AI134" i="31"/>
  <c r="AJ134" i="31"/>
  <c r="AL134" i="31"/>
  <c r="AM134" i="31"/>
  <c r="AN134" i="31"/>
  <c r="AO134" i="31"/>
  <c r="AP134" i="31"/>
  <c r="AZ134" i="31"/>
  <c r="K135" i="31"/>
  <c r="L135" i="31"/>
  <c r="P135" i="31"/>
  <c r="R135" i="31"/>
  <c r="S135" i="31"/>
  <c r="T135" i="31"/>
  <c r="V135" i="31"/>
  <c r="W135" i="31"/>
  <c r="X135" i="31"/>
  <c r="Y135" i="31"/>
  <c r="AB135" i="31"/>
  <c r="AC135" i="31"/>
  <c r="AD135" i="31"/>
  <c r="AE135" i="31"/>
  <c r="AF135" i="31"/>
  <c r="AG135" i="31"/>
  <c r="AH135" i="31"/>
  <c r="AI135" i="31"/>
  <c r="AJ135" i="31"/>
  <c r="AL135" i="31"/>
  <c r="AM135" i="31"/>
  <c r="AN135" i="31"/>
  <c r="AO135" i="31"/>
  <c r="AP135" i="31"/>
  <c r="AZ135" i="31"/>
  <c r="K136" i="31"/>
  <c r="L136" i="31"/>
  <c r="P136" i="31"/>
  <c r="R136" i="31"/>
  <c r="S136" i="31"/>
  <c r="T136" i="31"/>
  <c r="V136" i="31"/>
  <c r="W136" i="31"/>
  <c r="X136" i="31"/>
  <c r="Y136" i="31"/>
  <c r="AB136" i="31"/>
  <c r="AC136" i="31"/>
  <c r="AD136" i="31"/>
  <c r="AE136" i="31"/>
  <c r="AF136" i="31"/>
  <c r="AG136" i="31"/>
  <c r="AH136" i="31"/>
  <c r="AI136" i="31"/>
  <c r="AJ136" i="31"/>
  <c r="AL136" i="31"/>
  <c r="AM136" i="31"/>
  <c r="AN136" i="31"/>
  <c r="AO136" i="31"/>
  <c r="AP136" i="31"/>
  <c r="AZ136" i="31"/>
  <c r="K137" i="31"/>
  <c r="L137" i="31"/>
  <c r="P137" i="31"/>
  <c r="R137" i="31"/>
  <c r="S137" i="31"/>
  <c r="T137" i="31"/>
  <c r="V137" i="31"/>
  <c r="W137" i="31"/>
  <c r="X137" i="31"/>
  <c r="Y137" i="31"/>
  <c r="AB137" i="31"/>
  <c r="AC137" i="31"/>
  <c r="AD137" i="31"/>
  <c r="AE137" i="31"/>
  <c r="AF137" i="31"/>
  <c r="AG137" i="31"/>
  <c r="AH137" i="31"/>
  <c r="AI137" i="31"/>
  <c r="AJ137" i="31"/>
  <c r="AL137" i="31"/>
  <c r="AM137" i="31"/>
  <c r="AN137" i="31"/>
  <c r="AO137" i="31"/>
  <c r="AP137" i="31"/>
  <c r="AZ137" i="31"/>
  <c r="K138" i="31"/>
  <c r="L138" i="31"/>
  <c r="P138" i="31"/>
  <c r="R138" i="31"/>
  <c r="S138" i="31"/>
  <c r="T138" i="31"/>
  <c r="V138" i="31"/>
  <c r="W138" i="31"/>
  <c r="X138" i="31"/>
  <c r="Y138" i="31"/>
  <c r="AB138" i="31"/>
  <c r="AC138" i="31"/>
  <c r="AD138" i="31"/>
  <c r="AE138" i="31"/>
  <c r="AF138" i="31"/>
  <c r="AG138" i="31"/>
  <c r="AH138" i="31"/>
  <c r="AI138" i="31"/>
  <c r="AJ138" i="31"/>
  <c r="AL138" i="31"/>
  <c r="AM138" i="31"/>
  <c r="AN138" i="31"/>
  <c r="AO138" i="31"/>
  <c r="AP138" i="31"/>
  <c r="AZ138" i="31"/>
  <c r="K139" i="31"/>
  <c r="L139" i="31"/>
  <c r="P139" i="31"/>
  <c r="R139" i="31"/>
  <c r="S139" i="31"/>
  <c r="T139" i="31"/>
  <c r="V139" i="31"/>
  <c r="W139" i="31"/>
  <c r="X139" i="31"/>
  <c r="Y139" i="31"/>
  <c r="AB139" i="31"/>
  <c r="AC139" i="31"/>
  <c r="AD139" i="31"/>
  <c r="AE139" i="31"/>
  <c r="AF139" i="31"/>
  <c r="AG139" i="31"/>
  <c r="AH139" i="31"/>
  <c r="AI139" i="31"/>
  <c r="AJ139" i="31"/>
  <c r="AL139" i="31"/>
  <c r="AM139" i="31"/>
  <c r="AN139" i="31"/>
  <c r="AO139" i="31"/>
  <c r="AP139" i="31"/>
  <c r="AZ139" i="31"/>
  <c r="K140" i="31"/>
  <c r="L140" i="31"/>
  <c r="P140" i="31"/>
  <c r="R140" i="31"/>
  <c r="S140" i="31"/>
  <c r="T140" i="31"/>
  <c r="V140" i="31"/>
  <c r="W140" i="31"/>
  <c r="X140" i="31"/>
  <c r="Y140" i="31"/>
  <c r="AB140" i="31"/>
  <c r="AC140" i="31"/>
  <c r="AD140" i="31"/>
  <c r="AE140" i="31"/>
  <c r="AF140" i="31"/>
  <c r="AG140" i="31"/>
  <c r="AH140" i="31"/>
  <c r="AI140" i="31"/>
  <c r="AJ140" i="31"/>
  <c r="AL140" i="31"/>
  <c r="AM140" i="31"/>
  <c r="AN140" i="31"/>
  <c r="AO140" i="31"/>
  <c r="AP140" i="31"/>
  <c r="AZ140" i="31"/>
  <c r="K141" i="31"/>
  <c r="L141" i="31"/>
  <c r="P141" i="31"/>
  <c r="R141" i="31"/>
  <c r="S141" i="31"/>
  <c r="T141" i="31"/>
  <c r="V141" i="31"/>
  <c r="W141" i="31"/>
  <c r="X141" i="31"/>
  <c r="Y141" i="31"/>
  <c r="AB141" i="31"/>
  <c r="AC141" i="31"/>
  <c r="AD141" i="31"/>
  <c r="AE141" i="31"/>
  <c r="AF141" i="31"/>
  <c r="AG141" i="31"/>
  <c r="AH141" i="31"/>
  <c r="AI141" i="31"/>
  <c r="AJ141" i="31"/>
  <c r="AL141" i="31"/>
  <c r="AM141" i="31"/>
  <c r="AN141" i="31"/>
  <c r="AO141" i="31"/>
  <c r="AP141" i="31"/>
  <c r="AZ141" i="31"/>
  <c r="K142" i="31"/>
  <c r="L142" i="31"/>
  <c r="P142" i="31"/>
  <c r="R142" i="31"/>
  <c r="S142" i="31"/>
  <c r="T142" i="31"/>
  <c r="V142" i="31"/>
  <c r="W142" i="31"/>
  <c r="X142" i="31"/>
  <c r="Y142" i="31"/>
  <c r="AB142" i="31"/>
  <c r="AC142" i="31"/>
  <c r="AD142" i="31"/>
  <c r="AE142" i="31"/>
  <c r="AF142" i="31"/>
  <c r="AG142" i="31"/>
  <c r="AH142" i="31"/>
  <c r="AI142" i="31"/>
  <c r="AJ142" i="31"/>
  <c r="AL142" i="31"/>
  <c r="AM142" i="31"/>
  <c r="AN142" i="31"/>
  <c r="AO142" i="31"/>
  <c r="AP142" i="31"/>
  <c r="AZ142" i="31"/>
  <c r="K143" i="31"/>
  <c r="L143" i="31"/>
  <c r="P143" i="31"/>
  <c r="R143" i="31"/>
  <c r="S143" i="31"/>
  <c r="T143" i="31"/>
  <c r="V143" i="31"/>
  <c r="W143" i="31"/>
  <c r="X143" i="31"/>
  <c r="Y143" i="31"/>
  <c r="AB143" i="31"/>
  <c r="AC143" i="31"/>
  <c r="AD143" i="31"/>
  <c r="AE143" i="31"/>
  <c r="AF143" i="31"/>
  <c r="AG143" i="31"/>
  <c r="AH143" i="31"/>
  <c r="AI143" i="31"/>
  <c r="AJ143" i="31"/>
  <c r="AL143" i="31"/>
  <c r="AM143" i="31"/>
  <c r="AN143" i="31"/>
  <c r="AO143" i="31"/>
  <c r="AP143" i="31"/>
  <c r="AZ143" i="31"/>
  <c r="K144" i="31"/>
  <c r="L144" i="31"/>
  <c r="P144" i="31"/>
  <c r="R144" i="31"/>
  <c r="S144" i="31"/>
  <c r="T144" i="31"/>
  <c r="V144" i="31"/>
  <c r="W144" i="31"/>
  <c r="X144" i="31"/>
  <c r="Y144" i="31"/>
  <c r="AB144" i="31"/>
  <c r="AC144" i="31"/>
  <c r="AD144" i="31"/>
  <c r="AE144" i="31"/>
  <c r="AF144" i="31"/>
  <c r="AG144" i="31"/>
  <c r="AH144" i="31"/>
  <c r="AI144" i="31"/>
  <c r="AJ144" i="31"/>
  <c r="AL144" i="31"/>
  <c r="AM144" i="31"/>
  <c r="AN144" i="31"/>
  <c r="AO144" i="31"/>
  <c r="AP144" i="31"/>
  <c r="AZ144" i="31"/>
  <c r="K145" i="31"/>
  <c r="L145" i="31"/>
  <c r="P145" i="31"/>
  <c r="R145" i="31"/>
  <c r="S145" i="31"/>
  <c r="T145" i="31"/>
  <c r="V145" i="31"/>
  <c r="W145" i="31"/>
  <c r="X145" i="31"/>
  <c r="Y145" i="31"/>
  <c r="AB145" i="31"/>
  <c r="AC145" i="31"/>
  <c r="AD145" i="31"/>
  <c r="AE145" i="31"/>
  <c r="AF145" i="31"/>
  <c r="AG145" i="31"/>
  <c r="AH145" i="31"/>
  <c r="AI145" i="31"/>
  <c r="AJ145" i="31"/>
  <c r="AL145" i="31"/>
  <c r="AM145" i="31"/>
  <c r="AN145" i="31"/>
  <c r="AO145" i="31"/>
  <c r="AP145" i="31"/>
  <c r="AZ145" i="31"/>
  <c r="K146" i="31"/>
  <c r="L146" i="31"/>
  <c r="P146" i="31"/>
  <c r="R146" i="31"/>
  <c r="S146" i="31"/>
  <c r="T146" i="31"/>
  <c r="V146" i="31"/>
  <c r="W146" i="31"/>
  <c r="X146" i="31"/>
  <c r="Y146" i="31"/>
  <c r="AB146" i="31"/>
  <c r="AC146" i="31"/>
  <c r="AD146" i="31"/>
  <c r="AE146" i="31"/>
  <c r="AF146" i="31"/>
  <c r="AG146" i="31"/>
  <c r="AH146" i="31"/>
  <c r="AI146" i="31"/>
  <c r="AJ146" i="31"/>
  <c r="AL146" i="31"/>
  <c r="AM146" i="31"/>
  <c r="AN146" i="31"/>
  <c r="AO146" i="31"/>
  <c r="AP146" i="31"/>
  <c r="AZ146" i="31"/>
  <c r="K147" i="31"/>
  <c r="L147" i="31"/>
  <c r="P147" i="31"/>
  <c r="R147" i="31"/>
  <c r="S147" i="31"/>
  <c r="T147" i="31"/>
  <c r="V147" i="31"/>
  <c r="W147" i="31"/>
  <c r="X147" i="31"/>
  <c r="Y147" i="31"/>
  <c r="AB147" i="31"/>
  <c r="AC147" i="31"/>
  <c r="AD147" i="31"/>
  <c r="AE147" i="31"/>
  <c r="AF147" i="31"/>
  <c r="AG147" i="31"/>
  <c r="AH147" i="31"/>
  <c r="AI147" i="31"/>
  <c r="AJ147" i="31"/>
  <c r="AL147" i="31"/>
  <c r="AM147" i="31"/>
  <c r="AN147" i="31"/>
  <c r="AO147" i="31"/>
  <c r="AP147" i="31"/>
  <c r="AZ147" i="31"/>
  <c r="K148" i="31"/>
  <c r="L148" i="31"/>
  <c r="P148" i="31"/>
  <c r="R148" i="31"/>
  <c r="S148" i="31"/>
  <c r="T148" i="31"/>
  <c r="V148" i="31"/>
  <c r="W148" i="31"/>
  <c r="X148" i="31"/>
  <c r="Y148" i="31"/>
  <c r="AB148" i="31"/>
  <c r="AC148" i="31"/>
  <c r="AD148" i="31"/>
  <c r="AE148" i="31"/>
  <c r="AF148" i="31"/>
  <c r="AG148" i="31"/>
  <c r="AH148" i="31"/>
  <c r="AI148" i="31"/>
  <c r="AJ148" i="31"/>
  <c r="AL148" i="31"/>
  <c r="AM148" i="31"/>
  <c r="AN148" i="31"/>
  <c r="AO148" i="31"/>
  <c r="AP148" i="31"/>
  <c r="AZ148" i="31"/>
  <c r="K149" i="31"/>
  <c r="L149" i="31"/>
  <c r="P149" i="31"/>
  <c r="R149" i="31"/>
  <c r="S149" i="31"/>
  <c r="T149" i="31"/>
  <c r="V149" i="31"/>
  <c r="W149" i="31"/>
  <c r="X149" i="31"/>
  <c r="Y149" i="31"/>
  <c r="AB149" i="31"/>
  <c r="AC149" i="31"/>
  <c r="AD149" i="31"/>
  <c r="AE149" i="31"/>
  <c r="AF149" i="31"/>
  <c r="AG149" i="31"/>
  <c r="AH149" i="31"/>
  <c r="AI149" i="31"/>
  <c r="AJ149" i="31"/>
  <c r="AL149" i="31"/>
  <c r="AM149" i="31"/>
  <c r="AN149" i="31"/>
  <c r="AO149" i="31"/>
  <c r="AP149" i="31"/>
  <c r="AZ149" i="31"/>
  <c r="K150" i="31"/>
  <c r="L150" i="31"/>
  <c r="P150" i="31"/>
  <c r="R150" i="31"/>
  <c r="S150" i="31"/>
  <c r="T150" i="31"/>
  <c r="V150" i="31"/>
  <c r="W150" i="31"/>
  <c r="X150" i="31"/>
  <c r="Y150" i="31"/>
  <c r="AB150" i="31"/>
  <c r="AC150" i="31"/>
  <c r="AD150" i="31"/>
  <c r="AE150" i="31"/>
  <c r="AF150" i="31"/>
  <c r="AG150" i="31"/>
  <c r="AH150" i="31"/>
  <c r="AI150" i="31"/>
  <c r="AJ150" i="31"/>
  <c r="AL150" i="31"/>
  <c r="AM150" i="31"/>
  <c r="AN150" i="31"/>
  <c r="AO150" i="31"/>
  <c r="AP150" i="31"/>
  <c r="AZ150" i="31"/>
  <c r="K151" i="31"/>
  <c r="L151" i="31"/>
  <c r="P151" i="31"/>
  <c r="R151" i="31"/>
  <c r="S151" i="31"/>
  <c r="T151" i="31"/>
  <c r="V151" i="31"/>
  <c r="W151" i="31"/>
  <c r="X151" i="31"/>
  <c r="Y151" i="31"/>
  <c r="AB151" i="31"/>
  <c r="AC151" i="31"/>
  <c r="AD151" i="31"/>
  <c r="AE151" i="31"/>
  <c r="AF151" i="31"/>
  <c r="AG151" i="31"/>
  <c r="AH151" i="31"/>
  <c r="AI151" i="31"/>
  <c r="AJ151" i="31"/>
  <c r="AL151" i="31"/>
  <c r="AM151" i="31"/>
  <c r="AN151" i="31"/>
  <c r="AO151" i="31"/>
  <c r="AP151" i="31"/>
  <c r="AZ151" i="31"/>
  <c r="K152" i="31"/>
  <c r="L152" i="31"/>
  <c r="P152" i="31"/>
  <c r="R152" i="31"/>
  <c r="S152" i="31"/>
  <c r="T152" i="31"/>
  <c r="V152" i="31"/>
  <c r="W152" i="31"/>
  <c r="X152" i="31"/>
  <c r="Y152" i="31"/>
  <c r="AB152" i="31"/>
  <c r="AC152" i="31"/>
  <c r="AD152" i="31"/>
  <c r="AE152" i="31"/>
  <c r="AF152" i="31"/>
  <c r="AG152" i="31"/>
  <c r="AH152" i="31"/>
  <c r="AI152" i="31"/>
  <c r="AJ152" i="31"/>
  <c r="AL152" i="31"/>
  <c r="AM152" i="31"/>
  <c r="AN152" i="31"/>
  <c r="AO152" i="31"/>
  <c r="AP152" i="31"/>
  <c r="AZ152" i="31"/>
  <c r="K153" i="31"/>
  <c r="L153" i="31"/>
  <c r="P153" i="31"/>
  <c r="R153" i="31"/>
  <c r="S153" i="31"/>
  <c r="T153" i="31"/>
  <c r="V153" i="31"/>
  <c r="W153" i="31"/>
  <c r="X153" i="31"/>
  <c r="Y153" i="31"/>
  <c r="AB153" i="31"/>
  <c r="AC153" i="31"/>
  <c r="AD153" i="31"/>
  <c r="AE153" i="31"/>
  <c r="AF153" i="31"/>
  <c r="AG153" i="31"/>
  <c r="AH153" i="31"/>
  <c r="AI153" i="31"/>
  <c r="AJ153" i="31"/>
  <c r="AL153" i="31"/>
  <c r="AM153" i="31"/>
  <c r="AN153" i="31"/>
  <c r="AO153" i="31"/>
  <c r="AP153" i="31"/>
  <c r="AZ153" i="31"/>
  <c r="K154" i="31"/>
  <c r="L154" i="31"/>
  <c r="P154" i="31"/>
  <c r="R154" i="31"/>
  <c r="S154" i="31"/>
  <c r="T154" i="31"/>
  <c r="V154" i="31"/>
  <c r="W154" i="31"/>
  <c r="X154" i="31"/>
  <c r="Y154" i="31"/>
  <c r="AB154" i="31"/>
  <c r="AC154" i="31"/>
  <c r="AD154" i="31"/>
  <c r="AE154" i="31"/>
  <c r="AF154" i="31"/>
  <c r="AG154" i="31"/>
  <c r="AH154" i="31"/>
  <c r="AI154" i="31"/>
  <c r="AJ154" i="31"/>
  <c r="AL154" i="31"/>
  <c r="AM154" i="31"/>
  <c r="AN154" i="31"/>
  <c r="AO154" i="31"/>
  <c r="AP154" i="31"/>
  <c r="AZ154" i="31"/>
  <c r="K155" i="31"/>
  <c r="L155" i="31"/>
  <c r="P155" i="31"/>
  <c r="R155" i="31"/>
  <c r="S155" i="31"/>
  <c r="T155" i="31"/>
  <c r="V155" i="31"/>
  <c r="W155" i="31"/>
  <c r="X155" i="31"/>
  <c r="Y155" i="31"/>
  <c r="AB155" i="31"/>
  <c r="AC155" i="31"/>
  <c r="AD155" i="31"/>
  <c r="AE155" i="31"/>
  <c r="AF155" i="31"/>
  <c r="AG155" i="31"/>
  <c r="AH155" i="31"/>
  <c r="AI155" i="31"/>
  <c r="AJ155" i="31"/>
  <c r="AL155" i="31"/>
  <c r="AM155" i="31"/>
  <c r="AN155" i="31"/>
  <c r="AO155" i="31"/>
  <c r="AP155" i="31"/>
  <c r="AZ155" i="31"/>
  <c r="K156" i="31"/>
  <c r="L156" i="31"/>
  <c r="P156" i="31"/>
  <c r="R156" i="31"/>
  <c r="S156" i="31"/>
  <c r="T156" i="31"/>
  <c r="V156" i="31"/>
  <c r="W156" i="31"/>
  <c r="X156" i="31"/>
  <c r="Y156" i="31"/>
  <c r="AB156" i="31"/>
  <c r="AC156" i="31"/>
  <c r="AD156" i="31"/>
  <c r="AE156" i="31"/>
  <c r="AF156" i="31"/>
  <c r="AG156" i="31"/>
  <c r="AH156" i="31"/>
  <c r="AI156" i="31"/>
  <c r="AJ156" i="31"/>
  <c r="AL156" i="31"/>
  <c r="AM156" i="31"/>
  <c r="AN156" i="31"/>
  <c r="AO156" i="31"/>
  <c r="AP156" i="31"/>
  <c r="AZ156" i="31"/>
  <c r="K157" i="31"/>
  <c r="L157" i="31"/>
  <c r="P157" i="31"/>
  <c r="R157" i="31"/>
  <c r="S157" i="31"/>
  <c r="T157" i="31"/>
  <c r="V157" i="31"/>
  <c r="W157" i="31"/>
  <c r="X157" i="31"/>
  <c r="Y157" i="31"/>
  <c r="AB157" i="31"/>
  <c r="AC157" i="31"/>
  <c r="AD157" i="31"/>
  <c r="AE157" i="31"/>
  <c r="AF157" i="31"/>
  <c r="AG157" i="31"/>
  <c r="AH157" i="31"/>
  <c r="AI157" i="31"/>
  <c r="AJ157" i="31"/>
  <c r="AL157" i="31"/>
  <c r="AM157" i="31"/>
  <c r="AN157" i="31"/>
  <c r="AO157" i="31"/>
  <c r="AP157" i="31"/>
  <c r="AZ157" i="31"/>
  <c r="K158" i="31"/>
  <c r="L158" i="31"/>
  <c r="P158" i="31"/>
  <c r="R158" i="31"/>
  <c r="S158" i="31"/>
  <c r="T158" i="31"/>
  <c r="V158" i="31"/>
  <c r="W158" i="31"/>
  <c r="X158" i="31"/>
  <c r="Y158" i="31"/>
  <c r="AB158" i="31"/>
  <c r="AC158" i="31"/>
  <c r="AD158" i="31"/>
  <c r="AE158" i="31"/>
  <c r="AF158" i="31"/>
  <c r="AG158" i="31"/>
  <c r="AH158" i="31"/>
  <c r="AI158" i="31"/>
  <c r="AJ158" i="31"/>
  <c r="AL158" i="31"/>
  <c r="AM158" i="31"/>
  <c r="AN158" i="31"/>
  <c r="AO158" i="31"/>
  <c r="AP158" i="31"/>
  <c r="AZ158" i="31"/>
  <c r="K159" i="31"/>
  <c r="L159" i="31"/>
  <c r="P159" i="31"/>
  <c r="R159" i="31"/>
  <c r="S159" i="31"/>
  <c r="T159" i="31"/>
  <c r="V159" i="31"/>
  <c r="W159" i="31"/>
  <c r="X159" i="31"/>
  <c r="Y159" i="31"/>
  <c r="AB159" i="31"/>
  <c r="AC159" i="31"/>
  <c r="AD159" i="31"/>
  <c r="AE159" i="31"/>
  <c r="AF159" i="31"/>
  <c r="AG159" i="31"/>
  <c r="AH159" i="31"/>
  <c r="AI159" i="31"/>
  <c r="AJ159" i="31"/>
  <c r="AL159" i="31"/>
  <c r="AM159" i="31"/>
  <c r="AN159" i="31"/>
  <c r="AO159" i="31"/>
  <c r="AP159" i="31"/>
  <c r="AZ159" i="31"/>
  <c r="K160" i="31"/>
  <c r="L160" i="31"/>
  <c r="P160" i="31"/>
  <c r="R160" i="31"/>
  <c r="S160" i="31"/>
  <c r="T160" i="31"/>
  <c r="V160" i="31"/>
  <c r="W160" i="31"/>
  <c r="X160" i="31"/>
  <c r="Y160" i="31"/>
  <c r="AB160" i="31"/>
  <c r="AC160" i="31"/>
  <c r="AD160" i="31"/>
  <c r="AE160" i="31"/>
  <c r="AF160" i="31"/>
  <c r="AG160" i="31"/>
  <c r="AH160" i="31"/>
  <c r="AI160" i="31"/>
  <c r="AJ160" i="31"/>
  <c r="AL160" i="31"/>
  <c r="AM160" i="31"/>
  <c r="AN160" i="31"/>
  <c r="AO160" i="31"/>
  <c r="AP160" i="31"/>
  <c r="AZ160" i="31"/>
  <c r="K161" i="31"/>
  <c r="L161" i="31"/>
  <c r="P161" i="31"/>
  <c r="R161" i="31"/>
  <c r="S161" i="31"/>
  <c r="T161" i="31"/>
  <c r="V161" i="31"/>
  <c r="W161" i="31"/>
  <c r="X161" i="31"/>
  <c r="Y161" i="31"/>
  <c r="AB161" i="31"/>
  <c r="AC161" i="31"/>
  <c r="AD161" i="31"/>
  <c r="AE161" i="31"/>
  <c r="AF161" i="31"/>
  <c r="AG161" i="31"/>
  <c r="AH161" i="31"/>
  <c r="AI161" i="31"/>
  <c r="AJ161" i="31"/>
  <c r="AL161" i="31"/>
  <c r="AM161" i="31"/>
  <c r="AN161" i="31"/>
  <c r="AO161" i="31"/>
  <c r="AP161" i="31"/>
  <c r="AZ161" i="31"/>
  <c r="K162" i="31"/>
  <c r="L162" i="31"/>
  <c r="P162" i="31"/>
  <c r="R162" i="31"/>
  <c r="S162" i="31"/>
  <c r="T162" i="31"/>
  <c r="V162" i="31"/>
  <c r="W162" i="31"/>
  <c r="X162" i="31"/>
  <c r="Y162" i="31"/>
  <c r="AB162" i="31"/>
  <c r="AC162" i="31"/>
  <c r="AD162" i="31"/>
  <c r="AE162" i="31"/>
  <c r="AF162" i="31"/>
  <c r="AG162" i="31"/>
  <c r="AH162" i="31"/>
  <c r="AI162" i="31"/>
  <c r="AJ162" i="31"/>
  <c r="AL162" i="31"/>
  <c r="AM162" i="31"/>
  <c r="AN162" i="31"/>
  <c r="AO162" i="31"/>
  <c r="AP162" i="31"/>
  <c r="AZ162" i="31"/>
  <c r="K163" i="31"/>
  <c r="L163" i="31"/>
  <c r="P163" i="31"/>
  <c r="R163" i="31"/>
  <c r="S163" i="31"/>
  <c r="T163" i="31"/>
  <c r="V163" i="31"/>
  <c r="W163" i="31"/>
  <c r="X163" i="31"/>
  <c r="Y163" i="31"/>
  <c r="AB163" i="31"/>
  <c r="AC163" i="31"/>
  <c r="AD163" i="31"/>
  <c r="AE163" i="31"/>
  <c r="AF163" i="31"/>
  <c r="AG163" i="31"/>
  <c r="AH163" i="31"/>
  <c r="AI163" i="31"/>
  <c r="AJ163" i="31"/>
  <c r="AL163" i="31"/>
  <c r="AM163" i="31"/>
  <c r="AN163" i="31"/>
  <c r="AO163" i="31"/>
  <c r="AP163" i="31"/>
  <c r="AZ163" i="31"/>
  <c r="K164" i="31"/>
  <c r="L164" i="31"/>
  <c r="P164" i="31"/>
  <c r="R164" i="31"/>
  <c r="S164" i="31"/>
  <c r="T164" i="31"/>
  <c r="V164" i="31"/>
  <c r="W164" i="31"/>
  <c r="X164" i="31"/>
  <c r="Y164" i="31"/>
  <c r="AB164" i="31"/>
  <c r="AC164" i="31"/>
  <c r="AD164" i="31"/>
  <c r="AE164" i="31"/>
  <c r="AF164" i="31"/>
  <c r="AG164" i="31"/>
  <c r="AH164" i="31"/>
  <c r="AI164" i="31"/>
  <c r="AJ164" i="31"/>
  <c r="AL164" i="31"/>
  <c r="AM164" i="31"/>
  <c r="AN164" i="31"/>
  <c r="AO164" i="31"/>
  <c r="AP164" i="31"/>
  <c r="AZ164" i="31"/>
  <c r="K165" i="31"/>
  <c r="L165" i="31"/>
  <c r="P165" i="31"/>
  <c r="R165" i="31"/>
  <c r="S165" i="31"/>
  <c r="T165" i="31"/>
  <c r="V165" i="31"/>
  <c r="W165" i="31"/>
  <c r="X165" i="31"/>
  <c r="Y165" i="31"/>
  <c r="AB165" i="31"/>
  <c r="AC165" i="31"/>
  <c r="AD165" i="31"/>
  <c r="AE165" i="31"/>
  <c r="AF165" i="31"/>
  <c r="AG165" i="31"/>
  <c r="AH165" i="31"/>
  <c r="AI165" i="31"/>
  <c r="AJ165" i="31"/>
  <c r="AL165" i="31"/>
  <c r="AM165" i="31"/>
  <c r="AN165" i="31"/>
  <c r="AO165" i="31"/>
  <c r="AP165" i="31"/>
  <c r="AZ165" i="31"/>
  <c r="K166" i="31"/>
  <c r="L166" i="31"/>
  <c r="P166" i="31"/>
  <c r="R166" i="31"/>
  <c r="S166" i="31"/>
  <c r="T166" i="31"/>
  <c r="V166" i="31"/>
  <c r="W166" i="31"/>
  <c r="X166" i="31"/>
  <c r="Y166" i="31"/>
  <c r="AB166" i="31"/>
  <c r="AC166" i="31"/>
  <c r="AD166" i="31"/>
  <c r="AE166" i="31"/>
  <c r="AF166" i="31"/>
  <c r="AG166" i="31"/>
  <c r="AH166" i="31"/>
  <c r="AI166" i="31"/>
  <c r="AJ166" i="31"/>
  <c r="AL166" i="31"/>
  <c r="AM166" i="31"/>
  <c r="AN166" i="31"/>
  <c r="AO166" i="31"/>
  <c r="AP166" i="31"/>
  <c r="AZ166" i="31"/>
  <c r="K167" i="31"/>
  <c r="L167" i="31"/>
  <c r="P167" i="31"/>
  <c r="R167" i="31"/>
  <c r="S167" i="31"/>
  <c r="T167" i="31"/>
  <c r="V167" i="31"/>
  <c r="W167" i="31"/>
  <c r="X167" i="31"/>
  <c r="Y167" i="31"/>
  <c r="AB167" i="31"/>
  <c r="AC167" i="31"/>
  <c r="AD167" i="31"/>
  <c r="AE167" i="31"/>
  <c r="AF167" i="31"/>
  <c r="AG167" i="31"/>
  <c r="AH167" i="31"/>
  <c r="AI167" i="31"/>
  <c r="AJ167" i="31"/>
  <c r="AL167" i="31"/>
  <c r="AM167" i="31"/>
  <c r="AN167" i="31"/>
  <c r="AO167" i="31"/>
  <c r="AP167" i="31"/>
  <c r="AZ167" i="31"/>
  <c r="K168" i="31"/>
  <c r="L168" i="31"/>
  <c r="P168" i="31"/>
  <c r="R168" i="31"/>
  <c r="S168" i="31"/>
  <c r="T168" i="31"/>
  <c r="V168" i="31"/>
  <c r="W168" i="31"/>
  <c r="X168" i="31"/>
  <c r="Y168" i="31"/>
  <c r="AB168" i="31"/>
  <c r="AC168" i="31"/>
  <c r="AD168" i="31"/>
  <c r="AE168" i="31"/>
  <c r="AF168" i="31"/>
  <c r="AG168" i="31"/>
  <c r="AH168" i="31"/>
  <c r="AI168" i="31"/>
  <c r="AJ168" i="31"/>
  <c r="AL168" i="31"/>
  <c r="AM168" i="31"/>
  <c r="AN168" i="31"/>
  <c r="AO168" i="31"/>
  <c r="AP168" i="31"/>
  <c r="AZ168" i="31"/>
  <c r="K169" i="31"/>
  <c r="L169" i="31"/>
  <c r="P169" i="31"/>
  <c r="R169" i="31"/>
  <c r="S169" i="31"/>
  <c r="T169" i="31"/>
  <c r="V169" i="31"/>
  <c r="W169" i="31"/>
  <c r="X169" i="31"/>
  <c r="Y169" i="31"/>
  <c r="AB169" i="31"/>
  <c r="AC169" i="31"/>
  <c r="AD169" i="31"/>
  <c r="AE169" i="31"/>
  <c r="AF169" i="31"/>
  <c r="AG169" i="31"/>
  <c r="AH169" i="31"/>
  <c r="AI169" i="31"/>
  <c r="AJ169" i="31"/>
  <c r="AL169" i="31"/>
  <c r="AM169" i="31"/>
  <c r="AN169" i="31"/>
  <c r="AO169" i="31"/>
  <c r="AP169" i="31"/>
  <c r="K170" i="31"/>
  <c r="L170" i="31"/>
  <c r="P170" i="31"/>
  <c r="R170" i="31"/>
  <c r="S170" i="31"/>
  <c r="T170" i="31"/>
  <c r="V170" i="31"/>
  <c r="W170" i="31"/>
  <c r="X170" i="31"/>
  <c r="Y170" i="31"/>
  <c r="AB170" i="31"/>
  <c r="AC170" i="31"/>
  <c r="AD170" i="31"/>
  <c r="AE170" i="31"/>
  <c r="AF170" i="31"/>
  <c r="AG170" i="31"/>
  <c r="AH170" i="31"/>
  <c r="AI170" i="31"/>
  <c r="AJ170" i="31"/>
  <c r="AL170" i="31"/>
  <c r="AM170" i="31"/>
  <c r="AN170" i="31"/>
  <c r="AO170" i="31"/>
  <c r="AP170" i="31"/>
  <c r="K171" i="31"/>
  <c r="L171" i="31"/>
  <c r="P171" i="31"/>
  <c r="R171" i="31"/>
  <c r="S171" i="31"/>
  <c r="T171" i="31"/>
  <c r="V171" i="31"/>
  <c r="W171" i="31"/>
  <c r="X171" i="31"/>
  <c r="Y171" i="31"/>
  <c r="AB171" i="31"/>
  <c r="AC171" i="31"/>
  <c r="AD171" i="31"/>
  <c r="AE171" i="31"/>
  <c r="AF171" i="31"/>
  <c r="AG171" i="31"/>
  <c r="AH171" i="31"/>
  <c r="AI171" i="31"/>
  <c r="AJ171" i="31"/>
  <c r="AL171" i="31"/>
  <c r="AM171" i="31"/>
  <c r="AN171" i="31"/>
  <c r="AO171" i="31"/>
  <c r="AP171" i="31"/>
  <c r="K172" i="31"/>
  <c r="L172" i="31"/>
  <c r="P172" i="31"/>
  <c r="R172" i="31"/>
  <c r="S172" i="31"/>
  <c r="T172" i="31"/>
  <c r="V172" i="31"/>
  <c r="W172" i="31"/>
  <c r="X172" i="31"/>
  <c r="Y172" i="31"/>
  <c r="AB172" i="31"/>
  <c r="AC172" i="31"/>
  <c r="AD172" i="31"/>
  <c r="AE172" i="31"/>
  <c r="AF172" i="31"/>
  <c r="AG172" i="31"/>
  <c r="AH172" i="31"/>
  <c r="AI172" i="31"/>
  <c r="AJ172" i="31"/>
  <c r="AL172" i="31"/>
  <c r="AM172" i="31"/>
  <c r="AN172" i="31"/>
  <c r="AO172" i="31"/>
  <c r="AP172" i="31"/>
  <c r="K173" i="31"/>
  <c r="L173" i="31"/>
  <c r="P173" i="31"/>
  <c r="R173" i="31"/>
  <c r="S173" i="31"/>
  <c r="T173" i="31"/>
  <c r="V173" i="31"/>
  <c r="W173" i="31"/>
  <c r="X173" i="31"/>
  <c r="Y173" i="31"/>
  <c r="AB173" i="31"/>
  <c r="AC173" i="31"/>
  <c r="AD173" i="31"/>
  <c r="AE173" i="31"/>
  <c r="AF173" i="31"/>
  <c r="AG173" i="31"/>
  <c r="AH173" i="31"/>
  <c r="AI173" i="31"/>
  <c r="AJ173" i="31"/>
  <c r="AL173" i="31"/>
  <c r="AM173" i="31"/>
  <c r="AN173" i="31"/>
  <c r="AO173" i="31"/>
  <c r="AP173" i="31"/>
  <c r="K174" i="31"/>
  <c r="L174" i="31"/>
  <c r="P174" i="31"/>
  <c r="R174" i="31"/>
  <c r="S174" i="31"/>
  <c r="T174" i="31"/>
  <c r="V174" i="31"/>
  <c r="W174" i="31"/>
  <c r="X174" i="31"/>
  <c r="Y174" i="31"/>
  <c r="AB174" i="31"/>
  <c r="AC174" i="31"/>
  <c r="AD174" i="31"/>
  <c r="AE174" i="31"/>
  <c r="AF174" i="31"/>
  <c r="AG174" i="31"/>
  <c r="AH174" i="31"/>
  <c r="AI174" i="31"/>
  <c r="AJ174" i="31"/>
  <c r="AL174" i="31"/>
  <c r="AM174" i="31"/>
  <c r="AN174" i="31"/>
  <c r="AO174" i="31"/>
  <c r="AP174" i="31"/>
  <c r="K175" i="31"/>
  <c r="L175" i="31"/>
  <c r="P175" i="31"/>
  <c r="R175" i="31"/>
  <c r="S175" i="31"/>
  <c r="T175" i="31"/>
  <c r="V175" i="31"/>
  <c r="W175" i="31"/>
  <c r="X175" i="31"/>
  <c r="Y175" i="31"/>
  <c r="AB175" i="31"/>
  <c r="AC175" i="31"/>
  <c r="AD175" i="31"/>
  <c r="AE175" i="31"/>
  <c r="AF175" i="31"/>
  <c r="AG175" i="31"/>
  <c r="AH175" i="31"/>
  <c r="AI175" i="31"/>
  <c r="AJ175" i="31"/>
  <c r="AL175" i="31"/>
  <c r="AM175" i="31"/>
  <c r="AN175" i="31"/>
  <c r="AO175" i="31"/>
  <c r="AP175" i="31"/>
  <c r="K176" i="31"/>
  <c r="L176" i="31"/>
  <c r="P176" i="31"/>
  <c r="R176" i="31"/>
  <c r="S176" i="31"/>
  <c r="T176" i="31"/>
  <c r="V176" i="31"/>
  <c r="W176" i="31"/>
  <c r="X176" i="31"/>
  <c r="Y176" i="31"/>
  <c r="AB176" i="31"/>
  <c r="AC176" i="31"/>
  <c r="AD176" i="31"/>
  <c r="AE176" i="31"/>
  <c r="AF176" i="31"/>
  <c r="AG176" i="31"/>
  <c r="AH176" i="31"/>
  <c r="AI176" i="31"/>
  <c r="AJ176" i="31"/>
  <c r="AL176" i="31"/>
  <c r="AM176" i="31"/>
  <c r="AN176" i="31"/>
  <c r="AO176" i="31"/>
  <c r="AP176" i="31"/>
  <c r="K177" i="31"/>
  <c r="L177" i="31"/>
  <c r="P177" i="31"/>
  <c r="R177" i="31"/>
  <c r="S177" i="31"/>
  <c r="T177" i="31"/>
  <c r="V177" i="31"/>
  <c r="W177" i="31"/>
  <c r="X177" i="31"/>
  <c r="Y177" i="31"/>
  <c r="AB177" i="31"/>
  <c r="AC177" i="31"/>
  <c r="AD177" i="31"/>
  <c r="AE177" i="31"/>
  <c r="AF177" i="31"/>
  <c r="AG177" i="31"/>
  <c r="AH177" i="31"/>
  <c r="AI177" i="31"/>
  <c r="AJ177" i="31"/>
  <c r="AL177" i="31"/>
  <c r="AM177" i="31"/>
  <c r="AN177" i="31"/>
  <c r="AO177" i="31"/>
  <c r="AP177" i="31"/>
  <c r="K178" i="31"/>
  <c r="L178" i="31"/>
  <c r="P178" i="31"/>
  <c r="R178" i="31"/>
  <c r="S178" i="31"/>
  <c r="T178" i="31"/>
  <c r="V178" i="31"/>
  <c r="W178" i="31"/>
  <c r="X178" i="31"/>
  <c r="Y178" i="31"/>
  <c r="AB178" i="31"/>
  <c r="AC178" i="31"/>
  <c r="AD178" i="31"/>
  <c r="AE178" i="31"/>
  <c r="AF178" i="31"/>
  <c r="AG178" i="31"/>
  <c r="AH178" i="31"/>
  <c r="AI178" i="31"/>
  <c r="AJ178" i="31"/>
  <c r="AL178" i="31"/>
  <c r="AM178" i="31"/>
  <c r="AN178" i="31"/>
  <c r="AO178" i="31"/>
  <c r="AP178" i="31"/>
  <c r="K179" i="31"/>
  <c r="L179" i="31"/>
  <c r="P179" i="31"/>
  <c r="R179" i="31"/>
  <c r="S179" i="31"/>
  <c r="T179" i="31"/>
  <c r="V179" i="31"/>
  <c r="W179" i="31"/>
  <c r="X179" i="31"/>
  <c r="Y179" i="31"/>
  <c r="AB179" i="31"/>
  <c r="AC179" i="31"/>
  <c r="AD179" i="31"/>
  <c r="AE179" i="31"/>
  <c r="AF179" i="31"/>
  <c r="AG179" i="31"/>
  <c r="AH179" i="31"/>
  <c r="AI179" i="31"/>
  <c r="AJ179" i="31"/>
  <c r="AL179" i="31"/>
  <c r="AM179" i="31"/>
  <c r="AN179" i="31"/>
  <c r="AO179" i="31"/>
  <c r="AP179" i="31"/>
  <c r="K180" i="31"/>
  <c r="L180" i="31"/>
  <c r="P180" i="31"/>
  <c r="R180" i="31"/>
  <c r="S180" i="31"/>
  <c r="T180" i="31"/>
  <c r="V180" i="31"/>
  <c r="W180" i="31"/>
  <c r="X180" i="31"/>
  <c r="Y180" i="31"/>
  <c r="AB180" i="31"/>
  <c r="AC180" i="31"/>
  <c r="AD180" i="31"/>
  <c r="AE180" i="31"/>
  <c r="AF180" i="31"/>
  <c r="AG180" i="31"/>
  <c r="AH180" i="31"/>
  <c r="AI180" i="31"/>
  <c r="AJ180" i="31"/>
  <c r="AL180" i="31"/>
  <c r="AM180" i="31"/>
  <c r="AN180" i="31"/>
  <c r="AO180" i="31"/>
  <c r="AP180" i="31"/>
  <c r="K181" i="31"/>
  <c r="L181" i="31"/>
  <c r="P181" i="31"/>
  <c r="R181" i="31"/>
  <c r="S181" i="31"/>
  <c r="T181" i="31"/>
  <c r="V181" i="31"/>
  <c r="W181" i="31"/>
  <c r="X181" i="31"/>
  <c r="Y181" i="31"/>
  <c r="AB181" i="31"/>
  <c r="AC181" i="31"/>
  <c r="AD181" i="31"/>
  <c r="AE181" i="31"/>
  <c r="AF181" i="31"/>
  <c r="AG181" i="31"/>
  <c r="AH181" i="31"/>
  <c r="AI181" i="31"/>
  <c r="AJ181" i="31"/>
  <c r="AL181" i="31"/>
  <c r="AM181" i="31"/>
  <c r="AN181" i="31"/>
  <c r="AO181" i="31"/>
  <c r="AP181" i="31"/>
  <c r="K182" i="31"/>
  <c r="L182" i="31"/>
  <c r="P182" i="31"/>
  <c r="R182" i="31"/>
  <c r="S182" i="31"/>
  <c r="T182" i="31"/>
  <c r="V182" i="31"/>
  <c r="W182" i="31"/>
  <c r="X182" i="31"/>
  <c r="Y182" i="31"/>
  <c r="AB182" i="31"/>
  <c r="AC182" i="31"/>
  <c r="AD182" i="31"/>
  <c r="AE182" i="31"/>
  <c r="AF182" i="31"/>
  <c r="AG182" i="31"/>
  <c r="AH182" i="31"/>
  <c r="AI182" i="31"/>
  <c r="AJ182" i="31"/>
  <c r="AL182" i="31"/>
  <c r="AM182" i="31"/>
  <c r="AN182" i="31"/>
  <c r="AO182" i="31"/>
  <c r="AP182" i="31"/>
  <c r="K183" i="31"/>
  <c r="L183" i="31"/>
  <c r="P183" i="31"/>
  <c r="R183" i="31"/>
  <c r="S183" i="31"/>
  <c r="T183" i="31"/>
  <c r="V183" i="31"/>
  <c r="W183" i="31"/>
  <c r="X183" i="31"/>
  <c r="Y183" i="31"/>
  <c r="AB183" i="31"/>
  <c r="AC183" i="31"/>
  <c r="AD183" i="31"/>
  <c r="AE183" i="31"/>
  <c r="AF183" i="31"/>
  <c r="AG183" i="31"/>
  <c r="AH183" i="31"/>
  <c r="AI183" i="31"/>
  <c r="AJ183" i="31"/>
  <c r="AL183" i="31"/>
  <c r="AM183" i="31"/>
  <c r="AN183" i="31"/>
  <c r="AO183" i="31"/>
  <c r="AP183" i="31"/>
  <c r="K184" i="31"/>
  <c r="L184" i="31"/>
  <c r="P184" i="31"/>
  <c r="R184" i="31"/>
  <c r="S184" i="31"/>
  <c r="T184" i="31"/>
  <c r="V184" i="31"/>
  <c r="W184" i="31"/>
  <c r="X184" i="31"/>
  <c r="Y184" i="31"/>
  <c r="AB184" i="31"/>
  <c r="AC184" i="31"/>
  <c r="AD184" i="31"/>
  <c r="AE184" i="31"/>
  <c r="AF184" i="31"/>
  <c r="AG184" i="31"/>
  <c r="AH184" i="31"/>
  <c r="AI184" i="31"/>
  <c r="AJ184" i="31"/>
  <c r="AL184" i="31"/>
  <c r="AM184" i="31"/>
  <c r="AN184" i="31"/>
  <c r="AO184" i="31"/>
  <c r="AP184" i="31"/>
  <c r="K185" i="31"/>
  <c r="L185" i="31"/>
  <c r="P185" i="31"/>
  <c r="R185" i="31"/>
  <c r="S185" i="31"/>
  <c r="T185" i="31"/>
  <c r="V185" i="31"/>
  <c r="W185" i="31"/>
  <c r="X185" i="31"/>
  <c r="Y185" i="31"/>
  <c r="AB185" i="31"/>
  <c r="AC185" i="31"/>
  <c r="AD185" i="31"/>
  <c r="AE185" i="31"/>
  <c r="AF185" i="31"/>
  <c r="AG185" i="31"/>
  <c r="AH185" i="31"/>
  <c r="AI185" i="31"/>
  <c r="AJ185" i="31"/>
  <c r="AL185" i="31"/>
  <c r="AM185" i="31"/>
  <c r="AN185" i="31"/>
  <c r="AO185" i="31"/>
  <c r="AP185" i="31"/>
  <c r="K186" i="31"/>
  <c r="L186" i="31"/>
  <c r="P186" i="31"/>
  <c r="R186" i="31"/>
  <c r="S186" i="31"/>
  <c r="T186" i="31"/>
  <c r="V186" i="31"/>
  <c r="W186" i="31"/>
  <c r="X186" i="31"/>
  <c r="Y186" i="31"/>
  <c r="AB186" i="31"/>
  <c r="AC186" i="31"/>
  <c r="AD186" i="31"/>
  <c r="AE186" i="31"/>
  <c r="AF186" i="31"/>
  <c r="AG186" i="31"/>
  <c r="AH186" i="31"/>
  <c r="AI186" i="31"/>
  <c r="AJ186" i="31"/>
  <c r="AL186" i="31"/>
  <c r="AM186" i="31"/>
  <c r="AN186" i="31"/>
  <c r="AO186" i="31"/>
  <c r="AP186" i="31"/>
  <c r="K187" i="31"/>
  <c r="L187" i="31"/>
  <c r="P187" i="31"/>
  <c r="R187" i="31"/>
  <c r="S187" i="31"/>
  <c r="T187" i="31"/>
  <c r="V187" i="31"/>
  <c r="W187" i="31"/>
  <c r="X187" i="31"/>
  <c r="Y187" i="31"/>
  <c r="K188" i="31"/>
  <c r="L188" i="31"/>
  <c r="P188" i="31"/>
  <c r="R188" i="31"/>
  <c r="S188" i="31"/>
  <c r="T188" i="31"/>
  <c r="V188" i="31"/>
  <c r="W188" i="31"/>
  <c r="X188" i="31"/>
  <c r="Y188" i="31"/>
  <c r="K189" i="31"/>
  <c r="L189" i="31"/>
  <c r="P189" i="31"/>
  <c r="R189" i="31"/>
  <c r="S189" i="31"/>
  <c r="T189" i="31"/>
  <c r="V189" i="31"/>
  <c r="W189" i="31"/>
  <c r="X189" i="31"/>
  <c r="Y189" i="31"/>
  <c r="K190" i="31"/>
  <c r="L190" i="31"/>
  <c r="P190" i="31"/>
  <c r="R190" i="31"/>
  <c r="S190" i="31"/>
  <c r="T190" i="31"/>
  <c r="V190" i="31"/>
  <c r="W190" i="31"/>
  <c r="X190" i="31"/>
  <c r="Y190" i="31"/>
  <c r="K191" i="31"/>
  <c r="L191" i="31"/>
  <c r="P191" i="31"/>
  <c r="R191" i="31"/>
  <c r="S191" i="31"/>
  <c r="T191" i="31"/>
  <c r="V191" i="31"/>
  <c r="W191" i="31"/>
  <c r="X191" i="31"/>
  <c r="Y191" i="31"/>
  <c r="K192" i="31"/>
  <c r="L192" i="31"/>
  <c r="P192" i="31"/>
  <c r="R192" i="31"/>
  <c r="S192" i="31"/>
  <c r="T192" i="31"/>
  <c r="V192" i="31"/>
  <c r="W192" i="31"/>
  <c r="X192" i="31"/>
  <c r="Y192" i="31"/>
  <c r="K193" i="31"/>
  <c r="L193" i="31"/>
  <c r="P193" i="31"/>
  <c r="R193" i="31"/>
  <c r="S193" i="31"/>
  <c r="T193" i="31"/>
  <c r="V193" i="31"/>
  <c r="W193" i="31"/>
  <c r="X193" i="31"/>
  <c r="Y193" i="31"/>
  <c r="K194" i="31"/>
  <c r="L194" i="31"/>
  <c r="P194" i="31"/>
  <c r="R194" i="31"/>
  <c r="S194" i="31"/>
  <c r="T194" i="31"/>
  <c r="V194" i="31"/>
  <c r="W194" i="31"/>
  <c r="X194" i="31"/>
  <c r="Y194" i="31"/>
  <c r="K195" i="31"/>
  <c r="L195" i="31"/>
  <c r="P195" i="31"/>
  <c r="R195" i="31"/>
  <c r="S195" i="31"/>
  <c r="T195" i="31"/>
  <c r="V195" i="31"/>
  <c r="W195" i="31"/>
  <c r="X195" i="31"/>
  <c r="Y195" i="31"/>
  <c r="K196" i="31"/>
  <c r="L196" i="31"/>
  <c r="P196" i="31"/>
  <c r="R196" i="31"/>
  <c r="S196" i="31"/>
  <c r="T196" i="31"/>
  <c r="V196" i="31"/>
  <c r="W196" i="31"/>
  <c r="X196" i="31"/>
  <c r="Y196" i="31"/>
  <c r="K197" i="31"/>
  <c r="L197" i="31"/>
  <c r="P197" i="31"/>
  <c r="R197" i="31"/>
  <c r="S197" i="31"/>
  <c r="T197" i="31"/>
  <c r="V197" i="31"/>
  <c r="W197" i="31"/>
  <c r="X197" i="31"/>
  <c r="Y197" i="31"/>
  <c r="K198" i="31"/>
  <c r="L198" i="31"/>
  <c r="P198" i="31"/>
  <c r="R198" i="31"/>
  <c r="S198" i="31"/>
  <c r="T198" i="31"/>
  <c r="V198" i="31"/>
  <c r="W198" i="31"/>
  <c r="X198" i="31"/>
  <c r="Y198" i="31"/>
  <c r="K199" i="31"/>
  <c r="L199" i="31"/>
  <c r="P199" i="31"/>
  <c r="R199" i="31"/>
  <c r="S199" i="31"/>
  <c r="T199" i="31"/>
  <c r="V199" i="31"/>
  <c r="W199" i="31"/>
  <c r="X199" i="31"/>
  <c r="Y199" i="31"/>
  <c r="K200" i="31"/>
  <c r="L200" i="31"/>
  <c r="P200" i="31"/>
  <c r="R200" i="31"/>
  <c r="S200" i="31"/>
  <c r="T200" i="31"/>
  <c r="V200" i="31"/>
  <c r="W200" i="31"/>
  <c r="X200" i="31"/>
  <c r="Y200" i="31"/>
  <c r="K201" i="31"/>
  <c r="L201" i="31"/>
  <c r="P201" i="31"/>
  <c r="R201" i="31"/>
  <c r="S201" i="31"/>
  <c r="T201" i="31"/>
  <c r="V201" i="31"/>
  <c r="W201" i="31"/>
  <c r="X201" i="31"/>
  <c r="Y201" i="31"/>
  <c r="K202" i="31"/>
  <c r="L202" i="31"/>
  <c r="P202" i="31"/>
  <c r="R202" i="31"/>
  <c r="S202" i="31"/>
  <c r="T202" i="31"/>
  <c r="V202" i="31"/>
  <c r="W202" i="31"/>
  <c r="X202" i="31"/>
  <c r="Y202" i="31"/>
  <c r="K203" i="31"/>
  <c r="L203" i="31"/>
  <c r="P203" i="31"/>
  <c r="R203" i="31"/>
  <c r="S203" i="31"/>
  <c r="T203" i="31"/>
  <c r="V203" i="31"/>
  <c r="W203" i="31"/>
  <c r="X203" i="31"/>
  <c r="Y203" i="31"/>
  <c r="K204" i="31"/>
  <c r="L204" i="31"/>
  <c r="P204" i="31"/>
  <c r="R204" i="31"/>
  <c r="S204" i="31"/>
  <c r="T204" i="31"/>
  <c r="V204" i="31"/>
  <c r="W204" i="31"/>
  <c r="X204" i="31"/>
  <c r="Y204" i="31"/>
  <c r="K205" i="31"/>
  <c r="L205" i="31"/>
  <c r="P205" i="31"/>
  <c r="R205" i="31"/>
  <c r="S205" i="31"/>
  <c r="T205" i="31"/>
  <c r="V205" i="31"/>
  <c r="W205" i="31"/>
  <c r="X205" i="31"/>
  <c r="Y205" i="31"/>
  <c r="K206" i="31"/>
  <c r="L206" i="31"/>
  <c r="P206" i="31"/>
  <c r="R206" i="31"/>
  <c r="S206" i="31"/>
  <c r="T206" i="31"/>
  <c r="V206" i="31"/>
  <c r="W206" i="31"/>
  <c r="X206" i="31"/>
  <c r="Y206" i="31"/>
  <c r="K207" i="31"/>
  <c r="L207" i="31"/>
  <c r="P207" i="31"/>
  <c r="R207" i="31"/>
  <c r="S207" i="31"/>
  <c r="T207" i="31"/>
  <c r="V207" i="31"/>
  <c r="W207" i="31"/>
  <c r="X207" i="31"/>
  <c r="Y207" i="31"/>
  <c r="K208" i="31"/>
  <c r="L208" i="31"/>
  <c r="P208" i="31"/>
  <c r="R208" i="31"/>
  <c r="S208" i="31"/>
  <c r="T208" i="31"/>
  <c r="V208" i="31"/>
  <c r="W208" i="31"/>
  <c r="X208" i="31"/>
  <c r="Y208" i="31"/>
  <c r="K209" i="31"/>
  <c r="L209" i="31"/>
  <c r="P209" i="31"/>
  <c r="R209" i="31"/>
  <c r="S209" i="31"/>
  <c r="T209" i="31"/>
  <c r="V209" i="31"/>
  <c r="W209" i="31"/>
  <c r="X209" i="31"/>
  <c r="Y209" i="31"/>
  <c r="K210" i="31"/>
  <c r="L210" i="31"/>
  <c r="P210" i="31"/>
  <c r="R210" i="31"/>
  <c r="S210" i="31"/>
  <c r="T210" i="31"/>
  <c r="V210" i="31"/>
  <c r="W210" i="31"/>
  <c r="X210" i="31"/>
  <c r="Y210" i="31"/>
  <c r="K211" i="31"/>
  <c r="L211" i="31"/>
  <c r="P211" i="31"/>
  <c r="R211" i="31"/>
  <c r="S211" i="31"/>
  <c r="T211" i="31"/>
  <c r="V211" i="31"/>
  <c r="W211" i="31"/>
  <c r="X211" i="31"/>
  <c r="Y211" i="31"/>
  <c r="K212" i="31"/>
  <c r="L212" i="31"/>
  <c r="P212" i="31"/>
  <c r="R212" i="31"/>
  <c r="S212" i="31"/>
  <c r="T212" i="31"/>
  <c r="V212" i="31"/>
  <c r="W212" i="31"/>
  <c r="X212" i="31"/>
  <c r="Y212" i="31"/>
  <c r="K213" i="31"/>
  <c r="L213" i="31"/>
  <c r="P213" i="31"/>
  <c r="R213" i="31"/>
  <c r="S213" i="31"/>
  <c r="T213" i="31"/>
  <c r="V213" i="31"/>
  <c r="W213" i="31"/>
  <c r="X213" i="31"/>
  <c r="Y213" i="31"/>
  <c r="K214" i="31"/>
  <c r="L214" i="31"/>
  <c r="P214" i="31"/>
  <c r="R214" i="31"/>
  <c r="S214" i="31"/>
  <c r="T214" i="31"/>
  <c r="V214" i="31"/>
  <c r="W214" i="31"/>
  <c r="X214" i="31"/>
  <c r="Y214" i="31"/>
  <c r="K215" i="31"/>
  <c r="L215" i="31"/>
  <c r="P215" i="31"/>
  <c r="R215" i="31"/>
  <c r="S215" i="31"/>
  <c r="T215" i="31"/>
  <c r="V215" i="31"/>
  <c r="W215" i="31"/>
  <c r="X215" i="31"/>
  <c r="Y215" i="31"/>
  <c r="K216" i="31"/>
  <c r="L216" i="31"/>
  <c r="P216" i="31"/>
  <c r="R216" i="31"/>
  <c r="S216" i="31"/>
  <c r="T216" i="31"/>
  <c r="V216" i="31"/>
  <c r="W216" i="31"/>
  <c r="X216" i="31"/>
  <c r="Y216" i="31"/>
  <c r="K217" i="31"/>
  <c r="L217" i="31"/>
  <c r="R217" i="31"/>
  <c r="S217" i="31"/>
  <c r="T217" i="31"/>
  <c r="U217" i="31"/>
  <c r="V217" i="31"/>
  <c r="W217" i="31"/>
  <c r="X217" i="31"/>
  <c r="Y217" i="31"/>
  <c r="K218" i="31"/>
  <c r="L218" i="31"/>
  <c r="R218" i="31"/>
  <c r="S218" i="31"/>
  <c r="T218" i="31"/>
  <c r="U218" i="31"/>
  <c r="V218" i="31"/>
  <c r="W218" i="31"/>
  <c r="X218" i="31"/>
  <c r="Y218" i="31"/>
  <c r="K219" i="31"/>
  <c r="L219" i="31"/>
  <c r="R219" i="31"/>
  <c r="S219" i="31"/>
  <c r="T219" i="31"/>
  <c r="U219" i="31"/>
  <c r="V219" i="31"/>
  <c r="W219" i="31"/>
  <c r="X219" i="31"/>
  <c r="Y219" i="31"/>
  <c r="K220" i="31"/>
  <c r="L220" i="31"/>
  <c r="R220" i="31"/>
  <c r="S220" i="31"/>
  <c r="T220" i="31"/>
  <c r="U220" i="31"/>
  <c r="V220" i="31"/>
  <c r="W220" i="31"/>
  <c r="X220" i="31"/>
  <c r="Y220" i="31"/>
  <c r="K221" i="31"/>
  <c r="L221" i="31"/>
  <c r="R221" i="31"/>
  <c r="S221" i="31"/>
  <c r="T221" i="31"/>
  <c r="U221" i="31"/>
  <c r="V221" i="31"/>
  <c r="W221" i="31"/>
  <c r="X221" i="31"/>
  <c r="Y221" i="31"/>
  <c r="G3" i="30"/>
  <c r="I3" i="30"/>
  <c r="Y3" i="30"/>
  <c r="AA3" i="30"/>
  <c r="AQ3" i="30"/>
  <c r="AS3" i="30"/>
  <c r="BH3" i="30"/>
  <c r="BJ3" i="30"/>
  <c r="BY3" i="30"/>
  <c r="CA3" i="30"/>
  <c r="B5" i="30"/>
  <c r="C5" i="30"/>
  <c r="D5" i="30"/>
  <c r="E5" i="30"/>
  <c r="F5" i="30"/>
  <c r="G5" i="30"/>
  <c r="H5" i="30"/>
  <c r="I5" i="30"/>
  <c r="J5" i="30"/>
  <c r="K5" i="30"/>
  <c r="L5" i="30"/>
  <c r="M5" i="30"/>
  <c r="N5" i="30"/>
  <c r="O5" i="30"/>
  <c r="P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A6" i="30"/>
  <c r="B6" i="30"/>
  <c r="C6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K6" i="30"/>
  <c r="AL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AZ6" i="30"/>
  <c r="BB6" i="30"/>
  <c r="BC6" i="30"/>
  <c r="BD6" i="30"/>
  <c r="BE6" i="30"/>
  <c r="BF6" i="30"/>
  <c r="BG6" i="30"/>
  <c r="BH6" i="30"/>
  <c r="BI6" i="30"/>
  <c r="BJ6" i="30"/>
  <c r="BK6" i="30"/>
  <c r="BL6" i="30"/>
  <c r="BM6" i="30"/>
  <c r="BN6" i="30"/>
  <c r="BO6" i="30"/>
  <c r="BP6" i="30"/>
  <c r="BQ6" i="30"/>
  <c r="BS6" i="30"/>
  <c r="BT6" i="30"/>
  <c r="BU6" i="30"/>
  <c r="BV6" i="30"/>
  <c r="BW6" i="30"/>
  <c r="BX6" i="30"/>
  <c r="BY6" i="30"/>
  <c r="BZ6" i="30"/>
  <c r="CA6" i="30"/>
  <c r="CB6" i="30"/>
  <c r="CC6" i="30"/>
  <c r="CD6" i="30"/>
  <c r="CE6" i="30"/>
  <c r="CF6" i="30"/>
  <c r="CG6" i="30"/>
  <c r="CH6" i="30"/>
  <c r="A7" i="30"/>
  <c r="B7" i="30"/>
  <c r="C7" i="30"/>
  <c r="D7" i="30"/>
  <c r="E7" i="30"/>
  <c r="F7" i="30"/>
  <c r="G7" i="30"/>
  <c r="H7" i="30"/>
  <c r="I7" i="30"/>
  <c r="J7" i="30"/>
  <c r="K7" i="30"/>
  <c r="L7" i="30"/>
  <c r="M7" i="30"/>
  <c r="N7" i="30"/>
  <c r="O7" i="30"/>
  <c r="P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A8" i="30"/>
  <c r="B8" i="30"/>
  <c r="C8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K8" i="30"/>
  <c r="AL8" i="30"/>
  <c r="AM8" i="30"/>
  <c r="AN8" i="30"/>
  <c r="AO8" i="30"/>
  <c r="AP8" i="30"/>
  <c r="AQ8" i="30"/>
  <c r="AR8" i="30"/>
  <c r="AS8" i="30"/>
  <c r="AT8" i="30"/>
  <c r="AU8" i="30"/>
  <c r="AV8" i="30"/>
  <c r="AW8" i="30"/>
  <c r="AX8" i="30"/>
  <c r="AY8" i="30"/>
  <c r="AZ8" i="30"/>
  <c r="BB8" i="30"/>
  <c r="BC8" i="30"/>
  <c r="BD8" i="30"/>
  <c r="BE8" i="30"/>
  <c r="BF8" i="30"/>
  <c r="BG8" i="30"/>
  <c r="BH8" i="30"/>
  <c r="BI8" i="30"/>
  <c r="BJ8" i="30"/>
  <c r="BK8" i="30"/>
  <c r="BL8" i="30"/>
  <c r="BM8" i="30"/>
  <c r="BN8" i="30"/>
  <c r="BO8" i="30"/>
  <c r="BP8" i="30"/>
  <c r="BQ8" i="30"/>
  <c r="BS8" i="30"/>
  <c r="BT8" i="30"/>
  <c r="BU8" i="30"/>
  <c r="BV8" i="30"/>
  <c r="BW8" i="30"/>
  <c r="BX8" i="30"/>
  <c r="BY8" i="30"/>
  <c r="BZ8" i="30"/>
  <c r="CA8" i="30"/>
  <c r="CB8" i="30"/>
  <c r="CC8" i="30"/>
  <c r="CD8" i="30"/>
  <c r="CE8" i="30"/>
  <c r="CF8" i="30"/>
  <c r="CG8" i="30"/>
  <c r="CH8" i="30"/>
  <c r="A9" i="30"/>
  <c r="B9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A10" i="30"/>
  <c r="B10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K10" i="30"/>
  <c r="AL10" i="30"/>
  <c r="AM10" i="30"/>
  <c r="AN10" i="30"/>
  <c r="AO10" i="30"/>
  <c r="AP10" i="30"/>
  <c r="AQ10" i="30"/>
  <c r="AR10" i="30"/>
  <c r="AS10" i="30"/>
  <c r="AT10" i="30"/>
  <c r="AU10" i="30"/>
  <c r="AV10" i="30"/>
  <c r="AW10" i="30"/>
  <c r="AX10" i="30"/>
  <c r="AY10" i="30"/>
  <c r="AZ10" i="30"/>
  <c r="BB10" i="30"/>
  <c r="BC10" i="30"/>
  <c r="BD10" i="30"/>
  <c r="BE10" i="30"/>
  <c r="BF10" i="30"/>
  <c r="BG10" i="30"/>
  <c r="BH10" i="30"/>
  <c r="BI10" i="30"/>
  <c r="BJ10" i="30"/>
  <c r="BK10" i="30"/>
  <c r="BL10" i="30"/>
  <c r="BM10" i="30"/>
  <c r="BN10" i="30"/>
  <c r="BO10" i="30"/>
  <c r="BP10" i="30"/>
  <c r="BQ10" i="30"/>
  <c r="BS10" i="30"/>
  <c r="BT10" i="30"/>
  <c r="BU10" i="30"/>
  <c r="BV10" i="30"/>
  <c r="BW10" i="30"/>
  <c r="BX10" i="30"/>
  <c r="BY10" i="30"/>
  <c r="BZ10" i="30"/>
  <c r="CA10" i="30"/>
  <c r="CB10" i="30"/>
  <c r="CC10" i="30"/>
  <c r="CD10" i="30"/>
  <c r="CE10" i="30"/>
  <c r="CF10" i="30"/>
  <c r="CG10" i="30"/>
  <c r="CH10" i="30"/>
  <c r="A11" i="30"/>
  <c r="B11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A12" i="30"/>
  <c r="B12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B12" i="30"/>
  <c r="BC12" i="30"/>
  <c r="BD12" i="30"/>
  <c r="BE12" i="30"/>
  <c r="BF12" i="30"/>
  <c r="BG12" i="30"/>
  <c r="BH12" i="30"/>
  <c r="BI12" i="30"/>
  <c r="BJ12" i="30"/>
  <c r="BK12" i="30"/>
  <c r="BL12" i="30"/>
  <c r="BM12" i="30"/>
  <c r="BN12" i="30"/>
  <c r="BO12" i="30"/>
  <c r="BP12" i="30"/>
  <c r="BQ12" i="30"/>
  <c r="BS12" i="30"/>
  <c r="BT12" i="30"/>
  <c r="BU12" i="30"/>
  <c r="BV12" i="30"/>
  <c r="BW12" i="30"/>
  <c r="BX12" i="30"/>
  <c r="BY12" i="30"/>
  <c r="BZ12" i="30"/>
  <c r="CA12" i="30"/>
  <c r="CB12" i="30"/>
  <c r="CC12" i="30"/>
  <c r="CD12" i="30"/>
  <c r="CE12" i="30"/>
  <c r="CF12" i="30"/>
  <c r="CG12" i="30"/>
  <c r="CH12" i="30"/>
  <c r="A13" i="30"/>
  <c r="B13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A14" i="30"/>
  <c r="B14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K14" i="30"/>
  <c r="AL14" i="30"/>
  <c r="AM14" i="30"/>
  <c r="AN14" i="30"/>
  <c r="AO14" i="30"/>
  <c r="AP14" i="30"/>
  <c r="AQ14" i="30"/>
  <c r="AR14" i="30"/>
  <c r="AS14" i="30"/>
  <c r="AT14" i="30"/>
  <c r="AU14" i="30"/>
  <c r="AV14" i="30"/>
  <c r="AW14" i="30"/>
  <c r="AX14" i="30"/>
  <c r="AY14" i="30"/>
  <c r="AZ14" i="30"/>
  <c r="BB14" i="30"/>
  <c r="BC14" i="30"/>
  <c r="BD14" i="30"/>
  <c r="BE14" i="30"/>
  <c r="BF14" i="30"/>
  <c r="BG14" i="30"/>
  <c r="BH14" i="30"/>
  <c r="BI14" i="30"/>
  <c r="BJ14" i="30"/>
  <c r="BK14" i="30"/>
  <c r="BL14" i="30"/>
  <c r="BM14" i="30"/>
  <c r="BN14" i="30"/>
  <c r="BO14" i="30"/>
  <c r="BP14" i="30"/>
  <c r="BQ14" i="30"/>
  <c r="BS14" i="30"/>
  <c r="BT14" i="30"/>
  <c r="BU14" i="30"/>
  <c r="BV14" i="30"/>
  <c r="BW14" i="30"/>
  <c r="BX14" i="30"/>
  <c r="BY14" i="30"/>
  <c r="BZ14" i="30"/>
  <c r="CA14" i="30"/>
  <c r="CB14" i="30"/>
  <c r="CC14" i="30"/>
  <c r="CD14" i="30"/>
  <c r="CE14" i="30"/>
  <c r="CF14" i="30"/>
  <c r="CG14" i="30"/>
  <c r="CH14" i="30"/>
  <c r="A15" i="30"/>
  <c r="B15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A16" i="30"/>
  <c r="B16" i="30"/>
  <c r="C16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K16" i="30"/>
  <c r="AL16" i="30"/>
  <c r="AM16" i="30"/>
  <c r="AN16" i="30"/>
  <c r="AO16" i="30"/>
  <c r="AP16" i="30"/>
  <c r="AQ16" i="30"/>
  <c r="AR16" i="30"/>
  <c r="AS16" i="30"/>
  <c r="AT16" i="30"/>
  <c r="AU16" i="30"/>
  <c r="AV16" i="30"/>
  <c r="AW16" i="30"/>
  <c r="AX16" i="30"/>
  <c r="AY16" i="30"/>
  <c r="AZ16" i="30"/>
  <c r="BB16" i="30"/>
  <c r="BC16" i="30"/>
  <c r="BD16" i="30"/>
  <c r="BE16" i="30"/>
  <c r="BF16" i="30"/>
  <c r="BG16" i="30"/>
  <c r="BH16" i="30"/>
  <c r="BI16" i="30"/>
  <c r="BJ16" i="30"/>
  <c r="BK16" i="30"/>
  <c r="BL16" i="30"/>
  <c r="BM16" i="30"/>
  <c r="BN16" i="30"/>
  <c r="BO16" i="30"/>
  <c r="BP16" i="30"/>
  <c r="BQ16" i="30"/>
  <c r="BS16" i="30"/>
  <c r="BT16" i="30"/>
  <c r="BU16" i="30"/>
  <c r="BV16" i="30"/>
  <c r="BW16" i="30"/>
  <c r="BX16" i="30"/>
  <c r="BY16" i="30"/>
  <c r="BZ16" i="30"/>
  <c r="CA16" i="30"/>
  <c r="CB16" i="30"/>
  <c r="CC16" i="30"/>
  <c r="CD16" i="30"/>
  <c r="CE16" i="30"/>
  <c r="CF16" i="30"/>
  <c r="CG16" i="30"/>
  <c r="CH16" i="30"/>
  <c r="A17" i="30"/>
  <c r="B17" i="30"/>
  <c r="C17" i="30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A18" i="30"/>
  <c r="B18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K18" i="30"/>
  <c r="AL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BB18" i="30"/>
  <c r="BC18" i="30"/>
  <c r="BD18" i="30"/>
  <c r="BE18" i="30"/>
  <c r="BF18" i="30"/>
  <c r="BG18" i="30"/>
  <c r="BH18" i="30"/>
  <c r="BI18" i="30"/>
  <c r="BJ18" i="30"/>
  <c r="BK18" i="30"/>
  <c r="BL18" i="30"/>
  <c r="BM18" i="30"/>
  <c r="BN18" i="30"/>
  <c r="BO18" i="30"/>
  <c r="BP18" i="30"/>
  <c r="BQ18" i="30"/>
  <c r="BS18" i="30"/>
  <c r="BT18" i="30"/>
  <c r="BU18" i="30"/>
  <c r="BV18" i="30"/>
  <c r="BW18" i="30"/>
  <c r="BX18" i="30"/>
  <c r="BY18" i="30"/>
  <c r="BZ18" i="30"/>
  <c r="CA18" i="30"/>
  <c r="CB18" i="30"/>
  <c r="CC18" i="30"/>
  <c r="CD18" i="30"/>
  <c r="CE18" i="30"/>
  <c r="CF18" i="30"/>
  <c r="CG18" i="30"/>
  <c r="CH18" i="30"/>
  <c r="A19" i="30"/>
  <c r="B19" i="30"/>
  <c r="C19" i="30"/>
  <c r="D19" i="30"/>
  <c r="E19" i="30"/>
  <c r="F19" i="30"/>
  <c r="G19" i="30"/>
  <c r="H19" i="30"/>
  <c r="I19" i="30"/>
  <c r="J19" i="30"/>
  <c r="K19" i="30"/>
  <c r="L19" i="30"/>
  <c r="M19" i="30"/>
  <c r="N19" i="30"/>
  <c r="O19" i="30"/>
  <c r="P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K19" i="30"/>
  <c r="AL19" i="30"/>
  <c r="AM19" i="30"/>
  <c r="AN19" i="30"/>
  <c r="AO19" i="30"/>
  <c r="AP19" i="30"/>
  <c r="AQ19" i="30"/>
  <c r="AR19" i="30"/>
  <c r="AS19" i="30"/>
  <c r="AT19" i="30"/>
  <c r="AU19" i="30"/>
  <c r="AV19" i="30"/>
  <c r="AW19" i="30"/>
  <c r="AX19" i="30"/>
  <c r="AY19" i="30"/>
  <c r="AZ19" i="30"/>
  <c r="BB19" i="30"/>
  <c r="BC19" i="30"/>
  <c r="BD19" i="30"/>
  <c r="BE19" i="30"/>
  <c r="BF19" i="30"/>
  <c r="BG19" i="30"/>
  <c r="BH19" i="30"/>
  <c r="BI19" i="30"/>
  <c r="BJ19" i="30"/>
  <c r="BK19" i="30"/>
  <c r="BL19" i="30"/>
  <c r="BM19" i="30"/>
  <c r="BN19" i="30"/>
  <c r="BO19" i="30"/>
  <c r="BP19" i="30"/>
  <c r="BQ19" i="30"/>
  <c r="BS19" i="30"/>
  <c r="BT19" i="30"/>
  <c r="BU19" i="30"/>
  <c r="BV19" i="30"/>
  <c r="BW19" i="30"/>
  <c r="BX19" i="30"/>
  <c r="BY19" i="30"/>
  <c r="BZ19" i="30"/>
  <c r="CA19" i="30"/>
  <c r="CB19" i="30"/>
  <c r="CC19" i="30"/>
  <c r="CD19" i="30"/>
  <c r="CE19" i="30"/>
  <c r="CF19" i="30"/>
  <c r="CG19" i="30"/>
  <c r="CH19" i="30"/>
  <c r="A20" i="30"/>
  <c r="B20" i="30"/>
  <c r="C20" i="30"/>
  <c r="D20" i="30"/>
  <c r="E20" i="30"/>
  <c r="F20" i="30"/>
  <c r="G20" i="30"/>
  <c r="H20" i="30"/>
  <c r="I20" i="30"/>
  <c r="J20" i="30"/>
  <c r="K20" i="30"/>
  <c r="L20" i="30"/>
  <c r="M20" i="30"/>
  <c r="N20" i="30"/>
  <c r="O20" i="30"/>
  <c r="P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AH20" i="30"/>
  <c r="AK20" i="30"/>
  <c r="AL20" i="30"/>
  <c r="AM20" i="30"/>
  <c r="AN20" i="30"/>
  <c r="AO20" i="30"/>
  <c r="AP20" i="30"/>
  <c r="AQ20" i="30"/>
  <c r="AR20" i="30"/>
  <c r="AS20" i="30"/>
  <c r="AT20" i="30"/>
  <c r="AU20" i="30"/>
  <c r="AV20" i="30"/>
  <c r="AW20" i="30"/>
  <c r="AX20" i="30"/>
  <c r="AY20" i="30"/>
  <c r="AZ20" i="30"/>
  <c r="BB20" i="30"/>
  <c r="BC20" i="30"/>
  <c r="BD20" i="30"/>
  <c r="BE20" i="30"/>
  <c r="BF20" i="30"/>
  <c r="BG20" i="30"/>
  <c r="BH20" i="30"/>
  <c r="BI20" i="30"/>
  <c r="BJ20" i="30"/>
  <c r="BK20" i="30"/>
  <c r="BL20" i="30"/>
  <c r="BM20" i="30"/>
  <c r="BN20" i="30"/>
  <c r="BO20" i="30"/>
  <c r="BP20" i="30"/>
  <c r="BQ20" i="30"/>
  <c r="BS20" i="30"/>
  <c r="BT20" i="30"/>
  <c r="BU20" i="30"/>
  <c r="BV20" i="30"/>
  <c r="BW20" i="30"/>
  <c r="BX20" i="30"/>
  <c r="BY20" i="30"/>
  <c r="BZ20" i="30"/>
  <c r="CA20" i="30"/>
  <c r="CB20" i="30"/>
  <c r="CC20" i="30"/>
  <c r="CD20" i="30"/>
  <c r="CE20" i="30"/>
  <c r="CF20" i="30"/>
  <c r="CG20" i="30"/>
  <c r="CH20" i="30"/>
  <c r="A21" i="30"/>
  <c r="B21" i="30"/>
  <c r="C21" i="30"/>
  <c r="D21" i="30"/>
  <c r="E21" i="30"/>
  <c r="F21" i="30"/>
  <c r="G21" i="30"/>
  <c r="H21" i="30"/>
  <c r="I21" i="30"/>
  <c r="J21" i="30"/>
  <c r="K21" i="30"/>
  <c r="L21" i="30"/>
  <c r="M21" i="30"/>
  <c r="N21" i="30"/>
  <c r="O21" i="30"/>
  <c r="P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AG21" i="30"/>
  <c r="AH21" i="30"/>
  <c r="AK21" i="30"/>
  <c r="AL21" i="30"/>
  <c r="AM21" i="30"/>
  <c r="AN21" i="30"/>
  <c r="AO21" i="30"/>
  <c r="AP21" i="30"/>
  <c r="AQ21" i="30"/>
  <c r="AR21" i="30"/>
  <c r="AS21" i="30"/>
  <c r="AT21" i="30"/>
  <c r="AU21" i="30"/>
  <c r="AV21" i="30"/>
  <c r="AW21" i="30"/>
  <c r="AX21" i="30"/>
  <c r="AY21" i="30"/>
  <c r="AZ21" i="30"/>
  <c r="BB21" i="30"/>
  <c r="BC21" i="30"/>
  <c r="BD21" i="30"/>
  <c r="BE21" i="30"/>
  <c r="BF21" i="30"/>
  <c r="BG21" i="30"/>
  <c r="BH21" i="30"/>
  <c r="BI21" i="30"/>
  <c r="BJ21" i="30"/>
  <c r="BK21" i="30"/>
  <c r="BL21" i="30"/>
  <c r="BM21" i="30"/>
  <c r="BN21" i="30"/>
  <c r="BO21" i="30"/>
  <c r="BP21" i="30"/>
  <c r="BQ21" i="30"/>
  <c r="BS21" i="30"/>
  <c r="BT21" i="30"/>
  <c r="BU21" i="30"/>
  <c r="BV21" i="30"/>
  <c r="BW21" i="30"/>
  <c r="BX21" i="30"/>
  <c r="BY21" i="30"/>
  <c r="BZ21" i="30"/>
  <c r="CA21" i="30"/>
  <c r="CB21" i="30"/>
  <c r="CC21" i="30"/>
  <c r="CD21" i="30"/>
  <c r="CE21" i="30"/>
  <c r="CF21" i="30"/>
  <c r="CG21" i="30"/>
  <c r="CH21" i="30"/>
  <c r="A22" i="30"/>
  <c r="B22" i="30"/>
  <c r="C22" i="30"/>
  <c r="D22" i="30"/>
  <c r="E22" i="30"/>
  <c r="F22" i="30"/>
  <c r="G22" i="30"/>
  <c r="H22" i="30"/>
  <c r="I22" i="30"/>
  <c r="J22" i="30"/>
  <c r="K22" i="30"/>
  <c r="L22" i="30"/>
  <c r="M22" i="30"/>
  <c r="N22" i="30"/>
  <c r="O22" i="30"/>
  <c r="P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K22" i="30"/>
  <c r="AL22" i="30"/>
  <c r="AM22" i="30"/>
  <c r="AN22" i="30"/>
  <c r="AO22" i="30"/>
  <c r="AP22" i="30"/>
  <c r="AQ22" i="30"/>
  <c r="AR22" i="30"/>
  <c r="AS22" i="30"/>
  <c r="AT22" i="30"/>
  <c r="AU22" i="30"/>
  <c r="AV22" i="30"/>
  <c r="AW22" i="30"/>
  <c r="AX22" i="30"/>
  <c r="AY22" i="30"/>
  <c r="AZ22" i="30"/>
  <c r="BB22" i="30"/>
  <c r="BC22" i="30"/>
  <c r="BD22" i="30"/>
  <c r="BE22" i="30"/>
  <c r="BF22" i="30"/>
  <c r="BG22" i="30"/>
  <c r="BH22" i="30"/>
  <c r="BI22" i="30"/>
  <c r="BJ22" i="30"/>
  <c r="BK22" i="30"/>
  <c r="BL22" i="30"/>
  <c r="BM22" i="30"/>
  <c r="BN22" i="30"/>
  <c r="BO22" i="30"/>
  <c r="BP22" i="30"/>
  <c r="BQ22" i="30"/>
  <c r="BS22" i="30"/>
  <c r="BT22" i="30"/>
  <c r="BU22" i="30"/>
  <c r="BV22" i="30"/>
  <c r="BW22" i="30"/>
  <c r="BX22" i="30"/>
  <c r="BY22" i="30"/>
  <c r="BZ22" i="30"/>
  <c r="CA22" i="30"/>
  <c r="CB22" i="30"/>
  <c r="CC22" i="30"/>
  <c r="CD22" i="30"/>
  <c r="CE22" i="30"/>
  <c r="CF22" i="30"/>
  <c r="CG22" i="30"/>
  <c r="CH22" i="30"/>
  <c r="A23" i="30"/>
  <c r="B23" i="30"/>
  <c r="C23" i="30"/>
  <c r="D23" i="30"/>
  <c r="E23" i="30"/>
  <c r="F23" i="30"/>
  <c r="G23" i="30"/>
  <c r="H23" i="30"/>
  <c r="I23" i="30"/>
  <c r="J23" i="30"/>
  <c r="K23" i="30"/>
  <c r="L23" i="30"/>
  <c r="M23" i="30"/>
  <c r="N23" i="30"/>
  <c r="O23" i="30"/>
  <c r="P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K23" i="30"/>
  <c r="AL23" i="30"/>
  <c r="AM23" i="30"/>
  <c r="AN23" i="30"/>
  <c r="AO23" i="30"/>
  <c r="AP23" i="30"/>
  <c r="AQ23" i="30"/>
  <c r="AR23" i="30"/>
  <c r="AS23" i="30"/>
  <c r="AT23" i="30"/>
  <c r="AU23" i="30"/>
  <c r="AV23" i="30"/>
  <c r="AW23" i="30"/>
  <c r="AX23" i="30"/>
  <c r="AY23" i="30"/>
  <c r="AZ23" i="30"/>
  <c r="BB23" i="30"/>
  <c r="BC23" i="30"/>
  <c r="BD23" i="30"/>
  <c r="BE23" i="30"/>
  <c r="BF23" i="30"/>
  <c r="BG23" i="30"/>
  <c r="BH23" i="30"/>
  <c r="BI23" i="30"/>
  <c r="BJ23" i="30"/>
  <c r="BK23" i="30"/>
  <c r="BL23" i="30"/>
  <c r="BM23" i="30"/>
  <c r="BN23" i="30"/>
  <c r="BO23" i="30"/>
  <c r="BP23" i="30"/>
  <c r="BQ23" i="30"/>
  <c r="BS23" i="30"/>
  <c r="BT23" i="30"/>
  <c r="BU23" i="30"/>
  <c r="BV23" i="30"/>
  <c r="BW23" i="30"/>
  <c r="BX23" i="30"/>
  <c r="BY23" i="30"/>
  <c r="BZ23" i="30"/>
  <c r="CA23" i="30"/>
  <c r="CB23" i="30"/>
  <c r="CC23" i="30"/>
  <c r="CD23" i="30"/>
  <c r="CE23" i="30"/>
  <c r="CF23" i="30"/>
  <c r="CG23" i="30"/>
  <c r="CH23" i="30"/>
  <c r="A24" i="30"/>
  <c r="B24" i="30"/>
  <c r="C24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A25" i="30"/>
  <c r="B25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B25" i="30"/>
  <c r="BC25" i="30"/>
  <c r="BD25" i="30"/>
  <c r="BE25" i="30"/>
  <c r="BF25" i="30"/>
  <c r="BG25" i="30"/>
  <c r="BH25" i="30"/>
  <c r="BI25" i="30"/>
  <c r="BJ25" i="30"/>
  <c r="BK25" i="30"/>
  <c r="BL25" i="30"/>
  <c r="BM25" i="30"/>
  <c r="BN25" i="30"/>
  <c r="BO25" i="30"/>
  <c r="BP25" i="30"/>
  <c r="BQ25" i="30"/>
  <c r="BS25" i="30"/>
  <c r="BT25" i="30"/>
  <c r="BU25" i="30"/>
  <c r="BV25" i="30"/>
  <c r="BW25" i="30"/>
  <c r="BX25" i="30"/>
  <c r="BY25" i="30"/>
  <c r="BZ25" i="30"/>
  <c r="CA25" i="30"/>
  <c r="CB25" i="30"/>
  <c r="CC25" i="30"/>
  <c r="CD25" i="30"/>
  <c r="CE25" i="30"/>
  <c r="CF25" i="30"/>
  <c r="CG25" i="30"/>
  <c r="CH25" i="30"/>
  <c r="A26" i="30"/>
  <c r="B26" i="30"/>
  <c r="C26" i="30"/>
  <c r="D26" i="30"/>
  <c r="E26" i="30"/>
  <c r="F26" i="30"/>
  <c r="G26" i="30"/>
  <c r="H26" i="30"/>
  <c r="I26" i="30"/>
  <c r="J26" i="30"/>
  <c r="K26" i="30"/>
  <c r="L26" i="30"/>
  <c r="M26" i="30"/>
  <c r="N26" i="30"/>
  <c r="O26" i="30"/>
  <c r="P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K26" i="30"/>
  <c r="AL26" i="30"/>
  <c r="AM26" i="30"/>
  <c r="AN26" i="30"/>
  <c r="AO26" i="30"/>
  <c r="AP26" i="30"/>
  <c r="AQ26" i="30"/>
  <c r="AR26" i="30"/>
  <c r="AS26" i="30"/>
  <c r="AT26" i="30"/>
  <c r="AU26" i="30"/>
  <c r="AV26" i="30"/>
  <c r="AW26" i="30"/>
  <c r="AX26" i="30"/>
  <c r="AY26" i="30"/>
  <c r="AZ26" i="30"/>
  <c r="BB26" i="30"/>
  <c r="BC26" i="30"/>
  <c r="BD26" i="30"/>
  <c r="BE26" i="30"/>
  <c r="BF26" i="30"/>
  <c r="BG26" i="30"/>
  <c r="BH26" i="30"/>
  <c r="BI26" i="30"/>
  <c r="BJ26" i="30"/>
  <c r="BK26" i="30"/>
  <c r="BL26" i="30"/>
  <c r="BM26" i="30"/>
  <c r="BN26" i="30"/>
  <c r="BO26" i="30"/>
  <c r="BP26" i="30"/>
  <c r="BQ26" i="30"/>
  <c r="BS26" i="30"/>
  <c r="BT26" i="30"/>
  <c r="BU26" i="30"/>
  <c r="BV26" i="30"/>
  <c r="BW26" i="30"/>
  <c r="BX26" i="30"/>
  <c r="BY26" i="30"/>
  <c r="BZ26" i="30"/>
  <c r="CA26" i="30"/>
  <c r="CB26" i="30"/>
  <c r="CC26" i="30"/>
  <c r="CD26" i="30"/>
  <c r="CE26" i="30"/>
  <c r="CF26" i="30"/>
  <c r="CG26" i="30"/>
  <c r="CH26" i="30"/>
  <c r="A27" i="30"/>
  <c r="B27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B27" i="30"/>
  <c r="BC27" i="30"/>
  <c r="BD27" i="30"/>
  <c r="BE27" i="30"/>
  <c r="BF27" i="30"/>
  <c r="BG27" i="30"/>
  <c r="BH27" i="30"/>
  <c r="BI27" i="30"/>
  <c r="BJ27" i="30"/>
  <c r="BK27" i="30"/>
  <c r="BL27" i="30"/>
  <c r="BM27" i="30"/>
  <c r="BN27" i="30"/>
  <c r="BO27" i="30"/>
  <c r="BP27" i="30"/>
  <c r="BQ27" i="30"/>
  <c r="BS27" i="30"/>
  <c r="BT27" i="30"/>
  <c r="BU27" i="30"/>
  <c r="BV27" i="30"/>
  <c r="BW27" i="30"/>
  <c r="BX27" i="30"/>
  <c r="BY27" i="30"/>
  <c r="BZ27" i="30"/>
  <c r="CA27" i="30"/>
  <c r="CB27" i="30"/>
  <c r="CC27" i="30"/>
  <c r="CD27" i="30"/>
  <c r="CE27" i="30"/>
  <c r="CF27" i="30"/>
  <c r="CG27" i="30"/>
  <c r="CH27" i="30"/>
  <c r="A28" i="30"/>
  <c r="B28" i="30"/>
  <c r="C28" i="30"/>
  <c r="D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K28" i="30"/>
  <c r="AL28" i="30"/>
  <c r="AM28" i="30"/>
  <c r="AN28" i="30"/>
  <c r="AO28" i="30"/>
  <c r="AP28" i="30"/>
  <c r="AQ28" i="30"/>
  <c r="AR28" i="30"/>
  <c r="AS28" i="30"/>
  <c r="AT28" i="30"/>
  <c r="AU28" i="30"/>
  <c r="AV28" i="30"/>
  <c r="AW28" i="30"/>
  <c r="AX28" i="30"/>
  <c r="AY28" i="30"/>
  <c r="AZ28" i="30"/>
  <c r="BB28" i="30"/>
  <c r="BC28" i="30"/>
  <c r="BD28" i="30"/>
  <c r="BE28" i="30"/>
  <c r="BF28" i="30"/>
  <c r="BG28" i="30"/>
  <c r="BH28" i="30"/>
  <c r="BI28" i="30"/>
  <c r="BJ28" i="30"/>
  <c r="BK28" i="30"/>
  <c r="BL28" i="30"/>
  <c r="BM28" i="30"/>
  <c r="BN28" i="30"/>
  <c r="BO28" i="30"/>
  <c r="BP28" i="30"/>
  <c r="BQ28" i="30"/>
  <c r="BS28" i="30"/>
  <c r="BT28" i="30"/>
  <c r="BU28" i="30"/>
  <c r="BV28" i="30"/>
  <c r="BW28" i="30"/>
  <c r="BX28" i="30"/>
  <c r="BY28" i="30"/>
  <c r="BZ28" i="30"/>
  <c r="CA28" i="30"/>
  <c r="CB28" i="30"/>
  <c r="CC28" i="30"/>
  <c r="CD28" i="30"/>
  <c r="CE28" i="30"/>
  <c r="CF28" i="30"/>
  <c r="CG28" i="30"/>
  <c r="CH28" i="30"/>
  <c r="A29" i="30"/>
  <c r="B29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AZ29" i="30"/>
  <c r="BB29" i="30"/>
  <c r="BC29" i="30"/>
  <c r="BD29" i="30"/>
  <c r="BE29" i="30"/>
  <c r="BF29" i="30"/>
  <c r="BG29" i="30"/>
  <c r="BH29" i="30"/>
  <c r="BI29" i="30"/>
  <c r="BJ29" i="30"/>
  <c r="BK29" i="30"/>
  <c r="BL29" i="30"/>
  <c r="BM29" i="30"/>
  <c r="BN29" i="30"/>
  <c r="BO29" i="30"/>
  <c r="BP29" i="30"/>
  <c r="BQ29" i="30"/>
  <c r="BS29" i="30"/>
  <c r="BT29" i="30"/>
  <c r="BU29" i="30"/>
  <c r="BV29" i="30"/>
  <c r="BW29" i="30"/>
  <c r="BX29" i="30"/>
  <c r="BY29" i="30"/>
  <c r="BZ29" i="30"/>
  <c r="CA29" i="30"/>
  <c r="CB29" i="30"/>
  <c r="CC29" i="30"/>
  <c r="CD29" i="30"/>
  <c r="CE29" i="30"/>
  <c r="CF29" i="30"/>
  <c r="CG29" i="30"/>
  <c r="CH29" i="30"/>
  <c r="A30" i="30"/>
  <c r="B30" i="30"/>
  <c r="C30" i="30"/>
  <c r="D30" i="30"/>
  <c r="E30" i="30"/>
  <c r="F30" i="30"/>
  <c r="G30" i="30"/>
  <c r="H30" i="30"/>
  <c r="I30" i="30"/>
  <c r="J30" i="30"/>
  <c r="K30" i="30"/>
  <c r="L30" i="30"/>
  <c r="M30" i="30"/>
  <c r="N30" i="30"/>
  <c r="O30" i="30"/>
  <c r="P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K30" i="30"/>
  <c r="AL30" i="30"/>
  <c r="AM30" i="30"/>
  <c r="AN30" i="30"/>
  <c r="AO30" i="30"/>
  <c r="AP30" i="30"/>
  <c r="AQ30" i="30"/>
  <c r="AR30" i="30"/>
  <c r="AS30" i="30"/>
  <c r="AT30" i="30"/>
  <c r="AU30" i="30"/>
  <c r="AV30" i="30"/>
  <c r="AW30" i="30"/>
  <c r="AX30" i="30"/>
  <c r="AY30" i="30"/>
  <c r="AZ30" i="30"/>
  <c r="BB30" i="30"/>
  <c r="BC30" i="30"/>
  <c r="BD30" i="30"/>
  <c r="BE30" i="30"/>
  <c r="BF30" i="30"/>
  <c r="BG30" i="30"/>
  <c r="BH30" i="30"/>
  <c r="BI30" i="30"/>
  <c r="BJ30" i="30"/>
  <c r="BK30" i="30"/>
  <c r="BL30" i="30"/>
  <c r="BM30" i="30"/>
  <c r="BN30" i="30"/>
  <c r="BO30" i="30"/>
  <c r="BP30" i="30"/>
  <c r="BQ30" i="30"/>
  <c r="BS30" i="30"/>
  <c r="BT30" i="30"/>
  <c r="BU30" i="30"/>
  <c r="BV30" i="30"/>
  <c r="BW30" i="30"/>
  <c r="BX30" i="30"/>
  <c r="BY30" i="30"/>
  <c r="BZ30" i="30"/>
  <c r="CA30" i="30"/>
  <c r="CB30" i="30"/>
  <c r="CC30" i="30"/>
  <c r="CD30" i="30"/>
  <c r="CE30" i="30"/>
  <c r="CF30" i="30"/>
  <c r="CG30" i="30"/>
  <c r="CH30" i="30"/>
  <c r="A31" i="30"/>
  <c r="B31" i="30"/>
  <c r="C31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K31" i="30"/>
  <c r="AL31" i="30"/>
  <c r="AM31" i="30"/>
  <c r="AN31" i="30"/>
  <c r="AO31" i="30"/>
  <c r="AP31" i="30"/>
  <c r="AQ31" i="30"/>
  <c r="AR31" i="30"/>
  <c r="AS31" i="30"/>
  <c r="AT31" i="30"/>
  <c r="AU31" i="30"/>
  <c r="AV31" i="30"/>
  <c r="AW31" i="30"/>
  <c r="AX31" i="30"/>
  <c r="AY31" i="30"/>
  <c r="AZ31" i="30"/>
  <c r="BB31" i="30"/>
  <c r="BC31" i="30"/>
  <c r="BD31" i="30"/>
  <c r="BE31" i="30"/>
  <c r="BF31" i="30"/>
  <c r="BG31" i="30"/>
  <c r="BH31" i="30"/>
  <c r="BI31" i="30"/>
  <c r="BJ31" i="30"/>
  <c r="BK31" i="30"/>
  <c r="BL31" i="30"/>
  <c r="BM31" i="30"/>
  <c r="BN31" i="30"/>
  <c r="BO31" i="30"/>
  <c r="BP31" i="30"/>
  <c r="BQ31" i="30"/>
  <c r="BS31" i="30"/>
  <c r="BT31" i="30"/>
  <c r="BU31" i="30"/>
  <c r="BV31" i="30"/>
  <c r="BW31" i="30"/>
  <c r="BX31" i="30"/>
  <c r="BY31" i="30"/>
  <c r="BZ31" i="30"/>
  <c r="CA31" i="30"/>
  <c r="CB31" i="30"/>
  <c r="CC31" i="30"/>
  <c r="CD31" i="30"/>
  <c r="CE31" i="30"/>
  <c r="CF31" i="30"/>
  <c r="CG31" i="30"/>
  <c r="CH31" i="30"/>
  <c r="A32" i="30"/>
  <c r="B32" i="30"/>
  <c r="C32" i="30"/>
  <c r="D32" i="30"/>
  <c r="E32" i="30"/>
  <c r="F32" i="30"/>
  <c r="G32" i="30"/>
  <c r="H32" i="30"/>
  <c r="I32" i="30"/>
  <c r="J32" i="30"/>
  <c r="K32" i="30"/>
  <c r="L32" i="30"/>
  <c r="M32" i="30"/>
  <c r="N32" i="30"/>
  <c r="O32" i="30"/>
  <c r="P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K32" i="30"/>
  <c r="AL32" i="30"/>
  <c r="AM32" i="30"/>
  <c r="AN32" i="30"/>
  <c r="AO32" i="30"/>
  <c r="AP32" i="30"/>
  <c r="AQ32" i="30"/>
  <c r="AR32" i="30"/>
  <c r="AS32" i="30"/>
  <c r="AT32" i="30"/>
  <c r="AU32" i="30"/>
  <c r="AV32" i="30"/>
  <c r="AW32" i="30"/>
  <c r="AX32" i="30"/>
  <c r="AY32" i="30"/>
  <c r="AZ32" i="30"/>
  <c r="BB32" i="30"/>
  <c r="BC32" i="30"/>
  <c r="BD32" i="30"/>
  <c r="BE32" i="30"/>
  <c r="BF32" i="30"/>
  <c r="BG32" i="30"/>
  <c r="BH32" i="30"/>
  <c r="BI32" i="30"/>
  <c r="BJ32" i="30"/>
  <c r="BK32" i="30"/>
  <c r="BL32" i="30"/>
  <c r="BM32" i="30"/>
  <c r="BN32" i="30"/>
  <c r="BO32" i="30"/>
  <c r="BP32" i="30"/>
  <c r="BQ32" i="30"/>
  <c r="BS32" i="30"/>
  <c r="BT32" i="30"/>
  <c r="BU32" i="30"/>
  <c r="BV32" i="30"/>
  <c r="BW32" i="30"/>
  <c r="BX32" i="30"/>
  <c r="BY32" i="30"/>
  <c r="BZ32" i="30"/>
  <c r="CA32" i="30"/>
  <c r="CB32" i="30"/>
  <c r="CC32" i="30"/>
  <c r="CD32" i="30"/>
  <c r="CE32" i="30"/>
  <c r="CF32" i="30"/>
  <c r="CG32" i="30"/>
  <c r="CH32" i="30"/>
  <c r="A33" i="30"/>
  <c r="B33" i="30"/>
  <c r="C33" i="30"/>
  <c r="D33" i="30"/>
  <c r="E33" i="30"/>
  <c r="F33" i="30"/>
  <c r="G33" i="30"/>
  <c r="H33" i="30"/>
  <c r="I33" i="30"/>
  <c r="J33" i="30"/>
  <c r="K33" i="30"/>
  <c r="L33" i="30"/>
  <c r="M33" i="30"/>
  <c r="N33" i="30"/>
  <c r="O33" i="30"/>
  <c r="P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K33" i="30"/>
  <c r="AL33" i="30"/>
  <c r="AM33" i="30"/>
  <c r="AN33" i="30"/>
  <c r="AO33" i="30"/>
  <c r="AP33" i="30"/>
  <c r="AQ33" i="30"/>
  <c r="AR33" i="30"/>
  <c r="AS33" i="30"/>
  <c r="AT33" i="30"/>
  <c r="AU33" i="30"/>
  <c r="AV33" i="30"/>
  <c r="AW33" i="30"/>
  <c r="AX33" i="30"/>
  <c r="AY33" i="30"/>
  <c r="AZ33" i="30"/>
  <c r="BB33" i="30"/>
  <c r="BC33" i="30"/>
  <c r="BD33" i="30"/>
  <c r="BE33" i="30"/>
  <c r="BF33" i="30"/>
  <c r="BG33" i="30"/>
  <c r="BH33" i="30"/>
  <c r="BI33" i="30"/>
  <c r="BJ33" i="30"/>
  <c r="BK33" i="30"/>
  <c r="BL33" i="30"/>
  <c r="BM33" i="30"/>
  <c r="BN33" i="30"/>
  <c r="BO33" i="30"/>
  <c r="BP33" i="30"/>
  <c r="BQ33" i="30"/>
  <c r="BS33" i="30"/>
  <c r="BT33" i="30"/>
  <c r="BU33" i="30"/>
  <c r="BV33" i="30"/>
  <c r="BW33" i="30"/>
  <c r="BX33" i="30"/>
  <c r="BY33" i="30"/>
  <c r="BZ33" i="30"/>
  <c r="CA33" i="30"/>
  <c r="CB33" i="30"/>
  <c r="CC33" i="30"/>
  <c r="CD33" i="30"/>
  <c r="CE33" i="30"/>
  <c r="CF33" i="30"/>
  <c r="CG33" i="30"/>
  <c r="CH33" i="30"/>
  <c r="A34" i="30"/>
  <c r="B34" i="30"/>
  <c r="C34" i="30"/>
  <c r="D34" i="30"/>
  <c r="E34" i="30"/>
  <c r="F34" i="30"/>
  <c r="G34" i="30"/>
  <c r="H34" i="30"/>
  <c r="I34" i="30"/>
  <c r="J34" i="30"/>
  <c r="K34" i="30"/>
  <c r="L34" i="30"/>
  <c r="M34" i="30"/>
  <c r="N34" i="30"/>
  <c r="O34" i="30"/>
  <c r="P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A35" i="30"/>
  <c r="B35" i="30"/>
  <c r="C35" i="30"/>
  <c r="D35" i="30"/>
  <c r="E35" i="30"/>
  <c r="F35" i="30"/>
  <c r="G35" i="30"/>
  <c r="H35" i="30"/>
  <c r="I35" i="30"/>
  <c r="J35" i="30"/>
  <c r="K35" i="30"/>
  <c r="L35" i="30"/>
  <c r="M35" i="30"/>
  <c r="N35" i="30"/>
  <c r="O35" i="30"/>
  <c r="P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A36" i="30"/>
  <c r="B36" i="30"/>
  <c r="C36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B36" i="30"/>
  <c r="BC36" i="30"/>
  <c r="BD36" i="30"/>
  <c r="BE36" i="30"/>
  <c r="BF36" i="30"/>
  <c r="BG36" i="30"/>
  <c r="BH36" i="30"/>
  <c r="BI36" i="30"/>
  <c r="BJ36" i="30"/>
  <c r="BK36" i="30"/>
  <c r="BL36" i="30"/>
  <c r="BM36" i="30"/>
  <c r="BN36" i="30"/>
  <c r="BO36" i="30"/>
  <c r="BP36" i="30"/>
  <c r="BQ36" i="30"/>
  <c r="BS36" i="30"/>
  <c r="BT36" i="30"/>
  <c r="BU36" i="30"/>
  <c r="BV36" i="30"/>
  <c r="BW36" i="30"/>
  <c r="BX36" i="30"/>
  <c r="BY36" i="30"/>
  <c r="BZ36" i="30"/>
  <c r="CA36" i="30"/>
  <c r="CB36" i="30"/>
  <c r="CC36" i="30"/>
  <c r="CD36" i="30"/>
  <c r="CE36" i="30"/>
  <c r="CF36" i="30"/>
  <c r="CG36" i="30"/>
  <c r="CH36" i="30"/>
  <c r="A37" i="30"/>
  <c r="B37" i="30"/>
  <c r="C37" i="30"/>
  <c r="D37" i="30"/>
  <c r="E37" i="30"/>
  <c r="F37" i="30"/>
  <c r="G37" i="30"/>
  <c r="H37" i="30"/>
  <c r="I37" i="30"/>
  <c r="J37" i="30"/>
  <c r="K37" i="30"/>
  <c r="L37" i="30"/>
  <c r="M37" i="30"/>
  <c r="N37" i="30"/>
  <c r="O37" i="30"/>
  <c r="P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B37" i="30"/>
  <c r="BC37" i="30"/>
  <c r="BD37" i="30"/>
  <c r="BE37" i="30"/>
  <c r="BF37" i="30"/>
  <c r="BG37" i="30"/>
  <c r="BH37" i="30"/>
  <c r="BI37" i="30"/>
  <c r="BJ37" i="30"/>
  <c r="BK37" i="30"/>
  <c r="BL37" i="30"/>
  <c r="BM37" i="30"/>
  <c r="BN37" i="30"/>
  <c r="BO37" i="30"/>
  <c r="BP37" i="30"/>
  <c r="BQ37" i="30"/>
  <c r="BS37" i="30"/>
  <c r="BT37" i="30"/>
  <c r="BU37" i="30"/>
  <c r="BV37" i="30"/>
  <c r="BW37" i="30"/>
  <c r="BX37" i="30"/>
  <c r="BY37" i="30"/>
  <c r="BZ37" i="30"/>
  <c r="CA37" i="30"/>
  <c r="CB37" i="30"/>
  <c r="CC37" i="30"/>
  <c r="CD37" i="30"/>
  <c r="CE37" i="30"/>
  <c r="CF37" i="30"/>
  <c r="CG37" i="30"/>
  <c r="CH37" i="30"/>
  <c r="A38" i="30"/>
  <c r="O38" i="30"/>
  <c r="P38" i="30"/>
  <c r="S38" i="30"/>
  <c r="AG38" i="30"/>
  <c r="AH38" i="30"/>
  <c r="AK38" i="30"/>
  <c r="AY38" i="30"/>
  <c r="AZ38" i="30"/>
  <c r="BB38" i="30"/>
  <c r="BP38" i="30"/>
  <c r="BQ38" i="30"/>
  <c r="BS38" i="30"/>
  <c r="CG38" i="30"/>
  <c r="CH38" i="30"/>
  <c r="A39" i="30"/>
  <c r="O39" i="30"/>
  <c r="P39" i="30"/>
  <c r="S39" i="30"/>
  <c r="AG39" i="30"/>
  <c r="AH39" i="30"/>
  <c r="AK39" i="30"/>
  <c r="AY39" i="30"/>
  <c r="AZ39" i="30"/>
  <c r="BB39" i="30"/>
  <c r="BP39" i="30"/>
  <c r="BQ39" i="30"/>
  <c r="BS39" i="30"/>
  <c r="CG39" i="30"/>
  <c r="CH39" i="30"/>
  <c r="A40" i="30"/>
  <c r="O40" i="30"/>
  <c r="P40" i="30"/>
  <c r="S40" i="30"/>
  <c r="AG40" i="30"/>
  <c r="AH40" i="30"/>
  <c r="AK40" i="30"/>
  <c r="AY40" i="30"/>
  <c r="AZ40" i="30"/>
  <c r="BB40" i="30"/>
  <c r="BP40" i="30"/>
  <c r="BQ40" i="30"/>
  <c r="BS40" i="30"/>
  <c r="CG40" i="30"/>
  <c r="CH40" i="30"/>
  <c r="A41" i="30"/>
  <c r="O41" i="30"/>
  <c r="P41" i="30"/>
  <c r="S41" i="30"/>
  <c r="AG41" i="30"/>
  <c r="AH41" i="30"/>
  <c r="AK41" i="30"/>
  <c r="AY41" i="30"/>
  <c r="AZ41" i="30"/>
  <c r="BB41" i="30"/>
  <c r="BP41" i="30"/>
  <c r="BQ41" i="30"/>
  <c r="BS41" i="30"/>
  <c r="CG41" i="30"/>
  <c r="CH41" i="30"/>
  <c r="A42" i="30"/>
  <c r="O42" i="30"/>
  <c r="P42" i="30"/>
  <c r="S42" i="30"/>
  <c r="AG42" i="30"/>
  <c r="AH42" i="30"/>
  <c r="AK42" i="30"/>
  <c r="AY42" i="30"/>
  <c r="AZ42" i="30"/>
  <c r="BB42" i="30"/>
  <c r="BP42" i="30"/>
  <c r="BQ42" i="30"/>
  <c r="BS42" i="30"/>
  <c r="CG42" i="30"/>
  <c r="CH42" i="30"/>
  <c r="A43" i="30"/>
  <c r="O43" i="30"/>
  <c r="P43" i="30"/>
  <c r="S43" i="30"/>
  <c r="AG43" i="30"/>
  <c r="AH43" i="30"/>
  <c r="AK43" i="30"/>
  <c r="AY43" i="30"/>
  <c r="AZ43" i="30"/>
  <c r="BB43" i="30"/>
  <c r="BP43" i="30"/>
  <c r="BQ43" i="30"/>
  <c r="BS43" i="30"/>
  <c r="CG43" i="30"/>
  <c r="CH43" i="30"/>
  <c r="A44" i="30"/>
  <c r="O44" i="30"/>
  <c r="P44" i="30"/>
  <c r="S44" i="30"/>
  <c r="AG44" i="30"/>
  <c r="AH44" i="30"/>
  <c r="AK44" i="30"/>
  <c r="AY44" i="30"/>
  <c r="AZ44" i="30"/>
  <c r="BB44" i="30"/>
  <c r="BP44" i="30"/>
  <c r="BQ44" i="30"/>
  <c r="BS44" i="30"/>
  <c r="CG44" i="30"/>
  <c r="CH44" i="30"/>
  <c r="A45" i="30"/>
  <c r="O45" i="30"/>
  <c r="P45" i="30"/>
  <c r="S45" i="30"/>
  <c r="AG45" i="30"/>
  <c r="AH45" i="30"/>
  <c r="AK45" i="30"/>
  <c r="AY45" i="30"/>
  <c r="AZ45" i="30"/>
  <c r="BB45" i="30"/>
  <c r="BP45" i="30"/>
  <c r="BQ45" i="30"/>
  <c r="BS45" i="30"/>
  <c r="CG45" i="30"/>
  <c r="CH45" i="30"/>
  <c r="A46" i="30"/>
  <c r="O46" i="30"/>
  <c r="P46" i="30"/>
  <c r="S46" i="30"/>
  <c r="AG46" i="30"/>
  <c r="AH46" i="30"/>
  <c r="AK46" i="30"/>
  <c r="AY46" i="30"/>
  <c r="AZ46" i="30"/>
  <c r="BB46" i="30"/>
  <c r="BP46" i="30"/>
  <c r="BQ46" i="30"/>
  <c r="BS46" i="30"/>
  <c r="CG46" i="30"/>
  <c r="CH46" i="30"/>
  <c r="A47" i="30"/>
  <c r="O47" i="30"/>
  <c r="P47" i="30"/>
  <c r="S47" i="30"/>
  <c r="AG47" i="30"/>
  <c r="AH47" i="30"/>
  <c r="AK47" i="30"/>
  <c r="AY47" i="30"/>
  <c r="AZ47" i="30"/>
  <c r="BB47" i="30"/>
  <c r="BP47" i="30"/>
  <c r="BQ47" i="30"/>
  <c r="BS47" i="30"/>
  <c r="CG47" i="30"/>
  <c r="CH47" i="30"/>
  <c r="A48" i="30"/>
  <c r="O48" i="30"/>
  <c r="P48" i="30"/>
  <c r="S48" i="30"/>
  <c r="AG48" i="30"/>
  <c r="AH48" i="30"/>
  <c r="AK48" i="30"/>
  <c r="AY48" i="30"/>
  <c r="AZ48" i="30"/>
  <c r="BB48" i="30"/>
  <c r="BP48" i="30"/>
  <c r="BQ48" i="30"/>
  <c r="BS48" i="30"/>
  <c r="CG48" i="30"/>
  <c r="CH48" i="30"/>
  <c r="A49" i="30"/>
  <c r="O49" i="30"/>
  <c r="P49" i="30"/>
  <c r="S49" i="30"/>
  <c r="AG49" i="30"/>
  <c r="AH49" i="30"/>
  <c r="AK49" i="30"/>
  <c r="AY49" i="30"/>
  <c r="AZ49" i="30"/>
  <c r="BB49" i="30"/>
  <c r="BP49" i="30"/>
  <c r="BQ49" i="30"/>
  <c r="BS49" i="30"/>
  <c r="CG49" i="30"/>
  <c r="CH49" i="30"/>
  <c r="A50" i="30"/>
  <c r="O50" i="30"/>
  <c r="P50" i="30"/>
  <c r="S50" i="30"/>
  <c r="AG50" i="30"/>
  <c r="AH50" i="30"/>
  <c r="AK50" i="30"/>
  <c r="AY50" i="30"/>
  <c r="AZ50" i="30"/>
  <c r="BB50" i="30"/>
  <c r="BP50" i="30"/>
  <c r="BQ50" i="30"/>
  <c r="BS50" i="30"/>
  <c r="CG50" i="30"/>
  <c r="CH50" i="30"/>
  <c r="A51" i="30"/>
  <c r="O51" i="30"/>
  <c r="P51" i="30"/>
  <c r="S51" i="30"/>
  <c r="AG51" i="30"/>
  <c r="AH51" i="30"/>
  <c r="AK51" i="30"/>
  <c r="AY51" i="30"/>
  <c r="AZ51" i="30"/>
  <c r="BB51" i="30"/>
  <c r="BP51" i="30"/>
  <c r="BQ51" i="30"/>
  <c r="BS51" i="30"/>
  <c r="CG51" i="30"/>
  <c r="CH51" i="30"/>
  <c r="A52" i="30"/>
  <c r="O52" i="30"/>
  <c r="P52" i="30"/>
  <c r="S52" i="30"/>
  <c r="AG52" i="30"/>
  <c r="AH52" i="30"/>
  <c r="AK52" i="30"/>
  <c r="AY52" i="30"/>
  <c r="AZ52" i="30"/>
  <c r="BB52" i="30"/>
  <c r="BP52" i="30"/>
  <c r="BQ52" i="30"/>
  <c r="BS52" i="30"/>
  <c r="CG52" i="30"/>
  <c r="CH52" i="30"/>
  <c r="A53" i="30"/>
  <c r="O53" i="30"/>
  <c r="P53" i="30"/>
  <c r="S53" i="30"/>
  <c r="AG53" i="30"/>
  <c r="AH53" i="30"/>
  <c r="AK53" i="30"/>
  <c r="AY53" i="30"/>
  <c r="AZ53" i="30"/>
  <c r="BB53" i="30"/>
  <c r="BP53" i="30"/>
  <c r="BQ53" i="30"/>
  <c r="BS53" i="30"/>
  <c r="CG53" i="30"/>
  <c r="CH53" i="30"/>
  <c r="A54" i="30"/>
  <c r="O54" i="30"/>
  <c r="P54" i="30"/>
  <c r="S54" i="30"/>
  <c r="AG54" i="30"/>
  <c r="AH54" i="30"/>
  <c r="AK54" i="30"/>
  <c r="AY54" i="30"/>
  <c r="AZ54" i="30"/>
  <c r="BB54" i="30"/>
  <c r="BP54" i="30"/>
  <c r="BQ54" i="30"/>
  <c r="BS54" i="30"/>
  <c r="CG54" i="30"/>
  <c r="CH54" i="30"/>
  <c r="A55" i="30"/>
  <c r="O55" i="30"/>
  <c r="P55" i="30"/>
  <c r="S55" i="30"/>
  <c r="AG55" i="30"/>
  <c r="AH55" i="30"/>
  <c r="AK55" i="30"/>
  <c r="AY55" i="30"/>
  <c r="AZ55" i="30"/>
  <c r="BB55" i="30"/>
  <c r="BP55" i="30"/>
  <c r="BQ55" i="30"/>
  <c r="BS55" i="30"/>
  <c r="CG55" i="30"/>
  <c r="CH55" i="30"/>
  <c r="A56" i="30"/>
  <c r="O56" i="30"/>
  <c r="P56" i="30"/>
  <c r="S56" i="30"/>
  <c r="AG56" i="30"/>
  <c r="AH56" i="30"/>
  <c r="AK56" i="30"/>
  <c r="AY56" i="30"/>
  <c r="AZ56" i="30"/>
  <c r="BB56" i="30"/>
  <c r="BP56" i="30"/>
  <c r="BQ56" i="30"/>
  <c r="BS56" i="30"/>
  <c r="CG56" i="30"/>
  <c r="CH56" i="30"/>
  <c r="A57" i="30"/>
  <c r="O57" i="30"/>
  <c r="P57" i="30"/>
  <c r="S57" i="30"/>
  <c r="AG57" i="30"/>
  <c r="AH57" i="30"/>
  <c r="AK57" i="30"/>
  <c r="AY57" i="30"/>
  <c r="AZ57" i="30"/>
  <c r="BB57" i="30"/>
  <c r="BP57" i="30"/>
  <c r="BQ57" i="30"/>
  <c r="BS57" i="30"/>
  <c r="CG57" i="30"/>
  <c r="CH57" i="30"/>
  <c r="A58" i="30"/>
  <c r="O58" i="30"/>
  <c r="P58" i="30"/>
  <c r="S58" i="30"/>
  <c r="AG58" i="30"/>
  <c r="AH58" i="30"/>
  <c r="AK58" i="30"/>
  <c r="AY58" i="30"/>
  <c r="AZ58" i="30"/>
  <c r="BB58" i="30"/>
  <c r="BP58" i="30"/>
  <c r="BQ58" i="30"/>
  <c r="BS58" i="30"/>
  <c r="CG58" i="30"/>
  <c r="CH58" i="30"/>
  <c r="A59" i="30"/>
  <c r="O59" i="30"/>
  <c r="P59" i="30"/>
  <c r="S59" i="30"/>
  <c r="AG59" i="30"/>
  <c r="AH59" i="30"/>
  <c r="AK59" i="30"/>
  <c r="AY59" i="30"/>
  <c r="AZ59" i="30"/>
  <c r="BB59" i="30"/>
  <c r="BP59" i="30"/>
  <c r="BQ59" i="30"/>
  <c r="BS59" i="30"/>
  <c r="CG59" i="30"/>
  <c r="CH59" i="30"/>
  <c r="A60" i="30"/>
  <c r="O60" i="30"/>
  <c r="P60" i="30"/>
  <c r="S60" i="30"/>
  <c r="AG60" i="30"/>
  <c r="AH60" i="30"/>
  <c r="AK60" i="30"/>
  <c r="AY60" i="30"/>
  <c r="AZ60" i="30"/>
  <c r="BB60" i="30"/>
  <c r="BP60" i="30"/>
  <c r="BQ60" i="30"/>
  <c r="BS60" i="30"/>
  <c r="CG60" i="30"/>
  <c r="CH60" i="30"/>
  <c r="A61" i="30"/>
  <c r="O61" i="30"/>
  <c r="P61" i="30"/>
  <c r="S61" i="30"/>
  <c r="AG61" i="30"/>
  <c r="AH61" i="30"/>
  <c r="AK61" i="30"/>
  <c r="AY61" i="30"/>
  <c r="AZ61" i="30"/>
  <c r="BB61" i="30"/>
  <c r="BP61" i="30"/>
  <c r="BQ61" i="30"/>
  <c r="BS61" i="30"/>
  <c r="CG61" i="30"/>
  <c r="CH61" i="30"/>
  <c r="A62" i="30"/>
  <c r="O62" i="30"/>
  <c r="P62" i="30"/>
  <c r="S62" i="30"/>
  <c r="AG62" i="30"/>
  <c r="AH62" i="30"/>
  <c r="AK62" i="30"/>
  <c r="AY62" i="30"/>
  <c r="AZ62" i="30"/>
  <c r="BB62" i="30"/>
  <c r="BP62" i="30"/>
  <c r="BQ62" i="30"/>
  <c r="BS62" i="30"/>
  <c r="CG62" i="30"/>
  <c r="CH62" i="30"/>
  <c r="A63" i="30"/>
  <c r="O63" i="30"/>
  <c r="P63" i="30"/>
  <c r="S63" i="30"/>
  <c r="AG63" i="30"/>
  <c r="AH63" i="30"/>
  <c r="AK63" i="30"/>
  <c r="AY63" i="30"/>
  <c r="AZ63" i="30"/>
  <c r="BB63" i="30"/>
  <c r="BP63" i="30"/>
  <c r="BQ63" i="30"/>
  <c r="BS63" i="30"/>
  <c r="CG63" i="30"/>
  <c r="CH63" i="30"/>
  <c r="A64" i="30"/>
  <c r="O64" i="30"/>
  <c r="P64" i="30"/>
  <c r="S64" i="30"/>
  <c r="AG64" i="30"/>
  <c r="AH64" i="30"/>
  <c r="AK64" i="30"/>
  <c r="AY64" i="30"/>
  <c r="AZ64" i="30"/>
  <c r="BB64" i="30"/>
  <c r="BP64" i="30"/>
  <c r="BQ64" i="30"/>
  <c r="BS64" i="30"/>
  <c r="CG64" i="30"/>
  <c r="CH64" i="30"/>
  <c r="A65" i="30"/>
  <c r="O65" i="30"/>
  <c r="P65" i="30"/>
  <c r="S65" i="30"/>
  <c r="AG65" i="30"/>
  <c r="AH65" i="30"/>
  <c r="AK65" i="30"/>
  <c r="AY65" i="30"/>
  <c r="AZ65" i="30"/>
  <c r="BB65" i="30"/>
  <c r="BP65" i="30"/>
  <c r="BQ65" i="30"/>
  <c r="BS65" i="30"/>
  <c r="CG65" i="30"/>
  <c r="CH65" i="30"/>
  <c r="A66" i="30"/>
  <c r="O66" i="30"/>
  <c r="P66" i="30"/>
  <c r="S66" i="30"/>
  <c r="AG66" i="30"/>
  <c r="AH66" i="30"/>
  <c r="AK66" i="30"/>
  <c r="AY66" i="30"/>
  <c r="AZ66" i="30"/>
  <c r="BB66" i="30"/>
  <c r="BP66" i="30"/>
  <c r="BQ66" i="30"/>
  <c r="BS66" i="30"/>
  <c r="CG66" i="30"/>
  <c r="CH66" i="30"/>
  <c r="A67" i="30"/>
  <c r="O67" i="30"/>
  <c r="P67" i="30"/>
  <c r="S67" i="30"/>
  <c r="AG67" i="30"/>
  <c r="AH67" i="30"/>
  <c r="AK67" i="30"/>
  <c r="AY67" i="30"/>
  <c r="AZ67" i="30"/>
  <c r="BB67" i="30"/>
  <c r="BP67" i="30"/>
  <c r="BQ67" i="30"/>
  <c r="BS67" i="30"/>
  <c r="CG67" i="30"/>
  <c r="CH67" i="30"/>
  <c r="A68" i="30"/>
  <c r="O68" i="30"/>
  <c r="P68" i="30"/>
  <c r="S68" i="30"/>
  <c r="AG68" i="30"/>
  <c r="AH68" i="30"/>
  <c r="AK68" i="30"/>
  <c r="AY68" i="30"/>
  <c r="AZ68" i="30"/>
  <c r="BB68" i="30"/>
  <c r="BP68" i="30"/>
  <c r="BQ68" i="30"/>
  <c r="BS68" i="30"/>
  <c r="CG68" i="30"/>
  <c r="CH68" i="30"/>
  <c r="A69" i="30"/>
  <c r="O69" i="30"/>
  <c r="P69" i="30"/>
  <c r="S69" i="30"/>
  <c r="AG69" i="30"/>
  <c r="AH69" i="30"/>
  <c r="AK69" i="30"/>
  <c r="AY69" i="30"/>
  <c r="AZ69" i="30"/>
  <c r="BB69" i="30"/>
  <c r="BP69" i="30"/>
  <c r="BQ69" i="30"/>
  <c r="BS69" i="30"/>
  <c r="CG69" i="30"/>
  <c r="CH69" i="30"/>
  <c r="A70" i="30"/>
  <c r="O70" i="30"/>
  <c r="P70" i="30"/>
  <c r="S70" i="30"/>
  <c r="AG70" i="30"/>
  <c r="AH70" i="30"/>
  <c r="AK70" i="30"/>
  <c r="AY70" i="30"/>
  <c r="AZ70" i="30"/>
  <c r="BB70" i="30"/>
  <c r="BP70" i="30"/>
  <c r="BQ70" i="30"/>
  <c r="BS70" i="30"/>
  <c r="CG70" i="30"/>
  <c r="CH70" i="30"/>
  <c r="A71" i="30"/>
  <c r="O71" i="30"/>
  <c r="P71" i="30"/>
  <c r="S71" i="30"/>
  <c r="AG71" i="30"/>
  <c r="AH71" i="30"/>
  <c r="AK71" i="30"/>
  <c r="AY71" i="30"/>
  <c r="AZ71" i="30"/>
  <c r="BB71" i="30"/>
  <c r="BP71" i="30"/>
  <c r="BQ71" i="30"/>
  <c r="BS71" i="30"/>
  <c r="CG71" i="30"/>
  <c r="CH71" i="30"/>
  <c r="A72" i="30"/>
  <c r="O72" i="30"/>
  <c r="P72" i="30"/>
  <c r="S72" i="30"/>
  <c r="AG72" i="30"/>
  <c r="AH72" i="30"/>
  <c r="AK72" i="30"/>
  <c r="AY72" i="30"/>
  <c r="AZ72" i="30"/>
  <c r="BB72" i="30"/>
  <c r="BP72" i="30"/>
  <c r="BQ72" i="30"/>
  <c r="BS72" i="30"/>
  <c r="BT72" i="30"/>
  <c r="BU72" i="30"/>
  <c r="BV72" i="30"/>
  <c r="BW72" i="30"/>
  <c r="BX72" i="30"/>
  <c r="BY72" i="30"/>
  <c r="BZ72" i="30"/>
  <c r="CA72" i="30"/>
  <c r="CB72" i="30"/>
  <c r="CC72" i="30"/>
  <c r="CE72" i="30"/>
  <c r="CG72" i="30"/>
  <c r="CH72" i="30"/>
  <c r="A73" i="30"/>
  <c r="O73" i="30"/>
  <c r="P73" i="30"/>
  <c r="S73" i="30"/>
  <c r="AG73" i="30"/>
  <c r="AH73" i="30"/>
  <c r="AK73" i="30"/>
  <c r="AY73" i="30"/>
  <c r="AZ73" i="30"/>
  <c r="BB73" i="30"/>
  <c r="BP73" i="30"/>
  <c r="BQ73" i="30"/>
  <c r="BS73" i="30"/>
  <c r="BT73" i="30"/>
  <c r="BU73" i="30"/>
  <c r="BV73" i="30"/>
  <c r="BW73" i="30"/>
  <c r="BX73" i="30"/>
  <c r="BY73" i="30"/>
  <c r="BZ73" i="30"/>
  <c r="CA73" i="30"/>
  <c r="CB73" i="30"/>
  <c r="CC73" i="30"/>
  <c r="CE73" i="30"/>
  <c r="CG73" i="30"/>
  <c r="CH73" i="30"/>
  <c r="A74" i="30"/>
  <c r="O74" i="30"/>
  <c r="P74" i="30"/>
  <c r="S74" i="30"/>
  <c r="AG74" i="30"/>
  <c r="AH74" i="30"/>
  <c r="AK74" i="30"/>
  <c r="AY74" i="30"/>
  <c r="AZ74" i="30"/>
  <c r="BB74" i="30"/>
  <c r="BP74" i="30"/>
  <c r="BQ74" i="30"/>
  <c r="BS74" i="30"/>
  <c r="BT74" i="30"/>
  <c r="BU74" i="30"/>
  <c r="BV74" i="30"/>
  <c r="BW74" i="30"/>
  <c r="BX74" i="30"/>
  <c r="BY74" i="30"/>
  <c r="BZ74" i="30"/>
  <c r="CA74" i="30"/>
  <c r="CB74" i="30"/>
  <c r="CC74" i="30"/>
  <c r="CE74" i="30"/>
  <c r="CG74" i="30"/>
  <c r="CH74" i="30"/>
  <c r="A75" i="30"/>
  <c r="O75" i="30"/>
  <c r="P75" i="30"/>
  <c r="S75" i="30"/>
  <c r="AG75" i="30"/>
  <c r="AH75" i="30"/>
  <c r="AK75" i="30"/>
  <c r="AY75" i="30"/>
  <c r="AZ75" i="30"/>
  <c r="BB75" i="30"/>
  <c r="BP75" i="30"/>
  <c r="BQ75" i="30"/>
  <c r="BS75" i="30"/>
  <c r="BT75" i="30"/>
  <c r="BU75" i="30"/>
  <c r="BV75" i="30"/>
  <c r="BW75" i="30"/>
  <c r="BX75" i="30"/>
  <c r="BY75" i="30"/>
  <c r="BZ75" i="30"/>
  <c r="CA75" i="30"/>
  <c r="CB75" i="30"/>
  <c r="CC75" i="30"/>
  <c r="CE75" i="30"/>
  <c r="CG75" i="30"/>
  <c r="CH75" i="30"/>
  <c r="A76" i="30"/>
  <c r="O76" i="30"/>
  <c r="P76" i="30"/>
  <c r="S76" i="30"/>
  <c r="AG76" i="30"/>
  <c r="AH76" i="30"/>
  <c r="AK76" i="30"/>
  <c r="AY76" i="30"/>
  <c r="AZ76" i="30"/>
  <c r="BB76" i="30"/>
  <c r="BP76" i="30"/>
  <c r="BQ76" i="30"/>
  <c r="BS76" i="30"/>
  <c r="BT76" i="30"/>
  <c r="BU76" i="30"/>
  <c r="BV76" i="30"/>
  <c r="BW76" i="30"/>
  <c r="BX76" i="30"/>
  <c r="BY76" i="30"/>
  <c r="BZ76" i="30"/>
  <c r="CA76" i="30"/>
  <c r="CB76" i="30"/>
  <c r="CC76" i="30"/>
  <c r="CE76" i="30"/>
  <c r="CG76" i="30"/>
  <c r="CH76" i="30"/>
  <c r="A77" i="30"/>
  <c r="O77" i="30"/>
  <c r="P77" i="30"/>
  <c r="S77" i="30"/>
  <c r="AG77" i="30"/>
  <c r="AH77" i="30"/>
  <c r="AK77" i="30"/>
  <c r="AY77" i="30"/>
  <c r="AZ77" i="30"/>
  <c r="BB77" i="30"/>
  <c r="BP77" i="30"/>
  <c r="BQ77" i="30"/>
  <c r="BS77" i="30"/>
  <c r="BT77" i="30"/>
  <c r="BU77" i="30"/>
  <c r="BV77" i="30"/>
  <c r="BW77" i="30"/>
  <c r="BX77" i="30"/>
  <c r="BY77" i="30"/>
  <c r="BZ77" i="30"/>
  <c r="CA77" i="30"/>
  <c r="CB77" i="30"/>
  <c r="CC77" i="30"/>
  <c r="CE77" i="30"/>
  <c r="CG77" i="30"/>
  <c r="CH77" i="30"/>
  <c r="A78" i="30"/>
  <c r="O78" i="30"/>
  <c r="P78" i="30"/>
  <c r="S78" i="30"/>
  <c r="AG78" i="30"/>
  <c r="AH78" i="30"/>
  <c r="AK78" i="30"/>
  <c r="AY78" i="30"/>
  <c r="AZ78" i="30"/>
  <c r="BB78" i="30"/>
  <c r="BP78" i="30"/>
  <c r="BQ78" i="30"/>
  <c r="BS78" i="30"/>
  <c r="BT78" i="30"/>
  <c r="BU78" i="30"/>
  <c r="BV78" i="30"/>
  <c r="BW78" i="30"/>
  <c r="BX78" i="30"/>
  <c r="BY78" i="30"/>
  <c r="BZ78" i="30"/>
  <c r="CA78" i="30"/>
  <c r="CB78" i="30"/>
  <c r="CC78" i="30"/>
  <c r="CE78" i="30"/>
  <c r="CG78" i="30"/>
  <c r="CH78" i="30"/>
  <c r="A79" i="30"/>
  <c r="O79" i="30"/>
  <c r="P79" i="30"/>
  <c r="S79" i="30"/>
  <c r="AG79" i="30"/>
  <c r="AH79" i="30"/>
  <c r="AK79" i="30"/>
  <c r="AY79" i="30"/>
  <c r="AZ79" i="30"/>
  <c r="BB79" i="30"/>
  <c r="BP79" i="30"/>
  <c r="BQ79" i="30"/>
  <c r="BS79" i="30"/>
  <c r="BT79" i="30"/>
  <c r="BU79" i="30"/>
  <c r="BV79" i="30"/>
  <c r="BW79" i="30"/>
  <c r="BX79" i="30"/>
  <c r="BY79" i="30"/>
  <c r="BZ79" i="30"/>
  <c r="CA79" i="30"/>
  <c r="CB79" i="30"/>
  <c r="CC79" i="30"/>
  <c r="CE79" i="30"/>
  <c r="CG79" i="30"/>
  <c r="CH79" i="30"/>
  <c r="A80" i="30"/>
  <c r="O80" i="30"/>
  <c r="P80" i="30"/>
  <c r="S80" i="30"/>
  <c r="AG80" i="30"/>
  <c r="AH80" i="30"/>
  <c r="AK80" i="30"/>
  <c r="AY80" i="30"/>
  <c r="AZ80" i="30"/>
  <c r="BB80" i="30"/>
  <c r="BP80" i="30"/>
  <c r="BQ80" i="30"/>
  <c r="BS80" i="30"/>
  <c r="BT80" i="30"/>
  <c r="BU80" i="30"/>
  <c r="BV80" i="30"/>
  <c r="BW80" i="30"/>
  <c r="BX80" i="30"/>
  <c r="BY80" i="30"/>
  <c r="BZ80" i="30"/>
  <c r="CA80" i="30"/>
  <c r="CB80" i="30"/>
  <c r="CC80" i="30"/>
  <c r="CE80" i="30"/>
  <c r="CG80" i="30"/>
  <c r="CH80" i="30"/>
  <c r="A81" i="30"/>
  <c r="O81" i="30"/>
  <c r="P81" i="30"/>
  <c r="S81" i="30"/>
  <c r="AG81" i="30"/>
  <c r="AH81" i="30"/>
  <c r="AK81" i="30"/>
  <c r="AY81" i="30"/>
  <c r="AZ81" i="30"/>
  <c r="BB81" i="30"/>
  <c r="BP81" i="30"/>
  <c r="BQ81" i="30"/>
  <c r="BS81" i="30"/>
  <c r="BT81" i="30"/>
  <c r="BU81" i="30"/>
  <c r="BV81" i="30"/>
  <c r="BW81" i="30"/>
  <c r="BX81" i="30"/>
  <c r="BY81" i="30"/>
  <c r="BZ81" i="30"/>
  <c r="CA81" i="30"/>
  <c r="CB81" i="30"/>
  <c r="CC81" i="30"/>
  <c r="CE81" i="30"/>
  <c r="CG81" i="30"/>
  <c r="CH81" i="30"/>
  <c r="A82" i="30"/>
  <c r="O82" i="30"/>
  <c r="P82" i="30"/>
  <c r="S82" i="30"/>
  <c r="AG82" i="30"/>
  <c r="AH82" i="30"/>
  <c r="AK82" i="30"/>
  <c r="AY82" i="30"/>
  <c r="AZ82" i="30"/>
  <c r="BB82" i="30"/>
  <c r="BP82" i="30"/>
  <c r="BQ82" i="30"/>
  <c r="BS82" i="30"/>
  <c r="BT82" i="30"/>
  <c r="BU82" i="30"/>
  <c r="BV82" i="30"/>
  <c r="BW82" i="30"/>
  <c r="BX82" i="30"/>
  <c r="BY82" i="30"/>
  <c r="BZ82" i="30"/>
  <c r="CA82" i="30"/>
  <c r="CB82" i="30"/>
  <c r="CC82" i="30"/>
  <c r="CE82" i="30"/>
  <c r="CG82" i="30"/>
  <c r="CH82" i="30"/>
  <c r="A83" i="30"/>
  <c r="O83" i="30"/>
  <c r="P83" i="30"/>
  <c r="S83" i="30"/>
  <c r="AG83" i="30"/>
  <c r="AH83" i="30"/>
  <c r="AK83" i="30"/>
  <c r="AY83" i="30"/>
  <c r="AZ83" i="30"/>
  <c r="BB83" i="30"/>
  <c r="BP83" i="30"/>
  <c r="BQ83" i="30"/>
  <c r="BS83" i="30"/>
  <c r="BT83" i="30"/>
  <c r="BU83" i="30"/>
  <c r="BV83" i="30"/>
  <c r="BW83" i="30"/>
  <c r="BX83" i="30"/>
  <c r="BY83" i="30"/>
  <c r="BZ83" i="30"/>
  <c r="CA83" i="30"/>
  <c r="CB83" i="30"/>
  <c r="CC83" i="30"/>
  <c r="CE83" i="30"/>
  <c r="CG83" i="30"/>
  <c r="CH83" i="30"/>
  <c r="A84" i="30"/>
  <c r="O84" i="30"/>
  <c r="P84" i="30"/>
  <c r="S84" i="30"/>
  <c r="AG84" i="30"/>
  <c r="AH84" i="30"/>
  <c r="AK84" i="30"/>
  <c r="AY84" i="30"/>
  <c r="AZ84" i="30"/>
  <c r="BB84" i="30"/>
  <c r="BP84" i="30"/>
  <c r="BQ84" i="30"/>
  <c r="BS84" i="30"/>
  <c r="BT84" i="30"/>
  <c r="BU84" i="30"/>
  <c r="BV84" i="30"/>
  <c r="BW84" i="30"/>
  <c r="BX84" i="30"/>
  <c r="BY84" i="30"/>
  <c r="BZ84" i="30"/>
  <c r="CA84" i="30"/>
  <c r="CB84" i="30"/>
  <c r="CC84" i="30"/>
  <c r="CE84" i="30"/>
  <c r="CG84" i="30"/>
  <c r="CH84" i="30"/>
  <c r="A85" i="30"/>
  <c r="O85" i="30"/>
  <c r="P85" i="30"/>
  <c r="S85" i="30"/>
  <c r="AG85" i="30"/>
  <c r="AH85" i="30"/>
  <c r="AK85" i="30"/>
  <c r="AY85" i="30"/>
  <c r="AZ85" i="30"/>
  <c r="BB85" i="30"/>
  <c r="BP85" i="30"/>
  <c r="BQ85" i="30"/>
  <c r="BS85" i="30"/>
  <c r="BT85" i="30"/>
  <c r="BU85" i="30"/>
  <c r="BV85" i="30"/>
  <c r="BW85" i="30"/>
  <c r="BX85" i="30"/>
  <c r="BY85" i="30"/>
  <c r="BZ85" i="30"/>
  <c r="CA85" i="30"/>
  <c r="CB85" i="30"/>
  <c r="CC85" i="30"/>
  <c r="CE85" i="30"/>
  <c r="CG85" i="30"/>
  <c r="CH85" i="30"/>
  <c r="A86" i="30"/>
  <c r="O86" i="30"/>
  <c r="P86" i="30"/>
  <c r="S86" i="30"/>
  <c r="AG86" i="30"/>
  <c r="AH86" i="30"/>
  <c r="AK86" i="30"/>
  <c r="AY86" i="30"/>
  <c r="AZ86" i="30"/>
  <c r="BB86" i="30"/>
  <c r="BP86" i="30"/>
  <c r="BQ86" i="30"/>
  <c r="BS86" i="30"/>
  <c r="BT86" i="30"/>
  <c r="BU86" i="30"/>
  <c r="BV86" i="30"/>
  <c r="BW86" i="30"/>
  <c r="BX86" i="30"/>
  <c r="BY86" i="30"/>
  <c r="BZ86" i="30"/>
  <c r="CA86" i="30"/>
  <c r="CB86" i="30"/>
  <c r="CC86" i="30"/>
  <c r="CE86" i="30"/>
  <c r="CG86" i="30"/>
  <c r="CH86" i="30"/>
  <c r="A87" i="30"/>
  <c r="O87" i="30"/>
  <c r="P87" i="30"/>
  <c r="S87" i="30"/>
  <c r="AG87" i="30"/>
  <c r="AH87" i="30"/>
  <c r="AK87" i="30"/>
  <c r="AY87" i="30"/>
  <c r="AZ87" i="30"/>
  <c r="BB87" i="30"/>
  <c r="BP87" i="30"/>
  <c r="BQ87" i="30"/>
  <c r="BS87" i="30"/>
  <c r="BT87" i="30"/>
  <c r="BU87" i="30"/>
  <c r="BV87" i="30"/>
  <c r="BW87" i="30"/>
  <c r="BX87" i="30"/>
  <c r="BY87" i="30"/>
  <c r="BZ87" i="30"/>
  <c r="CA87" i="30"/>
  <c r="CB87" i="30"/>
  <c r="CC87" i="30"/>
  <c r="CE87" i="30"/>
  <c r="CG87" i="30"/>
  <c r="CH87" i="30"/>
  <c r="A88" i="30"/>
  <c r="O88" i="30"/>
  <c r="P88" i="30"/>
  <c r="S88" i="30"/>
  <c r="AG88" i="30"/>
  <c r="AH88" i="30"/>
  <c r="AK88" i="30"/>
  <c r="AY88" i="30"/>
  <c r="AZ88" i="30"/>
  <c r="BB88" i="30"/>
  <c r="BP88" i="30"/>
  <c r="BQ88" i="30"/>
  <c r="BS88" i="30"/>
  <c r="BT88" i="30"/>
  <c r="BU88" i="30"/>
  <c r="BV88" i="30"/>
  <c r="BW88" i="30"/>
  <c r="BX88" i="30"/>
  <c r="BY88" i="30"/>
  <c r="BZ88" i="30"/>
  <c r="CA88" i="30"/>
  <c r="CB88" i="30"/>
  <c r="CC88" i="30"/>
  <c r="CE88" i="30"/>
  <c r="CG88" i="30"/>
  <c r="CH88" i="30"/>
  <c r="A89" i="30"/>
  <c r="O89" i="30"/>
  <c r="P89" i="30"/>
  <c r="S89" i="30"/>
  <c r="AG89" i="30"/>
  <c r="AH89" i="30"/>
  <c r="AK89" i="30"/>
  <c r="AY89" i="30"/>
  <c r="AZ89" i="30"/>
  <c r="BB89" i="30"/>
  <c r="BP89" i="30"/>
  <c r="BQ89" i="30"/>
  <c r="BS89" i="30"/>
  <c r="BT89" i="30"/>
  <c r="BU89" i="30"/>
  <c r="BV89" i="30"/>
  <c r="BW89" i="30"/>
  <c r="BX89" i="30"/>
  <c r="BY89" i="30"/>
  <c r="BZ89" i="30"/>
  <c r="CA89" i="30"/>
  <c r="CB89" i="30"/>
  <c r="CC89" i="30"/>
  <c r="CE89" i="30"/>
  <c r="CG89" i="30"/>
  <c r="CH89" i="30"/>
  <c r="A90" i="30"/>
  <c r="O90" i="30"/>
  <c r="P90" i="30"/>
  <c r="S90" i="30"/>
  <c r="AG90" i="30"/>
  <c r="AH90" i="30"/>
  <c r="AK90" i="30"/>
  <c r="AY90" i="30"/>
  <c r="AZ90" i="30"/>
  <c r="BB90" i="30"/>
  <c r="BP90" i="30"/>
  <c r="BQ90" i="30"/>
  <c r="BS90" i="30"/>
  <c r="BT90" i="30"/>
  <c r="BU90" i="30"/>
  <c r="BV90" i="30"/>
  <c r="BW90" i="30"/>
  <c r="BX90" i="30"/>
  <c r="BY90" i="30"/>
  <c r="BZ90" i="30"/>
  <c r="CA90" i="30"/>
  <c r="CB90" i="30"/>
  <c r="CC90" i="30"/>
  <c r="CE90" i="30"/>
  <c r="CG90" i="30"/>
  <c r="CH90" i="30"/>
  <c r="A91" i="30"/>
  <c r="O91" i="30"/>
  <c r="P91" i="30"/>
  <c r="S91" i="30"/>
  <c r="AG91" i="30"/>
  <c r="AH91" i="30"/>
  <c r="AK91" i="30"/>
  <c r="AY91" i="30"/>
  <c r="AZ91" i="30"/>
  <c r="BB91" i="30"/>
  <c r="BP91" i="30"/>
  <c r="BQ91" i="30"/>
  <c r="BS91" i="30"/>
  <c r="BT91" i="30"/>
  <c r="BU91" i="30"/>
  <c r="BV91" i="30"/>
  <c r="BW91" i="30"/>
  <c r="BX91" i="30"/>
  <c r="BY91" i="30"/>
  <c r="BZ91" i="30"/>
  <c r="CA91" i="30"/>
  <c r="CB91" i="30"/>
  <c r="CC91" i="30"/>
  <c r="CE91" i="30"/>
  <c r="CG91" i="30"/>
  <c r="CH91" i="30"/>
  <c r="A92" i="30"/>
  <c r="O92" i="30"/>
  <c r="P92" i="30"/>
  <c r="S92" i="30"/>
  <c r="AG92" i="30"/>
  <c r="AH92" i="30"/>
  <c r="AK92" i="30"/>
  <c r="AY92" i="30"/>
  <c r="AZ92" i="30"/>
  <c r="BB92" i="30"/>
  <c r="BP92" i="30"/>
  <c r="BQ92" i="30"/>
  <c r="BS92" i="30"/>
  <c r="BT92" i="30"/>
  <c r="BU92" i="30"/>
  <c r="BV92" i="30"/>
  <c r="BW92" i="30"/>
  <c r="BX92" i="30"/>
  <c r="BY92" i="30"/>
  <c r="BZ92" i="30"/>
  <c r="CA92" i="30"/>
  <c r="CB92" i="30"/>
  <c r="CC92" i="30"/>
  <c r="CE92" i="30"/>
  <c r="CG92" i="30"/>
  <c r="CH92" i="30"/>
  <c r="A93" i="30"/>
  <c r="O93" i="30"/>
  <c r="P93" i="30"/>
  <c r="S93" i="30"/>
  <c r="AG93" i="30"/>
  <c r="AH93" i="30"/>
  <c r="AK93" i="30"/>
  <c r="AY93" i="30"/>
  <c r="AZ93" i="30"/>
  <c r="BB93" i="30"/>
  <c r="BP93" i="30"/>
  <c r="BQ93" i="30"/>
  <c r="BS93" i="30"/>
  <c r="BT93" i="30"/>
  <c r="BU93" i="30"/>
  <c r="BV93" i="30"/>
  <c r="BW93" i="30"/>
  <c r="BX93" i="30"/>
  <c r="BY93" i="30"/>
  <c r="BZ93" i="30"/>
  <c r="CA93" i="30"/>
  <c r="CB93" i="30"/>
  <c r="CC93" i="30"/>
  <c r="CE93" i="30"/>
  <c r="CG93" i="30"/>
  <c r="CH93" i="30"/>
  <c r="A94" i="30"/>
  <c r="O94" i="30"/>
  <c r="P94" i="30"/>
  <c r="S94" i="30"/>
  <c r="AG94" i="30"/>
  <c r="AH94" i="30"/>
  <c r="AK94" i="30"/>
  <c r="AY94" i="30"/>
  <c r="AZ94" i="30"/>
  <c r="BB94" i="30"/>
  <c r="BP94" i="30"/>
  <c r="BQ94" i="30"/>
  <c r="BS94" i="30"/>
  <c r="BT94" i="30"/>
  <c r="BU94" i="30"/>
  <c r="BV94" i="30"/>
  <c r="BW94" i="30"/>
  <c r="BX94" i="30"/>
  <c r="BY94" i="30"/>
  <c r="BZ94" i="30"/>
  <c r="CA94" i="30"/>
  <c r="CB94" i="30"/>
  <c r="CC94" i="30"/>
  <c r="CE94" i="30"/>
  <c r="CG94" i="30"/>
  <c r="CH94" i="30"/>
  <c r="A95" i="30"/>
  <c r="O95" i="30"/>
  <c r="P95" i="30"/>
  <c r="S95" i="30"/>
  <c r="AG95" i="30"/>
  <c r="AH95" i="30"/>
  <c r="AK95" i="30"/>
  <c r="AY95" i="30"/>
  <c r="AZ95" i="30"/>
  <c r="BB95" i="30"/>
  <c r="BP95" i="30"/>
  <c r="BQ95" i="30"/>
  <c r="BS95" i="30"/>
  <c r="BT95" i="30"/>
  <c r="BU95" i="30"/>
  <c r="BV95" i="30"/>
  <c r="BW95" i="30"/>
  <c r="BX95" i="30"/>
  <c r="BY95" i="30"/>
  <c r="BZ95" i="30"/>
  <c r="CA95" i="30"/>
  <c r="CB95" i="30"/>
  <c r="CC95" i="30"/>
  <c r="CE95" i="30"/>
  <c r="CG95" i="30"/>
  <c r="CH95" i="30"/>
  <c r="A96" i="30"/>
  <c r="O96" i="30"/>
  <c r="P96" i="30"/>
  <c r="S96" i="30"/>
  <c r="AG96" i="30"/>
  <c r="AH96" i="30"/>
  <c r="AK96" i="30"/>
  <c r="AY96" i="30"/>
  <c r="AZ96" i="30"/>
  <c r="BB96" i="30"/>
  <c r="BP96" i="30"/>
  <c r="BQ96" i="30"/>
  <c r="BS96" i="30"/>
  <c r="BT96" i="30"/>
  <c r="BU96" i="30"/>
  <c r="BV96" i="30"/>
  <c r="BW96" i="30"/>
  <c r="BX96" i="30"/>
  <c r="BY96" i="30"/>
  <c r="BZ96" i="30"/>
  <c r="CA96" i="30"/>
  <c r="CB96" i="30"/>
  <c r="CC96" i="30"/>
  <c r="CE96" i="30"/>
  <c r="CG96" i="30"/>
  <c r="CH96" i="30"/>
  <c r="A97" i="30"/>
  <c r="O97" i="30"/>
  <c r="P97" i="30"/>
  <c r="S97" i="30"/>
  <c r="AG97" i="30"/>
  <c r="AH97" i="30"/>
  <c r="AK97" i="30"/>
  <c r="AY97" i="30"/>
  <c r="AZ97" i="30"/>
  <c r="BB97" i="30"/>
  <c r="BP97" i="30"/>
  <c r="BQ97" i="30"/>
  <c r="BS97" i="30"/>
  <c r="BT97" i="30"/>
  <c r="BU97" i="30"/>
  <c r="BV97" i="30"/>
  <c r="BW97" i="30"/>
  <c r="BX97" i="30"/>
  <c r="BY97" i="30"/>
  <c r="BZ97" i="30"/>
  <c r="CA97" i="30"/>
  <c r="CB97" i="30"/>
  <c r="CC97" i="30"/>
  <c r="CE97" i="30"/>
  <c r="CG97" i="30"/>
  <c r="CH97" i="30"/>
  <c r="A98" i="30"/>
  <c r="O98" i="30"/>
  <c r="P98" i="30"/>
  <c r="S98" i="30"/>
  <c r="AG98" i="30"/>
  <c r="AH98" i="30"/>
  <c r="AK98" i="30"/>
  <c r="AY98" i="30"/>
  <c r="AZ98" i="30"/>
  <c r="BB98" i="30"/>
  <c r="BP98" i="30"/>
  <c r="BQ98" i="30"/>
  <c r="BS98" i="30"/>
  <c r="BT98" i="30"/>
  <c r="BU98" i="30"/>
  <c r="BV98" i="30"/>
  <c r="BW98" i="30"/>
  <c r="BX98" i="30"/>
  <c r="BY98" i="30"/>
  <c r="BZ98" i="30"/>
  <c r="CA98" i="30"/>
  <c r="CB98" i="30"/>
  <c r="CC98" i="30"/>
  <c r="CE98" i="30"/>
  <c r="CG98" i="30"/>
  <c r="CH98" i="30"/>
  <c r="A99" i="30"/>
  <c r="O99" i="30"/>
  <c r="P99" i="30"/>
  <c r="S99" i="30"/>
  <c r="AG99" i="30"/>
  <c r="AH99" i="30"/>
  <c r="AK99" i="30"/>
  <c r="AY99" i="30"/>
  <c r="AZ99" i="30"/>
  <c r="BB99" i="30"/>
  <c r="BP99" i="30"/>
  <c r="BQ99" i="30"/>
  <c r="BS99" i="30"/>
  <c r="BT99" i="30"/>
  <c r="BU99" i="30"/>
  <c r="BV99" i="30"/>
  <c r="BW99" i="30"/>
  <c r="BX99" i="30"/>
  <c r="BY99" i="30"/>
  <c r="BZ99" i="30"/>
  <c r="CA99" i="30"/>
  <c r="CB99" i="30"/>
  <c r="CC99" i="30"/>
  <c r="CE99" i="30"/>
  <c r="CG99" i="30"/>
  <c r="CH99" i="30"/>
  <c r="A100" i="30"/>
  <c r="O100" i="30"/>
  <c r="P100" i="30"/>
  <c r="S100" i="30"/>
  <c r="AG100" i="30"/>
  <c r="AH100" i="30"/>
  <c r="AK100" i="30"/>
  <c r="AY100" i="30"/>
  <c r="AZ100" i="30"/>
  <c r="BB100" i="30"/>
  <c r="BP100" i="30"/>
  <c r="BQ100" i="30"/>
  <c r="BS100" i="30"/>
  <c r="BT100" i="30"/>
  <c r="BU100" i="30"/>
  <c r="BV100" i="30"/>
  <c r="BW100" i="30"/>
  <c r="BX100" i="30"/>
  <c r="BY100" i="30"/>
  <c r="BZ100" i="30"/>
  <c r="CA100" i="30"/>
  <c r="CB100" i="30"/>
  <c r="CC100" i="30"/>
  <c r="CE100" i="30"/>
  <c r="CG100" i="30"/>
  <c r="CH100" i="30"/>
  <c r="A101" i="30"/>
  <c r="O101" i="30"/>
  <c r="P101" i="30"/>
  <c r="S101" i="30"/>
  <c r="AG101" i="30"/>
  <c r="AH101" i="30"/>
  <c r="AK101" i="30"/>
  <c r="AY101" i="30"/>
  <c r="AZ101" i="30"/>
  <c r="BB101" i="30"/>
  <c r="BP101" i="30"/>
  <c r="BQ101" i="30"/>
  <c r="BS101" i="30"/>
  <c r="BT101" i="30"/>
  <c r="BU101" i="30"/>
  <c r="BV101" i="30"/>
  <c r="BW101" i="30"/>
  <c r="BX101" i="30"/>
  <c r="BY101" i="30"/>
  <c r="BZ101" i="30"/>
  <c r="CA101" i="30"/>
  <c r="CB101" i="30"/>
  <c r="CC101" i="30"/>
  <c r="CE101" i="30"/>
  <c r="CG101" i="30"/>
  <c r="CH101" i="30"/>
  <c r="A102" i="30"/>
  <c r="O102" i="30"/>
  <c r="P102" i="30"/>
  <c r="S102" i="30"/>
  <c r="AG102" i="30"/>
  <c r="AH102" i="30"/>
  <c r="AK102" i="30"/>
  <c r="AY102" i="30"/>
  <c r="AZ102" i="30"/>
  <c r="BB102" i="30"/>
  <c r="BP102" i="30"/>
  <c r="BQ102" i="30"/>
  <c r="BS102" i="30"/>
  <c r="BT102" i="30"/>
  <c r="BU102" i="30"/>
  <c r="BV102" i="30"/>
  <c r="BW102" i="30"/>
  <c r="BX102" i="30"/>
  <c r="BY102" i="30"/>
  <c r="BZ102" i="30"/>
  <c r="CA102" i="30"/>
  <c r="CB102" i="30"/>
  <c r="CC102" i="30"/>
  <c r="CE102" i="30"/>
  <c r="CG102" i="30"/>
  <c r="CH102" i="30"/>
  <c r="A103" i="30"/>
  <c r="O103" i="30"/>
  <c r="P103" i="30"/>
  <c r="S103" i="30"/>
  <c r="AG103" i="30"/>
  <c r="AH103" i="30"/>
  <c r="AK103" i="30"/>
  <c r="AY103" i="30"/>
  <c r="AZ103" i="30"/>
  <c r="BB103" i="30"/>
  <c r="BP103" i="30"/>
  <c r="BQ103" i="30"/>
  <c r="BS103" i="30"/>
  <c r="BT103" i="30"/>
  <c r="BU103" i="30"/>
  <c r="BV103" i="30"/>
  <c r="BW103" i="30"/>
  <c r="BX103" i="30"/>
  <c r="BY103" i="30"/>
  <c r="BZ103" i="30"/>
  <c r="CA103" i="30"/>
  <c r="CB103" i="30"/>
  <c r="CC103" i="30"/>
  <c r="CE103" i="30"/>
  <c r="CG103" i="30"/>
  <c r="CH103" i="30"/>
  <c r="A104" i="30"/>
  <c r="O104" i="30"/>
  <c r="P104" i="30"/>
  <c r="S104" i="30"/>
  <c r="AG104" i="30"/>
  <c r="AH104" i="30"/>
  <c r="AK104" i="30"/>
  <c r="AY104" i="30"/>
  <c r="AZ104" i="30"/>
  <c r="BB104" i="30"/>
  <c r="BP104" i="30"/>
  <c r="BQ104" i="30"/>
  <c r="BS104" i="30"/>
  <c r="BT104" i="30"/>
  <c r="BU104" i="30"/>
  <c r="BV104" i="30"/>
  <c r="BW104" i="30"/>
  <c r="BX104" i="30"/>
  <c r="BY104" i="30"/>
  <c r="BZ104" i="30"/>
  <c r="CA104" i="30"/>
  <c r="CB104" i="30"/>
  <c r="CC104" i="30"/>
  <c r="CE104" i="30"/>
  <c r="CG104" i="30"/>
  <c r="CH104" i="30"/>
  <c r="A105" i="30"/>
  <c r="O105" i="30"/>
  <c r="P105" i="30"/>
  <c r="S105" i="30"/>
  <c r="AG105" i="30"/>
  <c r="AH105" i="30"/>
  <c r="AK105" i="30"/>
  <c r="AY105" i="30"/>
  <c r="AZ105" i="30"/>
  <c r="BB105" i="30"/>
  <c r="BP105" i="30"/>
  <c r="BQ105" i="30"/>
  <c r="BS105" i="30"/>
  <c r="BT105" i="30"/>
  <c r="BU105" i="30"/>
  <c r="BV105" i="30"/>
  <c r="BW105" i="30"/>
  <c r="BX105" i="30"/>
  <c r="BY105" i="30"/>
  <c r="BZ105" i="30"/>
  <c r="CA105" i="30"/>
  <c r="CB105" i="30"/>
  <c r="CC105" i="30"/>
  <c r="CE105" i="30"/>
  <c r="CG105" i="30"/>
  <c r="CH105" i="30"/>
  <c r="A106" i="30"/>
  <c r="O106" i="30"/>
  <c r="P106" i="30"/>
  <c r="S106" i="30"/>
  <c r="AG106" i="30"/>
  <c r="AH106" i="30"/>
  <c r="AK106" i="30"/>
  <c r="AY106" i="30"/>
  <c r="AZ106" i="30"/>
  <c r="BB106" i="30"/>
  <c r="BP106" i="30"/>
  <c r="BQ106" i="30"/>
  <c r="BS106" i="30"/>
  <c r="BT106" i="30"/>
  <c r="BU106" i="30"/>
  <c r="BV106" i="30"/>
  <c r="BW106" i="30"/>
  <c r="BX106" i="30"/>
  <c r="BY106" i="30"/>
  <c r="BZ106" i="30"/>
  <c r="CA106" i="30"/>
  <c r="CB106" i="30"/>
  <c r="CC106" i="30"/>
  <c r="CE106" i="30"/>
  <c r="CG106" i="30"/>
  <c r="CH106" i="30"/>
  <c r="A107" i="30"/>
  <c r="O107" i="30"/>
  <c r="P107" i="30"/>
  <c r="S107" i="30"/>
  <c r="AG107" i="30"/>
  <c r="AH107" i="30"/>
  <c r="AK107" i="30"/>
  <c r="AY107" i="30"/>
  <c r="AZ107" i="30"/>
  <c r="BB107" i="30"/>
  <c r="BP107" i="30"/>
  <c r="BQ107" i="30"/>
  <c r="BS107" i="30"/>
  <c r="BT107" i="30"/>
  <c r="BU107" i="30"/>
  <c r="BV107" i="30"/>
  <c r="BW107" i="30"/>
  <c r="BX107" i="30"/>
  <c r="BY107" i="30"/>
  <c r="BZ107" i="30"/>
  <c r="CA107" i="30"/>
  <c r="CB107" i="30"/>
  <c r="CC107" i="30"/>
  <c r="CE107" i="30"/>
  <c r="CG107" i="30"/>
  <c r="CH107" i="30"/>
  <c r="A108" i="30"/>
  <c r="O108" i="30"/>
  <c r="P108" i="30"/>
  <c r="S108" i="30"/>
  <c r="AG108" i="30"/>
  <c r="AH108" i="30"/>
  <c r="AK108" i="30"/>
  <c r="AY108" i="30"/>
  <c r="AZ108" i="30"/>
  <c r="BB108" i="30"/>
  <c r="BP108" i="30"/>
  <c r="BQ108" i="30"/>
  <c r="BS108" i="30"/>
  <c r="BT108" i="30"/>
  <c r="BU108" i="30"/>
  <c r="BV108" i="30"/>
  <c r="BW108" i="30"/>
  <c r="BX108" i="30"/>
  <c r="BY108" i="30"/>
  <c r="BZ108" i="30"/>
  <c r="CA108" i="30"/>
  <c r="CB108" i="30"/>
  <c r="CC108" i="30"/>
  <c r="CE108" i="30"/>
  <c r="CG108" i="30"/>
  <c r="CH108" i="30"/>
  <c r="A109" i="30"/>
  <c r="O109" i="30"/>
  <c r="P109" i="30"/>
  <c r="S109" i="30"/>
  <c r="AG109" i="30"/>
  <c r="AH109" i="30"/>
  <c r="AK109" i="30"/>
  <c r="AY109" i="30"/>
  <c r="AZ109" i="30"/>
  <c r="BB109" i="30"/>
  <c r="BP109" i="30"/>
  <c r="BQ109" i="30"/>
  <c r="BS109" i="30"/>
  <c r="BT109" i="30"/>
  <c r="BU109" i="30"/>
  <c r="BV109" i="30"/>
  <c r="BW109" i="30"/>
  <c r="BX109" i="30"/>
  <c r="BY109" i="30"/>
  <c r="BZ109" i="30"/>
  <c r="CA109" i="30"/>
  <c r="CB109" i="30"/>
  <c r="CC109" i="30"/>
  <c r="CE109" i="30"/>
  <c r="CG109" i="30"/>
  <c r="CH109" i="30"/>
  <c r="A110" i="30"/>
  <c r="O110" i="30"/>
  <c r="P110" i="30"/>
  <c r="S110" i="30"/>
  <c r="AG110" i="30"/>
  <c r="AH110" i="30"/>
  <c r="AK110" i="30"/>
  <c r="AY110" i="30"/>
  <c r="AZ110" i="30"/>
  <c r="BB110" i="30"/>
  <c r="BP110" i="30"/>
  <c r="BQ110" i="30"/>
  <c r="BS110" i="30"/>
  <c r="BT110" i="30"/>
  <c r="BU110" i="30"/>
  <c r="BV110" i="30"/>
  <c r="BW110" i="30"/>
  <c r="BX110" i="30"/>
  <c r="BY110" i="30"/>
  <c r="BZ110" i="30"/>
  <c r="CA110" i="30"/>
  <c r="CB110" i="30"/>
  <c r="CC110" i="30"/>
  <c r="CE110" i="30"/>
  <c r="CG110" i="30"/>
  <c r="CH110" i="30"/>
  <c r="A111" i="30"/>
  <c r="O111" i="30"/>
  <c r="P111" i="30"/>
  <c r="S111" i="30"/>
  <c r="AG111" i="30"/>
  <c r="AH111" i="30"/>
  <c r="AK111" i="30"/>
  <c r="AY111" i="30"/>
  <c r="AZ111" i="30"/>
  <c r="BB111" i="30"/>
  <c r="BP111" i="30"/>
  <c r="BQ111" i="30"/>
  <c r="BS111" i="30"/>
  <c r="BT111" i="30"/>
  <c r="BU111" i="30"/>
  <c r="BV111" i="30"/>
  <c r="BW111" i="30"/>
  <c r="BX111" i="30"/>
  <c r="BY111" i="30"/>
  <c r="BZ111" i="30"/>
  <c r="CA111" i="30"/>
  <c r="CB111" i="30"/>
  <c r="CC111" i="30"/>
  <c r="CE111" i="30"/>
  <c r="CG111" i="30"/>
  <c r="CH111" i="30"/>
  <c r="A112" i="30"/>
  <c r="O112" i="30"/>
  <c r="P112" i="30"/>
  <c r="S112" i="30"/>
  <c r="AG112" i="30"/>
  <c r="AH112" i="30"/>
  <c r="AK112" i="30"/>
  <c r="AY112" i="30"/>
  <c r="AZ112" i="30"/>
  <c r="BB112" i="30"/>
  <c r="BP112" i="30"/>
  <c r="BQ112" i="30"/>
  <c r="BS112" i="30"/>
  <c r="BT112" i="30"/>
  <c r="BU112" i="30"/>
  <c r="BV112" i="30"/>
  <c r="BW112" i="30"/>
  <c r="BX112" i="30"/>
  <c r="BY112" i="30"/>
  <c r="BZ112" i="30"/>
  <c r="CA112" i="30"/>
  <c r="CB112" i="30"/>
  <c r="CC112" i="30"/>
  <c r="CE112" i="30"/>
  <c r="CG112" i="30"/>
  <c r="CH112" i="30"/>
  <c r="A113" i="30"/>
  <c r="O113" i="30"/>
  <c r="P113" i="30"/>
  <c r="S113" i="30"/>
  <c r="AG113" i="30"/>
  <c r="AH113" i="30"/>
  <c r="AK113" i="30"/>
  <c r="AY113" i="30"/>
  <c r="AZ113" i="30"/>
  <c r="BB113" i="30"/>
  <c r="BP113" i="30"/>
  <c r="BQ113" i="30"/>
  <c r="BS113" i="30"/>
  <c r="BT113" i="30"/>
  <c r="BU113" i="30"/>
  <c r="BV113" i="30"/>
  <c r="BW113" i="30"/>
  <c r="BX113" i="30"/>
  <c r="BY113" i="30"/>
  <c r="BZ113" i="30"/>
  <c r="CA113" i="30"/>
  <c r="CB113" i="30"/>
  <c r="CC113" i="30"/>
  <c r="CE113" i="30"/>
  <c r="CG113" i="30"/>
  <c r="CH113" i="30"/>
  <c r="A114" i="30"/>
  <c r="O114" i="30"/>
  <c r="P114" i="30"/>
  <c r="S114" i="30"/>
  <c r="AG114" i="30"/>
  <c r="AH114" i="30"/>
  <c r="AK114" i="30"/>
  <c r="AY114" i="30"/>
  <c r="AZ114" i="30"/>
  <c r="BB114" i="30"/>
  <c r="BP114" i="30"/>
  <c r="BQ114" i="30"/>
  <c r="BS114" i="30"/>
  <c r="BT114" i="30"/>
  <c r="BU114" i="30"/>
  <c r="BV114" i="30"/>
  <c r="BW114" i="30"/>
  <c r="BX114" i="30"/>
  <c r="BY114" i="30"/>
  <c r="BZ114" i="30"/>
  <c r="CA114" i="30"/>
  <c r="CB114" i="30"/>
  <c r="CC114" i="30"/>
  <c r="CE114" i="30"/>
  <c r="CG114" i="30"/>
  <c r="CH114" i="30"/>
  <c r="A115" i="30"/>
  <c r="O115" i="30"/>
  <c r="P115" i="30"/>
  <c r="S115" i="30"/>
  <c r="AG115" i="30"/>
  <c r="AH115" i="30"/>
  <c r="AK115" i="30"/>
  <c r="AY115" i="30"/>
  <c r="AZ115" i="30"/>
  <c r="BB115" i="30"/>
  <c r="BP115" i="30"/>
  <c r="BQ115" i="30"/>
  <c r="BS115" i="30"/>
  <c r="BT115" i="30"/>
  <c r="BU115" i="30"/>
  <c r="BV115" i="30"/>
  <c r="BW115" i="30"/>
  <c r="BX115" i="30"/>
  <c r="BY115" i="30"/>
  <c r="BZ115" i="30"/>
  <c r="CA115" i="30"/>
  <c r="CB115" i="30"/>
  <c r="CC115" i="30"/>
  <c r="CE115" i="30"/>
  <c r="CG115" i="30"/>
  <c r="CH115" i="30"/>
  <c r="A116" i="30"/>
  <c r="O116" i="30"/>
  <c r="P116" i="30"/>
  <c r="S116" i="30"/>
  <c r="AG116" i="30"/>
  <c r="AH116" i="30"/>
  <c r="AK116" i="30"/>
  <c r="AY116" i="30"/>
  <c r="AZ116" i="30"/>
  <c r="BB116" i="30"/>
  <c r="BP116" i="30"/>
  <c r="BQ116" i="30"/>
  <c r="BS116" i="30"/>
  <c r="BT116" i="30"/>
  <c r="BU116" i="30"/>
  <c r="BV116" i="30"/>
  <c r="BW116" i="30"/>
  <c r="BX116" i="30"/>
  <c r="BY116" i="30"/>
  <c r="BZ116" i="30"/>
  <c r="CA116" i="30"/>
  <c r="CB116" i="30"/>
  <c r="CC116" i="30"/>
  <c r="CE116" i="30"/>
  <c r="CG116" i="30"/>
  <c r="CH116" i="30"/>
  <c r="A117" i="30"/>
  <c r="O117" i="30"/>
  <c r="P117" i="30"/>
  <c r="S117" i="30"/>
  <c r="AG117" i="30"/>
  <c r="AH117" i="30"/>
  <c r="AK117" i="30"/>
  <c r="AY117" i="30"/>
  <c r="AZ117" i="30"/>
  <c r="BB117" i="30"/>
  <c r="BP117" i="30"/>
  <c r="BQ117" i="30"/>
  <c r="BS117" i="30"/>
  <c r="BT117" i="30"/>
  <c r="BU117" i="30"/>
  <c r="BV117" i="30"/>
  <c r="BW117" i="30"/>
  <c r="BX117" i="30"/>
  <c r="BY117" i="30"/>
  <c r="BZ117" i="30"/>
  <c r="CA117" i="30"/>
  <c r="CB117" i="30"/>
  <c r="CC117" i="30"/>
  <c r="CE117" i="30"/>
  <c r="CG117" i="30"/>
  <c r="CH117" i="30"/>
  <c r="A118" i="30"/>
  <c r="O118" i="30"/>
  <c r="P118" i="30"/>
  <c r="S118" i="30"/>
  <c r="AG118" i="30"/>
  <c r="AH118" i="30"/>
  <c r="AK118" i="30"/>
  <c r="AY118" i="30"/>
  <c r="AZ118" i="30"/>
  <c r="BB118" i="30"/>
  <c r="BP118" i="30"/>
  <c r="BQ118" i="30"/>
  <c r="BS118" i="30"/>
  <c r="BT118" i="30"/>
  <c r="BU118" i="30"/>
  <c r="BV118" i="30"/>
  <c r="BW118" i="30"/>
  <c r="BX118" i="30"/>
  <c r="BY118" i="30"/>
  <c r="BZ118" i="30"/>
  <c r="CA118" i="30"/>
  <c r="CB118" i="30"/>
  <c r="CC118" i="30"/>
  <c r="CE118" i="30"/>
  <c r="CG118" i="30"/>
  <c r="CH118" i="30"/>
  <c r="A119" i="30"/>
  <c r="O119" i="30"/>
  <c r="P119" i="30"/>
  <c r="S119" i="30"/>
  <c r="AG119" i="30"/>
  <c r="AH119" i="30"/>
  <c r="AK119" i="30"/>
  <c r="AY119" i="30"/>
  <c r="AZ119" i="30"/>
  <c r="BB119" i="30"/>
  <c r="BP119" i="30"/>
  <c r="BQ119" i="30"/>
  <c r="BS119" i="30"/>
  <c r="BT119" i="30"/>
  <c r="BU119" i="30"/>
  <c r="BV119" i="30"/>
  <c r="BW119" i="30"/>
  <c r="BX119" i="30"/>
  <c r="BY119" i="30"/>
  <c r="BZ119" i="30"/>
  <c r="CA119" i="30"/>
  <c r="CB119" i="30"/>
  <c r="CC119" i="30"/>
  <c r="CE119" i="30"/>
  <c r="CG119" i="30"/>
  <c r="CH119" i="30"/>
  <c r="A120" i="30"/>
  <c r="O120" i="30"/>
  <c r="P120" i="30"/>
  <c r="S120" i="30"/>
  <c r="AG120" i="30"/>
  <c r="AH120" i="30"/>
  <c r="AK120" i="30"/>
  <c r="AY120" i="30"/>
  <c r="AZ120" i="30"/>
  <c r="BB120" i="30"/>
  <c r="BP120" i="30"/>
  <c r="BQ120" i="30"/>
  <c r="BS120" i="30"/>
  <c r="BT120" i="30"/>
  <c r="BU120" i="30"/>
  <c r="BV120" i="30"/>
  <c r="BW120" i="30"/>
  <c r="BX120" i="30"/>
  <c r="BY120" i="30"/>
  <c r="BZ120" i="30"/>
  <c r="CA120" i="30"/>
  <c r="CB120" i="30"/>
  <c r="CC120" i="30"/>
  <c r="CE120" i="30"/>
  <c r="CG120" i="30"/>
  <c r="CH120" i="30"/>
  <c r="A121" i="30"/>
  <c r="O121" i="30"/>
  <c r="P121" i="30"/>
  <c r="S121" i="30"/>
  <c r="AG121" i="30"/>
  <c r="AH121" i="30"/>
  <c r="AK121" i="30"/>
  <c r="AY121" i="30"/>
  <c r="AZ121" i="30"/>
  <c r="BB121" i="30"/>
  <c r="BP121" i="30"/>
  <c r="BQ121" i="30"/>
  <c r="BS121" i="30"/>
  <c r="BT121" i="30"/>
  <c r="BU121" i="30"/>
  <c r="BV121" i="30"/>
  <c r="BW121" i="30"/>
  <c r="BX121" i="30"/>
  <c r="BY121" i="30"/>
  <c r="BZ121" i="30"/>
  <c r="CA121" i="30"/>
  <c r="CB121" i="30"/>
  <c r="CC121" i="30"/>
  <c r="CE121" i="30"/>
  <c r="CG121" i="30"/>
  <c r="CH121" i="30"/>
  <c r="A122" i="30"/>
  <c r="O122" i="30"/>
  <c r="P122" i="30"/>
  <c r="S122" i="30"/>
  <c r="AG122" i="30"/>
  <c r="AH122" i="30"/>
  <c r="AK122" i="30"/>
  <c r="AY122" i="30"/>
  <c r="AZ122" i="30"/>
  <c r="BB122" i="30"/>
  <c r="BP122" i="30"/>
  <c r="BQ122" i="30"/>
  <c r="BS122" i="30"/>
  <c r="BT122" i="30"/>
  <c r="BU122" i="30"/>
  <c r="BV122" i="30"/>
  <c r="BW122" i="30"/>
  <c r="BX122" i="30"/>
  <c r="BY122" i="30"/>
  <c r="BZ122" i="30"/>
  <c r="CA122" i="30"/>
  <c r="CB122" i="30"/>
  <c r="CC122" i="30"/>
  <c r="CE122" i="30"/>
  <c r="CG122" i="30"/>
  <c r="CH122" i="30"/>
  <c r="A123" i="30"/>
  <c r="O123" i="30"/>
  <c r="P123" i="30"/>
  <c r="S123" i="30"/>
  <c r="AG123" i="30"/>
  <c r="AH123" i="30"/>
  <c r="AK123" i="30"/>
  <c r="AY123" i="30"/>
  <c r="AZ123" i="30"/>
  <c r="BB123" i="30"/>
  <c r="BP123" i="30"/>
  <c r="BQ123" i="30"/>
  <c r="BS123" i="30"/>
  <c r="BT123" i="30"/>
  <c r="BU123" i="30"/>
  <c r="BV123" i="30"/>
  <c r="BW123" i="30"/>
  <c r="BX123" i="30"/>
  <c r="BY123" i="30"/>
  <c r="BZ123" i="30"/>
  <c r="CA123" i="30"/>
  <c r="CB123" i="30"/>
  <c r="CC123" i="30"/>
  <c r="CE123" i="30"/>
  <c r="CG123" i="30"/>
  <c r="CH123" i="30"/>
  <c r="A124" i="30"/>
  <c r="O124" i="30"/>
  <c r="P124" i="30"/>
  <c r="S124" i="30"/>
  <c r="AG124" i="30"/>
  <c r="AH124" i="30"/>
  <c r="AK124" i="30"/>
  <c r="AY124" i="30"/>
  <c r="AZ124" i="30"/>
  <c r="BB124" i="30"/>
  <c r="BP124" i="30"/>
  <c r="BQ124" i="30"/>
  <c r="BS124" i="30"/>
  <c r="BT124" i="30"/>
  <c r="BU124" i="30"/>
  <c r="BV124" i="30"/>
  <c r="BW124" i="30"/>
  <c r="BX124" i="30"/>
  <c r="BY124" i="30"/>
  <c r="BZ124" i="30"/>
  <c r="CA124" i="30"/>
  <c r="CB124" i="30"/>
  <c r="CC124" i="30"/>
  <c r="CE124" i="30"/>
  <c r="CG124" i="30"/>
  <c r="CH124" i="30"/>
  <c r="A125" i="30"/>
  <c r="O125" i="30"/>
  <c r="P125" i="30"/>
  <c r="S125" i="30"/>
  <c r="AG125" i="30"/>
  <c r="AH125" i="30"/>
  <c r="AK125" i="30"/>
  <c r="AY125" i="30"/>
  <c r="AZ125" i="30"/>
  <c r="BB125" i="30"/>
  <c r="BP125" i="30"/>
  <c r="BQ125" i="30"/>
  <c r="BS125" i="30"/>
  <c r="BT125" i="30"/>
  <c r="BU125" i="30"/>
  <c r="BV125" i="30"/>
  <c r="BW125" i="30"/>
  <c r="BX125" i="30"/>
  <c r="BY125" i="30"/>
  <c r="BZ125" i="30"/>
  <c r="CA125" i="30"/>
  <c r="CB125" i="30"/>
  <c r="CC125" i="30"/>
  <c r="CE125" i="30"/>
  <c r="CG125" i="30"/>
  <c r="CH125" i="30"/>
  <c r="A126" i="30"/>
  <c r="O126" i="30"/>
  <c r="P126" i="30"/>
  <c r="S126" i="30"/>
  <c r="AG126" i="30"/>
  <c r="AH126" i="30"/>
  <c r="AK126" i="30"/>
  <c r="AY126" i="30"/>
  <c r="AZ126" i="30"/>
  <c r="BB126" i="30"/>
  <c r="BP126" i="30"/>
  <c r="BQ126" i="30"/>
  <c r="BS126" i="30"/>
  <c r="BT126" i="30"/>
  <c r="BU126" i="30"/>
  <c r="BV126" i="30"/>
  <c r="BW126" i="30"/>
  <c r="BX126" i="30"/>
  <c r="BY126" i="30"/>
  <c r="BZ126" i="30"/>
  <c r="CA126" i="30"/>
  <c r="CB126" i="30"/>
  <c r="CC126" i="30"/>
  <c r="CE126" i="30"/>
  <c r="CG126" i="30"/>
  <c r="CH126" i="30"/>
  <c r="A127" i="30"/>
  <c r="O127" i="30"/>
  <c r="P127" i="30"/>
  <c r="S127" i="30"/>
  <c r="AG127" i="30"/>
  <c r="AH127" i="30"/>
  <c r="AK127" i="30"/>
  <c r="AY127" i="30"/>
  <c r="AZ127" i="30"/>
  <c r="BB127" i="30"/>
  <c r="BP127" i="30"/>
  <c r="BQ127" i="30"/>
  <c r="BS127" i="30"/>
  <c r="BT127" i="30"/>
  <c r="BU127" i="30"/>
  <c r="BV127" i="30"/>
  <c r="BW127" i="30"/>
  <c r="BX127" i="30"/>
  <c r="BY127" i="30"/>
  <c r="BZ127" i="30"/>
  <c r="CA127" i="30"/>
  <c r="CB127" i="30"/>
  <c r="CC127" i="30"/>
  <c r="CE127" i="30"/>
  <c r="CG127" i="30"/>
  <c r="CH127" i="30"/>
  <c r="A128" i="30"/>
  <c r="O128" i="30"/>
  <c r="P128" i="30"/>
  <c r="S128" i="30"/>
  <c r="AG128" i="30"/>
  <c r="AH128" i="30"/>
  <c r="AK128" i="30"/>
  <c r="AY128" i="30"/>
  <c r="AZ128" i="30"/>
  <c r="BB128" i="30"/>
  <c r="BP128" i="30"/>
  <c r="BQ128" i="30"/>
  <c r="BS128" i="30"/>
  <c r="BT128" i="30"/>
  <c r="BU128" i="30"/>
  <c r="BV128" i="30"/>
  <c r="BW128" i="30"/>
  <c r="BX128" i="30"/>
  <c r="BY128" i="30"/>
  <c r="BZ128" i="30"/>
  <c r="CA128" i="30"/>
  <c r="CB128" i="30"/>
  <c r="CC128" i="30"/>
  <c r="CE128" i="30"/>
  <c r="CG128" i="30"/>
  <c r="CH128" i="30"/>
  <c r="A129" i="30"/>
  <c r="O129" i="30"/>
  <c r="P129" i="30"/>
  <c r="S129" i="30"/>
  <c r="AG129" i="30"/>
  <c r="AH129" i="30"/>
  <c r="AK129" i="30"/>
  <c r="AY129" i="30"/>
  <c r="AZ129" i="30"/>
  <c r="BB129" i="30"/>
  <c r="BP129" i="30"/>
  <c r="BQ129" i="30"/>
  <c r="BS129" i="30"/>
  <c r="BT129" i="30"/>
  <c r="BU129" i="30"/>
  <c r="BV129" i="30"/>
  <c r="BW129" i="30"/>
  <c r="BX129" i="30"/>
  <c r="BY129" i="30"/>
  <c r="BZ129" i="30"/>
  <c r="CA129" i="30"/>
  <c r="CB129" i="30"/>
  <c r="CC129" i="30"/>
  <c r="CE129" i="30"/>
  <c r="CG129" i="30"/>
  <c r="CH129" i="30"/>
  <c r="A130" i="30"/>
  <c r="O130" i="30"/>
  <c r="P130" i="30"/>
  <c r="S130" i="30"/>
  <c r="AG130" i="30"/>
  <c r="AH130" i="30"/>
  <c r="AK130" i="30"/>
  <c r="AY130" i="30"/>
  <c r="AZ130" i="30"/>
  <c r="BB130" i="30"/>
  <c r="BP130" i="30"/>
  <c r="BQ130" i="30"/>
  <c r="BS130" i="30"/>
  <c r="BT130" i="30"/>
  <c r="BU130" i="30"/>
  <c r="BV130" i="30"/>
  <c r="BW130" i="30"/>
  <c r="BX130" i="30"/>
  <c r="BY130" i="30"/>
  <c r="BZ130" i="30"/>
  <c r="CA130" i="30"/>
  <c r="CB130" i="30"/>
  <c r="CC130" i="30"/>
  <c r="CE130" i="30"/>
  <c r="CG130" i="30"/>
  <c r="CH130" i="30"/>
  <c r="A131" i="30"/>
  <c r="O131" i="30"/>
  <c r="P131" i="30"/>
  <c r="S131" i="30"/>
  <c r="AG131" i="30"/>
  <c r="AH131" i="30"/>
  <c r="AK131" i="30"/>
  <c r="AY131" i="30"/>
  <c r="AZ131" i="30"/>
  <c r="BB131" i="30"/>
  <c r="BP131" i="30"/>
  <c r="BQ131" i="30"/>
  <c r="BS131" i="30"/>
  <c r="BT131" i="30"/>
  <c r="BU131" i="30"/>
  <c r="BV131" i="30"/>
  <c r="BW131" i="30"/>
  <c r="BX131" i="30"/>
  <c r="BY131" i="30"/>
  <c r="BZ131" i="30"/>
  <c r="CA131" i="30"/>
  <c r="CB131" i="30"/>
  <c r="CC131" i="30"/>
  <c r="CE131" i="30"/>
  <c r="CG131" i="30"/>
  <c r="CH131" i="30"/>
  <c r="A132" i="30"/>
  <c r="O132" i="30"/>
  <c r="P132" i="30"/>
  <c r="S132" i="30"/>
  <c r="AG132" i="30"/>
  <c r="AH132" i="30"/>
  <c r="AK132" i="30"/>
  <c r="AY132" i="30"/>
  <c r="AZ132" i="30"/>
  <c r="BB132" i="30"/>
  <c r="BP132" i="30"/>
  <c r="BQ132" i="30"/>
  <c r="BS132" i="30"/>
  <c r="BT132" i="30"/>
  <c r="BU132" i="30"/>
  <c r="BV132" i="30"/>
  <c r="BW132" i="30"/>
  <c r="BX132" i="30"/>
  <c r="BY132" i="30"/>
  <c r="BZ132" i="30"/>
  <c r="CA132" i="30"/>
  <c r="CB132" i="30"/>
  <c r="CC132" i="30"/>
  <c r="CE132" i="30"/>
  <c r="CG132" i="30"/>
  <c r="CH132" i="30"/>
  <c r="A133" i="30"/>
  <c r="O133" i="30"/>
  <c r="P133" i="30"/>
  <c r="S133" i="30"/>
  <c r="AG133" i="30"/>
  <c r="AH133" i="30"/>
  <c r="AK133" i="30"/>
  <c r="AY133" i="30"/>
  <c r="AZ133" i="30"/>
  <c r="BB133" i="30"/>
  <c r="BP133" i="30"/>
  <c r="BQ133" i="30"/>
  <c r="BS133" i="30"/>
  <c r="BT133" i="30"/>
  <c r="BU133" i="30"/>
  <c r="BV133" i="30"/>
  <c r="BW133" i="30"/>
  <c r="BX133" i="30"/>
  <c r="BY133" i="30"/>
  <c r="BZ133" i="30"/>
  <c r="CA133" i="30"/>
  <c r="CB133" i="30"/>
  <c r="CC133" i="30"/>
  <c r="CE133" i="30"/>
  <c r="CG133" i="30"/>
  <c r="CH133" i="30"/>
  <c r="A134" i="30"/>
  <c r="O134" i="30"/>
  <c r="P134" i="30"/>
  <c r="S134" i="30"/>
  <c r="AG134" i="30"/>
  <c r="AH134" i="30"/>
  <c r="AK134" i="30"/>
  <c r="AY134" i="30"/>
  <c r="AZ134" i="30"/>
  <c r="BB134" i="30"/>
  <c r="BP134" i="30"/>
  <c r="BQ134" i="30"/>
  <c r="BS134" i="30"/>
  <c r="BT134" i="30"/>
  <c r="BU134" i="30"/>
  <c r="BV134" i="30"/>
  <c r="BW134" i="30"/>
  <c r="BX134" i="30"/>
  <c r="BY134" i="30"/>
  <c r="BZ134" i="30"/>
  <c r="CA134" i="30"/>
  <c r="CB134" i="30"/>
  <c r="CC134" i="30"/>
  <c r="CE134" i="30"/>
  <c r="CG134" i="30"/>
  <c r="CH134" i="30"/>
  <c r="A135" i="30"/>
  <c r="O135" i="30"/>
  <c r="P135" i="30"/>
  <c r="S135" i="30"/>
  <c r="AG135" i="30"/>
  <c r="AH135" i="30"/>
  <c r="AK135" i="30"/>
  <c r="AY135" i="30"/>
  <c r="AZ135" i="30"/>
  <c r="BB135" i="30"/>
  <c r="BP135" i="30"/>
  <c r="BQ135" i="30"/>
  <c r="BS135" i="30"/>
  <c r="BT135" i="30"/>
  <c r="BU135" i="30"/>
  <c r="BV135" i="30"/>
  <c r="BW135" i="30"/>
  <c r="BX135" i="30"/>
  <c r="BY135" i="30"/>
  <c r="BZ135" i="30"/>
  <c r="CA135" i="30"/>
  <c r="CB135" i="30"/>
  <c r="CC135" i="30"/>
  <c r="CE135" i="30"/>
  <c r="CG135" i="30"/>
  <c r="CH135" i="30"/>
  <c r="A136" i="30"/>
  <c r="O136" i="30"/>
  <c r="P136" i="30"/>
  <c r="S136" i="30"/>
  <c r="AG136" i="30"/>
  <c r="AH136" i="30"/>
  <c r="AK136" i="30"/>
  <c r="AY136" i="30"/>
  <c r="AZ136" i="30"/>
  <c r="BB136" i="30"/>
  <c r="BP136" i="30"/>
  <c r="BQ136" i="30"/>
  <c r="BS136" i="30"/>
  <c r="BT136" i="30"/>
  <c r="BU136" i="30"/>
  <c r="BV136" i="30"/>
  <c r="BW136" i="30"/>
  <c r="BX136" i="30"/>
  <c r="BY136" i="30"/>
  <c r="BZ136" i="30"/>
  <c r="CA136" i="30"/>
  <c r="CB136" i="30"/>
  <c r="CC136" i="30"/>
  <c r="CE136" i="30"/>
  <c r="CG136" i="30"/>
  <c r="CH136" i="30"/>
  <c r="A137" i="30"/>
  <c r="O137" i="30"/>
  <c r="P137" i="30"/>
  <c r="S137" i="30"/>
  <c r="AG137" i="30"/>
  <c r="AH137" i="30"/>
  <c r="AK137" i="30"/>
  <c r="AY137" i="30"/>
  <c r="AZ137" i="30"/>
  <c r="BB137" i="30"/>
  <c r="BP137" i="30"/>
  <c r="BQ137" i="30"/>
  <c r="BS137" i="30"/>
  <c r="BT137" i="30"/>
  <c r="BU137" i="30"/>
  <c r="BV137" i="30"/>
  <c r="BW137" i="30"/>
  <c r="BX137" i="30"/>
  <c r="BY137" i="30"/>
  <c r="BZ137" i="30"/>
  <c r="CA137" i="30"/>
  <c r="CB137" i="30"/>
  <c r="CC137" i="30"/>
  <c r="CE137" i="30"/>
  <c r="CG137" i="30"/>
  <c r="CH137" i="30"/>
  <c r="A138" i="30"/>
  <c r="O138" i="30"/>
  <c r="P138" i="30"/>
  <c r="S138" i="30"/>
  <c r="AG138" i="30"/>
  <c r="AH138" i="30"/>
  <c r="AK138" i="30"/>
  <c r="AY138" i="30"/>
  <c r="AZ138" i="30"/>
  <c r="BB138" i="30"/>
  <c r="BP138" i="30"/>
  <c r="BQ138" i="30"/>
  <c r="BS138" i="30"/>
  <c r="BT138" i="30"/>
  <c r="BU138" i="30"/>
  <c r="BV138" i="30"/>
  <c r="BW138" i="30"/>
  <c r="BX138" i="30"/>
  <c r="BY138" i="30"/>
  <c r="BZ138" i="30"/>
  <c r="CA138" i="30"/>
  <c r="CB138" i="30"/>
  <c r="CC138" i="30"/>
  <c r="CE138" i="30"/>
  <c r="CG138" i="30"/>
  <c r="CH138" i="30"/>
  <c r="A139" i="30"/>
  <c r="O139" i="30"/>
  <c r="P139" i="30"/>
  <c r="S139" i="30"/>
  <c r="AG139" i="30"/>
  <c r="AH139" i="30"/>
  <c r="AK139" i="30"/>
  <c r="AY139" i="30"/>
  <c r="AZ139" i="30"/>
  <c r="BB139" i="30"/>
  <c r="BP139" i="30"/>
  <c r="BQ139" i="30"/>
  <c r="BS139" i="30"/>
  <c r="BT139" i="30"/>
  <c r="BU139" i="30"/>
  <c r="BV139" i="30"/>
  <c r="BW139" i="30"/>
  <c r="BX139" i="30"/>
  <c r="BY139" i="30"/>
  <c r="BZ139" i="30"/>
  <c r="CA139" i="30"/>
  <c r="CB139" i="30"/>
  <c r="CC139" i="30"/>
  <c r="CE139" i="30"/>
  <c r="CG139" i="30"/>
  <c r="CH139" i="30"/>
  <c r="A140" i="30"/>
  <c r="O140" i="30"/>
  <c r="P140" i="30"/>
  <c r="S140" i="30"/>
  <c r="AG140" i="30"/>
  <c r="AH140" i="30"/>
  <c r="AK140" i="30"/>
  <c r="AY140" i="30"/>
  <c r="AZ140" i="30"/>
  <c r="BB140" i="30"/>
  <c r="BP140" i="30"/>
  <c r="BQ140" i="30"/>
  <c r="BS140" i="30"/>
  <c r="BT140" i="30"/>
  <c r="BU140" i="30"/>
  <c r="BV140" i="30"/>
  <c r="BW140" i="30"/>
  <c r="BX140" i="30"/>
  <c r="BY140" i="30"/>
  <c r="BZ140" i="30"/>
  <c r="CA140" i="30"/>
  <c r="CB140" i="30"/>
  <c r="CC140" i="30"/>
  <c r="CE140" i="30"/>
  <c r="CG140" i="30"/>
  <c r="CH140" i="30"/>
  <c r="A141" i="30"/>
  <c r="O141" i="30"/>
  <c r="P141" i="30"/>
  <c r="S141" i="30"/>
  <c r="AG141" i="30"/>
  <c r="AH141" i="30"/>
  <c r="AK141" i="30"/>
  <c r="AY141" i="30"/>
  <c r="AZ141" i="30"/>
  <c r="BB141" i="30"/>
  <c r="BP141" i="30"/>
  <c r="BQ141" i="30"/>
  <c r="BS141" i="30"/>
  <c r="BT141" i="30"/>
  <c r="BU141" i="30"/>
  <c r="BV141" i="30"/>
  <c r="BW141" i="30"/>
  <c r="BX141" i="30"/>
  <c r="BY141" i="30"/>
  <c r="BZ141" i="30"/>
  <c r="CA141" i="30"/>
  <c r="CB141" i="30"/>
  <c r="CC141" i="30"/>
  <c r="CE141" i="30"/>
  <c r="CG141" i="30"/>
  <c r="CH141" i="30"/>
  <c r="A142" i="30"/>
  <c r="O142" i="30"/>
  <c r="P142" i="30"/>
  <c r="S142" i="30"/>
  <c r="AG142" i="30"/>
  <c r="AH142" i="30"/>
  <c r="AK142" i="30"/>
  <c r="AY142" i="30"/>
  <c r="AZ142" i="30"/>
  <c r="BB142" i="30"/>
  <c r="BP142" i="30"/>
  <c r="BQ142" i="30"/>
  <c r="BS142" i="30"/>
  <c r="BT142" i="30"/>
  <c r="BU142" i="30"/>
  <c r="BV142" i="30"/>
  <c r="BW142" i="30"/>
  <c r="BX142" i="30"/>
  <c r="BY142" i="30"/>
  <c r="BZ142" i="30"/>
  <c r="CA142" i="30"/>
  <c r="CB142" i="30"/>
  <c r="CC142" i="30"/>
  <c r="CE142" i="30"/>
  <c r="CG142" i="30"/>
  <c r="CH142" i="30"/>
  <c r="A143" i="30"/>
  <c r="O143" i="30"/>
  <c r="P143" i="30"/>
  <c r="S143" i="30"/>
  <c r="AG143" i="30"/>
  <c r="AH143" i="30"/>
  <c r="AK143" i="30"/>
  <c r="AY143" i="30"/>
  <c r="AZ143" i="30"/>
  <c r="BB143" i="30"/>
  <c r="BP143" i="30"/>
  <c r="BQ143" i="30"/>
  <c r="BS143" i="30"/>
  <c r="BT143" i="30"/>
  <c r="BU143" i="30"/>
  <c r="BV143" i="30"/>
  <c r="BW143" i="30"/>
  <c r="BX143" i="30"/>
  <c r="BY143" i="30"/>
  <c r="BZ143" i="30"/>
  <c r="CA143" i="30"/>
  <c r="CB143" i="30"/>
  <c r="CC143" i="30"/>
  <c r="CE143" i="30"/>
  <c r="CG143" i="30"/>
  <c r="CH143" i="30"/>
  <c r="A144" i="30"/>
  <c r="O144" i="30"/>
  <c r="P144" i="30"/>
  <c r="S144" i="30"/>
  <c r="AG144" i="30"/>
  <c r="AH144" i="30"/>
  <c r="AK144" i="30"/>
  <c r="AY144" i="30"/>
  <c r="AZ144" i="30"/>
  <c r="BB144" i="30"/>
  <c r="BP144" i="30"/>
  <c r="BQ144" i="30"/>
  <c r="BS144" i="30"/>
  <c r="BT144" i="30"/>
  <c r="BU144" i="30"/>
  <c r="BV144" i="30"/>
  <c r="BW144" i="30"/>
  <c r="BX144" i="30"/>
  <c r="BY144" i="30"/>
  <c r="BZ144" i="30"/>
  <c r="CA144" i="30"/>
  <c r="CB144" i="30"/>
  <c r="CC144" i="30"/>
  <c r="CE144" i="30"/>
  <c r="CG144" i="30"/>
  <c r="CH144" i="30"/>
  <c r="A145" i="30"/>
  <c r="O145" i="30"/>
  <c r="P145" i="30"/>
  <c r="S145" i="30"/>
  <c r="AG145" i="30"/>
  <c r="AH145" i="30"/>
  <c r="AK145" i="30"/>
  <c r="AY145" i="30"/>
  <c r="AZ145" i="30"/>
  <c r="BB145" i="30"/>
  <c r="BP145" i="30"/>
  <c r="BQ145" i="30"/>
  <c r="BS145" i="30"/>
  <c r="BT145" i="30"/>
  <c r="BU145" i="30"/>
  <c r="BV145" i="30"/>
  <c r="BW145" i="30"/>
  <c r="BX145" i="30"/>
  <c r="BY145" i="30"/>
  <c r="BZ145" i="30"/>
  <c r="CA145" i="30"/>
  <c r="CB145" i="30"/>
  <c r="CC145" i="30"/>
  <c r="CE145" i="30"/>
  <c r="CG145" i="30"/>
  <c r="CH145" i="30"/>
  <c r="A146" i="30"/>
  <c r="O146" i="30"/>
  <c r="P146" i="30"/>
  <c r="S146" i="30"/>
  <c r="AG146" i="30"/>
  <c r="AH146" i="30"/>
  <c r="AK146" i="30"/>
  <c r="AY146" i="30"/>
  <c r="AZ146" i="30"/>
  <c r="BB146" i="30"/>
  <c r="BP146" i="30"/>
  <c r="BQ146" i="30"/>
  <c r="BS146" i="30"/>
  <c r="BT146" i="30"/>
  <c r="BU146" i="30"/>
  <c r="BV146" i="30"/>
  <c r="BW146" i="30"/>
  <c r="BX146" i="30"/>
  <c r="BY146" i="30"/>
  <c r="BZ146" i="30"/>
  <c r="CA146" i="30"/>
  <c r="CB146" i="30"/>
  <c r="CC146" i="30"/>
  <c r="CE146" i="30"/>
  <c r="CG146" i="30"/>
  <c r="CH146" i="30"/>
  <c r="A147" i="30"/>
  <c r="O147" i="30"/>
  <c r="P147" i="30"/>
  <c r="S147" i="30"/>
  <c r="AG147" i="30"/>
  <c r="AH147" i="30"/>
  <c r="AK147" i="30"/>
  <c r="AY147" i="30"/>
  <c r="AZ147" i="30"/>
  <c r="BB147" i="30"/>
  <c r="BP147" i="30"/>
  <c r="BQ147" i="30"/>
  <c r="BS147" i="30"/>
  <c r="BT147" i="30"/>
  <c r="BU147" i="30"/>
  <c r="BV147" i="30"/>
  <c r="BW147" i="30"/>
  <c r="BX147" i="30"/>
  <c r="BY147" i="30"/>
  <c r="BZ147" i="30"/>
  <c r="CA147" i="30"/>
  <c r="CB147" i="30"/>
  <c r="CC147" i="30"/>
  <c r="CE147" i="30"/>
  <c r="CG147" i="30"/>
  <c r="CH147" i="30"/>
  <c r="A148" i="30"/>
  <c r="O148" i="30"/>
  <c r="P148" i="30"/>
  <c r="S148" i="30"/>
  <c r="AG148" i="30"/>
  <c r="AH148" i="30"/>
  <c r="AK148" i="30"/>
  <c r="AY148" i="30"/>
  <c r="AZ148" i="30"/>
  <c r="BB148" i="30"/>
  <c r="BP148" i="30"/>
  <c r="BQ148" i="30"/>
  <c r="BS148" i="30"/>
  <c r="BT148" i="30"/>
  <c r="BU148" i="30"/>
  <c r="BV148" i="30"/>
  <c r="BW148" i="30"/>
  <c r="BX148" i="30"/>
  <c r="BY148" i="30"/>
  <c r="BZ148" i="30"/>
  <c r="CA148" i="30"/>
  <c r="CB148" i="30"/>
  <c r="CC148" i="30"/>
  <c r="CE148" i="30"/>
  <c r="CG148" i="30"/>
  <c r="CH148" i="30"/>
  <c r="A149" i="30"/>
  <c r="O149" i="30"/>
  <c r="P149" i="30"/>
  <c r="S149" i="30"/>
  <c r="AG149" i="30"/>
  <c r="AH149" i="30"/>
  <c r="AK149" i="30"/>
  <c r="AY149" i="30"/>
  <c r="AZ149" i="30"/>
  <c r="BB149" i="30"/>
  <c r="BP149" i="30"/>
  <c r="BQ149" i="30"/>
  <c r="BS149" i="30"/>
  <c r="BT149" i="30"/>
  <c r="BU149" i="30"/>
  <c r="BV149" i="30"/>
  <c r="BW149" i="30"/>
  <c r="BX149" i="30"/>
  <c r="BY149" i="30"/>
  <c r="BZ149" i="30"/>
  <c r="CA149" i="30"/>
  <c r="CB149" i="30"/>
  <c r="CC149" i="30"/>
  <c r="CE149" i="30"/>
  <c r="CG149" i="30"/>
  <c r="CH149" i="30"/>
  <c r="A150" i="30"/>
  <c r="O150" i="30"/>
  <c r="P150" i="30"/>
  <c r="S150" i="30"/>
  <c r="AG150" i="30"/>
  <c r="AH150" i="30"/>
  <c r="AK150" i="30"/>
  <c r="AY150" i="30"/>
  <c r="AZ150" i="30"/>
  <c r="BB150" i="30"/>
  <c r="BP150" i="30"/>
  <c r="BQ150" i="30"/>
  <c r="BS150" i="30"/>
  <c r="BT150" i="30"/>
  <c r="BU150" i="30"/>
  <c r="BV150" i="30"/>
  <c r="BW150" i="30"/>
  <c r="BX150" i="30"/>
  <c r="BY150" i="30"/>
  <c r="BZ150" i="30"/>
  <c r="CA150" i="30"/>
  <c r="CB150" i="30"/>
  <c r="CC150" i="30"/>
  <c r="CE150" i="30"/>
  <c r="CG150" i="30"/>
  <c r="CH150" i="30"/>
  <c r="A151" i="30"/>
  <c r="O151" i="30"/>
  <c r="P151" i="30"/>
  <c r="S151" i="30"/>
  <c r="AG151" i="30"/>
  <c r="AH151" i="30"/>
  <c r="AK151" i="30"/>
  <c r="AY151" i="30"/>
  <c r="AZ151" i="30"/>
  <c r="BB151" i="30"/>
  <c r="BP151" i="30"/>
  <c r="BQ151" i="30"/>
  <c r="BS151" i="30"/>
  <c r="BT151" i="30"/>
  <c r="BU151" i="30"/>
  <c r="BV151" i="30"/>
  <c r="BW151" i="30"/>
  <c r="BX151" i="30"/>
  <c r="BY151" i="30"/>
  <c r="BZ151" i="30"/>
  <c r="CA151" i="30"/>
  <c r="CB151" i="30"/>
  <c r="CC151" i="30"/>
  <c r="CE151" i="30"/>
  <c r="CG151" i="30"/>
  <c r="CH151" i="30"/>
  <c r="A152" i="30"/>
  <c r="O152" i="30"/>
  <c r="P152" i="30"/>
  <c r="S152" i="30"/>
  <c r="AG152" i="30"/>
  <c r="AH152" i="30"/>
  <c r="AK152" i="30"/>
  <c r="AY152" i="30"/>
  <c r="AZ152" i="30"/>
  <c r="BB152" i="30"/>
  <c r="BP152" i="30"/>
  <c r="BQ152" i="30"/>
  <c r="BS152" i="30"/>
  <c r="BT152" i="30"/>
  <c r="BU152" i="30"/>
  <c r="BV152" i="30"/>
  <c r="BW152" i="30"/>
  <c r="BX152" i="30"/>
  <c r="BY152" i="30"/>
  <c r="BZ152" i="30"/>
  <c r="CA152" i="30"/>
  <c r="CB152" i="30"/>
  <c r="CC152" i="30"/>
  <c r="CE152" i="30"/>
  <c r="CG152" i="30"/>
  <c r="CH152" i="30"/>
  <c r="A153" i="30"/>
  <c r="O153" i="30"/>
  <c r="P153" i="30"/>
  <c r="S153" i="30"/>
  <c r="AG153" i="30"/>
  <c r="AH153" i="30"/>
  <c r="AK153" i="30"/>
  <c r="AY153" i="30"/>
  <c r="AZ153" i="30"/>
  <c r="BB153" i="30"/>
  <c r="BP153" i="30"/>
  <c r="BQ153" i="30"/>
  <c r="BS153" i="30"/>
  <c r="BT153" i="30"/>
  <c r="BU153" i="30"/>
  <c r="BV153" i="30"/>
  <c r="BW153" i="30"/>
  <c r="BX153" i="30"/>
  <c r="BY153" i="30"/>
  <c r="BZ153" i="30"/>
  <c r="CA153" i="30"/>
  <c r="CB153" i="30"/>
  <c r="CC153" i="30"/>
  <c r="CE153" i="30"/>
  <c r="CG153" i="30"/>
  <c r="CH153" i="30"/>
  <c r="A154" i="30"/>
  <c r="O154" i="30"/>
  <c r="P154" i="30"/>
  <c r="S154" i="30"/>
  <c r="AG154" i="30"/>
  <c r="AH154" i="30"/>
  <c r="AK154" i="30"/>
  <c r="AY154" i="30"/>
  <c r="AZ154" i="30"/>
  <c r="BB154" i="30"/>
  <c r="BP154" i="30"/>
  <c r="BQ154" i="30"/>
  <c r="BS154" i="30"/>
  <c r="BT154" i="30"/>
  <c r="BU154" i="30"/>
  <c r="BV154" i="30"/>
  <c r="BW154" i="30"/>
  <c r="BX154" i="30"/>
  <c r="BY154" i="30"/>
  <c r="BZ154" i="30"/>
  <c r="CA154" i="30"/>
  <c r="CB154" i="30"/>
  <c r="CC154" i="30"/>
  <c r="CE154" i="30"/>
  <c r="CG154" i="30"/>
  <c r="CH154" i="30"/>
  <c r="A155" i="30"/>
  <c r="O155" i="30"/>
  <c r="P155" i="30"/>
  <c r="S155" i="30"/>
  <c r="AG155" i="30"/>
  <c r="AH155" i="30"/>
  <c r="AK155" i="30"/>
  <c r="AY155" i="30"/>
  <c r="AZ155" i="30"/>
  <c r="BB155" i="30"/>
  <c r="BP155" i="30"/>
  <c r="BQ155" i="30"/>
  <c r="BS155" i="30"/>
  <c r="BT155" i="30"/>
  <c r="BU155" i="30"/>
  <c r="BV155" i="30"/>
  <c r="BW155" i="30"/>
  <c r="BX155" i="30"/>
  <c r="BY155" i="30"/>
  <c r="BZ155" i="30"/>
  <c r="CA155" i="30"/>
  <c r="CB155" i="30"/>
  <c r="CC155" i="30"/>
  <c r="CE155" i="30"/>
  <c r="CG155" i="30"/>
  <c r="CH155" i="30"/>
  <c r="A156" i="30"/>
  <c r="O156" i="30"/>
  <c r="P156" i="30"/>
  <c r="S156" i="30"/>
  <c r="AG156" i="30"/>
  <c r="AH156" i="30"/>
  <c r="AK156" i="30"/>
  <c r="AY156" i="30"/>
  <c r="AZ156" i="30"/>
  <c r="BB156" i="30"/>
  <c r="BP156" i="30"/>
  <c r="BQ156" i="30"/>
  <c r="BS156" i="30"/>
  <c r="BT156" i="30"/>
  <c r="BU156" i="30"/>
  <c r="BV156" i="30"/>
  <c r="BW156" i="30"/>
  <c r="BX156" i="30"/>
  <c r="BY156" i="30"/>
  <c r="BZ156" i="30"/>
  <c r="CA156" i="30"/>
  <c r="CB156" i="30"/>
  <c r="CC156" i="30"/>
  <c r="CE156" i="30"/>
  <c r="CG156" i="30"/>
  <c r="CH156" i="30"/>
  <c r="A157" i="30"/>
  <c r="O157" i="30"/>
  <c r="P157" i="30"/>
  <c r="S157" i="30"/>
  <c r="AG157" i="30"/>
  <c r="AH157" i="30"/>
  <c r="AK157" i="30"/>
  <c r="AY157" i="30"/>
  <c r="AZ157" i="30"/>
  <c r="BB157" i="30"/>
  <c r="BP157" i="30"/>
  <c r="BQ157" i="30"/>
  <c r="BS157" i="30"/>
  <c r="BT157" i="30"/>
  <c r="BU157" i="30"/>
  <c r="BV157" i="30"/>
  <c r="BW157" i="30"/>
  <c r="BX157" i="30"/>
  <c r="BY157" i="30"/>
  <c r="BZ157" i="30"/>
  <c r="CA157" i="30"/>
  <c r="CB157" i="30"/>
  <c r="CC157" i="30"/>
  <c r="CE157" i="30"/>
  <c r="CG157" i="30"/>
  <c r="CH157" i="30"/>
  <c r="A158" i="30"/>
  <c r="O158" i="30"/>
  <c r="P158" i="30"/>
  <c r="S158" i="30"/>
  <c r="AG158" i="30"/>
  <c r="AH158" i="30"/>
  <c r="AK158" i="30"/>
  <c r="AY158" i="30"/>
  <c r="AZ158" i="30"/>
  <c r="BB158" i="30"/>
  <c r="BP158" i="30"/>
  <c r="BQ158" i="30"/>
  <c r="BS158" i="30"/>
  <c r="BT158" i="30"/>
  <c r="BU158" i="30"/>
  <c r="BV158" i="30"/>
  <c r="BW158" i="30"/>
  <c r="BX158" i="30"/>
  <c r="BY158" i="30"/>
  <c r="BZ158" i="30"/>
  <c r="CA158" i="30"/>
  <c r="CB158" i="30"/>
  <c r="CC158" i="30"/>
  <c r="CE158" i="30"/>
  <c r="CG158" i="30"/>
  <c r="CH158" i="30"/>
  <c r="A159" i="30"/>
  <c r="O159" i="30"/>
  <c r="P159" i="30"/>
  <c r="S159" i="30"/>
  <c r="AG159" i="30"/>
  <c r="AH159" i="30"/>
  <c r="AK159" i="30"/>
  <c r="AY159" i="30"/>
  <c r="AZ159" i="30"/>
  <c r="BB159" i="30"/>
  <c r="BP159" i="30"/>
  <c r="BQ159" i="30"/>
  <c r="BS159" i="30"/>
  <c r="BT159" i="30"/>
  <c r="BU159" i="30"/>
  <c r="BV159" i="30"/>
  <c r="BW159" i="30"/>
  <c r="BX159" i="30"/>
  <c r="BY159" i="30"/>
  <c r="BZ159" i="30"/>
  <c r="CA159" i="30"/>
  <c r="CB159" i="30"/>
  <c r="CC159" i="30"/>
  <c r="CE159" i="30"/>
  <c r="CG159" i="30"/>
  <c r="CH159" i="30"/>
  <c r="A160" i="30"/>
  <c r="O160" i="30"/>
  <c r="P160" i="30"/>
  <c r="S160" i="30"/>
  <c r="AG160" i="30"/>
  <c r="AH160" i="30"/>
  <c r="AK160" i="30"/>
  <c r="AY160" i="30"/>
  <c r="AZ160" i="30"/>
  <c r="BB160" i="30"/>
  <c r="BP160" i="30"/>
  <c r="BQ160" i="30"/>
  <c r="BS160" i="30"/>
  <c r="BT160" i="30"/>
  <c r="BU160" i="30"/>
  <c r="BV160" i="30"/>
  <c r="BW160" i="30"/>
  <c r="BX160" i="30"/>
  <c r="BY160" i="30"/>
  <c r="BZ160" i="30"/>
  <c r="CA160" i="30"/>
  <c r="CB160" i="30"/>
  <c r="CC160" i="30"/>
  <c r="CE160" i="30"/>
  <c r="CG160" i="30"/>
  <c r="CH160" i="30"/>
  <c r="A161" i="30"/>
  <c r="O161" i="30"/>
  <c r="P161" i="30"/>
  <c r="S161" i="30"/>
  <c r="AG161" i="30"/>
  <c r="AH161" i="30"/>
  <c r="AK161" i="30"/>
  <c r="AY161" i="30"/>
  <c r="AZ161" i="30"/>
  <c r="BB161" i="30"/>
  <c r="BP161" i="30"/>
  <c r="BQ161" i="30"/>
  <c r="BS161" i="30"/>
  <c r="BT161" i="30"/>
  <c r="BU161" i="30"/>
  <c r="BV161" i="30"/>
  <c r="BW161" i="30"/>
  <c r="BX161" i="30"/>
  <c r="BY161" i="30"/>
  <c r="BZ161" i="30"/>
  <c r="CA161" i="30"/>
  <c r="CB161" i="30"/>
  <c r="CC161" i="30"/>
  <c r="CE161" i="30"/>
  <c r="CG161" i="30"/>
  <c r="CH161" i="30"/>
  <c r="A162" i="30"/>
  <c r="O162" i="30"/>
  <c r="P162" i="30"/>
  <c r="S162" i="30"/>
  <c r="AG162" i="30"/>
  <c r="AH162" i="30"/>
  <c r="AK162" i="30"/>
  <c r="AY162" i="30"/>
  <c r="AZ162" i="30"/>
  <c r="BB162" i="30"/>
  <c r="BP162" i="30"/>
  <c r="BQ162" i="30"/>
  <c r="BS162" i="30"/>
  <c r="BT162" i="30"/>
  <c r="BU162" i="30"/>
  <c r="BV162" i="30"/>
  <c r="BW162" i="30"/>
  <c r="BX162" i="30"/>
  <c r="BY162" i="30"/>
  <c r="BZ162" i="30"/>
  <c r="CA162" i="30"/>
  <c r="CB162" i="30"/>
  <c r="CC162" i="30"/>
  <c r="CE162" i="30"/>
  <c r="CG162" i="30"/>
  <c r="CH162" i="30"/>
  <c r="A163" i="30"/>
  <c r="O163" i="30"/>
  <c r="P163" i="30"/>
  <c r="S163" i="30"/>
  <c r="AG163" i="30"/>
  <c r="AH163" i="30"/>
  <c r="AK163" i="30"/>
  <c r="AY163" i="30"/>
  <c r="AZ163" i="30"/>
  <c r="BB163" i="30"/>
  <c r="BP163" i="30"/>
  <c r="BQ163" i="30"/>
  <c r="BS163" i="30"/>
  <c r="BT163" i="30"/>
  <c r="BU163" i="30"/>
  <c r="BV163" i="30"/>
  <c r="BW163" i="30"/>
  <c r="BX163" i="30"/>
  <c r="BY163" i="30"/>
  <c r="BZ163" i="30"/>
  <c r="CA163" i="30"/>
  <c r="CB163" i="30"/>
  <c r="CC163" i="30"/>
  <c r="CE163" i="30"/>
  <c r="CG163" i="30"/>
  <c r="CH163" i="30"/>
  <c r="A164" i="30"/>
  <c r="O164" i="30"/>
  <c r="P164" i="30"/>
  <c r="S164" i="30"/>
  <c r="AG164" i="30"/>
  <c r="AH164" i="30"/>
  <c r="AK164" i="30"/>
  <c r="AY164" i="30"/>
  <c r="AZ164" i="30"/>
  <c r="BB164" i="30"/>
  <c r="BP164" i="30"/>
  <c r="BQ164" i="30"/>
  <c r="BS164" i="30"/>
  <c r="BT164" i="30"/>
  <c r="BU164" i="30"/>
  <c r="BV164" i="30"/>
  <c r="BW164" i="30"/>
  <c r="BX164" i="30"/>
  <c r="BY164" i="30"/>
  <c r="BZ164" i="30"/>
  <c r="CA164" i="30"/>
  <c r="CB164" i="30"/>
  <c r="CC164" i="30"/>
  <c r="CE164" i="30"/>
  <c r="CG164" i="30"/>
  <c r="CH164" i="30"/>
  <c r="A165" i="30"/>
  <c r="O165" i="30"/>
  <c r="P165" i="30"/>
  <c r="S165" i="30"/>
  <c r="AG165" i="30"/>
  <c r="AH165" i="30"/>
  <c r="AK165" i="30"/>
  <c r="AY165" i="30"/>
  <c r="AZ165" i="30"/>
  <c r="BB165" i="30"/>
  <c r="BP165" i="30"/>
  <c r="BQ165" i="30"/>
  <c r="BS165" i="30"/>
  <c r="BT165" i="30"/>
  <c r="BU165" i="30"/>
  <c r="BV165" i="30"/>
  <c r="BW165" i="30"/>
  <c r="BX165" i="30"/>
  <c r="BY165" i="30"/>
  <c r="BZ165" i="30"/>
  <c r="CA165" i="30"/>
  <c r="CB165" i="30"/>
  <c r="CC165" i="30"/>
  <c r="CE165" i="30"/>
  <c r="CG165" i="30"/>
  <c r="CH165" i="30"/>
  <c r="GT1" i="23"/>
  <c r="GX1" i="23"/>
  <c r="HC1" i="23"/>
  <c r="HD1" i="23"/>
  <c r="HE1" i="23"/>
  <c r="B2" i="23"/>
  <c r="F2" i="23"/>
  <c r="K2" i="23"/>
  <c r="L2" i="23"/>
  <c r="M2" i="23"/>
  <c r="N2" i="23"/>
  <c r="O2" i="23"/>
  <c r="U2" i="23"/>
  <c r="AC2" i="23"/>
  <c r="AD2" i="23"/>
  <c r="AH2" i="23"/>
  <c r="B3" i="23"/>
  <c r="F3" i="23"/>
  <c r="K3" i="23"/>
  <c r="L3" i="23"/>
  <c r="M3" i="23"/>
  <c r="N3" i="23"/>
  <c r="O3" i="23"/>
  <c r="U3" i="23"/>
  <c r="AC3" i="23"/>
  <c r="AD3" i="23"/>
  <c r="AH3" i="23"/>
  <c r="B4" i="23"/>
  <c r="F4" i="23"/>
  <c r="K4" i="23"/>
  <c r="L4" i="23"/>
  <c r="M4" i="23"/>
  <c r="N4" i="23"/>
  <c r="O4" i="23"/>
  <c r="U4" i="23"/>
  <c r="AC4" i="23"/>
  <c r="AD4" i="23"/>
  <c r="AH4" i="23"/>
  <c r="B5" i="23"/>
  <c r="F5" i="23"/>
  <c r="K5" i="23"/>
  <c r="L5" i="23"/>
  <c r="M5" i="23"/>
  <c r="N5" i="23"/>
  <c r="O5" i="23"/>
  <c r="U5" i="23"/>
  <c r="AC5" i="23"/>
  <c r="AD5" i="23"/>
  <c r="AH5" i="23"/>
  <c r="B6" i="23"/>
  <c r="F6" i="23"/>
  <c r="K6" i="23"/>
  <c r="L6" i="23"/>
  <c r="M6" i="23"/>
  <c r="N6" i="23"/>
  <c r="O6" i="23"/>
  <c r="U6" i="23"/>
  <c r="AC6" i="23"/>
  <c r="AD6" i="23"/>
  <c r="AH6" i="23"/>
  <c r="B7" i="23"/>
  <c r="F7" i="23"/>
  <c r="K7" i="23"/>
  <c r="L7" i="23"/>
  <c r="M7" i="23"/>
  <c r="N7" i="23"/>
  <c r="O7" i="23"/>
  <c r="U7" i="23"/>
  <c r="AC7" i="23"/>
  <c r="AD7" i="23"/>
  <c r="AH7" i="23"/>
  <c r="B8" i="23"/>
  <c r="F8" i="23"/>
  <c r="K8" i="23"/>
  <c r="L8" i="23"/>
  <c r="M8" i="23"/>
  <c r="N8" i="23"/>
  <c r="O8" i="23"/>
  <c r="U8" i="23"/>
  <c r="AC8" i="23"/>
  <c r="AD8" i="23"/>
  <c r="AH8" i="23"/>
  <c r="B9" i="23"/>
  <c r="F9" i="23"/>
  <c r="K9" i="23"/>
  <c r="L9" i="23"/>
  <c r="M9" i="23"/>
  <c r="N9" i="23"/>
  <c r="O9" i="23"/>
  <c r="U9" i="23"/>
  <c r="AC9" i="23"/>
  <c r="AD9" i="23"/>
  <c r="AH9" i="23"/>
  <c r="B10" i="23"/>
  <c r="F10" i="23"/>
  <c r="K10" i="23"/>
  <c r="L10" i="23"/>
  <c r="M10" i="23"/>
  <c r="N10" i="23"/>
  <c r="O10" i="23"/>
  <c r="U10" i="23"/>
  <c r="AC10" i="23"/>
  <c r="AD10" i="23"/>
  <c r="AH10" i="23"/>
  <c r="B11" i="23"/>
  <c r="F11" i="23"/>
  <c r="K11" i="23"/>
  <c r="L11" i="23"/>
  <c r="M11" i="23"/>
  <c r="N11" i="23"/>
  <c r="O11" i="23"/>
  <c r="U11" i="23"/>
  <c r="AC11" i="23"/>
  <c r="AD11" i="23"/>
  <c r="AH11" i="23"/>
  <c r="B12" i="23"/>
  <c r="F12" i="23"/>
  <c r="K12" i="23"/>
  <c r="L12" i="23"/>
  <c r="M12" i="23"/>
  <c r="N12" i="23"/>
  <c r="O12" i="23"/>
  <c r="U12" i="23"/>
  <c r="AC12" i="23"/>
  <c r="AD12" i="23"/>
  <c r="AH12" i="23"/>
  <c r="B13" i="23"/>
  <c r="F13" i="23"/>
  <c r="K13" i="23"/>
  <c r="L13" i="23"/>
  <c r="M13" i="23"/>
  <c r="N13" i="23"/>
  <c r="O13" i="23"/>
  <c r="U13" i="23"/>
  <c r="AC13" i="23"/>
  <c r="AD13" i="23"/>
  <c r="AH13" i="23"/>
  <c r="B14" i="23"/>
  <c r="F14" i="23"/>
  <c r="K14" i="23"/>
  <c r="L14" i="23"/>
  <c r="M14" i="23"/>
  <c r="N14" i="23"/>
  <c r="O14" i="23"/>
  <c r="U14" i="23"/>
  <c r="AC14" i="23"/>
  <c r="AD14" i="23"/>
  <c r="AH14" i="23"/>
  <c r="B15" i="23"/>
  <c r="F15" i="23"/>
  <c r="K15" i="23"/>
  <c r="L15" i="23"/>
  <c r="M15" i="23"/>
  <c r="N15" i="23"/>
  <c r="O15" i="23"/>
  <c r="U15" i="23"/>
  <c r="AC15" i="23"/>
  <c r="AD15" i="23"/>
  <c r="AH15" i="23"/>
  <c r="B16" i="23"/>
  <c r="F16" i="23"/>
  <c r="K16" i="23"/>
  <c r="L16" i="23"/>
  <c r="M16" i="23"/>
  <c r="N16" i="23"/>
  <c r="O16" i="23"/>
  <c r="U16" i="23"/>
  <c r="AC16" i="23"/>
  <c r="AD16" i="23"/>
  <c r="AH16" i="23"/>
  <c r="B17" i="23"/>
  <c r="F17" i="23"/>
  <c r="K17" i="23"/>
  <c r="L17" i="23"/>
  <c r="M17" i="23"/>
  <c r="N17" i="23"/>
  <c r="O17" i="23"/>
  <c r="U17" i="23"/>
  <c r="AC17" i="23"/>
  <c r="AD17" i="23"/>
  <c r="AH17" i="23"/>
  <c r="B18" i="23"/>
  <c r="F18" i="23"/>
  <c r="K18" i="23"/>
  <c r="L18" i="23"/>
  <c r="M18" i="23"/>
  <c r="N18" i="23"/>
  <c r="O18" i="23"/>
  <c r="U18" i="23"/>
  <c r="AC18" i="23"/>
  <c r="AD18" i="23"/>
  <c r="AH18" i="23"/>
  <c r="B19" i="23"/>
  <c r="F19" i="23"/>
  <c r="K19" i="23"/>
  <c r="L19" i="23"/>
  <c r="M19" i="23"/>
  <c r="N19" i="23"/>
  <c r="O19" i="23"/>
  <c r="U19" i="23"/>
  <c r="AC19" i="23"/>
  <c r="AD19" i="23"/>
  <c r="AH19" i="23"/>
  <c r="B20" i="23"/>
  <c r="F20" i="23"/>
  <c r="K20" i="23"/>
  <c r="L20" i="23"/>
  <c r="M20" i="23"/>
  <c r="N20" i="23"/>
  <c r="O20" i="23"/>
  <c r="U20" i="23"/>
  <c r="AC20" i="23"/>
  <c r="AD20" i="23"/>
  <c r="AH20" i="23"/>
  <c r="B21" i="23"/>
  <c r="F21" i="23"/>
  <c r="K21" i="23"/>
  <c r="L21" i="23"/>
  <c r="M21" i="23"/>
  <c r="N21" i="23"/>
  <c r="O21" i="23"/>
  <c r="U21" i="23"/>
  <c r="AC21" i="23"/>
  <c r="AD21" i="23"/>
  <c r="AH21" i="23"/>
  <c r="B22" i="23"/>
  <c r="F22" i="23"/>
  <c r="K22" i="23"/>
  <c r="L22" i="23"/>
  <c r="M22" i="23"/>
  <c r="N22" i="23"/>
  <c r="O22" i="23"/>
  <c r="U22" i="23"/>
  <c r="AC22" i="23"/>
  <c r="AD22" i="23"/>
  <c r="AH22" i="23"/>
  <c r="B23" i="23"/>
  <c r="F23" i="23"/>
  <c r="K23" i="23"/>
  <c r="L23" i="23"/>
  <c r="M23" i="23"/>
  <c r="N23" i="23"/>
  <c r="O23" i="23"/>
  <c r="U23" i="23"/>
  <c r="AC23" i="23"/>
  <c r="AD23" i="23"/>
  <c r="AH23" i="23"/>
  <c r="B24" i="23"/>
  <c r="F24" i="23"/>
  <c r="K24" i="23"/>
  <c r="L24" i="23"/>
  <c r="M24" i="23"/>
  <c r="N24" i="23"/>
  <c r="O24" i="23"/>
  <c r="U24" i="23"/>
  <c r="AC24" i="23"/>
  <c r="AD24" i="23"/>
  <c r="AH24" i="23"/>
  <c r="B25" i="23"/>
  <c r="F25" i="23"/>
  <c r="K25" i="23"/>
  <c r="L25" i="23"/>
  <c r="M25" i="23"/>
  <c r="N25" i="23"/>
  <c r="O25" i="23"/>
  <c r="U25" i="23"/>
  <c r="AC25" i="23"/>
  <c r="AD25" i="23"/>
  <c r="AH25" i="23"/>
  <c r="B26" i="23"/>
  <c r="F26" i="23"/>
  <c r="K26" i="23"/>
  <c r="L26" i="23"/>
  <c r="M26" i="23"/>
  <c r="N26" i="23"/>
  <c r="O26" i="23"/>
  <c r="U26" i="23"/>
  <c r="AC26" i="23"/>
  <c r="AD26" i="23"/>
  <c r="AH26" i="23"/>
  <c r="B27" i="23"/>
  <c r="F27" i="23"/>
  <c r="K27" i="23"/>
  <c r="L27" i="23"/>
  <c r="M27" i="23"/>
  <c r="N27" i="23"/>
  <c r="O27" i="23"/>
  <c r="U27" i="23"/>
  <c r="AC27" i="23"/>
  <c r="AD27" i="23"/>
  <c r="AH27" i="23"/>
  <c r="B28" i="23"/>
  <c r="F28" i="23"/>
  <c r="K28" i="23"/>
  <c r="L28" i="23"/>
  <c r="M28" i="23"/>
  <c r="N28" i="23"/>
  <c r="O28" i="23"/>
  <c r="U28" i="23"/>
  <c r="AC28" i="23"/>
  <c r="AD28" i="23"/>
  <c r="AH28" i="23"/>
  <c r="B29" i="23"/>
  <c r="F29" i="23"/>
  <c r="K29" i="23"/>
  <c r="L29" i="23"/>
  <c r="M29" i="23"/>
  <c r="N29" i="23"/>
  <c r="O29" i="23"/>
  <c r="U29" i="23"/>
  <c r="AC29" i="23"/>
  <c r="AD29" i="23"/>
  <c r="AH29" i="23"/>
  <c r="B30" i="23"/>
  <c r="F30" i="23"/>
  <c r="K30" i="23"/>
  <c r="L30" i="23"/>
  <c r="M30" i="23"/>
  <c r="N30" i="23"/>
  <c r="O30" i="23"/>
  <c r="U30" i="23"/>
  <c r="AC30" i="23"/>
  <c r="AD30" i="23"/>
  <c r="AH30" i="23"/>
  <c r="B31" i="23"/>
  <c r="F31" i="23"/>
  <c r="K31" i="23"/>
  <c r="L31" i="23"/>
  <c r="M31" i="23"/>
  <c r="N31" i="23"/>
  <c r="O31" i="23"/>
  <c r="U31" i="23"/>
  <c r="AC31" i="23"/>
  <c r="AD31" i="23"/>
  <c r="AH31" i="23"/>
  <c r="B32" i="23"/>
  <c r="F32" i="23"/>
  <c r="K32" i="23"/>
  <c r="L32" i="23"/>
  <c r="M32" i="23"/>
  <c r="N32" i="23"/>
  <c r="O32" i="23"/>
  <c r="U32" i="23"/>
  <c r="AC32" i="23"/>
  <c r="AD32" i="23"/>
  <c r="AH32" i="23"/>
  <c r="B33" i="23"/>
  <c r="F33" i="23"/>
  <c r="K33" i="23"/>
  <c r="L33" i="23"/>
  <c r="M33" i="23"/>
  <c r="N33" i="23"/>
  <c r="O33" i="23"/>
  <c r="U33" i="23"/>
  <c r="AC33" i="23"/>
  <c r="AD33" i="23"/>
  <c r="AH33" i="23"/>
  <c r="B34" i="23"/>
  <c r="F34" i="23"/>
  <c r="K34" i="23"/>
  <c r="L34" i="23"/>
  <c r="M34" i="23"/>
  <c r="N34" i="23"/>
  <c r="O34" i="23"/>
  <c r="U34" i="23"/>
  <c r="AC34" i="23"/>
  <c r="AD34" i="23"/>
  <c r="AH34" i="23"/>
  <c r="B35" i="23"/>
  <c r="F35" i="23"/>
  <c r="K35" i="23"/>
  <c r="L35" i="23"/>
  <c r="M35" i="23"/>
  <c r="N35" i="23"/>
  <c r="O35" i="23"/>
  <c r="U35" i="23"/>
  <c r="AC35" i="23"/>
  <c r="AD35" i="23"/>
  <c r="AH35" i="23"/>
  <c r="B36" i="23"/>
  <c r="F36" i="23"/>
  <c r="K36" i="23"/>
  <c r="L36" i="23"/>
  <c r="M36" i="23"/>
  <c r="N36" i="23"/>
  <c r="O36" i="23"/>
  <c r="U36" i="23"/>
  <c r="AC36" i="23"/>
  <c r="AD36" i="23"/>
  <c r="AH36" i="23"/>
  <c r="B37" i="23"/>
  <c r="F37" i="23"/>
  <c r="K37" i="23"/>
  <c r="L37" i="23"/>
  <c r="M37" i="23"/>
  <c r="N37" i="23"/>
  <c r="O37" i="23"/>
  <c r="U37" i="23"/>
  <c r="AC37" i="23"/>
  <c r="AD37" i="23"/>
  <c r="AH37" i="23"/>
  <c r="B38" i="23"/>
  <c r="F38" i="23"/>
  <c r="K38" i="23"/>
  <c r="L38" i="23"/>
  <c r="M38" i="23"/>
  <c r="N38" i="23"/>
  <c r="O38" i="23"/>
  <c r="U38" i="23"/>
  <c r="AC38" i="23"/>
  <c r="AD38" i="23"/>
  <c r="AH38" i="23"/>
  <c r="B39" i="23"/>
  <c r="F39" i="23"/>
  <c r="K39" i="23"/>
  <c r="L39" i="23"/>
  <c r="M39" i="23"/>
  <c r="N39" i="23"/>
  <c r="O39" i="23"/>
  <c r="U39" i="23"/>
  <c r="AC39" i="23"/>
  <c r="AD39" i="23"/>
  <c r="AH39" i="23"/>
  <c r="B40" i="23"/>
  <c r="F40" i="23"/>
  <c r="K40" i="23"/>
  <c r="L40" i="23"/>
  <c r="M40" i="23"/>
  <c r="N40" i="23"/>
  <c r="O40" i="23"/>
  <c r="U40" i="23"/>
  <c r="AC40" i="23"/>
  <c r="AD40" i="23"/>
  <c r="AH40" i="23"/>
  <c r="B41" i="23"/>
  <c r="F41" i="23"/>
  <c r="K41" i="23"/>
  <c r="L41" i="23"/>
  <c r="M41" i="23"/>
  <c r="N41" i="23"/>
  <c r="O41" i="23"/>
  <c r="U41" i="23"/>
  <c r="AC41" i="23"/>
  <c r="AD41" i="23"/>
  <c r="AH41" i="23"/>
  <c r="B42" i="23"/>
  <c r="F42" i="23"/>
  <c r="K42" i="23"/>
  <c r="L42" i="23"/>
  <c r="M42" i="23"/>
  <c r="N42" i="23"/>
  <c r="O42" i="23"/>
  <c r="U42" i="23"/>
  <c r="AC42" i="23"/>
  <c r="AD42" i="23"/>
  <c r="AH42" i="23"/>
  <c r="B43" i="23"/>
  <c r="F43" i="23"/>
  <c r="K43" i="23"/>
  <c r="L43" i="23"/>
  <c r="M43" i="23"/>
  <c r="N43" i="23"/>
  <c r="O43" i="23"/>
  <c r="U43" i="23"/>
  <c r="AC43" i="23"/>
  <c r="AD43" i="23"/>
  <c r="AH43" i="23"/>
  <c r="B44" i="23"/>
  <c r="F44" i="23"/>
  <c r="K44" i="23"/>
  <c r="L44" i="23"/>
  <c r="M44" i="23"/>
  <c r="N44" i="23"/>
  <c r="O44" i="23"/>
  <c r="U44" i="23"/>
  <c r="AC44" i="23"/>
  <c r="AD44" i="23"/>
  <c r="AH44" i="23"/>
  <c r="B45" i="23"/>
  <c r="F45" i="23"/>
  <c r="K45" i="23"/>
  <c r="L45" i="23"/>
  <c r="M45" i="23"/>
  <c r="N45" i="23"/>
  <c r="O45" i="23"/>
  <c r="U45" i="23"/>
  <c r="AC45" i="23"/>
  <c r="AD45" i="23"/>
  <c r="AH45" i="23"/>
  <c r="B46" i="23"/>
  <c r="F46" i="23"/>
  <c r="K46" i="23"/>
  <c r="L46" i="23"/>
  <c r="M46" i="23"/>
  <c r="N46" i="23"/>
  <c r="O46" i="23"/>
  <c r="U46" i="23"/>
  <c r="AC46" i="23"/>
  <c r="AD46" i="23"/>
  <c r="AH46" i="23"/>
  <c r="B47" i="23"/>
  <c r="F47" i="23"/>
  <c r="K47" i="23"/>
  <c r="L47" i="23"/>
  <c r="M47" i="23"/>
  <c r="N47" i="23"/>
  <c r="O47" i="23"/>
  <c r="U47" i="23"/>
  <c r="AC47" i="23"/>
  <c r="AD47" i="23"/>
  <c r="AH47" i="23"/>
  <c r="B48" i="23"/>
  <c r="F48" i="23"/>
  <c r="K48" i="23"/>
  <c r="L48" i="23"/>
  <c r="M48" i="23"/>
  <c r="N48" i="23"/>
  <c r="O48" i="23"/>
  <c r="U48" i="23"/>
  <c r="AC48" i="23"/>
  <c r="AD48" i="23"/>
  <c r="AH48" i="23"/>
  <c r="B49" i="23"/>
  <c r="F49" i="23"/>
  <c r="K49" i="23"/>
  <c r="L49" i="23"/>
  <c r="M49" i="23"/>
  <c r="N49" i="23"/>
  <c r="O49" i="23"/>
  <c r="U49" i="23"/>
  <c r="AC49" i="23"/>
  <c r="AD49" i="23"/>
  <c r="AH49" i="23"/>
  <c r="B50" i="23"/>
  <c r="F50" i="23"/>
  <c r="K50" i="23"/>
  <c r="L50" i="23"/>
  <c r="M50" i="23"/>
  <c r="N50" i="23"/>
  <c r="O50" i="23"/>
  <c r="U50" i="23"/>
  <c r="AC50" i="23"/>
  <c r="AD50" i="23"/>
  <c r="AH50" i="23"/>
  <c r="B51" i="23"/>
  <c r="F51" i="23"/>
  <c r="K51" i="23"/>
  <c r="L51" i="23"/>
  <c r="M51" i="23"/>
  <c r="N51" i="23"/>
  <c r="O51" i="23"/>
  <c r="U51" i="23"/>
  <c r="AC51" i="23"/>
  <c r="AD51" i="23"/>
  <c r="AH51" i="23"/>
  <c r="B52" i="23"/>
  <c r="F52" i="23"/>
  <c r="K52" i="23"/>
  <c r="L52" i="23"/>
  <c r="M52" i="23"/>
  <c r="N52" i="23"/>
  <c r="O52" i="23"/>
  <c r="U52" i="23"/>
  <c r="AC52" i="23"/>
  <c r="AD52" i="23"/>
  <c r="AH52" i="23"/>
  <c r="B53" i="23"/>
  <c r="F53" i="23"/>
  <c r="K53" i="23"/>
  <c r="L53" i="23"/>
  <c r="M53" i="23"/>
  <c r="N53" i="23"/>
  <c r="O53" i="23"/>
  <c r="U53" i="23"/>
  <c r="AC53" i="23"/>
  <c r="AD53" i="23"/>
  <c r="AH53" i="23"/>
  <c r="B54" i="23"/>
  <c r="F54" i="23"/>
  <c r="K54" i="23"/>
  <c r="L54" i="23"/>
  <c r="M54" i="23"/>
  <c r="N54" i="23"/>
  <c r="O54" i="23"/>
  <c r="U54" i="23"/>
  <c r="AC54" i="23"/>
  <c r="AD54" i="23"/>
  <c r="AH54" i="23"/>
  <c r="B55" i="23"/>
  <c r="F55" i="23"/>
  <c r="K55" i="23"/>
  <c r="L55" i="23"/>
  <c r="M55" i="23"/>
  <c r="N55" i="23"/>
  <c r="O55" i="23"/>
  <c r="U55" i="23"/>
  <c r="AC55" i="23"/>
  <c r="AD55" i="23"/>
  <c r="AH55" i="23"/>
  <c r="B56" i="23"/>
  <c r="F56" i="23"/>
  <c r="K56" i="23"/>
  <c r="L56" i="23"/>
  <c r="M56" i="23"/>
  <c r="N56" i="23"/>
  <c r="O56" i="23"/>
  <c r="U56" i="23"/>
  <c r="AC56" i="23"/>
  <c r="AD56" i="23"/>
  <c r="AH56" i="23"/>
  <c r="B57" i="23"/>
  <c r="F57" i="23"/>
  <c r="K57" i="23"/>
  <c r="L57" i="23"/>
  <c r="M57" i="23"/>
  <c r="N57" i="23"/>
  <c r="O57" i="23"/>
  <c r="U57" i="23"/>
  <c r="AC57" i="23"/>
  <c r="AD57" i="23"/>
  <c r="AH57" i="23"/>
  <c r="B58" i="23"/>
  <c r="F58" i="23"/>
  <c r="K58" i="23"/>
  <c r="L58" i="23"/>
  <c r="M58" i="23"/>
  <c r="N58" i="23"/>
  <c r="O58" i="23"/>
  <c r="U58" i="23"/>
  <c r="AC58" i="23"/>
  <c r="AD58" i="23"/>
  <c r="AH58" i="23"/>
  <c r="B59" i="23"/>
  <c r="F59" i="23"/>
  <c r="K59" i="23"/>
  <c r="L59" i="23"/>
  <c r="M59" i="23"/>
  <c r="N59" i="23"/>
  <c r="O59" i="23"/>
  <c r="U59" i="23"/>
  <c r="AC59" i="23"/>
  <c r="AD59" i="23"/>
  <c r="AH59" i="23"/>
  <c r="B60" i="23"/>
  <c r="F60" i="23"/>
  <c r="K60" i="23"/>
  <c r="L60" i="23"/>
  <c r="M60" i="23"/>
  <c r="N60" i="23"/>
  <c r="O60" i="23"/>
  <c r="U60" i="23"/>
  <c r="AC60" i="23"/>
  <c r="AD60" i="23"/>
  <c r="AH60" i="23"/>
  <c r="B61" i="23"/>
  <c r="F61" i="23"/>
  <c r="K61" i="23"/>
  <c r="L61" i="23"/>
  <c r="M61" i="23"/>
  <c r="N61" i="23"/>
  <c r="O61" i="23"/>
  <c r="U61" i="23"/>
  <c r="AC61" i="23"/>
  <c r="AD61" i="23"/>
  <c r="AH61" i="23"/>
  <c r="B62" i="23"/>
  <c r="F62" i="23"/>
  <c r="K62" i="23"/>
  <c r="L62" i="23"/>
  <c r="M62" i="23"/>
  <c r="N62" i="23"/>
  <c r="O62" i="23"/>
  <c r="U62" i="23"/>
  <c r="AC62" i="23"/>
  <c r="AD62" i="23"/>
  <c r="AH62" i="23"/>
  <c r="B63" i="23"/>
  <c r="F63" i="23"/>
  <c r="K63" i="23"/>
  <c r="L63" i="23"/>
  <c r="M63" i="23"/>
  <c r="N63" i="23"/>
  <c r="O63" i="23"/>
  <c r="U63" i="23"/>
  <c r="AC63" i="23"/>
  <c r="AD63" i="23"/>
  <c r="AH63" i="23"/>
  <c r="B64" i="23"/>
  <c r="F64" i="23"/>
  <c r="K64" i="23"/>
  <c r="L64" i="23"/>
  <c r="M64" i="23"/>
  <c r="N64" i="23"/>
  <c r="O64" i="23"/>
  <c r="U64" i="23"/>
  <c r="AC64" i="23"/>
  <c r="AD64" i="23"/>
  <c r="AH64" i="23"/>
  <c r="B65" i="23"/>
  <c r="F65" i="23"/>
  <c r="K65" i="23"/>
  <c r="L65" i="23"/>
  <c r="M65" i="23"/>
  <c r="N65" i="23"/>
  <c r="O65" i="23"/>
  <c r="U65" i="23"/>
  <c r="AC65" i="23"/>
  <c r="AD65" i="23"/>
  <c r="AH65" i="23"/>
  <c r="B66" i="23"/>
  <c r="F66" i="23"/>
  <c r="K66" i="23"/>
  <c r="L66" i="23"/>
  <c r="M66" i="23"/>
  <c r="N66" i="23"/>
  <c r="O66" i="23"/>
  <c r="U66" i="23"/>
  <c r="AC66" i="23"/>
  <c r="AD66" i="23"/>
  <c r="AH66" i="23"/>
  <c r="B67" i="23"/>
  <c r="F67" i="23"/>
  <c r="K67" i="23"/>
  <c r="L67" i="23"/>
  <c r="M67" i="23"/>
  <c r="N67" i="23"/>
  <c r="O67" i="23"/>
  <c r="U67" i="23"/>
  <c r="AC67" i="23"/>
  <c r="AD67" i="23"/>
  <c r="AH67" i="23"/>
  <c r="B68" i="23"/>
  <c r="F68" i="23"/>
  <c r="K68" i="23"/>
  <c r="L68" i="23"/>
  <c r="M68" i="23"/>
  <c r="N68" i="23"/>
  <c r="O68" i="23"/>
  <c r="U68" i="23"/>
  <c r="AC68" i="23"/>
  <c r="AD68" i="23"/>
  <c r="AH68" i="23"/>
  <c r="B69" i="23"/>
  <c r="F69" i="23"/>
  <c r="K69" i="23"/>
  <c r="L69" i="23"/>
  <c r="M69" i="23"/>
  <c r="N69" i="23"/>
  <c r="O69" i="23"/>
  <c r="U69" i="23"/>
  <c r="AC69" i="23"/>
  <c r="AD69" i="23"/>
  <c r="AH69" i="23"/>
  <c r="B70" i="23"/>
  <c r="F70" i="23"/>
  <c r="K70" i="23"/>
  <c r="L70" i="23"/>
  <c r="M70" i="23"/>
  <c r="N70" i="23"/>
  <c r="O70" i="23"/>
  <c r="U70" i="23"/>
  <c r="AC70" i="23"/>
  <c r="AD70" i="23"/>
  <c r="AH70" i="23"/>
  <c r="B71" i="23"/>
  <c r="F71" i="23"/>
  <c r="K71" i="23"/>
  <c r="L71" i="23"/>
  <c r="M71" i="23"/>
  <c r="N71" i="23"/>
  <c r="O71" i="23"/>
  <c r="U71" i="23"/>
  <c r="AC71" i="23"/>
  <c r="AD71" i="23"/>
  <c r="AH71" i="23"/>
  <c r="B72" i="23"/>
  <c r="F72" i="23"/>
  <c r="K72" i="23"/>
  <c r="L72" i="23"/>
  <c r="M72" i="23"/>
  <c r="N72" i="23"/>
  <c r="O72" i="23"/>
  <c r="U72" i="23"/>
  <c r="AC72" i="23"/>
  <c r="AD72" i="23"/>
  <c r="AH72" i="23"/>
  <c r="B73" i="23"/>
  <c r="F73" i="23"/>
  <c r="K73" i="23"/>
  <c r="L73" i="23"/>
  <c r="M73" i="23"/>
  <c r="N73" i="23"/>
  <c r="O73" i="23"/>
  <c r="U73" i="23"/>
  <c r="AC73" i="23"/>
  <c r="AD73" i="23"/>
  <c r="AH73" i="23"/>
  <c r="B74" i="23"/>
  <c r="F74" i="23"/>
  <c r="K74" i="23"/>
  <c r="L74" i="23"/>
  <c r="M74" i="23"/>
  <c r="N74" i="23"/>
  <c r="O74" i="23"/>
  <c r="U74" i="23"/>
  <c r="AC74" i="23"/>
  <c r="AD74" i="23"/>
  <c r="AH74" i="23"/>
  <c r="B75" i="23"/>
  <c r="F75" i="23"/>
  <c r="K75" i="23"/>
  <c r="L75" i="23"/>
  <c r="M75" i="23"/>
  <c r="N75" i="23"/>
  <c r="O75" i="23"/>
  <c r="U75" i="23"/>
  <c r="AC75" i="23"/>
  <c r="AD75" i="23"/>
  <c r="AH75" i="23"/>
  <c r="B76" i="23"/>
  <c r="F76" i="23"/>
  <c r="K76" i="23"/>
  <c r="L76" i="23"/>
  <c r="M76" i="23"/>
  <c r="N76" i="23"/>
  <c r="O76" i="23"/>
  <c r="U76" i="23"/>
  <c r="AC76" i="23"/>
  <c r="AD76" i="23"/>
  <c r="AH76" i="23"/>
  <c r="B77" i="23"/>
  <c r="F77" i="23"/>
  <c r="K77" i="23"/>
  <c r="L77" i="23"/>
  <c r="M77" i="23"/>
  <c r="N77" i="23"/>
  <c r="O77" i="23"/>
  <c r="U77" i="23"/>
  <c r="AC77" i="23"/>
  <c r="AD77" i="23"/>
  <c r="AH77" i="23"/>
  <c r="B78" i="23"/>
  <c r="F78" i="23"/>
  <c r="K78" i="23"/>
  <c r="L78" i="23"/>
  <c r="M78" i="23"/>
  <c r="N78" i="23"/>
  <c r="O78" i="23"/>
  <c r="U78" i="23"/>
  <c r="AC78" i="23"/>
  <c r="AD78" i="23"/>
  <c r="AH78" i="23"/>
  <c r="B79" i="23"/>
  <c r="F79" i="23"/>
  <c r="K79" i="23"/>
  <c r="L79" i="23"/>
  <c r="M79" i="23"/>
  <c r="N79" i="23"/>
  <c r="O79" i="23"/>
  <c r="U79" i="23"/>
  <c r="AC79" i="23"/>
  <c r="AD79" i="23"/>
  <c r="AH79" i="23"/>
  <c r="B80" i="23"/>
  <c r="F80" i="23"/>
  <c r="K80" i="23"/>
  <c r="L80" i="23"/>
  <c r="M80" i="23"/>
  <c r="N80" i="23"/>
  <c r="O80" i="23"/>
  <c r="U80" i="23"/>
  <c r="AC80" i="23"/>
  <c r="AD80" i="23"/>
  <c r="AH80" i="23"/>
  <c r="B81" i="23"/>
  <c r="F81" i="23"/>
  <c r="K81" i="23"/>
  <c r="L81" i="23"/>
  <c r="M81" i="23"/>
  <c r="N81" i="23"/>
  <c r="O81" i="23"/>
  <c r="U81" i="23"/>
  <c r="AC81" i="23"/>
  <c r="AD81" i="23"/>
  <c r="AH81" i="23"/>
  <c r="B82" i="23"/>
  <c r="F82" i="23"/>
  <c r="K82" i="23"/>
  <c r="L82" i="23"/>
  <c r="M82" i="23"/>
  <c r="N82" i="23"/>
  <c r="O82" i="23"/>
  <c r="U82" i="23"/>
  <c r="AC82" i="23"/>
  <c r="AD82" i="23"/>
  <c r="AH82" i="23"/>
  <c r="B83" i="23"/>
  <c r="F83" i="23"/>
  <c r="K83" i="23"/>
  <c r="L83" i="23"/>
  <c r="M83" i="23"/>
  <c r="N83" i="23"/>
  <c r="O83" i="23"/>
  <c r="U83" i="23"/>
  <c r="AC83" i="23"/>
  <c r="AD83" i="23"/>
  <c r="AH83" i="23"/>
  <c r="B84" i="23"/>
  <c r="F84" i="23"/>
  <c r="K84" i="23"/>
  <c r="L84" i="23"/>
  <c r="M84" i="23"/>
  <c r="N84" i="23"/>
  <c r="O84" i="23"/>
  <c r="U84" i="23"/>
  <c r="AC84" i="23"/>
  <c r="AD84" i="23"/>
  <c r="AH84" i="23"/>
  <c r="B85" i="23"/>
  <c r="F85" i="23"/>
  <c r="K85" i="23"/>
  <c r="L85" i="23"/>
  <c r="M85" i="23"/>
  <c r="N85" i="23"/>
  <c r="O85" i="23"/>
  <c r="U85" i="23"/>
  <c r="AC85" i="23"/>
  <c r="AD85" i="23"/>
  <c r="AH85" i="23"/>
  <c r="B86" i="23"/>
  <c r="F86" i="23"/>
  <c r="K86" i="23"/>
  <c r="L86" i="23"/>
  <c r="M86" i="23"/>
  <c r="N86" i="23"/>
  <c r="O86" i="23"/>
  <c r="U86" i="23"/>
  <c r="AC86" i="23"/>
  <c r="AD86" i="23"/>
  <c r="AH86" i="23"/>
  <c r="B87" i="23"/>
  <c r="F87" i="23"/>
  <c r="K87" i="23"/>
  <c r="L87" i="23"/>
  <c r="M87" i="23"/>
  <c r="N87" i="23"/>
  <c r="O87" i="23"/>
  <c r="U87" i="23"/>
  <c r="AC87" i="23"/>
  <c r="AD87" i="23"/>
  <c r="AH87" i="23"/>
  <c r="B88" i="23"/>
  <c r="F88" i="23"/>
  <c r="K88" i="23"/>
  <c r="L88" i="23"/>
  <c r="M88" i="23"/>
  <c r="N88" i="23"/>
  <c r="O88" i="23"/>
  <c r="U88" i="23"/>
  <c r="AC88" i="23"/>
  <c r="AD88" i="23"/>
  <c r="AH88" i="23"/>
  <c r="B89" i="23"/>
  <c r="F89" i="23"/>
  <c r="K89" i="23"/>
  <c r="L89" i="23"/>
  <c r="M89" i="23"/>
  <c r="N89" i="23"/>
  <c r="O89" i="23"/>
  <c r="U89" i="23"/>
  <c r="AC89" i="23"/>
  <c r="AD89" i="23"/>
  <c r="AH89" i="23"/>
  <c r="B90" i="23"/>
  <c r="F90" i="23"/>
  <c r="K90" i="23"/>
  <c r="L90" i="23"/>
  <c r="M90" i="23"/>
  <c r="N90" i="23"/>
  <c r="O90" i="23"/>
  <c r="U90" i="23"/>
  <c r="AC90" i="23"/>
  <c r="AD90" i="23"/>
  <c r="AH90" i="23"/>
  <c r="B91" i="23"/>
  <c r="F91" i="23"/>
  <c r="K91" i="23"/>
  <c r="L91" i="23"/>
  <c r="M91" i="23"/>
  <c r="N91" i="23"/>
  <c r="O91" i="23"/>
  <c r="U91" i="23"/>
  <c r="AC91" i="23"/>
  <c r="AD91" i="23"/>
  <c r="AH91" i="23"/>
  <c r="B92" i="23"/>
  <c r="F92" i="23"/>
  <c r="K92" i="23"/>
  <c r="L92" i="23"/>
  <c r="M92" i="23"/>
  <c r="N92" i="23"/>
  <c r="O92" i="23"/>
  <c r="U92" i="23"/>
  <c r="AC92" i="23"/>
  <c r="AD92" i="23"/>
  <c r="AH92" i="23"/>
  <c r="B93" i="23"/>
  <c r="F93" i="23"/>
  <c r="K93" i="23"/>
  <c r="L93" i="23"/>
  <c r="M93" i="23"/>
  <c r="N93" i="23"/>
  <c r="O93" i="23"/>
  <c r="U93" i="23"/>
  <c r="AC93" i="23"/>
  <c r="AD93" i="23"/>
  <c r="AH93" i="23"/>
  <c r="B94" i="23"/>
  <c r="F94" i="23"/>
  <c r="K94" i="23"/>
  <c r="L94" i="23"/>
  <c r="M94" i="23"/>
  <c r="N94" i="23"/>
  <c r="O94" i="23"/>
  <c r="U94" i="23"/>
  <c r="AC94" i="23"/>
  <c r="AD94" i="23"/>
  <c r="AH94" i="23"/>
  <c r="B95" i="23"/>
  <c r="F95" i="23"/>
  <c r="K95" i="23"/>
  <c r="L95" i="23"/>
  <c r="M95" i="23"/>
  <c r="N95" i="23"/>
  <c r="O95" i="23"/>
  <c r="U95" i="23"/>
  <c r="AC95" i="23"/>
  <c r="AD95" i="23"/>
  <c r="AH95" i="23"/>
  <c r="B96" i="23"/>
  <c r="F96" i="23"/>
  <c r="K96" i="23"/>
  <c r="L96" i="23"/>
  <c r="M96" i="23"/>
  <c r="N96" i="23"/>
  <c r="O96" i="23"/>
  <c r="U96" i="23"/>
  <c r="AC96" i="23"/>
  <c r="AD96" i="23"/>
  <c r="AH96" i="23"/>
  <c r="B97" i="23"/>
  <c r="F97" i="23"/>
  <c r="K97" i="23"/>
  <c r="L97" i="23"/>
  <c r="M97" i="23"/>
  <c r="N97" i="23"/>
  <c r="O97" i="23"/>
  <c r="U97" i="23"/>
  <c r="AC97" i="23"/>
  <c r="AD97" i="23"/>
  <c r="AH97" i="23"/>
  <c r="B98" i="23"/>
  <c r="F98" i="23"/>
  <c r="K98" i="23"/>
  <c r="L98" i="23"/>
  <c r="M98" i="23"/>
  <c r="N98" i="23"/>
  <c r="O98" i="23"/>
  <c r="U98" i="23"/>
  <c r="AC98" i="23"/>
  <c r="AD98" i="23"/>
  <c r="AH98" i="23"/>
  <c r="B99" i="23"/>
  <c r="F99" i="23"/>
  <c r="K99" i="23"/>
  <c r="L99" i="23"/>
  <c r="M99" i="23"/>
  <c r="N99" i="23"/>
  <c r="O99" i="23"/>
  <c r="U99" i="23"/>
  <c r="AC99" i="23"/>
  <c r="AD99" i="23"/>
  <c r="AH99" i="23"/>
  <c r="B100" i="23"/>
  <c r="F100" i="23"/>
  <c r="K100" i="23"/>
  <c r="L100" i="23"/>
  <c r="M100" i="23"/>
  <c r="N100" i="23"/>
  <c r="O100" i="23"/>
  <c r="U100" i="23"/>
  <c r="AC100" i="23"/>
  <c r="AD100" i="23"/>
  <c r="AH100" i="23"/>
  <c r="B101" i="23"/>
  <c r="F101" i="23"/>
  <c r="K101" i="23"/>
  <c r="L101" i="23"/>
  <c r="M101" i="23"/>
  <c r="N101" i="23"/>
  <c r="O101" i="23"/>
  <c r="U101" i="23"/>
  <c r="AC101" i="23"/>
  <c r="AD101" i="23"/>
  <c r="AH101" i="23"/>
  <c r="B102" i="23"/>
  <c r="F102" i="23"/>
  <c r="K102" i="23"/>
  <c r="L102" i="23"/>
  <c r="M102" i="23"/>
  <c r="N102" i="23"/>
  <c r="O102" i="23"/>
  <c r="U102" i="23"/>
  <c r="AC102" i="23"/>
  <c r="AD102" i="23"/>
  <c r="AH102" i="23"/>
  <c r="B103" i="23"/>
  <c r="F103" i="23"/>
  <c r="K103" i="23"/>
  <c r="L103" i="23"/>
  <c r="M103" i="23"/>
  <c r="N103" i="23"/>
  <c r="O103" i="23"/>
  <c r="U103" i="23"/>
  <c r="AC103" i="23"/>
  <c r="AD103" i="23"/>
  <c r="AH103" i="23"/>
  <c r="B104" i="23"/>
  <c r="F104" i="23"/>
  <c r="K104" i="23"/>
  <c r="L104" i="23"/>
  <c r="M104" i="23"/>
  <c r="N104" i="23"/>
  <c r="O104" i="23"/>
  <c r="U104" i="23"/>
  <c r="AC104" i="23"/>
  <c r="AD104" i="23"/>
  <c r="AH104" i="23"/>
  <c r="B105" i="23"/>
  <c r="F105" i="23"/>
  <c r="K105" i="23"/>
  <c r="L105" i="23"/>
  <c r="M105" i="23"/>
  <c r="N105" i="23"/>
  <c r="O105" i="23"/>
  <c r="U105" i="23"/>
  <c r="AC105" i="23"/>
  <c r="AD105" i="23"/>
  <c r="AH105" i="23"/>
  <c r="B106" i="23"/>
  <c r="F106" i="23"/>
  <c r="K106" i="23"/>
  <c r="L106" i="23"/>
  <c r="M106" i="23"/>
  <c r="N106" i="23"/>
  <c r="O106" i="23"/>
  <c r="U106" i="23"/>
  <c r="AC106" i="23"/>
  <c r="AD106" i="23"/>
  <c r="AH106" i="23"/>
  <c r="B107" i="23"/>
  <c r="F107" i="23"/>
  <c r="K107" i="23"/>
  <c r="L107" i="23"/>
  <c r="M107" i="23"/>
  <c r="N107" i="23"/>
  <c r="O107" i="23"/>
  <c r="U107" i="23"/>
  <c r="AC107" i="23"/>
  <c r="AD107" i="23"/>
  <c r="AH107" i="23"/>
  <c r="B108" i="23"/>
  <c r="F108" i="23"/>
  <c r="K108" i="23"/>
  <c r="L108" i="23"/>
  <c r="M108" i="23"/>
  <c r="N108" i="23"/>
  <c r="O108" i="23"/>
  <c r="U108" i="23"/>
  <c r="AC108" i="23"/>
  <c r="AD108" i="23"/>
  <c r="AH108" i="23"/>
  <c r="B109" i="23"/>
  <c r="F109" i="23"/>
  <c r="K109" i="23"/>
  <c r="L109" i="23"/>
  <c r="M109" i="23"/>
  <c r="N109" i="23"/>
  <c r="O109" i="23"/>
  <c r="U109" i="23"/>
  <c r="AC109" i="23"/>
  <c r="AD109" i="23"/>
  <c r="AH109" i="23"/>
  <c r="B110" i="23"/>
  <c r="F110" i="23"/>
  <c r="K110" i="23"/>
  <c r="L110" i="23"/>
  <c r="M110" i="23"/>
  <c r="N110" i="23"/>
  <c r="O110" i="23"/>
  <c r="U110" i="23"/>
  <c r="AC110" i="23"/>
  <c r="AD110" i="23"/>
  <c r="AH110" i="23"/>
  <c r="B111" i="23"/>
  <c r="F111" i="23"/>
  <c r="K111" i="23"/>
  <c r="L111" i="23"/>
  <c r="M111" i="23"/>
  <c r="N111" i="23"/>
  <c r="O111" i="23"/>
  <c r="U111" i="23"/>
  <c r="AC111" i="23"/>
  <c r="AD111" i="23"/>
  <c r="AH111" i="23"/>
  <c r="B112" i="23"/>
  <c r="F112" i="23"/>
  <c r="K112" i="23"/>
  <c r="L112" i="23"/>
  <c r="M112" i="23"/>
  <c r="N112" i="23"/>
  <c r="O112" i="23"/>
  <c r="U112" i="23"/>
  <c r="AC112" i="23"/>
  <c r="AD112" i="23"/>
  <c r="AH112" i="23"/>
  <c r="B113" i="23"/>
  <c r="F113" i="23"/>
  <c r="K113" i="23"/>
  <c r="L113" i="23"/>
  <c r="M113" i="23"/>
  <c r="N113" i="23"/>
  <c r="O113" i="23"/>
  <c r="U113" i="23"/>
  <c r="AC113" i="23"/>
  <c r="AD113" i="23"/>
  <c r="AH113" i="23"/>
  <c r="B114" i="23"/>
  <c r="F114" i="23"/>
  <c r="K114" i="23"/>
  <c r="L114" i="23"/>
  <c r="M114" i="23"/>
  <c r="N114" i="23"/>
  <c r="O114" i="23"/>
  <c r="U114" i="23"/>
  <c r="AC114" i="23"/>
  <c r="AD114" i="23"/>
  <c r="AH114" i="23"/>
  <c r="B115" i="23"/>
  <c r="F115" i="23"/>
  <c r="K115" i="23"/>
  <c r="L115" i="23"/>
  <c r="M115" i="23"/>
  <c r="N115" i="23"/>
  <c r="O115" i="23"/>
  <c r="U115" i="23"/>
  <c r="AC115" i="23"/>
  <c r="AD115" i="23"/>
  <c r="AH115" i="23"/>
  <c r="B116" i="23"/>
  <c r="F116" i="23"/>
  <c r="K116" i="23"/>
  <c r="L116" i="23"/>
  <c r="M116" i="23"/>
  <c r="N116" i="23"/>
  <c r="O116" i="23"/>
  <c r="U116" i="23"/>
  <c r="AC116" i="23"/>
  <c r="AD116" i="23"/>
  <c r="AH116" i="23"/>
  <c r="B117" i="23"/>
  <c r="F117" i="23"/>
  <c r="K117" i="23"/>
  <c r="L117" i="23"/>
  <c r="M117" i="23"/>
  <c r="N117" i="23"/>
  <c r="O117" i="23"/>
  <c r="U117" i="23"/>
  <c r="AC117" i="23"/>
  <c r="AD117" i="23"/>
  <c r="AH117" i="23"/>
  <c r="B118" i="23"/>
  <c r="F118" i="23"/>
  <c r="K118" i="23"/>
  <c r="L118" i="23"/>
  <c r="M118" i="23"/>
  <c r="N118" i="23"/>
  <c r="O118" i="23"/>
  <c r="U118" i="23"/>
  <c r="AC118" i="23"/>
  <c r="AD118" i="23"/>
  <c r="AH118" i="23"/>
  <c r="B119" i="23"/>
  <c r="F119" i="23"/>
  <c r="K119" i="23"/>
  <c r="L119" i="23"/>
  <c r="M119" i="23"/>
  <c r="N119" i="23"/>
  <c r="O119" i="23"/>
  <c r="U119" i="23"/>
  <c r="AC119" i="23"/>
  <c r="AD119" i="23"/>
  <c r="AH119" i="23"/>
  <c r="B120" i="23"/>
  <c r="F120" i="23"/>
  <c r="K120" i="23"/>
  <c r="L120" i="23"/>
  <c r="M120" i="23"/>
  <c r="N120" i="23"/>
  <c r="O120" i="23"/>
  <c r="U120" i="23"/>
  <c r="AC120" i="23"/>
  <c r="AD120" i="23"/>
  <c r="AH120" i="23"/>
  <c r="B121" i="23"/>
  <c r="F121" i="23"/>
  <c r="K121" i="23"/>
  <c r="L121" i="23"/>
  <c r="M121" i="23"/>
  <c r="N121" i="23"/>
  <c r="O121" i="23"/>
  <c r="U121" i="23"/>
  <c r="AC121" i="23"/>
  <c r="AD121" i="23"/>
  <c r="AH121" i="23"/>
  <c r="B122" i="23"/>
  <c r="F122" i="23"/>
  <c r="K122" i="23"/>
  <c r="L122" i="23"/>
  <c r="M122" i="23"/>
  <c r="N122" i="23"/>
  <c r="O122" i="23"/>
  <c r="U122" i="23"/>
  <c r="AC122" i="23"/>
  <c r="AD122" i="23"/>
  <c r="AH122" i="23"/>
  <c r="B123" i="23"/>
  <c r="F123" i="23"/>
  <c r="K123" i="23"/>
  <c r="L123" i="23"/>
  <c r="M123" i="23"/>
  <c r="N123" i="23"/>
  <c r="O123" i="23"/>
  <c r="U123" i="23"/>
  <c r="AC123" i="23"/>
  <c r="AD123" i="23"/>
  <c r="AH123" i="23"/>
  <c r="B124" i="23"/>
  <c r="F124" i="23"/>
  <c r="K124" i="23"/>
  <c r="L124" i="23"/>
  <c r="M124" i="23"/>
  <c r="N124" i="23"/>
  <c r="O124" i="23"/>
  <c r="U124" i="23"/>
  <c r="AC124" i="23"/>
  <c r="AD124" i="23"/>
  <c r="AH124" i="23"/>
  <c r="B125" i="23"/>
  <c r="F125" i="23"/>
  <c r="K125" i="23"/>
  <c r="L125" i="23"/>
  <c r="M125" i="23"/>
  <c r="N125" i="23"/>
  <c r="O125" i="23"/>
  <c r="U125" i="23"/>
  <c r="AC125" i="23"/>
  <c r="AD125" i="23"/>
  <c r="AH125" i="23"/>
  <c r="B126" i="23"/>
  <c r="F126" i="23"/>
  <c r="K126" i="23"/>
  <c r="L126" i="23"/>
  <c r="M126" i="23"/>
  <c r="N126" i="23"/>
  <c r="O126" i="23"/>
  <c r="U126" i="23"/>
  <c r="AC126" i="23"/>
  <c r="AD126" i="23"/>
  <c r="AH126" i="23"/>
  <c r="B127" i="23"/>
  <c r="F127" i="23"/>
  <c r="K127" i="23"/>
  <c r="L127" i="23"/>
  <c r="M127" i="23"/>
  <c r="N127" i="23"/>
  <c r="O127" i="23"/>
  <c r="U127" i="23"/>
  <c r="AC127" i="23"/>
  <c r="AD127" i="23"/>
  <c r="AH127" i="23"/>
  <c r="B128" i="23"/>
  <c r="F128" i="23"/>
  <c r="K128" i="23"/>
  <c r="L128" i="23"/>
  <c r="M128" i="23"/>
  <c r="N128" i="23"/>
  <c r="O128" i="23"/>
  <c r="U128" i="23"/>
  <c r="AC128" i="23"/>
  <c r="AD128" i="23"/>
  <c r="AH128" i="23"/>
  <c r="B129" i="23"/>
  <c r="F129" i="23"/>
  <c r="K129" i="23"/>
  <c r="L129" i="23"/>
  <c r="M129" i="23"/>
  <c r="N129" i="23"/>
  <c r="O129" i="23"/>
  <c r="U129" i="23"/>
  <c r="AC129" i="23"/>
  <c r="AD129" i="23"/>
  <c r="AH129" i="23"/>
  <c r="B130" i="23"/>
  <c r="F130" i="23"/>
  <c r="K130" i="23"/>
  <c r="L130" i="23"/>
  <c r="M130" i="23"/>
  <c r="N130" i="23"/>
  <c r="O130" i="23"/>
  <c r="U130" i="23"/>
  <c r="AC130" i="23"/>
  <c r="AD130" i="23"/>
  <c r="AH130" i="23"/>
  <c r="B131" i="23"/>
  <c r="F131" i="23"/>
  <c r="K131" i="23"/>
  <c r="L131" i="23"/>
  <c r="M131" i="23"/>
  <c r="N131" i="23"/>
  <c r="O131" i="23"/>
  <c r="U131" i="23"/>
  <c r="AC131" i="23"/>
  <c r="AD131" i="23"/>
  <c r="AH131" i="23"/>
  <c r="B132" i="23"/>
  <c r="F132" i="23"/>
  <c r="K132" i="23"/>
  <c r="L132" i="23"/>
  <c r="M132" i="23"/>
  <c r="N132" i="23"/>
  <c r="O132" i="23"/>
  <c r="U132" i="23"/>
  <c r="AC132" i="23"/>
  <c r="AD132" i="23"/>
  <c r="AH132" i="23"/>
  <c r="B133" i="23"/>
  <c r="F133" i="23"/>
  <c r="K133" i="23"/>
  <c r="L133" i="23"/>
  <c r="M133" i="23"/>
  <c r="N133" i="23"/>
  <c r="O133" i="23"/>
  <c r="U133" i="23"/>
  <c r="AC133" i="23"/>
  <c r="AD133" i="23"/>
  <c r="AH133" i="23"/>
  <c r="B134" i="23"/>
  <c r="F134" i="23"/>
  <c r="K134" i="23"/>
  <c r="L134" i="23"/>
  <c r="M134" i="23"/>
  <c r="N134" i="23"/>
  <c r="O134" i="23"/>
  <c r="U134" i="23"/>
  <c r="AC134" i="23"/>
  <c r="AD134" i="23"/>
  <c r="AH134" i="23"/>
  <c r="B135" i="23"/>
  <c r="F135" i="23"/>
  <c r="K135" i="23"/>
  <c r="L135" i="23"/>
  <c r="M135" i="23"/>
  <c r="N135" i="23"/>
  <c r="O135" i="23"/>
  <c r="U135" i="23"/>
  <c r="AC135" i="23"/>
  <c r="AD135" i="23"/>
  <c r="AH135" i="23"/>
  <c r="B136" i="23"/>
  <c r="F136" i="23"/>
  <c r="K136" i="23"/>
  <c r="L136" i="23"/>
  <c r="M136" i="23"/>
  <c r="N136" i="23"/>
  <c r="O136" i="23"/>
  <c r="U136" i="23"/>
  <c r="AC136" i="23"/>
  <c r="AD136" i="23"/>
  <c r="AH136" i="23"/>
  <c r="B137" i="23"/>
  <c r="F137" i="23"/>
  <c r="K137" i="23"/>
  <c r="L137" i="23"/>
  <c r="M137" i="23"/>
  <c r="N137" i="23"/>
  <c r="O137" i="23"/>
  <c r="U137" i="23"/>
  <c r="AC137" i="23"/>
  <c r="AD137" i="23"/>
  <c r="AH137" i="23"/>
  <c r="B138" i="23"/>
  <c r="F138" i="23"/>
  <c r="K138" i="23"/>
  <c r="L138" i="23"/>
  <c r="M138" i="23"/>
  <c r="N138" i="23"/>
  <c r="O138" i="23"/>
  <c r="U138" i="23"/>
  <c r="AC138" i="23"/>
  <c r="AD138" i="23"/>
  <c r="AH138" i="23"/>
  <c r="B139" i="23"/>
  <c r="F139" i="23"/>
  <c r="K139" i="23"/>
  <c r="L139" i="23"/>
  <c r="M139" i="23"/>
  <c r="N139" i="23"/>
  <c r="O139" i="23"/>
  <c r="U139" i="23"/>
  <c r="AC139" i="23"/>
  <c r="AD139" i="23"/>
  <c r="AH139" i="23"/>
  <c r="B140" i="23"/>
  <c r="F140" i="23"/>
  <c r="K140" i="23"/>
  <c r="L140" i="23"/>
  <c r="M140" i="23"/>
  <c r="N140" i="23"/>
  <c r="O140" i="23"/>
  <c r="U140" i="23"/>
  <c r="AC140" i="23"/>
  <c r="AD140" i="23"/>
  <c r="AH140" i="23"/>
  <c r="B141" i="23"/>
  <c r="F141" i="23"/>
  <c r="K141" i="23"/>
  <c r="L141" i="23"/>
  <c r="M141" i="23"/>
  <c r="N141" i="23"/>
  <c r="O141" i="23"/>
  <c r="U141" i="23"/>
  <c r="AC141" i="23"/>
  <c r="AD141" i="23"/>
  <c r="AH141" i="23"/>
  <c r="B142" i="23"/>
  <c r="F142" i="23"/>
  <c r="K142" i="23"/>
  <c r="L142" i="23"/>
  <c r="M142" i="23"/>
  <c r="N142" i="23"/>
  <c r="O142" i="23"/>
  <c r="U142" i="23"/>
  <c r="AC142" i="23"/>
  <c r="AD142" i="23"/>
  <c r="AH142" i="23"/>
  <c r="B143" i="23"/>
  <c r="F143" i="23"/>
  <c r="K143" i="23"/>
  <c r="L143" i="23"/>
  <c r="M143" i="23"/>
  <c r="N143" i="23"/>
  <c r="O143" i="23"/>
  <c r="U143" i="23"/>
  <c r="AC143" i="23"/>
  <c r="AD143" i="23"/>
  <c r="AH143" i="23"/>
  <c r="B144" i="23"/>
  <c r="F144" i="23"/>
  <c r="K144" i="23"/>
  <c r="L144" i="23"/>
  <c r="M144" i="23"/>
  <c r="N144" i="23"/>
  <c r="O144" i="23"/>
  <c r="U144" i="23"/>
  <c r="AC144" i="23"/>
  <c r="AD144" i="23"/>
  <c r="AH144" i="23"/>
  <c r="B145" i="23"/>
  <c r="F145" i="23"/>
  <c r="K145" i="23"/>
  <c r="L145" i="23"/>
  <c r="M145" i="23"/>
  <c r="N145" i="23"/>
  <c r="O145" i="23"/>
  <c r="U145" i="23"/>
  <c r="AC145" i="23"/>
  <c r="AD145" i="23"/>
  <c r="AH145" i="23"/>
  <c r="B146" i="23"/>
  <c r="F146" i="23"/>
  <c r="K146" i="23"/>
  <c r="L146" i="23"/>
  <c r="M146" i="23"/>
  <c r="N146" i="23"/>
  <c r="O146" i="23"/>
  <c r="U146" i="23"/>
  <c r="AC146" i="23"/>
  <c r="AD146" i="23"/>
  <c r="AH146" i="23"/>
  <c r="B147" i="23"/>
  <c r="F147" i="23"/>
  <c r="K147" i="23"/>
  <c r="L147" i="23"/>
  <c r="M147" i="23"/>
  <c r="N147" i="23"/>
  <c r="O147" i="23"/>
  <c r="U147" i="23"/>
  <c r="AC147" i="23"/>
  <c r="AD147" i="23"/>
  <c r="AH147" i="23"/>
  <c r="B148" i="23"/>
  <c r="F148" i="23"/>
  <c r="K148" i="23"/>
  <c r="L148" i="23"/>
  <c r="M148" i="23"/>
  <c r="N148" i="23"/>
  <c r="O148" i="23"/>
  <c r="U148" i="23"/>
  <c r="AC148" i="23"/>
  <c r="AD148" i="23"/>
  <c r="AH148" i="23"/>
  <c r="B149" i="23"/>
  <c r="F149" i="23"/>
  <c r="K149" i="23"/>
  <c r="L149" i="23"/>
  <c r="M149" i="23"/>
  <c r="N149" i="23"/>
  <c r="O149" i="23"/>
  <c r="U149" i="23"/>
  <c r="AC149" i="23"/>
  <c r="AD149" i="23"/>
  <c r="AH149" i="23"/>
  <c r="B150" i="23"/>
  <c r="F150" i="23"/>
  <c r="K150" i="23"/>
  <c r="L150" i="23"/>
  <c r="M150" i="23"/>
  <c r="N150" i="23"/>
  <c r="O150" i="23"/>
  <c r="U150" i="23"/>
  <c r="AC150" i="23"/>
  <c r="AD150" i="23"/>
  <c r="AH150" i="23"/>
  <c r="B151" i="23"/>
  <c r="F151" i="23"/>
  <c r="K151" i="23"/>
  <c r="L151" i="23"/>
  <c r="M151" i="23"/>
  <c r="N151" i="23"/>
  <c r="O151" i="23"/>
  <c r="U151" i="23"/>
  <c r="AC151" i="23"/>
  <c r="AD151" i="23"/>
  <c r="AH151" i="23"/>
  <c r="B152" i="23"/>
  <c r="F152" i="23"/>
  <c r="K152" i="23"/>
  <c r="L152" i="23"/>
  <c r="M152" i="23"/>
  <c r="N152" i="23"/>
  <c r="O152" i="23"/>
  <c r="U152" i="23"/>
  <c r="AC152" i="23"/>
  <c r="AD152" i="23"/>
  <c r="AH152" i="23"/>
  <c r="B153" i="23"/>
  <c r="F153" i="23"/>
  <c r="K153" i="23"/>
  <c r="L153" i="23"/>
  <c r="M153" i="23"/>
  <c r="N153" i="23"/>
  <c r="O153" i="23"/>
  <c r="U153" i="23"/>
  <c r="AC153" i="23"/>
  <c r="AD153" i="23"/>
  <c r="AH153" i="23"/>
  <c r="B154" i="23"/>
  <c r="F154" i="23"/>
  <c r="K154" i="23"/>
  <c r="L154" i="23"/>
  <c r="M154" i="23"/>
  <c r="N154" i="23"/>
  <c r="O154" i="23"/>
  <c r="U154" i="23"/>
  <c r="AC154" i="23"/>
  <c r="AD154" i="23"/>
  <c r="AH154" i="23"/>
  <c r="B155" i="23"/>
  <c r="F155" i="23"/>
  <c r="K155" i="23"/>
  <c r="L155" i="23"/>
  <c r="M155" i="23"/>
  <c r="N155" i="23"/>
  <c r="O155" i="23"/>
  <c r="U155" i="23"/>
  <c r="AC155" i="23"/>
  <c r="AD155" i="23"/>
  <c r="AH155" i="23"/>
  <c r="B156" i="23"/>
  <c r="F156" i="23"/>
  <c r="K156" i="23"/>
  <c r="L156" i="23"/>
  <c r="M156" i="23"/>
  <c r="N156" i="23"/>
  <c r="O156" i="23"/>
  <c r="U156" i="23"/>
  <c r="AC156" i="23"/>
  <c r="AD156" i="23"/>
  <c r="AH156" i="23"/>
  <c r="B157" i="23"/>
  <c r="F157" i="23"/>
  <c r="K157" i="23"/>
  <c r="L157" i="23"/>
  <c r="M157" i="23"/>
  <c r="N157" i="23"/>
  <c r="O157" i="23"/>
  <c r="U157" i="23"/>
  <c r="AC157" i="23"/>
  <c r="AD157" i="23"/>
  <c r="AH157" i="23"/>
  <c r="B158" i="23"/>
  <c r="F158" i="23"/>
  <c r="K158" i="23"/>
  <c r="L158" i="23"/>
  <c r="M158" i="23"/>
  <c r="N158" i="23"/>
  <c r="O158" i="23"/>
  <c r="U158" i="23"/>
  <c r="AC158" i="23"/>
  <c r="AD158" i="23"/>
  <c r="AH158" i="23"/>
  <c r="B159" i="23"/>
  <c r="F159" i="23"/>
  <c r="K159" i="23"/>
  <c r="L159" i="23"/>
  <c r="M159" i="23"/>
  <c r="N159" i="23"/>
  <c r="O159" i="23"/>
  <c r="U159" i="23"/>
  <c r="AC159" i="23"/>
  <c r="AD159" i="23"/>
  <c r="AH159" i="23"/>
  <c r="B160" i="23"/>
  <c r="F160" i="23"/>
  <c r="K160" i="23"/>
  <c r="L160" i="23"/>
  <c r="M160" i="23"/>
  <c r="N160" i="23"/>
  <c r="O160" i="23"/>
  <c r="U160" i="23"/>
  <c r="AC160" i="23"/>
  <c r="AD160" i="23"/>
  <c r="AH160" i="23"/>
  <c r="B161" i="23"/>
  <c r="F161" i="23"/>
  <c r="K161" i="23"/>
  <c r="L161" i="23"/>
  <c r="M161" i="23"/>
  <c r="N161" i="23"/>
  <c r="O161" i="23"/>
  <c r="U161" i="23"/>
  <c r="AC161" i="23"/>
  <c r="AD161" i="23"/>
  <c r="AH161" i="23"/>
  <c r="B162" i="23"/>
  <c r="F162" i="23"/>
  <c r="K162" i="23"/>
  <c r="L162" i="23"/>
  <c r="M162" i="23"/>
  <c r="N162" i="23"/>
  <c r="O162" i="23"/>
  <c r="U162" i="23"/>
  <c r="AC162" i="23"/>
  <c r="AD162" i="23"/>
  <c r="AH162" i="23"/>
  <c r="B163" i="23"/>
  <c r="F163" i="23"/>
  <c r="K163" i="23"/>
  <c r="L163" i="23"/>
  <c r="M163" i="23"/>
  <c r="N163" i="23"/>
  <c r="O163" i="23"/>
  <c r="U163" i="23"/>
  <c r="AC163" i="23"/>
  <c r="AD163" i="23"/>
  <c r="AH163" i="23"/>
  <c r="B164" i="23"/>
  <c r="F164" i="23"/>
  <c r="K164" i="23"/>
  <c r="L164" i="23"/>
  <c r="M164" i="23"/>
  <c r="N164" i="23"/>
  <c r="O164" i="23"/>
  <c r="U164" i="23"/>
  <c r="AC164" i="23"/>
  <c r="AD164" i="23"/>
  <c r="AH164" i="23"/>
  <c r="B165" i="23"/>
  <c r="F165" i="23"/>
  <c r="K165" i="23"/>
  <c r="L165" i="23"/>
  <c r="M165" i="23"/>
  <c r="N165" i="23"/>
  <c r="O165" i="23"/>
  <c r="U165" i="23"/>
  <c r="AC165" i="23"/>
  <c r="AD165" i="23"/>
  <c r="AH165" i="23"/>
  <c r="B166" i="23"/>
  <c r="F166" i="23"/>
  <c r="K166" i="23"/>
  <c r="L166" i="23"/>
  <c r="M166" i="23"/>
  <c r="N166" i="23"/>
  <c r="O166" i="23"/>
  <c r="U166" i="23"/>
  <c r="AC166" i="23"/>
  <c r="AD166" i="23"/>
  <c r="AH166" i="23"/>
  <c r="B167" i="23"/>
  <c r="F167" i="23"/>
  <c r="K167" i="23"/>
  <c r="L167" i="23"/>
  <c r="M167" i="23"/>
  <c r="N167" i="23"/>
  <c r="O167" i="23"/>
  <c r="U167" i="23"/>
  <c r="AC167" i="23"/>
  <c r="AD167" i="23"/>
  <c r="AH167" i="23"/>
  <c r="B168" i="23"/>
  <c r="F168" i="23"/>
  <c r="K168" i="23"/>
  <c r="L168" i="23"/>
  <c r="M168" i="23"/>
  <c r="N168" i="23"/>
  <c r="O168" i="23"/>
  <c r="U168" i="23"/>
  <c r="AC168" i="23"/>
  <c r="AD168" i="23"/>
  <c r="AH168" i="23"/>
  <c r="B169" i="23"/>
  <c r="F169" i="23"/>
  <c r="K169" i="23"/>
  <c r="L169" i="23"/>
  <c r="M169" i="23"/>
  <c r="N169" i="23"/>
  <c r="O169" i="23"/>
  <c r="U169" i="23"/>
  <c r="AC169" i="23"/>
  <c r="AD169" i="23"/>
  <c r="AH169" i="23"/>
  <c r="B170" i="23"/>
  <c r="F170" i="23"/>
  <c r="K170" i="23"/>
  <c r="L170" i="23"/>
  <c r="M170" i="23"/>
  <c r="N170" i="23"/>
  <c r="O170" i="23"/>
  <c r="U170" i="23"/>
  <c r="AC170" i="23"/>
  <c r="AD170" i="23"/>
  <c r="AH170" i="23"/>
  <c r="B171" i="23"/>
  <c r="F171" i="23"/>
  <c r="K171" i="23"/>
  <c r="L171" i="23"/>
  <c r="M171" i="23"/>
  <c r="N171" i="23"/>
  <c r="O171" i="23"/>
  <c r="U171" i="23"/>
  <c r="AC171" i="23"/>
  <c r="AD171" i="23"/>
  <c r="AH171" i="23"/>
  <c r="B172" i="23"/>
  <c r="F172" i="23"/>
  <c r="K172" i="23"/>
  <c r="L172" i="23"/>
  <c r="M172" i="23"/>
  <c r="N172" i="23"/>
  <c r="O172" i="23"/>
  <c r="U172" i="23"/>
  <c r="AC172" i="23"/>
  <c r="AD172" i="23"/>
  <c r="AH172" i="23"/>
  <c r="B173" i="23"/>
  <c r="F173" i="23"/>
  <c r="K173" i="23"/>
  <c r="L173" i="23"/>
  <c r="M173" i="23"/>
  <c r="N173" i="23"/>
  <c r="O173" i="23"/>
  <c r="U173" i="23"/>
  <c r="AC173" i="23"/>
  <c r="AD173" i="23"/>
  <c r="AH173" i="23"/>
  <c r="B174" i="23"/>
  <c r="F174" i="23"/>
  <c r="K174" i="23"/>
  <c r="L174" i="23"/>
  <c r="M174" i="23"/>
  <c r="N174" i="23"/>
  <c r="O174" i="23"/>
  <c r="U174" i="23"/>
  <c r="AC174" i="23"/>
  <c r="AD174" i="23"/>
  <c r="AH174" i="23"/>
  <c r="B175" i="23"/>
  <c r="F175" i="23"/>
  <c r="K175" i="23"/>
  <c r="L175" i="23"/>
  <c r="M175" i="23"/>
  <c r="N175" i="23"/>
  <c r="O175" i="23"/>
  <c r="U175" i="23"/>
  <c r="AC175" i="23"/>
  <c r="AD175" i="23"/>
  <c r="AH175" i="23"/>
  <c r="B176" i="23"/>
  <c r="F176" i="23"/>
  <c r="K176" i="23"/>
  <c r="L176" i="23"/>
  <c r="M176" i="23"/>
  <c r="N176" i="23"/>
  <c r="O176" i="23"/>
  <c r="U176" i="23"/>
  <c r="AC176" i="23"/>
  <c r="AD176" i="23"/>
  <c r="AH176" i="23"/>
  <c r="B177" i="23"/>
  <c r="F177" i="23"/>
  <c r="K177" i="23"/>
  <c r="L177" i="23"/>
  <c r="M177" i="23"/>
  <c r="N177" i="23"/>
  <c r="O177" i="23"/>
  <c r="U177" i="23"/>
  <c r="AC177" i="23"/>
  <c r="AD177" i="23"/>
  <c r="AH177" i="23"/>
  <c r="B178" i="23"/>
  <c r="F178" i="23"/>
  <c r="K178" i="23"/>
  <c r="L178" i="23"/>
  <c r="M178" i="23"/>
  <c r="N178" i="23"/>
  <c r="O178" i="23"/>
  <c r="U178" i="23"/>
  <c r="AC178" i="23"/>
  <c r="AD178" i="23"/>
  <c r="AH178" i="23"/>
  <c r="B179" i="23"/>
  <c r="F179" i="23"/>
  <c r="K179" i="23"/>
  <c r="L179" i="23"/>
  <c r="M179" i="23"/>
  <c r="N179" i="23"/>
  <c r="O179" i="23"/>
  <c r="U179" i="23"/>
  <c r="AC179" i="23"/>
  <c r="AD179" i="23"/>
  <c r="AH179" i="23"/>
  <c r="B180" i="23"/>
  <c r="F180" i="23"/>
  <c r="K180" i="23"/>
  <c r="L180" i="23"/>
  <c r="M180" i="23"/>
  <c r="N180" i="23"/>
  <c r="O180" i="23"/>
  <c r="U180" i="23"/>
  <c r="AC180" i="23"/>
  <c r="AD180" i="23"/>
  <c r="AH180" i="23"/>
  <c r="B181" i="23"/>
  <c r="F181" i="23"/>
  <c r="K181" i="23"/>
  <c r="L181" i="23"/>
  <c r="M181" i="23"/>
  <c r="N181" i="23"/>
  <c r="O181" i="23"/>
  <c r="U181" i="23"/>
  <c r="AC181" i="23"/>
  <c r="AD181" i="23"/>
  <c r="AH181" i="23"/>
  <c r="B182" i="23"/>
  <c r="F182" i="23"/>
  <c r="K182" i="23"/>
  <c r="L182" i="23"/>
  <c r="M182" i="23"/>
  <c r="N182" i="23"/>
  <c r="O182" i="23"/>
  <c r="U182" i="23"/>
  <c r="AC182" i="23"/>
  <c r="AD182" i="23"/>
  <c r="AH182" i="23"/>
  <c r="B183" i="23"/>
  <c r="F183" i="23"/>
  <c r="K183" i="23"/>
  <c r="L183" i="23"/>
  <c r="M183" i="23"/>
  <c r="N183" i="23"/>
  <c r="O183" i="23"/>
  <c r="U183" i="23"/>
  <c r="AC183" i="23"/>
  <c r="AD183" i="23"/>
  <c r="AH183" i="23"/>
  <c r="B184" i="23"/>
  <c r="F184" i="23"/>
  <c r="K184" i="23"/>
  <c r="L184" i="23"/>
  <c r="M184" i="23"/>
  <c r="N184" i="23"/>
  <c r="O184" i="23"/>
  <c r="U184" i="23"/>
  <c r="AC184" i="23"/>
  <c r="AD184" i="23"/>
  <c r="AH184" i="23"/>
  <c r="B185" i="23"/>
  <c r="F185" i="23"/>
  <c r="K185" i="23"/>
  <c r="L185" i="23"/>
  <c r="M185" i="23"/>
  <c r="N185" i="23"/>
  <c r="O185" i="23"/>
  <c r="U185" i="23"/>
  <c r="AC185" i="23"/>
  <c r="AD185" i="23"/>
  <c r="AH185" i="23"/>
  <c r="B186" i="23"/>
  <c r="F186" i="23"/>
  <c r="K186" i="23"/>
  <c r="L186" i="23"/>
  <c r="M186" i="23"/>
  <c r="N186" i="23"/>
  <c r="O186" i="23"/>
  <c r="U186" i="23"/>
  <c r="AC186" i="23"/>
  <c r="AD186" i="23"/>
  <c r="AH186" i="23"/>
  <c r="B187" i="23"/>
  <c r="F187" i="23"/>
  <c r="K187" i="23"/>
  <c r="L187" i="23"/>
  <c r="M187" i="23"/>
  <c r="N187" i="23"/>
  <c r="O187" i="23"/>
  <c r="U187" i="23"/>
  <c r="AC187" i="23"/>
  <c r="AD187" i="23"/>
  <c r="AH187" i="23"/>
  <c r="B188" i="23"/>
  <c r="F188" i="23"/>
  <c r="K188" i="23"/>
  <c r="L188" i="23"/>
  <c r="M188" i="23"/>
  <c r="N188" i="23"/>
  <c r="O188" i="23"/>
  <c r="U188" i="23"/>
  <c r="AC188" i="23"/>
  <c r="AD188" i="23"/>
  <c r="AH188" i="23"/>
  <c r="B189" i="23"/>
  <c r="F189" i="23"/>
  <c r="K189" i="23"/>
  <c r="L189" i="23"/>
  <c r="M189" i="23"/>
  <c r="N189" i="23"/>
  <c r="O189" i="23"/>
  <c r="U189" i="23"/>
  <c r="AC189" i="23"/>
  <c r="AD189" i="23"/>
  <c r="AH189" i="23"/>
  <c r="B190" i="23"/>
  <c r="F190" i="23"/>
  <c r="K190" i="23"/>
  <c r="L190" i="23"/>
  <c r="M190" i="23"/>
  <c r="N190" i="23"/>
  <c r="O190" i="23"/>
  <c r="U190" i="23"/>
  <c r="AC190" i="23"/>
  <c r="AD190" i="23"/>
  <c r="AH190" i="23"/>
  <c r="B191" i="23"/>
  <c r="F191" i="23"/>
  <c r="K191" i="23"/>
  <c r="L191" i="23"/>
  <c r="M191" i="23"/>
  <c r="N191" i="23"/>
  <c r="O191" i="23"/>
  <c r="U191" i="23"/>
  <c r="AC191" i="23"/>
  <c r="AD191" i="23"/>
  <c r="AH191" i="23"/>
  <c r="B192" i="23"/>
  <c r="F192" i="23"/>
  <c r="K192" i="23"/>
  <c r="L192" i="23"/>
  <c r="M192" i="23"/>
  <c r="N192" i="23"/>
  <c r="O192" i="23"/>
  <c r="U192" i="23"/>
  <c r="AC192" i="23"/>
  <c r="AD192" i="23"/>
  <c r="AH192" i="23"/>
  <c r="B193" i="23"/>
  <c r="F193" i="23"/>
  <c r="K193" i="23"/>
  <c r="L193" i="23"/>
  <c r="M193" i="23"/>
  <c r="N193" i="23"/>
  <c r="O193" i="23"/>
  <c r="U193" i="23"/>
  <c r="AC193" i="23"/>
  <c r="AD193" i="23"/>
  <c r="AH193" i="23"/>
  <c r="B194" i="23"/>
  <c r="F194" i="23"/>
  <c r="K194" i="23"/>
  <c r="L194" i="23"/>
  <c r="M194" i="23"/>
  <c r="N194" i="23"/>
  <c r="O194" i="23"/>
  <c r="U194" i="23"/>
  <c r="AC194" i="23"/>
  <c r="AD194" i="23"/>
  <c r="AH194" i="23"/>
  <c r="B195" i="23"/>
  <c r="F195" i="23"/>
  <c r="K195" i="23"/>
  <c r="L195" i="23"/>
  <c r="M195" i="23"/>
  <c r="N195" i="23"/>
  <c r="O195" i="23"/>
  <c r="U195" i="23"/>
  <c r="AC195" i="23"/>
  <c r="AD195" i="23"/>
  <c r="AH195" i="23"/>
  <c r="B196" i="23"/>
  <c r="F196" i="23"/>
  <c r="K196" i="23"/>
  <c r="L196" i="23"/>
  <c r="M196" i="23"/>
  <c r="N196" i="23"/>
  <c r="O196" i="23"/>
  <c r="U196" i="23"/>
  <c r="AC196" i="23"/>
  <c r="AD196" i="23"/>
  <c r="AH196" i="23"/>
  <c r="B197" i="23"/>
  <c r="F197" i="23"/>
  <c r="K197" i="23"/>
  <c r="L197" i="23"/>
  <c r="M197" i="23"/>
  <c r="N197" i="23"/>
  <c r="O197" i="23"/>
  <c r="U197" i="23"/>
  <c r="AC197" i="23"/>
  <c r="AD197" i="23"/>
  <c r="AH197" i="23"/>
  <c r="B198" i="23"/>
  <c r="F198" i="23"/>
  <c r="K198" i="23"/>
  <c r="L198" i="23"/>
  <c r="M198" i="23"/>
  <c r="N198" i="23"/>
  <c r="O198" i="23"/>
  <c r="U198" i="23"/>
  <c r="AC198" i="23"/>
  <c r="AD198" i="23"/>
  <c r="AH198" i="23"/>
  <c r="B199" i="23"/>
  <c r="F199" i="23"/>
  <c r="K199" i="23"/>
  <c r="L199" i="23"/>
  <c r="M199" i="23"/>
  <c r="N199" i="23"/>
  <c r="O199" i="23"/>
  <c r="U199" i="23"/>
  <c r="AC199" i="23"/>
  <c r="AD199" i="23"/>
  <c r="AH199" i="23"/>
  <c r="B200" i="23"/>
  <c r="F200" i="23"/>
  <c r="K200" i="23"/>
  <c r="L200" i="23"/>
  <c r="M200" i="23"/>
  <c r="N200" i="23"/>
  <c r="O200" i="23"/>
  <c r="U200" i="23"/>
  <c r="AC200" i="23"/>
  <c r="AD200" i="23"/>
  <c r="AH200" i="23"/>
  <c r="B201" i="23"/>
  <c r="F201" i="23"/>
  <c r="K201" i="23"/>
  <c r="L201" i="23"/>
  <c r="M201" i="23"/>
  <c r="N201" i="23"/>
  <c r="O201" i="23"/>
  <c r="U201" i="23"/>
  <c r="AC201" i="23"/>
  <c r="AD201" i="23"/>
  <c r="AH201" i="23"/>
  <c r="B202" i="23"/>
  <c r="F202" i="23"/>
  <c r="K202" i="23"/>
  <c r="L202" i="23"/>
  <c r="M202" i="23"/>
  <c r="N202" i="23"/>
  <c r="O202" i="23"/>
  <c r="U202" i="23"/>
  <c r="AC202" i="23"/>
  <c r="AD202" i="23"/>
  <c r="AH202" i="23"/>
  <c r="B203" i="23"/>
  <c r="F203" i="23"/>
  <c r="K203" i="23"/>
  <c r="L203" i="23"/>
  <c r="M203" i="23"/>
  <c r="N203" i="23"/>
  <c r="O203" i="23"/>
  <c r="U203" i="23"/>
  <c r="AC203" i="23"/>
  <c r="AD203" i="23"/>
  <c r="AH203" i="23"/>
  <c r="B204" i="23"/>
  <c r="F204" i="23"/>
  <c r="K204" i="23"/>
  <c r="L204" i="23"/>
  <c r="M204" i="23"/>
  <c r="N204" i="23"/>
  <c r="O204" i="23"/>
  <c r="U204" i="23"/>
  <c r="AC204" i="23"/>
  <c r="AD204" i="23"/>
  <c r="AH204" i="23"/>
  <c r="B205" i="23"/>
  <c r="F205" i="23"/>
  <c r="K205" i="23"/>
  <c r="L205" i="23"/>
  <c r="M205" i="23"/>
  <c r="N205" i="23"/>
  <c r="O205" i="23"/>
  <c r="U205" i="23"/>
  <c r="AC205" i="23"/>
  <c r="AD205" i="23"/>
  <c r="AH205" i="23"/>
  <c r="B206" i="23"/>
  <c r="F206" i="23"/>
  <c r="K206" i="23"/>
  <c r="L206" i="23"/>
  <c r="M206" i="23"/>
  <c r="N206" i="23"/>
  <c r="O206" i="23"/>
  <c r="U206" i="23"/>
  <c r="AC206" i="23"/>
  <c r="AD206" i="23"/>
  <c r="AH206" i="23"/>
  <c r="B207" i="23"/>
  <c r="F207" i="23"/>
  <c r="K207" i="23"/>
  <c r="L207" i="23"/>
  <c r="M207" i="23"/>
  <c r="N207" i="23"/>
  <c r="O207" i="23"/>
  <c r="U207" i="23"/>
  <c r="AC207" i="23"/>
  <c r="AD207" i="23"/>
  <c r="AH207" i="23"/>
  <c r="B208" i="23"/>
  <c r="F208" i="23"/>
  <c r="K208" i="23"/>
  <c r="L208" i="23"/>
  <c r="M208" i="23"/>
  <c r="N208" i="23"/>
  <c r="O208" i="23"/>
  <c r="U208" i="23"/>
  <c r="AC208" i="23"/>
  <c r="AD208" i="23"/>
  <c r="AH208" i="23"/>
  <c r="B209" i="23"/>
  <c r="F209" i="23"/>
  <c r="K209" i="23"/>
  <c r="L209" i="23"/>
  <c r="M209" i="23"/>
  <c r="N209" i="23"/>
  <c r="O209" i="23"/>
  <c r="U209" i="23"/>
  <c r="AC209" i="23"/>
  <c r="AD209" i="23"/>
  <c r="AH209" i="23"/>
  <c r="B210" i="23"/>
  <c r="F210" i="23"/>
  <c r="K210" i="23"/>
  <c r="L210" i="23"/>
  <c r="M210" i="23"/>
  <c r="N210" i="23"/>
  <c r="O210" i="23"/>
  <c r="U210" i="23"/>
  <c r="AC210" i="23"/>
  <c r="AD210" i="23"/>
  <c r="AH210" i="23"/>
  <c r="B211" i="23"/>
  <c r="F211" i="23"/>
  <c r="K211" i="23"/>
  <c r="L211" i="23"/>
  <c r="M211" i="23"/>
  <c r="N211" i="23"/>
  <c r="O211" i="23"/>
  <c r="U211" i="23"/>
  <c r="AC211" i="23"/>
  <c r="AD211" i="23"/>
  <c r="AH211" i="23"/>
  <c r="B212" i="23"/>
  <c r="F212" i="23"/>
  <c r="K212" i="23"/>
  <c r="L212" i="23"/>
  <c r="M212" i="23"/>
  <c r="N212" i="23"/>
  <c r="O212" i="23"/>
  <c r="U212" i="23"/>
  <c r="AC212" i="23"/>
  <c r="AD212" i="23"/>
  <c r="AH212" i="23"/>
  <c r="B213" i="23"/>
  <c r="F213" i="23"/>
  <c r="K213" i="23"/>
  <c r="L213" i="23"/>
  <c r="M213" i="23"/>
  <c r="N213" i="23"/>
  <c r="O213" i="23"/>
  <c r="U213" i="23"/>
  <c r="AC213" i="23"/>
  <c r="AD213" i="23"/>
  <c r="AH213" i="23"/>
  <c r="B214" i="23"/>
  <c r="F214" i="23"/>
  <c r="K214" i="23"/>
  <c r="L214" i="23"/>
  <c r="M214" i="23"/>
  <c r="N214" i="23"/>
  <c r="O214" i="23"/>
  <c r="U214" i="23"/>
  <c r="AC214" i="23"/>
  <c r="AD214" i="23"/>
  <c r="AH214" i="23"/>
  <c r="B215" i="23"/>
  <c r="F215" i="23"/>
  <c r="K215" i="23"/>
  <c r="L215" i="23"/>
  <c r="M215" i="23"/>
  <c r="N215" i="23"/>
  <c r="O215" i="23"/>
  <c r="U215" i="23"/>
  <c r="AC215" i="23"/>
  <c r="AD215" i="23"/>
  <c r="AH215" i="23"/>
  <c r="B216" i="23"/>
  <c r="F216" i="23"/>
  <c r="K216" i="23"/>
  <c r="L216" i="23"/>
  <c r="M216" i="23"/>
  <c r="N216" i="23"/>
  <c r="O216" i="23"/>
  <c r="U216" i="23"/>
  <c r="AC216" i="23"/>
  <c r="AD216" i="23"/>
  <c r="AH216" i="23"/>
  <c r="B217" i="23"/>
  <c r="F217" i="23"/>
  <c r="K217" i="23"/>
  <c r="L217" i="23"/>
  <c r="M217" i="23"/>
  <c r="N217" i="23"/>
  <c r="O217" i="23"/>
  <c r="U217" i="23"/>
  <c r="AC217" i="23"/>
  <c r="AD217" i="23"/>
  <c r="AH217" i="23"/>
  <c r="B218" i="23"/>
  <c r="F218" i="23"/>
  <c r="K218" i="23"/>
  <c r="L218" i="23"/>
  <c r="M218" i="23"/>
  <c r="N218" i="23"/>
  <c r="O218" i="23"/>
  <c r="U218" i="23"/>
  <c r="AC218" i="23"/>
  <c r="AD218" i="23"/>
  <c r="AH218" i="23"/>
  <c r="B219" i="23"/>
  <c r="F219" i="23"/>
  <c r="K219" i="23"/>
  <c r="L219" i="23"/>
  <c r="M219" i="23"/>
  <c r="N219" i="23"/>
  <c r="O219" i="23"/>
  <c r="U219" i="23"/>
  <c r="AC219" i="23"/>
  <c r="AD219" i="23"/>
  <c r="AH219" i="23"/>
  <c r="B220" i="23"/>
  <c r="F220" i="23"/>
  <c r="K220" i="23"/>
  <c r="L220" i="23"/>
  <c r="M220" i="23"/>
  <c r="N220" i="23"/>
  <c r="O220" i="23"/>
  <c r="U220" i="23"/>
  <c r="AC220" i="23"/>
  <c r="AD220" i="23"/>
  <c r="AH220" i="23"/>
  <c r="B221" i="23"/>
  <c r="F221" i="23"/>
  <c r="K221" i="23"/>
  <c r="L221" i="23"/>
  <c r="M221" i="23"/>
  <c r="N221" i="23"/>
  <c r="O221" i="23"/>
  <c r="U221" i="23"/>
  <c r="AC221" i="23"/>
  <c r="AD221" i="23"/>
  <c r="AH221" i="23"/>
  <c r="B222" i="23"/>
  <c r="F222" i="23"/>
  <c r="K222" i="23"/>
  <c r="L222" i="23"/>
  <c r="M222" i="23"/>
  <c r="N222" i="23"/>
  <c r="O222" i="23"/>
  <c r="U222" i="23"/>
  <c r="AC222" i="23"/>
  <c r="AD222" i="23"/>
  <c r="AH222" i="23"/>
  <c r="B223" i="23"/>
  <c r="F223" i="23"/>
  <c r="K223" i="23"/>
  <c r="L223" i="23"/>
  <c r="M223" i="23"/>
  <c r="N223" i="23"/>
  <c r="O223" i="23"/>
  <c r="U223" i="23"/>
  <c r="AC223" i="23"/>
  <c r="AD223" i="23"/>
  <c r="AH223" i="23"/>
  <c r="B224" i="23"/>
  <c r="F224" i="23"/>
  <c r="K224" i="23"/>
  <c r="L224" i="23"/>
  <c r="M224" i="23"/>
  <c r="N224" i="23"/>
  <c r="O224" i="23"/>
  <c r="U224" i="23"/>
  <c r="AC224" i="23"/>
  <c r="AD224" i="23"/>
  <c r="AH224" i="23"/>
  <c r="B225" i="23"/>
  <c r="F225" i="23"/>
  <c r="K225" i="23"/>
  <c r="L225" i="23"/>
  <c r="M225" i="23"/>
  <c r="N225" i="23"/>
  <c r="O225" i="23"/>
  <c r="U225" i="23"/>
  <c r="AC225" i="23"/>
  <c r="AD225" i="23"/>
  <c r="AH225" i="23"/>
  <c r="B226" i="23"/>
  <c r="F226" i="23"/>
  <c r="K226" i="23"/>
  <c r="L226" i="23"/>
  <c r="M226" i="23"/>
  <c r="N226" i="23"/>
  <c r="O226" i="23"/>
  <c r="U226" i="23"/>
  <c r="AC226" i="23"/>
  <c r="AD226" i="23"/>
  <c r="AH226" i="23"/>
  <c r="B227" i="23"/>
  <c r="F227" i="23"/>
  <c r="K227" i="23"/>
  <c r="L227" i="23"/>
  <c r="M227" i="23"/>
  <c r="N227" i="23"/>
  <c r="O227" i="23"/>
  <c r="U227" i="23"/>
  <c r="AC227" i="23"/>
  <c r="AD227" i="23"/>
  <c r="AH227" i="23"/>
  <c r="B228" i="23"/>
  <c r="F228" i="23"/>
  <c r="K228" i="23"/>
  <c r="L228" i="23"/>
  <c r="M228" i="23"/>
  <c r="N228" i="23"/>
  <c r="O228" i="23"/>
  <c r="U228" i="23"/>
  <c r="AC228" i="23"/>
  <c r="AD228" i="23"/>
  <c r="AH228" i="23"/>
  <c r="B229" i="23"/>
  <c r="F229" i="23"/>
  <c r="K229" i="23"/>
  <c r="L229" i="23"/>
  <c r="M229" i="23"/>
  <c r="N229" i="23"/>
  <c r="O229" i="23"/>
  <c r="U229" i="23"/>
  <c r="AC229" i="23"/>
  <c r="AD229" i="23"/>
  <c r="AH229" i="23"/>
  <c r="B230" i="23"/>
  <c r="F230" i="23"/>
  <c r="K230" i="23"/>
  <c r="L230" i="23"/>
  <c r="M230" i="23"/>
  <c r="N230" i="23"/>
  <c r="O230" i="23"/>
  <c r="U230" i="23"/>
  <c r="AC230" i="23"/>
  <c r="AD230" i="23"/>
  <c r="AH230" i="23"/>
  <c r="B231" i="23"/>
  <c r="F231" i="23"/>
  <c r="K231" i="23"/>
  <c r="L231" i="23"/>
  <c r="M231" i="23"/>
  <c r="N231" i="23"/>
  <c r="O231" i="23"/>
  <c r="U231" i="23"/>
  <c r="AC231" i="23"/>
  <c r="AD231" i="23"/>
  <c r="AH231" i="23"/>
  <c r="B232" i="23"/>
  <c r="F232" i="23"/>
  <c r="K232" i="23"/>
  <c r="L232" i="23"/>
  <c r="M232" i="23"/>
  <c r="N232" i="23"/>
  <c r="O232" i="23"/>
  <c r="U232" i="23"/>
  <c r="AC232" i="23"/>
  <c r="AD232" i="23"/>
  <c r="AH232" i="23"/>
  <c r="B233" i="23"/>
  <c r="F233" i="23"/>
  <c r="K233" i="23"/>
  <c r="L233" i="23"/>
  <c r="M233" i="23"/>
  <c r="N233" i="23"/>
  <c r="O233" i="23"/>
  <c r="U233" i="23"/>
  <c r="AC233" i="23"/>
  <c r="AD233" i="23"/>
  <c r="AH233" i="23"/>
  <c r="B234" i="23"/>
  <c r="F234" i="23"/>
  <c r="K234" i="23"/>
  <c r="L234" i="23"/>
  <c r="M234" i="23"/>
  <c r="N234" i="23"/>
  <c r="O234" i="23"/>
  <c r="U234" i="23"/>
  <c r="AC234" i="23"/>
  <c r="AD234" i="23"/>
  <c r="AH234" i="23"/>
  <c r="B235" i="23"/>
  <c r="F235" i="23"/>
  <c r="K235" i="23"/>
  <c r="L235" i="23"/>
  <c r="M235" i="23"/>
  <c r="N235" i="23"/>
  <c r="O235" i="23"/>
  <c r="U235" i="23"/>
  <c r="AC235" i="23"/>
  <c r="AD235" i="23"/>
  <c r="AH235" i="23"/>
  <c r="B236" i="23"/>
  <c r="F236" i="23"/>
  <c r="K236" i="23"/>
  <c r="L236" i="23"/>
  <c r="M236" i="23"/>
  <c r="N236" i="23"/>
  <c r="O236" i="23"/>
  <c r="U236" i="23"/>
  <c r="AC236" i="23"/>
  <c r="AD236" i="23"/>
  <c r="AH236" i="23"/>
  <c r="B237" i="23"/>
  <c r="F237" i="23"/>
  <c r="K237" i="23"/>
  <c r="L237" i="23"/>
  <c r="M237" i="23"/>
  <c r="N237" i="23"/>
  <c r="O237" i="23"/>
  <c r="U237" i="23"/>
  <c r="AC237" i="23"/>
  <c r="AD237" i="23"/>
  <c r="AH237" i="23"/>
  <c r="B238" i="23"/>
  <c r="F238" i="23"/>
  <c r="K238" i="23"/>
  <c r="L238" i="23"/>
  <c r="M238" i="23"/>
  <c r="N238" i="23"/>
  <c r="O238" i="23"/>
  <c r="U238" i="23"/>
  <c r="AC238" i="23"/>
  <c r="AD238" i="23"/>
  <c r="AH238" i="23"/>
  <c r="B239" i="23"/>
  <c r="F239" i="23"/>
  <c r="K239" i="23"/>
  <c r="L239" i="23"/>
  <c r="M239" i="23"/>
  <c r="N239" i="23"/>
  <c r="O239" i="23"/>
  <c r="U239" i="23"/>
  <c r="AC239" i="23"/>
  <c r="AD239" i="23"/>
  <c r="AH239" i="23"/>
  <c r="B240" i="23"/>
  <c r="F240" i="23"/>
  <c r="K240" i="23"/>
  <c r="L240" i="23"/>
  <c r="M240" i="23"/>
  <c r="N240" i="23"/>
  <c r="O240" i="23"/>
  <c r="U240" i="23"/>
  <c r="AC240" i="23"/>
  <c r="AD240" i="23"/>
  <c r="AH240" i="23"/>
  <c r="B241" i="23"/>
  <c r="F241" i="23"/>
  <c r="K241" i="23"/>
  <c r="L241" i="23"/>
  <c r="M241" i="23"/>
  <c r="N241" i="23"/>
  <c r="O241" i="23"/>
  <c r="U241" i="23"/>
  <c r="AC241" i="23"/>
  <c r="AD241" i="23"/>
  <c r="AH241" i="23"/>
  <c r="B242" i="23"/>
  <c r="F242" i="23"/>
  <c r="K242" i="23"/>
  <c r="L242" i="23"/>
  <c r="M242" i="23"/>
  <c r="N242" i="23"/>
  <c r="O242" i="23"/>
  <c r="U242" i="23"/>
  <c r="AC242" i="23"/>
  <c r="AD242" i="23"/>
  <c r="AH242" i="23"/>
  <c r="B243" i="23"/>
  <c r="F243" i="23"/>
  <c r="K243" i="23"/>
  <c r="L243" i="23"/>
  <c r="M243" i="23"/>
  <c r="N243" i="23"/>
  <c r="O243" i="23"/>
  <c r="U243" i="23"/>
  <c r="AC243" i="23"/>
  <c r="AD243" i="23"/>
  <c r="AH243" i="23"/>
  <c r="B244" i="23"/>
  <c r="F244" i="23"/>
  <c r="K244" i="23"/>
  <c r="L244" i="23"/>
  <c r="M244" i="23"/>
  <c r="N244" i="23"/>
  <c r="O244" i="23"/>
  <c r="U244" i="23"/>
  <c r="AC244" i="23"/>
  <c r="AD244" i="23"/>
  <c r="AH244" i="23"/>
  <c r="B245" i="23"/>
  <c r="F245" i="23"/>
  <c r="K245" i="23"/>
  <c r="L245" i="23"/>
  <c r="M245" i="23"/>
  <c r="N245" i="23"/>
  <c r="O245" i="23"/>
  <c r="U245" i="23"/>
  <c r="AC245" i="23"/>
  <c r="AD245" i="23"/>
  <c r="AH245" i="23"/>
  <c r="B246" i="23"/>
  <c r="F246" i="23"/>
  <c r="K246" i="23"/>
  <c r="L246" i="23"/>
  <c r="M246" i="23"/>
  <c r="N246" i="23"/>
  <c r="O246" i="23"/>
  <c r="U246" i="23"/>
  <c r="AC246" i="23"/>
  <c r="AD246" i="23"/>
  <c r="AH246" i="23"/>
  <c r="B247" i="23"/>
  <c r="F247" i="23"/>
  <c r="K247" i="23"/>
  <c r="L247" i="23"/>
  <c r="M247" i="23"/>
  <c r="N247" i="23"/>
  <c r="O247" i="23"/>
  <c r="U247" i="23"/>
  <c r="AC247" i="23"/>
  <c r="AD247" i="23"/>
  <c r="AH247" i="23"/>
  <c r="B248" i="23"/>
  <c r="F248" i="23"/>
  <c r="K248" i="23"/>
  <c r="L248" i="23"/>
  <c r="M248" i="23"/>
  <c r="N248" i="23"/>
  <c r="O248" i="23"/>
  <c r="U248" i="23"/>
  <c r="AC248" i="23"/>
  <c r="AD248" i="23"/>
  <c r="AH248" i="23"/>
  <c r="B249" i="23"/>
  <c r="F249" i="23"/>
  <c r="K249" i="23"/>
  <c r="L249" i="23"/>
  <c r="M249" i="23"/>
  <c r="N249" i="23"/>
  <c r="O249" i="23"/>
  <c r="U249" i="23"/>
  <c r="AC249" i="23"/>
  <c r="AD249" i="23"/>
  <c r="AH249" i="23"/>
  <c r="B250" i="23"/>
  <c r="F250" i="23"/>
  <c r="K250" i="23"/>
  <c r="L250" i="23"/>
  <c r="M250" i="23"/>
  <c r="N250" i="23"/>
  <c r="O250" i="23"/>
  <c r="U250" i="23"/>
  <c r="AC250" i="23"/>
  <c r="AD250" i="23"/>
  <c r="AH250" i="23"/>
  <c r="B251" i="23"/>
  <c r="F251" i="23"/>
  <c r="K251" i="23"/>
  <c r="L251" i="23"/>
  <c r="M251" i="23"/>
  <c r="N251" i="23"/>
  <c r="O251" i="23"/>
  <c r="U251" i="23"/>
  <c r="AC251" i="23"/>
  <c r="AD251" i="23"/>
  <c r="AH251" i="23"/>
  <c r="B252" i="23"/>
  <c r="F252" i="23"/>
  <c r="K252" i="23"/>
  <c r="L252" i="23"/>
  <c r="M252" i="23"/>
  <c r="N252" i="23"/>
  <c r="O252" i="23"/>
  <c r="U252" i="23"/>
  <c r="AC252" i="23"/>
  <c r="AD252" i="23"/>
  <c r="AH252" i="23"/>
  <c r="B253" i="23"/>
  <c r="F253" i="23"/>
  <c r="K253" i="23"/>
  <c r="L253" i="23"/>
  <c r="M253" i="23"/>
  <c r="N253" i="23"/>
  <c r="O253" i="23"/>
  <c r="U253" i="23"/>
  <c r="AC253" i="23"/>
  <c r="AD253" i="23"/>
  <c r="AH253" i="23"/>
  <c r="B254" i="23"/>
  <c r="F254" i="23"/>
  <c r="K254" i="23"/>
  <c r="L254" i="23"/>
  <c r="M254" i="23"/>
  <c r="N254" i="23"/>
  <c r="O254" i="23"/>
  <c r="U254" i="23"/>
  <c r="AC254" i="23"/>
  <c r="AD254" i="23"/>
  <c r="AH254" i="23"/>
  <c r="B255" i="23"/>
  <c r="F255" i="23"/>
  <c r="K255" i="23"/>
  <c r="L255" i="23"/>
  <c r="M255" i="23"/>
  <c r="N255" i="23"/>
  <c r="O255" i="23"/>
  <c r="U255" i="23"/>
  <c r="AC255" i="23"/>
  <c r="AD255" i="23"/>
  <c r="AH255" i="23"/>
  <c r="B256" i="23"/>
  <c r="F256" i="23"/>
  <c r="K256" i="23"/>
  <c r="L256" i="23"/>
  <c r="M256" i="23"/>
  <c r="N256" i="23"/>
  <c r="O256" i="23"/>
  <c r="U256" i="23"/>
  <c r="AC256" i="23"/>
  <c r="AD256" i="23"/>
  <c r="AH256" i="23"/>
  <c r="B257" i="23"/>
  <c r="F257" i="23"/>
  <c r="K257" i="23"/>
  <c r="L257" i="23"/>
  <c r="M257" i="23"/>
  <c r="N257" i="23"/>
  <c r="O257" i="23"/>
  <c r="U257" i="23"/>
  <c r="AC257" i="23"/>
  <c r="AD257" i="23"/>
  <c r="AH257" i="23"/>
  <c r="B258" i="23"/>
  <c r="F258" i="23"/>
  <c r="K258" i="23"/>
  <c r="L258" i="23"/>
  <c r="M258" i="23"/>
  <c r="N258" i="23"/>
  <c r="O258" i="23"/>
  <c r="U258" i="23"/>
  <c r="AC258" i="23"/>
  <c r="AD258" i="23"/>
  <c r="AH258" i="23"/>
  <c r="B259" i="23"/>
  <c r="F259" i="23"/>
  <c r="K259" i="23"/>
  <c r="L259" i="23"/>
  <c r="M259" i="23"/>
  <c r="N259" i="23"/>
  <c r="O259" i="23"/>
  <c r="U259" i="23"/>
  <c r="AC259" i="23"/>
  <c r="AD259" i="23"/>
  <c r="AH259" i="23"/>
  <c r="B260" i="23"/>
  <c r="F260" i="23"/>
  <c r="K260" i="23"/>
  <c r="L260" i="23"/>
  <c r="M260" i="23"/>
  <c r="N260" i="23"/>
  <c r="O260" i="23"/>
  <c r="U260" i="23"/>
  <c r="AC260" i="23"/>
  <c r="AD260" i="23"/>
  <c r="AH260" i="23"/>
  <c r="B261" i="23"/>
  <c r="F261" i="23"/>
  <c r="K261" i="23"/>
  <c r="L261" i="23"/>
  <c r="M261" i="23"/>
  <c r="N261" i="23"/>
  <c r="O261" i="23"/>
  <c r="U261" i="23"/>
  <c r="AC261" i="23"/>
  <c r="AD261" i="23"/>
  <c r="AH261" i="23"/>
  <c r="B262" i="23"/>
  <c r="F262" i="23"/>
  <c r="K262" i="23"/>
  <c r="L262" i="23"/>
  <c r="M262" i="23"/>
  <c r="N262" i="23"/>
  <c r="O262" i="23"/>
  <c r="U262" i="23"/>
  <c r="AC262" i="23"/>
  <c r="AD262" i="23"/>
  <c r="AH262" i="23"/>
  <c r="B263" i="23"/>
  <c r="F263" i="23"/>
  <c r="K263" i="23"/>
  <c r="L263" i="23"/>
  <c r="M263" i="23"/>
  <c r="N263" i="23"/>
  <c r="O263" i="23"/>
  <c r="U263" i="23"/>
  <c r="AC263" i="23"/>
  <c r="AD263" i="23"/>
  <c r="AH263" i="23"/>
  <c r="B264" i="23"/>
  <c r="F264" i="23"/>
  <c r="K264" i="23"/>
  <c r="L264" i="23"/>
  <c r="M264" i="23"/>
  <c r="N264" i="23"/>
  <c r="O264" i="23"/>
  <c r="U264" i="23"/>
  <c r="AC264" i="23"/>
  <c r="AD264" i="23"/>
  <c r="AH264" i="23"/>
  <c r="B265" i="23"/>
  <c r="F265" i="23"/>
  <c r="K265" i="23"/>
  <c r="L265" i="23"/>
  <c r="M265" i="23"/>
  <c r="N265" i="23"/>
  <c r="O265" i="23"/>
  <c r="U265" i="23"/>
  <c r="AC265" i="23"/>
  <c r="AD265" i="23"/>
  <c r="AH265" i="23"/>
  <c r="B266" i="23"/>
  <c r="F266" i="23"/>
  <c r="K266" i="23"/>
  <c r="L266" i="23"/>
  <c r="M266" i="23"/>
  <c r="N266" i="23"/>
  <c r="O266" i="23"/>
  <c r="U266" i="23"/>
  <c r="AC266" i="23"/>
  <c r="AD266" i="23"/>
  <c r="AH266" i="23"/>
  <c r="B267" i="23"/>
  <c r="F267" i="23"/>
  <c r="K267" i="23"/>
  <c r="L267" i="23"/>
  <c r="M267" i="23"/>
  <c r="N267" i="23"/>
  <c r="O267" i="23"/>
  <c r="U267" i="23"/>
  <c r="AC267" i="23"/>
  <c r="AD267" i="23"/>
  <c r="AH267" i="23"/>
  <c r="B268" i="23"/>
  <c r="F268" i="23"/>
  <c r="K268" i="23"/>
  <c r="L268" i="23"/>
  <c r="M268" i="23"/>
  <c r="N268" i="23"/>
  <c r="O268" i="23"/>
  <c r="U268" i="23"/>
  <c r="AC268" i="23"/>
  <c r="AD268" i="23"/>
  <c r="AH268" i="23"/>
  <c r="B269" i="23"/>
  <c r="F269" i="23"/>
  <c r="K269" i="23"/>
  <c r="L269" i="23"/>
  <c r="M269" i="23"/>
  <c r="N269" i="23"/>
  <c r="O269" i="23"/>
  <c r="U269" i="23"/>
  <c r="AC269" i="23"/>
  <c r="AD269" i="23"/>
  <c r="AH269" i="23"/>
  <c r="B270" i="23"/>
  <c r="F270" i="23"/>
  <c r="K270" i="23"/>
  <c r="L270" i="23"/>
  <c r="M270" i="23"/>
  <c r="N270" i="23"/>
  <c r="O270" i="23"/>
  <c r="U270" i="23"/>
  <c r="AC270" i="23"/>
  <c r="AD270" i="23"/>
  <c r="AH270" i="23"/>
  <c r="B271" i="23"/>
  <c r="F271" i="23"/>
  <c r="K271" i="23"/>
  <c r="L271" i="23"/>
  <c r="M271" i="23"/>
  <c r="N271" i="23"/>
  <c r="O271" i="23"/>
  <c r="U271" i="23"/>
  <c r="AC271" i="23"/>
  <c r="AD271" i="23"/>
  <c r="AH271" i="23"/>
  <c r="B272" i="23"/>
  <c r="F272" i="23"/>
  <c r="K272" i="23"/>
  <c r="L272" i="23"/>
  <c r="M272" i="23"/>
  <c r="N272" i="23"/>
  <c r="O272" i="23"/>
  <c r="U272" i="23"/>
  <c r="AC272" i="23"/>
  <c r="AD272" i="23"/>
  <c r="AH272" i="23"/>
  <c r="B273" i="23"/>
  <c r="F273" i="23"/>
  <c r="K273" i="23"/>
  <c r="L273" i="23"/>
  <c r="M273" i="23"/>
  <c r="N273" i="23"/>
  <c r="O273" i="23"/>
  <c r="U273" i="23"/>
  <c r="AC273" i="23"/>
  <c r="AD273" i="23"/>
  <c r="AH273" i="23"/>
  <c r="B274" i="23"/>
  <c r="F274" i="23"/>
  <c r="K274" i="23"/>
  <c r="L274" i="23"/>
  <c r="M274" i="23"/>
  <c r="N274" i="23"/>
  <c r="O274" i="23"/>
  <c r="U274" i="23"/>
  <c r="AC274" i="23"/>
  <c r="AD274" i="23"/>
  <c r="AH274" i="23"/>
  <c r="B275" i="23"/>
  <c r="F275" i="23"/>
  <c r="K275" i="23"/>
  <c r="L275" i="23"/>
  <c r="M275" i="23"/>
  <c r="N275" i="23"/>
  <c r="O275" i="23"/>
  <c r="U275" i="23"/>
  <c r="AC275" i="23"/>
  <c r="AD275" i="23"/>
  <c r="AH275" i="23"/>
  <c r="B276" i="23"/>
  <c r="F276" i="23"/>
  <c r="K276" i="23"/>
  <c r="L276" i="23"/>
  <c r="M276" i="23"/>
  <c r="N276" i="23"/>
  <c r="O276" i="23"/>
  <c r="U276" i="23"/>
  <c r="AC276" i="23"/>
  <c r="AD276" i="23"/>
  <c r="AH276" i="23"/>
  <c r="B277" i="23"/>
  <c r="F277" i="23"/>
  <c r="K277" i="23"/>
  <c r="L277" i="23"/>
  <c r="M277" i="23"/>
  <c r="N277" i="23"/>
  <c r="O277" i="23"/>
  <c r="U277" i="23"/>
  <c r="AC277" i="23"/>
  <c r="AD277" i="23"/>
  <c r="AH277" i="23"/>
  <c r="B278" i="23"/>
  <c r="F278" i="23"/>
  <c r="K278" i="23"/>
  <c r="L278" i="23"/>
  <c r="M278" i="23"/>
  <c r="N278" i="23"/>
  <c r="O278" i="23"/>
  <c r="U278" i="23"/>
  <c r="AC278" i="23"/>
  <c r="AD278" i="23"/>
  <c r="AH278" i="23"/>
  <c r="B279" i="23"/>
  <c r="F279" i="23"/>
  <c r="K279" i="23"/>
  <c r="L279" i="23"/>
  <c r="M279" i="23"/>
  <c r="N279" i="23"/>
  <c r="O279" i="23"/>
  <c r="U279" i="23"/>
  <c r="AC279" i="23"/>
  <c r="AD279" i="23"/>
  <c r="AH279" i="23"/>
  <c r="B280" i="23"/>
  <c r="F280" i="23"/>
  <c r="K280" i="23"/>
  <c r="L280" i="23"/>
  <c r="M280" i="23"/>
  <c r="N280" i="23"/>
  <c r="O280" i="23"/>
  <c r="U280" i="23"/>
  <c r="AC280" i="23"/>
  <c r="AD280" i="23"/>
  <c r="AH280" i="23"/>
  <c r="B281" i="23"/>
  <c r="F281" i="23"/>
  <c r="K281" i="23"/>
  <c r="L281" i="23"/>
  <c r="M281" i="23"/>
  <c r="N281" i="23"/>
  <c r="O281" i="23"/>
  <c r="U281" i="23"/>
  <c r="AC281" i="23"/>
  <c r="AD281" i="23"/>
  <c r="AH281" i="23"/>
  <c r="B282" i="23"/>
  <c r="F282" i="23"/>
  <c r="K282" i="23"/>
  <c r="L282" i="23"/>
  <c r="M282" i="23"/>
  <c r="N282" i="23"/>
  <c r="O282" i="23"/>
  <c r="U282" i="23"/>
  <c r="AC282" i="23"/>
  <c r="AD282" i="23"/>
  <c r="AH282" i="23"/>
  <c r="B283" i="23"/>
  <c r="F283" i="23"/>
  <c r="K283" i="23"/>
  <c r="L283" i="23"/>
  <c r="M283" i="23"/>
  <c r="N283" i="23"/>
  <c r="O283" i="23"/>
  <c r="U283" i="23"/>
  <c r="AC283" i="23"/>
  <c r="AD283" i="23"/>
  <c r="AH283" i="23"/>
  <c r="B284" i="23"/>
  <c r="F284" i="23"/>
  <c r="K284" i="23"/>
  <c r="L284" i="23"/>
  <c r="M284" i="23"/>
  <c r="N284" i="23"/>
  <c r="O284" i="23"/>
  <c r="U284" i="23"/>
  <c r="AC284" i="23"/>
  <c r="AD284" i="23"/>
  <c r="AH284" i="23"/>
  <c r="B285" i="23"/>
  <c r="F285" i="23"/>
  <c r="K285" i="23"/>
  <c r="L285" i="23"/>
  <c r="M285" i="23"/>
  <c r="N285" i="23"/>
  <c r="O285" i="23"/>
  <c r="U285" i="23"/>
  <c r="AC285" i="23"/>
  <c r="AD285" i="23"/>
  <c r="AH285" i="23"/>
  <c r="B286" i="23"/>
  <c r="F286" i="23"/>
  <c r="K286" i="23"/>
  <c r="L286" i="23"/>
  <c r="M286" i="23"/>
  <c r="N286" i="23"/>
  <c r="O286" i="23"/>
  <c r="U286" i="23"/>
  <c r="AC286" i="23"/>
  <c r="AD286" i="23"/>
  <c r="AH286" i="23"/>
  <c r="B287" i="23"/>
  <c r="F287" i="23"/>
  <c r="K287" i="23"/>
  <c r="L287" i="23"/>
  <c r="M287" i="23"/>
  <c r="N287" i="23"/>
  <c r="O287" i="23"/>
  <c r="U287" i="23"/>
  <c r="AC287" i="23"/>
  <c r="AD287" i="23"/>
  <c r="AH287" i="23"/>
  <c r="B288" i="23"/>
  <c r="F288" i="23"/>
  <c r="K288" i="23"/>
  <c r="L288" i="23"/>
  <c r="M288" i="23"/>
  <c r="N288" i="23"/>
  <c r="O288" i="23"/>
  <c r="U288" i="23"/>
  <c r="AC288" i="23"/>
  <c r="AD288" i="23"/>
  <c r="AH288" i="23"/>
  <c r="B289" i="23"/>
  <c r="F289" i="23"/>
  <c r="K289" i="23"/>
  <c r="L289" i="23"/>
  <c r="M289" i="23"/>
  <c r="N289" i="23"/>
  <c r="O289" i="23"/>
  <c r="U289" i="23"/>
  <c r="AC289" i="23"/>
  <c r="AD289" i="23"/>
  <c r="AH289" i="23"/>
  <c r="B290" i="23"/>
  <c r="F290" i="23"/>
  <c r="K290" i="23"/>
  <c r="L290" i="23"/>
  <c r="M290" i="23"/>
  <c r="N290" i="23"/>
  <c r="O290" i="23"/>
  <c r="U290" i="23"/>
  <c r="AC290" i="23"/>
  <c r="AD290" i="23"/>
  <c r="AH290" i="23"/>
  <c r="B291" i="23"/>
  <c r="F291" i="23"/>
  <c r="K291" i="23"/>
  <c r="L291" i="23"/>
  <c r="M291" i="23"/>
  <c r="N291" i="23"/>
  <c r="O291" i="23"/>
  <c r="U291" i="23"/>
  <c r="AC291" i="23"/>
  <c r="AD291" i="23"/>
  <c r="AH291" i="23"/>
  <c r="B292" i="23"/>
  <c r="F292" i="23"/>
  <c r="K292" i="23"/>
  <c r="L292" i="23"/>
  <c r="M292" i="23"/>
  <c r="N292" i="23"/>
  <c r="O292" i="23"/>
  <c r="U292" i="23"/>
  <c r="AC292" i="23"/>
  <c r="AD292" i="23"/>
  <c r="AH292" i="23"/>
  <c r="B293" i="23"/>
  <c r="F293" i="23"/>
  <c r="K293" i="23"/>
  <c r="L293" i="23"/>
  <c r="M293" i="23"/>
  <c r="N293" i="23"/>
  <c r="O293" i="23"/>
  <c r="U293" i="23"/>
  <c r="AC293" i="23"/>
  <c r="AD293" i="23"/>
  <c r="AH293" i="23"/>
  <c r="B294" i="23"/>
  <c r="F294" i="23"/>
  <c r="K294" i="23"/>
  <c r="L294" i="23"/>
  <c r="M294" i="23"/>
  <c r="N294" i="23"/>
  <c r="O294" i="23"/>
  <c r="U294" i="23"/>
  <c r="AC294" i="23"/>
  <c r="AD294" i="23"/>
  <c r="AH294" i="23"/>
  <c r="B295" i="23"/>
  <c r="F295" i="23"/>
  <c r="K295" i="23"/>
  <c r="L295" i="23"/>
  <c r="M295" i="23"/>
  <c r="N295" i="23"/>
  <c r="O295" i="23"/>
  <c r="U295" i="23"/>
  <c r="AC295" i="23"/>
  <c r="AD295" i="23"/>
  <c r="AH295" i="23"/>
  <c r="B296" i="23"/>
  <c r="F296" i="23"/>
  <c r="K296" i="23"/>
  <c r="L296" i="23"/>
  <c r="M296" i="23"/>
  <c r="N296" i="23"/>
  <c r="O296" i="23"/>
  <c r="U296" i="23"/>
  <c r="AC296" i="23"/>
  <c r="AD296" i="23"/>
  <c r="AH296" i="23"/>
  <c r="B297" i="23"/>
  <c r="F297" i="23"/>
  <c r="K297" i="23"/>
  <c r="L297" i="23"/>
  <c r="M297" i="23"/>
  <c r="N297" i="23"/>
  <c r="O297" i="23"/>
  <c r="U297" i="23"/>
  <c r="AC297" i="23"/>
  <c r="AD297" i="23"/>
  <c r="AH297" i="23"/>
  <c r="B298" i="23"/>
  <c r="F298" i="23"/>
  <c r="K298" i="23"/>
  <c r="L298" i="23"/>
  <c r="M298" i="23"/>
  <c r="N298" i="23"/>
  <c r="O298" i="23"/>
  <c r="U298" i="23"/>
  <c r="AC298" i="23"/>
  <c r="AD298" i="23"/>
  <c r="AH298" i="23"/>
  <c r="B299" i="23"/>
  <c r="F299" i="23"/>
  <c r="K299" i="23"/>
  <c r="L299" i="23"/>
  <c r="M299" i="23"/>
  <c r="N299" i="23"/>
  <c r="O299" i="23"/>
  <c r="U299" i="23"/>
  <c r="AC299" i="23"/>
  <c r="AD299" i="23"/>
  <c r="AH299" i="23"/>
  <c r="B300" i="23"/>
  <c r="F300" i="23"/>
  <c r="K300" i="23"/>
  <c r="L300" i="23"/>
  <c r="M300" i="23"/>
  <c r="N300" i="23"/>
  <c r="O300" i="23"/>
  <c r="U300" i="23"/>
  <c r="AC300" i="23"/>
  <c r="AD300" i="23"/>
  <c r="AH300" i="23"/>
  <c r="B301" i="23"/>
  <c r="F301" i="23"/>
  <c r="K301" i="23"/>
  <c r="L301" i="23"/>
  <c r="M301" i="23"/>
  <c r="N301" i="23"/>
  <c r="O301" i="23"/>
  <c r="U301" i="23"/>
  <c r="AC301" i="23"/>
  <c r="AD301" i="23"/>
  <c r="AH301" i="23"/>
  <c r="B302" i="23"/>
  <c r="F302" i="23"/>
  <c r="K302" i="23"/>
  <c r="L302" i="23"/>
  <c r="M302" i="23"/>
  <c r="N302" i="23"/>
  <c r="O302" i="23"/>
  <c r="U302" i="23"/>
  <c r="AC302" i="23"/>
  <c r="AD302" i="23"/>
  <c r="AH302" i="23"/>
  <c r="B303" i="23"/>
  <c r="F303" i="23"/>
  <c r="K303" i="23"/>
  <c r="L303" i="23"/>
  <c r="M303" i="23"/>
  <c r="N303" i="23"/>
  <c r="O303" i="23"/>
  <c r="U303" i="23"/>
  <c r="AC303" i="23"/>
  <c r="AD303" i="23"/>
  <c r="AH303" i="23"/>
  <c r="B304" i="23"/>
  <c r="F304" i="23"/>
  <c r="K304" i="23"/>
  <c r="L304" i="23"/>
  <c r="M304" i="23"/>
  <c r="N304" i="23"/>
  <c r="O304" i="23"/>
  <c r="U304" i="23"/>
  <c r="AC304" i="23"/>
  <c r="AD304" i="23"/>
  <c r="AH304" i="23"/>
  <c r="B305" i="23"/>
  <c r="F305" i="23"/>
  <c r="K305" i="23"/>
  <c r="L305" i="23"/>
  <c r="M305" i="23"/>
  <c r="N305" i="23"/>
  <c r="O305" i="23"/>
  <c r="U305" i="23"/>
  <c r="AC305" i="23"/>
  <c r="AD305" i="23"/>
  <c r="AH305" i="23"/>
  <c r="B306" i="23"/>
  <c r="F306" i="23"/>
  <c r="K306" i="23"/>
  <c r="L306" i="23"/>
  <c r="M306" i="23"/>
  <c r="N306" i="23"/>
  <c r="O306" i="23"/>
  <c r="U306" i="23"/>
  <c r="AC306" i="23"/>
  <c r="AD306" i="23"/>
  <c r="AH306" i="23"/>
  <c r="B307" i="23"/>
  <c r="F307" i="23"/>
  <c r="K307" i="23"/>
  <c r="L307" i="23"/>
  <c r="M307" i="23"/>
  <c r="N307" i="23"/>
  <c r="O307" i="23"/>
  <c r="U307" i="23"/>
  <c r="AC307" i="23"/>
  <c r="AD307" i="23"/>
  <c r="AH307" i="23"/>
  <c r="B308" i="23"/>
  <c r="F308" i="23"/>
  <c r="K308" i="23"/>
  <c r="L308" i="23"/>
  <c r="M308" i="23"/>
  <c r="N308" i="23"/>
  <c r="O308" i="23"/>
  <c r="U308" i="23"/>
  <c r="AC308" i="23"/>
  <c r="AD308" i="23"/>
  <c r="AH308" i="23"/>
  <c r="B309" i="23"/>
  <c r="F309" i="23"/>
  <c r="K309" i="23"/>
  <c r="L309" i="23"/>
  <c r="M309" i="23"/>
  <c r="N309" i="23"/>
  <c r="O309" i="23"/>
  <c r="U309" i="23"/>
  <c r="AC309" i="23"/>
  <c r="AD309" i="23"/>
  <c r="AH309" i="23"/>
  <c r="B310" i="23"/>
  <c r="F310" i="23"/>
  <c r="K310" i="23"/>
  <c r="L310" i="23"/>
  <c r="M310" i="23"/>
  <c r="N310" i="23"/>
  <c r="O310" i="23"/>
  <c r="U310" i="23"/>
  <c r="AC310" i="23"/>
  <c r="AD310" i="23"/>
  <c r="AH310" i="23"/>
  <c r="B311" i="23"/>
  <c r="F311" i="23"/>
  <c r="K311" i="23"/>
  <c r="L311" i="23"/>
  <c r="M311" i="23"/>
  <c r="N311" i="23"/>
  <c r="O311" i="23"/>
  <c r="U311" i="23"/>
  <c r="AC311" i="23"/>
  <c r="AD311" i="23"/>
  <c r="AH311" i="23"/>
  <c r="B312" i="23"/>
  <c r="F312" i="23"/>
  <c r="K312" i="23"/>
  <c r="L312" i="23"/>
  <c r="M312" i="23"/>
  <c r="N312" i="23"/>
  <c r="O312" i="23"/>
  <c r="U312" i="23"/>
  <c r="AC312" i="23"/>
  <c r="AD312" i="23"/>
  <c r="AH312" i="23"/>
  <c r="B313" i="23"/>
  <c r="F313" i="23"/>
  <c r="K313" i="23"/>
  <c r="L313" i="23"/>
  <c r="M313" i="23"/>
  <c r="N313" i="23"/>
  <c r="O313" i="23"/>
  <c r="U313" i="23"/>
  <c r="AC313" i="23"/>
  <c r="AD313" i="23"/>
  <c r="AH313" i="23"/>
  <c r="B314" i="23"/>
  <c r="F314" i="23"/>
  <c r="K314" i="23"/>
  <c r="L314" i="23"/>
  <c r="M314" i="23"/>
  <c r="N314" i="23"/>
  <c r="O314" i="23"/>
  <c r="U314" i="23"/>
  <c r="AC314" i="23"/>
  <c r="AD314" i="23"/>
  <c r="AH314" i="23"/>
  <c r="B315" i="23"/>
  <c r="F315" i="23"/>
  <c r="K315" i="23"/>
  <c r="L315" i="23"/>
  <c r="M315" i="23"/>
  <c r="N315" i="23"/>
  <c r="O315" i="23"/>
  <c r="U315" i="23"/>
  <c r="AC315" i="23"/>
  <c r="AD315" i="23"/>
  <c r="AH315" i="23"/>
  <c r="B316" i="23"/>
  <c r="F316" i="23"/>
  <c r="K316" i="23"/>
  <c r="L316" i="23"/>
  <c r="M316" i="23"/>
  <c r="N316" i="23"/>
  <c r="O316" i="23"/>
  <c r="U316" i="23"/>
  <c r="AC316" i="23"/>
  <c r="AD316" i="23"/>
  <c r="AH316" i="23"/>
  <c r="B317" i="23"/>
  <c r="F317" i="23"/>
  <c r="K317" i="23"/>
  <c r="L317" i="23"/>
  <c r="M317" i="23"/>
  <c r="N317" i="23"/>
  <c r="O317" i="23"/>
  <c r="U317" i="23"/>
  <c r="AC317" i="23"/>
  <c r="AD317" i="23"/>
  <c r="AH317" i="23"/>
  <c r="B318" i="23"/>
  <c r="F318" i="23"/>
  <c r="K318" i="23"/>
  <c r="L318" i="23"/>
  <c r="M318" i="23"/>
  <c r="N318" i="23"/>
  <c r="O318" i="23"/>
  <c r="U318" i="23"/>
  <c r="AC318" i="23"/>
  <c r="AD318" i="23"/>
  <c r="AH318" i="23"/>
  <c r="B319" i="23"/>
  <c r="F319" i="23"/>
  <c r="K319" i="23"/>
  <c r="L319" i="23"/>
  <c r="M319" i="23"/>
  <c r="N319" i="23"/>
  <c r="O319" i="23"/>
  <c r="U319" i="23"/>
  <c r="AC319" i="23"/>
  <c r="AD319" i="23"/>
  <c r="AH319" i="23"/>
  <c r="B320" i="23"/>
  <c r="F320" i="23"/>
  <c r="K320" i="23"/>
  <c r="L320" i="23"/>
  <c r="M320" i="23"/>
  <c r="N320" i="23"/>
  <c r="O320" i="23"/>
  <c r="U320" i="23"/>
  <c r="AC320" i="23"/>
  <c r="AD320" i="23"/>
  <c r="AH320" i="23"/>
  <c r="B321" i="23"/>
  <c r="F321" i="23"/>
  <c r="K321" i="23"/>
  <c r="L321" i="23"/>
  <c r="M321" i="23"/>
  <c r="N321" i="23"/>
  <c r="O321" i="23"/>
  <c r="U321" i="23"/>
  <c r="AC321" i="23"/>
  <c r="AD321" i="23"/>
  <c r="AH321" i="23"/>
  <c r="B322" i="23"/>
  <c r="F322" i="23"/>
  <c r="K322" i="23"/>
  <c r="L322" i="23"/>
  <c r="M322" i="23"/>
  <c r="N322" i="23"/>
  <c r="O322" i="23"/>
  <c r="U322" i="23"/>
  <c r="AC322" i="23"/>
  <c r="AD322" i="23"/>
  <c r="AH322" i="23"/>
  <c r="B323" i="23"/>
  <c r="F323" i="23"/>
  <c r="K323" i="23"/>
  <c r="L323" i="23"/>
  <c r="M323" i="23"/>
  <c r="N323" i="23"/>
  <c r="O323" i="23"/>
  <c r="U323" i="23"/>
  <c r="AC323" i="23"/>
  <c r="AD323" i="23"/>
  <c r="AH323" i="23"/>
  <c r="B324" i="23"/>
  <c r="F324" i="23"/>
  <c r="K324" i="23"/>
  <c r="L324" i="23"/>
  <c r="M324" i="23"/>
  <c r="N324" i="23"/>
  <c r="O324" i="23"/>
  <c r="U324" i="23"/>
  <c r="AC324" i="23"/>
  <c r="AD324" i="23"/>
  <c r="AH324" i="23"/>
  <c r="B325" i="23"/>
  <c r="F325" i="23"/>
  <c r="K325" i="23"/>
  <c r="L325" i="23"/>
  <c r="M325" i="23"/>
  <c r="N325" i="23"/>
  <c r="O325" i="23"/>
  <c r="U325" i="23"/>
  <c r="AC325" i="23"/>
  <c r="AD325" i="23"/>
  <c r="AH325" i="23"/>
  <c r="B326" i="23"/>
  <c r="F326" i="23"/>
  <c r="K326" i="23"/>
  <c r="L326" i="23"/>
  <c r="M326" i="23"/>
  <c r="N326" i="23"/>
  <c r="O326" i="23"/>
  <c r="U326" i="23"/>
  <c r="AC326" i="23"/>
  <c r="AD326" i="23"/>
  <c r="AH326" i="23"/>
  <c r="B327" i="23"/>
  <c r="F327" i="23"/>
  <c r="K327" i="23"/>
  <c r="L327" i="23"/>
  <c r="M327" i="23"/>
  <c r="N327" i="23"/>
  <c r="O327" i="23"/>
  <c r="U327" i="23"/>
  <c r="AC327" i="23"/>
  <c r="AD327" i="23"/>
  <c r="AH327" i="23"/>
  <c r="B328" i="23"/>
  <c r="F328" i="23"/>
  <c r="K328" i="23"/>
  <c r="L328" i="23"/>
  <c r="M328" i="23"/>
  <c r="N328" i="23"/>
  <c r="O328" i="23"/>
  <c r="U328" i="23"/>
  <c r="AC328" i="23"/>
  <c r="AD328" i="23"/>
  <c r="AH328" i="23"/>
  <c r="B329" i="23"/>
  <c r="F329" i="23"/>
  <c r="K329" i="23"/>
  <c r="L329" i="23"/>
  <c r="M329" i="23"/>
  <c r="N329" i="23"/>
  <c r="O329" i="23"/>
  <c r="U329" i="23"/>
  <c r="AC329" i="23"/>
  <c r="AD329" i="23"/>
  <c r="AH329" i="23"/>
  <c r="B330" i="23"/>
  <c r="F330" i="23"/>
  <c r="K330" i="23"/>
  <c r="L330" i="23"/>
  <c r="M330" i="23"/>
  <c r="N330" i="23"/>
  <c r="O330" i="23"/>
  <c r="U330" i="23"/>
  <c r="AC330" i="23"/>
  <c r="AD330" i="23"/>
  <c r="AH330" i="23"/>
  <c r="B331" i="23"/>
  <c r="F331" i="23"/>
  <c r="K331" i="23"/>
  <c r="L331" i="23"/>
  <c r="M331" i="23"/>
  <c r="N331" i="23"/>
  <c r="O331" i="23"/>
  <c r="U331" i="23"/>
  <c r="AC331" i="23"/>
  <c r="AD331" i="23"/>
  <c r="AH331" i="23"/>
  <c r="B332" i="23"/>
  <c r="F332" i="23"/>
  <c r="K332" i="23"/>
  <c r="L332" i="23"/>
  <c r="M332" i="23"/>
  <c r="N332" i="23"/>
  <c r="O332" i="23"/>
  <c r="U332" i="23"/>
  <c r="AC332" i="23"/>
  <c r="AD332" i="23"/>
  <c r="AH332" i="23"/>
  <c r="B333" i="23"/>
  <c r="F333" i="23"/>
  <c r="K333" i="23"/>
  <c r="L333" i="23"/>
  <c r="M333" i="23"/>
  <c r="N333" i="23"/>
  <c r="O333" i="23"/>
  <c r="U333" i="23"/>
  <c r="AC333" i="23"/>
  <c r="AD333" i="23"/>
  <c r="AH333" i="23"/>
  <c r="B334" i="23"/>
  <c r="F334" i="23"/>
  <c r="K334" i="23"/>
  <c r="L334" i="23"/>
  <c r="M334" i="23"/>
  <c r="N334" i="23"/>
  <c r="O334" i="23"/>
  <c r="U334" i="23"/>
  <c r="AC334" i="23"/>
  <c r="AD334" i="23"/>
  <c r="AH334" i="23"/>
  <c r="B335" i="23"/>
  <c r="F335" i="23"/>
  <c r="K335" i="23"/>
  <c r="L335" i="23"/>
  <c r="M335" i="23"/>
  <c r="N335" i="23"/>
  <c r="O335" i="23"/>
  <c r="U335" i="23"/>
  <c r="AC335" i="23"/>
  <c r="AD335" i="23"/>
  <c r="AH335" i="23"/>
  <c r="B336" i="23"/>
  <c r="F336" i="23"/>
  <c r="K336" i="23"/>
  <c r="L336" i="23"/>
  <c r="M336" i="23"/>
  <c r="N336" i="23"/>
  <c r="O336" i="23"/>
  <c r="U336" i="23"/>
  <c r="AC336" i="23"/>
  <c r="AD336" i="23"/>
  <c r="AH336" i="23"/>
  <c r="B337" i="23"/>
  <c r="F337" i="23"/>
  <c r="K337" i="23"/>
  <c r="L337" i="23"/>
  <c r="M337" i="23"/>
  <c r="N337" i="23"/>
  <c r="O337" i="23"/>
  <c r="U337" i="23"/>
  <c r="AC337" i="23"/>
  <c r="AD337" i="23"/>
  <c r="AH337" i="23"/>
  <c r="B338" i="23"/>
  <c r="F338" i="23"/>
  <c r="K338" i="23"/>
  <c r="L338" i="23"/>
  <c r="M338" i="23"/>
  <c r="N338" i="23"/>
  <c r="O338" i="23"/>
  <c r="U338" i="23"/>
  <c r="AC338" i="23"/>
  <c r="AD338" i="23"/>
  <c r="AH338" i="23"/>
  <c r="B339" i="23"/>
  <c r="F339" i="23"/>
  <c r="K339" i="23"/>
  <c r="L339" i="23"/>
  <c r="M339" i="23"/>
  <c r="N339" i="23"/>
  <c r="O339" i="23"/>
  <c r="U339" i="23"/>
  <c r="AC339" i="23"/>
  <c r="AD339" i="23"/>
  <c r="AH339" i="23"/>
  <c r="B340" i="23"/>
  <c r="F340" i="23"/>
  <c r="K340" i="23"/>
  <c r="L340" i="23"/>
  <c r="M340" i="23"/>
  <c r="N340" i="23"/>
  <c r="O340" i="23"/>
  <c r="U340" i="23"/>
  <c r="AC340" i="23"/>
  <c r="AD340" i="23"/>
  <c r="AH340" i="23"/>
  <c r="B341" i="23"/>
  <c r="F341" i="23"/>
  <c r="K341" i="23"/>
  <c r="L341" i="23"/>
  <c r="M341" i="23"/>
  <c r="N341" i="23"/>
  <c r="O341" i="23"/>
  <c r="U341" i="23"/>
  <c r="AC341" i="23"/>
  <c r="AD341" i="23"/>
  <c r="AH341" i="23"/>
  <c r="B342" i="23"/>
  <c r="F342" i="23"/>
  <c r="K342" i="23"/>
  <c r="L342" i="23"/>
  <c r="M342" i="23"/>
  <c r="N342" i="23"/>
  <c r="O342" i="23"/>
  <c r="U342" i="23"/>
  <c r="AC342" i="23"/>
  <c r="AD342" i="23"/>
  <c r="AH342" i="23"/>
  <c r="B343" i="23"/>
  <c r="F343" i="23"/>
  <c r="K343" i="23"/>
  <c r="L343" i="23"/>
  <c r="M343" i="23"/>
  <c r="N343" i="23"/>
  <c r="O343" i="23"/>
  <c r="U343" i="23"/>
  <c r="AC343" i="23"/>
  <c r="AD343" i="23"/>
  <c r="AH343" i="23"/>
  <c r="B344" i="23"/>
  <c r="F344" i="23"/>
  <c r="K344" i="23"/>
  <c r="L344" i="23"/>
  <c r="M344" i="23"/>
  <c r="N344" i="23"/>
  <c r="O344" i="23"/>
  <c r="U344" i="23"/>
  <c r="AC344" i="23"/>
  <c r="AD344" i="23"/>
  <c r="AH344" i="23"/>
  <c r="B345" i="23"/>
  <c r="F345" i="23"/>
  <c r="K345" i="23"/>
  <c r="L345" i="23"/>
  <c r="M345" i="23"/>
  <c r="N345" i="23"/>
  <c r="O345" i="23"/>
  <c r="U345" i="23"/>
  <c r="AC345" i="23"/>
  <c r="AD345" i="23"/>
  <c r="AH345" i="23"/>
  <c r="B346" i="23"/>
  <c r="F346" i="23"/>
  <c r="K346" i="23"/>
  <c r="L346" i="23"/>
  <c r="M346" i="23"/>
  <c r="N346" i="23"/>
  <c r="O346" i="23"/>
  <c r="U346" i="23"/>
  <c r="AC346" i="23"/>
  <c r="AD346" i="23"/>
  <c r="AH346" i="23"/>
  <c r="B347" i="23"/>
  <c r="F347" i="23"/>
  <c r="K347" i="23"/>
  <c r="L347" i="23"/>
  <c r="M347" i="23"/>
  <c r="N347" i="23"/>
  <c r="O347" i="23"/>
  <c r="U347" i="23"/>
  <c r="AC347" i="23"/>
  <c r="AD347" i="23"/>
  <c r="AH347" i="23"/>
  <c r="B348" i="23"/>
  <c r="F348" i="23"/>
  <c r="K348" i="23"/>
  <c r="L348" i="23"/>
  <c r="M348" i="23"/>
  <c r="N348" i="23"/>
  <c r="O348" i="23"/>
  <c r="U348" i="23"/>
  <c r="AC348" i="23"/>
  <c r="AD348" i="23"/>
  <c r="AH348" i="23"/>
  <c r="B349" i="23"/>
  <c r="F349" i="23"/>
  <c r="K349" i="23"/>
  <c r="L349" i="23"/>
  <c r="M349" i="23"/>
  <c r="N349" i="23"/>
  <c r="O349" i="23"/>
  <c r="U349" i="23"/>
  <c r="AC349" i="23"/>
  <c r="AD349" i="23"/>
  <c r="AH349" i="23"/>
  <c r="B350" i="23"/>
  <c r="F350" i="23"/>
  <c r="K350" i="23"/>
  <c r="L350" i="23"/>
  <c r="M350" i="23"/>
  <c r="N350" i="23"/>
  <c r="O350" i="23"/>
  <c r="U350" i="23"/>
  <c r="AC350" i="23"/>
  <c r="AD350" i="23"/>
  <c r="AH350" i="23"/>
  <c r="B351" i="23"/>
  <c r="F351" i="23"/>
  <c r="K351" i="23"/>
  <c r="L351" i="23"/>
  <c r="M351" i="23"/>
  <c r="N351" i="23"/>
  <c r="O351" i="23"/>
  <c r="U351" i="23"/>
  <c r="AC351" i="23"/>
  <c r="AD351" i="23"/>
  <c r="AH351" i="23"/>
  <c r="B352" i="23"/>
  <c r="F352" i="23"/>
  <c r="K352" i="23"/>
  <c r="L352" i="23"/>
  <c r="M352" i="23"/>
  <c r="N352" i="23"/>
  <c r="O352" i="23"/>
  <c r="U352" i="23"/>
  <c r="AC352" i="23"/>
  <c r="AD352" i="23"/>
  <c r="AH352" i="23"/>
  <c r="B353" i="23"/>
  <c r="F353" i="23"/>
  <c r="K353" i="23"/>
  <c r="L353" i="23"/>
  <c r="M353" i="23"/>
  <c r="N353" i="23"/>
  <c r="O353" i="23"/>
  <c r="U353" i="23"/>
  <c r="AC353" i="23"/>
  <c r="AD353" i="23"/>
  <c r="AH353" i="23"/>
  <c r="B354" i="23"/>
  <c r="F354" i="23"/>
  <c r="K354" i="23"/>
  <c r="L354" i="23"/>
  <c r="M354" i="23"/>
  <c r="N354" i="23"/>
  <c r="O354" i="23"/>
  <c r="U354" i="23"/>
  <c r="AC354" i="23"/>
  <c r="AD354" i="23"/>
  <c r="AH354" i="23"/>
  <c r="B355" i="23"/>
  <c r="F355" i="23"/>
  <c r="K355" i="23"/>
  <c r="L355" i="23"/>
  <c r="M355" i="23"/>
  <c r="N355" i="23"/>
  <c r="O355" i="23"/>
  <c r="U355" i="23"/>
  <c r="AC355" i="23"/>
  <c r="AD355" i="23"/>
  <c r="AH355" i="23"/>
  <c r="B356" i="23"/>
  <c r="F356" i="23"/>
  <c r="K356" i="23"/>
  <c r="L356" i="23"/>
  <c r="M356" i="23"/>
  <c r="N356" i="23"/>
  <c r="O356" i="23"/>
  <c r="U356" i="23"/>
  <c r="AC356" i="23"/>
  <c r="AD356" i="23"/>
  <c r="AH356" i="23"/>
  <c r="B357" i="23"/>
  <c r="F357" i="23"/>
  <c r="K357" i="23"/>
  <c r="L357" i="23"/>
  <c r="M357" i="23"/>
  <c r="N357" i="23"/>
  <c r="O357" i="23"/>
  <c r="U357" i="23"/>
  <c r="AC357" i="23"/>
  <c r="AD357" i="23"/>
  <c r="AH357" i="23"/>
  <c r="B358" i="23"/>
  <c r="F358" i="23"/>
  <c r="K358" i="23"/>
  <c r="L358" i="23"/>
  <c r="M358" i="23"/>
  <c r="N358" i="23"/>
  <c r="O358" i="23"/>
  <c r="U358" i="23"/>
  <c r="AC358" i="23"/>
  <c r="AD358" i="23"/>
  <c r="AH358" i="23"/>
  <c r="B359" i="23"/>
  <c r="F359" i="23"/>
  <c r="K359" i="23"/>
  <c r="L359" i="23"/>
  <c r="M359" i="23"/>
  <c r="N359" i="23"/>
  <c r="O359" i="23"/>
  <c r="U359" i="23"/>
  <c r="AC359" i="23"/>
  <c r="AD359" i="23"/>
  <c r="AH359" i="23"/>
  <c r="B360" i="23"/>
  <c r="F360" i="23"/>
  <c r="K360" i="23"/>
  <c r="L360" i="23"/>
  <c r="M360" i="23"/>
  <c r="N360" i="23"/>
  <c r="O360" i="23"/>
  <c r="U360" i="23"/>
  <c r="AC360" i="23"/>
  <c r="AD360" i="23"/>
  <c r="AH360" i="23"/>
  <c r="B361" i="23"/>
  <c r="F361" i="23"/>
  <c r="K361" i="23"/>
  <c r="L361" i="23"/>
  <c r="M361" i="23"/>
  <c r="N361" i="23"/>
  <c r="O361" i="23"/>
  <c r="U361" i="23"/>
  <c r="AC361" i="23"/>
  <c r="AD361" i="23"/>
  <c r="AH361" i="23"/>
  <c r="B362" i="23"/>
  <c r="F362" i="23"/>
  <c r="K362" i="23"/>
  <c r="L362" i="23"/>
  <c r="M362" i="23"/>
  <c r="N362" i="23"/>
  <c r="O362" i="23"/>
  <c r="U362" i="23"/>
  <c r="AC362" i="23"/>
  <c r="AD362" i="23"/>
  <c r="AH362" i="23"/>
  <c r="B363" i="23"/>
  <c r="F363" i="23"/>
  <c r="K363" i="23"/>
  <c r="L363" i="23"/>
  <c r="M363" i="23"/>
  <c r="N363" i="23"/>
  <c r="O363" i="23"/>
  <c r="U363" i="23"/>
  <c r="AC363" i="23"/>
  <c r="AD363" i="23"/>
  <c r="AH363" i="23"/>
  <c r="B364" i="23"/>
  <c r="F364" i="23"/>
  <c r="K364" i="23"/>
  <c r="L364" i="23"/>
  <c r="M364" i="23"/>
  <c r="N364" i="23"/>
  <c r="O364" i="23"/>
  <c r="U364" i="23"/>
  <c r="AC364" i="23"/>
  <c r="AD364" i="23"/>
  <c r="AH364" i="23"/>
  <c r="B365" i="23"/>
  <c r="F365" i="23"/>
  <c r="K365" i="23"/>
  <c r="L365" i="23"/>
  <c r="M365" i="23"/>
  <c r="N365" i="23"/>
  <c r="O365" i="23"/>
  <c r="U365" i="23"/>
  <c r="AC365" i="23"/>
  <c r="AD365" i="23"/>
  <c r="AH365" i="23"/>
  <c r="B366" i="23"/>
  <c r="F366" i="23"/>
  <c r="K366" i="23"/>
  <c r="L366" i="23"/>
  <c r="M366" i="23"/>
  <c r="N366" i="23"/>
  <c r="O366" i="23"/>
  <c r="U366" i="23"/>
  <c r="AC366" i="23"/>
  <c r="AD366" i="23"/>
  <c r="AH366" i="23"/>
  <c r="B367" i="23"/>
  <c r="F367" i="23"/>
  <c r="K367" i="23"/>
  <c r="L367" i="23"/>
  <c r="M367" i="23"/>
  <c r="N367" i="23"/>
  <c r="O367" i="23"/>
  <c r="U367" i="23"/>
  <c r="AC367" i="23"/>
  <c r="AD367" i="23"/>
  <c r="AH367" i="23"/>
  <c r="B368" i="23"/>
  <c r="F368" i="23"/>
  <c r="K368" i="23"/>
  <c r="L368" i="23"/>
  <c r="M368" i="23"/>
  <c r="N368" i="23"/>
  <c r="O368" i="23"/>
  <c r="U368" i="23"/>
  <c r="AC368" i="23"/>
  <c r="AD368" i="23"/>
  <c r="AH368" i="23"/>
  <c r="B369" i="23"/>
  <c r="F369" i="23"/>
  <c r="K369" i="23"/>
  <c r="L369" i="23"/>
  <c r="M369" i="23"/>
  <c r="N369" i="23"/>
  <c r="O369" i="23"/>
  <c r="U369" i="23"/>
  <c r="AC369" i="23"/>
  <c r="AD369" i="23"/>
  <c r="AH369" i="23"/>
  <c r="B370" i="23"/>
  <c r="F370" i="23"/>
  <c r="K370" i="23"/>
  <c r="L370" i="23"/>
  <c r="M370" i="23"/>
  <c r="N370" i="23"/>
  <c r="O370" i="23"/>
  <c r="U370" i="23"/>
  <c r="AC370" i="23"/>
  <c r="AD370" i="23"/>
  <c r="AH370" i="23"/>
  <c r="B371" i="23"/>
  <c r="F371" i="23"/>
  <c r="K371" i="23"/>
  <c r="L371" i="23"/>
  <c r="M371" i="23"/>
  <c r="N371" i="23"/>
  <c r="O371" i="23"/>
  <c r="U371" i="23"/>
  <c r="AC371" i="23"/>
  <c r="AD371" i="23"/>
  <c r="AH371" i="23"/>
  <c r="B372" i="23"/>
  <c r="F372" i="23"/>
  <c r="K372" i="23"/>
  <c r="L372" i="23"/>
  <c r="M372" i="23"/>
  <c r="N372" i="23"/>
  <c r="O372" i="23"/>
  <c r="U372" i="23"/>
  <c r="AC372" i="23"/>
  <c r="AD372" i="23"/>
  <c r="AH372" i="23"/>
  <c r="B373" i="23"/>
  <c r="F373" i="23"/>
  <c r="K373" i="23"/>
  <c r="L373" i="23"/>
  <c r="M373" i="23"/>
  <c r="N373" i="23"/>
  <c r="O373" i="23"/>
  <c r="U373" i="23"/>
  <c r="AC373" i="23"/>
  <c r="AD373" i="23"/>
  <c r="AH373" i="23"/>
  <c r="B374" i="23"/>
  <c r="F374" i="23"/>
  <c r="K374" i="23"/>
  <c r="L374" i="23"/>
  <c r="M374" i="23"/>
  <c r="N374" i="23"/>
  <c r="O374" i="23"/>
  <c r="U374" i="23"/>
  <c r="AC374" i="23"/>
  <c r="AD374" i="23"/>
  <c r="AH374" i="23"/>
  <c r="B375" i="23"/>
  <c r="F375" i="23"/>
  <c r="K375" i="23"/>
  <c r="L375" i="23"/>
  <c r="M375" i="23"/>
  <c r="N375" i="23"/>
  <c r="O375" i="23"/>
  <c r="U375" i="23"/>
  <c r="AC375" i="23"/>
  <c r="AD375" i="23"/>
  <c r="AH375" i="23"/>
  <c r="B376" i="23"/>
  <c r="F376" i="23"/>
  <c r="K376" i="23"/>
  <c r="L376" i="23"/>
  <c r="M376" i="23"/>
  <c r="N376" i="23"/>
  <c r="O376" i="23"/>
  <c r="U376" i="23"/>
  <c r="AC376" i="23"/>
  <c r="AD376" i="23"/>
  <c r="AH376" i="23"/>
  <c r="B377" i="23"/>
  <c r="F377" i="23"/>
  <c r="K377" i="23"/>
  <c r="L377" i="23"/>
  <c r="M377" i="23"/>
  <c r="N377" i="23"/>
  <c r="O377" i="23"/>
  <c r="U377" i="23"/>
  <c r="AC377" i="23"/>
  <c r="AD377" i="23"/>
  <c r="AH377" i="23"/>
  <c r="B378" i="23"/>
  <c r="F378" i="23"/>
  <c r="K378" i="23"/>
  <c r="L378" i="23"/>
  <c r="M378" i="23"/>
  <c r="N378" i="23"/>
  <c r="O378" i="23"/>
  <c r="U378" i="23"/>
  <c r="AC378" i="23"/>
  <c r="AD378" i="23"/>
  <c r="AH378" i="23"/>
  <c r="B379" i="23"/>
  <c r="F379" i="23"/>
  <c r="K379" i="23"/>
  <c r="L379" i="23"/>
  <c r="M379" i="23"/>
  <c r="N379" i="23"/>
  <c r="O379" i="23"/>
  <c r="U379" i="23"/>
  <c r="AC379" i="23"/>
  <c r="AD379" i="23"/>
  <c r="AH379" i="23"/>
  <c r="B380" i="23"/>
  <c r="F380" i="23"/>
  <c r="K380" i="23"/>
  <c r="L380" i="23"/>
  <c r="M380" i="23"/>
  <c r="N380" i="23"/>
  <c r="O380" i="23"/>
  <c r="U380" i="23"/>
  <c r="AC380" i="23"/>
  <c r="AD380" i="23"/>
  <c r="AH380" i="23"/>
  <c r="B381" i="23"/>
  <c r="F381" i="23"/>
  <c r="K381" i="23"/>
  <c r="L381" i="23"/>
  <c r="M381" i="23"/>
  <c r="N381" i="23"/>
  <c r="O381" i="23"/>
  <c r="U381" i="23"/>
  <c r="AC381" i="23"/>
  <c r="AD381" i="23"/>
  <c r="AH381" i="23"/>
  <c r="B382" i="23"/>
  <c r="F382" i="23"/>
  <c r="K382" i="23"/>
  <c r="L382" i="23"/>
  <c r="M382" i="23"/>
  <c r="N382" i="23"/>
  <c r="O382" i="23"/>
  <c r="U382" i="23"/>
  <c r="AC382" i="23"/>
  <c r="AD382" i="23"/>
  <c r="AH382" i="23"/>
  <c r="B383" i="23"/>
  <c r="F383" i="23"/>
  <c r="K383" i="23"/>
  <c r="L383" i="23"/>
  <c r="M383" i="23"/>
  <c r="N383" i="23"/>
  <c r="O383" i="23"/>
  <c r="U383" i="23"/>
  <c r="AC383" i="23"/>
  <c r="AD383" i="23"/>
  <c r="AH383" i="23"/>
  <c r="B384" i="23"/>
  <c r="F384" i="23"/>
  <c r="K384" i="23"/>
  <c r="L384" i="23"/>
  <c r="M384" i="23"/>
  <c r="N384" i="23"/>
  <c r="O384" i="23"/>
  <c r="U384" i="23"/>
  <c r="AC384" i="23"/>
  <c r="AD384" i="23"/>
  <c r="AH384" i="23"/>
  <c r="B385" i="23"/>
  <c r="F385" i="23"/>
  <c r="K385" i="23"/>
  <c r="L385" i="23"/>
  <c r="M385" i="23"/>
  <c r="N385" i="23"/>
  <c r="O385" i="23"/>
  <c r="U385" i="23"/>
  <c r="AC385" i="23"/>
  <c r="AD385" i="23"/>
  <c r="AH385" i="23"/>
  <c r="B386" i="23"/>
  <c r="F386" i="23"/>
  <c r="K386" i="23"/>
  <c r="L386" i="23"/>
  <c r="M386" i="23"/>
  <c r="N386" i="23"/>
  <c r="O386" i="23"/>
  <c r="U386" i="23"/>
  <c r="AC386" i="23"/>
  <c r="AD386" i="23"/>
  <c r="AH386" i="23"/>
  <c r="B387" i="23"/>
  <c r="F387" i="23"/>
  <c r="K387" i="23"/>
  <c r="L387" i="23"/>
  <c r="M387" i="23"/>
  <c r="N387" i="23"/>
  <c r="O387" i="23"/>
  <c r="U387" i="23"/>
  <c r="AC387" i="23"/>
  <c r="AD387" i="23"/>
  <c r="AH387" i="23"/>
  <c r="B388" i="23"/>
  <c r="F388" i="23"/>
  <c r="K388" i="23"/>
  <c r="L388" i="23"/>
  <c r="M388" i="23"/>
  <c r="N388" i="23"/>
  <c r="O388" i="23"/>
  <c r="U388" i="23"/>
  <c r="AC388" i="23"/>
  <c r="AD388" i="23"/>
  <c r="AH388" i="23"/>
  <c r="B389" i="23"/>
  <c r="F389" i="23"/>
  <c r="K389" i="23"/>
  <c r="L389" i="23"/>
  <c r="M389" i="23"/>
  <c r="N389" i="23"/>
  <c r="O389" i="23"/>
  <c r="U389" i="23"/>
  <c r="AC389" i="23"/>
  <c r="AD389" i="23"/>
  <c r="AH389" i="23"/>
  <c r="B390" i="23"/>
  <c r="F390" i="23"/>
  <c r="K390" i="23"/>
  <c r="L390" i="23"/>
  <c r="M390" i="23"/>
  <c r="N390" i="23"/>
  <c r="O390" i="23"/>
  <c r="U390" i="23"/>
  <c r="AC390" i="23"/>
  <c r="AD390" i="23"/>
  <c r="AH390" i="23"/>
  <c r="B391" i="23"/>
  <c r="F391" i="23"/>
  <c r="K391" i="23"/>
  <c r="L391" i="23"/>
  <c r="M391" i="23"/>
  <c r="N391" i="23"/>
  <c r="O391" i="23"/>
  <c r="U391" i="23"/>
  <c r="AC391" i="23"/>
  <c r="AD391" i="23"/>
  <c r="AH391" i="23"/>
  <c r="B392" i="23"/>
  <c r="F392" i="23"/>
  <c r="K392" i="23"/>
  <c r="L392" i="23"/>
  <c r="M392" i="23"/>
  <c r="N392" i="23"/>
  <c r="O392" i="23"/>
  <c r="U392" i="23"/>
  <c r="AC392" i="23"/>
  <c r="AD392" i="23"/>
  <c r="AH392" i="23"/>
  <c r="B393" i="23"/>
  <c r="F393" i="23"/>
  <c r="K393" i="23"/>
  <c r="L393" i="23"/>
  <c r="M393" i="23"/>
  <c r="N393" i="23"/>
  <c r="O393" i="23"/>
  <c r="U393" i="23"/>
  <c r="AC393" i="23"/>
  <c r="AD393" i="23"/>
  <c r="AH393" i="23"/>
  <c r="B394" i="23"/>
  <c r="F394" i="23"/>
  <c r="K394" i="23"/>
  <c r="L394" i="23"/>
  <c r="M394" i="23"/>
  <c r="N394" i="23"/>
  <c r="O394" i="23"/>
  <c r="U394" i="23"/>
  <c r="AC394" i="23"/>
  <c r="AD394" i="23"/>
  <c r="AH394" i="23"/>
  <c r="B395" i="23"/>
  <c r="F395" i="23"/>
  <c r="K395" i="23"/>
  <c r="L395" i="23"/>
  <c r="M395" i="23"/>
  <c r="N395" i="23"/>
  <c r="O395" i="23"/>
  <c r="U395" i="23"/>
  <c r="AC395" i="23"/>
  <c r="AD395" i="23"/>
  <c r="AH395" i="23"/>
  <c r="B396" i="23"/>
  <c r="F396" i="23"/>
  <c r="K396" i="23"/>
  <c r="L396" i="23"/>
  <c r="M396" i="23"/>
  <c r="N396" i="23"/>
  <c r="O396" i="23"/>
  <c r="U396" i="23"/>
  <c r="AC396" i="23"/>
  <c r="AD396" i="23"/>
  <c r="AH396" i="23"/>
  <c r="B397" i="23"/>
  <c r="F397" i="23"/>
  <c r="K397" i="23"/>
  <c r="L397" i="23"/>
  <c r="M397" i="23"/>
  <c r="N397" i="23"/>
  <c r="O397" i="23"/>
  <c r="U397" i="23"/>
  <c r="AC397" i="23"/>
  <c r="AD397" i="23"/>
  <c r="AH397" i="23"/>
  <c r="B398" i="23"/>
  <c r="F398" i="23"/>
  <c r="K398" i="23"/>
  <c r="L398" i="23"/>
  <c r="M398" i="23"/>
  <c r="N398" i="23"/>
  <c r="O398" i="23"/>
  <c r="U398" i="23"/>
  <c r="AC398" i="23"/>
  <c r="AD398" i="23"/>
  <c r="AH398" i="23"/>
  <c r="B399" i="23"/>
  <c r="F399" i="23"/>
  <c r="K399" i="23"/>
  <c r="L399" i="23"/>
  <c r="M399" i="23"/>
  <c r="N399" i="23"/>
  <c r="O399" i="23"/>
  <c r="U399" i="23"/>
  <c r="AC399" i="23"/>
  <c r="AD399" i="23"/>
  <c r="AH399" i="23"/>
  <c r="B400" i="23"/>
  <c r="F400" i="23"/>
  <c r="K400" i="23"/>
  <c r="L400" i="23"/>
  <c r="M400" i="23"/>
  <c r="N400" i="23"/>
  <c r="O400" i="23"/>
  <c r="U400" i="23"/>
  <c r="AC400" i="23"/>
  <c r="AD400" i="23"/>
  <c r="AH400" i="23"/>
  <c r="B401" i="23"/>
  <c r="F401" i="23"/>
  <c r="K401" i="23"/>
  <c r="L401" i="23"/>
  <c r="M401" i="23"/>
  <c r="N401" i="23"/>
  <c r="O401" i="23"/>
  <c r="U401" i="23"/>
  <c r="AC401" i="23"/>
  <c r="AD401" i="23"/>
  <c r="AH401" i="23"/>
  <c r="B402" i="23"/>
  <c r="F402" i="23"/>
  <c r="K402" i="23"/>
  <c r="L402" i="23"/>
  <c r="M402" i="23"/>
  <c r="N402" i="23"/>
  <c r="O402" i="23"/>
  <c r="U402" i="23"/>
  <c r="AC402" i="23"/>
  <c r="AD402" i="23"/>
  <c r="AH402" i="23"/>
  <c r="B403" i="23"/>
  <c r="F403" i="23"/>
  <c r="K403" i="23"/>
  <c r="L403" i="23"/>
  <c r="M403" i="23"/>
  <c r="N403" i="23"/>
  <c r="O403" i="23"/>
  <c r="U403" i="23"/>
  <c r="AC403" i="23"/>
  <c r="AD403" i="23"/>
  <c r="AH403" i="23"/>
  <c r="B404" i="23"/>
  <c r="F404" i="23"/>
  <c r="K404" i="23"/>
  <c r="L404" i="23"/>
  <c r="M404" i="23"/>
  <c r="N404" i="23"/>
  <c r="O404" i="23"/>
  <c r="U404" i="23"/>
  <c r="AC404" i="23"/>
  <c r="AD404" i="23"/>
  <c r="AH404" i="23"/>
  <c r="B405" i="23"/>
  <c r="F405" i="23"/>
  <c r="K405" i="23"/>
  <c r="L405" i="23"/>
  <c r="M405" i="23"/>
  <c r="N405" i="23"/>
  <c r="O405" i="23"/>
  <c r="U405" i="23"/>
  <c r="AC405" i="23"/>
  <c r="AD405" i="23"/>
  <c r="AH405" i="23"/>
  <c r="B406" i="23"/>
  <c r="F406" i="23"/>
  <c r="K406" i="23"/>
  <c r="L406" i="23"/>
  <c r="M406" i="23"/>
  <c r="N406" i="23"/>
  <c r="O406" i="23"/>
  <c r="U406" i="23"/>
  <c r="AC406" i="23"/>
  <c r="AD406" i="23"/>
  <c r="AH406" i="23"/>
  <c r="B407" i="23"/>
  <c r="F407" i="23"/>
  <c r="K407" i="23"/>
  <c r="L407" i="23"/>
  <c r="M407" i="23"/>
  <c r="N407" i="23"/>
  <c r="O407" i="23"/>
  <c r="U407" i="23"/>
  <c r="AC407" i="23"/>
  <c r="AD407" i="23"/>
  <c r="AH407" i="23"/>
  <c r="B408" i="23"/>
  <c r="F408" i="23"/>
  <c r="K408" i="23"/>
  <c r="L408" i="23"/>
  <c r="M408" i="23"/>
  <c r="N408" i="23"/>
  <c r="O408" i="23"/>
  <c r="U408" i="23"/>
  <c r="AC408" i="23"/>
  <c r="AD408" i="23"/>
  <c r="AH408" i="23"/>
  <c r="B409" i="23"/>
  <c r="F409" i="23"/>
  <c r="K409" i="23"/>
  <c r="L409" i="23"/>
  <c r="M409" i="23"/>
  <c r="N409" i="23"/>
  <c r="O409" i="23"/>
  <c r="U409" i="23"/>
  <c r="AC409" i="23"/>
  <c r="AD409" i="23"/>
  <c r="AH409" i="23"/>
  <c r="B410" i="23"/>
  <c r="F410" i="23"/>
  <c r="K410" i="23"/>
  <c r="L410" i="23"/>
  <c r="M410" i="23"/>
  <c r="N410" i="23"/>
  <c r="O410" i="23"/>
  <c r="U410" i="23"/>
  <c r="AC410" i="23"/>
  <c r="AD410" i="23"/>
  <c r="AH410" i="23"/>
  <c r="B411" i="23"/>
  <c r="F411" i="23"/>
  <c r="K411" i="23"/>
  <c r="L411" i="23"/>
  <c r="M411" i="23"/>
  <c r="N411" i="23"/>
  <c r="O411" i="23"/>
  <c r="U411" i="23"/>
  <c r="AC411" i="23"/>
  <c r="AD411" i="23"/>
  <c r="AH411" i="23"/>
  <c r="B412" i="23"/>
  <c r="F412" i="23"/>
  <c r="K412" i="23"/>
  <c r="L412" i="23"/>
  <c r="M412" i="23"/>
  <c r="N412" i="23"/>
  <c r="O412" i="23"/>
  <c r="U412" i="23"/>
  <c r="AC412" i="23"/>
  <c r="AD412" i="23"/>
  <c r="AH412" i="23"/>
  <c r="B413" i="23"/>
  <c r="F413" i="23"/>
  <c r="K413" i="23"/>
  <c r="L413" i="23"/>
  <c r="M413" i="23"/>
  <c r="N413" i="23"/>
  <c r="O413" i="23"/>
  <c r="U413" i="23"/>
  <c r="AC413" i="23"/>
  <c r="AD413" i="23"/>
  <c r="AH413" i="23"/>
  <c r="B414" i="23"/>
  <c r="F414" i="23"/>
  <c r="K414" i="23"/>
  <c r="L414" i="23"/>
  <c r="M414" i="23"/>
  <c r="N414" i="23"/>
  <c r="O414" i="23"/>
  <c r="U414" i="23"/>
  <c r="AC414" i="23"/>
  <c r="AD414" i="23"/>
  <c r="AH414" i="23"/>
  <c r="B415" i="23"/>
  <c r="F415" i="23"/>
  <c r="K415" i="23"/>
  <c r="L415" i="23"/>
  <c r="M415" i="23"/>
  <c r="N415" i="23"/>
  <c r="O415" i="23"/>
  <c r="U415" i="23"/>
  <c r="AC415" i="23"/>
  <c r="AD415" i="23"/>
  <c r="AH415" i="23"/>
  <c r="B416" i="23"/>
  <c r="F416" i="23"/>
  <c r="K416" i="23"/>
  <c r="L416" i="23"/>
  <c r="M416" i="23"/>
  <c r="N416" i="23"/>
  <c r="O416" i="23"/>
  <c r="U416" i="23"/>
  <c r="AC416" i="23"/>
  <c r="AD416" i="23"/>
  <c r="AH416" i="23"/>
  <c r="B417" i="23"/>
  <c r="F417" i="23"/>
  <c r="K417" i="23"/>
  <c r="L417" i="23"/>
  <c r="M417" i="23"/>
  <c r="N417" i="23"/>
  <c r="O417" i="23"/>
  <c r="U417" i="23"/>
  <c r="AC417" i="23"/>
  <c r="AD417" i="23"/>
  <c r="AH417" i="23"/>
  <c r="B418" i="23"/>
  <c r="F418" i="23"/>
  <c r="K418" i="23"/>
  <c r="L418" i="23"/>
  <c r="M418" i="23"/>
  <c r="N418" i="23"/>
  <c r="O418" i="23"/>
  <c r="U418" i="23"/>
  <c r="AC418" i="23"/>
  <c r="AD418" i="23"/>
  <c r="AH418" i="23"/>
  <c r="B419" i="23"/>
  <c r="F419" i="23"/>
  <c r="K419" i="23"/>
  <c r="L419" i="23"/>
  <c r="M419" i="23"/>
  <c r="N419" i="23"/>
  <c r="O419" i="23"/>
  <c r="U419" i="23"/>
  <c r="AC419" i="23"/>
  <c r="AD419" i="23"/>
  <c r="AH419" i="23"/>
  <c r="B420" i="23"/>
  <c r="F420" i="23"/>
  <c r="K420" i="23"/>
  <c r="L420" i="23"/>
  <c r="M420" i="23"/>
  <c r="N420" i="23"/>
  <c r="O420" i="23"/>
  <c r="U420" i="23"/>
  <c r="AC420" i="23"/>
  <c r="AD420" i="23"/>
  <c r="AH420" i="23"/>
  <c r="B421" i="23"/>
  <c r="F421" i="23"/>
  <c r="K421" i="23"/>
  <c r="L421" i="23"/>
  <c r="M421" i="23"/>
  <c r="N421" i="23"/>
  <c r="O421" i="23"/>
  <c r="U421" i="23"/>
  <c r="AC421" i="23"/>
  <c r="AD421" i="23"/>
  <c r="AH421" i="23"/>
  <c r="B422" i="23"/>
  <c r="F422" i="23"/>
  <c r="K422" i="23"/>
  <c r="L422" i="23"/>
  <c r="M422" i="23"/>
  <c r="N422" i="23"/>
  <c r="O422" i="23"/>
  <c r="U422" i="23"/>
  <c r="AC422" i="23"/>
  <c r="AD422" i="23"/>
  <c r="AH422" i="23"/>
  <c r="B423" i="23"/>
  <c r="F423" i="23"/>
  <c r="K423" i="23"/>
  <c r="L423" i="23"/>
  <c r="M423" i="23"/>
  <c r="N423" i="23"/>
  <c r="O423" i="23"/>
  <c r="U423" i="23"/>
  <c r="AC423" i="23"/>
  <c r="AD423" i="23"/>
  <c r="AH423" i="23"/>
  <c r="B424" i="23"/>
  <c r="F424" i="23"/>
  <c r="K424" i="23"/>
  <c r="L424" i="23"/>
  <c r="M424" i="23"/>
  <c r="N424" i="23"/>
  <c r="O424" i="23"/>
  <c r="U424" i="23"/>
  <c r="AC424" i="23"/>
  <c r="AD424" i="23"/>
  <c r="AH424" i="23"/>
  <c r="B425" i="23"/>
  <c r="F425" i="23"/>
  <c r="K425" i="23"/>
  <c r="L425" i="23"/>
  <c r="M425" i="23"/>
  <c r="N425" i="23"/>
  <c r="O425" i="23"/>
  <c r="U425" i="23"/>
  <c r="AC425" i="23"/>
  <c r="AD425" i="23"/>
  <c r="AH425" i="23"/>
  <c r="B426" i="23"/>
  <c r="F426" i="23"/>
  <c r="K426" i="23"/>
  <c r="L426" i="23"/>
  <c r="M426" i="23"/>
  <c r="N426" i="23"/>
  <c r="O426" i="23"/>
  <c r="U426" i="23"/>
  <c r="AC426" i="23"/>
  <c r="AD426" i="23"/>
  <c r="AH426" i="23"/>
  <c r="B427" i="23"/>
  <c r="F427" i="23"/>
  <c r="K427" i="23"/>
  <c r="L427" i="23"/>
  <c r="M427" i="23"/>
  <c r="N427" i="23"/>
  <c r="O427" i="23"/>
  <c r="U427" i="23"/>
  <c r="AC427" i="23"/>
  <c r="AD427" i="23"/>
  <c r="AH427" i="23"/>
  <c r="B428" i="23"/>
  <c r="F428" i="23"/>
  <c r="K428" i="23"/>
  <c r="L428" i="23"/>
  <c r="M428" i="23"/>
  <c r="N428" i="23"/>
  <c r="O428" i="23"/>
  <c r="U428" i="23"/>
  <c r="AC428" i="23"/>
  <c r="AD428" i="23"/>
  <c r="AH428" i="23"/>
  <c r="B429" i="23"/>
  <c r="F429" i="23"/>
  <c r="K429" i="23"/>
  <c r="L429" i="23"/>
  <c r="M429" i="23"/>
  <c r="N429" i="23"/>
  <c r="O429" i="23"/>
  <c r="U429" i="23"/>
  <c r="AC429" i="23"/>
  <c r="AD429" i="23"/>
  <c r="AH429" i="23"/>
  <c r="B430" i="23"/>
  <c r="F430" i="23"/>
  <c r="K430" i="23"/>
  <c r="L430" i="23"/>
  <c r="M430" i="23"/>
  <c r="N430" i="23"/>
  <c r="O430" i="23"/>
  <c r="U430" i="23"/>
  <c r="AC430" i="23"/>
  <c r="AD430" i="23"/>
  <c r="AH430" i="23"/>
  <c r="B431" i="23"/>
  <c r="F431" i="23"/>
  <c r="K431" i="23"/>
  <c r="L431" i="23"/>
  <c r="M431" i="23"/>
  <c r="N431" i="23"/>
  <c r="O431" i="23"/>
  <c r="U431" i="23"/>
  <c r="AC431" i="23"/>
  <c r="AD431" i="23"/>
  <c r="AH431" i="23"/>
  <c r="B432" i="23"/>
  <c r="F432" i="23"/>
  <c r="K432" i="23"/>
  <c r="L432" i="23"/>
  <c r="M432" i="23"/>
  <c r="N432" i="23"/>
  <c r="O432" i="23"/>
  <c r="U432" i="23"/>
  <c r="AC432" i="23"/>
  <c r="AD432" i="23"/>
  <c r="AH432" i="23"/>
  <c r="B433" i="23"/>
  <c r="F433" i="23"/>
  <c r="K433" i="23"/>
  <c r="L433" i="23"/>
  <c r="M433" i="23"/>
  <c r="N433" i="23"/>
  <c r="O433" i="23"/>
  <c r="U433" i="23"/>
  <c r="AC433" i="23"/>
  <c r="AD433" i="23"/>
  <c r="AH433" i="23"/>
  <c r="B434" i="23"/>
  <c r="F434" i="23"/>
  <c r="K434" i="23"/>
  <c r="L434" i="23"/>
  <c r="M434" i="23"/>
  <c r="N434" i="23"/>
  <c r="O434" i="23"/>
  <c r="U434" i="23"/>
  <c r="AC434" i="23"/>
  <c r="AD434" i="23"/>
  <c r="AH434" i="23"/>
  <c r="B435" i="23"/>
  <c r="F435" i="23"/>
  <c r="K435" i="23"/>
  <c r="L435" i="23"/>
  <c r="M435" i="23"/>
  <c r="N435" i="23"/>
  <c r="O435" i="23"/>
  <c r="U435" i="23"/>
  <c r="AC435" i="23"/>
  <c r="AD435" i="23"/>
  <c r="AH435" i="23"/>
  <c r="B436" i="23"/>
  <c r="F436" i="23"/>
  <c r="K436" i="23"/>
  <c r="L436" i="23"/>
  <c r="M436" i="23"/>
  <c r="N436" i="23"/>
  <c r="O436" i="23"/>
  <c r="U436" i="23"/>
  <c r="AC436" i="23"/>
  <c r="AD436" i="23"/>
  <c r="AH436" i="23"/>
  <c r="B437" i="23"/>
  <c r="F437" i="23"/>
  <c r="K437" i="23"/>
  <c r="L437" i="23"/>
  <c r="M437" i="23"/>
  <c r="N437" i="23"/>
  <c r="O437" i="23"/>
  <c r="U437" i="23"/>
  <c r="AC437" i="23"/>
  <c r="AD437" i="23"/>
  <c r="AH437" i="23"/>
  <c r="B438" i="23"/>
  <c r="F438" i="23"/>
  <c r="K438" i="23"/>
  <c r="L438" i="23"/>
  <c r="M438" i="23"/>
  <c r="N438" i="23"/>
  <c r="O438" i="23"/>
  <c r="U438" i="23"/>
  <c r="AC438" i="23"/>
  <c r="AD438" i="23"/>
  <c r="AH438" i="23"/>
  <c r="B439" i="23"/>
  <c r="F439" i="23"/>
  <c r="K439" i="23"/>
  <c r="L439" i="23"/>
  <c r="M439" i="23"/>
  <c r="N439" i="23"/>
  <c r="O439" i="23"/>
  <c r="U439" i="23"/>
  <c r="AC439" i="23"/>
  <c r="AD439" i="23"/>
  <c r="AH439" i="23"/>
  <c r="B440" i="23"/>
  <c r="F440" i="23"/>
  <c r="K440" i="23"/>
  <c r="L440" i="23"/>
  <c r="M440" i="23"/>
  <c r="N440" i="23"/>
  <c r="O440" i="23"/>
  <c r="U440" i="23"/>
  <c r="AC440" i="23"/>
  <c r="AD440" i="23"/>
  <c r="AH440" i="23"/>
  <c r="B441" i="23"/>
  <c r="F441" i="23"/>
  <c r="K441" i="23"/>
  <c r="L441" i="23"/>
  <c r="M441" i="23"/>
  <c r="N441" i="23"/>
  <c r="O441" i="23"/>
  <c r="U441" i="23"/>
  <c r="AC441" i="23"/>
  <c r="AD441" i="23"/>
  <c r="AH441" i="23"/>
  <c r="B442" i="23"/>
  <c r="F442" i="23"/>
  <c r="K442" i="23"/>
  <c r="L442" i="23"/>
  <c r="M442" i="23"/>
  <c r="N442" i="23"/>
  <c r="O442" i="23"/>
  <c r="U442" i="23"/>
  <c r="AC442" i="23"/>
  <c r="AD442" i="23"/>
  <c r="AH442" i="23"/>
  <c r="B443" i="23"/>
  <c r="F443" i="23"/>
  <c r="K443" i="23"/>
  <c r="L443" i="23"/>
  <c r="M443" i="23"/>
  <c r="N443" i="23"/>
  <c r="O443" i="23"/>
  <c r="U443" i="23"/>
  <c r="AC443" i="23"/>
  <c r="AD443" i="23"/>
  <c r="AH443" i="23"/>
  <c r="B444" i="23"/>
  <c r="F444" i="23"/>
  <c r="K444" i="23"/>
  <c r="L444" i="23"/>
  <c r="M444" i="23"/>
  <c r="N444" i="23"/>
  <c r="O444" i="23"/>
  <c r="U444" i="23"/>
  <c r="AC444" i="23"/>
  <c r="AD444" i="23"/>
  <c r="AH444" i="23"/>
  <c r="B445" i="23"/>
  <c r="F445" i="23"/>
  <c r="K445" i="23"/>
  <c r="L445" i="23"/>
  <c r="M445" i="23"/>
  <c r="N445" i="23"/>
  <c r="O445" i="23"/>
  <c r="U445" i="23"/>
  <c r="AC445" i="23"/>
  <c r="AD445" i="23"/>
  <c r="AH445" i="23"/>
  <c r="B446" i="23"/>
  <c r="F446" i="23"/>
  <c r="K446" i="23"/>
  <c r="L446" i="23"/>
  <c r="M446" i="23"/>
  <c r="N446" i="23"/>
  <c r="O446" i="23"/>
  <c r="U446" i="23"/>
  <c r="AC446" i="23"/>
  <c r="AD446" i="23"/>
  <c r="AH446" i="23"/>
  <c r="B447" i="23"/>
  <c r="F447" i="23"/>
  <c r="K447" i="23"/>
  <c r="L447" i="23"/>
  <c r="M447" i="23"/>
  <c r="N447" i="23"/>
  <c r="O447" i="23"/>
  <c r="U447" i="23"/>
  <c r="AC447" i="23"/>
  <c r="AD447" i="23"/>
  <c r="AH447" i="23"/>
  <c r="B448" i="23"/>
  <c r="F448" i="23"/>
  <c r="K448" i="23"/>
  <c r="L448" i="23"/>
  <c r="M448" i="23"/>
  <c r="N448" i="23"/>
  <c r="O448" i="23"/>
  <c r="U448" i="23"/>
  <c r="AC448" i="23"/>
  <c r="AD448" i="23"/>
  <c r="AH448" i="23"/>
  <c r="B449" i="23"/>
  <c r="F449" i="23"/>
  <c r="K449" i="23"/>
  <c r="L449" i="23"/>
  <c r="M449" i="23"/>
  <c r="N449" i="23"/>
  <c r="O449" i="23"/>
  <c r="U449" i="23"/>
  <c r="AC449" i="23"/>
  <c r="AD449" i="23"/>
  <c r="AH449" i="23"/>
  <c r="B450" i="23"/>
  <c r="F450" i="23"/>
  <c r="K450" i="23"/>
  <c r="L450" i="23"/>
  <c r="M450" i="23"/>
  <c r="N450" i="23"/>
  <c r="O450" i="23"/>
  <c r="U450" i="23"/>
  <c r="AC450" i="23"/>
  <c r="AD450" i="23"/>
  <c r="AH450" i="23"/>
  <c r="B451" i="23"/>
  <c r="F451" i="23"/>
  <c r="K451" i="23"/>
  <c r="L451" i="23"/>
  <c r="M451" i="23"/>
  <c r="N451" i="23"/>
  <c r="O451" i="23"/>
  <c r="U451" i="23"/>
  <c r="AC451" i="23"/>
  <c r="AD451" i="23"/>
  <c r="AH451" i="23"/>
  <c r="B452" i="23"/>
  <c r="F452" i="23"/>
  <c r="K452" i="23"/>
  <c r="L452" i="23"/>
  <c r="M452" i="23"/>
  <c r="N452" i="23"/>
  <c r="O452" i="23"/>
  <c r="U452" i="23"/>
  <c r="AC452" i="23"/>
  <c r="AD452" i="23"/>
  <c r="AH452" i="23"/>
  <c r="B453" i="23"/>
  <c r="F453" i="23"/>
  <c r="K453" i="23"/>
  <c r="L453" i="23"/>
  <c r="M453" i="23"/>
  <c r="N453" i="23"/>
  <c r="O453" i="23"/>
  <c r="U453" i="23"/>
  <c r="AC453" i="23"/>
  <c r="AD453" i="23"/>
  <c r="AH453" i="23"/>
  <c r="B454" i="23"/>
  <c r="F454" i="23"/>
  <c r="K454" i="23"/>
  <c r="L454" i="23"/>
  <c r="M454" i="23"/>
  <c r="N454" i="23"/>
  <c r="O454" i="23"/>
  <c r="U454" i="23"/>
  <c r="AC454" i="23"/>
  <c r="AD454" i="23"/>
  <c r="AH454" i="23"/>
  <c r="B455" i="23"/>
  <c r="F455" i="23"/>
  <c r="K455" i="23"/>
  <c r="L455" i="23"/>
  <c r="M455" i="23"/>
  <c r="N455" i="23"/>
  <c r="O455" i="23"/>
  <c r="U455" i="23"/>
  <c r="AC455" i="23"/>
  <c r="AD455" i="23"/>
  <c r="AH455" i="23"/>
  <c r="B456" i="23"/>
  <c r="F456" i="23"/>
  <c r="K456" i="23"/>
  <c r="L456" i="23"/>
  <c r="M456" i="23"/>
  <c r="N456" i="23"/>
  <c r="O456" i="23"/>
  <c r="U456" i="23"/>
  <c r="AC456" i="23"/>
  <c r="AD456" i="23"/>
  <c r="AH456" i="23"/>
  <c r="B457" i="23"/>
  <c r="F457" i="23"/>
  <c r="K457" i="23"/>
  <c r="L457" i="23"/>
  <c r="M457" i="23"/>
  <c r="N457" i="23"/>
  <c r="O457" i="23"/>
  <c r="U457" i="23"/>
  <c r="AC457" i="23"/>
  <c r="AD457" i="23"/>
  <c r="AH457" i="23"/>
  <c r="B458" i="23"/>
  <c r="F458" i="23"/>
  <c r="K458" i="23"/>
  <c r="L458" i="23"/>
  <c r="M458" i="23"/>
  <c r="N458" i="23"/>
  <c r="O458" i="23"/>
  <c r="U458" i="23"/>
  <c r="AC458" i="23"/>
  <c r="AD458" i="23"/>
  <c r="AH458" i="23"/>
  <c r="B459" i="23"/>
  <c r="F459" i="23"/>
  <c r="K459" i="23"/>
  <c r="L459" i="23"/>
  <c r="M459" i="23"/>
  <c r="N459" i="23"/>
  <c r="O459" i="23"/>
  <c r="U459" i="23"/>
  <c r="AC459" i="23"/>
  <c r="AD459" i="23"/>
  <c r="AH459" i="23"/>
  <c r="B460" i="23"/>
  <c r="F460" i="23"/>
  <c r="K460" i="23"/>
  <c r="L460" i="23"/>
  <c r="M460" i="23"/>
  <c r="N460" i="23"/>
  <c r="O460" i="23"/>
  <c r="U460" i="23"/>
  <c r="AC460" i="23"/>
  <c r="AD460" i="23"/>
  <c r="AH460" i="23"/>
  <c r="B461" i="23"/>
  <c r="F461" i="23"/>
  <c r="K461" i="23"/>
  <c r="L461" i="23"/>
  <c r="M461" i="23"/>
  <c r="N461" i="23"/>
  <c r="O461" i="23"/>
  <c r="U461" i="23"/>
  <c r="AC461" i="23"/>
  <c r="AD461" i="23"/>
  <c r="AH461" i="23"/>
  <c r="B462" i="23"/>
  <c r="F462" i="23"/>
  <c r="K462" i="23"/>
  <c r="L462" i="23"/>
  <c r="M462" i="23"/>
  <c r="N462" i="23"/>
  <c r="O462" i="23"/>
  <c r="U462" i="23"/>
  <c r="AC462" i="23"/>
  <c r="AD462" i="23"/>
  <c r="AH462" i="23"/>
  <c r="B463" i="23"/>
  <c r="F463" i="23"/>
  <c r="K463" i="23"/>
  <c r="L463" i="23"/>
  <c r="M463" i="23"/>
  <c r="N463" i="23"/>
  <c r="O463" i="23"/>
  <c r="U463" i="23"/>
  <c r="AC463" i="23"/>
  <c r="AD463" i="23"/>
  <c r="AH463" i="23"/>
  <c r="B464" i="23"/>
  <c r="F464" i="23"/>
  <c r="K464" i="23"/>
  <c r="L464" i="23"/>
  <c r="M464" i="23"/>
  <c r="N464" i="23"/>
  <c r="O464" i="23"/>
  <c r="U464" i="23"/>
  <c r="AC464" i="23"/>
  <c r="AD464" i="23"/>
  <c r="AH464" i="23"/>
  <c r="B465" i="23"/>
  <c r="F465" i="23"/>
  <c r="K465" i="23"/>
  <c r="L465" i="23"/>
  <c r="M465" i="23"/>
  <c r="N465" i="23"/>
  <c r="O465" i="23"/>
  <c r="U465" i="23"/>
  <c r="AC465" i="23"/>
  <c r="AD465" i="23"/>
  <c r="AH465" i="23"/>
  <c r="B466" i="23"/>
  <c r="F466" i="23"/>
  <c r="K466" i="23"/>
  <c r="L466" i="23"/>
  <c r="M466" i="23"/>
  <c r="N466" i="23"/>
  <c r="O466" i="23"/>
  <c r="U466" i="23"/>
  <c r="AC466" i="23"/>
  <c r="AD466" i="23"/>
  <c r="AH466" i="23"/>
  <c r="B467" i="23"/>
  <c r="F467" i="23"/>
  <c r="K467" i="23"/>
  <c r="L467" i="23"/>
  <c r="M467" i="23"/>
  <c r="N467" i="23"/>
  <c r="O467" i="23"/>
  <c r="U467" i="23"/>
  <c r="AC467" i="23"/>
  <c r="AD467" i="23"/>
  <c r="AH467" i="23"/>
  <c r="B468" i="23"/>
  <c r="F468" i="23"/>
  <c r="K468" i="23"/>
  <c r="L468" i="23"/>
  <c r="M468" i="23"/>
  <c r="N468" i="23"/>
  <c r="O468" i="23"/>
  <c r="U468" i="23"/>
  <c r="AC468" i="23"/>
  <c r="AD468" i="23"/>
  <c r="AH468" i="23"/>
  <c r="B469" i="23"/>
  <c r="F469" i="23"/>
  <c r="K469" i="23"/>
  <c r="L469" i="23"/>
  <c r="M469" i="23"/>
  <c r="N469" i="23"/>
  <c r="O469" i="23"/>
  <c r="U469" i="23"/>
  <c r="AC469" i="23"/>
  <c r="AD469" i="23"/>
  <c r="AH469" i="23"/>
  <c r="B470" i="23"/>
  <c r="F470" i="23"/>
  <c r="K470" i="23"/>
  <c r="L470" i="23"/>
  <c r="M470" i="23"/>
  <c r="N470" i="23"/>
  <c r="O470" i="23"/>
  <c r="U470" i="23"/>
  <c r="AC470" i="23"/>
  <c r="AD470" i="23"/>
  <c r="AH470" i="23"/>
  <c r="B471" i="23"/>
  <c r="F471" i="23"/>
  <c r="K471" i="23"/>
  <c r="L471" i="23"/>
  <c r="M471" i="23"/>
  <c r="N471" i="23"/>
  <c r="O471" i="23"/>
  <c r="U471" i="23"/>
  <c r="AC471" i="23"/>
  <c r="AD471" i="23"/>
  <c r="AH471" i="23"/>
  <c r="B472" i="23"/>
  <c r="F472" i="23"/>
  <c r="K472" i="23"/>
  <c r="L472" i="23"/>
  <c r="M472" i="23"/>
  <c r="N472" i="23"/>
  <c r="O472" i="23"/>
  <c r="U472" i="23"/>
  <c r="AC472" i="23"/>
  <c r="AD472" i="23"/>
  <c r="AH472" i="23"/>
  <c r="B473" i="23"/>
  <c r="F473" i="23"/>
  <c r="K473" i="23"/>
  <c r="L473" i="23"/>
  <c r="M473" i="23"/>
  <c r="N473" i="23"/>
  <c r="O473" i="23"/>
  <c r="U473" i="23"/>
  <c r="AC473" i="23"/>
  <c r="AD473" i="23"/>
  <c r="AH473" i="23"/>
  <c r="B474" i="23"/>
  <c r="F474" i="23"/>
  <c r="K474" i="23"/>
  <c r="L474" i="23"/>
  <c r="M474" i="23"/>
  <c r="N474" i="23"/>
  <c r="O474" i="23"/>
  <c r="U474" i="23"/>
  <c r="AC474" i="23"/>
  <c r="AD474" i="23"/>
  <c r="AH474" i="23"/>
  <c r="B475" i="23"/>
  <c r="F475" i="23"/>
  <c r="K475" i="23"/>
  <c r="L475" i="23"/>
  <c r="M475" i="23"/>
  <c r="N475" i="23"/>
  <c r="O475" i="23"/>
  <c r="U475" i="23"/>
  <c r="AC475" i="23"/>
  <c r="AD475" i="23"/>
  <c r="AH475" i="23"/>
  <c r="B476" i="23"/>
  <c r="F476" i="23"/>
  <c r="K476" i="23"/>
  <c r="L476" i="23"/>
  <c r="M476" i="23"/>
  <c r="N476" i="23"/>
  <c r="O476" i="23"/>
  <c r="U476" i="23"/>
  <c r="AC476" i="23"/>
  <c r="AD476" i="23"/>
  <c r="AH476" i="23"/>
  <c r="B477" i="23"/>
  <c r="F477" i="23"/>
  <c r="K477" i="23"/>
  <c r="L477" i="23"/>
  <c r="M477" i="23"/>
  <c r="N477" i="23"/>
  <c r="O477" i="23"/>
  <c r="U477" i="23"/>
  <c r="AC477" i="23"/>
  <c r="AD477" i="23"/>
  <c r="AH477" i="23"/>
  <c r="B478" i="23"/>
  <c r="F478" i="23"/>
  <c r="K478" i="23"/>
  <c r="L478" i="23"/>
  <c r="M478" i="23"/>
  <c r="N478" i="23"/>
  <c r="O478" i="23"/>
  <c r="U478" i="23"/>
  <c r="AC478" i="23"/>
  <c r="AD478" i="23"/>
  <c r="AH478" i="23"/>
  <c r="B479" i="23"/>
  <c r="F479" i="23"/>
  <c r="K479" i="23"/>
  <c r="L479" i="23"/>
  <c r="M479" i="23"/>
  <c r="N479" i="23"/>
  <c r="O479" i="23"/>
  <c r="U479" i="23"/>
  <c r="AC479" i="23"/>
  <c r="AD479" i="23"/>
  <c r="AH479" i="23"/>
  <c r="B480" i="23"/>
  <c r="F480" i="23"/>
  <c r="K480" i="23"/>
  <c r="L480" i="23"/>
  <c r="M480" i="23"/>
  <c r="N480" i="23"/>
  <c r="O480" i="23"/>
  <c r="U480" i="23"/>
  <c r="AC480" i="23"/>
  <c r="AD480" i="23"/>
  <c r="AH480" i="23"/>
  <c r="B481" i="23"/>
  <c r="F481" i="23"/>
  <c r="K481" i="23"/>
  <c r="L481" i="23"/>
  <c r="M481" i="23"/>
  <c r="N481" i="23"/>
  <c r="O481" i="23"/>
  <c r="U481" i="23"/>
  <c r="AC481" i="23"/>
  <c r="AD481" i="23"/>
  <c r="AH481" i="23"/>
  <c r="B482" i="23"/>
  <c r="F482" i="23"/>
  <c r="K482" i="23"/>
  <c r="L482" i="23"/>
  <c r="M482" i="23"/>
  <c r="N482" i="23"/>
  <c r="O482" i="23"/>
  <c r="U482" i="23"/>
  <c r="AC482" i="23"/>
  <c r="AD482" i="23"/>
  <c r="AH482" i="23"/>
  <c r="B483" i="23"/>
  <c r="F483" i="23"/>
  <c r="K483" i="23"/>
  <c r="L483" i="23"/>
  <c r="M483" i="23"/>
  <c r="N483" i="23"/>
  <c r="O483" i="23"/>
  <c r="U483" i="23"/>
  <c r="AC483" i="23"/>
  <c r="AD483" i="23"/>
  <c r="AH483" i="23"/>
  <c r="B484" i="23"/>
  <c r="F484" i="23"/>
  <c r="K484" i="23"/>
  <c r="L484" i="23"/>
  <c r="M484" i="23"/>
  <c r="N484" i="23"/>
  <c r="O484" i="23"/>
  <c r="U484" i="23"/>
  <c r="AC484" i="23"/>
  <c r="AD484" i="23"/>
  <c r="AH484" i="23"/>
  <c r="B485" i="23"/>
  <c r="F485" i="23"/>
  <c r="K485" i="23"/>
  <c r="L485" i="23"/>
  <c r="M485" i="23"/>
  <c r="N485" i="23"/>
  <c r="O485" i="23"/>
  <c r="U485" i="23"/>
  <c r="AC485" i="23"/>
  <c r="AD485" i="23"/>
  <c r="AH485" i="23"/>
  <c r="B486" i="23"/>
  <c r="F486" i="23"/>
  <c r="K486" i="23"/>
  <c r="L486" i="23"/>
  <c r="M486" i="23"/>
  <c r="N486" i="23"/>
  <c r="O486" i="23"/>
  <c r="U486" i="23"/>
  <c r="AC486" i="23"/>
  <c r="AD486" i="23"/>
  <c r="AH486" i="23"/>
  <c r="B487" i="23"/>
  <c r="F487" i="23"/>
  <c r="K487" i="23"/>
  <c r="L487" i="23"/>
  <c r="M487" i="23"/>
  <c r="N487" i="23"/>
  <c r="O487" i="23"/>
  <c r="U487" i="23"/>
  <c r="AC487" i="23"/>
  <c r="AD487" i="23"/>
  <c r="AH487" i="23"/>
  <c r="B488" i="23"/>
  <c r="F488" i="23"/>
  <c r="K488" i="23"/>
  <c r="L488" i="23"/>
  <c r="M488" i="23"/>
  <c r="N488" i="23"/>
  <c r="O488" i="23"/>
  <c r="U488" i="23"/>
  <c r="AC488" i="23"/>
  <c r="AD488" i="23"/>
  <c r="AH488" i="23"/>
  <c r="B489" i="23"/>
  <c r="F489" i="23"/>
  <c r="K489" i="23"/>
  <c r="L489" i="23"/>
  <c r="M489" i="23"/>
  <c r="N489" i="23"/>
  <c r="O489" i="23"/>
  <c r="U489" i="23"/>
  <c r="AC489" i="23"/>
  <c r="AD489" i="23"/>
  <c r="AH489" i="23"/>
  <c r="B490" i="23"/>
  <c r="F490" i="23"/>
  <c r="K490" i="23"/>
  <c r="L490" i="23"/>
  <c r="M490" i="23"/>
  <c r="N490" i="23"/>
  <c r="O490" i="23"/>
  <c r="U490" i="23"/>
  <c r="AC490" i="23"/>
  <c r="AD490" i="23"/>
  <c r="AH490" i="23"/>
  <c r="B491" i="23"/>
  <c r="F491" i="23"/>
  <c r="K491" i="23"/>
  <c r="L491" i="23"/>
  <c r="M491" i="23"/>
  <c r="N491" i="23"/>
  <c r="O491" i="23"/>
  <c r="U491" i="23"/>
  <c r="AC491" i="23"/>
  <c r="AD491" i="23"/>
  <c r="AH491" i="23"/>
  <c r="B492" i="23"/>
  <c r="F492" i="23"/>
  <c r="K492" i="23"/>
  <c r="L492" i="23"/>
  <c r="M492" i="23"/>
  <c r="N492" i="23"/>
  <c r="O492" i="23"/>
  <c r="U492" i="23"/>
  <c r="AC492" i="23"/>
  <c r="AD492" i="23"/>
  <c r="AH492" i="23"/>
  <c r="B493" i="23"/>
  <c r="F493" i="23"/>
  <c r="K493" i="23"/>
  <c r="L493" i="23"/>
  <c r="M493" i="23"/>
  <c r="N493" i="23"/>
  <c r="O493" i="23"/>
  <c r="U493" i="23"/>
  <c r="AC493" i="23"/>
  <c r="AD493" i="23"/>
  <c r="AH493" i="23"/>
  <c r="B494" i="23"/>
  <c r="F494" i="23"/>
  <c r="K494" i="23"/>
  <c r="L494" i="23"/>
  <c r="M494" i="23"/>
  <c r="N494" i="23"/>
  <c r="O494" i="23"/>
  <c r="U494" i="23"/>
  <c r="AC494" i="23"/>
  <c r="AD494" i="23"/>
  <c r="AH494" i="23"/>
  <c r="B495" i="23"/>
  <c r="F495" i="23"/>
  <c r="K495" i="23"/>
  <c r="L495" i="23"/>
  <c r="M495" i="23"/>
  <c r="N495" i="23"/>
  <c r="O495" i="23"/>
  <c r="U495" i="23"/>
  <c r="AC495" i="23"/>
  <c r="AD495" i="23"/>
  <c r="AH495" i="23"/>
  <c r="B496" i="23"/>
  <c r="F496" i="23"/>
  <c r="K496" i="23"/>
  <c r="L496" i="23"/>
  <c r="M496" i="23"/>
  <c r="N496" i="23"/>
  <c r="O496" i="23"/>
  <c r="U496" i="23"/>
  <c r="AC496" i="23"/>
  <c r="AD496" i="23"/>
  <c r="AH496" i="23"/>
  <c r="B497" i="23"/>
  <c r="F497" i="23"/>
  <c r="K497" i="23"/>
  <c r="L497" i="23"/>
  <c r="M497" i="23"/>
  <c r="N497" i="23"/>
  <c r="O497" i="23"/>
  <c r="U497" i="23"/>
  <c r="AC497" i="23"/>
  <c r="AD497" i="23"/>
  <c r="AH497" i="23"/>
  <c r="B498" i="23"/>
  <c r="F498" i="23"/>
  <c r="K498" i="23"/>
  <c r="L498" i="23"/>
  <c r="M498" i="23"/>
  <c r="N498" i="23"/>
  <c r="O498" i="23"/>
  <c r="U498" i="23"/>
  <c r="AC498" i="23"/>
  <c r="AD498" i="23"/>
  <c r="AH498" i="23"/>
  <c r="B499" i="23"/>
  <c r="F499" i="23"/>
  <c r="K499" i="23"/>
  <c r="L499" i="23"/>
  <c r="M499" i="23"/>
  <c r="N499" i="23"/>
  <c r="O499" i="23"/>
  <c r="U499" i="23"/>
  <c r="AC499" i="23"/>
  <c r="AD499" i="23"/>
  <c r="AH499" i="23"/>
  <c r="B500" i="23"/>
  <c r="F500" i="23"/>
  <c r="K500" i="23"/>
  <c r="L500" i="23"/>
  <c r="M500" i="23"/>
  <c r="N500" i="23"/>
  <c r="O500" i="23"/>
  <c r="U500" i="23"/>
  <c r="AC500" i="23"/>
  <c r="AD500" i="23"/>
  <c r="AH500" i="23"/>
  <c r="B501" i="23"/>
  <c r="F501" i="23"/>
  <c r="K501" i="23"/>
  <c r="L501" i="23"/>
  <c r="M501" i="23"/>
  <c r="N501" i="23"/>
  <c r="O501" i="23"/>
  <c r="U501" i="23"/>
  <c r="AC501" i="23"/>
  <c r="AD501" i="23"/>
  <c r="AH501" i="23"/>
  <c r="B502" i="23"/>
  <c r="F502" i="23"/>
  <c r="K502" i="23"/>
  <c r="L502" i="23"/>
  <c r="M502" i="23"/>
  <c r="N502" i="23"/>
  <c r="O502" i="23"/>
  <c r="U502" i="23"/>
  <c r="AC502" i="23"/>
  <c r="AD502" i="23"/>
  <c r="AH502" i="23"/>
  <c r="B503" i="23"/>
  <c r="F503" i="23"/>
  <c r="K503" i="23"/>
  <c r="L503" i="23"/>
  <c r="M503" i="23"/>
  <c r="N503" i="23"/>
  <c r="O503" i="23"/>
  <c r="U503" i="23"/>
  <c r="AC503" i="23"/>
  <c r="AD503" i="23"/>
  <c r="AH503" i="23"/>
  <c r="B504" i="23"/>
  <c r="F504" i="23"/>
  <c r="K504" i="23"/>
  <c r="L504" i="23"/>
  <c r="M504" i="23"/>
  <c r="N504" i="23"/>
  <c r="O504" i="23"/>
  <c r="U504" i="23"/>
  <c r="AC504" i="23"/>
  <c r="AD504" i="23"/>
  <c r="AH504" i="23"/>
  <c r="B505" i="23"/>
  <c r="F505" i="23"/>
  <c r="K505" i="23"/>
  <c r="L505" i="23"/>
  <c r="M505" i="23"/>
  <c r="N505" i="23"/>
  <c r="O505" i="23"/>
  <c r="U505" i="23"/>
  <c r="AC505" i="23"/>
  <c r="AD505" i="23"/>
  <c r="AH505" i="23"/>
  <c r="B506" i="23"/>
  <c r="F506" i="23"/>
  <c r="K506" i="23"/>
  <c r="L506" i="23"/>
  <c r="M506" i="23"/>
  <c r="N506" i="23"/>
  <c r="O506" i="23"/>
  <c r="U506" i="23"/>
  <c r="AC506" i="23"/>
  <c r="AD506" i="23"/>
  <c r="AH506" i="23"/>
  <c r="B507" i="23"/>
  <c r="F507" i="23"/>
  <c r="K507" i="23"/>
  <c r="L507" i="23"/>
  <c r="M507" i="23"/>
  <c r="N507" i="23"/>
  <c r="O507" i="23"/>
  <c r="U507" i="23"/>
  <c r="AC507" i="23"/>
  <c r="AD507" i="23"/>
  <c r="AH507" i="23"/>
  <c r="B508" i="23"/>
  <c r="F508" i="23"/>
  <c r="K508" i="23"/>
  <c r="L508" i="23"/>
  <c r="M508" i="23"/>
  <c r="N508" i="23"/>
  <c r="O508" i="23"/>
  <c r="U508" i="23"/>
  <c r="AC508" i="23"/>
  <c r="AD508" i="23"/>
  <c r="AH508" i="23"/>
  <c r="B509" i="23"/>
  <c r="F509" i="23"/>
  <c r="K509" i="23"/>
  <c r="L509" i="23"/>
  <c r="M509" i="23"/>
  <c r="N509" i="23"/>
  <c r="O509" i="23"/>
  <c r="U509" i="23"/>
  <c r="AC509" i="23"/>
  <c r="AD509" i="23"/>
  <c r="AH509" i="23"/>
  <c r="B510" i="23"/>
  <c r="F510" i="23"/>
  <c r="K510" i="23"/>
  <c r="L510" i="23"/>
  <c r="M510" i="23"/>
  <c r="N510" i="23"/>
  <c r="O510" i="23"/>
  <c r="U510" i="23"/>
  <c r="AC510" i="23"/>
  <c r="AD510" i="23"/>
  <c r="AH510" i="23"/>
  <c r="B511" i="23"/>
  <c r="F511" i="23"/>
  <c r="K511" i="23"/>
  <c r="L511" i="23"/>
  <c r="M511" i="23"/>
  <c r="N511" i="23"/>
  <c r="O511" i="23"/>
  <c r="U511" i="23"/>
  <c r="AC511" i="23"/>
  <c r="AD511" i="23"/>
  <c r="AH511" i="23"/>
  <c r="B512" i="23"/>
  <c r="F512" i="23"/>
  <c r="K512" i="23"/>
  <c r="L512" i="23"/>
  <c r="M512" i="23"/>
  <c r="N512" i="23"/>
  <c r="O512" i="23"/>
  <c r="U512" i="23"/>
  <c r="AC512" i="23"/>
  <c r="AD512" i="23"/>
  <c r="AH512" i="23"/>
  <c r="B513" i="23"/>
  <c r="F513" i="23"/>
  <c r="K513" i="23"/>
  <c r="L513" i="23"/>
  <c r="M513" i="23"/>
  <c r="N513" i="23"/>
  <c r="O513" i="23"/>
  <c r="U513" i="23"/>
  <c r="AC513" i="23"/>
  <c r="AD513" i="23"/>
  <c r="AH513" i="23"/>
  <c r="B514" i="23"/>
  <c r="F514" i="23"/>
  <c r="K514" i="23"/>
  <c r="L514" i="23"/>
  <c r="M514" i="23"/>
  <c r="N514" i="23"/>
  <c r="O514" i="23"/>
  <c r="U514" i="23"/>
  <c r="AC514" i="23"/>
  <c r="AD514" i="23"/>
  <c r="AH514" i="23"/>
  <c r="B515" i="23"/>
  <c r="F515" i="23"/>
  <c r="K515" i="23"/>
  <c r="L515" i="23"/>
  <c r="M515" i="23"/>
  <c r="N515" i="23"/>
  <c r="O515" i="23"/>
  <c r="U515" i="23"/>
  <c r="AC515" i="23"/>
  <c r="AD515" i="23"/>
  <c r="AH515" i="23"/>
  <c r="B516" i="23"/>
  <c r="F516" i="23"/>
  <c r="K516" i="23"/>
  <c r="L516" i="23"/>
  <c r="M516" i="23"/>
  <c r="N516" i="23"/>
  <c r="O516" i="23"/>
  <c r="U516" i="23"/>
  <c r="AC516" i="23"/>
  <c r="AD516" i="23"/>
  <c r="AH516" i="23"/>
  <c r="B517" i="23"/>
  <c r="F517" i="23"/>
  <c r="K517" i="23"/>
  <c r="L517" i="23"/>
  <c r="M517" i="23"/>
  <c r="N517" i="23"/>
  <c r="O517" i="23"/>
  <c r="U517" i="23"/>
  <c r="AC517" i="23"/>
  <c r="AD517" i="23"/>
  <c r="AH517" i="23"/>
  <c r="B518" i="23"/>
  <c r="F518" i="23"/>
  <c r="K518" i="23"/>
  <c r="L518" i="23"/>
  <c r="M518" i="23"/>
  <c r="N518" i="23"/>
  <c r="O518" i="23"/>
  <c r="U518" i="23"/>
  <c r="AC518" i="23"/>
  <c r="AD518" i="23"/>
  <c r="AH518" i="23"/>
  <c r="B519" i="23"/>
  <c r="F519" i="23"/>
  <c r="K519" i="23"/>
  <c r="L519" i="23"/>
  <c r="M519" i="23"/>
  <c r="N519" i="23"/>
  <c r="O519" i="23"/>
  <c r="U519" i="23"/>
  <c r="AC519" i="23"/>
  <c r="AD519" i="23"/>
  <c r="AH519" i="23"/>
  <c r="B520" i="23"/>
  <c r="F520" i="23"/>
  <c r="K520" i="23"/>
  <c r="L520" i="23"/>
  <c r="M520" i="23"/>
  <c r="N520" i="23"/>
  <c r="O520" i="23"/>
  <c r="U520" i="23"/>
  <c r="AC520" i="23"/>
  <c r="AD520" i="23"/>
  <c r="AH520" i="23"/>
  <c r="B521" i="23"/>
  <c r="F521" i="23"/>
  <c r="K521" i="23"/>
  <c r="L521" i="23"/>
  <c r="M521" i="23"/>
  <c r="N521" i="23"/>
  <c r="O521" i="23"/>
  <c r="U521" i="23"/>
  <c r="AC521" i="23"/>
  <c r="AD521" i="23"/>
  <c r="AH521" i="23"/>
  <c r="B522" i="23"/>
  <c r="F522" i="23"/>
  <c r="K522" i="23"/>
  <c r="L522" i="23"/>
  <c r="M522" i="23"/>
  <c r="N522" i="23"/>
  <c r="O522" i="23"/>
  <c r="U522" i="23"/>
  <c r="AC522" i="23"/>
  <c r="AD522" i="23"/>
  <c r="AH522" i="23"/>
  <c r="B523" i="23"/>
  <c r="F523" i="23"/>
  <c r="K523" i="23"/>
  <c r="L523" i="23"/>
  <c r="M523" i="23"/>
  <c r="N523" i="23"/>
  <c r="O523" i="23"/>
  <c r="U523" i="23"/>
  <c r="AC523" i="23"/>
  <c r="AD523" i="23"/>
  <c r="AH523" i="23"/>
  <c r="B524" i="23"/>
  <c r="F524" i="23"/>
  <c r="K524" i="23"/>
  <c r="L524" i="23"/>
  <c r="M524" i="23"/>
  <c r="N524" i="23"/>
  <c r="O524" i="23"/>
  <c r="U524" i="23"/>
  <c r="AC524" i="23"/>
  <c r="AD524" i="23"/>
  <c r="AH524" i="23"/>
  <c r="B525" i="23"/>
  <c r="F525" i="23"/>
  <c r="K525" i="23"/>
  <c r="L525" i="23"/>
  <c r="M525" i="23"/>
  <c r="N525" i="23"/>
  <c r="O525" i="23"/>
  <c r="U525" i="23"/>
  <c r="AC525" i="23"/>
  <c r="AD525" i="23"/>
  <c r="AH525" i="23"/>
  <c r="B526" i="23"/>
  <c r="F526" i="23"/>
  <c r="K526" i="23"/>
  <c r="L526" i="23"/>
  <c r="M526" i="23"/>
  <c r="N526" i="23"/>
  <c r="O526" i="23"/>
  <c r="U526" i="23"/>
  <c r="AC526" i="23"/>
  <c r="AD526" i="23"/>
  <c r="AH526" i="23"/>
  <c r="B527" i="23"/>
  <c r="F527" i="23"/>
  <c r="K527" i="23"/>
  <c r="L527" i="23"/>
  <c r="M527" i="23"/>
  <c r="N527" i="23"/>
  <c r="O527" i="23"/>
  <c r="U527" i="23"/>
  <c r="AC527" i="23"/>
  <c r="AD527" i="23"/>
  <c r="AH527" i="23"/>
  <c r="B528" i="23"/>
  <c r="F528" i="23"/>
  <c r="K528" i="23"/>
  <c r="L528" i="23"/>
  <c r="M528" i="23"/>
  <c r="N528" i="23"/>
  <c r="O528" i="23"/>
  <c r="U528" i="23"/>
  <c r="AC528" i="23"/>
  <c r="AD528" i="23"/>
  <c r="AH528" i="23"/>
  <c r="B529" i="23"/>
  <c r="F529" i="23"/>
  <c r="K529" i="23"/>
  <c r="L529" i="23"/>
  <c r="M529" i="23"/>
  <c r="N529" i="23"/>
  <c r="O529" i="23"/>
  <c r="U529" i="23"/>
  <c r="AC529" i="23"/>
  <c r="AD529" i="23"/>
  <c r="AH529" i="23"/>
  <c r="B530" i="23"/>
  <c r="F530" i="23"/>
  <c r="K530" i="23"/>
  <c r="L530" i="23"/>
  <c r="M530" i="23"/>
  <c r="N530" i="23"/>
  <c r="O530" i="23"/>
  <c r="U530" i="23"/>
  <c r="AC530" i="23"/>
  <c r="AD530" i="23"/>
  <c r="AH530" i="23"/>
  <c r="B531" i="23"/>
  <c r="F531" i="23"/>
  <c r="K531" i="23"/>
  <c r="L531" i="23"/>
  <c r="M531" i="23"/>
  <c r="N531" i="23"/>
  <c r="O531" i="23"/>
  <c r="U531" i="23"/>
  <c r="AC531" i="23"/>
  <c r="AD531" i="23"/>
  <c r="AH531" i="23"/>
  <c r="B532" i="23"/>
  <c r="F532" i="23"/>
  <c r="K532" i="23"/>
  <c r="L532" i="23"/>
  <c r="M532" i="23"/>
  <c r="N532" i="23"/>
  <c r="O532" i="23"/>
  <c r="U532" i="23"/>
  <c r="AC532" i="23"/>
  <c r="AD532" i="23"/>
  <c r="AH532" i="23"/>
  <c r="B533" i="23"/>
  <c r="F533" i="23"/>
  <c r="K533" i="23"/>
  <c r="L533" i="23"/>
  <c r="M533" i="23"/>
  <c r="N533" i="23"/>
  <c r="O533" i="23"/>
  <c r="U533" i="23"/>
  <c r="AC533" i="23"/>
  <c r="AD533" i="23"/>
  <c r="AH533" i="23"/>
  <c r="B534" i="23"/>
  <c r="F534" i="23"/>
  <c r="K534" i="23"/>
  <c r="L534" i="23"/>
  <c r="M534" i="23"/>
  <c r="N534" i="23"/>
  <c r="O534" i="23"/>
  <c r="U534" i="23"/>
  <c r="AC534" i="23"/>
  <c r="AD534" i="23"/>
  <c r="AH534" i="23"/>
  <c r="B535" i="23"/>
  <c r="F535" i="23"/>
  <c r="K535" i="23"/>
  <c r="L535" i="23"/>
  <c r="M535" i="23"/>
  <c r="N535" i="23"/>
  <c r="O535" i="23"/>
  <c r="U535" i="23"/>
  <c r="AC535" i="23"/>
  <c r="AD535" i="23"/>
  <c r="AH535" i="23"/>
  <c r="B536" i="23"/>
  <c r="F536" i="23"/>
  <c r="K536" i="23"/>
  <c r="L536" i="23"/>
  <c r="M536" i="23"/>
  <c r="N536" i="23"/>
  <c r="O536" i="23"/>
  <c r="U536" i="23"/>
  <c r="AC536" i="23"/>
  <c r="AD536" i="23"/>
  <c r="AH536" i="23"/>
  <c r="B537" i="23"/>
  <c r="F537" i="23"/>
  <c r="K537" i="23"/>
  <c r="L537" i="23"/>
  <c r="M537" i="23"/>
  <c r="N537" i="23"/>
  <c r="O537" i="23"/>
  <c r="U537" i="23"/>
  <c r="AC537" i="23"/>
  <c r="AD537" i="23"/>
  <c r="AH537" i="23"/>
  <c r="B538" i="23"/>
  <c r="F538" i="23"/>
  <c r="K538" i="23"/>
  <c r="L538" i="23"/>
  <c r="M538" i="23"/>
  <c r="N538" i="23"/>
  <c r="O538" i="23"/>
  <c r="U538" i="23"/>
  <c r="AC538" i="23"/>
  <c r="AD538" i="23"/>
  <c r="AH538" i="23"/>
  <c r="B539" i="23"/>
  <c r="F539" i="23"/>
  <c r="K539" i="23"/>
  <c r="L539" i="23"/>
  <c r="M539" i="23"/>
  <c r="N539" i="23"/>
  <c r="O539" i="23"/>
  <c r="U539" i="23"/>
  <c r="AC539" i="23"/>
  <c r="AD539" i="23"/>
  <c r="AH539" i="23"/>
  <c r="B540" i="23"/>
  <c r="F540" i="23"/>
  <c r="K540" i="23"/>
  <c r="L540" i="23"/>
  <c r="M540" i="23"/>
  <c r="N540" i="23"/>
  <c r="O540" i="23"/>
  <c r="U540" i="23"/>
  <c r="AC540" i="23"/>
  <c r="AD540" i="23"/>
  <c r="AH540" i="23"/>
  <c r="B541" i="23"/>
  <c r="F541" i="23"/>
  <c r="K541" i="23"/>
  <c r="L541" i="23"/>
  <c r="M541" i="23"/>
  <c r="N541" i="23"/>
  <c r="O541" i="23"/>
  <c r="U541" i="23"/>
  <c r="AC541" i="23"/>
  <c r="AD541" i="23"/>
  <c r="AH541" i="23"/>
  <c r="B542" i="23"/>
  <c r="F542" i="23"/>
  <c r="K542" i="23"/>
  <c r="L542" i="23"/>
  <c r="M542" i="23"/>
  <c r="N542" i="23"/>
  <c r="O542" i="23"/>
  <c r="U542" i="23"/>
  <c r="AC542" i="23"/>
  <c r="AD542" i="23"/>
  <c r="AH542" i="23"/>
  <c r="B543" i="23"/>
  <c r="F543" i="23"/>
  <c r="K543" i="23"/>
  <c r="L543" i="23"/>
  <c r="M543" i="23"/>
  <c r="N543" i="23"/>
  <c r="O543" i="23"/>
  <c r="U543" i="23"/>
  <c r="AC543" i="23"/>
  <c r="AD543" i="23"/>
  <c r="AH543" i="23"/>
  <c r="B544" i="23"/>
  <c r="F544" i="23"/>
  <c r="K544" i="23"/>
  <c r="L544" i="23"/>
  <c r="M544" i="23"/>
  <c r="N544" i="23"/>
  <c r="O544" i="23"/>
  <c r="U544" i="23"/>
  <c r="AC544" i="23"/>
  <c r="AD544" i="23"/>
  <c r="AH544" i="23"/>
  <c r="B545" i="23"/>
  <c r="F545" i="23"/>
  <c r="K545" i="23"/>
  <c r="L545" i="23"/>
  <c r="M545" i="23"/>
  <c r="N545" i="23"/>
  <c r="O545" i="23"/>
  <c r="U545" i="23"/>
  <c r="AC545" i="23"/>
  <c r="AD545" i="23"/>
  <c r="AH545" i="23"/>
  <c r="B546" i="23"/>
  <c r="F546" i="23"/>
  <c r="K546" i="23"/>
  <c r="L546" i="23"/>
  <c r="M546" i="23"/>
  <c r="N546" i="23"/>
  <c r="O546" i="23"/>
  <c r="U546" i="23"/>
  <c r="AC546" i="23"/>
  <c r="AD546" i="23"/>
  <c r="AH546" i="23"/>
  <c r="B547" i="23"/>
  <c r="F547" i="23"/>
  <c r="K547" i="23"/>
  <c r="L547" i="23"/>
  <c r="M547" i="23"/>
  <c r="N547" i="23"/>
  <c r="O547" i="23"/>
  <c r="U547" i="23"/>
  <c r="AC547" i="23"/>
  <c r="AD547" i="23"/>
  <c r="AH547" i="23"/>
  <c r="B548" i="23"/>
  <c r="F548" i="23"/>
  <c r="K548" i="23"/>
  <c r="L548" i="23"/>
  <c r="M548" i="23"/>
  <c r="N548" i="23"/>
  <c r="O548" i="23"/>
  <c r="U548" i="23"/>
  <c r="AC548" i="23"/>
  <c r="AD548" i="23"/>
  <c r="AH548" i="23"/>
  <c r="B549" i="23"/>
  <c r="F549" i="23"/>
  <c r="K549" i="23"/>
  <c r="L549" i="23"/>
  <c r="M549" i="23"/>
  <c r="N549" i="23"/>
  <c r="O549" i="23"/>
  <c r="U549" i="23"/>
  <c r="AC549" i="23"/>
  <c r="AD549" i="23"/>
  <c r="AH549" i="23"/>
  <c r="B550" i="23"/>
  <c r="F550" i="23"/>
  <c r="K550" i="23"/>
  <c r="L550" i="23"/>
  <c r="M550" i="23"/>
  <c r="N550" i="23"/>
  <c r="O550" i="23"/>
  <c r="U550" i="23"/>
  <c r="AC550" i="23"/>
  <c r="AD550" i="23"/>
  <c r="AH550" i="23"/>
  <c r="B551" i="23"/>
  <c r="F551" i="23"/>
  <c r="K551" i="23"/>
  <c r="L551" i="23"/>
  <c r="M551" i="23"/>
  <c r="N551" i="23"/>
  <c r="O551" i="23"/>
  <c r="U551" i="23"/>
  <c r="AC551" i="23"/>
  <c r="AD551" i="23"/>
  <c r="AH551" i="23"/>
  <c r="B552" i="23"/>
  <c r="F552" i="23"/>
  <c r="K552" i="23"/>
  <c r="L552" i="23"/>
  <c r="M552" i="23"/>
  <c r="N552" i="23"/>
  <c r="O552" i="23"/>
  <c r="U552" i="23"/>
  <c r="AC552" i="23"/>
  <c r="AD552" i="23"/>
  <c r="AH552" i="23"/>
  <c r="B553" i="23"/>
  <c r="F553" i="23"/>
  <c r="K553" i="23"/>
  <c r="L553" i="23"/>
  <c r="M553" i="23"/>
  <c r="N553" i="23"/>
  <c r="O553" i="23"/>
  <c r="U553" i="23"/>
  <c r="AC553" i="23"/>
  <c r="AD553" i="23"/>
  <c r="AH553" i="23"/>
  <c r="B554" i="23"/>
  <c r="F554" i="23"/>
  <c r="K554" i="23"/>
  <c r="L554" i="23"/>
  <c r="M554" i="23"/>
  <c r="N554" i="23"/>
  <c r="O554" i="23"/>
  <c r="U554" i="23"/>
  <c r="AC554" i="23"/>
  <c r="AD554" i="23"/>
  <c r="AH554" i="23"/>
  <c r="B555" i="23"/>
  <c r="F555" i="23"/>
  <c r="K555" i="23"/>
  <c r="L555" i="23"/>
  <c r="M555" i="23"/>
  <c r="N555" i="23"/>
  <c r="O555" i="23"/>
  <c r="U555" i="23"/>
  <c r="AC555" i="23"/>
  <c r="AD555" i="23"/>
  <c r="AH555" i="23"/>
  <c r="B556" i="23"/>
  <c r="F556" i="23"/>
  <c r="K556" i="23"/>
  <c r="L556" i="23"/>
  <c r="M556" i="23"/>
  <c r="N556" i="23"/>
  <c r="O556" i="23"/>
  <c r="U556" i="23"/>
  <c r="AC556" i="23"/>
  <c r="AD556" i="23"/>
  <c r="AH556" i="23"/>
  <c r="B557" i="23"/>
  <c r="F557" i="23"/>
  <c r="K557" i="23"/>
  <c r="L557" i="23"/>
  <c r="M557" i="23"/>
  <c r="N557" i="23"/>
  <c r="O557" i="23"/>
  <c r="U557" i="23"/>
  <c r="AC557" i="23"/>
  <c r="AD557" i="23"/>
  <c r="AH557" i="23"/>
  <c r="B558" i="23"/>
  <c r="F558" i="23"/>
  <c r="K558" i="23"/>
  <c r="L558" i="23"/>
  <c r="M558" i="23"/>
  <c r="N558" i="23"/>
  <c r="O558" i="23"/>
  <c r="U558" i="23"/>
  <c r="AC558" i="23"/>
  <c r="AD558" i="23"/>
  <c r="AH558" i="23"/>
  <c r="B559" i="23"/>
  <c r="F559" i="23"/>
  <c r="K559" i="23"/>
  <c r="L559" i="23"/>
  <c r="M559" i="23"/>
  <c r="N559" i="23"/>
  <c r="O559" i="23"/>
  <c r="U559" i="23"/>
  <c r="AC559" i="23"/>
  <c r="AD559" i="23"/>
  <c r="AH559" i="23"/>
  <c r="B560" i="23"/>
  <c r="F560" i="23"/>
  <c r="K560" i="23"/>
  <c r="L560" i="23"/>
  <c r="M560" i="23"/>
  <c r="N560" i="23"/>
  <c r="O560" i="23"/>
  <c r="U560" i="23"/>
  <c r="AC560" i="23"/>
  <c r="AD560" i="23"/>
  <c r="AH560" i="23"/>
  <c r="B561" i="23"/>
  <c r="F561" i="23"/>
  <c r="K561" i="23"/>
  <c r="L561" i="23"/>
  <c r="M561" i="23"/>
  <c r="N561" i="23"/>
  <c r="O561" i="23"/>
  <c r="U561" i="23"/>
  <c r="AC561" i="23"/>
  <c r="AD561" i="23"/>
  <c r="AH561" i="23"/>
  <c r="B562" i="23"/>
  <c r="F562" i="23"/>
  <c r="K562" i="23"/>
  <c r="L562" i="23"/>
  <c r="M562" i="23"/>
  <c r="N562" i="23"/>
  <c r="O562" i="23"/>
  <c r="U562" i="23"/>
  <c r="AC562" i="23"/>
  <c r="AD562" i="23"/>
  <c r="AH562" i="23"/>
  <c r="B563" i="23"/>
  <c r="F563" i="23"/>
  <c r="K563" i="23"/>
  <c r="L563" i="23"/>
  <c r="M563" i="23"/>
  <c r="N563" i="23"/>
  <c r="O563" i="23"/>
  <c r="U563" i="23"/>
  <c r="AC563" i="23"/>
  <c r="AD563" i="23"/>
  <c r="AH563" i="23"/>
  <c r="B564" i="23"/>
  <c r="F564" i="23"/>
  <c r="K564" i="23"/>
  <c r="L564" i="23"/>
  <c r="M564" i="23"/>
  <c r="N564" i="23"/>
  <c r="O564" i="23"/>
  <c r="U564" i="23"/>
  <c r="AC564" i="23"/>
  <c r="AD564" i="23"/>
  <c r="AH564" i="23"/>
  <c r="B565" i="23"/>
  <c r="F565" i="23"/>
  <c r="K565" i="23"/>
  <c r="L565" i="23"/>
  <c r="M565" i="23"/>
  <c r="N565" i="23"/>
  <c r="O565" i="23"/>
  <c r="U565" i="23"/>
  <c r="AC565" i="23"/>
  <c r="AD565" i="23"/>
  <c r="AH565" i="23"/>
  <c r="B566" i="23"/>
  <c r="F566" i="23"/>
  <c r="K566" i="23"/>
  <c r="L566" i="23"/>
  <c r="M566" i="23"/>
  <c r="N566" i="23"/>
  <c r="O566" i="23"/>
  <c r="U566" i="23"/>
  <c r="AC566" i="23"/>
  <c r="AD566" i="23"/>
  <c r="AH566" i="23"/>
  <c r="B567" i="23"/>
  <c r="F567" i="23"/>
  <c r="K567" i="23"/>
  <c r="L567" i="23"/>
  <c r="M567" i="23"/>
  <c r="N567" i="23"/>
  <c r="O567" i="23"/>
  <c r="U567" i="23"/>
  <c r="AC567" i="23"/>
  <c r="AD567" i="23"/>
  <c r="AH567" i="23"/>
  <c r="B568" i="23"/>
  <c r="F568" i="23"/>
  <c r="K568" i="23"/>
  <c r="L568" i="23"/>
  <c r="M568" i="23"/>
  <c r="N568" i="23"/>
  <c r="O568" i="23"/>
  <c r="U568" i="23"/>
  <c r="AC568" i="23"/>
  <c r="AD568" i="23"/>
  <c r="AH568" i="23"/>
  <c r="B569" i="23"/>
  <c r="F569" i="23"/>
  <c r="K569" i="23"/>
  <c r="L569" i="23"/>
  <c r="M569" i="23"/>
  <c r="N569" i="23"/>
  <c r="O569" i="23"/>
  <c r="U569" i="23"/>
  <c r="AC569" i="23"/>
  <c r="AD569" i="23"/>
  <c r="AH569" i="23"/>
  <c r="B570" i="23"/>
  <c r="F570" i="23"/>
  <c r="K570" i="23"/>
  <c r="L570" i="23"/>
  <c r="M570" i="23"/>
  <c r="N570" i="23"/>
  <c r="O570" i="23"/>
  <c r="U570" i="23"/>
  <c r="AC570" i="23"/>
  <c r="AD570" i="23"/>
  <c r="AH570" i="23"/>
  <c r="B571" i="23"/>
  <c r="F571" i="23"/>
  <c r="K571" i="23"/>
  <c r="L571" i="23"/>
  <c r="M571" i="23"/>
  <c r="N571" i="23"/>
  <c r="O571" i="23"/>
  <c r="U571" i="23"/>
  <c r="AC571" i="23"/>
  <c r="AD571" i="23"/>
  <c r="AH571" i="23"/>
  <c r="B572" i="23"/>
  <c r="F572" i="23"/>
  <c r="K572" i="23"/>
  <c r="L572" i="23"/>
  <c r="M572" i="23"/>
  <c r="N572" i="23"/>
  <c r="O572" i="23"/>
  <c r="U572" i="23"/>
  <c r="AC572" i="23"/>
  <c r="AD572" i="23"/>
  <c r="AH572" i="23"/>
  <c r="B573" i="23"/>
  <c r="F573" i="23"/>
  <c r="K573" i="23"/>
  <c r="L573" i="23"/>
  <c r="M573" i="23"/>
  <c r="N573" i="23"/>
  <c r="O573" i="23"/>
  <c r="U573" i="23"/>
  <c r="AC573" i="23"/>
  <c r="AD573" i="23"/>
  <c r="AH573" i="23"/>
  <c r="B574" i="23"/>
  <c r="F574" i="23"/>
  <c r="K574" i="23"/>
  <c r="L574" i="23"/>
  <c r="M574" i="23"/>
  <c r="N574" i="23"/>
  <c r="O574" i="23"/>
  <c r="U574" i="23"/>
  <c r="AC574" i="23"/>
  <c r="AD574" i="23"/>
  <c r="AH574" i="23"/>
  <c r="B575" i="23"/>
  <c r="F575" i="23"/>
  <c r="K575" i="23"/>
  <c r="L575" i="23"/>
  <c r="M575" i="23"/>
  <c r="N575" i="23"/>
  <c r="O575" i="23"/>
  <c r="U575" i="23"/>
  <c r="AC575" i="23"/>
  <c r="AD575" i="23"/>
  <c r="AH575" i="23"/>
  <c r="B576" i="23"/>
  <c r="F576" i="23"/>
  <c r="K576" i="23"/>
  <c r="L576" i="23"/>
  <c r="M576" i="23"/>
  <c r="N576" i="23"/>
  <c r="O576" i="23"/>
  <c r="U576" i="23"/>
  <c r="AC576" i="23"/>
  <c r="AD576" i="23"/>
  <c r="AH576" i="23"/>
  <c r="B577" i="23"/>
  <c r="F577" i="23"/>
  <c r="K577" i="23"/>
  <c r="L577" i="23"/>
  <c r="M577" i="23"/>
  <c r="N577" i="23"/>
  <c r="O577" i="23"/>
  <c r="U577" i="23"/>
  <c r="AC577" i="23"/>
  <c r="AD577" i="23"/>
  <c r="AH577" i="23"/>
  <c r="B578" i="23"/>
  <c r="F578" i="23"/>
  <c r="K578" i="23"/>
  <c r="L578" i="23"/>
  <c r="M578" i="23"/>
  <c r="N578" i="23"/>
  <c r="O578" i="23"/>
  <c r="U578" i="23"/>
  <c r="AC578" i="23"/>
  <c r="AD578" i="23"/>
  <c r="AH578" i="23"/>
  <c r="B579" i="23"/>
  <c r="F579" i="23"/>
  <c r="K579" i="23"/>
  <c r="L579" i="23"/>
  <c r="M579" i="23"/>
  <c r="N579" i="23"/>
  <c r="O579" i="23"/>
  <c r="U579" i="23"/>
  <c r="AC579" i="23"/>
  <c r="AD579" i="23"/>
  <c r="AH579" i="23"/>
  <c r="B580" i="23"/>
  <c r="F580" i="23"/>
  <c r="K580" i="23"/>
  <c r="L580" i="23"/>
  <c r="M580" i="23"/>
  <c r="N580" i="23"/>
  <c r="O580" i="23"/>
  <c r="U580" i="23"/>
  <c r="AC580" i="23"/>
  <c r="AD580" i="23"/>
  <c r="AH580" i="23"/>
  <c r="B581" i="23"/>
  <c r="F581" i="23"/>
  <c r="K581" i="23"/>
  <c r="L581" i="23"/>
  <c r="M581" i="23"/>
  <c r="N581" i="23"/>
  <c r="O581" i="23"/>
  <c r="U581" i="23"/>
  <c r="AC581" i="23"/>
  <c r="AD581" i="23"/>
  <c r="AH581" i="23"/>
  <c r="B582" i="23"/>
  <c r="F582" i="23"/>
  <c r="K582" i="23"/>
  <c r="L582" i="23"/>
  <c r="M582" i="23"/>
  <c r="N582" i="23"/>
  <c r="O582" i="23"/>
  <c r="U582" i="23"/>
  <c r="AC582" i="23"/>
  <c r="AD582" i="23"/>
  <c r="AH582" i="23"/>
  <c r="B583" i="23"/>
  <c r="F583" i="23"/>
  <c r="K583" i="23"/>
  <c r="L583" i="23"/>
  <c r="M583" i="23"/>
  <c r="N583" i="23"/>
  <c r="O583" i="23"/>
  <c r="U583" i="23"/>
  <c r="AC583" i="23"/>
  <c r="AD583" i="23"/>
  <c r="AH583" i="23"/>
  <c r="B584" i="23"/>
  <c r="F584" i="23"/>
  <c r="K584" i="23"/>
  <c r="L584" i="23"/>
  <c r="M584" i="23"/>
  <c r="N584" i="23"/>
  <c r="O584" i="23"/>
  <c r="U584" i="23"/>
  <c r="AC584" i="23"/>
  <c r="AD584" i="23"/>
  <c r="AH584" i="23"/>
  <c r="B585" i="23"/>
  <c r="F585" i="23"/>
  <c r="K585" i="23"/>
  <c r="L585" i="23"/>
  <c r="M585" i="23"/>
  <c r="N585" i="23"/>
  <c r="O585" i="23"/>
  <c r="U585" i="23"/>
  <c r="AC585" i="23"/>
  <c r="AD585" i="23"/>
  <c r="AH585" i="23"/>
  <c r="B586" i="23"/>
  <c r="F586" i="23"/>
  <c r="K586" i="23"/>
  <c r="L586" i="23"/>
  <c r="M586" i="23"/>
  <c r="N586" i="23"/>
  <c r="O586" i="23"/>
  <c r="U586" i="23"/>
  <c r="AC586" i="23"/>
  <c r="AD586" i="23"/>
  <c r="AH586" i="23"/>
  <c r="B587" i="23"/>
  <c r="F587" i="23"/>
  <c r="K587" i="23"/>
  <c r="L587" i="23"/>
  <c r="M587" i="23"/>
  <c r="N587" i="23"/>
  <c r="O587" i="23"/>
  <c r="U587" i="23"/>
  <c r="AC587" i="23"/>
  <c r="AD587" i="23"/>
  <c r="AH587" i="23"/>
  <c r="B588" i="23"/>
  <c r="F588" i="23"/>
  <c r="K588" i="23"/>
  <c r="L588" i="23"/>
  <c r="M588" i="23"/>
  <c r="N588" i="23"/>
  <c r="O588" i="23"/>
  <c r="U588" i="23"/>
  <c r="AC588" i="23"/>
  <c r="AD588" i="23"/>
  <c r="AH588" i="23"/>
  <c r="B589" i="23"/>
  <c r="F589" i="23"/>
  <c r="K589" i="23"/>
  <c r="L589" i="23"/>
  <c r="M589" i="23"/>
  <c r="N589" i="23"/>
  <c r="O589" i="23"/>
  <c r="U589" i="23"/>
  <c r="AC589" i="23"/>
  <c r="AD589" i="23"/>
  <c r="AH589" i="23"/>
  <c r="B590" i="23"/>
  <c r="F590" i="23"/>
  <c r="K590" i="23"/>
  <c r="L590" i="23"/>
  <c r="M590" i="23"/>
  <c r="N590" i="23"/>
  <c r="O590" i="23"/>
  <c r="U590" i="23"/>
  <c r="AC590" i="23"/>
  <c r="AD590" i="23"/>
  <c r="AH590" i="23"/>
  <c r="B591" i="23"/>
  <c r="F591" i="23"/>
  <c r="K591" i="23"/>
  <c r="L591" i="23"/>
  <c r="M591" i="23"/>
  <c r="N591" i="23"/>
  <c r="O591" i="23"/>
  <c r="U591" i="23"/>
  <c r="AC591" i="23"/>
  <c r="AD591" i="23"/>
  <c r="AH591" i="23"/>
  <c r="B592" i="23"/>
  <c r="F592" i="23"/>
  <c r="K592" i="23"/>
  <c r="L592" i="23"/>
  <c r="M592" i="23"/>
  <c r="N592" i="23"/>
  <c r="O592" i="23"/>
  <c r="U592" i="23"/>
  <c r="AC592" i="23"/>
  <c r="AD592" i="23"/>
  <c r="AH592" i="23"/>
  <c r="B593" i="23"/>
  <c r="F593" i="23"/>
  <c r="K593" i="23"/>
  <c r="L593" i="23"/>
  <c r="M593" i="23"/>
  <c r="N593" i="23"/>
  <c r="O593" i="23"/>
  <c r="U593" i="23"/>
  <c r="AC593" i="23"/>
  <c r="AD593" i="23"/>
  <c r="AH593" i="23"/>
  <c r="B594" i="23"/>
  <c r="F594" i="23"/>
  <c r="K594" i="23"/>
  <c r="L594" i="23"/>
  <c r="M594" i="23"/>
  <c r="N594" i="23"/>
  <c r="O594" i="23"/>
  <c r="U594" i="23"/>
  <c r="AC594" i="23"/>
  <c r="AD594" i="23"/>
  <c r="AH594" i="23"/>
  <c r="B595" i="23"/>
  <c r="F595" i="23"/>
  <c r="K595" i="23"/>
  <c r="L595" i="23"/>
  <c r="M595" i="23"/>
  <c r="N595" i="23"/>
  <c r="O595" i="23"/>
  <c r="U595" i="23"/>
  <c r="AC595" i="23"/>
  <c r="AD595" i="23"/>
  <c r="AH595" i="23"/>
  <c r="B596" i="23"/>
  <c r="F596" i="23"/>
  <c r="K596" i="23"/>
  <c r="L596" i="23"/>
  <c r="M596" i="23"/>
  <c r="N596" i="23"/>
  <c r="O596" i="23"/>
  <c r="U596" i="23"/>
  <c r="AC596" i="23"/>
  <c r="AD596" i="23"/>
  <c r="AH596" i="23"/>
  <c r="B597" i="23"/>
  <c r="F597" i="23"/>
  <c r="K597" i="23"/>
  <c r="L597" i="23"/>
  <c r="M597" i="23"/>
  <c r="N597" i="23"/>
  <c r="O597" i="23"/>
  <c r="U597" i="23"/>
  <c r="AC597" i="23"/>
  <c r="AD597" i="23"/>
  <c r="AH597" i="23"/>
  <c r="B598" i="23"/>
  <c r="F598" i="23"/>
  <c r="K598" i="23"/>
  <c r="L598" i="23"/>
  <c r="M598" i="23"/>
  <c r="N598" i="23"/>
  <c r="O598" i="23"/>
  <c r="U598" i="23"/>
  <c r="AC598" i="23"/>
  <c r="AD598" i="23"/>
  <c r="AH598" i="23"/>
  <c r="B599" i="23"/>
  <c r="F599" i="23"/>
  <c r="K599" i="23"/>
  <c r="L599" i="23"/>
  <c r="M599" i="23"/>
  <c r="N599" i="23"/>
  <c r="O599" i="23"/>
  <c r="U599" i="23"/>
  <c r="AC599" i="23"/>
  <c r="AD599" i="23"/>
  <c r="AH599" i="23"/>
  <c r="B600" i="23"/>
  <c r="F600" i="23"/>
  <c r="K600" i="23"/>
  <c r="L600" i="23"/>
  <c r="M600" i="23"/>
  <c r="N600" i="23"/>
  <c r="O600" i="23"/>
  <c r="U600" i="23"/>
  <c r="AC600" i="23"/>
  <c r="AD600" i="23"/>
  <c r="AH600" i="23"/>
  <c r="B601" i="23"/>
  <c r="F601" i="23"/>
  <c r="K601" i="23"/>
  <c r="L601" i="23"/>
  <c r="M601" i="23"/>
  <c r="N601" i="23"/>
  <c r="O601" i="23"/>
  <c r="U601" i="23"/>
  <c r="AC601" i="23"/>
  <c r="AD601" i="23"/>
  <c r="AH601" i="23"/>
  <c r="B602" i="23"/>
  <c r="F602" i="23"/>
  <c r="K602" i="23"/>
  <c r="L602" i="23"/>
  <c r="M602" i="23"/>
  <c r="N602" i="23"/>
  <c r="O602" i="23"/>
  <c r="U602" i="23"/>
  <c r="AC602" i="23"/>
  <c r="AD602" i="23"/>
  <c r="AH602" i="23"/>
  <c r="B603" i="23"/>
  <c r="F603" i="23"/>
  <c r="K603" i="23"/>
  <c r="L603" i="23"/>
  <c r="M603" i="23"/>
  <c r="N603" i="23"/>
  <c r="O603" i="23"/>
  <c r="U603" i="23"/>
  <c r="AC603" i="23"/>
  <c r="AD603" i="23"/>
  <c r="AH603" i="23"/>
  <c r="B604" i="23"/>
  <c r="F604" i="23"/>
  <c r="K604" i="23"/>
  <c r="L604" i="23"/>
  <c r="M604" i="23"/>
  <c r="N604" i="23"/>
  <c r="O604" i="23"/>
  <c r="U604" i="23"/>
  <c r="AC604" i="23"/>
  <c r="AD604" i="23"/>
  <c r="AH604" i="23"/>
  <c r="B605" i="23"/>
  <c r="F605" i="23"/>
  <c r="K605" i="23"/>
  <c r="L605" i="23"/>
  <c r="M605" i="23"/>
  <c r="N605" i="23"/>
  <c r="O605" i="23"/>
  <c r="U605" i="23"/>
  <c r="AC605" i="23"/>
  <c r="AD605" i="23"/>
  <c r="AH605" i="23"/>
  <c r="B606" i="23"/>
  <c r="F606" i="23"/>
  <c r="K606" i="23"/>
  <c r="L606" i="23"/>
  <c r="M606" i="23"/>
  <c r="N606" i="23"/>
  <c r="O606" i="23"/>
  <c r="U606" i="23"/>
  <c r="AC606" i="23"/>
  <c r="AD606" i="23"/>
  <c r="AH606" i="23"/>
  <c r="B607" i="23"/>
  <c r="F607" i="23"/>
  <c r="K607" i="23"/>
  <c r="L607" i="23"/>
  <c r="M607" i="23"/>
  <c r="N607" i="23"/>
  <c r="O607" i="23"/>
  <c r="U607" i="23"/>
  <c r="AC607" i="23"/>
  <c r="AD607" i="23"/>
  <c r="AH607" i="23"/>
  <c r="B608" i="23"/>
  <c r="F608" i="23"/>
  <c r="K608" i="23"/>
  <c r="L608" i="23"/>
  <c r="M608" i="23"/>
  <c r="N608" i="23"/>
  <c r="O608" i="23"/>
  <c r="U608" i="23"/>
  <c r="AC608" i="23"/>
  <c r="AD608" i="23"/>
  <c r="AH608" i="23"/>
  <c r="B609" i="23"/>
  <c r="F609" i="23"/>
  <c r="K609" i="23"/>
  <c r="L609" i="23"/>
  <c r="M609" i="23"/>
  <c r="N609" i="23"/>
  <c r="O609" i="23"/>
  <c r="U609" i="23"/>
  <c r="AC609" i="23"/>
  <c r="AD609" i="23"/>
  <c r="AH609" i="23"/>
  <c r="B610" i="23"/>
  <c r="F610" i="23"/>
  <c r="K610" i="23"/>
  <c r="L610" i="23"/>
  <c r="M610" i="23"/>
  <c r="N610" i="23"/>
  <c r="O610" i="23"/>
  <c r="U610" i="23"/>
  <c r="AC610" i="23"/>
  <c r="AD610" i="23"/>
  <c r="AH610" i="23"/>
  <c r="B611" i="23"/>
  <c r="F611" i="23"/>
  <c r="K611" i="23"/>
  <c r="L611" i="23"/>
  <c r="M611" i="23"/>
  <c r="N611" i="23"/>
  <c r="O611" i="23"/>
  <c r="U611" i="23"/>
  <c r="AC611" i="23"/>
  <c r="AD611" i="23"/>
  <c r="AH611" i="23"/>
  <c r="B612" i="23"/>
  <c r="F612" i="23"/>
  <c r="K612" i="23"/>
  <c r="L612" i="23"/>
  <c r="M612" i="23"/>
  <c r="N612" i="23"/>
  <c r="O612" i="23"/>
  <c r="U612" i="23"/>
  <c r="AC612" i="23"/>
  <c r="AD612" i="23"/>
  <c r="AH612" i="23"/>
  <c r="B613" i="23"/>
  <c r="F613" i="23"/>
  <c r="K613" i="23"/>
  <c r="L613" i="23"/>
  <c r="M613" i="23"/>
  <c r="N613" i="23"/>
  <c r="O613" i="23"/>
  <c r="U613" i="23"/>
  <c r="AC613" i="23"/>
  <c r="AD613" i="23"/>
  <c r="AH613" i="23"/>
  <c r="B614" i="23"/>
  <c r="F614" i="23"/>
  <c r="K614" i="23"/>
  <c r="L614" i="23"/>
  <c r="M614" i="23"/>
  <c r="N614" i="23"/>
  <c r="O614" i="23"/>
  <c r="U614" i="23"/>
  <c r="AC614" i="23"/>
  <c r="AD614" i="23"/>
  <c r="AH614" i="23"/>
  <c r="B615" i="23"/>
  <c r="F615" i="23"/>
  <c r="K615" i="23"/>
  <c r="L615" i="23"/>
  <c r="M615" i="23"/>
  <c r="N615" i="23"/>
  <c r="O615" i="23"/>
  <c r="U615" i="23"/>
  <c r="AC615" i="23"/>
  <c r="AD615" i="23"/>
  <c r="AH615" i="23"/>
  <c r="B616" i="23"/>
  <c r="F616" i="23"/>
  <c r="K616" i="23"/>
  <c r="L616" i="23"/>
  <c r="M616" i="23"/>
  <c r="N616" i="23"/>
  <c r="O616" i="23"/>
  <c r="U616" i="23"/>
  <c r="AC616" i="23"/>
  <c r="AD616" i="23"/>
  <c r="AH616" i="23"/>
  <c r="B617" i="23"/>
  <c r="F617" i="23"/>
  <c r="K617" i="23"/>
  <c r="L617" i="23"/>
  <c r="M617" i="23"/>
  <c r="N617" i="23"/>
  <c r="O617" i="23"/>
  <c r="U617" i="23"/>
  <c r="AC617" i="23"/>
  <c r="AD617" i="23"/>
  <c r="AH617" i="23"/>
  <c r="B618" i="23"/>
  <c r="F618" i="23"/>
  <c r="K618" i="23"/>
  <c r="L618" i="23"/>
  <c r="M618" i="23"/>
  <c r="N618" i="23"/>
  <c r="O618" i="23"/>
  <c r="U618" i="23"/>
  <c r="AC618" i="23"/>
  <c r="AD618" i="23"/>
  <c r="AH618" i="23"/>
  <c r="B619" i="23"/>
  <c r="F619" i="23"/>
  <c r="K619" i="23"/>
  <c r="L619" i="23"/>
  <c r="M619" i="23"/>
  <c r="N619" i="23"/>
  <c r="O619" i="23"/>
  <c r="U619" i="23"/>
  <c r="AC619" i="23"/>
  <c r="AD619" i="23"/>
  <c r="AH619" i="23"/>
  <c r="B620" i="23"/>
  <c r="F620" i="23"/>
  <c r="K620" i="23"/>
  <c r="L620" i="23"/>
  <c r="M620" i="23"/>
  <c r="N620" i="23"/>
  <c r="O620" i="23"/>
  <c r="U620" i="23"/>
  <c r="AC620" i="23"/>
  <c r="AD620" i="23"/>
  <c r="AH620" i="23"/>
  <c r="B621" i="23"/>
  <c r="F621" i="23"/>
  <c r="K621" i="23"/>
  <c r="L621" i="23"/>
  <c r="M621" i="23"/>
  <c r="N621" i="23"/>
  <c r="O621" i="23"/>
  <c r="U621" i="23"/>
  <c r="AC621" i="23"/>
  <c r="AD621" i="23"/>
  <c r="AH621" i="23"/>
  <c r="B622" i="23"/>
  <c r="F622" i="23"/>
  <c r="K622" i="23"/>
  <c r="L622" i="23"/>
  <c r="M622" i="23"/>
  <c r="N622" i="23"/>
  <c r="O622" i="23"/>
  <c r="U622" i="23"/>
  <c r="AC622" i="23"/>
  <c r="AD622" i="23"/>
  <c r="AH622" i="23"/>
  <c r="B623" i="23"/>
  <c r="F623" i="23"/>
  <c r="K623" i="23"/>
  <c r="L623" i="23"/>
  <c r="M623" i="23"/>
  <c r="N623" i="23"/>
  <c r="O623" i="23"/>
  <c r="U623" i="23"/>
  <c r="AC623" i="23"/>
  <c r="AD623" i="23"/>
  <c r="AH623" i="23"/>
  <c r="B624" i="23"/>
  <c r="F624" i="23"/>
  <c r="K624" i="23"/>
  <c r="L624" i="23"/>
  <c r="M624" i="23"/>
  <c r="N624" i="23"/>
  <c r="O624" i="23"/>
  <c r="U624" i="23"/>
  <c r="AC624" i="23"/>
  <c r="AD624" i="23"/>
  <c r="AH624" i="23"/>
  <c r="B625" i="23"/>
  <c r="F625" i="23"/>
  <c r="K625" i="23"/>
  <c r="L625" i="23"/>
  <c r="M625" i="23"/>
  <c r="N625" i="23"/>
  <c r="O625" i="23"/>
  <c r="U625" i="23"/>
  <c r="AC625" i="23"/>
  <c r="AD625" i="23"/>
  <c r="AH625" i="23"/>
  <c r="B626" i="23"/>
  <c r="F626" i="23"/>
  <c r="K626" i="23"/>
  <c r="L626" i="23"/>
  <c r="M626" i="23"/>
  <c r="N626" i="23"/>
  <c r="O626" i="23"/>
  <c r="U626" i="23"/>
  <c r="AC626" i="23"/>
  <c r="AD626" i="23"/>
  <c r="AH626" i="23"/>
  <c r="B627" i="23"/>
  <c r="F627" i="23"/>
  <c r="K627" i="23"/>
  <c r="L627" i="23"/>
  <c r="M627" i="23"/>
  <c r="N627" i="23"/>
  <c r="O627" i="23"/>
  <c r="U627" i="23"/>
  <c r="AC627" i="23"/>
  <c r="AD627" i="23"/>
  <c r="AH627" i="23"/>
  <c r="B628" i="23"/>
  <c r="F628" i="23"/>
  <c r="K628" i="23"/>
  <c r="L628" i="23"/>
  <c r="M628" i="23"/>
  <c r="N628" i="23"/>
  <c r="O628" i="23"/>
  <c r="U628" i="23"/>
  <c r="AC628" i="23"/>
  <c r="AD628" i="23"/>
  <c r="AH628" i="23"/>
  <c r="B629" i="23"/>
  <c r="F629" i="23"/>
  <c r="K629" i="23"/>
  <c r="L629" i="23"/>
  <c r="M629" i="23"/>
  <c r="N629" i="23"/>
  <c r="O629" i="23"/>
  <c r="U629" i="23"/>
  <c r="AC629" i="23"/>
  <c r="AD629" i="23"/>
  <c r="AH629" i="23"/>
  <c r="B630" i="23"/>
  <c r="F630" i="23"/>
  <c r="K630" i="23"/>
  <c r="L630" i="23"/>
  <c r="M630" i="23"/>
  <c r="N630" i="23"/>
  <c r="O630" i="23"/>
  <c r="U630" i="23"/>
  <c r="AC630" i="23"/>
  <c r="AD630" i="23"/>
  <c r="AH630" i="23"/>
  <c r="B631" i="23"/>
  <c r="F631" i="23"/>
  <c r="K631" i="23"/>
  <c r="L631" i="23"/>
  <c r="M631" i="23"/>
  <c r="N631" i="23"/>
  <c r="O631" i="23"/>
  <c r="U631" i="23"/>
  <c r="AC631" i="23"/>
  <c r="AD631" i="23"/>
  <c r="AH631" i="23"/>
  <c r="B632" i="23"/>
  <c r="F632" i="23"/>
  <c r="K632" i="23"/>
  <c r="L632" i="23"/>
  <c r="M632" i="23"/>
  <c r="N632" i="23"/>
  <c r="O632" i="23"/>
  <c r="U632" i="23"/>
  <c r="AC632" i="23"/>
  <c r="AD632" i="23"/>
  <c r="AH632" i="23"/>
  <c r="B633" i="23"/>
  <c r="F633" i="23"/>
  <c r="K633" i="23"/>
  <c r="L633" i="23"/>
  <c r="M633" i="23"/>
  <c r="N633" i="23"/>
  <c r="O633" i="23"/>
  <c r="U633" i="23"/>
  <c r="AC633" i="23"/>
  <c r="AD633" i="23"/>
  <c r="AH633" i="23"/>
  <c r="B634" i="23"/>
  <c r="F634" i="23"/>
  <c r="K634" i="23"/>
  <c r="L634" i="23"/>
  <c r="M634" i="23"/>
  <c r="N634" i="23"/>
  <c r="O634" i="23"/>
  <c r="U634" i="23"/>
  <c r="AC634" i="23"/>
  <c r="AD634" i="23"/>
  <c r="AH634" i="23"/>
  <c r="B635" i="23"/>
  <c r="F635" i="23"/>
  <c r="K635" i="23"/>
  <c r="L635" i="23"/>
  <c r="M635" i="23"/>
  <c r="N635" i="23"/>
  <c r="O635" i="23"/>
  <c r="U635" i="23"/>
  <c r="AC635" i="23"/>
  <c r="AD635" i="23"/>
  <c r="AH635" i="23"/>
  <c r="B636" i="23"/>
  <c r="F636" i="23"/>
  <c r="K636" i="23"/>
  <c r="L636" i="23"/>
  <c r="M636" i="23"/>
  <c r="N636" i="23"/>
  <c r="O636" i="23"/>
  <c r="U636" i="23"/>
  <c r="AC636" i="23"/>
  <c r="AD636" i="23"/>
  <c r="AH636" i="23"/>
  <c r="B637" i="23"/>
  <c r="F637" i="23"/>
  <c r="K637" i="23"/>
  <c r="L637" i="23"/>
  <c r="M637" i="23"/>
  <c r="N637" i="23"/>
  <c r="O637" i="23"/>
  <c r="U637" i="23"/>
  <c r="AC637" i="23"/>
  <c r="AD637" i="23"/>
  <c r="AH637" i="23"/>
  <c r="B638" i="23"/>
  <c r="F638" i="23"/>
  <c r="K638" i="23"/>
  <c r="L638" i="23"/>
  <c r="M638" i="23"/>
  <c r="N638" i="23"/>
  <c r="O638" i="23"/>
  <c r="U638" i="23"/>
  <c r="AC638" i="23"/>
  <c r="AD638" i="23"/>
  <c r="AH638" i="23"/>
  <c r="B639" i="23"/>
  <c r="F639" i="23"/>
  <c r="K639" i="23"/>
  <c r="L639" i="23"/>
  <c r="M639" i="23"/>
  <c r="N639" i="23"/>
  <c r="O639" i="23"/>
  <c r="U639" i="23"/>
  <c r="AC639" i="23"/>
  <c r="AD639" i="23"/>
  <c r="AH639" i="23"/>
  <c r="B640" i="23"/>
  <c r="F640" i="23"/>
  <c r="K640" i="23"/>
  <c r="L640" i="23"/>
  <c r="M640" i="23"/>
  <c r="N640" i="23"/>
  <c r="O640" i="23"/>
  <c r="U640" i="23"/>
  <c r="AC640" i="23"/>
  <c r="AD640" i="23"/>
  <c r="AH640" i="23"/>
  <c r="B641" i="23"/>
  <c r="F641" i="23"/>
  <c r="K641" i="23"/>
  <c r="L641" i="23"/>
  <c r="M641" i="23"/>
  <c r="N641" i="23"/>
  <c r="O641" i="23"/>
  <c r="U641" i="23"/>
  <c r="AC641" i="23"/>
  <c r="AD641" i="23"/>
  <c r="AH641" i="23"/>
  <c r="B642" i="23"/>
  <c r="F642" i="23"/>
  <c r="K642" i="23"/>
  <c r="L642" i="23"/>
  <c r="M642" i="23"/>
  <c r="N642" i="23"/>
  <c r="O642" i="23"/>
  <c r="U642" i="23"/>
  <c r="AC642" i="23"/>
  <c r="AD642" i="23"/>
  <c r="AH642" i="23"/>
  <c r="B643" i="23"/>
  <c r="F643" i="23"/>
  <c r="K643" i="23"/>
  <c r="L643" i="23"/>
  <c r="M643" i="23"/>
  <c r="N643" i="23"/>
  <c r="O643" i="23"/>
  <c r="U643" i="23"/>
  <c r="AC643" i="23"/>
  <c r="AD643" i="23"/>
  <c r="AH643" i="23"/>
  <c r="B644" i="23"/>
  <c r="F644" i="23"/>
  <c r="K644" i="23"/>
  <c r="L644" i="23"/>
  <c r="M644" i="23"/>
  <c r="N644" i="23"/>
  <c r="O644" i="23"/>
  <c r="U644" i="23"/>
  <c r="AC644" i="23"/>
  <c r="AD644" i="23"/>
  <c r="AH644" i="23"/>
  <c r="B645" i="23"/>
  <c r="F645" i="23"/>
  <c r="K645" i="23"/>
  <c r="L645" i="23"/>
  <c r="M645" i="23"/>
  <c r="N645" i="23"/>
  <c r="O645" i="23"/>
  <c r="U645" i="23"/>
  <c r="AC645" i="23"/>
  <c r="AD645" i="23"/>
  <c r="AH645" i="23"/>
  <c r="B646" i="23"/>
  <c r="F646" i="23"/>
  <c r="K646" i="23"/>
  <c r="L646" i="23"/>
  <c r="M646" i="23"/>
  <c r="N646" i="23"/>
  <c r="O646" i="23"/>
  <c r="U646" i="23"/>
  <c r="AC646" i="23"/>
  <c r="AD646" i="23"/>
  <c r="AH646" i="23"/>
  <c r="B647" i="23"/>
  <c r="F647" i="23"/>
  <c r="K647" i="23"/>
  <c r="L647" i="23"/>
  <c r="M647" i="23"/>
  <c r="N647" i="23"/>
  <c r="O647" i="23"/>
  <c r="U647" i="23"/>
  <c r="AC647" i="23"/>
  <c r="AD647" i="23"/>
  <c r="AH647" i="23"/>
  <c r="B648" i="23"/>
  <c r="F648" i="23"/>
  <c r="K648" i="23"/>
  <c r="L648" i="23"/>
  <c r="M648" i="23"/>
  <c r="N648" i="23"/>
  <c r="O648" i="23"/>
  <c r="U648" i="23"/>
  <c r="AC648" i="23"/>
  <c r="AD648" i="23"/>
  <c r="AH648" i="23"/>
  <c r="B649" i="23"/>
  <c r="F649" i="23"/>
  <c r="K649" i="23"/>
  <c r="L649" i="23"/>
  <c r="M649" i="23"/>
  <c r="N649" i="23"/>
  <c r="O649" i="23"/>
  <c r="U649" i="23"/>
  <c r="AC649" i="23"/>
  <c r="AD649" i="23"/>
  <c r="AH649" i="23"/>
  <c r="B650" i="23"/>
  <c r="F650" i="23"/>
  <c r="K650" i="23"/>
  <c r="L650" i="23"/>
  <c r="M650" i="23"/>
  <c r="N650" i="23"/>
  <c r="O650" i="23"/>
  <c r="U650" i="23"/>
  <c r="AC650" i="23"/>
  <c r="AD650" i="23"/>
  <c r="AH650" i="23"/>
  <c r="B651" i="23"/>
  <c r="F651" i="23"/>
  <c r="K651" i="23"/>
  <c r="L651" i="23"/>
  <c r="M651" i="23"/>
  <c r="N651" i="23"/>
  <c r="O651" i="23"/>
  <c r="U651" i="23"/>
  <c r="AC651" i="23"/>
  <c r="AD651" i="23"/>
  <c r="AH651" i="23"/>
  <c r="B652" i="23"/>
  <c r="F652" i="23"/>
  <c r="K652" i="23"/>
  <c r="L652" i="23"/>
  <c r="M652" i="23"/>
  <c r="N652" i="23"/>
  <c r="O652" i="23"/>
  <c r="U652" i="23"/>
  <c r="AC652" i="23"/>
  <c r="AD652" i="23"/>
  <c r="AH652" i="23"/>
  <c r="B653" i="23"/>
  <c r="F653" i="23"/>
  <c r="K653" i="23"/>
  <c r="L653" i="23"/>
  <c r="M653" i="23"/>
  <c r="N653" i="23"/>
  <c r="O653" i="23"/>
  <c r="U653" i="23"/>
  <c r="AC653" i="23"/>
  <c r="AD653" i="23"/>
  <c r="AH653" i="23"/>
  <c r="B654" i="23"/>
  <c r="F654" i="23"/>
  <c r="K654" i="23"/>
  <c r="L654" i="23"/>
  <c r="M654" i="23"/>
  <c r="N654" i="23"/>
  <c r="O654" i="23"/>
  <c r="U654" i="23"/>
  <c r="AC654" i="23"/>
  <c r="AD654" i="23"/>
  <c r="AH654" i="23"/>
  <c r="B655" i="23"/>
  <c r="F655" i="23"/>
  <c r="K655" i="23"/>
  <c r="L655" i="23"/>
  <c r="M655" i="23"/>
  <c r="N655" i="23"/>
  <c r="O655" i="23"/>
  <c r="U655" i="23"/>
  <c r="AC655" i="23"/>
  <c r="AD655" i="23"/>
  <c r="AH655" i="23"/>
  <c r="B656" i="23"/>
  <c r="F656" i="23"/>
  <c r="K656" i="23"/>
  <c r="L656" i="23"/>
  <c r="M656" i="23"/>
  <c r="N656" i="23"/>
  <c r="O656" i="23"/>
  <c r="U656" i="23"/>
  <c r="AC656" i="23"/>
  <c r="AD656" i="23"/>
  <c r="AH656" i="23"/>
  <c r="B657" i="23"/>
  <c r="F657" i="23"/>
  <c r="K657" i="23"/>
  <c r="L657" i="23"/>
  <c r="M657" i="23"/>
  <c r="N657" i="23"/>
  <c r="O657" i="23"/>
  <c r="U657" i="23"/>
  <c r="AC657" i="23"/>
  <c r="AD657" i="23"/>
  <c r="AH657" i="23"/>
  <c r="B658" i="23"/>
  <c r="F658" i="23"/>
  <c r="K658" i="23"/>
  <c r="L658" i="23"/>
  <c r="M658" i="23"/>
  <c r="N658" i="23"/>
  <c r="O658" i="23"/>
  <c r="U658" i="23"/>
  <c r="AC658" i="23"/>
  <c r="AD658" i="23"/>
  <c r="AH658" i="23"/>
  <c r="B659" i="23"/>
  <c r="F659" i="23"/>
  <c r="K659" i="23"/>
  <c r="L659" i="23"/>
  <c r="M659" i="23"/>
  <c r="N659" i="23"/>
  <c r="O659" i="23"/>
  <c r="U659" i="23"/>
  <c r="AC659" i="23"/>
  <c r="AD659" i="23"/>
  <c r="AH659" i="23"/>
  <c r="B660" i="23"/>
  <c r="F660" i="23"/>
  <c r="K660" i="23"/>
  <c r="L660" i="23"/>
  <c r="M660" i="23"/>
  <c r="N660" i="23"/>
  <c r="O660" i="23"/>
  <c r="U660" i="23"/>
  <c r="AC660" i="23"/>
  <c r="AD660" i="23"/>
  <c r="AH660" i="23"/>
  <c r="B661" i="23"/>
  <c r="F661" i="23"/>
  <c r="K661" i="23"/>
  <c r="L661" i="23"/>
  <c r="M661" i="23"/>
  <c r="N661" i="23"/>
  <c r="O661" i="23"/>
  <c r="U661" i="23"/>
  <c r="AC661" i="23"/>
  <c r="AD661" i="23"/>
  <c r="AH661" i="23"/>
  <c r="B662" i="23"/>
  <c r="F662" i="23"/>
  <c r="K662" i="23"/>
  <c r="L662" i="23"/>
  <c r="M662" i="23"/>
  <c r="N662" i="23"/>
  <c r="O662" i="23"/>
  <c r="U662" i="23"/>
  <c r="AC662" i="23"/>
  <c r="AD662" i="23"/>
  <c r="AH662" i="23"/>
  <c r="B663" i="23"/>
  <c r="F663" i="23"/>
  <c r="K663" i="23"/>
  <c r="L663" i="23"/>
  <c r="M663" i="23"/>
  <c r="N663" i="23"/>
  <c r="O663" i="23"/>
  <c r="U663" i="23"/>
  <c r="AC663" i="23"/>
  <c r="AD663" i="23"/>
  <c r="AH663" i="23"/>
  <c r="B664" i="23"/>
  <c r="F664" i="23"/>
  <c r="K664" i="23"/>
  <c r="L664" i="23"/>
  <c r="M664" i="23"/>
  <c r="N664" i="23"/>
  <c r="O664" i="23"/>
  <c r="U664" i="23"/>
  <c r="AC664" i="23"/>
  <c r="AD664" i="23"/>
  <c r="AH664" i="23"/>
  <c r="B665" i="23"/>
  <c r="F665" i="23"/>
  <c r="K665" i="23"/>
  <c r="L665" i="23"/>
  <c r="M665" i="23"/>
  <c r="N665" i="23"/>
  <c r="O665" i="23"/>
  <c r="U665" i="23"/>
  <c r="AC665" i="23"/>
  <c r="AD665" i="23"/>
  <c r="AH665" i="23"/>
  <c r="B666" i="23"/>
  <c r="F666" i="23"/>
  <c r="K666" i="23"/>
  <c r="L666" i="23"/>
  <c r="M666" i="23"/>
  <c r="N666" i="23"/>
  <c r="O666" i="23"/>
  <c r="U666" i="23"/>
  <c r="AC666" i="23"/>
  <c r="AD666" i="23"/>
  <c r="AH666" i="23"/>
  <c r="B667" i="23"/>
  <c r="F667" i="23"/>
  <c r="K667" i="23"/>
  <c r="L667" i="23"/>
  <c r="M667" i="23"/>
  <c r="N667" i="23"/>
  <c r="O667" i="23"/>
  <c r="U667" i="23"/>
  <c r="AC667" i="23"/>
  <c r="AD667" i="23"/>
  <c r="AH667" i="23"/>
  <c r="B668" i="23"/>
  <c r="F668" i="23"/>
  <c r="K668" i="23"/>
  <c r="L668" i="23"/>
  <c r="M668" i="23"/>
  <c r="N668" i="23"/>
  <c r="O668" i="23"/>
  <c r="U668" i="23"/>
  <c r="AC668" i="23"/>
  <c r="AD668" i="23"/>
  <c r="AH668" i="23"/>
  <c r="B669" i="23"/>
  <c r="F669" i="23"/>
  <c r="K669" i="23"/>
  <c r="L669" i="23"/>
  <c r="M669" i="23"/>
  <c r="N669" i="23"/>
  <c r="O669" i="23"/>
  <c r="U669" i="23"/>
  <c r="AC669" i="23"/>
  <c r="AD669" i="23"/>
  <c r="AH669" i="23"/>
  <c r="B670" i="23"/>
  <c r="F670" i="23"/>
  <c r="K670" i="23"/>
  <c r="L670" i="23"/>
  <c r="M670" i="23"/>
  <c r="N670" i="23"/>
  <c r="O670" i="23"/>
  <c r="U670" i="23"/>
  <c r="AC670" i="23"/>
  <c r="AD670" i="23"/>
  <c r="AH670" i="23"/>
  <c r="B671" i="23"/>
  <c r="F671" i="23"/>
  <c r="K671" i="23"/>
  <c r="L671" i="23"/>
  <c r="M671" i="23"/>
  <c r="N671" i="23"/>
  <c r="O671" i="23"/>
  <c r="U671" i="23"/>
  <c r="AC671" i="23"/>
  <c r="AD671" i="23"/>
  <c r="AH671" i="23"/>
  <c r="B672" i="23"/>
  <c r="F672" i="23"/>
  <c r="K672" i="23"/>
  <c r="L672" i="23"/>
  <c r="M672" i="23"/>
  <c r="N672" i="23"/>
  <c r="O672" i="23"/>
  <c r="U672" i="23"/>
  <c r="AC672" i="23"/>
  <c r="AD672" i="23"/>
  <c r="AH672" i="23"/>
  <c r="B673" i="23"/>
  <c r="F673" i="23"/>
  <c r="K673" i="23"/>
  <c r="L673" i="23"/>
  <c r="M673" i="23"/>
  <c r="N673" i="23"/>
  <c r="O673" i="23"/>
  <c r="U673" i="23"/>
  <c r="AC673" i="23"/>
  <c r="AD673" i="23"/>
  <c r="AH673" i="23"/>
  <c r="B674" i="23"/>
  <c r="F674" i="23"/>
  <c r="K674" i="23"/>
  <c r="L674" i="23"/>
  <c r="M674" i="23"/>
  <c r="N674" i="23"/>
  <c r="O674" i="23"/>
  <c r="U674" i="23"/>
  <c r="AC674" i="23"/>
  <c r="AD674" i="23"/>
  <c r="AH674" i="23"/>
  <c r="B675" i="23"/>
  <c r="F675" i="23"/>
  <c r="K675" i="23"/>
  <c r="L675" i="23"/>
  <c r="M675" i="23"/>
  <c r="N675" i="23"/>
  <c r="O675" i="23"/>
  <c r="U675" i="23"/>
  <c r="AC675" i="23"/>
  <c r="AD675" i="23"/>
  <c r="AH675" i="23"/>
  <c r="B676" i="23"/>
  <c r="F676" i="23"/>
  <c r="K676" i="23"/>
  <c r="L676" i="23"/>
  <c r="M676" i="23"/>
  <c r="N676" i="23"/>
  <c r="O676" i="23"/>
  <c r="U676" i="23"/>
  <c r="AC676" i="23"/>
  <c r="AD676" i="23"/>
  <c r="AH676" i="23"/>
  <c r="B677" i="23"/>
  <c r="F677" i="23"/>
  <c r="K677" i="23"/>
  <c r="L677" i="23"/>
  <c r="M677" i="23"/>
  <c r="N677" i="23"/>
  <c r="O677" i="23"/>
  <c r="U677" i="23"/>
  <c r="AC677" i="23"/>
  <c r="AD677" i="23"/>
  <c r="AH677" i="23"/>
  <c r="B678" i="23"/>
  <c r="F678" i="23"/>
  <c r="K678" i="23"/>
  <c r="L678" i="23"/>
  <c r="M678" i="23"/>
  <c r="N678" i="23"/>
  <c r="O678" i="23"/>
  <c r="U678" i="23"/>
  <c r="AC678" i="23"/>
  <c r="AD678" i="23"/>
  <c r="AH678" i="23"/>
  <c r="B679" i="23"/>
  <c r="F679" i="23"/>
  <c r="K679" i="23"/>
  <c r="L679" i="23"/>
  <c r="M679" i="23"/>
  <c r="N679" i="23"/>
  <c r="O679" i="23"/>
  <c r="U679" i="23"/>
  <c r="AC679" i="23"/>
  <c r="AD679" i="23"/>
  <c r="AH679" i="23"/>
  <c r="B680" i="23"/>
  <c r="F680" i="23"/>
  <c r="K680" i="23"/>
  <c r="L680" i="23"/>
  <c r="M680" i="23"/>
  <c r="N680" i="23"/>
  <c r="O680" i="23"/>
  <c r="U680" i="23"/>
  <c r="AC680" i="23"/>
  <c r="AD680" i="23"/>
  <c r="AH680" i="23"/>
  <c r="B681" i="23"/>
  <c r="F681" i="23"/>
  <c r="K681" i="23"/>
  <c r="L681" i="23"/>
  <c r="M681" i="23"/>
  <c r="N681" i="23"/>
  <c r="O681" i="23"/>
  <c r="U681" i="23"/>
  <c r="AC681" i="23"/>
  <c r="AD681" i="23"/>
  <c r="AH681" i="23"/>
  <c r="B682" i="23"/>
  <c r="F682" i="23"/>
  <c r="K682" i="23"/>
  <c r="L682" i="23"/>
  <c r="M682" i="23"/>
  <c r="N682" i="23"/>
  <c r="O682" i="23"/>
  <c r="U682" i="23"/>
  <c r="AC682" i="23"/>
  <c r="AD682" i="23"/>
  <c r="AH682" i="23"/>
  <c r="B683" i="23"/>
  <c r="F683" i="23"/>
  <c r="K683" i="23"/>
  <c r="L683" i="23"/>
  <c r="M683" i="23"/>
  <c r="N683" i="23"/>
  <c r="O683" i="23"/>
  <c r="U683" i="23"/>
  <c r="AC683" i="23"/>
  <c r="AD683" i="23"/>
  <c r="AH683" i="23"/>
  <c r="B684" i="23"/>
  <c r="F684" i="23"/>
  <c r="K684" i="23"/>
  <c r="L684" i="23"/>
  <c r="M684" i="23"/>
  <c r="N684" i="23"/>
  <c r="O684" i="23"/>
  <c r="U684" i="23"/>
  <c r="AC684" i="23"/>
  <c r="AD684" i="23"/>
  <c r="AH684" i="23"/>
  <c r="B685" i="23"/>
  <c r="F685" i="23"/>
  <c r="K685" i="23"/>
  <c r="L685" i="23"/>
  <c r="M685" i="23"/>
  <c r="N685" i="23"/>
  <c r="O685" i="23"/>
  <c r="U685" i="23"/>
  <c r="AC685" i="23"/>
  <c r="AD685" i="23"/>
  <c r="AH685" i="23"/>
  <c r="B686" i="23"/>
  <c r="F686" i="23"/>
  <c r="K686" i="23"/>
  <c r="L686" i="23"/>
  <c r="M686" i="23"/>
  <c r="N686" i="23"/>
  <c r="O686" i="23"/>
  <c r="U686" i="23"/>
  <c r="AC686" i="23"/>
  <c r="AD686" i="23"/>
  <c r="AH686" i="23"/>
  <c r="B687" i="23"/>
  <c r="F687" i="23"/>
  <c r="K687" i="23"/>
  <c r="L687" i="23"/>
  <c r="M687" i="23"/>
  <c r="N687" i="23"/>
  <c r="O687" i="23"/>
  <c r="U687" i="23"/>
  <c r="AC687" i="23"/>
  <c r="AD687" i="23"/>
  <c r="AH687" i="23"/>
  <c r="B688" i="23"/>
  <c r="F688" i="23"/>
  <c r="K688" i="23"/>
  <c r="L688" i="23"/>
  <c r="M688" i="23"/>
  <c r="N688" i="23"/>
  <c r="O688" i="23"/>
  <c r="U688" i="23"/>
  <c r="AC688" i="23"/>
  <c r="AD688" i="23"/>
  <c r="AH688" i="23"/>
  <c r="B689" i="23"/>
  <c r="F689" i="23"/>
  <c r="K689" i="23"/>
  <c r="L689" i="23"/>
  <c r="M689" i="23"/>
  <c r="N689" i="23"/>
  <c r="O689" i="23"/>
  <c r="U689" i="23"/>
  <c r="AC689" i="23"/>
  <c r="AD689" i="23"/>
  <c r="AH689" i="23"/>
  <c r="B690" i="23"/>
  <c r="F690" i="23"/>
  <c r="K690" i="23"/>
  <c r="L690" i="23"/>
  <c r="M690" i="23"/>
  <c r="N690" i="23"/>
  <c r="O690" i="23"/>
  <c r="U690" i="23"/>
  <c r="AC690" i="23"/>
  <c r="AD690" i="23"/>
  <c r="AH690" i="23"/>
  <c r="B691" i="23"/>
  <c r="F691" i="23"/>
  <c r="K691" i="23"/>
  <c r="L691" i="23"/>
  <c r="M691" i="23"/>
  <c r="N691" i="23"/>
  <c r="O691" i="23"/>
  <c r="U691" i="23"/>
  <c r="AC691" i="23"/>
  <c r="AD691" i="23"/>
  <c r="AH691" i="23"/>
  <c r="B692" i="23"/>
  <c r="F692" i="23"/>
  <c r="K692" i="23"/>
  <c r="L692" i="23"/>
  <c r="M692" i="23"/>
  <c r="N692" i="23"/>
  <c r="O692" i="23"/>
  <c r="U692" i="23"/>
  <c r="AC692" i="23"/>
  <c r="AD692" i="23"/>
  <c r="AH692" i="23"/>
  <c r="B693" i="23"/>
  <c r="F693" i="23"/>
  <c r="K693" i="23"/>
  <c r="L693" i="23"/>
  <c r="M693" i="23"/>
  <c r="N693" i="23"/>
  <c r="O693" i="23"/>
  <c r="U693" i="23"/>
  <c r="AC693" i="23"/>
  <c r="AD693" i="23"/>
  <c r="AH693" i="23"/>
  <c r="B694" i="23"/>
  <c r="F694" i="23"/>
  <c r="K694" i="23"/>
  <c r="L694" i="23"/>
  <c r="M694" i="23"/>
  <c r="N694" i="23"/>
  <c r="O694" i="23"/>
  <c r="U694" i="23"/>
  <c r="AC694" i="23"/>
  <c r="AD694" i="23"/>
  <c r="AH694" i="23"/>
  <c r="B695" i="23"/>
  <c r="F695" i="23"/>
  <c r="K695" i="23"/>
  <c r="L695" i="23"/>
  <c r="M695" i="23"/>
  <c r="N695" i="23"/>
  <c r="O695" i="23"/>
  <c r="U695" i="23"/>
  <c r="AC695" i="23"/>
  <c r="AD695" i="23"/>
  <c r="AH695" i="23"/>
  <c r="B696" i="23"/>
  <c r="F696" i="23"/>
  <c r="K696" i="23"/>
  <c r="L696" i="23"/>
  <c r="M696" i="23"/>
  <c r="N696" i="23"/>
  <c r="O696" i="23"/>
  <c r="U696" i="23"/>
  <c r="AC696" i="23"/>
  <c r="AD696" i="23"/>
  <c r="AH696" i="23"/>
  <c r="B697" i="23"/>
  <c r="F697" i="23"/>
  <c r="K697" i="23"/>
  <c r="L697" i="23"/>
  <c r="M697" i="23"/>
  <c r="N697" i="23"/>
  <c r="O697" i="23"/>
  <c r="U697" i="23"/>
  <c r="AC697" i="23"/>
  <c r="AD697" i="23"/>
  <c r="AH697" i="23"/>
  <c r="B698" i="23"/>
  <c r="F698" i="23"/>
  <c r="K698" i="23"/>
  <c r="L698" i="23"/>
  <c r="M698" i="23"/>
  <c r="N698" i="23"/>
  <c r="O698" i="23"/>
  <c r="U698" i="23"/>
  <c r="AC698" i="23"/>
  <c r="AD698" i="23"/>
  <c r="AH698" i="23"/>
  <c r="B699" i="23"/>
  <c r="F699" i="23"/>
  <c r="K699" i="23"/>
  <c r="L699" i="23"/>
  <c r="M699" i="23"/>
  <c r="N699" i="23"/>
  <c r="O699" i="23"/>
  <c r="U699" i="23"/>
  <c r="AC699" i="23"/>
  <c r="AD699" i="23"/>
  <c r="AH699" i="23"/>
  <c r="B700" i="23"/>
  <c r="F700" i="23"/>
  <c r="K700" i="23"/>
  <c r="L700" i="23"/>
  <c r="M700" i="23"/>
  <c r="N700" i="23"/>
  <c r="O700" i="23"/>
  <c r="U700" i="23"/>
  <c r="AC700" i="23"/>
  <c r="AD700" i="23"/>
  <c r="AH700" i="23"/>
  <c r="B701" i="23"/>
  <c r="F701" i="23"/>
  <c r="K701" i="23"/>
  <c r="L701" i="23"/>
  <c r="M701" i="23"/>
  <c r="N701" i="23"/>
  <c r="O701" i="23"/>
  <c r="U701" i="23"/>
  <c r="AC701" i="23"/>
  <c r="AD701" i="23"/>
  <c r="AH701" i="23"/>
  <c r="B702" i="23"/>
  <c r="F702" i="23"/>
  <c r="K702" i="23"/>
  <c r="L702" i="23"/>
  <c r="M702" i="23"/>
  <c r="N702" i="23"/>
  <c r="O702" i="23"/>
  <c r="U702" i="23"/>
  <c r="AC702" i="23"/>
  <c r="AD702" i="23"/>
  <c r="AH702" i="23"/>
  <c r="B703" i="23"/>
  <c r="F703" i="23"/>
  <c r="K703" i="23"/>
  <c r="L703" i="23"/>
  <c r="M703" i="23"/>
  <c r="N703" i="23"/>
  <c r="O703" i="23"/>
  <c r="U703" i="23"/>
  <c r="AC703" i="23"/>
  <c r="AD703" i="23"/>
  <c r="AH703" i="23"/>
  <c r="B704" i="23"/>
  <c r="F704" i="23"/>
  <c r="K704" i="23"/>
  <c r="L704" i="23"/>
  <c r="M704" i="23"/>
  <c r="N704" i="23"/>
  <c r="O704" i="23"/>
  <c r="U704" i="23"/>
  <c r="AC704" i="23"/>
  <c r="AD704" i="23"/>
  <c r="AH704" i="23"/>
  <c r="B705" i="23"/>
  <c r="F705" i="23"/>
  <c r="K705" i="23"/>
  <c r="L705" i="23"/>
  <c r="M705" i="23"/>
  <c r="N705" i="23"/>
  <c r="O705" i="23"/>
  <c r="U705" i="23"/>
  <c r="AC705" i="23"/>
  <c r="AD705" i="23"/>
  <c r="AH705" i="23"/>
  <c r="B706" i="23"/>
  <c r="F706" i="23"/>
  <c r="K706" i="23"/>
  <c r="L706" i="23"/>
  <c r="M706" i="23"/>
  <c r="N706" i="23"/>
  <c r="O706" i="23"/>
  <c r="U706" i="23"/>
  <c r="AC706" i="23"/>
  <c r="AD706" i="23"/>
  <c r="AH706" i="23"/>
  <c r="B707" i="23"/>
  <c r="F707" i="23"/>
  <c r="K707" i="23"/>
  <c r="L707" i="23"/>
  <c r="M707" i="23"/>
  <c r="N707" i="23"/>
  <c r="O707" i="23"/>
  <c r="U707" i="23"/>
  <c r="AC707" i="23"/>
  <c r="AD707" i="23"/>
  <c r="AH707" i="23"/>
  <c r="B708" i="23"/>
  <c r="F708" i="23"/>
  <c r="K708" i="23"/>
  <c r="L708" i="23"/>
  <c r="M708" i="23"/>
  <c r="N708" i="23"/>
  <c r="O708" i="23"/>
  <c r="U708" i="23"/>
  <c r="AC708" i="23"/>
  <c r="AD708" i="23"/>
  <c r="AH708" i="23"/>
  <c r="B709" i="23"/>
  <c r="F709" i="23"/>
  <c r="K709" i="23"/>
  <c r="L709" i="23"/>
  <c r="M709" i="23"/>
  <c r="N709" i="23"/>
  <c r="O709" i="23"/>
  <c r="U709" i="23"/>
  <c r="AC709" i="23"/>
  <c r="AD709" i="23"/>
  <c r="AH709" i="23"/>
  <c r="B710" i="23"/>
  <c r="F710" i="23"/>
  <c r="K710" i="23"/>
  <c r="L710" i="23"/>
  <c r="M710" i="23"/>
  <c r="N710" i="23"/>
  <c r="O710" i="23"/>
  <c r="U710" i="23"/>
  <c r="AC710" i="23"/>
  <c r="AD710" i="23"/>
  <c r="AH710" i="23"/>
  <c r="B711" i="23"/>
  <c r="F711" i="23"/>
  <c r="K711" i="23"/>
  <c r="L711" i="23"/>
  <c r="M711" i="23"/>
  <c r="N711" i="23"/>
  <c r="O711" i="23"/>
  <c r="U711" i="23"/>
  <c r="AC711" i="23"/>
  <c r="AD711" i="23"/>
  <c r="AH711" i="23"/>
  <c r="B712" i="23"/>
  <c r="F712" i="23"/>
  <c r="K712" i="23"/>
  <c r="L712" i="23"/>
  <c r="M712" i="23"/>
  <c r="N712" i="23"/>
  <c r="O712" i="23"/>
  <c r="U712" i="23"/>
  <c r="AC712" i="23"/>
  <c r="AD712" i="23"/>
  <c r="AH712" i="23"/>
  <c r="B713" i="23"/>
  <c r="F713" i="23"/>
  <c r="K713" i="23"/>
  <c r="L713" i="23"/>
  <c r="M713" i="23"/>
  <c r="N713" i="23"/>
  <c r="O713" i="23"/>
  <c r="U713" i="23"/>
  <c r="AC713" i="23"/>
  <c r="AD713" i="23"/>
  <c r="AH713" i="23"/>
  <c r="B714" i="23"/>
  <c r="F714" i="23"/>
  <c r="K714" i="23"/>
  <c r="L714" i="23"/>
  <c r="M714" i="23"/>
  <c r="N714" i="23"/>
  <c r="O714" i="23"/>
  <c r="U714" i="23"/>
  <c r="AC714" i="23"/>
  <c r="AD714" i="23"/>
  <c r="AH714" i="23"/>
  <c r="B715" i="23"/>
  <c r="F715" i="23"/>
  <c r="K715" i="23"/>
  <c r="L715" i="23"/>
  <c r="M715" i="23"/>
  <c r="N715" i="23"/>
  <c r="O715" i="23"/>
  <c r="U715" i="23"/>
  <c r="AC715" i="23"/>
  <c r="AD715" i="23"/>
  <c r="AH715" i="23"/>
  <c r="B716" i="23"/>
  <c r="F716" i="23"/>
  <c r="K716" i="23"/>
  <c r="L716" i="23"/>
  <c r="M716" i="23"/>
  <c r="N716" i="23"/>
  <c r="O716" i="23"/>
  <c r="U716" i="23"/>
  <c r="AC716" i="23"/>
  <c r="AD716" i="23"/>
  <c r="AH716" i="23"/>
  <c r="B717" i="23"/>
  <c r="F717" i="23"/>
  <c r="K717" i="23"/>
  <c r="L717" i="23"/>
  <c r="M717" i="23"/>
  <c r="N717" i="23"/>
  <c r="O717" i="23"/>
  <c r="U717" i="23"/>
  <c r="AC717" i="23"/>
  <c r="AD717" i="23"/>
  <c r="AH717" i="23"/>
  <c r="B718" i="23"/>
  <c r="F718" i="23"/>
  <c r="K718" i="23"/>
  <c r="L718" i="23"/>
  <c r="M718" i="23"/>
  <c r="N718" i="23"/>
  <c r="O718" i="23"/>
  <c r="U718" i="23"/>
  <c r="AC718" i="23"/>
  <c r="AD718" i="23"/>
  <c r="AH718" i="23"/>
  <c r="B719" i="23"/>
  <c r="F719" i="23"/>
  <c r="K719" i="23"/>
  <c r="L719" i="23"/>
  <c r="M719" i="23"/>
  <c r="N719" i="23"/>
  <c r="O719" i="23"/>
  <c r="U719" i="23"/>
  <c r="AC719" i="23"/>
  <c r="AD719" i="23"/>
  <c r="AH719" i="23"/>
  <c r="B720" i="23"/>
  <c r="F720" i="23"/>
  <c r="K720" i="23"/>
  <c r="L720" i="23"/>
  <c r="M720" i="23"/>
  <c r="N720" i="23"/>
  <c r="O720" i="23"/>
  <c r="U720" i="23"/>
  <c r="AC720" i="23"/>
  <c r="AD720" i="23"/>
  <c r="AH720" i="23"/>
  <c r="B721" i="23"/>
  <c r="F721" i="23"/>
  <c r="K721" i="23"/>
  <c r="L721" i="23"/>
  <c r="M721" i="23"/>
  <c r="N721" i="23"/>
  <c r="O721" i="23"/>
  <c r="U721" i="23"/>
  <c r="AC721" i="23"/>
  <c r="AD721" i="23"/>
  <c r="AH721" i="23"/>
  <c r="B722" i="23"/>
  <c r="F722" i="23"/>
  <c r="K722" i="23"/>
  <c r="L722" i="23"/>
  <c r="M722" i="23"/>
  <c r="N722" i="23"/>
  <c r="O722" i="23"/>
  <c r="U722" i="23"/>
  <c r="AC722" i="23"/>
  <c r="AD722" i="23"/>
  <c r="AH722" i="23"/>
  <c r="B723" i="23"/>
  <c r="F723" i="23"/>
  <c r="K723" i="23"/>
  <c r="L723" i="23"/>
  <c r="M723" i="23"/>
  <c r="N723" i="23"/>
  <c r="O723" i="23"/>
  <c r="U723" i="23"/>
  <c r="AC723" i="23"/>
  <c r="AD723" i="23"/>
  <c r="AH723" i="23"/>
  <c r="B724" i="23"/>
  <c r="F724" i="23"/>
  <c r="K724" i="23"/>
  <c r="L724" i="23"/>
  <c r="M724" i="23"/>
  <c r="N724" i="23"/>
  <c r="O724" i="23"/>
  <c r="U724" i="23"/>
  <c r="AC724" i="23"/>
  <c r="AD724" i="23"/>
  <c r="AH724" i="23"/>
  <c r="B725" i="23"/>
  <c r="F725" i="23"/>
  <c r="K725" i="23"/>
  <c r="L725" i="23"/>
  <c r="M725" i="23"/>
  <c r="N725" i="23"/>
  <c r="O725" i="23"/>
  <c r="U725" i="23"/>
  <c r="AC725" i="23"/>
  <c r="AD725" i="23"/>
  <c r="AH725" i="23"/>
  <c r="B726" i="23"/>
  <c r="F726" i="23"/>
  <c r="K726" i="23"/>
  <c r="L726" i="23"/>
  <c r="M726" i="23"/>
  <c r="N726" i="23"/>
  <c r="O726" i="23"/>
  <c r="U726" i="23"/>
  <c r="AC726" i="23"/>
  <c r="AD726" i="23"/>
  <c r="AH726" i="23"/>
  <c r="B727" i="23"/>
  <c r="F727" i="23"/>
  <c r="K727" i="23"/>
  <c r="L727" i="23"/>
  <c r="M727" i="23"/>
  <c r="N727" i="23"/>
  <c r="O727" i="23"/>
  <c r="U727" i="23"/>
  <c r="AC727" i="23"/>
  <c r="AD727" i="23"/>
  <c r="AH727" i="23"/>
  <c r="B728" i="23"/>
  <c r="F728" i="23"/>
  <c r="K728" i="23"/>
  <c r="L728" i="23"/>
  <c r="M728" i="23"/>
  <c r="N728" i="23"/>
  <c r="O728" i="23"/>
  <c r="U728" i="23"/>
  <c r="AC728" i="23"/>
  <c r="AD728" i="23"/>
  <c r="AH728" i="23"/>
  <c r="B729" i="23"/>
  <c r="F729" i="23"/>
  <c r="K729" i="23"/>
  <c r="L729" i="23"/>
  <c r="M729" i="23"/>
  <c r="N729" i="23"/>
  <c r="O729" i="23"/>
  <c r="U729" i="23"/>
  <c r="AC729" i="23"/>
  <c r="AD729" i="23"/>
  <c r="AH729" i="23"/>
  <c r="B730" i="23"/>
  <c r="F730" i="23"/>
  <c r="K730" i="23"/>
  <c r="L730" i="23"/>
  <c r="M730" i="23"/>
  <c r="N730" i="23"/>
  <c r="O730" i="23"/>
  <c r="U730" i="23"/>
  <c r="AC730" i="23"/>
  <c r="AD730" i="23"/>
  <c r="AH730" i="23"/>
  <c r="B731" i="23"/>
  <c r="F731" i="23"/>
  <c r="K731" i="23"/>
  <c r="L731" i="23"/>
  <c r="M731" i="23"/>
  <c r="N731" i="23"/>
  <c r="O731" i="23"/>
  <c r="U731" i="23"/>
  <c r="AC731" i="23"/>
  <c r="AD731" i="23"/>
  <c r="AH731" i="23"/>
  <c r="B732" i="23"/>
  <c r="F732" i="23"/>
  <c r="K732" i="23"/>
  <c r="L732" i="23"/>
  <c r="M732" i="23"/>
  <c r="N732" i="23"/>
  <c r="O732" i="23"/>
  <c r="U732" i="23"/>
  <c r="AC732" i="23"/>
  <c r="AD732" i="23"/>
  <c r="AH732" i="23"/>
  <c r="B733" i="23"/>
  <c r="F733" i="23"/>
  <c r="K733" i="23"/>
  <c r="L733" i="23"/>
  <c r="M733" i="23"/>
  <c r="N733" i="23"/>
  <c r="O733" i="23"/>
  <c r="U733" i="23"/>
  <c r="AC733" i="23"/>
  <c r="AD733" i="23"/>
  <c r="AH733" i="23"/>
  <c r="B734" i="23"/>
  <c r="F734" i="23"/>
  <c r="K734" i="23"/>
  <c r="L734" i="23"/>
  <c r="M734" i="23"/>
  <c r="N734" i="23"/>
  <c r="O734" i="23"/>
  <c r="U734" i="23"/>
  <c r="AC734" i="23"/>
  <c r="AD734" i="23"/>
  <c r="AH734" i="23"/>
  <c r="B735" i="23"/>
  <c r="F735" i="23"/>
  <c r="K735" i="23"/>
  <c r="L735" i="23"/>
  <c r="M735" i="23"/>
  <c r="N735" i="23"/>
  <c r="O735" i="23"/>
  <c r="U735" i="23"/>
  <c r="AC735" i="23"/>
  <c r="AD735" i="23"/>
  <c r="AH735" i="23"/>
  <c r="B736" i="23"/>
  <c r="F736" i="23"/>
  <c r="K736" i="23"/>
  <c r="L736" i="23"/>
  <c r="M736" i="23"/>
  <c r="N736" i="23"/>
  <c r="O736" i="23"/>
  <c r="U736" i="23"/>
  <c r="AC736" i="23"/>
  <c r="AD736" i="23"/>
  <c r="AH736" i="23"/>
  <c r="B737" i="23"/>
  <c r="F737" i="23"/>
  <c r="K737" i="23"/>
  <c r="L737" i="23"/>
  <c r="M737" i="23"/>
  <c r="N737" i="23"/>
  <c r="O737" i="23"/>
  <c r="U737" i="23"/>
  <c r="AC737" i="23"/>
  <c r="AD737" i="23"/>
  <c r="AH737" i="23"/>
  <c r="B738" i="23"/>
  <c r="F738" i="23"/>
  <c r="K738" i="23"/>
  <c r="L738" i="23"/>
  <c r="M738" i="23"/>
  <c r="N738" i="23"/>
  <c r="O738" i="23"/>
  <c r="U738" i="23"/>
  <c r="AC738" i="23"/>
  <c r="AD738" i="23"/>
  <c r="AH738" i="23"/>
  <c r="B739" i="23"/>
  <c r="F739" i="23"/>
  <c r="K739" i="23"/>
  <c r="L739" i="23"/>
  <c r="M739" i="23"/>
  <c r="N739" i="23"/>
  <c r="O739" i="23"/>
  <c r="U739" i="23"/>
  <c r="AC739" i="23"/>
  <c r="AD739" i="23"/>
  <c r="AH739" i="23"/>
  <c r="B740" i="23"/>
  <c r="F740" i="23"/>
  <c r="K740" i="23"/>
  <c r="L740" i="23"/>
  <c r="M740" i="23"/>
  <c r="N740" i="23"/>
  <c r="O740" i="23"/>
  <c r="U740" i="23"/>
  <c r="AC740" i="23"/>
  <c r="AD740" i="23"/>
  <c r="AH740" i="23"/>
  <c r="B741" i="23"/>
  <c r="F741" i="23"/>
  <c r="K741" i="23"/>
  <c r="L741" i="23"/>
  <c r="M741" i="23"/>
  <c r="N741" i="23"/>
  <c r="O741" i="23"/>
  <c r="U741" i="23"/>
  <c r="AC741" i="23"/>
  <c r="AD741" i="23"/>
  <c r="AH741" i="23"/>
  <c r="B742" i="23"/>
  <c r="F742" i="23"/>
  <c r="K742" i="23"/>
  <c r="L742" i="23"/>
  <c r="M742" i="23"/>
  <c r="N742" i="23"/>
  <c r="O742" i="23"/>
  <c r="U742" i="23"/>
  <c r="AC742" i="23"/>
  <c r="AD742" i="23"/>
  <c r="AH742" i="23"/>
  <c r="B743" i="23"/>
  <c r="F743" i="23"/>
  <c r="K743" i="23"/>
  <c r="L743" i="23"/>
  <c r="M743" i="23"/>
  <c r="N743" i="23"/>
  <c r="O743" i="23"/>
  <c r="U743" i="23"/>
  <c r="AC743" i="23"/>
  <c r="AD743" i="23"/>
  <c r="AH743" i="23"/>
  <c r="B744" i="23"/>
  <c r="F744" i="23"/>
  <c r="K744" i="23"/>
  <c r="L744" i="23"/>
  <c r="M744" i="23"/>
  <c r="N744" i="23"/>
  <c r="O744" i="23"/>
  <c r="U744" i="23"/>
  <c r="AC744" i="23"/>
  <c r="AD744" i="23"/>
  <c r="AH744" i="23"/>
  <c r="B745" i="23"/>
  <c r="F745" i="23"/>
  <c r="K745" i="23"/>
  <c r="L745" i="23"/>
  <c r="M745" i="23"/>
  <c r="N745" i="23"/>
  <c r="O745" i="23"/>
  <c r="U745" i="23"/>
  <c r="AC745" i="23"/>
  <c r="AD745" i="23"/>
  <c r="AH745" i="23"/>
  <c r="B746" i="23"/>
  <c r="F746" i="23"/>
  <c r="K746" i="23"/>
  <c r="L746" i="23"/>
  <c r="M746" i="23"/>
  <c r="N746" i="23"/>
  <c r="O746" i="23"/>
  <c r="U746" i="23"/>
  <c r="AC746" i="23"/>
  <c r="AD746" i="23"/>
  <c r="AH746" i="23"/>
  <c r="B747" i="23"/>
  <c r="F747" i="23"/>
  <c r="K747" i="23"/>
  <c r="L747" i="23"/>
  <c r="M747" i="23"/>
  <c r="N747" i="23"/>
  <c r="O747" i="23"/>
  <c r="U747" i="23"/>
  <c r="AC747" i="23"/>
  <c r="AD747" i="23"/>
  <c r="AH747" i="23"/>
  <c r="B748" i="23"/>
  <c r="F748" i="23"/>
  <c r="K748" i="23"/>
  <c r="L748" i="23"/>
  <c r="M748" i="23"/>
  <c r="N748" i="23"/>
  <c r="O748" i="23"/>
  <c r="U748" i="23"/>
  <c r="AC748" i="23"/>
  <c r="AD748" i="23"/>
  <c r="AH748" i="23"/>
  <c r="B749" i="23"/>
  <c r="F749" i="23"/>
  <c r="K749" i="23"/>
  <c r="L749" i="23"/>
  <c r="M749" i="23"/>
  <c r="N749" i="23"/>
  <c r="O749" i="23"/>
  <c r="U749" i="23"/>
  <c r="AC749" i="23"/>
  <c r="AD749" i="23"/>
  <c r="AH749" i="23"/>
  <c r="B750" i="23"/>
  <c r="F750" i="23"/>
  <c r="K750" i="23"/>
  <c r="L750" i="23"/>
  <c r="M750" i="23"/>
  <c r="N750" i="23"/>
  <c r="O750" i="23"/>
  <c r="U750" i="23"/>
  <c r="AC750" i="23"/>
  <c r="AD750" i="23"/>
  <c r="AH750" i="23"/>
  <c r="B751" i="23"/>
  <c r="F751" i="23"/>
  <c r="K751" i="23"/>
  <c r="L751" i="23"/>
  <c r="M751" i="23"/>
  <c r="N751" i="23"/>
  <c r="O751" i="23"/>
  <c r="U751" i="23"/>
  <c r="AC751" i="23"/>
  <c r="AD751" i="23"/>
  <c r="AH751" i="23"/>
  <c r="B752" i="23"/>
  <c r="F752" i="23"/>
  <c r="K752" i="23"/>
  <c r="L752" i="23"/>
  <c r="M752" i="23"/>
  <c r="N752" i="23"/>
  <c r="O752" i="23"/>
  <c r="U752" i="23"/>
  <c r="AC752" i="23"/>
  <c r="AD752" i="23"/>
  <c r="AH752" i="23"/>
  <c r="B753" i="23"/>
  <c r="F753" i="23"/>
  <c r="K753" i="23"/>
  <c r="L753" i="23"/>
  <c r="M753" i="23"/>
  <c r="N753" i="23"/>
  <c r="O753" i="23"/>
  <c r="U753" i="23"/>
  <c r="AC753" i="23"/>
  <c r="AD753" i="23"/>
  <c r="AH753" i="23"/>
  <c r="B754" i="23"/>
  <c r="F754" i="23"/>
  <c r="K754" i="23"/>
  <c r="L754" i="23"/>
  <c r="M754" i="23"/>
  <c r="N754" i="23"/>
  <c r="O754" i="23"/>
  <c r="U754" i="23"/>
  <c r="AC754" i="23"/>
  <c r="AD754" i="23"/>
  <c r="AH754" i="23"/>
  <c r="B755" i="23"/>
  <c r="F755" i="23"/>
  <c r="K755" i="23"/>
  <c r="L755" i="23"/>
  <c r="M755" i="23"/>
  <c r="N755" i="23"/>
  <c r="O755" i="23"/>
  <c r="U755" i="23"/>
  <c r="AC755" i="23"/>
  <c r="AD755" i="23"/>
  <c r="AH755" i="23"/>
  <c r="B756" i="23"/>
  <c r="F756" i="23"/>
  <c r="K756" i="23"/>
  <c r="L756" i="23"/>
  <c r="M756" i="23"/>
  <c r="N756" i="23"/>
  <c r="O756" i="23"/>
  <c r="U756" i="23"/>
  <c r="AC756" i="23"/>
  <c r="AD756" i="23"/>
  <c r="AH756" i="23"/>
  <c r="B757" i="23"/>
  <c r="F757" i="23"/>
  <c r="K757" i="23"/>
  <c r="L757" i="23"/>
  <c r="M757" i="23"/>
  <c r="N757" i="23"/>
  <c r="O757" i="23"/>
  <c r="U757" i="23"/>
  <c r="AC757" i="23"/>
  <c r="AD757" i="23"/>
  <c r="AH757" i="23"/>
  <c r="B758" i="23"/>
  <c r="F758" i="23"/>
  <c r="K758" i="23"/>
  <c r="L758" i="23"/>
  <c r="M758" i="23"/>
  <c r="N758" i="23"/>
  <c r="O758" i="23"/>
  <c r="U758" i="23"/>
  <c r="AC758" i="23"/>
  <c r="AD758" i="23"/>
  <c r="AH758" i="23"/>
  <c r="B759" i="23"/>
  <c r="F759" i="23"/>
  <c r="K759" i="23"/>
  <c r="L759" i="23"/>
  <c r="M759" i="23"/>
  <c r="N759" i="23"/>
  <c r="O759" i="23"/>
  <c r="U759" i="23"/>
  <c r="AC759" i="23"/>
  <c r="AD759" i="23"/>
  <c r="AH759" i="23"/>
  <c r="B760" i="23"/>
  <c r="F760" i="23"/>
  <c r="K760" i="23"/>
  <c r="L760" i="23"/>
  <c r="M760" i="23"/>
  <c r="N760" i="23"/>
  <c r="O760" i="23"/>
  <c r="U760" i="23"/>
  <c r="AC760" i="23"/>
  <c r="AD760" i="23"/>
  <c r="AH760" i="23"/>
  <c r="B761" i="23"/>
  <c r="F761" i="23"/>
  <c r="K761" i="23"/>
  <c r="L761" i="23"/>
  <c r="M761" i="23"/>
  <c r="N761" i="23"/>
  <c r="O761" i="23"/>
  <c r="U761" i="23"/>
  <c r="AC761" i="23"/>
  <c r="AD761" i="23"/>
  <c r="AH761" i="23"/>
  <c r="B762" i="23"/>
  <c r="F762" i="23"/>
  <c r="K762" i="23"/>
  <c r="L762" i="23"/>
  <c r="M762" i="23"/>
  <c r="N762" i="23"/>
  <c r="O762" i="23"/>
  <c r="U762" i="23"/>
  <c r="AC762" i="23"/>
  <c r="AD762" i="23"/>
  <c r="AH762" i="23"/>
  <c r="B763" i="23"/>
  <c r="F763" i="23"/>
  <c r="K763" i="23"/>
  <c r="L763" i="23"/>
  <c r="M763" i="23"/>
  <c r="N763" i="23"/>
  <c r="O763" i="23"/>
  <c r="U763" i="23"/>
  <c r="AC763" i="23"/>
  <c r="AD763" i="23"/>
  <c r="AH763" i="23"/>
  <c r="B764" i="23"/>
  <c r="F764" i="23"/>
  <c r="K764" i="23"/>
  <c r="L764" i="23"/>
  <c r="M764" i="23"/>
  <c r="N764" i="23"/>
  <c r="O764" i="23"/>
  <c r="U764" i="23"/>
  <c r="AC764" i="23"/>
  <c r="AD764" i="23"/>
  <c r="AH764" i="23"/>
  <c r="B765" i="23"/>
  <c r="F765" i="23"/>
  <c r="K765" i="23"/>
  <c r="L765" i="23"/>
  <c r="M765" i="23"/>
  <c r="N765" i="23"/>
  <c r="O765" i="23"/>
  <c r="U765" i="23"/>
  <c r="AC765" i="23"/>
  <c r="AD765" i="23"/>
  <c r="AH765" i="23"/>
  <c r="B766" i="23"/>
  <c r="F766" i="23"/>
  <c r="K766" i="23"/>
  <c r="L766" i="23"/>
  <c r="M766" i="23"/>
  <c r="N766" i="23"/>
  <c r="O766" i="23"/>
  <c r="U766" i="23"/>
  <c r="AC766" i="23"/>
  <c r="AD766" i="23"/>
  <c r="AH766" i="23"/>
  <c r="B767" i="23"/>
  <c r="F767" i="23"/>
  <c r="K767" i="23"/>
  <c r="L767" i="23"/>
  <c r="M767" i="23"/>
  <c r="N767" i="23"/>
  <c r="O767" i="23"/>
  <c r="U767" i="23"/>
  <c r="AC767" i="23"/>
  <c r="AD767" i="23"/>
  <c r="AH767" i="23"/>
  <c r="B768" i="23"/>
  <c r="F768" i="23"/>
  <c r="K768" i="23"/>
  <c r="L768" i="23"/>
  <c r="M768" i="23"/>
  <c r="N768" i="23"/>
  <c r="O768" i="23"/>
  <c r="U768" i="23"/>
  <c r="AC768" i="23"/>
  <c r="AD768" i="23"/>
  <c r="AH768" i="23"/>
  <c r="B769" i="23"/>
  <c r="F769" i="23"/>
  <c r="K769" i="23"/>
  <c r="L769" i="23"/>
  <c r="M769" i="23"/>
  <c r="N769" i="23"/>
  <c r="O769" i="23"/>
  <c r="U769" i="23"/>
  <c r="AC769" i="23"/>
  <c r="AD769" i="23"/>
  <c r="AH769" i="23"/>
  <c r="B770" i="23"/>
  <c r="F770" i="23"/>
  <c r="K770" i="23"/>
  <c r="L770" i="23"/>
  <c r="M770" i="23"/>
  <c r="N770" i="23"/>
  <c r="O770" i="23"/>
  <c r="U770" i="23"/>
  <c r="AC770" i="23"/>
  <c r="AD770" i="23"/>
  <c r="AH770" i="23"/>
  <c r="B771" i="23"/>
  <c r="F771" i="23"/>
  <c r="K771" i="23"/>
  <c r="L771" i="23"/>
  <c r="M771" i="23"/>
  <c r="N771" i="23"/>
  <c r="O771" i="23"/>
  <c r="U771" i="23"/>
  <c r="AC771" i="23"/>
  <c r="AD771" i="23"/>
  <c r="AH771" i="23"/>
  <c r="B772" i="23"/>
  <c r="F772" i="23"/>
  <c r="K772" i="23"/>
  <c r="L772" i="23"/>
  <c r="M772" i="23"/>
  <c r="N772" i="23"/>
  <c r="O772" i="23"/>
  <c r="U772" i="23"/>
  <c r="AC772" i="23"/>
  <c r="AD772" i="23"/>
  <c r="AH772" i="23"/>
  <c r="B773" i="23"/>
  <c r="F773" i="23"/>
  <c r="K773" i="23"/>
  <c r="L773" i="23"/>
  <c r="M773" i="23"/>
  <c r="N773" i="23"/>
  <c r="O773" i="23"/>
  <c r="U773" i="23"/>
  <c r="AC773" i="23"/>
  <c r="AD773" i="23"/>
  <c r="AH773" i="23"/>
  <c r="B774" i="23"/>
  <c r="F774" i="23"/>
  <c r="K774" i="23"/>
  <c r="L774" i="23"/>
  <c r="M774" i="23"/>
  <c r="N774" i="23"/>
  <c r="O774" i="23"/>
  <c r="U774" i="23"/>
  <c r="AC774" i="23"/>
  <c r="AD774" i="23"/>
  <c r="AH774" i="23"/>
  <c r="B775" i="23"/>
  <c r="F775" i="23"/>
  <c r="K775" i="23"/>
  <c r="L775" i="23"/>
  <c r="M775" i="23"/>
  <c r="N775" i="23"/>
  <c r="O775" i="23"/>
  <c r="U775" i="23"/>
  <c r="AC775" i="23"/>
  <c r="AD775" i="23"/>
  <c r="AH775" i="23"/>
  <c r="B776" i="23"/>
  <c r="F776" i="23"/>
  <c r="K776" i="23"/>
  <c r="L776" i="23"/>
  <c r="M776" i="23"/>
  <c r="N776" i="23"/>
  <c r="O776" i="23"/>
  <c r="U776" i="23"/>
  <c r="AC776" i="23"/>
  <c r="AD776" i="23"/>
  <c r="AH776" i="23"/>
  <c r="B777" i="23"/>
  <c r="F777" i="23"/>
  <c r="K777" i="23"/>
  <c r="L777" i="23"/>
  <c r="M777" i="23"/>
  <c r="N777" i="23"/>
  <c r="O777" i="23"/>
  <c r="U777" i="23"/>
  <c r="AC777" i="23"/>
  <c r="AD777" i="23"/>
  <c r="AH777" i="23"/>
  <c r="B778" i="23"/>
  <c r="F778" i="23"/>
  <c r="K778" i="23"/>
  <c r="L778" i="23"/>
  <c r="M778" i="23"/>
  <c r="N778" i="23"/>
  <c r="O778" i="23"/>
  <c r="U778" i="23"/>
  <c r="AC778" i="23"/>
  <c r="AD778" i="23"/>
  <c r="AH778" i="23"/>
  <c r="B779" i="23"/>
  <c r="F779" i="23"/>
  <c r="K779" i="23"/>
  <c r="L779" i="23"/>
  <c r="M779" i="23"/>
  <c r="N779" i="23"/>
  <c r="O779" i="23"/>
  <c r="U779" i="23"/>
  <c r="AC779" i="23"/>
  <c r="AD779" i="23"/>
  <c r="AH779" i="23"/>
  <c r="B780" i="23"/>
  <c r="F780" i="23"/>
  <c r="K780" i="23"/>
  <c r="L780" i="23"/>
  <c r="M780" i="23"/>
  <c r="N780" i="23"/>
  <c r="O780" i="23"/>
  <c r="U780" i="23"/>
  <c r="AC780" i="23"/>
  <c r="AD780" i="23"/>
  <c r="AH780" i="23"/>
  <c r="B781" i="23"/>
  <c r="F781" i="23"/>
  <c r="K781" i="23"/>
  <c r="L781" i="23"/>
  <c r="M781" i="23"/>
  <c r="N781" i="23"/>
  <c r="O781" i="23"/>
  <c r="U781" i="23"/>
  <c r="AC781" i="23"/>
  <c r="AD781" i="23"/>
  <c r="AH781" i="23"/>
  <c r="B782" i="23"/>
  <c r="F782" i="23"/>
  <c r="K782" i="23"/>
  <c r="L782" i="23"/>
  <c r="M782" i="23"/>
  <c r="N782" i="23"/>
  <c r="O782" i="23"/>
  <c r="U782" i="23"/>
  <c r="AC782" i="23"/>
  <c r="AD782" i="23"/>
  <c r="AH782" i="23"/>
  <c r="B783" i="23"/>
  <c r="F783" i="23"/>
  <c r="K783" i="23"/>
  <c r="L783" i="23"/>
  <c r="M783" i="23"/>
  <c r="N783" i="23"/>
  <c r="O783" i="23"/>
  <c r="U783" i="23"/>
  <c r="AC783" i="23"/>
  <c r="AD783" i="23"/>
  <c r="AH783" i="23"/>
  <c r="B784" i="23"/>
  <c r="F784" i="23"/>
  <c r="K784" i="23"/>
  <c r="L784" i="23"/>
  <c r="M784" i="23"/>
  <c r="N784" i="23"/>
  <c r="O784" i="23"/>
  <c r="U784" i="23"/>
  <c r="AC784" i="23"/>
  <c r="AD784" i="23"/>
  <c r="AH784" i="23"/>
  <c r="B785" i="23"/>
  <c r="F785" i="23"/>
  <c r="K785" i="23"/>
  <c r="L785" i="23"/>
  <c r="M785" i="23"/>
  <c r="N785" i="23"/>
  <c r="O785" i="23"/>
  <c r="U785" i="23"/>
  <c r="AC785" i="23"/>
  <c r="AD785" i="23"/>
  <c r="AH785" i="23"/>
  <c r="B786" i="23"/>
  <c r="F786" i="23"/>
  <c r="K786" i="23"/>
  <c r="L786" i="23"/>
  <c r="M786" i="23"/>
  <c r="N786" i="23"/>
  <c r="O786" i="23"/>
  <c r="U786" i="23"/>
  <c r="AC786" i="23"/>
  <c r="AD786" i="23"/>
  <c r="AH786" i="23"/>
  <c r="B787" i="23"/>
  <c r="F787" i="23"/>
  <c r="K787" i="23"/>
  <c r="L787" i="23"/>
  <c r="M787" i="23"/>
  <c r="N787" i="23"/>
  <c r="O787" i="23"/>
  <c r="U787" i="23"/>
  <c r="AC787" i="23"/>
  <c r="AD787" i="23"/>
  <c r="AH787" i="23"/>
  <c r="B788" i="23"/>
  <c r="F788" i="23"/>
  <c r="K788" i="23"/>
  <c r="L788" i="23"/>
  <c r="M788" i="23"/>
  <c r="N788" i="23"/>
  <c r="O788" i="23"/>
  <c r="U788" i="23"/>
  <c r="AC788" i="23"/>
  <c r="AD788" i="23"/>
  <c r="AH788" i="23"/>
  <c r="B789" i="23"/>
  <c r="F789" i="23"/>
  <c r="K789" i="23"/>
  <c r="L789" i="23"/>
  <c r="M789" i="23"/>
  <c r="N789" i="23"/>
  <c r="O789" i="23"/>
  <c r="U789" i="23"/>
  <c r="AC789" i="23"/>
  <c r="AD789" i="23"/>
  <c r="AH789" i="23"/>
  <c r="B790" i="23"/>
  <c r="F790" i="23"/>
  <c r="K790" i="23"/>
  <c r="L790" i="23"/>
  <c r="M790" i="23"/>
  <c r="N790" i="23"/>
  <c r="O790" i="23"/>
  <c r="U790" i="23"/>
  <c r="AC790" i="23"/>
  <c r="AD790" i="23"/>
  <c r="AH790" i="23"/>
  <c r="B791" i="23"/>
  <c r="F791" i="23"/>
  <c r="K791" i="23"/>
  <c r="L791" i="23"/>
  <c r="M791" i="23"/>
  <c r="N791" i="23"/>
  <c r="O791" i="23"/>
  <c r="U791" i="23"/>
  <c r="AC791" i="23"/>
  <c r="AD791" i="23"/>
  <c r="AH791" i="23"/>
  <c r="B792" i="23"/>
  <c r="F792" i="23"/>
  <c r="K792" i="23"/>
  <c r="L792" i="23"/>
  <c r="M792" i="23"/>
  <c r="N792" i="23"/>
  <c r="O792" i="23"/>
  <c r="U792" i="23"/>
  <c r="AC792" i="23"/>
  <c r="AD792" i="23"/>
  <c r="AH792" i="23"/>
  <c r="B793" i="23"/>
  <c r="F793" i="23"/>
  <c r="K793" i="23"/>
  <c r="L793" i="23"/>
  <c r="M793" i="23"/>
  <c r="N793" i="23"/>
  <c r="O793" i="23"/>
  <c r="U793" i="23"/>
  <c r="AC793" i="23"/>
  <c r="AD793" i="23"/>
  <c r="AH793" i="23"/>
  <c r="B794" i="23"/>
  <c r="F794" i="23"/>
  <c r="K794" i="23"/>
  <c r="L794" i="23"/>
  <c r="M794" i="23"/>
  <c r="N794" i="23"/>
  <c r="O794" i="23"/>
  <c r="U794" i="23"/>
  <c r="AC794" i="23"/>
  <c r="AD794" i="23"/>
  <c r="AH794" i="23"/>
  <c r="B795" i="23"/>
  <c r="F795" i="23"/>
  <c r="K795" i="23"/>
  <c r="L795" i="23"/>
  <c r="M795" i="23"/>
  <c r="N795" i="23"/>
  <c r="O795" i="23"/>
  <c r="U795" i="23"/>
  <c r="AC795" i="23"/>
  <c r="AD795" i="23"/>
  <c r="AH795" i="23"/>
  <c r="B796" i="23"/>
  <c r="F796" i="23"/>
  <c r="K796" i="23"/>
  <c r="L796" i="23"/>
  <c r="M796" i="23"/>
  <c r="N796" i="23"/>
  <c r="O796" i="23"/>
  <c r="U796" i="23"/>
  <c r="AC796" i="23"/>
  <c r="AD796" i="23"/>
  <c r="AH796" i="23"/>
  <c r="B797" i="23"/>
  <c r="F797" i="23"/>
  <c r="K797" i="23"/>
  <c r="L797" i="23"/>
  <c r="M797" i="23"/>
  <c r="N797" i="23"/>
  <c r="O797" i="23"/>
  <c r="U797" i="23"/>
  <c r="AC797" i="23"/>
  <c r="AD797" i="23"/>
  <c r="AH797" i="23"/>
  <c r="B798" i="23"/>
  <c r="F798" i="23"/>
  <c r="K798" i="23"/>
  <c r="L798" i="23"/>
  <c r="M798" i="23"/>
  <c r="N798" i="23"/>
  <c r="O798" i="23"/>
  <c r="U798" i="23"/>
  <c r="AC798" i="23"/>
  <c r="AD798" i="23"/>
  <c r="AH798" i="23"/>
  <c r="B799" i="23"/>
  <c r="F799" i="23"/>
  <c r="K799" i="23"/>
  <c r="L799" i="23"/>
  <c r="M799" i="23"/>
  <c r="N799" i="23"/>
  <c r="O799" i="23"/>
  <c r="U799" i="23"/>
  <c r="AC799" i="23"/>
  <c r="AD799" i="23"/>
  <c r="AH799" i="23"/>
  <c r="B800" i="23"/>
  <c r="F800" i="23"/>
  <c r="K800" i="23"/>
  <c r="L800" i="23"/>
  <c r="M800" i="23"/>
  <c r="N800" i="23"/>
  <c r="O800" i="23"/>
  <c r="U800" i="23"/>
  <c r="AC800" i="23"/>
  <c r="AD800" i="23"/>
  <c r="AH800" i="23"/>
  <c r="B801" i="23"/>
  <c r="F801" i="23"/>
  <c r="K801" i="23"/>
  <c r="L801" i="23"/>
  <c r="M801" i="23"/>
  <c r="N801" i="23"/>
  <c r="O801" i="23"/>
  <c r="U801" i="23"/>
  <c r="AC801" i="23"/>
  <c r="AD801" i="23"/>
  <c r="AH801" i="23"/>
  <c r="B802" i="23"/>
  <c r="F802" i="23"/>
  <c r="K802" i="23"/>
  <c r="L802" i="23"/>
  <c r="M802" i="23"/>
  <c r="N802" i="23"/>
  <c r="O802" i="23"/>
  <c r="U802" i="23"/>
  <c r="AC802" i="23"/>
  <c r="AD802" i="23"/>
  <c r="AH802" i="23"/>
  <c r="B803" i="23"/>
  <c r="F803" i="23"/>
  <c r="K803" i="23"/>
  <c r="L803" i="23"/>
  <c r="M803" i="23"/>
  <c r="N803" i="23"/>
  <c r="O803" i="23"/>
  <c r="U803" i="23"/>
  <c r="AC803" i="23"/>
  <c r="AD803" i="23"/>
  <c r="AH803" i="23"/>
  <c r="B804" i="23"/>
  <c r="F804" i="23"/>
  <c r="K804" i="23"/>
  <c r="L804" i="23"/>
  <c r="M804" i="23"/>
  <c r="N804" i="23"/>
  <c r="O804" i="23"/>
  <c r="U804" i="23"/>
  <c r="AC804" i="23"/>
  <c r="AD804" i="23"/>
  <c r="AH804" i="23"/>
  <c r="B805" i="23"/>
  <c r="F805" i="23"/>
  <c r="K805" i="23"/>
  <c r="L805" i="23"/>
  <c r="M805" i="23"/>
  <c r="N805" i="23"/>
  <c r="O805" i="23"/>
  <c r="U805" i="23"/>
  <c r="AC805" i="23"/>
  <c r="AD805" i="23"/>
  <c r="AH805" i="23"/>
  <c r="B806" i="23"/>
  <c r="F806" i="23"/>
  <c r="K806" i="23"/>
  <c r="L806" i="23"/>
  <c r="M806" i="23"/>
  <c r="N806" i="23"/>
  <c r="O806" i="23"/>
  <c r="U806" i="23"/>
  <c r="AC806" i="23"/>
  <c r="AD806" i="23"/>
  <c r="AH806" i="23"/>
  <c r="B807" i="23"/>
  <c r="F807" i="23"/>
  <c r="K807" i="23"/>
  <c r="L807" i="23"/>
  <c r="M807" i="23"/>
  <c r="N807" i="23"/>
  <c r="O807" i="23"/>
  <c r="U807" i="23"/>
  <c r="AC807" i="23"/>
  <c r="AD807" i="23"/>
  <c r="AH807" i="23"/>
  <c r="B808" i="23"/>
  <c r="F808" i="23"/>
  <c r="K808" i="23"/>
  <c r="L808" i="23"/>
  <c r="M808" i="23"/>
  <c r="N808" i="23"/>
  <c r="O808" i="23"/>
  <c r="U808" i="23"/>
  <c r="AC808" i="23"/>
  <c r="AD808" i="23"/>
  <c r="AH808" i="23"/>
  <c r="B809" i="23"/>
  <c r="F809" i="23"/>
  <c r="K809" i="23"/>
  <c r="L809" i="23"/>
  <c r="M809" i="23"/>
  <c r="N809" i="23"/>
  <c r="O809" i="23"/>
  <c r="U809" i="23"/>
  <c r="AC809" i="23"/>
  <c r="AD809" i="23"/>
  <c r="AH809" i="23"/>
  <c r="B810" i="23"/>
  <c r="F810" i="23"/>
  <c r="K810" i="23"/>
  <c r="L810" i="23"/>
  <c r="M810" i="23"/>
  <c r="N810" i="23"/>
  <c r="O810" i="23"/>
  <c r="U810" i="23"/>
  <c r="AC810" i="23"/>
  <c r="AD810" i="23"/>
  <c r="AH810" i="23"/>
  <c r="B811" i="23"/>
  <c r="F811" i="23"/>
  <c r="K811" i="23"/>
  <c r="L811" i="23"/>
  <c r="M811" i="23"/>
  <c r="N811" i="23"/>
  <c r="O811" i="23"/>
  <c r="U811" i="23"/>
  <c r="AC811" i="23"/>
  <c r="AD811" i="23"/>
  <c r="AH811" i="23"/>
  <c r="B812" i="23"/>
  <c r="F812" i="23"/>
  <c r="K812" i="23"/>
  <c r="L812" i="23"/>
  <c r="M812" i="23"/>
  <c r="N812" i="23"/>
  <c r="O812" i="23"/>
  <c r="U812" i="23"/>
  <c r="AC812" i="23"/>
  <c r="AD812" i="23"/>
  <c r="AH812" i="23"/>
  <c r="B813" i="23"/>
  <c r="F813" i="23"/>
  <c r="K813" i="23"/>
  <c r="L813" i="23"/>
  <c r="M813" i="23"/>
  <c r="N813" i="23"/>
  <c r="O813" i="23"/>
  <c r="U813" i="23"/>
  <c r="AC813" i="23"/>
  <c r="AD813" i="23"/>
  <c r="AH813" i="23"/>
  <c r="B814" i="23"/>
  <c r="F814" i="23"/>
  <c r="K814" i="23"/>
  <c r="L814" i="23"/>
  <c r="M814" i="23"/>
  <c r="N814" i="23"/>
  <c r="O814" i="23"/>
  <c r="U814" i="23"/>
  <c r="AC814" i="23"/>
  <c r="AD814" i="23"/>
  <c r="AH814" i="23"/>
  <c r="B815" i="23"/>
  <c r="F815" i="23"/>
  <c r="K815" i="23"/>
  <c r="L815" i="23"/>
  <c r="M815" i="23"/>
  <c r="N815" i="23"/>
  <c r="O815" i="23"/>
  <c r="U815" i="23"/>
  <c r="AC815" i="23"/>
  <c r="AD815" i="23"/>
  <c r="AH815" i="23"/>
  <c r="B816" i="23"/>
  <c r="F816" i="23"/>
  <c r="K816" i="23"/>
  <c r="L816" i="23"/>
  <c r="M816" i="23"/>
  <c r="N816" i="23"/>
  <c r="O816" i="23"/>
  <c r="U816" i="23"/>
  <c r="AC816" i="23"/>
  <c r="AD816" i="23"/>
  <c r="AH816" i="23"/>
  <c r="B817" i="23"/>
  <c r="F817" i="23"/>
  <c r="K817" i="23"/>
  <c r="L817" i="23"/>
  <c r="M817" i="23"/>
  <c r="N817" i="23"/>
  <c r="O817" i="23"/>
  <c r="U817" i="23"/>
  <c r="AC817" i="23"/>
  <c r="AD817" i="23"/>
  <c r="AH817" i="23"/>
  <c r="B818" i="23"/>
  <c r="F818" i="23"/>
  <c r="K818" i="23"/>
  <c r="L818" i="23"/>
  <c r="M818" i="23"/>
  <c r="N818" i="23"/>
  <c r="O818" i="23"/>
  <c r="U818" i="23"/>
  <c r="AC818" i="23"/>
  <c r="AD818" i="23"/>
  <c r="AH818" i="23"/>
  <c r="B819" i="23"/>
  <c r="F819" i="23"/>
  <c r="K819" i="23"/>
  <c r="L819" i="23"/>
  <c r="M819" i="23"/>
  <c r="N819" i="23"/>
  <c r="O819" i="23"/>
  <c r="U819" i="23"/>
  <c r="AC819" i="23"/>
  <c r="AD819" i="23"/>
  <c r="AH819" i="23"/>
  <c r="B820" i="23"/>
  <c r="F820" i="23"/>
  <c r="K820" i="23"/>
  <c r="L820" i="23"/>
  <c r="M820" i="23"/>
  <c r="N820" i="23"/>
  <c r="O820" i="23"/>
  <c r="U820" i="23"/>
  <c r="AC820" i="23"/>
  <c r="AD820" i="23"/>
  <c r="AH820" i="23"/>
  <c r="B821" i="23"/>
  <c r="F821" i="23"/>
  <c r="K821" i="23"/>
  <c r="L821" i="23"/>
  <c r="M821" i="23"/>
  <c r="N821" i="23"/>
  <c r="O821" i="23"/>
  <c r="U821" i="23"/>
  <c r="AC821" i="23"/>
  <c r="AD821" i="23"/>
  <c r="AH821" i="23"/>
  <c r="B822" i="23"/>
  <c r="F822" i="23"/>
  <c r="K822" i="23"/>
  <c r="L822" i="23"/>
  <c r="M822" i="23"/>
  <c r="N822" i="23"/>
  <c r="O822" i="23"/>
  <c r="U822" i="23"/>
  <c r="AC822" i="23"/>
  <c r="AD822" i="23"/>
  <c r="AH822" i="23"/>
  <c r="B823" i="23"/>
  <c r="F823" i="23"/>
  <c r="K823" i="23"/>
  <c r="L823" i="23"/>
  <c r="M823" i="23"/>
  <c r="N823" i="23"/>
  <c r="O823" i="23"/>
  <c r="U823" i="23"/>
  <c r="AC823" i="23"/>
  <c r="AD823" i="23"/>
  <c r="AH823" i="23"/>
  <c r="B824" i="23"/>
  <c r="F824" i="23"/>
  <c r="K824" i="23"/>
  <c r="L824" i="23"/>
  <c r="M824" i="23"/>
  <c r="N824" i="23"/>
  <c r="O824" i="23"/>
  <c r="U824" i="23"/>
  <c r="AC824" i="23"/>
  <c r="AD824" i="23"/>
  <c r="AH824" i="23"/>
  <c r="B825" i="23"/>
  <c r="F825" i="23"/>
  <c r="K825" i="23"/>
  <c r="L825" i="23"/>
  <c r="M825" i="23"/>
  <c r="N825" i="23"/>
  <c r="O825" i="23"/>
  <c r="U825" i="23"/>
  <c r="AC825" i="23"/>
  <c r="AD825" i="23"/>
  <c r="AH825" i="23"/>
  <c r="B826" i="23"/>
  <c r="F826" i="23"/>
  <c r="K826" i="23"/>
  <c r="L826" i="23"/>
  <c r="M826" i="23"/>
  <c r="N826" i="23"/>
  <c r="O826" i="23"/>
  <c r="U826" i="23"/>
  <c r="AC826" i="23"/>
  <c r="AD826" i="23"/>
  <c r="AH826" i="23"/>
  <c r="B827" i="23"/>
  <c r="F827" i="23"/>
  <c r="K827" i="23"/>
  <c r="L827" i="23"/>
  <c r="M827" i="23"/>
  <c r="N827" i="23"/>
  <c r="O827" i="23"/>
  <c r="U827" i="23"/>
  <c r="AC827" i="23"/>
  <c r="AD827" i="23"/>
  <c r="AH827" i="23"/>
  <c r="B828" i="23"/>
  <c r="F828" i="23"/>
  <c r="K828" i="23"/>
  <c r="L828" i="23"/>
  <c r="M828" i="23"/>
  <c r="N828" i="23"/>
  <c r="O828" i="23"/>
  <c r="U828" i="23"/>
  <c r="AC828" i="23"/>
  <c r="AD828" i="23"/>
  <c r="AH828" i="23"/>
  <c r="B829" i="23"/>
  <c r="F829" i="23"/>
  <c r="K829" i="23"/>
  <c r="L829" i="23"/>
  <c r="M829" i="23"/>
  <c r="N829" i="23"/>
  <c r="O829" i="23"/>
  <c r="U829" i="23"/>
  <c r="AC829" i="23"/>
  <c r="AD829" i="23"/>
  <c r="AH829" i="23"/>
  <c r="B830" i="23"/>
  <c r="F830" i="23"/>
  <c r="K830" i="23"/>
  <c r="L830" i="23"/>
  <c r="M830" i="23"/>
  <c r="N830" i="23"/>
  <c r="O830" i="23"/>
  <c r="U830" i="23"/>
  <c r="AC830" i="23"/>
  <c r="AD830" i="23"/>
  <c r="AH830" i="23"/>
  <c r="B831" i="23"/>
  <c r="F831" i="23"/>
  <c r="K831" i="23"/>
  <c r="L831" i="23"/>
  <c r="M831" i="23"/>
  <c r="N831" i="23"/>
  <c r="O831" i="23"/>
  <c r="U831" i="23"/>
  <c r="AC831" i="23"/>
  <c r="AD831" i="23"/>
  <c r="AH831" i="23"/>
  <c r="B832" i="23"/>
  <c r="F832" i="23"/>
  <c r="K832" i="23"/>
  <c r="L832" i="23"/>
  <c r="M832" i="23"/>
  <c r="N832" i="23"/>
  <c r="O832" i="23"/>
  <c r="U832" i="23"/>
  <c r="AC832" i="23"/>
  <c r="AD832" i="23"/>
  <c r="AH832" i="23"/>
  <c r="B833" i="23"/>
  <c r="F833" i="23"/>
  <c r="K833" i="23"/>
  <c r="L833" i="23"/>
  <c r="M833" i="23"/>
  <c r="N833" i="23"/>
  <c r="O833" i="23"/>
  <c r="U833" i="23"/>
  <c r="AC833" i="23"/>
  <c r="AD833" i="23"/>
  <c r="AH833" i="23"/>
  <c r="B834" i="23"/>
  <c r="F834" i="23"/>
  <c r="K834" i="23"/>
  <c r="L834" i="23"/>
  <c r="M834" i="23"/>
  <c r="N834" i="23"/>
  <c r="O834" i="23"/>
  <c r="U834" i="23"/>
  <c r="AC834" i="23"/>
  <c r="AD834" i="23"/>
  <c r="AH834" i="23"/>
  <c r="B835" i="23"/>
  <c r="F835" i="23"/>
  <c r="K835" i="23"/>
  <c r="L835" i="23"/>
  <c r="M835" i="23"/>
  <c r="N835" i="23"/>
  <c r="O835" i="23"/>
  <c r="U835" i="23"/>
  <c r="AC835" i="23"/>
  <c r="AD835" i="23"/>
  <c r="AH835" i="23"/>
  <c r="B836" i="23"/>
  <c r="F836" i="23"/>
  <c r="K836" i="23"/>
  <c r="L836" i="23"/>
  <c r="M836" i="23"/>
  <c r="N836" i="23"/>
  <c r="O836" i="23"/>
  <c r="U836" i="23"/>
  <c r="AC836" i="23"/>
  <c r="AD836" i="23"/>
  <c r="AH836" i="23"/>
  <c r="B837" i="23"/>
  <c r="F837" i="23"/>
  <c r="K837" i="23"/>
  <c r="L837" i="23"/>
  <c r="M837" i="23"/>
  <c r="N837" i="23"/>
  <c r="O837" i="23"/>
  <c r="U837" i="23"/>
  <c r="AC837" i="23"/>
  <c r="AD837" i="23"/>
  <c r="AH837" i="23"/>
  <c r="B838" i="23"/>
  <c r="F838" i="23"/>
  <c r="K838" i="23"/>
  <c r="L838" i="23"/>
  <c r="M838" i="23"/>
  <c r="N838" i="23"/>
  <c r="O838" i="23"/>
  <c r="U838" i="23"/>
  <c r="AC838" i="23"/>
  <c r="AD838" i="23"/>
  <c r="AH838" i="23"/>
  <c r="B839" i="23"/>
  <c r="F839" i="23"/>
  <c r="K839" i="23"/>
  <c r="L839" i="23"/>
  <c r="M839" i="23"/>
  <c r="N839" i="23"/>
  <c r="O839" i="23"/>
  <c r="U839" i="23"/>
  <c r="AC839" i="23"/>
  <c r="AD839" i="23"/>
  <c r="AH839" i="23"/>
  <c r="B840" i="23"/>
  <c r="F840" i="23"/>
  <c r="K840" i="23"/>
  <c r="L840" i="23"/>
  <c r="M840" i="23"/>
  <c r="N840" i="23"/>
  <c r="O840" i="23"/>
  <c r="U840" i="23"/>
  <c r="AC840" i="23"/>
  <c r="AD840" i="23"/>
  <c r="AH840" i="23"/>
  <c r="B841" i="23"/>
  <c r="F841" i="23"/>
  <c r="K841" i="23"/>
  <c r="L841" i="23"/>
  <c r="M841" i="23"/>
  <c r="N841" i="23"/>
  <c r="O841" i="23"/>
  <c r="U841" i="23"/>
  <c r="AC841" i="23"/>
  <c r="AD841" i="23"/>
  <c r="AH841" i="23"/>
  <c r="B842" i="23"/>
  <c r="F842" i="23"/>
  <c r="K842" i="23"/>
  <c r="L842" i="23"/>
  <c r="M842" i="23"/>
  <c r="N842" i="23"/>
  <c r="O842" i="23"/>
  <c r="U842" i="23"/>
  <c r="AC842" i="23"/>
  <c r="AD842" i="23"/>
  <c r="AH842" i="23"/>
  <c r="B843" i="23"/>
  <c r="F843" i="23"/>
  <c r="K843" i="23"/>
  <c r="L843" i="23"/>
  <c r="M843" i="23"/>
  <c r="N843" i="23"/>
  <c r="O843" i="23"/>
  <c r="U843" i="23"/>
  <c r="AC843" i="23"/>
  <c r="AD843" i="23"/>
  <c r="AH843" i="23"/>
  <c r="B844" i="23"/>
  <c r="F844" i="23"/>
  <c r="K844" i="23"/>
  <c r="L844" i="23"/>
  <c r="M844" i="23"/>
  <c r="N844" i="23"/>
  <c r="O844" i="23"/>
  <c r="U844" i="23"/>
  <c r="AC844" i="23"/>
  <c r="AD844" i="23"/>
  <c r="AH844" i="23"/>
  <c r="B845" i="23"/>
  <c r="F845" i="23"/>
  <c r="K845" i="23"/>
  <c r="L845" i="23"/>
  <c r="M845" i="23"/>
  <c r="N845" i="23"/>
  <c r="O845" i="23"/>
  <c r="U845" i="23"/>
  <c r="AC845" i="23"/>
  <c r="AD845" i="23"/>
  <c r="AH845" i="23"/>
  <c r="B846" i="23"/>
  <c r="F846" i="23"/>
  <c r="K846" i="23"/>
  <c r="L846" i="23"/>
  <c r="M846" i="23"/>
  <c r="N846" i="23"/>
  <c r="O846" i="23"/>
  <c r="U846" i="23"/>
  <c r="AC846" i="23"/>
  <c r="AD846" i="23"/>
  <c r="AH846" i="23"/>
  <c r="B847" i="23"/>
  <c r="F847" i="23"/>
  <c r="K847" i="23"/>
  <c r="L847" i="23"/>
  <c r="M847" i="23"/>
  <c r="N847" i="23"/>
  <c r="O847" i="23"/>
  <c r="U847" i="23"/>
  <c r="AC847" i="23"/>
  <c r="AD847" i="23"/>
  <c r="AH847" i="23"/>
  <c r="B848" i="23"/>
  <c r="F848" i="23"/>
  <c r="K848" i="23"/>
  <c r="L848" i="23"/>
  <c r="M848" i="23"/>
  <c r="N848" i="23"/>
  <c r="O848" i="23"/>
  <c r="U848" i="23"/>
  <c r="AC848" i="23"/>
  <c r="AD848" i="23"/>
  <c r="AH848" i="23"/>
  <c r="B849" i="23"/>
  <c r="F849" i="23"/>
  <c r="K849" i="23"/>
  <c r="L849" i="23"/>
  <c r="M849" i="23"/>
  <c r="N849" i="23"/>
  <c r="O849" i="23"/>
  <c r="U849" i="23"/>
  <c r="AC849" i="23"/>
  <c r="AD849" i="23"/>
  <c r="AH849" i="23"/>
  <c r="B850" i="23"/>
  <c r="F850" i="23"/>
  <c r="K850" i="23"/>
  <c r="L850" i="23"/>
  <c r="M850" i="23"/>
  <c r="N850" i="23"/>
  <c r="O850" i="23"/>
  <c r="U850" i="23"/>
  <c r="AC850" i="23"/>
  <c r="AD850" i="23"/>
  <c r="AH850" i="23"/>
  <c r="B851" i="23"/>
  <c r="F851" i="23"/>
  <c r="K851" i="23"/>
  <c r="L851" i="23"/>
  <c r="M851" i="23"/>
  <c r="N851" i="23"/>
  <c r="O851" i="23"/>
  <c r="U851" i="23"/>
  <c r="AC851" i="23"/>
  <c r="AD851" i="23"/>
  <c r="AH851" i="23"/>
  <c r="B852" i="23"/>
  <c r="F852" i="23"/>
  <c r="K852" i="23"/>
  <c r="L852" i="23"/>
  <c r="M852" i="23"/>
  <c r="N852" i="23"/>
  <c r="O852" i="23"/>
  <c r="U852" i="23"/>
  <c r="AC852" i="23"/>
  <c r="AD852" i="23"/>
  <c r="AH852" i="23"/>
  <c r="B853" i="23"/>
  <c r="F853" i="23"/>
  <c r="K853" i="23"/>
  <c r="L853" i="23"/>
  <c r="M853" i="23"/>
  <c r="N853" i="23"/>
  <c r="O853" i="23"/>
  <c r="U853" i="23"/>
  <c r="AC853" i="23"/>
  <c r="AD853" i="23"/>
  <c r="AH853" i="23"/>
  <c r="B854" i="23"/>
  <c r="F854" i="23"/>
  <c r="K854" i="23"/>
  <c r="L854" i="23"/>
  <c r="M854" i="23"/>
  <c r="N854" i="23"/>
  <c r="O854" i="23"/>
  <c r="U854" i="23"/>
  <c r="AC854" i="23"/>
  <c r="AD854" i="23"/>
  <c r="AH854" i="23"/>
  <c r="B855" i="23"/>
  <c r="F855" i="23"/>
  <c r="K855" i="23"/>
  <c r="L855" i="23"/>
  <c r="M855" i="23"/>
  <c r="N855" i="23"/>
  <c r="O855" i="23"/>
  <c r="U855" i="23"/>
  <c r="AC855" i="23"/>
  <c r="AD855" i="23"/>
  <c r="AH855" i="23"/>
  <c r="B856" i="23"/>
  <c r="F856" i="23"/>
  <c r="K856" i="23"/>
  <c r="L856" i="23"/>
  <c r="M856" i="23"/>
  <c r="N856" i="23"/>
  <c r="O856" i="23"/>
  <c r="U856" i="23"/>
  <c r="AC856" i="23"/>
  <c r="AD856" i="23"/>
  <c r="AH856" i="23"/>
  <c r="B857" i="23"/>
  <c r="F857" i="23"/>
  <c r="K857" i="23"/>
  <c r="L857" i="23"/>
  <c r="M857" i="23"/>
  <c r="N857" i="23"/>
  <c r="O857" i="23"/>
  <c r="U857" i="23"/>
  <c r="AC857" i="23"/>
  <c r="AD857" i="23"/>
  <c r="AH857" i="23"/>
  <c r="B858" i="23"/>
  <c r="F858" i="23"/>
  <c r="K858" i="23"/>
  <c r="L858" i="23"/>
  <c r="M858" i="23"/>
  <c r="N858" i="23"/>
  <c r="O858" i="23"/>
  <c r="U858" i="23"/>
  <c r="AC858" i="23"/>
  <c r="AD858" i="23"/>
  <c r="AH858" i="23"/>
  <c r="B859" i="23"/>
  <c r="F859" i="23"/>
  <c r="K859" i="23"/>
  <c r="L859" i="23"/>
  <c r="M859" i="23"/>
  <c r="N859" i="23"/>
  <c r="O859" i="23"/>
  <c r="U859" i="23"/>
  <c r="AC859" i="23"/>
  <c r="AD859" i="23"/>
  <c r="AH859" i="23"/>
  <c r="B860" i="23"/>
  <c r="F860" i="23"/>
  <c r="K860" i="23"/>
  <c r="L860" i="23"/>
  <c r="M860" i="23"/>
  <c r="N860" i="23"/>
  <c r="O860" i="23"/>
  <c r="U860" i="23"/>
  <c r="AC860" i="23"/>
  <c r="AD860" i="23"/>
  <c r="AH860" i="23"/>
  <c r="B861" i="23"/>
  <c r="F861" i="23"/>
  <c r="K861" i="23"/>
  <c r="L861" i="23"/>
  <c r="M861" i="23"/>
  <c r="N861" i="23"/>
  <c r="O861" i="23"/>
  <c r="U861" i="23"/>
  <c r="AC861" i="23"/>
  <c r="AD861" i="23"/>
  <c r="AH861" i="23"/>
  <c r="B862" i="23"/>
  <c r="F862" i="23"/>
  <c r="K862" i="23"/>
  <c r="L862" i="23"/>
  <c r="M862" i="23"/>
  <c r="N862" i="23"/>
  <c r="O862" i="23"/>
  <c r="U862" i="23"/>
  <c r="AC862" i="23"/>
  <c r="AD862" i="23"/>
  <c r="AH862" i="23"/>
  <c r="B863" i="23"/>
  <c r="F863" i="23"/>
  <c r="K863" i="23"/>
  <c r="L863" i="23"/>
  <c r="M863" i="23"/>
  <c r="N863" i="23"/>
  <c r="O863" i="23"/>
  <c r="U863" i="23"/>
  <c r="AC863" i="23"/>
  <c r="AD863" i="23"/>
  <c r="AH863" i="23"/>
  <c r="B864" i="23"/>
  <c r="F864" i="23"/>
  <c r="K864" i="23"/>
  <c r="L864" i="23"/>
  <c r="M864" i="23"/>
  <c r="N864" i="23"/>
  <c r="O864" i="23"/>
  <c r="U864" i="23"/>
  <c r="AC864" i="23"/>
  <c r="AD864" i="23"/>
  <c r="AH864" i="23"/>
  <c r="B865" i="23"/>
  <c r="F865" i="23"/>
  <c r="K865" i="23"/>
  <c r="L865" i="23"/>
  <c r="M865" i="23"/>
  <c r="N865" i="23"/>
  <c r="O865" i="23"/>
  <c r="U865" i="23"/>
  <c r="AC865" i="23"/>
  <c r="AD865" i="23"/>
  <c r="AH865" i="23"/>
  <c r="C4" i="13"/>
  <c r="D4" i="13"/>
  <c r="E4" i="13"/>
  <c r="F4" i="13"/>
  <c r="G4" i="13"/>
  <c r="H4" i="13"/>
  <c r="I4" i="13"/>
  <c r="B5" i="13"/>
  <c r="C5" i="13"/>
  <c r="D5" i="13"/>
  <c r="E5" i="13"/>
  <c r="F5" i="13"/>
  <c r="G5" i="13"/>
  <c r="H5" i="13"/>
  <c r="I5" i="13"/>
  <c r="J5" i="13"/>
  <c r="B6" i="13"/>
  <c r="C6" i="13"/>
  <c r="D6" i="13"/>
  <c r="E6" i="13"/>
  <c r="F6" i="13"/>
  <c r="G6" i="13"/>
  <c r="H6" i="13"/>
  <c r="I6" i="13"/>
  <c r="J6" i="13"/>
  <c r="S6" i="13"/>
  <c r="AA6" i="13"/>
  <c r="B7" i="13"/>
  <c r="C7" i="13"/>
  <c r="D7" i="13"/>
  <c r="E7" i="13"/>
  <c r="F7" i="13"/>
  <c r="G7" i="13"/>
  <c r="H7" i="13"/>
  <c r="I7" i="13"/>
  <c r="J7" i="13"/>
  <c r="R7" i="13"/>
  <c r="S7" i="13"/>
  <c r="AA7" i="13"/>
  <c r="B8" i="13"/>
  <c r="C8" i="13"/>
  <c r="D8" i="13"/>
  <c r="E8" i="13"/>
  <c r="F8" i="13"/>
  <c r="G8" i="13"/>
  <c r="H8" i="13"/>
  <c r="I8" i="13"/>
  <c r="J8" i="13"/>
  <c r="R8" i="13"/>
  <c r="S8" i="13"/>
  <c r="AA8" i="13"/>
  <c r="B9" i="13"/>
  <c r="C9" i="13"/>
  <c r="D9" i="13"/>
  <c r="E9" i="13"/>
  <c r="F9" i="13"/>
  <c r="G9" i="13"/>
  <c r="H9" i="13"/>
  <c r="I9" i="13"/>
  <c r="J9" i="13"/>
  <c r="R9" i="13"/>
  <c r="S9" i="13"/>
  <c r="AA9" i="13"/>
  <c r="B10" i="13"/>
  <c r="C10" i="13"/>
  <c r="D10" i="13"/>
  <c r="E10" i="13"/>
  <c r="F10" i="13"/>
  <c r="G10" i="13"/>
  <c r="H10" i="13"/>
  <c r="I10" i="13"/>
  <c r="J10" i="13"/>
  <c r="R10" i="13"/>
  <c r="S10" i="13"/>
  <c r="AA10" i="13"/>
  <c r="B11" i="13"/>
  <c r="C11" i="13"/>
  <c r="D11" i="13"/>
  <c r="E11" i="13"/>
  <c r="F11" i="13"/>
  <c r="G11" i="13"/>
  <c r="H11" i="13"/>
  <c r="I11" i="13"/>
  <c r="J11" i="13"/>
  <c r="R11" i="13"/>
  <c r="S11" i="13"/>
  <c r="B12" i="13"/>
  <c r="C12" i="13"/>
  <c r="D12" i="13"/>
  <c r="E12" i="13"/>
  <c r="F12" i="13"/>
  <c r="G12" i="13"/>
  <c r="H12" i="13"/>
  <c r="I12" i="13"/>
  <c r="J12" i="13"/>
  <c r="R12" i="13"/>
  <c r="S12" i="13"/>
  <c r="B13" i="13"/>
  <c r="C13" i="13"/>
  <c r="D13" i="13"/>
  <c r="E13" i="13"/>
  <c r="F13" i="13"/>
  <c r="G13" i="13"/>
  <c r="H13" i="13"/>
  <c r="I13" i="13"/>
  <c r="J13" i="13"/>
  <c r="R13" i="13"/>
  <c r="S13" i="13"/>
  <c r="B14" i="13"/>
  <c r="C14" i="13"/>
  <c r="D14" i="13"/>
  <c r="E14" i="13"/>
  <c r="F14" i="13"/>
  <c r="G14" i="13"/>
  <c r="H14" i="13"/>
  <c r="I14" i="13"/>
  <c r="J14" i="13"/>
  <c r="R14" i="13"/>
  <c r="S14" i="13"/>
  <c r="B15" i="13"/>
  <c r="C15" i="13"/>
  <c r="D15" i="13"/>
  <c r="E15" i="13"/>
  <c r="F15" i="13"/>
  <c r="G15" i="13"/>
  <c r="H15" i="13"/>
  <c r="I15" i="13"/>
  <c r="J15" i="13"/>
  <c r="R15" i="13"/>
  <c r="S15" i="13"/>
  <c r="B16" i="13"/>
  <c r="C16" i="13"/>
  <c r="D16" i="13"/>
  <c r="E16" i="13"/>
  <c r="F16" i="13"/>
  <c r="G16" i="13"/>
  <c r="H16" i="13"/>
  <c r="I16" i="13"/>
  <c r="J16" i="13"/>
  <c r="R16" i="13"/>
  <c r="S16" i="13"/>
  <c r="B17" i="13"/>
  <c r="C17" i="13"/>
  <c r="D17" i="13"/>
  <c r="E17" i="13"/>
  <c r="F17" i="13"/>
  <c r="G17" i="13"/>
  <c r="H17" i="13"/>
  <c r="I17" i="13"/>
  <c r="J17" i="13"/>
  <c r="R17" i="13"/>
  <c r="S17" i="13"/>
  <c r="B18" i="13"/>
  <c r="C18" i="13"/>
  <c r="D18" i="13"/>
  <c r="E18" i="13"/>
  <c r="F18" i="13"/>
  <c r="G18" i="13"/>
  <c r="H18" i="13"/>
  <c r="I18" i="13"/>
  <c r="J18" i="13"/>
  <c r="R18" i="13"/>
  <c r="S18" i="13"/>
  <c r="B19" i="13"/>
  <c r="C19" i="13"/>
  <c r="D19" i="13"/>
  <c r="E19" i="13"/>
  <c r="F19" i="13"/>
  <c r="G19" i="13"/>
  <c r="H19" i="13"/>
  <c r="I19" i="13"/>
  <c r="J19" i="13"/>
  <c r="R19" i="13"/>
  <c r="S19" i="13"/>
  <c r="B20" i="13"/>
  <c r="C20" i="13"/>
  <c r="D20" i="13"/>
  <c r="E20" i="13"/>
  <c r="F20" i="13"/>
  <c r="G20" i="13"/>
  <c r="H20" i="13"/>
  <c r="I20" i="13"/>
  <c r="J20" i="13"/>
  <c r="R20" i="13"/>
  <c r="S20" i="13"/>
  <c r="B21" i="13"/>
  <c r="C21" i="13"/>
  <c r="D21" i="13"/>
  <c r="E21" i="13"/>
  <c r="F21" i="13"/>
  <c r="G21" i="13"/>
  <c r="H21" i="13"/>
  <c r="I21" i="13"/>
  <c r="J21" i="13"/>
  <c r="R21" i="13"/>
  <c r="S21" i="13"/>
  <c r="B22" i="13"/>
  <c r="C22" i="13"/>
  <c r="D22" i="13"/>
  <c r="E22" i="13"/>
  <c r="F22" i="13"/>
  <c r="G22" i="13"/>
  <c r="H22" i="13"/>
  <c r="I22" i="13"/>
  <c r="J22" i="13"/>
  <c r="R22" i="13"/>
  <c r="S22" i="13"/>
  <c r="B23" i="13"/>
  <c r="C23" i="13"/>
  <c r="D23" i="13"/>
  <c r="E23" i="13"/>
  <c r="F23" i="13"/>
  <c r="G23" i="13"/>
  <c r="H23" i="13"/>
  <c r="I23" i="13"/>
  <c r="J23" i="13"/>
  <c r="R23" i="13"/>
  <c r="S23" i="13"/>
  <c r="B24" i="13"/>
  <c r="C24" i="13"/>
  <c r="D24" i="13"/>
  <c r="E24" i="13"/>
  <c r="F24" i="13"/>
  <c r="G24" i="13"/>
  <c r="H24" i="13"/>
  <c r="I24" i="13"/>
  <c r="J24" i="13"/>
  <c r="R24" i="13"/>
  <c r="S24" i="13"/>
  <c r="B25" i="13"/>
  <c r="C25" i="13"/>
  <c r="D25" i="13"/>
  <c r="E25" i="13"/>
  <c r="F25" i="13"/>
  <c r="G25" i="13"/>
  <c r="H25" i="13"/>
  <c r="I25" i="13"/>
  <c r="J25" i="13"/>
  <c r="R25" i="13"/>
  <c r="S25" i="13"/>
  <c r="B26" i="13"/>
  <c r="C26" i="13"/>
  <c r="D26" i="13"/>
  <c r="E26" i="13"/>
  <c r="F26" i="13"/>
  <c r="G26" i="13"/>
  <c r="H26" i="13"/>
  <c r="I26" i="13"/>
  <c r="J26" i="13"/>
  <c r="R26" i="13"/>
  <c r="S26" i="13"/>
  <c r="B27" i="13"/>
  <c r="C27" i="13"/>
  <c r="D27" i="13"/>
  <c r="E27" i="13"/>
  <c r="F27" i="13"/>
  <c r="G27" i="13"/>
  <c r="H27" i="13"/>
  <c r="I27" i="13"/>
  <c r="J27" i="13"/>
  <c r="R27" i="13"/>
  <c r="S27" i="13"/>
  <c r="B28" i="13"/>
  <c r="C28" i="13"/>
  <c r="D28" i="13"/>
  <c r="E28" i="13"/>
  <c r="F28" i="13"/>
  <c r="G28" i="13"/>
  <c r="H28" i="13"/>
  <c r="I28" i="13"/>
  <c r="J28" i="13"/>
  <c r="R28" i="13"/>
  <c r="S28" i="13"/>
  <c r="B29" i="13"/>
  <c r="C29" i="13"/>
  <c r="D29" i="13"/>
  <c r="E29" i="13"/>
  <c r="F29" i="13"/>
  <c r="G29" i="13"/>
  <c r="H29" i="13"/>
  <c r="I29" i="13"/>
  <c r="J29" i="13"/>
  <c r="R29" i="13"/>
  <c r="S29" i="13"/>
  <c r="B30" i="13"/>
  <c r="C30" i="13"/>
  <c r="D30" i="13"/>
  <c r="E30" i="13"/>
  <c r="F30" i="13"/>
  <c r="G30" i="13"/>
  <c r="H30" i="13"/>
  <c r="I30" i="13"/>
  <c r="J30" i="13"/>
  <c r="R30" i="13"/>
  <c r="S30" i="13"/>
  <c r="C31" i="13"/>
  <c r="D31" i="13"/>
  <c r="E31" i="13"/>
  <c r="F31" i="13"/>
  <c r="G31" i="13"/>
  <c r="H31" i="13"/>
  <c r="I31" i="13"/>
  <c r="J31" i="13"/>
  <c r="R31" i="13"/>
  <c r="S31" i="13"/>
  <c r="R32" i="13"/>
  <c r="S32" i="13"/>
  <c r="R33" i="13"/>
  <c r="S33" i="13"/>
  <c r="R34" i="13"/>
  <c r="S34" i="13"/>
  <c r="C35" i="13"/>
  <c r="D35" i="13"/>
  <c r="E35" i="13"/>
  <c r="F35" i="13"/>
  <c r="G35" i="13"/>
  <c r="R35" i="13"/>
  <c r="S35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R36" i="13"/>
  <c r="S36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R37" i="13"/>
  <c r="S37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R38" i="13"/>
  <c r="S38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R39" i="13"/>
  <c r="S39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R40" i="13"/>
  <c r="S40" i="13"/>
  <c r="B41" i="13"/>
  <c r="C41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R41" i="13"/>
  <c r="S41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S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P78" i="13"/>
  <c r="B83" i="13"/>
  <c r="C83" i="13"/>
  <c r="E83" i="13"/>
  <c r="F83" i="13"/>
  <c r="G83" i="13"/>
  <c r="H83" i="13"/>
  <c r="I83" i="13"/>
  <c r="K83" i="13"/>
  <c r="L83" i="13"/>
  <c r="B84" i="13"/>
  <c r="C84" i="13"/>
  <c r="E84" i="13"/>
  <c r="F84" i="13"/>
  <c r="G84" i="13"/>
  <c r="H84" i="13"/>
  <c r="I84" i="13"/>
  <c r="K84" i="13"/>
  <c r="L84" i="13"/>
  <c r="B85" i="13"/>
  <c r="C85" i="13"/>
  <c r="E85" i="13"/>
  <c r="F85" i="13"/>
  <c r="G85" i="13"/>
  <c r="H85" i="13"/>
  <c r="I85" i="13"/>
  <c r="K85" i="13"/>
  <c r="L85" i="13"/>
  <c r="B86" i="13"/>
  <c r="C86" i="13"/>
  <c r="E86" i="13"/>
  <c r="F86" i="13"/>
  <c r="G86" i="13"/>
  <c r="H86" i="13"/>
  <c r="I86" i="13"/>
  <c r="K86" i="13"/>
  <c r="L86" i="13"/>
  <c r="B87" i="13"/>
  <c r="C87" i="13"/>
  <c r="E87" i="13"/>
  <c r="F87" i="13"/>
  <c r="G87" i="13"/>
  <c r="H87" i="13"/>
  <c r="I87" i="13"/>
  <c r="K87" i="13"/>
  <c r="L87" i="13"/>
  <c r="B88" i="13"/>
  <c r="C88" i="13"/>
  <c r="E88" i="13"/>
  <c r="F88" i="13"/>
  <c r="G88" i="13"/>
  <c r="H88" i="13"/>
  <c r="I88" i="13"/>
  <c r="K88" i="13"/>
  <c r="L88" i="13"/>
  <c r="B89" i="13"/>
  <c r="C89" i="13"/>
  <c r="E89" i="13"/>
  <c r="F89" i="13"/>
  <c r="G89" i="13"/>
  <c r="H89" i="13"/>
  <c r="I89" i="13"/>
  <c r="K89" i="13"/>
  <c r="L89" i="13"/>
  <c r="B90" i="13"/>
  <c r="C90" i="13"/>
  <c r="E90" i="13"/>
  <c r="F90" i="13"/>
  <c r="G90" i="13"/>
  <c r="H90" i="13"/>
  <c r="I90" i="13"/>
  <c r="K90" i="13"/>
  <c r="L90" i="13"/>
  <c r="B91" i="13"/>
  <c r="C91" i="13"/>
  <c r="E91" i="13"/>
  <c r="F91" i="13"/>
  <c r="G91" i="13"/>
  <c r="H91" i="13"/>
  <c r="I91" i="13"/>
  <c r="K91" i="13"/>
  <c r="L91" i="13"/>
  <c r="B92" i="13"/>
  <c r="C92" i="13"/>
  <c r="E92" i="13"/>
  <c r="F92" i="13"/>
  <c r="G92" i="13"/>
  <c r="H92" i="13"/>
  <c r="I92" i="13"/>
  <c r="K92" i="13"/>
  <c r="L92" i="13"/>
  <c r="B93" i="13"/>
  <c r="C93" i="13"/>
  <c r="E93" i="13"/>
  <c r="F93" i="13"/>
  <c r="G93" i="13"/>
  <c r="H93" i="13"/>
  <c r="I93" i="13"/>
  <c r="K93" i="13"/>
  <c r="L93" i="13"/>
  <c r="B94" i="13"/>
  <c r="C94" i="13"/>
  <c r="E94" i="13"/>
  <c r="F94" i="13"/>
  <c r="G94" i="13"/>
  <c r="H94" i="13"/>
  <c r="I94" i="13"/>
  <c r="K94" i="13"/>
  <c r="L94" i="13"/>
  <c r="B95" i="13"/>
  <c r="C95" i="13"/>
  <c r="E95" i="13"/>
  <c r="F95" i="13"/>
  <c r="G95" i="13"/>
  <c r="H95" i="13"/>
  <c r="I95" i="13"/>
  <c r="K95" i="13"/>
  <c r="L95" i="13"/>
  <c r="B96" i="13"/>
  <c r="C96" i="13"/>
  <c r="E96" i="13"/>
  <c r="F96" i="13"/>
  <c r="G96" i="13"/>
  <c r="H96" i="13"/>
  <c r="I96" i="13"/>
  <c r="K96" i="13"/>
  <c r="L96" i="13"/>
  <c r="B97" i="13"/>
  <c r="C97" i="13"/>
  <c r="K97" i="13"/>
  <c r="L97" i="13"/>
  <c r="B98" i="13"/>
  <c r="C98" i="13"/>
  <c r="K98" i="13"/>
  <c r="L98" i="13"/>
  <c r="B99" i="13"/>
  <c r="C99" i="13"/>
  <c r="K99" i="13"/>
  <c r="L99" i="13"/>
  <c r="B100" i="13"/>
  <c r="C100" i="13"/>
  <c r="K100" i="13"/>
  <c r="L100" i="13"/>
  <c r="B101" i="13"/>
  <c r="C101" i="13"/>
  <c r="K101" i="13"/>
  <c r="L101" i="13"/>
  <c r="B102" i="13"/>
  <c r="C102" i="13"/>
  <c r="K102" i="13"/>
  <c r="L102" i="13"/>
  <c r="B103" i="13"/>
  <c r="C103" i="13"/>
  <c r="K103" i="13"/>
  <c r="L103" i="13"/>
  <c r="B104" i="13"/>
  <c r="C104" i="13"/>
  <c r="K104" i="13"/>
  <c r="L104" i="13"/>
  <c r="B105" i="13"/>
  <c r="C105" i="13"/>
  <c r="K105" i="13"/>
  <c r="L105" i="13"/>
  <c r="B106" i="13"/>
  <c r="C106" i="13"/>
  <c r="K106" i="13"/>
  <c r="L106" i="13"/>
  <c r="B107" i="13"/>
  <c r="C107" i="13"/>
  <c r="K107" i="13"/>
  <c r="L107" i="13"/>
  <c r="B108" i="13"/>
  <c r="C108" i="13"/>
  <c r="K108" i="13"/>
  <c r="L108" i="13"/>
  <c r="B109" i="13"/>
  <c r="C109" i="13"/>
  <c r="K109" i="13"/>
  <c r="L109" i="13"/>
  <c r="C110" i="13"/>
  <c r="F110" i="13"/>
  <c r="G110" i="13"/>
  <c r="I110" i="13"/>
  <c r="L110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R11" i="18"/>
  <c r="AS11" i="18"/>
  <c r="AT11" i="18"/>
  <c r="AU11" i="18"/>
  <c r="AV11" i="18"/>
  <c r="AW11" i="18"/>
  <c r="AY11" i="18"/>
  <c r="AZ11" i="18"/>
  <c r="BA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Y12" i="18"/>
  <c r="AZ12" i="18"/>
  <c r="BA12" i="18"/>
  <c r="HZ14" i="18"/>
  <c r="HZ15" i="18"/>
  <c r="B16" i="18"/>
  <c r="AY16" i="18"/>
  <c r="AZ16" i="18"/>
  <c r="BA16" i="18"/>
  <c r="BB16" i="18"/>
  <c r="HZ16" i="18"/>
  <c r="B17" i="18"/>
  <c r="AY17" i="18"/>
  <c r="AZ17" i="18"/>
  <c r="BA17" i="18"/>
  <c r="BB17" i="18"/>
  <c r="HZ17" i="18"/>
  <c r="B18" i="18"/>
  <c r="AY18" i="18"/>
  <c r="AZ18" i="18"/>
  <c r="BA18" i="18"/>
  <c r="BB18" i="18"/>
  <c r="HZ18" i="18"/>
  <c r="B19" i="18"/>
  <c r="AY19" i="18"/>
  <c r="AZ19" i="18"/>
  <c r="BA19" i="18"/>
  <c r="BB19" i="18"/>
  <c r="HZ19" i="18"/>
  <c r="B20" i="18"/>
  <c r="AY20" i="18"/>
  <c r="AZ20" i="18"/>
  <c r="BA20" i="18"/>
  <c r="BB20" i="18"/>
  <c r="HZ20" i="18"/>
  <c r="B21" i="18"/>
  <c r="AY21" i="18"/>
  <c r="AZ21" i="18"/>
  <c r="BA21" i="18"/>
  <c r="BB21" i="18"/>
  <c r="HZ21" i="18"/>
  <c r="B22" i="18"/>
  <c r="AY22" i="18"/>
  <c r="AZ22" i="18"/>
  <c r="BA22" i="18"/>
  <c r="BB22" i="18"/>
  <c r="HZ22" i="18"/>
  <c r="B23" i="18"/>
  <c r="AY23" i="18"/>
  <c r="AZ23" i="18"/>
  <c r="BA23" i="18"/>
  <c r="BB23" i="18"/>
  <c r="HZ23" i="18"/>
  <c r="B24" i="18"/>
  <c r="AY24" i="18"/>
  <c r="AZ24" i="18"/>
  <c r="BA24" i="18"/>
  <c r="BB24" i="18"/>
  <c r="HZ24" i="18"/>
  <c r="B25" i="18"/>
  <c r="AY25" i="18"/>
  <c r="AZ25" i="18"/>
  <c r="BA25" i="18"/>
  <c r="BB25" i="18"/>
  <c r="HZ25" i="18"/>
  <c r="B26" i="18"/>
  <c r="AY26" i="18"/>
  <c r="AZ26" i="18"/>
  <c r="BA26" i="18"/>
  <c r="BB26" i="18"/>
  <c r="HZ26" i="18"/>
  <c r="B27" i="18"/>
  <c r="AY27" i="18"/>
  <c r="AZ27" i="18"/>
  <c r="BA27" i="18"/>
  <c r="BB27" i="18"/>
  <c r="HZ27" i="18"/>
  <c r="B28" i="18"/>
  <c r="AY28" i="18"/>
  <c r="AZ28" i="18"/>
  <c r="BA28" i="18"/>
  <c r="BB28" i="18"/>
  <c r="HZ28" i="18"/>
  <c r="B29" i="18"/>
  <c r="AY29" i="18"/>
  <c r="AZ29" i="18"/>
  <c r="BA29" i="18"/>
  <c r="BB29" i="18"/>
  <c r="HZ29" i="18"/>
  <c r="B30" i="18"/>
  <c r="AY30" i="18"/>
  <c r="AZ30" i="18"/>
  <c r="BA30" i="18"/>
  <c r="BB30" i="18"/>
  <c r="HZ30" i="18"/>
  <c r="B31" i="18"/>
  <c r="AY31" i="18"/>
  <c r="AZ31" i="18"/>
  <c r="BA31" i="18"/>
  <c r="BB31" i="18"/>
  <c r="HZ31" i="18"/>
  <c r="B32" i="18"/>
  <c r="AY32" i="18"/>
  <c r="AZ32" i="18"/>
  <c r="BA32" i="18"/>
  <c r="BB32" i="18"/>
  <c r="HZ32" i="18"/>
  <c r="B33" i="18"/>
  <c r="AY33" i="18"/>
  <c r="AZ33" i="18"/>
  <c r="BA33" i="18"/>
  <c r="BB33" i="18"/>
  <c r="HZ33" i="18"/>
  <c r="B34" i="18"/>
  <c r="AY34" i="18"/>
  <c r="AZ34" i="18"/>
  <c r="BA34" i="18"/>
  <c r="BB34" i="18"/>
  <c r="HZ34" i="18"/>
  <c r="B35" i="18"/>
  <c r="AY35" i="18"/>
  <c r="AZ35" i="18"/>
  <c r="BA35" i="18"/>
  <c r="BB35" i="18"/>
  <c r="HZ35" i="18"/>
  <c r="B36" i="18"/>
  <c r="AY36" i="18"/>
  <c r="AZ36" i="18"/>
  <c r="BA36" i="18"/>
  <c r="BB36" i="18"/>
  <c r="HZ36" i="18"/>
  <c r="B37" i="18"/>
  <c r="AY37" i="18"/>
  <c r="AZ37" i="18"/>
  <c r="BA37" i="18"/>
  <c r="BB37" i="18"/>
  <c r="HZ37" i="18"/>
  <c r="B38" i="18"/>
  <c r="AY38" i="18"/>
  <c r="AZ38" i="18"/>
  <c r="BA38" i="18"/>
  <c r="BB38" i="18"/>
  <c r="HZ38" i="18"/>
  <c r="B39" i="18"/>
  <c r="AY39" i="18"/>
  <c r="AZ39" i="18"/>
  <c r="BA39" i="18"/>
  <c r="BB39" i="18"/>
  <c r="HZ39" i="18"/>
  <c r="B40" i="18"/>
  <c r="AY40" i="18"/>
  <c r="AZ40" i="18"/>
  <c r="BA40" i="18"/>
  <c r="BB40" i="18"/>
  <c r="HZ40" i="18"/>
  <c r="B41" i="18"/>
  <c r="AY41" i="18"/>
  <c r="AZ41" i="18"/>
  <c r="BA41" i="18"/>
  <c r="BB41" i="18"/>
  <c r="HZ41" i="18"/>
  <c r="B42" i="18"/>
  <c r="AY42" i="18"/>
  <c r="AZ42" i="18"/>
  <c r="BA42" i="18"/>
  <c r="BB42" i="18"/>
  <c r="HZ42" i="18"/>
  <c r="B43" i="18"/>
  <c r="AY43" i="18"/>
  <c r="AZ43" i="18"/>
  <c r="BA43" i="18"/>
  <c r="BB43" i="18"/>
  <c r="HZ43" i="18"/>
  <c r="B44" i="18"/>
  <c r="AY44" i="18"/>
  <c r="AZ44" i="18"/>
  <c r="BA44" i="18"/>
  <c r="BB44" i="18"/>
  <c r="HZ44" i="18"/>
  <c r="B45" i="18"/>
  <c r="AY45" i="18"/>
  <c r="AZ45" i="18"/>
  <c r="BA45" i="18"/>
  <c r="BB45" i="18"/>
  <c r="HZ45" i="18"/>
  <c r="B46" i="18"/>
  <c r="AY46" i="18"/>
  <c r="AZ46" i="18"/>
  <c r="BA46" i="18"/>
  <c r="BB46" i="18"/>
  <c r="HZ46" i="18"/>
  <c r="B47" i="18"/>
  <c r="AY47" i="18"/>
  <c r="AZ47" i="18"/>
  <c r="BA47" i="18"/>
  <c r="BB47" i="18"/>
  <c r="HZ47" i="18"/>
  <c r="B48" i="18"/>
  <c r="AY48" i="18"/>
  <c r="AZ48" i="18"/>
  <c r="BA48" i="18"/>
  <c r="BB48" i="18"/>
  <c r="HZ48" i="18"/>
  <c r="B49" i="18"/>
  <c r="AY49" i="18"/>
  <c r="AZ49" i="18"/>
  <c r="BA49" i="18"/>
  <c r="BB49" i="18"/>
  <c r="HZ49" i="18"/>
  <c r="B50" i="18"/>
  <c r="AY50" i="18"/>
  <c r="AZ50" i="18"/>
  <c r="BA50" i="18"/>
  <c r="BB50" i="18"/>
  <c r="HZ50" i="18"/>
  <c r="B51" i="18"/>
  <c r="AY51" i="18"/>
  <c r="AZ51" i="18"/>
  <c r="BA51" i="18"/>
  <c r="BB51" i="18"/>
  <c r="HZ51" i="18"/>
  <c r="B52" i="18"/>
  <c r="AY52" i="18"/>
  <c r="AZ52" i="18"/>
  <c r="BA52" i="18"/>
  <c r="BB52" i="18"/>
  <c r="HZ52" i="18"/>
  <c r="B53" i="18"/>
  <c r="AY53" i="18"/>
  <c r="AZ53" i="18"/>
  <c r="BA53" i="18"/>
  <c r="BB53" i="18"/>
  <c r="HZ53" i="18"/>
  <c r="B54" i="18"/>
  <c r="AY54" i="18"/>
  <c r="AZ54" i="18"/>
  <c r="BA54" i="18"/>
  <c r="BB54" i="18"/>
  <c r="HZ54" i="18"/>
  <c r="B55" i="18"/>
  <c r="AY55" i="18"/>
  <c r="AZ55" i="18"/>
  <c r="BA55" i="18"/>
  <c r="BB55" i="18"/>
  <c r="HZ55" i="18"/>
  <c r="B56" i="18"/>
  <c r="AY56" i="18"/>
  <c r="AZ56" i="18"/>
  <c r="BA56" i="18"/>
  <c r="BB56" i="18"/>
  <c r="HZ56" i="18"/>
  <c r="B57" i="18"/>
  <c r="AY57" i="18"/>
  <c r="AZ57" i="18"/>
  <c r="BA57" i="18"/>
  <c r="BB57" i="18"/>
  <c r="HZ57" i="18"/>
  <c r="B58" i="18"/>
  <c r="AY58" i="18"/>
  <c r="AZ58" i="18"/>
  <c r="BA58" i="18"/>
  <c r="BB58" i="18"/>
  <c r="HZ58" i="18"/>
  <c r="B59" i="18"/>
  <c r="AY59" i="18"/>
  <c r="AZ59" i="18"/>
  <c r="BA59" i="18"/>
  <c r="BB59" i="18"/>
  <c r="HZ59" i="18"/>
  <c r="B60" i="18"/>
  <c r="AY60" i="18"/>
  <c r="AZ60" i="18"/>
  <c r="BA60" i="18"/>
  <c r="BB60" i="18"/>
  <c r="HZ60" i="18"/>
  <c r="B61" i="18"/>
  <c r="AY61" i="18"/>
  <c r="AZ61" i="18"/>
  <c r="BA61" i="18"/>
  <c r="BB61" i="18"/>
  <c r="HZ61" i="18"/>
  <c r="B62" i="18"/>
  <c r="AY62" i="18"/>
  <c r="AZ62" i="18"/>
  <c r="BA62" i="18"/>
  <c r="BB62" i="18"/>
  <c r="HZ62" i="18"/>
  <c r="B63" i="18"/>
  <c r="AY63" i="18"/>
  <c r="AZ63" i="18"/>
  <c r="BA63" i="18"/>
  <c r="BB63" i="18"/>
  <c r="HZ63" i="18"/>
  <c r="B64" i="18"/>
  <c r="AY64" i="18"/>
  <c r="AZ64" i="18"/>
  <c r="BA64" i="18"/>
  <c r="BB64" i="18"/>
  <c r="HZ64" i="18"/>
  <c r="B65" i="18"/>
  <c r="AY65" i="18"/>
  <c r="AZ65" i="18"/>
  <c r="BA65" i="18"/>
  <c r="BB65" i="18"/>
  <c r="HZ65" i="18"/>
  <c r="B66" i="18"/>
  <c r="AY66" i="18"/>
  <c r="AZ66" i="18"/>
  <c r="BA66" i="18"/>
  <c r="BB66" i="18"/>
  <c r="HZ66" i="18"/>
  <c r="B67" i="18"/>
  <c r="AY67" i="18"/>
  <c r="AZ67" i="18"/>
  <c r="BA67" i="18"/>
  <c r="BB67" i="18"/>
  <c r="HZ67" i="18"/>
  <c r="B68" i="18"/>
  <c r="AY68" i="18"/>
  <c r="AZ68" i="18"/>
  <c r="BA68" i="18"/>
  <c r="BB68" i="18"/>
  <c r="HZ68" i="18"/>
  <c r="B69" i="18"/>
  <c r="AY69" i="18"/>
  <c r="AZ69" i="18"/>
  <c r="BA69" i="18"/>
  <c r="BB69" i="18"/>
  <c r="HZ69" i="18"/>
  <c r="B70" i="18"/>
  <c r="AY70" i="18"/>
  <c r="AZ70" i="18"/>
  <c r="BA70" i="18"/>
  <c r="BB70" i="18"/>
  <c r="HZ70" i="18"/>
  <c r="B71" i="18"/>
  <c r="AY71" i="18"/>
  <c r="AZ71" i="18"/>
  <c r="BA71" i="18"/>
  <c r="BB71" i="18"/>
  <c r="HZ71" i="18"/>
  <c r="B72" i="18"/>
  <c r="AY72" i="18"/>
  <c r="AZ72" i="18"/>
  <c r="BA72" i="18"/>
  <c r="BB72" i="18"/>
  <c r="HZ72" i="18"/>
  <c r="B73" i="18"/>
  <c r="AY73" i="18"/>
  <c r="AZ73" i="18"/>
  <c r="BA73" i="18"/>
  <c r="BB73" i="18"/>
  <c r="HZ73" i="18"/>
  <c r="B74" i="18"/>
  <c r="AY74" i="18"/>
  <c r="AZ74" i="18"/>
  <c r="BA74" i="18"/>
  <c r="BB74" i="18"/>
  <c r="HZ74" i="18"/>
  <c r="B75" i="18"/>
  <c r="AY75" i="18"/>
  <c r="AZ75" i="18"/>
  <c r="BA75" i="18"/>
  <c r="BB75" i="18"/>
  <c r="HZ75" i="18"/>
  <c r="B76" i="18"/>
  <c r="AY76" i="18"/>
  <c r="AZ76" i="18"/>
  <c r="BA76" i="18"/>
  <c r="BB76" i="18"/>
  <c r="HZ76" i="18"/>
  <c r="B77" i="18"/>
  <c r="AY77" i="18"/>
  <c r="AZ77" i="18"/>
  <c r="BA77" i="18"/>
  <c r="BB77" i="18"/>
  <c r="HZ77" i="18"/>
  <c r="B78" i="18"/>
  <c r="AY78" i="18"/>
  <c r="AZ78" i="18"/>
  <c r="BA78" i="18"/>
  <c r="BB78" i="18"/>
  <c r="HZ78" i="18"/>
  <c r="B79" i="18"/>
  <c r="AY79" i="18"/>
  <c r="AZ79" i="18"/>
  <c r="BA79" i="18"/>
  <c r="BB79" i="18"/>
  <c r="HZ79" i="18"/>
  <c r="B80" i="18"/>
  <c r="AY80" i="18"/>
  <c r="AZ80" i="18"/>
  <c r="BA80" i="18"/>
  <c r="BB80" i="18"/>
  <c r="HZ80" i="18"/>
  <c r="B81" i="18"/>
  <c r="AY81" i="18"/>
  <c r="AZ81" i="18"/>
  <c r="BA81" i="18"/>
  <c r="BB81" i="18"/>
  <c r="HZ81" i="18"/>
  <c r="B82" i="18"/>
  <c r="AY82" i="18"/>
  <c r="AZ82" i="18"/>
  <c r="BA82" i="18"/>
  <c r="BB82" i="18"/>
  <c r="HZ82" i="18"/>
  <c r="B83" i="18"/>
  <c r="AY83" i="18"/>
  <c r="AZ83" i="18"/>
  <c r="BA83" i="18"/>
  <c r="BB83" i="18"/>
  <c r="HZ83" i="18"/>
  <c r="B84" i="18"/>
  <c r="AY84" i="18"/>
  <c r="AZ84" i="18"/>
  <c r="BA84" i="18"/>
  <c r="BB84" i="18"/>
  <c r="HZ84" i="18"/>
  <c r="B85" i="18"/>
  <c r="AY85" i="18"/>
  <c r="AZ85" i="18"/>
  <c r="BA85" i="18"/>
  <c r="BB85" i="18"/>
  <c r="HZ85" i="18"/>
  <c r="B86" i="18"/>
  <c r="AY86" i="18"/>
  <c r="AZ86" i="18"/>
  <c r="BA86" i="18"/>
  <c r="BB86" i="18"/>
  <c r="HZ86" i="18"/>
  <c r="B87" i="18"/>
  <c r="AY87" i="18"/>
  <c r="AZ87" i="18"/>
  <c r="BA87" i="18"/>
  <c r="BB87" i="18"/>
  <c r="HZ87" i="18"/>
  <c r="B88" i="18"/>
  <c r="AY88" i="18"/>
  <c r="AZ88" i="18"/>
  <c r="BA88" i="18"/>
  <c r="BB88" i="18"/>
  <c r="HZ88" i="18"/>
  <c r="B89" i="18"/>
  <c r="AY89" i="18"/>
  <c r="AZ89" i="18"/>
  <c r="BA89" i="18"/>
  <c r="BB89" i="18"/>
  <c r="HZ89" i="18"/>
  <c r="B90" i="18"/>
  <c r="AY90" i="18"/>
  <c r="AZ90" i="18"/>
  <c r="BA90" i="18"/>
  <c r="BB90" i="18"/>
  <c r="HZ90" i="18"/>
  <c r="B91" i="18"/>
  <c r="AY91" i="18"/>
  <c r="AZ91" i="18"/>
  <c r="BA91" i="18"/>
  <c r="BB91" i="18"/>
  <c r="HZ91" i="18"/>
  <c r="B92" i="18"/>
  <c r="AY92" i="18"/>
  <c r="AZ92" i="18"/>
  <c r="BA92" i="18"/>
  <c r="BB92" i="18"/>
  <c r="HZ92" i="18"/>
  <c r="B93" i="18"/>
  <c r="AY93" i="18"/>
  <c r="AZ93" i="18"/>
  <c r="BA93" i="18"/>
  <c r="BB93" i="18"/>
  <c r="HZ93" i="18"/>
  <c r="B94" i="18"/>
  <c r="AY94" i="18"/>
  <c r="AZ94" i="18"/>
  <c r="BA94" i="18"/>
  <c r="BB94" i="18"/>
  <c r="HZ94" i="18"/>
  <c r="B95" i="18"/>
  <c r="AY95" i="18"/>
  <c r="AZ95" i="18"/>
  <c r="BA95" i="18"/>
  <c r="BB95" i="18"/>
  <c r="HZ95" i="18"/>
  <c r="B96" i="18"/>
  <c r="AY96" i="18"/>
  <c r="AZ96" i="18"/>
  <c r="BA96" i="18"/>
  <c r="BB96" i="18"/>
  <c r="HZ96" i="18"/>
  <c r="B97" i="18"/>
  <c r="AY97" i="18"/>
  <c r="AZ97" i="18"/>
  <c r="BA97" i="18"/>
  <c r="BB97" i="18"/>
  <c r="HZ97" i="18"/>
  <c r="B98" i="18"/>
  <c r="AY98" i="18"/>
  <c r="AZ98" i="18"/>
  <c r="BA98" i="18"/>
  <c r="BB98" i="18"/>
  <c r="HZ98" i="18"/>
  <c r="B99" i="18"/>
  <c r="AY99" i="18"/>
  <c r="AZ99" i="18"/>
  <c r="BA99" i="18"/>
  <c r="BB99" i="18"/>
  <c r="HZ99" i="18"/>
  <c r="B100" i="18"/>
  <c r="AY100" i="18"/>
  <c r="AZ100" i="18"/>
  <c r="BA100" i="18"/>
  <c r="BB100" i="18"/>
  <c r="HZ100" i="18"/>
  <c r="B101" i="18"/>
  <c r="AY101" i="18"/>
  <c r="AZ101" i="18"/>
  <c r="BA101" i="18"/>
  <c r="BB101" i="18"/>
  <c r="HZ101" i="18"/>
  <c r="B102" i="18"/>
  <c r="AY102" i="18"/>
  <c r="AZ102" i="18"/>
  <c r="BA102" i="18"/>
  <c r="BB102" i="18"/>
  <c r="HZ102" i="18"/>
  <c r="B103" i="18"/>
  <c r="AY103" i="18"/>
  <c r="AZ103" i="18"/>
  <c r="BA103" i="18"/>
  <c r="BB103" i="18"/>
  <c r="HZ103" i="18"/>
  <c r="B104" i="18"/>
  <c r="AY104" i="18"/>
  <c r="AZ104" i="18"/>
  <c r="BA104" i="18"/>
  <c r="BB104" i="18"/>
  <c r="HZ104" i="18"/>
  <c r="B105" i="18"/>
  <c r="AY105" i="18"/>
  <c r="AZ105" i="18"/>
  <c r="BA105" i="18"/>
  <c r="BB105" i="18"/>
  <c r="HZ105" i="18"/>
  <c r="B106" i="18"/>
  <c r="AY106" i="18"/>
  <c r="AZ106" i="18"/>
  <c r="BA106" i="18"/>
  <c r="BB106" i="18"/>
  <c r="HZ106" i="18"/>
  <c r="B107" i="18"/>
  <c r="AY107" i="18"/>
  <c r="AZ107" i="18"/>
  <c r="BA107" i="18"/>
  <c r="BB107" i="18"/>
  <c r="HZ107" i="18"/>
  <c r="B108" i="18"/>
  <c r="AY108" i="18"/>
  <c r="AZ108" i="18"/>
  <c r="BA108" i="18"/>
  <c r="BB108" i="18"/>
  <c r="HZ108" i="18"/>
  <c r="B109" i="18"/>
  <c r="AY109" i="18"/>
  <c r="AZ109" i="18"/>
  <c r="BA109" i="18"/>
  <c r="BB109" i="18"/>
  <c r="HZ109" i="18"/>
  <c r="B110" i="18"/>
  <c r="AY110" i="18"/>
  <c r="AZ110" i="18"/>
  <c r="BA110" i="18"/>
  <c r="BB110" i="18"/>
  <c r="HZ110" i="18"/>
  <c r="B111" i="18"/>
  <c r="AY111" i="18"/>
  <c r="AZ111" i="18"/>
  <c r="BA111" i="18"/>
  <c r="BB111" i="18"/>
  <c r="HZ111" i="18"/>
  <c r="B112" i="18"/>
  <c r="AY112" i="18"/>
  <c r="AZ112" i="18"/>
  <c r="BA112" i="18"/>
  <c r="BB112" i="18"/>
  <c r="HZ112" i="18"/>
  <c r="B113" i="18"/>
  <c r="AY113" i="18"/>
  <c r="AZ113" i="18"/>
  <c r="BA113" i="18"/>
  <c r="BB113" i="18"/>
  <c r="HZ113" i="18"/>
  <c r="B114" i="18"/>
  <c r="AY114" i="18"/>
  <c r="AZ114" i="18"/>
  <c r="BA114" i="18"/>
  <c r="BB114" i="18"/>
  <c r="HZ114" i="18"/>
  <c r="B115" i="18"/>
  <c r="AY115" i="18"/>
  <c r="AZ115" i="18"/>
  <c r="BA115" i="18"/>
  <c r="BB115" i="18"/>
  <c r="HZ115" i="18"/>
  <c r="B116" i="18"/>
  <c r="AY116" i="18"/>
  <c r="AZ116" i="18"/>
  <c r="BA116" i="18"/>
  <c r="BB116" i="18"/>
  <c r="HZ116" i="18"/>
  <c r="B117" i="18"/>
  <c r="AY117" i="18"/>
  <c r="AZ117" i="18"/>
  <c r="BA117" i="18"/>
  <c r="BB117" i="18"/>
  <c r="HZ117" i="18"/>
  <c r="B118" i="18"/>
  <c r="AY118" i="18"/>
  <c r="AZ118" i="18"/>
  <c r="BA118" i="18"/>
  <c r="BB118" i="18"/>
  <c r="HZ118" i="18"/>
  <c r="B119" i="18"/>
  <c r="AY119" i="18"/>
  <c r="AZ119" i="18"/>
  <c r="BA119" i="18"/>
  <c r="BB119" i="18"/>
  <c r="HZ119" i="18"/>
  <c r="B120" i="18"/>
  <c r="AY120" i="18"/>
  <c r="AZ120" i="18"/>
  <c r="BA120" i="18"/>
  <c r="BB120" i="18"/>
  <c r="HZ120" i="18"/>
  <c r="B121" i="18"/>
  <c r="AY121" i="18"/>
  <c r="AZ121" i="18"/>
  <c r="BA121" i="18"/>
  <c r="BB121" i="18"/>
  <c r="HZ121" i="18"/>
  <c r="B122" i="18"/>
  <c r="AY122" i="18"/>
  <c r="AZ122" i="18"/>
  <c r="BA122" i="18"/>
  <c r="BB122" i="18"/>
  <c r="HZ122" i="18"/>
  <c r="B123" i="18"/>
  <c r="AY123" i="18"/>
  <c r="AZ123" i="18"/>
  <c r="BA123" i="18"/>
  <c r="BB123" i="18"/>
  <c r="HZ123" i="18"/>
  <c r="B124" i="18"/>
  <c r="AY124" i="18"/>
  <c r="AZ124" i="18"/>
  <c r="BA124" i="18"/>
  <c r="BB124" i="18"/>
  <c r="HZ124" i="18"/>
  <c r="B125" i="18"/>
  <c r="AY125" i="18"/>
  <c r="AZ125" i="18"/>
  <c r="BA125" i="18"/>
  <c r="BB125" i="18"/>
  <c r="HZ125" i="18"/>
  <c r="B126" i="18"/>
  <c r="AY126" i="18"/>
  <c r="AZ126" i="18"/>
  <c r="BA126" i="18"/>
  <c r="BB126" i="18"/>
  <c r="HZ126" i="18"/>
  <c r="B127" i="18"/>
  <c r="AY127" i="18"/>
  <c r="AZ127" i="18"/>
  <c r="BA127" i="18"/>
  <c r="BB127" i="18"/>
  <c r="HZ127" i="18"/>
  <c r="B128" i="18"/>
  <c r="AY128" i="18"/>
  <c r="AZ128" i="18"/>
  <c r="BA128" i="18"/>
  <c r="BB128" i="18"/>
  <c r="HZ128" i="18"/>
  <c r="B129" i="18"/>
  <c r="AY129" i="18"/>
  <c r="AZ129" i="18"/>
  <c r="BA129" i="18"/>
  <c r="BB129" i="18"/>
  <c r="HZ129" i="18"/>
  <c r="B130" i="18"/>
  <c r="AY130" i="18"/>
  <c r="AZ130" i="18"/>
  <c r="BA130" i="18"/>
  <c r="BB130" i="18"/>
  <c r="HZ130" i="18"/>
  <c r="B131" i="18"/>
  <c r="AY131" i="18"/>
  <c r="AZ131" i="18"/>
  <c r="BA131" i="18"/>
  <c r="BB131" i="18"/>
  <c r="HZ131" i="18"/>
  <c r="B132" i="18"/>
  <c r="AY132" i="18"/>
  <c r="AZ132" i="18"/>
  <c r="BA132" i="18"/>
  <c r="BB132" i="18"/>
  <c r="HZ132" i="18"/>
  <c r="B133" i="18"/>
  <c r="AY133" i="18"/>
  <c r="AZ133" i="18"/>
  <c r="BA133" i="18"/>
  <c r="BB133" i="18"/>
  <c r="HZ133" i="18"/>
  <c r="B134" i="18"/>
  <c r="AY134" i="18"/>
  <c r="AZ134" i="18"/>
  <c r="BA134" i="18"/>
  <c r="BB134" i="18"/>
  <c r="HZ134" i="18"/>
  <c r="B135" i="18"/>
  <c r="AY135" i="18"/>
  <c r="AZ135" i="18"/>
  <c r="BA135" i="18"/>
  <c r="BB135" i="18"/>
  <c r="HZ135" i="18"/>
  <c r="B136" i="18"/>
  <c r="AY136" i="18"/>
  <c r="AZ136" i="18"/>
  <c r="BA136" i="18"/>
  <c r="BB136" i="18"/>
  <c r="HZ136" i="18"/>
  <c r="B137" i="18"/>
  <c r="AY137" i="18"/>
  <c r="AZ137" i="18"/>
  <c r="BA137" i="18"/>
  <c r="BB137" i="18"/>
  <c r="HZ137" i="18"/>
  <c r="B138" i="18"/>
  <c r="AY138" i="18"/>
  <c r="AZ138" i="18"/>
  <c r="BA138" i="18"/>
  <c r="BB138" i="18"/>
  <c r="HZ138" i="18"/>
  <c r="B139" i="18"/>
  <c r="AY139" i="18"/>
  <c r="AZ139" i="18"/>
  <c r="BA139" i="18"/>
  <c r="BB139" i="18"/>
  <c r="HZ139" i="18"/>
  <c r="B140" i="18"/>
  <c r="AY140" i="18"/>
  <c r="AZ140" i="18"/>
  <c r="BA140" i="18"/>
  <c r="BB140" i="18"/>
  <c r="HZ140" i="18"/>
  <c r="B141" i="18"/>
  <c r="AY141" i="18"/>
  <c r="AZ141" i="18"/>
  <c r="BA141" i="18"/>
  <c r="BB141" i="18"/>
  <c r="HZ141" i="18"/>
  <c r="B142" i="18"/>
  <c r="AY142" i="18"/>
  <c r="AZ142" i="18"/>
  <c r="BA142" i="18"/>
  <c r="BB142" i="18"/>
  <c r="HZ142" i="18"/>
  <c r="B143" i="18"/>
  <c r="AY143" i="18"/>
  <c r="AZ143" i="18"/>
  <c r="BA143" i="18"/>
  <c r="BB143" i="18"/>
  <c r="HZ143" i="18"/>
  <c r="B144" i="18"/>
  <c r="AY144" i="18"/>
  <c r="AZ144" i="18"/>
  <c r="BA144" i="18"/>
  <c r="BB144" i="18"/>
  <c r="HZ144" i="18"/>
  <c r="B145" i="18"/>
  <c r="AY145" i="18"/>
  <c r="AZ145" i="18"/>
  <c r="BA145" i="18"/>
  <c r="BB145" i="18"/>
  <c r="HZ145" i="18"/>
  <c r="B146" i="18"/>
  <c r="AY146" i="18"/>
  <c r="AZ146" i="18"/>
  <c r="BA146" i="18"/>
  <c r="BB146" i="18"/>
  <c r="HZ146" i="18"/>
  <c r="B147" i="18"/>
  <c r="AY147" i="18"/>
  <c r="AZ147" i="18"/>
  <c r="BA147" i="18"/>
  <c r="BB147" i="18"/>
  <c r="HZ147" i="18"/>
  <c r="B148" i="18"/>
  <c r="AY148" i="18"/>
  <c r="AZ148" i="18"/>
  <c r="BA148" i="18"/>
  <c r="BB148" i="18"/>
  <c r="HZ148" i="18"/>
  <c r="B149" i="18"/>
  <c r="AY149" i="18"/>
  <c r="AZ149" i="18"/>
  <c r="BA149" i="18"/>
  <c r="BB149" i="18"/>
  <c r="HZ149" i="18"/>
  <c r="B150" i="18"/>
  <c r="AY150" i="18"/>
  <c r="AZ150" i="18"/>
  <c r="BA150" i="18"/>
  <c r="BB150" i="18"/>
  <c r="HZ150" i="18"/>
  <c r="B151" i="18"/>
  <c r="AY151" i="18"/>
  <c r="AZ151" i="18"/>
  <c r="BA151" i="18"/>
  <c r="BB151" i="18"/>
  <c r="HZ151" i="18"/>
  <c r="B152" i="18"/>
  <c r="AY152" i="18"/>
  <c r="AZ152" i="18"/>
  <c r="BA152" i="18"/>
  <c r="BB152" i="18"/>
  <c r="HZ152" i="18"/>
  <c r="B153" i="18"/>
  <c r="AY153" i="18"/>
  <c r="AZ153" i="18"/>
  <c r="BA153" i="18"/>
  <c r="BB153" i="18"/>
  <c r="HZ153" i="18"/>
  <c r="B154" i="18"/>
  <c r="AY154" i="18"/>
  <c r="AZ154" i="18"/>
  <c r="BA154" i="18"/>
  <c r="BB154" i="18"/>
  <c r="HZ154" i="18"/>
  <c r="B155" i="18"/>
  <c r="AY155" i="18"/>
  <c r="AZ155" i="18"/>
  <c r="BA155" i="18"/>
  <c r="BB155" i="18"/>
  <c r="HZ155" i="18"/>
  <c r="B156" i="18"/>
  <c r="AY156" i="18"/>
  <c r="AZ156" i="18"/>
  <c r="BA156" i="18"/>
  <c r="BB156" i="18"/>
  <c r="HZ156" i="18"/>
  <c r="B157" i="18"/>
  <c r="AY157" i="18"/>
  <c r="AZ157" i="18"/>
  <c r="BA157" i="18"/>
  <c r="BB157" i="18"/>
  <c r="HZ157" i="18"/>
  <c r="AY158" i="18"/>
  <c r="AZ158" i="18"/>
  <c r="BA158" i="18"/>
  <c r="BB158" i="18"/>
  <c r="HZ158" i="18"/>
  <c r="AY159" i="18"/>
  <c r="AZ159" i="18"/>
  <c r="BA159" i="18"/>
  <c r="BB159" i="18"/>
  <c r="HZ159" i="18"/>
  <c r="AY160" i="18"/>
  <c r="AZ160" i="18"/>
  <c r="BA160" i="18"/>
  <c r="BB160" i="18"/>
  <c r="HZ160" i="18"/>
  <c r="AY161" i="18"/>
  <c r="AZ161" i="18"/>
  <c r="BA161" i="18"/>
  <c r="BB161" i="18"/>
  <c r="HZ161" i="18"/>
  <c r="AY162" i="18"/>
  <c r="AZ162" i="18"/>
  <c r="BA162" i="18"/>
  <c r="BB162" i="18"/>
  <c r="HZ162" i="18"/>
  <c r="AY163" i="18"/>
  <c r="AZ163" i="18"/>
  <c r="BA163" i="18"/>
  <c r="BB163" i="18"/>
  <c r="HZ163" i="18"/>
  <c r="AY164" i="18"/>
  <c r="AZ164" i="18"/>
  <c r="BA164" i="18"/>
  <c r="BB164" i="18"/>
  <c r="HZ164" i="18"/>
  <c r="AY165" i="18"/>
  <c r="AZ165" i="18"/>
  <c r="BA165" i="18"/>
  <c r="BB165" i="18"/>
  <c r="HZ165" i="18"/>
  <c r="AY166" i="18"/>
  <c r="AZ166" i="18"/>
  <c r="BA166" i="18"/>
  <c r="BB166" i="18"/>
  <c r="HZ166" i="18"/>
  <c r="AY167" i="18"/>
  <c r="AZ167" i="18"/>
  <c r="BA167" i="18"/>
  <c r="BB167" i="18"/>
  <c r="HZ167" i="18"/>
  <c r="AY168" i="18"/>
  <c r="AZ168" i="18"/>
  <c r="BA168" i="18"/>
  <c r="BB168" i="18"/>
  <c r="HZ168" i="18"/>
  <c r="AY169" i="18"/>
  <c r="AZ169" i="18"/>
  <c r="BA169" i="18"/>
  <c r="BB169" i="18"/>
  <c r="HZ169" i="18"/>
  <c r="AY170" i="18"/>
  <c r="AZ170" i="18"/>
  <c r="BA170" i="18"/>
  <c r="BB170" i="18"/>
  <c r="HZ170" i="18"/>
  <c r="AY171" i="18"/>
  <c r="AZ171" i="18"/>
  <c r="BA171" i="18"/>
  <c r="BB171" i="18"/>
  <c r="HZ171" i="18"/>
  <c r="AY172" i="18"/>
  <c r="AZ172" i="18"/>
  <c r="BA172" i="18"/>
  <c r="BB172" i="18"/>
  <c r="HZ172" i="18"/>
  <c r="AY173" i="18"/>
  <c r="AZ173" i="18"/>
  <c r="BA173" i="18"/>
  <c r="BB173" i="18"/>
  <c r="HZ173" i="18"/>
  <c r="AY174" i="18"/>
  <c r="AZ174" i="18"/>
  <c r="BA174" i="18"/>
  <c r="BB174" i="18"/>
  <c r="HZ174" i="18"/>
  <c r="AY175" i="18"/>
  <c r="AZ175" i="18"/>
  <c r="BA175" i="18"/>
  <c r="BB175" i="18"/>
  <c r="HZ175" i="18"/>
  <c r="AY176" i="18"/>
  <c r="AZ176" i="18"/>
  <c r="BA176" i="18"/>
  <c r="BB176" i="18"/>
  <c r="HZ176" i="18"/>
  <c r="AY177" i="18"/>
  <c r="AZ177" i="18"/>
  <c r="BA177" i="18"/>
  <c r="BB177" i="18"/>
  <c r="HZ177" i="18"/>
  <c r="AY178" i="18"/>
  <c r="AZ178" i="18"/>
  <c r="BA178" i="18"/>
  <c r="BB178" i="18"/>
  <c r="HZ178" i="18"/>
  <c r="AY179" i="18"/>
  <c r="AZ179" i="18"/>
  <c r="BA179" i="18"/>
  <c r="BB179" i="18"/>
  <c r="HZ179" i="18"/>
  <c r="AY180" i="18"/>
  <c r="AZ180" i="18"/>
  <c r="BA180" i="18"/>
  <c r="BB180" i="18"/>
  <c r="HZ180" i="18"/>
  <c r="AY181" i="18"/>
  <c r="AZ181" i="18"/>
  <c r="BA181" i="18"/>
  <c r="BB181" i="18"/>
  <c r="HZ181" i="18"/>
  <c r="AY182" i="18"/>
  <c r="AZ182" i="18"/>
  <c r="BA182" i="18"/>
  <c r="BB182" i="18"/>
  <c r="HZ182" i="18"/>
  <c r="AY183" i="18"/>
  <c r="AZ183" i="18"/>
  <c r="BA183" i="18"/>
  <c r="BB183" i="18"/>
  <c r="HZ183" i="18"/>
  <c r="AY184" i="18"/>
  <c r="AZ184" i="18"/>
  <c r="BA184" i="18"/>
  <c r="BB184" i="18"/>
  <c r="HZ184" i="18"/>
  <c r="AY185" i="18"/>
  <c r="AZ185" i="18"/>
  <c r="BA185" i="18"/>
  <c r="BB185" i="18"/>
  <c r="HZ185" i="18"/>
  <c r="AY186" i="18"/>
  <c r="AZ186" i="18"/>
  <c r="BA186" i="18"/>
  <c r="BB186" i="18"/>
  <c r="HZ186" i="18"/>
  <c r="AY187" i="18"/>
  <c r="AZ187" i="18"/>
  <c r="BA187" i="18"/>
  <c r="BB187" i="18"/>
  <c r="HZ187" i="18"/>
  <c r="AY188" i="18"/>
  <c r="AZ188" i="18"/>
  <c r="BA188" i="18"/>
  <c r="BB188" i="18"/>
  <c r="HZ188" i="18"/>
  <c r="AY189" i="18"/>
  <c r="AZ189" i="18"/>
  <c r="BA189" i="18"/>
  <c r="BB189" i="18"/>
  <c r="HZ189" i="18"/>
  <c r="AY190" i="18"/>
  <c r="AZ190" i="18"/>
  <c r="BA190" i="18"/>
  <c r="BB190" i="18"/>
  <c r="HZ190" i="18"/>
  <c r="AY191" i="18"/>
  <c r="AZ191" i="18"/>
  <c r="BA191" i="18"/>
  <c r="BB191" i="18"/>
  <c r="HZ191" i="18"/>
  <c r="AY192" i="18"/>
  <c r="AZ192" i="18"/>
  <c r="BA192" i="18"/>
  <c r="BB192" i="18"/>
  <c r="HZ192" i="18"/>
  <c r="AY193" i="18"/>
  <c r="AZ193" i="18"/>
  <c r="BA193" i="18"/>
  <c r="BB193" i="18"/>
  <c r="HZ193" i="18"/>
  <c r="AY194" i="18"/>
  <c r="AZ194" i="18"/>
  <c r="BA194" i="18"/>
  <c r="BB194" i="18"/>
  <c r="HZ194" i="18"/>
  <c r="AY195" i="18"/>
  <c r="AZ195" i="18"/>
  <c r="BA195" i="18"/>
  <c r="BB195" i="18"/>
  <c r="HZ195" i="18"/>
  <c r="AY196" i="18"/>
  <c r="AZ196" i="18"/>
  <c r="BA196" i="18"/>
  <c r="BB196" i="18"/>
  <c r="HZ196" i="18"/>
  <c r="AY197" i="18"/>
  <c r="AZ197" i="18"/>
  <c r="BA197" i="18"/>
  <c r="BB197" i="18"/>
  <c r="HZ197" i="18"/>
  <c r="AY198" i="18"/>
  <c r="AZ198" i="18"/>
  <c r="BA198" i="18"/>
  <c r="BB198" i="18"/>
  <c r="HZ198" i="18"/>
  <c r="AY199" i="18"/>
  <c r="AZ199" i="18"/>
  <c r="BA199" i="18"/>
  <c r="BB199" i="18"/>
  <c r="HZ199" i="18"/>
  <c r="AY200" i="18"/>
  <c r="AZ200" i="18"/>
  <c r="BA200" i="18"/>
  <c r="BB200" i="18"/>
  <c r="HZ200" i="18"/>
  <c r="AY201" i="18"/>
  <c r="AZ201" i="18"/>
  <c r="BA201" i="18"/>
  <c r="BB201" i="18"/>
  <c r="HZ201" i="18"/>
  <c r="AY202" i="18"/>
  <c r="AZ202" i="18"/>
  <c r="BA202" i="18"/>
  <c r="BB202" i="18"/>
  <c r="HZ202" i="18"/>
  <c r="AY203" i="18"/>
  <c r="AZ203" i="18"/>
  <c r="BA203" i="18"/>
  <c r="BB203" i="18"/>
  <c r="HZ203" i="18"/>
  <c r="AY204" i="18"/>
  <c r="AZ204" i="18"/>
  <c r="BA204" i="18"/>
  <c r="BB204" i="18"/>
  <c r="HZ204" i="18"/>
  <c r="AY205" i="18"/>
  <c r="AZ205" i="18"/>
  <c r="BA205" i="18"/>
  <c r="BB205" i="18"/>
  <c r="HZ205" i="18"/>
  <c r="AY206" i="18"/>
  <c r="AZ206" i="18"/>
  <c r="BA206" i="18"/>
  <c r="BB206" i="18"/>
  <c r="HZ206" i="18"/>
  <c r="AY207" i="18"/>
  <c r="AZ207" i="18"/>
  <c r="BA207" i="18"/>
  <c r="BB207" i="18"/>
  <c r="HZ207" i="18"/>
  <c r="AY208" i="18"/>
  <c r="AZ208" i="18"/>
  <c r="BA208" i="18"/>
  <c r="BB208" i="18"/>
  <c r="HZ208" i="18"/>
  <c r="AY209" i="18"/>
  <c r="AZ209" i="18"/>
  <c r="BA209" i="18"/>
  <c r="BB209" i="18"/>
  <c r="HZ209" i="18"/>
  <c r="AY210" i="18"/>
  <c r="AZ210" i="18"/>
  <c r="BA210" i="18"/>
  <c r="BB210" i="18"/>
  <c r="HZ210" i="18"/>
  <c r="AY211" i="18"/>
  <c r="AZ211" i="18"/>
  <c r="BA211" i="18"/>
  <c r="BB211" i="18"/>
  <c r="HZ211" i="18"/>
  <c r="AY212" i="18"/>
  <c r="AZ212" i="18"/>
  <c r="BA212" i="18"/>
  <c r="BB212" i="18"/>
  <c r="HZ212" i="18"/>
  <c r="AY213" i="18"/>
  <c r="AZ213" i="18"/>
  <c r="BA213" i="18"/>
  <c r="BB213" i="18"/>
  <c r="HZ213" i="18"/>
  <c r="AY214" i="18"/>
  <c r="AZ214" i="18"/>
  <c r="BA214" i="18"/>
  <c r="BB214" i="18"/>
  <c r="HZ214" i="18"/>
  <c r="AY215" i="18"/>
  <c r="AZ215" i="18"/>
  <c r="BA215" i="18"/>
  <c r="BB215" i="18"/>
  <c r="HZ215" i="18"/>
  <c r="AY216" i="18"/>
  <c r="AZ216" i="18"/>
  <c r="BA216" i="18"/>
  <c r="BB216" i="18"/>
  <c r="HZ216" i="18"/>
  <c r="AY217" i="18"/>
  <c r="AZ217" i="18"/>
  <c r="BA217" i="18"/>
  <c r="BB217" i="18"/>
  <c r="HZ217" i="18"/>
  <c r="AY218" i="18"/>
  <c r="AZ218" i="18"/>
  <c r="BA218" i="18"/>
  <c r="BB218" i="18"/>
  <c r="HZ218" i="18"/>
  <c r="AY219" i="18"/>
  <c r="AZ219" i="18"/>
  <c r="BA219" i="18"/>
  <c r="BB219" i="18"/>
  <c r="HZ219" i="18"/>
  <c r="AY220" i="18"/>
  <c r="AZ220" i="18"/>
  <c r="BA220" i="18"/>
  <c r="BB220" i="18"/>
  <c r="HZ220" i="18"/>
  <c r="AY221" i="18"/>
  <c r="AZ221" i="18"/>
  <c r="BA221" i="18"/>
  <c r="BB221" i="18"/>
  <c r="HZ221" i="18"/>
  <c r="AY222" i="18"/>
  <c r="AZ222" i="18"/>
  <c r="BA222" i="18"/>
  <c r="BB222" i="18"/>
  <c r="HZ222" i="18"/>
  <c r="AY223" i="18"/>
  <c r="AZ223" i="18"/>
  <c r="BA223" i="18"/>
  <c r="BB223" i="18"/>
  <c r="HZ223" i="18"/>
  <c r="AY224" i="18"/>
  <c r="AZ224" i="18"/>
  <c r="BA224" i="18"/>
  <c r="BB224" i="18"/>
  <c r="HZ224" i="18"/>
  <c r="AY225" i="18"/>
  <c r="AZ225" i="18"/>
  <c r="BA225" i="18"/>
  <c r="BB225" i="18"/>
  <c r="HZ225" i="18"/>
  <c r="AY226" i="18"/>
  <c r="AZ226" i="18"/>
  <c r="BA226" i="18"/>
  <c r="BB226" i="18"/>
  <c r="HZ226" i="18"/>
  <c r="AY227" i="18"/>
  <c r="AZ227" i="18"/>
  <c r="BA227" i="18"/>
  <c r="BB227" i="18"/>
  <c r="HZ227" i="18"/>
  <c r="AY228" i="18"/>
  <c r="AZ228" i="18"/>
  <c r="BA228" i="18"/>
  <c r="BB228" i="18"/>
  <c r="HZ228" i="18"/>
  <c r="AY229" i="18"/>
  <c r="AZ229" i="18"/>
  <c r="BA229" i="18"/>
  <c r="BB229" i="18"/>
  <c r="HZ229" i="18"/>
  <c r="AY230" i="18"/>
  <c r="AZ230" i="18"/>
  <c r="BA230" i="18"/>
  <c r="BB230" i="18"/>
  <c r="HZ230" i="18"/>
  <c r="AY231" i="18"/>
  <c r="AZ231" i="18"/>
  <c r="BA231" i="18"/>
  <c r="BB231" i="18"/>
  <c r="HZ231" i="18"/>
  <c r="AY232" i="18"/>
  <c r="AZ232" i="18"/>
  <c r="BA232" i="18"/>
  <c r="BB232" i="18"/>
  <c r="HZ232" i="18"/>
  <c r="AY233" i="18"/>
  <c r="AZ233" i="18"/>
  <c r="BA233" i="18"/>
  <c r="BB233" i="18"/>
  <c r="HZ233" i="18"/>
  <c r="AY234" i="18"/>
  <c r="AZ234" i="18"/>
  <c r="BA234" i="18"/>
  <c r="BB234" i="18"/>
  <c r="AY235" i="18"/>
  <c r="AZ235" i="18"/>
  <c r="BA235" i="18"/>
  <c r="BB235" i="18"/>
  <c r="L3" i="10"/>
  <c r="M3" i="10"/>
  <c r="H4" i="10"/>
  <c r="L4" i="10"/>
  <c r="M4" i="10"/>
  <c r="B5" i="10"/>
  <c r="C5" i="10"/>
  <c r="L5" i="10"/>
  <c r="M5" i="10"/>
  <c r="B6" i="10"/>
  <c r="C6" i="10"/>
  <c r="H6" i="10"/>
  <c r="L6" i="10"/>
  <c r="M6" i="10"/>
  <c r="L7" i="10"/>
  <c r="M7" i="10"/>
  <c r="L8" i="10"/>
  <c r="M8" i="10"/>
  <c r="N8" i="10"/>
  <c r="B9" i="10"/>
  <c r="C9" i="10"/>
  <c r="B14" i="10"/>
  <c r="C14" i="10"/>
  <c r="D14" i="10"/>
  <c r="E14" i="10"/>
  <c r="G14" i="10"/>
  <c r="H14" i="10"/>
  <c r="I14" i="10"/>
  <c r="A15" i="10"/>
  <c r="B15" i="10"/>
  <c r="C15" i="10"/>
  <c r="D15" i="10"/>
  <c r="E15" i="10"/>
  <c r="G15" i="10"/>
  <c r="H15" i="10"/>
  <c r="I15" i="10"/>
  <c r="A16" i="10"/>
  <c r="B16" i="10"/>
  <c r="C16" i="10"/>
  <c r="D16" i="10"/>
  <c r="E16" i="10"/>
  <c r="G16" i="10"/>
  <c r="H16" i="10"/>
  <c r="I16" i="10"/>
  <c r="A17" i="10"/>
  <c r="B17" i="10"/>
  <c r="C17" i="10"/>
  <c r="D17" i="10"/>
  <c r="E17" i="10"/>
  <c r="G17" i="10"/>
  <c r="H17" i="10"/>
  <c r="I17" i="10"/>
  <c r="A18" i="10"/>
  <c r="B18" i="10"/>
  <c r="C18" i="10"/>
  <c r="D18" i="10"/>
  <c r="E18" i="10"/>
  <c r="G18" i="10"/>
  <c r="H18" i="10"/>
  <c r="I18" i="10"/>
  <c r="A19" i="10"/>
  <c r="B19" i="10"/>
  <c r="C19" i="10"/>
  <c r="D19" i="10"/>
  <c r="E19" i="10"/>
  <c r="G19" i="10"/>
  <c r="H19" i="10"/>
  <c r="A20" i="10"/>
  <c r="B20" i="10"/>
  <c r="C20" i="10"/>
  <c r="D20" i="10"/>
  <c r="E20" i="10"/>
  <c r="G20" i="10"/>
  <c r="H20" i="10"/>
  <c r="A21" i="10"/>
  <c r="B21" i="10"/>
  <c r="C21" i="10"/>
  <c r="D21" i="10"/>
  <c r="E21" i="10"/>
  <c r="G21" i="10"/>
  <c r="H21" i="10"/>
  <c r="I21" i="10"/>
  <c r="A22" i="10"/>
  <c r="B22" i="10"/>
  <c r="C22" i="10"/>
  <c r="D22" i="10"/>
  <c r="E22" i="10"/>
  <c r="F22" i="10"/>
  <c r="G22" i="10"/>
  <c r="H22" i="10"/>
  <c r="I22" i="10"/>
  <c r="A23" i="10"/>
  <c r="B23" i="10"/>
  <c r="C23" i="10"/>
  <c r="D23" i="10"/>
  <c r="E23" i="10"/>
  <c r="F23" i="10"/>
  <c r="G23" i="10"/>
  <c r="H23" i="10"/>
  <c r="I23" i="10"/>
  <c r="A24" i="10"/>
  <c r="B24" i="10"/>
  <c r="C24" i="10"/>
  <c r="D24" i="10"/>
  <c r="E24" i="10"/>
  <c r="F24" i="10"/>
  <c r="G24" i="10"/>
  <c r="H24" i="10"/>
  <c r="I24" i="10"/>
  <c r="A25" i="10"/>
  <c r="B25" i="10"/>
  <c r="C25" i="10"/>
  <c r="D25" i="10"/>
  <c r="E25" i="10"/>
  <c r="F25" i="10"/>
  <c r="G25" i="10"/>
  <c r="H25" i="10"/>
  <c r="I25" i="10"/>
  <c r="A26" i="10"/>
  <c r="B26" i="10"/>
  <c r="C26" i="10"/>
  <c r="D26" i="10"/>
  <c r="E26" i="10"/>
  <c r="F26" i="10"/>
  <c r="G26" i="10"/>
  <c r="H26" i="10"/>
  <c r="I26" i="10"/>
  <c r="A27" i="10"/>
  <c r="B27" i="10"/>
  <c r="C27" i="10"/>
  <c r="D27" i="10"/>
  <c r="E27" i="10"/>
  <c r="F27" i="10"/>
  <c r="G27" i="10"/>
  <c r="H27" i="10"/>
  <c r="I27" i="10"/>
  <c r="A28" i="10"/>
  <c r="B28" i="10"/>
  <c r="C28" i="10"/>
  <c r="D28" i="10"/>
  <c r="E28" i="10"/>
  <c r="F28" i="10"/>
  <c r="G28" i="10"/>
  <c r="H28" i="10"/>
  <c r="I28" i="10"/>
  <c r="A29" i="10"/>
  <c r="B29" i="10"/>
  <c r="C29" i="10"/>
  <c r="D29" i="10"/>
  <c r="E29" i="10"/>
  <c r="F29" i="10"/>
  <c r="G29" i="10"/>
  <c r="H29" i="10"/>
  <c r="I29" i="10"/>
  <c r="A30" i="10"/>
  <c r="B30" i="10"/>
  <c r="C30" i="10"/>
  <c r="D30" i="10"/>
  <c r="E30" i="10"/>
  <c r="F30" i="10"/>
  <c r="G30" i="10"/>
  <c r="H30" i="10"/>
  <c r="I30" i="10"/>
  <c r="A31" i="10"/>
  <c r="B31" i="10"/>
  <c r="C31" i="10"/>
  <c r="D31" i="10"/>
  <c r="E31" i="10"/>
  <c r="F31" i="10"/>
  <c r="G31" i="10"/>
  <c r="H31" i="10"/>
  <c r="I31" i="10"/>
  <c r="A32" i="10"/>
  <c r="B32" i="10"/>
  <c r="C32" i="10"/>
  <c r="D32" i="10"/>
  <c r="E32" i="10"/>
  <c r="F32" i="10"/>
  <c r="G32" i="10"/>
  <c r="H32" i="10"/>
  <c r="I32" i="10"/>
  <c r="A33" i="10"/>
  <c r="B33" i="10"/>
  <c r="C33" i="10"/>
  <c r="D33" i="10"/>
  <c r="E33" i="10"/>
  <c r="F33" i="10"/>
  <c r="G33" i="10"/>
  <c r="H33" i="10"/>
  <c r="I33" i="10"/>
  <c r="A34" i="10"/>
  <c r="B34" i="10"/>
  <c r="C34" i="10"/>
  <c r="D34" i="10"/>
  <c r="E34" i="10"/>
  <c r="F34" i="10"/>
  <c r="G34" i="10"/>
  <c r="H34" i="10"/>
  <c r="I34" i="10"/>
  <c r="A35" i="10"/>
  <c r="B35" i="10"/>
  <c r="C35" i="10"/>
  <c r="D35" i="10"/>
  <c r="E35" i="10"/>
  <c r="F35" i="10"/>
  <c r="G35" i="10"/>
  <c r="H35" i="10"/>
  <c r="I35" i="10"/>
  <c r="A36" i="10"/>
  <c r="B36" i="10"/>
  <c r="C36" i="10"/>
  <c r="D36" i="10"/>
  <c r="E36" i="10"/>
  <c r="F36" i="10"/>
  <c r="G36" i="10"/>
  <c r="H36" i="10"/>
  <c r="I36" i="10"/>
  <c r="A37" i="10"/>
  <c r="B37" i="10"/>
  <c r="C37" i="10"/>
  <c r="D37" i="10"/>
  <c r="E37" i="10"/>
  <c r="F37" i="10"/>
  <c r="G37" i="10"/>
  <c r="H37" i="10"/>
  <c r="I37" i="10"/>
  <c r="A38" i="10"/>
  <c r="B38" i="10"/>
  <c r="C38" i="10"/>
  <c r="D38" i="10"/>
  <c r="E38" i="10"/>
  <c r="F38" i="10"/>
  <c r="G38" i="10"/>
  <c r="H38" i="10"/>
  <c r="I38" i="10"/>
  <c r="A39" i="10"/>
  <c r="B39" i="10"/>
  <c r="C39" i="10"/>
  <c r="D39" i="10"/>
  <c r="E39" i="10"/>
  <c r="F39" i="10"/>
  <c r="G39" i="10"/>
  <c r="H39" i="10"/>
  <c r="I39" i="10"/>
  <c r="A40" i="10"/>
  <c r="B40" i="10"/>
  <c r="C40" i="10"/>
  <c r="D40" i="10"/>
  <c r="E40" i="10"/>
  <c r="F40" i="10"/>
  <c r="G40" i="10"/>
  <c r="H40" i="10"/>
  <c r="I40" i="10"/>
  <c r="A41" i="10"/>
  <c r="B41" i="10"/>
  <c r="C41" i="10"/>
  <c r="D41" i="10"/>
  <c r="E41" i="10"/>
  <c r="F41" i="10"/>
  <c r="G41" i="10"/>
  <c r="H41" i="10"/>
  <c r="I41" i="10"/>
  <c r="A42" i="10"/>
  <c r="B42" i="10"/>
  <c r="C42" i="10"/>
  <c r="D42" i="10"/>
  <c r="E42" i="10"/>
  <c r="F42" i="10"/>
  <c r="G42" i="10"/>
  <c r="H42" i="10"/>
  <c r="I42" i="10"/>
  <c r="A43" i="10"/>
  <c r="B43" i="10"/>
  <c r="C43" i="10"/>
  <c r="D43" i="10"/>
  <c r="E43" i="10"/>
  <c r="F43" i="10"/>
  <c r="G43" i="10"/>
  <c r="H43" i="10"/>
  <c r="I43" i="10"/>
  <c r="A44" i="10"/>
  <c r="B44" i="10"/>
  <c r="C44" i="10"/>
  <c r="D44" i="10"/>
  <c r="E44" i="10"/>
  <c r="F44" i="10"/>
  <c r="G44" i="10"/>
  <c r="H44" i="10"/>
  <c r="I44" i="10"/>
  <c r="A45" i="10"/>
  <c r="B45" i="10"/>
  <c r="C45" i="10"/>
  <c r="D45" i="10"/>
  <c r="E45" i="10"/>
  <c r="F45" i="10"/>
  <c r="G45" i="10"/>
  <c r="H45" i="10"/>
  <c r="I45" i="10"/>
  <c r="A46" i="10"/>
  <c r="B46" i="10"/>
  <c r="C46" i="10"/>
  <c r="D46" i="10"/>
  <c r="E46" i="10"/>
  <c r="F46" i="10"/>
  <c r="G46" i="10"/>
  <c r="H46" i="10"/>
  <c r="I46" i="10"/>
  <c r="A47" i="10"/>
  <c r="B47" i="10"/>
  <c r="C47" i="10"/>
  <c r="D47" i="10"/>
  <c r="E47" i="10"/>
  <c r="F47" i="10"/>
  <c r="G47" i="10"/>
  <c r="H47" i="10"/>
  <c r="I47" i="10"/>
  <c r="A48" i="10"/>
  <c r="B48" i="10"/>
  <c r="C48" i="10"/>
  <c r="D48" i="10"/>
  <c r="E48" i="10"/>
  <c r="F48" i="10"/>
  <c r="G48" i="10"/>
  <c r="H48" i="10"/>
  <c r="I48" i="10"/>
  <c r="A49" i="10"/>
  <c r="B49" i="10"/>
  <c r="C49" i="10"/>
  <c r="D49" i="10"/>
  <c r="E49" i="10"/>
  <c r="F49" i="10"/>
  <c r="G49" i="10"/>
  <c r="H49" i="10"/>
  <c r="I49" i="10"/>
  <c r="A50" i="10"/>
  <c r="B50" i="10"/>
  <c r="C50" i="10"/>
  <c r="D50" i="10"/>
  <c r="E50" i="10"/>
  <c r="F50" i="10"/>
  <c r="G50" i="10"/>
  <c r="H50" i="10"/>
  <c r="I50" i="10"/>
  <c r="A51" i="10"/>
  <c r="B51" i="10"/>
  <c r="C51" i="10"/>
  <c r="D51" i="10"/>
  <c r="E51" i="10"/>
  <c r="F51" i="10"/>
  <c r="G51" i="10"/>
  <c r="H51" i="10"/>
  <c r="I51" i="10"/>
  <c r="A52" i="10"/>
  <c r="B52" i="10"/>
  <c r="C52" i="10"/>
  <c r="D52" i="10"/>
  <c r="E52" i="10"/>
  <c r="F52" i="10"/>
  <c r="G52" i="10"/>
  <c r="H52" i="10"/>
  <c r="I52" i="10"/>
  <c r="A53" i="10"/>
  <c r="B53" i="10"/>
  <c r="C53" i="10"/>
  <c r="D53" i="10"/>
  <c r="E53" i="10"/>
  <c r="G53" i="10"/>
  <c r="H53" i="10"/>
  <c r="I53" i="10"/>
  <c r="A54" i="10"/>
  <c r="B54" i="10"/>
  <c r="C54" i="10"/>
  <c r="D54" i="10"/>
  <c r="E54" i="10"/>
  <c r="G54" i="10"/>
  <c r="H54" i="10"/>
  <c r="I54" i="10"/>
  <c r="A55" i="10"/>
  <c r="B55" i="10"/>
  <c r="C55" i="10"/>
  <c r="D55" i="10"/>
  <c r="E55" i="10"/>
  <c r="G55" i="10"/>
  <c r="H55" i="10"/>
  <c r="I55" i="10"/>
  <c r="A56" i="10"/>
  <c r="B56" i="10"/>
  <c r="C56" i="10"/>
  <c r="D56" i="10"/>
  <c r="E56" i="10"/>
  <c r="G56" i="10"/>
  <c r="H56" i="10"/>
  <c r="I56" i="10"/>
  <c r="A57" i="10"/>
  <c r="B57" i="10"/>
  <c r="C57" i="10"/>
  <c r="D57" i="10"/>
  <c r="E57" i="10"/>
  <c r="G57" i="10"/>
  <c r="H57" i="10"/>
  <c r="I57" i="10"/>
  <c r="A58" i="10"/>
  <c r="B58" i="10"/>
  <c r="C58" i="10"/>
  <c r="D58" i="10"/>
  <c r="E58" i="10"/>
  <c r="G58" i="10"/>
  <c r="H58" i="10"/>
  <c r="I58" i="10"/>
  <c r="A59" i="10"/>
  <c r="B59" i="10"/>
  <c r="C59" i="10"/>
  <c r="D59" i="10"/>
  <c r="E59" i="10"/>
  <c r="G59" i="10"/>
  <c r="H59" i="10"/>
  <c r="I59" i="10"/>
  <c r="A60" i="10"/>
  <c r="B60" i="10"/>
  <c r="C60" i="10"/>
  <c r="D60" i="10"/>
  <c r="E60" i="10"/>
  <c r="G60" i="10"/>
  <c r="H60" i="10"/>
  <c r="I60" i="10"/>
</calcChain>
</file>

<file path=xl/comments1.xml><?xml version="1.0" encoding="utf-8"?>
<comments xmlns="http://schemas.openxmlformats.org/spreadsheetml/2006/main">
  <authors>
    <author>kziegen</author>
  </authors>
  <commentList>
    <comment ref="A1" authorId="0" shapeId="0">
      <text>
        <r>
          <rPr>
            <b/>
            <sz val="8"/>
            <color indexed="81"/>
            <rFont val="Tahoma"/>
          </rPr>
          <t>kziegen:</t>
        </r>
        <r>
          <rPr>
            <sz val="8"/>
            <color indexed="81"/>
            <rFont val="Tahoma"/>
          </rPr>
          <t xml:space="preserve">
If you ever add a new option TYPE or change the range of dates, be sure to update the Benchmark Positions worksheet.
</t>
        </r>
      </text>
    </comment>
  </commentList>
</comments>
</file>

<file path=xl/comments2.xml><?xml version="1.0" encoding="utf-8"?>
<comments xmlns="http://schemas.openxmlformats.org/spreadsheetml/2006/main">
  <authors>
    <author>kziegen</author>
  </authors>
  <commentList>
    <comment ref="B7" authorId="0" shapeId="0">
      <text>
        <r>
          <rPr>
            <b/>
            <sz val="8"/>
            <color indexed="81"/>
            <rFont val="Tahoma"/>
          </rPr>
          <t>kziegen:</t>
        </r>
        <r>
          <rPr>
            <sz val="8"/>
            <color indexed="81"/>
            <rFont val="Tahoma"/>
          </rPr>
          <t xml:space="preserve">
This is a modification of deal R5647.  See Tickets for Options 5/28/98 for details.</t>
        </r>
      </text>
    </comment>
  </commentList>
</comments>
</file>

<file path=xl/sharedStrings.xml><?xml version="1.0" encoding="utf-8"?>
<sst xmlns="http://schemas.openxmlformats.org/spreadsheetml/2006/main" count="59355" uniqueCount="636">
  <si>
    <t>IF-HPL/SHPCHAN</t>
  </si>
  <si>
    <t>P</t>
  </si>
  <si>
    <t>Pub Code</t>
  </si>
  <si>
    <t>Period</t>
  </si>
  <si>
    <t>Cap</t>
  </si>
  <si>
    <t>Price</t>
  </si>
  <si>
    <t>IF-PAN/TX/OK</t>
  </si>
  <si>
    <t>IF-TRANSCO/Z6</t>
  </si>
  <si>
    <t>Correlation</t>
  </si>
  <si>
    <t>IF-NWPL_ROCKY_M</t>
  </si>
  <si>
    <t>IF-CGT/APPALAC</t>
  </si>
  <si>
    <t>Phy/</t>
  </si>
  <si>
    <t>Call/</t>
  </si>
  <si>
    <t>Monthly</t>
  </si>
  <si>
    <t>Stike</t>
  </si>
  <si>
    <t>Counterparty</t>
  </si>
  <si>
    <t>Deal Num</t>
  </si>
  <si>
    <t>Fin</t>
  </si>
  <si>
    <t>Put</t>
  </si>
  <si>
    <t>Option Qty</t>
  </si>
  <si>
    <t>F</t>
  </si>
  <si>
    <t>C</t>
  </si>
  <si>
    <t>DELTA</t>
  </si>
  <si>
    <t>PREMIUM</t>
  </si>
  <si>
    <t>MTM Value</t>
  </si>
  <si>
    <t>NYMEX</t>
  </si>
  <si>
    <t>Basis</t>
  </si>
  <si>
    <t>Index</t>
  </si>
  <si>
    <t>Interest</t>
  </si>
  <si>
    <t>Rate</t>
  </si>
  <si>
    <t>Vol</t>
  </si>
  <si>
    <t>INDEX</t>
  </si>
  <si>
    <t>Expiry</t>
  </si>
  <si>
    <t>Opt</t>
  </si>
  <si>
    <t>Type</t>
  </si>
  <si>
    <t>Effective Date:</t>
  </si>
  <si>
    <t>Manual inputs (Key in on THIS page)</t>
  </si>
  <si>
    <t>Formulas (DO NOT alter these cells)</t>
  </si>
  <si>
    <t>Location</t>
  </si>
  <si>
    <t>Date</t>
  </si>
  <si>
    <t>Do not alter these Cells</t>
  </si>
  <si>
    <t>Position</t>
  </si>
  <si>
    <t>Net Position</t>
  </si>
  <si>
    <t>TOTALS:</t>
  </si>
  <si>
    <t>IF-TRANSCO/Z2</t>
  </si>
  <si>
    <t>IF-TRANSCO/Z1</t>
  </si>
  <si>
    <t>IF-TRANSCO/Z3</t>
  </si>
  <si>
    <t>IF-SONAT/LA</t>
  </si>
  <si>
    <t>IF-COLGULF/LA</t>
  </si>
  <si>
    <t>Total Position</t>
  </si>
  <si>
    <t>Floor</t>
  </si>
  <si>
    <t>Volatility</t>
  </si>
  <si>
    <t>Spread</t>
  </si>
  <si>
    <t xml:space="preserve">Expiry of </t>
  </si>
  <si>
    <t>Collarlets</t>
  </si>
  <si>
    <t>Expiry of</t>
  </si>
  <si>
    <t>Overlying</t>
  </si>
  <si>
    <t>Swap Vol</t>
  </si>
  <si>
    <t>(Overlying)</t>
  </si>
  <si>
    <t>Potition</t>
  </si>
  <si>
    <t>Interest Rate</t>
  </si>
  <si>
    <t>Manual Inputs (Key in on THIS Page)</t>
  </si>
  <si>
    <t>Formulas (Do NOT Alter These Cells)</t>
  </si>
  <si>
    <t>Days Until</t>
  </si>
  <si>
    <t>EXTENDIBLE COLLARS</t>
  </si>
  <si>
    <t>BASIS OPTIONS</t>
  </si>
  <si>
    <t>SUMMARY OF ALL EXOTIC OPTIONS</t>
  </si>
  <si>
    <t>Option Type</t>
  </si>
  <si>
    <t>Basis Options</t>
  </si>
  <si>
    <t>Extendible Collars</t>
  </si>
  <si>
    <t>Totals:</t>
  </si>
  <si>
    <t>Position by Month:</t>
  </si>
  <si>
    <t>Total</t>
  </si>
  <si>
    <t>Net Position By Region</t>
  </si>
  <si>
    <t>NGI/CHI. GATE</t>
  </si>
  <si>
    <t>NG - HSC</t>
  </si>
  <si>
    <t>NG - Perm</t>
  </si>
  <si>
    <t>NG - TCO</t>
  </si>
  <si>
    <t>NG - Z6</t>
  </si>
  <si>
    <t>NG - Rockies</t>
  </si>
  <si>
    <t>NG - Panhandle</t>
  </si>
  <si>
    <t>NG - Chicago</t>
  </si>
  <si>
    <t>Ave Winter</t>
  </si>
  <si>
    <t>Ave Summer</t>
  </si>
  <si>
    <t>Offset</t>
  </si>
  <si>
    <t>Basis Delta</t>
  </si>
  <si>
    <t>NYMEX Eq.</t>
  </si>
  <si>
    <t>Delta</t>
  </si>
  <si>
    <t>Basis Opt. Equiv</t>
  </si>
  <si>
    <t>Total Nymex Equiv</t>
  </si>
  <si>
    <t>Reserve</t>
  </si>
  <si>
    <t>Total Reported Value</t>
  </si>
  <si>
    <t>Correlations</t>
  </si>
  <si>
    <t>X5783</t>
  </si>
  <si>
    <t>IF-NGPL/LA</t>
  </si>
  <si>
    <t>IF-FGT/Z3</t>
  </si>
  <si>
    <t>IF-TENN/TX</t>
  </si>
  <si>
    <t>IF-ELPO/PERMIAN</t>
  </si>
  <si>
    <t>Basket</t>
  </si>
  <si>
    <t>Option</t>
  </si>
  <si>
    <t>Premium</t>
  </si>
  <si>
    <t>MTM</t>
  </si>
  <si>
    <t>Basket Options</t>
  </si>
  <si>
    <t>Pub Codes</t>
  </si>
  <si>
    <t>NX1</t>
  </si>
  <si>
    <t>R5647</t>
  </si>
  <si>
    <t>X6175</t>
  </si>
  <si>
    <t>Vol Inputs</t>
  </si>
  <si>
    <t>MANUAL VOL INPUTS GO TO:</t>
  </si>
  <si>
    <t>EY1230</t>
  </si>
  <si>
    <t>EXTENDABLE COLLARS</t>
  </si>
  <si>
    <t>PERIOD</t>
  </si>
  <si>
    <t>REGION</t>
  </si>
  <si>
    <t>TOTAL</t>
  </si>
  <si>
    <t>CONTRACT</t>
  </si>
  <si>
    <t>BASKET OPTIONS</t>
  </si>
  <si>
    <t>TOTAL EXOTIC POSITIONS</t>
  </si>
  <si>
    <t>POSITION</t>
  </si>
  <si>
    <t>CONTRACTS</t>
  </si>
  <si>
    <t>IF-HEHUB</t>
  </si>
  <si>
    <t>PR</t>
  </si>
  <si>
    <t>D</t>
  </si>
  <si>
    <t>Call</t>
  </si>
  <si>
    <t>Effective Date</t>
  </si>
  <si>
    <t>Prompt Month</t>
  </si>
  <si>
    <t>Curve Type</t>
  </si>
  <si>
    <t>VO</t>
  </si>
  <si>
    <t>AA</t>
  </si>
  <si>
    <t>Book Code 1</t>
  </si>
  <si>
    <t>I</t>
  </si>
  <si>
    <t>R</t>
  </si>
  <si>
    <t>Curve Code</t>
  </si>
  <si>
    <t>NG</t>
  </si>
  <si>
    <t>INTNS</t>
  </si>
  <si>
    <t>Totals</t>
  </si>
  <si>
    <t>Gamma</t>
  </si>
  <si>
    <t>Rho</t>
  </si>
  <si>
    <t>Vega</t>
  </si>
  <si>
    <t>Theta</t>
  </si>
  <si>
    <t>Total Change</t>
  </si>
  <si>
    <t>Current Total Basis Option Value</t>
  </si>
  <si>
    <t>Previous Basis Option Value</t>
  </si>
  <si>
    <t>Change in Total Value</t>
  </si>
  <si>
    <t>BREAKDOWN OF DAILY P/L CHANGE</t>
  </si>
  <si>
    <t>DATE</t>
  </si>
  <si>
    <t>Curve Shift/Gamma</t>
  </si>
  <si>
    <t>Drift</t>
  </si>
  <si>
    <t>Prior Day</t>
  </si>
  <si>
    <t>Prior Strike</t>
  </si>
  <si>
    <t>Change</t>
  </si>
  <si>
    <t>Current Value</t>
  </si>
  <si>
    <t>Previous Value</t>
  </si>
  <si>
    <t>CURRENT EXTENDABLE COLLAR TOTAL VALUE</t>
  </si>
  <si>
    <t>PREVIOUS EXTENDABLE COLLAR TOTAL VALUE</t>
  </si>
  <si>
    <t>CHANGE</t>
  </si>
  <si>
    <t>PREVIOUS DAYS CURVE INFO</t>
  </si>
  <si>
    <t>Curve Shift</t>
  </si>
  <si>
    <t>PRIOR</t>
  </si>
  <si>
    <t>BREAKDOWN OF EXTENDABLE COLLAR P/L CHANGE</t>
  </si>
  <si>
    <t>Forward Pr</t>
  </si>
  <si>
    <t>Int Rates</t>
  </si>
  <si>
    <t>Vols</t>
  </si>
  <si>
    <t>Exp Days</t>
  </si>
  <si>
    <t>PUBCODE</t>
  </si>
  <si>
    <t>DAY</t>
  </si>
  <si>
    <t>Data</t>
  </si>
  <si>
    <t>Grand Total</t>
  </si>
  <si>
    <t>Sum of Gamma</t>
  </si>
  <si>
    <t>Sum of Rho</t>
  </si>
  <si>
    <t>Sum of Drift</t>
  </si>
  <si>
    <t>Sum of Vega</t>
  </si>
  <si>
    <t>Sum of Theta</t>
  </si>
  <si>
    <t>MAY00-OCT00</t>
  </si>
  <si>
    <t>Total Sum of Gamma</t>
  </si>
  <si>
    <t>Total Sum of Rho</t>
  </si>
  <si>
    <t>Total Sum of Drift</t>
  </si>
  <si>
    <t>Total Sum of Vega</t>
  </si>
  <si>
    <t>Total Sum of Theta</t>
  </si>
  <si>
    <t>(blank)</t>
  </si>
  <si>
    <t>NOTE: THIS COLUMN OF POSITIONS IS NOT INCLUDED IN THE TOTAL NYMEX BECAUSE IT IS IN THE SYSTEM</t>
  </si>
  <si>
    <t>User ID:</t>
  </si>
  <si>
    <t>mbennet_pc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</si>
  <si>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</si>
  <si>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</si>
  <si>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</si>
  <si>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</si>
  <si>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</si>
  <si>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</si>
  <si>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Effective Dt:</t>
  </si>
  <si>
    <t>Enter today's Effective Dt</t>
  </si>
  <si>
    <t>NGI-SOCAL</t>
  </si>
  <si>
    <t>p</t>
  </si>
  <si>
    <t>Prior Day Disc. Factor</t>
  </si>
  <si>
    <t>Today Disc. Factor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</si>
  <si>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</si>
  <si>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</si>
  <si>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</si>
  <si>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</si>
  <si>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</si>
  <si>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</si>
  <si>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</si>
  <si>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</si>
  <si>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</si>
  <si>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</si>
  <si>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</si>
  <si>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mtm_value_amt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</si>
  <si>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</si>
  <si>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</si>
  <si>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</si>
  <si>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</si>
  <si>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</si>
  <si>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</si>
  <si>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</si>
  <si>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</si>
  <si>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</si>
  <si>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</si>
  <si>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</si>
  <si>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</si>
  <si>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</si>
  <si>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</si>
  <si>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</si>
  <si>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</si>
  <si>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</si>
  <si>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</si>
  <si>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</si>
  <si>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</si>
  <si>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</si>
  <si>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</si>
  <si>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</si>
  <si>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</si>
  <si>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</si>
  <si>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</si>
  <si>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</si>
  <si>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NG-OPT-XL-PRC</t>
  </si>
  <si>
    <t>O</t>
  </si>
  <si>
    <t>USD</t>
  </si>
  <si>
    <t>MMBTU</t>
  </si>
  <si>
    <t>IF-ELPO/SJ</t>
  </si>
  <si>
    <t>Srike</t>
  </si>
  <si>
    <t>Payoff</t>
  </si>
  <si>
    <t>Payment</t>
  </si>
  <si>
    <t>Put/</t>
  </si>
  <si>
    <t>EUR</t>
  </si>
  <si>
    <t>DIGITAL OPTIONS</t>
  </si>
  <si>
    <t>Total MTM:</t>
  </si>
  <si>
    <t>Digital</t>
  </si>
  <si>
    <t>HELMERICHPAYNE</t>
  </si>
  <si>
    <t>N29863</t>
  </si>
  <si>
    <t>IF-ANR/OK</t>
  </si>
  <si>
    <t>Contract</t>
  </si>
  <si>
    <t>E</t>
  </si>
  <si>
    <t>Internal</t>
  </si>
  <si>
    <t>External</t>
  </si>
  <si>
    <t>N/A</t>
  </si>
  <si>
    <t>DESK</t>
  </si>
  <si>
    <t>OPTION</t>
  </si>
  <si>
    <t>N</t>
  </si>
  <si>
    <t>IF-TGT/ZSL</t>
  </si>
  <si>
    <t>Total P/L</t>
  </si>
  <si>
    <t>MICHAELPET</t>
  </si>
  <si>
    <t>extendable collars</t>
  </si>
  <si>
    <t>basis option</t>
  </si>
  <si>
    <t>basket options</t>
  </si>
  <si>
    <t>digital options</t>
  </si>
  <si>
    <t>DO NOT DELETE OR MOVE!!</t>
  </si>
  <si>
    <t>EM1452.2</t>
  </si>
  <si>
    <t>N33626.2</t>
  </si>
  <si>
    <t>STATOILENETRA</t>
  </si>
  <si>
    <t>RELIANTENESER</t>
  </si>
  <si>
    <t>ENA</t>
  </si>
  <si>
    <t>LT-TRANS-EA</t>
  </si>
  <si>
    <t>NA9501.1</t>
  </si>
  <si>
    <t>Digital Options</t>
  </si>
  <si>
    <t>Total Cash Flows</t>
  </si>
  <si>
    <t>PV Factor</t>
  </si>
  <si>
    <t>Undiscounted Cash Flows</t>
  </si>
  <si>
    <t>TXUENETRA</t>
  </si>
  <si>
    <t>UPRENESER</t>
  </si>
  <si>
    <t>NB4804</t>
  </si>
  <si>
    <t>ELPASMER</t>
  </si>
  <si>
    <t>HIGHLANDENECOM</t>
  </si>
  <si>
    <t>SOUTHERCOMENEMA</t>
  </si>
  <si>
    <t>NE3899</t>
  </si>
  <si>
    <t>NE3901</t>
  </si>
  <si>
    <t>DUKEENETRA</t>
  </si>
  <si>
    <t>NE3903</t>
  </si>
  <si>
    <t>DYNEGYMARAND</t>
  </si>
  <si>
    <t>NE3906</t>
  </si>
  <si>
    <t>NE5062.1</t>
  </si>
  <si>
    <t>NE5062.2</t>
  </si>
  <si>
    <t>OMICRON</t>
  </si>
  <si>
    <t>blank</t>
  </si>
  <si>
    <t>Contracts</t>
  </si>
  <si>
    <t>Sum of Contracts</t>
  </si>
  <si>
    <t>JARON</t>
  </si>
  <si>
    <t>NE6161.1</t>
  </si>
  <si>
    <t>NE6161.2</t>
  </si>
  <si>
    <t>NE6195</t>
  </si>
  <si>
    <t>NE6212</t>
  </si>
  <si>
    <t>NE7612</t>
  </si>
  <si>
    <t>NE8609</t>
  </si>
  <si>
    <t>NE8644</t>
  </si>
  <si>
    <t>NE9017</t>
  </si>
  <si>
    <t>NF0077.1</t>
  </si>
  <si>
    <t>NF0077.2</t>
  </si>
  <si>
    <t>NF0106.1</t>
  </si>
  <si>
    <t>NF0106.2</t>
  </si>
  <si>
    <t>NF1092.1</t>
  </si>
  <si>
    <t>NF1092.2</t>
  </si>
  <si>
    <t>NF1105.1</t>
  </si>
  <si>
    <t>NF1105.2</t>
  </si>
  <si>
    <t>NF1114.1</t>
  </si>
  <si>
    <t>NF1114.2</t>
  </si>
  <si>
    <t>NF2908.1</t>
  </si>
  <si>
    <t>NF2908.2</t>
  </si>
  <si>
    <t>NF2912.1</t>
  </si>
  <si>
    <t>NF2912.2</t>
  </si>
  <si>
    <t>NF3896.1</t>
  </si>
  <si>
    <t>NF3896.2</t>
  </si>
  <si>
    <t>NF4362</t>
  </si>
  <si>
    <t>AEPENESER</t>
  </si>
  <si>
    <t>NF4364.1</t>
  </si>
  <si>
    <t>NF4364.2</t>
  </si>
  <si>
    <t>NF4364.3</t>
  </si>
  <si>
    <t>TRACTEBEENEMAR</t>
  </si>
  <si>
    <t>IF-NNG/VENT</t>
  </si>
  <si>
    <t>NF5550.1</t>
  </si>
  <si>
    <t>NF5550.2</t>
  </si>
  <si>
    <t>NF5563</t>
  </si>
  <si>
    <t>NF5578.1</t>
  </si>
  <si>
    <t>NF5578.2</t>
  </si>
  <si>
    <t>IF-NNG-VENT</t>
  </si>
  <si>
    <t>NF6503.1</t>
  </si>
  <si>
    <t>=xXCOL2(K7:K12,AQ7:AQ12,AR7:AR12,AS7:AS12,P7,Q7,E7-$AP$2,H7,G7,N7,45,0)*(SUM(F7:F12))-BA7</t>
  </si>
  <si>
    <t>=xXCOL2(AP7:AP12,L7:L12,AR7:AR12,AS7:AS12,P7,Q7,E7-$AP$2,H7,G7,N7,45,0)*(SUM(F7:F12))-BA7</t>
  </si>
  <si>
    <t>=(BA7/VLOOKUP(D7,discount,3,FALSE))-(BA7/VLOOKUP(D7,discount,2,FALSE))</t>
  </si>
  <si>
    <t>=xXCOL2(AP7:AP12,AQ7:AQ12,AR7:AR12,AS7:AS12,P7,Q7,E7-$AP$2,H7,G7,N7,45,0)*(SUM(F7:F12))-BA7</t>
  </si>
  <si>
    <t>=xXCOL2(AP7:AP12,AQ7:AQ12,AR7:AR12,M7:M12,P7,Q7,E7-$B$3,H7,G7,N7,45,0)*(SUM(F7:F12))-BA7</t>
  </si>
  <si>
    <t>=xXCOL2(AP7:AP12,AQ7:AQ12,AR7:AR12,AS7:AS12,P7,Q7,E7-$AP$2,H7,G7,N7,45,0)*(SUM(F7:F12))</t>
  </si>
  <si>
    <t>=V7-BA7</t>
  </si>
  <si>
    <t>=SUM(BA7:BA25)</t>
  </si>
  <si>
    <t>Gas Daily Spread OPTIONS</t>
  </si>
  <si>
    <t>Pub Code 1</t>
  </si>
  <si>
    <t>Pub Code 2</t>
  </si>
  <si>
    <t>=xDIGITAL(H8,L8,I8,M8,M8,O8,N8,P8,0)</t>
  </si>
  <si>
    <t>=xDIGITAL(H8,L8,I8,M8,M8,O8,N8,P8,1)</t>
  </si>
  <si>
    <t>=Q8*F8</t>
  </si>
  <si>
    <t>NG1241.1</t>
  </si>
  <si>
    <t>WILLIAMSENEMAR</t>
  </si>
  <si>
    <t>NG4285.1</t>
  </si>
  <si>
    <t>NG4285.2</t>
  </si>
  <si>
    <t>AVISTAENE</t>
  </si>
  <si>
    <t>NG4457.1</t>
  </si>
  <si>
    <t>=VLOOKUP(E7,NGPrices,2,FALSE)</t>
  </si>
  <si>
    <t>=HLOOKUP(C7,Prices,VLOOKUP(E7,move_down,2,FALSE),FALSE)</t>
  </si>
  <si>
    <t>=K7+J7</t>
  </si>
  <si>
    <t>=VLOOKUP(E7,NGPrices,4,FALSE)</t>
  </si>
  <si>
    <t>=HLOOKUP(C7,VOLS,VLOOKUP(E7,move_down,2,FALSE),FALSE)</t>
  </si>
  <si>
    <t>NG8049.1</t>
  </si>
  <si>
    <t>NG8063.1</t>
  </si>
  <si>
    <t>NG1460</t>
  </si>
  <si>
    <t>NG9888</t>
  </si>
  <si>
    <t>NH2932</t>
  </si>
  <si>
    <t>KOCHENETRA</t>
  </si>
  <si>
    <t>NH4414</t>
  </si>
  <si>
    <t>NH4419</t>
  </si>
  <si>
    <t>Price 1</t>
  </si>
  <si>
    <t>Price 2</t>
  </si>
  <si>
    <t>INDEX 1</t>
  </si>
  <si>
    <t>INDEX 2</t>
  </si>
  <si>
    <t>M</t>
  </si>
  <si>
    <t>PHIBRO</t>
  </si>
  <si>
    <t>NH6374</t>
  </si>
  <si>
    <t>NH8899.1</t>
  </si>
  <si>
    <t>NI0591.1</t>
  </si>
  <si>
    <t>NI3451.1</t>
  </si>
  <si>
    <t>.</t>
  </si>
  <si>
    <t>NI6123.1</t>
  </si>
  <si>
    <t>NI6136.1</t>
  </si>
  <si>
    <t>NI6136.2</t>
  </si>
  <si>
    <t>NJ0119.1</t>
  </si>
  <si>
    <t>NJ0240.1</t>
  </si>
  <si>
    <t>NJ0240.2</t>
  </si>
  <si>
    <t>CMSMARSERTRA</t>
  </si>
  <si>
    <t>IF-TETCO/M3</t>
  </si>
  <si>
    <t>NYMEX Equivalent Delta Position By Pipe</t>
  </si>
  <si>
    <t>NYMEX Equivalent Delta Contract Position By Pipe</t>
  </si>
  <si>
    <t>NI6159</t>
  </si>
  <si>
    <t>NJ2434.1</t>
  </si>
  <si>
    <t>NJ2434.2</t>
  </si>
  <si>
    <t xml:space="preserve"> GD Index</t>
  </si>
  <si>
    <t>GD Index</t>
  </si>
  <si>
    <t>GDP-CAL BORDER</t>
  </si>
  <si>
    <t>GDP-ELPO/SANJUA</t>
  </si>
  <si>
    <t>NG_OMICRON_4</t>
  </si>
  <si>
    <t>PGEENETRAGAS</t>
  </si>
  <si>
    <t>NJ4328</t>
  </si>
  <si>
    <t>NJ4410</t>
  </si>
  <si>
    <t>NJ4429</t>
  </si>
  <si>
    <t>OCCIDENTENEMAR</t>
  </si>
  <si>
    <t>NJ7455</t>
  </si>
  <si>
    <t>delta</t>
  </si>
  <si>
    <t>EW1882</t>
  </si>
  <si>
    <t>EW2420</t>
  </si>
  <si>
    <t>NK0151</t>
  </si>
  <si>
    <t>NK4321</t>
  </si>
  <si>
    <t>NK4353</t>
  </si>
  <si>
    <t>NK4369</t>
  </si>
  <si>
    <t>GD Spread Options</t>
  </si>
  <si>
    <t>NK7690</t>
  </si>
  <si>
    <t>NK7692</t>
  </si>
  <si>
    <t>NK7700</t>
  </si>
  <si>
    <t>Net</t>
  </si>
  <si>
    <t>gd spread options</t>
  </si>
  <si>
    <t>NI3439.1</t>
  </si>
  <si>
    <t>NI3439.2</t>
  </si>
  <si>
    <t>NL2540.1</t>
  </si>
  <si>
    <t>NL2540.2</t>
  </si>
  <si>
    <t>NL4381.1</t>
  </si>
  <si>
    <t>NL4381.2</t>
  </si>
  <si>
    <t>NL6881</t>
  </si>
  <si>
    <t>NL6887</t>
  </si>
  <si>
    <t>NL6887.1</t>
  </si>
  <si>
    <t>NL6887.2</t>
  </si>
  <si>
    <t>NL8209.1</t>
  </si>
  <si>
    <t>NL8209.2</t>
  </si>
  <si>
    <t>NL8217</t>
  </si>
  <si>
    <t>NL8222</t>
  </si>
  <si>
    <t>NL8409</t>
  </si>
  <si>
    <t>NL8413.1</t>
  </si>
  <si>
    <t>NL8413.2</t>
  </si>
  <si>
    <t>NL8413.3</t>
  </si>
  <si>
    <t>NL8419.1</t>
  </si>
  <si>
    <t>NL8419.2</t>
  </si>
  <si>
    <t>SMALLVENUSA</t>
  </si>
  <si>
    <t>NL9178</t>
  </si>
  <si>
    <t>NM2053.1</t>
  </si>
  <si>
    <t>NM2053.2</t>
  </si>
  <si>
    <t>NM2063.1</t>
  </si>
  <si>
    <t>NM2063.2</t>
  </si>
  <si>
    <t>NM2077.1</t>
  </si>
  <si>
    <t>NM2077.2</t>
  </si>
  <si>
    <t>NM2100</t>
  </si>
  <si>
    <t>NM2109</t>
  </si>
  <si>
    <t>NM2145</t>
  </si>
  <si>
    <t>NM2238</t>
  </si>
  <si>
    <t>gamma</t>
  </si>
  <si>
    <t>NM4160.1</t>
  </si>
  <si>
    <t>NM4160.2</t>
  </si>
  <si>
    <t>NM4160.3</t>
  </si>
  <si>
    <t>NM6058.1</t>
  </si>
  <si>
    <t>NM6058.2</t>
  </si>
  <si>
    <t>NM6058.3</t>
  </si>
  <si>
    <t>NM6058.4</t>
  </si>
  <si>
    <t>NM6058.5</t>
  </si>
  <si>
    <t>NM6058.6</t>
  </si>
  <si>
    <t>NM6102.1</t>
  </si>
  <si>
    <t>NM6107</t>
  </si>
  <si>
    <t>NM6136</t>
  </si>
  <si>
    <t>NM7673.1</t>
  </si>
  <si>
    <t>NM7673.2</t>
  </si>
  <si>
    <t>NM7673.3</t>
  </si>
  <si>
    <t>NM7733</t>
  </si>
  <si>
    <t>NN0150.1</t>
  </si>
  <si>
    <t>NN0150.2</t>
  </si>
  <si>
    <t>theta</t>
  </si>
  <si>
    <t>NN2121</t>
  </si>
  <si>
    <t>NN2173</t>
  </si>
  <si>
    <t>NN3942</t>
  </si>
  <si>
    <t>NN3958</t>
  </si>
  <si>
    <t>NN9640.1</t>
  </si>
  <si>
    <t>NN9640.2</t>
  </si>
  <si>
    <t>GAMMA</t>
  </si>
  <si>
    <t>MKT MOVE</t>
  </si>
  <si>
    <t>SIM DATE</t>
  </si>
  <si>
    <t>VEGA</t>
  </si>
  <si>
    <t>THEATA</t>
  </si>
  <si>
    <t>sim date</t>
  </si>
  <si>
    <t>mkt move</t>
  </si>
  <si>
    <t>NO1684</t>
  </si>
  <si>
    <t>UTILICORP</t>
  </si>
  <si>
    <t>NO1679.1</t>
  </si>
  <si>
    <t>NO1679.2</t>
  </si>
  <si>
    <t>NO2879</t>
  </si>
  <si>
    <t>NO2888</t>
  </si>
  <si>
    <t>NO2893</t>
  </si>
  <si>
    <t>NO2894</t>
  </si>
  <si>
    <t>MICH_CG-GD</t>
  </si>
  <si>
    <t>NO4881</t>
  </si>
  <si>
    <t>NO7688.1</t>
  </si>
  <si>
    <t>NO7688.2</t>
  </si>
  <si>
    <t>NP3241</t>
  </si>
  <si>
    <t>vol</t>
  </si>
  <si>
    <t>core vega</t>
  </si>
  <si>
    <t>c</t>
  </si>
  <si>
    <t>vol a</t>
  </si>
  <si>
    <t>vol b</t>
  </si>
  <si>
    <t>NYMEX VOL</t>
  </si>
  <si>
    <t>NYMEX VEGA</t>
  </si>
  <si>
    <t>NYMEX EQUIV.</t>
  </si>
  <si>
    <t>CORE. VEGA</t>
  </si>
  <si>
    <t>THETA</t>
  </si>
  <si>
    <t>NP6690</t>
  </si>
  <si>
    <t>NP8939.1</t>
  </si>
  <si>
    <t>NP8966.1</t>
  </si>
  <si>
    <t>NP8966.2</t>
  </si>
  <si>
    <t>NR1864</t>
  </si>
  <si>
    <t>NR1866</t>
  </si>
  <si>
    <t>NR1867</t>
  </si>
  <si>
    <t>CONAGRAENESER</t>
  </si>
  <si>
    <t>NR3983</t>
  </si>
  <si>
    <t>NR3997</t>
  </si>
  <si>
    <t>NR3998</t>
  </si>
  <si>
    <t>NR5976</t>
  </si>
  <si>
    <t>NR5974</t>
  </si>
  <si>
    <t>NR5979</t>
  </si>
  <si>
    <t>NR5978</t>
  </si>
  <si>
    <t>NR5983</t>
  </si>
  <si>
    <t>nymex gamma</t>
  </si>
  <si>
    <t>NYMEX GAMMA</t>
  </si>
  <si>
    <t>NR7762</t>
  </si>
  <si>
    <t>NR7764</t>
  </si>
  <si>
    <t>NR7765</t>
  </si>
  <si>
    <t>NR7766</t>
  </si>
  <si>
    <t>NR7767.1</t>
  </si>
  <si>
    <t>NR7767.2</t>
  </si>
  <si>
    <t>IF-CNG/APPALACH</t>
  </si>
  <si>
    <t>NS0945</t>
  </si>
  <si>
    <t>NS0946</t>
  </si>
  <si>
    <t>NS0947</t>
  </si>
  <si>
    <t>NS2705</t>
  </si>
  <si>
    <t>NS2749</t>
  </si>
  <si>
    <t>NS2782</t>
  </si>
  <si>
    <t>NS3031.1</t>
  </si>
  <si>
    <t>NS3031.2</t>
  </si>
  <si>
    <t>NS5125</t>
  </si>
  <si>
    <t>NS5170</t>
  </si>
  <si>
    <t>NS5173</t>
  </si>
  <si>
    <t>NS7540</t>
  </si>
  <si>
    <t>NS7549</t>
  </si>
  <si>
    <t>NS9621</t>
  </si>
  <si>
    <t>NT3509</t>
  </si>
  <si>
    <t>NT6024</t>
  </si>
  <si>
    <t>GDP-HEHUB</t>
  </si>
  <si>
    <t>GDP-TRCOZ6/NY</t>
  </si>
  <si>
    <t>NT7394</t>
  </si>
  <si>
    <t>1 + 21</t>
  </si>
  <si>
    <t>1 + 22</t>
  </si>
  <si>
    <t>TRANSCO/Z6</t>
  </si>
  <si>
    <t>HEHUB</t>
  </si>
  <si>
    <t>NT8124.1</t>
  </si>
  <si>
    <t>NT8124.3</t>
  </si>
  <si>
    <t>NT8124.4</t>
  </si>
  <si>
    <t>NT8124.5</t>
  </si>
  <si>
    <t>NT9909.1</t>
  </si>
  <si>
    <t>NT9909.2</t>
  </si>
  <si>
    <t>NT9931</t>
  </si>
  <si>
    <t>NU0070.1</t>
  </si>
  <si>
    <t>NU0070.2</t>
  </si>
  <si>
    <t>NU0073</t>
  </si>
  <si>
    <t>NU0077</t>
  </si>
  <si>
    <t>NU3268</t>
  </si>
  <si>
    <t>NU3291</t>
  </si>
  <si>
    <t>NU5429</t>
  </si>
  <si>
    <t>NU5426</t>
  </si>
  <si>
    <t>NU5433.1</t>
  </si>
  <si>
    <t>NU5433.2</t>
  </si>
  <si>
    <t>NU5442</t>
  </si>
  <si>
    <t>NU5447</t>
  </si>
  <si>
    <t>NU5454</t>
  </si>
  <si>
    <t>NU5468</t>
  </si>
  <si>
    <t>TRANSCANENEFIN</t>
  </si>
  <si>
    <t>NU7573</t>
  </si>
  <si>
    <t>NU9007</t>
  </si>
  <si>
    <t>NU9019</t>
  </si>
  <si>
    <t>NU9027</t>
  </si>
  <si>
    <t>NV0431</t>
  </si>
  <si>
    <t>NV0442</t>
  </si>
  <si>
    <t>NV0444.1</t>
  </si>
  <si>
    <t>NV0444.2</t>
  </si>
  <si>
    <t>NV0444.3</t>
  </si>
  <si>
    <t>NV0444.4</t>
  </si>
  <si>
    <t>NV0535</t>
  </si>
  <si>
    <t>NV2737.2</t>
  </si>
  <si>
    <t>NV2737.1</t>
  </si>
  <si>
    <t>NV2771</t>
  </si>
  <si>
    <t>NV5364.1</t>
  </si>
  <si>
    <t>NV5364.2</t>
  </si>
  <si>
    <t>NV5380.1</t>
  </si>
  <si>
    <t>NV5380.2</t>
  </si>
  <si>
    <t>NV5394.1</t>
  </si>
  <si>
    <t>NV5394.2</t>
  </si>
  <si>
    <t>NV5416.1</t>
  </si>
  <si>
    <t>NV5416.2</t>
  </si>
  <si>
    <t>NV6667.1</t>
  </si>
  <si>
    <t>NV6667.2</t>
  </si>
  <si>
    <t>NV6677</t>
  </si>
  <si>
    <t>NV6691</t>
  </si>
  <si>
    <t>NV7017</t>
  </si>
  <si>
    <t>NV8440</t>
  </si>
  <si>
    <t>"NGI/CHI. GATE"</t>
  </si>
  <si>
    <t>NG-OPT-XL-BAS</t>
  </si>
  <si>
    <t>NW0631</t>
  </si>
  <si>
    <t>NW0635</t>
  </si>
  <si>
    <t>NW0645</t>
  </si>
  <si>
    <t>NW0648</t>
  </si>
  <si>
    <t>NW3286.1</t>
  </si>
  <si>
    <t>NW3286.2</t>
  </si>
  <si>
    <t>NW3289</t>
  </si>
  <si>
    <t>NW5608</t>
  </si>
  <si>
    <t>NW5620</t>
  </si>
  <si>
    <t>NW5627.1</t>
  </si>
  <si>
    <t>NW5630.1</t>
  </si>
  <si>
    <t>NW5630.2</t>
  </si>
  <si>
    <t>NW5635</t>
  </si>
  <si>
    <t>NW8030.1</t>
  </si>
  <si>
    <t>NW8030.2</t>
  </si>
  <si>
    <t>IF-NTHWST/CANBR</t>
  </si>
  <si>
    <t>NW9582</t>
  </si>
  <si>
    <t>NW9726</t>
  </si>
  <si>
    <t>VIRGINIAPOWENE</t>
  </si>
  <si>
    <t>NW9731</t>
  </si>
  <si>
    <t>NW9732</t>
  </si>
  <si>
    <t>NW9733</t>
  </si>
  <si>
    <t>FT-US/CAND-ERMS</t>
  </si>
  <si>
    <t>Sum of Curve Shift/Gamma</t>
  </si>
  <si>
    <t>NX1655.1</t>
  </si>
  <si>
    <t>NX1655.2</t>
  </si>
  <si>
    <t>NX1655.3</t>
  </si>
  <si>
    <t>NX1655.4</t>
  </si>
  <si>
    <t>NX1690</t>
  </si>
  <si>
    <t>NX1706</t>
  </si>
  <si>
    <t>NX1727.2</t>
  </si>
  <si>
    <t>NW9477.2</t>
  </si>
  <si>
    <t>NL6890.1</t>
  </si>
  <si>
    <t>NL6890.2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</si>
</sst>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1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0.000"/>
    <numFmt numFmtId="171" formatCode="_(* #,##0_);_(* \(#,##0\);_(* &quot;-&quot;??_);_(@_)"/>
    <numFmt numFmtId="184" formatCode="_-&quot;£&quot;* #,##0_-;\-&quot;£&quot;* #,##0_-;_-&quot;£&quot;* &quot;-&quot;_-;_-@_-"/>
    <numFmt numFmtId="185" formatCode="_-* #,##0_-;\-* #,##0_-;_-* &quot;-&quot;_-;_-@_-"/>
    <numFmt numFmtId="186" formatCode="_-&quot;£&quot;* #,##0.00_-;\-&quot;£&quot;* #,##0.00_-;_-&quot;£&quot;* &quot;-&quot;??_-;_-@_-"/>
    <numFmt numFmtId="187" formatCode="_-* #,##0.00_-;\-* #,##0.00_-;_-* &quot;-&quot;??_-;_-@_-"/>
    <numFmt numFmtId="198" formatCode="0.0%"/>
    <numFmt numFmtId="203" formatCode="mmm\-dd\-yy"/>
    <numFmt numFmtId="205" formatCode="d\-mmm\-yyyy"/>
    <numFmt numFmtId="213" formatCode="_(&quot;$&quot;* #,##0.0000_);_(&quot;$&quot;* \(#,##0.0000\);_(&quot;$&quot;* &quot;-&quot;??_);_(@_)"/>
    <numFmt numFmtId="214" formatCode="mmmm\-yy"/>
    <numFmt numFmtId="216" formatCode="_(&quot;$&quot;* #,##0_);_(&quot;$&quot;* \(#,##0\);_(&quot;$&quot;* &quot;-&quot;??_);_(@_)"/>
    <numFmt numFmtId="217" formatCode="0.000%"/>
    <numFmt numFmtId="219" formatCode="#,##0.0_);[Red]\(#,##0.0\)"/>
    <numFmt numFmtId="220" formatCode="0_);[Red]\(0\)"/>
    <numFmt numFmtId="221" formatCode="0_);\(0\)"/>
    <numFmt numFmtId="223" formatCode="General_)"/>
    <numFmt numFmtId="272" formatCode="_(* #,##0.000_);_(* \(#,##0.000\);_(* &quot;-&quot;??_);_(@_)"/>
    <numFmt numFmtId="274" formatCode="_(* #,##0.00000_);_(* \(#,##0.00000\);_(* &quot;-&quot;??_);_(@_)"/>
    <numFmt numFmtId="275" formatCode="mm\-dd\-yyyy"/>
    <numFmt numFmtId="277" formatCode="_(* #,##0.000000_);_(* \(#,##0.000000\);_(* &quot;-&quot;??_);_(@_)"/>
    <numFmt numFmtId="279" formatCode="0.0000_);\(0.0000\)"/>
    <numFmt numFmtId="281" formatCode="dd\-mmm\-yy"/>
    <numFmt numFmtId="282" formatCode="mm/dd/yy"/>
    <numFmt numFmtId="284" formatCode="0.000_);[Red]\(0.000\)"/>
  </numFmts>
  <fonts count="39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Times New Roman"/>
    </font>
    <font>
      <sz val="10"/>
      <name val="Times New Roman"/>
      <family val="1"/>
    </font>
    <font>
      <b/>
      <sz val="10"/>
      <color indexed="16"/>
      <name val="Times New Roman"/>
      <family val="1"/>
    </font>
    <font>
      <sz val="10"/>
      <color indexed="32"/>
      <name val="Times New Roman"/>
      <family val="1"/>
    </font>
    <font>
      <b/>
      <sz val="10"/>
      <color indexed="8"/>
      <name val="Times New Roman"/>
      <family val="1"/>
    </font>
    <font>
      <b/>
      <sz val="11"/>
      <name val="Times New Roman"/>
      <family val="1"/>
    </font>
    <font>
      <sz val="10"/>
      <color indexed="10"/>
      <name val="Arial"/>
      <family val="2"/>
    </font>
    <font>
      <sz val="10"/>
      <color indexed="8"/>
      <name val="Arial"/>
      <family val="2"/>
    </font>
    <font>
      <b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11"/>
      <name val="Arial"/>
      <family val="2"/>
    </font>
    <font>
      <b/>
      <sz val="14"/>
      <name val="Times New Roman"/>
      <family val="1"/>
    </font>
    <font>
      <b/>
      <sz val="16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sz val="10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sz val="9"/>
      <name val="Arial"/>
    </font>
    <font>
      <sz val="9"/>
      <name val="Times New Roman"/>
      <family val="1"/>
    </font>
    <font>
      <sz val="11"/>
      <name val="Arial"/>
      <family val="2"/>
    </font>
    <font>
      <sz val="10"/>
      <name val="Tms Rmn"/>
    </font>
    <font>
      <sz val="10"/>
      <name val="Courier"/>
    </font>
    <font>
      <sz val="12"/>
      <name val="Times New Roman"/>
      <family val="1"/>
    </font>
    <font>
      <sz val="12"/>
      <name val="Arial"/>
      <family val="2"/>
    </font>
    <font>
      <b/>
      <sz val="12"/>
      <name val="Arial"/>
      <family val="2"/>
    </font>
    <font>
      <sz val="14"/>
      <name val="Times New Roman"/>
      <family val="1"/>
    </font>
    <font>
      <b/>
      <sz val="10"/>
      <color indexed="10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sz val="10"/>
      <name val="Helvetica"/>
      <family val="2"/>
    </font>
    <font>
      <sz val="10"/>
      <color indexed="8"/>
      <name val="Helvetica"/>
      <family val="2"/>
    </font>
    <font>
      <b/>
      <sz val="10"/>
      <color indexed="20"/>
      <name val="Arial"/>
      <family val="2"/>
    </font>
    <font>
      <sz val="8"/>
      <name val="Arial"/>
      <family val="2"/>
    </font>
    <font>
      <b/>
      <sz val="8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518">
    <xf numFmtId="0" fontId="0" fillId="0" borderId="0" xfId="0"/>
    <xf numFmtId="44" fontId="7" fillId="2" borderId="1" xfId="2" applyFont="1" applyFill="1" applyBorder="1" applyAlignment="1">
      <alignment horizontal="center" vertical="top"/>
    </xf>
    <xf numFmtId="2" fontId="7" fillId="2" borderId="1" xfId="2" applyNumberFormat="1" applyFont="1" applyFill="1" applyBorder="1" applyAlignment="1">
      <alignment horizontal="center" vertical="top"/>
    </xf>
    <xf numFmtId="44" fontId="7" fillId="2" borderId="2" xfId="2" applyFont="1" applyFill="1" applyBorder="1" applyAlignment="1">
      <alignment horizontal="center" vertical="top"/>
    </xf>
    <xf numFmtId="0" fontId="4" fillId="0" borderId="0" xfId="0" applyFont="1" applyBorder="1"/>
    <xf numFmtId="15" fontId="4" fillId="0" borderId="0" xfId="0" applyNumberFormat="1" applyFont="1" applyBorder="1"/>
    <xf numFmtId="3" fontId="4" fillId="0" borderId="0" xfId="0" applyNumberFormat="1" applyFont="1" applyBorder="1"/>
    <xf numFmtId="2" fontId="4" fillId="0" borderId="0" xfId="0" applyNumberFormat="1" applyFont="1" applyBorder="1"/>
    <xf numFmtId="198" fontId="7" fillId="2" borderId="1" xfId="2" applyNumberFormat="1" applyFont="1" applyFill="1" applyBorder="1" applyAlignment="1">
      <alignment horizontal="center" vertical="top"/>
    </xf>
    <xf numFmtId="9" fontId="4" fillId="0" borderId="0" xfId="4" applyFont="1" applyBorder="1"/>
    <xf numFmtId="44" fontId="0" fillId="0" borderId="0" xfId="2" applyFont="1"/>
    <xf numFmtId="0" fontId="8" fillId="0" borderId="0" xfId="0" applyFont="1" applyAlignment="1">
      <alignment horizontal="right"/>
    </xf>
    <xf numFmtId="14" fontId="8" fillId="0" borderId="0" xfId="0" applyNumberFormat="1" applyFont="1" applyAlignment="1">
      <alignment horizontal="right"/>
    </xf>
    <xf numFmtId="0" fontId="8" fillId="3" borderId="3" xfId="0" applyFont="1" applyFill="1" applyBorder="1" applyAlignment="1">
      <alignment horizontal="centerContinuous"/>
    </xf>
    <xf numFmtId="14" fontId="8" fillId="3" borderId="4" xfId="0" applyNumberFormat="1" applyFont="1" applyFill="1" applyBorder="1" applyAlignment="1">
      <alignment horizontal="centerContinuous"/>
    </xf>
    <xf numFmtId="0" fontId="0" fillId="3" borderId="4" xfId="0" applyFill="1" applyBorder="1" applyAlignment="1">
      <alignment horizontal="centerContinuous"/>
    </xf>
    <xf numFmtId="0" fontId="0" fillId="4" borderId="4" xfId="0" applyFill="1" applyBorder="1" applyAlignment="1">
      <alignment horizontal="centerContinuous"/>
    </xf>
    <xf numFmtId="0" fontId="0" fillId="4" borderId="5" xfId="0" applyFill="1" applyBorder="1" applyAlignment="1">
      <alignment horizontal="centerContinuous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9" fillId="0" borderId="0" xfId="0" applyFont="1" applyAlignment="1">
      <alignment horizontal="centerContinuous"/>
    </xf>
    <xf numFmtId="214" fontId="10" fillId="7" borderId="7" xfId="0" applyNumberFormat="1" applyFont="1" applyFill="1" applyBorder="1"/>
    <xf numFmtId="0" fontId="10" fillId="7" borderId="8" xfId="0" applyFont="1" applyFill="1" applyBorder="1"/>
    <xf numFmtId="214" fontId="10" fillId="7" borderId="9" xfId="0" applyNumberFormat="1" applyFont="1" applyFill="1" applyBorder="1"/>
    <xf numFmtId="0" fontId="10" fillId="7" borderId="10" xfId="0" applyFont="1" applyFill="1" applyBorder="1"/>
    <xf numFmtId="214" fontId="10" fillId="7" borderId="11" xfId="0" applyNumberFormat="1" applyFont="1" applyFill="1" applyBorder="1"/>
    <xf numFmtId="0" fontId="10" fillId="7" borderId="6" xfId="0" applyFont="1" applyFill="1" applyBorder="1"/>
    <xf numFmtId="10" fontId="0" fillId="8" borderId="12" xfId="4" applyNumberFormat="1" applyFont="1" applyFill="1" applyBorder="1"/>
    <xf numFmtId="10" fontId="0" fillId="8" borderId="8" xfId="4" applyNumberFormat="1" applyFont="1" applyFill="1" applyBorder="1"/>
    <xf numFmtId="10" fontId="0" fillId="8" borderId="0" xfId="4" applyNumberFormat="1" applyFont="1" applyFill="1" applyBorder="1"/>
    <xf numFmtId="10" fontId="0" fillId="8" borderId="10" xfId="4" applyNumberFormat="1" applyFont="1" applyFill="1" applyBorder="1"/>
    <xf numFmtId="10" fontId="0" fillId="8" borderId="13" xfId="4" applyNumberFormat="1" applyFont="1" applyFill="1" applyBorder="1"/>
    <xf numFmtId="10" fontId="0" fillId="8" borderId="6" xfId="4" applyNumberFormat="1" applyFont="1" applyFill="1" applyBorder="1"/>
    <xf numFmtId="0" fontId="12" fillId="9" borderId="14" xfId="0" applyFont="1" applyFill="1" applyBorder="1" applyAlignment="1">
      <alignment horizontal="centerContinuous"/>
    </xf>
    <xf numFmtId="0" fontId="12" fillId="9" borderId="15" xfId="0" applyFont="1" applyFill="1" applyBorder="1" applyAlignment="1">
      <alignment horizontal="centerContinuous"/>
    </xf>
    <xf numFmtId="0" fontId="12" fillId="9" borderId="16" xfId="0" applyFont="1" applyFill="1" applyBorder="1" applyAlignment="1">
      <alignment horizontal="centerContinuous"/>
    </xf>
    <xf numFmtId="0" fontId="8" fillId="10" borderId="17" xfId="0" applyFont="1" applyFill="1" applyBorder="1"/>
    <xf numFmtId="0" fontId="8" fillId="10" borderId="18" xfId="0" applyFont="1" applyFill="1" applyBorder="1"/>
    <xf numFmtId="214" fontId="13" fillId="11" borderId="19" xfId="0" applyNumberFormat="1" applyFont="1" applyFill="1" applyBorder="1"/>
    <xf numFmtId="214" fontId="13" fillId="11" borderId="20" xfId="0" applyNumberFormat="1" applyFont="1" applyFill="1" applyBorder="1"/>
    <xf numFmtId="214" fontId="13" fillId="11" borderId="21" xfId="0" applyNumberFormat="1" applyFont="1" applyFill="1" applyBorder="1"/>
    <xf numFmtId="171" fontId="11" fillId="7" borderId="0" xfId="1" applyNumberFormat="1" applyFont="1" applyFill="1" applyBorder="1"/>
    <xf numFmtId="171" fontId="11" fillId="7" borderId="22" xfId="1" applyNumberFormat="1" applyFont="1" applyFill="1" applyBorder="1"/>
    <xf numFmtId="171" fontId="11" fillId="7" borderId="23" xfId="1" applyNumberFormat="1" applyFont="1" applyFill="1" applyBorder="1"/>
    <xf numFmtId="171" fontId="11" fillId="7" borderId="24" xfId="1" applyNumberFormat="1" applyFont="1" applyFill="1" applyBorder="1"/>
    <xf numFmtId="0" fontId="8" fillId="4" borderId="4" xfId="0" applyFont="1" applyFill="1" applyBorder="1" applyAlignment="1">
      <alignment horizontal="centerContinuous"/>
    </xf>
    <xf numFmtId="198" fontId="7" fillId="2" borderId="25" xfId="2" applyNumberFormat="1" applyFont="1" applyFill="1" applyBorder="1" applyAlignment="1">
      <alignment horizontal="center" vertical="top"/>
    </xf>
    <xf numFmtId="0" fontId="13" fillId="10" borderId="26" xfId="0" applyFont="1" applyFill="1" applyBorder="1" applyAlignment="1">
      <alignment horizontal="centerContinuous"/>
    </xf>
    <xf numFmtId="0" fontId="13" fillId="10" borderId="27" xfId="0" applyFont="1" applyFill="1" applyBorder="1"/>
    <xf numFmtId="0" fontId="4" fillId="0" borderId="0" xfId="0" applyFont="1"/>
    <xf numFmtId="217" fontId="4" fillId="0" borderId="0" xfId="4" applyNumberFormat="1" applyFont="1"/>
    <xf numFmtId="165" fontId="4" fillId="0" borderId="0" xfId="0" applyNumberFormat="1" applyFont="1" applyBorder="1"/>
    <xf numFmtId="0" fontId="8" fillId="3" borderId="3" xfId="0" applyFont="1" applyFill="1" applyBorder="1" applyAlignment="1">
      <alignment horizontal="right"/>
    </xf>
    <xf numFmtId="0" fontId="0" fillId="4" borderId="13" xfId="0" applyFill="1" applyBorder="1" applyAlignment="1">
      <alignment horizontal="centerContinuous"/>
    </xf>
    <xf numFmtId="0" fontId="8" fillId="3" borderId="11" xfId="0" applyFont="1" applyFill="1" applyBorder="1" applyAlignment="1">
      <alignment horizontal="right"/>
    </xf>
    <xf numFmtId="216" fontId="11" fillId="3" borderId="6" xfId="2" applyNumberFormat="1" applyFont="1" applyFill="1" applyBorder="1" applyAlignment="1">
      <alignment horizontal="right"/>
    </xf>
    <xf numFmtId="0" fontId="8" fillId="3" borderId="5" xfId="0" applyFont="1" applyFill="1" applyBorder="1" applyAlignment="1">
      <alignment horizontal="right"/>
    </xf>
    <xf numFmtId="0" fontId="8" fillId="3" borderId="28" xfId="0" applyFont="1" applyFill="1" applyBorder="1" applyAlignment="1">
      <alignment horizontal="right"/>
    </xf>
    <xf numFmtId="171" fontId="11" fillId="3" borderId="2" xfId="1" applyNumberFormat="1" applyFont="1" applyFill="1" applyBorder="1" applyAlignment="1">
      <alignment horizontal="right"/>
    </xf>
    <xf numFmtId="0" fontId="11" fillId="0" borderId="0" xfId="0" applyFont="1"/>
    <xf numFmtId="0" fontId="14" fillId="4" borderId="2" xfId="0" applyFont="1" applyFill="1" applyBorder="1" applyAlignment="1">
      <alignment horizontal="center"/>
    </xf>
    <xf numFmtId="0" fontId="14" fillId="4" borderId="4" xfId="0" applyFont="1" applyFill="1" applyBorder="1" applyAlignment="1">
      <alignment horizontal="centerContinuous"/>
    </xf>
    <xf numFmtId="15" fontId="4" fillId="0" borderId="9" xfId="0" applyNumberFormat="1" applyFont="1" applyBorder="1"/>
    <xf numFmtId="198" fontId="4" fillId="0" borderId="0" xfId="4" applyNumberFormat="1" applyFont="1" applyBorder="1"/>
    <xf numFmtId="10" fontId="4" fillId="0" borderId="0" xfId="4" applyNumberFormat="1" applyFont="1"/>
    <xf numFmtId="216" fontId="11" fillId="3" borderId="10" xfId="2" applyNumberFormat="1" applyFont="1" applyFill="1" applyBorder="1" applyAlignment="1">
      <alignment horizontal="right"/>
    </xf>
    <xf numFmtId="2" fontId="7" fillId="2" borderId="25" xfId="2" applyNumberFormat="1" applyFont="1" applyFill="1" applyBorder="1" applyAlignment="1">
      <alignment horizontal="center" vertical="top"/>
    </xf>
    <xf numFmtId="44" fontId="7" fillId="2" borderId="25" xfId="2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Continuous"/>
    </xf>
    <xf numFmtId="0" fontId="8" fillId="6" borderId="0" xfId="0" applyFont="1" applyFill="1" applyBorder="1" applyAlignment="1">
      <alignment horizontal="right"/>
    </xf>
    <xf numFmtId="171" fontId="11" fillId="6" borderId="0" xfId="1" applyNumberFormat="1" applyFont="1" applyFill="1" applyBorder="1" applyAlignment="1">
      <alignment horizontal="right"/>
    </xf>
    <xf numFmtId="0" fontId="8" fillId="3" borderId="5" xfId="0" applyFont="1" applyFill="1" applyBorder="1" applyAlignment="1">
      <alignment horizontal="centerContinuous"/>
    </xf>
    <xf numFmtId="0" fontId="12" fillId="4" borderId="5" xfId="0" applyFont="1" applyFill="1" applyBorder="1" applyAlignment="1">
      <alignment horizontal="centerContinuous"/>
    </xf>
    <xf numFmtId="1" fontId="4" fillId="0" borderId="0" xfId="4" applyNumberFormat="1" applyFont="1"/>
    <xf numFmtId="44" fontId="4" fillId="0" borderId="0" xfId="2" applyFont="1"/>
    <xf numFmtId="213" fontId="4" fillId="0" borderId="0" xfId="2" applyNumberFormat="1" applyFont="1"/>
    <xf numFmtId="38" fontId="0" fillId="4" borderId="4" xfId="0" applyNumberFormat="1" applyFill="1" applyBorder="1" applyAlignment="1">
      <alignment horizontal="centerContinuous"/>
    </xf>
    <xf numFmtId="38" fontId="7" fillId="2" borderId="25" xfId="2" applyNumberFormat="1" applyFont="1" applyFill="1" applyBorder="1" applyAlignment="1">
      <alignment horizontal="center" vertical="top"/>
    </xf>
    <xf numFmtId="38" fontId="7" fillId="2" borderId="2" xfId="2" applyNumberFormat="1" applyFont="1" applyFill="1" applyBorder="1" applyAlignment="1">
      <alignment horizontal="center" vertical="top"/>
    </xf>
    <xf numFmtId="38" fontId="0" fillId="0" borderId="0" xfId="2" applyNumberFormat="1" applyFont="1"/>
    <xf numFmtId="0" fontId="11" fillId="3" borderId="8" xfId="0" applyFont="1" applyFill="1" applyBorder="1"/>
    <xf numFmtId="44" fontId="11" fillId="3" borderId="5" xfId="0" applyNumberFormat="1" applyFont="1" applyFill="1" applyBorder="1"/>
    <xf numFmtId="38" fontId="11" fillId="3" borderId="5" xfId="0" applyNumberFormat="1" applyFont="1" applyFill="1" applyBorder="1"/>
    <xf numFmtId="0" fontId="8" fillId="3" borderId="1" xfId="0" applyFont="1" applyFill="1" applyBorder="1"/>
    <xf numFmtId="0" fontId="11" fillId="3" borderId="2" xfId="0" applyFont="1" applyFill="1" applyBorder="1"/>
    <xf numFmtId="217" fontId="4" fillId="0" borderId="0" xfId="1" applyNumberFormat="1" applyFont="1"/>
    <xf numFmtId="217" fontId="0" fillId="0" borderId="0" xfId="0" applyNumberFormat="1"/>
    <xf numFmtId="0" fontId="15" fillId="0" borderId="0" xfId="0" applyFont="1"/>
    <xf numFmtId="0" fontId="16" fillId="0" borderId="0" xfId="0" applyFont="1"/>
    <xf numFmtId="0" fontId="8" fillId="5" borderId="16" xfId="0" applyFont="1" applyFill="1" applyBorder="1"/>
    <xf numFmtId="0" fontId="11" fillId="8" borderId="29" xfId="0" applyFont="1" applyFill="1" applyBorder="1"/>
    <xf numFmtId="0" fontId="8" fillId="5" borderId="30" xfId="0" applyFont="1" applyFill="1" applyBorder="1"/>
    <xf numFmtId="0" fontId="8" fillId="5" borderId="31" xfId="0" applyFont="1" applyFill="1" applyBorder="1"/>
    <xf numFmtId="0" fontId="8" fillId="5" borderId="32" xfId="0" applyFont="1" applyFill="1" applyBorder="1"/>
    <xf numFmtId="38" fontId="4" fillId="12" borderId="0" xfId="1" applyNumberFormat="1" applyFont="1" applyFill="1" applyBorder="1"/>
    <xf numFmtId="38" fontId="4" fillId="12" borderId="22" xfId="1" applyNumberFormat="1" applyFont="1" applyFill="1" applyBorder="1"/>
    <xf numFmtId="38" fontId="4" fillId="12" borderId="23" xfId="1" applyNumberFormat="1" applyFont="1" applyFill="1" applyBorder="1"/>
    <xf numFmtId="38" fontId="4" fillId="12" borderId="24" xfId="1" applyNumberFormat="1" applyFont="1" applyFill="1" applyBorder="1"/>
    <xf numFmtId="171" fontId="4" fillId="12" borderId="7" xfId="1" applyNumberFormat="1" applyFont="1" applyFill="1" applyBorder="1"/>
    <xf numFmtId="44" fontId="4" fillId="12" borderId="26" xfId="2" applyFont="1" applyFill="1" applyBorder="1"/>
    <xf numFmtId="214" fontId="4" fillId="6" borderId="0" xfId="0" applyNumberFormat="1" applyFont="1" applyFill="1" applyBorder="1"/>
    <xf numFmtId="38" fontId="4" fillId="6" borderId="0" xfId="1" applyNumberFormat="1" applyFont="1" applyFill="1" applyBorder="1"/>
    <xf numFmtId="214" fontId="4" fillId="8" borderId="19" xfId="0" applyNumberFormat="1" applyFont="1" applyFill="1" applyBorder="1"/>
    <xf numFmtId="214" fontId="4" fillId="8" borderId="20" xfId="0" applyNumberFormat="1" applyFont="1" applyFill="1" applyBorder="1"/>
    <xf numFmtId="214" fontId="4" fillId="8" borderId="21" xfId="0" applyNumberFormat="1" applyFont="1" applyFill="1" applyBorder="1"/>
    <xf numFmtId="0" fontId="8" fillId="5" borderId="33" xfId="0" applyFont="1" applyFill="1" applyBorder="1"/>
    <xf numFmtId="171" fontId="4" fillId="12" borderId="9" xfId="1" applyNumberFormat="1" applyFont="1" applyFill="1" applyBorder="1"/>
    <xf numFmtId="44" fontId="4" fillId="12" borderId="34" xfId="2" applyFont="1" applyFill="1" applyBorder="1"/>
    <xf numFmtId="0" fontId="11" fillId="8" borderId="35" xfId="0" applyFont="1" applyFill="1" applyBorder="1"/>
    <xf numFmtId="171" fontId="4" fillId="12" borderId="36" xfId="1" applyNumberFormat="1" applyFont="1" applyFill="1" applyBorder="1"/>
    <xf numFmtId="44" fontId="4" fillId="12" borderId="37" xfId="2" applyFont="1" applyFill="1" applyBorder="1"/>
    <xf numFmtId="0" fontId="4" fillId="3" borderId="4" xfId="0" applyFont="1" applyFill="1" applyBorder="1" applyAlignment="1">
      <alignment horizontal="centerContinuous"/>
    </xf>
    <xf numFmtId="0" fontId="4" fillId="3" borderId="5" xfId="0" applyFont="1" applyFill="1" applyBorder="1" applyAlignment="1">
      <alignment horizontal="centerContinuous"/>
    </xf>
    <xf numFmtId="0" fontId="4" fillId="4" borderId="4" xfId="0" applyFont="1" applyFill="1" applyBorder="1" applyAlignment="1">
      <alignment horizontal="centerContinuous"/>
    </xf>
    <xf numFmtId="0" fontId="4" fillId="4" borderId="13" xfId="0" applyFont="1" applyFill="1" applyBorder="1" applyAlignment="1">
      <alignment horizontal="centerContinuous"/>
    </xf>
    <xf numFmtId="0" fontId="4" fillId="4" borderId="6" xfId="0" applyFont="1" applyFill="1" applyBorder="1" applyAlignment="1">
      <alignment horizontal="centerContinuous"/>
    </xf>
    <xf numFmtId="0" fontId="11" fillId="10" borderId="7" xfId="0" applyFont="1" applyFill="1" applyBorder="1" applyAlignment="1">
      <alignment horizontal="centerContinuous"/>
    </xf>
    <xf numFmtId="0" fontId="11" fillId="10" borderId="12" xfId="0" applyFont="1" applyFill="1" applyBorder="1" applyAlignment="1">
      <alignment horizontal="centerContinuous"/>
    </xf>
    <xf numFmtId="0" fontId="11" fillId="10" borderId="38" xfId="0" applyFont="1" applyFill="1" applyBorder="1" applyAlignment="1">
      <alignment horizontal="centerContinuous"/>
    </xf>
    <xf numFmtId="0" fontId="11" fillId="10" borderId="26" xfId="0" applyFont="1" applyFill="1" applyBorder="1" applyAlignment="1">
      <alignment horizontal="centerContinuous"/>
    </xf>
    <xf numFmtId="0" fontId="11" fillId="10" borderId="11" xfId="0" applyFont="1" applyFill="1" applyBorder="1"/>
    <xf numFmtId="0" fontId="11" fillId="10" borderId="13" xfId="0" applyFont="1" applyFill="1" applyBorder="1"/>
    <xf numFmtId="0" fontId="11" fillId="10" borderId="39" xfId="0" applyFont="1" applyFill="1" applyBorder="1"/>
    <xf numFmtId="0" fontId="11" fillId="10" borderId="27" xfId="0" applyFont="1" applyFill="1" applyBorder="1"/>
    <xf numFmtId="171" fontId="4" fillId="0" borderId="0" xfId="1" applyNumberFormat="1" applyFont="1"/>
    <xf numFmtId="214" fontId="11" fillId="11" borderId="19" xfId="0" applyNumberFormat="1" applyFont="1" applyFill="1" applyBorder="1"/>
    <xf numFmtId="214" fontId="11" fillId="11" borderId="20" xfId="0" applyNumberFormat="1" applyFont="1" applyFill="1" applyBorder="1"/>
    <xf numFmtId="43" fontId="4" fillId="0" borderId="0" xfId="1" applyFont="1"/>
    <xf numFmtId="43" fontId="4" fillId="0" borderId="0" xfId="1" applyFont="1" applyBorder="1"/>
    <xf numFmtId="38" fontId="11" fillId="12" borderId="22" xfId="1" applyNumberFormat="1" applyFont="1" applyFill="1" applyBorder="1"/>
    <xf numFmtId="0" fontId="11" fillId="13" borderId="40" xfId="0" applyFont="1" applyFill="1" applyBorder="1"/>
    <xf numFmtId="44" fontId="4" fillId="4" borderId="16" xfId="2" applyFont="1" applyFill="1" applyBorder="1"/>
    <xf numFmtId="0" fontId="11" fillId="13" borderId="20" xfId="0" applyFont="1" applyFill="1" applyBorder="1"/>
    <xf numFmtId="44" fontId="4" fillId="4" borderId="22" xfId="2" applyFont="1" applyFill="1" applyBorder="1"/>
    <xf numFmtId="0" fontId="11" fillId="13" borderId="21" xfId="0" applyFont="1" applyFill="1" applyBorder="1"/>
    <xf numFmtId="44" fontId="4" fillId="4" borderId="41" xfId="2" applyFont="1" applyFill="1" applyBorder="1"/>
    <xf numFmtId="44" fontId="4" fillId="0" borderId="0" xfId="0" applyNumberFormat="1" applyFont="1"/>
    <xf numFmtId="10" fontId="0" fillId="14" borderId="0" xfId="4" applyNumberFormat="1" applyFont="1" applyFill="1" applyBorder="1"/>
    <xf numFmtId="0" fontId="0" fillId="0" borderId="0" xfId="0" applyBorder="1"/>
    <xf numFmtId="15" fontId="0" fillId="0" borderId="0" xfId="0" applyNumberFormat="1"/>
    <xf numFmtId="17" fontId="0" fillId="0" borderId="0" xfId="0" applyNumberFormat="1"/>
    <xf numFmtId="0" fontId="13" fillId="0" borderId="0" xfId="0" applyFont="1"/>
    <xf numFmtId="14" fontId="20" fillId="0" borderId="0" xfId="0" applyNumberFormat="1" applyFont="1"/>
    <xf numFmtId="0" fontId="20" fillId="0" borderId="0" xfId="0" applyFont="1"/>
    <xf numFmtId="44" fontId="11" fillId="3" borderId="2" xfId="2" applyFont="1" applyFill="1" applyBorder="1" applyAlignment="1">
      <alignment horizontal="right"/>
    </xf>
    <xf numFmtId="37" fontId="11" fillId="3" borderId="2" xfId="2" applyNumberFormat="1" applyFont="1" applyFill="1" applyBorder="1" applyAlignment="1">
      <alignment horizontal="right"/>
    </xf>
    <xf numFmtId="221" fontId="0" fillId="0" borderId="0" xfId="0" applyNumberFormat="1"/>
    <xf numFmtId="217" fontId="0" fillId="0" borderId="0" xfId="4" applyNumberFormat="1" applyFont="1"/>
    <xf numFmtId="0" fontId="11" fillId="10" borderId="27" xfId="0" applyFont="1" applyFill="1" applyBorder="1" applyAlignment="1">
      <alignment horizontal="center"/>
    </xf>
    <xf numFmtId="171" fontId="0" fillId="0" borderId="0" xfId="1" applyNumberFormat="1" applyFont="1"/>
    <xf numFmtId="0" fontId="21" fillId="0" borderId="0" xfId="0" applyFont="1"/>
    <xf numFmtId="0" fontId="22" fillId="0" borderId="0" xfId="0" applyFont="1"/>
    <xf numFmtId="43" fontId="22" fillId="0" borderId="0" xfId="1" applyFont="1"/>
    <xf numFmtId="0" fontId="22" fillId="0" borderId="0" xfId="0" applyFont="1" applyBorder="1"/>
    <xf numFmtId="43" fontId="22" fillId="0" borderId="0" xfId="1" applyFont="1" applyBorder="1"/>
    <xf numFmtId="217" fontId="4" fillId="0" borderId="0" xfId="4" applyNumberFormat="1" applyFont="1" applyBorder="1"/>
    <xf numFmtId="213" fontId="4" fillId="0" borderId="0" xfId="2" applyNumberFormat="1" applyFont="1" applyBorder="1"/>
    <xf numFmtId="171" fontId="4" fillId="0" borderId="0" xfId="1" applyNumberFormat="1" applyFont="1" applyBorder="1"/>
    <xf numFmtId="44" fontId="4" fillId="0" borderId="0" xfId="2" applyFont="1" applyBorder="1"/>
    <xf numFmtId="38" fontId="0" fillId="6" borderId="0" xfId="1" applyNumberFormat="1" applyFont="1" applyFill="1" applyBorder="1"/>
    <xf numFmtId="17" fontId="13" fillId="6" borderId="42" xfId="0" applyNumberFormat="1" applyFont="1" applyFill="1" applyBorder="1"/>
    <xf numFmtId="0" fontId="13" fillId="6" borderId="43" xfId="0" applyFont="1" applyFill="1" applyBorder="1"/>
    <xf numFmtId="0" fontId="13" fillId="6" borderId="14" xfId="0" applyFont="1" applyFill="1" applyBorder="1"/>
    <xf numFmtId="0" fontId="13" fillId="6" borderId="15" xfId="0" applyFont="1" applyFill="1" applyBorder="1"/>
    <xf numFmtId="0" fontId="13" fillId="6" borderId="16" xfId="0" applyFont="1" applyFill="1" applyBorder="1"/>
    <xf numFmtId="0" fontId="13" fillId="6" borderId="44" xfId="0" applyFont="1" applyFill="1" applyBorder="1"/>
    <xf numFmtId="0" fontId="13" fillId="6" borderId="23" xfId="0" applyFont="1" applyFill="1" applyBorder="1"/>
    <xf numFmtId="0" fontId="13" fillId="6" borderId="24" xfId="0" applyFont="1" applyFill="1" applyBorder="1"/>
    <xf numFmtId="0" fontId="13" fillId="6" borderId="29" xfId="0" applyFont="1" applyFill="1" applyBorder="1"/>
    <xf numFmtId="0" fontId="13" fillId="6" borderId="0" xfId="0" applyFont="1" applyFill="1" applyBorder="1"/>
    <xf numFmtId="0" fontId="13" fillId="6" borderId="22" xfId="0" applyFont="1" applyFill="1" applyBorder="1"/>
    <xf numFmtId="0" fontId="13" fillId="0" borderId="45" xfId="0" applyFont="1" applyBorder="1"/>
    <xf numFmtId="0" fontId="0" fillId="6" borderId="29" xfId="0" applyFill="1" applyBorder="1"/>
    <xf numFmtId="0" fontId="0" fillId="6" borderId="44" xfId="0" applyFill="1" applyBorder="1"/>
    <xf numFmtId="0" fontId="13" fillId="6" borderId="46" xfId="0" applyFont="1" applyFill="1" applyBorder="1"/>
    <xf numFmtId="0" fontId="0" fillId="6" borderId="47" xfId="0" applyFill="1" applyBorder="1"/>
    <xf numFmtId="171" fontId="13" fillId="6" borderId="48" xfId="0" applyNumberFormat="1" applyFont="1" applyFill="1" applyBorder="1"/>
    <xf numFmtId="38" fontId="0" fillId="6" borderId="29" xfId="1" applyNumberFormat="1" applyFont="1" applyFill="1" applyBorder="1"/>
    <xf numFmtId="38" fontId="0" fillId="6" borderId="44" xfId="1" applyNumberFormat="1" applyFont="1" applyFill="1" applyBorder="1"/>
    <xf numFmtId="38" fontId="0" fillId="6" borderId="23" xfId="1" applyNumberFormat="1" applyFont="1" applyFill="1" applyBorder="1"/>
    <xf numFmtId="171" fontId="13" fillId="6" borderId="46" xfId="0" applyNumberFormat="1" applyFont="1" applyFill="1" applyBorder="1"/>
    <xf numFmtId="38" fontId="13" fillId="11" borderId="42" xfId="1" applyNumberFormat="1" applyFont="1" applyFill="1" applyBorder="1" applyAlignment="1">
      <alignment horizontal="center"/>
    </xf>
    <xf numFmtId="38" fontId="13" fillId="11" borderId="45" xfId="1" applyNumberFormat="1" applyFont="1" applyFill="1" applyBorder="1" applyAlignment="1">
      <alignment horizontal="center"/>
    </xf>
    <xf numFmtId="38" fontId="13" fillId="11" borderId="42" xfId="0" applyNumberFormat="1" applyFont="1" applyFill="1" applyBorder="1" applyAlignment="1">
      <alignment horizontal="center"/>
    </xf>
    <xf numFmtId="38" fontId="13" fillId="11" borderId="43" xfId="0" applyNumberFormat="1" applyFont="1" applyFill="1" applyBorder="1" applyAlignment="1">
      <alignment horizontal="center"/>
    </xf>
    <xf numFmtId="171" fontId="13" fillId="11" borderId="43" xfId="0" applyNumberFormat="1" applyFont="1" applyFill="1" applyBorder="1" applyAlignment="1">
      <alignment horizontal="left"/>
    </xf>
    <xf numFmtId="171" fontId="13" fillId="11" borderId="47" xfId="0" applyNumberFormat="1" applyFon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214" fontId="0" fillId="5" borderId="7" xfId="0" applyNumberFormat="1" applyFill="1" applyBorder="1"/>
    <xf numFmtId="214" fontId="0" fillId="5" borderId="9" xfId="0" applyNumberFormat="1" applyFill="1" applyBorder="1"/>
    <xf numFmtId="214" fontId="0" fillId="5" borderId="11" xfId="0" applyNumberFormat="1" applyFill="1" applyBorder="1"/>
    <xf numFmtId="0" fontId="24" fillId="15" borderId="9" xfId="0" applyFont="1" applyFill="1" applyBorder="1" applyAlignment="1">
      <alignment horizontal="center"/>
    </xf>
    <xf numFmtId="14" fontId="0" fillId="6" borderId="0" xfId="0" applyNumberFormat="1" applyFill="1" applyBorder="1"/>
    <xf numFmtId="0" fontId="8" fillId="5" borderId="49" xfId="0" applyFont="1" applyFill="1" applyBorder="1"/>
    <xf numFmtId="171" fontId="0" fillId="6" borderId="0" xfId="1" applyNumberFormat="1" applyFont="1" applyFill="1" applyBorder="1"/>
    <xf numFmtId="14" fontId="13" fillId="6" borderId="42" xfId="0" applyNumberFormat="1" applyFont="1" applyFill="1" applyBorder="1"/>
    <xf numFmtId="219" fontId="13" fillId="6" borderId="0" xfId="1" applyNumberFormat="1" applyFont="1" applyFill="1" applyBorder="1"/>
    <xf numFmtId="219" fontId="13" fillId="6" borderId="0" xfId="0" applyNumberFormat="1" applyFont="1" applyFill="1" applyBorder="1"/>
    <xf numFmtId="219" fontId="13" fillId="11" borderId="42" xfId="0" applyNumberFormat="1" applyFont="1" applyFill="1" applyBorder="1"/>
    <xf numFmtId="219" fontId="13" fillId="6" borderId="23" xfId="0" applyNumberFormat="1" applyFont="1" applyFill="1" applyBorder="1"/>
    <xf numFmtId="219" fontId="13" fillId="6" borderId="48" xfId="0" applyNumberFormat="1" applyFont="1" applyFill="1" applyBorder="1"/>
    <xf numFmtId="219" fontId="13" fillId="11" borderId="47" xfId="0" applyNumberFormat="1" applyFont="1" applyFill="1" applyBorder="1"/>
    <xf numFmtId="0" fontId="13" fillId="6" borderId="47" xfId="0" applyFont="1" applyFill="1" applyBorder="1"/>
    <xf numFmtId="0" fontId="4" fillId="6" borderId="0" xfId="3" applyFont="1" applyFill="1" applyBorder="1" applyAlignment="1">
      <alignment horizontal="right"/>
    </xf>
    <xf numFmtId="0" fontId="0" fillId="6" borderId="0" xfId="0" applyFill="1" applyBorder="1"/>
    <xf numFmtId="14" fontId="4" fillId="6" borderId="0" xfId="3" applyNumberFormat="1" applyFont="1" applyFill="1" applyBorder="1" applyAlignment="1" applyProtection="1">
      <alignment horizontal="right"/>
    </xf>
    <xf numFmtId="17" fontId="4" fillId="6" borderId="0" xfId="3" applyNumberFormat="1" applyFont="1" applyFill="1" applyBorder="1" applyAlignment="1" applyProtection="1">
      <alignment horizontal="right"/>
    </xf>
    <xf numFmtId="0" fontId="4" fillId="6" borderId="0" xfId="3" applyFont="1" applyFill="1" applyBorder="1" applyAlignment="1" applyProtection="1">
      <alignment horizontal="right"/>
    </xf>
    <xf numFmtId="0" fontId="13" fillId="11" borderId="14" xfId="0" applyFont="1" applyFill="1" applyBorder="1"/>
    <xf numFmtId="0" fontId="13" fillId="11" borderId="15" xfId="0" applyFont="1" applyFill="1" applyBorder="1"/>
    <xf numFmtId="0" fontId="0" fillId="11" borderId="15" xfId="0" applyFill="1" applyBorder="1"/>
    <xf numFmtId="43" fontId="0" fillId="0" borderId="4" xfId="0" applyNumberFormat="1" applyBorder="1"/>
    <xf numFmtId="43" fontId="0" fillId="0" borderId="5" xfId="0" applyNumberFormat="1" applyBorder="1"/>
    <xf numFmtId="44" fontId="14" fillId="2" borderId="0" xfId="2" applyFont="1" applyFill="1"/>
    <xf numFmtId="0" fontId="13" fillId="11" borderId="29" xfId="0" applyFont="1" applyFill="1" applyBorder="1"/>
    <xf numFmtId="0" fontId="13" fillId="11" borderId="0" xfId="0" applyFont="1" applyFill="1" applyBorder="1"/>
    <xf numFmtId="0" fontId="0" fillId="11" borderId="0" xfId="0" applyFill="1" applyBorder="1"/>
    <xf numFmtId="8" fontId="13" fillId="11" borderId="22" xfId="2" applyNumberFormat="1" applyFont="1" applyFill="1" applyBorder="1"/>
    <xf numFmtId="14" fontId="0" fillId="2" borderId="0" xfId="0" applyNumberFormat="1" applyFill="1"/>
    <xf numFmtId="0" fontId="13" fillId="11" borderId="44" xfId="0" applyFont="1" applyFill="1" applyBorder="1"/>
    <xf numFmtId="0" fontId="13" fillId="11" borderId="23" xfId="0" applyFont="1" applyFill="1" applyBorder="1"/>
    <xf numFmtId="0" fontId="0" fillId="11" borderId="23" xfId="0" applyFill="1" applyBorder="1"/>
    <xf numFmtId="8" fontId="13" fillId="11" borderId="50" xfId="2" applyNumberFormat="1" applyFont="1" applyFill="1" applyBorder="1"/>
    <xf numFmtId="44" fontId="0" fillId="0" borderId="0" xfId="0" applyNumberFormat="1"/>
    <xf numFmtId="44" fontId="13" fillId="0" borderId="0" xfId="0" applyNumberFormat="1" applyFont="1" applyAlignment="1">
      <alignment horizontal="center"/>
    </xf>
    <xf numFmtId="0" fontId="28" fillId="11" borderId="14" xfId="0" applyFont="1" applyFill="1" applyBorder="1"/>
    <xf numFmtId="0" fontId="28" fillId="11" borderId="15" xfId="0" applyFont="1" applyFill="1" applyBorder="1"/>
    <xf numFmtId="0" fontId="28" fillId="11" borderId="16" xfId="0" applyFont="1" applyFill="1" applyBorder="1"/>
    <xf numFmtId="0" fontId="1" fillId="0" borderId="23" xfId="0" applyFont="1" applyBorder="1" applyAlignment="1">
      <alignment horizontal="center" wrapText="1"/>
    </xf>
    <xf numFmtId="0" fontId="28" fillId="11" borderId="29" xfId="0" applyFont="1" applyFill="1" applyBorder="1"/>
    <xf numFmtId="0" fontId="29" fillId="11" borderId="23" xfId="0" applyFont="1" applyFill="1" applyBorder="1" applyAlignment="1">
      <alignment horizontal="center" wrapText="1"/>
    </xf>
    <xf numFmtId="0" fontId="29" fillId="11" borderId="24" xfId="0" applyFont="1" applyFill="1" applyBorder="1" applyAlignment="1">
      <alignment horizontal="center" wrapText="1"/>
    </xf>
    <xf numFmtId="43" fontId="0" fillId="0" borderId="0" xfId="0" applyNumberFormat="1"/>
    <xf numFmtId="2" fontId="0" fillId="0" borderId="0" xfId="0" applyNumberFormat="1"/>
    <xf numFmtId="8" fontId="13" fillId="6" borderId="14" xfId="2" applyNumberFormat="1" applyFont="1" applyFill="1" applyBorder="1"/>
    <xf numFmtId="8" fontId="13" fillId="6" borderId="15" xfId="2" applyNumberFormat="1" applyFont="1" applyFill="1" applyBorder="1"/>
    <xf numFmtId="8" fontId="13" fillId="6" borderId="16" xfId="0" applyNumberFormat="1" applyFont="1" applyFill="1" applyBorder="1"/>
    <xf numFmtId="8" fontId="13" fillId="6" borderId="0" xfId="2" applyNumberFormat="1" applyFont="1" applyFill="1" applyBorder="1"/>
    <xf numFmtId="8" fontId="13" fillId="6" borderId="22" xfId="0" applyNumberFormat="1" applyFont="1" applyFill="1" applyBorder="1"/>
    <xf numFmtId="8" fontId="13" fillId="6" borderId="23" xfId="2" applyNumberFormat="1" applyFont="1" applyFill="1" applyBorder="1"/>
    <xf numFmtId="8" fontId="13" fillId="6" borderId="24" xfId="0" applyNumberFormat="1" applyFont="1" applyFill="1" applyBorder="1"/>
    <xf numFmtId="8" fontId="13" fillId="6" borderId="47" xfId="0" applyNumberFormat="1" applyFont="1" applyFill="1" applyBorder="1"/>
    <xf numFmtId="216" fontId="13" fillId="11" borderId="16" xfId="0" applyNumberFormat="1" applyFont="1" applyFill="1" applyBorder="1"/>
    <xf numFmtId="0" fontId="29" fillId="11" borderId="0" xfId="0" applyFont="1" applyFill="1" applyBorder="1" applyAlignment="1">
      <alignment horizontal="center" wrapText="1"/>
    </xf>
    <xf numFmtId="8" fontId="13" fillId="6" borderId="44" xfId="0" applyNumberFormat="1" applyFont="1" applyFill="1" applyBorder="1"/>
    <xf numFmtId="8" fontId="13" fillId="6" borderId="23" xfId="0" applyNumberFormat="1" applyFont="1" applyFill="1" applyBorder="1"/>
    <xf numFmtId="8" fontId="13" fillId="6" borderId="16" xfId="2" applyNumberFormat="1" applyFont="1" applyFill="1" applyBorder="1"/>
    <xf numFmtId="8" fontId="13" fillId="6" borderId="22" xfId="2" applyNumberFormat="1" applyFont="1" applyFill="1" applyBorder="1"/>
    <xf numFmtId="8" fontId="13" fillId="6" borderId="24" xfId="2" applyNumberFormat="1" applyFont="1" applyFill="1" applyBorder="1"/>
    <xf numFmtId="0" fontId="15" fillId="6" borderId="14" xfId="0" applyFont="1" applyFill="1" applyBorder="1"/>
    <xf numFmtId="0" fontId="15" fillId="6" borderId="15" xfId="0" applyFont="1" applyFill="1" applyBorder="1"/>
    <xf numFmtId="0" fontId="15" fillId="6" borderId="16" xfId="0" applyFont="1" applyFill="1" applyBorder="1"/>
    <xf numFmtId="0" fontId="15" fillId="6" borderId="44" xfId="0" applyFont="1" applyFill="1" applyBorder="1"/>
    <xf numFmtId="6" fontId="30" fillId="6" borderId="0" xfId="0" applyNumberFormat="1" applyFont="1" applyFill="1" applyBorder="1"/>
    <xf numFmtId="6" fontId="30" fillId="6" borderId="22" xfId="0" applyNumberFormat="1" applyFont="1" applyFill="1" applyBorder="1"/>
    <xf numFmtId="44" fontId="13" fillId="11" borderId="16" xfId="0" applyNumberFormat="1" applyFont="1" applyFill="1" applyBorder="1"/>
    <xf numFmtId="14" fontId="0" fillId="0" borderId="0" xfId="0" applyNumberFormat="1"/>
    <xf numFmtId="43" fontId="13" fillId="11" borderId="22" xfId="0" applyNumberFormat="1" applyFont="1" applyFill="1" applyBorder="1"/>
    <xf numFmtId="44" fontId="13" fillId="11" borderId="50" xfId="0" applyNumberFormat="1" applyFont="1" applyFill="1" applyBorder="1"/>
    <xf numFmtId="0" fontId="29" fillId="11" borderId="15" xfId="0" applyFont="1" applyFill="1" applyBorder="1" applyAlignment="1">
      <alignment horizontal="center"/>
    </xf>
    <xf numFmtId="0" fontId="29" fillId="6" borderId="0" xfId="0" applyFont="1" applyFill="1" applyBorder="1" applyAlignment="1">
      <alignment horizontal="center"/>
    </xf>
    <xf numFmtId="0" fontId="14" fillId="11" borderId="29" xfId="0" applyFont="1" applyFill="1" applyBorder="1"/>
    <xf numFmtId="0" fontId="29" fillId="6" borderId="0" xfId="0" applyFont="1" applyFill="1" applyBorder="1" applyAlignment="1">
      <alignment horizontal="center" wrapText="1"/>
    </xf>
    <xf numFmtId="0" fontId="0" fillId="0" borderId="51" xfId="0" applyBorder="1"/>
    <xf numFmtId="0" fontId="0" fillId="0" borderId="52" xfId="0" applyBorder="1"/>
    <xf numFmtId="0" fontId="0" fillId="0" borderId="53" xfId="0" applyBorder="1"/>
    <xf numFmtId="43" fontId="0" fillId="0" borderId="0" xfId="1" applyNumberFormat="1" applyFont="1"/>
    <xf numFmtId="44" fontId="0" fillId="6" borderId="0" xfId="0" applyNumberFormat="1" applyFill="1" applyBorder="1"/>
    <xf numFmtId="0" fontId="0" fillId="0" borderId="54" xfId="0" applyBorder="1"/>
    <xf numFmtId="6" fontId="0" fillId="0" borderId="51" xfId="0" applyNumberFormat="1" applyBorder="1"/>
    <xf numFmtId="6" fontId="0" fillId="0" borderId="52" xfId="0" applyNumberFormat="1" applyBorder="1"/>
    <xf numFmtId="6" fontId="0" fillId="0" borderId="54" xfId="0" applyNumberFormat="1" applyBorder="1"/>
    <xf numFmtId="0" fontId="0" fillId="0" borderId="55" xfId="0" applyBorder="1"/>
    <xf numFmtId="6" fontId="0" fillId="0" borderId="56" xfId="0" applyNumberFormat="1" applyBorder="1"/>
    <xf numFmtId="6" fontId="0" fillId="0" borderId="0" xfId="0" applyNumberFormat="1"/>
    <xf numFmtId="6" fontId="0" fillId="0" borderId="57" xfId="0" applyNumberFormat="1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6" fontId="0" fillId="0" borderId="59" xfId="0" applyNumberFormat="1" applyBorder="1"/>
    <xf numFmtId="6" fontId="0" fillId="0" borderId="61" xfId="0" applyNumberFormat="1" applyBorder="1"/>
    <xf numFmtId="6" fontId="0" fillId="0" borderId="62" xfId="0" applyNumberFormat="1" applyBorder="1"/>
    <xf numFmtId="0" fontId="11" fillId="8" borderId="0" xfId="0" applyFont="1" applyFill="1"/>
    <xf numFmtId="0" fontId="0" fillId="0" borderId="62" xfId="0" pivotButton="1" applyBorder="1"/>
    <xf numFmtId="17" fontId="0" fillId="6" borderId="29" xfId="0" applyNumberFormat="1" applyFill="1" applyBorder="1"/>
    <xf numFmtId="38" fontId="0" fillId="6" borderId="22" xfId="1" applyNumberFormat="1" applyFont="1" applyFill="1" applyBorder="1"/>
    <xf numFmtId="0" fontId="4" fillId="6" borderId="0" xfId="0" applyNumberFormat="1" applyFont="1" applyFill="1" applyBorder="1"/>
    <xf numFmtId="0" fontId="31" fillId="0" borderId="0" xfId="0" applyFont="1" applyAlignment="1">
      <alignment wrapText="1"/>
    </xf>
    <xf numFmtId="0" fontId="11" fillId="0" borderId="0" xfId="0" applyFont="1" applyBorder="1"/>
    <xf numFmtId="0" fontId="23" fillId="0" borderId="0" xfId="0" applyFont="1"/>
    <xf numFmtId="17" fontId="23" fillId="0" borderId="0" xfId="0" applyNumberFormat="1" applyFont="1" applyAlignment="1">
      <alignment horizontal="center"/>
    </xf>
    <xf numFmtId="0" fontId="3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275" fontId="23" fillId="0" borderId="0" xfId="0" applyNumberFormat="1" applyFont="1" applyAlignment="1">
      <alignment horizontal="center"/>
    </xf>
    <xf numFmtId="17" fontId="23" fillId="0" borderId="0" xfId="0" applyNumberFormat="1" applyFont="1"/>
    <xf numFmtId="0" fontId="23" fillId="0" borderId="0" xfId="0" applyFont="1" applyAlignment="1">
      <alignment horizontal="left"/>
    </xf>
    <xf numFmtId="17" fontId="23" fillId="0" borderId="0" xfId="0" applyNumberFormat="1" applyFont="1" applyAlignment="1">
      <alignment horizontal="right"/>
    </xf>
    <xf numFmtId="14" fontId="23" fillId="0" borderId="0" xfId="0" applyNumberFormat="1" applyFont="1" applyAlignment="1">
      <alignment horizontal="center"/>
    </xf>
    <xf numFmtId="0" fontId="33" fillId="6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17" fontId="4" fillId="0" borderId="0" xfId="3" applyNumberFormat="1" applyFont="1" applyBorder="1" applyAlignment="1" applyProtection="1">
      <alignment horizontal="center"/>
    </xf>
    <xf numFmtId="0" fontId="33" fillId="0" borderId="0" xfId="0" applyFont="1" applyAlignment="1">
      <alignment horizontal="center"/>
    </xf>
    <xf numFmtId="0" fontId="4" fillId="0" borderId="0" xfId="3" applyFont="1" applyBorder="1" applyAlignment="1" applyProtection="1">
      <alignment horizontal="center"/>
    </xf>
    <xf numFmtId="10" fontId="23" fillId="0" borderId="0" xfId="0" applyNumberFormat="1" applyFont="1"/>
    <xf numFmtId="272" fontId="23" fillId="0" borderId="0" xfId="1" applyNumberFormat="1" applyFont="1"/>
    <xf numFmtId="0" fontId="23" fillId="6" borderId="0" xfId="0" applyFont="1" applyFill="1" applyAlignment="1">
      <alignment horizontal="center"/>
    </xf>
    <xf numFmtId="14" fontId="23" fillId="0" borderId="0" xfId="0" applyNumberFormat="1" applyFont="1"/>
    <xf numFmtId="10" fontId="23" fillId="6" borderId="0" xfId="0" applyNumberFormat="1" applyFont="1" applyFill="1" applyAlignment="1">
      <alignment horizontal="center"/>
    </xf>
    <xf numFmtId="14" fontId="5" fillId="6" borderId="0" xfId="3" applyNumberFormat="1" applyFont="1" applyFill="1" applyBorder="1"/>
    <xf numFmtId="14" fontId="4" fillId="6" borderId="0" xfId="3" applyNumberFormat="1" applyFont="1" applyFill="1" applyBorder="1" applyAlignment="1">
      <alignment horizontal="right"/>
    </xf>
    <xf numFmtId="17" fontId="2" fillId="6" borderId="0" xfId="0" applyNumberFormat="1" applyFont="1" applyFill="1" applyBorder="1" applyAlignment="1" applyProtection="1">
      <alignment horizontal="right"/>
    </xf>
    <xf numFmtId="0" fontId="2" fillId="6" borderId="0" xfId="0" applyFont="1" applyFill="1" applyBorder="1" applyAlignment="1">
      <alignment horizontal="right"/>
    </xf>
    <xf numFmtId="1" fontId="0" fillId="6" borderId="0" xfId="0" applyNumberFormat="1" applyFill="1" applyBorder="1"/>
    <xf numFmtId="203" fontId="0" fillId="6" borderId="0" xfId="0" applyNumberFormat="1" applyFill="1" applyBorder="1"/>
    <xf numFmtId="14" fontId="27" fillId="6" borderId="0" xfId="3" applyNumberFormat="1" applyFont="1" applyFill="1" applyBorder="1" applyAlignment="1">
      <alignment horizontal="right"/>
    </xf>
    <xf numFmtId="0" fontId="12" fillId="6" borderId="0" xfId="0" applyFont="1" applyFill="1" applyBorder="1"/>
    <xf numFmtId="0" fontId="19" fillId="6" borderId="0" xfId="0" applyFont="1" applyFill="1" applyBorder="1"/>
    <xf numFmtId="17" fontId="0" fillId="6" borderId="0" xfId="0" applyNumberFormat="1" applyFill="1" applyBorder="1"/>
    <xf numFmtId="165" fontId="0" fillId="6" borderId="0" xfId="0" applyNumberFormat="1" applyFill="1" applyBorder="1"/>
    <xf numFmtId="3" fontId="0" fillId="6" borderId="0" xfId="0" applyNumberFormat="1" applyFill="1" applyBorder="1"/>
    <xf numFmtId="10" fontId="0" fillId="6" borderId="0" xfId="0" applyNumberFormat="1" applyFill="1" applyBorder="1"/>
    <xf numFmtId="14" fontId="9" fillId="6" borderId="0" xfId="0" applyNumberFormat="1" applyFont="1" applyFill="1" applyBorder="1"/>
    <xf numFmtId="14" fontId="6" fillId="6" borderId="0" xfId="3" applyNumberFormat="1" applyFont="1" applyFill="1" applyBorder="1" applyAlignment="1">
      <alignment horizontal="right"/>
    </xf>
    <xf numFmtId="6" fontId="4" fillId="0" borderId="0" xfId="0" applyNumberFormat="1" applyFont="1" applyBorder="1"/>
    <xf numFmtId="216" fontId="11" fillId="0" borderId="0" xfId="2" applyNumberFormat="1" applyFont="1" applyBorder="1"/>
    <xf numFmtId="17" fontId="0" fillId="6" borderId="44" xfId="0" applyNumberFormat="1" applyFill="1" applyBorder="1"/>
    <xf numFmtId="43" fontId="0" fillId="0" borderId="0" xfId="1" applyFont="1"/>
    <xf numFmtId="0" fontId="8" fillId="12" borderId="0" xfId="0" applyFont="1" applyFill="1" applyBorder="1"/>
    <xf numFmtId="17" fontId="4" fillId="0" borderId="28" xfId="3" applyNumberFormat="1" applyFont="1" applyBorder="1" applyAlignment="1" applyProtection="1">
      <alignment horizontal="right"/>
    </xf>
    <xf numFmtId="274" fontId="23" fillId="0" borderId="0" xfId="1" applyNumberFormat="1" applyFont="1"/>
    <xf numFmtId="277" fontId="23" fillId="0" borderId="0" xfId="1" applyNumberFormat="1" applyFont="1"/>
    <xf numFmtId="44" fontId="12" fillId="4" borderId="5" xfId="2" applyFont="1" applyFill="1" applyBorder="1" applyAlignment="1">
      <alignment horizontal="centerContinuous"/>
    </xf>
    <xf numFmtId="14" fontId="13" fillId="0" borderId="0" xfId="0" applyNumberFormat="1" applyFont="1"/>
    <xf numFmtId="0" fontId="29" fillId="0" borderId="0" xfId="0" applyFont="1"/>
    <xf numFmtId="0" fontId="28" fillId="0" borderId="0" xfId="0" applyFont="1"/>
    <xf numFmtId="0" fontId="0" fillId="0" borderId="0" xfId="0" applyFill="1" applyBorder="1"/>
    <xf numFmtId="171" fontId="0" fillId="6" borderId="14" xfId="1" applyNumberFormat="1" applyFont="1" applyFill="1" applyBorder="1"/>
    <xf numFmtId="171" fontId="0" fillId="6" borderId="15" xfId="1" applyNumberFormat="1" applyFont="1" applyFill="1" applyBorder="1"/>
    <xf numFmtId="171" fontId="0" fillId="6" borderId="16" xfId="1" applyNumberFormat="1" applyFont="1" applyFill="1" applyBorder="1"/>
    <xf numFmtId="171" fontId="0" fillId="6" borderId="29" xfId="1" applyNumberFormat="1" applyFont="1" applyFill="1" applyBorder="1"/>
    <xf numFmtId="171" fontId="0" fillId="6" borderId="22" xfId="1" applyNumberFormat="1" applyFont="1" applyFill="1" applyBorder="1"/>
    <xf numFmtId="171" fontId="0" fillId="6" borderId="44" xfId="1" applyNumberFormat="1" applyFont="1" applyFill="1" applyBorder="1"/>
    <xf numFmtId="171" fontId="0" fillId="6" borderId="23" xfId="1" applyNumberFormat="1" applyFont="1" applyFill="1" applyBorder="1"/>
    <xf numFmtId="171" fontId="0" fillId="6" borderId="24" xfId="1" applyNumberFormat="1" applyFont="1" applyFill="1" applyBorder="1"/>
    <xf numFmtId="0" fontId="0" fillId="11" borderId="0" xfId="0" applyFill="1"/>
    <xf numFmtId="14" fontId="0" fillId="6" borderId="31" xfId="0" applyNumberFormat="1" applyFill="1" applyBorder="1"/>
    <xf numFmtId="14" fontId="0" fillId="6" borderId="42" xfId="0" applyNumberFormat="1" applyFill="1" applyBorder="1"/>
    <xf numFmtId="14" fontId="0" fillId="6" borderId="45" xfId="0" applyNumberFormat="1" applyFill="1" applyBorder="1"/>
    <xf numFmtId="0" fontId="13" fillId="11" borderId="0" xfId="0" applyFont="1" applyFill="1"/>
    <xf numFmtId="0" fontId="8" fillId="3" borderId="4" xfId="0" applyFont="1" applyFill="1" applyBorder="1" applyAlignment="1">
      <alignment horizontal="centerContinuous"/>
    </xf>
    <xf numFmtId="15" fontId="0" fillId="0" borderId="0" xfId="0" applyNumberFormat="1" applyBorder="1"/>
    <xf numFmtId="15" fontId="22" fillId="0" borderId="0" xfId="0" applyNumberFormat="1" applyFont="1"/>
    <xf numFmtId="15" fontId="22" fillId="0" borderId="0" xfId="0" applyNumberFormat="1" applyFont="1" applyBorder="1"/>
    <xf numFmtId="0" fontId="15" fillId="6" borderId="29" xfId="0" applyFont="1" applyFill="1" applyBorder="1"/>
    <xf numFmtId="0" fontId="15" fillId="6" borderId="0" xfId="0" applyFont="1" applyFill="1" applyBorder="1"/>
    <xf numFmtId="0" fontId="15" fillId="6" borderId="22" xfId="0" applyFont="1" applyFill="1" applyBorder="1"/>
    <xf numFmtId="6" fontId="30" fillId="6" borderId="14" xfId="0" applyNumberFormat="1" applyFont="1" applyFill="1" applyBorder="1"/>
    <xf numFmtId="6" fontId="30" fillId="6" borderId="29" xfId="0" applyNumberFormat="1" applyFont="1" applyFill="1" applyBorder="1"/>
    <xf numFmtId="6" fontId="30" fillId="6" borderId="44" xfId="0" applyNumberFormat="1" applyFont="1" applyFill="1" applyBorder="1"/>
    <xf numFmtId="6" fontId="30" fillId="6" borderId="23" xfId="0" applyNumberFormat="1" applyFont="1" applyFill="1" applyBorder="1"/>
    <xf numFmtId="6" fontId="30" fillId="6" borderId="24" xfId="0" applyNumberFormat="1" applyFont="1" applyFill="1" applyBorder="1"/>
    <xf numFmtId="0" fontId="9" fillId="0" borderId="0" xfId="0" applyFont="1" applyFill="1" applyBorder="1"/>
    <xf numFmtId="6" fontId="9" fillId="0" borderId="0" xfId="0" applyNumberFormat="1" applyFont="1" applyFill="1" applyBorder="1"/>
    <xf numFmtId="14" fontId="11" fillId="0" borderId="0" xfId="0" applyNumberFormat="1" applyFont="1" applyBorder="1"/>
    <xf numFmtId="0" fontId="0" fillId="0" borderId="56" xfId="0" applyBorder="1"/>
    <xf numFmtId="0" fontId="0" fillId="0" borderId="3" xfId="0" applyBorder="1"/>
    <xf numFmtId="0" fontId="0" fillId="0" borderId="4" xfId="0" applyBorder="1"/>
    <xf numFmtId="6" fontId="0" fillId="0" borderId="5" xfId="0" applyNumberFormat="1" applyBorder="1"/>
    <xf numFmtId="43" fontId="13" fillId="11" borderId="42" xfId="1" applyNumberFormat="1" applyFont="1" applyFill="1" applyBorder="1" applyAlignment="1">
      <alignment horizontal="left"/>
    </xf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29" xfId="0" applyFill="1" applyBorder="1"/>
    <xf numFmtId="0" fontId="0" fillId="3" borderId="0" xfId="0" applyFill="1" applyBorder="1"/>
    <xf numFmtId="0" fontId="0" fillId="3" borderId="22" xfId="0" applyFill="1" applyBorder="1"/>
    <xf numFmtId="0" fontId="0" fillId="3" borderId="44" xfId="0" applyFill="1" applyBorder="1"/>
    <xf numFmtId="0" fontId="0" fillId="3" borderId="23" xfId="0" applyFill="1" applyBorder="1"/>
    <xf numFmtId="0" fontId="0" fillId="3" borderId="24" xfId="0" applyFill="1" applyBorder="1"/>
    <xf numFmtId="205" fontId="0" fillId="0" borderId="0" xfId="0" applyNumberFormat="1"/>
    <xf numFmtId="0" fontId="34" fillId="0" borderId="28" xfId="0" applyFont="1" applyBorder="1" applyAlignment="1">
      <alignment vertical="top"/>
    </xf>
    <xf numFmtId="0" fontId="34" fillId="0" borderId="0" xfId="0" applyFont="1" applyBorder="1" applyAlignment="1">
      <alignment vertical="top"/>
    </xf>
    <xf numFmtId="0" fontId="0" fillId="0" borderId="28" xfId="0" applyBorder="1"/>
    <xf numFmtId="0" fontId="35" fillId="0" borderId="0" xfId="0" applyFont="1" applyBorder="1" applyAlignment="1">
      <alignment vertical="top"/>
    </xf>
    <xf numFmtId="214" fontId="11" fillId="11" borderId="29" xfId="0" applyNumberFormat="1" applyFont="1" applyFill="1" applyBorder="1"/>
    <xf numFmtId="8" fontId="13" fillId="6" borderId="29" xfId="2" applyNumberFormat="1" applyFont="1" applyFill="1" applyBorder="1"/>
    <xf numFmtId="8" fontId="13" fillId="6" borderId="44" xfId="2" applyNumberFormat="1" applyFont="1" applyFill="1" applyBorder="1"/>
    <xf numFmtId="11" fontId="23" fillId="0" borderId="0" xfId="0" applyNumberFormat="1" applyFont="1" applyAlignment="1">
      <alignment horizontal="center"/>
    </xf>
    <xf numFmtId="11" fontId="23" fillId="0" borderId="0" xfId="0" applyNumberFormat="1" applyFont="1"/>
    <xf numFmtId="0" fontId="0" fillId="0" borderId="46" xfId="0" applyBorder="1"/>
    <xf numFmtId="0" fontId="0" fillId="6" borderId="14" xfId="0" applyFill="1" applyBorder="1"/>
    <xf numFmtId="0" fontId="0" fillId="6" borderId="15" xfId="0" applyFill="1" applyBorder="1"/>
    <xf numFmtId="0" fontId="0" fillId="6" borderId="16" xfId="0" applyFill="1" applyBorder="1"/>
    <xf numFmtId="14" fontId="0" fillId="6" borderId="29" xfId="0" applyNumberFormat="1" applyFill="1" applyBorder="1"/>
    <xf numFmtId="6" fontId="0" fillId="6" borderId="0" xfId="0" applyNumberFormat="1" applyFill="1" applyBorder="1"/>
    <xf numFmtId="8" fontId="0" fillId="6" borderId="22" xfId="0" applyNumberFormat="1" applyFill="1" applyBorder="1"/>
    <xf numFmtId="14" fontId="0" fillId="6" borderId="44" xfId="0" applyNumberFormat="1" applyFill="1" applyBorder="1"/>
    <xf numFmtId="6" fontId="0" fillId="6" borderId="23" xfId="0" applyNumberFormat="1" applyFill="1" applyBorder="1"/>
    <xf numFmtId="0" fontId="0" fillId="6" borderId="23" xfId="0" applyFill="1" applyBorder="1"/>
    <xf numFmtId="8" fontId="0" fillId="6" borderId="24" xfId="0" applyNumberFormat="1" applyFill="1" applyBorder="1"/>
    <xf numFmtId="0" fontId="0" fillId="6" borderId="46" xfId="0" applyFill="1" applyBorder="1"/>
    <xf numFmtId="0" fontId="0" fillId="6" borderId="48" xfId="0" applyFill="1" applyBorder="1" applyAlignment="1">
      <alignment wrapText="1"/>
    </xf>
    <xf numFmtId="0" fontId="0" fillId="6" borderId="48" xfId="0" applyFill="1" applyBorder="1"/>
    <xf numFmtId="0" fontId="0" fillId="6" borderId="47" xfId="0" applyFill="1" applyBorder="1" applyAlignment="1">
      <alignment wrapText="1"/>
    </xf>
    <xf numFmtId="6" fontId="0" fillId="6" borderId="22" xfId="2" applyNumberFormat="1" applyFont="1" applyFill="1" applyBorder="1"/>
    <xf numFmtId="216" fontId="0" fillId="6" borderId="22" xfId="2" applyNumberFormat="1" applyFont="1" applyFill="1" applyBorder="1"/>
    <xf numFmtId="0" fontId="0" fillId="6" borderId="22" xfId="0" applyFill="1" applyBorder="1"/>
    <xf numFmtId="0" fontId="0" fillId="6" borderId="24" xfId="0" applyFill="1" applyBorder="1"/>
    <xf numFmtId="0" fontId="0" fillId="0" borderId="47" xfId="0" applyBorder="1"/>
    <xf numFmtId="14" fontId="0" fillId="6" borderId="14" xfId="0" applyNumberFormat="1" applyFill="1" applyBorder="1"/>
    <xf numFmtId="6" fontId="0" fillId="6" borderId="15" xfId="2" applyNumberFormat="1" applyFont="1" applyFill="1" applyBorder="1"/>
    <xf numFmtId="6" fontId="0" fillId="6" borderId="16" xfId="2" applyNumberFormat="1" applyFont="1" applyFill="1" applyBorder="1"/>
    <xf numFmtId="6" fontId="0" fillId="6" borderId="0" xfId="2" applyNumberFormat="1" applyFont="1" applyFill="1" applyBorder="1"/>
    <xf numFmtId="6" fontId="0" fillId="6" borderId="23" xfId="2" applyNumberFormat="1" applyFont="1" applyFill="1" applyBorder="1"/>
    <xf numFmtId="6" fontId="0" fillId="6" borderId="24" xfId="2" applyNumberFormat="1" applyFont="1" applyFill="1" applyBorder="1"/>
    <xf numFmtId="0" fontId="4" fillId="0" borderId="0" xfId="0" applyFont="1" applyFill="1" applyBorder="1"/>
    <xf numFmtId="0" fontId="11" fillId="0" borderId="0" xfId="0" applyFont="1" applyFill="1" applyBorder="1"/>
    <xf numFmtId="43" fontId="4" fillId="0" borderId="0" xfId="0" applyNumberFormat="1" applyFont="1"/>
    <xf numFmtId="14" fontId="0" fillId="0" borderId="51" xfId="0" applyNumberFormat="1" applyBorder="1"/>
    <xf numFmtId="14" fontId="0" fillId="0" borderId="52" xfId="0" applyNumberFormat="1" applyBorder="1"/>
    <xf numFmtId="0" fontId="0" fillId="0" borderId="62" xfId="0" applyBorder="1"/>
    <xf numFmtId="220" fontId="0" fillId="0" borderId="51" xfId="0" applyNumberFormat="1" applyBorder="1"/>
    <xf numFmtId="220" fontId="0" fillId="0" borderId="52" xfId="0" applyNumberFormat="1" applyBorder="1"/>
    <xf numFmtId="220" fontId="0" fillId="0" borderId="54" xfId="0" applyNumberFormat="1" applyBorder="1"/>
    <xf numFmtId="220" fontId="0" fillId="0" borderId="56" xfId="0" applyNumberFormat="1" applyBorder="1"/>
    <xf numFmtId="220" fontId="0" fillId="0" borderId="0" xfId="0" applyNumberFormat="1"/>
    <xf numFmtId="220" fontId="0" fillId="0" borderId="57" xfId="0" applyNumberFormat="1" applyBorder="1"/>
    <xf numFmtId="220" fontId="0" fillId="0" borderId="59" xfId="0" applyNumberFormat="1" applyBorder="1"/>
    <xf numFmtId="220" fontId="0" fillId="0" borderId="61" xfId="0" applyNumberFormat="1" applyBorder="1"/>
    <xf numFmtId="220" fontId="0" fillId="0" borderId="62" xfId="0" applyNumberFormat="1" applyBorder="1"/>
    <xf numFmtId="279" fontId="23" fillId="0" borderId="0" xfId="0" applyNumberFormat="1" applyFont="1"/>
    <xf numFmtId="279" fontId="23" fillId="0" borderId="0" xfId="1" applyNumberFormat="1" applyFont="1"/>
    <xf numFmtId="0" fontId="15" fillId="6" borderId="43" xfId="0" applyFont="1" applyFill="1" applyBorder="1"/>
    <xf numFmtId="43" fontId="0" fillId="0" borderId="0" xfId="1" quotePrefix="1" applyNumberFormat="1" applyFont="1"/>
    <xf numFmtId="43" fontId="0" fillId="0" borderId="0" xfId="1" quotePrefix="1" applyFont="1"/>
    <xf numFmtId="171" fontId="0" fillId="0" borderId="0" xfId="1" quotePrefix="1" applyNumberFormat="1" applyFont="1"/>
    <xf numFmtId="44" fontId="0" fillId="6" borderId="0" xfId="0" quotePrefix="1" applyNumberFormat="1" applyFill="1" applyBorder="1"/>
    <xf numFmtId="171" fontId="0" fillId="0" borderId="0" xfId="0" quotePrefix="1" applyNumberFormat="1"/>
    <xf numFmtId="44" fontId="2" fillId="0" borderId="0" xfId="2"/>
    <xf numFmtId="0" fontId="4" fillId="4" borderId="3" xfId="0" applyFont="1" applyFill="1" applyBorder="1" applyAlignment="1">
      <alignment horizontal="centerContinuous"/>
    </xf>
    <xf numFmtId="15" fontId="37" fillId="0" borderId="0" xfId="0" applyNumberFormat="1" applyFont="1"/>
    <xf numFmtId="0" fontId="0" fillId="0" borderId="0" xfId="0" quotePrefix="1"/>
    <xf numFmtId="44" fontId="0" fillId="0" borderId="0" xfId="2" quotePrefix="1" applyFont="1"/>
    <xf numFmtId="165" fontId="4" fillId="0" borderId="0" xfId="0" quotePrefix="1" applyNumberFormat="1" applyFont="1" applyBorder="1"/>
    <xf numFmtId="2" fontId="4" fillId="0" borderId="0" xfId="0" quotePrefix="1" applyNumberFormat="1" applyFont="1" applyBorder="1"/>
    <xf numFmtId="217" fontId="4" fillId="0" borderId="0" xfId="4" quotePrefix="1" applyNumberFormat="1" applyFont="1"/>
    <xf numFmtId="0" fontId="4" fillId="0" borderId="0" xfId="0" quotePrefix="1" applyFont="1" applyBorder="1"/>
    <xf numFmtId="0" fontId="13" fillId="0" borderId="23" xfId="0" applyFont="1" applyBorder="1"/>
    <xf numFmtId="2" fontId="23" fillId="0" borderId="0" xfId="0" applyNumberFormat="1" applyFont="1"/>
    <xf numFmtId="43" fontId="13" fillId="11" borderId="22" xfId="2" applyNumberFormat="1" applyFont="1" applyFill="1" applyBorder="1"/>
    <xf numFmtId="0" fontId="13" fillId="0" borderId="43" xfId="0" applyFont="1" applyBorder="1" applyAlignment="1">
      <alignment horizontal="center"/>
    </xf>
    <xf numFmtId="38" fontId="0" fillId="6" borderId="48" xfId="1" applyNumberFormat="1" applyFont="1" applyFill="1" applyBorder="1"/>
    <xf numFmtId="38" fontId="13" fillId="11" borderId="43" xfId="1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right"/>
    </xf>
    <xf numFmtId="17" fontId="4" fillId="0" borderId="0" xfId="3" applyNumberFormat="1" applyFont="1" applyBorder="1" applyAlignment="1" applyProtection="1">
      <alignment horizontal="right"/>
    </xf>
    <xf numFmtId="40" fontId="11" fillId="0" borderId="0" xfId="0" applyNumberFormat="1" applyFont="1"/>
    <xf numFmtId="17" fontId="0" fillId="6" borderId="43" xfId="0" applyNumberFormat="1" applyFill="1" applyBorder="1"/>
    <xf numFmtId="44" fontId="4" fillId="0" borderId="0" xfId="2" applyFont="1" applyFill="1" applyBorder="1"/>
    <xf numFmtId="44" fontId="30" fillId="6" borderId="0" xfId="0" applyNumberFormat="1" applyFont="1" applyFill="1" applyBorder="1"/>
    <xf numFmtId="281" fontId="23" fillId="0" borderId="0" xfId="0" applyNumberFormat="1" applyFont="1"/>
    <xf numFmtId="0" fontId="4" fillId="0" borderId="0" xfId="0" applyFont="1" applyAlignment="1">
      <alignment horizontal="center"/>
    </xf>
    <xf numFmtId="0" fontId="8" fillId="10" borderId="12" xfId="0" applyFont="1" applyFill="1" applyBorder="1"/>
    <xf numFmtId="0" fontId="8" fillId="10" borderId="7" xfId="0" applyFont="1" applyFill="1" applyBorder="1"/>
    <xf numFmtId="0" fontId="0" fillId="6" borderId="24" xfId="0" applyFill="1" applyBorder="1" applyAlignment="1">
      <alignment horizontal="center"/>
    </xf>
    <xf numFmtId="2" fontId="8" fillId="10" borderId="12" xfId="0" applyNumberFormat="1" applyFont="1" applyFill="1" applyBorder="1"/>
    <xf numFmtId="14" fontId="8" fillId="10" borderId="12" xfId="0" applyNumberFormat="1" applyFont="1" applyFill="1" applyBorder="1"/>
    <xf numFmtId="2" fontId="11" fillId="7" borderId="0" xfId="1" applyNumberFormat="1" applyFont="1" applyFill="1" applyBorder="1"/>
    <xf numFmtId="14" fontId="4" fillId="0" borderId="0" xfId="0" applyNumberFormat="1" applyFont="1"/>
    <xf numFmtId="0" fontId="0" fillId="0" borderId="0" xfId="0" applyAlignment="1">
      <alignment horizontal="center"/>
    </xf>
    <xf numFmtId="0" fontId="0" fillId="0" borderId="48" xfId="0" applyBorder="1"/>
    <xf numFmtId="38" fontId="13" fillId="0" borderId="0" xfId="0" applyNumberFormat="1" applyFont="1" applyFill="1" applyBorder="1" applyAlignment="1">
      <alignment horizontal="center"/>
    </xf>
    <xf numFmtId="10" fontId="11" fillId="0" borderId="0" xfId="0" applyNumberFormat="1" applyFont="1"/>
    <xf numFmtId="40" fontId="4" fillId="0" borderId="0" xfId="0" applyNumberFormat="1" applyFont="1"/>
    <xf numFmtId="1" fontId="4" fillId="0" borderId="0" xfId="0" applyNumberFormat="1" applyFont="1"/>
    <xf numFmtId="0" fontId="38" fillId="0" borderId="0" xfId="0" applyFont="1"/>
    <xf numFmtId="0" fontId="37" fillId="0" borderId="0" xfId="0" applyFont="1"/>
    <xf numFmtId="220" fontId="38" fillId="0" borderId="0" xfId="0" applyNumberFormat="1" applyFont="1"/>
    <xf numFmtId="6" fontId="38" fillId="0" borderId="0" xfId="0" applyNumberFormat="1" applyFont="1"/>
    <xf numFmtId="17" fontId="38" fillId="0" borderId="0" xfId="0" applyNumberFormat="1" applyFont="1"/>
    <xf numFmtId="165" fontId="11" fillId="7" borderId="22" xfId="1" applyNumberFormat="1" applyFont="1" applyFill="1" applyBorder="1"/>
    <xf numFmtId="284" fontId="38" fillId="0" borderId="0" xfId="0" applyNumberFormat="1" applyFont="1"/>
    <xf numFmtId="8" fontId="30" fillId="6" borderId="16" xfId="0" applyNumberFormat="1" applyFont="1" applyFill="1" applyBorder="1"/>
    <xf numFmtId="8" fontId="30" fillId="6" borderId="15" xfId="0" applyNumberFormat="1" applyFont="1" applyFill="1" applyBorder="1"/>
    <xf numFmtId="0" fontId="0" fillId="4" borderId="8" xfId="0" applyFill="1" applyBorder="1" applyAlignment="1">
      <alignment horizontal="centerContinuous"/>
    </xf>
    <xf numFmtId="0" fontId="0" fillId="5" borderId="0" xfId="0" applyFill="1" applyBorder="1" applyAlignment="1">
      <alignment horizontal="center"/>
    </xf>
    <xf numFmtId="43" fontId="0" fillId="0" borderId="0" xfId="0" applyNumberFormat="1" applyAlignment="1">
      <alignment horizontal="right"/>
    </xf>
    <xf numFmtId="44" fontId="0" fillId="0" borderId="0" xfId="2" applyFont="1" applyAlignment="1">
      <alignment horizontal="right"/>
    </xf>
    <xf numFmtId="38" fontId="13" fillId="11" borderId="0" xfId="0" applyNumberFormat="1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23" fillId="0" borderId="0" xfId="0" quotePrefix="1" applyFont="1"/>
    <xf numFmtId="0" fontId="23" fillId="0" borderId="14" xfId="0" applyFont="1" applyBorder="1"/>
    <xf numFmtId="0" fontId="23" fillId="0" borderId="16" xfId="0" applyFont="1" applyBorder="1"/>
    <xf numFmtId="0" fontId="23" fillId="0" borderId="29" xfId="0" applyFont="1" applyBorder="1"/>
    <xf numFmtId="0" fontId="23" fillId="0" borderId="22" xfId="0" applyFont="1" applyBorder="1"/>
    <xf numFmtId="0" fontId="23" fillId="3" borderId="29" xfId="0" applyFont="1" applyFill="1" applyBorder="1"/>
    <xf numFmtId="0" fontId="23" fillId="0" borderId="44" xfId="0" applyFont="1" applyBorder="1"/>
    <xf numFmtId="282" fontId="23" fillId="0" borderId="0" xfId="0" applyNumberFormat="1" applyFont="1"/>
    <xf numFmtId="282" fontId="22" fillId="0" borderId="0" xfId="0" applyNumberFormat="1" applyFont="1" applyBorder="1"/>
    <xf numFmtId="9" fontId="4" fillId="3" borderId="0" xfId="4" applyFont="1" applyFill="1" applyBorder="1"/>
    <xf numFmtId="217" fontId="4" fillId="3" borderId="0" xfId="4" applyNumberFormat="1" applyFont="1" applyFill="1" applyBorder="1"/>
    <xf numFmtId="0" fontId="4" fillId="3" borderId="0" xfId="0" applyFont="1" applyFill="1" applyBorder="1"/>
    <xf numFmtId="15" fontId="0" fillId="0" borderId="51" xfId="0" applyNumberFormat="1" applyBorder="1"/>
    <xf numFmtId="0" fontId="0" fillId="0" borderId="51" xfId="0" applyNumberFormat="1" applyBorder="1"/>
    <xf numFmtId="0" fontId="0" fillId="0" borderId="52" xfId="0" applyNumberFormat="1" applyBorder="1"/>
    <xf numFmtId="0" fontId="0" fillId="0" borderId="54" xfId="0" applyNumberFormat="1" applyBorder="1"/>
    <xf numFmtId="15" fontId="0" fillId="0" borderId="56" xfId="0" applyNumberFormat="1" applyBorder="1"/>
    <xf numFmtId="0" fontId="0" fillId="0" borderId="56" xfId="0" applyNumberFormat="1" applyBorder="1"/>
    <xf numFmtId="0" fontId="0" fillId="0" borderId="0" xfId="0" applyNumberFormat="1"/>
    <xf numFmtId="0" fontId="0" fillId="0" borderId="57" xfId="0" applyNumberFormat="1" applyBorder="1"/>
    <xf numFmtId="15" fontId="0" fillId="0" borderId="59" xfId="0" applyNumberFormat="1" applyBorder="1"/>
    <xf numFmtId="0" fontId="0" fillId="0" borderId="59" xfId="0" applyNumberFormat="1" applyBorder="1"/>
    <xf numFmtId="0" fontId="0" fillId="0" borderId="61" xfId="0" applyNumberFormat="1" applyBorder="1"/>
    <xf numFmtId="0" fontId="0" fillId="0" borderId="62" xfId="0" applyNumberFormat="1" applyBorder="1"/>
    <xf numFmtId="0" fontId="0" fillId="0" borderId="51" xfId="0" pivotButton="1" applyBorder="1"/>
    <xf numFmtId="0" fontId="8" fillId="3" borderId="3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June Options 97" xfId="3"/>
    <cellStyle name="Percent" xfId="4" builtinId="5"/>
  </cellStyles>
  <dxfs count="2">
    <dxf>
      <numFmt numFmtId="10" formatCode="&quot;$&quot;#,##0_);[Red]\(&quot;$&quot;#,##0\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5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45720</xdr:colOff>
          <xdr:row>7</xdr:row>
          <xdr:rowOff>53340</xdr:rowOff>
        </xdr:from>
        <xdr:to>
          <xdr:col>17</xdr:col>
          <xdr:colOff>297180</xdr:colOff>
          <xdr:row>10</xdr:row>
          <xdr:rowOff>0</xdr:rowOff>
        </xdr:to>
        <xdr:sp macro="" textlink="">
          <xdr:nvSpPr>
            <xdr:cNvPr id="3075" name="Button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NEW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22860</xdr:colOff>
          <xdr:row>1</xdr:row>
          <xdr:rowOff>144780</xdr:rowOff>
        </xdr:from>
        <xdr:to>
          <xdr:col>18</xdr:col>
          <xdr:colOff>297180</xdr:colOff>
          <xdr:row>6</xdr:row>
          <xdr:rowOff>30480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AND PRINT ALL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0</xdr:row>
      <xdr:rowOff>106680</xdr:rowOff>
    </xdr:from>
    <xdr:to>
      <xdr:col>37</xdr:col>
      <xdr:colOff>68580</xdr:colOff>
      <xdr:row>0</xdr:row>
      <xdr:rowOff>106680</xdr:rowOff>
    </xdr:to>
    <xdr:sp macro="" textlink="">
      <xdr:nvSpPr>
        <xdr:cNvPr id="2054" name="Line 6"/>
        <xdr:cNvSpPr>
          <a:spLocks noChangeShapeType="1"/>
        </xdr:cNvSpPr>
      </xdr:nvSpPr>
      <xdr:spPr bwMode="auto">
        <a:xfrm>
          <a:off x="5425440" y="106680"/>
          <a:ext cx="2328672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563880</xdr:colOff>
          <xdr:row>0</xdr:row>
          <xdr:rowOff>38100</xdr:rowOff>
        </xdr:from>
        <xdr:to>
          <xdr:col>15</xdr:col>
          <xdr:colOff>601980</xdr:colOff>
          <xdr:row>1</xdr:row>
          <xdr:rowOff>99060</xdr:rowOff>
        </xdr:to>
        <xdr:sp macro="" textlink="">
          <xdr:nvSpPr>
            <xdr:cNvPr id="12289" name="Button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Arial"/>
                  <a:cs typeface="Arial"/>
                </a:rPr>
                <a:t>Rho &amp; Drift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182880</xdr:colOff>
          <xdr:row>2</xdr:row>
          <xdr:rowOff>91440</xdr:rowOff>
        </xdr:from>
        <xdr:to>
          <xdr:col>22</xdr:col>
          <xdr:colOff>190500</xdr:colOff>
          <xdr:row>5</xdr:row>
          <xdr:rowOff>160020</xdr:rowOff>
        </xdr:to>
        <xdr:sp macro="" textlink="">
          <xdr:nvSpPr>
            <xdr:cNvPr id="6149" name="Button 5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EXOTIC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5</xdr:row>
          <xdr:rowOff>68580</xdr:rowOff>
        </xdr:from>
        <xdr:to>
          <xdr:col>1</xdr:col>
          <xdr:colOff>175260</xdr:colOff>
          <xdr:row>7</xdr:row>
          <xdr:rowOff>22860</xdr:rowOff>
        </xdr:to>
        <xdr:sp macro="" textlink="">
          <xdr:nvSpPr>
            <xdr:cNvPr id="11265" name="CommandButton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289560</xdr:colOff>
          <xdr:row>5</xdr:row>
          <xdr:rowOff>76200</xdr:rowOff>
        </xdr:from>
        <xdr:to>
          <xdr:col>2</xdr:col>
          <xdr:colOff>167640</xdr:colOff>
          <xdr:row>7</xdr:row>
          <xdr:rowOff>30480</xdr:rowOff>
        </xdr:to>
        <xdr:sp macro="" textlink="">
          <xdr:nvSpPr>
            <xdr:cNvPr id="11266" name="CommandButton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441960</xdr:colOff>
          <xdr:row>5</xdr:row>
          <xdr:rowOff>76200</xdr:rowOff>
        </xdr:from>
        <xdr:to>
          <xdr:col>3</xdr:col>
          <xdr:colOff>106680</xdr:colOff>
          <xdr:row>7</xdr:row>
          <xdr:rowOff>30480</xdr:rowOff>
        </xdr:to>
        <xdr:sp macro="" textlink="">
          <xdr:nvSpPr>
            <xdr:cNvPr id="11267" name="CommandButton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266700</xdr:colOff>
          <xdr:row>7</xdr:row>
          <xdr:rowOff>45720</xdr:rowOff>
        </xdr:from>
        <xdr:to>
          <xdr:col>2</xdr:col>
          <xdr:colOff>38100</xdr:colOff>
          <xdr:row>9</xdr:row>
          <xdr:rowOff>7620</xdr:rowOff>
        </xdr:to>
        <xdr:sp macro="" textlink="">
          <xdr:nvSpPr>
            <xdr:cNvPr id="11268" name="Button 4" hidden="1">
              <a:extLst>
                <a:ext uri="{63B3BB69-23CF-44E3-9099-C40C66FF867C}">
                  <a14:compatExt spid="_x0000_s1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Curves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182880</xdr:colOff>
          <xdr:row>5</xdr:row>
          <xdr:rowOff>68580</xdr:rowOff>
        </xdr:from>
        <xdr:to>
          <xdr:col>1</xdr:col>
          <xdr:colOff>228600</xdr:colOff>
          <xdr:row>7</xdr:row>
          <xdr:rowOff>22860</xdr:rowOff>
        </xdr:to>
        <xdr:sp macro="" textlink="">
          <xdr:nvSpPr>
            <xdr:cNvPr id="16385" name="CommandButton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289560</xdr:colOff>
          <xdr:row>5</xdr:row>
          <xdr:rowOff>76200</xdr:rowOff>
        </xdr:from>
        <xdr:to>
          <xdr:col>2</xdr:col>
          <xdr:colOff>167640</xdr:colOff>
          <xdr:row>7</xdr:row>
          <xdr:rowOff>30480</xdr:rowOff>
        </xdr:to>
        <xdr:sp macro="" textlink="">
          <xdr:nvSpPr>
            <xdr:cNvPr id="16386" name="CommandButton2" hidden="1">
              <a:extLst>
                <a:ext uri="{63B3BB69-23CF-44E3-9099-C40C66FF867C}">
                  <a14:compatExt spid="_x0000_s16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441960</xdr:colOff>
          <xdr:row>5</xdr:row>
          <xdr:rowOff>76200</xdr:rowOff>
        </xdr:from>
        <xdr:to>
          <xdr:col>4</xdr:col>
          <xdr:colOff>198120</xdr:colOff>
          <xdr:row>7</xdr:row>
          <xdr:rowOff>30480</xdr:rowOff>
        </xdr:to>
        <xdr:sp macro="" textlink="">
          <xdr:nvSpPr>
            <xdr:cNvPr id="16387" name="CommandButton3" hidden="1">
              <a:extLst>
                <a:ext uri="{63B3BB69-23CF-44E3-9099-C40C66FF867C}">
                  <a14:compatExt spid="_x0000_s16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251460</xdr:colOff>
          <xdr:row>2</xdr:row>
          <xdr:rowOff>38100</xdr:rowOff>
        </xdr:from>
        <xdr:to>
          <xdr:col>3</xdr:col>
          <xdr:colOff>160020</xdr:colOff>
          <xdr:row>8</xdr:row>
          <xdr:rowOff>45720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File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Pivot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as Basis Pipe Options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Sent TXT file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curvefetch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fred/Extend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fred/PIPE%20OPTIONS%209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1999/0799/Rgns/Omic079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jbuss/Exotic%20Pipe%20Options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_Trading/Gasdaily/PIPEFLDR/Studies/Transport/Intra_Trans_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Module1"/>
    </sheetNames>
    <definedNames>
      <definedName name="FetchCurves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urves"/>
      <sheetName val="FetchCurves"/>
    </sheetNames>
    <sheetDataSet>
      <sheetData sheetId="0" refreshError="1"/>
      <sheetData sheetId="1">
        <row r="14">
          <cell r="D14">
            <v>36161</v>
          </cell>
          <cell r="E14">
            <v>1.9520000000000002</v>
          </cell>
          <cell r="F14">
            <v>-0.04</v>
          </cell>
          <cell r="G14">
            <v>-0.04</v>
          </cell>
        </row>
        <row r="15">
          <cell r="D15">
            <v>36192</v>
          </cell>
          <cell r="E15">
            <v>1.9909999999999999</v>
          </cell>
          <cell r="F15">
            <v>-5.7500000000000002E-2</v>
          </cell>
          <cell r="G15">
            <v>-5.7500000000000002E-2</v>
          </cell>
        </row>
        <row r="16">
          <cell r="D16">
            <v>36220</v>
          </cell>
          <cell r="E16">
            <v>1.996</v>
          </cell>
          <cell r="F16">
            <v>-0.06</v>
          </cell>
          <cell r="G16">
            <v>-0.06</v>
          </cell>
        </row>
        <row r="17">
          <cell r="D17">
            <v>36251</v>
          </cell>
          <cell r="E17">
            <v>1.9740000000000002</v>
          </cell>
          <cell r="F17">
            <v>-0.115</v>
          </cell>
          <cell r="G17">
            <v>-0.115</v>
          </cell>
        </row>
        <row r="18">
          <cell r="D18">
            <v>36281</v>
          </cell>
          <cell r="E18">
            <v>1.9720000000000002</v>
          </cell>
          <cell r="F18">
            <v>-0.115</v>
          </cell>
          <cell r="G18">
            <v>-0.115</v>
          </cell>
        </row>
        <row r="19">
          <cell r="D19">
            <v>36312</v>
          </cell>
          <cell r="E19">
            <v>1.9840000000000002</v>
          </cell>
          <cell r="F19">
            <v>-0.115</v>
          </cell>
          <cell r="G19">
            <v>-0.115</v>
          </cell>
        </row>
        <row r="20">
          <cell r="D20">
            <v>36342</v>
          </cell>
          <cell r="E20">
            <v>1.9950000000000001</v>
          </cell>
          <cell r="F20">
            <v>-0.115</v>
          </cell>
          <cell r="G20">
            <v>-0.115</v>
          </cell>
        </row>
        <row r="21">
          <cell r="D21">
            <v>36373</v>
          </cell>
          <cell r="E21">
            <v>2.0049999999999999</v>
          </cell>
          <cell r="F21">
            <v>-0.115</v>
          </cell>
          <cell r="G21">
            <v>-0.115</v>
          </cell>
        </row>
        <row r="22">
          <cell r="D22">
            <v>36404</v>
          </cell>
          <cell r="E22">
            <v>2.02</v>
          </cell>
          <cell r="F22">
            <v>-0.115</v>
          </cell>
          <cell r="G22">
            <v>-0.115</v>
          </cell>
        </row>
        <row r="23">
          <cell r="D23">
            <v>36434</v>
          </cell>
          <cell r="E23">
            <v>2.0670000000000002</v>
          </cell>
          <cell r="F23">
            <v>-0.115</v>
          </cell>
          <cell r="G23">
            <v>-0.115</v>
          </cell>
        </row>
        <row r="24">
          <cell r="D24">
            <v>36465</v>
          </cell>
          <cell r="E24">
            <v>2.2070000000000003</v>
          </cell>
          <cell r="F24">
            <v>-0.13500000000000001</v>
          </cell>
          <cell r="G24">
            <v>-0.13500000000000001</v>
          </cell>
        </row>
        <row r="25">
          <cell r="D25">
            <v>36495</v>
          </cell>
          <cell r="E25">
            <v>2.3620000000000001</v>
          </cell>
          <cell r="F25">
            <v>-0.13750000000000001</v>
          </cell>
          <cell r="G25">
            <v>-0.13750000000000001</v>
          </cell>
        </row>
        <row r="26">
          <cell r="D26">
            <v>36526</v>
          </cell>
          <cell r="E26">
            <v>2.4170000000000003</v>
          </cell>
          <cell r="F26">
            <v>-0.14000000000000001</v>
          </cell>
          <cell r="G26">
            <v>-0.14000000000000001</v>
          </cell>
        </row>
        <row r="27">
          <cell r="D27">
            <v>36557</v>
          </cell>
          <cell r="E27">
            <v>2.33</v>
          </cell>
          <cell r="F27">
            <v>-0.14249999999999999</v>
          </cell>
          <cell r="G27">
            <v>-0.14249999999999999</v>
          </cell>
        </row>
        <row r="28">
          <cell r="D28">
            <v>36586</v>
          </cell>
          <cell r="E28">
            <v>2.23</v>
          </cell>
          <cell r="F28">
            <v>-0.14499999999999999</v>
          </cell>
          <cell r="G28">
            <v>-0.14499999999999999</v>
          </cell>
        </row>
        <row r="29">
          <cell r="D29">
            <v>36617</v>
          </cell>
          <cell r="E29">
            <v>2.1430000000000002</v>
          </cell>
          <cell r="F29">
            <v>-0.14499999999999999</v>
          </cell>
          <cell r="G29">
            <v>-0.14499999999999999</v>
          </cell>
        </row>
        <row r="30">
          <cell r="D30">
            <v>36647</v>
          </cell>
          <cell r="E30">
            <v>2.1180000000000003</v>
          </cell>
          <cell r="F30">
            <v>-0.14499999999999999</v>
          </cell>
          <cell r="G30">
            <v>-0.14499999999999999</v>
          </cell>
        </row>
        <row r="31">
          <cell r="D31">
            <v>36678</v>
          </cell>
          <cell r="E31">
            <v>2.1220000000000003</v>
          </cell>
          <cell r="F31">
            <v>-0.14499999999999999</v>
          </cell>
          <cell r="G31">
            <v>-0.14499999999999999</v>
          </cell>
        </row>
        <row r="32">
          <cell r="D32">
            <v>36708</v>
          </cell>
          <cell r="E32">
            <v>2.1320000000000001</v>
          </cell>
          <cell r="F32">
            <v>-0.14499999999999999</v>
          </cell>
          <cell r="G32">
            <v>-0.14499999999999999</v>
          </cell>
        </row>
        <row r="33">
          <cell r="D33">
            <v>36739</v>
          </cell>
          <cell r="E33">
            <v>2.14</v>
          </cell>
          <cell r="F33">
            <v>-0.14499999999999999</v>
          </cell>
          <cell r="G33">
            <v>-0.14499999999999999</v>
          </cell>
        </row>
        <row r="34">
          <cell r="D34">
            <v>36770</v>
          </cell>
          <cell r="E34">
            <v>2.1459999999999999</v>
          </cell>
          <cell r="F34">
            <v>-0.14499999999999999</v>
          </cell>
          <cell r="G34">
            <v>-0.14499999999999999</v>
          </cell>
        </row>
        <row r="35">
          <cell r="D35">
            <v>36800</v>
          </cell>
          <cell r="E35">
            <v>2.173</v>
          </cell>
          <cell r="F35">
            <v>-0.14499999999999999</v>
          </cell>
          <cell r="G35">
            <v>-0.14499999999999999</v>
          </cell>
        </row>
        <row r="36">
          <cell r="D36">
            <v>36831</v>
          </cell>
          <cell r="E36">
            <v>2.3050000000000002</v>
          </cell>
          <cell r="F36">
            <v>-0.16</v>
          </cell>
          <cell r="G36">
            <v>-0.16</v>
          </cell>
        </row>
        <row r="37">
          <cell r="D37">
            <v>36861</v>
          </cell>
          <cell r="E37">
            <v>2.4449999999999998</v>
          </cell>
          <cell r="F37">
            <v>-0.16250000000000001</v>
          </cell>
          <cell r="G37">
            <v>-0.16250000000000001</v>
          </cell>
        </row>
        <row r="38">
          <cell r="D38">
            <v>36892</v>
          </cell>
          <cell r="E38">
            <v>2.4849999999999999</v>
          </cell>
          <cell r="F38">
            <v>-0.16500000000000001</v>
          </cell>
          <cell r="G38">
            <v>-0.16500000000000001</v>
          </cell>
        </row>
        <row r="39">
          <cell r="D39">
            <v>36923</v>
          </cell>
          <cell r="E39">
            <v>2.3610000000000002</v>
          </cell>
          <cell r="F39">
            <v>-0.16750000000000001</v>
          </cell>
          <cell r="G39">
            <v>-0.16750000000000001</v>
          </cell>
        </row>
        <row r="40">
          <cell r="D40">
            <v>36951</v>
          </cell>
          <cell r="E40">
            <v>2.262</v>
          </cell>
          <cell r="F40">
            <v>-0.17</v>
          </cell>
          <cell r="G40">
            <v>-0.17</v>
          </cell>
        </row>
        <row r="41">
          <cell r="D41">
            <v>36982</v>
          </cell>
          <cell r="E41">
            <v>2.161</v>
          </cell>
          <cell r="F41">
            <v>-0.185</v>
          </cell>
          <cell r="G41">
            <v>-0.185</v>
          </cell>
        </row>
        <row r="42">
          <cell r="D42">
            <v>37012</v>
          </cell>
          <cell r="E42">
            <v>2.145</v>
          </cell>
          <cell r="F42">
            <v>-0.185</v>
          </cell>
          <cell r="G42">
            <v>-0.185</v>
          </cell>
        </row>
        <row r="43">
          <cell r="D43">
            <v>37043</v>
          </cell>
          <cell r="E43">
            <v>2.1470000000000002</v>
          </cell>
          <cell r="F43">
            <v>-0.185</v>
          </cell>
          <cell r="G43">
            <v>-0.185</v>
          </cell>
        </row>
        <row r="44">
          <cell r="D44">
            <v>37073</v>
          </cell>
          <cell r="E44">
            <v>2.1520000000000001</v>
          </cell>
          <cell r="F44">
            <v>-0.185</v>
          </cell>
          <cell r="G44">
            <v>-0.185</v>
          </cell>
        </row>
        <row r="45">
          <cell r="D45">
            <v>37104</v>
          </cell>
          <cell r="E45">
            <v>2.16</v>
          </cell>
          <cell r="F45">
            <v>-0.185</v>
          </cell>
          <cell r="G45">
            <v>-0.185</v>
          </cell>
        </row>
        <row r="46">
          <cell r="D46">
            <v>37135</v>
          </cell>
          <cell r="E46">
            <v>2.1659999999999999</v>
          </cell>
          <cell r="F46">
            <v>-0.185</v>
          </cell>
          <cell r="G46">
            <v>-0.185</v>
          </cell>
        </row>
        <row r="47">
          <cell r="D47">
            <v>37165</v>
          </cell>
          <cell r="E47">
            <v>2.1930000000000001</v>
          </cell>
          <cell r="F47">
            <v>-0.185</v>
          </cell>
          <cell r="G47">
            <v>-0.185</v>
          </cell>
        </row>
        <row r="48">
          <cell r="D48">
            <v>37196</v>
          </cell>
          <cell r="E48">
            <v>2.3250000000000002</v>
          </cell>
          <cell r="F48">
            <v>-0.19</v>
          </cell>
          <cell r="G48">
            <v>-0.19</v>
          </cell>
        </row>
        <row r="49">
          <cell r="D49">
            <v>37226</v>
          </cell>
          <cell r="E49">
            <v>2.4649999999999999</v>
          </cell>
          <cell r="F49">
            <v>-0.19750000000000001</v>
          </cell>
          <cell r="G49">
            <v>-0.19750000000000001</v>
          </cell>
        </row>
        <row r="50">
          <cell r="D50">
            <v>37257</v>
          </cell>
          <cell r="E50">
            <v>2.5150000000000001</v>
          </cell>
          <cell r="F50">
            <v>-0.2</v>
          </cell>
          <cell r="G50">
            <v>-0.2</v>
          </cell>
        </row>
        <row r="51">
          <cell r="D51">
            <v>37288</v>
          </cell>
          <cell r="E51">
            <v>2.3610000000000002</v>
          </cell>
          <cell r="F51">
            <v>-0.20250000000000001</v>
          </cell>
          <cell r="G51">
            <v>-0.20250000000000001</v>
          </cell>
        </row>
        <row r="52">
          <cell r="D52">
            <v>37316</v>
          </cell>
          <cell r="E52">
            <v>2.262</v>
          </cell>
          <cell r="F52">
            <v>-0.20499999999999999</v>
          </cell>
          <cell r="G52">
            <v>-0.20499999999999999</v>
          </cell>
        </row>
        <row r="53">
          <cell r="D53">
            <v>37347</v>
          </cell>
          <cell r="E53">
            <v>2.161</v>
          </cell>
          <cell r="F53">
            <v>-0.20499999999999999</v>
          </cell>
          <cell r="G53">
            <v>-0.20499999999999999</v>
          </cell>
        </row>
        <row r="54">
          <cell r="D54">
            <v>37377</v>
          </cell>
          <cell r="E54">
            <v>2.165</v>
          </cell>
          <cell r="F54">
            <v>-0.19500000000000001</v>
          </cell>
          <cell r="G54">
            <v>-0.19500000000000001</v>
          </cell>
        </row>
        <row r="55">
          <cell r="D55">
            <v>37408</v>
          </cell>
          <cell r="E55">
            <v>2.177</v>
          </cell>
          <cell r="F55">
            <v>-0.19500000000000001</v>
          </cell>
          <cell r="G55">
            <v>-0.19500000000000001</v>
          </cell>
        </row>
        <row r="56">
          <cell r="D56">
            <v>37438</v>
          </cell>
          <cell r="E56">
            <v>2.1820000000000004</v>
          </cell>
          <cell r="F56">
            <v>-0.19500000000000001</v>
          </cell>
          <cell r="G56">
            <v>-0.19500000000000001</v>
          </cell>
        </row>
        <row r="57">
          <cell r="D57">
            <v>37469</v>
          </cell>
          <cell r="E57">
            <v>2.19</v>
          </cell>
          <cell r="F57">
            <v>-0.19500000000000001</v>
          </cell>
          <cell r="G57">
            <v>-0.19500000000000001</v>
          </cell>
        </row>
        <row r="58">
          <cell r="D58">
            <v>37500</v>
          </cell>
          <cell r="E58">
            <v>2.1960000000000002</v>
          </cell>
          <cell r="F58">
            <v>-0.19500000000000001</v>
          </cell>
          <cell r="G58">
            <v>-0.19500000000000001</v>
          </cell>
        </row>
        <row r="59">
          <cell r="D59">
            <v>37530</v>
          </cell>
          <cell r="E59">
            <v>2.2230000000000003</v>
          </cell>
          <cell r="F59">
            <v>-0.19500000000000001</v>
          </cell>
          <cell r="G59">
            <v>-0.19500000000000001</v>
          </cell>
        </row>
        <row r="60">
          <cell r="D60">
            <v>37561</v>
          </cell>
          <cell r="E60">
            <v>2.355</v>
          </cell>
          <cell r="F60">
            <v>-0.19</v>
          </cell>
          <cell r="G60">
            <v>-0.19</v>
          </cell>
        </row>
        <row r="61">
          <cell r="D61">
            <v>37591</v>
          </cell>
          <cell r="E61">
            <v>2.4950000000000001</v>
          </cell>
          <cell r="F61">
            <v>-0.19750000000000001</v>
          </cell>
          <cell r="G61">
            <v>-0.19750000000000001</v>
          </cell>
        </row>
        <row r="62">
          <cell r="D62">
            <v>37622</v>
          </cell>
          <cell r="E62">
            <v>2.5550000000000002</v>
          </cell>
          <cell r="F62">
            <v>-0.2</v>
          </cell>
          <cell r="G62">
            <v>-0.2</v>
          </cell>
        </row>
        <row r="63">
          <cell r="D63">
            <v>37653</v>
          </cell>
          <cell r="E63">
            <v>2.4009999999999998</v>
          </cell>
          <cell r="F63">
            <v>-0.20250000000000001</v>
          </cell>
          <cell r="G63">
            <v>-0.20250000000000001</v>
          </cell>
        </row>
        <row r="64">
          <cell r="D64">
            <v>37681</v>
          </cell>
          <cell r="E64">
            <v>2.302</v>
          </cell>
          <cell r="F64">
            <v>-0.20499999999999999</v>
          </cell>
          <cell r="G64">
            <v>-0.20499999999999999</v>
          </cell>
        </row>
        <row r="65">
          <cell r="D65">
            <v>37712</v>
          </cell>
          <cell r="E65">
            <v>2.2010000000000001</v>
          </cell>
          <cell r="F65">
            <v>-0.20499999999999999</v>
          </cell>
          <cell r="G65">
            <v>-0.20499999999999999</v>
          </cell>
        </row>
        <row r="66">
          <cell r="D66">
            <v>37742</v>
          </cell>
          <cell r="E66">
            <v>2.2050000000000001</v>
          </cell>
          <cell r="F66">
            <v>-0.19500000000000001</v>
          </cell>
          <cell r="G66">
            <v>-0.19500000000000001</v>
          </cell>
        </row>
        <row r="67">
          <cell r="D67">
            <v>37773</v>
          </cell>
          <cell r="E67">
            <v>2.2170000000000001</v>
          </cell>
          <cell r="F67">
            <v>-0.19500000000000001</v>
          </cell>
          <cell r="G67">
            <v>-0.19500000000000001</v>
          </cell>
        </row>
        <row r="68">
          <cell r="D68">
            <v>37803</v>
          </cell>
          <cell r="E68">
            <v>2.2220000000000004</v>
          </cell>
          <cell r="F68">
            <v>-0.19500000000000001</v>
          </cell>
          <cell r="G68">
            <v>-0.19500000000000001</v>
          </cell>
        </row>
        <row r="69">
          <cell r="D69">
            <v>37834</v>
          </cell>
          <cell r="E69">
            <v>2.23</v>
          </cell>
          <cell r="F69">
            <v>-0.19500000000000001</v>
          </cell>
          <cell r="G69">
            <v>-0.19500000000000001</v>
          </cell>
        </row>
        <row r="70">
          <cell r="D70">
            <v>37865</v>
          </cell>
          <cell r="E70">
            <v>2.2360000000000002</v>
          </cell>
          <cell r="F70">
            <v>-0.19500000000000001</v>
          </cell>
          <cell r="G70">
            <v>-0.19500000000000001</v>
          </cell>
        </row>
        <row r="71">
          <cell r="D71">
            <v>37895</v>
          </cell>
          <cell r="E71">
            <v>2.2630000000000003</v>
          </cell>
          <cell r="F71">
            <v>-0.19500000000000001</v>
          </cell>
          <cell r="G71">
            <v>-0.19500000000000001</v>
          </cell>
        </row>
        <row r="72">
          <cell r="D72">
            <v>37926</v>
          </cell>
          <cell r="E72">
            <v>2.395</v>
          </cell>
          <cell r="F72">
            <v>-0.19</v>
          </cell>
          <cell r="G72">
            <v>-0.19</v>
          </cell>
        </row>
        <row r="73">
          <cell r="D73">
            <v>37956</v>
          </cell>
          <cell r="E73">
            <v>2.5350000000000001</v>
          </cell>
          <cell r="F73">
            <v>-0.19750000000000001</v>
          </cell>
          <cell r="G73">
            <v>-0.19750000000000001</v>
          </cell>
        </row>
        <row r="74">
          <cell r="D74">
            <v>37987</v>
          </cell>
          <cell r="E74">
            <v>2.605</v>
          </cell>
          <cell r="F74">
            <v>-0.2</v>
          </cell>
          <cell r="G74">
            <v>-0.2</v>
          </cell>
        </row>
        <row r="75">
          <cell r="D75">
            <v>38018</v>
          </cell>
          <cell r="E75">
            <v>2.4510000000000001</v>
          </cell>
          <cell r="F75">
            <v>-0.20250000000000001</v>
          </cell>
          <cell r="G75">
            <v>-0.20250000000000001</v>
          </cell>
        </row>
        <row r="76">
          <cell r="D76">
            <v>38047</v>
          </cell>
          <cell r="E76">
            <v>2.3520000000000003</v>
          </cell>
          <cell r="F76">
            <v>-0.20499999999999999</v>
          </cell>
          <cell r="G76">
            <v>-0.20499999999999999</v>
          </cell>
        </row>
        <row r="77">
          <cell r="D77">
            <v>38078</v>
          </cell>
          <cell r="E77">
            <v>2.2509999999999999</v>
          </cell>
          <cell r="F77">
            <v>-0.20499999999999999</v>
          </cell>
          <cell r="G77">
            <v>-0.20499999999999999</v>
          </cell>
        </row>
        <row r="78">
          <cell r="D78">
            <v>38108</v>
          </cell>
          <cell r="E78">
            <v>2.2549999999999999</v>
          </cell>
          <cell r="F78">
            <v>-0.19500000000000001</v>
          </cell>
          <cell r="G78">
            <v>-0.19500000000000001</v>
          </cell>
        </row>
        <row r="79">
          <cell r="D79">
            <v>38139</v>
          </cell>
          <cell r="E79">
            <v>2.2670000000000003</v>
          </cell>
          <cell r="F79">
            <v>-0.19500000000000001</v>
          </cell>
          <cell r="G79">
            <v>-0.19500000000000001</v>
          </cell>
        </row>
        <row r="80">
          <cell r="D80">
            <v>38169</v>
          </cell>
          <cell r="E80">
            <v>2.2720000000000002</v>
          </cell>
          <cell r="F80">
            <v>-0.19500000000000001</v>
          </cell>
          <cell r="G80">
            <v>-0.19500000000000001</v>
          </cell>
        </row>
        <row r="81">
          <cell r="D81">
            <v>38200</v>
          </cell>
          <cell r="E81">
            <v>2.2799999999999998</v>
          </cell>
          <cell r="F81">
            <v>-0.19500000000000001</v>
          </cell>
          <cell r="G81">
            <v>-0.19500000000000001</v>
          </cell>
        </row>
        <row r="82">
          <cell r="D82">
            <v>38231</v>
          </cell>
          <cell r="E82">
            <v>2.286</v>
          </cell>
          <cell r="F82">
            <v>-0.19500000000000001</v>
          </cell>
          <cell r="G82">
            <v>-0.19500000000000001</v>
          </cell>
        </row>
        <row r="83">
          <cell r="D83">
            <v>38261</v>
          </cell>
          <cell r="E83">
            <v>2.3130000000000002</v>
          </cell>
          <cell r="F83">
            <v>-0.19500000000000001</v>
          </cell>
          <cell r="G83">
            <v>-0.19500000000000001</v>
          </cell>
        </row>
        <row r="84">
          <cell r="D84">
            <v>38292</v>
          </cell>
          <cell r="E84">
            <v>2.4449999999999998</v>
          </cell>
          <cell r="F84">
            <v>-0.19</v>
          </cell>
          <cell r="G84">
            <v>-0.19</v>
          </cell>
        </row>
        <row r="85">
          <cell r="D85">
            <v>38322</v>
          </cell>
          <cell r="E85">
            <v>2.585</v>
          </cell>
          <cell r="F85">
            <v>-0.19750000000000001</v>
          </cell>
          <cell r="G85">
            <v>-0.19750000000000001</v>
          </cell>
        </row>
        <row r="86">
          <cell r="D86">
            <v>38353</v>
          </cell>
          <cell r="E86">
            <v>2.665</v>
          </cell>
          <cell r="F86">
            <v>-0.2</v>
          </cell>
          <cell r="G86">
            <v>-0.2</v>
          </cell>
        </row>
        <row r="87">
          <cell r="D87">
            <v>38384</v>
          </cell>
          <cell r="E87">
            <v>2.5110000000000001</v>
          </cell>
          <cell r="F87">
            <v>-0.20250000000000001</v>
          </cell>
          <cell r="G87">
            <v>-0.20250000000000001</v>
          </cell>
        </row>
        <row r="88">
          <cell r="D88">
            <v>38412</v>
          </cell>
          <cell r="E88">
            <v>2.4120000000000004</v>
          </cell>
          <cell r="F88">
            <v>-0.20499999999999999</v>
          </cell>
          <cell r="G88">
            <v>-0.20499999999999999</v>
          </cell>
        </row>
        <row r="89">
          <cell r="D89">
            <v>38443</v>
          </cell>
          <cell r="E89">
            <v>2.3109999999999999</v>
          </cell>
          <cell r="F89">
            <v>-0.20499999999999999</v>
          </cell>
          <cell r="G89">
            <v>-0.20499999999999999</v>
          </cell>
        </row>
        <row r="90">
          <cell r="D90">
            <v>38473</v>
          </cell>
          <cell r="E90">
            <v>2.3149999999999999</v>
          </cell>
          <cell r="F90">
            <v>-0.19500000000000001</v>
          </cell>
          <cell r="G90">
            <v>-0.19500000000000001</v>
          </cell>
        </row>
        <row r="91">
          <cell r="D91">
            <v>38504</v>
          </cell>
          <cell r="E91">
            <v>2.3270000000000004</v>
          </cell>
          <cell r="F91">
            <v>-0.19500000000000001</v>
          </cell>
          <cell r="G91">
            <v>-0.19500000000000001</v>
          </cell>
        </row>
        <row r="92">
          <cell r="D92">
            <v>38534</v>
          </cell>
          <cell r="E92">
            <v>2.3320000000000003</v>
          </cell>
          <cell r="F92">
            <v>-0.19500000000000001</v>
          </cell>
          <cell r="G92">
            <v>-0.19500000000000001</v>
          </cell>
        </row>
        <row r="93">
          <cell r="D93">
            <v>38565</v>
          </cell>
          <cell r="E93">
            <v>2.34</v>
          </cell>
          <cell r="F93">
            <v>-0.19500000000000001</v>
          </cell>
          <cell r="G93">
            <v>-0.19500000000000001</v>
          </cell>
        </row>
        <row r="94">
          <cell r="D94">
            <v>38596</v>
          </cell>
          <cell r="E94">
            <v>2.3460000000000001</v>
          </cell>
          <cell r="F94">
            <v>-0.19500000000000001</v>
          </cell>
          <cell r="G94">
            <v>-0.19500000000000001</v>
          </cell>
        </row>
        <row r="95">
          <cell r="D95">
            <v>38626</v>
          </cell>
          <cell r="E95">
            <v>2.3730000000000002</v>
          </cell>
          <cell r="F95">
            <v>-0.19500000000000001</v>
          </cell>
          <cell r="G95">
            <v>-0.19500000000000001</v>
          </cell>
        </row>
        <row r="96">
          <cell r="D96">
            <v>38657</v>
          </cell>
          <cell r="E96">
            <v>2.5049999999999999</v>
          </cell>
          <cell r="F96">
            <v>-0.19</v>
          </cell>
          <cell r="G96">
            <v>-0.19</v>
          </cell>
        </row>
        <row r="97">
          <cell r="D97">
            <v>38687</v>
          </cell>
          <cell r="E97">
            <v>2.645</v>
          </cell>
          <cell r="F97">
            <v>-0.19750000000000001</v>
          </cell>
          <cell r="G97">
            <v>-0.19750000000000001</v>
          </cell>
        </row>
        <row r="98">
          <cell r="D98">
            <v>38718</v>
          </cell>
          <cell r="E98">
            <v>2.71</v>
          </cell>
          <cell r="F98">
            <v>-0.2</v>
          </cell>
          <cell r="G98">
            <v>-0.2</v>
          </cell>
        </row>
        <row r="99">
          <cell r="D99">
            <v>38749</v>
          </cell>
          <cell r="E99">
            <v>2.5860000000000003</v>
          </cell>
          <cell r="F99">
            <v>-0.20250000000000001</v>
          </cell>
          <cell r="G99">
            <v>-0.20250000000000001</v>
          </cell>
        </row>
        <row r="100">
          <cell r="D100">
            <v>38777</v>
          </cell>
          <cell r="E100">
            <v>2.4870000000000001</v>
          </cell>
          <cell r="F100">
            <v>-0.20499999999999999</v>
          </cell>
          <cell r="G100">
            <v>-0.20499999999999999</v>
          </cell>
        </row>
        <row r="101">
          <cell r="D101">
            <v>38808</v>
          </cell>
          <cell r="E101">
            <v>2.3860000000000001</v>
          </cell>
          <cell r="F101">
            <v>-0.20499999999999999</v>
          </cell>
          <cell r="G101">
            <v>-0.20499999999999999</v>
          </cell>
        </row>
        <row r="102">
          <cell r="D102">
            <v>38838</v>
          </cell>
          <cell r="E102">
            <v>2.37</v>
          </cell>
          <cell r="F102">
            <v>-0.19500000000000001</v>
          </cell>
          <cell r="G102">
            <v>-0.19500000000000001</v>
          </cell>
        </row>
        <row r="103">
          <cell r="D103">
            <v>38869</v>
          </cell>
          <cell r="E103">
            <v>2.3720000000000003</v>
          </cell>
          <cell r="F103">
            <v>-0.19500000000000001</v>
          </cell>
          <cell r="G103">
            <v>-0.19500000000000001</v>
          </cell>
        </row>
        <row r="104">
          <cell r="D104">
            <v>38899</v>
          </cell>
          <cell r="E104">
            <v>2.3720000000000003</v>
          </cell>
          <cell r="F104">
            <v>-0.19500000000000001</v>
          </cell>
          <cell r="G104">
            <v>-0.19500000000000001</v>
          </cell>
        </row>
        <row r="105">
          <cell r="D105">
            <v>38930</v>
          </cell>
          <cell r="E105">
            <v>2.3780000000000001</v>
          </cell>
          <cell r="F105">
            <v>-0.19500000000000001</v>
          </cell>
          <cell r="G105">
            <v>-0.19500000000000001</v>
          </cell>
        </row>
        <row r="106">
          <cell r="D106">
            <v>38961</v>
          </cell>
          <cell r="E106">
            <v>2.3839999999999999</v>
          </cell>
          <cell r="F106">
            <v>-0.19500000000000001</v>
          </cell>
          <cell r="G106">
            <v>-0.19500000000000001</v>
          </cell>
        </row>
        <row r="107">
          <cell r="D107">
            <v>38991</v>
          </cell>
          <cell r="E107">
            <v>2.4090000000000003</v>
          </cell>
          <cell r="F107">
            <v>-0.19500000000000001</v>
          </cell>
          <cell r="G107">
            <v>-0.19500000000000001</v>
          </cell>
        </row>
        <row r="108">
          <cell r="D108">
            <v>39022</v>
          </cell>
          <cell r="E108">
            <v>2.5470000000000002</v>
          </cell>
          <cell r="F108">
            <v>-0.19</v>
          </cell>
          <cell r="G108">
            <v>-0.19</v>
          </cell>
        </row>
        <row r="109">
          <cell r="D109">
            <v>39052</v>
          </cell>
          <cell r="E109">
            <v>2.6860000000000004</v>
          </cell>
          <cell r="F109">
            <v>-0.19750000000000001</v>
          </cell>
          <cell r="G109">
            <v>-0.19750000000000001</v>
          </cell>
        </row>
        <row r="110">
          <cell r="D110">
            <v>39083</v>
          </cell>
          <cell r="E110">
            <v>2.8050000000000002</v>
          </cell>
          <cell r="F110">
            <v>-0.2</v>
          </cell>
          <cell r="G110">
            <v>-0.2</v>
          </cell>
        </row>
        <row r="111">
          <cell r="D111">
            <v>39114</v>
          </cell>
          <cell r="E111">
            <v>2.6810000000000005</v>
          </cell>
          <cell r="F111">
            <v>-0.20250000000000001</v>
          </cell>
          <cell r="G111">
            <v>-0.20250000000000001</v>
          </cell>
        </row>
        <row r="112">
          <cell r="D112">
            <v>39142</v>
          </cell>
          <cell r="E112">
            <v>2.5819999999999999</v>
          </cell>
          <cell r="F112">
            <v>-0.20499999999999999</v>
          </cell>
          <cell r="G112">
            <v>-0.20499999999999999</v>
          </cell>
        </row>
        <row r="113">
          <cell r="D113">
            <v>39173</v>
          </cell>
          <cell r="E113">
            <v>2.4809999999999999</v>
          </cell>
          <cell r="F113">
            <v>-0.20499999999999999</v>
          </cell>
          <cell r="G113">
            <v>-0.20499999999999999</v>
          </cell>
        </row>
        <row r="114">
          <cell r="D114">
            <v>39203</v>
          </cell>
          <cell r="E114">
            <v>2.4649999999999999</v>
          </cell>
          <cell r="F114">
            <v>-0.19500000000000001</v>
          </cell>
          <cell r="G114">
            <v>-0.19500000000000001</v>
          </cell>
        </row>
        <row r="115">
          <cell r="D115">
            <v>39234</v>
          </cell>
          <cell r="E115">
            <v>2.4670000000000001</v>
          </cell>
          <cell r="F115">
            <v>-0.19500000000000001</v>
          </cell>
          <cell r="G115">
            <v>-0.19500000000000001</v>
          </cell>
        </row>
        <row r="116">
          <cell r="D116">
            <v>39264</v>
          </cell>
          <cell r="E116">
            <v>2.4670000000000001</v>
          </cell>
          <cell r="F116">
            <v>-0.19500000000000001</v>
          </cell>
          <cell r="G116">
            <v>-0.19500000000000001</v>
          </cell>
        </row>
        <row r="117">
          <cell r="D117">
            <v>39295</v>
          </cell>
          <cell r="E117">
            <v>2.4730000000000003</v>
          </cell>
          <cell r="F117">
            <v>-0.19500000000000001</v>
          </cell>
          <cell r="G117">
            <v>-0.19500000000000001</v>
          </cell>
        </row>
        <row r="118">
          <cell r="D118">
            <v>39326</v>
          </cell>
          <cell r="E118">
            <v>2.4790000000000001</v>
          </cell>
          <cell r="F118">
            <v>-0.19500000000000001</v>
          </cell>
          <cell r="G118">
            <v>-0.19500000000000001</v>
          </cell>
        </row>
        <row r="119">
          <cell r="D119">
            <v>39356</v>
          </cell>
          <cell r="E119">
            <v>2.504</v>
          </cell>
          <cell r="F119">
            <v>-0.19500000000000001</v>
          </cell>
          <cell r="G119">
            <v>-0.19500000000000001</v>
          </cell>
        </row>
        <row r="120">
          <cell r="D120">
            <v>39387</v>
          </cell>
          <cell r="E120">
            <v>2.6419999999999999</v>
          </cell>
          <cell r="F120">
            <v>-0.19</v>
          </cell>
          <cell r="G120">
            <v>-0.19</v>
          </cell>
        </row>
        <row r="121">
          <cell r="D121">
            <v>39417</v>
          </cell>
          <cell r="E121">
            <v>2.7810000000000001</v>
          </cell>
          <cell r="F121">
            <v>-0.19750000000000001</v>
          </cell>
          <cell r="G121">
            <v>-0.19750000000000001</v>
          </cell>
        </row>
        <row r="122">
          <cell r="D122">
            <v>39448</v>
          </cell>
          <cell r="E122">
            <v>2.92</v>
          </cell>
          <cell r="F122">
            <v>-0.2</v>
          </cell>
          <cell r="G122">
            <v>-0.2</v>
          </cell>
        </row>
        <row r="123">
          <cell r="D123">
            <v>39479</v>
          </cell>
          <cell r="E123">
            <v>2.7960000000000003</v>
          </cell>
          <cell r="F123">
            <v>-0.20250000000000001</v>
          </cell>
          <cell r="G123">
            <v>-0.20250000000000001</v>
          </cell>
        </row>
        <row r="124">
          <cell r="D124">
            <v>39508</v>
          </cell>
          <cell r="E124">
            <v>2.6970000000000001</v>
          </cell>
          <cell r="F124">
            <v>-0.20499999999999999</v>
          </cell>
          <cell r="G124">
            <v>-0.20499999999999999</v>
          </cell>
        </row>
        <row r="125">
          <cell r="D125">
            <v>39539</v>
          </cell>
          <cell r="E125">
            <v>2.5960000000000001</v>
          </cell>
          <cell r="F125">
            <v>-0.20499999999999999</v>
          </cell>
          <cell r="G125">
            <v>-0.20499999999999999</v>
          </cell>
        </row>
        <row r="126">
          <cell r="D126">
            <v>39569</v>
          </cell>
          <cell r="E126">
            <v>2.58</v>
          </cell>
          <cell r="F126">
            <v>-0.19500000000000001</v>
          </cell>
          <cell r="G126">
            <v>-0.19500000000000001</v>
          </cell>
        </row>
        <row r="127">
          <cell r="D127">
            <v>39600</v>
          </cell>
          <cell r="E127">
            <v>2.5819999999999999</v>
          </cell>
          <cell r="F127">
            <v>-0.19500000000000001</v>
          </cell>
          <cell r="G127">
            <v>-0.19500000000000001</v>
          </cell>
        </row>
        <row r="128">
          <cell r="D128">
            <v>39630</v>
          </cell>
          <cell r="E128">
            <v>2.5819999999999999</v>
          </cell>
          <cell r="F128">
            <v>-0.19500000000000001</v>
          </cell>
          <cell r="G128">
            <v>-0.19500000000000001</v>
          </cell>
        </row>
        <row r="129">
          <cell r="D129">
            <v>39661</v>
          </cell>
          <cell r="E129">
            <v>2.5880000000000001</v>
          </cell>
          <cell r="F129">
            <v>-0.19500000000000001</v>
          </cell>
          <cell r="G129">
            <v>-0.19500000000000001</v>
          </cell>
        </row>
        <row r="130">
          <cell r="D130">
            <v>39692</v>
          </cell>
          <cell r="E130">
            <v>2.5939999999999999</v>
          </cell>
          <cell r="F130">
            <v>-0.19500000000000001</v>
          </cell>
          <cell r="G130">
            <v>-0.19500000000000001</v>
          </cell>
        </row>
        <row r="131">
          <cell r="D131">
            <v>39722</v>
          </cell>
          <cell r="E131">
            <v>2.6189999999999998</v>
          </cell>
          <cell r="F131">
            <v>-0.19500000000000001</v>
          </cell>
          <cell r="G131">
            <v>-0.19500000000000001</v>
          </cell>
        </row>
        <row r="132">
          <cell r="D132">
            <v>39753</v>
          </cell>
          <cell r="E132">
            <v>2.7570000000000001</v>
          </cell>
          <cell r="F132">
            <v>-0.19</v>
          </cell>
          <cell r="G132">
            <v>-0.19</v>
          </cell>
        </row>
        <row r="133">
          <cell r="D133">
            <v>39783</v>
          </cell>
          <cell r="E133">
            <v>2.8960000000000004</v>
          </cell>
          <cell r="F133">
            <v>-0.19750000000000001</v>
          </cell>
          <cell r="G133">
            <v>-0.19750000000000001</v>
          </cell>
        </row>
        <row r="134">
          <cell r="D134">
            <v>39814</v>
          </cell>
          <cell r="E134">
            <v>3.0550000000000002</v>
          </cell>
          <cell r="F134">
            <v>-0.2</v>
          </cell>
          <cell r="G134">
            <v>-0.2</v>
          </cell>
        </row>
        <row r="135">
          <cell r="D135">
            <v>39845</v>
          </cell>
          <cell r="E135">
            <v>2.9310000000000005</v>
          </cell>
          <cell r="F135">
            <v>-0.20250000000000001</v>
          </cell>
          <cell r="G135">
            <v>-0.20250000000000001</v>
          </cell>
        </row>
        <row r="136">
          <cell r="D136">
            <v>39873</v>
          </cell>
          <cell r="E136">
            <v>2.8319999999999999</v>
          </cell>
          <cell r="F136">
            <v>-0.20499999999999999</v>
          </cell>
          <cell r="G136">
            <v>-0.20499999999999999</v>
          </cell>
        </row>
        <row r="137">
          <cell r="D137">
            <v>39904</v>
          </cell>
          <cell r="E137">
            <v>2.7310000000000003</v>
          </cell>
          <cell r="F137">
            <v>-0.20499999999999999</v>
          </cell>
          <cell r="G137">
            <v>-0.20499999999999999</v>
          </cell>
        </row>
        <row r="138">
          <cell r="D138">
            <v>39934</v>
          </cell>
          <cell r="E138">
            <v>2.7149999999999999</v>
          </cell>
          <cell r="F138">
            <v>-0.19500000000000001</v>
          </cell>
          <cell r="G138">
            <v>-0.19500000000000001</v>
          </cell>
        </row>
        <row r="139">
          <cell r="D139">
            <v>39965</v>
          </cell>
          <cell r="E139">
            <v>2.7170000000000001</v>
          </cell>
          <cell r="F139">
            <v>-0.19500000000000001</v>
          </cell>
          <cell r="G139">
            <v>-0.19500000000000001</v>
          </cell>
        </row>
        <row r="140">
          <cell r="D140">
            <v>39995</v>
          </cell>
          <cell r="E140">
            <v>2.7170000000000001</v>
          </cell>
          <cell r="F140">
            <v>-0.19500000000000001</v>
          </cell>
          <cell r="G140">
            <v>-0.19500000000000001</v>
          </cell>
        </row>
        <row r="141">
          <cell r="D141">
            <v>40026</v>
          </cell>
          <cell r="E141">
            <v>2.7230000000000003</v>
          </cell>
          <cell r="F141">
            <v>-0.19500000000000001</v>
          </cell>
          <cell r="G141">
            <v>-0.19500000000000001</v>
          </cell>
        </row>
        <row r="142">
          <cell r="D142">
            <v>40057</v>
          </cell>
          <cell r="E142">
            <v>2.7289999999999996</v>
          </cell>
          <cell r="F142">
            <v>-0.19500000000000001</v>
          </cell>
          <cell r="G142">
            <v>-0.19500000000000001</v>
          </cell>
        </row>
        <row r="143">
          <cell r="D143">
            <v>40087</v>
          </cell>
          <cell r="E143">
            <v>2.7540000000000004</v>
          </cell>
          <cell r="F143">
            <v>-0.19500000000000001</v>
          </cell>
          <cell r="G143">
            <v>-0.19500000000000001</v>
          </cell>
        </row>
        <row r="144">
          <cell r="D144">
            <v>40118</v>
          </cell>
          <cell r="E144">
            <v>2.8919999999999999</v>
          </cell>
          <cell r="F144">
            <v>-0.19</v>
          </cell>
          <cell r="G144">
            <v>-0.19</v>
          </cell>
        </row>
        <row r="145">
          <cell r="D145">
            <v>40148</v>
          </cell>
          <cell r="E145">
            <v>3.0310000000000001</v>
          </cell>
          <cell r="F145">
            <v>-0.19750000000000001</v>
          </cell>
          <cell r="G145">
            <v>-0.19750000000000001</v>
          </cell>
        </row>
        <row r="146">
          <cell r="D146">
            <v>40179</v>
          </cell>
          <cell r="E146">
            <v>3.2050000000000001</v>
          </cell>
          <cell r="F146">
            <v>-0.2</v>
          </cell>
          <cell r="G146">
            <v>-0.2</v>
          </cell>
        </row>
        <row r="147">
          <cell r="D147">
            <v>40210</v>
          </cell>
          <cell r="E147">
            <v>3.0810000000000004</v>
          </cell>
          <cell r="F147">
            <v>-0.20250000000000001</v>
          </cell>
          <cell r="G147">
            <v>-0.20250000000000001</v>
          </cell>
        </row>
        <row r="148">
          <cell r="D148">
            <v>40238</v>
          </cell>
          <cell r="E148">
            <v>2.9819999999999998</v>
          </cell>
          <cell r="F148">
            <v>-0.20499999999999999</v>
          </cell>
          <cell r="G148">
            <v>-0.20499999999999999</v>
          </cell>
        </row>
        <row r="149">
          <cell r="D149">
            <v>40269</v>
          </cell>
          <cell r="E149">
            <v>2.8810000000000002</v>
          </cell>
          <cell r="F149">
            <v>-0.20499999999999999</v>
          </cell>
          <cell r="G149">
            <v>-0.20499999999999999</v>
          </cell>
        </row>
        <row r="150">
          <cell r="D150">
            <v>40299</v>
          </cell>
          <cell r="E150">
            <v>2.8650000000000002</v>
          </cell>
          <cell r="F150">
            <v>-0.19500000000000001</v>
          </cell>
          <cell r="G150">
            <v>-0.19500000000000001</v>
          </cell>
        </row>
        <row r="151">
          <cell r="D151">
            <v>40330</v>
          </cell>
          <cell r="E151">
            <v>2.867</v>
          </cell>
          <cell r="F151">
            <v>-0.19500000000000001</v>
          </cell>
          <cell r="G151">
            <v>-0.19500000000000001</v>
          </cell>
        </row>
        <row r="152">
          <cell r="D152">
            <v>40360</v>
          </cell>
          <cell r="E152">
            <v>2.867</v>
          </cell>
          <cell r="F152">
            <v>-0.19500000000000001</v>
          </cell>
          <cell r="G152">
            <v>-0.19500000000000001</v>
          </cell>
        </row>
        <row r="153">
          <cell r="D153">
            <v>40391</v>
          </cell>
          <cell r="E153">
            <v>2.8730000000000002</v>
          </cell>
          <cell r="F153">
            <v>-0.19500000000000001</v>
          </cell>
          <cell r="G153">
            <v>-0.19500000000000001</v>
          </cell>
        </row>
        <row r="154">
          <cell r="D154">
            <v>40422</v>
          </cell>
          <cell r="E154">
            <v>2.8790000000000004</v>
          </cell>
          <cell r="F154">
            <v>-0.19500000000000001</v>
          </cell>
          <cell r="G154">
            <v>-0.19500000000000001</v>
          </cell>
        </row>
        <row r="155">
          <cell r="D155">
            <v>40452</v>
          </cell>
          <cell r="E155">
            <v>2.9040000000000004</v>
          </cell>
          <cell r="F155">
            <v>-0.19500000000000001</v>
          </cell>
          <cell r="G155">
            <v>-0.19500000000000001</v>
          </cell>
        </row>
        <row r="156">
          <cell r="D156">
            <v>40483</v>
          </cell>
          <cell r="E156">
            <v>3.0419999999999998</v>
          </cell>
          <cell r="F156">
            <v>-0.19</v>
          </cell>
          <cell r="G156">
            <v>-0.19</v>
          </cell>
        </row>
        <row r="157">
          <cell r="D157">
            <v>40513</v>
          </cell>
          <cell r="E157">
            <v>3.1810000000000005</v>
          </cell>
          <cell r="F157">
            <v>-0.19750000000000001</v>
          </cell>
          <cell r="G157">
            <v>-0.19750000000000001</v>
          </cell>
        </row>
        <row r="158">
          <cell r="D158">
            <v>40544</v>
          </cell>
          <cell r="E158">
            <v>3.3650000000000002</v>
          </cell>
          <cell r="F158">
            <v>-0.2</v>
          </cell>
          <cell r="G158">
            <v>-0.2</v>
          </cell>
        </row>
        <row r="159">
          <cell r="D159">
            <v>40575</v>
          </cell>
          <cell r="E159">
            <v>3.2410000000000001</v>
          </cell>
          <cell r="F159">
            <v>-0.20250000000000001</v>
          </cell>
          <cell r="G159">
            <v>-0.20250000000000001</v>
          </cell>
        </row>
        <row r="160">
          <cell r="D160">
            <v>40603</v>
          </cell>
          <cell r="E160">
            <v>3.1419999999999999</v>
          </cell>
          <cell r="F160">
            <v>-0.20499999999999999</v>
          </cell>
          <cell r="G160">
            <v>-0.20499999999999999</v>
          </cell>
        </row>
        <row r="161">
          <cell r="D161">
            <v>40634</v>
          </cell>
          <cell r="E161">
            <v>3.0410000000000004</v>
          </cell>
          <cell r="F161">
            <v>-0.20499999999999999</v>
          </cell>
          <cell r="G161">
            <v>-0.20499999999999999</v>
          </cell>
        </row>
        <row r="162">
          <cell r="D162">
            <v>40664</v>
          </cell>
          <cell r="E162">
            <v>3.0249999999999999</v>
          </cell>
          <cell r="F162">
            <v>-0.19500000000000001</v>
          </cell>
          <cell r="G162">
            <v>-0.19500000000000001</v>
          </cell>
        </row>
        <row r="163">
          <cell r="D163">
            <v>40695</v>
          </cell>
          <cell r="E163">
            <v>3.0270000000000001</v>
          </cell>
          <cell r="F163">
            <v>-0.19500000000000001</v>
          </cell>
          <cell r="G163">
            <v>-0.19500000000000001</v>
          </cell>
        </row>
        <row r="164">
          <cell r="D164">
            <v>40725</v>
          </cell>
          <cell r="E164">
            <v>3.0270000000000001</v>
          </cell>
          <cell r="F164">
            <v>-0.19500000000000001</v>
          </cell>
          <cell r="G164">
            <v>-0.19500000000000001</v>
          </cell>
        </row>
        <row r="165">
          <cell r="D165">
            <v>40756</v>
          </cell>
          <cell r="E165">
            <v>3.0330000000000004</v>
          </cell>
          <cell r="F165">
            <v>-0.19500000000000001</v>
          </cell>
          <cell r="G165">
            <v>-0.19500000000000001</v>
          </cell>
        </row>
        <row r="166">
          <cell r="D166">
            <v>40787</v>
          </cell>
          <cell r="E166">
            <v>3.0390000000000006</v>
          </cell>
          <cell r="F166">
            <v>-0.19500000000000001</v>
          </cell>
          <cell r="G166">
            <v>-0.19500000000000001</v>
          </cell>
        </row>
        <row r="167">
          <cell r="D167">
            <v>40817</v>
          </cell>
          <cell r="E167">
            <v>3.0640000000000005</v>
          </cell>
          <cell r="F167">
            <v>-0.19500000000000001</v>
          </cell>
          <cell r="G167">
            <v>-0.19500000000000001</v>
          </cell>
        </row>
        <row r="168">
          <cell r="D168">
            <v>40848</v>
          </cell>
          <cell r="E168">
            <v>3.202</v>
          </cell>
          <cell r="F168">
            <v>-0.19</v>
          </cell>
          <cell r="G168">
            <v>-0.19</v>
          </cell>
        </row>
        <row r="169">
          <cell r="D169">
            <v>40878</v>
          </cell>
          <cell r="E169">
            <v>3.3410000000000002</v>
          </cell>
          <cell r="F169">
            <v>-0.19750000000000001</v>
          </cell>
          <cell r="G169">
            <v>-0.19750000000000001</v>
          </cell>
        </row>
        <row r="170">
          <cell r="D170">
            <v>40909</v>
          </cell>
          <cell r="E170">
            <v>3.5350000000000001</v>
          </cell>
          <cell r="F170">
            <v>-0.2</v>
          </cell>
          <cell r="G170">
            <v>-0.2</v>
          </cell>
        </row>
        <row r="171">
          <cell r="D171">
            <v>40940</v>
          </cell>
          <cell r="E171">
            <v>3.4110000000000005</v>
          </cell>
          <cell r="F171">
            <v>-0.20250000000000001</v>
          </cell>
          <cell r="G171">
            <v>-0.20250000000000001</v>
          </cell>
        </row>
        <row r="172">
          <cell r="D172">
            <v>40969</v>
          </cell>
          <cell r="E172">
            <v>3.3119999999999998</v>
          </cell>
          <cell r="F172">
            <v>-0.20499999999999999</v>
          </cell>
          <cell r="G172">
            <v>-0.20499999999999999</v>
          </cell>
        </row>
        <row r="173">
          <cell r="D173">
            <v>41000</v>
          </cell>
          <cell r="E173">
            <v>3.2110000000000003</v>
          </cell>
          <cell r="F173">
            <v>-0.20499999999999999</v>
          </cell>
          <cell r="G173">
            <v>-0.20499999999999999</v>
          </cell>
        </row>
        <row r="174">
          <cell r="D174">
            <v>41030</v>
          </cell>
          <cell r="E174">
            <v>3.1949999999999998</v>
          </cell>
          <cell r="F174">
            <v>-0.19500000000000001</v>
          </cell>
          <cell r="G174">
            <v>-0.19500000000000001</v>
          </cell>
        </row>
        <row r="175">
          <cell r="D175">
            <v>41061</v>
          </cell>
          <cell r="E175">
            <v>3.1970000000000001</v>
          </cell>
          <cell r="F175">
            <v>-0.19500000000000001</v>
          </cell>
          <cell r="G175">
            <v>-0.19500000000000001</v>
          </cell>
        </row>
        <row r="176">
          <cell r="D176">
            <v>41091</v>
          </cell>
          <cell r="E176">
            <v>3.1970000000000001</v>
          </cell>
          <cell r="F176">
            <v>-0.19500000000000001</v>
          </cell>
          <cell r="G176">
            <v>-0.19500000000000001</v>
          </cell>
        </row>
        <row r="177">
          <cell r="D177">
            <v>41122</v>
          </cell>
          <cell r="E177">
            <v>3.2030000000000003</v>
          </cell>
          <cell r="F177">
            <v>-0.19500000000000001</v>
          </cell>
          <cell r="G177">
            <v>-0.19500000000000001</v>
          </cell>
        </row>
        <row r="178">
          <cell r="D178">
            <v>41153</v>
          </cell>
          <cell r="E178">
            <v>3.2090000000000005</v>
          </cell>
          <cell r="F178">
            <v>-0.19500000000000001</v>
          </cell>
          <cell r="G178">
            <v>-0.19500000000000001</v>
          </cell>
        </row>
        <row r="179">
          <cell r="D179">
            <v>41183</v>
          </cell>
          <cell r="E179">
            <v>3.2340000000000004</v>
          </cell>
          <cell r="F179">
            <v>-0.19500000000000001</v>
          </cell>
          <cell r="G179">
            <v>-0.19500000000000001</v>
          </cell>
        </row>
        <row r="180">
          <cell r="D180">
            <v>41214</v>
          </cell>
          <cell r="E180">
            <v>3.3719999999999999</v>
          </cell>
          <cell r="F180">
            <v>-0.19</v>
          </cell>
          <cell r="G180">
            <v>-0.19</v>
          </cell>
        </row>
        <row r="181">
          <cell r="D181">
            <v>41244</v>
          </cell>
          <cell r="E181">
            <v>3.5110000000000001</v>
          </cell>
          <cell r="F181">
            <v>-0.19750000000000001</v>
          </cell>
          <cell r="G181">
            <v>-0.19750000000000001</v>
          </cell>
        </row>
        <row r="182">
          <cell r="D182">
            <v>41275</v>
          </cell>
          <cell r="E182">
            <v>3.7149999999999999</v>
          </cell>
          <cell r="F182">
            <v>-0.2</v>
          </cell>
          <cell r="G182">
            <v>-0.2</v>
          </cell>
        </row>
        <row r="183">
          <cell r="D183">
            <v>41306</v>
          </cell>
          <cell r="E183">
            <v>3.5910000000000002</v>
          </cell>
          <cell r="F183">
            <v>-0.20250000000000001</v>
          </cell>
          <cell r="G183">
            <v>-0.20250000000000001</v>
          </cell>
        </row>
        <row r="184">
          <cell r="D184">
            <v>41334</v>
          </cell>
          <cell r="E184">
            <v>3.492</v>
          </cell>
          <cell r="F184">
            <v>-0.20499999999999999</v>
          </cell>
          <cell r="G184">
            <v>-0.20499999999999999</v>
          </cell>
        </row>
        <row r="185">
          <cell r="D185">
            <v>41365</v>
          </cell>
          <cell r="E185">
            <v>3.3910000000000005</v>
          </cell>
          <cell r="F185">
            <v>-0.20499999999999999</v>
          </cell>
          <cell r="G185">
            <v>-0.20499999999999999</v>
          </cell>
        </row>
        <row r="186">
          <cell r="D186">
            <v>41395</v>
          </cell>
          <cell r="E186">
            <v>3.375</v>
          </cell>
          <cell r="F186">
            <v>-0.19500000000000001</v>
          </cell>
          <cell r="G186">
            <v>-0.19500000000000001</v>
          </cell>
        </row>
        <row r="187">
          <cell r="D187">
            <v>41426</v>
          </cell>
          <cell r="E187">
            <v>3.3769999999999998</v>
          </cell>
          <cell r="F187">
            <v>-0.19500000000000001</v>
          </cell>
          <cell r="G187">
            <v>-0.19500000000000001</v>
          </cell>
        </row>
        <row r="188">
          <cell r="D188">
            <v>41456</v>
          </cell>
          <cell r="E188">
            <v>3.3769999999999998</v>
          </cell>
          <cell r="F188">
            <v>-0.19500000000000001</v>
          </cell>
          <cell r="G188">
            <v>-0.19500000000000001</v>
          </cell>
        </row>
        <row r="189">
          <cell r="D189">
            <v>41487</v>
          </cell>
          <cell r="E189">
            <v>3.383</v>
          </cell>
          <cell r="F189">
            <v>-0.19500000000000001</v>
          </cell>
          <cell r="G189">
            <v>-0.19500000000000001</v>
          </cell>
        </row>
        <row r="190">
          <cell r="D190">
            <v>41518</v>
          </cell>
          <cell r="E190">
            <v>3.3890000000000002</v>
          </cell>
          <cell r="F190">
            <v>-0.19500000000000001</v>
          </cell>
          <cell r="G190">
            <v>-0.19500000000000001</v>
          </cell>
        </row>
        <row r="191">
          <cell r="D191">
            <v>41548</v>
          </cell>
          <cell r="E191">
            <v>3.4140000000000006</v>
          </cell>
          <cell r="F191">
            <v>-0.19500000000000001</v>
          </cell>
          <cell r="G191">
            <v>-0.19500000000000001</v>
          </cell>
        </row>
        <row r="192">
          <cell r="D192">
            <v>41579</v>
          </cell>
          <cell r="E192">
            <v>3.552</v>
          </cell>
          <cell r="F192">
            <v>-0.19</v>
          </cell>
          <cell r="G192">
            <v>-0.19</v>
          </cell>
        </row>
        <row r="193">
          <cell r="D193">
            <v>41609</v>
          </cell>
          <cell r="E193">
            <v>3.6910000000000003</v>
          </cell>
          <cell r="F193">
            <v>-0.19750000000000001</v>
          </cell>
          <cell r="G193">
            <v>-0.19750000000000001</v>
          </cell>
        </row>
        <row r="194">
          <cell r="D194">
            <v>41640</v>
          </cell>
          <cell r="E194">
            <v>3.9</v>
          </cell>
          <cell r="F194">
            <v>-0.2</v>
          </cell>
          <cell r="G194">
            <v>-0.2</v>
          </cell>
        </row>
        <row r="195">
          <cell r="D195">
            <v>41671</v>
          </cell>
          <cell r="E195">
            <v>3.7760000000000002</v>
          </cell>
          <cell r="F195">
            <v>-0.20250000000000001</v>
          </cell>
          <cell r="G195">
            <v>-0.20250000000000001</v>
          </cell>
        </row>
        <row r="196">
          <cell r="D196">
            <v>41699</v>
          </cell>
          <cell r="E196">
            <v>3.677</v>
          </cell>
          <cell r="F196">
            <v>-0.20499999999999999</v>
          </cell>
          <cell r="G196">
            <v>-0.20499999999999999</v>
          </cell>
        </row>
        <row r="197">
          <cell r="D197">
            <v>41730</v>
          </cell>
          <cell r="E197">
            <v>3.5760000000000005</v>
          </cell>
          <cell r="F197">
            <v>-0.20499999999999999</v>
          </cell>
          <cell r="G197">
            <v>-0.20499999999999999</v>
          </cell>
        </row>
        <row r="198">
          <cell r="D198">
            <v>41760</v>
          </cell>
          <cell r="E198">
            <v>3.56</v>
          </cell>
          <cell r="F198">
            <v>-0.19500000000000001</v>
          </cell>
          <cell r="G198">
            <v>-0.19500000000000001</v>
          </cell>
        </row>
        <row r="199">
          <cell r="D199">
            <v>41791</v>
          </cell>
          <cell r="E199">
            <v>3.5619999999999998</v>
          </cell>
          <cell r="F199">
            <v>-0.19500000000000001</v>
          </cell>
          <cell r="G199">
            <v>-0.19500000000000001</v>
          </cell>
        </row>
        <row r="200">
          <cell r="D200">
            <v>41821</v>
          </cell>
          <cell r="E200">
            <v>3.5619999999999998</v>
          </cell>
          <cell r="F200">
            <v>-0.19500000000000001</v>
          </cell>
          <cell r="G200">
            <v>-0.19500000000000001</v>
          </cell>
        </row>
        <row r="201">
          <cell r="D201">
            <v>41852</v>
          </cell>
          <cell r="E201">
            <v>3.5680000000000001</v>
          </cell>
          <cell r="F201">
            <v>-0.19500000000000001</v>
          </cell>
          <cell r="G201">
            <v>-0.19500000000000001</v>
          </cell>
        </row>
        <row r="202">
          <cell r="D202">
            <v>41883</v>
          </cell>
          <cell r="E202">
            <v>3.5740000000000003</v>
          </cell>
          <cell r="F202">
            <v>-0.19500000000000001</v>
          </cell>
          <cell r="G202">
            <v>-0.19500000000000001</v>
          </cell>
        </row>
        <row r="203">
          <cell r="D203">
            <v>41913</v>
          </cell>
          <cell r="E203">
            <v>3.5990000000000002</v>
          </cell>
          <cell r="F203">
            <v>-0.19500000000000001</v>
          </cell>
          <cell r="G203">
            <v>-0.19500000000000001</v>
          </cell>
        </row>
        <row r="204">
          <cell r="D204">
            <v>41944</v>
          </cell>
          <cell r="E204">
            <v>3.7370000000000001</v>
          </cell>
          <cell r="F204">
            <v>-0.19</v>
          </cell>
          <cell r="G204">
            <v>-0.19</v>
          </cell>
        </row>
        <row r="205">
          <cell r="D205">
            <v>41974</v>
          </cell>
          <cell r="E205">
            <v>3.8760000000000003</v>
          </cell>
          <cell r="F205">
            <v>-0.19750000000000001</v>
          </cell>
          <cell r="G205">
            <v>-0.19750000000000001</v>
          </cell>
        </row>
        <row r="206">
          <cell r="D206">
            <v>42005</v>
          </cell>
          <cell r="E206">
            <v>4.0880000000000001</v>
          </cell>
          <cell r="F206">
            <v>-0.2</v>
          </cell>
          <cell r="G206">
            <v>-0.2</v>
          </cell>
        </row>
        <row r="207">
          <cell r="D207">
            <v>42036</v>
          </cell>
          <cell r="E207">
            <v>3.9640000000000004</v>
          </cell>
          <cell r="F207">
            <v>-0.20250000000000001</v>
          </cell>
          <cell r="G207">
            <v>-0.20250000000000001</v>
          </cell>
        </row>
        <row r="208">
          <cell r="D208">
            <v>42064</v>
          </cell>
          <cell r="E208">
            <v>3.8650000000000002</v>
          </cell>
          <cell r="F208">
            <v>-0.20499999999999999</v>
          </cell>
          <cell r="G208">
            <v>-0.20499999999999999</v>
          </cell>
        </row>
        <row r="209">
          <cell r="D209">
            <v>42095</v>
          </cell>
          <cell r="E209">
            <v>3.7640000000000002</v>
          </cell>
          <cell r="F209">
            <v>-0.20499999999999999</v>
          </cell>
          <cell r="G209">
            <v>-0.20499999999999999</v>
          </cell>
        </row>
        <row r="210">
          <cell r="D210">
            <v>42125</v>
          </cell>
          <cell r="E210">
            <v>3.7480000000000002</v>
          </cell>
          <cell r="F210">
            <v>-0.19500000000000001</v>
          </cell>
          <cell r="G210">
            <v>-0.19500000000000001</v>
          </cell>
        </row>
        <row r="211">
          <cell r="D211">
            <v>42156</v>
          </cell>
          <cell r="E211">
            <v>3.75</v>
          </cell>
          <cell r="F211">
            <v>-0.19500000000000001</v>
          </cell>
          <cell r="G211">
            <v>-0.19500000000000001</v>
          </cell>
        </row>
        <row r="212">
          <cell r="D212">
            <v>42186</v>
          </cell>
          <cell r="E212">
            <v>3.75</v>
          </cell>
          <cell r="F212">
            <v>-0.19500000000000001</v>
          </cell>
          <cell r="G212">
            <v>-0.19500000000000001</v>
          </cell>
        </row>
        <row r="213">
          <cell r="D213">
            <v>42217</v>
          </cell>
          <cell r="E213">
            <v>3.7560000000000002</v>
          </cell>
          <cell r="F213">
            <v>-0.19500000000000001</v>
          </cell>
          <cell r="G213">
            <v>-0.19500000000000001</v>
          </cell>
        </row>
        <row r="214">
          <cell r="D214">
            <v>42248</v>
          </cell>
          <cell r="E214">
            <v>3.762</v>
          </cell>
          <cell r="F214">
            <v>-0.19500000000000001</v>
          </cell>
          <cell r="G214">
            <v>-0.19500000000000001</v>
          </cell>
        </row>
        <row r="215">
          <cell r="D215">
            <v>42278</v>
          </cell>
          <cell r="E215">
            <v>3.7869999999999999</v>
          </cell>
          <cell r="F215">
            <v>-0.19500000000000001</v>
          </cell>
          <cell r="G215">
            <v>-0.19500000000000001</v>
          </cell>
        </row>
        <row r="216">
          <cell r="D216">
            <v>42309</v>
          </cell>
          <cell r="E216">
            <v>3.9249999999999998</v>
          </cell>
          <cell r="F216">
            <v>-0.19</v>
          </cell>
          <cell r="G216">
            <v>-0.19</v>
          </cell>
        </row>
        <row r="217">
          <cell r="D217">
            <v>42339</v>
          </cell>
          <cell r="E217">
            <v>4.0640000000000001</v>
          </cell>
          <cell r="F217">
            <v>-0.19750000000000001</v>
          </cell>
          <cell r="G217">
            <v>-0.19750000000000001</v>
          </cell>
        </row>
        <row r="218">
          <cell r="D218">
            <v>42370</v>
          </cell>
          <cell r="E218">
            <v>4.2780000000000005</v>
          </cell>
          <cell r="F218">
            <v>-0.16</v>
          </cell>
          <cell r="G218">
            <v>-0.16</v>
          </cell>
        </row>
        <row r="219">
          <cell r="D219">
            <v>42401</v>
          </cell>
          <cell r="E219">
            <v>4.1540000000000008</v>
          </cell>
          <cell r="F219">
            <v>-0.16</v>
          </cell>
          <cell r="G219">
            <v>-0.16</v>
          </cell>
        </row>
        <row r="220">
          <cell r="D220">
            <v>42430</v>
          </cell>
          <cell r="E220">
            <v>4.0549999999999997</v>
          </cell>
          <cell r="F220">
            <v>-0.16</v>
          </cell>
          <cell r="G220">
            <v>-0.16</v>
          </cell>
        </row>
        <row r="221">
          <cell r="D221">
            <v>42461</v>
          </cell>
          <cell r="E221">
            <v>3.9540000000000006</v>
          </cell>
          <cell r="F221">
            <v>-0.16</v>
          </cell>
          <cell r="G221">
            <v>-0.16</v>
          </cell>
        </row>
        <row r="222">
          <cell r="D222">
            <v>42491</v>
          </cell>
          <cell r="E222">
            <v>3.9380000000000002</v>
          </cell>
          <cell r="F222">
            <v>0</v>
          </cell>
          <cell r="G222">
            <v>0</v>
          </cell>
        </row>
        <row r="223">
          <cell r="D223">
            <v>42522</v>
          </cell>
          <cell r="E223">
            <v>3.94</v>
          </cell>
          <cell r="F223">
            <v>0</v>
          </cell>
          <cell r="G223">
            <v>0</v>
          </cell>
        </row>
        <row r="224">
          <cell r="D224">
            <v>42552</v>
          </cell>
          <cell r="E224">
            <v>3.94</v>
          </cell>
          <cell r="F224">
            <v>0</v>
          </cell>
          <cell r="G224">
            <v>0</v>
          </cell>
        </row>
        <row r="225">
          <cell r="D225">
            <v>42583</v>
          </cell>
          <cell r="E225">
            <v>3.9460000000000002</v>
          </cell>
          <cell r="F225">
            <v>0</v>
          </cell>
          <cell r="G225">
            <v>0</v>
          </cell>
        </row>
        <row r="226">
          <cell r="D226">
            <v>42614</v>
          </cell>
          <cell r="E226">
            <v>3.952</v>
          </cell>
          <cell r="F226">
            <v>0</v>
          </cell>
          <cell r="G226">
            <v>0</v>
          </cell>
        </row>
        <row r="227">
          <cell r="D227">
            <v>42644</v>
          </cell>
          <cell r="E227">
            <v>3.9769999999999999</v>
          </cell>
          <cell r="F227">
            <v>0</v>
          </cell>
          <cell r="G227">
            <v>0</v>
          </cell>
        </row>
        <row r="228">
          <cell r="D228">
            <v>42675</v>
          </cell>
          <cell r="E228">
            <v>4.1150000000000002</v>
          </cell>
          <cell r="F228">
            <v>0</v>
          </cell>
          <cell r="G228">
            <v>0</v>
          </cell>
        </row>
        <row r="229">
          <cell r="D229">
            <v>42705</v>
          </cell>
          <cell r="E229">
            <v>4.2540000000000004</v>
          </cell>
          <cell r="F229">
            <v>0</v>
          </cell>
          <cell r="G229">
            <v>0</v>
          </cell>
        </row>
        <row r="230">
          <cell r="D230">
            <v>42736</v>
          </cell>
          <cell r="E230">
            <v>4.47</v>
          </cell>
          <cell r="F230">
            <v>0</v>
          </cell>
          <cell r="G230">
            <v>0</v>
          </cell>
        </row>
        <row r="231">
          <cell r="D231">
            <v>42767</v>
          </cell>
          <cell r="E231">
            <v>4.3460000000000001</v>
          </cell>
          <cell r="F231">
            <v>0</v>
          </cell>
          <cell r="G231">
            <v>0</v>
          </cell>
        </row>
        <row r="232">
          <cell r="D232">
            <v>42795</v>
          </cell>
          <cell r="E232">
            <v>4.2469999999999999</v>
          </cell>
          <cell r="F232">
            <v>0</v>
          </cell>
          <cell r="G232">
            <v>0</v>
          </cell>
        </row>
        <row r="233">
          <cell r="D233">
            <v>42826</v>
          </cell>
          <cell r="E233">
            <v>4.1459999999999999</v>
          </cell>
          <cell r="F233">
            <v>0</v>
          </cell>
          <cell r="G233">
            <v>0</v>
          </cell>
        </row>
        <row r="234">
          <cell r="D234">
            <v>42856</v>
          </cell>
          <cell r="E234">
            <v>4.13</v>
          </cell>
          <cell r="F234">
            <v>0</v>
          </cell>
          <cell r="G234">
            <v>0</v>
          </cell>
        </row>
        <row r="235">
          <cell r="D235">
            <v>42887</v>
          </cell>
          <cell r="E235">
            <v>4.1319999999999997</v>
          </cell>
          <cell r="F235">
            <v>0</v>
          </cell>
          <cell r="G235">
            <v>0</v>
          </cell>
        </row>
        <row r="236">
          <cell r="D236">
            <v>42917</v>
          </cell>
          <cell r="E236">
            <v>4.1319999999999997</v>
          </cell>
          <cell r="F236">
            <v>0</v>
          </cell>
          <cell r="G236">
            <v>0</v>
          </cell>
        </row>
        <row r="237">
          <cell r="D237">
            <v>42948</v>
          </cell>
          <cell r="E237">
            <v>4.1379999999999999</v>
          </cell>
          <cell r="F237">
            <v>0</v>
          </cell>
          <cell r="G237">
            <v>0</v>
          </cell>
        </row>
        <row r="238">
          <cell r="D238">
            <v>42979</v>
          </cell>
          <cell r="E238">
            <v>4.1440000000000001</v>
          </cell>
          <cell r="F238">
            <v>0</v>
          </cell>
          <cell r="G238">
            <v>0</v>
          </cell>
        </row>
        <row r="239">
          <cell r="D239">
            <v>43009</v>
          </cell>
          <cell r="E239">
            <v>4.1690000000000005</v>
          </cell>
          <cell r="F239">
            <v>0</v>
          </cell>
          <cell r="G239">
            <v>0</v>
          </cell>
        </row>
        <row r="240">
          <cell r="D240">
            <v>43040</v>
          </cell>
          <cell r="E240">
            <v>4.3070000000000004</v>
          </cell>
          <cell r="F240">
            <v>0</v>
          </cell>
          <cell r="G240">
            <v>0</v>
          </cell>
        </row>
        <row r="241">
          <cell r="D241">
            <v>43070</v>
          </cell>
          <cell r="E241">
            <v>4.4460000000000006</v>
          </cell>
          <cell r="F241">
            <v>0</v>
          </cell>
          <cell r="G241">
            <v>0</v>
          </cell>
        </row>
        <row r="242">
          <cell r="D242">
            <v>43101</v>
          </cell>
          <cell r="E242">
            <v>4.665</v>
          </cell>
          <cell r="F242">
            <v>0</v>
          </cell>
          <cell r="G242">
            <v>0</v>
          </cell>
        </row>
        <row r="243">
          <cell r="D243">
            <v>43132</v>
          </cell>
          <cell r="E243">
            <v>4.5410000000000004</v>
          </cell>
          <cell r="F243">
            <v>0</v>
          </cell>
          <cell r="G243">
            <v>0</v>
          </cell>
        </row>
        <row r="244">
          <cell r="D244">
            <v>43160</v>
          </cell>
          <cell r="E244">
            <v>4.4420000000000002</v>
          </cell>
          <cell r="F244">
            <v>0</v>
          </cell>
          <cell r="G244">
            <v>0</v>
          </cell>
        </row>
        <row r="245">
          <cell r="D245">
            <v>43191</v>
          </cell>
          <cell r="E245">
            <v>4.3410000000000002</v>
          </cell>
          <cell r="F245">
            <v>0</v>
          </cell>
          <cell r="G245">
            <v>0</v>
          </cell>
        </row>
        <row r="246">
          <cell r="D246">
            <v>43221</v>
          </cell>
          <cell r="E246">
            <v>4.3250000000000002</v>
          </cell>
          <cell r="F246">
            <v>0</v>
          </cell>
          <cell r="G246">
            <v>0</v>
          </cell>
        </row>
        <row r="247">
          <cell r="D247">
            <v>43252</v>
          </cell>
          <cell r="E247">
            <v>4.327</v>
          </cell>
          <cell r="F247">
            <v>0</v>
          </cell>
          <cell r="G247">
            <v>0</v>
          </cell>
        </row>
        <row r="248">
          <cell r="D248">
            <v>43282</v>
          </cell>
          <cell r="E248">
            <v>4.327</v>
          </cell>
          <cell r="F248">
            <v>0</v>
          </cell>
          <cell r="G248">
            <v>0</v>
          </cell>
        </row>
        <row r="249">
          <cell r="D249">
            <v>43313</v>
          </cell>
          <cell r="E249">
            <v>4.3330000000000002</v>
          </cell>
          <cell r="F249">
            <v>0</v>
          </cell>
          <cell r="G249">
            <v>0</v>
          </cell>
        </row>
        <row r="250">
          <cell r="D250">
            <v>43344</v>
          </cell>
          <cell r="E250">
            <v>4.3390000000000004</v>
          </cell>
          <cell r="F250">
            <v>0</v>
          </cell>
          <cell r="G250">
            <v>0</v>
          </cell>
        </row>
        <row r="251">
          <cell r="D251">
            <v>43374</v>
          </cell>
          <cell r="E251">
            <v>4.3640000000000008</v>
          </cell>
          <cell r="F251">
            <v>0</v>
          </cell>
          <cell r="G251">
            <v>0</v>
          </cell>
        </row>
        <row r="252">
          <cell r="D252">
            <v>43405</v>
          </cell>
          <cell r="E252">
            <v>4.5019999999999998</v>
          </cell>
          <cell r="F252">
            <v>0</v>
          </cell>
          <cell r="G252">
            <v>0</v>
          </cell>
        </row>
        <row r="253">
          <cell r="D253">
            <v>43435</v>
          </cell>
          <cell r="E253">
            <v>4.641</v>
          </cell>
          <cell r="F253">
            <v>0</v>
          </cell>
          <cell r="G253">
            <v>0</v>
          </cell>
        </row>
        <row r="254">
          <cell r="D254">
            <v>43466</v>
          </cell>
          <cell r="E254">
            <v>4.8630000000000004</v>
          </cell>
          <cell r="F254">
            <v>0</v>
          </cell>
          <cell r="G254">
            <v>0</v>
          </cell>
        </row>
        <row r="255">
          <cell r="D255">
            <v>43497</v>
          </cell>
          <cell r="E255">
            <v>4.7390000000000008</v>
          </cell>
          <cell r="F255">
            <v>0</v>
          </cell>
          <cell r="G255">
            <v>0</v>
          </cell>
        </row>
        <row r="256">
          <cell r="D256">
            <v>43525</v>
          </cell>
          <cell r="E256">
            <v>4.6399999999999997</v>
          </cell>
          <cell r="F256">
            <v>0</v>
          </cell>
          <cell r="G256">
            <v>0</v>
          </cell>
        </row>
        <row r="257">
          <cell r="D257">
            <v>43556</v>
          </cell>
          <cell r="E257">
            <v>4.5390000000000006</v>
          </cell>
          <cell r="F257">
            <v>0</v>
          </cell>
          <cell r="G257">
            <v>0</v>
          </cell>
        </row>
        <row r="258">
          <cell r="D258">
            <v>43586</v>
          </cell>
          <cell r="E258">
            <v>4.5230000000000006</v>
          </cell>
          <cell r="F258">
            <v>0</v>
          </cell>
          <cell r="G258">
            <v>0</v>
          </cell>
        </row>
        <row r="259">
          <cell r="D259">
            <v>43617</v>
          </cell>
          <cell r="E259">
            <v>4.5250000000000004</v>
          </cell>
          <cell r="F259">
            <v>0</v>
          </cell>
          <cell r="G259">
            <v>0</v>
          </cell>
        </row>
        <row r="260">
          <cell r="D260">
            <v>43647</v>
          </cell>
          <cell r="E260">
            <v>4.5250000000000004</v>
          </cell>
          <cell r="F260">
            <v>0</v>
          </cell>
          <cell r="G260">
            <v>0</v>
          </cell>
        </row>
        <row r="261">
          <cell r="D261">
            <v>43678</v>
          </cell>
          <cell r="E261">
            <v>4.5310000000000006</v>
          </cell>
          <cell r="F261">
            <v>0</v>
          </cell>
          <cell r="G261">
            <v>0</v>
          </cell>
        </row>
        <row r="262">
          <cell r="D262">
            <v>43709</v>
          </cell>
          <cell r="E262">
            <v>4.5369999999999999</v>
          </cell>
          <cell r="F262">
            <v>0</v>
          </cell>
          <cell r="G262">
            <v>0</v>
          </cell>
        </row>
        <row r="263">
          <cell r="D263">
            <v>43739</v>
          </cell>
          <cell r="E263">
            <v>4.5620000000000003</v>
          </cell>
          <cell r="F263">
            <v>0</v>
          </cell>
          <cell r="G263">
            <v>0</v>
          </cell>
        </row>
        <row r="264">
          <cell r="D264">
            <v>43770</v>
          </cell>
          <cell r="E264">
            <v>4.7</v>
          </cell>
          <cell r="F264">
            <v>0</v>
          </cell>
          <cell r="G264">
            <v>0</v>
          </cell>
        </row>
        <row r="265">
          <cell r="D265">
            <v>43800</v>
          </cell>
          <cell r="E265">
            <v>4.8390000000000004</v>
          </cell>
          <cell r="F265">
            <v>0</v>
          </cell>
          <cell r="G265">
            <v>0</v>
          </cell>
        </row>
        <row r="266">
          <cell r="D266">
            <v>43831</v>
          </cell>
          <cell r="E266">
            <v>5.0630000000000006</v>
          </cell>
          <cell r="F266">
            <v>0</v>
          </cell>
          <cell r="G266">
            <v>0</v>
          </cell>
        </row>
        <row r="267">
          <cell r="D267">
            <v>43862</v>
          </cell>
          <cell r="E267">
            <v>4.9390000000000001</v>
          </cell>
          <cell r="F267">
            <v>0</v>
          </cell>
          <cell r="G267">
            <v>0</v>
          </cell>
        </row>
        <row r="268">
          <cell r="D268">
            <v>43891</v>
          </cell>
          <cell r="E268">
            <v>4.84</v>
          </cell>
          <cell r="F268">
            <v>0</v>
          </cell>
          <cell r="G268">
            <v>0</v>
          </cell>
        </row>
        <row r="269">
          <cell r="D269">
            <v>43922</v>
          </cell>
          <cell r="E269">
            <v>4.7390000000000008</v>
          </cell>
          <cell r="F269">
            <v>0</v>
          </cell>
          <cell r="G269">
            <v>0</v>
          </cell>
        </row>
        <row r="270">
          <cell r="D270">
            <v>43952</v>
          </cell>
          <cell r="E270">
            <v>4.7229999999999999</v>
          </cell>
          <cell r="F270">
            <v>0</v>
          </cell>
          <cell r="G270">
            <v>0</v>
          </cell>
        </row>
        <row r="271">
          <cell r="D271">
            <v>43983</v>
          </cell>
          <cell r="E271">
            <v>4.7249999999999996</v>
          </cell>
          <cell r="F271">
            <v>0</v>
          </cell>
          <cell r="G271">
            <v>0</v>
          </cell>
        </row>
        <row r="272">
          <cell r="D272">
            <v>44013</v>
          </cell>
          <cell r="E272">
            <v>4.7249999999999996</v>
          </cell>
          <cell r="F272">
            <v>0</v>
          </cell>
          <cell r="G272">
            <v>0</v>
          </cell>
        </row>
        <row r="273">
          <cell r="D273">
            <v>44044</v>
          </cell>
          <cell r="E273">
            <v>4.7310000000000008</v>
          </cell>
          <cell r="F273">
            <v>0</v>
          </cell>
          <cell r="G273">
            <v>0</v>
          </cell>
        </row>
        <row r="274">
          <cell r="D274">
            <v>44075</v>
          </cell>
          <cell r="E274">
            <v>4.7370000000000001</v>
          </cell>
          <cell r="F274">
            <v>0</v>
          </cell>
          <cell r="G274">
            <v>0</v>
          </cell>
        </row>
        <row r="275">
          <cell r="D275">
            <v>44105</v>
          </cell>
          <cell r="E275">
            <v>4.7619999999999996</v>
          </cell>
          <cell r="F275">
            <v>0</v>
          </cell>
          <cell r="G275">
            <v>0</v>
          </cell>
        </row>
        <row r="276">
          <cell r="D276">
            <v>44136</v>
          </cell>
          <cell r="E276">
            <v>4.9000000000000004</v>
          </cell>
          <cell r="F276">
            <v>0</v>
          </cell>
          <cell r="G276">
            <v>0</v>
          </cell>
        </row>
        <row r="277">
          <cell r="D277">
            <v>44166</v>
          </cell>
          <cell r="E277">
            <v>5.0390000000000006</v>
          </cell>
          <cell r="F277">
            <v>0</v>
          </cell>
          <cell r="G277">
            <v>0</v>
          </cell>
        </row>
        <row r="278">
          <cell r="D278">
            <v>44197</v>
          </cell>
          <cell r="E278">
            <v>5.0940000000000003</v>
          </cell>
          <cell r="F278">
            <v>0</v>
          </cell>
          <cell r="G278">
            <v>0</v>
          </cell>
        </row>
        <row r="279">
          <cell r="D279">
            <v>44228</v>
          </cell>
          <cell r="E279">
            <v>5.0220000000000002</v>
          </cell>
          <cell r="F279">
            <v>0</v>
          </cell>
          <cell r="G279">
            <v>0</v>
          </cell>
        </row>
        <row r="280">
          <cell r="D280">
            <v>44256</v>
          </cell>
          <cell r="E280">
            <v>4.915</v>
          </cell>
          <cell r="F280">
            <v>0</v>
          </cell>
          <cell r="G280">
            <v>0</v>
          </cell>
        </row>
        <row r="281">
          <cell r="D281">
            <v>44287</v>
          </cell>
          <cell r="E281">
            <v>4.8029999999999999</v>
          </cell>
          <cell r="F281">
            <v>0</v>
          </cell>
          <cell r="G281">
            <v>0</v>
          </cell>
        </row>
        <row r="282">
          <cell r="D282">
            <v>44317</v>
          </cell>
          <cell r="E282">
            <v>4.7930000000000001</v>
          </cell>
          <cell r="F282">
            <v>0</v>
          </cell>
          <cell r="G282">
            <v>0</v>
          </cell>
        </row>
        <row r="283">
          <cell r="D283">
            <v>44348</v>
          </cell>
          <cell r="E283">
            <v>4.7890000000000006</v>
          </cell>
          <cell r="F283">
            <v>0</v>
          </cell>
          <cell r="G283">
            <v>0</v>
          </cell>
        </row>
        <row r="284">
          <cell r="D284">
            <v>44378</v>
          </cell>
          <cell r="E284">
            <v>4.7860000000000005</v>
          </cell>
          <cell r="F284">
            <v>0</v>
          </cell>
          <cell r="G284">
            <v>0</v>
          </cell>
        </row>
        <row r="285">
          <cell r="D285">
            <v>44409</v>
          </cell>
          <cell r="E285">
            <v>4.8160000000000007</v>
          </cell>
          <cell r="F285">
            <v>0</v>
          </cell>
          <cell r="G285">
            <v>0</v>
          </cell>
        </row>
        <row r="286">
          <cell r="D286">
            <v>44440</v>
          </cell>
          <cell r="E286">
            <v>4.8190000000000008</v>
          </cell>
          <cell r="F286">
            <v>0</v>
          </cell>
          <cell r="G286">
            <v>0</v>
          </cell>
        </row>
        <row r="287">
          <cell r="D287">
            <v>44470</v>
          </cell>
          <cell r="E287">
            <v>4.8419999999999996</v>
          </cell>
          <cell r="F287">
            <v>0</v>
          </cell>
          <cell r="G287">
            <v>0</v>
          </cell>
        </row>
        <row r="288">
          <cell r="D288">
            <v>44501</v>
          </cell>
          <cell r="E288">
            <v>4.9510000000000005</v>
          </cell>
          <cell r="F288">
            <v>0</v>
          </cell>
          <cell r="G288">
            <v>0</v>
          </cell>
        </row>
        <row r="289">
          <cell r="D289">
            <v>44531</v>
          </cell>
          <cell r="E289">
            <v>5.0720000000000001</v>
          </cell>
          <cell r="F289">
            <v>0</v>
          </cell>
          <cell r="G289">
            <v>0</v>
          </cell>
        </row>
        <row r="290">
          <cell r="D290">
            <v>44562</v>
          </cell>
          <cell r="E290">
            <v>5.3040000000000003</v>
          </cell>
          <cell r="F290">
            <v>0</v>
          </cell>
          <cell r="G290">
            <v>0</v>
          </cell>
        </row>
        <row r="291">
          <cell r="D291">
            <v>44593</v>
          </cell>
          <cell r="E291">
            <v>5.2320000000000002</v>
          </cell>
          <cell r="F291">
            <v>0</v>
          </cell>
          <cell r="G291">
            <v>0</v>
          </cell>
        </row>
        <row r="292">
          <cell r="D292">
            <v>44621</v>
          </cell>
          <cell r="E292">
            <v>5.125</v>
          </cell>
          <cell r="F292">
            <v>0</v>
          </cell>
          <cell r="G292">
            <v>0</v>
          </cell>
        </row>
        <row r="293">
          <cell r="D293">
            <v>44652</v>
          </cell>
          <cell r="E293">
            <v>5.0129999999999999</v>
          </cell>
          <cell r="F293">
            <v>0</v>
          </cell>
          <cell r="G293">
            <v>0</v>
          </cell>
        </row>
        <row r="294">
          <cell r="D294">
            <v>44682</v>
          </cell>
          <cell r="E294">
            <v>5.0030000000000001</v>
          </cell>
          <cell r="F294">
            <v>0</v>
          </cell>
          <cell r="G294">
            <v>0</v>
          </cell>
        </row>
        <row r="295">
          <cell r="D295">
            <v>44713</v>
          </cell>
          <cell r="E295">
            <v>4.9990000000000006</v>
          </cell>
          <cell r="F295">
            <v>0</v>
          </cell>
          <cell r="G295">
            <v>0</v>
          </cell>
        </row>
        <row r="296">
          <cell r="D296">
            <v>44743</v>
          </cell>
          <cell r="E296">
            <v>4.9960000000000004</v>
          </cell>
          <cell r="F296">
            <v>0</v>
          </cell>
          <cell r="G296">
            <v>0</v>
          </cell>
        </row>
        <row r="297">
          <cell r="D297">
            <v>44774</v>
          </cell>
          <cell r="E297">
            <v>5.0260000000000007</v>
          </cell>
          <cell r="F297">
            <v>0</v>
          </cell>
          <cell r="G297">
            <v>0</v>
          </cell>
        </row>
        <row r="298">
          <cell r="D298">
            <v>44805</v>
          </cell>
          <cell r="E298">
            <v>5.0290000000000008</v>
          </cell>
          <cell r="F298">
            <v>0</v>
          </cell>
          <cell r="G298">
            <v>0</v>
          </cell>
        </row>
        <row r="299">
          <cell r="D299">
            <v>44835</v>
          </cell>
          <cell r="E299">
            <v>5.0519999999999996</v>
          </cell>
          <cell r="F299">
            <v>0</v>
          </cell>
          <cell r="G299">
            <v>0</v>
          </cell>
        </row>
        <row r="300">
          <cell r="D300">
            <v>44866</v>
          </cell>
          <cell r="E300">
            <v>5.1610000000000005</v>
          </cell>
          <cell r="F300">
            <v>0</v>
          </cell>
          <cell r="G300">
            <v>0</v>
          </cell>
        </row>
        <row r="301">
          <cell r="D301">
            <v>44896</v>
          </cell>
          <cell r="E301">
            <v>5.2820000000000009</v>
          </cell>
          <cell r="F301">
            <v>0</v>
          </cell>
          <cell r="G301">
            <v>0</v>
          </cell>
        </row>
        <row r="302">
          <cell r="D302">
            <v>44927</v>
          </cell>
          <cell r="E302">
            <v>5.516</v>
          </cell>
          <cell r="F302">
            <v>0</v>
          </cell>
          <cell r="G302">
            <v>0</v>
          </cell>
        </row>
        <row r="303">
          <cell r="D303">
            <v>44958</v>
          </cell>
          <cell r="E303">
            <v>5.4450000000000003</v>
          </cell>
          <cell r="F303">
            <v>0</v>
          </cell>
          <cell r="G303">
            <v>0</v>
          </cell>
        </row>
        <row r="304">
          <cell r="D304">
            <v>44986</v>
          </cell>
          <cell r="E304">
            <v>5.3380000000000001</v>
          </cell>
          <cell r="F304">
            <v>0</v>
          </cell>
          <cell r="G304">
            <v>0</v>
          </cell>
        </row>
        <row r="305">
          <cell r="D305">
            <v>45017</v>
          </cell>
          <cell r="E305">
            <v>5.226</v>
          </cell>
          <cell r="F305">
            <v>0</v>
          </cell>
          <cell r="G305">
            <v>0</v>
          </cell>
        </row>
        <row r="306">
          <cell r="D306">
            <v>45047</v>
          </cell>
          <cell r="E306">
            <v>5.2160000000000002</v>
          </cell>
          <cell r="F306">
            <v>0</v>
          </cell>
          <cell r="G306">
            <v>0</v>
          </cell>
        </row>
        <row r="307">
          <cell r="D307">
            <v>45078</v>
          </cell>
          <cell r="E307">
            <v>5.2120000000000006</v>
          </cell>
          <cell r="F307">
            <v>0</v>
          </cell>
          <cell r="G307">
            <v>0</v>
          </cell>
        </row>
        <row r="308">
          <cell r="D308">
            <v>45108</v>
          </cell>
          <cell r="E308">
            <v>5.2089999999999996</v>
          </cell>
          <cell r="F308">
            <v>0</v>
          </cell>
          <cell r="G308">
            <v>0</v>
          </cell>
        </row>
        <row r="309">
          <cell r="D309">
            <v>45139</v>
          </cell>
          <cell r="E309">
            <v>5.2389999999999999</v>
          </cell>
          <cell r="F309">
            <v>0</v>
          </cell>
          <cell r="G309">
            <v>0</v>
          </cell>
        </row>
        <row r="310">
          <cell r="D310">
            <v>45170</v>
          </cell>
          <cell r="E310">
            <v>5.2420000000000009</v>
          </cell>
          <cell r="F310">
            <v>0</v>
          </cell>
          <cell r="G310">
            <v>0</v>
          </cell>
        </row>
        <row r="311">
          <cell r="D311">
            <v>45200</v>
          </cell>
          <cell r="E311">
            <v>5.2649999999999997</v>
          </cell>
          <cell r="F311">
            <v>0</v>
          </cell>
          <cell r="G311">
            <v>0</v>
          </cell>
        </row>
        <row r="312">
          <cell r="D312">
            <v>45231</v>
          </cell>
          <cell r="E312">
            <v>5.3739999999999997</v>
          </cell>
          <cell r="F312">
            <v>0</v>
          </cell>
          <cell r="G312">
            <v>0</v>
          </cell>
        </row>
        <row r="313">
          <cell r="D313">
            <v>45261</v>
          </cell>
          <cell r="E313">
            <v>5.4950000000000001</v>
          </cell>
          <cell r="F313">
            <v>0</v>
          </cell>
          <cell r="G313">
            <v>0</v>
          </cell>
        </row>
        <row r="314">
          <cell r="D314">
            <v>45292</v>
          </cell>
          <cell r="E314">
            <v>5.7310000000000008</v>
          </cell>
          <cell r="F314">
            <v>0</v>
          </cell>
          <cell r="G314">
            <v>0</v>
          </cell>
        </row>
        <row r="315">
          <cell r="D315">
            <v>45323</v>
          </cell>
          <cell r="E315">
            <v>5.66</v>
          </cell>
          <cell r="F315">
            <v>0</v>
          </cell>
          <cell r="G315">
            <v>0</v>
          </cell>
        </row>
        <row r="316">
          <cell r="D316">
            <v>45352</v>
          </cell>
          <cell r="E316">
            <v>5.5530000000000008</v>
          </cell>
          <cell r="F316">
            <v>0</v>
          </cell>
          <cell r="G316">
            <v>0</v>
          </cell>
        </row>
        <row r="317">
          <cell r="D317">
            <v>45383</v>
          </cell>
          <cell r="E317">
            <v>5.4410000000000007</v>
          </cell>
          <cell r="F317">
            <v>0</v>
          </cell>
          <cell r="G317">
            <v>0</v>
          </cell>
        </row>
        <row r="318">
          <cell r="D318">
            <v>45413</v>
          </cell>
          <cell r="E318">
            <v>5.431</v>
          </cell>
          <cell r="F318">
            <v>0</v>
          </cell>
          <cell r="G318">
            <v>0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Fetch"/>
      <sheetName val="Value &amp; Positions"/>
      <sheetName val="Daily P&amp;L"/>
      <sheetName val="Update Instructions"/>
      <sheetName val="Benchmark Positions"/>
    </sheetNames>
    <sheetDataSet>
      <sheetData sheetId="0" refreshError="1">
        <row r="2">
          <cell r="B2">
            <v>36174</v>
          </cell>
        </row>
        <row r="16">
          <cell r="A16" t="str">
            <v>IF-TRANSCO/Z6</v>
          </cell>
          <cell r="B16">
            <v>0</v>
          </cell>
        </row>
        <row r="17">
          <cell r="A17" t="str">
            <v>IF-NWPL_ROCKY_M</v>
          </cell>
          <cell r="B17">
            <v>3</v>
          </cell>
        </row>
        <row r="18">
          <cell r="A18" t="str">
            <v>IF-CGT/APPALAC</v>
          </cell>
          <cell r="B18">
            <v>6</v>
          </cell>
        </row>
        <row r="19">
          <cell r="A19" t="str">
            <v>IF-HPL/SHPCHAN</v>
          </cell>
          <cell r="B19">
            <v>9</v>
          </cell>
        </row>
        <row r="20">
          <cell r="A20">
            <v>0</v>
          </cell>
          <cell r="B20">
            <v>12</v>
          </cell>
        </row>
        <row r="21">
          <cell r="A21">
            <v>0</v>
          </cell>
          <cell r="B21">
            <v>15</v>
          </cell>
        </row>
        <row r="22">
          <cell r="A22">
            <v>0</v>
          </cell>
          <cell r="B22">
            <v>18</v>
          </cell>
        </row>
        <row r="23">
          <cell r="A23">
            <v>0</v>
          </cell>
          <cell r="B23">
            <v>21</v>
          </cell>
        </row>
        <row r="24">
          <cell r="A24">
            <v>0</v>
          </cell>
          <cell r="B24">
            <v>24</v>
          </cell>
        </row>
        <row r="25">
          <cell r="A25">
            <v>0</v>
          </cell>
          <cell r="B25">
            <v>27</v>
          </cell>
        </row>
        <row r="26">
          <cell r="A26">
            <v>0</v>
          </cell>
          <cell r="B26">
            <v>30</v>
          </cell>
        </row>
        <row r="27">
          <cell r="A27">
            <v>0</v>
          </cell>
          <cell r="B27">
            <v>33</v>
          </cell>
        </row>
        <row r="28">
          <cell r="A28">
            <v>0</v>
          </cell>
          <cell r="B28">
            <v>36</v>
          </cell>
        </row>
        <row r="29">
          <cell r="A29">
            <v>0</v>
          </cell>
          <cell r="B29">
            <v>39</v>
          </cell>
        </row>
        <row r="30">
          <cell r="A30">
            <v>0</v>
          </cell>
          <cell r="B30">
            <v>42</v>
          </cell>
        </row>
        <row r="31">
          <cell r="A31">
            <v>0</v>
          </cell>
          <cell r="B31">
            <v>45</v>
          </cell>
        </row>
        <row r="32">
          <cell r="A32">
            <v>0</v>
          </cell>
          <cell r="B32">
            <v>48</v>
          </cell>
        </row>
        <row r="33">
          <cell r="A33">
            <v>0</v>
          </cell>
          <cell r="B33">
            <v>51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TopPages"/>
      <sheetName val="Roll-1"/>
      <sheetName val="Roll-2"/>
      <sheetName val="Roll-3"/>
      <sheetName val="Roll-5"/>
      <sheetName val="Roll-6"/>
      <sheetName val="Roll-7"/>
      <sheetName val="Roll-8"/>
      <sheetName val="Roll-9"/>
      <sheetName val="Roll-10"/>
      <sheetName val="Roll-11"/>
      <sheetName val="Roll-12"/>
      <sheetName val="Peoples Unwind"/>
      <sheetName val="Orig Sched"/>
      <sheetName val="Roll-4"/>
      <sheetName val="Exotics"/>
      <sheetName val="CURVES"/>
      <sheetName val="Daily Macro"/>
      <sheetName val="Monthly Macro"/>
      <sheetName val="Module1"/>
      <sheetName val="Module2"/>
      <sheetName val="Module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4">
          <cell r="D14">
            <v>36342</v>
          </cell>
          <cell r="E14">
            <v>2.262</v>
          </cell>
          <cell r="F14">
            <v>6.8000000000000005E-2</v>
          </cell>
          <cell r="G14">
            <v>0</v>
          </cell>
          <cell r="H14">
            <v>0.4</v>
          </cell>
          <cell r="I14">
            <v>0.38500000000000001</v>
          </cell>
          <cell r="J14">
            <v>8.8000000000000009E-2</v>
          </cell>
          <cell r="K14">
            <v>0</v>
          </cell>
          <cell r="L14">
            <v>0.4</v>
          </cell>
          <cell r="M14">
            <v>1</v>
          </cell>
          <cell r="N14">
            <v>1</v>
          </cell>
          <cell r="O14">
            <v>5</v>
          </cell>
        </row>
        <row r="15">
          <cell r="D15">
            <v>36373</v>
          </cell>
          <cell r="E15">
            <v>2.6010000000000004</v>
          </cell>
          <cell r="F15">
            <v>9.4E-2</v>
          </cell>
          <cell r="G15">
            <v>0</v>
          </cell>
          <cell r="H15">
            <v>0.5</v>
          </cell>
          <cell r="I15">
            <v>0.45</v>
          </cell>
          <cell r="J15">
            <v>0.114</v>
          </cell>
          <cell r="K15">
            <v>-2.5000000000000001E-3</v>
          </cell>
          <cell r="L15">
            <v>0.75</v>
          </cell>
          <cell r="M15">
            <v>5.176244833114102E-2</v>
          </cell>
          <cell r="N15">
            <v>1.0015402498025805</v>
          </cell>
          <cell r="O15">
            <v>6</v>
          </cell>
        </row>
        <row r="16">
          <cell r="D16">
            <v>36404</v>
          </cell>
          <cell r="E16">
            <v>2.6060000000000003</v>
          </cell>
          <cell r="F16">
            <v>5.7500000000000002E-2</v>
          </cell>
          <cell r="G16">
            <v>0</v>
          </cell>
          <cell r="H16">
            <v>0.5</v>
          </cell>
          <cell r="I16">
            <v>0.45</v>
          </cell>
          <cell r="J16">
            <v>8.7499999999999994E-2</v>
          </cell>
          <cell r="K16">
            <v>0</v>
          </cell>
          <cell r="L16">
            <v>0.5</v>
          </cell>
          <cell r="M16">
            <v>5.3037209979137002E-2</v>
          </cell>
          <cell r="N16">
            <v>0.9971377842463538</v>
          </cell>
          <cell r="O16">
            <v>7</v>
          </cell>
        </row>
        <row r="17">
          <cell r="D17">
            <v>36434</v>
          </cell>
          <cell r="E17">
            <v>2.6230000000000002</v>
          </cell>
          <cell r="F17">
            <v>7.0000000000000007E-2</v>
          </cell>
          <cell r="G17">
            <v>0</v>
          </cell>
          <cell r="H17">
            <v>0.55000000000000004</v>
          </cell>
          <cell r="I17">
            <v>0.45</v>
          </cell>
          <cell r="J17">
            <v>9.5000000000000001E-2</v>
          </cell>
          <cell r="K17">
            <v>0</v>
          </cell>
          <cell r="L17">
            <v>0.48749999999999999</v>
          </cell>
          <cell r="M17">
            <v>5.3582831243689996E-2</v>
          </cell>
          <cell r="N17">
            <v>0.9927875836327239</v>
          </cell>
          <cell r="O17">
            <v>8</v>
          </cell>
        </row>
        <row r="18">
          <cell r="D18">
            <v>36465</v>
          </cell>
          <cell r="E18">
            <v>2.738</v>
          </cell>
          <cell r="F18">
            <v>0.13750000000000001</v>
          </cell>
          <cell r="G18">
            <v>1.2500000000000001E-2</v>
          </cell>
          <cell r="H18">
            <v>0.8</v>
          </cell>
          <cell r="I18">
            <v>0.9</v>
          </cell>
          <cell r="J18">
            <v>0.20499999999999999</v>
          </cell>
          <cell r="K18">
            <v>0</v>
          </cell>
          <cell r="L18">
            <v>0.47249999999999998</v>
          </cell>
          <cell r="M18">
            <v>5.4213172949980015E-2</v>
          </cell>
          <cell r="N18">
            <v>0.98820750935838564</v>
          </cell>
          <cell r="O18">
            <v>9</v>
          </cell>
        </row>
        <row r="19">
          <cell r="D19">
            <v>36495</v>
          </cell>
          <cell r="E19">
            <v>2.8680000000000003</v>
          </cell>
          <cell r="F19">
            <v>0.16750000000000001</v>
          </cell>
          <cell r="G19">
            <v>1.2500000000000001E-2</v>
          </cell>
          <cell r="H19">
            <v>1.1000000000000001</v>
          </cell>
          <cell r="I19">
            <v>1.1499999999999999</v>
          </cell>
          <cell r="J19">
            <v>0.245</v>
          </cell>
          <cell r="K19">
            <v>0</v>
          </cell>
          <cell r="L19">
            <v>0.46250000000000002</v>
          </cell>
          <cell r="M19">
            <v>5.4576908196337995E-2</v>
          </cell>
          <cell r="N19">
            <v>0.98376942635125419</v>
          </cell>
          <cell r="O19">
            <v>10</v>
          </cell>
        </row>
        <row r="20">
          <cell r="D20">
            <v>36526</v>
          </cell>
          <cell r="E20">
            <v>2.8980000000000001</v>
          </cell>
          <cell r="F20">
            <v>0.1875</v>
          </cell>
          <cell r="G20">
            <v>1.2500000000000001E-2</v>
          </cell>
          <cell r="H20">
            <v>1.1000000000000001</v>
          </cell>
          <cell r="I20">
            <v>1.1499999999999999</v>
          </cell>
          <cell r="J20">
            <v>0.28249999999999997</v>
          </cell>
          <cell r="K20">
            <v>0</v>
          </cell>
          <cell r="L20">
            <v>0.45750000000000002</v>
          </cell>
          <cell r="M20">
            <v>5.5083848352660017E-2</v>
          </cell>
          <cell r="N20">
            <v>0.97909597246354285</v>
          </cell>
          <cell r="O20">
            <v>11</v>
          </cell>
        </row>
        <row r="21">
          <cell r="D21">
            <v>36557</v>
          </cell>
          <cell r="E21">
            <v>2.77</v>
          </cell>
          <cell r="F21">
            <v>0.1925</v>
          </cell>
          <cell r="G21">
            <v>1.2500000000000001E-2</v>
          </cell>
          <cell r="H21">
            <v>1.1000000000000001</v>
          </cell>
          <cell r="I21">
            <v>1.1499999999999999</v>
          </cell>
          <cell r="J21">
            <v>0.3125</v>
          </cell>
          <cell r="K21">
            <v>0</v>
          </cell>
          <cell r="L21">
            <v>0.44</v>
          </cell>
          <cell r="M21">
            <v>5.5698737145109999E-2</v>
          </cell>
          <cell r="N21">
            <v>0.97431469567749018</v>
          </cell>
          <cell r="O21">
            <v>12</v>
          </cell>
        </row>
        <row r="22">
          <cell r="D22">
            <v>36586</v>
          </cell>
          <cell r="E22">
            <v>2.605</v>
          </cell>
          <cell r="F22">
            <v>0.19</v>
          </cell>
          <cell r="G22">
            <v>1.2500000000000001E-2</v>
          </cell>
          <cell r="H22">
            <v>0.75</v>
          </cell>
          <cell r="I22">
            <v>0.85</v>
          </cell>
          <cell r="J22">
            <v>0.3175</v>
          </cell>
          <cell r="K22">
            <v>0</v>
          </cell>
          <cell r="L22">
            <v>0.38</v>
          </cell>
          <cell r="M22">
            <v>5.6273955806854022E-2</v>
          </cell>
          <cell r="N22">
            <v>0.96977394492076807</v>
          </cell>
          <cell r="O22">
            <v>13</v>
          </cell>
        </row>
        <row r="23">
          <cell r="D23">
            <v>36617</v>
          </cell>
          <cell r="E23">
            <v>2.4350000000000001</v>
          </cell>
          <cell r="F23">
            <v>0.03</v>
          </cell>
          <cell r="G23">
            <v>0</v>
          </cell>
          <cell r="H23">
            <v>0.45</v>
          </cell>
          <cell r="I23">
            <v>0.45</v>
          </cell>
          <cell r="J23">
            <v>0.115</v>
          </cell>
          <cell r="K23">
            <v>-2.5000000000000001E-3</v>
          </cell>
          <cell r="L23">
            <v>0.28749999999999998</v>
          </cell>
          <cell r="M23">
            <v>5.6703054023341012E-2</v>
          </cell>
          <cell r="N23">
            <v>0.96495993778957279</v>
          </cell>
          <cell r="O23">
            <v>14</v>
          </cell>
        </row>
        <row r="24">
          <cell r="D24">
            <v>36647</v>
          </cell>
          <cell r="E24">
            <v>2.37</v>
          </cell>
          <cell r="F24">
            <v>2.75E-2</v>
          </cell>
          <cell r="G24">
            <v>0</v>
          </cell>
          <cell r="H24">
            <v>0.5</v>
          </cell>
          <cell r="I24">
            <v>0.45</v>
          </cell>
          <cell r="J24">
            <v>0.1125</v>
          </cell>
          <cell r="K24">
            <v>-2.5000000000000001E-3</v>
          </cell>
          <cell r="L24">
            <v>0.24</v>
          </cell>
          <cell r="M24">
            <v>5.6970241823119015E-2</v>
          </cell>
          <cell r="N24">
            <v>0.96035881094073205</v>
          </cell>
          <cell r="O24">
            <v>15</v>
          </cell>
        </row>
        <row r="25">
          <cell r="D25">
            <v>36678</v>
          </cell>
          <cell r="E25">
            <v>2.36</v>
          </cell>
          <cell r="F25">
            <v>2.5000000000000001E-2</v>
          </cell>
          <cell r="G25">
            <v>0</v>
          </cell>
          <cell r="H25">
            <v>0.5</v>
          </cell>
          <cell r="I25">
            <v>0.45</v>
          </cell>
          <cell r="J25">
            <v>0.11</v>
          </cell>
          <cell r="K25">
            <v>-2.5000000000000001E-3</v>
          </cell>
          <cell r="L25">
            <v>0.23499999999999999</v>
          </cell>
          <cell r="M25">
            <v>5.7246335907844018E-2</v>
          </cell>
          <cell r="N25">
            <v>0.95558454193560893</v>
          </cell>
          <cell r="O25">
            <v>16</v>
          </cell>
        </row>
        <row r="26">
          <cell r="D26">
            <v>36708</v>
          </cell>
          <cell r="E26">
            <v>2.36</v>
          </cell>
          <cell r="F26">
            <v>2.5000000000000001E-2</v>
          </cell>
          <cell r="G26">
            <v>0</v>
          </cell>
          <cell r="H26">
            <v>0.55000000000000004</v>
          </cell>
          <cell r="I26">
            <v>0.5</v>
          </cell>
          <cell r="J26">
            <v>0.11</v>
          </cell>
          <cell r="K26">
            <v>-2.5000000000000001E-3</v>
          </cell>
          <cell r="L26">
            <v>0.23250000000000001</v>
          </cell>
          <cell r="M26">
            <v>5.7562581580424016E-2</v>
          </cell>
          <cell r="N26">
            <v>0.95090542887175289</v>
          </cell>
          <cell r="O26">
            <v>17</v>
          </cell>
        </row>
        <row r="27">
          <cell r="D27">
            <v>36739</v>
          </cell>
          <cell r="E27">
            <v>2.3650000000000002</v>
          </cell>
          <cell r="F27">
            <v>2.5000000000000001E-2</v>
          </cell>
          <cell r="G27">
            <v>0</v>
          </cell>
          <cell r="H27">
            <v>0.6</v>
          </cell>
          <cell r="I27">
            <v>0.55000000000000004</v>
          </cell>
          <cell r="J27">
            <v>0.11</v>
          </cell>
          <cell r="K27">
            <v>-2.5000000000000001E-3</v>
          </cell>
          <cell r="L27">
            <v>0.23</v>
          </cell>
          <cell r="M27">
            <v>5.7881792573363011E-2</v>
          </cell>
          <cell r="N27">
            <v>0.94605103771078569</v>
          </cell>
          <cell r="O27">
            <v>18</v>
          </cell>
        </row>
        <row r="28">
          <cell r="D28">
            <v>36770</v>
          </cell>
          <cell r="E28">
            <v>2.3680000000000003</v>
          </cell>
          <cell r="F28">
            <v>2.75E-2</v>
          </cell>
          <cell r="G28">
            <v>0</v>
          </cell>
          <cell r="H28">
            <v>0.6</v>
          </cell>
          <cell r="I28">
            <v>0.55000000000000004</v>
          </cell>
          <cell r="J28">
            <v>0.1125</v>
          </cell>
          <cell r="K28">
            <v>-2.5000000000000001E-3</v>
          </cell>
          <cell r="L28">
            <v>0.23</v>
          </cell>
          <cell r="M28">
            <v>5.8201003600191994E-2</v>
          </cell>
          <cell r="N28">
            <v>0.94117190796977512</v>
          </cell>
          <cell r="O28">
            <v>19</v>
          </cell>
        </row>
        <row r="29">
          <cell r="D29">
            <v>36800</v>
          </cell>
          <cell r="E29">
            <v>2.4</v>
          </cell>
          <cell r="F29">
            <v>3.2500000000000001E-2</v>
          </cell>
          <cell r="G29">
            <v>0</v>
          </cell>
          <cell r="H29">
            <v>0.65</v>
          </cell>
          <cell r="I29">
            <v>0.6</v>
          </cell>
          <cell r="J29">
            <v>0.11749999999999999</v>
          </cell>
          <cell r="K29">
            <v>-2.5000000000000001E-3</v>
          </cell>
          <cell r="L29">
            <v>0.23250000000000001</v>
          </cell>
          <cell r="M29">
            <v>5.8509784168934022E-2</v>
          </cell>
          <cell r="N29">
            <v>0.93642736656378422</v>
          </cell>
          <cell r="O29">
            <v>20</v>
          </cell>
        </row>
        <row r="30">
          <cell r="D30">
            <v>36831</v>
          </cell>
          <cell r="E30">
            <v>2.5510000000000002</v>
          </cell>
          <cell r="F30">
            <v>0.13</v>
          </cell>
          <cell r="G30">
            <v>1.2500000000000001E-2</v>
          </cell>
          <cell r="H30">
            <v>0.8</v>
          </cell>
          <cell r="I30">
            <v>0.9</v>
          </cell>
          <cell r="J30">
            <v>0.22</v>
          </cell>
          <cell r="K30">
            <v>-5.0000000000000001E-3</v>
          </cell>
          <cell r="L30">
            <v>0.23499999999999999</v>
          </cell>
          <cell r="M30">
            <v>5.8828643125102005E-2</v>
          </cell>
          <cell r="N30">
            <v>0.93150185854684431</v>
          </cell>
          <cell r="O30">
            <v>21</v>
          </cell>
        </row>
        <row r="31">
          <cell r="D31">
            <v>36861</v>
          </cell>
          <cell r="E31">
            <v>2.6919999999999997</v>
          </cell>
          <cell r="F31">
            <v>0.15</v>
          </cell>
          <cell r="G31">
            <v>1.2500000000000001E-2</v>
          </cell>
          <cell r="H31">
            <v>1.1000000000000001</v>
          </cell>
          <cell r="I31">
            <v>1.1499999999999999</v>
          </cell>
          <cell r="J31">
            <v>0.24</v>
          </cell>
          <cell r="K31">
            <v>-5.0000000000000001E-3</v>
          </cell>
          <cell r="L31">
            <v>0.23749999999999999</v>
          </cell>
          <cell r="M31">
            <v>5.9137216340674009E-2</v>
          </cell>
          <cell r="N31">
            <v>0.92671356423286433</v>
          </cell>
          <cell r="O31">
            <v>22</v>
          </cell>
        </row>
        <row r="32">
          <cell r="D32">
            <v>36892</v>
          </cell>
          <cell r="E32">
            <v>2.7440000000000002</v>
          </cell>
          <cell r="F32">
            <v>0.16750000000000001</v>
          </cell>
          <cell r="G32">
            <v>1.2500000000000001E-2</v>
          </cell>
          <cell r="H32">
            <v>1.1000000000000001</v>
          </cell>
          <cell r="I32">
            <v>1.1499999999999999</v>
          </cell>
          <cell r="J32">
            <v>0.25750000000000001</v>
          </cell>
          <cell r="K32">
            <v>-5.0000000000000001E-3</v>
          </cell>
          <cell r="L32">
            <v>0.24249999999999999</v>
          </cell>
          <cell r="M32">
            <v>5.9468344709369014E-2</v>
          </cell>
          <cell r="N32">
            <v>0.92172862223832197</v>
          </cell>
          <cell r="O32">
            <v>23</v>
          </cell>
        </row>
        <row r="33">
          <cell r="D33">
            <v>36923</v>
          </cell>
          <cell r="E33">
            <v>2.6389999999999998</v>
          </cell>
          <cell r="F33">
            <v>0.16500000000000001</v>
          </cell>
          <cell r="G33">
            <v>1.2500000000000001E-2</v>
          </cell>
          <cell r="H33">
            <v>1.1000000000000001</v>
          </cell>
          <cell r="I33">
            <v>1.1499999999999999</v>
          </cell>
          <cell r="J33">
            <v>0.255</v>
          </cell>
          <cell r="K33">
            <v>-5.0000000000000001E-3</v>
          </cell>
          <cell r="L33">
            <v>0.23499999999999999</v>
          </cell>
          <cell r="M33">
            <v>5.9818899581279006E-2</v>
          </cell>
          <cell r="N33">
            <v>0.91669500363673995</v>
          </cell>
          <cell r="O33">
            <v>24</v>
          </cell>
        </row>
        <row r="34">
          <cell r="D34">
            <v>36951</v>
          </cell>
          <cell r="E34">
            <v>2.5209999999999999</v>
          </cell>
          <cell r="F34">
            <v>0.16250000000000001</v>
          </cell>
          <cell r="G34">
            <v>1.2500000000000001E-2</v>
          </cell>
          <cell r="H34">
            <v>0.75</v>
          </cell>
          <cell r="I34">
            <v>0.85</v>
          </cell>
          <cell r="J34">
            <v>0.2525</v>
          </cell>
          <cell r="K34">
            <v>-5.0000000000000001E-3</v>
          </cell>
          <cell r="L34">
            <v>0.2225</v>
          </cell>
          <cell r="M34">
            <v>6.0135529823264026E-2</v>
          </cell>
          <cell r="N34">
            <v>0.91212690927041362</v>
          </cell>
          <cell r="O34">
            <v>25</v>
          </cell>
        </row>
        <row r="35">
          <cell r="D35">
            <v>36982</v>
          </cell>
          <cell r="E35">
            <v>2.4</v>
          </cell>
          <cell r="F35">
            <v>0.03</v>
          </cell>
          <cell r="G35">
            <v>0</v>
          </cell>
          <cell r="H35">
            <v>0.45</v>
          </cell>
          <cell r="I35">
            <v>0.45</v>
          </cell>
          <cell r="J35">
            <v>0.115</v>
          </cell>
          <cell r="K35">
            <v>-7.4999999999999997E-3</v>
          </cell>
          <cell r="L35">
            <v>0.19</v>
          </cell>
          <cell r="M35">
            <v>6.0444066728566018E-2</v>
          </cell>
          <cell r="N35">
            <v>0.90710670738290478</v>
          </cell>
          <cell r="O35">
            <v>26</v>
          </cell>
        </row>
        <row r="36">
          <cell r="D36">
            <v>37012</v>
          </cell>
          <cell r="E36">
            <v>2.3720000000000003</v>
          </cell>
          <cell r="F36">
            <v>1.7500000000000002E-2</v>
          </cell>
          <cell r="G36">
            <v>0</v>
          </cell>
          <cell r="H36">
            <v>0.5</v>
          </cell>
          <cell r="I36">
            <v>0.45</v>
          </cell>
          <cell r="J36">
            <v>0.10249999999999999</v>
          </cell>
          <cell r="K36">
            <v>-7.4999999999999997E-3</v>
          </cell>
          <cell r="L36">
            <v>0.18</v>
          </cell>
          <cell r="M36">
            <v>6.0673134964344011E-2</v>
          </cell>
          <cell r="N36">
            <v>0.90233581480372549</v>
          </cell>
          <cell r="O36">
            <v>27</v>
          </cell>
        </row>
        <row r="37">
          <cell r="D37">
            <v>37043</v>
          </cell>
          <cell r="E37">
            <v>2.3690000000000002</v>
          </cell>
          <cell r="F37">
            <v>1.2500000000000001E-2</v>
          </cell>
          <cell r="G37">
            <v>0</v>
          </cell>
          <cell r="H37">
            <v>0.5</v>
          </cell>
          <cell r="I37">
            <v>0.45</v>
          </cell>
          <cell r="J37">
            <v>9.7500000000000003E-2</v>
          </cell>
          <cell r="K37">
            <v>-7.4999999999999997E-3</v>
          </cell>
          <cell r="L37">
            <v>0.18</v>
          </cell>
          <cell r="M37">
            <v>6.090983882629001E-2</v>
          </cell>
          <cell r="N37">
            <v>0.89739786015153111</v>
          </cell>
          <cell r="O37">
            <v>28</v>
          </cell>
        </row>
        <row r="38">
          <cell r="D38">
            <v>37073</v>
          </cell>
          <cell r="E38">
            <v>2.3740000000000001</v>
          </cell>
          <cell r="F38">
            <v>5.0000000000000001E-3</v>
          </cell>
          <cell r="G38">
            <v>0</v>
          </cell>
          <cell r="H38">
            <v>0.55000000000000004</v>
          </cell>
          <cell r="I38">
            <v>0.5</v>
          </cell>
          <cell r="J38">
            <v>0.09</v>
          </cell>
          <cell r="K38">
            <v>-7.4999999999999997E-3</v>
          </cell>
          <cell r="L38">
            <v>0.18</v>
          </cell>
          <cell r="M38">
            <v>6.1132691563340009E-2</v>
          </cell>
          <cell r="N38">
            <v>0.89262198114368607</v>
          </cell>
          <cell r="O38">
            <v>29</v>
          </cell>
        </row>
        <row r="39">
          <cell r="D39">
            <v>37104</v>
          </cell>
          <cell r="E39">
            <v>2.3820000000000001</v>
          </cell>
          <cell r="F39">
            <v>2.5000000000000001E-3</v>
          </cell>
          <cell r="G39">
            <v>0</v>
          </cell>
          <cell r="H39">
            <v>0.6</v>
          </cell>
          <cell r="I39">
            <v>0.55000000000000004</v>
          </cell>
          <cell r="J39">
            <v>8.7499999999999994E-2</v>
          </cell>
          <cell r="K39">
            <v>-7.4999999999999997E-3</v>
          </cell>
          <cell r="L39">
            <v>0.18</v>
          </cell>
          <cell r="M39">
            <v>6.1351171446778006E-2</v>
          </cell>
          <cell r="N39">
            <v>0.88770055615983667</v>
          </cell>
          <cell r="O39">
            <v>30</v>
          </cell>
        </row>
        <row r="40">
          <cell r="D40">
            <v>37135</v>
          </cell>
          <cell r="E40">
            <v>2.3930000000000002</v>
          </cell>
          <cell r="F40">
            <v>2.5000000000000001E-3</v>
          </cell>
          <cell r="G40">
            <v>0</v>
          </cell>
          <cell r="H40">
            <v>0.6</v>
          </cell>
          <cell r="I40">
            <v>0.55000000000000004</v>
          </cell>
          <cell r="J40">
            <v>8.7499999999999994E-2</v>
          </cell>
          <cell r="K40">
            <v>-7.4999999999999997E-3</v>
          </cell>
          <cell r="L40">
            <v>0.18050000000000002</v>
          </cell>
          <cell r="M40">
            <v>6.1569651346067004E-2</v>
          </cell>
          <cell r="N40">
            <v>0.88277453929055938</v>
          </cell>
          <cell r="O40">
            <v>31</v>
          </cell>
        </row>
        <row r="41">
          <cell r="D41">
            <v>37165</v>
          </cell>
          <cell r="E41">
            <v>2.4249999999999998</v>
          </cell>
          <cell r="F41">
            <v>1.7500000000000002E-2</v>
          </cell>
          <cell r="G41">
            <v>0</v>
          </cell>
          <cell r="H41">
            <v>0.65</v>
          </cell>
          <cell r="I41">
            <v>0.6</v>
          </cell>
          <cell r="J41">
            <v>0.10249999999999999</v>
          </cell>
          <cell r="K41">
            <v>-7.4999999999999997E-3</v>
          </cell>
          <cell r="L41">
            <v>0.18350000000000002</v>
          </cell>
          <cell r="M41">
            <v>6.1767616205277015E-2</v>
          </cell>
          <cell r="N41">
            <v>0.87802794175240384</v>
          </cell>
          <cell r="O41">
            <v>32</v>
          </cell>
        </row>
        <row r="42">
          <cell r="D42">
            <v>37196</v>
          </cell>
          <cell r="E42">
            <v>2.556</v>
          </cell>
          <cell r="F42">
            <v>0.12</v>
          </cell>
          <cell r="G42">
            <v>1.2500000000000001E-2</v>
          </cell>
          <cell r="H42">
            <v>0.8</v>
          </cell>
          <cell r="I42">
            <v>0.9</v>
          </cell>
          <cell r="J42">
            <v>0.20499999999999999</v>
          </cell>
          <cell r="K42">
            <v>-5.0000000000000001E-3</v>
          </cell>
          <cell r="L42">
            <v>0.18650000000000003</v>
          </cell>
          <cell r="M42">
            <v>6.1949973951047996E-2</v>
          </cell>
          <cell r="N42">
            <v>0.87316284405900813</v>
          </cell>
          <cell r="O42">
            <v>33</v>
          </cell>
        </row>
        <row r="43">
          <cell r="D43">
            <v>37226</v>
          </cell>
          <cell r="E43">
            <v>2.6930000000000001</v>
          </cell>
          <cell r="F43">
            <v>0.16</v>
          </cell>
          <cell r="G43">
            <v>1.2500000000000001E-2</v>
          </cell>
          <cell r="H43">
            <v>1.1000000000000001</v>
          </cell>
          <cell r="I43">
            <v>1.1499999999999999</v>
          </cell>
          <cell r="J43">
            <v>0.245</v>
          </cell>
          <cell r="K43">
            <v>-5.0000000000000001E-3</v>
          </cell>
          <cell r="L43">
            <v>0.1895</v>
          </cell>
          <cell r="M43">
            <v>6.2126449199399011E-2</v>
          </cell>
          <cell r="N43">
            <v>0.86845555480392012</v>
          </cell>
          <cell r="O43">
            <v>34</v>
          </cell>
        </row>
        <row r="44">
          <cell r="D44">
            <v>37257</v>
          </cell>
          <cell r="E44">
            <v>2.738</v>
          </cell>
          <cell r="F44">
            <v>0.17249999999999999</v>
          </cell>
          <cell r="G44">
            <v>1.2500000000000001E-2</v>
          </cell>
          <cell r="H44">
            <v>1.1000000000000001</v>
          </cell>
          <cell r="I44">
            <v>1.1499999999999999</v>
          </cell>
          <cell r="J44">
            <v>0.25750000000000001</v>
          </cell>
          <cell r="K44">
            <v>-5.0000000000000001E-3</v>
          </cell>
          <cell r="L44">
            <v>0.19450000000000001</v>
          </cell>
          <cell r="M44">
            <v>6.2307101127438001E-2</v>
          </cell>
          <cell r="N44">
            <v>0.86359595093288588</v>
          </cell>
          <cell r="O44">
            <v>35</v>
          </cell>
        </row>
        <row r="45">
          <cell r="D45">
            <v>37288</v>
          </cell>
          <cell r="E45">
            <v>2.6460000000000004</v>
          </cell>
          <cell r="F45">
            <v>0.15</v>
          </cell>
          <cell r="G45">
            <v>1.2500000000000001E-2</v>
          </cell>
          <cell r="H45">
            <v>1.1000000000000001</v>
          </cell>
          <cell r="I45">
            <v>1.1499999999999999</v>
          </cell>
          <cell r="J45">
            <v>0.23499999999999999</v>
          </cell>
          <cell r="K45">
            <v>-5.0000000000000001E-3</v>
          </cell>
          <cell r="L45">
            <v>0.192</v>
          </cell>
          <cell r="M45">
            <v>6.248539113462101E-2</v>
          </cell>
          <cell r="N45">
            <v>0.85874290124632802</v>
          </cell>
          <cell r="O45">
            <v>36</v>
          </cell>
        </row>
        <row r="46">
          <cell r="D46">
            <v>37316</v>
          </cell>
          <cell r="E46">
            <v>2.5409999999999999</v>
          </cell>
          <cell r="F46">
            <v>0.14749999999999999</v>
          </cell>
          <cell r="G46">
            <v>1.2500000000000001E-2</v>
          </cell>
          <cell r="H46">
            <v>0.75</v>
          </cell>
          <cell r="I46">
            <v>0.85</v>
          </cell>
          <cell r="J46">
            <v>0.23250000000000001</v>
          </cell>
          <cell r="K46">
            <v>-5.0000000000000001E-3</v>
          </cell>
          <cell r="L46">
            <v>0.182</v>
          </cell>
          <cell r="M46">
            <v>6.2646427279208008E-2</v>
          </cell>
          <cell r="N46">
            <v>0.85436142261296866</v>
          </cell>
          <cell r="O46">
            <v>37</v>
          </cell>
        </row>
        <row r="47">
          <cell r="D47">
            <v>37347</v>
          </cell>
          <cell r="E47">
            <v>2.4370000000000003</v>
          </cell>
          <cell r="F47">
            <v>2.75E-2</v>
          </cell>
          <cell r="G47">
            <v>0</v>
          </cell>
          <cell r="H47">
            <v>0.45</v>
          </cell>
          <cell r="I47">
            <v>0.45</v>
          </cell>
          <cell r="J47">
            <v>0.1125</v>
          </cell>
          <cell r="K47">
            <v>-7.4999999999999997E-3</v>
          </cell>
          <cell r="L47">
            <v>0.16949999999999998</v>
          </cell>
          <cell r="M47">
            <v>6.2809456424355009E-2</v>
          </cell>
          <cell r="N47">
            <v>0.84954602008859581</v>
          </cell>
          <cell r="O47">
            <v>38</v>
          </cell>
        </row>
        <row r="48">
          <cell r="D48">
            <v>37377</v>
          </cell>
          <cell r="E48">
            <v>2.411</v>
          </cell>
          <cell r="F48">
            <v>1.7500000000000002E-2</v>
          </cell>
          <cell r="G48">
            <v>0</v>
          </cell>
          <cell r="H48">
            <v>0.5</v>
          </cell>
          <cell r="I48">
            <v>0.45</v>
          </cell>
          <cell r="J48">
            <v>0.10249999999999999</v>
          </cell>
          <cell r="K48">
            <v>-7.4999999999999997E-3</v>
          </cell>
          <cell r="L48">
            <v>0.16750000000000001</v>
          </cell>
          <cell r="M48">
            <v>6.2944441873934998E-2</v>
          </cell>
          <cell r="N48">
            <v>0.84494097901611598</v>
          </cell>
          <cell r="O48">
            <v>39</v>
          </cell>
        </row>
        <row r="49">
          <cell r="D49">
            <v>37408</v>
          </cell>
          <cell r="E49">
            <v>2.4140000000000001</v>
          </cell>
          <cell r="F49">
            <v>1.2500000000000001E-2</v>
          </cell>
          <cell r="G49">
            <v>0</v>
          </cell>
          <cell r="H49">
            <v>0.5</v>
          </cell>
          <cell r="I49">
            <v>0.45</v>
          </cell>
          <cell r="J49">
            <v>9.7500000000000003E-2</v>
          </cell>
          <cell r="K49">
            <v>-7.4999999999999997E-3</v>
          </cell>
          <cell r="L49">
            <v>0.16649999999999998</v>
          </cell>
          <cell r="M49">
            <v>6.308392684485202E-2</v>
          </cell>
          <cell r="N49">
            <v>0.8401897041255042</v>
          </cell>
          <cell r="O49">
            <v>40</v>
          </cell>
        </row>
        <row r="50">
          <cell r="D50">
            <v>37438</v>
          </cell>
          <cell r="E50">
            <v>2.4152</v>
          </cell>
          <cell r="F50">
            <v>2.5000000000000001E-3</v>
          </cell>
          <cell r="G50">
            <v>0</v>
          </cell>
          <cell r="H50">
            <v>0.55000000000000004</v>
          </cell>
          <cell r="I50">
            <v>0.5</v>
          </cell>
          <cell r="J50">
            <v>8.7499999999999994E-2</v>
          </cell>
          <cell r="K50">
            <v>-7.4999999999999997E-3</v>
          </cell>
          <cell r="L50">
            <v>0.16550000000000001</v>
          </cell>
          <cell r="M50">
            <v>6.3214809947765002E-2</v>
          </cell>
          <cell r="N50">
            <v>0.83560848374421159</v>
          </cell>
          <cell r="O50">
            <v>41</v>
          </cell>
        </row>
        <row r="51">
          <cell r="D51">
            <v>37469</v>
          </cell>
          <cell r="E51">
            <v>2.4120000000000004</v>
          </cell>
          <cell r="F51">
            <v>4.3368086899400008E-19</v>
          </cell>
          <cell r="G51">
            <v>0</v>
          </cell>
          <cell r="H51">
            <v>0.6</v>
          </cell>
          <cell r="I51">
            <v>0.55000000000000004</v>
          </cell>
          <cell r="J51">
            <v>8.5000000000000006E-2</v>
          </cell>
          <cell r="K51">
            <v>-7.4999999999999997E-3</v>
          </cell>
          <cell r="L51">
            <v>0.16450000000000001</v>
          </cell>
          <cell r="M51">
            <v>6.3343280898000009E-2</v>
          </cell>
          <cell r="N51">
            <v>0.83089883319780922</v>
          </cell>
          <cell r="O51">
            <v>42</v>
          </cell>
        </row>
        <row r="52">
          <cell r="D52">
            <v>37500</v>
          </cell>
          <cell r="E52">
            <v>2.423</v>
          </cell>
          <cell r="F52">
            <v>-2.5000000000000001E-3</v>
          </cell>
          <cell r="G52">
            <v>0</v>
          </cell>
          <cell r="H52">
            <v>0.6</v>
          </cell>
          <cell r="I52">
            <v>0.55000000000000004</v>
          </cell>
          <cell r="J52">
            <v>8.2500000000000004E-2</v>
          </cell>
          <cell r="K52">
            <v>-7.4999999999999997E-3</v>
          </cell>
          <cell r="L52">
            <v>0.16350000000000001</v>
          </cell>
          <cell r="M52">
            <v>6.3471751853706029E-2</v>
          </cell>
          <cell r="N52">
            <v>0.82619828176156795</v>
          </cell>
          <cell r="O52">
            <v>43</v>
          </cell>
        </row>
        <row r="53">
          <cell r="D53">
            <v>37530</v>
          </cell>
          <cell r="E53">
            <v>2.4550000000000001</v>
          </cell>
          <cell r="F53">
            <v>1.2500000000000001E-2</v>
          </cell>
          <cell r="G53">
            <v>0</v>
          </cell>
          <cell r="H53">
            <v>0.65</v>
          </cell>
          <cell r="I53">
            <v>0.6</v>
          </cell>
          <cell r="J53">
            <v>9.7500000000000003E-2</v>
          </cell>
          <cell r="K53">
            <v>-7.4999999999999997E-3</v>
          </cell>
          <cell r="L53">
            <v>0.16250000000000001</v>
          </cell>
          <cell r="M53">
            <v>6.359165657470002E-2</v>
          </cell>
          <cell r="N53">
            <v>0.82166921285705918</v>
          </cell>
          <cell r="O53">
            <v>44</v>
          </cell>
        </row>
        <row r="54">
          <cell r="D54">
            <v>37561</v>
          </cell>
          <cell r="E54">
            <v>2.5860000000000003</v>
          </cell>
          <cell r="F54">
            <v>0.11</v>
          </cell>
          <cell r="G54">
            <v>1.2500000000000001E-2</v>
          </cell>
          <cell r="H54">
            <v>0.8</v>
          </cell>
          <cell r="I54">
            <v>0.9</v>
          </cell>
          <cell r="J54">
            <v>0.19500000000000001</v>
          </cell>
          <cell r="K54">
            <v>-5.0000000000000001E-3</v>
          </cell>
          <cell r="L54">
            <v>0.16250000000000001</v>
          </cell>
          <cell r="M54">
            <v>6.3709195391223009E-2</v>
          </cell>
          <cell r="N54">
            <v>0.81701512362792617</v>
          </cell>
          <cell r="O54">
            <v>45</v>
          </cell>
        </row>
        <row r="55">
          <cell r="D55">
            <v>37591</v>
          </cell>
          <cell r="E55">
            <v>2.7230000000000003</v>
          </cell>
          <cell r="F55">
            <v>0.15</v>
          </cell>
          <cell r="G55">
            <v>1.2500000000000001E-2</v>
          </cell>
          <cell r="H55">
            <v>1.1000000000000001</v>
          </cell>
          <cell r="I55">
            <v>1.1499999999999999</v>
          </cell>
          <cell r="J55">
            <v>0.23499999999999999</v>
          </cell>
          <cell r="K55">
            <v>-5.0000000000000001E-3</v>
          </cell>
          <cell r="L55">
            <v>0.16350000000000001</v>
          </cell>
          <cell r="M55">
            <v>6.3822942637382016E-2</v>
          </cell>
          <cell r="N55">
            <v>0.81252132484281914</v>
          </cell>
          <cell r="O55">
            <v>46</v>
          </cell>
        </row>
        <row r="56">
          <cell r="D56">
            <v>37622</v>
          </cell>
          <cell r="E56">
            <v>2.7755000000000001</v>
          </cell>
          <cell r="F56">
            <v>0.16250000000000001</v>
          </cell>
          <cell r="G56">
            <v>1.2500000000000001E-2</v>
          </cell>
          <cell r="H56">
            <v>1.1000000000000001</v>
          </cell>
          <cell r="I56">
            <v>1.1499999999999999</v>
          </cell>
          <cell r="J56">
            <v>0.2475</v>
          </cell>
          <cell r="K56">
            <v>-5.0000000000000001E-3</v>
          </cell>
          <cell r="L56">
            <v>0.16350000000000001</v>
          </cell>
          <cell r="M56">
            <v>6.3943111440507003E-2</v>
          </cell>
          <cell r="N56">
            <v>0.8078813677557275</v>
          </cell>
          <cell r="O56">
            <v>47</v>
          </cell>
        </row>
        <row r="57">
          <cell r="D57">
            <v>37653</v>
          </cell>
          <cell r="E57">
            <v>2.6835000000000004</v>
          </cell>
          <cell r="F57">
            <v>0.14000000000000001</v>
          </cell>
          <cell r="G57">
            <v>1.2500000000000001E-2</v>
          </cell>
          <cell r="H57">
            <v>1.1000000000000001</v>
          </cell>
          <cell r="I57">
            <v>1.1499999999999999</v>
          </cell>
          <cell r="J57">
            <v>0.22500000000000001</v>
          </cell>
          <cell r="K57">
            <v>-5.0000000000000001E-3</v>
          </cell>
          <cell r="L57">
            <v>0.16149999999999998</v>
          </cell>
          <cell r="M57">
            <v>6.4066473792759995E-2</v>
          </cell>
          <cell r="N57">
            <v>0.80324341265829402</v>
          </cell>
          <cell r="O57">
            <v>48</v>
          </cell>
        </row>
        <row r="58">
          <cell r="D58">
            <v>37681</v>
          </cell>
          <cell r="E58">
            <v>2.5785000000000005</v>
          </cell>
          <cell r="F58">
            <v>0.13750000000000001</v>
          </cell>
          <cell r="G58">
            <v>1.2500000000000001E-2</v>
          </cell>
          <cell r="H58">
            <v>0.75</v>
          </cell>
          <cell r="I58">
            <v>0.85</v>
          </cell>
          <cell r="J58">
            <v>0.2225</v>
          </cell>
          <cell r="K58">
            <v>-5.0000000000000001E-3</v>
          </cell>
          <cell r="L58">
            <v>0.157</v>
          </cell>
          <cell r="M58">
            <v>6.4177897857198005E-2</v>
          </cell>
          <cell r="N58">
            <v>0.79906326295311914</v>
          </cell>
          <cell r="O58">
            <v>49</v>
          </cell>
        </row>
        <row r="59">
          <cell r="D59">
            <v>37712</v>
          </cell>
          <cell r="E59">
            <v>2.4745000000000004</v>
          </cell>
          <cell r="F59">
            <v>2.2499999999999999E-2</v>
          </cell>
          <cell r="G59">
            <v>0</v>
          </cell>
          <cell r="H59">
            <v>0.45</v>
          </cell>
          <cell r="I59">
            <v>0.45</v>
          </cell>
          <cell r="J59">
            <v>0.1075</v>
          </cell>
          <cell r="K59">
            <v>-7.4999999999999997E-3</v>
          </cell>
          <cell r="L59">
            <v>0.155</v>
          </cell>
          <cell r="M59">
            <v>6.4293095597506997E-2</v>
          </cell>
          <cell r="N59">
            <v>0.79446813974345976</v>
          </cell>
          <cell r="O59">
            <v>50</v>
          </cell>
        </row>
        <row r="60">
          <cell r="D60">
            <v>37742</v>
          </cell>
          <cell r="E60">
            <v>2.4485000000000001</v>
          </cell>
          <cell r="F60">
            <v>1.2500000000000001E-2</v>
          </cell>
          <cell r="G60">
            <v>0</v>
          </cell>
          <cell r="H60">
            <v>0.5</v>
          </cell>
          <cell r="I60">
            <v>0.45</v>
          </cell>
          <cell r="J60">
            <v>9.7500000000000003E-2</v>
          </cell>
          <cell r="K60">
            <v>-7.4999999999999997E-3</v>
          </cell>
          <cell r="L60">
            <v>0.15450000000000003</v>
          </cell>
          <cell r="M60">
            <v>6.4393537769445008E-2</v>
          </cell>
          <cell r="N60">
            <v>0.79006358961663736</v>
          </cell>
          <cell r="O60">
            <v>51</v>
          </cell>
        </row>
        <row r="61">
          <cell r="D61">
            <v>37773</v>
          </cell>
          <cell r="E61">
            <v>2.4515000000000002</v>
          </cell>
          <cell r="F61">
            <v>7.4999999999999997E-3</v>
          </cell>
          <cell r="G61">
            <v>0</v>
          </cell>
          <cell r="H61">
            <v>0.5</v>
          </cell>
          <cell r="I61">
            <v>0.45</v>
          </cell>
          <cell r="J61">
            <v>9.2499999999999999E-2</v>
          </cell>
          <cell r="K61">
            <v>-7.4999999999999997E-3</v>
          </cell>
          <cell r="L61">
            <v>0.154</v>
          </cell>
          <cell r="M61">
            <v>6.4497328017295005E-2</v>
          </cell>
          <cell r="N61">
            <v>0.7855246959499147</v>
          </cell>
          <cell r="O61">
            <v>52</v>
          </cell>
        </row>
        <row r="62">
          <cell r="D62">
            <v>37803</v>
          </cell>
          <cell r="E62">
            <v>2.4527999999999999</v>
          </cell>
          <cell r="F62">
            <v>-2.5000000000000001E-3</v>
          </cell>
          <cell r="G62">
            <v>0</v>
          </cell>
          <cell r="H62">
            <v>0.55000000000000004</v>
          </cell>
          <cell r="I62">
            <v>0.5</v>
          </cell>
          <cell r="J62">
            <v>8.2500000000000004E-2</v>
          </cell>
          <cell r="K62">
            <v>-7.4999999999999997E-3</v>
          </cell>
          <cell r="L62">
            <v>0.1535</v>
          </cell>
          <cell r="M62">
            <v>6.4596122235005021E-2</v>
          </cell>
          <cell r="N62">
            <v>0.78114921214412159</v>
          </cell>
          <cell r="O62">
            <v>53</v>
          </cell>
        </row>
        <row r="63">
          <cell r="D63">
            <v>37834</v>
          </cell>
          <cell r="E63">
            <v>2.4495</v>
          </cell>
          <cell r="F63">
            <v>-5.0000000000000001E-3</v>
          </cell>
          <cell r="G63">
            <v>0</v>
          </cell>
          <cell r="H63">
            <v>0.6</v>
          </cell>
          <cell r="I63">
            <v>0.55000000000000004</v>
          </cell>
          <cell r="J63">
            <v>0.08</v>
          </cell>
          <cell r="K63">
            <v>-7.4999999999999997E-3</v>
          </cell>
          <cell r="L63">
            <v>0.153</v>
          </cell>
          <cell r="M63">
            <v>6.4695836056657005E-2</v>
          </cell>
          <cell r="N63">
            <v>0.77664775762286253</v>
          </cell>
          <cell r="O63">
            <v>54</v>
          </cell>
        </row>
        <row r="64">
          <cell r="D64">
            <v>37865</v>
          </cell>
          <cell r="E64">
            <v>2.4605000000000001</v>
          </cell>
          <cell r="F64">
            <v>-7.4999999999999997E-3</v>
          </cell>
          <cell r="G64">
            <v>0</v>
          </cell>
          <cell r="H64">
            <v>0.6</v>
          </cell>
          <cell r="I64">
            <v>0.55000000000000004</v>
          </cell>
          <cell r="J64">
            <v>7.7499999999999999E-2</v>
          </cell>
          <cell r="K64">
            <v>-7.4999999999999997E-3</v>
          </cell>
          <cell r="L64">
            <v>0.1525</v>
          </cell>
          <cell r="M64">
            <v>6.4795549881606018E-2</v>
          </cell>
          <cell r="N64">
            <v>0.77215959727282868</v>
          </cell>
          <cell r="O64">
            <v>55</v>
          </cell>
        </row>
        <row r="65">
          <cell r="D65">
            <v>37895</v>
          </cell>
          <cell r="E65">
            <v>2.4925000000000002</v>
          </cell>
          <cell r="F65">
            <v>7.4999999999999997E-3</v>
          </cell>
          <cell r="G65">
            <v>0</v>
          </cell>
          <cell r="H65">
            <v>0.65</v>
          </cell>
          <cell r="I65">
            <v>0.6</v>
          </cell>
          <cell r="J65">
            <v>9.2499999999999999E-2</v>
          </cell>
          <cell r="K65">
            <v>-7.4999999999999997E-3</v>
          </cell>
          <cell r="L65">
            <v>0.1525</v>
          </cell>
          <cell r="M65">
            <v>6.4875034808770021E-2</v>
          </cell>
          <cell r="N65">
            <v>0.76788128283906798</v>
          </cell>
          <cell r="O65">
            <v>56</v>
          </cell>
        </row>
        <row r="66">
          <cell r="D66">
            <v>37926</v>
          </cell>
          <cell r="E66">
            <v>2.6235000000000004</v>
          </cell>
          <cell r="F66">
            <v>0.1</v>
          </cell>
          <cell r="G66">
            <v>1.2500000000000001E-2</v>
          </cell>
          <cell r="H66">
            <v>0.8</v>
          </cell>
          <cell r="I66">
            <v>0.9</v>
          </cell>
          <cell r="J66">
            <v>0.17499999999999999</v>
          </cell>
          <cell r="K66">
            <v>-5.0000000000000001E-3</v>
          </cell>
          <cell r="L66">
            <v>0.1525</v>
          </cell>
          <cell r="M66">
            <v>6.4934180784560008E-2</v>
          </cell>
          <cell r="N66">
            <v>0.76354689539165599</v>
          </cell>
          <cell r="O66">
            <v>57</v>
          </cell>
        </row>
        <row r="67">
          <cell r="D67">
            <v>37956</v>
          </cell>
          <cell r="E67">
            <v>2.7605</v>
          </cell>
          <cell r="F67">
            <v>0.14000000000000001</v>
          </cell>
          <cell r="G67">
            <v>1.2500000000000001E-2</v>
          </cell>
          <cell r="H67">
            <v>1.1000000000000001</v>
          </cell>
          <cell r="I67">
            <v>1.1499999999999999</v>
          </cell>
          <cell r="J67">
            <v>0.215</v>
          </cell>
          <cell r="K67">
            <v>-5.0000000000000001E-3</v>
          </cell>
          <cell r="L67">
            <v>0.1535</v>
          </cell>
          <cell r="M67">
            <v>6.4991418826752009E-2</v>
          </cell>
          <cell r="N67">
            <v>0.75936859734872098</v>
          </cell>
          <cell r="O67">
            <v>58</v>
          </cell>
        </row>
        <row r="68">
          <cell r="D68">
            <v>37987</v>
          </cell>
          <cell r="E68">
            <v>2.8205</v>
          </cell>
          <cell r="F68">
            <v>0.17249999999999999</v>
          </cell>
          <cell r="G68">
            <v>1.2500000000000001E-2</v>
          </cell>
          <cell r="H68">
            <v>1.1000000000000001</v>
          </cell>
          <cell r="I68">
            <v>1.1499999999999999</v>
          </cell>
          <cell r="J68">
            <v>0.2475</v>
          </cell>
          <cell r="K68">
            <v>-5.0000000000000001E-3</v>
          </cell>
          <cell r="L68">
            <v>0.16</v>
          </cell>
          <cell r="M68">
            <v>6.5050564804825017E-2</v>
          </cell>
          <cell r="N68">
            <v>0.75506782321139221</v>
          </cell>
          <cell r="O68">
            <v>59</v>
          </cell>
        </row>
        <row r="69">
          <cell r="D69">
            <v>38018</v>
          </cell>
          <cell r="E69">
            <v>2.7285000000000004</v>
          </cell>
          <cell r="F69">
            <v>0.15</v>
          </cell>
          <cell r="G69">
            <v>1.2500000000000001E-2</v>
          </cell>
          <cell r="H69">
            <v>1.1000000000000001</v>
          </cell>
          <cell r="I69">
            <v>1.1499999999999999</v>
          </cell>
          <cell r="J69">
            <v>0.22500000000000001</v>
          </cell>
          <cell r="K69">
            <v>-5.0000000000000001E-3</v>
          </cell>
          <cell r="L69">
            <v>0.16</v>
          </cell>
          <cell r="M69">
            <v>6.5109710784056016E-2</v>
          </cell>
          <cell r="N69">
            <v>0.75078411207945506</v>
          </cell>
          <cell r="O69">
            <v>60</v>
          </cell>
        </row>
        <row r="70">
          <cell r="D70">
            <v>38047</v>
          </cell>
          <cell r="E70">
            <v>2.6235000000000004</v>
          </cell>
          <cell r="F70">
            <v>0.14749999999999999</v>
          </cell>
          <cell r="G70">
            <v>1.2500000000000001E-2</v>
          </cell>
          <cell r="H70">
            <v>0.75</v>
          </cell>
          <cell r="I70">
            <v>0.85</v>
          </cell>
          <cell r="J70">
            <v>0.2225</v>
          </cell>
          <cell r="K70">
            <v>-5.0000000000000001E-3</v>
          </cell>
          <cell r="L70">
            <v>0.16</v>
          </cell>
          <cell r="M70">
            <v>6.5165040894709994E-2</v>
          </cell>
          <cell r="N70">
            <v>0.74679220472672914</v>
          </cell>
          <cell r="O70">
            <v>61</v>
          </cell>
        </row>
        <row r="71">
          <cell r="D71">
            <v>38078</v>
          </cell>
          <cell r="E71">
            <v>2.5195000000000003</v>
          </cell>
          <cell r="F71">
            <v>3.2500000000000001E-2</v>
          </cell>
          <cell r="G71">
            <v>0</v>
          </cell>
          <cell r="H71">
            <v>0.45</v>
          </cell>
          <cell r="I71">
            <v>0.45</v>
          </cell>
          <cell r="J71">
            <v>0.1075</v>
          </cell>
          <cell r="K71">
            <v>-7.4999999999999997E-3</v>
          </cell>
          <cell r="L71">
            <v>0.16</v>
          </cell>
          <cell r="M71">
            <v>6.5224186876186002E-2</v>
          </cell>
          <cell r="N71">
            <v>0.74254148008508825</v>
          </cell>
          <cell r="O71">
            <v>62</v>
          </cell>
        </row>
        <row r="72">
          <cell r="D72">
            <v>38108</v>
          </cell>
          <cell r="E72">
            <v>2.4935</v>
          </cell>
          <cell r="F72">
            <v>2.2499999999999999E-2</v>
          </cell>
          <cell r="G72">
            <v>0</v>
          </cell>
          <cell r="H72">
            <v>0.5</v>
          </cell>
          <cell r="I72">
            <v>0.45</v>
          </cell>
          <cell r="J72">
            <v>9.7500000000000003E-2</v>
          </cell>
          <cell r="K72">
            <v>-7.4999999999999997E-3</v>
          </cell>
          <cell r="L72">
            <v>0.16</v>
          </cell>
          <cell r="M72">
            <v>6.5281424923879006E-2</v>
          </cell>
          <cell r="N72">
            <v>0.73844408316374388</v>
          </cell>
          <cell r="O72">
            <v>63</v>
          </cell>
        </row>
        <row r="73">
          <cell r="D73">
            <v>38139</v>
          </cell>
          <cell r="E73">
            <v>2.4965000000000002</v>
          </cell>
          <cell r="F73">
            <v>1.7500000000000002E-2</v>
          </cell>
          <cell r="G73">
            <v>0</v>
          </cell>
          <cell r="H73">
            <v>0.5</v>
          </cell>
          <cell r="I73">
            <v>0.45</v>
          </cell>
          <cell r="J73">
            <v>9.2499999999999999E-2</v>
          </cell>
          <cell r="K73">
            <v>-7.4999999999999997E-3</v>
          </cell>
          <cell r="L73">
            <v>0.16</v>
          </cell>
          <cell r="M73">
            <v>6.5340570907636022E-2</v>
          </cell>
          <cell r="N73">
            <v>0.73422683984643911</v>
          </cell>
          <cell r="O73">
            <v>64</v>
          </cell>
        </row>
        <row r="74">
          <cell r="D74">
            <v>38169</v>
          </cell>
          <cell r="E74">
            <v>2.4977</v>
          </cell>
          <cell r="F74">
            <v>7.4999999999999997E-3</v>
          </cell>
          <cell r="G74">
            <v>0</v>
          </cell>
          <cell r="H74">
            <v>0.55000000000000004</v>
          </cell>
          <cell r="I74">
            <v>0.5</v>
          </cell>
          <cell r="J74">
            <v>8.2500000000000004E-2</v>
          </cell>
          <cell r="K74">
            <v>-7.4999999999999997E-3</v>
          </cell>
          <cell r="L74">
            <v>0.16</v>
          </cell>
          <cell r="M74">
            <v>6.539780895753701E-2</v>
          </cell>
          <cell r="N74">
            <v>0.73016181625736198</v>
          </cell>
          <cell r="O74">
            <v>65</v>
          </cell>
        </row>
        <row r="75">
          <cell r="D75">
            <v>38200</v>
          </cell>
          <cell r="E75">
            <v>2.4945000000000004</v>
          </cell>
          <cell r="F75">
            <v>5.0000000000000001E-3</v>
          </cell>
          <cell r="G75">
            <v>0</v>
          </cell>
          <cell r="H75">
            <v>0.6</v>
          </cell>
          <cell r="I75">
            <v>0.55000000000000004</v>
          </cell>
          <cell r="J75">
            <v>0.08</v>
          </cell>
          <cell r="K75">
            <v>-7.4999999999999997E-3</v>
          </cell>
          <cell r="L75">
            <v>0.16</v>
          </cell>
          <cell r="M75">
            <v>6.5457194426251017E-2</v>
          </cell>
          <cell r="N75">
            <v>0.7259771586874959</v>
          </cell>
          <cell r="O75">
            <v>66</v>
          </cell>
        </row>
        <row r="76">
          <cell r="D76">
            <v>38231</v>
          </cell>
          <cell r="E76">
            <v>2.5055000000000001</v>
          </cell>
          <cell r="F76">
            <v>2.5000000000000001E-3</v>
          </cell>
          <cell r="G76">
            <v>0</v>
          </cell>
          <cell r="H76">
            <v>0.6</v>
          </cell>
          <cell r="I76">
            <v>0.55000000000000004</v>
          </cell>
          <cell r="J76">
            <v>7.7499999999999999E-2</v>
          </cell>
          <cell r="K76">
            <v>-7.4999999999999997E-3</v>
          </cell>
          <cell r="L76">
            <v>0.16</v>
          </cell>
          <cell r="M76">
            <v>6.552005239498801E-2</v>
          </cell>
          <cell r="N76">
            <v>0.72179717160200174</v>
          </cell>
          <cell r="O76">
            <v>67</v>
          </cell>
        </row>
        <row r="77">
          <cell r="D77">
            <v>38261</v>
          </cell>
          <cell r="E77">
            <v>2.5375000000000001</v>
          </cell>
          <cell r="F77">
            <v>1.7500000000000002E-2</v>
          </cell>
          <cell r="G77">
            <v>0</v>
          </cell>
          <cell r="H77">
            <v>0.65</v>
          </cell>
          <cell r="I77">
            <v>0.6</v>
          </cell>
          <cell r="J77">
            <v>9.2499999999999999E-2</v>
          </cell>
          <cell r="K77">
            <v>-7.4999999999999997E-3</v>
          </cell>
          <cell r="L77">
            <v>0.16</v>
          </cell>
          <cell r="M77">
            <v>6.5580882688562006E-2</v>
          </cell>
          <cell r="N77">
            <v>0.71776788519965706</v>
          </cell>
          <cell r="O77">
            <v>68</v>
          </cell>
        </row>
        <row r="78">
          <cell r="D78">
            <v>38292</v>
          </cell>
          <cell r="E78">
            <v>2.6685000000000003</v>
          </cell>
          <cell r="F78">
            <v>0.11</v>
          </cell>
          <cell r="G78">
            <v>1.2500000000000001E-2</v>
          </cell>
          <cell r="H78">
            <v>0.8</v>
          </cell>
          <cell r="I78">
            <v>0.9</v>
          </cell>
          <cell r="J78">
            <v>0.185</v>
          </cell>
          <cell r="K78">
            <v>-5.0000000000000001E-3</v>
          </cell>
          <cell r="L78">
            <v>0.16</v>
          </cell>
          <cell r="M78">
            <v>6.5643740659876021E-2</v>
          </cell>
          <cell r="N78">
            <v>0.71362067060568279</v>
          </cell>
          <cell r="O78">
            <v>69</v>
          </cell>
        </row>
        <row r="79">
          <cell r="D79">
            <v>38322</v>
          </cell>
          <cell r="E79">
            <v>2.8055000000000003</v>
          </cell>
          <cell r="F79">
            <v>0.15</v>
          </cell>
          <cell r="G79">
            <v>1.2500000000000001E-2</v>
          </cell>
          <cell r="H79">
            <v>1.1000000000000001</v>
          </cell>
          <cell r="I79">
            <v>1.1499999999999999</v>
          </cell>
          <cell r="J79">
            <v>0.22500000000000001</v>
          </cell>
          <cell r="K79">
            <v>-5.0000000000000001E-3</v>
          </cell>
          <cell r="L79">
            <v>0.16</v>
          </cell>
          <cell r="M79">
            <v>6.5704570955942995E-2</v>
          </cell>
          <cell r="N79">
            <v>0.70962308026561993</v>
          </cell>
          <cell r="O79">
            <v>70</v>
          </cell>
        </row>
        <row r="80">
          <cell r="D80">
            <v>38353</v>
          </cell>
          <cell r="E80">
            <v>2.8755000000000002</v>
          </cell>
          <cell r="F80">
            <v>0.1875</v>
          </cell>
          <cell r="G80">
            <v>1.2500000000000001E-2</v>
          </cell>
          <cell r="H80">
            <v>1.1000000000000001</v>
          </cell>
          <cell r="I80">
            <v>1.1499999999999999</v>
          </cell>
          <cell r="J80">
            <v>0.26250000000000001</v>
          </cell>
          <cell r="K80">
            <v>-5.0000000000000001E-3</v>
          </cell>
          <cell r="L80">
            <v>0.1525</v>
          </cell>
          <cell r="M80">
            <v>6.5767428929834018E-2</v>
          </cell>
          <cell r="N80">
            <v>0.70550859749373918</v>
          </cell>
          <cell r="O80">
            <v>71</v>
          </cell>
        </row>
        <row r="81">
          <cell r="D81">
            <v>38384</v>
          </cell>
          <cell r="E81">
            <v>2.7835000000000001</v>
          </cell>
          <cell r="F81">
            <v>0.16500000000000001</v>
          </cell>
          <cell r="G81">
            <v>1.2500000000000001E-2</v>
          </cell>
          <cell r="H81">
            <v>1.1000000000000001</v>
          </cell>
          <cell r="I81">
            <v>1.1499999999999999</v>
          </cell>
          <cell r="J81">
            <v>0.24</v>
          </cell>
          <cell r="K81">
            <v>-5.0000000000000001E-3</v>
          </cell>
          <cell r="L81">
            <v>0.1525</v>
          </cell>
          <cell r="M81">
            <v>6.5830286905033009E-2</v>
          </cell>
          <cell r="N81">
            <v>0.70141073222253658</v>
          </cell>
          <cell r="O81">
            <v>72</v>
          </cell>
        </row>
        <row r="82">
          <cell r="D82">
            <v>38412</v>
          </cell>
          <cell r="E82">
            <v>2.6785000000000001</v>
          </cell>
          <cell r="F82">
            <v>0.16250000000000001</v>
          </cell>
          <cell r="G82">
            <v>1.2500000000000001E-2</v>
          </cell>
          <cell r="H82">
            <v>0.75</v>
          </cell>
          <cell r="I82">
            <v>0.85</v>
          </cell>
          <cell r="J82">
            <v>0.23749999999999999</v>
          </cell>
          <cell r="K82">
            <v>-5.0000000000000001E-3</v>
          </cell>
          <cell r="L82">
            <v>0.1525</v>
          </cell>
          <cell r="M82">
            <v>6.5887061851499007E-2</v>
          </cell>
          <cell r="N82">
            <v>0.69772370780127491</v>
          </cell>
          <cell r="O82">
            <v>73</v>
          </cell>
        </row>
        <row r="83">
          <cell r="D83">
            <v>38443</v>
          </cell>
          <cell r="E83">
            <v>2.5745</v>
          </cell>
          <cell r="F83">
            <v>4.7500000000000001E-2</v>
          </cell>
          <cell r="G83">
            <v>0</v>
          </cell>
          <cell r="H83">
            <v>0.45</v>
          </cell>
          <cell r="I83">
            <v>0.45</v>
          </cell>
          <cell r="J83">
            <v>0.1225</v>
          </cell>
          <cell r="K83">
            <v>-7.4999999999999997E-3</v>
          </cell>
          <cell r="L83">
            <v>0.1525</v>
          </cell>
          <cell r="M83">
            <v>6.594991982918999E-2</v>
          </cell>
          <cell r="N83">
            <v>0.69365743625527265</v>
          </cell>
          <cell r="O83">
            <v>74</v>
          </cell>
        </row>
        <row r="84">
          <cell r="D84">
            <v>38473</v>
          </cell>
          <cell r="E84">
            <v>2.5485000000000002</v>
          </cell>
          <cell r="F84">
            <v>3.7499999999999999E-2</v>
          </cell>
          <cell r="G84">
            <v>0</v>
          </cell>
          <cell r="H84">
            <v>0.5</v>
          </cell>
          <cell r="I84">
            <v>0.45</v>
          </cell>
          <cell r="J84">
            <v>0.1125</v>
          </cell>
          <cell r="K84">
            <v>-7.4999999999999997E-3</v>
          </cell>
          <cell r="L84">
            <v>0.1525</v>
          </cell>
          <cell r="M84">
            <v>6.6010750131428E-2</v>
          </cell>
          <cell r="N84">
            <v>0.68973812301193738</v>
          </cell>
          <cell r="O84">
            <v>75</v>
          </cell>
        </row>
        <row r="85">
          <cell r="D85">
            <v>38504</v>
          </cell>
          <cell r="E85">
            <v>2.5515000000000003</v>
          </cell>
          <cell r="F85">
            <v>3.2500000000000001E-2</v>
          </cell>
          <cell r="G85">
            <v>0</v>
          </cell>
          <cell r="H85">
            <v>0.5</v>
          </cell>
          <cell r="I85">
            <v>0.45</v>
          </cell>
          <cell r="J85">
            <v>0.1075</v>
          </cell>
          <cell r="K85">
            <v>-7.4999999999999997E-3</v>
          </cell>
          <cell r="L85">
            <v>0.1525</v>
          </cell>
          <cell r="M85">
            <v>6.607360811169502E-2</v>
          </cell>
          <cell r="N85">
            <v>0.685704467727141</v>
          </cell>
          <cell r="O85">
            <v>76</v>
          </cell>
        </row>
        <row r="86">
          <cell r="D86">
            <v>38534</v>
          </cell>
          <cell r="E86">
            <v>2.5528</v>
          </cell>
          <cell r="F86">
            <v>2.2499999999999999E-2</v>
          </cell>
          <cell r="G86">
            <v>0</v>
          </cell>
          <cell r="H86">
            <v>0.55000000000000004</v>
          </cell>
          <cell r="I86">
            <v>0.5</v>
          </cell>
          <cell r="J86">
            <v>9.7500000000000003E-2</v>
          </cell>
          <cell r="K86">
            <v>-7.4999999999999997E-3</v>
          </cell>
          <cell r="L86">
            <v>0.1525</v>
          </cell>
          <cell r="M86">
            <v>6.613443841642401E-2</v>
          </cell>
          <cell r="N86">
            <v>0.68181669357483854</v>
          </cell>
          <cell r="O86">
            <v>77</v>
          </cell>
        </row>
        <row r="87">
          <cell r="D87">
            <v>38565</v>
          </cell>
          <cell r="E87">
            <v>2.5495000000000001</v>
          </cell>
          <cell r="F87">
            <v>0.02</v>
          </cell>
          <cell r="G87">
            <v>0</v>
          </cell>
          <cell r="H87">
            <v>0.6</v>
          </cell>
          <cell r="I87">
            <v>0.55000000000000004</v>
          </cell>
          <cell r="J87">
            <v>9.5000000000000001E-2</v>
          </cell>
          <cell r="K87">
            <v>-7.4999999999999997E-3</v>
          </cell>
          <cell r="L87">
            <v>0.1525</v>
          </cell>
          <cell r="M87">
            <v>6.6197296399267011E-2</v>
          </cell>
          <cell r="N87">
            <v>0.67781560197665613</v>
          </cell>
          <cell r="O87">
            <v>78</v>
          </cell>
        </row>
        <row r="88">
          <cell r="D88">
            <v>38596</v>
          </cell>
          <cell r="E88">
            <v>2.5605000000000002</v>
          </cell>
          <cell r="F88">
            <v>1.7500000000000002E-2</v>
          </cell>
          <cell r="G88">
            <v>0</v>
          </cell>
          <cell r="H88">
            <v>0.6</v>
          </cell>
          <cell r="I88">
            <v>0.55000000000000004</v>
          </cell>
          <cell r="J88">
            <v>9.2499999999999999E-2</v>
          </cell>
          <cell r="K88">
            <v>-7.4999999999999997E-3</v>
          </cell>
          <cell r="L88">
            <v>0.1525</v>
          </cell>
          <cell r="M88">
            <v>6.626015438341902E-2</v>
          </cell>
          <cell r="N88">
            <v>0.67383103792374277</v>
          </cell>
          <cell r="O88">
            <v>79</v>
          </cell>
        </row>
        <row r="89">
          <cell r="D89">
            <v>38626</v>
          </cell>
          <cell r="E89">
            <v>2.5924999999999998</v>
          </cell>
          <cell r="F89">
            <v>3.2500000000000001E-2</v>
          </cell>
          <cell r="G89">
            <v>0</v>
          </cell>
          <cell r="H89">
            <v>0.65</v>
          </cell>
          <cell r="I89">
            <v>0.6</v>
          </cell>
          <cell r="J89">
            <v>0.1075</v>
          </cell>
          <cell r="K89">
            <v>-7.4999999999999997E-3</v>
          </cell>
          <cell r="L89">
            <v>0.1525</v>
          </cell>
          <cell r="M89">
            <v>6.6320984691908016E-2</v>
          </cell>
          <cell r="N89">
            <v>0.66999073061972425</v>
          </cell>
          <cell r="O89">
            <v>80</v>
          </cell>
        </row>
        <row r="90">
          <cell r="D90">
            <v>38657</v>
          </cell>
          <cell r="E90">
            <v>2.7235000000000005</v>
          </cell>
          <cell r="F90">
            <v>0.125</v>
          </cell>
          <cell r="G90">
            <v>1.2500000000000001E-2</v>
          </cell>
          <cell r="H90">
            <v>0.8</v>
          </cell>
          <cell r="I90">
            <v>0.9</v>
          </cell>
          <cell r="J90">
            <v>0.2</v>
          </cell>
          <cell r="K90">
            <v>-5.0000000000000001E-3</v>
          </cell>
          <cell r="L90">
            <v>0.1525</v>
          </cell>
          <cell r="M90">
            <v>6.6383842678634009E-2</v>
          </cell>
          <cell r="N90">
            <v>0.66603864469816743</v>
          </cell>
          <cell r="O90">
            <v>81</v>
          </cell>
        </row>
        <row r="91">
          <cell r="D91">
            <v>38687</v>
          </cell>
          <cell r="E91">
            <v>2.8605</v>
          </cell>
          <cell r="F91">
            <v>0.16500000000000001</v>
          </cell>
          <cell r="G91">
            <v>1.2500000000000001E-2</v>
          </cell>
          <cell r="H91">
            <v>1.1000000000000001</v>
          </cell>
          <cell r="I91">
            <v>1.1499999999999999</v>
          </cell>
          <cell r="J91">
            <v>0.24</v>
          </cell>
          <cell r="K91">
            <v>-5.0000000000000001E-3</v>
          </cell>
          <cell r="L91">
            <v>0.1525</v>
          </cell>
          <cell r="M91">
            <v>6.6444672989616024E-2</v>
          </cell>
          <cell r="N91">
            <v>0.66222973881213987</v>
          </cell>
          <cell r="O91">
            <v>82</v>
          </cell>
        </row>
        <row r="92">
          <cell r="D92">
            <v>38718</v>
          </cell>
          <cell r="E92">
            <v>2.9380000000000002</v>
          </cell>
          <cell r="F92">
            <v>0.20749999999999999</v>
          </cell>
          <cell r="G92">
            <v>1.2500000000000001E-2</v>
          </cell>
          <cell r="H92">
            <v>1.1000000000000001</v>
          </cell>
          <cell r="I92">
            <v>1.1499999999999999</v>
          </cell>
          <cell r="J92">
            <v>0.28249999999999997</v>
          </cell>
          <cell r="K92">
            <v>-5.0000000000000001E-3</v>
          </cell>
          <cell r="L92">
            <v>0.17</v>
          </cell>
          <cell r="M92">
            <v>6.6507530978918011E-2</v>
          </cell>
          <cell r="N92">
            <v>0.65831007021294075</v>
          </cell>
          <cell r="O92">
            <v>83</v>
          </cell>
        </row>
        <row r="93">
          <cell r="D93">
            <v>38749</v>
          </cell>
          <cell r="E93">
            <v>2.8460000000000001</v>
          </cell>
          <cell r="F93">
            <v>0.185</v>
          </cell>
          <cell r="G93">
            <v>1.2500000000000001E-2</v>
          </cell>
          <cell r="H93">
            <v>1.1000000000000001</v>
          </cell>
          <cell r="I93">
            <v>1.1499999999999999</v>
          </cell>
          <cell r="J93">
            <v>0.26</v>
          </cell>
          <cell r="K93">
            <v>-5.0000000000000001E-3</v>
          </cell>
          <cell r="L93">
            <v>0.17</v>
          </cell>
          <cell r="M93">
            <v>6.6570388969529021E-2</v>
          </cell>
          <cell r="N93">
            <v>0.6544068516599626</v>
          </cell>
          <cell r="O93">
            <v>84</v>
          </cell>
        </row>
        <row r="94">
          <cell r="D94">
            <v>38777</v>
          </cell>
          <cell r="E94">
            <v>2.7410000000000001</v>
          </cell>
          <cell r="F94">
            <v>0.1825</v>
          </cell>
          <cell r="G94">
            <v>1.2500000000000001E-2</v>
          </cell>
          <cell r="H94">
            <v>0.75</v>
          </cell>
          <cell r="I94">
            <v>0.85</v>
          </cell>
          <cell r="J94">
            <v>0.25750000000000001</v>
          </cell>
          <cell r="K94">
            <v>-5.0000000000000001E-3</v>
          </cell>
          <cell r="L94">
            <v>0.17</v>
          </cell>
          <cell r="M94">
            <v>6.6627163929914024E-2</v>
          </cell>
          <cell r="N94">
            <v>0.6508954890123595</v>
          </cell>
          <cell r="O94">
            <v>85</v>
          </cell>
        </row>
        <row r="95">
          <cell r="D95">
            <v>38808</v>
          </cell>
          <cell r="E95">
            <v>2.637</v>
          </cell>
          <cell r="F95">
            <v>6.7500000000000004E-2</v>
          </cell>
          <cell r="G95">
            <v>0</v>
          </cell>
          <cell r="H95">
            <v>0.45</v>
          </cell>
          <cell r="I95">
            <v>0.45</v>
          </cell>
          <cell r="J95">
            <v>0.14249999999999999</v>
          </cell>
          <cell r="K95">
            <v>-7.4999999999999997E-3</v>
          </cell>
          <cell r="L95">
            <v>0.17</v>
          </cell>
          <cell r="M95">
            <v>6.6690021923016013E-2</v>
          </cell>
          <cell r="N95">
            <v>0.6470235314493854</v>
          </cell>
          <cell r="O95">
            <v>86</v>
          </cell>
        </row>
        <row r="96">
          <cell r="D96">
            <v>38838</v>
          </cell>
          <cell r="E96">
            <v>2.6110000000000002</v>
          </cell>
          <cell r="F96">
            <v>5.7500000000000002E-2</v>
          </cell>
          <cell r="G96">
            <v>0</v>
          </cell>
          <cell r="H96">
            <v>0.5</v>
          </cell>
          <cell r="I96">
            <v>0.45</v>
          </cell>
          <cell r="J96">
            <v>0.13250000000000001</v>
          </cell>
          <cell r="K96">
            <v>-7.4999999999999997E-3</v>
          </cell>
          <cell r="L96">
            <v>0.17</v>
          </cell>
          <cell r="M96">
            <v>6.6750852240166011E-2</v>
          </cell>
          <cell r="N96">
            <v>0.64329209063655635</v>
          </cell>
          <cell r="O96">
            <v>87</v>
          </cell>
        </row>
        <row r="97">
          <cell r="D97">
            <v>38869</v>
          </cell>
          <cell r="E97">
            <v>2.6139999999999999</v>
          </cell>
          <cell r="F97">
            <v>5.2499999999999998E-2</v>
          </cell>
          <cell r="G97">
            <v>0</v>
          </cell>
          <cell r="H97">
            <v>0.5</v>
          </cell>
          <cell r="I97">
            <v>0.45</v>
          </cell>
          <cell r="J97">
            <v>0.1275</v>
          </cell>
          <cell r="K97">
            <v>-7.4999999999999997E-3</v>
          </cell>
          <cell r="L97">
            <v>0.17</v>
          </cell>
          <cell r="M97">
            <v>6.6813710235842011E-2</v>
          </cell>
          <cell r="N97">
            <v>0.63945238620984235</v>
          </cell>
          <cell r="O97">
            <v>88</v>
          </cell>
        </row>
        <row r="98">
          <cell r="D98">
            <v>38899</v>
          </cell>
          <cell r="E98">
            <v>2.6153000000000004</v>
          </cell>
          <cell r="F98">
            <v>4.2500000000000003E-2</v>
          </cell>
          <cell r="G98">
            <v>0</v>
          </cell>
          <cell r="H98">
            <v>0.55000000000000004</v>
          </cell>
          <cell r="I98">
            <v>0.5</v>
          </cell>
          <cell r="J98">
            <v>0.11749999999999999</v>
          </cell>
          <cell r="K98">
            <v>-7.4999999999999997E-3</v>
          </cell>
          <cell r="L98">
            <v>0.17</v>
          </cell>
          <cell r="M98">
            <v>6.6874540555484016E-2</v>
          </cell>
          <cell r="N98">
            <v>0.63575212377794033</v>
          </cell>
          <cell r="O98">
            <v>89</v>
          </cell>
        </row>
        <row r="99">
          <cell r="D99">
            <v>38930</v>
          </cell>
          <cell r="E99">
            <v>2.6120000000000001</v>
          </cell>
          <cell r="F99">
            <v>0.04</v>
          </cell>
          <cell r="G99">
            <v>0</v>
          </cell>
          <cell r="H99">
            <v>0.6</v>
          </cell>
          <cell r="I99">
            <v>0.55000000000000004</v>
          </cell>
          <cell r="J99">
            <v>0.115</v>
          </cell>
          <cell r="K99">
            <v>-7.4999999999999997E-3</v>
          </cell>
          <cell r="L99">
            <v>0.17</v>
          </cell>
          <cell r="M99">
            <v>6.6936601932010009E-2</v>
          </cell>
          <cell r="N99">
            <v>0.63194799626361498</v>
          </cell>
          <cell r="O99">
            <v>90</v>
          </cell>
        </row>
        <row r="100">
          <cell r="D100">
            <v>38961</v>
          </cell>
          <cell r="E100">
            <v>2.6230000000000002</v>
          </cell>
          <cell r="F100">
            <v>3.7499999999999999E-2</v>
          </cell>
          <cell r="G100">
            <v>0</v>
          </cell>
          <cell r="H100">
            <v>0.6</v>
          </cell>
          <cell r="I100">
            <v>0.55000000000000004</v>
          </cell>
          <cell r="J100">
            <v>0.1125</v>
          </cell>
          <cell r="K100">
            <v>-7.4999999999999997E-3</v>
          </cell>
          <cell r="L100">
            <v>0.17</v>
          </cell>
          <cell r="M100">
            <v>6.6974764657689007E-2</v>
          </cell>
          <cell r="N100">
            <v>0.6282627294152241</v>
          </cell>
          <cell r="O100">
            <v>91</v>
          </cell>
        </row>
        <row r="101">
          <cell r="D101">
            <v>38991</v>
          </cell>
          <cell r="E101">
            <v>2.6549999999999998</v>
          </cell>
          <cell r="F101">
            <v>5.2499999999999998E-2</v>
          </cell>
          <cell r="G101">
            <v>0</v>
          </cell>
          <cell r="H101">
            <v>0.65</v>
          </cell>
          <cell r="I101">
            <v>0.6</v>
          </cell>
          <cell r="J101">
            <v>0.1275</v>
          </cell>
          <cell r="K101">
            <v>-7.4999999999999997E-3</v>
          </cell>
          <cell r="L101">
            <v>0.17</v>
          </cell>
          <cell r="M101">
            <v>6.7011696328159023E-2</v>
          </cell>
          <cell r="N101">
            <v>0.62471308023823524</v>
          </cell>
          <cell r="O101">
            <v>92</v>
          </cell>
        </row>
        <row r="102">
          <cell r="D102">
            <v>39022</v>
          </cell>
          <cell r="E102">
            <v>2.7860000000000005</v>
          </cell>
          <cell r="F102">
            <v>0.14499999999999999</v>
          </cell>
          <cell r="G102">
            <v>1.2500000000000001E-2</v>
          </cell>
          <cell r="H102">
            <v>0.8</v>
          </cell>
          <cell r="I102">
            <v>0.9</v>
          </cell>
          <cell r="J102">
            <v>0.22</v>
          </cell>
          <cell r="K102">
            <v>-5.0000000000000001E-3</v>
          </cell>
          <cell r="L102">
            <v>0.17</v>
          </cell>
          <cell r="M102">
            <v>6.7049859054786012E-2</v>
          </cell>
          <cell r="N102">
            <v>0.62106235026271439</v>
          </cell>
          <cell r="O102">
            <v>93</v>
          </cell>
        </row>
        <row r="103">
          <cell r="D103">
            <v>39052</v>
          </cell>
          <cell r="E103">
            <v>2.923</v>
          </cell>
          <cell r="F103">
            <v>0.185</v>
          </cell>
          <cell r="G103">
            <v>1.2500000000000001E-2</v>
          </cell>
          <cell r="H103">
            <v>1.1000000000000001</v>
          </cell>
          <cell r="I103">
            <v>1.1499999999999999</v>
          </cell>
          <cell r="J103">
            <v>0.26</v>
          </cell>
          <cell r="K103">
            <v>-5.0000000000000001E-3</v>
          </cell>
          <cell r="L103">
            <v>0.17</v>
          </cell>
          <cell r="M103">
            <v>6.7086790726175016E-2</v>
          </cell>
          <cell r="N103">
            <v>0.61754601762520334</v>
          </cell>
          <cell r="O103">
            <v>94</v>
          </cell>
        </row>
        <row r="104">
          <cell r="D104">
            <v>39083</v>
          </cell>
          <cell r="E104">
            <v>3.0105000000000004</v>
          </cell>
          <cell r="F104">
            <v>0.23749999999999999</v>
          </cell>
          <cell r="G104">
            <v>1.2500000000000001E-2</v>
          </cell>
          <cell r="H104">
            <v>1.1000000000000001</v>
          </cell>
          <cell r="I104">
            <v>1.1499999999999999</v>
          </cell>
          <cell r="J104">
            <v>0.3125</v>
          </cell>
          <cell r="K104">
            <v>-5.0000000000000001E-3</v>
          </cell>
          <cell r="L104">
            <v>0.16</v>
          </cell>
          <cell r="M104">
            <v>6.7124953453750011E-2</v>
          </cell>
          <cell r="N104">
            <v>0.61392960496169391</v>
          </cell>
          <cell r="O104">
            <v>95</v>
          </cell>
        </row>
        <row r="105">
          <cell r="D105">
            <v>39114</v>
          </cell>
          <cell r="E105">
            <v>2.9185000000000003</v>
          </cell>
          <cell r="F105">
            <v>0.215</v>
          </cell>
          <cell r="G105">
            <v>1.2500000000000001E-2</v>
          </cell>
          <cell r="H105">
            <v>1.1000000000000001</v>
          </cell>
          <cell r="I105">
            <v>1.1499999999999999</v>
          </cell>
          <cell r="J105">
            <v>0.28999999999999998</v>
          </cell>
          <cell r="K105">
            <v>-5.0000000000000001E-3</v>
          </cell>
          <cell r="L105">
            <v>0.16</v>
          </cell>
          <cell r="M105">
            <v>6.7163116181809007E-2</v>
          </cell>
          <cell r="N105">
            <v>0.61033054810800991</v>
          </cell>
          <cell r="O105">
            <v>96</v>
          </cell>
        </row>
        <row r="106">
          <cell r="D106">
            <v>39142</v>
          </cell>
          <cell r="E106">
            <v>2.8135000000000003</v>
          </cell>
          <cell r="F106">
            <v>0.21249999999999999</v>
          </cell>
          <cell r="G106">
            <v>1.2500000000000001E-2</v>
          </cell>
          <cell r="H106">
            <v>0.75</v>
          </cell>
          <cell r="I106">
            <v>0.85</v>
          </cell>
          <cell r="J106">
            <v>0.28749999999999998</v>
          </cell>
          <cell r="K106">
            <v>-5.0000000000000001E-3</v>
          </cell>
          <cell r="L106">
            <v>0.16</v>
          </cell>
          <cell r="M106">
            <v>6.7197585743050001E-2</v>
          </cell>
          <cell r="N106">
            <v>0.60709465761005998</v>
          </cell>
          <cell r="O106">
            <v>97</v>
          </cell>
        </row>
        <row r="107">
          <cell r="D107">
            <v>39173</v>
          </cell>
          <cell r="E107">
            <v>2.7094999999999998</v>
          </cell>
          <cell r="F107">
            <v>9.7500000000000003E-2</v>
          </cell>
          <cell r="G107">
            <v>0</v>
          </cell>
          <cell r="H107">
            <v>0.45</v>
          </cell>
          <cell r="I107">
            <v>0.45</v>
          </cell>
          <cell r="J107">
            <v>0.17249999999999999</v>
          </cell>
          <cell r="K107">
            <v>-7.4999999999999997E-3</v>
          </cell>
          <cell r="L107">
            <v>0.16</v>
          </cell>
          <cell r="M107">
            <v>6.7235748472026027E-2</v>
          </cell>
          <cell r="N107">
            <v>0.60352847615682581</v>
          </cell>
          <cell r="O107">
            <v>98</v>
          </cell>
        </row>
        <row r="108">
          <cell r="D108">
            <v>39203</v>
          </cell>
          <cell r="E108">
            <v>2.6835000000000004</v>
          </cell>
          <cell r="F108">
            <v>8.7499999999999994E-2</v>
          </cell>
          <cell r="G108">
            <v>0</v>
          </cell>
          <cell r="H108">
            <v>0.5</v>
          </cell>
          <cell r="I108">
            <v>0.45</v>
          </cell>
          <cell r="J108">
            <v>0.16250000000000001</v>
          </cell>
          <cell r="K108">
            <v>-7.4999999999999997E-3</v>
          </cell>
          <cell r="L108">
            <v>0.16</v>
          </cell>
          <cell r="M108">
            <v>6.7272680145688005E-2</v>
          </cell>
          <cell r="N108">
            <v>0.60009370174054466</v>
          </cell>
          <cell r="O108">
            <v>99</v>
          </cell>
        </row>
        <row r="109">
          <cell r="D109">
            <v>39234</v>
          </cell>
          <cell r="E109">
            <v>2.6864999999999997</v>
          </cell>
          <cell r="F109">
            <v>8.2500000000000004E-2</v>
          </cell>
          <cell r="G109">
            <v>0</v>
          </cell>
          <cell r="H109">
            <v>0.5</v>
          </cell>
          <cell r="I109">
            <v>0.45</v>
          </cell>
          <cell r="J109">
            <v>0.1575</v>
          </cell>
          <cell r="K109">
            <v>-7.4999999999999997E-3</v>
          </cell>
          <cell r="L109">
            <v>0.16</v>
          </cell>
          <cell r="M109">
            <v>6.7310842875613008E-2</v>
          </cell>
          <cell r="N109">
            <v>0.59656129424297144</v>
          </cell>
          <cell r="O109">
            <v>100</v>
          </cell>
        </row>
        <row r="110">
          <cell r="D110">
            <v>39264</v>
          </cell>
          <cell r="E110">
            <v>2.6877</v>
          </cell>
          <cell r="F110">
            <v>7.2499999999999995E-2</v>
          </cell>
          <cell r="G110">
            <v>0</v>
          </cell>
          <cell r="H110">
            <v>0.55000000000000004</v>
          </cell>
          <cell r="I110">
            <v>0.5</v>
          </cell>
          <cell r="J110">
            <v>0.14749999999999999</v>
          </cell>
          <cell r="K110">
            <v>-7.4999999999999997E-3</v>
          </cell>
          <cell r="L110">
            <v>0.16</v>
          </cell>
          <cell r="M110">
            <v>6.7347774550193015E-2</v>
          </cell>
          <cell r="N110">
            <v>0.59315909813402379</v>
          </cell>
          <cell r="O110">
            <v>101</v>
          </cell>
        </row>
        <row r="111">
          <cell r="D111">
            <v>39295</v>
          </cell>
          <cell r="E111">
            <v>2.6844999999999999</v>
          </cell>
          <cell r="F111">
            <v>7.0000000000000007E-2</v>
          </cell>
          <cell r="G111">
            <v>0</v>
          </cell>
          <cell r="H111">
            <v>0.6</v>
          </cell>
          <cell r="I111">
            <v>0.55000000000000004</v>
          </cell>
          <cell r="J111">
            <v>0.14499999999999999</v>
          </cell>
          <cell r="K111">
            <v>-7.4999999999999997E-3</v>
          </cell>
          <cell r="L111">
            <v>0.16</v>
          </cell>
          <cell r="M111">
            <v>6.7385937281066996E-2</v>
          </cell>
          <cell r="N111">
            <v>0.58966024520422378</v>
          </cell>
          <cell r="O111">
            <v>102</v>
          </cell>
        </row>
        <row r="112">
          <cell r="D112">
            <v>39326</v>
          </cell>
          <cell r="E112">
            <v>2.6955</v>
          </cell>
          <cell r="F112">
            <v>6.7500000000000004E-2</v>
          </cell>
          <cell r="G112">
            <v>0</v>
          </cell>
          <cell r="H112">
            <v>0.6</v>
          </cell>
          <cell r="I112">
            <v>0.55000000000000004</v>
          </cell>
          <cell r="J112">
            <v>0.14249999999999999</v>
          </cell>
          <cell r="K112">
            <v>-7.4999999999999997E-3</v>
          </cell>
          <cell r="L112">
            <v>0.16</v>
          </cell>
          <cell r="M112">
            <v>6.7424100012423008E-2</v>
          </cell>
          <cell r="N112">
            <v>0.58617836054968531</v>
          </cell>
          <cell r="O112">
            <v>103</v>
          </cell>
        </row>
        <row r="113">
          <cell r="D113">
            <v>39356</v>
          </cell>
          <cell r="E113">
            <v>2.7275</v>
          </cell>
          <cell r="F113">
            <v>8.2500000000000004E-2</v>
          </cell>
          <cell r="G113">
            <v>0</v>
          </cell>
          <cell r="H113">
            <v>0.65</v>
          </cell>
          <cell r="I113">
            <v>0.6</v>
          </cell>
          <cell r="J113">
            <v>0.1575</v>
          </cell>
          <cell r="K113">
            <v>-7.4999999999999997E-3</v>
          </cell>
          <cell r="L113">
            <v>0.16</v>
          </cell>
          <cell r="M113">
            <v>6.7461031688388004E-2</v>
          </cell>
          <cell r="N113">
            <v>0.58282489748212107</v>
          </cell>
          <cell r="O113">
            <v>104</v>
          </cell>
        </row>
        <row r="114">
          <cell r="D114">
            <v>39387</v>
          </cell>
          <cell r="E114">
            <v>2.8585000000000003</v>
          </cell>
          <cell r="F114">
            <v>0.17499999999999999</v>
          </cell>
          <cell r="G114">
            <v>1.2500000000000001E-2</v>
          </cell>
          <cell r="H114">
            <v>0.8</v>
          </cell>
          <cell r="I114">
            <v>0.9</v>
          </cell>
          <cell r="J114">
            <v>0.25</v>
          </cell>
          <cell r="K114">
            <v>-5.0000000000000001E-3</v>
          </cell>
          <cell r="L114">
            <v>0.16</v>
          </cell>
          <cell r="M114">
            <v>6.7499194420692021E-2</v>
          </cell>
          <cell r="N114">
            <v>0.57937623670376326</v>
          </cell>
          <cell r="O114">
            <v>105</v>
          </cell>
        </row>
        <row r="115">
          <cell r="D115">
            <v>39417</v>
          </cell>
          <cell r="E115">
            <v>2.9955000000000003</v>
          </cell>
          <cell r="F115">
            <v>0.215</v>
          </cell>
          <cell r="G115">
            <v>1.2500000000000001E-2</v>
          </cell>
          <cell r="H115">
            <v>1.1000000000000001</v>
          </cell>
          <cell r="I115">
            <v>1.1499999999999999</v>
          </cell>
          <cell r="J115">
            <v>0.28999999999999998</v>
          </cell>
          <cell r="K115">
            <v>-5.0000000000000001E-3</v>
          </cell>
          <cell r="L115">
            <v>0.16</v>
          </cell>
          <cell r="M115">
            <v>6.7536126097575006E-2</v>
          </cell>
          <cell r="N115">
            <v>0.57605481973767825</v>
          </cell>
          <cell r="O115">
            <v>106</v>
          </cell>
        </row>
        <row r="116">
          <cell r="D116">
            <v>39448</v>
          </cell>
          <cell r="E116">
            <v>3.093</v>
          </cell>
          <cell r="F116">
            <v>0.27750000000000002</v>
          </cell>
          <cell r="G116">
            <v>1.2500000000000001E-2</v>
          </cell>
          <cell r="H116">
            <v>1.1000000000000001</v>
          </cell>
          <cell r="I116">
            <v>1.1499999999999999</v>
          </cell>
          <cell r="J116">
            <v>0.35249999999999998</v>
          </cell>
          <cell r="K116">
            <v>-5.0000000000000001E-3</v>
          </cell>
          <cell r="L116">
            <v>0.159</v>
          </cell>
          <cell r="M116">
            <v>6.7574288830829013E-2</v>
          </cell>
          <cell r="N116">
            <v>0.57263916372723012</v>
          </cell>
          <cell r="O116">
            <v>107</v>
          </cell>
        </row>
        <row r="117">
          <cell r="D117">
            <v>39479</v>
          </cell>
          <cell r="E117">
            <v>3.0010000000000003</v>
          </cell>
          <cell r="F117">
            <v>0.255</v>
          </cell>
          <cell r="G117">
            <v>1.2500000000000001E-2</v>
          </cell>
          <cell r="H117">
            <v>1.1000000000000001</v>
          </cell>
          <cell r="I117">
            <v>1.1499999999999999</v>
          </cell>
          <cell r="J117">
            <v>0.33</v>
          </cell>
          <cell r="K117">
            <v>-5.0000000000000001E-3</v>
          </cell>
          <cell r="L117">
            <v>0.159</v>
          </cell>
          <cell r="M117">
            <v>6.7612451564564011E-2</v>
          </cell>
          <cell r="N117">
            <v>0.56924019670890791</v>
          </cell>
          <cell r="O117">
            <v>108</v>
          </cell>
        </row>
        <row r="118">
          <cell r="D118">
            <v>39508</v>
          </cell>
          <cell r="E118">
            <v>2.8960000000000004</v>
          </cell>
          <cell r="F118">
            <v>0.2525</v>
          </cell>
          <cell r="G118">
            <v>1.2500000000000001E-2</v>
          </cell>
          <cell r="H118">
            <v>0.75</v>
          </cell>
          <cell r="I118">
            <v>0.85</v>
          </cell>
          <cell r="J118">
            <v>0.32750000000000001</v>
          </cell>
          <cell r="K118">
            <v>-5.0000000000000001E-3</v>
          </cell>
          <cell r="L118">
            <v>0.159</v>
          </cell>
          <cell r="M118">
            <v>6.7648152186882013E-2</v>
          </cell>
          <cell r="N118">
            <v>0.5660755764703812</v>
          </cell>
          <cell r="O118">
            <v>109</v>
          </cell>
        </row>
        <row r="119">
          <cell r="D119">
            <v>39539</v>
          </cell>
          <cell r="E119">
            <v>2.7919999999999998</v>
          </cell>
          <cell r="F119">
            <v>0.13750000000000001</v>
          </cell>
          <cell r="G119">
            <v>0</v>
          </cell>
          <cell r="H119">
            <v>0.45</v>
          </cell>
          <cell r="I119">
            <v>0.45</v>
          </cell>
          <cell r="J119">
            <v>0.21249999999999999</v>
          </cell>
          <cell r="K119">
            <v>-7.4999999999999997E-3</v>
          </cell>
          <cell r="L119">
            <v>0.159</v>
          </cell>
          <cell r="M119">
            <v>6.7686314921551013E-2</v>
          </cell>
          <cell r="N119">
            <v>0.56270875015997424</v>
          </cell>
          <cell r="O119">
            <v>110</v>
          </cell>
        </row>
        <row r="120">
          <cell r="D120">
            <v>39569</v>
          </cell>
          <cell r="E120">
            <v>2.7660000000000005</v>
          </cell>
          <cell r="F120">
            <v>0.1275</v>
          </cell>
          <cell r="G120">
            <v>0</v>
          </cell>
          <cell r="H120">
            <v>0.5</v>
          </cell>
          <cell r="I120">
            <v>0.45</v>
          </cell>
          <cell r="J120">
            <v>0.20250000000000001</v>
          </cell>
          <cell r="K120">
            <v>-7.4999999999999997E-3</v>
          </cell>
          <cell r="L120">
            <v>0.159</v>
          </cell>
          <cell r="M120">
            <v>6.7723246600721029E-2</v>
          </cell>
          <cell r="N120">
            <v>0.55946626393639132</v>
          </cell>
          <cell r="O120">
            <v>111</v>
          </cell>
        </row>
        <row r="121">
          <cell r="D121">
            <v>39600</v>
          </cell>
          <cell r="E121">
            <v>2.7690000000000006</v>
          </cell>
          <cell r="F121">
            <v>0.1225</v>
          </cell>
          <cell r="G121">
            <v>0</v>
          </cell>
          <cell r="H121">
            <v>0.5</v>
          </cell>
          <cell r="I121">
            <v>0.45</v>
          </cell>
          <cell r="J121">
            <v>0.19750000000000001</v>
          </cell>
          <cell r="K121">
            <v>-7.4999999999999997E-3</v>
          </cell>
          <cell r="L121">
            <v>0.159</v>
          </cell>
          <cell r="M121">
            <v>6.7761409336339021E-2</v>
          </cell>
          <cell r="N121">
            <v>0.55613189709962763</v>
          </cell>
          <cell r="O121">
            <v>112</v>
          </cell>
        </row>
        <row r="122">
          <cell r="D122">
            <v>39630</v>
          </cell>
          <cell r="E122">
            <v>2.7702</v>
          </cell>
          <cell r="F122">
            <v>0.1125</v>
          </cell>
          <cell r="G122">
            <v>0</v>
          </cell>
          <cell r="H122">
            <v>0.55000000000000004</v>
          </cell>
          <cell r="I122">
            <v>0.5</v>
          </cell>
          <cell r="J122">
            <v>0.1875</v>
          </cell>
          <cell r="K122">
            <v>-7.4999999999999997E-3</v>
          </cell>
          <cell r="L122">
            <v>0.159</v>
          </cell>
          <cell r="M122">
            <v>6.7798341016427996E-2</v>
          </cell>
          <cell r="N122">
            <v>0.55292071751374561</v>
          </cell>
          <cell r="O122">
            <v>113</v>
          </cell>
        </row>
        <row r="123">
          <cell r="D123">
            <v>39661</v>
          </cell>
          <cell r="E123">
            <v>2.7669999999999999</v>
          </cell>
          <cell r="F123">
            <v>0.11</v>
          </cell>
          <cell r="G123">
            <v>0</v>
          </cell>
          <cell r="H123">
            <v>0.6</v>
          </cell>
          <cell r="I123">
            <v>0.55000000000000004</v>
          </cell>
          <cell r="J123">
            <v>0.185</v>
          </cell>
          <cell r="K123">
            <v>-7.4999999999999997E-3</v>
          </cell>
          <cell r="L123">
            <v>0.159</v>
          </cell>
          <cell r="M123">
            <v>6.7836503753000002E-2</v>
          </cell>
          <cell r="N123">
            <v>0.549618591639363</v>
          </cell>
          <cell r="O123">
            <v>114</v>
          </cell>
        </row>
        <row r="124">
          <cell r="D124">
            <v>39692</v>
          </cell>
          <cell r="E124">
            <v>2.778</v>
          </cell>
          <cell r="F124">
            <v>0.1075</v>
          </cell>
          <cell r="G124">
            <v>0</v>
          </cell>
          <cell r="H124">
            <v>0.6</v>
          </cell>
          <cell r="I124">
            <v>0.55000000000000004</v>
          </cell>
          <cell r="J124">
            <v>0.1825</v>
          </cell>
          <cell r="K124">
            <v>-7.4999999999999997E-3</v>
          </cell>
          <cell r="L124">
            <v>0.159</v>
          </cell>
          <cell r="M124">
            <v>6.7874666490042007E-2</v>
          </cell>
          <cell r="N124">
            <v>0.54633276684418541</v>
          </cell>
          <cell r="O124">
            <v>115</v>
          </cell>
        </row>
        <row r="125">
          <cell r="D125">
            <v>39722</v>
          </cell>
          <cell r="E125">
            <v>2.81</v>
          </cell>
          <cell r="F125">
            <v>0.1225</v>
          </cell>
          <cell r="G125">
            <v>0</v>
          </cell>
          <cell r="H125">
            <v>0.65</v>
          </cell>
          <cell r="I125">
            <v>0.6</v>
          </cell>
          <cell r="J125">
            <v>0.19750000000000001</v>
          </cell>
          <cell r="K125">
            <v>-7.4999999999999997E-3</v>
          </cell>
          <cell r="L125">
            <v>0.159</v>
          </cell>
          <cell r="M125">
            <v>6.7911598171515014E-2</v>
          </cell>
          <cell r="N125">
            <v>0.5431684041210959</v>
          </cell>
          <cell r="O125">
            <v>116</v>
          </cell>
        </row>
        <row r="126">
          <cell r="D126">
            <v>39753</v>
          </cell>
          <cell r="E126">
            <v>2.9410000000000003</v>
          </cell>
          <cell r="F126">
            <v>0.215</v>
          </cell>
          <cell r="G126">
            <v>1.2500000000000001E-2</v>
          </cell>
          <cell r="H126">
            <v>0.8</v>
          </cell>
          <cell r="I126">
            <v>0.9</v>
          </cell>
          <cell r="J126">
            <v>0.28999999999999998</v>
          </cell>
          <cell r="K126">
            <v>-5.0000000000000001E-3</v>
          </cell>
          <cell r="L126">
            <v>0.159</v>
          </cell>
          <cell r="M126">
            <v>6.7949760909512019E-2</v>
          </cell>
          <cell r="N126">
            <v>0.53991449114153989</v>
          </cell>
          <cell r="O126">
            <v>117</v>
          </cell>
        </row>
        <row r="127">
          <cell r="D127">
            <v>39783</v>
          </cell>
          <cell r="E127">
            <v>3.0780000000000003</v>
          </cell>
          <cell r="F127">
            <v>0.255</v>
          </cell>
          <cell r="G127">
            <v>1.2500000000000001E-2</v>
          </cell>
          <cell r="H127">
            <v>1.1000000000000001</v>
          </cell>
          <cell r="I127">
            <v>1.1499999999999999</v>
          </cell>
          <cell r="J127">
            <v>0.33</v>
          </cell>
          <cell r="K127">
            <v>-5.0000000000000001E-3</v>
          </cell>
          <cell r="L127">
            <v>0.159</v>
          </cell>
          <cell r="M127">
            <v>6.7986692591903E-2</v>
          </cell>
          <cell r="N127">
            <v>0.53678090533595257</v>
          </cell>
          <cell r="O127">
            <v>118</v>
          </cell>
        </row>
        <row r="128">
          <cell r="D128">
            <v>39814</v>
          </cell>
          <cell r="E128">
            <v>3.1830000000000003</v>
          </cell>
          <cell r="F128">
            <v>0.32750000000000001</v>
          </cell>
          <cell r="G128">
            <v>1.2500000000000001E-2</v>
          </cell>
          <cell r="H128">
            <v>1.1000000000000001</v>
          </cell>
          <cell r="I128">
            <v>1.1499999999999999</v>
          </cell>
          <cell r="J128">
            <v>0.40250000000000002</v>
          </cell>
          <cell r="K128">
            <v>-5.0000000000000001E-3</v>
          </cell>
          <cell r="L128">
            <v>0.158</v>
          </cell>
          <cell r="M128">
            <v>6.8024855330847997E-2</v>
          </cell>
          <cell r="N128">
            <v>0.53355868623351543</v>
          </cell>
          <cell r="O128">
            <v>119</v>
          </cell>
        </row>
        <row r="129">
          <cell r="D129">
            <v>39845</v>
          </cell>
          <cell r="E129">
            <v>3.0910000000000002</v>
          </cell>
          <cell r="F129">
            <v>0.30499999999999999</v>
          </cell>
          <cell r="G129">
            <v>1.2500000000000001E-2</v>
          </cell>
          <cell r="H129">
            <v>1.1000000000000001</v>
          </cell>
          <cell r="I129">
            <v>1.1499999999999999</v>
          </cell>
          <cell r="J129">
            <v>0.38</v>
          </cell>
          <cell r="K129">
            <v>-5.0000000000000001E-3</v>
          </cell>
          <cell r="L129">
            <v>0.158</v>
          </cell>
          <cell r="M129">
            <v>6.8063018070275011E-2</v>
          </cell>
          <cell r="N129">
            <v>0.53035249041771582</v>
          </cell>
          <cell r="O129">
            <v>120</v>
          </cell>
        </row>
        <row r="130">
          <cell r="D130">
            <v>39873</v>
          </cell>
          <cell r="E130">
            <v>2.9860000000000002</v>
          </cell>
          <cell r="F130">
            <v>0.30249999999999999</v>
          </cell>
          <cell r="G130">
            <v>1.2500000000000001E-2</v>
          </cell>
          <cell r="H130">
            <v>0.75</v>
          </cell>
          <cell r="I130">
            <v>0.85</v>
          </cell>
          <cell r="J130">
            <v>0.3775</v>
          </cell>
          <cell r="K130">
            <v>-5.0000000000000001E-3</v>
          </cell>
          <cell r="L130">
            <v>0.158</v>
          </cell>
          <cell r="M130">
            <v>6.8097487641785012E-2</v>
          </cell>
          <cell r="N130">
            <v>0.52747029723992611</v>
          </cell>
          <cell r="O130">
            <v>121</v>
          </cell>
        </row>
        <row r="131">
          <cell r="D131">
            <v>39904</v>
          </cell>
          <cell r="E131">
            <v>2.8820000000000001</v>
          </cell>
          <cell r="F131">
            <v>0.1875</v>
          </cell>
          <cell r="G131">
            <v>0</v>
          </cell>
          <cell r="H131">
            <v>0.45</v>
          </cell>
          <cell r="I131">
            <v>0.45</v>
          </cell>
          <cell r="J131">
            <v>0.26250000000000001</v>
          </cell>
          <cell r="K131">
            <v>-7.4999999999999997E-3</v>
          </cell>
          <cell r="L131">
            <v>0.158</v>
          </cell>
          <cell r="M131">
            <v>6.8135650382130028E-2</v>
          </cell>
          <cell r="N131">
            <v>0.52429444216954291</v>
          </cell>
          <cell r="O131">
            <v>122</v>
          </cell>
        </row>
        <row r="132">
          <cell r="D132">
            <v>39934</v>
          </cell>
          <cell r="E132">
            <v>2.8560000000000003</v>
          </cell>
          <cell r="F132">
            <v>0.17749999999999999</v>
          </cell>
          <cell r="G132">
            <v>0</v>
          </cell>
          <cell r="H132">
            <v>0.5</v>
          </cell>
          <cell r="I132">
            <v>0.45</v>
          </cell>
          <cell r="J132">
            <v>0.2525</v>
          </cell>
          <cell r="K132">
            <v>-7.4999999999999997E-3</v>
          </cell>
          <cell r="L132">
            <v>0.158</v>
          </cell>
          <cell r="M132">
            <v>6.8172582066793011E-2</v>
          </cell>
          <cell r="N132">
            <v>0.52123613571004879</v>
          </cell>
          <cell r="O132">
            <v>123</v>
          </cell>
        </row>
        <row r="133">
          <cell r="D133">
            <v>39965</v>
          </cell>
          <cell r="E133">
            <v>2.8590000000000004</v>
          </cell>
          <cell r="F133">
            <v>0.17249999999999999</v>
          </cell>
          <cell r="G133">
            <v>0</v>
          </cell>
          <cell r="H133">
            <v>0.5</v>
          </cell>
          <cell r="I133">
            <v>0.45</v>
          </cell>
          <cell r="J133">
            <v>0.2475</v>
          </cell>
          <cell r="K133">
            <v>-7.4999999999999997E-3</v>
          </cell>
          <cell r="L133">
            <v>0.158</v>
          </cell>
          <cell r="M133">
            <v>6.8210744808086018E-2</v>
          </cell>
          <cell r="N133">
            <v>0.51809143618992881</v>
          </cell>
          <cell r="O133">
            <v>124</v>
          </cell>
        </row>
        <row r="134">
          <cell r="D134">
            <v>39995</v>
          </cell>
          <cell r="E134">
            <v>2.8603000000000005</v>
          </cell>
          <cell r="F134">
            <v>0.16250000000000001</v>
          </cell>
          <cell r="G134">
            <v>0</v>
          </cell>
          <cell r="H134">
            <v>0.55000000000000004</v>
          </cell>
          <cell r="I134">
            <v>0.5</v>
          </cell>
          <cell r="J134">
            <v>0.23749999999999999</v>
          </cell>
          <cell r="K134">
            <v>-7.4999999999999997E-3</v>
          </cell>
          <cell r="L134">
            <v>0.158</v>
          </cell>
          <cell r="M134">
            <v>6.8247676493668002E-2</v>
          </cell>
          <cell r="N134">
            <v>0.51506317524676237</v>
          </cell>
          <cell r="O134">
            <v>125</v>
          </cell>
        </row>
        <row r="135">
          <cell r="D135">
            <v>40026</v>
          </cell>
          <cell r="E135">
            <v>2.8569999999999998</v>
          </cell>
          <cell r="F135">
            <v>0.16</v>
          </cell>
          <cell r="G135">
            <v>0</v>
          </cell>
          <cell r="H135">
            <v>0.6</v>
          </cell>
          <cell r="I135">
            <v>0.55000000000000004</v>
          </cell>
          <cell r="J135">
            <v>0.23499999999999999</v>
          </cell>
          <cell r="K135">
            <v>-7.4999999999999997E-3</v>
          </cell>
          <cell r="L135">
            <v>0.158</v>
          </cell>
          <cell r="M135">
            <v>6.8284709041466024E-2</v>
          </cell>
          <cell r="N135">
            <v>0.51195499326457483</v>
          </cell>
          <cell r="O135">
            <v>126</v>
          </cell>
        </row>
        <row r="136">
          <cell r="D136">
            <v>40057</v>
          </cell>
          <cell r="E136">
            <v>2.8680000000000003</v>
          </cell>
          <cell r="F136">
            <v>0.1575</v>
          </cell>
          <cell r="G136">
            <v>0</v>
          </cell>
          <cell r="H136">
            <v>0.6</v>
          </cell>
          <cell r="I136">
            <v>0.55000000000000004</v>
          </cell>
          <cell r="J136">
            <v>0.23250000000000001</v>
          </cell>
          <cell r="K136">
            <v>-7.4999999999999997E-3</v>
          </cell>
          <cell r="L136">
            <v>0.158</v>
          </cell>
          <cell r="M136">
            <v>6.8305353770140007E-2</v>
          </cell>
          <cell r="N136">
            <v>0.50894357407371504</v>
          </cell>
          <cell r="O136">
            <v>127</v>
          </cell>
        </row>
        <row r="137">
          <cell r="D137">
            <v>40087</v>
          </cell>
          <cell r="E137">
            <v>2.9</v>
          </cell>
          <cell r="F137">
            <v>0.17249999999999999</v>
          </cell>
          <cell r="G137">
            <v>0</v>
          </cell>
          <cell r="H137">
            <v>0.65</v>
          </cell>
          <cell r="I137">
            <v>0.6</v>
          </cell>
          <cell r="J137">
            <v>0.2475</v>
          </cell>
          <cell r="K137">
            <v>-7.4999999999999997E-3</v>
          </cell>
          <cell r="L137">
            <v>0.158</v>
          </cell>
          <cell r="M137">
            <v>6.8325332539959038E-2</v>
          </cell>
          <cell r="N137">
            <v>0.50604453259954119</v>
          </cell>
          <cell r="O137">
            <v>128</v>
          </cell>
        </row>
        <row r="138">
          <cell r="D138">
            <v>40118</v>
          </cell>
          <cell r="E138">
            <v>3.0310000000000001</v>
          </cell>
          <cell r="F138">
            <v>0.26500000000000001</v>
          </cell>
          <cell r="G138">
            <v>1.2500000000000001E-2</v>
          </cell>
          <cell r="H138">
            <v>0.8</v>
          </cell>
          <cell r="I138">
            <v>0.9</v>
          </cell>
          <cell r="J138">
            <v>0.34</v>
          </cell>
          <cell r="K138">
            <v>-5.0000000000000001E-3</v>
          </cell>
          <cell r="L138">
            <v>0.158</v>
          </cell>
          <cell r="M138">
            <v>6.8345977268910008E-2</v>
          </cell>
          <cell r="N138">
            <v>0.50306452746420649</v>
          </cell>
          <cell r="O138">
            <v>129</v>
          </cell>
        </row>
        <row r="139">
          <cell r="D139">
            <v>40148</v>
          </cell>
          <cell r="E139">
            <v>3.1680000000000001</v>
          </cell>
          <cell r="F139">
            <v>0.30499999999999999</v>
          </cell>
          <cell r="G139">
            <v>1.2500000000000001E-2</v>
          </cell>
          <cell r="H139">
            <v>1.1000000000000001</v>
          </cell>
          <cell r="I139">
            <v>1.1499999999999999</v>
          </cell>
          <cell r="J139">
            <v>0.38</v>
          </cell>
          <cell r="K139">
            <v>-5.0000000000000001E-3</v>
          </cell>
          <cell r="L139">
            <v>0.158</v>
          </cell>
          <cell r="M139">
            <v>6.8365956039000017E-2</v>
          </cell>
          <cell r="N139">
            <v>0.5001957484455285</v>
          </cell>
          <cell r="O139">
            <v>130</v>
          </cell>
        </row>
        <row r="140">
          <cell r="D140">
            <v>40179</v>
          </cell>
          <cell r="E140">
            <v>3.2805</v>
          </cell>
          <cell r="F140">
            <v>0.32200000000000001</v>
          </cell>
          <cell r="G140">
            <v>1.2500000000000001E-2</v>
          </cell>
          <cell r="H140">
            <v>1.1000000000000001</v>
          </cell>
          <cell r="I140">
            <v>1.1499999999999999</v>
          </cell>
          <cell r="J140">
            <v>0.39700000000000002</v>
          </cell>
          <cell r="K140">
            <v>-5.0000000000000001E-3</v>
          </cell>
          <cell r="L140">
            <v>0.157</v>
          </cell>
          <cell r="M140">
            <v>6.8386600768227016E-2</v>
          </cell>
          <cell r="N140">
            <v>0.49724687218574765</v>
          </cell>
          <cell r="O140">
            <v>131</v>
          </cell>
        </row>
        <row r="141">
          <cell r="D141">
            <v>40210</v>
          </cell>
          <cell r="E141">
            <v>3.1885000000000003</v>
          </cell>
          <cell r="F141">
            <v>0.3</v>
          </cell>
          <cell r="G141">
            <v>1.2500000000000001E-2</v>
          </cell>
          <cell r="H141">
            <v>1.1000000000000001</v>
          </cell>
          <cell r="I141">
            <v>1.1499999999999999</v>
          </cell>
          <cell r="J141">
            <v>0.375</v>
          </cell>
          <cell r="K141">
            <v>-5.0000000000000001E-3</v>
          </cell>
          <cell r="L141">
            <v>0.157</v>
          </cell>
          <cell r="M141">
            <v>6.8407245497596997E-2</v>
          </cell>
          <cell r="N141">
            <v>0.49431370689440085</v>
          </cell>
          <cell r="O141">
            <v>132</v>
          </cell>
        </row>
        <row r="142">
          <cell r="D142">
            <v>40238</v>
          </cell>
          <cell r="E142">
            <v>3.0835000000000004</v>
          </cell>
          <cell r="F142">
            <v>0.29799999999999999</v>
          </cell>
          <cell r="G142">
            <v>1.2500000000000001E-2</v>
          </cell>
          <cell r="H142">
            <v>0.75</v>
          </cell>
          <cell r="I142">
            <v>0.85</v>
          </cell>
          <cell r="J142">
            <v>0.37300000000000005</v>
          </cell>
          <cell r="K142">
            <v>-5.0000000000000001E-3</v>
          </cell>
          <cell r="L142">
            <v>0.157</v>
          </cell>
          <cell r="M142">
            <v>6.8425892350052003E-2</v>
          </cell>
          <cell r="N142">
            <v>0.49167783962466083</v>
          </cell>
          <cell r="O142">
            <v>133</v>
          </cell>
        </row>
        <row r="143">
          <cell r="D143">
            <v>40269</v>
          </cell>
          <cell r="E143">
            <v>2.9794999999999998</v>
          </cell>
          <cell r="F143">
            <v>0.18300000000000002</v>
          </cell>
          <cell r="G143">
            <v>0</v>
          </cell>
          <cell r="H143">
            <v>0.45</v>
          </cell>
          <cell r="I143">
            <v>0.45</v>
          </cell>
          <cell r="J143">
            <v>0.25800000000000001</v>
          </cell>
          <cell r="K143">
            <v>-7.4999999999999997E-3</v>
          </cell>
          <cell r="L143">
            <v>0.157</v>
          </cell>
          <cell r="M143">
            <v>6.8446537079691033E-2</v>
          </cell>
          <cell r="N143">
            <v>0.4887743748303664</v>
          </cell>
          <cell r="O143">
            <v>134</v>
          </cell>
        </row>
        <row r="144">
          <cell r="D144">
            <v>40299</v>
          </cell>
          <cell r="E144">
            <v>2.9535000000000005</v>
          </cell>
          <cell r="F144">
            <v>0.17300000000000001</v>
          </cell>
          <cell r="G144">
            <v>0</v>
          </cell>
          <cell r="H144">
            <v>0.5</v>
          </cell>
          <cell r="I144">
            <v>0.45</v>
          </cell>
          <cell r="J144">
            <v>0.24800000000000003</v>
          </cell>
          <cell r="K144">
            <v>-7.4999999999999997E-3</v>
          </cell>
          <cell r="L144">
            <v>0.157</v>
          </cell>
          <cell r="M144">
            <v>6.8466515850443013E-2</v>
          </cell>
          <cell r="N144">
            <v>0.48597932921708686</v>
          </cell>
          <cell r="O144">
            <v>135</v>
          </cell>
        </row>
        <row r="145">
          <cell r="D145">
            <v>40330</v>
          </cell>
          <cell r="E145">
            <v>2.9565000000000006</v>
          </cell>
          <cell r="F145">
            <v>0.16700000000000001</v>
          </cell>
          <cell r="G145">
            <v>0</v>
          </cell>
          <cell r="H145">
            <v>0.5</v>
          </cell>
          <cell r="I145">
            <v>0.45</v>
          </cell>
          <cell r="J145">
            <v>0.24199999999999999</v>
          </cell>
          <cell r="K145">
            <v>-7.4999999999999997E-3</v>
          </cell>
          <cell r="L145">
            <v>0.157</v>
          </cell>
          <cell r="M145">
            <v>6.8487160580360015E-2</v>
          </cell>
          <cell r="N145">
            <v>0.48310629627214308</v>
          </cell>
          <cell r="O145">
            <v>136</v>
          </cell>
        </row>
        <row r="146">
          <cell r="D146">
            <v>40360</v>
          </cell>
          <cell r="E146">
            <v>2.9577</v>
          </cell>
          <cell r="F146">
            <v>0.157</v>
          </cell>
          <cell r="G146">
            <v>0</v>
          </cell>
          <cell r="H146">
            <v>0.55000000000000004</v>
          </cell>
          <cell r="I146">
            <v>0.5</v>
          </cell>
          <cell r="J146">
            <v>0.23199999999999998</v>
          </cell>
          <cell r="K146">
            <v>-7.4999999999999997E-3</v>
          </cell>
          <cell r="L146">
            <v>0.157</v>
          </cell>
          <cell r="M146">
            <v>6.8507139351381002E-2</v>
          </cell>
          <cell r="N146">
            <v>0.4803405660683473</v>
          </cell>
          <cell r="O146">
            <v>137</v>
          </cell>
        </row>
        <row r="147">
          <cell r="D147">
            <v>40391</v>
          </cell>
          <cell r="E147">
            <v>2.9544999999999999</v>
          </cell>
          <cell r="F147">
            <v>0.155</v>
          </cell>
          <cell r="G147">
            <v>0</v>
          </cell>
          <cell r="H147">
            <v>0.6</v>
          </cell>
          <cell r="I147">
            <v>0.55000000000000004</v>
          </cell>
          <cell r="J147">
            <v>0.23</v>
          </cell>
          <cell r="K147">
            <v>-7.4999999999999997E-3</v>
          </cell>
          <cell r="L147">
            <v>0.157</v>
          </cell>
          <cell r="M147">
            <v>6.8527784081574006E-2</v>
          </cell>
          <cell r="N147">
            <v>0.4774976869686467</v>
          </cell>
          <cell r="O147">
            <v>138</v>
          </cell>
        </row>
        <row r="148">
          <cell r="D148">
            <v>40422</v>
          </cell>
          <cell r="E148">
            <v>2.9655</v>
          </cell>
          <cell r="F148">
            <v>0.153</v>
          </cell>
          <cell r="G148">
            <v>0</v>
          </cell>
          <cell r="H148">
            <v>0.6</v>
          </cell>
          <cell r="I148">
            <v>0.55000000000000004</v>
          </cell>
          <cell r="J148">
            <v>0.22800000000000001</v>
          </cell>
          <cell r="K148">
            <v>-7.4999999999999997E-3</v>
          </cell>
          <cell r="L148">
            <v>0.157</v>
          </cell>
          <cell r="M148">
            <v>6.8548428811907994E-2</v>
          </cell>
          <cell r="N148">
            <v>0.47467002606993208</v>
          </cell>
          <cell r="O148">
            <v>139</v>
          </cell>
        </row>
        <row r="149">
          <cell r="D149">
            <v>40452</v>
          </cell>
          <cell r="E149">
            <v>2.9975000000000001</v>
          </cell>
          <cell r="F149">
            <v>0.16700000000000001</v>
          </cell>
          <cell r="G149">
            <v>0</v>
          </cell>
          <cell r="H149">
            <v>0.65</v>
          </cell>
          <cell r="I149">
            <v>0.6</v>
          </cell>
          <cell r="J149">
            <v>0.24199999999999999</v>
          </cell>
          <cell r="K149">
            <v>-7.4999999999999997E-3</v>
          </cell>
          <cell r="L149">
            <v>0.157</v>
          </cell>
          <cell r="M149">
            <v>6.8568407583335017E-2</v>
          </cell>
          <cell r="N149">
            <v>0.47194800291382355</v>
          </cell>
          <cell r="O149">
            <v>140</v>
          </cell>
        </row>
        <row r="150">
          <cell r="D150">
            <v>40483</v>
          </cell>
          <cell r="E150">
            <v>3.1285000000000003</v>
          </cell>
          <cell r="F150">
            <v>0.26</v>
          </cell>
          <cell r="G150">
            <v>1.2500000000000001E-2</v>
          </cell>
          <cell r="H150">
            <v>0.8</v>
          </cell>
          <cell r="I150">
            <v>0.9</v>
          </cell>
          <cell r="J150">
            <v>0.31</v>
          </cell>
          <cell r="K150">
            <v>-5.0000000000000001E-3</v>
          </cell>
          <cell r="L150">
            <v>0.157</v>
          </cell>
          <cell r="M150">
            <v>6.8589052313947005E-2</v>
          </cell>
          <cell r="N150">
            <v>0.46915008043874495</v>
          </cell>
          <cell r="O150">
            <v>141</v>
          </cell>
        </row>
        <row r="151">
          <cell r="D151">
            <v>40513</v>
          </cell>
          <cell r="E151">
            <v>3.2655000000000003</v>
          </cell>
          <cell r="F151">
            <v>0.3</v>
          </cell>
          <cell r="G151">
            <v>1.2500000000000001E-2</v>
          </cell>
          <cell r="H151">
            <v>1.1000000000000001</v>
          </cell>
          <cell r="I151">
            <v>1.1499999999999999</v>
          </cell>
          <cell r="J151">
            <v>0.35</v>
          </cell>
          <cell r="K151">
            <v>-5.0000000000000001E-3</v>
          </cell>
          <cell r="L151">
            <v>0.157</v>
          </cell>
          <cell r="M151">
            <v>6.8609031085641009E-2</v>
          </cell>
          <cell r="N151">
            <v>0.46645670411013646</v>
          </cell>
          <cell r="O151">
            <v>142</v>
          </cell>
        </row>
        <row r="152">
          <cell r="D152">
            <v>40544</v>
          </cell>
          <cell r="E152">
            <v>3.3855000000000004</v>
          </cell>
          <cell r="F152">
            <v>0.317</v>
          </cell>
          <cell r="G152">
            <v>1.2500000000000001E-2</v>
          </cell>
          <cell r="H152">
            <v>1.1000000000000001</v>
          </cell>
          <cell r="I152">
            <v>1.1499999999999999</v>
          </cell>
          <cell r="J152">
            <v>0.36700000000000005</v>
          </cell>
          <cell r="K152">
            <v>-5.0000000000000001E-3</v>
          </cell>
          <cell r="L152">
            <v>0.156</v>
          </cell>
          <cell r="M152">
            <v>6.8629675816531011E-2</v>
          </cell>
          <cell r="N152">
            <v>0.46368824716402646</v>
          </cell>
          <cell r="O152">
            <v>143</v>
          </cell>
        </row>
        <row r="153">
          <cell r="D153">
            <v>40575</v>
          </cell>
          <cell r="E153">
            <v>3.2935000000000003</v>
          </cell>
          <cell r="F153">
            <v>0.29499999999999998</v>
          </cell>
          <cell r="G153">
            <v>1.2500000000000001E-2</v>
          </cell>
          <cell r="H153">
            <v>1.1000000000000001</v>
          </cell>
          <cell r="I153">
            <v>1.1499999999999999</v>
          </cell>
          <cell r="J153">
            <v>0.34499999999999997</v>
          </cell>
          <cell r="K153">
            <v>-5.0000000000000001E-3</v>
          </cell>
          <cell r="L153">
            <v>0.156</v>
          </cell>
          <cell r="M153">
            <v>6.8650320547562024E-2</v>
          </cell>
          <cell r="N153">
            <v>0.46093466056945964</v>
          </cell>
          <cell r="O153">
            <v>144</v>
          </cell>
        </row>
        <row r="154">
          <cell r="D154">
            <v>40603</v>
          </cell>
          <cell r="E154">
            <v>3.1885000000000003</v>
          </cell>
          <cell r="F154">
            <v>0.29300000000000004</v>
          </cell>
          <cell r="G154">
            <v>1.2500000000000001E-2</v>
          </cell>
          <cell r="H154">
            <v>0.75</v>
          </cell>
          <cell r="I154">
            <v>0.85</v>
          </cell>
          <cell r="J154">
            <v>0.34300000000000003</v>
          </cell>
          <cell r="K154">
            <v>-5.0000000000000001E-3</v>
          </cell>
          <cell r="L154">
            <v>0.156</v>
          </cell>
          <cell r="M154">
            <v>6.8668967401517025E-2</v>
          </cell>
          <cell r="N154">
            <v>0.45846027350614527</v>
          </cell>
          <cell r="O154">
            <v>145</v>
          </cell>
        </row>
        <row r="155">
          <cell r="D155">
            <v>40634</v>
          </cell>
          <cell r="E155">
            <v>3.0844999999999998</v>
          </cell>
          <cell r="F155">
            <v>0.17800000000000002</v>
          </cell>
          <cell r="G155">
            <v>0</v>
          </cell>
          <cell r="H155">
            <v>0.45</v>
          </cell>
          <cell r="I155">
            <v>0.45</v>
          </cell>
          <cell r="J155">
            <v>0.22800000000000001</v>
          </cell>
          <cell r="K155">
            <v>-7.4999999999999997E-3</v>
          </cell>
          <cell r="L155">
            <v>0.156</v>
          </cell>
          <cell r="M155">
            <v>6.8689612132816033E-2</v>
          </cell>
          <cell r="N155">
            <v>0.45573479622496771</v>
          </cell>
          <cell r="O155">
            <v>146</v>
          </cell>
        </row>
        <row r="156">
          <cell r="D156">
            <v>40664</v>
          </cell>
          <cell r="E156">
            <v>3.0585000000000004</v>
          </cell>
          <cell r="F156">
            <v>0.16800000000000001</v>
          </cell>
          <cell r="G156">
            <v>0</v>
          </cell>
          <cell r="H156">
            <v>0.5</v>
          </cell>
          <cell r="I156">
            <v>0.45</v>
          </cell>
          <cell r="J156">
            <v>0.218</v>
          </cell>
          <cell r="K156">
            <v>-7.4999999999999997E-3</v>
          </cell>
          <cell r="L156">
            <v>0.156</v>
          </cell>
          <cell r="M156">
            <v>6.8709590905175005E-2</v>
          </cell>
          <cell r="N156">
            <v>0.4531112048725473</v>
          </cell>
          <cell r="O156">
            <v>147</v>
          </cell>
        </row>
        <row r="157">
          <cell r="D157">
            <v>40695</v>
          </cell>
          <cell r="E157">
            <v>3.0615000000000006</v>
          </cell>
          <cell r="F157">
            <v>0.16200000000000001</v>
          </cell>
          <cell r="G157">
            <v>0</v>
          </cell>
          <cell r="H157">
            <v>0.5</v>
          </cell>
          <cell r="I157">
            <v>0.45</v>
          </cell>
          <cell r="J157">
            <v>0.21199999999999999</v>
          </cell>
          <cell r="K157">
            <v>-7.4999999999999997E-3</v>
          </cell>
          <cell r="L157">
            <v>0.156</v>
          </cell>
          <cell r="M157">
            <v>6.8730235636751014E-2</v>
          </cell>
          <cell r="N157">
            <v>0.4504145262668664</v>
          </cell>
          <cell r="O157">
            <v>148</v>
          </cell>
        </row>
        <row r="158">
          <cell r="D158">
            <v>40725</v>
          </cell>
          <cell r="E158">
            <v>3.0627</v>
          </cell>
          <cell r="F158">
            <v>0.15200000000000002</v>
          </cell>
          <cell r="G158">
            <v>0</v>
          </cell>
          <cell r="H158">
            <v>0.55000000000000004</v>
          </cell>
          <cell r="I158">
            <v>0.5</v>
          </cell>
          <cell r="J158">
            <v>0.20199999999999999</v>
          </cell>
          <cell r="K158">
            <v>-7.4999999999999997E-3</v>
          </cell>
          <cell r="L158">
            <v>0.156</v>
          </cell>
          <cell r="M158">
            <v>6.8750214409378993E-2</v>
          </cell>
          <cell r="N158">
            <v>0.44781867569097322</v>
          </cell>
          <cell r="O158">
            <v>149</v>
          </cell>
        </row>
        <row r="159">
          <cell r="D159">
            <v>40756</v>
          </cell>
          <cell r="E159">
            <v>3.0594999999999999</v>
          </cell>
          <cell r="F159">
            <v>0.15</v>
          </cell>
          <cell r="G159">
            <v>0</v>
          </cell>
          <cell r="H159">
            <v>0.6</v>
          </cell>
          <cell r="I159">
            <v>0.55000000000000004</v>
          </cell>
          <cell r="J159">
            <v>0.2</v>
          </cell>
          <cell r="K159">
            <v>-7.4999999999999997E-3</v>
          </cell>
          <cell r="L159">
            <v>0.156</v>
          </cell>
          <cell r="M159">
            <v>6.8770859141233001E-2</v>
          </cell>
          <cell r="N159">
            <v>0.44515052984890319</v>
          </cell>
          <cell r="O159">
            <v>150</v>
          </cell>
        </row>
        <row r="160">
          <cell r="D160">
            <v>40787</v>
          </cell>
          <cell r="E160">
            <v>3.0705</v>
          </cell>
          <cell r="F160">
            <v>0.14800000000000002</v>
          </cell>
          <cell r="G160">
            <v>0</v>
          </cell>
          <cell r="H160">
            <v>0.6</v>
          </cell>
          <cell r="I160">
            <v>0.55000000000000004</v>
          </cell>
          <cell r="J160">
            <v>0.19800000000000001</v>
          </cell>
          <cell r="K160">
            <v>-7.4999999999999997E-3</v>
          </cell>
          <cell r="L160">
            <v>0.156</v>
          </cell>
          <cell r="M160">
            <v>6.8791503873228022E-2</v>
          </cell>
          <cell r="N160">
            <v>0.44249678299566597</v>
          </cell>
          <cell r="O160">
            <v>151</v>
          </cell>
        </row>
        <row r="161">
          <cell r="D161">
            <v>40817</v>
          </cell>
          <cell r="E161">
            <v>3.1025</v>
          </cell>
          <cell r="F161">
            <v>0.16200000000000001</v>
          </cell>
          <cell r="G161">
            <v>0</v>
          </cell>
          <cell r="H161">
            <v>0.65</v>
          </cell>
          <cell r="I161">
            <v>0.6</v>
          </cell>
          <cell r="J161">
            <v>0.21199999999999999</v>
          </cell>
          <cell r="K161">
            <v>-7.4999999999999997E-3</v>
          </cell>
          <cell r="L161">
            <v>0.156</v>
          </cell>
          <cell r="M161">
            <v>6.881148264626101E-2</v>
          </cell>
          <cell r="N161">
            <v>0.43994228667652369</v>
          </cell>
          <cell r="O161">
            <v>152</v>
          </cell>
        </row>
        <row r="162">
          <cell r="D162">
            <v>40848</v>
          </cell>
          <cell r="E162">
            <v>3.2335000000000003</v>
          </cell>
          <cell r="F162">
            <v>0.255</v>
          </cell>
          <cell r="G162">
            <v>1.2500000000000001E-2</v>
          </cell>
          <cell r="H162">
            <v>0.8</v>
          </cell>
          <cell r="I162">
            <v>0.9</v>
          </cell>
          <cell r="J162">
            <v>0.30499999999999999</v>
          </cell>
          <cell r="K162">
            <v>-5.0000000000000001E-3</v>
          </cell>
          <cell r="L162">
            <v>0.156</v>
          </cell>
          <cell r="M162">
            <v>6.8832127378533017E-2</v>
          </cell>
          <cell r="N162">
            <v>0.43731667529701879</v>
          </cell>
          <cell r="O162">
            <v>153</v>
          </cell>
        </row>
        <row r="163">
          <cell r="D163">
            <v>40878</v>
          </cell>
          <cell r="E163">
            <v>3.3705000000000003</v>
          </cell>
          <cell r="F163">
            <v>0.29499999999999998</v>
          </cell>
          <cell r="G163">
            <v>1.2500000000000001E-2</v>
          </cell>
          <cell r="H163">
            <v>1.1000000000000001</v>
          </cell>
          <cell r="I163">
            <v>1.1499999999999999</v>
          </cell>
          <cell r="J163">
            <v>0.34499999999999997</v>
          </cell>
          <cell r="K163">
            <v>-5.0000000000000001E-3</v>
          </cell>
          <cell r="L163">
            <v>0.156</v>
          </cell>
          <cell r="M163">
            <v>6.8852106151834014E-2</v>
          </cell>
          <cell r="N163">
            <v>0.43478928035347764</v>
          </cell>
          <cell r="O163">
            <v>154</v>
          </cell>
        </row>
        <row r="164">
          <cell r="D164">
            <v>40909</v>
          </cell>
          <cell r="E164">
            <v>3.4955000000000003</v>
          </cell>
          <cell r="F164">
            <v>0.312</v>
          </cell>
          <cell r="G164">
            <v>1.2500000000000001E-2</v>
          </cell>
          <cell r="H164">
            <v>1.1000000000000001</v>
          </cell>
          <cell r="I164">
            <v>1.1499999999999999</v>
          </cell>
          <cell r="J164">
            <v>0.36200000000000004</v>
          </cell>
          <cell r="K164">
            <v>-5.0000000000000001E-3</v>
          </cell>
          <cell r="L164">
            <v>0.155</v>
          </cell>
          <cell r="M164">
            <v>6.8872750884385006E-2</v>
          </cell>
          <cell r="N164">
            <v>0.43219154350481642</v>
          </cell>
          <cell r="O164">
            <v>155</v>
          </cell>
        </row>
        <row r="165">
          <cell r="D165">
            <v>40940</v>
          </cell>
          <cell r="E165">
            <v>3.4035000000000002</v>
          </cell>
          <cell r="F165">
            <v>0.28999999999999998</v>
          </cell>
          <cell r="G165">
            <v>1.2500000000000001E-2</v>
          </cell>
          <cell r="H165">
            <v>1.1000000000000001</v>
          </cell>
          <cell r="I165">
            <v>1.1499999999999999</v>
          </cell>
          <cell r="J165">
            <v>0.34</v>
          </cell>
          <cell r="K165">
            <v>-5.0000000000000001E-3</v>
          </cell>
          <cell r="L165">
            <v>0.155</v>
          </cell>
          <cell r="M165">
            <v>6.8893395617076011E-2</v>
          </cell>
          <cell r="N165">
            <v>0.42960787302995074</v>
          </cell>
          <cell r="O165">
            <v>156</v>
          </cell>
        </row>
        <row r="166">
          <cell r="D166">
            <v>40969</v>
          </cell>
          <cell r="E166">
            <v>3.2985000000000002</v>
          </cell>
          <cell r="F166">
            <v>0.28800000000000003</v>
          </cell>
          <cell r="G166">
            <v>1.2500000000000001E-2</v>
          </cell>
          <cell r="H166">
            <v>0.75</v>
          </cell>
          <cell r="I166">
            <v>0.85</v>
          </cell>
          <cell r="J166">
            <v>0.33799999999999997</v>
          </cell>
          <cell r="K166">
            <v>-5.0000000000000001E-3</v>
          </cell>
          <cell r="L166">
            <v>0.155</v>
          </cell>
          <cell r="M166">
            <v>6.8912708431656006E-2</v>
          </cell>
          <cell r="N166">
            <v>0.42720356633407214</v>
          </cell>
          <cell r="O166">
            <v>157</v>
          </cell>
        </row>
        <row r="167">
          <cell r="D167">
            <v>41000</v>
          </cell>
          <cell r="E167">
            <v>3.1945000000000001</v>
          </cell>
          <cell r="F167">
            <v>0.17300000000000001</v>
          </cell>
          <cell r="G167">
            <v>0</v>
          </cell>
          <cell r="H167">
            <v>0.45</v>
          </cell>
          <cell r="I167">
            <v>0.45</v>
          </cell>
          <cell r="J167">
            <v>0.223</v>
          </cell>
          <cell r="K167">
            <v>-7.4999999999999997E-3</v>
          </cell>
          <cell r="L167">
            <v>0.155</v>
          </cell>
          <cell r="M167">
            <v>6.8933353164620001E-2</v>
          </cell>
          <cell r="N167">
            <v>0.42464693205047477</v>
          </cell>
          <cell r="O167">
            <v>158</v>
          </cell>
        </row>
        <row r="168">
          <cell r="D168">
            <v>41030</v>
          </cell>
          <cell r="E168">
            <v>3.1685000000000003</v>
          </cell>
          <cell r="F168">
            <v>0.16300000000000001</v>
          </cell>
          <cell r="G168">
            <v>0</v>
          </cell>
          <cell r="H168">
            <v>0.5</v>
          </cell>
          <cell r="I168">
            <v>0.45</v>
          </cell>
          <cell r="J168">
            <v>0.21300000000000002</v>
          </cell>
          <cell r="K168">
            <v>-7.4999999999999997E-3</v>
          </cell>
          <cell r="L168">
            <v>0.155</v>
          </cell>
          <cell r="M168">
            <v>6.8953331938590004E-2</v>
          </cell>
          <cell r="N168">
            <v>0.42218597804720204</v>
          </cell>
          <cell r="O168">
            <v>159</v>
          </cell>
        </row>
        <row r="169">
          <cell r="D169">
            <v>41061</v>
          </cell>
          <cell r="E169">
            <v>3.1715000000000004</v>
          </cell>
          <cell r="F169">
            <v>0.157</v>
          </cell>
          <cell r="G169">
            <v>0</v>
          </cell>
          <cell r="H169">
            <v>0.5</v>
          </cell>
          <cell r="I169">
            <v>0.45</v>
          </cell>
          <cell r="J169">
            <v>0.20699999999999999</v>
          </cell>
          <cell r="K169">
            <v>-7.4999999999999997E-3</v>
          </cell>
          <cell r="L169">
            <v>0.155</v>
          </cell>
          <cell r="M169">
            <v>6.8973976671831028E-2</v>
          </cell>
          <cell r="N169">
            <v>0.41965657660230071</v>
          </cell>
          <cell r="O169">
            <v>160</v>
          </cell>
        </row>
        <row r="170">
          <cell r="D170">
            <v>41091</v>
          </cell>
          <cell r="E170">
            <v>3.1728000000000005</v>
          </cell>
          <cell r="F170">
            <v>0.14700000000000002</v>
          </cell>
          <cell r="G170">
            <v>0</v>
          </cell>
          <cell r="H170">
            <v>0.55000000000000004</v>
          </cell>
          <cell r="I170">
            <v>0.5</v>
          </cell>
          <cell r="J170">
            <v>0.19700000000000001</v>
          </cell>
          <cell r="K170">
            <v>-7.4999999999999997E-3</v>
          </cell>
          <cell r="L170">
            <v>0.155</v>
          </cell>
          <cell r="M170">
            <v>6.899395544607001E-2</v>
          </cell>
          <cell r="N170">
            <v>0.4172218537601905</v>
          </cell>
          <cell r="O170">
            <v>161</v>
          </cell>
        </row>
        <row r="171">
          <cell r="D171">
            <v>41122</v>
          </cell>
          <cell r="E171">
            <v>3.1694999999999998</v>
          </cell>
          <cell r="F171">
            <v>0.14499999999999999</v>
          </cell>
          <cell r="G171">
            <v>0</v>
          </cell>
          <cell r="H171">
            <v>0.6</v>
          </cell>
          <cell r="I171">
            <v>0.55000000000000004</v>
          </cell>
          <cell r="J171">
            <v>0.19500000000000001</v>
          </cell>
          <cell r="K171">
            <v>-7.4999999999999997E-3</v>
          </cell>
          <cell r="L171">
            <v>0.155</v>
          </cell>
          <cell r="M171">
            <v>6.9014600179589006E-2</v>
          </cell>
          <cell r="N171">
            <v>0.41471943102969228</v>
          </cell>
          <cell r="O171">
            <v>162</v>
          </cell>
        </row>
        <row r="172">
          <cell r="D172">
            <v>41153</v>
          </cell>
          <cell r="E172">
            <v>3.1805000000000003</v>
          </cell>
          <cell r="F172">
            <v>0.14300000000000002</v>
          </cell>
          <cell r="G172">
            <v>0</v>
          </cell>
          <cell r="H172">
            <v>0.6</v>
          </cell>
          <cell r="I172">
            <v>0.55000000000000004</v>
          </cell>
          <cell r="J172">
            <v>0.193</v>
          </cell>
          <cell r="K172">
            <v>-7.4999999999999997E-3</v>
          </cell>
          <cell r="L172">
            <v>0.155</v>
          </cell>
          <cell r="M172">
            <v>6.9035244913249014E-2</v>
          </cell>
          <cell r="N172">
            <v>0.4122306220244758</v>
          </cell>
          <cell r="O172">
            <v>163</v>
          </cell>
        </row>
        <row r="173">
          <cell r="D173">
            <v>41183</v>
          </cell>
          <cell r="E173">
            <v>3.2124999999999999</v>
          </cell>
          <cell r="F173">
            <v>0.157</v>
          </cell>
          <cell r="G173">
            <v>0</v>
          </cell>
          <cell r="H173">
            <v>0.65</v>
          </cell>
          <cell r="I173">
            <v>0.6</v>
          </cell>
          <cell r="J173">
            <v>0.20699999999999999</v>
          </cell>
          <cell r="K173">
            <v>-7.4999999999999997E-3</v>
          </cell>
          <cell r="L173">
            <v>0.155</v>
          </cell>
          <cell r="M173">
            <v>6.9055223687893005E-2</v>
          </cell>
          <cell r="N173">
            <v>0.4098349981487564</v>
          </cell>
          <cell r="O173">
            <v>164</v>
          </cell>
        </row>
        <row r="174">
          <cell r="D174">
            <v>41214</v>
          </cell>
          <cell r="E174">
            <v>3.3435000000000001</v>
          </cell>
          <cell r="F174">
            <v>0.25</v>
          </cell>
          <cell r="G174">
            <v>1.2500000000000001E-2</v>
          </cell>
          <cell r="H174">
            <v>0.8</v>
          </cell>
          <cell r="I174">
            <v>0.9</v>
          </cell>
          <cell r="J174">
            <v>0.3</v>
          </cell>
          <cell r="K174">
            <v>-5.0000000000000001E-3</v>
          </cell>
          <cell r="L174">
            <v>0.155</v>
          </cell>
          <cell r="M174">
            <v>6.907586842183E-2</v>
          </cell>
          <cell r="N174">
            <v>0.40737278823860867</v>
          </cell>
          <cell r="O174">
            <v>165</v>
          </cell>
        </row>
        <row r="175">
          <cell r="D175">
            <v>41244</v>
          </cell>
          <cell r="E175">
            <v>3.4805000000000001</v>
          </cell>
          <cell r="F175">
            <v>0.28999999999999998</v>
          </cell>
          <cell r="G175">
            <v>1.2500000000000001E-2</v>
          </cell>
          <cell r="H175">
            <v>1.1000000000000001</v>
          </cell>
          <cell r="I175">
            <v>1.1499999999999999</v>
          </cell>
          <cell r="J175">
            <v>0.34</v>
          </cell>
          <cell r="K175">
            <v>-5.0000000000000001E-3</v>
          </cell>
          <cell r="L175">
            <v>0.155</v>
          </cell>
          <cell r="M175">
            <v>6.9095847196742013E-2</v>
          </cell>
          <cell r="N175">
            <v>0.40500278456201205</v>
          </cell>
          <cell r="O175">
            <v>166</v>
          </cell>
        </row>
        <row r="176">
          <cell r="D176">
            <v>41275</v>
          </cell>
          <cell r="E176">
            <v>3.6105</v>
          </cell>
          <cell r="F176">
            <v>0.307</v>
          </cell>
          <cell r="G176">
            <v>1.2500000000000001E-2</v>
          </cell>
          <cell r="H176">
            <v>1.1000000000000001</v>
          </cell>
          <cell r="I176">
            <v>1.1499999999999999</v>
          </cell>
          <cell r="J176">
            <v>0.35700000000000004</v>
          </cell>
          <cell r="K176">
            <v>-5.0000000000000001E-3</v>
          </cell>
          <cell r="L176">
            <v>0.154</v>
          </cell>
          <cell r="M176">
            <v>6.9116491930956023E-2</v>
          </cell>
          <cell r="N176">
            <v>0.40256692444899594</v>
          </cell>
          <cell r="O176">
            <v>167</v>
          </cell>
        </row>
        <row r="177">
          <cell r="D177">
            <v>41306</v>
          </cell>
          <cell r="E177">
            <v>3.5185000000000004</v>
          </cell>
          <cell r="F177">
            <v>0.28499999999999998</v>
          </cell>
          <cell r="G177">
            <v>1.2500000000000001E-2</v>
          </cell>
          <cell r="H177">
            <v>1.1000000000000001</v>
          </cell>
          <cell r="I177">
            <v>1.1499999999999999</v>
          </cell>
          <cell r="J177">
            <v>0.33500000000000002</v>
          </cell>
          <cell r="K177">
            <v>-5.0000000000000001E-3</v>
          </cell>
          <cell r="L177">
            <v>0.154</v>
          </cell>
          <cell r="M177">
            <v>6.9137136665312002E-2</v>
          </cell>
          <cell r="N177">
            <v>0.40014436028951084</v>
          </cell>
          <cell r="O177">
            <v>168</v>
          </cell>
        </row>
        <row r="178">
          <cell r="D178">
            <v>41334</v>
          </cell>
          <cell r="E178">
            <v>3.4135000000000004</v>
          </cell>
          <cell r="F178">
            <v>0.28300000000000003</v>
          </cell>
          <cell r="G178">
            <v>1.2500000000000001E-2</v>
          </cell>
          <cell r="H178">
            <v>0.75</v>
          </cell>
          <cell r="I178">
            <v>0.85</v>
          </cell>
          <cell r="J178">
            <v>0.33299999999999996</v>
          </cell>
          <cell r="K178">
            <v>-5.0000000000000001E-3</v>
          </cell>
          <cell r="L178">
            <v>0.154</v>
          </cell>
          <cell r="M178">
            <v>6.9155783522271017E-2</v>
          </cell>
          <cell r="N178">
            <v>0.39796761303609468</v>
          </cell>
          <cell r="O178">
            <v>169</v>
          </cell>
        </row>
        <row r="179">
          <cell r="D179">
            <v>41365</v>
          </cell>
          <cell r="E179">
            <v>3.3094999999999999</v>
          </cell>
          <cell r="F179">
            <v>0.16800000000000001</v>
          </cell>
          <cell r="G179">
            <v>0</v>
          </cell>
          <cell r="H179">
            <v>0.45</v>
          </cell>
          <cell r="I179">
            <v>0.45</v>
          </cell>
          <cell r="J179">
            <v>0.218</v>
          </cell>
          <cell r="K179">
            <v>-7.4999999999999997E-3</v>
          </cell>
          <cell r="L179">
            <v>0.154</v>
          </cell>
          <cell r="M179">
            <v>6.9176428256895031E-2</v>
          </cell>
          <cell r="N179">
            <v>0.39557017845743092</v>
          </cell>
          <cell r="O179">
            <v>170</v>
          </cell>
        </row>
        <row r="180">
          <cell r="D180">
            <v>41395</v>
          </cell>
          <cell r="E180">
            <v>3.2835000000000001</v>
          </cell>
          <cell r="F180">
            <v>0.158</v>
          </cell>
          <cell r="G180">
            <v>0</v>
          </cell>
          <cell r="H180">
            <v>0.5</v>
          </cell>
          <cell r="I180">
            <v>0.45</v>
          </cell>
          <cell r="J180">
            <v>0.20800000000000002</v>
          </cell>
          <cell r="K180">
            <v>-7.4999999999999997E-3</v>
          </cell>
          <cell r="L180">
            <v>0.154</v>
          </cell>
          <cell r="M180">
            <v>6.9196407032472013E-2</v>
          </cell>
          <cell r="N180">
            <v>0.39326256537139315</v>
          </cell>
          <cell r="O180">
            <v>171</v>
          </cell>
        </row>
        <row r="181">
          <cell r="D181">
            <v>41426</v>
          </cell>
          <cell r="E181">
            <v>3.2865000000000002</v>
          </cell>
          <cell r="F181">
            <v>0.15200000000000002</v>
          </cell>
          <cell r="G181">
            <v>0</v>
          </cell>
          <cell r="H181">
            <v>0.5</v>
          </cell>
          <cell r="I181">
            <v>0.45</v>
          </cell>
          <cell r="J181">
            <v>0.20199999999999999</v>
          </cell>
          <cell r="K181">
            <v>-7.4999999999999997E-3</v>
          </cell>
          <cell r="L181">
            <v>0.154</v>
          </cell>
          <cell r="M181">
            <v>6.9217051767373014E-2</v>
          </cell>
          <cell r="N181">
            <v>0.39089087166027103</v>
          </cell>
          <cell r="O181">
            <v>172</v>
          </cell>
        </row>
        <row r="182">
          <cell r="D182">
            <v>41456</v>
          </cell>
          <cell r="E182">
            <v>3.2878000000000003</v>
          </cell>
          <cell r="F182">
            <v>0.14200000000000002</v>
          </cell>
          <cell r="G182">
            <v>0</v>
          </cell>
          <cell r="H182">
            <v>0.55000000000000004</v>
          </cell>
          <cell r="I182">
            <v>0.5</v>
          </cell>
          <cell r="J182">
            <v>0.192</v>
          </cell>
          <cell r="K182">
            <v>-7.4999999999999997E-3</v>
          </cell>
          <cell r="L182">
            <v>0.154</v>
          </cell>
          <cell r="M182">
            <v>6.9237030543218017E-2</v>
          </cell>
          <cell r="N182">
            <v>0.38860805142248428</v>
          </cell>
          <cell r="O182">
            <v>173</v>
          </cell>
        </row>
        <row r="183">
          <cell r="D183">
            <v>41487</v>
          </cell>
          <cell r="E183">
            <v>3.2845</v>
          </cell>
          <cell r="F183">
            <v>0.14000000000000001</v>
          </cell>
          <cell r="G183">
            <v>0</v>
          </cell>
          <cell r="H183">
            <v>0.6</v>
          </cell>
          <cell r="I183">
            <v>0.55000000000000004</v>
          </cell>
          <cell r="J183">
            <v>0.19</v>
          </cell>
          <cell r="K183">
            <v>-7.4999999999999997E-3</v>
          </cell>
          <cell r="L183">
            <v>0.154</v>
          </cell>
          <cell r="M183">
            <v>6.9257675278397005E-2</v>
          </cell>
          <cell r="N183">
            <v>0.38626185586918965</v>
          </cell>
          <cell r="O183">
            <v>174</v>
          </cell>
        </row>
        <row r="184">
          <cell r="D184">
            <v>41518</v>
          </cell>
          <cell r="E184">
            <v>3.2955000000000001</v>
          </cell>
          <cell r="F184">
            <v>0.13800000000000001</v>
          </cell>
          <cell r="G184">
            <v>0</v>
          </cell>
          <cell r="H184">
            <v>0.6</v>
          </cell>
          <cell r="I184">
            <v>0.55000000000000004</v>
          </cell>
          <cell r="J184">
            <v>0.188</v>
          </cell>
          <cell r="K184">
            <v>-7.4999999999999997E-3</v>
          </cell>
          <cell r="L184">
            <v>0.154</v>
          </cell>
          <cell r="M184">
            <v>6.9278320013717018E-2</v>
          </cell>
          <cell r="N184">
            <v>0.38392852598328242</v>
          </cell>
          <cell r="O184">
            <v>175</v>
          </cell>
        </row>
        <row r="185">
          <cell r="D185">
            <v>41548</v>
          </cell>
          <cell r="E185">
            <v>3.3275000000000001</v>
          </cell>
          <cell r="F185">
            <v>0.15200000000000002</v>
          </cell>
          <cell r="G185">
            <v>0</v>
          </cell>
          <cell r="H185">
            <v>0.65</v>
          </cell>
          <cell r="I185">
            <v>0.6</v>
          </cell>
          <cell r="J185">
            <v>0.20199999999999999</v>
          </cell>
          <cell r="K185">
            <v>-7.4999999999999997E-3</v>
          </cell>
          <cell r="L185">
            <v>0.154</v>
          </cell>
          <cell r="M185">
            <v>6.9298298789967017E-2</v>
          </cell>
          <cell r="N185">
            <v>0.38168265627641279</v>
          </cell>
          <cell r="O185">
            <v>176</v>
          </cell>
        </row>
        <row r="186">
          <cell r="D186">
            <v>41579</v>
          </cell>
          <cell r="E186">
            <v>3.4585000000000004</v>
          </cell>
          <cell r="F186">
            <v>0.245</v>
          </cell>
          <cell r="G186">
            <v>1.2500000000000001E-2</v>
          </cell>
          <cell r="H186">
            <v>0.8</v>
          </cell>
          <cell r="I186">
            <v>0.9</v>
          </cell>
          <cell r="J186">
            <v>0.29499999999999998</v>
          </cell>
          <cell r="K186">
            <v>-5.0000000000000001E-3</v>
          </cell>
          <cell r="L186">
            <v>0.154</v>
          </cell>
          <cell r="M186">
            <v>6.9318943525564003E-2</v>
          </cell>
          <cell r="N186">
            <v>0.37937446203626773</v>
          </cell>
          <cell r="O186">
            <v>177</v>
          </cell>
        </row>
        <row r="187">
          <cell r="D187">
            <v>41609</v>
          </cell>
          <cell r="E187">
            <v>3.5955000000000004</v>
          </cell>
          <cell r="F187">
            <v>0.28499999999999998</v>
          </cell>
          <cell r="G187">
            <v>1.2500000000000001E-2</v>
          </cell>
          <cell r="H187">
            <v>1.1000000000000001</v>
          </cell>
          <cell r="I187">
            <v>1.1499999999999999</v>
          </cell>
          <cell r="J187">
            <v>0.33500000000000002</v>
          </cell>
          <cell r="K187">
            <v>-5.0000000000000001E-3</v>
          </cell>
          <cell r="L187">
            <v>0.154</v>
          </cell>
          <cell r="M187">
            <v>6.9338922302082009E-2</v>
          </cell>
          <cell r="N187">
            <v>0.37715280174795773</v>
          </cell>
          <cell r="O187">
            <v>178</v>
          </cell>
        </row>
        <row r="188">
          <cell r="D188">
            <v>41640</v>
          </cell>
          <cell r="E188">
            <v>3.7305000000000001</v>
          </cell>
          <cell r="F188">
            <v>0.30199999999999999</v>
          </cell>
          <cell r="G188">
            <v>1.2500000000000001E-2</v>
          </cell>
          <cell r="H188">
            <v>1.1000000000000001</v>
          </cell>
          <cell r="I188">
            <v>1.1499999999999999</v>
          </cell>
          <cell r="J188">
            <v>0.35200000000000004</v>
          </cell>
          <cell r="K188">
            <v>-5.0000000000000001E-3</v>
          </cell>
          <cell r="L188">
            <v>0.153</v>
          </cell>
          <cell r="M188">
            <v>6.935956703795701E-2</v>
          </cell>
          <cell r="N188">
            <v>0.37486950512667899</v>
          </cell>
          <cell r="O188">
            <v>179</v>
          </cell>
        </row>
        <row r="189">
          <cell r="D189">
            <v>41671</v>
          </cell>
          <cell r="E189">
            <v>3.6385000000000005</v>
          </cell>
          <cell r="F189">
            <v>0.28000000000000003</v>
          </cell>
          <cell r="G189">
            <v>1.2500000000000001E-2</v>
          </cell>
          <cell r="H189">
            <v>1.1000000000000001</v>
          </cell>
          <cell r="I189">
            <v>1.1499999999999999</v>
          </cell>
          <cell r="J189">
            <v>0.33</v>
          </cell>
          <cell r="K189">
            <v>-5.0000000000000001E-3</v>
          </cell>
          <cell r="L189">
            <v>0.153</v>
          </cell>
          <cell r="M189">
            <v>6.9380211773972994E-2</v>
          </cell>
          <cell r="N189">
            <v>0.37259877076774017</v>
          </cell>
          <cell r="O189">
            <v>180</v>
          </cell>
        </row>
        <row r="190">
          <cell r="D190">
            <v>41699</v>
          </cell>
          <cell r="E190">
            <v>3.5335000000000001</v>
          </cell>
          <cell r="F190">
            <v>0.27800000000000002</v>
          </cell>
          <cell r="G190">
            <v>1.2500000000000001E-2</v>
          </cell>
          <cell r="H190">
            <v>0.75</v>
          </cell>
          <cell r="I190">
            <v>0.85</v>
          </cell>
          <cell r="J190">
            <v>0.32799999999999996</v>
          </cell>
          <cell r="K190">
            <v>-5.0000000000000001E-3</v>
          </cell>
          <cell r="L190">
            <v>0.153</v>
          </cell>
          <cell r="M190">
            <v>6.9398858632431018E-2</v>
          </cell>
          <cell r="N190">
            <v>0.37055853188797672</v>
          </cell>
          <cell r="O190">
            <v>181</v>
          </cell>
        </row>
        <row r="191">
          <cell r="D191">
            <v>41730</v>
          </cell>
          <cell r="E191">
            <v>3.4295</v>
          </cell>
          <cell r="F191">
            <v>0.16300000000000001</v>
          </cell>
          <cell r="G191">
            <v>0</v>
          </cell>
          <cell r="H191">
            <v>0.45</v>
          </cell>
          <cell r="I191">
            <v>0.45</v>
          </cell>
          <cell r="J191">
            <v>0.21300000000000002</v>
          </cell>
          <cell r="K191">
            <v>-7.4999999999999997E-3</v>
          </cell>
          <cell r="L191">
            <v>0.153</v>
          </cell>
          <cell r="M191">
            <v>6.941950336871501E-2</v>
          </cell>
          <cell r="N191">
            <v>0.36831153870394484</v>
          </cell>
          <cell r="O191">
            <v>182</v>
          </cell>
        </row>
        <row r="192">
          <cell r="D192">
            <v>41760</v>
          </cell>
          <cell r="E192">
            <v>3.4035000000000002</v>
          </cell>
          <cell r="F192">
            <v>0.153</v>
          </cell>
          <cell r="G192">
            <v>0</v>
          </cell>
          <cell r="H192">
            <v>0.5</v>
          </cell>
          <cell r="I192">
            <v>0.45</v>
          </cell>
          <cell r="J192">
            <v>0.20300000000000001</v>
          </cell>
          <cell r="K192">
            <v>-7.4999999999999997E-3</v>
          </cell>
          <cell r="L192">
            <v>0.153</v>
          </cell>
          <cell r="M192">
            <v>6.9439482145897014E-2</v>
          </cell>
          <cell r="N192">
            <v>0.36614882342813126</v>
          </cell>
          <cell r="O192">
            <v>183</v>
          </cell>
        </row>
        <row r="193">
          <cell r="D193">
            <v>41791</v>
          </cell>
          <cell r="E193">
            <v>3.4065000000000003</v>
          </cell>
          <cell r="F193">
            <v>0.14700000000000002</v>
          </cell>
          <cell r="G193">
            <v>0</v>
          </cell>
          <cell r="H193">
            <v>0.5</v>
          </cell>
          <cell r="I193">
            <v>0.45</v>
          </cell>
          <cell r="J193">
            <v>0.19700000000000001</v>
          </cell>
          <cell r="K193">
            <v>-7.4999999999999997E-3</v>
          </cell>
          <cell r="L193">
            <v>0.153</v>
          </cell>
          <cell r="M193">
            <v>6.9460126882459006E-2</v>
          </cell>
          <cell r="N193">
            <v>0.36392614658705141</v>
          </cell>
          <cell r="O193">
            <v>184</v>
          </cell>
        </row>
        <row r="194">
          <cell r="D194">
            <v>41821</v>
          </cell>
          <cell r="E194">
            <v>3.4078000000000004</v>
          </cell>
          <cell r="F194">
            <v>0.13700000000000001</v>
          </cell>
          <cell r="G194">
            <v>0</v>
          </cell>
          <cell r="H194">
            <v>0.55000000000000004</v>
          </cell>
          <cell r="I194">
            <v>0.5</v>
          </cell>
          <cell r="J194">
            <v>0.187</v>
          </cell>
          <cell r="K194">
            <v>-7.4999999999999997E-3</v>
          </cell>
          <cell r="L194">
            <v>0.153</v>
          </cell>
          <cell r="M194">
            <v>6.9480105659911015E-2</v>
          </cell>
          <cell r="N194">
            <v>0.36178685095148022</v>
          </cell>
          <cell r="O194">
            <v>185</v>
          </cell>
        </row>
        <row r="195">
          <cell r="D195">
            <v>41852</v>
          </cell>
          <cell r="E195">
            <v>3.4045000000000001</v>
          </cell>
          <cell r="F195">
            <v>0.13500000000000001</v>
          </cell>
          <cell r="G195">
            <v>0</v>
          </cell>
          <cell r="H195">
            <v>0.6</v>
          </cell>
          <cell r="I195">
            <v>0.55000000000000004</v>
          </cell>
          <cell r="J195">
            <v>0.185</v>
          </cell>
          <cell r="K195">
            <v>-7.4999999999999997E-3</v>
          </cell>
          <cell r="L195">
            <v>0.153</v>
          </cell>
          <cell r="M195">
            <v>6.9500750396749009E-2</v>
          </cell>
          <cell r="N195">
            <v>0.35958825881517809</v>
          </cell>
          <cell r="O195">
            <v>186</v>
          </cell>
        </row>
        <row r="196">
          <cell r="D196">
            <v>41883</v>
          </cell>
          <cell r="E196">
            <v>3.4155000000000002</v>
          </cell>
          <cell r="F196">
            <v>0.13300000000000001</v>
          </cell>
          <cell r="G196">
            <v>0</v>
          </cell>
          <cell r="H196">
            <v>0.6</v>
          </cell>
          <cell r="I196">
            <v>0.55000000000000004</v>
          </cell>
          <cell r="J196">
            <v>0.18300000000000002</v>
          </cell>
          <cell r="K196">
            <v>-7.4999999999999997E-3</v>
          </cell>
          <cell r="L196">
            <v>0.153</v>
          </cell>
          <cell r="M196">
            <v>6.9521395133729E-2</v>
          </cell>
          <cell r="N196">
            <v>0.35740181825856054</v>
          </cell>
          <cell r="O196">
            <v>187</v>
          </cell>
        </row>
        <row r="197">
          <cell r="D197">
            <v>41913</v>
          </cell>
          <cell r="E197">
            <v>3.4474999999999998</v>
          </cell>
          <cell r="F197">
            <v>0.14700000000000002</v>
          </cell>
          <cell r="G197">
            <v>0</v>
          </cell>
          <cell r="H197">
            <v>0.65</v>
          </cell>
          <cell r="I197">
            <v>0.6</v>
          </cell>
          <cell r="J197">
            <v>0.19700000000000001</v>
          </cell>
          <cell r="K197">
            <v>-7.4999999999999997E-3</v>
          </cell>
          <cell r="L197">
            <v>0.153</v>
          </cell>
          <cell r="M197">
            <v>6.9541373911585005E-2</v>
          </cell>
          <cell r="N197">
            <v>0.35529742228110556</v>
          </cell>
          <cell r="O197">
            <v>188</v>
          </cell>
        </row>
        <row r="198">
          <cell r="D198">
            <v>41944</v>
          </cell>
          <cell r="E198">
            <v>3.5785000000000005</v>
          </cell>
          <cell r="F198">
            <v>0.24</v>
          </cell>
          <cell r="G198">
            <v>1.2500000000000001E-2</v>
          </cell>
          <cell r="H198">
            <v>0.8</v>
          </cell>
          <cell r="I198">
            <v>0.9</v>
          </cell>
          <cell r="J198">
            <v>0.28999999999999998</v>
          </cell>
          <cell r="K198">
            <v>-5.0000000000000001E-3</v>
          </cell>
          <cell r="L198">
            <v>0.153</v>
          </cell>
          <cell r="M198">
            <v>6.9562018648842025E-2</v>
          </cell>
          <cell r="N198">
            <v>0.35313472050642097</v>
          </cell>
          <cell r="O198">
            <v>189</v>
          </cell>
        </row>
        <row r="199">
          <cell r="D199">
            <v>41974</v>
          </cell>
          <cell r="E199">
            <v>3.7155</v>
          </cell>
          <cell r="F199">
            <v>0.28000000000000003</v>
          </cell>
          <cell r="G199">
            <v>1.2500000000000001E-2</v>
          </cell>
          <cell r="H199">
            <v>1.1000000000000001</v>
          </cell>
          <cell r="I199">
            <v>1.1499999999999999</v>
          </cell>
          <cell r="J199">
            <v>0.33</v>
          </cell>
          <cell r="K199">
            <v>-5.0000000000000001E-3</v>
          </cell>
          <cell r="L199">
            <v>0.153</v>
          </cell>
          <cell r="M199">
            <v>6.9581997426967024E-2</v>
          </cell>
          <cell r="N199">
            <v>0.35105318743816799</v>
          </cell>
          <cell r="O199">
            <v>190</v>
          </cell>
        </row>
        <row r="200">
          <cell r="D200">
            <v>42005</v>
          </cell>
          <cell r="E200">
            <v>3.8555000000000001</v>
          </cell>
          <cell r="F200">
            <v>0.29699999999999999</v>
          </cell>
          <cell r="G200">
            <v>1.2500000000000001E-2</v>
          </cell>
          <cell r="H200">
            <v>1.1000000000000001</v>
          </cell>
          <cell r="I200">
            <v>1.1499999999999999</v>
          </cell>
          <cell r="J200">
            <v>0.34700000000000003</v>
          </cell>
          <cell r="K200">
            <v>-5.0000000000000001E-3</v>
          </cell>
          <cell r="L200">
            <v>0.15200000000000002</v>
          </cell>
          <cell r="M200">
            <v>6.9602642164501016E-2</v>
          </cell>
          <cell r="N200">
            <v>0.34891399734571321</v>
          </cell>
          <cell r="O200">
            <v>191</v>
          </cell>
        </row>
        <row r="201">
          <cell r="D201">
            <v>42036</v>
          </cell>
          <cell r="E201">
            <v>3.7635000000000005</v>
          </cell>
          <cell r="F201">
            <v>0.27500000000000002</v>
          </cell>
          <cell r="G201">
            <v>1.2500000000000001E-2</v>
          </cell>
          <cell r="H201">
            <v>1.1000000000000001</v>
          </cell>
          <cell r="I201">
            <v>1.1499999999999999</v>
          </cell>
          <cell r="J201">
            <v>0.32500000000000001</v>
          </cell>
          <cell r="K201">
            <v>-5.0000000000000001E-3</v>
          </cell>
          <cell r="L201">
            <v>0.15200000000000002</v>
          </cell>
          <cell r="M201">
            <v>6.9623286902177006E-2</v>
          </cell>
          <cell r="N201">
            <v>0.34678666935630309</v>
          </cell>
          <cell r="O201">
            <v>192</v>
          </cell>
        </row>
        <row r="202">
          <cell r="D202">
            <v>42064</v>
          </cell>
          <cell r="E202">
            <v>3.6585000000000001</v>
          </cell>
          <cell r="F202">
            <v>0.27300000000000002</v>
          </cell>
          <cell r="G202">
            <v>1.2500000000000001E-2</v>
          </cell>
          <cell r="H202">
            <v>0.75</v>
          </cell>
          <cell r="I202">
            <v>0.85</v>
          </cell>
          <cell r="J202">
            <v>0.32299999999999995</v>
          </cell>
          <cell r="K202">
            <v>-5.0000000000000001E-3</v>
          </cell>
          <cell r="L202">
            <v>0.15200000000000002</v>
          </cell>
          <cell r="M202">
            <v>6.9641933762134012E-2</v>
          </cell>
          <cell r="N202">
            <v>0.34487535933736324</v>
          </cell>
          <cell r="O202">
            <v>193</v>
          </cell>
        </row>
        <row r="203">
          <cell r="D203">
            <v>42095</v>
          </cell>
          <cell r="E203">
            <v>3.5545</v>
          </cell>
          <cell r="F203">
            <v>0.158</v>
          </cell>
          <cell r="G203">
            <v>0</v>
          </cell>
          <cell r="H203">
            <v>0.45</v>
          </cell>
          <cell r="I203">
            <v>0.45</v>
          </cell>
          <cell r="J203">
            <v>0.20800000000000002</v>
          </cell>
          <cell r="K203">
            <v>-7.4999999999999997E-3</v>
          </cell>
          <cell r="L203">
            <v>0.15200000000000002</v>
          </cell>
          <cell r="M203">
            <v>6.9662578500076996E-2</v>
          </cell>
          <cell r="N203">
            <v>0.34277044769009946</v>
          </cell>
          <cell r="O203">
            <v>194</v>
          </cell>
        </row>
        <row r="204">
          <cell r="D204">
            <v>42125</v>
          </cell>
          <cell r="E204">
            <v>3.5285000000000002</v>
          </cell>
          <cell r="F204">
            <v>0.14800000000000002</v>
          </cell>
          <cell r="G204">
            <v>0</v>
          </cell>
          <cell r="H204">
            <v>0.5</v>
          </cell>
          <cell r="I204">
            <v>0.45</v>
          </cell>
          <cell r="J204">
            <v>0.19800000000000001</v>
          </cell>
          <cell r="K204">
            <v>-7.4999999999999997E-3</v>
          </cell>
          <cell r="L204">
            <v>0.15200000000000002</v>
          </cell>
          <cell r="M204">
            <v>6.9682557278866034E-2</v>
          </cell>
          <cell r="N204">
            <v>0.34074457172138051</v>
          </cell>
          <cell r="O204">
            <v>195</v>
          </cell>
        </row>
        <row r="205">
          <cell r="D205">
            <v>42156</v>
          </cell>
          <cell r="E205">
            <v>3.5315000000000003</v>
          </cell>
          <cell r="F205">
            <v>0.14200000000000002</v>
          </cell>
          <cell r="G205">
            <v>0</v>
          </cell>
          <cell r="H205">
            <v>0.5</v>
          </cell>
          <cell r="I205">
            <v>0.45</v>
          </cell>
          <cell r="J205">
            <v>0.192</v>
          </cell>
          <cell r="K205">
            <v>-7.4999999999999997E-3</v>
          </cell>
          <cell r="L205">
            <v>0.15200000000000002</v>
          </cell>
          <cell r="M205">
            <v>6.9703202017087004E-2</v>
          </cell>
          <cell r="N205">
            <v>0.33866261728183494</v>
          </cell>
          <cell r="O205">
            <v>196</v>
          </cell>
        </row>
        <row r="206">
          <cell r="D206">
            <v>42186</v>
          </cell>
          <cell r="E206">
            <v>3.5328000000000004</v>
          </cell>
          <cell r="F206">
            <v>0.13200000000000001</v>
          </cell>
          <cell r="G206">
            <v>0</v>
          </cell>
          <cell r="H206">
            <v>0.55000000000000004</v>
          </cell>
          <cell r="I206">
            <v>0.5</v>
          </cell>
          <cell r="J206">
            <v>0.182</v>
          </cell>
          <cell r="K206">
            <v>-7.4999999999999997E-3</v>
          </cell>
          <cell r="L206">
            <v>0.15200000000000002</v>
          </cell>
          <cell r="M206">
            <v>6.9723180796145021E-2</v>
          </cell>
          <cell r="N206">
            <v>0.33665885085864405</v>
          </cell>
          <cell r="O206">
            <v>197</v>
          </cell>
        </row>
        <row r="207">
          <cell r="D207">
            <v>42217</v>
          </cell>
          <cell r="E207">
            <v>3.5295000000000001</v>
          </cell>
          <cell r="F207">
            <v>0.13</v>
          </cell>
          <cell r="G207">
            <v>0</v>
          </cell>
          <cell r="H207">
            <v>0.6</v>
          </cell>
          <cell r="I207">
            <v>0.55000000000000004</v>
          </cell>
          <cell r="J207">
            <v>0.18</v>
          </cell>
          <cell r="K207">
            <v>-7.4999999999999997E-3</v>
          </cell>
          <cell r="L207">
            <v>0.15200000000000002</v>
          </cell>
          <cell r="M207">
            <v>6.974382553464302E-2</v>
          </cell>
          <cell r="N207">
            <v>0.33459963271551313</v>
          </cell>
          <cell r="O207">
            <v>198</v>
          </cell>
        </row>
        <row r="208">
          <cell r="D208">
            <v>42248</v>
          </cell>
          <cell r="E208">
            <v>3.5405000000000002</v>
          </cell>
          <cell r="F208">
            <v>0.128</v>
          </cell>
          <cell r="G208">
            <v>0</v>
          </cell>
          <cell r="H208">
            <v>0.6</v>
          </cell>
          <cell r="I208">
            <v>0.55000000000000004</v>
          </cell>
          <cell r="J208">
            <v>0.17800000000000002</v>
          </cell>
          <cell r="K208">
            <v>-7.4999999999999997E-3</v>
          </cell>
          <cell r="L208">
            <v>0.15200000000000002</v>
          </cell>
          <cell r="M208">
            <v>6.9764470273282003E-2</v>
          </cell>
          <cell r="N208">
            <v>0.33255188498775479</v>
          </cell>
          <cell r="O208">
            <v>199</v>
          </cell>
        </row>
        <row r="209">
          <cell r="D209">
            <v>42278</v>
          </cell>
          <cell r="E209">
            <v>3.5724999999999998</v>
          </cell>
          <cell r="F209">
            <v>0.14200000000000002</v>
          </cell>
          <cell r="G209">
            <v>0</v>
          </cell>
          <cell r="H209">
            <v>0.65</v>
          </cell>
          <cell r="I209">
            <v>0.6</v>
          </cell>
          <cell r="J209">
            <v>0.192</v>
          </cell>
          <cell r="K209">
            <v>-7.4999999999999997E-3</v>
          </cell>
          <cell r="L209">
            <v>0.15200000000000002</v>
          </cell>
          <cell r="M209">
            <v>6.9784449052745001E-2</v>
          </cell>
          <cell r="N209">
            <v>0.33058106190605469</v>
          </cell>
          <cell r="O209">
            <v>200</v>
          </cell>
        </row>
        <row r="210">
          <cell r="D210">
            <v>42309</v>
          </cell>
          <cell r="E210">
            <v>3.7035000000000005</v>
          </cell>
          <cell r="F210">
            <v>0.23499999999999999</v>
          </cell>
          <cell r="G210">
            <v>1.2500000000000001E-2</v>
          </cell>
          <cell r="H210">
            <v>0.8</v>
          </cell>
          <cell r="I210">
            <v>0.9</v>
          </cell>
          <cell r="J210">
            <v>0.28499999999999998</v>
          </cell>
          <cell r="K210">
            <v>-5.0000000000000001E-3</v>
          </cell>
          <cell r="L210">
            <v>0.15200000000000002</v>
          </cell>
          <cell r="M210">
            <v>6.9805093791661013E-2</v>
          </cell>
          <cell r="N210">
            <v>0.3285557206210124</v>
          </cell>
          <cell r="O210">
            <v>201</v>
          </cell>
        </row>
        <row r="211">
          <cell r="D211">
            <v>42339</v>
          </cell>
          <cell r="E211">
            <v>3.8405</v>
          </cell>
          <cell r="F211">
            <v>0.27500000000000002</v>
          </cell>
          <cell r="G211">
            <v>1.2500000000000001E-2</v>
          </cell>
          <cell r="H211">
            <v>1.1000000000000001</v>
          </cell>
          <cell r="I211">
            <v>1.1499999999999999</v>
          </cell>
          <cell r="J211">
            <v>0.32500000000000001</v>
          </cell>
          <cell r="K211">
            <v>-5.0000000000000001E-3</v>
          </cell>
          <cell r="L211">
            <v>0.15200000000000002</v>
          </cell>
          <cell r="M211">
            <v>6.9825072571392019E-2</v>
          </cell>
          <cell r="N211">
            <v>0.32660647621542516</v>
          </cell>
          <cell r="O211">
            <v>202</v>
          </cell>
        </row>
        <row r="212">
          <cell r="D212">
            <v>42370</v>
          </cell>
          <cell r="E212">
            <v>3.9855</v>
          </cell>
          <cell r="F212">
            <v>0.29199999999999998</v>
          </cell>
          <cell r="G212">
            <v>1.2500000000000001E-2</v>
          </cell>
          <cell r="H212">
            <v>1.1000000000000001</v>
          </cell>
          <cell r="I212">
            <v>1.1499999999999999</v>
          </cell>
          <cell r="J212">
            <v>0.34200000000000003</v>
          </cell>
          <cell r="K212">
            <v>-5.0000000000000001E-3</v>
          </cell>
          <cell r="L212">
            <v>0.151</v>
          </cell>
          <cell r="M212">
            <v>6.9845717310586017E-2</v>
          </cell>
          <cell r="N212">
            <v>0.3246033248555813</v>
          </cell>
          <cell r="O212">
            <v>203</v>
          </cell>
        </row>
        <row r="213">
          <cell r="D213">
            <v>42401</v>
          </cell>
          <cell r="E213">
            <v>3.8935000000000004</v>
          </cell>
          <cell r="F213">
            <v>0.27</v>
          </cell>
          <cell r="G213">
            <v>1.2500000000000001E-2</v>
          </cell>
          <cell r="H213">
            <v>1.1000000000000001</v>
          </cell>
          <cell r="I213">
            <v>1.1499999999999999</v>
          </cell>
          <cell r="J213">
            <v>0.32</v>
          </cell>
          <cell r="K213">
            <v>-5.0000000000000001E-3</v>
          </cell>
          <cell r="L213">
            <v>0.151</v>
          </cell>
          <cell r="M213">
            <v>6.9866362049921027E-2</v>
          </cell>
          <cell r="N213">
            <v>0.32261136792313616</v>
          </cell>
          <cell r="O213">
            <v>204</v>
          </cell>
        </row>
        <row r="214">
          <cell r="D214">
            <v>42430</v>
          </cell>
          <cell r="E214">
            <v>3.7885000000000004</v>
          </cell>
          <cell r="F214">
            <v>0.26800000000000002</v>
          </cell>
          <cell r="G214">
            <v>1.2500000000000001E-2</v>
          </cell>
          <cell r="H214">
            <v>0.75</v>
          </cell>
          <cell r="I214">
            <v>0.85</v>
          </cell>
          <cell r="J214">
            <v>0.318</v>
          </cell>
          <cell r="K214">
            <v>-5.0000000000000001E-3</v>
          </cell>
          <cell r="L214">
            <v>0.151</v>
          </cell>
          <cell r="M214">
            <v>6.9885674870716008E-2</v>
          </cell>
          <cell r="N214">
            <v>0.32075800979413555</v>
          </cell>
          <cell r="O214">
            <v>205</v>
          </cell>
        </row>
        <row r="215">
          <cell r="D215">
            <v>42461</v>
          </cell>
          <cell r="E215">
            <v>3.6844999999999999</v>
          </cell>
          <cell r="F215">
            <v>0.153</v>
          </cell>
          <cell r="G215">
            <v>0</v>
          </cell>
          <cell r="H215">
            <v>0.45</v>
          </cell>
          <cell r="I215">
            <v>0.45</v>
          </cell>
          <cell r="J215">
            <v>0.20300000000000001</v>
          </cell>
          <cell r="K215">
            <v>-7.4999999999999997E-3</v>
          </cell>
          <cell r="L215">
            <v>0.151</v>
          </cell>
          <cell r="M215">
            <v>6.9906319610324008E-2</v>
          </cell>
          <cell r="N215">
            <v>0.31878756275983849</v>
          </cell>
          <cell r="O215">
            <v>206</v>
          </cell>
        </row>
        <row r="216">
          <cell r="D216">
            <v>42491</v>
          </cell>
          <cell r="E216">
            <v>3.6585000000000001</v>
          </cell>
          <cell r="F216">
            <v>0</v>
          </cell>
          <cell r="G216">
            <v>0</v>
          </cell>
          <cell r="H216">
            <v>0.5</v>
          </cell>
          <cell r="I216">
            <v>0.45</v>
          </cell>
          <cell r="J216">
            <v>0</v>
          </cell>
          <cell r="K216">
            <v>0</v>
          </cell>
          <cell r="L216">
            <v>0.151</v>
          </cell>
          <cell r="M216">
            <v>6.9926298390722993E-2</v>
          </cell>
          <cell r="N216">
            <v>0.31689118388484772</v>
          </cell>
          <cell r="O216">
            <v>207</v>
          </cell>
        </row>
        <row r="217">
          <cell r="D217">
            <v>42522</v>
          </cell>
          <cell r="E217">
            <v>3.6615000000000002</v>
          </cell>
          <cell r="F217">
            <v>0</v>
          </cell>
          <cell r="G217">
            <v>0</v>
          </cell>
          <cell r="H217">
            <v>0.5</v>
          </cell>
          <cell r="I217">
            <v>0.45</v>
          </cell>
          <cell r="J217">
            <v>0</v>
          </cell>
          <cell r="K217">
            <v>0</v>
          </cell>
          <cell r="L217">
            <v>0.151</v>
          </cell>
          <cell r="M217">
            <v>6.9946943130607994E-2</v>
          </cell>
          <cell r="N217">
            <v>0.31494239478326763</v>
          </cell>
          <cell r="O217">
            <v>208</v>
          </cell>
        </row>
        <row r="218">
          <cell r="D218">
            <v>42552</v>
          </cell>
          <cell r="E218">
            <v>3.6628000000000003</v>
          </cell>
          <cell r="F218">
            <v>0</v>
          </cell>
          <cell r="G218">
            <v>0</v>
          </cell>
          <cell r="H218">
            <v>0.55000000000000004</v>
          </cell>
          <cell r="I218">
            <v>0.5</v>
          </cell>
          <cell r="J218">
            <v>0</v>
          </cell>
          <cell r="K218">
            <v>0</v>
          </cell>
          <cell r="L218">
            <v>0.151</v>
          </cell>
          <cell r="M218">
            <v>6.9966921911277014E-2</v>
          </cell>
          <cell r="N218">
            <v>0.31306687313485643</v>
          </cell>
          <cell r="O218">
            <v>209</v>
          </cell>
        </row>
        <row r="219">
          <cell r="D219">
            <v>42583</v>
          </cell>
          <cell r="E219">
            <v>3.6595</v>
          </cell>
          <cell r="F219">
            <v>0</v>
          </cell>
          <cell r="G219">
            <v>0</v>
          </cell>
          <cell r="H219">
            <v>0.6</v>
          </cell>
          <cell r="I219">
            <v>0.55000000000000004</v>
          </cell>
          <cell r="J219">
            <v>0</v>
          </cell>
          <cell r="K219">
            <v>0</v>
          </cell>
          <cell r="L219">
            <v>0.151</v>
          </cell>
          <cell r="M219">
            <v>6.9987566651439015E-2</v>
          </cell>
          <cell r="N219">
            <v>0.31113953146435108</v>
          </cell>
          <cell r="O219">
            <v>210</v>
          </cell>
        </row>
        <row r="220">
          <cell r="D220">
            <v>42614</v>
          </cell>
          <cell r="E220">
            <v>3.6705000000000001</v>
          </cell>
          <cell r="F220">
            <v>0</v>
          </cell>
          <cell r="G220">
            <v>0</v>
          </cell>
          <cell r="H220">
            <v>0.6</v>
          </cell>
          <cell r="I220">
            <v>0.55000000000000004</v>
          </cell>
          <cell r="J220">
            <v>0</v>
          </cell>
          <cell r="K220">
            <v>0</v>
          </cell>
          <cell r="L220">
            <v>0.151</v>
          </cell>
          <cell r="M220">
            <v>7.0008211391742015E-2</v>
          </cell>
          <cell r="N220">
            <v>0.3092230091828434</v>
          </cell>
          <cell r="O220">
            <v>211</v>
          </cell>
        </row>
        <row r="221">
          <cell r="D221">
            <v>42644</v>
          </cell>
          <cell r="E221">
            <v>3.7025000000000001</v>
          </cell>
          <cell r="F221">
            <v>0</v>
          </cell>
          <cell r="G221">
            <v>0</v>
          </cell>
          <cell r="H221">
            <v>0.65</v>
          </cell>
          <cell r="I221">
            <v>0.6</v>
          </cell>
          <cell r="J221">
            <v>0</v>
          </cell>
          <cell r="K221">
            <v>0</v>
          </cell>
          <cell r="L221">
            <v>0.151</v>
          </cell>
          <cell r="M221">
            <v>7.0028190172815016E-2</v>
          </cell>
          <cell r="N221">
            <v>0.30737856111574308</v>
          </cell>
          <cell r="O221">
            <v>212</v>
          </cell>
        </row>
        <row r="222">
          <cell r="D222">
            <v>42675</v>
          </cell>
          <cell r="E222">
            <v>3.8335000000000004</v>
          </cell>
          <cell r="F222">
            <v>0</v>
          </cell>
          <cell r="G222">
            <v>0</v>
          </cell>
          <cell r="H222">
            <v>0.8</v>
          </cell>
          <cell r="I222">
            <v>0.9</v>
          </cell>
          <cell r="J222">
            <v>0</v>
          </cell>
          <cell r="K222">
            <v>0</v>
          </cell>
          <cell r="L222">
            <v>0.151</v>
          </cell>
          <cell r="M222">
            <v>7.0048834913395017E-2</v>
          </cell>
          <cell r="N222">
            <v>0.30548317200206598</v>
          </cell>
          <cell r="O222">
            <v>213</v>
          </cell>
        </row>
        <row r="223">
          <cell r="D223">
            <v>42705</v>
          </cell>
          <cell r="E223">
            <v>3.9705000000000004</v>
          </cell>
          <cell r="F223">
            <v>0</v>
          </cell>
          <cell r="G223">
            <v>0</v>
          </cell>
          <cell r="H223">
            <v>1.1000000000000001</v>
          </cell>
          <cell r="I223">
            <v>1.1499999999999999</v>
          </cell>
          <cell r="J223">
            <v>0</v>
          </cell>
          <cell r="K223">
            <v>0</v>
          </cell>
          <cell r="L223">
            <v>0.151</v>
          </cell>
          <cell r="M223">
            <v>7.0068813694735999E-2</v>
          </cell>
          <cell r="N223">
            <v>0.30365907538337122</v>
          </cell>
          <cell r="O223">
            <v>214</v>
          </cell>
        </row>
        <row r="224">
          <cell r="D224">
            <v>42736</v>
          </cell>
          <cell r="E224">
            <v>4.1204999999999998</v>
          </cell>
          <cell r="F224">
            <v>0</v>
          </cell>
          <cell r="G224">
            <v>0</v>
          </cell>
          <cell r="H224">
            <v>1.1000000000000001</v>
          </cell>
          <cell r="I224">
            <v>1.1499999999999999</v>
          </cell>
          <cell r="J224">
            <v>0</v>
          </cell>
          <cell r="K224">
            <v>0</v>
          </cell>
          <cell r="L224">
            <v>0.151</v>
          </cell>
          <cell r="M224">
            <v>7.0089458435594026E-2</v>
          </cell>
          <cell r="N224">
            <v>0.30178461318466449</v>
          </cell>
          <cell r="O224">
            <v>215</v>
          </cell>
        </row>
        <row r="225">
          <cell r="D225">
            <v>42767</v>
          </cell>
          <cell r="E225">
            <v>4.0285000000000002</v>
          </cell>
          <cell r="F225">
            <v>0</v>
          </cell>
          <cell r="G225">
            <v>0</v>
          </cell>
          <cell r="H225">
            <v>1.1000000000000001</v>
          </cell>
          <cell r="I225">
            <v>1.1499999999999999</v>
          </cell>
          <cell r="J225">
            <v>0</v>
          </cell>
          <cell r="K225">
            <v>0</v>
          </cell>
          <cell r="L225">
            <v>0.151</v>
          </cell>
          <cell r="M225">
            <v>7.0110103176593011E-2</v>
          </cell>
          <cell r="N225">
            <v>0.29992070747091576</v>
          </cell>
          <cell r="O225">
            <v>216</v>
          </cell>
        </row>
        <row r="226">
          <cell r="D226">
            <v>42795</v>
          </cell>
          <cell r="E226">
            <v>3.9235000000000002</v>
          </cell>
          <cell r="F226">
            <v>0</v>
          </cell>
          <cell r="G226">
            <v>0</v>
          </cell>
          <cell r="H226">
            <v>0.75</v>
          </cell>
          <cell r="I226">
            <v>0.85</v>
          </cell>
          <cell r="J226">
            <v>0</v>
          </cell>
          <cell r="K226">
            <v>0</v>
          </cell>
          <cell r="L226">
            <v>0.151</v>
          </cell>
          <cell r="M226">
            <v>7.0128750039551019E-2</v>
          </cell>
          <cell r="N226">
            <v>0.29824620948401409</v>
          </cell>
          <cell r="O226">
            <v>217</v>
          </cell>
        </row>
        <row r="227">
          <cell r="D227">
            <v>42826</v>
          </cell>
          <cell r="E227">
            <v>3.8195000000000001</v>
          </cell>
          <cell r="F227">
            <v>0</v>
          </cell>
          <cell r="G227">
            <v>0</v>
          </cell>
          <cell r="H227">
            <v>0.45</v>
          </cell>
          <cell r="I227">
            <v>0.45</v>
          </cell>
          <cell r="J227">
            <v>0</v>
          </cell>
          <cell r="K227">
            <v>0</v>
          </cell>
          <cell r="L227">
            <v>0.151</v>
          </cell>
          <cell r="M227">
            <v>7.0149394780818011E-2</v>
          </cell>
          <cell r="N227">
            <v>0.29640224996409414</v>
          </cell>
          <cell r="O227">
            <v>218</v>
          </cell>
        </row>
        <row r="228">
          <cell r="D228">
            <v>42856</v>
          </cell>
          <cell r="E228">
            <v>3.7935000000000003</v>
          </cell>
          <cell r="F228">
            <v>0</v>
          </cell>
          <cell r="G228">
            <v>0</v>
          </cell>
          <cell r="H228">
            <v>0.5</v>
          </cell>
          <cell r="I228">
            <v>0.45</v>
          </cell>
          <cell r="J228">
            <v>0</v>
          </cell>
          <cell r="K228">
            <v>0</v>
          </cell>
          <cell r="L228">
            <v>0.151</v>
          </cell>
          <cell r="M228">
            <v>7.0169373562824017E-2</v>
          </cell>
          <cell r="N228">
            <v>0.29462767985414323</v>
          </cell>
          <cell r="O228">
            <v>219</v>
          </cell>
        </row>
        <row r="229">
          <cell r="D229">
            <v>42887</v>
          </cell>
          <cell r="E229">
            <v>3.7965000000000004</v>
          </cell>
          <cell r="F229">
            <v>0</v>
          </cell>
          <cell r="G229">
            <v>0</v>
          </cell>
          <cell r="H229">
            <v>0.5</v>
          </cell>
          <cell r="I229">
            <v>0.45</v>
          </cell>
          <cell r="J229">
            <v>0</v>
          </cell>
          <cell r="K229">
            <v>0</v>
          </cell>
          <cell r="L229">
            <v>0.151</v>
          </cell>
          <cell r="M229">
            <v>7.0190018304367024E-2</v>
          </cell>
          <cell r="N229">
            <v>0.29280414388257298</v>
          </cell>
          <cell r="O229">
            <v>220</v>
          </cell>
        </row>
        <row r="230">
          <cell r="D230">
            <v>42917</v>
          </cell>
          <cell r="E230">
            <v>3.7978000000000005</v>
          </cell>
          <cell r="F230">
            <v>0</v>
          </cell>
          <cell r="G230">
            <v>0</v>
          </cell>
          <cell r="H230">
            <v>0.55000000000000004</v>
          </cell>
          <cell r="I230">
            <v>0.5</v>
          </cell>
          <cell r="J230">
            <v>0</v>
          </cell>
          <cell r="K230">
            <v>0</v>
          </cell>
          <cell r="L230">
            <v>0.151</v>
          </cell>
          <cell r="M230">
            <v>7.0209997086641024E-2</v>
          </cell>
          <cell r="N230">
            <v>0.29104924129682924</v>
          </cell>
          <cell r="O230">
            <v>221</v>
          </cell>
        </row>
        <row r="231">
          <cell r="D231">
            <v>42948</v>
          </cell>
          <cell r="E231">
            <v>3.7944999999999998</v>
          </cell>
          <cell r="F231">
            <v>0</v>
          </cell>
          <cell r="G231">
            <v>0</v>
          </cell>
          <cell r="H231">
            <v>0.6</v>
          </cell>
          <cell r="I231">
            <v>0.55000000000000004</v>
          </cell>
          <cell r="J231">
            <v>0</v>
          </cell>
          <cell r="K231">
            <v>0</v>
          </cell>
          <cell r="L231">
            <v>0.151</v>
          </cell>
          <cell r="M231">
            <v>7.0230641828462989E-2</v>
          </cell>
          <cell r="N231">
            <v>0.28924592840797825</v>
          </cell>
          <cell r="O231">
            <v>222</v>
          </cell>
        </row>
        <row r="232">
          <cell r="D232">
            <v>42979</v>
          </cell>
          <cell r="E232">
            <v>3.8055000000000003</v>
          </cell>
          <cell r="F232">
            <v>0</v>
          </cell>
          <cell r="G232">
            <v>0</v>
          </cell>
          <cell r="H232">
            <v>0.6</v>
          </cell>
          <cell r="I232">
            <v>0.55000000000000004</v>
          </cell>
          <cell r="J232">
            <v>0</v>
          </cell>
          <cell r="K232">
            <v>0</v>
          </cell>
          <cell r="L232">
            <v>0.151</v>
          </cell>
          <cell r="M232">
            <v>7.0251286570425023E-2</v>
          </cell>
          <cell r="N232">
            <v>0.28745281652600096</v>
          </cell>
          <cell r="O232">
            <v>223</v>
          </cell>
        </row>
        <row r="233">
          <cell r="D233">
            <v>43009</v>
          </cell>
          <cell r="E233">
            <v>3.8374999999999999</v>
          </cell>
          <cell r="F233">
            <v>0</v>
          </cell>
          <cell r="G233">
            <v>0</v>
          </cell>
          <cell r="H233">
            <v>0.65</v>
          </cell>
          <cell r="I233">
            <v>0.6</v>
          </cell>
          <cell r="J233">
            <v>0</v>
          </cell>
          <cell r="K233">
            <v>0</v>
          </cell>
          <cell r="L233">
            <v>0.151</v>
          </cell>
          <cell r="M233">
            <v>7.0271265353102991E-2</v>
          </cell>
          <cell r="N233">
            <v>0.28572721151595754</v>
          </cell>
          <cell r="O233">
            <v>224</v>
          </cell>
        </row>
        <row r="234">
          <cell r="D234">
            <v>43040</v>
          </cell>
          <cell r="E234">
            <v>3.9685000000000001</v>
          </cell>
          <cell r="F234">
            <v>0</v>
          </cell>
          <cell r="G234">
            <v>0</v>
          </cell>
          <cell r="H234">
            <v>0.8</v>
          </cell>
          <cell r="I234">
            <v>0.9</v>
          </cell>
          <cell r="J234">
            <v>0</v>
          </cell>
          <cell r="K234">
            <v>0</v>
          </cell>
          <cell r="L234">
            <v>0.151</v>
          </cell>
          <cell r="M234">
            <v>7.029191009534401E-2</v>
          </cell>
          <cell r="N234">
            <v>0.28395402348102045</v>
          </cell>
          <cell r="O234">
            <v>225</v>
          </cell>
        </row>
        <row r="235">
          <cell r="D235">
            <v>43070</v>
          </cell>
          <cell r="E235">
            <v>4.1055000000000001</v>
          </cell>
          <cell r="F235">
            <v>0</v>
          </cell>
          <cell r="G235">
            <v>0</v>
          </cell>
          <cell r="H235">
            <v>1.1000000000000001</v>
          </cell>
          <cell r="I235">
            <v>1.1499999999999999</v>
          </cell>
          <cell r="J235">
            <v>0</v>
          </cell>
          <cell r="K235">
            <v>0</v>
          </cell>
          <cell r="L235">
            <v>0.151</v>
          </cell>
          <cell r="M235">
            <v>7.0311888878290013E-2</v>
          </cell>
          <cell r="N235">
            <v>0.28224760440232954</v>
          </cell>
          <cell r="O235">
            <v>226</v>
          </cell>
        </row>
        <row r="236">
          <cell r="D236">
            <v>43101</v>
          </cell>
          <cell r="E236">
            <v>4.2605000000000004</v>
          </cell>
          <cell r="F236">
            <v>0</v>
          </cell>
          <cell r="G236">
            <v>0</v>
          </cell>
          <cell r="J236">
            <v>0</v>
          </cell>
          <cell r="K236">
            <v>0</v>
          </cell>
          <cell r="M236">
            <v>7.0332533620807006E-2</v>
          </cell>
          <cell r="N236">
            <v>0.28049414385347915</v>
          </cell>
          <cell r="O236">
            <v>227</v>
          </cell>
        </row>
        <row r="237">
          <cell r="D237">
            <v>43132</v>
          </cell>
          <cell r="E237">
            <v>4.1684999999999999</v>
          </cell>
          <cell r="F237">
            <v>0</v>
          </cell>
          <cell r="G237">
            <v>0</v>
          </cell>
          <cell r="J237">
            <v>0</v>
          </cell>
          <cell r="K237">
            <v>0</v>
          </cell>
          <cell r="M237">
            <v>7.0353178363464997E-2</v>
          </cell>
          <cell r="N237">
            <v>0.27875063401623867</v>
          </cell>
          <cell r="O237">
            <v>228</v>
          </cell>
        </row>
        <row r="238">
          <cell r="D238">
            <v>43160</v>
          </cell>
          <cell r="E238">
            <v>4.0635000000000003</v>
          </cell>
          <cell r="F238">
            <v>0</v>
          </cell>
          <cell r="G238">
            <v>0</v>
          </cell>
          <cell r="J238">
            <v>0</v>
          </cell>
          <cell r="K238">
            <v>0</v>
          </cell>
          <cell r="M238">
            <v>7.0371825227922E-2</v>
          </cell>
          <cell r="N238">
            <v>0.27718436212343434</v>
          </cell>
          <cell r="O238">
            <v>229</v>
          </cell>
        </row>
        <row r="239">
          <cell r="D239">
            <v>43191</v>
          </cell>
          <cell r="E239">
            <v>3.9594999999999998</v>
          </cell>
          <cell r="F239">
            <v>0</v>
          </cell>
          <cell r="G239">
            <v>0</v>
          </cell>
          <cell r="J239">
            <v>0</v>
          </cell>
          <cell r="K239">
            <v>0</v>
          </cell>
          <cell r="M239">
            <v>7.0392469970847998E-2</v>
          </cell>
          <cell r="N239">
            <v>0.27545965254659477</v>
          </cell>
          <cell r="O239">
            <v>230</v>
          </cell>
        </row>
        <row r="240">
          <cell r="D240">
            <v>43221</v>
          </cell>
          <cell r="E240">
            <v>3.9335000000000004</v>
          </cell>
          <cell r="F240">
            <v>0</v>
          </cell>
          <cell r="G240">
            <v>0</v>
          </cell>
          <cell r="J240">
            <v>0</v>
          </cell>
          <cell r="K240">
            <v>0</v>
          </cell>
          <cell r="M240">
            <v>7.0412448754459012E-2</v>
          </cell>
          <cell r="N240">
            <v>0.27379991578506702</v>
          </cell>
          <cell r="O240">
            <v>231</v>
          </cell>
        </row>
        <row r="241">
          <cell r="D241">
            <v>43252</v>
          </cell>
          <cell r="E241">
            <v>3.9365000000000006</v>
          </cell>
          <cell r="F241">
            <v>0</v>
          </cell>
          <cell r="G241">
            <v>0</v>
          </cell>
          <cell r="J241">
            <v>0</v>
          </cell>
          <cell r="K241">
            <v>0</v>
          </cell>
          <cell r="M241">
            <v>7.0433093497662025E-2</v>
          </cell>
          <cell r="N241">
            <v>0.2720944545674196</v>
          </cell>
          <cell r="O241">
            <v>232</v>
          </cell>
        </row>
        <row r="242">
          <cell r="D242">
            <v>43282</v>
          </cell>
          <cell r="E242">
            <v>3.9377</v>
          </cell>
          <cell r="F242">
            <v>0</v>
          </cell>
          <cell r="G242">
            <v>0</v>
          </cell>
          <cell r="J242">
            <v>0</v>
          </cell>
          <cell r="K242">
            <v>0</v>
          </cell>
          <cell r="M242">
            <v>7.0453072281541018E-2</v>
          </cell>
          <cell r="N242">
            <v>0.2704532527472428</v>
          </cell>
          <cell r="O242">
            <v>233</v>
          </cell>
        </row>
        <row r="243">
          <cell r="D243">
            <v>43313</v>
          </cell>
          <cell r="E243">
            <v>3.9344999999999999</v>
          </cell>
          <cell r="F243">
            <v>0</v>
          </cell>
          <cell r="G243">
            <v>0</v>
          </cell>
          <cell r="J243">
            <v>0</v>
          </cell>
          <cell r="K243">
            <v>0</v>
          </cell>
          <cell r="M243">
            <v>7.0473717025022004E-2</v>
          </cell>
          <cell r="N243">
            <v>0.26876684911585075</v>
          </cell>
          <cell r="O243">
            <v>234</v>
          </cell>
        </row>
        <row r="244">
          <cell r="D244">
            <v>43344</v>
          </cell>
          <cell r="E244">
            <v>3.9455</v>
          </cell>
          <cell r="F244">
            <v>0</v>
          </cell>
          <cell r="G244">
            <v>0</v>
          </cell>
          <cell r="J244">
            <v>0</v>
          </cell>
          <cell r="K244">
            <v>0</v>
          </cell>
          <cell r="M244">
            <v>7.0494361768644015E-2</v>
          </cell>
          <cell r="N244">
            <v>0.26709005788604812</v>
          </cell>
          <cell r="O244">
            <v>235</v>
          </cell>
        </row>
        <row r="245">
          <cell r="D245">
            <v>43374</v>
          </cell>
          <cell r="E245">
            <v>3.9775</v>
          </cell>
          <cell r="F245">
            <v>0</v>
          </cell>
          <cell r="G245">
            <v>0</v>
          </cell>
          <cell r="J245">
            <v>0</v>
          </cell>
          <cell r="K245">
            <v>0</v>
          </cell>
          <cell r="M245">
            <v>7.0514340552927018E-2</v>
          </cell>
          <cell r="N245">
            <v>0.26547646315535839</v>
          </cell>
          <cell r="O245">
            <v>236</v>
          </cell>
        </row>
        <row r="246">
          <cell r="D246">
            <v>43405</v>
          </cell>
          <cell r="E246">
            <v>4.1085000000000003</v>
          </cell>
          <cell r="F246">
            <v>0</v>
          </cell>
          <cell r="G246">
            <v>0</v>
          </cell>
          <cell r="J246">
            <v>0</v>
          </cell>
          <cell r="K246">
            <v>0</v>
          </cell>
          <cell r="M246">
            <v>7.0534985296826003E-2</v>
          </cell>
          <cell r="N246">
            <v>0.2638184447864666</v>
          </cell>
          <cell r="O246">
            <v>237</v>
          </cell>
        </row>
        <row r="247">
          <cell r="D247">
            <v>43435</v>
          </cell>
          <cell r="E247">
            <v>4.2454999999999998</v>
          </cell>
          <cell r="F247">
            <v>0</v>
          </cell>
          <cell r="G247">
            <v>0</v>
          </cell>
          <cell r="J247">
            <v>0</v>
          </cell>
          <cell r="K247">
            <v>0</v>
          </cell>
          <cell r="M247">
            <v>7.0554964081378013E-2</v>
          </cell>
          <cell r="N247">
            <v>0.26222292675717024</v>
          </cell>
          <cell r="O247">
            <v>238</v>
          </cell>
        </row>
        <row r="248">
          <cell r="D248">
            <v>43466</v>
          </cell>
          <cell r="E248">
            <v>4.4055</v>
          </cell>
          <cell r="F248">
            <v>0</v>
          </cell>
          <cell r="G248">
            <v>0</v>
          </cell>
          <cell r="J248">
            <v>0</v>
          </cell>
          <cell r="K248">
            <v>0</v>
          </cell>
          <cell r="M248">
            <v>7.0575608825554012E-2</v>
          </cell>
          <cell r="N248">
            <v>0.26058349443759243</v>
          </cell>
          <cell r="O248">
            <v>239</v>
          </cell>
        </row>
        <row r="249">
          <cell r="D249">
            <v>43497</v>
          </cell>
          <cell r="E249">
            <v>4.3135000000000003</v>
          </cell>
          <cell r="F249">
            <v>0</v>
          </cell>
          <cell r="G249">
            <v>0</v>
          </cell>
          <cell r="J249">
            <v>0</v>
          </cell>
          <cell r="K249">
            <v>0</v>
          </cell>
          <cell r="M249">
            <v>7.0596253569871009E-2</v>
          </cell>
          <cell r="N249">
            <v>0.25895343639653734</v>
          </cell>
          <cell r="O249">
            <v>240</v>
          </cell>
        </row>
        <row r="250">
          <cell r="D250">
            <v>43525</v>
          </cell>
          <cell r="E250">
            <v>4.2084999999999999</v>
          </cell>
          <cell r="F250">
            <v>0</v>
          </cell>
          <cell r="G250">
            <v>0</v>
          </cell>
          <cell r="J250">
            <v>0</v>
          </cell>
          <cell r="K250">
            <v>0</v>
          </cell>
          <cell r="M250">
            <v>7.061490043582698E-2</v>
          </cell>
          <cell r="N250">
            <v>0.25748914367040338</v>
          </cell>
          <cell r="O250">
            <v>241</v>
          </cell>
        </row>
        <row r="251">
          <cell r="D251">
            <v>43556</v>
          </cell>
          <cell r="E251">
            <v>4.1044999999999998</v>
          </cell>
          <cell r="F251">
            <v>0</v>
          </cell>
          <cell r="G251">
            <v>0</v>
          </cell>
          <cell r="J251">
            <v>0</v>
          </cell>
          <cell r="K251">
            <v>0</v>
          </cell>
          <cell r="M251">
            <v>7.0635545180411027E-2</v>
          </cell>
          <cell r="N251">
            <v>0.25587679555352838</v>
          </cell>
          <cell r="O251">
            <v>242</v>
          </cell>
        </row>
        <row r="252">
          <cell r="D252">
            <v>43586</v>
          </cell>
          <cell r="E252">
            <v>4.0785</v>
          </cell>
          <cell r="F252">
            <v>0</v>
          </cell>
          <cell r="G252">
            <v>0</v>
          </cell>
          <cell r="J252">
            <v>0</v>
          </cell>
          <cell r="K252">
            <v>0</v>
          </cell>
          <cell r="M252">
            <v>7.0655523965628006E-2</v>
          </cell>
          <cell r="N252">
            <v>0.25432525355919094</v>
          </cell>
          <cell r="O252">
            <v>243</v>
          </cell>
        </row>
        <row r="253">
          <cell r="D253">
            <v>43617</v>
          </cell>
          <cell r="E253">
            <v>4.0815000000000001</v>
          </cell>
          <cell r="F253">
            <v>0</v>
          </cell>
          <cell r="G253">
            <v>0</v>
          </cell>
          <cell r="J253">
            <v>0</v>
          </cell>
          <cell r="K253">
            <v>0</v>
          </cell>
          <cell r="M253">
            <v>7.0676168710490025E-2</v>
          </cell>
          <cell r="N253">
            <v>0.25273103575825318</v>
          </cell>
          <cell r="O253">
            <v>244</v>
          </cell>
        </row>
        <row r="254">
          <cell r="D254">
            <v>43647</v>
          </cell>
          <cell r="E254">
            <v>4.0827</v>
          </cell>
          <cell r="F254">
            <v>0</v>
          </cell>
          <cell r="G254">
            <v>0</v>
          </cell>
          <cell r="J254">
            <v>0</v>
          </cell>
          <cell r="K254">
            <v>0</v>
          </cell>
          <cell r="M254">
            <v>7.0696147495974013E-2</v>
          </cell>
          <cell r="N254">
            <v>0.25119695125978742</v>
          </cell>
          <cell r="O254">
            <v>245</v>
          </cell>
        </row>
        <row r="255">
          <cell r="D255">
            <v>43678</v>
          </cell>
          <cell r="E255">
            <v>4.0795000000000003</v>
          </cell>
          <cell r="F255">
            <v>0</v>
          </cell>
          <cell r="G255">
            <v>0</v>
          </cell>
          <cell r="J255">
            <v>0</v>
          </cell>
          <cell r="K255">
            <v>0</v>
          </cell>
          <cell r="M255">
            <v>7.0715320475490021E-2</v>
          </cell>
          <cell r="N255">
            <v>0.2496277685037846</v>
          </cell>
          <cell r="O255">
            <v>246</v>
          </cell>
        </row>
        <row r="256">
          <cell r="D256">
            <v>43709</v>
          </cell>
          <cell r="E256">
            <v>4.0905000000000005</v>
          </cell>
          <cell r="F256">
            <v>0</v>
          </cell>
          <cell r="G256">
            <v>0</v>
          </cell>
          <cell r="J256">
            <v>0</v>
          </cell>
          <cell r="K256">
            <v>0</v>
          </cell>
          <cell r="M256">
            <v>7.0713152853520006E-2</v>
          </cell>
          <cell r="N256">
            <v>0.24817017245716219</v>
          </cell>
          <cell r="O256">
            <v>247</v>
          </cell>
        </row>
        <row r="257">
          <cell r="D257">
            <v>43739</v>
          </cell>
          <cell r="E257">
            <v>4.1224999999999996</v>
          </cell>
          <cell r="F257">
            <v>0</v>
          </cell>
          <cell r="G257">
            <v>0</v>
          </cell>
          <cell r="J257">
            <v>0</v>
          </cell>
          <cell r="K257">
            <v>0</v>
          </cell>
          <cell r="M257">
            <v>7.0711055154841024E-2</v>
          </cell>
          <cell r="N257">
            <v>0.24676778327871721</v>
          </cell>
          <cell r="O257">
            <v>248</v>
          </cell>
        </row>
        <row r="258">
          <cell r="D258">
            <v>43770</v>
          </cell>
          <cell r="E258">
            <v>4.2535000000000007</v>
          </cell>
          <cell r="F258">
            <v>0</v>
          </cell>
          <cell r="G258">
            <v>0</v>
          </cell>
          <cell r="J258">
            <v>0</v>
          </cell>
          <cell r="K258">
            <v>0</v>
          </cell>
          <cell r="M258">
            <v>7.070888753287502E-2</v>
          </cell>
          <cell r="N258">
            <v>0.24532705848766026</v>
          </cell>
          <cell r="O258">
            <v>249</v>
          </cell>
        </row>
        <row r="259">
          <cell r="D259">
            <v>43800</v>
          </cell>
          <cell r="E259">
            <v>4.3905000000000003</v>
          </cell>
          <cell r="F259">
            <v>0</v>
          </cell>
          <cell r="G259">
            <v>0</v>
          </cell>
          <cell r="J259">
            <v>0</v>
          </cell>
          <cell r="K259">
            <v>0</v>
          </cell>
          <cell r="M259">
            <v>7.0706789834199035E-2</v>
          </cell>
          <cell r="N259">
            <v>0.24394090061743107</v>
          </cell>
          <cell r="O259">
            <v>250</v>
          </cell>
        </row>
        <row r="260">
          <cell r="D260">
            <v>43831</v>
          </cell>
          <cell r="E260">
            <v>4.5555000000000003</v>
          </cell>
          <cell r="F260">
            <v>0</v>
          </cell>
          <cell r="G260">
            <v>0</v>
          </cell>
          <cell r="J260">
            <v>0</v>
          </cell>
          <cell r="K260">
            <v>0</v>
          </cell>
          <cell r="M260">
            <v>7.0704622212236029E-2</v>
          </cell>
          <cell r="N260">
            <v>0.24251684986305003</v>
          </cell>
          <cell r="O260">
            <v>251</v>
          </cell>
        </row>
        <row r="261">
          <cell r="D261">
            <v>43862</v>
          </cell>
          <cell r="E261">
            <v>4.4635000000000007</v>
          </cell>
          <cell r="F261">
            <v>0</v>
          </cell>
          <cell r="G261">
            <v>0</v>
          </cell>
          <cell r="J261">
            <v>0</v>
          </cell>
          <cell r="K261">
            <v>0</v>
          </cell>
          <cell r="M261">
            <v>7.0702454590274008E-2</v>
          </cell>
          <cell r="N261">
            <v>0.24110119796606513</v>
          </cell>
          <cell r="O261">
            <v>252</v>
          </cell>
        </row>
        <row r="262">
          <cell r="D262">
            <v>43891</v>
          </cell>
          <cell r="E262">
            <v>4.3585000000000003</v>
          </cell>
          <cell r="F262">
            <v>0</v>
          </cell>
          <cell r="G262">
            <v>0</v>
          </cell>
          <cell r="J262">
            <v>0</v>
          </cell>
          <cell r="K262">
            <v>0</v>
          </cell>
          <cell r="M262">
            <v>7.0700426814891998E-2</v>
          </cell>
          <cell r="N262">
            <v>0.23978443767073532</v>
          </cell>
          <cell r="O262">
            <v>253</v>
          </cell>
        </row>
        <row r="263">
          <cell r="D263">
            <v>43922</v>
          </cell>
          <cell r="E263">
            <v>4.2545000000000002</v>
          </cell>
          <cell r="F263">
            <v>0</v>
          </cell>
          <cell r="G263">
            <v>0</v>
          </cell>
          <cell r="J263">
            <v>0</v>
          </cell>
          <cell r="K263">
            <v>0</v>
          </cell>
          <cell r="M263">
            <v>7.0698259192933016E-2</v>
          </cell>
          <cell r="N263">
            <v>0.23838489976804247</v>
          </cell>
          <cell r="O263">
            <v>254</v>
          </cell>
        </row>
        <row r="264">
          <cell r="D264">
            <v>43952</v>
          </cell>
          <cell r="E264">
            <v>4.2285000000000004</v>
          </cell>
          <cell r="F264">
            <v>0</v>
          </cell>
          <cell r="G264">
            <v>0</v>
          </cell>
          <cell r="J264">
            <v>0</v>
          </cell>
          <cell r="K264">
            <v>0</v>
          </cell>
          <cell r="M264">
            <v>7.0696161494264026E-2</v>
          </cell>
          <cell r="N264">
            <v>0.23703836656362645</v>
          </cell>
          <cell r="O264">
            <v>255</v>
          </cell>
        </row>
        <row r="265">
          <cell r="D265">
            <v>43983</v>
          </cell>
          <cell r="E265">
            <v>4.2315000000000005</v>
          </cell>
          <cell r="F265">
            <v>0</v>
          </cell>
          <cell r="G265">
            <v>0</v>
          </cell>
          <cell r="J265">
            <v>0</v>
          </cell>
          <cell r="K265">
            <v>0</v>
          </cell>
          <cell r="M265">
            <v>7.0693993872309027E-2</v>
          </cell>
          <cell r="N265">
            <v>0.23565502133324046</v>
          </cell>
          <cell r="O265">
            <v>256</v>
          </cell>
        </row>
        <row r="266">
          <cell r="D266">
            <v>44013</v>
          </cell>
          <cell r="E266">
            <v>4.2328000000000001</v>
          </cell>
          <cell r="F266">
            <v>0</v>
          </cell>
          <cell r="G266">
            <v>0</v>
          </cell>
          <cell r="J266">
            <v>0</v>
          </cell>
          <cell r="K266">
            <v>0</v>
          </cell>
          <cell r="M266">
            <v>7.0691896173643021E-2</v>
          </cell>
          <cell r="N266">
            <v>0.2343240666299366</v>
          </cell>
          <cell r="O266">
            <v>257</v>
          </cell>
        </row>
        <row r="267">
          <cell r="D267">
            <v>44044</v>
          </cell>
          <cell r="E267">
            <v>4.2294999999999998</v>
          </cell>
          <cell r="F267">
            <v>0</v>
          </cell>
          <cell r="G267">
            <v>0</v>
          </cell>
          <cell r="J267">
            <v>0</v>
          </cell>
          <cell r="K267">
            <v>0</v>
          </cell>
          <cell r="M267">
            <v>7.068972855169002E-2</v>
          </cell>
          <cell r="N267">
            <v>0.23295672486068578</v>
          </cell>
          <cell r="O267">
            <v>258</v>
          </cell>
        </row>
        <row r="268">
          <cell r="D268">
            <v>44075</v>
          </cell>
          <cell r="E268">
            <v>4.2404999999999999</v>
          </cell>
          <cell r="F268">
            <v>0</v>
          </cell>
          <cell r="G268">
            <v>0</v>
          </cell>
          <cell r="J268">
            <v>0</v>
          </cell>
          <cell r="K268">
            <v>0</v>
          </cell>
          <cell r="M268">
            <v>7.0687560929739005E-2</v>
          </cell>
          <cell r="N268">
            <v>0.23159744420272249</v>
          </cell>
          <cell r="O268">
            <v>259</v>
          </cell>
        </row>
        <row r="269">
          <cell r="D269">
            <v>44105</v>
          </cell>
          <cell r="E269">
            <v>4.2725</v>
          </cell>
          <cell r="F269">
            <v>0</v>
          </cell>
          <cell r="G269">
            <v>0</v>
          </cell>
          <cell r="J269">
            <v>0</v>
          </cell>
          <cell r="K269">
            <v>0</v>
          </cell>
          <cell r="M269">
            <v>7.0685463231078008E-2</v>
          </cell>
          <cell r="N269">
            <v>0.23028964134720761</v>
          </cell>
          <cell r="O269">
            <v>260</v>
          </cell>
        </row>
        <row r="270">
          <cell r="D270">
            <v>44136</v>
          </cell>
          <cell r="E270">
            <v>4.4035000000000002</v>
          </cell>
          <cell r="F270">
            <v>0</v>
          </cell>
          <cell r="G270">
            <v>0</v>
          </cell>
          <cell r="J270">
            <v>0</v>
          </cell>
          <cell r="K270">
            <v>0</v>
          </cell>
          <cell r="M270">
            <v>7.0683295609130004E-2</v>
          </cell>
          <cell r="N270">
            <v>0.22894608299629615</v>
          </cell>
          <cell r="O270">
            <v>261</v>
          </cell>
        </row>
        <row r="271">
          <cell r="D271">
            <v>44166</v>
          </cell>
          <cell r="E271">
            <v>4.5405000000000006</v>
          </cell>
          <cell r="F271">
            <v>0</v>
          </cell>
          <cell r="G271">
            <v>0</v>
          </cell>
          <cell r="J271">
            <v>0</v>
          </cell>
          <cell r="K271">
            <v>0</v>
          </cell>
          <cell r="M271">
            <v>7.0681197910472018E-2</v>
          </cell>
          <cell r="N271">
            <v>0.22765340614266316</v>
          </cell>
          <cell r="O271">
            <v>262</v>
          </cell>
        </row>
        <row r="272">
          <cell r="D272">
            <v>44197</v>
          </cell>
          <cell r="E272">
            <v>5.0940000000000003</v>
          </cell>
          <cell r="F272">
            <v>0</v>
          </cell>
          <cell r="G272">
            <v>0</v>
          </cell>
          <cell r="J272">
            <v>0</v>
          </cell>
          <cell r="K272">
            <v>0</v>
          </cell>
          <cell r="M272">
            <v>7.0679030288527012E-2</v>
          </cell>
          <cell r="N272">
            <v>0.22632538643636191</v>
          </cell>
          <cell r="O272">
            <v>263</v>
          </cell>
        </row>
        <row r="273">
          <cell r="D273">
            <v>44228</v>
          </cell>
          <cell r="E273">
            <v>5.0220000000000002</v>
          </cell>
          <cell r="F273">
            <v>0</v>
          </cell>
          <cell r="G273">
            <v>0</v>
          </cell>
          <cell r="J273">
            <v>0</v>
          </cell>
          <cell r="K273">
            <v>0</v>
          </cell>
          <cell r="M273">
            <v>7.0676862666584003E-2</v>
          </cell>
          <cell r="N273">
            <v>0.22500519372836317</v>
          </cell>
          <cell r="O273">
            <v>264</v>
          </cell>
        </row>
        <row r="274">
          <cell r="D274">
            <v>44256</v>
          </cell>
          <cell r="E274">
            <v>4.915</v>
          </cell>
          <cell r="F274">
            <v>0</v>
          </cell>
          <cell r="G274">
            <v>0</v>
          </cell>
          <cell r="J274">
            <v>0</v>
          </cell>
          <cell r="K274">
            <v>0</v>
          </cell>
          <cell r="M274">
            <v>7.0674904814507014E-2</v>
          </cell>
          <cell r="N274">
            <v>0.22381945031658265</v>
          </cell>
          <cell r="O274">
            <v>265</v>
          </cell>
        </row>
        <row r="275">
          <cell r="D275">
            <v>44287</v>
          </cell>
          <cell r="E275">
            <v>4.8029999999999999</v>
          </cell>
          <cell r="F275">
            <v>0</v>
          </cell>
          <cell r="G275">
            <v>0</v>
          </cell>
          <cell r="J275">
            <v>0</v>
          </cell>
          <cell r="K275">
            <v>0</v>
          </cell>
          <cell r="M275">
            <v>7.0672737192566018E-2</v>
          </cell>
          <cell r="N275">
            <v>0.22251402566543257</v>
          </cell>
          <cell r="O275">
            <v>266</v>
          </cell>
        </row>
        <row r="276">
          <cell r="D276">
            <v>44317</v>
          </cell>
          <cell r="E276">
            <v>4.7930000000000001</v>
          </cell>
          <cell r="F276">
            <v>0</v>
          </cell>
          <cell r="G276">
            <v>0</v>
          </cell>
          <cell r="J276">
            <v>0</v>
          </cell>
          <cell r="K276">
            <v>0</v>
          </cell>
          <cell r="M276">
            <v>7.0670639493915999E-2</v>
          </cell>
          <cell r="N276">
            <v>0.22125803624488768</v>
          </cell>
          <cell r="O276">
            <v>267</v>
          </cell>
        </row>
        <row r="277">
          <cell r="D277">
            <v>44348</v>
          </cell>
          <cell r="E277">
            <v>4.7890000000000006</v>
          </cell>
          <cell r="F277">
            <v>0</v>
          </cell>
          <cell r="G277">
            <v>0</v>
          </cell>
          <cell r="J277">
            <v>0</v>
          </cell>
          <cell r="K277">
            <v>0</v>
          </cell>
          <cell r="M277">
            <v>7.0668471871978014E-2</v>
          </cell>
          <cell r="N277">
            <v>0.21996770486194736</v>
          </cell>
          <cell r="O277">
            <v>268</v>
          </cell>
        </row>
        <row r="278">
          <cell r="D278">
            <v>44378</v>
          </cell>
          <cell r="E278">
            <v>4.7860000000000005</v>
          </cell>
          <cell r="F278">
            <v>0</v>
          </cell>
          <cell r="G278">
            <v>0</v>
          </cell>
          <cell r="J278">
            <v>0</v>
          </cell>
          <cell r="K278">
            <v>0</v>
          </cell>
          <cell r="M278">
            <v>7.0666374173330021E-2</v>
          </cell>
          <cell r="N278">
            <v>0.21872623629622254</v>
          </cell>
          <cell r="O278">
            <v>269</v>
          </cell>
        </row>
        <row r="279">
          <cell r="D279">
            <v>44409</v>
          </cell>
          <cell r="E279">
            <v>4.8160000000000007</v>
          </cell>
          <cell r="F279">
            <v>0</v>
          </cell>
          <cell r="G279">
            <v>0</v>
          </cell>
          <cell r="J279">
            <v>0</v>
          </cell>
          <cell r="K279">
            <v>0</v>
          </cell>
          <cell r="M279">
            <v>7.0664206551396019E-2</v>
          </cell>
          <cell r="N279">
            <v>0.21745082193713483</v>
          </cell>
          <cell r="O279">
            <v>270</v>
          </cell>
        </row>
        <row r="280">
          <cell r="D280">
            <v>44440</v>
          </cell>
          <cell r="E280">
            <v>4.8190000000000008</v>
          </cell>
          <cell r="F280">
            <v>0</v>
          </cell>
          <cell r="G280">
            <v>0</v>
          </cell>
          <cell r="J280">
            <v>0</v>
          </cell>
          <cell r="K280">
            <v>0</v>
          </cell>
          <cell r="M280">
            <v>7.0662038929463003E-2</v>
          </cell>
          <cell r="N280">
            <v>0.21618292148522289</v>
          </cell>
          <cell r="O280">
            <v>271</v>
          </cell>
        </row>
        <row r="281">
          <cell r="D281">
            <v>44470</v>
          </cell>
          <cell r="E281">
            <v>4.8419999999999996</v>
          </cell>
          <cell r="F281">
            <v>0</v>
          </cell>
          <cell r="G281">
            <v>0</v>
          </cell>
          <cell r="J281">
            <v>0</v>
          </cell>
          <cell r="K281">
            <v>0</v>
          </cell>
          <cell r="M281">
            <v>7.065994123082002E-2</v>
          </cell>
          <cell r="N281">
            <v>0.21496303317391613</v>
          </cell>
          <cell r="O281">
            <v>272</v>
          </cell>
        </row>
        <row r="282">
          <cell r="D282">
            <v>44501</v>
          </cell>
          <cell r="E282">
            <v>4.9510000000000005</v>
          </cell>
          <cell r="F282">
            <v>0</v>
          </cell>
          <cell r="G282">
            <v>0</v>
          </cell>
          <cell r="J282">
            <v>0</v>
          </cell>
          <cell r="K282">
            <v>0</v>
          </cell>
          <cell r="M282">
            <v>7.0657773608890001E-2</v>
          </cell>
          <cell r="O282">
            <v>273</v>
          </cell>
        </row>
        <row r="283">
          <cell r="D283">
            <v>44531</v>
          </cell>
          <cell r="E283">
            <v>5.0720000000000001</v>
          </cell>
          <cell r="F283">
            <v>0</v>
          </cell>
          <cell r="G283">
            <v>0</v>
          </cell>
          <cell r="J283">
            <v>0</v>
          </cell>
          <cell r="K283">
            <v>0</v>
          </cell>
          <cell r="M283">
            <v>7.0655675910249002E-2</v>
          </cell>
          <cell r="N283">
            <v>0.21250399890721991</v>
          </cell>
          <cell r="O283">
            <v>274</v>
          </cell>
        </row>
        <row r="284">
          <cell r="D284">
            <v>44562</v>
          </cell>
          <cell r="E284">
            <v>5.3040000000000003</v>
          </cell>
          <cell r="F284">
            <v>0</v>
          </cell>
          <cell r="G284">
            <v>0</v>
          </cell>
          <cell r="J284">
            <v>0</v>
          </cell>
          <cell r="K284">
            <v>0</v>
          </cell>
          <cell r="M284">
            <v>7.0653508288323008E-2</v>
          </cell>
          <cell r="N284">
            <v>0.21126523764584093</v>
          </cell>
          <cell r="O284">
            <v>275</v>
          </cell>
        </row>
        <row r="285">
          <cell r="D285">
            <v>44593</v>
          </cell>
          <cell r="E285">
            <v>5.2320000000000002</v>
          </cell>
          <cell r="F285">
            <v>0</v>
          </cell>
          <cell r="G285">
            <v>0</v>
          </cell>
          <cell r="J285">
            <v>0</v>
          </cell>
          <cell r="K285">
            <v>0</v>
          </cell>
          <cell r="M285">
            <v>7.0651340666397E-2</v>
          </cell>
          <cell r="N285">
            <v>0.21003377221829109</v>
          </cell>
          <cell r="O285">
            <v>276</v>
          </cell>
        </row>
        <row r="286">
          <cell r="D286">
            <v>44621</v>
          </cell>
          <cell r="E286">
            <v>5.125</v>
          </cell>
          <cell r="F286">
            <v>0</v>
          </cell>
          <cell r="G286">
            <v>0</v>
          </cell>
          <cell r="J286">
            <v>0</v>
          </cell>
          <cell r="K286">
            <v>0</v>
          </cell>
          <cell r="M286">
            <v>7.0649382814336997E-2</v>
          </cell>
          <cell r="N286">
            <v>0.20892771568387195</v>
          </cell>
          <cell r="O286">
            <v>277</v>
          </cell>
        </row>
        <row r="287">
          <cell r="D287">
            <v>44652</v>
          </cell>
          <cell r="E287">
            <v>5.0129999999999999</v>
          </cell>
          <cell r="F287">
            <v>0</v>
          </cell>
          <cell r="G287">
            <v>0</v>
          </cell>
          <cell r="J287">
            <v>0</v>
          </cell>
          <cell r="K287">
            <v>0</v>
          </cell>
          <cell r="M287">
            <v>7.0647215192415028E-2</v>
          </cell>
          <cell r="N287">
            <v>0.20771001618865101</v>
          </cell>
          <cell r="O287">
            <v>278</v>
          </cell>
        </row>
        <row r="288">
          <cell r="D288">
            <v>44682</v>
          </cell>
          <cell r="E288">
            <v>5.0030000000000001</v>
          </cell>
          <cell r="F288">
            <v>0</v>
          </cell>
          <cell r="G288">
            <v>0</v>
          </cell>
          <cell r="J288">
            <v>0</v>
          </cell>
          <cell r="K288">
            <v>0</v>
          </cell>
          <cell r="M288">
            <v>7.0645117493782009E-2</v>
          </cell>
          <cell r="N288">
            <v>0.20653842508035167</v>
          </cell>
          <cell r="O288">
            <v>279</v>
          </cell>
        </row>
        <row r="289">
          <cell r="D289">
            <v>44713</v>
          </cell>
          <cell r="E289">
            <v>4.9990000000000006</v>
          </cell>
          <cell r="F289">
            <v>0</v>
          </cell>
          <cell r="G289">
            <v>0</v>
          </cell>
          <cell r="J289">
            <v>0</v>
          </cell>
          <cell r="K289">
            <v>0</v>
          </cell>
          <cell r="M289">
            <v>7.0642949871863009E-2</v>
          </cell>
          <cell r="N289">
            <v>0.20533479477237598</v>
          </cell>
          <cell r="O289">
            <v>280</v>
          </cell>
        </row>
        <row r="290">
          <cell r="D290">
            <v>44743</v>
          </cell>
          <cell r="E290">
            <v>4.9960000000000004</v>
          </cell>
          <cell r="F290">
            <v>0</v>
          </cell>
          <cell r="G290">
            <v>0</v>
          </cell>
          <cell r="J290">
            <v>0</v>
          </cell>
          <cell r="K290">
            <v>0</v>
          </cell>
          <cell r="M290">
            <v>7.0640852173233015E-2</v>
          </cell>
          <cell r="N290">
            <v>0.20417673933086214</v>
          </cell>
          <cell r="O290">
            <v>281</v>
          </cell>
        </row>
        <row r="291">
          <cell r="D291">
            <v>44774</v>
          </cell>
          <cell r="E291">
            <v>5.0260000000000007</v>
          </cell>
          <cell r="F291">
            <v>0</v>
          </cell>
          <cell r="G291">
            <v>0</v>
          </cell>
          <cell r="J291">
            <v>0</v>
          </cell>
          <cell r="K291">
            <v>0</v>
          </cell>
          <cell r="M291">
            <v>7.0638684551316028E-2</v>
          </cell>
          <cell r="N291">
            <v>0.20298701403612976</v>
          </cell>
          <cell r="O291">
            <v>282</v>
          </cell>
        </row>
        <row r="292">
          <cell r="D292">
            <v>44805</v>
          </cell>
          <cell r="E292">
            <v>5.0290000000000008</v>
          </cell>
          <cell r="F292">
            <v>0</v>
          </cell>
          <cell r="G292">
            <v>0</v>
          </cell>
          <cell r="J292">
            <v>0</v>
          </cell>
          <cell r="K292">
            <v>0</v>
          </cell>
          <cell r="M292">
            <v>7.063651692940201E-2</v>
          </cell>
          <cell r="N292">
            <v>0.20180429292773591</v>
          </cell>
          <cell r="O292">
            <v>283</v>
          </cell>
        </row>
        <row r="293">
          <cell r="D293">
            <v>44835</v>
          </cell>
          <cell r="E293">
            <v>5.0519999999999996</v>
          </cell>
          <cell r="F293">
            <v>0</v>
          </cell>
          <cell r="G293">
            <v>0</v>
          </cell>
          <cell r="J293">
            <v>0</v>
          </cell>
          <cell r="K293">
            <v>0</v>
          </cell>
          <cell r="M293">
            <v>7.0634419230776013E-2</v>
          </cell>
          <cell r="N293">
            <v>0.20066635380086392</v>
          </cell>
          <cell r="O293">
            <v>284</v>
          </cell>
        </row>
        <row r="294">
          <cell r="D294">
            <v>44866</v>
          </cell>
          <cell r="E294">
            <v>5.1610000000000005</v>
          </cell>
          <cell r="F294">
            <v>0</v>
          </cell>
          <cell r="G294">
            <v>0</v>
          </cell>
          <cell r="J294">
            <v>0</v>
          </cell>
          <cell r="K294">
            <v>0</v>
          </cell>
          <cell r="M294">
            <v>7.0632251608865021E-2</v>
          </cell>
          <cell r="N294">
            <v>0.19949729375017677</v>
          </cell>
          <cell r="O294">
            <v>285</v>
          </cell>
        </row>
        <row r="295">
          <cell r="D295">
            <v>44896</v>
          </cell>
          <cell r="E295">
            <v>5.2820000000000009</v>
          </cell>
          <cell r="F295">
            <v>0</v>
          </cell>
          <cell r="G295">
            <v>0</v>
          </cell>
          <cell r="J295">
            <v>0</v>
          </cell>
          <cell r="K295">
            <v>0</v>
          </cell>
          <cell r="M295">
            <v>7.0630153910242008E-2</v>
          </cell>
          <cell r="N295">
            <v>0.19837249765953349</v>
          </cell>
          <cell r="O295">
            <v>286</v>
          </cell>
        </row>
        <row r="296">
          <cell r="D296">
            <v>44927</v>
          </cell>
          <cell r="E296">
            <v>5.516</v>
          </cell>
          <cell r="F296">
            <v>0</v>
          </cell>
          <cell r="G296">
            <v>0</v>
          </cell>
          <cell r="J296">
            <v>0</v>
          </cell>
          <cell r="K296">
            <v>0</v>
          </cell>
          <cell r="M296">
            <v>7.0627986288333999E-2</v>
          </cell>
          <cell r="N296">
            <v>0.19721693930067477</v>
          </cell>
          <cell r="O296">
            <v>287</v>
          </cell>
        </row>
        <row r="297">
          <cell r="D297">
            <v>44958</v>
          </cell>
          <cell r="E297">
            <v>5.4450000000000003</v>
          </cell>
          <cell r="F297">
            <v>0</v>
          </cell>
          <cell r="G297">
            <v>0</v>
          </cell>
          <cell r="J297">
            <v>0</v>
          </cell>
          <cell r="K297">
            <v>0</v>
          </cell>
          <cell r="M297">
            <v>7.0625818666426018E-2</v>
          </cell>
          <cell r="N297">
            <v>0.19606818198582479</v>
          </cell>
          <cell r="O297">
            <v>288</v>
          </cell>
        </row>
        <row r="298">
          <cell r="D298">
            <v>44986</v>
          </cell>
          <cell r="E298">
            <v>5.3380000000000001</v>
          </cell>
          <cell r="F298">
            <v>0</v>
          </cell>
          <cell r="G298">
            <v>0</v>
          </cell>
          <cell r="J298">
            <v>0</v>
          </cell>
          <cell r="K298">
            <v>0</v>
          </cell>
          <cell r="M298">
            <v>7.0623860814382988E-2</v>
          </cell>
          <cell r="N298">
            <v>0.19503640674243683</v>
          </cell>
          <cell r="O298">
            <v>289</v>
          </cell>
        </row>
        <row r="299">
          <cell r="D299">
            <v>45017</v>
          </cell>
          <cell r="E299">
            <v>5.226</v>
          </cell>
          <cell r="F299">
            <v>0</v>
          </cell>
          <cell r="G299">
            <v>0</v>
          </cell>
          <cell r="J299">
            <v>0</v>
          </cell>
          <cell r="K299">
            <v>0</v>
          </cell>
          <cell r="M299">
            <v>7.0621693192479018E-2</v>
          </cell>
          <cell r="N299">
            <v>0.19390048185637204</v>
          </cell>
          <cell r="O299">
            <v>290</v>
          </cell>
        </row>
        <row r="300">
          <cell r="D300">
            <v>45047</v>
          </cell>
          <cell r="E300">
            <v>5.2160000000000002</v>
          </cell>
          <cell r="F300">
            <v>0</v>
          </cell>
          <cell r="G300">
            <v>0</v>
          </cell>
          <cell r="J300">
            <v>0</v>
          </cell>
          <cell r="K300">
            <v>0</v>
          </cell>
          <cell r="M300">
            <v>7.0619595493864012E-2</v>
          </cell>
          <cell r="N300">
            <v>0.19280756449626377</v>
          </cell>
          <cell r="O300">
            <v>291</v>
          </cell>
        </row>
        <row r="301">
          <cell r="D301">
            <v>45078</v>
          </cell>
          <cell r="E301">
            <v>5.2120000000000006</v>
          </cell>
          <cell r="F301">
            <v>0</v>
          </cell>
          <cell r="G301">
            <v>0</v>
          </cell>
          <cell r="J301">
            <v>0</v>
          </cell>
          <cell r="K301">
            <v>0</v>
          </cell>
          <cell r="M301">
            <v>7.0617427871962998E-2</v>
          </cell>
          <cell r="N301">
            <v>0.19168475483343006</v>
          </cell>
          <cell r="O301">
            <v>292</v>
          </cell>
        </row>
        <row r="302">
          <cell r="D302">
            <v>45108</v>
          </cell>
          <cell r="E302">
            <v>5.2089999999999996</v>
          </cell>
          <cell r="F302">
            <v>0</v>
          </cell>
          <cell r="G302">
            <v>0</v>
          </cell>
          <cell r="J302">
            <v>0</v>
          </cell>
          <cell r="K302">
            <v>0</v>
          </cell>
          <cell r="M302">
            <v>7.0615330173351018E-2</v>
          </cell>
          <cell r="N302">
            <v>0.19060445540243642</v>
          </cell>
          <cell r="O302">
            <v>293</v>
          </cell>
        </row>
        <row r="303">
          <cell r="D303">
            <v>45139</v>
          </cell>
          <cell r="E303">
            <v>5.2389999999999999</v>
          </cell>
          <cell r="F303">
            <v>0</v>
          </cell>
          <cell r="G303">
            <v>0</v>
          </cell>
          <cell r="J303">
            <v>0</v>
          </cell>
          <cell r="K303">
            <v>0</v>
          </cell>
          <cell r="M303">
            <v>7.0613162551453015E-2</v>
          </cell>
          <cell r="N303">
            <v>0.18949460802521478</v>
          </cell>
          <cell r="O303">
            <v>294</v>
          </cell>
        </row>
        <row r="304">
          <cell r="D304">
            <v>45170</v>
          </cell>
          <cell r="E304">
            <v>5.2420000000000009</v>
          </cell>
          <cell r="F304">
            <v>0</v>
          </cell>
          <cell r="G304">
            <v>0</v>
          </cell>
          <cell r="J304">
            <v>0</v>
          </cell>
          <cell r="K304">
            <v>0</v>
          </cell>
          <cell r="M304">
            <v>7.0610994929556012E-2</v>
          </cell>
          <cell r="N304">
            <v>0.18839129000650934</v>
          </cell>
          <cell r="O304">
            <v>295</v>
          </cell>
        </row>
        <row r="305">
          <cell r="D305">
            <v>45200</v>
          </cell>
          <cell r="E305">
            <v>5.2649999999999997</v>
          </cell>
          <cell r="F305">
            <v>0</v>
          </cell>
          <cell r="G305">
            <v>0</v>
          </cell>
          <cell r="J305">
            <v>0</v>
          </cell>
          <cell r="K305">
            <v>0</v>
          </cell>
          <cell r="M305">
            <v>7.0608897230948001E-2</v>
          </cell>
          <cell r="N305">
            <v>0.18732974316456669</v>
          </cell>
          <cell r="O305">
            <v>296</v>
          </cell>
        </row>
        <row r="306">
          <cell r="D306">
            <v>45231</v>
          </cell>
          <cell r="E306">
            <v>5.3739999999999997</v>
          </cell>
          <cell r="F306">
            <v>0</v>
          </cell>
          <cell r="G306">
            <v>0</v>
          </cell>
          <cell r="J306">
            <v>0</v>
          </cell>
          <cell r="K306">
            <v>0</v>
          </cell>
          <cell r="M306">
            <v>7.0606729609055008E-2</v>
          </cell>
          <cell r="N306">
            <v>0.18623916017045195</v>
          </cell>
          <cell r="O306">
            <v>297</v>
          </cell>
        </row>
        <row r="307">
          <cell r="D307">
            <v>45261</v>
          </cell>
          <cell r="E307">
            <v>5.4950000000000001</v>
          </cell>
          <cell r="F307">
            <v>0</v>
          </cell>
          <cell r="G307">
            <v>0</v>
          </cell>
          <cell r="J307">
            <v>0</v>
          </cell>
          <cell r="K307">
            <v>0</v>
          </cell>
          <cell r="M307">
            <v>7.0604631910449994E-2</v>
          </cell>
          <cell r="N307">
            <v>0.18518986549581268</v>
          </cell>
          <cell r="O307">
            <v>298</v>
          </cell>
        </row>
        <row r="308">
          <cell r="D308">
            <v>45292</v>
          </cell>
          <cell r="E308">
            <v>5.7310000000000008</v>
          </cell>
          <cell r="F308">
            <v>0</v>
          </cell>
          <cell r="G308">
            <v>0</v>
          </cell>
          <cell r="J308">
            <v>0</v>
          </cell>
          <cell r="K308">
            <v>0</v>
          </cell>
          <cell r="M308">
            <v>7.0602464288560013E-2</v>
          </cell>
          <cell r="N308">
            <v>0.18411186906474963</v>
          </cell>
          <cell r="O308">
            <v>299</v>
          </cell>
        </row>
        <row r="309">
          <cell r="D309">
            <v>45323</v>
          </cell>
          <cell r="E309">
            <v>5.66</v>
          </cell>
          <cell r="F309">
            <v>0</v>
          </cell>
          <cell r="G309">
            <v>0</v>
          </cell>
          <cell r="J309">
            <v>0</v>
          </cell>
          <cell r="K309">
            <v>0</v>
          </cell>
          <cell r="M309">
            <v>7.0600296666671003E-2</v>
          </cell>
          <cell r="N309">
            <v>0.18304021274952847</v>
          </cell>
          <cell r="O309">
            <v>300</v>
          </cell>
        </row>
        <row r="310">
          <cell r="D310">
            <v>45352</v>
          </cell>
          <cell r="E310">
            <v>5.5530000000000008</v>
          </cell>
          <cell r="F310">
            <v>0</v>
          </cell>
          <cell r="G310">
            <v>0</v>
          </cell>
          <cell r="J310">
            <v>0</v>
          </cell>
          <cell r="K310">
            <v>0</v>
          </cell>
          <cell r="M310">
            <v>7.0598268891357022E-2</v>
          </cell>
          <cell r="N310">
            <v>0.18204340193565852</v>
          </cell>
          <cell r="O310">
            <v>301</v>
          </cell>
        </row>
        <row r="311">
          <cell r="D311">
            <v>45383</v>
          </cell>
          <cell r="E311">
            <v>5.4410000000000007</v>
          </cell>
          <cell r="F311">
            <v>0</v>
          </cell>
          <cell r="G311">
            <v>0</v>
          </cell>
          <cell r="J311">
            <v>0</v>
          </cell>
          <cell r="K311">
            <v>0</v>
          </cell>
          <cell r="M311">
            <v>7.0596101269472009E-2</v>
          </cell>
          <cell r="N311">
            <v>0.18098391001891878</v>
          </cell>
          <cell r="O311">
            <v>302</v>
          </cell>
        </row>
        <row r="312">
          <cell r="D312">
            <v>45413</v>
          </cell>
          <cell r="E312">
            <v>5.431</v>
          </cell>
          <cell r="F312">
            <v>0</v>
          </cell>
          <cell r="G312">
            <v>0</v>
          </cell>
          <cell r="J312">
            <v>0</v>
          </cell>
          <cell r="K312">
            <v>0</v>
          </cell>
          <cell r="M312">
            <v>7.0594003570875016E-2</v>
          </cell>
          <cell r="N312">
            <v>0.17996452761697562</v>
          </cell>
          <cell r="O312">
            <v>303</v>
          </cell>
        </row>
        <row r="313">
          <cell r="F313">
            <v>0</v>
          </cell>
          <cell r="G313">
            <v>0</v>
          </cell>
          <cell r="J313">
            <v>0</v>
          </cell>
          <cell r="K313">
            <v>0</v>
          </cell>
          <cell r="M313">
            <v>7.0591835949000009E-2</v>
          </cell>
          <cell r="N313">
            <v>1002.9272274192878</v>
          </cell>
          <cell r="O313">
            <v>304</v>
          </cell>
        </row>
        <row r="314">
          <cell r="F314">
            <v>0</v>
          </cell>
          <cell r="G314">
            <v>0</v>
          </cell>
          <cell r="J314">
            <v>0</v>
          </cell>
          <cell r="K314">
            <v>0</v>
          </cell>
          <cell r="M314">
            <v>7.0589738250397022E-2</v>
          </cell>
          <cell r="N314">
            <v>1002.7248208424493</v>
          </cell>
          <cell r="O314">
            <v>305</v>
          </cell>
        </row>
        <row r="315">
          <cell r="F315">
            <v>0</v>
          </cell>
          <cell r="G315">
            <v>0</v>
          </cell>
          <cell r="J315">
            <v>0</v>
          </cell>
          <cell r="K315">
            <v>0</v>
          </cell>
          <cell r="M315">
            <v>7.0587570628518018E-2</v>
          </cell>
          <cell r="N315">
            <v>1002.5157100793259</v>
          </cell>
          <cell r="O315">
            <v>306</v>
          </cell>
        </row>
        <row r="316">
          <cell r="F316">
            <v>0</v>
          </cell>
          <cell r="G316">
            <v>0</v>
          </cell>
          <cell r="J316">
            <v>0</v>
          </cell>
          <cell r="K316">
            <v>0</v>
          </cell>
          <cell r="M316">
            <v>7.0585403006639999E-2</v>
          </cell>
          <cell r="N316">
            <v>1002.3066427059309</v>
          </cell>
          <cell r="O316">
            <v>307</v>
          </cell>
        </row>
        <row r="317">
          <cell r="F317">
            <v>0</v>
          </cell>
          <cell r="G317">
            <v>0</v>
          </cell>
          <cell r="J317">
            <v>0</v>
          </cell>
          <cell r="K317">
            <v>0</v>
          </cell>
          <cell r="M317">
            <v>7.0583305308049016E-2</v>
          </cell>
          <cell r="N317">
            <v>1002.1043607457121</v>
          </cell>
          <cell r="O317">
            <v>308</v>
          </cell>
        </row>
        <row r="318">
          <cell r="F318">
            <v>0</v>
          </cell>
          <cell r="G318">
            <v>0</v>
          </cell>
          <cell r="J318">
            <v>0</v>
          </cell>
          <cell r="K318">
            <v>0</v>
          </cell>
          <cell r="M318">
            <v>7.0581137686175008E-2</v>
          </cell>
          <cell r="N318">
            <v>1001.8953787261714</v>
          </cell>
          <cell r="O318">
            <v>309</v>
          </cell>
        </row>
        <row r="319">
          <cell r="F319">
            <v>0</v>
          </cell>
          <cell r="G319">
            <v>0</v>
          </cell>
          <cell r="J319">
            <v>0</v>
          </cell>
          <cell r="K319">
            <v>0</v>
          </cell>
          <cell r="M319">
            <v>7.0579039987587022E-2</v>
          </cell>
          <cell r="N319">
            <v>1001.6931793495629</v>
          </cell>
          <cell r="O319">
            <v>310</v>
          </cell>
        </row>
        <row r="320">
          <cell r="F320">
            <v>0</v>
          </cell>
          <cell r="G320">
            <v>0</v>
          </cell>
          <cell r="J320">
            <v>0</v>
          </cell>
          <cell r="K320">
            <v>0</v>
          </cell>
          <cell r="M320">
            <v>7.0576872365716026E-2</v>
          </cell>
          <cell r="N320">
            <v>1001.4842826491182</v>
          </cell>
          <cell r="O320">
            <v>311</v>
          </cell>
        </row>
        <row r="321">
          <cell r="F321">
            <v>0</v>
          </cell>
          <cell r="G321">
            <v>0</v>
          </cell>
          <cell r="J321">
            <v>0</v>
          </cell>
          <cell r="K321">
            <v>0</v>
          </cell>
          <cell r="M321">
            <v>7.0574704743845001E-2</v>
          </cell>
          <cell r="N321">
            <v>1001.2754292941237</v>
          </cell>
          <cell r="O321">
            <v>312</v>
          </cell>
        </row>
        <row r="322">
          <cell r="F322">
            <v>0</v>
          </cell>
          <cell r="G322">
            <v>0</v>
          </cell>
          <cell r="J322">
            <v>0</v>
          </cell>
          <cell r="K322">
            <v>0</v>
          </cell>
          <cell r="M322">
            <v>7.0572746891835028E-2</v>
          </cell>
          <cell r="N322">
            <v>1001.0868248032288</v>
          </cell>
          <cell r="O322">
            <v>313</v>
          </cell>
        </row>
        <row r="323">
          <cell r="F323">
            <v>0</v>
          </cell>
          <cell r="G323">
            <v>0</v>
          </cell>
          <cell r="J323">
            <v>0</v>
          </cell>
          <cell r="K323">
            <v>0</v>
          </cell>
          <cell r="M323">
            <v>7.0570579269967015E-2</v>
          </cell>
          <cell r="N323">
            <v>1000.8780539199932</v>
          </cell>
          <cell r="O323">
            <v>314</v>
          </cell>
        </row>
        <row r="324">
          <cell r="F324">
            <v>0</v>
          </cell>
          <cell r="G324">
            <v>0</v>
          </cell>
          <cell r="J324">
            <v>0</v>
          </cell>
          <cell r="K324">
            <v>0</v>
          </cell>
          <cell r="M324">
            <v>7.0568481571387009E-2</v>
          </cell>
          <cell r="N324">
            <v>1000.6760588275291</v>
          </cell>
          <cell r="O324">
            <v>315</v>
          </cell>
        </row>
        <row r="325">
          <cell r="F325">
            <v>0</v>
          </cell>
          <cell r="G325">
            <v>0</v>
          </cell>
          <cell r="J325">
            <v>0</v>
          </cell>
          <cell r="K325">
            <v>0</v>
          </cell>
          <cell r="M325">
            <v>7.0566313949522994E-2</v>
          </cell>
          <cell r="N325">
            <v>1000.4673731777104</v>
          </cell>
          <cell r="O325">
            <v>316</v>
          </cell>
        </row>
        <row r="326">
          <cell r="F326">
            <v>0</v>
          </cell>
          <cell r="G326">
            <v>0</v>
          </cell>
          <cell r="J326">
            <v>0</v>
          </cell>
          <cell r="K326">
            <v>0</v>
          </cell>
          <cell r="M326">
            <v>7.0564216250946013E-2</v>
          </cell>
          <cell r="N326">
            <v>1000.2654605523704</v>
          </cell>
          <cell r="O326">
            <v>317</v>
          </cell>
        </row>
        <row r="327">
          <cell r="F327">
            <v>0</v>
          </cell>
          <cell r="G327">
            <v>0</v>
          </cell>
          <cell r="J327">
            <v>0</v>
          </cell>
          <cell r="K327">
            <v>0</v>
          </cell>
          <cell r="M327">
            <v>7.0562048629084009E-2</v>
          </cell>
          <cell r="N327">
            <v>1000.056860101135</v>
          </cell>
          <cell r="O327">
            <v>318</v>
          </cell>
        </row>
        <row r="328">
          <cell r="F328">
            <v>0</v>
          </cell>
          <cell r="G328">
            <v>0</v>
          </cell>
          <cell r="J328">
            <v>0</v>
          </cell>
          <cell r="K328">
            <v>0</v>
          </cell>
          <cell r="M328">
            <v>7.0559881007225017E-2</v>
          </cell>
          <cell r="N328">
            <v>999.84830293448749</v>
          </cell>
          <cell r="O328">
            <v>319</v>
          </cell>
        </row>
        <row r="329">
          <cell r="F329">
            <v>0</v>
          </cell>
          <cell r="G329">
            <v>0</v>
          </cell>
          <cell r="J329">
            <v>0</v>
          </cell>
          <cell r="K329">
            <v>0</v>
          </cell>
          <cell r="M329">
            <v>7.0557783308653005E-2</v>
          </cell>
          <cell r="N329">
            <v>999.64651462245843</v>
          </cell>
          <cell r="O329">
            <v>320</v>
          </cell>
        </row>
        <row r="330">
          <cell r="F330">
            <v>0</v>
          </cell>
          <cell r="G330">
            <v>0</v>
          </cell>
          <cell r="J330">
            <v>0</v>
          </cell>
          <cell r="K330">
            <v>0</v>
          </cell>
          <cell r="M330">
            <v>7.0555615686796011E-2</v>
          </cell>
          <cell r="N330">
            <v>999.4380426022027</v>
          </cell>
          <cell r="O330">
            <v>321</v>
          </cell>
        </row>
        <row r="331">
          <cell r="F331">
            <v>0</v>
          </cell>
          <cell r="G331">
            <v>0</v>
          </cell>
          <cell r="J331">
            <v>0</v>
          </cell>
          <cell r="K331">
            <v>0</v>
          </cell>
          <cell r="M331">
            <v>7.0553517988227024E-2</v>
          </cell>
          <cell r="N331">
            <v>999.23633667330557</v>
          </cell>
          <cell r="O331">
            <v>322</v>
          </cell>
        </row>
        <row r="332">
          <cell r="F332">
            <v>0</v>
          </cell>
          <cell r="G332">
            <v>0</v>
          </cell>
          <cell r="J332">
            <v>0</v>
          </cell>
          <cell r="K332">
            <v>0</v>
          </cell>
          <cell r="M332">
            <v>7.0551350366373028E-2</v>
          </cell>
          <cell r="N332">
            <v>999.02794976498137</v>
          </cell>
          <cell r="O332">
            <v>323</v>
          </cell>
        </row>
        <row r="333">
          <cell r="F333">
            <v>0</v>
          </cell>
          <cell r="G333">
            <v>0</v>
          </cell>
          <cell r="J333">
            <v>0</v>
          </cell>
          <cell r="K333">
            <v>0</v>
          </cell>
          <cell r="M333">
            <v>7.054918274452103E-2</v>
          </cell>
          <cell r="N333">
            <v>998.81960609707335</v>
          </cell>
          <cell r="O333">
            <v>324</v>
          </cell>
        </row>
        <row r="334">
          <cell r="F334">
            <v>0</v>
          </cell>
          <cell r="G334">
            <v>0</v>
          </cell>
          <cell r="J334">
            <v>0</v>
          </cell>
          <cell r="K334">
            <v>0</v>
          </cell>
          <cell r="M334">
            <v>7.0547224892527016E-2</v>
          </cell>
          <cell r="N334">
            <v>998.63146187818381</v>
          </cell>
          <cell r="O334">
            <v>325</v>
          </cell>
        </row>
        <row r="335">
          <cell r="F335">
            <v>0</v>
          </cell>
          <cell r="G335">
            <v>0</v>
          </cell>
          <cell r="J335">
            <v>0</v>
          </cell>
          <cell r="K335">
            <v>0</v>
          </cell>
          <cell r="M335">
            <v>7.0545057270677988E-2</v>
          </cell>
          <cell r="N335">
            <v>998.4232004817394</v>
          </cell>
          <cell r="O335">
            <v>326</v>
          </cell>
        </row>
        <row r="336">
          <cell r="F336">
            <v>0</v>
          </cell>
          <cell r="G336">
            <v>0</v>
          </cell>
          <cell r="J336">
            <v>0</v>
          </cell>
          <cell r="K336">
            <v>0</v>
          </cell>
          <cell r="M336">
            <v>7.054295957211601E-2</v>
          </cell>
          <cell r="N336">
            <v>998.2216983408747</v>
          </cell>
          <cell r="O336">
            <v>327</v>
          </cell>
        </row>
        <row r="337">
          <cell r="F337">
            <v>0</v>
          </cell>
          <cell r="G337">
            <v>0</v>
          </cell>
          <cell r="J337">
            <v>0</v>
          </cell>
          <cell r="K337">
            <v>0</v>
          </cell>
          <cell r="M337">
            <v>7.0540791950270021E-2</v>
          </cell>
          <cell r="N337">
            <v>998.01352197080541</v>
          </cell>
          <cell r="O337">
            <v>328</v>
          </cell>
        </row>
        <row r="338">
          <cell r="F338">
            <v>0</v>
          </cell>
          <cell r="G338">
            <v>0</v>
          </cell>
          <cell r="J338">
            <v>0</v>
          </cell>
          <cell r="K338">
            <v>0</v>
          </cell>
          <cell r="M338">
            <v>7.0538694251710013E-2</v>
          </cell>
          <cell r="N338">
            <v>997.81210209669609</v>
          </cell>
          <cell r="O338">
            <v>329</v>
          </cell>
        </row>
        <row r="339">
          <cell r="F339">
            <v>0</v>
          </cell>
          <cell r="G339">
            <v>0</v>
          </cell>
          <cell r="J339">
            <v>0</v>
          </cell>
          <cell r="K339">
            <v>0</v>
          </cell>
          <cell r="M339">
            <v>7.0536526629866994E-2</v>
          </cell>
          <cell r="N339">
            <v>997.60401071846331</v>
          </cell>
          <cell r="O339">
            <v>330</v>
          </cell>
        </row>
        <row r="340">
          <cell r="F340">
            <v>0</v>
          </cell>
          <cell r="G340">
            <v>0</v>
          </cell>
          <cell r="J340">
            <v>0</v>
          </cell>
          <cell r="K340">
            <v>0</v>
          </cell>
          <cell r="M340">
            <v>7.0534359008026001E-2</v>
          </cell>
          <cell r="N340">
            <v>997.3959625195921</v>
          </cell>
          <cell r="O340">
            <v>331</v>
          </cell>
        </row>
        <row r="341">
          <cell r="F341">
            <v>0</v>
          </cell>
          <cell r="G341">
            <v>0</v>
          </cell>
          <cell r="J341">
            <v>0</v>
          </cell>
          <cell r="K341">
            <v>0</v>
          </cell>
          <cell r="M341">
            <v>7.0532261309471017E-2</v>
          </cell>
          <cell r="N341">
            <v>997.19466665698621</v>
          </cell>
          <cell r="O341">
            <v>332</v>
          </cell>
        </row>
        <row r="342">
          <cell r="F342">
            <v>0</v>
          </cell>
          <cell r="G342">
            <v>0</v>
          </cell>
          <cell r="J342">
            <v>0</v>
          </cell>
          <cell r="K342">
            <v>0</v>
          </cell>
          <cell r="M342">
            <v>7.0530093687633008E-2</v>
          </cell>
          <cell r="N342">
            <v>996.9867033978868</v>
          </cell>
          <cell r="O342">
            <v>333</v>
          </cell>
        </row>
        <row r="343">
          <cell r="F343">
            <v>0</v>
          </cell>
          <cell r="G343">
            <v>0</v>
          </cell>
          <cell r="J343">
            <v>0</v>
          </cell>
          <cell r="K343">
            <v>0</v>
          </cell>
          <cell r="M343">
            <v>7.0527995989081008E-2</v>
          </cell>
          <cell r="N343">
            <v>996.78548971837392</v>
          </cell>
          <cell r="O343">
            <v>334</v>
          </cell>
        </row>
        <row r="344">
          <cell r="F344">
            <v>0</v>
          </cell>
          <cell r="G344">
            <v>0</v>
          </cell>
          <cell r="J344">
            <v>0</v>
          </cell>
          <cell r="K344">
            <v>0</v>
          </cell>
          <cell r="M344">
            <v>7.0525828367246024E-2</v>
          </cell>
          <cell r="N344">
            <v>996.57761136449858</v>
          </cell>
          <cell r="O344">
            <v>335</v>
          </cell>
        </row>
        <row r="345">
          <cell r="F345">
            <v>0</v>
          </cell>
          <cell r="G345">
            <v>0</v>
          </cell>
          <cell r="J345">
            <v>0</v>
          </cell>
          <cell r="K345">
            <v>0</v>
          </cell>
          <cell r="M345">
            <v>7.0523660745412012E-2</v>
          </cell>
          <cell r="N345">
            <v>996.36977614596037</v>
          </cell>
          <cell r="O345">
            <v>336</v>
          </cell>
        </row>
        <row r="346">
          <cell r="F346">
            <v>0</v>
          </cell>
          <cell r="G346">
            <v>0</v>
          </cell>
          <cell r="J346">
            <v>0</v>
          </cell>
          <cell r="K346">
            <v>0</v>
          </cell>
          <cell r="M346">
            <v>7.0521702893434027E-2</v>
          </cell>
          <cell r="N346">
            <v>996.18209108143219</v>
          </cell>
          <cell r="O346">
            <v>337</v>
          </cell>
        </row>
        <row r="347">
          <cell r="F347">
            <v>0</v>
          </cell>
          <cell r="G347">
            <v>0</v>
          </cell>
          <cell r="J347">
            <v>0</v>
          </cell>
          <cell r="K347">
            <v>0</v>
          </cell>
          <cell r="M347">
            <v>7.0519535271604025E-2</v>
          </cell>
          <cell r="N347">
            <v>995.97433793471839</v>
          </cell>
          <cell r="O347">
            <v>338</v>
          </cell>
        </row>
        <row r="348">
          <cell r="F348">
            <v>0</v>
          </cell>
          <cell r="G348">
            <v>0</v>
          </cell>
          <cell r="J348">
            <v>0</v>
          </cell>
          <cell r="K348">
            <v>0</v>
          </cell>
          <cell r="M348">
            <v>7.0517437573059005E-2</v>
          </cell>
          <cell r="N348">
            <v>995.77332754836709</v>
          </cell>
          <cell r="O348">
            <v>339</v>
          </cell>
        </row>
        <row r="349">
          <cell r="F349">
            <v>0</v>
          </cell>
          <cell r="G349">
            <v>0</v>
          </cell>
          <cell r="J349">
            <v>0</v>
          </cell>
          <cell r="K349">
            <v>0</v>
          </cell>
          <cell r="M349">
            <v>7.0515269951232029E-2</v>
          </cell>
          <cell r="N349">
            <v>995.56565922157063</v>
          </cell>
          <cell r="O349">
            <v>340</v>
          </cell>
        </row>
        <row r="350">
          <cell r="F350">
            <v>0</v>
          </cell>
          <cell r="G350">
            <v>0</v>
          </cell>
          <cell r="J350">
            <v>0</v>
          </cell>
          <cell r="K350">
            <v>0</v>
          </cell>
          <cell r="M350">
            <v>7.0513172252690021E-2</v>
          </cell>
          <cell r="N350">
            <v>995.3647309023479</v>
          </cell>
          <cell r="O350">
            <v>341</v>
          </cell>
        </row>
        <row r="351">
          <cell r="F351">
            <v>0</v>
          </cell>
          <cell r="G351">
            <v>0</v>
          </cell>
          <cell r="J351">
            <v>0</v>
          </cell>
          <cell r="K351">
            <v>0</v>
          </cell>
          <cell r="M351">
            <v>7.0511004630865015E-2</v>
          </cell>
          <cell r="N351">
            <v>995.15714736093082</v>
          </cell>
          <cell r="O351">
            <v>342</v>
          </cell>
        </row>
        <row r="352">
          <cell r="F352">
            <v>0</v>
          </cell>
          <cell r="G352">
            <v>0</v>
          </cell>
          <cell r="J352">
            <v>0</v>
          </cell>
          <cell r="K352">
            <v>0</v>
          </cell>
          <cell r="M352">
            <v>7.0508837009042022E-2</v>
          </cell>
          <cell r="N352">
            <v>994.94960689398204</v>
          </cell>
          <cell r="O352">
            <v>343</v>
          </cell>
        </row>
        <row r="353">
          <cell r="F353">
            <v>0</v>
          </cell>
          <cell r="G353">
            <v>0</v>
          </cell>
          <cell r="J353">
            <v>0</v>
          </cell>
          <cell r="K353">
            <v>0</v>
          </cell>
          <cell r="M353">
            <v>7.0506739310505023E-2</v>
          </cell>
          <cell r="N353">
            <v>994.74880228514269</v>
          </cell>
          <cell r="O353">
            <v>344</v>
          </cell>
        </row>
        <row r="354">
          <cell r="F354">
            <v>0</v>
          </cell>
          <cell r="G354">
            <v>0</v>
          </cell>
          <cell r="J354">
            <v>0</v>
          </cell>
          <cell r="K354">
            <v>0</v>
          </cell>
          <cell r="M354">
            <v>7.0504571688685E-2</v>
          </cell>
          <cell r="N354">
            <v>994.54134655172038</v>
          </cell>
          <cell r="O354">
            <v>345</v>
          </cell>
        </row>
        <row r="355">
          <cell r="F355">
            <v>0</v>
          </cell>
          <cell r="G355">
            <v>0</v>
          </cell>
          <cell r="J355">
            <v>0</v>
          </cell>
          <cell r="K355">
            <v>0</v>
          </cell>
          <cell r="M355">
            <v>7.0502473990151013E-2</v>
          </cell>
          <cell r="N355">
            <v>994.34062392637441</v>
          </cell>
          <cell r="O355">
            <v>346</v>
          </cell>
        </row>
        <row r="356">
          <cell r="F356">
            <v>0</v>
          </cell>
          <cell r="G356">
            <v>0</v>
          </cell>
          <cell r="J356">
            <v>0</v>
          </cell>
          <cell r="K356">
            <v>0</v>
          </cell>
          <cell r="M356">
            <v>7.0500306368334001E-2</v>
          </cell>
          <cell r="N356">
            <v>994.13325289205579</v>
          </cell>
          <cell r="O356">
            <v>347</v>
          </cell>
        </row>
        <row r="357">
          <cell r="F357">
            <v>0</v>
          </cell>
          <cell r="G357">
            <v>0</v>
          </cell>
          <cell r="J357">
            <v>0</v>
          </cell>
          <cell r="K357">
            <v>0</v>
          </cell>
          <cell r="M357">
            <v>7.0498138746518016E-2</v>
          </cell>
          <cell r="N357">
            <v>993.92592488833145</v>
          </cell>
          <cell r="O357">
            <v>348</v>
          </cell>
        </row>
        <row r="358">
          <cell r="F358">
            <v>0</v>
          </cell>
          <cell r="G358">
            <v>0</v>
          </cell>
          <cell r="J358">
            <v>0</v>
          </cell>
          <cell r="K358">
            <v>0</v>
          </cell>
          <cell r="M358">
            <v>7.0496110971272993E-2</v>
          </cell>
          <cell r="N358">
            <v>993.7320118329551</v>
          </cell>
          <cell r="O358">
            <v>349</v>
          </cell>
        </row>
        <row r="359">
          <cell r="F359">
            <v>0</v>
          </cell>
          <cell r="G359">
            <v>0</v>
          </cell>
          <cell r="J359">
            <v>0</v>
          </cell>
          <cell r="K359">
            <v>0</v>
          </cell>
          <cell r="M359">
            <v>7.0493943349461033E-2</v>
          </cell>
          <cell r="N359">
            <v>993.52476708915617</v>
          </cell>
          <cell r="O359">
            <v>350</v>
          </cell>
        </row>
        <row r="360">
          <cell r="F360">
            <v>0</v>
          </cell>
          <cell r="G360">
            <v>0</v>
          </cell>
          <cell r="J360">
            <v>0</v>
          </cell>
          <cell r="K360">
            <v>0</v>
          </cell>
          <cell r="M360">
            <v>7.0491845650934026E-2</v>
          </cell>
          <cell r="N360">
            <v>993.32424860570211</v>
          </cell>
          <cell r="O360">
            <v>351</v>
          </cell>
        </row>
        <row r="361">
          <cell r="F361">
            <v>0</v>
          </cell>
          <cell r="G361">
            <v>0</v>
          </cell>
          <cell r="J361">
            <v>0</v>
          </cell>
          <cell r="K361">
            <v>0</v>
          </cell>
          <cell r="M361">
            <v>7.0489678029125008E-2</v>
          </cell>
          <cell r="N361">
            <v>993.11708847529951</v>
          </cell>
          <cell r="O361">
            <v>352</v>
          </cell>
        </row>
        <row r="362">
          <cell r="F362">
            <v>0</v>
          </cell>
          <cell r="G362">
            <v>0</v>
          </cell>
          <cell r="J362">
            <v>0</v>
          </cell>
          <cell r="K362">
            <v>0</v>
          </cell>
          <cell r="M362">
            <v>7.0487580330601027E-2</v>
          </cell>
          <cell r="N362">
            <v>992.9166518591519</v>
          </cell>
          <cell r="O362">
            <v>353</v>
          </cell>
        </row>
        <row r="363">
          <cell r="F363">
            <v>0</v>
          </cell>
          <cell r="G363">
            <v>0</v>
          </cell>
          <cell r="J363">
            <v>0</v>
          </cell>
          <cell r="K363">
            <v>0</v>
          </cell>
          <cell r="M363">
            <v>7.0485412708795006E-2</v>
          </cell>
          <cell r="N363">
            <v>992.70957630773171</v>
          </cell>
          <cell r="O363">
            <v>354</v>
          </cell>
        </row>
        <row r="364">
          <cell r="F364">
            <v>0</v>
          </cell>
          <cell r="G364">
            <v>0</v>
          </cell>
          <cell r="J364">
            <v>0</v>
          </cell>
          <cell r="K364">
            <v>0</v>
          </cell>
          <cell r="M364">
            <v>7.0483245087000004E-2</v>
          </cell>
          <cell r="N364">
            <v>992.50254372683469</v>
          </cell>
          <cell r="O364">
            <v>355</v>
          </cell>
        </row>
        <row r="365">
          <cell r="F365">
            <v>0</v>
          </cell>
          <cell r="G365">
            <v>0</v>
          </cell>
          <cell r="J365">
            <v>0</v>
          </cell>
          <cell r="K365">
            <v>0</v>
          </cell>
          <cell r="M365">
            <v>7.0481147388470014E-2</v>
          </cell>
          <cell r="N365">
            <v>992.3022305187958</v>
          </cell>
          <cell r="O365">
            <v>356</v>
          </cell>
        </row>
        <row r="366">
          <cell r="F366">
            <v>0</v>
          </cell>
          <cell r="G366">
            <v>0</v>
          </cell>
          <cell r="J366">
            <v>0</v>
          </cell>
          <cell r="K366">
            <v>0</v>
          </cell>
          <cell r="M366">
            <v>7.0478979766669017E-2</v>
          </cell>
          <cell r="N366">
            <v>992.09528246426248</v>
          </cell>
          <cell r="O366">
            <v>357</v>
          </cell>
        </row>
        <row r="367">
          <cell r="F367">
            <v>0</v>
          </cell>
          <cell r="G367">
            <v>0</v>
          </cell>
          <cell r="J367">
            <v>0</v>
          </cell>
          <cell r="K367">
            <v>0</v>
          </cell>
          <cell r="M367">
            <v>7.047688206815203E-2</v>
          </cell>
          <cell r="N367">
            <v>991.89505104107729</v>
          </cell>
          <cell r="O367">
            <v>358</v>
          </cell>
        </row>
        <row r="368">
          <cell r="M368">
            <v>7.0474714446354003E-2</v>
          </cell>
          <cell r="N368">
            <v>991.68818747937678</v>
          </cell>
          <cell r="O368">
            <v>359</v>
          </cell>
        </row>
        <row r="369">
          <cell r="M369">
            <v>7.0472546824557017E-2</v>
          </cell>
          <cell r="N369">
            <v>991.48136684345559</v>
          </cell>
          <cell r="O369">
            <v>360</v>
          </cell>
        </row>
        <row r="370">
          <cell r="M370">
            <v>7.0470588972612019E-2</v>
          </cell>
          <cell r="N370">
            <v>991.29459799604342</v>
          </cell>
          <cell r="O370">
            <v>361</v>
          </cell>
        </row>
        <row r="371">
          <cell r="M371">
            <v>7.0468421350818003E-2</v>
          </cell>
          <cell r="N371">
            <v>991.08785903327259</v>
          </cell>
        </row>
        <row r="372">
          <cell r="M372">
            <v>7.0466323652309024E-2</v>
          </cell>
          <cell r="N372">
            <v>990.88782991595656</v>
          </cell>
        </row>
        <row r="373">
          <cell r="D373">
            <v>47119</v>
          </cell>
          <cell r="E373">
            <v>5.9529756149009003E-2</v>
          </cell>
          <cell r="F373">
            <v>0</v>
          </cell>
          <cell r="G373">
            <v>0</v>
          </cell>
          <cell r="H373">
            <v>0</v>
          </cell>
          <cell r="I373">
            <v>0.178648062</v>
          </cell>
          <cell r="M373">
            <v>7.0464156030518019E-2</v>
          </cell>
        </row>
        <row r="374">
          <cell r="D374">
            <v>47150</v>
          </cell>
          <cell r="E374">
            <v>5.9528622187856019E-2</v>
          </cell>
          <cell r="M374">
            <v>7.0462058332012009E-2</v>
          </cell>
        </row>
        <row r="375">
          <cell r="M375">
            <v>6.5486450997459006E-2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xtendible Collars"/>
      <sheetName val="Basket Options"/>
      <sheetName val="Basis Options"/>
      <sheetName val="Correllations"/>
      <sheetName val="Benchmark Positions"/>
      <sheetName val="Curves"/>
      <sheetName val="POSITION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E7">
            <v>1</v>
          </cell>
          <cell r="F7">
            <v>2</v>
          </cell>
          <cell r="G7">
            <v>3</v>
          </cell>
          <cell r="H7">
            <v>4</v>
          </cell>
          <cell r="I7">
            <v>5</v>
          </cell>
          <cell r="J7">
            <v>6</v>
          </cell>
          <cell r="K7">
            <v>7</v>
          </cell>
          <cell r="L7">
            <v>8</v>
          </cell>
          <cell r="M7">
            <v>9</v>
          </cell>
          <cell r="N7">
            <v>10</v>
          </cell>
          <cell r="O7">
            <v>11</v>
          </cell>
          <cell r="P7">
            <v>12</v>
          </cell>
          <cell r="Q7">
            <v>13</v>
          </cell>
          <cell r="V7">
            <v>18</v>
          </cell>
          <cell r="W7">
            <v>19</v>
          </cell>
          <cell r="X7">
            <v>20</v>
          </cell>
          <cell r="Y7">
            <v>21</v>
          </cell>
          <cell r="Z7">
            <v>22</v>
          </cell>
          <cell r="AA7">
            <v>23</v>
          </cell>
          <cell r="AB7">
            <v>24</v>
          </cell>
          <cell r="AC7">
            <v>25</v>
          </cell>
          <cell r="AD7">
            <v>26</v>
          </cell>
          <cell r="AE7">
            <v>27</v>
          </cell>
          <cell r="AF7">
            <v>28</v>
          </cell>
          <cell r="AG7">
            <v>29</v>
          </cell>
        </row>
        <row r="8">
          <cell r="E8">
            <v>36375</v>
          </cell>
          <cell r="F8">
            <v>36375</v>
          </cell>
          <cell r="G8">
            <v>36375</v>
          </cell>
          <cell r="H8">
            <v>36375</v>
          </cell>
          <cell r="I8">
            <v>36375</v>
          </cell>
          <cell r="J8">
            <v>36375</v>
          </cell>
          <cell r="K8">
            <v>36375</v>
          </cell>
          <cell r="L8">
            <v>36375</v>
          </cell>
          <cell r="M8">
            <v>36375</v>
          </cell>
          <cell r="N8">
            <v>36375</v>
          </cell>
          <cell r="O8">
            <v>36375</v>
          </cell>
          <cell r="P8">
            <v>36375</v>
          </cell>
          <cell r="Q8">
            <v>36375</v>
          </cell>
          <cell r="R8">
            <v>36375</v>
          </cell>
          <cell r="S8">
            <v>36375</v>
          </cell>
          <cell r="T8">
            <v>36375</v>
          </cell>
          <cell r="U8">
            <v>36375</v>
          </cell>
          <cell r="V8">
            <v>36375</v>
          </cell>
          <cell r="W8">
            <v>36375</v>
          </cell>
          <cell r="X8">
            <v>36375</v>
          </cell>
          <cell r="Y8">
            <v>36375</v>
          </cell>
          <cell r="Z8">
            <v>36375</v>
          </cell>
          <cell r="AA8">
            <v>36375</v>
          </cell>
          <cell r="AB8">
            <v>36375</v>
          </cell>
          <cell r="AC8">
            <v>36375</v>
          </cell>
          <cell r="AD8">
            <v>36375</v>
          </cell>
          <cell r="AE8">
            <v>36375</v>
          </cell>
          <cell r="AF8">
            <v>36375</v>
          </cell>
          <cell r="AG8">
            <v>36375</v>
          </cell>
        </row>
        <row r="9">
          <cell r="E9">
            <v>36373</v>
          </cell>
          <cell r="F9">
            <v>36373</v>
          </cell>
          <cell r="G9">
            <v>36373</v>
          </cell>
          <cell r="H9">
            <v>36373</v>
          </cell>
          <cell r="I9">
            <v>36373</v>
          </cell>
          <cell r="J9">
            <v>36373</v>
          </cell>
          <cell r="K9">
            <v>36373</v>
          </cell>
          <cell r="L9">
            <v>36373</v>
          </cell>
          <cell r="M9">
            <v>36373</v>
          </cell>
          <cell r="N9">
            <v>36373</v>
          </cell>
          <cell r="O9">
            <v>36373</v>
          </cell>
          <cell r="P9">
            <v>36373</v>
          </cell>
          <cell r="Q9">
            <v>36373</v>
          </cell>
          <cell r="R9">
            <v>36373</v>
          </cell>
          <cell r="S9">
            <v>36373</v>
          </cell>
          <cell r="T9">
            <v>36373</v>
          </cell>
          <cell r="U9">
            <v>36373</v>
          </cell>
          <cell r="V9">
            <v>36373</v>
          </cell>
          <cell r="W9">
            <v>36373</v>
          </cell>
          <cell r="X9">
            <v>36373</v>
          </cell>
          <cell r="Y9">
            <v>36373</v>
          </cell>
          <cell r="Z9">
            <v>36373</v>
          </cell>
          <cell r="AA9">
            <v>36373</v>
          </cell>
          <cell r="AB9">
            <v>36373</v>
          </cell>
          <cell r="AC9">
            <v>36373</v>
          </cell>
          <cell r="AD9">
            <v>36373</v>
          </cell>
          <cell r="AE9">
            <v>36373</v>
          </cell>
          <cell r="AF9">
            <v>36373</v>
          </cell>
          <cell r="AG9">
            <v>36373</v>
          </cell>
        </row>
        <row r="10">
          <cell r="A10">
            <v>23</v>
          </cell>
          <cell r="E10" t="str">
            <v>NG</v>
          </cell>
          <cell r="F10" t="str">
            <v>NG</v>
          </cell>
          <cell r="G10" t="str">
            <v>INTNS</v>
          </cell>
          <cell r="H10" t="str">
            <v>IF-HPL/SHPCHAN</v>
          </cell>
          <cell r="I10" t="str">
            <v>IF-PAN/TX/OK</v>
          </cell>
          <cell r="J10" t="str">
            <v>NGI/CHI. GATE</v>
          </cell>
          <cell r="K10" t="str">
            <v>IF-CGT/APPALAC</v>
          </cell>
          <cell r="L10" t="str">
            <v>IF-TRANSCO/Z1</v>
          </cell>
          <cell r="M10" t="str">
            <v>IF-TRANSCO/Z2</v>
          </cell>
          <cell r="N10" t="str">
            <v>IF-NWPL_ROCKY_M</v>
          </cell>
          <cell r="O10" t="str">
            <v>IF-TRANSCO/Z3</v>
          </cell>
          <cell r="P10" t="str">
            <v>IF-SONAT/LA</v>
          </cell>
          <cell r="Q10" t="str">
            <v>IF-COLGULF/LA</v>
          </cell>
          <cell r="R10" t="str">
            <v>IF-NGPL/LA</v>
          </cell>
          <cell r="S10" t="str">
            <v>IF-FGT/Z3</v>
          </cell>
          <cell r="T10" t="str">
            <v>IF-TENN/TX</v>
          </cell>
          <cell r="U10" t="str">
            <v>IF-ELPO/PERMIAN</v>
          </cell>
          <cell r="V10" t="str">
            <v>IF-TRANSCO/Z6</v>
          </cell>
          <cell r="W10" t="str">
            <v>IF-HPL/SHPCHAN</v>
          </cell>
          <cell r="X10" t="str">
            <v>IF-TRANSCO/Z6</v>
          </cell>
          <cell r="Y10" t="str">
            <v>IF-NWPL_ROCKY_M</v>
          </cell>
          <cell r="Z10" t="str">
            <v>NGI/CHI. GATE</v>
          </cell>
          <cell r="AA10" t="str">
            <v>IF-CGT/APPALAC</v>
          </cell>
          <cell r="AB10" t="str">
            <v>IF-TRANSCO/Z1</v>
          </cell>
          <cell r="AC10" t="str">
            <v>IF-TRANSCO/Z2</v>
          </cell>
          <cell r="AD10" t="str">
            <v>IF-TRANSCO/Z3</v>
          </cell>
          <cell r="AE10" t="str">
            <v>IF-SONAT/LA</v>
          </cell>
          <cell r="AF10" t="str">
            <v>IF-COLGULF/LA</v>
          </cell>
          <cell r="AG10" t="str">
            <v>IF-PAN/TX/OK</v>
          </cell>
        </row>
        <row r="11">
          <cell r="E11" t="str">
            <v>PR</v>
          </cell>
          <cell r="F11" t="str">
            <v>VO</v>
          </cell>
          <cell r="G11" t="str">
            <v>AA</v>
          </cell>
          <cell r="H11" t="str">
            <v>PR</v>
          </cell>
          <cell r="I11" t="str">
            <v>PR</v>
          </cell>
          <cell r="J11" t="str">
            <v>PR</v>
          </cell>
          <cell r="K11" t="str">
            <v>PR</v>
          </cell>
          <cell r="L11" t="str">
            <v>PR</v>
          </cell>
          <cell r="M11" t="str">
            <v>PR</v>
          </cell>
          <cell r="N11" t="str">
            <v>PR</v>
          </cell>
          <cell r="O11" t="str">
            <v>PR</v>
          </cell>
          <cell r="P11" t="str">
            <v>PR</v>
          </cell>
          <cell r="Q11" t="str">
            <v>PR</v>
          </cell>
          <cell r="R11" t="str">
            <v>PR</v>
          </cell>
          <cell r="S11" t="str">
            <v>PR</v>
          </cell>
          <cell r="T11" t="str">
            <v>PR</v>
          </cell>
          <cell r="U11" t="str">
            <v>PR</v>
          </cell>
          <cell r="V11" t="str">
            <v>PR</v>
          </cell>
          <cell r="W11" t="str">
            <v>VO</v>
          </cell>
          <cell r="X11" t="str">
            <v>VO</v>
          </cell>
          <cell r="Y11" t="str">
            <v>VO</v>
          </cell>
          <cell r="Z11" t="str">
            <v>VO</v>
          </cell>
          <cell r="AA11" t="str">
            <v>VO</v>
          </cell>
          <cell r="AB11" t="str">
            <v>VO</v>
          </cell>
          <cell r="AC11" t="str">
            <v>VO</v>
          </cell>
          <cell r="AD11" t="str">
            <v>VO</v>
          </cell>
          <cell r="AE11" t="str">
            <v>VO</v>
          </cell>
          <cell r="AF11" t="str">
            <v>VO</v>
          </cell>
          <cell r="AG11" t="str">
            <v>VO</v>
          </cell>
        </row>
        <row r="12">
          <cell r="E12" t="str">
            <v>P</v>
          </cell>
          <cell r="F12" t="str">
            <v>P</v>
          </cell>
          <cell r="G12" t="str">
            <v>R</v>
          </cell>
          <cell r="H12" t="str">
            <v>D</v>
          </cell>
          <cell r="I12" t="str">
            <v>D</v>
          </cell>
          <cell r="J12" t="str">
            <v>D</v>
          </cell>
          <cell r="K12" t="str">
            <v>D</v>
          </cell>
          <cell r="L12" t="str">
            <v>D</v>
          </cell>
          <cell r="M12" t="str">
            <v>D</v>
          </cell>
          <cell r="N12" t="str">
            <v>D</v>
          </cell>
          <cell r="O12" t="str">
            <v>D</v>
          </cell>
          <cell r="P12" t="str">
            <v>D</v>
          </cell>
          <cell r="Q12" t="str">
            <v>D</v>
          </cell>
          <cell r="R12" t="str">
            <v>D</v>
          </cell>
          <cell r="S12" t="str">
            <v>D</v>
          </cell>
          <cell r="T12" t="str">
            <v>D</v>
          </cell>
          <cell r="U12" t="str">
            <v>D</v>
          </cell>
          <cell r="V12" t="str">
            <v>D</v>
          </cell>
          <cell r="W12" t="str">
            <v>P</v>
          </cell>
          <cell r="X12" t="str">
            <v>P</v>
          </cell>
          <cell r="Y12" t="str">
            <v>P</v>
          </cell>
          <cell r="Z12" t="str">
            <v>P</v>
          </cell>
          <cell r="AA12" t="str">
            <v>P</v>
          </cell>
          <cell r="AB12" t="str">
            <v>P</v>
          </cell>
          <cell r="AC12" t="str">
            <v>P</v>
          </cell>
          <cell r="AD12" t="str">
            <v>P</v>
          </cell>
          <cell r="AE12" t="str">
            <v>P</v>
          </cell>
          <cell r="AF12" t="str">
            <v>P</v>
          </cell>
          <cell r="AG12" t="str">
            <v>P</v>
          </cell>
        </row>
        <row r="13">
          <cell r="E13" t="str">
            <v>D8</v>
          </cell>
          <cell r="F13" t="str">
            <v>F8</v>
          </cell>
          <cell r="G13" t="str">
            <v>g8</v>
          </cell>
          <cell r="H13" t="str">
            <v>h8</v>
          </cell>
          <cell r="I13" t="str">
            <v>i8</v>
          </cell>
          <cell r="J13" t="str">
            <v>j8</v>
          </cell>
          <cell r="K13" t="str">
            <v>k8</v>
          </cell>
          <cell r="L13" t="str">
            <v>l8</v>
          </cell>
          <cell r="M13" t="str">
            <v>m8</v>
          </cell>
          <cell r="N13" t="str">
            <v>n8</v>
          </cell>
          <cell r="O13" t="str">
            <v>o8</v>
          </cell>
          <cell r="P13" t="str">
            <v>p8</v>
          </cell>
          <cell r="Q13" t="str">
            <v>q8</v>
          </cell>
          <cell r="R13" t="str">
            <v>r8</v>
          </cell>
          <cell r="S13" t="str">
            <v>s8</v>
          </cell>
          <cell r="T13" t="str">
            <v>t8</v>
          </cell>
          <cell r="U13" t="str">
            <v>u8</v>
          </cell>
          <cell r="V13" t="str">
            <v>v8</v>
          </cell>
          <cell r="W13" t="str">
            <v>w8</v>
          </cell>
          <cell r="X13" t="str">
            <v>x8</v>
          </cell>
          <cell r="Y13" t="str">
            <v>y8</v>
          </cell>
          <cell r="Z13" t="str">
            <v>z8</v>
          </cell>
          <cell r="AA13" t="str">
            <v>aa8</v>
          </cell>
          <cell r="AB13" t="str">
            <v>ab8</v>
          </cell>
          <cell r="AC13" t="str">
            <v>ac8</v>
          </cell>
          <cell r="AD13" t="str">
            <v>ad8</v>
          </cell>
          <cell r="AE13" t="str">
            <v>ae8</v>
          </cell>
          <cell r="AF13" t="str">
            <v>af8</v>
          </cell>
          <cell r="AG13" t="str">
            <v>ag8</v>
          </cell>
        </row>
      </sheetData>
      <sheetData sheetId="7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>
        <row r="2">
          <cell r="B2">
            <v>36328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buss" refreshedDate="36563.686243981479" createdVersion="1" recordCount="19">
  <cacheSource type="worksheet">
    <worksheetSource ref="AT6:BA25" sheet="Extendible Collars"/>
  </cacheSource>
  <cacheFields count="8">
    <cacheField name="PERIOD" numFmtId="0">
      <sharedItems containsBlank="1" count="2">
        <s v="MAY00-OCT00"/>
        <m/>
      </sharedItems>
    </cacheField>
    <cacheField name="PUBCODE" numFmtId="0">
      <sharedItems containsBlank="1" count="2">
        <s v="IF-HPL/SHPCHAN"/>
        <m/>
      </sharedItems>
    </cacheField>
    <cacheField name="Gamma" numFmtId="0">
      <sharedItems containsString="0" containsBlank="1" containsNumber="1" minValue="-39431.235194206238" maxValue="39431.235194206238" count="3">
        <n v="-39431.235194206238"/>
        <m/>
        <n v="39431.235194206238"/>
      </sharedItems>
    </cacheField>
    <cacheField name="Rho" numFmtId="0">
      <sharedItems containsString="0" containsBlank="1" containsNumber="1" minValue="-7.1883201599121094" maxValue="7.1883201599121094" count="3">
        <n v="-7.1883201599121094"/>
        <m/>
        <n v="7.1883201599121094"/>
      </sharedItems>
    </cacheField>
    <cacheField name="Drift" numFmtId="0">
      <sharedItems containsString="0" containsBlank="1" containsNumber="1" minValue="-42.155301370949019" maxValue="42.155301370949019" count="3">
        <n v="-42.155301370949019"/>
        <m/>
        <n v="42.155301370949019"/>
      </sharedItems>
    </cacheField>
    <cacheField name="Vega" numFmtId="0">
      <sharedItems containsString="0" containsBlank="1" containsNumber="1" containsInteger="1" minValue="0" maxValue="0" count="2">
        <n v="0"/>
        <m/>
      </sharedItems>
    </cacheField>
    <cacheField name="Theta" numFmtId="0">
      <sharedItems containsString="0" containsBlank="1" containsNumber="1" minValue="-1108.4228754043579" maxValue="1108.4228754043579" count="3">
        <n v="-1108.4228754043579"/>
        <m/>
        <n v="1108.4228754043579"/>
      </sharedItems>
    </cacheField>
    <cacheField name="DAY" numFmtId="0">
      <sharedItems containsString="0" containsBlank="1" containsNumber="1" minValue="-249065.31572341919" maxValue="249065.31572341919" count="3">
        <n v="249065.31572341919"/>
        <m/>
        <n v="-249065.315723419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scott5" refreshedDate="36767.53085289352" createdVersion="1" recordCount="5000">
  <cacheSource type="worksheet">
    <worksheetSource ref="A6:Y5006" sheet="Basis Options"/>
  </cacheSource>
  <cacheFields count="25">
    <cacheField name="Counterparty" numFmtId="0">
      <sharedItems containsBlank="1" count="27">
        <s v="TXUENETRA"/>
        <s v="STATOILENETRA"/>
        <s v="RELIANTENESER"/>
        <s v="ELPASMER"/>
        <s v="LT-TRANS-EA"/>
        <s v="UPRENESER"/>
        <s v="SOUTHERCOMENEMA"/>
        <s v="TRACTEBEENEMAR"/>
        <s v="DUKEENETRA"/>
        <s v="DYNEGYMARAND"/>
        <s v="OMICRON"/>
        <s v="JARON"/>
        <s v="AEPENESER"/>
        <s v="WILLIAMSENEMAR"/>
        <s v="AVISTAENE"/>
        <s v="PHIBRO"/>
        <s v="CMSMARSERTRA"/>
        <s v="PGEENETRAGAS"/>
        <s v="OCCIDENTENEMAR"/>
        <s v="KOCHENETRA"/>
        <s v="SMALLVENUSA"/>
        <s v="UTILICORP"/>
        <s v="CONAGRAENESER"/>
        <s v="TRANSCANENEFIN"/>
        <s v="VIRGINIAPOWENE"/>
        <s v="FT-US/CAND-ERMS"/>
        <m/>
      </sharedItems>
    </cacheField>
    <cacheField name="External" numFmtId="0">
      <sharedItems containsBlank="1" count="3">
        <s v="E"/>
        <s v="I"/>
        <m/>
      </sharedItems>
    </cacheField>
    <cacheField name="Deal Num" numFmtId="0">
      <sharedItems containsBlank="1"/>
    </cacheField>
    <cacheField name="Pub Code" numFmtId="0">
      <sharedItems containsBlank="1" count="13">
        <s v="IF-TRANSCO/Z6"/>
        <s v="IF-NWPL_ROCKY_M"/>
        <s v="IF-CGT/APPALAC"/>
        <s v="IF-NNG/VENT"/>
        <s v="NGI-SOCAL"/>
        <s v="IF-TETCO/M3"/>
        <s v="NGI/CHI. GATE"/>
        <s v="IF-PAN/TX/OK"/>
        <s v="MICH_CG-GD"/>
        <s v="IF-CNG/APPALACH"/>
        <s v="IF-NTHWST/CANBR"/>
        <m/>
        <s v="IF-HEHUB" u="1"/>
      </sharedItems>
    </cacheField>
    <cacheField name="Fin" numFmtId="0">
      <sharedItems containsBlank="1" count="2">
        <s v="F"/>
        <m/>
      </sharedItems>
    </cacheField>
    <cacheField name="Put" numFmtId="0">
      <sharedItems containsBlank="1" count="3">
        <s v="C"/>
        <s v="P"/>
        <m/>
      </sharedItems>
    </cacheField>
    <cacheField name="Period" numFmtId="0">
      <sharedItems containsDate="1" containsString="0" containsBlank="1" minDate="2000-05-01T00:00:00" maxDate="2003-03-02T00:00:00" count="29">
        <d v="2002-03-01T00:00:00"/>
        <d v="2002-02-01T00:00:00"/>
        <d v="2002-01-01T00:00:00"/>
        <d v="2001-12-01T00:00:00"/>
        <d v="2001-11-01T00:00:00"/>
        <d v="2001-10-01T00:00:00"/>
        <d v="2001-09-01T00:00:00"/>
        <d v="2001-08-01T00:00:00"/>
        <d v="2001-07-01T00:00:00"/>
        <d v="2001-06-01T00:00:00"/>
        <d v="2001-05-01T00:00:00"/>
        <d v="2001-04-01T00:00:00"/>
        <d v="2000-10-01T00:00:00"/>
        <d v="2000-09-01T00:00:00"/>
        <d v="2001-03-01T00:00:00"/>
        <d v="2001-02-01T00:00:00"/>
        <d v="2001-01-01T00:00:00"/>
        <d v="2000-12-01T00:00:00"/>
        <d v="2000-11-01T00:00:00"/>
        <d v="2003-03-01T00:00:00"/>
        <d v="2003-02-01T00:00:00"/>
        <d v="2003-01-01T00:00:00"/>
        <d v="2002-12-01T00:00:00"/>
        <d v="2002-11-01T00:00:00"/>
        <m/>
        <d v="2000-05-01T00:00:00" u="1"/>
        <d v="2000-06-01T00:00:00" u="1"/>
        <d v="2000-07-01T00:00:00" u="1"/>
        <d v="2000-08-01T00:00:00" u="1"/>
      </sharedItems>
    </cacheField>
    <cacheField name="Option Qty" numFmtId="0">
      <sharedItems containsString="0" containsBlank="1" containsNumber="1" containsInteger="1" minValue="-2500000" maxValue="3100000"/>
    </cacheField>
    <cacheField name="Price" numFmtId="0">
      <sharedItems containsString="0" containsBlank="1" containsNumber="1" minValue="-1.17" maxValue="5" count="70">
        <n v="0.95"/>
        <n v="0.3"/>
        <n v="-0.4"/>
        <n v="0.25"/>
        <n v="0.16"/>
        <n v="0.33"/>
        <n v="1"/>
        <n v="0.45"/>
        <n v="1.25"/>
        <n v="-0.32"/>
        <n v="-0.25"/>
        <n v="-0.3"/>
        <n v="0.75"/>
        <n v="1.1499999999999999"/>
        <n v="0.32"/>
        <n v="0.26"/>
        <n v="2.2000000000000002"/>
        <n v="0.7"/>
        <n v="1.4"/>
        <n v="0"/>
        <n v="-0.27"/>
        <n v="0.1"/>
        <n v="0.33750000000000002"/>
        <n v="4.4999999999999998E-2"/>
        <n v="2"/>
        <n v="0.34"/>
        <n v="0.30249999999999999"/>
        <n v="0.16750000000000001"/>
        <n v="1.6"/>
        <n v="2.1"/>
        <n v="0.15"/>
        <n v="3"/>
        <n v="1.75"/>
        <n v="2.5"/>
        <n v="0.5"/>
        <n v="1.57"/>
        <n v="1.5"/>
        <n v="0.4"/>
        <n v="1.7"/>
        <n v="5"/>
        <n v="1.33"/>
        <n v="0.65"/>
        <n v="0.35"/>
        <n v="0.55000000000000004"/>
        <n v="2.2999999999999998"/>
        <n v="-0.1"/>
        <n v="0.2"/>
        <n v="0.8"/>
        <n v="1.3"/>
        <n v="0.85"/>
        <n v="-0.15"/>
        <n v="1.52"/>
        <n v="3.5"/>
        <n v="4"/>
        <n v="-0.6"/>
        <n v="-0.7"/>
        <n v="0.12"/>
        <n v="-1.17"/>
        <n v="1.45"/>
        <n v="-0.65"/>
        <n v="0.42"/>
        <n v="-0.375"/>
        <n v="0.28000000000000003"/>
        <n v="0.9"/>
        <n v="0.6"/>
        <n v="-0.2"/>
        <n v="-0.5"/>
        <n v="0.11"/>
        <m/>
        <n v="-1.7500000000000002E-2" u="1"/>
      </sharedItems>
    </cacheField>
    <cacheField name="Price2" numFmtId="0">
      <sharedItems containsString="0" containsBlank="1" containsNumber="1" minValue="3.1850000000000001" maxValue="4.8" count="25">
        <n v="3.605"/>
        <n v="3.77"/>
        <n v="3.94"/>
        <n v="3.968"/>
        <n v="3.8780000000000001"/>
        <n v="3.7730000000000001"/>
        <n v="3.7879999999999998"/>
        <n v="3.8079999999999998"/>
        <n v="3.8029999999999999"/>
        <n v="3.8180000000000001"/>
        <n v="3.8380000000000001"/>
        <n v="3.9380000000000002"/>
        <n v="4.6920000000000002"/>
        <n v="4.6849999999999996"/>
        <n v="4.2130000000000001"/>
        <n v="4.4800000000000004"/>
        <n v="4.7439999999999998"/>
        <n v="4.8"/>
        <n v="4.7359999999999998"/>
        <n v="3.1850000000000001"/>
        <n v="3.355"/>
        <n v="3.4969999999999999"/>
        <n v="3.504"/>
        <n v="3.4180000000000001"/>
        <m/>
      </sharedItems>
    </cacheField>
    <cacheField name="Basis" numFmtId="0">
      <sharedItems containsString="0" containsBlank="1" containsNumber="1" minValue="-1.24" maxValue="2.5"/>
    </cacheField>
    <cacheField name="Price3" numFmtId="0">
      <sharedItems containsString="0" containsBlank="1" containsNumber="1" minValue="3.3050000000000002" maxValue="7.1849999999999996"/>
    </cacheField>
    <cacheField name="Rate" numFmtId="0">
      <sharedItems containsString="0" containsBlank="1" containsNumber="1" minValue="6.7216196212184998E-2" maxValue="6.9518538831174995E-2" count="25">
        <n v="6.9499863695118999E-2"/>
        <n v="6.9453688628792004E-2"/>
        <n v="6.9402566234750995E-2"/>
        <n v="6.9362858204931002E-2"/>
        <n v="6.9332408860558997E-2"/>
        <n v="6.9300944538363995E-2"/>
        <n v="6.9264550207512002E-2"/>
        <n v="6.9223060737754999E-2"/>
        <n v="6.9181571268567998E-2"/>
        <n v="6.9141890053328006E-2"/>
        <n v="6.9101151218999998E-2"/>
        <n v="6.9061726541120999E-2"/>
        <n v="6.8050789414654006E-2"/>
        <n v="6.7216196212184998E-2"/>
        <n v="6.8879814952706994E-2"/>
        <n v="6.8640161611372E-2"/>
        <n v="6.8374831148490994E-2"/>
        <n v="6.8314027999354002E-2"/>
        <n v="6.810675983792E-2"/>
        <n v="6.9518538831174995E-2"/>
        <n v="6.9510653098179997E-2"/>
        <n v="6.9501922465244004E-2"/>
        <n v="6.9502480385870993E-2"/>
        <n v="6.9510422951367001E-2"/>
        <m/>
      </sharedItems>
    </cacheField>
    <cacheField name="Vol" numFmtId="0">
      <sharedItems containsString="0" containsBlank="1" containsNumber="1" minValue="0.27250000000000002" maxValue="0.60499999999999998" count="19">
        <n v="0.36499999999999999"/>
        <n v="0.39500000000000002"/>
        <n v="0.41249999999999998"/>
        <n v="0.40749999999999997"/>
        <n v="0.40250000000000002"/>
        <n v="0.4"/>
        <n v="0.40500000000000003"/>
        <n v="0.4425"/>
        <n v="0.57499999999999996"/>
        <n v="0.53249999999999997"/>
        <n v="0.59250000000000003"/>
        <n v="0.60499999999999998"/>
        <n v="0.6"/>
        <n v="0.59499999999999997"/>
        <n v="0.27250000000000002"/>
        <n v="0.28249999999999997"/>
        <n v="0.29499999999999998"/>
        <n v="0.29249999999999998"/>
        <m/>
      </sharedItems>
    </cacheField>
    <cacheField name="Vol2" numFmtId="0">
      <sharedItems containsString="0" containsBlank="1" containsNumber="1" minValue="0.27300000000000002" maxValue="0.69599999999999995"/>
    </cacheField>
    <cacheField name="Correlation" numFmtId="0">
      <sharedItems containsString="0" containsBlank="1" containsNumber="1" minValue="0.83" maxValue="0.99750000000000005" count="15">
        <n v="0.95"/>
        <n v="0.9738"/>
        <n v="0.99250000000000005"/>
        <n v="0.84"/>
        <n v="0.995"/>
        <n v="0.99"/>
        <n v="0.89"/>
        <n v="0.83"/>
        <n v="0.99750000000000005"/>
        <n v="0.93"/>
        <n v="0.997"/>
        <n v="0.85"/>
        <n v="0.98410764751845092"/>
        <n v="0.88"/>
        <m/>
      </sharedItems>
    </cacheField>
    <cacheField name="Expiry" numFmtId="0">
      <sharedItems containsDate="1" containsString="0" containsBlank="1" minDate="2000-08-30T00:00:00" maxDate="2003-02-28T00:00:00" count="25">
        <d v="2002-02-27T00:00:00"/>
        <d v="2002-01-30T00:00:00"/>
        <d v="2001-12-28T00:00:00"/>
        <d v="2001-11-29T00:00:00"/>
        <d v="2001-10-30T00:00:00"/>
        <d v="2001-09-27T00:00:00"/>
        <d v="2001-08-30T00:00:00"/>
        <d v="2001-07-30T00:00:00"/>
        <d v="2001-06-28T00:00:00"/>
        <d v="2001-05-30T00:00:00"/>
        <d v="2001-04-27T00:00:00"/>
        <d v="2001-03-29T00:00:00"/>
        <d v="2000-09-28T00:00:00"/>
        <d v="2000-08-30T00:00:00"/>
        <d v="2001-02-27T00:00:00"/>
        <d v="2001-01-30T00:00:00"/>
        <d v="2000-12-28T00:00:00"/>
        <d v="2000-11-29T00:00:00"/>
        <d v="2000-10-30T00:00:00"/>
        <d v="2003-02-27T00:00:00"/>
        <d v="2003-01-30T00:00:00"/>
        <d v="2002-12-30T00:00:00"/>
        <d v="2002-11-28T00:00:00"/>
        <d v="2002-10-30T00:00:00"/>
        <m/>
      </sharedItems>
    </cacheField>
    <cacheField name="Type" numFmtId="0">
      <sharedItems containsString="0" containsBlank="1" containsNumber="1" containsInteger="1" minValue="0" maxValue="1" count="3">
        <n v="1"/>
        <n v="0"/>
        <m/>
      </sharedItems>
    </cacheField>
    <cacheField name="PREMIUM" numFmtId="0">
      <sharedItems containsString="0" containsBlank="1" containsNumber="1" minValue="2.9317190494040337E-33" maxValue="2.454096911013921"/>
    </cacheField>
    <cacheField name="DELTA" numFmtId="0">
      <sharedItems containsString="0" containsBlank="1" containsNumber="1" minValue="-1354148.9936662933" maxValue="1868052.8094247542"/>
    </cacheField>
    <cacheField name="MTM Value" numFmtId="0">
      <sharedItems containsString="0" containsBlank="1" containsNumber="1" minValue="-1205445.0279695052" maxValue="1799337.8573699414"/>
    </cacheField>
    <cacheField name="Offset" numFmtId="0">
      <sharedItems containsString="0" containsBlank="1" containsNumber="1" minValue="-1861820.6014013588" maxValue="1374381.8487713428"/>
    </cacheField>
    <cacheField name="Delta2" numFmtId="0">
      <sharedItems containsString="0" containsBlank="1" containsNumber="1" minValue="-88936.820974534145" maxValue="141845.55087281181"/>
    </cacheField>
    <cacheField name="blank" numFmtId="0">
      <sharedItems containsBlank="1"/>
    </cacheField>
    <cacheField name="Contracts" numFmtId="0">
      <sharedItems containsString="0" containsBlank="1" containsNumber="1" minValue="-250" maxValue="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scott5" refreshedDate="36767.530710995372" createdVersion="1" recordCount="825">
  <cacheSource type="worksheet">
    <worksheetSource ref="A6:AE831" sheet="Basis Options"/>
  </cacheSource>
  <cacheFields count="31">
    <cacheField name="Counterparty" numFmtId="0">
      <sharedItems count="26">
        <s v="TXUENETRA"/>
        <s v="STATOILENETRA"/>
        <s v="RELIANTENESER"/>
        <s v="ELPASMER"/>
        <s v="LT-TRANS-EA"/>
        <s v="UPRENESER"/>
        <s v="SOUTHERCOMENEMA"/>
        <s v="TRACTEBEENEMAR"/>
        <s v="DUKEENETRA"/>
        <s v="DYNEGYMARAND"/>
        <s v="OMICRON"/>
        <s v="JARON"/>
        <s v="AEPENESER"/>
        <s v="WILLIAMSENEMAR"/>
        <s v="AVISTAENE"/>
        <s v="PHIBRO"/>
        <s v="CMSMARSERTRA"/>
        <s v="PGEENETRAGAS"/>
        <s v="OCCIDENTENEMAR"/>
        <s v="KOCHENETRA"/>
        <s v="SMALLVENUSA"/>
        <s v="UTILICORP"/>
        <s v="CONAGRAENESER"/>
        <s v="TRANSCANENEFIN"/>
        <s v="VIRGINIAPOWENE"/>
        <s v="FT-US/CAND-ERMS"/>
      </sharedItems>
    </cacheField>
    <cacheField name="External" numFmtId="0">
      <sharedItems count="2">
        <s v="E"/>
        <s v="I"/>
      </sharedItems>
    </cacheField>
    <cacheField name="Deal Num" numFmtId="0">
      <sharedItems/>
    </cacheField>
    <cacheField name="Pub Code" numFmtId="0">
      <sharedItems count="11">
        <s v="IF-TRANSCO/Z6"/>
        <s v="IF-NWPL_ROCKY_M"/>
        <s v="IF-CGT/APPALAC"/>
        <s v="IF-NNG/VENT"/>
        <s v="NGI-SOCAL"/>
        <s v="IF-TETCO/M3"/>
        <s v="NGI/CHI. GATE"/>
        <s v="IF-PAN/TX/OK"/>
        <s v="MICH_CG-GD"/>
        <s v="IF-CNG/APPALACH"/>
        <s v="IF-NTHWST/CANBR"/>
      </sharedItems>
    </cacheField>
    <cacheField name="Fin" numFmtId="0">
      <sharedItems count="1">
        <s v="F"/>
      </sharedItems>
    </cacheField>
    <cacheField name="Put" numFmtId="0">
      <sharedItems count="2">
        <s v="C"/>
        <s v="P"/>
      </sharedItems>
    </cacheField>
    <cacheField name="Period" numFmtId="0">
      <sharedItems containsSemiMixedTypes="0" containsNonDate="0" containsDate="1" containsString="0" minDate="2000-09-01T00:00:00" maxDate="2003-03-02T00:00:00" count="24">
        <d v="2002-03-01T00:00:00"/>
        <d v="2002-02-01T00:00:00"/>
        <d v="2002-01-01T00:00:00"/>
        <d v="2001-12-01T00:00:00"/>
        <d v="2001-11-01T00:00:00"/>
        <d v="2001-10-01T00:00:00"/>
        <d v="2001-09-01T00:00:00"/>
        <d v="2001-08-01T00:00:00"/>
        <d v="2001-07-01T00:00:00"/>
        <d v="2001-06-01T00:00:00"/>
        <d v="2001-05-01T00:00:00"/>
        <d v="2001-04-01T00:00:00"/>
        <d v="2000-10-01T00:00:00"/>
        <d v="2000-09-01T00:00:00"/>
        <d v="2001-03-01T00:00:00"/>
        <d v="2001-02-01T00:00:00"/>
        <d v="2001-01-01T00:00:00"/>
        <d v="2000-12-01T00:00:00"/>
        <d v="2000-11-01T00:00:00"/>
        <d v="2003-03-01T00:00:00"/>
        <d v="2003-02-01T00:00:00"/>
        <d v="2003-01-01T00:00:00"/>
        <d v="2002-12-01T00:00:00"/>
        <d v="2002-11-01T00:00:00"/>
      </sharedItems>
    </cacheField>
    <cacheField name="Option Qty" numFmtId="0">
      <sharedItems containsSemiMixedTypes="0" containsString="0" containsNumber="1" containsInteger="1" minValue="-2170000" maxValue="3100000"/>
    </cacheField>
    <cacheField name="Price" numFmtId="0">
      <sharedItems containsSemiMixedTypes="0" containsString="0" containsNumber="1" minValue="-1.17" maxValue="5"/>
    </cacheField>
    <cacheField name="Price2" numFmtId="0">
      <sharedItems containsSemiMixedTypes="0" containsString="0" containsNumber="1" minValue="3.1850000000000001" maxValue="4.8" count="24">
        <n v="3.605"/>
        <n v="3.77"/>
        <n v="3.94"/>
        <n v="3.968"/>
        <n v="3.8780000000000001"/>
        <n v="3.7730000000000001"/>
        <n v="3.7879999999999998"/>
        <n v="3.8079999999999998"/>
        <n v="3.8029999999999999"/>
        <n v="3.8180000000000001"/>
        <n v="3.8380000000000001"/>
        <n v="3.9380000000000002"/>
        <n v="4.6920000000000002"/>
        <n v="4.6849999999999996"/>
        <n v="4.2130000000000001"/>
        <n v="4.4800000000000004"/>
        <n v="4.7439999999999998"/>
        <n v="4.8"/>
        <n v="4.7359999999999998"/>
        <n v="3.1850000000000001"/>
        <n v="3.355"/>
        <n v="3.4969999999999999"/>
        <n v="3.504"/>
        <n v="3.4180000000000001"/>
      </sharedItems>
    </cacheField>
    <cacheField name="Basis" numFmtId="0">
      <sharedItems containsSemiMixedTypes="0" containsString="0" containsNumber="1" minValue="-1.24" maxValue="2.5"/>
    </cacheField>
    <cacheField name="Price3" numFmtId="0">
      <sharedItems containsSemiMixedTypes="0" containsString="0" containsNumber="1" minValue="3.3050000000000002" maxValue="7.1849999999999996"/>
    </cacheField>
    <cacheField name="Rate" numFmtId="0">
      <sharedItems containsSemiMixedTypes="0" containsString="0" containsNumber="1" minValue="6.7216196212184998E-2" maxValue="6.9518538831174995E-2" count="24">
        <n v="6.9499863695118999E-2"/>
        <n v="6.9453688628792004E-2"/>
        <n v="6.9402566234750995E-2"/>
        <n v="6.9362858204931002E-2"/>
        <n v="6.9332408860558997E-2"/>
        <n v="6.9300944538363995E-2"/>
        <n v="6.9264550207512002E-2"/>
        <n v="6.9223060737754999E-2"/>
        <n v="6.9181571268567998E-2"/>
        <n v="6.9141890053328006E-2"/>
        <n v="6.9101151218999998E-2"/>
        <n v="6.9061726541120999E-2"/>
        <n v="6.8050789414654006E-2"/>
        <n v="6.7216196212184998E-2"/>
        <n v="6.8879814952706994E-2"/>
        <n v="6.8640161611372E-2"/>
        <n v="6.8374831148490994E-2"/>
        <n v="6.8314027999354002E-2"/>
        <n v="6.810675983792E-2"/>
        <n v="6.9518538831174995E-2"/>
        <n v="6.9510653098179997E-2"/>
        <n v="6.9501922465244004E-2"/>
        <n v="6.9502480385870993E-2"/>
        <n v="6.9510422951367001E-2"/>
      </sharedItems>
    </cacheField>
    <cacheField name="Vol" numFmtId="0">
      <sharedItems containsSemiMixedTypes="0" containsString="0" containsNumber="1" minValue="0.27250000000000002" maxValue="0.60499999999999998" count="18">
        <n v="0.36499999999999999"/>
        <n v="0.39500000000000002"/>
        <n v="0.41249999999999998"/>
        <n v="0.40749999999999997"/>
        <n v="0.40250000000000002"/>
        <n v="0.4"/>
        <n v="0.40500000000000003"/>
        <n v="0.4425"/>
        <n v="0.57499999999999996"/>
        <n v="0.53249999999999997"/>
        <n v="0.59250000000000003"/>
        <n v="0.60499999999999998"/>
        <n v="0.6"/>
        <n v="0.59499999999999997"/>
        <n v="0.27250000000000002"/>
        <n v="0.28249999999999997"/>
        <n v="0.29499999999999998"/>
        <n v="0.29249999999999998"/>
      </sharedItems>
    </cacheField>
    <cacheField name="Vol2" numFmtId="0">
      <sharedItems containsSemiMixedTypes="0" containsString="0" containsNumber="1" minValue="0.27300000000000002" maxValue="0.69599999999999995"/>
    </cacheField>
    <cacheField name="Correlation" numFmtId="0">
      <sharedItems containsSemiMixedTypes="0" containsString="0" containsNumber="1" minValue="0.83" maxValue="0.99750000000000005" count="13">
        <n v="0.95"/>
        <n v="0.9738"/>
        <n v="0.99250000000000005"/>
        <n v="0.84"/>
        <n v="0.995"/>
        <n v="0.99"/>
        <n v="0.89"/>
        <n v="0.83"/>
        <n v="0.99750000000000005"/>
        <n v="0.93"/>
        <n v="0.997"/>
        <n v="0.85"/>
        <n v="0.98410764751845092"/>
      </sharedItems>
    </cacheField>
    <cacheField name="Expiry" numFmtId="0">
      <sharedItems containsSemiMixedTypes="0" containsNonDate="0" containsDate="1" containsString="0" minDate="2000-08-30T00:00:00" maxDate="2003-02-28T00:00:00" count="24">
        <d v="2002-02-27T00:00:00"/>
        <d v="2002-01-30T00:00:00"/>
        <d v="2001-12-28T00:00:00"/>
        <d v="2001-11-29T00:00:00"/>
        <d v="2001-10-30T00:00:00"/>
        <d v="2001-09-27T00:00:00"/>
        <d v="2001-08-30T00:00:00"/>
        <d v="2001-07-30T00:00:00"/>
        <d v="2001-06-28T00:00:00"/>
        <d v="2001-05-30T00:00:00"/>
        <d v="2001-04-27T00:00:00"/>
        <d v="2001-03-29T00:00:00"/>
        <d v="2000-09-28T00:00:00"/>
        <d v="2000-08-30T00:00:00"/>
        <d v="2001-02-27T00:00:00"/>
        <d v="2001-01-30T00:00:00"/>
        <d v="2000-12-28T00:00:00"/>
        <d v="2000-11-29T00:00:00"/>
        <d v="2000-10-30T00:00:00"/>
        <d v="2003-02-27T00:00:00"/>
        <d v="2003-01-30T00:00:00"/>
        <d v="2002-12-30T00:00:00"/>
        <d v="2002-11-28T00:00:00"/>
        <d v="2002-10-30T00:00:00"/>
      </sharedItems>
    </cacheField>
    <cacheField name="Type" numFmtId="0">
      <sharedItems containsSemiMixedTypes="0" containsString="0" containsNumber="1" containsInteger="1" minValue="0" maxValue="1" count="2">
        <n v="1"/>
        <n v="0"/>
      </sharedItems>
    </cacheField>
    <cacheField name="PREMIUM" numFmtId="0">
      <sharedItems containsSemiMixedTypes="0" containsString="0" containsNumber="1" minValue="2.9317190494040337E-33" maxValue="2.454096911013921"/>
    </cacheField>
    <cacheField name="DELTA" numFmtId="0">
      <sharedItems containsSemiMixedTypes="0" containsString="0" containsNumber="1" minValue="-1354148.9936662933" maxValue="1868052.8094247542"/>
    </cacheField>
    <cacheField name="MTM Value" numFmtId="0">
      <sharedItems containsSemiMixedTypes="0" containsString="0" containsNumber="1" minValue="-1205445.0279695052" maxValue="1799337.8573699414"/>
    </cacheField>
    <cacheField name="Offset" numFmtId="0">
      <sharedItems containsSemiMixedTypes="0" containsString="0" containsNumber="1" minValue="-1861820.6014013588" maxValue="1374381.8487713428"/>
    </cacheField>
    <cacheField name="Delta2" numFmtId="0">
      <sharedItems containsSemiMixedTypes="0" containsString="0" containsNumber="1" minValue="-88936.820974534145" maxValue="141845.55087281181"/>
    </cacheField>
    <cacheField name="blank" numFmtId="0">
      <sharedItems/>
    </cacheField>
    <cacheField name="Contracts" numFmtId="0">
      <sharedItems containsSemiMixedTypes="0" containsString="0" containsNumber="1" minValue="-217" maxValue="310"/>
    </cacheField>
    <cacheField name="delta3" numFmtId="0">
      <sharedItems containsSemiMixedTypes="0" containsString="0" containsNumber="1" minValue="-0.99963218148365018" maxValue="0.99963214291372571"/>
    </cacheField>
    <cacheField name="gamma" numFmtId="0">
      <sharedItems containsSemiMixedTypes="0" containsString="0" containsNumber="1" minValue="-2.0862714381729432E-5" maxValue="27.770298242207911"/>
    </cacheField>
    <cacheField name="gamma2" numFmtId="0">
      <sharedItems containsSemiMixedTypes="0" containsString="0" containsNumber="1" minValue="-20.764184301591825" maxValue="23.246404453133742"/>
    </cacheField>
    <cacheField name="core vega" numFmtId="0">
      <sharedItems containsSemiMixedTypes="0" containsString="0" containsNumber="1" minValue="-71743.830342683752" maxValue="124437.62075154723"/>
    </cacheField>
    <cacheField name="theta" numFmtId="0">
      <sharedItems containsSemiMixedTypes="0" containsString="0" containsNumber="1" minValue="-4922.5352727131622" maxValue="5032.3882631813131"/>
    </cacheField>
    <cacheField name="Curve Shift/Gamma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0"/>
    <x v="0"/>
    <x v="2"/>
    <x v="2"/>
    <x v="2"/>
    <x v="0"/>
    <x v="2"/>
    <x v="2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1"/>
    <x v="1"/>
    <x v="1"/>
    <x v="1"/>
    <x v="1"/>
    <x v="1"/>
    <x v="1"/>
    <x v="1"/>
  </r>
  <r>
    <x v="0"/>
    <x v="0"/>
    <x v="2"/>
    <x v="2"/>
    <x v="2"/>
    <x v="0"/>
    <x v="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">
  <r>
    <x v="0"/>
    <x v="0"/>
    <s v="EM1452.2"/>
    <x v="0"/>
    <x v="0"/>
    <x v="0"/>
    <x v="0"/>
    <n v="-1000000"/>
    <x v="0"/>
    <x v="0"/>
    <n v="0.99"/>
    <n v="4.5949999999999998"/>
    <x v="0"/>
    <x v="0"/>
    <n v="0.40200000000000002"/>
    <x v="0"/>
    <x v="0"/>
    <x v="0"/>
    <n v="0.3326813989164174"/>
    <n v="-511770.58327797131"/>
    <n v="-332681.39891641738"/>
    <n v="462840.86930992448"/>
    <n v="-48929.713968046824"/>
    <s v="37316IF-TRANSCO/Z6"/>
    <n v="-100"/>
  </r>
  <r>
    <x v="0"/>
    <x v="0"/>
    <s v="EM1452.2"/>
    <x v="0"/>
    <x v="0"/>
    <x v="0"/>
    <x v="1"/>
    <n v="-1000000"/>
    <x v="0"/>
    <x v="1"/>
    <n v="1.56"/>
    <n v="5.33"/>
    <x v="1"/>
    <x v="1"/>
    <n v="0.435"/>
    <x v="0"/>
    <x v="1"/>
    <x v="0"/>
    <n v="0.7086139771558102"/>
    <n v="-696251.76099955116"/>
    <n v="-708613.97715581022"/>
    <n v="655146.43581977289"/>
    <n v="-41105.325179778272"/>
    <s v="37288IF-TRANSCO/Z6"/>
    <n v="-100"/>
  </r>
  <r>
    <x v="0"/>
    <x v="0"/>
    <s v="EM1452.2"/>
    <x v="0"/>
    <x v="0"/>
    <x v="0"/>
    <x v="2"/>
    <n v="-1000000"/>
    <x v="0"/>
    <x v="2"/>
    <n v="1.56"/>
    <n v="5.5"/>
    <x v="2"/>
    <x v="2"/>
    <n v="0.45400000000000001"/>
    <x v="0"/>
    <x v="2"/>
    <x v="0"/>
    <n v="0.72320805016235024"/>
    <n v="-694955.47812375578"/>
    <n v="-723208.05016235029"/>
    <n v="652230.64497266011"/>
    <n v="-42724.833151095663"/>
    <s v="37257IF-TRANSCO/Z6"/>
    <n v="-100"/>
  </r>
  <r>
    <x v="0"/>
    <x v="0"/>
    <s v="EM1452.2"/>
    <x v="0"/>
    <x v="0"/>
    <x v="0"/>
    <x v="3"/>
    <n v="-1000000"/>
    <x v="0"/>
    <x v="3"/>
    <n v="1.31"/>
    <n v="5.2780000000000005"/>
    <x v="3"/>
    <x v="3"/>
    <n v="0.44800000000000001"/>
    <x v="0"/>
    <x v="3"/>
    <x v="0"/>
    <n v="0.54694290301287463"/>
    <n v="-631626.31315090542"/>
    <n v="-546942.90301287465"/>
    <n v="584995.7269203387"/>
    <n v="-46630.586230566725"/>
    <s v="37226IF-TRANSCO/Z6"/>
    <n v="-100"/>
  </r>
  <r>
    <x v="0"/>
    <x v="0"/>
    <s v="EM1452.2"/>
    <x v="0"/>
    <x v="0"/>
    <x v="0"/>
    <x v="4"/>
    <n v="-1000000"/>
    <x v="0"/>
    <x v="4"/>
    <n v="0.89"/>
    <n v="4.7679999999999998"/>
    <x v="4"/>
    <x v="4"/>
    <n v="0.443"/>
    <x v="0"/>
    <x v="4"/>
    <x v="0"/>
    <n v="0.29523334351388492"/>
    <n v="-478974.40576868155"/>
    <n v="-295233.34351388493"/>
    <n v="429262.14230713714"/>
    <n v="-49712.263461544411"/>
    <s v="37196IF-TRANSCO/Z6"/>
    <n v="-100"/>
  </r>
  <r>
    <x v="1"/>
    <x v="0"/>
    <s v="EW1882"/>
    <x v="0"/>
    <x v="0"/>
    <x v="0"/>
    <x v="5"/>
    <n v="500000"/>
    <x v="1"/>
    <x v="5"/>
    <n v="0.46100000000000002"/>
    <n v="4.234"/>
    <x v="5"/>
    <x v="4"/>
    <n v="0.39400000000000002"/>
    <x v="1"/>
    <x v="5"/>
    <x v="0"/>
    <n v="0.23164002790143209"/>
    <n v="314183.73842576187"/>
    <n v="115820.01395071605"/>
    <n v="-298950.52072455711"/>
    <n v="15233.217701204761"/>
    <s v="37165IF-TRANSCO/Z6"/>
    <n v="50"/>
  </r>
  <r>
    <x v="1"/>
    <x v="0"/>
    <s v="EW1882"/>
    <x v="0"/>
    <x v="0"/>
    <x v="0"/>
    <x v="6"/>
    <n v="500000"/>
    <x v="1"/>
    <x v="6"/>
    <n v="0.39500000000000002"/>
    <n v="4.1829999999999998"/>
    <x v="6"/>
    <x v="5"/>
    <n v="0.39200000000000002"/>
    <x v="1"/>
    <x v="6"/>
    <x v="0"/>
    <n v="0.18782965588437475"/>
    <n v="288346.15732957528"/>
    <n v="93914.827942187374"/>
    <n v="-272848.13882331876"/>
    <n v="15498.018506256514"/>
    <s v="37135IF-TRANSCO/Z6"/>
    <n v="50"/>
  </r>
  <r>
    <x v="1"/>
    <x v="0"/>
    <s v="EW1882"/>
    <x v="0"/>
    <x v="0"/>
    <x v="0"/>
    <x v="7"/>
    <n v="500000"/>
    <x v="1"/>
    <x v="7"/>
    <n v="0.46"/>
    <n v="4.2679999999999998"/>
    <x v="7"/>
    <x v="5"/>
    <n v="0.39200000000000002"/>
    <x v="1"/>
    <x v="7"/>
    <x v="0"/>
    <n v="0.2235866678375521"/>
    <n v="322183.7327188761"/>
    <n v="111793.33391877604"/>
    <n v="-308223.73785265023"/>
    <n v="13959.994866225868"/>
    <s v="37104IF-TRANSCO/Z6"/>
    <n v="50"/>
  </r>
  <r>
    <x v="1"/>
    <x v="0"/>
    <s v="EW1882"/>
    <x v="0"/>
    <x v="0"/>
    <x v="0"/>
    <x v="8"/>
    <n v="500000"/>
    <x v="1"/>
    <x v="8"/>
    <n v="0.46"/>
    <n v="4.2629999999999999"/>
    <x v="8"/>
    <x v="5"/>
    <n v="0.39200000000000002"/>
    <x v="1"/>
    <x v="8"/>
    <x v="0"/>
    <n v="0.21878409133455745"/>
    <n v="327669.44644019566"/>
    <n v="109392.04566727873"/>
    <n v="-314449.6824835653"/>
    <n v="13219.76395663037"/>
    <s v="37073IF-TRANSCO/Z6"/>
    <n v="50"/>
  </r>
  <r>
    <x v="1"/>
    <x v="0"/>
    <s v="EW1882"/>
    <x v="0"/>
    <x v="0"/>
    <x v="0"/>
    <x v="9"/>
    <n v="500000"/>
    <x v="1"/>
    <x v="9"/>
    <n v="0.39500000000000002"/>
    <n v="4.2130000000000001"/>
    <x v="9"/>
    <x v="5"/>
    <n v="0.39200000000000002"/>
    <x v="1"/>
    <x v="9"/>
    <x v="0"/>
    <n v="0.17355095828925546"/>
    <n v="299065.84356726857"/>
    <n v="86775.479144627723"/>
    <n v="-285533.78305641044"/>
    <n v="13532.060510858137"/>
    <s v="37043IF-TRANSCO/Z6"/>
    <n v="50"/>
  </r>
  <r>
    <x v="1"/>
    <x v="0"/>
    <s v="EW1882"/>
    <x v="0"/>
    <x v="0"/>
    <x v="0"/>
    <x v="10"/>
    <n v="500000"/>
    <x v="1"/>
    <x v="10"/>
    <n v="0.40500000000000003"/>
    <n v="4.2430000000000003"/>
    <x v="10"/>
    <x v="6"/>
    <n v="0.39700000000000002"/>
    <x v="1"/>
    <x v="10"/>
    <x v="0"/>
    <n v="0.17534155304962179"/>
    <n v="308768.73178824666"/>
    <n v="87670.776524810892"/>
    <n v="-296013.1190310336"/>
    <n v="12755.612757213064"/>
    <s v="37012IF-TRANSCO/Z6"/>
    <n v="50"/>
  </r>
  <r>
    <x v="1"/>
    <x v="0"/>
    <s v="EW1882"/>
    <x v="0"/>
    <x v="0"/>
    <x v="0"/>
    <x v="11"/>
    <n v="500000"/>
    <x v="1"/>
    <x v="11"/>
    <n v="0.52"/>
    <n v="4.4580000000000002"/>
    <x v="11"/>
    <x v="7"/>
    <n v="0.434"/>
    <x v="1"/>
    <x v="11"/>
    <x v="0"/>
    <n v="0.25944655042125214"/>
    <n v="364681.04650038481"/>
    <n v="129723.27521062607"/>
    <n v="-353522.09243424883"/>
    <n v="11158.954066135979"/>
    <s v="36982IF-TRANSCO/Z6"/>
    <n v="50"/>
  </r>
  <r>
    <x v="1"/>
    <x v="0"/>
    <s v="EW1882"/>
    <x v="0"/>
    <x v="0"/>
    <x v="0"/>
    <x v="12"/>
    <n v="500000"/>
    <x v="1"/>
    <x v="12"/>
    <n v="0.41499999999999998"/>
    <n v="5.1070000000000002"/>
    <x v="12"/>
    <x v="8"/>
    <n v="0.56399999999999995"/>
    <x v="2"/>
    <x v="12"/>
    <x v="0"/>
    <n v="0.121746675089311"/>
    <n v="429759.41165786772"/>
    <n v="60873.3375446555"/>
    <n v="-427802.349715302"/>
    <n v="1957.0619425657205"/>
    <s v="36800IF-TRANSCO/Z6"/>
    <n v="50"/>
  </r>
  <r>
    <x v="1"/>
    <x v="0"/>
    <s v="EW1882"/>
    <x v="0"/>
    <x v="0"/>
    <x v="0"/>
    <x v="13"/>
    <n v="500000"/>
    <x v="1"/>
    <x v="13"/>
    <n v="0.315"/>
    <n v="5"/>
    <x v="13"/>
    <x v="5"/>
    <n v="0.39200000000000002"/>
    <x v="2"/>
    <x v="13"/>
    <x v="0"/>
    <n v="1.713645792858692E-2"/>
    <n v="396678.0167079625"/>
    <n v="8568.2289642934593"/>
    <n v="-396221.07619157201"/>
    <n v="456.94051639048848"/>
    <s v="36770IF-TRANSCO/Z6"/>
    <n v="50"/>
  </r>
  <r>
    <x v="2"/>
    <x v="0"/>
    <s v="EW2420"/>
    <x v="1"/>
    <x v="0"/>
    <x v="1"/>
    <x v="12"/>
    <n v="310000"/>
    <x v="2"/>
    <x v="12"/>
    <n v="-0.80500000000000005"/>
    <n v="3.887"/>
    <x v="12"/>
    <x v="8"/>
    <n v="0.55200000000000005"/>
    <x v="3"/>
    <x v="12"/>
    <x v="1"/>
    <n v="0.43702595785222825"/>
    <n v="-255110.39536218726"/>
    <n v="135478.04693419076"/>
    <n v="262023.98904443302"/>
    <n v="6913.5936822457588"/>
    <s v="36800IF-NWPL_ROCKY_M"/>
    <n v="31"/>
  </r>
  <r>
    <x v="2"/>
    <x v="0"/>
    <s v="EW2420"/>
    <x v="1"/>
    <x v="0"/>
    <x v="1"/>
    <x v="13"/>
    <n v="300000"/>
    <x v="2"/>
    <x v="13"/>
    <n v="-1.24"/>
    <n v="3.4449999999999994"/>
    <x v="13"/>
    <x v="5"/>
    <n v="0.38400000000000001"/>
    <x v="3"/>
    <x v="13"/>
    <x v="1"/>
    <n v="0.8396910000813943"/>
    <n v="-299889.65444509493"/>
    <n v="251907.30002441828"/>
    <n v="299889.64287153044"/>
    <n v="-1.1573564494028687E-2"/>
    <s v="36770IF-NWPL_ROCKY_M"/>
    <n v="30"/>
  </r>
  <r>
    <x v="3"/>
    <x v="0"/>
    <s v="EY1230"/>
    <x v="0"/>
    <x v="0"/>
    <x v="0"/>
    <x v="12"/>
    <n v="310000"/>
    <x v="3"/>
    <x v="12"/>
    <n v="0.41499999999999998"/>
    <n v="5.1070000000000002"/>
    <x v="12"/>
    <x v="8"/>
    <n v="0.56399999999999995"/>
    <x v="2"/>
    <x v="12"/>
    <x v="0"/>
    <n v="0.1664503470448859"/>
    <n v="291648.57235517591"/>
    <n v="51599.607583914629"/>
    <n v="-291012.56423413131"/>
    <n v="636.00812104460783"/>
    <s v="36800IF-TRANSCO/Z6"/>
    <n v="31"/>
  </r>
  <r>
    <x v="3"/>
    <x v="0"/>
    <s v="EY1230"/>
    <x v="0"/>
    <x v="0"/>
    <x v="0"/>
    <x v="13"/>
    <n v="300000"/>
    <x v="3"/>
    <x v="13"/>
    <n v="0.315"/>
    <n v="5"/>
    <x v="13"/>
    <x v="5"/>
    <n v="0.39200000000000002"/>
    <x v="2"/>
    <x v="13"/>
    <x v="0"/>
    <n v="6.4976737601546694E-2"/>
    <n v="299845.67101746355"/>
    <n v="19493.021280464007"/>
    <n v="-299845.10537692055"/>
    <n v="0.56564054300542921"/>
    <s v="36770IF-TRANSCO/Z6"/>
    <n v="30"/>
  </r>
  <r>
    <x v="1"/>
    <x v="0"/>
    <s v="N33626.2"/>
    <x v="2"/>
    <x v="0"/>
    <x v="0"/>
    <x v="12"/>
    <n v="620000"/>
    <x v="4"/>
    <x v="12"/>
    <n v="0.185"/>
    <n v="4.8769999999999998"/>
    <x v="12"/>
    <x v="8"/>
    <n v="0.56399999999999995"/>
    <x v="4"/>
    <x v="12"/>
    <x v="0"/>
    <n v="4.5781273407068362E-2"/>
    <n v="385621.02631564857"/>
    <n v="28384.389512382386"/>
    <n v="-381883.12215316587"/>
    <n v="3737.9041624827078"/>
    <s v="36800IF-CGT/APPALAC"/>
    <n v="62"/>
  </r>
  <r>
    <x v="1"/>
    <x v="0"/>
    <s v="N33626.2"/>
    <x v="2"/>
    <x v="0"/>
    <x v="0"/>
    <x v="13"/>
    <n v="600000"/>
    <x v="4"/>
    <x v="13"/>
    <n v="0.17"/>
    <n v="4.8549999999999995"/>
    <x v="13"/>
    <x v="5"/>
    <n v="0.39200000000000002"/>
    <x v="4"/>
    <x v="13"/>
    <x v="0"/>
    <n v="1.1978879909010205E-2"/>
    <n v="456653.53660260804"/>
    <n v="7187.327945406123"/>
    <n v="-456127.82022982312"/>
    <n v="525.71637278492562"/>
    <s v="36770IF-CGT/APPALAC"/>
    <n v="60"/>
  </r>
  <r>
    <x v="4"/>
    <x v="1"/>
    <s v="NA9501.1"/>
    <x v="2"/>
    <x v="0"/>
    <x v="0"/>
    <x v="12"/>
    <n v="310000"/>
    <x v="4"/>
    <x v="12"/>
    <n v="0.185"/>
    <n v="4.8769999999999998"/>
    <x v="12"/>
    <x v="8"/>
    <n v="0.56399999999999995"/>
    <x v="4"/>
    <x v="12"/>
    <x v="0"/>
    <n v="4.5781273407068362E-2"/>
    <n v="192810.51315782429"/>
    <n v="14192.194756191193"/>
    <n v="-190941.56107658293"/>
    <n v="1868.9520812413539"/>
    <s v="36800IF-CGT/APPALAC"/>
    <n v="31"/>
  </r>
  <r>
    <x v="4"/>
    <x v="1"/>
    <s v="NA9501.1"/>
    <x v="2"/>
    <x v="0"/>
    <x v="0"/>
    <x v="13"/>
    <n v="300000"/>
    <x v="4"/>
    <x v="13"/>
    <n v="0.17"/>
    <n v="4.8549999999999995"/>
    <x v="13"/>
    <x v="5"/>
    <n v="0.39200000000000002"/>
    <x v="4"/>
    <x v="13"/>
    <x v="0"/>
    <n v="1.1978879909010205E-2"/>
    <n v="228326.76830130402"/>
    <n v="3593.6639727030615"/>
    <n v="-228063.91011491156"/>
    <n v="262.85818639246281"/>
    <s v="36770IF-CGT/APPALAC"/>
    <n v="30"/>
  </r>
  <r>
    <x v="5"/>
    <x v="0"/>
    <s v="NB4804"/>
    <x v="2"/>
    <x v="0"/>
    <x v="0"/>
    <x v="14"/>
    <n v="310000"/>
    <x v="5"/>
    <x v="14"/>
    <n v="0.27"/>
    <n v="4.4830000000000005"/>
    <x v="14"/>
    <x v="9"/>
    <n v="0.53300000000000003"/>
    <x v="5"/>
    <x v="14"/>
    <x v="0"/>
    <n v="7.518135428029124E-2"/>
    <n v="127739.35023861668"/>
    <n v="23306.219826890283"/>
    <n v="-122175.69935334691"/>
    <n v="5563.6508852697734"/>
    <s v="36951IF-CGT/APPALAC"/>
    <n v="31"/>
  </r>
  <r>
    <x v="5"/>
    <x v="0"/>
    <s v="NB4804"/>
    <x v="2"/>
    <x v="0"/>
    <x v="0"/>
    <x v="15"/>
    <n v="280000"/>
    <x v="5"/>
    <x v="15"/>
    <n v="0.29499999999999998"/>
    <n v="4.7750000000000004"/>
    <x v="15"/>
    <x v="10"/>
    <n v="0.59299999999999997"/>
    <x v="5"/>
    <x v="15"/>
    <x v="0"/>
    <n v="9.3855556414218333E-2"/>
    <n v="127156.35115854295"/>
    <n v="26279.555795981134"/>
    <n v="-121855.13751506231"/>
    <n v="5301.2136434806453"/>
    <s v="36923IF-CGT/APPALAC"/>
    <n v="28"/>
  </r>
  <r>
    <x v="5"/>
    <x v="0"/>
    <s v="NB4804"/>
    <x v="2"/>
    <x v="0"/>
    <x v="0"/>
    <x v="16"/>
    <n v="310000"/>
    <x v="5"/>
    <x v="16"/>
    <n v="0.3"/>
    <n v="5.0439999999999996"/>
    <x v="16"/>
    <x v="11"/>
    <n v="0.60499999999999998"/>
    <x v="5"/>
    <x v="16"/>
    <x v="0"/>
    <n v="9.0629839427428152E-2"/>
    <n v="142344.75302261239"/>
    <n v="28095.250222502727"/>
    <n v="-136949.53733596342"/>
    <n v="5395.2156866489677"/>
    <s v="36892IF-CGT/APPALAC"/>
    <n v="31"/>
  </r>
  <r>
    <x v="5"/>
    <x v="0"/>
    <s v="NB4804"/>
    <x v="2"/>
    <x v="0"/>
    <x v="0"/>
    <x v="17"/>
    <n v="310000"/>
    <x v="5"/>
    <x v="17"/>
    <n v="0.29499999999999998"/>
    <n v="5.0949999999999998"/>
    <x v="17"/>
    <x v="12"/>
    <n v="0.6"/>
    <x v="5"/>
    <x v="17"/>
    <x v="0"/>
    <n v="7.5654336805862435E-2"/>
    <n v="137934.06999426498"/>
    <n v="23452.844409817353"/>
    <n v="-133250.13803379898"/>
    <n v="4683.9319604659977"/>
    <s v="36861IF-CGT/APPALAC"/>
    <n v="31"/>
  </r>
  <r>
    <x v="5"/>
    <x v="0"/>
    <s v="NB4804"/>
    <x v="2"/>
    <x v="0"/>
    <x v="0"/>
    <x v="18"/>
    <n v="300000"/>
    <x v="5"/>
    <x v="18"/>
    <n v="0.26500000000000001"/>
    <n v="5.0009999999999994"/>
    <x v="18"/>
    <x v="13"/>
    <n v="0.59499999999999997"/>
    <x v="5"/>
    <x v="18"/>
    <x v="0"/>
    <n v="4.6483111476336519E-2"/>
    <n v="111002.27879781606"/>
    <n v="13944.933442900956"/>
    <n v="-107452.85568426919"/>
    <n v="3549.4231135468726"/>
    <s v="36831IF-CGT/APPALAC"/>
    <n v="30"/>
  </r>
  <r>
    <x v="6"/>
    <x v="0"/>
    <s v="NE3899"/>
    <x v="0"/>
    <x v="0"/>
    <x v="0"/>
    <x v="18"/>
    <n v="900000"/>
    <x v="6"/>
    <x v="18"/>
    <n v="0.77"/>
    <n v="5.5060000000000002"/>
    <x v="18"/>
    <x v="13"/>
    <n v="0.625"/>
    <x v="6"/>
    <x v="18"/>
    <x v="0"/>
    <n v="0.17043556386117104"/>
    <n v="348555.30735965644"/>
    <n v="153392.00747505392"/>
    <n v="-310922.78895028553"/>
    <n v="37632.51840937091"/>
    <s v="36831IF-TRANSCO/Z6"/>
    <n v="90"/>
  </r>
  <r>
    <x v="7"/>
    <x v="0"/>
    <s v="NE3901"/>
    <x v="0"/>
    <x v="0"/>
    <x v="1"/>
    <x v="18"/>
    <n v="300000"/>
    <x v="7"/>
    <x v="18"/>
    <n v="0.77"/>
    <n v="5.5060000000000002"/>
    <x v="18"/>
    <x v="13"/>
    <n v="0.625"/>
    <x v="6"/>
    <x v="18"/>
    <x v="1"/>
    <n v="0.12271011855347486"/>
    <n v="-84860.251869355779"/>
    <n v="36813.035566042454"/>
    <n v="97079.553583898378"/>
    <n v="12219.301714542598"/>
    <s v="36831IF-TRANSCO/Z6"/>
    <n v="30"/>
  </r>
  <r>
    <x v="8"/>
    <x v="0"/>
    <s v="NE3903"/>
    <x v="0"/>
    <x v="0"/>
    <x v="1"/>
    <x v="18"/>
    <n v="900000"/>
    <x v="7"/>
    <x v="18"/>
    <n v="0.77"/>
    <n v="5.5060000000000002"/>
    <x v="18"/>
    <x v="13"/>
    <n v="0.625"/>
    <x v="6"/>
    <x v="18"/>
    <x v="1"/>
    <n v="0.12271011855347486"/>
    <n v="-254580.75560806735"/>
    <n v="110439.10669812738"/>
    <n v="291238.66075169516"/>
    <n v="36657.90514362781"/>
    <s v="36831IF-TRANSCO/Z6"/>
    <n v="90"/>
  </r>
  <r>
    <x v="9"/>
    <x v="0"/>
    <s v="NE3906"/>
    <x v="0"/>
    <x v="0"/>
    <x v="1"/>
    <x v="18"/>
    <n v="1500000"/>
    <x v="7"/>
    <x v="18"/>
    <n v="0.77"/>
    <n v="5.5060000000000002"/>
    <x v="18"/>
    <x v="13"/>
    <n v="0.625"/>
    <x v="6"/>
    <x v="18"/>
    <x v="1"/>
    <n v="0.12271011855347486"/>
    <n v="-424301.25934677891"/>
    <n v="184065.17783021228"/>
    <n v="485397.76791949192"/>
    <n v="61096.508572713006"/>
    <s v="36831IF-TRANSCO/Z6"/>
    <n v="150"/>
  </r>
  <r>
    <x v="6"/>
    <x v="0"/>
    <s v="NE5062.1"/>
    <x v="0"/>
    <x v="0"/>
    <x v="0"/>
    <x v="14"/>
    <n v="1240000"/>
    <x v="8"/>
    <x v="14"/>
    <n v="1.075"/>
    <n v="5.2880000000000003"/>
    <x v="14"/>
    <x v="9"/>
    <n v="0.61199999999999999"/>
    <x v="7"/>
    <x v="14"/>
    <x v="0"/>
    <n v="0.43947287889585668"/>
    <n v="599006.60415959393"/>
    <n v="544946.36983086227"/>
    <n v="-490870.92123462394"/>
    <n v="108135.68292496999"/>
    <s v="36951IF-TRANSCO/Z6"/>
    <n v="124"/>
  </r>
  <r>
    <x v="10"/>
    <x v="1"/>
    <s v="NE5062.2"/>
    <x v="0"/>
    <x v="0"/>
    <x v="0"/>
    <x v="14"/>
    <n v="-310000"/>
    <x v="8"/>
    <x v="14"/>
    <n v="1.075"/>
    <n v="5.2880000000000003"/>
    <x v="14"/>
    <x v="9"/>
    <n v="0.61199999999999999"/>
    <x v="7"/>
    <x v="14"/>
    <x v="0"/>
    <n v="0.43947287889585668"/>
    <n v="-149751.65103989848"/>
    <n v="-136236.59245771557"/>
    <n v="122717.73030865598"/>
    <n v="-27033.920731242499"/>
    <s v="36951IF-TRANSCO/Z6"/>
    <n v="-31"/>
  </r>
  <r>
    <x v="11"/>
    <x v="0"/>
    <s v="NE6161.1"/>
    <x v="1"/>
    <x v="0"/>
    <x v="0"/>
    <x v="12"/>
    <n v="310000"/>
    <x v="9"/>
    <x v="12"/>
    <n v="-0.80500000000000005"/>
    <n v="3.887"/>
    <x v="12"/>
    <x v="8"/>
    <n v="0.55200000000000005"/>
    <x v="3"/>
    <x v="12"/>
    <x v="0"/>
    <n v="2.2795559989855496E-2"/>
    <n v="38603.729026086505"/>
    <n v="7066.6235968552037"/>
    <n v="-33047.263102924211"/>
    <n v="5556.4659231622936"/>
    <s v="36800IF-NWPL_ROCKY_M"/>
    <n v="31"/>
  </r>
  <r>
    <x v="11"/>
    <x v="0"/>
    <s v="NE6161.1"/>
    <x v="1"/>
    <x v="0"/>
    <x v="0"/>
    <x v="13"/>
    <n v="300000"/>
    <x v="9"/>
    <x v="13"/>
    <n v="-1.24"/>
    <n v="3.4449999999999994"/>
    <x v="13"/>
    <x v="5"/>
    <n v="0.38400000000000001"/>
    <x v="3"/>
    <x v="13"/>
    <x v="0"/>
    <n v="1.2057742898585744E-7"/>
    <n v="-5.08772478813313E-2"/>
    <n v="3.6173228695757231E-2"/>
    <n v="3.9303683441183068E-2"/>
    <n v="-1.1573564440148232E-2"/>
    <s v="36770IF-NWPL_ROCKY_M"/>
    <n v="30"/>
  </r>
  <r>
    <x v="11"/>
    <x v="0"/>
    <s v="NE6161.2"/>
    <x v="1"/>
    <x v="0"/>
    <x v="1"/>
    <x v="12"/>
    <n v="310000"/>
    <x v="9"/>
    <x v="12"/>
    <n v="-0.80500000000000005"/>
    <n v="3.887"/>
    <x v="12"/>
    <x v="8"/>
    <n v="0.55200000000000005"/>
    <x v="3"/>
    <x v="12"/>
    <x v="1"/>
    <n v="0.50500241936360335"/>
    <n v="-269610.96459424705"/>
    <n v="156550.75000271705"/>
    <n v="275167.43051740935"/>
    <n v="5556.4659231622936"/>
    <s v="36800IF-NWPL_ROCKY_M"/>
    <n v="31"/>
  </r>
  <r>
    <x v="11"/>
    <x v="0"/>
    <s v="NE6161.2"/>
    <x v="1"/>
    <x v="0"/>
    <x v="1"/>
    <x v="13"/>
    <n v="300000"/>
    <x v="9"/>
    <x v="13"/>
    <n v="-1.24"/>
    <n v="3.4449999999999994"/>
    <x v="13"/>
    <x v="5"/>
    <n v="0.38400000000000001"/>
    <x v="3"/>
    <x v="13"/>
    <x v="1"/>
    <n v="0.91966157151882699"/>
    <n v="-299889.65444509487"/>
    <n v="275898.47145564808"/>
    <n v="299889.64287153044"/>
    <n v="-1.1573564435821027E-2"/>
    <s v="36770IF-NWPL_ROCKY_M"/>
    <n v="30"/>
  </r>
  <r>
    <x v="11"/>
    <x v="0"/>
    <s v="NE6195"/>
    <x v="1"/>
    <x v="0"/>
    <x v="1"/>
    <x v="12"/>
    <n v="620000"/>
    <x v="2"/>
    <x v="12"/>
    <n v="-0.80500000000000005"/>
    <n v="3.887"/>
    <x v="12"/>
    <x v="8"/>
    <n v="0.55200000000000005"/>
    <x v="3"/>
    <x v="12"/>
    <x v="1"/>
    <n v="0.43702595785222825"/>
    <n v="-510220.79072437453"/>
    <n v="270956.09386838152"/>
    <n v="524047.97808886605"/>
    <n v="13827.187364491518"/>
    <s v="36800IF-NWPL_ROCKY_M"/>
    <n v="62"/>
  </r>
  <r>
    <x v="11"/>
    <x v="0"/>
    <s v="NE6195"/>
    <x v="1"/>
    <x v="0"/>
    <x v="1"/>
    <x v="13"/>
    <n v="600000"/>
    <x v="2"/>
    <x v="13"/>
    <n v="-1.24"/>
    <n v="3.4449999999999994"/>
    <x v="13"/>
    <x v="5"/>
    <n v="0.38400000000000001"/>
    <x v="3"/>
    <x v="13"/>
    <x v="1"/>
    <n v="0.8396910000813943"/>
    <n v="-599779.30889018986"/>
    <n v="503814.60004883655"/>
    <n v="599779.28574306087"/>
    <n v="-2.3147128988057375E-2"/>
    <s v="36770IF-NWPL_ROCKY_M"/>
    <n v="60"/>
  </r>
  <r>
    <x v="2"/>
    <x v="0"/>
    <s v="NE6212"/>
    <x v="1"/>
    <x v="0"/>
    <x v="0"/>
    <x v="12"/>
    <n v="310000"/>
    <x v="10"/>
    <x v="12"/>
    <n v="-0.80500000000000005"/>
    <n v="3.887"/>
    <x v="12"/>
    <x v="8"/>
    <n v="0.55200000000000005"/>
    <x v="3"/>
    <x v="12"/>
    <x v="0"/>
    <n v="1.5486375696830756E-2"/>
    <n v="28329.063541090101"/>
    <n v="4800.7764660175344"/>
    <n v="-23905.585596128058"/>
    <n v="4423.4779449620437"/>
    <s v="36800IF-NWPL_ROCKY_M"/>
    <n v="31"/>
  </r>
  <r>
    <x v="2"/>
    <x v="0"/>
    <s v="NE6212"/>
    <x v="1"/>
    <x v="0"/>
    <x v="0"/>
    <x v="13"/>
    <n v="300000"/>
    <x v="10"/>
    <x v="13"/>
    <n v="-1.24"/>
    <n v="3.4449999999999994"/>
    <x v="13"/>
    <x v="5"/>
    <n v="0.38400000000000001"/>
    <x v="3"/>
    <x v="13"/>
    <x v="0"/>
    <n v="1.2975268473547352E-7"/>
    <n v="-5.0877248114478135E-2"/>
    <n v="3.8925805420642057E-2"/>
    <n v="3.9303683441183068E-2"/>
    <n v="-1.1573564673295067E-2"/>
    <s v="36770IF-NWPL_ROCKY_M"/>
    <n v="30"/>
  </r>
  <r>
    <x v="9"/>
    <x v="0"/>
    <s v="NE7612"/>
    <x v="1"/>
    <x v="0"/>
    <x v="0"/>
    <x v="12"/>
    <n v="310000"/>
    <x v="11"/>
    <x v="12"/>
    <n v="-0.80500000000000005"/>
    <n v="3.887"/>
    <x v="12"/>
    <x v="8"/>
    <n v="0.55200000000000005"/>
    <x v="3"/>
    <x v="12"/>
    <x v="0"/>
    <n v="2.0465634510576369E-2"/>
    <n v="35440.361194386373"/>
    <n v="6344.3466982786749"/>
    <n v="-30216.02708369938"/>
    <n v="5224.3341106869921"/>
    <s v="36800IF-NWPL_ROCKY_M"/>
    <n v="31"/>
  </r>
  <r>
    <x v="9"/>
    <x v="0"/>
    <s v="NE7612"/>
    <x v="1"/>
    <x v="0"/>
    <x v="1"/>
    <x v="12"/>
    <n v="310000"/>
    <x v="11"/>
    <x v="12"/>
    <n v="-0.80500000000000005"/>
    <n v="3.887"/>
    <x v="12"/>
    <x v="8"/>
    <n v="0.55200000000000005"/>
    <x v="3"/>
    <x v="12"/>
    <x v="1"/>
    <n v="0.52255731282757178"/>
    <n v="-272774.33242594718"/>
    <n v="161992.76697654725"/>
    <n v="277998.66653663421"/>
    <n v="5224.3341106870212"/>
    <s v="36800IF-NWPL_ROCKY_M"/>
    <n v="31"/>
  </r>
  <r>
    <x v="9"/>
    <x v="0"/>
    <s v="NE7612"/>
    <x v="1"/>
    <x v="0"/>
    <x v="0"/>
    <x v="13"/>
    <n v="300000"/>
    <x v="11"/>
    <x v="13"/>
    <n v="-1.24"/>
    <n v="3.4449999999999994"/>
    <x v="13"/>
    <x v="5"/>
    <n v="0.38400000000000001"/>
    <x v="3"/>
    <x v="13"/>
    <x v="0"/>
    <n v="1.2319893094581147E-7"/>
    <n v="-5.0877248047864754E-2"/>
    <n v="3.6959679283743441E-2"/>
    <n v="3.9303683441183068E-2"/>
    <n v="-1.1573564606681686E-2"/>
    <s v="36770IF-NWPL_ROCKY_M"/>
    <n v="30"/>
  </r>
  <r>
    <x v="9"/>
    <x v="0"/>
    <s v="NE7612"/>
    <x v="1"/>
    <x v="0"/>
    <x v="1"/>
    <x v="13"/>
    <n v="300000"/>
    <x v="11"/>
    <x v="13"/>
    <n v="-1.24"/>
    <n v="3.4449999999999994"/>
    <x v="13"/>
    <x v="5"/>
    <n v="0.38400000000000001"/>
    <x v="3"/>
    <x v="13"/>
    <x v="1"/>
    <n v="0.93965421437818542"/>
    <n v="-299889.65444509505"/>
    <n v="281896.26431345561"/>
    <n v="299889.64287153044"/>
    <n v="-1.1573564610444009E-2"/>
    <s v="36770IF-NWPL_ROCKY_M"/>
    <n v="30"/>
  </r>
  <r>
    <x v="3"/>
    <x v="0"/>
    <s v="NE8609"/>
    <x v="0"/>
    <x v="0"/>
    <x v="1"/>
    <x v="15"/>
    <n v="500000"/>
    <x v="6"/>
    <x v="15"/>
    <n v="2.09"/>
    <n v="6.57"/>
    <x v="15"/>
    <x v="10"/>
    <n v="0.68100000000000005"/>
    <x v="7"/>
    <x v="15"/>
    <x v="1"/>
    <n v="0.20507600737213183"/>
    <n v="-96780.218200554882"/>
    <n v="102538.00368606592"/>
    <n v="132101.47240562714"/>
    <n v="35321.254205072255"/>
    <s v="36923IF-TRANSCO/Z6"/>
    <n v="50"/>
  </r>
  <r>
    <x v="3"/>
    <x v="0"/>
    <s v="NE8609"/>
    <x v="0"/>
    <x v="0"/>
    <x v="1"/>
    <x v="16"/>
    <n v="500000"/>
    <x v="6"/>
    <x v="16"/>
    <n v="2.17"/>
    <n v="6.9139999999999997"/>
    <x v="16"/>
    <x v="11"/>
    <n v="0.69599999999999995"/>
    <x v="7"/>
    <x v="16"/>
    <x v="1"/>
    <n v="0.16682160872180107"/>
    <n v="-86781.459479553683"/>
    <n v="83410.80436090054"/>
    <n v="116948.2910220831"/>
    <n v="30166.831542529413"/>
    <s v="36892IF-TRANSCO/Z6"/>
    <n v="50"/>
  </r>
  <r>
    <x v="3"/>
    <x v="0"/>
    <s v="NE8609"/>
    <x v="0"/>
    <x v="0"/>
    <x v="1"/>
    <x v="17"/>
    <n v="500000"/>
    <x v="6"/>
    <x v="17"/>
    <n v="1.645"/>
    <n v="6.4450000000000003"/>
    <x v="17"/>
    <x v="12"/>
    <n v="0.69"/>
    <x v="7"/>
    <x v="17"/>
    <x v="1"/>
    <n v="0.22359489711956859"/>
    <n v="-129510.21106902328"/>
    <n v="111797.4485597843"/>
    <n v="161267.33778204062"/>
    <n v="31757.126713017336"/>
    <s v="36861IF-TRANSCO/Z6"/>
    <n v="50"/>
  </r>
  <r>
    <x v="11"/>
    <x v="0"/>
    <s v="NE8644"/>
    <x v="0"/>
    <x v="0"/>
    <x v="1"/>
    <x v="14"/>
    <n v="500000"/>
    <x v="12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</r>
  <r>
    <x v="11"/>
    <x v="0"/>
    <s v="NE8644"/>
    <x v="0"/>
    <x v="0"/>
    <x v="1"/>
    <x v="15"/>
    <n v="500000"/>
    <x v="12"/>
    <x v="15"/>
    <n v="2.09"/>
    <n v="6.57"/>
    <x v="15"/>
    <x v="10"/>
    <n v="0.68100000000000005"/>
    <x v="7"/>
    <x v="15"/>
    <x v="1"/>
    <n v="0.14024849922231708"/>
    <n v="-72892.177141709864"/>
    <n v="70124.249611158535"/>
    <n v="103626.96293794637"/>
    <n v="30734.785796236509"/>
    <s v="36923IF-TRANSCO/Z6"/>
    <n v="50"/>
  </r>
  <r>
    <x v="11"/>
    <x v="0"/>
    <s v="NE8644"/>
    <x v="0"/>
    <x v="0"/>
    <x v="1"/>
    <x v="16"/>
    <n v="500000"/>
    <x v="12"/>
    <x v="16"/>
    <n v="2.17"/>
    <n v="6.9139999999999997"/>
    <x v="16"/>
    <x v="11"/>
    <n v="0.69599999999999995"/>
    <x v="7"/>
    <x v="16"/>
    <x v="1"/>
    <n v="0.11073968944962387"/>
    <n v="-63460.635822955526"/>
    <n v="55369.844724811934"/>
    <n v="88949.507589878078"/>
    <n v="25488.871766922552"/>
    <s v="36892IF-TRANSCO/Z6"/>
    <n v="50"/>
  </r>
  <r>
    <x v="11"/>
    <x v="0"/>
    <s v="NE8644"/>
    <x v="0"/>
    <x v="0"/>
    <x v="1"/>
    <x v="17"/>
    <n v="500000"/>
    <x v="12"/>
    <x v="17"/>
    <n v="1.645"/>
    <n v="6.4450000000000003"/>
    <x v="17"/>
    <x v="12"/>
    <n v="0.69"/>
    <x v="7"/>
    <x v="17"/>
    <x v="1"/>
    <n v="0.14791698517127294"/>
    <n v="-95712.691655961578"/>
    <n v="73958.492585636472"/>
    <n v="123504.23180600212"/>
    <n v="27791.540150040542"/>
    <s v="36861IF-TRANSCO/Z6"/>
    <n v="50"/>
  </r>
  <r>
    <x v="11"/>
    <x v="0"/>
    <s v="NE8644"/>
    <x v="0"/>
    <x v="0"/>
    <x v="1"/>
    <x v="18"/>
    <n v="500000"/>
    <x v="12"/>
    <x v="18"/>
    <n v="0.77"/>
    <n v="5.5060000000000002"/>
    <x v="18"/>
    <x v="13"/>
    <n v="0.625"/>
    <x v="6"/>
    <x v="18"/>
    <x v="1"/>
    <n v="0.24961789258441158"/>
    <n v="-229166.05806720548"/>
    <n v="124808.94629220579"/>
    <n v="251741.3554087904"/>
    <n v="22575.297341584926"/>
    <s v="36831IF-TRANSCO/Z6"/>
    <n v="50"/>
  </r>
  <r>
    <x v="3"/>
    <x v="0"/>
    <s v="NE9017"/>
    <x v="0"/>
    <x v="0"/>
    <x v="0"/>
    <x v="14"/>
    <n v="-500000"/>
    <x v="13"/>
    <x v="14"/>
    <n v="1.075"/>
    <n v="5.2880000000000003"/>
    <x v="14"/>
    <x v="9"/>
    <n v="0.61199999999999999"/>
    <x v="7"/>
    <x v="14"/>
    <x v="0"/>
    <n v="0.476658561538917"/>
    <n v="-255377.72733840536"/>
    <n v="-238329.28076945851"/>
    <n v="211260.78428401556"/>
    <n v="-44116.943054389791"/>
    <s v="36951IF-TRANSCO/Z6"/>
    <n v="-50"/>
  </r>
  <r>
    <x v="3"/>
    <x v="0"/>
    <s v="NE9017"/>
    <x v="0"/>
    <x v="0"/>
    <x v="0"/>
    <x v="15"/>
    <n v="-500000"/>
    <x v="13"/>
    <x v="15"/>
    <n v="2.09"/>
    <n v="6.57"/>
    <x v="15"/>
    <x v="10"/>
    <n v="0.68100000000000005"/>
    <x v="7"/>
    <x v="15"/>
    <x v="0"/>
    <n v="1.1651553454138159"/>
    <n v="-373369.94389243703"/>
    <n v="-582577.67270690796"/>
    <n v="335775.3447464307"/>
    <n v="-37594.599146006338"/>
    <s v="36923IF-TRANSCO/Z6"/>
    <n v="-50"/>
  </r>
  <r>
    <x v="3"/>
    <x v="0"/>
    <s v="NE9017"/>
    <x v="0"/>
    <x v="0"/>
    <x v="0"/>
    <x v="16"/>
    <n v="-500000"/>
    <x v="13"/>
    <x v="16"/>
    <n v="2.17"/>
    <n v="6.9139999999999997"/>
    <x v="16"/>
    <x v="11"/>
    <n v="0.69599999999999995"/>
    <x v="7"/>
    <x v="16"/>
    <x v="0"/>
    <n v="1.2054450279695053"/>
    <n v="-386427.58954405837"/>
    <n v="-602722.51398475259"/>
    <n v="353830.55969506147"/>
    <n v="-32597.029848996899"/>
    <s v="36892IF-TRANSCO/Z6"/>
    <n v="-50"/>
  </r>
  <r>
    <x v="3"/>
    <x v="0"/>
    <s v="NE9017"/>
    <x v="0"/>
    <x v="0"/>
    <x v="0"/>
    <x v="17"/>
    <n v="-500000"/>
    <x v="13"/>
    <x v="17"/>
    <n v="1.645"/>
    <n v="6.4450000000000003"/>
    <x v="17"/>
    <x v="12"/>
    <n v="0.69"/>
    <x v="7"/>
    <x v="17"/>
    <x v="0"/>
    <n v="0.76562377335197385"/>
    <n v="-340141.05689618562"/>
    <n v="-382811.88667598693"/>
    <n v="306675.19231633213"/>
    <n v="-33465.864579853485"/>
    <s v="36861IF-TRANSCO/Z6"/>
    <n v="-50"/>
  </r>
  <r>
    <x v="3"/>
    <x v="0"/>
    <s v="NE9017"/>
    <x v="0"/>
    <x v="0"/>
    <x v="0"/>
    <x v="18"/>
    <n v="-500000"/>
    <x v="13"/>
    <x v="18"/>
    <n v="0.77"/>
    <n v="5.5060000000000002"/>
    <x v="18"/>
    <x v="13"/>
    <n v="0.625"/>
    <x v="6"/>
    <x v="18"/>
    <x v="0"/>
    <n v="0.12713020145488552"/>
    <n v="-155883.72171860002"/>
    <n v="-63565.100727442761"/>
    <n v="137014.37600381352"/>
    <n v="-18869.345714786497"/>
    <s v="36831IF-TRANSCO/Z6"/>
    <n v="-50"/>
  </r>
  <r>
    <x v="11"/>
    <x v="0"/>
    <s v="NF0077.1"/>
    <x v="0"/>
    <x v="0"/>
    <x v="0"/>
    <x v="12"/>
    <n v="-250000"/>
    <x v="1"/>
    <x v="12"/>
    <n v="0.41499999999999998"/>
    <n v="5.1070000000000002"/>
    <x v="12"/>
    <x v="8"/>
    <n v="0.56399999999999995"/>
    <x v="2"/>
    <x v="12"/>
    <x v="0"/>
    <n v="0.121746675089311"/>
    <n v="-214879.70582893386"/>
    <n v="-30436.66877232775"/>
    <n v="213901.174857651"/>
    <n v="-978.53097128286026"/>
    <s v="36800IF-TRANSCO/Z6"/>
    <n v="-25"/>
  </r>
  <r>
    <x v="11"/>
    <x v="0"/>
    <s v="NF0077.1"/>
    <x v="0"/>
    <x v="0"/>
    <x v="0"/>
    <x v="13"/>
    <n v="-250000"/>
    <x v="1"/>
    <x v="13"/>
    <n v="0.315"/>
    <n v="5"/>
    <x v="13"/>
    <x v="5"/>
    <n v="0.39200000000000002"/>
    <x v="2"/>
    <x v="13"/>
    <x v="0"/>
    <n v="1.713645792858692E-2"/>
    <n v="-198339.00835398125"/>
    <n v="-4284.1144821467296"/>
    <n v="198110.538095786"/>
    <n v="-228.47025819524424"/>
    <s v="36770IF-TRANSCO/Z6"/>
    <n v="-25"/>
  </r>
  <r>
    <x v="11"/>
    <x v="0"/>
    <s v="NF0077.2"/>
    <x v="0"/>
    <x v="0"/>
    <x v="1"/>
    <x v="12"/>
    <n v="-250000"/>
    <x v="1"/>
    <x v="12"/>
    <n v="0.41499999999999998"/>
    <n v="5.1070000000000002"/>
    <x v="12"/>
    <x v="8"/>
    <n v="0.56399999999999995"/>
    <x v="2"/>
    <x v="12"/>
    <x v="1"/>
    <n v="7.4089661656390193E-3"/>
    <n v="33680.530961657714"/>
    <n v="-1852.2415414097547"/>
    <n v="-34659.061932940574"/>
    <n v="-978.53097128286026"/>
    <s v="36800IF-TRANSCO/Z6"/>
    <n v="-25"/>
  </r>
  <r>
    <x v="11"/>
    <x v="0"/>
    <s v="NF0077.2"/>
    <x v="0"/>
    <x v="0"/>
    <x v="1"/>
    <x v="13"/>
    <n v="-250000"/>
    <x v="1"/>
    <x v="13"/>
    <n v="0.315"/>
    <n v="5"/>
    <x v="13"/>
    <x v="5"/>
    <n v="0.39200000000000002"/>
    <x v="2"/>
    <x v="13"/>
    <x v="1"/>
    <n v="2.1419777501948678E-3"/>
    <n v="51568.994619224592"/>
    <n v="-535.49443754871697"/>
    <n v="-51797.464877419843"/>
    <n v="-228.47025819525152"/>
    <s v="36770IF-TRANSCO/Z6"/>
    <n v="-25"/>
  </r>
  <r>
    <x v="3"/>
    <x v="0"/>
    <s v="NF0106.1"/>
    <x v="0"/>
    <x v="0"/>
    <x v="0"/>
    <x v="12"/>
    <n v="-250000"/>
    <x v="1"/>
    <x v="12"/>
    <n v="0.41499999999999998"/>
    <n v="5.1070000000000002"/>
    <x v="12"/>
    <x v="8"/>
    <n v="0.56399999999999995"/>
    <x v="2"/>
    <x v="12"/>
    <x v="0"/>
    <n v="0.121746675089311"/>
    <n v="-214879.70582893386"/>
    <n v="-30436.66877232775"/>
    <n v="213901.174857651"/>
    <n v="-978.53097128286026"/>
    <s v="36800IF-TRANSCO/Z6"/>
    <n v="-25"/>
  </r>
  <r>
    <x v="3"/>
    <x v="0"/>
    <s v="NF0106.1"/>
    <x v="0"/>
    <x v="0"/>
    <x v="0"/>
    <x v="12"/>
    <n v="-500000"/>
    <x v="1"/>
    <x v="12"/>
    <n v="0.41499999999999998"/>
    <n v="5.1070000000000002"/>
    <x v="12"/>
    <x v="8"/>
    <n v="0.56399999999999995"/>
    <x v="2"/>
    <x v="12"/>
    <x v="0"/>
    <n v="0.121746675089311"/>
    <n v="-429759.41165786772"/>
    <n v="-60873.3375446555"/>
    <n v="427802.349715302"/>
    <n v="-1957.0619425657205"/>
    <s v="36800IF-TRANSCO/Z6"/>
    <n v="-50"/>
  </r>
  <r>
    <x v="3"/>
    <x v="0"/>
    <s v="NF0106.1"/>
    <x v="0"/>
    <x v="0"/>
    <x v="0"/>
    <x v="13"/>
    <n v="-250000"/>
    <x v="1"/>
    <x v="13"/>
    <n v="0.315"/>
    <n v="5"/>
    <x v="13"/>
    <x v="5"/>
    <n v="0.39200000000000002"/>
    <x v="2"/>
    <x v="13"/>
    <x v="0"/>
    <n v="1.713645792858692E-2"/>
    <n v="-198339.00835398125"/>
    <n v="-4284.1144821467296"/>
    <n v="198110.538095786"/>
    <n v="-228.47025819524424"/>
    <s v="36770IF-TRANSCO/Z6"/>
    <n v="-25"/>
  </r>
  <r>
    <x v="3"/>
    <x v="0"/>
    <s v="NF0106.1"/>
    <x v="0"/>
    <x v="0"/>
    <x v="0"/>
    <x v="13"/>
    <n v="-500000"/>
    <x v="1"/>
    <x v="13"/>
    <n v="0.315"/>
    <n v="5"/>
    <x v="13"/>
    <x v="5"/>
    <n v="0.39200000000000002"/>
    <x v="2"/>
    <x v="13"/>
    <x v="0"/>
    <n v="1.713645792858692E-2"/>
    <n v="-396678.0167079625"/>
    <n v="-8568.2289642934593"/>
    <n v="396221.07619157201"/>
    <n v="-456.94051639048848"/>
    <s v="36770IF-TRANSCO/Z6"/>
    <n v="-50"/>
  </r>
  <r>
    <x v="3"/>
    <x v="0"/>
    <s v="NF0106.2"/>
    <x v="0"/>
    <x v="0"/>
    <x v="1"/>
    <x v="12"/>
    <n v="-250000"/>
    <x v="1"/>
    <x v="12"/>
    <n v="0.41499999999999998"/>
    <n v="5.1070000000000002"/>
    <x v="12"/>
    <x v="8"/>
    <n v="0.56399999999999995"/>
    <x v="2"/>
    <x v="12"/>
    <x v="1"/>
    <n v="7.4089661656390193E-3"/>
    <n v="33680.530961657714"/>
    <n v="-1852.2415414097547"/>
    <n v="-34659.061932940574"/>
    <n v="-978.53097128286026"/>
    <s v="36800IF-TRANSCO/Z6"/>
    <n v="-25"/>
  </r>
  <r>
    <x v="3"/>
    <x v="0"/>
    <s v="NF0106.2"/>
    <x v="0"/>
    <x v="0"/>
    <x v="1"/>
    <x v="12"/>
    <n v="-500000"/>
    <x v="1"/>
    <x v="12"/>
    <n v="0.41499999999999998"/>
    <n v="5.1070000000000002"/>
    <x v="12"/>
    <x v="8"/>
    <n v="0.56399999999999995"/>
    <x v="2"/>
    <x v="12"/>
    <x v="1"/>
    <n v="7.4089661656390193E-3"/>
    <n v="67361.061923315428"/>
    <n v="-3704.4830828195095"/>
    <n v="-69318.123865881149"/>
    <n v="-1957.0619425657205"/>
    <s v="36800IF-TRANSCO/Z6"/>
    <n v="-50"/>
  </r>
  <r>
    <x v="3"/>
    <x v="0"/>
    <s v="NF0106.2"/>
    <x v="0"/>
    <x v="0"/>
    <x v="1"/>
    <x v="13"/>
    <n v="-250000"/>
    <x v="1"/>
    <x v="13"/>
    <n v="0.315"/>
    <n v="5"/>
    <x v="13"/>
    <x v="5"/>
    <n v="0.39200000000000002"/>
    <x v="2"/>
    <x v="13"/>
    <x v="1"/>
    <n v="2.1419777501948678E-3"/>
    <n v="51568.994619224592"/>
    <n v="-535.49443754871697"/>
    <n v="-51797.464877419843"/>
    <n v="-228.47025819525152"/>
    <s v="36770IF-TRANSCO/Z6"/>
    <n v="-25"/>
  </r>
  <r>
    <x v="3"/>
    <x v="0"/>
    <s v="NF0106.2"/>
    <x v="0"/>
    <x v="0"/>
    <x v="1"/>
    <x v="13"/>
    <n v="-500000"/>
    <x v="1"/>
    <x v="13"/>
    <n v="0.315"/>
    <n v="5"/>
    <x v="13"/>
    <x v="5"/>
    <n v="0.39200000000000002"/>
    <x v="2"/>
    <x v="13"/>
    <x v="1"/>
    <n v="2.1419777501948678E-3"/>
    <n v="103137.98923844918"/>
    <n v="-1070.9888750974339"/>
    <n v="-103594.92975483969"/>
    <n v="-456.94051639050303"/>
    <s v="36770IF-TRANSCO/Z6"/>
    <n v="-50"/>
  </r>
  <r>
    <x v="3"/>
    <x v="0"/>
    <s v="NF1092.1"/>
    <x v="1"/>
    <x v="0"/>
    <x v="0"/>
    <x v="12"/>
    <n v="-1000000"/>
    <x v="10"/>
    <x v="12"/>
    <n v="-0.80500000000000005"/>
    <n v="3.887"/>
    <x v="12"/>
    <x v="8"/>
    <n v="0.55200000000000005"/>
    <x v="3"/>
    <x v="12"/>
    <x v="0"/>
    <n v="1.5486375696830756E-2"/>
    <n v="-91384.075939000337"/>
    <n v="-15486.375696830757"/>
    <n v="77114.792245574383"/>
    <n v="-14269.283693425954"/>
    <s v="36800IF-NWPL_ROCKY_M"/>
    <n v="-100"/>
  </r>
  <r>
    <x v="3"/>
    <x v="0"/>
    <s v="NF1092.1"/>
    <x v="1"/>
    <x v="0"/>
    <x v="0"/>
    <x v="13"/>
    <n v="-1000000"/>
    <x v="10"/>
    <x v="13"/>
    <n v="-1.24"/>
    <n v="3.4449999999999994"/>
    <x v="13"/>
    <x v="5"/>
    <n v="0.38400000000000001"/>
    <x v="3"/>
    <x v="13"/>
    <x v="0"/>
    <n v="1.2975268473547352E-7"/>
    <n v="0.16959082704826045"/>
    <n v="-0.12975268473547352"/>
    <n v="-0.13101227813727689"/>
    <n v="3.8578548910983557E-2"/>
    <s v="36770IF-NWPL_ROCKY_M"/>
    <n v="-100"/>
  </r>
  <r>
    <x v="3"/>
    <x v="0"/>
    <s v="NF1092.2"/>
    <x v="1"/>
    <x v="0"/>
    <x v="1"/>
    <x v="12"/>
    <n v="1000000"/>
    <x v="2"/>
    <x v="12"/>
    <n v="-0.80500000000000005"/>
    <n v="3.887"/>
    <x v="12"/>
    <x v="8"/>
    <n v="0.55200000000000005"/>
    <x v="3"/>
    <x v="12"/>
    <x v="1"/>
    <n v="0.43702595785222825"/>
    <n v="-822936.75923286215"/>
    <n v="437025.95785222825"/>
    <n v="845238.67433688068"/>
    <n v="22301.915104018524"/>
    <s v="36800IF-NWPL_ROCKY_M"/>
    <n v="100"/>
  </r>
  <r>
    <x v="3"/>
    <x v="0"/>
    <s v="NF1092.2"/>
    <x v="1"/>
    <x v="0"/>
    <x v="1"/>
    <x v="13"/>
    <n v="1000000"/>
    <x v="2"/>
    <x v="13"/>
    <n v="-1.24"/>
    <n v="3.4449999999999994"/>
    <x v="13"/>
    <x v="5"/>
    <n v="0.38400000000000001"/>
    <x v="3"/>
    <x v="13"/>
    <x v="1"/>
    <n v="0.8396910000813943"/>
    <n v="-999632.18148364977"/>
    <n v="839691.00008139433"/>
    <n v="999632.14290510153"/>
    <n v="-3.8578548235818744E-2"/>
    <s v="36770IF-NWPL_ROCKY_M"/>
    <n v="100"/>
  </r>
  <r>
    <x v="3"/>
    <x v="0"/>
    <s v="NF1105.1"/>
    <x v="0"/>
    <x v="0"/>
    <x v="0"/>
    <x v="14"/>
    <n v="-250000"/>
    <x v="13"/>
    <x v="14"/>
    <n v="1.075"/>
    <n v="5.2880000000000003"/>
    <x v="14"/>
    <x v="9"/>
    <n v="0.61199999999999999"/>
    <x v="7"/>
    <x v="14"/>
    <x v="0"/>
    <n v="0.476658561538917"/>
    <n v="-127688.86366920268"/>
    <n v="-119164.64038472925"/>
    <n v="105630.39214200778"/>
    <n v="-22058.471527194895"/>
    <s v="36951IF-TRANSCO/Z6"/>
    <n v="-25"/>
  </r>
  <r>
    <x v="3"/>
    <x v="0"/>
    <s v="NF1105.1"/>
    <x v="0"/>
    <x v="0"/>
    <x v="0"/>
    <x v="15"/>
    <n v="-250000"/>
    <x v="13"/>
    <x v="15"/>
    <n v="2.09"/>
    <n v="6.57"/>
    <x v="15"/>
    <x v="10"/>
    <n v="0.68100000000000005"/>
    <x v="7"/>
    <x v="15"/>
    <x v="0"/>
    <n v="1.1651553454138159"/>
    <n v="-186684.97194621852"/>
    <n v="-291288.83635345398"/>
    <n v="167887.67237321535"/>
    <n v="-18797.299573003169"/>
    <s v="36923IF-TRANSCO/Z6"/>
    <n v="-25"/>
  </r>
  <r>
    <x v="3"/>
    <x v="0"/>
    <s v="NF1105.1"/>
    <x v="0"/>
    <x v="0"/>
    <x v="0"/>
    <x v="16"/>
    <n v="-250000"/>
    <x v="13"/>
    <x v="16"/>
    <n v="2.17"/>
    <n v="6.9139999999999997"/>
    <x v="16"/>
    <x v="11"/>
    <n v="0.69599999999999995"/>
    <x v="7"/>
    <x v="16"/>
    <x v="0"/>
    <n v="1.2054450279695053"/>
    <n v="-193213.79477202918"/>
    <n v="-301361.25699237629"/>
    <n v="176915.27984753074"/>
    <n v="-16298.51492449845"/>
    <s v="36892IF-TRANSCO/Z6"/>
    <n v="-25"/>
  </r>
  <r>
    <x v="3"/>
    <x v="0"/>
    <s v="NF1105.1"/>
    <x v="0"/>
    <x v="0"/>
    <x v="0"/>
    <x v="17"/>
    <n v="-250000"/>
    <x v="13"/>
    <x v="17"/>
    <n v="1.645"/>
    <n v="6.4450000000000003"/>
    <x v="17"/>
    <x v="12"/>
    <n v="0.69"/>
    <x v="7"/>
    <x v="17"/>
    <x v="0"/>
    <n v="0.76562377335197385"/>
    <n v="-170070.52844809281"/>
    <n v="-191405.94333799346"/>
    <n v="153337.59615816607"/>
    <n v="-16732.932289926743"/>
    <s v="36861IF-TRANSCO/Z6"/>
    <n v="-25"/>
  </r>
  <r>
    <x v="3"/>
    <x v="0"/>
    <s v="NF1105.1"/>
    <x v="0"/>
    <x v="0"/>
    <x v="0"/>
    <x v="18"/>
    <n v="-250000"/>
    <x v="13"/>
    <x v="18"/>
    <n v="0.77"/>
    <n v="5.5060000000000002"/>
    <x v="18"/>
    <x v="13"/>
    <n v="0.625"/>
    <x v="6"/>
    <x v="18"/>
    <x v="0"/>
    <n v="0.12713020145488552"/>
    <n v="-77941.86085930001"/>
    <n v="-31782.550363721381"/>
    <n v="68507.188001906761"/>
    <n v="-9434.6728573932487"/>
    <s v="36831IF-TRANSCO/Z6"/>
    <n v="-25"/>
  </r>
  <r>
    <x v="3"/>
    <x v="0"/>
    <s v="NF1105.2"/>
    <x v="0"/>
    <x v="0"/>
    <x v="1"/>
    <x v="14"/>
    <n v="-250000"/>
    <x v="13"/>
    <x v="14"/>
    <n v="1.075"/>
    <n v="5.2880000000000003"/>
    <x v="14"/>
    <x v="9"/>
    <n v="0.61199999999999999"/>
    <x v="7"/>
    <x v="14"/>
    <x v="1"/>
    <n v="0.54911441709740649"/>
    <n v="113830.65485909583"/>
    <n v="-137278.60427435162"/>
    <n v="-135889.12638629071"/>
    <n v="-22058.471527194881"/>
    <s v="36951IF-TRANSCO/Z6"/>
    <n v="-25"/>
  </r>
  <r>
    <x v="3"/>
    <x v="0"/>
    <s v="NF1105.2"/>
    <x v="0"/>
    <x v="0"/>
    <x v="1"/>
    <x v="15"/>
    <n v="-250000"/>
    <x v="13"/>
    <x v="15"/>
    <n v="2.09"/>
    <n v="6.57"/>
    <x v="15"/>
    <x v="10"/>
    <n v="0.68100000000000005"/>
    <x v="7"/>
    <x v="15"/>
    <x v="1"/>
    <n v="0.25214129972097754"/>
    <n v="56137.912546557593"/>
    <n v="-63035.324930244387"/>
    <n v="-74935.212119560776"/>
    <n v="-18797.299573003183"/>
    <s v="36923IF-TRANSCO/Z6"/>
    <n v="-25"/>
  </r>
  <r>
    <x v="3"/>
    <x v="0"/>
    <s v="NF1105.2"/>
    <x v="0"/>
    <x v="0"/>
    <x v="1"/>
    <x v="16"/>
    <n v="-250000"/>
    <x v="13"/>
    <x v="16"/>
    <n v="2.17"/>
    <n v="6.9139999999999997"/>
    <x v="16"/>
    <x v="11"/>
    <n v="0.69599999999999995"/>
    <x v="7"/>
    <x v="16"/>
    <x v="1"/>
    <n v="0.20847620774735121"/>
    <n v="51141.308223596607"/>
    <n v="-52119.051936837801"/>
    <n v="-67439.823148095049"/>
    <n v="-16298.514924498442"/>
    <s v="36892IF-TRANSCO/Z6"/>
    <n v="-25"/>
  </r>
  <r>
    <x v="3"/>
    <x v="0"/>
    <s v="NF1105.2"/>
    <x v="0"/>
    <x v="0"/>
    <x v="1"/>
    <x v="17"/>
    <n v="-250000"/>
    <x v="13"/>
    <x v="17"/>
    <n v="1.645"/>
    <n v="6.4450000000000003"/>
    <x v="17"/>
    <x v="12"/>
    <n v="0.69"/>
    <x v="7"/>
    <x v="17"/>
    <x v="1"/>
    <n v="0.27915941560650492"/>
    <n v="75618.541120325681"/>
    <n v="-69789.853901626237"/>
    <n v="-92351.473410252438"/>
    <n v="-16732.932289926757"/>
    <s v="36861IF-TRANSCO/Z6"/>
    <n v="-25"/>
  </r>
  <r>
    <x v="3"/>
    <x v="0"/>
    <s v="NF1105.2"/>
    <x v="0"/>
    <x v="0"/>
    <x v="1"/>
    <x v="18"/>
    <n v="-250000"/>
    <x v="13"/>
    <x v="18"/>
    <n v="0.77"/>
    <n v="5.5060000000000002"/>
    <x v="18"/>
    <x v="13"/>
    <n v="0.625"/>
    <x v="6"/>
    <x v="18"/>
    <x v="1"/>
    <n v="0.50269231966812455"/>
    <n v="169138.48007046277"/>
    <n v="-125673.07991703114"/>
    <n v="-178573.15292785602"/>
    <n v="-9434.6728573932487"/>
    <s v="36831IF-TRANSCO/Z6"/>
    <n v="-25"/>
  </r>
  <r>
    <x v="3"/>
    <x v="0"/>
    <s v="NF1114.1"/>
    <x v="1"/>
    <x v="0"/>
    <x v="0"/>
    <x v="12"/>
    <n v="-500000"/>
    <x v="9"/>
    <x v="12"/>
    <n v="-0.80500000000000005"/>
    <n v="3.887"/>
    <x v="12"/>
    <x v="8"/>
    <n v="0.55200000000000005"/>
    <x v="3"/>
    <x v="12"/>
    <x v="0"/>
    <n v="2.2795559989855496E-2"/>
    <n v="-62264.079074333065"/>
    <n v="-11397.779994927749"/>
    <n v="53302.037262780985"/>
    <n v="-8962.0418115520806"/>
    <s v="36800IF-NWPL_ROCKY_M"/>
    <n v="-50"/>
  </r>
  <r>
    <x v="3"/>
    <x v="0"/>
    <s v="NF1114.1"/>
    <x v="1"/>
    <x v="0"/>
    <x v="0"/>
    <x v="13"/>
    <n v="-500000"/>
    <x v="9"/>
    <x v="13"/>
    <n v="-1.24"/>
    <n v="3.4449999999999994"/>
    <x v="13"/>
    <x v="5"/>
    <n v="0.38400000000000001"/>
    <x v="3"/>
    <x v="13"/>
    <x v="0"/>
    <n v="1.2057742898585744E-7"/>
    <n v="8.4795413135552167E-2"/>
    <n v="-6.0288714492928719E-2"/>
    <n v="-6.5506139068638447E-2"/>
    <n v="1.928927406691372E-2"/>
    <s v="36770IF-NWPL_ROCKY_M"/>
    <n v="-50"/>
  </r>
  <r>
    <x v="3"/>
    <x v="0"/>
    <s v="NF1114.2"/>
    <x v="1"/>
    <x v="0"/>
    <x v="1"/>
    <x v="12"/>
    <n v="-500000"/>
    <x v="9"/>
    <x v="12"/>
    <n v="-0.80500000000000005"/>
    <n v="3.887"/>
    <x v="12"/>
    <x v="8"/>
    <n v="0.55200000000000005"/>
    <x v="3"/>
    <x v="12"/>
    <x v="1"/>
    <n v="0.50500241936360335"/>
    <n v="434856.39450685011"/>
    <n v="-252501.20968180167"/>
    <n v="-443818.43631840218"/>
    <n v="-8962.0418115520733"/>
    <s v="36800IF-NWPL_ROCKY_M"/>
    <n v="-50"/>
  </r>
  <r>
    <x v="3"/>
    <x v="0"/>
    <s v="NF1114.2"/>
    <x v="1"/>
    <x v="0"/>
    <x v="1"/>
    <x v="13"/>
    <n v="-500000"/>
    <x v="9"/>
    <x v="13"/>
    <n v="-1.24"/>
    <n v="3.4449999999999994"/>
    <x v="13"/>
    <x v="5"/>
    <n v="0.38400000000000001"/>
    <x v="3"/>
    <x v="13"/>
    <x v="1"/>
    <n v="0.91966157151882699"/>
    <n v="499816.09074182482"/>
    <n v="-459830.7857594135"/>
    <n v="-499816.07145255076"/>
    <n v="1.9289274059701711E-2"/>
    <s v="36770IF-NWPL_ROCKY_M"/>
    <n v="-50"/>
  </r>
  <r>
    <x v="3"/>
    <x v="0"/>
    <s v="NF2908.1"/>
    <x v="0"/>
    <x v="0"/>
    <x v="0"/>
    <x v="12"/>
    <n v="-500000"/>
    <x v="14"/>
    <x v="12"/>
    <n v="0.41499999999999998"/>
    <n v="5.1070000000000002"/>
    <x v="12"/>
    <x v="8"/>
    <n v="0.56399999999999995"/>
    <x v="2"/>
    <x v="12"/>
    <x v="0"/>
    <n v="0.10536173399090998"/>
    <n v="-406033.99568266532"/>
    <n v="-52680.866995454991"/>
    <n v="403689.30753777293"/>
    <n v="-2344.6881448923959"/>
    <s v="36800IF-TRANSCO/Z6"/>
    <n v="-50"/>
  </r>
  <r>
    <x v="3"/>
    <x v="0"/>
    <s v="NF2908.1"/>
    <x v="0"/>
    <x v="0"/>
    <x v="0"/>
    <x v="13"/>
    <n v="-500000"/>
    <x v="14"/>
    <x v="13"/>
    <n v="0.315"/>
    <n v="5"/>
    <x v="13"/>
    <x v="5"/>
    <n v="0.39200000000000002"/>
    <x v="2"/>
    <x v="13"/>
    <x v="0"/>
    <n v="5.1638549129332332E-3"/>
    <n v="-197264.19012977614"/>
    <n v="-2581.9274564666166"/>
    <n v="196657.05039077444"/>
    <n v="-607.13973900169367"/>
    <s v="36770IF-TRANSCO/Z6"/>
    <n v="-50"/>
  </r>
  <r>
    <x v="3"/>
    <x v="0"/>
    <s v="NF2908.2"/>
    <x v="0"/>
    <x v="0"/>
    <x v="1"/>
    <x v="12"/>
    <n v="-500000"/>
    <x v="14"/>
    <x v="12"/>
    <n v="0.41499999999999998"/>
    <n v="5.1070000000000002"/>
    <x v="12"/>
    <x v="8"/>
    <n v="0.56399999999999995"/>
    <x v="2"/>
    <x v="12"/>
    <x v="1"/>
    <n v="1.0908844010485863E-2"/>
    <n v="91086.477898517813"/>
    <n v="-5454.4220052429318"/>
    <n v="-93431.166043410223"/>
    <n v="-2344.6881448924105"/>
    <s v="36800IF-TRANSCO/Z6"/>
    <n v="-50"/>
  </r>
  <r>
    <x v="3"/>
    <x v="0"/>
    <s v="NF2908.2"/>
    <x v="0"/>
    <x v="0"/>
    <x v="1"/>
    <x v="13"/>
    <n v="-500000"/>
    <x v="14"/>
    <x v="13"/>
    <n v="0.315"/>
    <n v="5"/>
    <x v="13"/>
    <x v="5"/>
    <n v="0.39200000000000002"/>
    <x v="2"/>
    <x v="13"/>
    <x v="1"/>
    <n v="1.0162014972396938E-2"/>
    <n v="302551.81581663556"/>
    <n v="-5081.0074861984685"/>
    <n v="-303158.95555563719"/>
    <n v="-607.13973900163546"/>
    <s v="36770IF-TRANSCO/Z6"/>
    <n v="-50"/>
  </r>
  <r>
    <x v="3"/>
    <x v="0"/>
    <s v="NF2912.1"/>
    <x v="0"/>
    <x v="0"/>
    <x v="0"/>
    <x v="12"/>
    <n v="-500000"/>
    <x v="14"/>
    <x v="12"/>
    <n v="0.41499999999999998"/>
    <n v="5.1070000000000002"/>
    <x v="12"/>
    <x v="8"/>
    <n v="0.56399999999999995"/>
    <x v="2"/>
    <x v="12"/>
    <x v="0"/>
    <n v="0.10536173399090998"/>
    <n v="-406033.99568266532"/>
    <n v="-52680.866995454991"/>
    <n v="403689.30753777293"/>
    <n v="-2344.6881448923959"/>
    <s v="36800IF-TRANSCO/Z6"/>
    <n v="-50"/>
  </r>
  <r>
    <x v="3"/>
    <x v="0"/>
    <s v="NF2912.1"/>
    <x v="0"/>
    <x v="0"/>
    <x v="0"/>
    <x v="13"/>
    <n v="-500000"/>
    <x v="14"/>
    <x v="13"/>
    <n v="0.315"/>
    <n v="5"/>
    <x v="13"/>
    <x v="5"/>
    <n v="0.39200000000000002"/>
    <x v="2"/>
    <x v="13"/>
    <x v="0"/>
    <n v="5.1638549129332332E-3"/>
    <n v="-197264.19012977614"/>
    <n v="-2581.9274564666166"/>
    <n v="196657.05039077444"/>
    <n v="-607.13973900169367"/>
    <s v="36770IF-TRANSCO/Z6"/>
    <n v="-50"/>
  </r>
  <r>
    <x v="3"/>
    <x v="0"/>
    <s v="NF2912.2"/>
    <x v="0"/>
    <x v="0"/>
    <x v="1"/>
    <x v="12"/>
    <n v="-500000"/>
    <x v="14"/>
    <x v="12"/>
    <n v="0.41499999999999998"/>
    <n v="5.1070000000000002"/>
    <x v="12"/>
    <x v="8"/>
    <n v="0.56399999999999995"/>
    <x v="2"/>
    <x v="12"/>
    <x v="1"/>
    <n v="1.0908844010485863E-2"/>
    <n v="91086.477898517813"/>
    <n v="-5454.4220052429318"/>
    <n v="-93431.166043410223"/>
    <n v="-2344.6881448924105"/>
    <s v="36800IF-TRANSCO/Z6"/>
    <n v="-50"/>
  </r>
  <r>
    <x v="3"/>
    <x v="0"/>
    <s v="NF2912.2"/>
    <x v="0"/>
    <x v="0"/>
    <x v="1"/>
    <x v="13"/>
    <n v="-500000"/>
    <x v="14"/>
    <x v="13"/>
    <n v="0.315"/>
    <n v="5"/>
    <x v="13"/>
    <x v="5"/>
    <n v="0.39200000000000002"/>
    <x v="2"/>
    <x v="13"/>
    <x v="1"/>
    <n v="1.0162014972396938E-2"/>
    <n v="302551.81581663556"/>
    <n v="-5081.0074861984685"/>
    <n v="-303158.95555563719"/>
    <n v="-607.13973900163546"/>
    <s v="36770IF-TRANSCO/Z6"/>
    <n v="-50"/>
  </r>
  <r>
    <x v="3"/>
    <x v="0"/>
    <s v="NF3896.1"/>
    <x v="0"/>
    <x v="0"/>
    <x v="1"/>
    <x v="12"/>
    <n v="-250000"/>
    <x v="14"/>
    <x v="12"/>
    <n v="0.41499999999999998"/>
    <n v="5.1070000000000002"/>
    <x v="12"/>
    <x v="8"/>
    <n v="0.56399999999999995"/>
    <x v="2"/>
    <x v="12"/>
    <x v="1"/>
    <n v="1.0908844010485863E-2"/>
    <n v="45543.238949258906"/>
    <n v="-2727.2110026214659"/>
    <n v="-46715.583021705112"/>
    <n v="-1172.3440724462052"/>
    <s v="36800IF-TRANSCO/Z6"/>
    <n v="-25"/>
  </r>
  <r>
    <x v="3"/>
    <x v="0"/>
    <s v="NF3896.1"/>
    <x v="0"/>
    <x v="0"/>
    <x v="1"/>
    <x v="13"/>
    <n v="-250000"/>
    <x v="14"/>
    <x v="13"/>
    <n v="0.315"/>
    <n v="5"/>
    <x v="13"/>
    <x v="5"/>
    <n v="0.39200000000000002"/>
    <x v="2"/>
    <x v="13"/>
    <x v="1"/>
    <n v="1.0162014972396938E-2"/>
    <n v="151275.90790831778"/>
    <n v="-2540.5037430992343"/>
    <n v="-151579.4777778186"/>
    <n v="-303.56986950081773"/>
    <s v="36770IF-TRANSCO/Z6"/>
    <n v="-25"/>
  </r>
  <r>
    <x v="3"/>
    <x v="0"/>
    <s v="NF3896.2"/>
    <x v="0"/>
    <x v="0"/>
    <x v="1"/>
    <x v="12"/>
    <n v="-250000"/>
    <x v="15"/>
    <x v="12"/>
    <n v="0.41499999999999998"/>
    <n v="5.1070000000000002"/>
    <x v="12"/>
    <x v="8"/>
    <n v="0.56399999999999995"/>
    <x v="2"/>
    <x v="12"/>
    <x v="1"/>
    <n v="3.0649373965684901E-3"/>
    <n v="16403.347033313392"/>
    <n v="-766.23434914212248"/>
    <n v="-17000.561371349755"/>
    <n v="-597.21433803636319"/>
    <s v="36800IF-TRANSCO/Z6"/>
    <n v="-25"/>
  </r>
  <r>
    <x v="3"/>
    <x v="0"/>
    <s v="NF3896.2"/>
    <x v="0"/>
    <x v="0"/>
    <x v="1"/>
    <x v="13"/>
    <n v="-250000"/>
    <x v="15"/>
    <x v="13"/>
    <n v="0.315"/>
    <n v="5"/>
    <x v="13"/>
    <x v="5"/>
    <n v="0.39200000000000002"/>
    <x v="2"/>
    <x v="13"/>
    <x v="1"/>
    <n v="5.7764721210773473E-6"/>
    <n v="284.16621136212461"/>
    <n v="-1.4441180302693368"/>
    <n v="-287.29775864688725"/>
    <n v="-3.1315472847626324"/>
    <s v="36770IF-TRANSCO/Z6"/>
    <n v="-25"/>
  </r>
  <r>
    <x v="8"/>
    <x v="0"/>
    <s v="NF4362"/>
    <x v="0"/>
    <x v="0"/>
    <x v="0"/>
    <x v="14"/>
    <n v="620000"/>
    <x v="16"/>
    <x v="14"/>
    <n v="1.075"/>
    <n v="5.2880000000000003"/>
    <x v="14"/>
    <x v="9"/>
    <n v="0.61199999999999999"/>
    <x v="7"/>
    <x v="14"/>
    <x v="0"/>
    <n v="0.20151309617393046"/>
    <n v="166767.8543093531"/>
    <n v="124938.11962783689"/>
    <n v="-126181.23720229151"/>
    <n v="40586.617107061596"/>
    <s v="36951IF-TRANSCO/Z6"/>
    <n v="62"/>
  </r>
  <r>
    <x v="8"/>
    <x v="0"/>
    <s v="NF4362"/>
    <x v="0"/>
    <x v="0"/>
    <x v="0"/>
    <x v="15"/>
    <n v="560000"/>
    <x v="16"/>
    <x v="15"/>
    <n v="2.09"/>
    <n v="6.57"/>
    <x v="15"/>
    <x v="10"/>
    <n v="0.68100000000000005"/>
    <x v="7"/>
    <x v="15"/>
    <x v="0"/>
    <n v="0.6405406921126634"/>
    <n v="290085.67217866081"/>
    <n v="358702.78758309153"/>
    <n v="-242288.59403818881"/>
    <n v="47797.078140472004"/>
    <s v="36923IF-TRANSCO/Z6"/>
    <n v="56"/>
  </r>
  <r>
    <x v="8"/>
    <x v="0"/>
    <s v="NF4362"/>
    <x v="0"/>
    <x v="0"/>
    <x v="0"/>
    <x v="16"/>
    <n v="620000"/>
    <x v="16"/>
    <x v="16"/>
    <n v="2.17"/>
    <n v="6.9139999999999997"/>
    <x v="16"/>
    <x v="11"/>
    <n v="0.69599999999999995"/>
    <x v="7"/>
    <x v="16"/>
    <x v="0"/>
    <n v="0.64262450795790738"/>
    <n v="330093.80666587513"/>
    <n v="398427.19493390259"/>
    <n v="-281478.80037025892"/>
    <n v="48615.006295616215"/>
    <s v="36892IF-TRANSCO/Z6"/>
    <n v="62"/>
  </r>
  <r>
    <x v="8"/>
    <x v="0"/>
    <s v="NF4362"/>
    <x v="0"/>
    <x v="0"/>
    <x v="0"/>
    <x v="17"/>
    <n v="620000"/>
    <x v="16"/>
    <x v="17"/>
    <n v="1.645"/>
    <n v="6.4450000000000003"/>
    <x v="17"/>
    <x v="12"/>
    <n v="0.69"/>
    <x v="7"/>
    <x v="17"/>
    <x v="0"/>
    <n v="0.32215853301991865"/>
    <n v="237127.39932304199"/>
    <n v="199738.29047234956"/>
    <n v="-197339.37186389352"/>
    <n v="39788.027459148463"/>
    <s v="36861IF-TRANSCO/Z6"/>
    <n v="62"/>
  </r>
  <r>
    <x v="8"/>
    <x v="0"/>
    <s v="NF4362"/>
    <x v="0"/>
    <x v="0"/>
    <x v="0"/>
    <x v="18"/>
    <n v="600000"/>
    <x v="16"/>
    <x v="18"/>
    <n v="0.77"/>
    <n v="5.5060000000000002"/>
    <x v="18"/>
    <x v="13"/>
    <n v="0.625"/>
    <x v="6"/>
    <x v="18"/>
    <x v="0"/>
    <n v="1.2880270126205009E-2"/>
    <n v="27595.330106162044"/>
    <n v="7728.1620757230057"/>
    <n v="-22205.713777063829"/>
    <n v="5389.6163290982149"/>
    <s v="36831IF-TRANSCO/Z6"/>
    <n v="60"/>
  </r>
  <r>
    <x v="12"/>
    <x v="0"/>
    <s v="NF4364.1"/>
    <x v="0"/>
    <x v="0"/>
    <x v="1"/>
    <x v="14"/>
    <n v="500000"/>
    <x v="17"/>
    <x v="14"/>
    <n v="1.075"/>
    <n v="5.2880000000000003"/>
    <x v="14"/>
    <x v="9"/>
    <n v="0.61199999999999999"/>
    <x v="7"/>
    <x v="14"/>
    <x v="1"/>
    <n v="0.32002698930856666"/>
    <n v="-162210.15477770101"/>
    <n v="160013.49465428333"/>
    <n v="205541.02548744975"/>
    <n v="43330.870709748735"/>
    <s v="36951IF-TRANSCO/Z6"/>
    <n v="50"/>
  </r>
  <r>
    <x v="12"/>
    <x v="0"/>
    <s v="NF4364.1"/>
    <x v="0"/>
    <x v="0"/>
    <x v="1"/>
    <x v="15"/>
    <n v="500000"/>
    <x v="17"/>
    <x v="15"/>
    <n v="2.09"/>
    <n v="6.57"/>
    <x v="15"/>
    <x v="10"/>
    <n v="0.68100000000000005"/>
    <x v="7"/>
    <x v="15"/>
    <x v="1"/>
    <n v="0.12926788295251401"/>
    <n v="-68477.828872769824"/>
    <n v="64633.941476257009"/>
    <n v="98195.516324057709"/>
    <n v="29717.687451287886"/>
    <s v="36923IF-TRANSCO/Z6"/>
    <n v="50"/>
  </r>
  <r>
    <x v="12"/>
    <x v="0"/>
    <s v="NF4364.1"/>
    <x v="0"/>
    <x v="0"/>
    <x v="1"/>
    <x v="16"/>
    <n v="500000"/>
    <x v="17"/>
    <x v="16"/>
    <n v="2.17"/>
    <n v="6.9139999999999997"/>
    <x v="16"/>
    <x v="11"/>
    <n v="0.69599999999999995"/>
    <x v="7"/>
    <x v="16"/>
    <x v="1"/>
    <n v="0.10142315274818847"/>
    <n v="-59239.423155806217"/>
    <n v="50711.576374094235"/>
    <n v="83725.000911167299"/>
    <n v="24485.577755361082"/>
    <s v="36892IF-TRANSCO/Z6"/>
    <n v="50"/>
  </r>
  <r>
    <x v="12"/>
    <x v="0"/>
    <s v="NF4364.1"/>
    <x v="0"/>
    <x v="0"/>
    <x v="1"/>
    <x v="17"/>
    <n v="500000"/>
    <x v="17"/>
    <x v="17"/>
    <n v="1.645"/>
    <n v="6.4450000000000003"/>
    <x v="17"/>
    <x v="12"/>
    <n v="0.69"/>
    <x v="7"/>
    <x v="17"/>
    <x v="1"/>
    <n v="0.13525065254316659"/>
    <n v="-89452.572900128318"/>
    <n v="67625.326271583297"/>
    <n v="116306.83551911697"/>
    <n v="26854.262618988651"/>
    <s v="36861IF-TRANSCO/Z6"/>
    <n v="50"/>
  </r>
  <r>
    <x v="12"/>
    <x v="0"/>
    <s v="NF4364.1"/>
    <x v="0"/>
    <x v="0"/>
    <x v="1"/>
    <x v="18"/>
    <n v="500000"/>
    <x v="17"/>
    <x v="18"/>
    <n v="0.77"/>
    <n v="5.5060000000000002"/>
    <x v="18"/>
    <x v="13"/>
    <n v="0.625"/>
    <x v="6"/>
    <x v="18"/>
    <x v="1"/>
    <n v="0.22448736839763173"/>
    <n v="-214234.58843287986"/>
    <n v="112243.68419881586"/>
    <n v="236785.80556274991"/>
    <n v="22551.217129870056"/>
    <s v="36831IF-TRANSCO/Z6"/>
    <n v="50"/>
  </r>
  <r>
    <x v="12"/>
    <x v="0"/>
    <s v="NF4364.2"/>
    <x v="0"/>
    <x v="0"/>
    <x v="0"/>
    <x v="15"/>
    <n v="-500000"/>
    <x v="18"/>
    <x v="15"/>
    <n v="2.09"/>
    <n v="6.57"/>
    <x v="15"/>
    <x v="10"/>
    <n v="0.68100000000000005"/>
    <x v="7"/>
    <x v="15"/>
    <x v="0"/>
    <n v="1.0145224718441159"/>
    <n v="-346324.07153282344"/>
    <n v="-507261.23592205794"/>
    <n v="305838.04606770538"/>
    <n v="-40486.025465118058"/>
    <s v="36923IF-TRANSCO/Z6"/>
    <n v="-50"/>
  </r>
  <r>
    <x v="12"/>
    <x v="0"/>
    <s v="NF4364.2"/>
    <x v="0"/>
    <x v="0"/>
    <x v="0"/>
    <x v="16"/>
    <n v="-500000"/>
    <x v="18"/>
    <x v="16"/>
    <n v="2.17"/>
    <n v="6.9139999999999997"/>
    <x v="16"/>
    <x v="11"/>
    <n v="0.69599999999999995"/>
    <x v="7"/>
    <x v="16"/>
    <x v="0"/>
    <n v="1.0443973703180629"/>
    <n v="-358799.53481299698"/>
    <n v="-522198.68515903148"/>
    <n v="322950.15744732233"/>
    <n v="-35849.377365674649"/>
    <s v="36892IF-TRANSCO/Z6"/>
    <n v="-50"/>
  </r>
  <r>
    <x v="12"/>
    <x v="0"/>
    <s v="NF4364.2"/>
    <x v="0"/>
    <x v="0"/>
    <x v="0"/>
    <x v="17"/>
    <n v="-500000"/>
    <x v="18"/>
    <x v="17"/>
    <n v="1.645"/>
    <n v="6.4450000000000003"/>
    <x v="17"/>
    <x v="12"/>
    <n v="0.69"/>
    <x v="7"/>
    <x v="17"/>
    <x v="0"/>
    <n v="0.62950061108774724"/>
    <n v="-302864.04776712821"/>
    <n v="-314750.30554387363"/>
    <n v="267750.65581914899"/>
    <n v="-35113.391947979224"/>
    <s v="36861IF-TRANSCO/Z6"/>
    <n v="-50"/>
  </r>
  <r>
    <x v="12"/>
    <x v="0"/>
    <s v="NF4364.3"/>
    <x v="0"/>
    <x v="0"/>
    <x v="1"/>
    <x v="15"/>
    <n v="-500000"/>
    <x v="18"/>
    <x v="15"/>
    <n v="2.09"/>
    <n v="6.57"/>
    <x v="15"/>
    <x v="10"/>
    <n v="0.68100000000000005"/>
    <x v="7"/>
    <x v="15"/>
    <x v="1"/>
    <n v="0.34433131064405353"/>
    <n v="139321.69745272881"/>
    <n v="-172165.65532202678"/>
    <n v="-179807.72291784687"/>
    <n v="-40486.025465118058"/>
    <s v="36923IF-TRANSCO/Z6"/>
    <n v="-50"/>
  </r>
  <r>
    <x v="12"/>
    <x v="0"/>
    <s v="NF4364.3"/>
    <x v="0"/>
    <x v="0"/>
    <x v="1"/>
    <x v="16"/>
    <n v="-500000"/>
    <x v="18"/>
    <x v="16"/>
    <n v="2.17"/>
    <n v="6.9139999999999997"/>
    <x v="16"/>
    <x v="11"/>
    <n v="0.69599999999999995"/>
    <x v="7"/>
    <x v="16"/>
    <x v="1"/>
    <n v="0.29178365309153542"/>
    <n v="129910.6711782546"/>
    <n v="-145891.82654576772"/>
    <n v="-165760.0485439293"/>
    <n v="-35849.377365674693"/>
    <s v="36892IF-TRANSCO/Z6"/>
    <n v="-50"/>
  </r>
  <r>
    <x v="12"/>
    <x v="0"/>
    <s v="NF4364.3"/>
    <x v="0"/>
    <x v="0"/>
    <x v="1"/>
    <x v="17"/>
    <n v="-500000"/>
    <x v="18"/>
    <x v="17"/>
    <n v="1.645"/>
    <n v="6.4450000000000003"/>
    <x v="17"/>
    <x v="12"/>
    <n v="0.69"/>
    <x v="7"/>
    <x v="17"/>
    <x v="1"/>
    <n v="0.38872532291069706"/>
    <n v="188514.09136970877"/>
    <n v="-194362.66145534854"/>
    <n v="-223627.48331768799"/>
    <n v="-35113.391947979224"/>
    <s v="36861IF-TRANSCO/Z6"/>
    <n v="-50"/>
  </r>
  <r>
    <x v="3"/>
    <x v="0"/>
    <s v="NF5550.1"/>
    <x v="3"/>
    <x v="0"/>
    <x v="0"/>
    <x v="14"/>
    <n v="-1000000"/>
    <x v="19"/>
    <x v="14"/>
    <n v="3.2500000000000001E-2"/>
    <n v="4.2454999999999998"/>
    <x v="14"/>
    <x v="9"/>
    <n v="0.55900000000000005"/>
    <x v="8"/>
    <x v="14"/>
    <x v="0"/>
    <n v="7.1142689100674769E-2"/>
    <n v="-577845.52972439455"/>
    <n v="-71142.689100674776"/>
    <n v="565416.69747242692"/>
    <n v="-12428.832251967629"/>
    <s v="36951IF-NNG/VENT"/>
    <n v="-100"/>
  </r>
  <r>
    <x v="3"/>
    <x v="0"/>
    <s v="NF5550.1"/>
    <x v="3"/>
    <x v="0"/>
    <x v="0"/>
    <x v="15"/>
    <n v="-1000000"/>
    <x v="19"/>
    <x v="15"/>
    <n v="3.5000000000000003E-2"/>
    <n v="4.5150000000000006"/>
    <x v="15"/>
    <x v="10"/>
    <n v="0.622"/>
    <x v="8"/>
    <x v="15"/>
    <x v="0"/>
    <n v="7.7674757511825135E-2"/>
    <n v="-580136.04987075413"/>
    <n v="-77674.757511825141"/>
    <n v="567330.25755745522"/>
    <n v="-12805.792313298909"/>
    <s v="36923IF-NNG/VENT"/>
    <n v="-100"/>
  </r>
  <r>
    <x v="3"/>
    <x v="0"/>
    <s v="NF5550.1"/>
    <x v="3"/>
    <x v="0"/>
    <x v="0"/>
    <x v="16"/>
    <n v="-1000000"/>
    <x v="19"/>
    <x v="16"/>
    <n v="0.03"/>
    <n v="4.774"/>
    <x v="16"/>
    <x v="11"/>
    <n v="0.63500000000000001"/>
    <x v="8"/>
    <x v="16"/>
    <x v="0"/>
    <n v="7.2817754182042671E-2"/>
    <n v="-574080.78429283015"/>
    <n v="-72817.75418204267"/>
    <n v="562361.71128089435"/>
    <n v="-11719.073011935805"/>
    <s v="36892IF-NNG/VENT"/>
    <n v="-100"/>
  </r>
  <r>
    <x v="3"/>
    <x v="0"/>
    <s v="NF5550.1"/>
    <x v="3"/>
    <x v="0"/>
    <x v="0"/>
    <x v="17"/>
    <n v="-1000000"/>
    <x v="19"/>
    <x v="17"/>
    <n v="1.7500000000000002E-2"/>
    <n v="4.8174999999999999"/>
    <x v="17"/>
    <x v="12"/>
    <n v="0.63"/>
    <x v="8"/>
    <x v="17"/>
    <x v="0"/>
    <n v="5.9315326948970001E-2"/>
    <n v="-549915.87947575597"/>
    <n v="-59315.326948970003"/>
    <n v="539563.42944081721"/>
    <n v="-10352.450034938753"/>
    <s v="36861IF-NNG/VENT"/>
    <n v="-100"/>
  </r>
  <r>
    <x v="3"/>
    <x v="0"/>
    <s v="NF5550.1"/>
    <x v="3"/>
    <x v="0"/>
    <x v="0"/>
    <x v="18"/>
    <n v="-1000000"/>
    <x v="19"/>
    <x v="18"/>
    <n v="-2.5000000000000001E-3"/>
    <n v="4.7334999999999994"/>
    <x v="18"/>
    <x v="13"/>
    <n v="0.625"/>
    <x v="8"/>
    <x v="18"/>
    <x v="0"/>
    <n v="3.9503038518871256E-2"/>
    <n v="-488919.09078465885"/>
    <n v="-39503.038518871253"/>
    <n v="480319.99764940399"/>
    <n v="-8599.093135254865"/>
    <s v="36831IF-NNG/VENT"/>
    <n v="-100"/>
  </r>
  <r>
    <x v="3"/>
    <x v="0"/>
    <s v="NF5550.1"/>
    <x v="3"/>
    <x v="0"/>
    <x v="0"/>
    <x v="12"/>
    <n v="-1000000"/>
    <x v="19"/>
    <x v="12"/>
    <n v="-0.09"/>
    <n v="4.6020000000000003"/>
    <x v="12"/>
    <x v="8"/>
    <n v="0.57499999999999996"/>
    <x v="8"/>
    <x v="12"/>
    <x v="0"/>
    <n v="1.1703133504245599E-3"/>
    <n v="-51340.137516766488"/>
    <n v="-1170.31335042456"/>
    <n v="50105.924488194505"/>
    <n v="-1234.2130285719832"/>
    <s v="36800IF-NNG/VENT"/>
    <n v="-100"/>
  </r>
  <r>
    <x v="3"/>
    <x v="0"/>
    <s v="NF5550.1"/>
    <x v="3"/>
    <x v="0"/>
    <x v="0"/>
    <x v="13"/>
    <n v="-1000000"/>
    <x v="19"/>
    <x v="13"/>
    <n v="-0.11"/>
    <n v="4.5750000000000002"/>
    <x v="13"/>
    <x v="5"/>
    <n v="0.4"/>
    <x v="8"/>
    <x v="13"/>
    <x v="0"/>
    <n v="2.9317190494040337E-33"/>
    <n v="-3.7720208664561247E-24"/>
    <n v="-2.9317190494040337E-27"/>
    <n v="3.682239523478732E-24"/>
    <n v="-8.9781342977392657E-26"/>
    <s v="36770IF-NNG/VENT"/>
    <n v="-100"/>
  </r>
  <r>
    <x v="3"/>
    <x v="0"/>
    <s v="NF5550.2"/>
    <x v="3"/>
    <x v="0"/>
    <x v="1"/>
    <x v="14"/>
    <n v="-1000000"/>
    <x v="19"/>
    <x v="14"/>
    <n v="3.2500000000000001E-2"/>
    <n v="4.2454999999999998"/>
    <x v="14"/>
    <x v="9"/>
    <n v="0.55900000000000005"/>
    <x v="8"/>
    <x v="14"/>
    <x v="1"/>
    <n v="3.9745151691995773E-2"/>
    <n v="388232.54438879952"/>
    <n v="-39745.151691995772"/>
    <n v="-400661.37664076709"/>
    <n v="-12428.832251967571"/>
    <s v="36951IF-NNG/VENT"/>
    <n v="-100"/>
  </r>
  <r>
    <x v="3"/>
    <x v="0"/>
    <s v="NF5550.2"/>
    <x v="3"/>
    <x v="0"/>
    <x v="1"/>
    <x v="15"/>
    <n v="-1000000"/>
    <x v="19"/>
    <x v="15"/>
    <n v="3.5000000000000003E-2"/>
    <n v="4.5149999999999997"/>
    <x v="15"/>
    <x v="10"/>
    <n v="0.622"/>
    <x v="8"/>
    <x v="15"/>
    <x v="1"/>
    <n v="4.3679553682835603E-2"/>
    <n v="391155.48810035025"/>
    <n v="-43679.553682835605"/>
    <n v="-403961.28041364922"/>
    <n v="-12805.792313298967"/>
    <s v="36923IF-NNG/VENT"/>
    <n v="-100"/>
  </r>
  <r>
    <x v="3"/>
    <x v="0"/>
    <s v="NF5550.2"/>
    <x v="3"/>
    <x v="0"/>
    <x v="1"/>
    <x v="16"/>
    <n v="-1000000"/>
    <x v="19"/>
    <x v="16"/>
    <n v="0.03"/>
    <n v="4.774"/>
    <x v="16"/>
    <x v="11"/>
    <n v="0.63500000000000001"/>
    <x v="8"/>
    <x v="16"/>
    <x v="1"/>
    <n v="4.3495141822567085E-2"/>
    <n v="403339.62768967304"/>
    <n v="-43495.141822567086"/>
    <n v="-415058.7007016089"/>
    <n v="-11719.073011935863"/>
    <s v="36892IF-NNG/VENT"/>
    <n v="-100"/>
  </r>
  <r>
    <x v="3"/>
    <x v="0"/>
    <s v="NF5550.2"/>
    <x v="3"/>
    <x v="0"/>
    <x v="1"/>
    <x v="17"/>
    <n v="-1000000"/>
    <x v="19"/>
    <x v="17"/>
    <n v="1.7500000000000002E-2"/>
    <n v="4.8174999999999999"/>
    <x v="17"/>
    <x v="12"/>
    <n v="0.63"/>
    <x v="8"/>
    <x v="17"/>
    <x v="1"/>
    <n v="4.2117092079180907E-2"/>
    <n v="432840.39879791805"/>
    <n v="-42117.092079180904"/>
    <n v="-443192.84883285669"/>
    <n v="-10352.450034938636"/>
    <s v="36861IF-NNG/VENT"/>
    <n v="-100"/>
  </r>
  <r>
    <x v="3"/>
    <x v="0"/>
    <s v="NF5550.2"/>
    <x v="3"/>
    <x v="0"/>
    <x v="1"/>
    <x v="18"/>
    <n v="-1000000"/>
    <x v="19"/>
    <x v="18"/>
    <n v="-2.5000000000000001E-3"/>
    <n v="4.7334999999999994"/>
    <x v="18"/>
    <x v="13"/>
    <n v="0.625"/>
    <x v="8"/>
    <x v="18"/>
    <x v="1"/>
    <n v="4.1973841928169442E-2"/>
    <n v="499402.27293439239"/>
    <n v="-41973.841928169444"/>
    <n v="-508001.36606964719"/>
    <n v="-8599.0931352548068"/>
    <s v="36831IF-NNG/VENT"/>
    <n v="-100"/>
  </r>
  <r>
    <x v="3"/>
    <x v="0"/>
    <s v="NF5550.2"/>
    <x v="3"/>
    <x v="0"/>
    <x v="1"/>
    <x v="12"/>
    <n v="-1000000"/>
    <x v="19"/>
    <x v="12"/>
    <n v="-0.09"/>
    <n v="4.6020000000000003"/>
    <x v="12"/>
    <x v="8"/>
    <n v="0.57499999999999996"/>
    <x v="8"/>
    <x v="12"/>
    <x v="1"/>
    <n v="9.065199859503803E-2"/>
    <n v="942900.8096455998"/>
    <n v="-90651.998595038036"/>
    <n v="-944135.02267417184"/>
    <n v="-1234.2130285720341"/>
    <s v="36800IF-NNG/VENT"/>
    <n v="-100"/>
  </r>
  <r>
    <x v="3"/>
    <x v="0"/>
    <s v="NF5550.2"/>
    <x v="3"/>
    <x v="0"/>
    <x v="1"/>
    <x v="13"/>
    <n v="-1000000"/>
    <x v="19"/>
    <x v="13"/>
    <n v="-0.11"/>
    <n v="4.5750000000000002"/>
    <x v="13"/>
    <x v="5"/>
    <n v="0.4"/>
    <x v="8"/>
    <x v="13"/>
    <x v="1"/>
    <n v="0.10995952130821074"/>
    <n v="999632.01189282339"/>
    <n v="-109959.52130821074"/>
    <n v="-999632.01189282339"/>
    <n v="0"/>
    <s v="36770IF-NNG/VENT"/>
    <n v="-100"/>
  </r>
  <r>
    <x v="8"/>
    <x v="0"/>
    <s v="NF5563"/>
    <x v="0"/>
    <x v="0"/>
    <x v="0"/>
    <x v="14"/>
    <n v="310000"/>
    <x v="16"/>
    <x v="14"/>
    <n v="1.075"/>
    <n v="5.2880000000000003"/>
    <x v="14"/>
    <x v="9"/>
    <n v="0.61199999999999999"/>
    <x v="7"/>
    <x v="14"/>
    <x v="0"/>
    <n v="0.20151309617393046"/>
    <n v="83383.927154676552"/>
    <n v="62469.059813918444"/>
    <n v="-63090.618601145754"/>
    <n v="20293.308553530798"/>
    <s v="36951IF-TRANSCO/Z6"/>
    <n v="31"/>
  </r>
  <r>
    <x v="8"/>
    <x v="0"/>
    <s v="NF5563"/>
    <x v="0"/>
    <x v="0"/>
    <x v="0"/>
    <x v="15"/>
    <n v="280000"/>
    <x v="16"/>
    <x v="15"/>
    <n v="2.09"/>
    <n v="6.57"/>
    <x v="15"/>
    <x v="10"/>
    <n v="0.68100000000000005"/>
    <x v="7"/>
    <x v="15"/>
    <x v="0"/>
    <n v="0.6405406921126634"/>
    <n v="145042.83608933041"/>
    <n v="179351.39379154576"/>
    <n v="-121144.2970190944"/>
    <n v="23898.539070236002"/>
    <s v="36923IF-TRANSCO/Z6"/>
    <n v="28"/>
  </r>
  <r>
    <x v="8"/>
    <x v="0"/>
    <s v="NF5563"/>
    <x v="0"/>
    <x v="0"/>
    <x v="0"/>
    <x v="16"/>
    <n v="310000"/>
    <x v="16"/>
    <x v="16"/>
    <n v="2.17"/>
    <n v="6.9139999999999997"/>
    <x v="16"/>
    <x v="11"/>
    <n v="0.69599999999999995"/>
    <x v="7"/>
    <x v="16"/>
    <x v="0"/>
    <n v="0.64262450795790738"/>
    <n v="165046.90333293757"/>
    <n v="199213.59746695129"/>
    <n v="-140739.40018512946"/>
    <n v="24307.503147808107"/>
    <s v="36892IF-TRANSCO/Z6"/>
    <n v="31"/>
  </r>
  <r>
    <x v="8"/>
    <x v="0"/>
    <s v="NF5563"/>
    <x v="0"/>
    <x v="0"/>
    <x v="0"/>
    <x v="17"/>
    <n v="310000"/>
    <x v="16"/>
    <x v="17"/>
    <n v="1.645"/>
    <n v="6.4450000000000003"/>
    <x v="17"/>
    <x v="12"/>
    <n v="0.69"/>
    <x v="7"/>
    <x v="17"/>
    <x v="0"/>
    <n v="0.32215853301991865"/>
    <n v="118563.69966152099"/>
    <n v="99869.14523617478"/>
    <n v="-98669.685931946762"/>
    <n v="19894.013729574232"/>
    <s v="36861IF-TRANSCO/Z6"/>
    <n v="31"/>
  </r>
  <r>
    <x v="8"/>
    <x v="0"/>
    <s v="NF5563"/>
    <x v="0"/>
    <x v="0"/>
    <x v="0"/>
    <x v="18"/>
    <n v="300000"/>
    <x v="16"/>
    <x v="18"/>
    <n v="0.77"/>
    <n v="5.5060000000000002"/>
    <x v="18"/>
    <x v="13"/>
    <n v="0.625"/>
    <x v="6"/>
    <x v="18"/>
    <x v="0"/>
    <n v="1.2880270126205009E-2"/>
    <n v="13797.665053081022"/>
    <n v="3864.0810378615029"/>
    <n v="-11102.856888531915"/>
    <n v="2694.8081645491075"/>
    <s v="36831IF-TRANSCO/Z6"/>
    <n v="30"/>
  </r>
  <r>
    <x v="3"/>
    <x v="0"/>
    <s v="NF5578.1"/>
    <x v="3"/>
    <x v="0"/>
    <x v="0"/>
    <x v="14"/>
    <n v="-1000000"/>
    <x v="19"/>
    <x v="14"/>
    <n v="3.2500000000000001E-2"/>
    <n v="4.2454999999999998"/>
    <x v="14"/>
    <x v="9"/>
    <n v="0.55900000000000005"/>
    <x v="8"/>
    <x v="14"/>
    <x v="0"/>
    <n v="7.1142689100674769E-2"/>
    <n v="-577845.52972439455"/>
    <n v="-71142.689100674776"/>
    <n v="565416.69747242692"/>
    <n v="-12428.832251967629"/>
    <s v="36951IF-NNG/VENT"/>
    <n v="-100"/>
  </r>
  <r>
    <x v="3"/>
    <x v="0"/>
    <s v="NF5578.1"/>
    <x v="3"/>
    <x v="0"/>
    <x v="0"/>
    <x v="15"/>
    <n v="-1000000"/>
    <x v="19"/>
    <x v="15"/>
    <n v="3.5000000000000003E-2"/>
    <n v="4.5149999999999997"/>
    <x v="15"/>
    <x v="10"/>
    <n v="0.622"/>
    <x v="8"/>
    <x v="15"/>
    <x v="0"/>
    <n v="7.7674757511825135E-2"/>
    <n v="-580136.04987075413"/>
    <n v="-77674.757511825141"/>
    <n v="567330.25755745522"/>
    <n v="-12805.792313298909"/>
    <s v="36923IF-NNG/VENT"/>
    <n v="-100"/>
  </r>
  <r>
    <x v="3"/>
    <x v="0"/>
    <s v="NF5578.1"/>
    <x v="3"/>
    <x v="0"/>
    <x v="0"/>
    <x v="16"/>
    <n v="-1000000"/>
    <x v="19"/>
    <x v="16"/>
    <n v="0.03"/>
    <n v="4.774"/>
    <x v="16"/>
    <x v="11"/>
    <n v="0.63500000000000001"/>
    <x v="8"/>
    <x v="16"/>
    <x v="0"/>
    <n v="7.2817754182042671E-2"/>
    <n v="-574080.78429283015"/>
    <n v="-72817.75418204267"/>
    <n v="562361.71128089435"/>
    <n v="-11719.073011935805"/>
    <s v="36892IF-NNG/VENT"/>
    <n v="-100"/>
  </r>
  <r>
    <x v="3"/>
    <x v="0"/>
    <s v="NF5578.1"/>
    <x v="3"/>
    <x v="0"/>
    <x v="0"/>
    <x v="17"/>
    <n v="-1000000"/>
    <x v="19"/>
    <x v="17"/>
    <n v="1.7500000000000002E-2"/>
    <n v="4.8174999999999999"/>
    <x v="17"/>
    <x v="12"/>
    <n v="0.63"/>
    <x v="8"/>
    <x v="17"/>
    <x v="0"/>
    <n v="5.9315326948970001E-2"/>
    <n v="-549915.87947575597"/>
    <n v="-59315.326948970003"/>
    <n v="539563.42944081721"/>
    <n v="-10352.450034938753"/>
    <s v="36861IF-NNG/VENT"/>
    <n v="-100"/>
  </r>
  <r>
    <x v="3"/>
    <x v="0"/>
    <s v="NF5578.1"/>
    <x v="3"/>
    <x v="0"/>
    <x v="0"/>
    <x v="18"/>
    <n v="-1000000"/>
    <x v="19"/>
    <x v="18"/>
    <n v="-2.5000000000000001E-3"/>
    <n v="4.7334999999999994"/>
    <x v="18"/>
    <x v="13"/>
    <n v="0.625"/>
    <x v="8"/>
    <x v="18"/>
    <x v="0"/>
    <n v="3.9503038518871256E-2"/>
    <n v="-488919.09078465885"/>
    <n v="-39503.038518871253"/>
    <n v="480319.99764940399"/>
    <n v="-8599.093135254865"/>
    <s v="36831IF-NNG/VENT"/>
    <n v="-100"/>
  </r>
  <r>
    <x v="3"/>
    <x v="0"/>
    <s v="NF5578.1"/>
    <x v="3"/>
    <x v="0"/>
    <x v="0"/>
    <x v="12"/>
    <n v="-1000000"/>
    <x v="19"/>
    <x v="12"/>
    <n v="-0.09"/>
    <n v="4.6020000000000003"/>
    <x v="12"/>
    <x v="8"/>
    <n v="0.57499999999999996"/>
    <x v="8"/>
    <x v="12"/>
    <x v="0"/>
    <n v="1.1703133504245599E-3"/>
    <n v="-51340.137516766488"/>
    <n v="-1170.31335042456"/>
    <n v="50105.924488194505"/>
    <n v="-1234.2130285719832"/>
    <s v="36800IF-NNG/VENT"/>
    <n v="-100"/>
  </r>
  <r>
    <x v="3"/>
    <x v="0"/>
    <s v="NF5578.1"/>
    <x v="3"/>
    <x v="0"/>
    <x v="0"/>
    <x v="13"/>
    <n v="-1000000"/>
    <x v="19"/>
    <x v="13"/>
    <n v="-0.11"/>
    <n v="4.5750000000000002"/>
    <x v="13"/>
    <x v="5"/>
    <n v="0.4"/>
    <x v="8"/>
    <x v="13"/>
    <x v="0"/>
    <n v="2.9317190494040337E-33"/>
    <n v="-3.7720208664561247E-24"/>
    <n v="-2.9317190494040337E-27"/>
    <n v="3.682239523478732E-24"/>
    <n v="-8.9781342977392657E-26"/>
    <s v="36770IF-NNG/VENT"/>
    <n v="-100"/>
  </r>
  <r>
    <x v="3"/>
    <x v="0"/>
    <s v="NF5578.2"/>
    <x v="3"/>
    <x v="0"/>
    <x v="1"/>
    <x v="14"/>
    <n v="-1000000"/>
    <x v="19"/>
    <x v="14"/>
    <n v="3.2500000000000001E-2"/>
    <n v="4.2454999999999998"/>
    <x v="14"/>
    <x v="9"/>
    <n v="0.55900000000000005"/>
    <x v="8"/>
    <x v="14"/>
    <x v="1"/>
    <n v="3.9745151691995773E-2"/>
    <n v="388232.54438879952"/>
    <n v="-39745.151691995772"/>
    <n v="-400661.37664076709"/>
    <n v="-12428.832251967571"/>
    <s v="36951IF-NNG/VENT"/>
    <n v="-100"/>
  </r>
  <r>
    <x v="3"/>
    <x v="0"/>
    <s v="NF5578.2"/>
    <x v="3"/>
    <x v="0"/>
    <x v="1"/>
    <x v="15"/>
    <n v="-1000000"/>
    <x v="19"/>
    <x v="15"/>
    <n v="3.5000000000000003E-2"/>
    <n v="4.5149999999999997"/>
    <x v="15"/>
    <x v="10"/>
    <n v="0.622"/>
    <x v="8"/>
    <x v="15"/>
    <x v="1"/>
    <n v="4.3679553682835603E-2"/>
    <n v="391155.48810035025"/>
    <n v="-43679.553682835605"/>
    <n v="-403961.28041364922"/>
    <n v="-12805.792313298967"/>
    <s v="36923IF-NNG/VENT"/>
    <n v="-100"/>
  </r>
  <r>
    <x v="3"/>
    <x v="0"/>
    <s v="NF5578.2"/>
    <x v="3"/>
    <x v="0"/>
    <x v="1"/>
    <x v="16"/>
    <n v="-1000000"/>
    <x v="19"/>
    <x v="16"/>
    <n v="0.03"/>
    <n v="4.774"/>
    <x v="16"/>
    <x v="11"/>
    <n v="0.63500000000000001"/>
    <x v="8"/>
    <x v="16"/>
    <x v="1"/>
    <n v="4.3495141822567085E-2"/>
    <n v="403339.62768967304"/>
    <n v="-43495.141822567086"/>
    <n v="-415058.7007016089"/>
    <n v="-11719.073011935863"/>
    <s v="36892IF-NNG/VENT"/>
    <n v="-100"/>
  </r>
  <r>
    <x v="3"/>
    <x v="0"/>
    <s v="NF5578.2"/>
    <x v="3"/>
    <x v="0"/>
    <x v="1"/>
    <x v="17"/>
    <n v="-1000000"/>
    <x v="19"/>
    <x v="17"/>
    <n v="1.7500000000000002E-2"/>
    <n v="4.8174999999999999"/>
    <x v="17"/>
    <x v="12"/>
    <n v="0.63"/>
    <x v="8"/>
    <x v="17"/>
    <x v="1"/>
    <n v="4.2117092079180907E-2"/>
    <n v="432840.39879791805"/>
    <n v="-42117.092079180904"/>
    <n v="-443192.84883285669"/>
    <n v="-10352.450034938636"/>
    <s v="36861IF-NNG/VENT"/>
    <n v="-100"/>
  </r>
  <r>
    <x v="3"/>
    <x v="0"/>
    <s v="NF5578.2"/>
    <x v="3"/>
    <x v="0"/>
    <x v="1"/>
    <x v="18"/>
    <n v="-1000000"/>
    <x v="19"/>
    <x v="18"/>
    <n v="-2.5000000000000001E-3"/>
    <n v="4.7334999999999994"/>
    <x v="18"/>
    <x v="13"/>
    <n v="0.625"/>
    <x v="8"/>
    <x v="18"/>
    <x v="1"/>
    <n v="4.1973841928169442E-2"/>
    <n v="499402.27293439239"/>
    <n v="-41973.841928169444"/>
    <n v="-508001.36606964719"/>
    <n v="-8599.0931352548068"/>
    <s v="36831IF-NNG/VENT"/>
    <n v="-100"/>
  </r>
  <r>
    <x v="3"/>
    <x v="0"/>
    <s v="NF5578.2"/>
    <x v="3"/>
    <x v="0"/>
    <x v="1"/>
    <x v="12"/>
    <n v="-1000000"/>
    <x v="19"/>
    <x v="12"/>
    <n v="-0.09"/>
    <n v="4.6020000000000003"/>
    <x v="12"/>
    <x v="8"/>
    <n v="0.57499999999999996"/>
    <x v="8"/>
    <x v="12"/>
    <x v="1"/>
    <n v="9.065199859503803E-2"/>
    <n v="942900.8096455998"/>
    <n v="-90651.998595038036"/>
    <n v="-944135.02267417184"/>
    <n v="-1234.2130285720341"/>
    <s v="36800IF-NNG/VENT"/>
    <n v="-100"/>
  </r>
  <r>
    <x v="3"/>
    <x v="0"/>
    <s v="NF5578.2"/>
    <x v="3"/>
    <x v="0"/>
    <x v="1"/>
    <x v="13"/>
    <n v="-1000000"/>
    <x v="19"/>
    <x v="13"/>
    <n v="-0.11"/>
    <n v="4.5750000000000002"/>
    <x v="13"/>
    <x v="5"/>
    <n v="0.4"/>
    <x v="8"/>
    <x v="13"/>
    <x v="1"/>
    <n v="0.10995952130821074"/>
    <n v="999632.01189282339"/>
    <n v="-109959.52130821074"/>
    <n v="-999632.01189282339"/>
    <n v="0"/>
    <s v="36770IF-NNG/VENT"/>
    <n v="-100"/>
  </r>
  <r>
    <x v="11"/>
    <x v="0"/>
    <s v="NF6503.1"/>
    <x v="1"/>
    <x v="0"/>
    <x v="0"/>
    <x v="14"/>
    <n v="310000"/>
    <x v="20"/>
    <x v="14"/>
    <n v="-0.39750000000000002"/>
    <n v="3.8155000000000001"/>
    <x v="14"/>
    <x v="9"/>
    <n v="0.51100000000000001"/>
    <x v="9"/>
    <x v="14"/>
    <x v="0"/>
    <n v="0.16630100192827879"/>
    <n v="131436.63179898771"/>
    <n v="51553.310597766424"/>
    <n v="-115499.29514460494"/>
    <n v="15937.336654382772"/>
    <s v="36951IF-NWPL_ROCKY_M"/>
    <n v="31"/>
  </r>
  <r>
    <x v="11"/>
    <x v="0"/>
    <s v="NF6503.1"/>
    <x v="1"/>
    <x v="0"/>
    <x v="0"/>
    <x v="15"/>
    <n v="280000"/>
    <x v="20"/>
    <x v="15"/>
    <n v="-0.38750000000000001"/>
    <n v="4.0925000000000002"/>
    <x v="15"/>
    <x v="10"/>
    <n v="0.56899999999999995"/>
    <x v="9"/>
    <x v="15"/>
    <x v="0"/>
    <n v="0.19096293669972503"/>
    <n v="123243.81241839181"/>
    <n v="53469.622275923008"/>
    <n v="-108288.86080598888"/>
    <n v="14954.951612402932"/>
    <s v="36923IF-NWPL_ROCKY_M"/>
    <n v="28"/>
  </r>
  <r>
    <x v="11"/>
    <x v="0"/>
    <s v="NF6503.1"/>
    <x v="1"/>
    <x v="0"/>
    <x v="0"/>
    <x v="16"/>
    <n v="310000"/>
    <x v="20"/>
    <x v="16"/>
    <n v="-0.36749999999999999"/>
    <n v="4.3765000000000001"/>
    <x v="16"/>
    <x v="11"/>
    <n v="0.58099999999999996"/>
    <x v="9"/>
    <x v="16"/>
    <x v="0"/>
    <n v="0.19123880835230045"/>
    <n v="139636.81598834042"/>
    <n v="59284.030589213136"/>
    <n v="-124446.10726577608"/>
    <n v="15190.708722564334"/>
    <s v="36892IF-NWPL_ROCKY_M"/>
    <n v="31"/>
  </r>
  <r>
    <x v="11"/>
    <x v="0"/>
    <s v="NF6503.1"/>
    <x v="1"/>
    <x v="0"/>
    <x v="0"/>
    <x v="17"/>
    <n v="310000"/>
    <x v="20"/>
    <x v="17"/>
    <n v="-0.35749999999999998"/>
    <n v="4.4424999999999999"/>
    <x v="17"/>
    <x v="12"/>
    <n v="0.57599999999999996"/>
    <x v="9"/>
    <x v="17"/>
    <x v="0"/>
    <n v="0.16779633315127906"/>
    <n v="138934.06730283718"/>
    <n v="52016.863276896511"/>
    <n v="-125709.49735874047"/>
    <n v="13224.569944096715"/>
    <s v="36861IF-NWPL_ROCKY_M"/>
    <n v="31"/>
  </r>
  <r>
    <x v="11"/>
    <x v="0"/>
    <s v="NF6503.1"/>
    <x v="1"/>
    <x v="0"/>
    <x v="0"/>
    <x v="18"/>
    <n v="300000"/>
    <x v="20"/>
    <x v="18"/>
    <n v="-0.46750000000000003"/>
    <n v="4.2684999999999995"/>
    <x v="18"/>
    <x v="13"/>
    <n v="0.57099999999999995"/>
    <x v="9"/>
    <x v="18"/>
    <x v="0"/>
    <n v="8.6793394798516499E-2"/>
    <n v="99645.377194806642"/>
    <n v="26038.018439554951"/>
    <n v="-90108.153296399192"/>
    <n v="9537.2238984074502"/>
    <s v="36831IF-NWPL_ROCKY_M"/>
    <n v="30"/>
  </r>
  <r>
    <x v="11"/>
    <x v="0"/>
    <s v="NF6503.1"/>
    <x v="1"/>
    <x v="0"/>
    <x v="0"/>
    <x v="12"/>
    <n v="310000"/>
    <x v="20"/>
    <x v="12"/>
    <n v="-0.80500000000000005"/>
    <n v="3.887"/>
    <x v="12"/>
    <x v="8"/>
    <n v="0.55200000000000005"/>
    <x v="3"/>
    <x v="12"/>
    <x v="0"/>
    <n v="1.7340766932673946E-2"/>
    <n v="31038.54552120516"/>
    <n v="5375.6377491289231"/>
    <n v="-26300.624164573856"/>
    <n v="4737.9213566313047"/>
    <s v="36800IF-NWPL_ROCKY_M"/>
    <n v="31"/>
  </r>
  <r>
    <x v="11"/>
    <x v="0"/>
    <s v="NF6503.1"/>
    <x v="1"/>
    <x v="0"/>
    <x v="0"/>
    <x v="13"/>
    <n v="300000"/>
    <x v="20"/>
    <x v="13"/>
    <n v="-1.24"/>
    <n v="3.4449999999999998"/>
    <x v="13"/>
    <x v="5"/>
    <n v="0.38400000000000001"/>
    <x v="3"/>
    <x v="13"/>
    <x v="0"/>
    <n v="1.2713118280327507E-7"/>
    <n v="-5.0877248414238352E-2"/>
    <n v="3.813935484098252E-2"/>
    <n v="3.9303683441183068E-2"/>
    <n v="-1.1573564973055284E-2"/>
    <s v="36770IF-NWPL_ROCKY_M"/>
    <n v="30"/>
  </r>
  <r>
    <x v="3"/>
    <x v="0"/>
    <s v="NG1241.1"/>
    <x v="0"/>
    <x v="0"/>
    <x v="0"/>
    <x v="14"/>
    <n v="-1000000"/>
    <x v="13"/>
    <x v="14"/>
    <n v="1.075"/>
    <n v="5.2880000000000003"/>
    <x v="14"/>
    <x v="9"/>
    <n v="0.61199999999999999"/>
    <x v="7"/>
    <x v="14"/>
    <x v="0"/>
    <n v="0.476658561538917"/>
    <n v="-510755.45467681071"/>
    <n v="-476658.56153891701"/>
    <n v="422521.56856803113"/>
    <n v="-88233.886108779581"/>
    <s v="36951IF-TRANSCO/Z6"/>
    <n v="-100"/>
  </r>
  <r>
    <x v="3"/>
    <x v="0"/>
    <s v="NG1241.1"/>
    <x v="0"/>
    <x v="0"/>
    <x v="0"/>
    <x v="15"/>
    <n v="-1000000"/>
    <x v="13"/>
    <x v="15"/>
    <n v="2.09"/>
    <n v="6.57"/>
    <x v="15"/>
    <x v="10"/>
    <n v="0.68100000000000005"/>
    <x v="7"/>
    <x v="15"/>
    <x v="0"/>
    <n v="1.1651553454138159"/>
    <n v="-746739.88778487407"/>
    <n v="-1165155.3454138159"/>
    <n v="671550.68949286139"/>
    <n v="-75189.198292012676"/>
    <s v="36923IF-TRANSCO/Z6"/>
    <n v="-100"/>
  </r>
  <r>
    <x v="3"/>
    <x v="0"/>
    <s v="NG1241.1"/>
    <x v="0"/>
    <x v="0"/>
    <x v="0"/>
    <x v="16"/>
    <n v="-1000000"/>
    <x v="13"/>
    <x v="16"/>
    <n v="2.17"/>
    <n v="6.9139999999999997"/>
    <x v="16"/>
    <x v="11"/>
    <n v="0.69599999999999995"/>
    <x v="7"/>
    <x v="16"/>
    <x v="0"/>
    <n v="1.2054450279695053"/>
    <n v="-772855.17908811674"/>
    <n v="-1205445.0279695052"/>
    <n v="707661.11939012294"/>
    <n v="-65194.059697993798"/>
    <s v="36892IF-TRANSCO/Z6"/>
    <n v="-100"/>
  </r>
  <r>
    <x v="3"/>
    <x v="0"/>
    <s v="NG1241.1"/>
    <x v="0"/>
    <x v="0"/>
    <x v="0"/>
    <x v="17"/>
    <n v="-1000000"/>
    <x v="13"/>
    <x v="17"/>
    <n v="1.645"/>
    <n v="6.4450000000000003"/>
    <x v="17"/>
    <x v="12"/>
    <n v="0.69"/>
    <x v="7"/>
    <x v="17"/>
    <x v="0"/>
    <n v="0.76562377335197385"/>
    <n v="-680282.11379237124"/>
    <n v="-765623.77335197385"/>
    <n v="613350.38463266427"/>
    <n v="-66931.729159706971"/>
    <s v="36861IF-TRANSCO/Z6"/>
    <n v="-100"/>
  </r>
  <r>
    <x v="3"/>
    <x v="0"/>
    <s v="NG1241.1"/>
    <x v="0"/>
    <x v="0"/>
    <x v="0"/>
    <x v="18"/>
    <n v="-1000000"/>
    <x v="13"/>
    <x v="18"/>
    <n v="0.77"/>
    <n v="5.5060000000000002"/>
    <x v="18"/>
    <x v="13"/>
    <n v="0.625"/>
    <x v="6"/>
    <x v="18"/>
    <x v="0"/>
    <n v="0.12713020145488552"/>
    <n v="-311767.44343720004"/>
    <n v="-127130.20145488552"/>
    <n v="274028.75200762704"/>
    <n v="-37738.691429572995"/>
    <s v="36831IF-TRANSCO/Z6"/>
    <n v="-100"/>
  </r>
  <r>
    <x v="13"/>
    <x v="0"/>
    <s v="NG4285.1"/>
    <x v="0"/>
    <x v="0"/>
    <x v="0"/>
    <x v="12"/>
    <n v="-1000000"/>
    <x v="14"/>
    <x v="12"/>
    <n v="0.41499999999999998"/>
    <n v="5.1070000000000002"/>
    <x v="12"/>
    <x v="8"/>
    <n v="0.56399999999999995"/>
    <x v="2"/>
    <x v="12"/>
    <x v="0"/>
    <n v="0.10536173399090998"/>
    <n v="-812067.99136533064"/>
    <n v="-105361.73399090998"/>
    <n v="807378.61507554585"/>
    <n v="-4689.3762897847919"/>
    <s v="36800IF-TRANSCO/Z6"/>
    <n v="-100"/>
  </r>
  <r>
    <x v="13"/>
    <x v="0"/>
    <s v="NG4285.1"/>
    <x v="0"/>
    <x v="0"/>
    <x v="0"/>
    <x v="13"/>
    <n v="-1000000"/>
    <x v="14"/>
    <x v="13"/>
    <n v="0.315"/>
    <n v="5"/>
    <x v="13"/>
    <x v="5"/>
    <n v="0.39200000000000002"/>
    <x v="2"/>
    <x v="13"/>
    <x v="0"/>
    <n v="5.1638549129332332E-3"/>
    <n v="-394528.38025955227"/>
    <n v="-5163.8549129332332"/>
    <n v="393314.10078154888"/>
    <n v="-1214.2794780033873"/>
    <s v="36770IF-TRANSCO/Z6"/>
    <n v="-100"/>
  </r>
  <r>
    <x v="13"/>
    <x v="0"/>
    <s v="NG4285.2"/>
    <x v="0"/>
    <x v="0"/>
    <x v="1"/>
    <x v="12"/>
    <n v="-1000000"/>
    <x v="14"/>
    <x v="12"/>
    <n v="0.41499999999999998"/>
    <n v="5.1070000000000002"/>
    <x v="12"/>
    <x v="8"/>
    <n v="0.56399999999999995"/>
    <x v="2"/>
    <x v="12"/>
    <x v="1"/>
    <n v="1.0908844010485863E-2"/>
    <n v="182172.95579703563"/>
    <n v="-10908.844010485864"/>
    <n v="-186862.33208682045"/>
    <n v="-4689.376289784821"/>
    <s v="36800IF-TRANSCO/Z6"/>
    <n v="-100"/>
  </r>
  <r>
    <x v="13"/>
    <x v="0"/>
    <s v="NG4285.2"/>
    <x v="0"/>
    <x v="0"/>
    <x v="1"/>
    <x v="13"/>
    <n v="-1000000"/>
    <x v="14"/>
    <x v="13"/>
    <n v="0.315"/>
    <n v="5"/>
    <x v="13"/>
    <x v="5"/>
    <n v="0.39200000000000002"/>
    <x v="2"/>
    <x v="13"/>
    <x v="1"/>
    <n v="1.0162014972396938E-2"/>
    <n v="605103.63163327111"/>
    <n v="-10162.014972396937"/>
    <n v="-606317.91111127438"/>
    <n v="-1214.2794780032709"/>
    <s v="36770IF-TRANSCO/Z6"/>
    <n v="-100"/>
  </r>
  <r>
    <x v="14"/>
    <x v="0"/>
    <s v="NG4457.1"/>
    <x v="1"/>
    <x v="0"/>
    <x v="1"/>
    <x v="12"/>
    <n v="500000"/>
    <x v="2"/>
    <x v="12"/>
    <n v="-0.80500000000000005"/>
    <n v="3.887"/>
    <x v="12"/>
    <x v="8"/>
    <n v="0.55200000000000005"/>
    <x v="3"/>
    <x v="12"/>
    <x v="1"/>
    <n v="0.43702595785222825"/>
    <n v="-411468.37961643108"/>
    <n v="218512.97892611413"/>
    <n v="422619.33716844034"/>
    <n v="11150.957552009262"/>
    <s v="36800IF-NWPL_ROCKY_M"/>
    <n v="50"/>
  </r>
  <r>
    <x v="14"/>
    <x v="0"/>
    <s v="NG4457.1"/>
    <x v="1"/>
    <x v="0"/>
    <x v="1"/>
    <x v="13"/>
    <n v="500000"/>
    <x v="2"/>
    <x v="13"/>
    <n v="-1.24"/>
    <n v="3.4449999999999998"/>
    <x v="13"/>
    <x v="5"/>
    <n v="0.38400000000000001"/>
    <x v="3"/>
    <x v="13"/>
    <x v="1"/>
    <n v="0.8396910000813943"/>
    <n v="-499816.09074182488"/>
    <n v="419845.50004069717"/>
    <n v="499816.07145255076"/>
    <n v="-1.9289274117909372E-2"/>
    <s v="36770IF-NWPL_ROCKY_M"/>
    <n v="50"/>
  </r>
  <r>
    <x v="13"/>
    <x v="0"/>
    <s v="NG8049.1"/>
    <x v="4"/>
    <x v="0"/>
    <x v="0"/>
    <x v="12"/>
    <n v="-500000"/>
    <x v="21"/>
    <x v="12"/>
    <n v="1.99"/>
    <n v="6.6820000000000004"/>
    <x v="12"/>
    <x v="8"/>
    <n v="0.54100000000000004"/>
    <x v="7"/>
    <x v="12"/>
    <x v="0"/>
    <n v="1.8791426639151987"/>
    <n v="-497035.41557996155"/>
    <n v="-939571.33195759938"/>
    <n v="496998.53599540115"/>
    <n v="-36.8795845604036"/>
    <s v="36800NGI-SOCAL"/>
    <n v="-50"/>
  </r>
  <r>
    <x v="13"/>
    <x v="0"/>
    <s v="NG8049.1"/>
    <x v="4"/>
    <x v="0"/>
    <x v="0"/>
    <x v="13"/>
    <n v="-500000"/>
    <x v="21"/>
    <x v="13"/>
    <n v="2.5"/>
    <n v="7.1849999999999996"/>
    <x v="13"/>
    <x v="5"/>
    <n v="0.376"/>
    <x v="7"/>
    <x v="13"/>
    <x v="0"/>
    <n v="2.3991171431506855"/>
    <n v="-499816.07145686279"/>
    <n v="-1199558.5715753427"/>
    <n v="499816.09140829166"/>
    <n v="1.9951428868807852E-2"/>
    <s v="36770NGI-SOCAL"/>
    <n v="-50"/>
  </r>
  <r>
    <x v="12"/>
    <x v="0"/>
    <s v="NG8063.1"/>
    <x v="0"/>
    <x v="0"/>
    <x v="0"/>
    <x v="14"/>
    <n v="310000"/>
    <x v="13"/>
    <x v="14"/>
    <n v="1.075"/>
    <n v="5.2880000000000003"/>
    <x v="14"/>
    <x v="9"/>
    <n v="0.61199999999999999"/>
    <x v="7"/>
    <x v="14"/>
    <x v="0"/>
    <n v="0.476658561538917"/>
    <n v="158334.19094981131"/>
    <n v="147764.15407706428"/>
    <n v="-130981.68625608966"/>
    <n v="27352.504693721654"/>
    <s v="36951IF-TRANSCO/Z6"/>
    <n v="31"/>
  </r>
  <r>
    <x v="12"/>
    <x v="0"/>
    <s v="NG8063.1"/>
    <x v="0"/>
    <x v="0"/>
    <x v="0"/>
    <x v="15"/>
    <n v="280000"/>
    <x v="13"/>
    <x v="15"/>
    <n v="2.09"/>
    <n v="6.57"/>
    <x v="15"/>
    <x v="10"/>
    <n v="0.68100000000000005"/>
    <x v="7"/>
    <x v="15"/>
    <x v="0"/>
    <n v="1.1651553454138159"/>
    <n v="209087.16857976475"/>
    <n v="326243.49671586847"/>
    <n v="-188034.19305800117"/>
    <n v="21052.975521763583"/>
    <s v="36923IF-TRANSCO/Z6"/>
    <n v="28"/>
  </r>
  <r>
    <x v="12"/>
    <x v="0"/>
    <s v="NG8063.1"/>
    <x v="0"/>
    <x v="0"/>
    <x v="0"/>
    <x v="16"/>
    <n v="310000"/>
    <x v="13"/>
    <x v="16"/>
    <n v="2.17"/>
    <n v="6.9139999999999997"/>
    <x v="16"/>
    <x v="11"/>
    <n v="0.69599999999999995"/>
    <x v="7"/>
    <x v="16"/>
    <x v="0"/>
    <n v="1.2054450279695053"/>
    <n v="239585.1055173162"/>
    <n v="373687.95867054665"/>
    <n v="-219374.94701093814"/>
    <n v="20210.158506378066"/>
    <s v="36892IF-TRANSCO/Z6"/>
    <n v="31"/>
  </r>
  <r>
    <x v="12"/>
    <x v="0"/>
    <s v="NG8063.1"/>
    <x v="0"/>
    <x v="0"/>
    <x v="0"/>
    <x v="17"/>
    <n v="310000"/>
    <x v="13"/>
    <x v="17"/>
    <n v="1.645"/>
    <n v="6.4450000000000003"/>
    <x v="17"/>
    <x v="12"/>
    <n v="0.69"/>
    <x v="7"/>
    <x v="17"/>
    <x v="0"/>
    <n v="0.76562377335197385"/>
    <n v="210887.45527563509"/>
    <n v="237343.36973911189"/>
    <n v="-190138.6192361259"/>
    <n v="20748.836039509188"/>
    <s v="36861IF-TRANSCO/Z6"/>
    <n v="31"/>
  </r>
  <r>
    <x v="12"/>
    <x v="0"/>
    <s v="NG8063.1"/>
    <x v="0"/>
    <x v="0"/>
    <x v="0"/>
    <x v="18"/>
    <n v="300000"/>
    <x v="13"/>
    <x v="18"/>
    <n v="0.77"/>
    <n v="5.5060000000000002"/>
    <x v="18"/>
    <x v="13"/>
    <n v="0.625"/>
    <x v="6"/>
    <x v="18"/>
    <x v="0"/>
    <n v="0.12713020145488552"/>
    <n v="93530.233031160009"/>
    <n v="38139.060436465654"/>
    <n v="-82208.625602288113"/>
    <n v="11321.607428871896"/>
    <s v="36831IF-TRANSCO/Z6"/>
    <n v="30"/>
  </r>
  <r>
    <x v="0"/>
    <x v="0"/>
    <s v="NH2932"/>
    <x v="0"/>
    <x v="0"/>
    <x v="0"/>
    <x v="12"/>
    <n v="310000"/>
    <x v="22"/>
    <x v="12"/>
    <n v="0.41499999999999998"/>
    <n v="5.1070000000000002"/>
    <x v="12"/>
    <x v="8"/>
    <n v="0.56399999999999995"/>
    <x v="2"/>
    <x v="12"/>
    <x v="0"/>
    <n v="9.1936417858378722E-2"/>
    <n v="236810.76790163628"/>
    <n v="28500.289536097403"/>
    <n v="-235165.13347741682"/>
    <n v="1645.6344242194609"/>
    <s v="36800IF-TRANSCO/Z6"/>
    <n v="31"/>
  </r>
  <r>
    <x v="0"/>
    <x v="0"/>
    <s v="NH2932"/>
    <x v="0"/>
    <x v="0"/>
    <x v="0"/>
    <x v="13"/>
    <n v="300000"/>
    <x v="22"/>
    <x v="13"/>
    <n v="0.315"/>
    <n v="5"/>
    <x v="13"/>
    <x v="5"/>
    <n v="0.39200000000000002"/>
    <x v="2"/>
    <x v="13"/>
    <x v="0"/>
    <n v="1.0440714426671964E-3"/>
    <n v="34514.318352977978"/>
    <n v="313.22143280015894"/>
    <n v="-34333.00692350122"/>
    <n v="181.31142947675835"/>
    <s v="36770IF-TRANSCO/Z6"/>
    <n v="30"/>
  </r>
  <r>
    <x v="13"/>
    <x v="0"/>
    <s v="NH4419"/>
    <x v="4"/>
    <x v="0"/>
    <x v="0"/>
    <x v="12"/>
    <n v="-500000"/>
    <x v="21"/>
    <x v="12"/>
    <n v="1.99"/>
    <n v="6.6820000000000004"/>
    <x v="12"/>
    <x v="8"/>
    <n v="0.54100000000000004"/>
    <x v="7"/>
    <x v="12"/>
    <x v="0"/>
    <n v="1.8791426639151987"/>
    <n v="-497035.41557996155"/>
    <n v="-939571.33195759938"/>
    <n v="496998.53599540115"/>
    <n v="-36.8795845604036"/>
    <s v="36800NGI-SOCAL"/>
    <n v="-50"/>
  </r>
  <r>
    <x v="13"/>
    <x v="0"/>
    <s v="NH4419"/>
    <x v="4"/>
    <x v="0"/>
    <x v="0"/>
    <x v="13"/>
    <n v="-500000"/>
    <x v="21"/>
    <x v="13"/>
    <n v="2.5"/>
    <n v="7.1849999999999996"/>
    <x v="13"/>
    <x v="5"/>
    <n v="0.376"/>
    <x v="7"/>
    <x v="13"/>
    <x v="0"/>
    <n v="2.3991171431506855"/>
    <n v="-499816.07145686279"/>
    <n v="-1199558.5715753427"/>
    <n v="499816.09140829166"/>
    <n v="1.9951428868807852E-2"/>
    <s v="36770NGI-SOCAL"/>
    <n v="-50"/>
  </r>
  <r>
    <x v="15"/>
    <x v="0"/>
    <s v="NH6374"/>
    <x v="4"/>
    <x v="0"/>
    <x v="0"/>
    <x v="12"/>
    <n v="-310000"/>
    <x v="23"/>
    <x v="12"/>
    <n v="1.99"/>
    <n v="6.6820000000000004"/>
    <x v="12"/>
    <x v="8"/>
    <n v="0.54100000000000004"/>
    <x v="7"/>
    <x v="12"/>
    <x v="0"/>
    <n v="1.9338170552055181"/>
    <n v="-308178.69490541815"/>
    <n v="-599483.28711371054"/>
    <n v="308162.61941073212"/>
    <n v="-16.075494686025195"/>
    <s v="36800NGI-SOCAL"/>
    <n v="-31"/>
  </r>
  <r>
    <x v="15"/>
    <x v="0"/>
    <s v="NH6374"/>
    <x v="4"/>
    <x v="0"/>
    <x v="1"/>
    <x v="12"/>
    <n v="-310000"/>
    <x v="23"/>
    <x v="12"/>
    <n v="1.99"/>
    <n v="6.6820000000000004"/>
    <x v="12"/>
    <x v="8"/>
    <n v="0.54100000000000004"/>
    <x v="7"/>
    <x v="12"/>
    <x v="1"/>
    <n v="1.8412974715047159E-5"/>
    <n v="35.998714915405074"/>
    <n v="-5.7080221616646192"/>
    <n v="-52.074209601459252"/>
    <n v="-16.075494686054178"/>
    <s v="36800NGI-SOCAL"/>
    <n v="-31"/>
  </r>
  <r>
    <x v="15"/>
    <x v="0"/>
    <s v="NH6374"/>
    <x v="4"/>
    <x v="0"/>
    <x v="0"/>
    <x v="13"/>
    <n v="-300000"/>
    <x v="23"/>
    <x v="13"/>
    <n v="2.5"/>
    <n v="7.1849999999999996"/>
    <x v="13"/>
    <x v="5"/>
    <n v="0.376"/>
    <x v="7"/>
    <x v="13"/>
    <x v="0"/>
    <n v="2.454096911013921"/>
    <n v="-299889.64287411771"/>
    <n v="-736229.07330417633"/>
    <n v="299889.65484497527"/>
    <n v="1.1970857565756887E-2"/>
    <s v="36770NGI-SOCAL"/>
    <n v="-30"/>
  </r>
  <r>
    <x v="15"/>
    <x v="0"/>
    <s v="NH6374"/>
    <x v="4"/>
    <x v="0"/>
    <x v="1"/>
    <x v="13"/>
    <n v="-300000"/>
    <x v="23"/>
    <x v="13"/>
    <n v="2.5"/>
    <n v="7.1849999999999996"/>
    <x v="13"/>
    <x v="5"/>
    <n v="0.376"/>
    <x v="7"/>
    <x v="13"/>
    <x v="1"/>
    <n v="3.2181704017614221E-7"/>
    <n v="-3.9306270671612964E-2"/>
    <n v="-9.6545112052842663E-2"/>
    <n v="5.1277128276794315E-2"/>
    <n v="1.1970857605181351E-2"/>
    <s v="36770NGI-SOCAL"/>
    <n v="-30"/>
  </r>
  <r>
    <x v="8"/>
    <x v="0"/>
    <s v="NH8899.1"/>
    <x v="0"/>
    <x v="0"/>
    <x v="0"/>
    <x v="14"/>
    <n v="1000000"/>
    <x v="24"/>
    <x v="14"/>
    <n v="1.075"/>
    <n v="5.2880000000000003"/>
    <x v="14"/>
    <x v="9"/>
    <n v="0.61199999999999999"/>
    <x v="7"/>
    <x v="14"/>
    <x v="0"/>
    <n v="0.23747355682399185"/>
    <n v="306131.75303946593"/>
    <n v="237473.55682399185"/>
    <n v="-235208.97760306002"/>
    <n v="70922.775436405907"/>
    <s v="36951IF-TRANSCO/Z6"/>
    <n v="100"/>
  </r>
  <r>
    <x v="8"/>
    <x v="0"/>
    <s v="NH8899.1"/>
    <x v="0"/>
    <x v="0"/>
    <x v="0"/>
    <x v="15"/>
    <n v="1000000"/>
    <x v="24"/>
    <x v="15"/>
    <n v="2.09"/>
    <n v="6.57"/>
    <x v="15"/>
    <x v="10"/>
    <n v="0.68100000000000005"/>
    <x v="7"/>
    <x v="15"/>
    <x v="0"/>
    <n v="0.719788605198734"/>
    <n v="560341.07337942289"/>
    <n v="719788.60519873397"/>
    <n v="-474335.13633991871"/>
    <n v="86005.937039504177"/>
    <s v="36923IF-TRANSCO/Z6"/>
    <n v="100"/>
  </r>
  <r>
    <x v="8"/>
    <x v="0"/>
    <s v="NH8899.1"/>
    <x v="0"/>
    <x v="0"/>
    <x v="0"/>
    <x v="16"/>
    <n v="1000000"/>
    <x v="24"/>
    <x v="16"/>
    <n v="2.17"/>
    <n v="6.9139999999999997"/>
    <x v="16"/>
    <x v="11"/>
    <n v="0.69599999999999995"/>
    <x v="7"/>
    <x v="16"/>
    <x v="0"/>
    <n v="0.72774461781377076"/>
    <n v="577987.49860535492"/>
    <n v="727744.61781377078"/>
    <n v="-499401.47216811404"/>
    <n v="78586.026437240886"/>
    <s v="36892IF-TRANSCO/Z6"/>
    <n v="100"/>
  </r>
  <r>
    <x v="8"/>
    <x v="0"/>
    <s v="NH8899.1"/>
    <x v="0"/>
    <x v="0"/>
    <x v="0"/>
    <x v="17"/>
    <n v="1000000"/>
    <x v="24"/>
    <x v="17"/>
    <n v="1.645"/>
    <n v="6.4450000000000003"/>
    <x v="17"/>
    <x v="12"/>
    <n v="0.69"/>
    <x v="7"/>
    <x v="17"/>
    <x v="0"/>
    <n v="0.3827406601056198"/>
    <n v="433627.00503711076"/>
    <n v="382740.66010561981"/>
    <n v="-366155.13617439597"/>
    <n v="67471.868862714793"/>
    <s v="36861IF-TRANSCO/Z6"/>
    <n v="100"/>
  </r>
  <r>
    <x v="8"/>
    <x v="0"/>
    <s v="NH8899.1"/>
    <x v="0"/>
    <x v="0"/>
    <x v="0"/>
    <x v="18"/>
    <n v="1000000"/>
    <x v="24"/>
    <x v="18"/>
    <n v="0.77"/>
    <n v="5.5060000000000002"/>
    <x v="18"/>
    <x v="13"/>
    <n v="0.625"/>
    <x v="6"/>
    <x v="18"/>
    <x v="0"/>
    <n v="2.03352360253772E-2"/>
    <n v="68711.940984249028"/>
    <n v="20335.236025377199"/>
    <n v="-56109.992137552901"/>
    <n v="12601.948846696127"/>
    <s v="36831IF-TRANSCO/Z6"/>
    <n v="100"/>
  </r>
  <r>
    <x v="12"/>
    <x v="0"/>
    <s v="NI0591.1"/>
    <x v="0"/>
    <x v="0"/>
    <x v="0"/>
    <x v="12"/>
    <n v="310000"/>
    <x v="25"/>
    <x v="12"/>
    <n v="0.41499999999999998"/>
    <n v="5.1070000000000002"/>
    <x v="12"/>
    <x v="8"/>
    <n v="0.56399999999999995"/>
    <x v="2"/>
    <x v="12"/>
    <x v="0"/>
    <n v="9.0094437947830355E-2"/>
    <n v="234535.37204893073"/>
    <n v="27929.275763827409"/>
    <n v="-232864.5204807111"/>
    <n v="1670.8515682196303"/>
    <s v="36800IF-TRANSCO/Z6"/>
    <n v="31"/>
  </r>
  <r>
    <x v="12"/>
    <x v="0"/>
    <s v="NI0591.1"/>
    <x v="0"/>
    <x v="0"/>
    <x v="0"/>
    <x v="13"/>
    <n v="300000"/>
    <x v="25"/>
    <x v="13"/>
    <n v="0.315"/>
    <n v="5"/>
    <x v="13"/>
    <x v="5"/>
    <n v="0.39200000000000002"/>
    <x v="2"/>
    <x v="13"/>
    <x v="0"/>
    <n v="7.9228671481912578E-4"/>
    <n v="27431.076860128171"/>
    <n v="237.68601444573773"/>
    <n v="-27277.931848465403"/>
    <n v="153.1450116627675"/>
    <s v="36770IF-TRANSCO/Z6"/>
    <n v="30"/>
  </r>
  <r>
    <x v="5"/>
    <x v="0"/>
    <s v="NI3439.1"/>
    <x v="5"/>
    <x v="0"/>
    <x v="0"/>
    <x v="12"/>
    <n v="310000"/>
    <x v="26"/>
    <x v="12"/>
    <n v="0.36"/>
    <n v="5.0520000000000005"/>
    <x v="12"/>
    <x v="8"/>
    <n v="0.56399999999999995"/>
    <x v="2"/>
    <x v="12"/>
    <x v="0"/>
    <n v="7.6391029458414014E-2"/>
    <n v="219563.59056158416"/>
    <n v="23681.219132108345"/>
    <n v="-217662.95161511758"/>
    <n v="1900.6389464665845"/>
    <s v="36800IF-TETCO/M3"/>
    <n v="31"/>
  </r>
  <r>
    <x v="5"/>
    <x v="0"/>
    <s v="NI3439.1"/>
    <x v="5"/>
    <x v="0"/>
    <x v="0"/>
    <x v="13"/>
    <n v="300000"/>
    <x v="26"/>
    <x v="13"/>
    <n v="0.30499999999999999"/>
    <n v="4.99"/>
    <x v="13"/>
    <x v="5"/>
    <n v="0.39200000000000002"/>
    <x v="2"/>
    <x v="13"/>
    <x v="0"/>
    <n v="8.6402411708762193E-3"/>
    <n v="166459.02422424874"/>
    <n v="2592.0723512628656"/>
    <n v="-166079.89215402468"/>
    <n v="379.13207022406277"/>
    <s v="36770IF-TETCO/M3"/>
    <n v="30"/>
  </r>
  <r>
    <x v="5"/>
    <x v="0"/>
    <s v="NI3439.2"/>
    <x v="2"/>
    <x v="0"/>
    <x v="1"/>
    <x v="12"/>
    <n v="310000"/>
    <x v="27"/>
    <x v="12"/>
    <n v="0.185"/>
    <n v="4.8769999999999998"/>
    <x v="12"/>
    <x v="8"/>
    <n v="0.56399999999999995"/>
    <x v="4"/>
    <x v="12"/>
    <x v="1"/>
    <n v="2.3947067342933726E-2"/>
    <n v="-126520.80189249439"/>
    <n v="7423.5908763094549"/>
    <n v="128426.79651413854"/>
    <n v="1905.9946216441458"/>
    <s v="36800IF-CGT/APPALAC"/>
    <n v="31"/>
  </r>
  <r>
    <x v="5"/>
    <x v="0"/>
    <s v="NI3439.2"/>
    <x v="2"/>
    <x v="0"/>
    <x v="1"/>
    <x v="13"/>
    <n v="300000"/>
    <x v="27"/>
    <x v="13"/>
    <n v="0.17"/>
    <n v="4.8550000000000004"/>
    <x v="13"/>
    <x v="5"/>
    <n v="0.39200000000000002"/>
    <x v="4"/>
    <x v="13"/>
    <x v="1"/>
    <n v="4.4733884481778508E-3"/>
    <n v="-128710.04173708617"/>
    <n v="1342.0165344533552"/>
    <n v="129041.10061924899"/>
    <n v="331.05888216281892"/>
    <s v="36770IF-CGT/APPALAC"/>
    <n v="30"/>
  </r>
  <r>
    <x v="2"/>
    <x v="0"/>
    <s v="NI3451.1"/>
    <x v="4"/>
    <x v="0"/>
    <x v="0"/>
    <x v="12"/>
    <n v="155000"/>
    <x v="21"/>
    <x v="12"/>
    <n v="1.99"/>
    <n v="6.6820000000000004"/>
    <x v="12"/>
    <x v="8"/>
    <n v="0.54100000000000004"/>
    <x v="7"/>
    <x v="12"/>
    <x v="0"/>
    <n v="1.8791426639151987"/>
    <n v="154080.97882978807"/>
    <n v="291267.11290685582"/>
    <n v="-154069.54615857438"/>
    <n v="11.432671213697176"/>
    <s v="36800NGI-SOCAL"/>
    <n v="15.5"/>
  </r>
  <r>
    <x v="2"/>
    <x v="0"/>
    <s v="NI3451.1"/>
    <x v="4"/>
    <x v="0"/>
    <x v="0"/>
    <x v="13"/>
    <n v="150000"/>
    <x v="21"/>
    <x v="13"/>
    <n v="2.5"/>
    <n v="7.1849999999999996"/>
    <x v="13"/>
    <x v="5"/>
    <n v="0.376"/>
    <x v="7"/>
    <x v="13"/>
    <x v="0"/>
    <n v="2.3991171431506855"/>
    <n v="149944.82143705885"/>
    <n v="359867.57147260284"/>
    <n v="-149944.82742248749"/>
    <n v="-5.9854286373592913E-3"/>
    <s v="36770NGI-SOCAL"/>
    <n v="15"/>
  </r>
  <r>
    <x v="12"/>
    <x v="0"/>
    <s v="NI6123.1"/>
    <x v="0"/>
    <x v="0"/>
    <x v="0"/>
    <x v="14"/>
    <n v="-310000"/>
    <x v="16"/>
    <x v="14"/>
    <n v="1.075"/>
    <n v="5.2880000000000003"/>
    <x v="14"/>
    <x v="9"/>
    <n v="0.61199999999999999"/>
    <x v="7"/>
    <x v="14"/>
    <x v="0"/>
    <n v="0.20151309617393046"/>
    <n v="-83383.927154676552"/>
    <n v="-62469.059813918444"/>
    <n v="63090.618601145754"/>
    <n v="-20293.308553530798"/>
    <s v="36951IF-TRANSCO/Z6"/>
    <n v="-31"/>
  </r>
  <r>
    <x v="12"/>
    <x v="0"/>
    <s v="NI6123.1"/>
    <x v="0"/>
    <x v="0"/>
    <x v="0"/>
    <x v="15"/>
    <n v="-280000"/>
    <x v="16"/>
    <x v="15"/>
    <n v="2.09"/>
    <n v="6.57"/>
    <x v="15"/>
    <x v="10"/>
    <n v="0.68100000000000005"/>
    <x v="7"/>
    <x v="15"/>
    <x v="0"/>
    <n v="0.6405406921126634"/>
    <n v="-145042.83608933041"/>
    <n v="-179351.39379154576"/>
    <n v="121144.2970190944"/>
    <n v="-23898.539070236002"/>
    <s v="36923IF-TRANSCO/Z6"/>
    <n v="-28"/>
  </r>
  <r>
    <x v="12"/>
    <x v="0"/>
    <s v="NI6123.1"/>
    <x v="0"/>
    <x v="0"/>
    <x v="0"/>
    <x v="16"/>
    <n v="-310000"/>
    <x v="16"/>
    <x v="16"/>
    <n v="2.17"/>
    <n v="6.9139999999999997"/>
    <x v="16"/>
    <x v="11"/>
    <n v="0.69599999999999995"/>
    <x v="7"/>
    <x v="16"/>
    <x v="0"/>
    <n v="0.64262450795790738"/>
    <n v="-165046.90333293757"/>
    <n v="-199213.59746695129"/>
    <n v="140739.40018512946"/>
    <n v="-24307.503147808107"/>
    <s v="36892IF-TRANSCO/Z6"/>
    <n v="-31"/>
  </r>
  <r>
    <x v="12"/>
    <x v="0"/>
    <s v="NI6123.1"/>
    <x v="0"/>
    <x v="0"/>
    <x v="0"/>
    <x v="17"/>
    <n v="-310000"/>
    <x v="16"/>
    <x v="17"/>
    <n v="1.645"/>
    <n v="6.4450000000000003"/>
    <x v="17"/>
    <x v="12"/>
    <n v="0.69"/>
    <x v="7"/>
    <x v="17"/>
    <x v="0"/>
    <n v="0.32215853301991865"/>
    <n v="-118563.69966152099"/>
    <n v="-99869.14523617478"/>
    <n v="98669.685931946762"/>
    <n v="-19894.013729574232"/>
    <s v="36861IF-TRANSCO/Z6"/>
    <n v="-31"/>
  </r>
  <r>
    <x v="12"/>
    <x v="0"/>
    <s v="NI6123.1"/>
    <x v="0"/>
    <x v="0"/>
    <x v="0"/>
    <x v="18"/>
    <n v="-300000"/>
    <x v="16"/>
    <x v="18"/>
    <n v="0.77"/>
    <n v="5.5060000000000002"/>
    <x v="18"/>
    <x v="13"/>
    <n v="0.625"/>
    <x v="6"/>
    <x v="18"/>
    <x v="0"/>
    <n v="1.2880270126205009E-2"/>
    <n v="-13797.665053081022"/>
    <n v="-3864.0810378615029"/>
    <n v="11102.856888531915"/>
    <n v="-2694.8081645491075"/>
    <s v="36831IF-TRANSCO/Z6"/>
    <n v="-30"/>
  </r>
  <r>
    <x v="6"/>
    <x v="0"/>
    <s v="NI6136.1"/>
    <x v="0"/>
    <x v="0"/>
    <x v="0"/>
    <x v="14"/>
    <n v="-500000"/>
    <x v="28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</r>
  <r>
    <x v="6"/>
    <x v="0"/>
    <s v="NI6136.1"/>
    <x v="0"/>
    <x v="0"/>
    <x v="0"/>
    <x v="15"/>
    <n v="-500000"/>
    <x v="28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</r>
  <r>
    <x v="6"/>
    <x v="0"/>
    <s v="NI6136.1"/>
    <x v="0"/>
    <x v="0"/>
    <x v="0"/>
    <x v="16"/>
    <n v="-500000"/>
    <x v="28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</r>
  <r>
    <x v="6"/>
    <x v="0"/>
    <s v="NI6136.1"/>
    <x v="0"/>
    <x v="0"/>
    <x v="0"/>
    <x v="17"/>
    <n v="-500000"/>
    <x v="28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</r>
  <r>
    <x v="6"/>
    <x v="0"/>
    <s v="NI6136.1"/>
    <x v="0"/>
    <x v="0"/>
    <x v="0"/>
    <x v="18"/>
    <n v="-500000"/>
    <x v="28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</r>
  <r>
    <x v="6"/>
    <x v="0"/>
    <s v="NI6136.2"/>
    <x v="0"/>
    <x v="0"/>
    <x v="0"/>
    <x v="14"/>
    <n v="500000"/>
    <x v="29"/>
    <x v="14"/>
    <n v="1.075"/>
    <n v="5.2880000000000003"/>
    <x v="14"/>
    <x v="9"/>
    <n v="0.61199999999999999"/>
    <x v="7"/>
    <x v="14"/>
    <x v="0"/>
    <n v="0.21874337964775428"/>
    <n v="143518.10228981663"/>
    <n v="109371.68982387714"/>
    <n v="-109416.03755415785"/>
    <n v="34102.064735658772"/>
    <s v="36951IF-TRANSCO/Z6"/>
    <n v="50"/>
  </r>
  <r>
    <x v="6"/>
    <x v="0"/>
    <s v="NI6136.2"/>
    <x v="0"/>
    <x v="0"/>
    <x v="0"/>
    <x v="15"/>
    <n v="500000"/>
    <x v="29"/>
    <x v="15"/>
    <n v="2.09"/>
    <n v="6.57"/>
    <x v="15"/>
    <x v="10"/>
    <n v="0.68100000000000005"/>
    <x v="7"/>
    <x v="15"/>
    <x v="0"/>
    <n v="0.67907576598978592"/>
    <n v="269492.35587836086"/>
    <n v="339537.88299489295"/>
    <n v="-226592.1727675038"/>
    <n v="42900.183110857062"/>
    <s v="36923IF-TRANSCO/Z6"/>
    <n v="50"/>
  </r>
  <r>
    <x v="6"/>
    <x v="0"/>
    <s v="NI6136.2"/>
    <x v="0"/>
    <x v="0"/>
    <x v="0"/>
    <x v="16"/>
    <n v="500000"/>
    <x v="29"/>
    <x v="16"/>
    <n v="2.17"/>
    <n v="6.9139999999999997"/>
    <x v="16"/>
    <x v="11"/>
    <n v="0.69599999999999995"/>
    <x v="7"/>
    <x v="16"/>
    <x v="0"/>
    <n v="0.68399640094290037"/>
    <n v="277516.34793235944"/>
    <n v="341998.20047145017"/>
    <n v="-238200.18608650347"/>
    <n v="39316.161845855968"/>
    <s v="36892IF-TRANSCO/Z6"/>
    <n v="50"/>
  </r>
  <r>
    <x v="6"/>
    <x v="0"/>
    <s v="NI6136.2"/>
    <x v="0"/>
    <x v="0"/>
    <x v="0"/>
    <x v="17"/>
    <n v="500000"/>
    <x v="29"/>
    <x v="17"/>
    <n v="1.645"/>
    <n v="6.4450000000000003"/>
    <x v="17"/>
    <x v="12"/>
    <n v="0.69"/>
    <x v="7"/>
    <x v="17"/>
    <x v="0"/>
    <n v="0.35125809243390804"/>
    <n v="203774.57610491358"/>
    <n v="175629.04621695401"/>
    <n v="-170811.21091373183"/>
    <n v="32963.365191181743"/>
    <s v="36861IF-TRANSCO/Z6"/>
    <n v="50"/>
  </r>
  <r>
    <x v="6"/>
    <x v="0"/>
    <s v="NI6136.2"/>
    <x v="0"/>
    <x v="0"/>
    <x v="0"/>
    <x v="18"/>
    <n v="500000"/>
    <x v="29"/>
    <x v="18"/>
    <n v="0.77"/>
    <n v="5.5060000000000002"/>
    <x v="18"/>
    <x v="13"/>
    <n v="0.625"/>
    <x v="6"/>
    <x v="18"/>
    <x v="0"/>
    <n v="1.6195425457091524E-2"/>
    <n v="28148.279828712639"/>
    <n v="8097.7127285457618"/>
    <n v="-22814.975918761196"/>
    <n v="5333.3039099514426"/>
    <s v="36831IF-TRANSCO/Z6"/>
    <n v="50"/>
  </r>
  <r>
    <x v="9"/>
    <x v="0"/>
    <s v="NJ0119.1"/>
    <x v="0"/>
    <x v="0"/>
    <x v="0"/>
    <x v="18"/>
    <n v="1000000"/>
    <x v="6"/>
    <x v="18"/>
    <n v="0.77"/>
    <n v="5.5060000000000002"/>
    <x v="18"/>
    <x v="13"/>
    <n v="0.625"/>
    <x v="6"/>
    <x v="18"/>
    <x v="0"/>
    <n v="0.17043556386117104"/>
    <n v="387283.67484406265"/>
    <n v="170435.56386117105"/>
    <n v="-345469.76550031727"/>
    <n v="41813.909343745385"/>
    <s v="36831IF-TRANSCO/Z6"/>
    <n v="100"/>
  </r>
  <r>
    <x v="16"/>
    <x v="0"/>
    <s v="NJ0240.1"/>
    <x v="0"/>
    <x v="0"/>
    <x v="0"/>
    <x v="14"/>
    <n v="-310000"/>
    <x v="28"/>
    <x v="14"/>
    <n v="1.075"/>
    <n v="5.2880000000000003"/>
    <x v="14"/>
    <x v="9"/>
    <n v="0.61199999999999999"/>
    <x v="7"/>
    <x v="14"/>
    <x v="0"/>
    <n v="0.32998723723310153"/>
    <n v="-121899.83939142109"/>
    <n v="-102296.04354226147"/>
    <n v="96798.332211684392"/>
    <n v="-25101.507179736698"/>
    <s v="36951IF-TRANSCO/Z6"/>
    <n v="-31"/>
  </r>
  <r>
    <x v="16"/>
    <x v="0"/>
    <s v="NJ0240.1"/>
    <x v="0"/>
    <x v="0"/>
    <x v="0"/>
    <x v="15"/>
    <n v="-280000"/>
    <x v="28"/>
    <x v="15"/>
    <n v="2.09"/>
    <n v="6.57"/>
    <x v="15"/>
    <x v="10"/>
    <n v="0.68100000000000005"/>
    <x v="7"/>
    <x v="15"/>
    <x v="0"/>
    <n v="0.90615050041777145"/>
    <n v="-181525.24574988341"/>
    <n v="-253722.14011697602"/>
    <n v="158014.0270956828"/>
    <n v="-23511.218654200609"/>
    <s v="36923IF-TRANSCO/Z6"/>
    <n v="-28"/>
  </r>
  <r>
    <x v="16"/>
    <x v="0"/>
    <s v="NJ0240.1"/>
    <x v="0"/>
    <x v="0"/>
    <x v="0"/>
    <x v="16"/>
    <n v="-310000"/>
    <x v="28"/>
    <x v="16"/>
    <n v="2.17"/>
    <n v="6.9139999999999997"/>
    <x v="16"/>
    <x v="11"/>
    <n v="0.69599999999999995"/>
    <x v="7"/>
    <x v="16"/>
    <x v="0"/>
    <n v="0.92810205642557009"/>
    <n v="-208136.06101506323"/>
    <n v="-287711.63749192673"/>
    <n v="184779.09264621761"/>
    <n v="-23356.968368845613"/>
    <s v="36892IF-TRANSCO/Z6"/>
    <n v="-31"/>
  </r>
  <r>
    <x v="16"/>
    <x v="0"/>
    <s v="NJ0240.1"/>
    <x v="0"/>
    <x v="0"/>
    <x v="0"/>
    <x v="17"/>
    <n v="-310000"/>
    <x v="28"/>
    <x v="17"/>
    <n v="1.645"/>
    <n v="6.4450000000000003"/>
    <x v="17"/>
    <x v="12"/>
    <n v="0.69"/>
    <x v="7"/>
    <x v="17"/>
    <x v="0"/>
    <n v="0.53534295089425321"/>
    <n v="-169327.67114464322"/>
    <n v="-165956.3147772185"/>
    <n v="147378.92626193762"/>
    <n v="-21948.744882705592"/>
    <s v="36861IF-TRANSCO/Z6"/>
    <n v="-31"/>
  </r>
  <r>
    <x v="16"/>
    <x v="0"/>
    <s v="NJ0240.1"/>
    <x v="0"/>
    <x v="0"/>
    <x v="0"/>
    <x v="18"/>
    <n v="-300000"/>
    <x v="28"/>
    <x v="18"/>
    <n v="0.77"/>
    <n v="5.5060000000000002"/>
    <x v="18"/>
    <x v="13"/>
    <n v="0.625"/>
    <x v="6"/>
    <x v="18"/>
    <x v="0"/>
    <n v="4.9554954593755501E-2"/>
    <n v="-44081.641067826604"/>
    <n v="-14866.48637812665"/>
    <n v="37179.274503358443"/>
    <n v="-6902.3665644681605"/>
    <s v="36831IF-TRANSCO/Z6"/>
    <n v="-30"/>
  </r>
  <r>
    <x v="16"/>
    <x v="0"/>
    <s v="NJ0240.2"/>
    <x v="0"/>
    <x v="0"/>
    <x v="0"/>
    <x v="14"/>
    <n v="310000"/>
    <x v="29"/>
    <x v="14"/>
    <n v="1.075"/>
    <n v="5.2880000000000003"/>
    <x v="14"/>
    <x v="9"/>
    <n v="0.61199999999999999"/>
    <x v="7"/>
    <x v="14"/>
    <x v="0"/>
    <n v="0.21874337964775428"/>
    <n v="88981.223419686314"/>
    <n v="67810.447690803834"/>
    <n v="-67837.943283577872"/>
    <n v="21143.280136108442"/>
    <s v="36951IF-TRANSCO/Z6"/>
    <n v="31"/>
  </r>
  <r>
    <x v="16"/>
    <x v="0"/>
    <s v="NJ0240.2"/>
    <x v="0"/>
    <x v="0"/>
    <x v="0"/>
    <x v="15"/>
    <n v="280000"/>
    <x v="29"/>
    <x v="15"/>
    <n v="2.09"/>
    <n v="6.57"/>
    <x v="15"/>
    <x v="10"/>
    <n v="0.68100000000000005"/>
    <x v="7"/>
    <x v="15"/>
    <x v="0"/>
    <n v="0.67907576598978592"/>
    <n v="150915.71929188207"/>
    <n v="190141.21447714005"/>
    <n v="-126891.61674980212"/>
    <n v="24024.102542079941"/>
    <s v="36923IF-TRANSCO/Z6"/>
    <n v="28"/>
  </r>
  <r>
    <x v="16"/>
    <x v="0"/>
    <s v="NJ0240.2"/>
    <x v="0"/>
    <x v="0"/>
    <x v="0"/>
    <x v="16"/>
    <n v="310000"/>
    <x v="29"/>
    <x v="16"/>
    <n v="2.17"/>
    <n v="6.9139999999999997"/>
    <x v="16"/>
    <x v="11"/>
    <n v="0.69599999999999995"/>
    <x v="7"/>
    <x v="16"/>
    <x v="0"/>
    <n v="0.68399640094290037"/>
    <n v="172060.13571806287"/>
    <n v="212038.8842922991"/>
    <n v="-147684.11537363214"/>
    <n v="24376.020344430726"/>
    <s v="36892IF-TRANSCO/Z6"/>
    <n v="31"/>
  </r>
  <r>
    <x v="16"/>
    <x v="0"/>
    <s v="NJ0240.2"/>
    <x v="0"/>
    <x v="0"/>
    <x v="0"/>
    <x v="17"/>
    <n v="310000"/>
    <x v="29"/>
    <x v="17"/>
    <n v="1.645"/>
    <n v="6.4450000000000003"/>
    <x v="17"/>
    <x v="12"/>
    <n v="0.69"/>
    <x v="7"/>
    <x v="17"/>
    <x v="0"/>
    <n v="0.35125809243390804"/>
    <n v="126340.23718504641"/>
    <n v="108890.00865451149"/>
    <n v="-105902.95076651374"/>
    <n v="20437.286418532676"/>
    <s v="36861IF-TRANSCO/Z6"/>
    <n v="31"/>
  </r>
  <r>
    <x v="16"/>
    <x v="0"/>
    <s v="NJ0240.2"/>
    <x v="0"/>
    <x v="0"/>
    <x v="0"/>
    <x v="18"/>
    <n v="300000"/>
    <x v="29"/>
    <x v="18"/>
    <n v="0.77"/>
    <n v="5.5060000000000002"/>
    <x v="18"/>
    <x v="13"/>
    <n v="0.625"/>
    <x v="6"/>
    <x v="18"/>
    <x v="0"/>
    <n v="1.6195425457091524E-2"/>
    <n v="16888.967897227583"/>
    <n v="4858.6276371274571"/>
    <n v="-13688.985551256717"/>
    <n v="3199.9823459708659"/>
    <s v="36831IF-TRANSCO/Z6"/>
    <n v="30"/>
  </r>
  <r>
    <x v="17"/>
    <x v="0"/>
    <s v="NJ4328"/>
    <x v="6"/>
    <x v="0"/>
    <x v="0"/>
    <x v="16"/>
    <n v="465000"/>
    <x v="30"/>
    <x v="16"/>
    <n v="0.1275"/>
    <n v="4.8715000000000002"/>
    <x v="16"/>
    <x v="11"/>
    <n v="0.60499999999999998"/>
    <x v="10"/>
    <x v="16"/>
    <x v="0"/>
    <n v="4.4503043973877957E-2"/>
    <n v="202238.46988412878"/>
    <n v="20693.915447853251"/>
    <n v="-197721.28938872807"/>
    <n v="4517.1804954007093"/>
    <s v="36892NGI/CHI. GATE"/>
    <n v="46.5"/>
  </r>
  <r>
    <x v="17"/>
    <x v="0"/>
    <s v="NJ4328"/>
    <x v="6"/>
    <x v="0"/>
    <x v="0"/>
    <x v="17"/>
    <n v="465000"/>
    <x v="30"/>
    <x v="17"/>
    <n v="0.1"/>
    <n v="4.9000000000000004"/>
    <x v="17"/>
    <x v="12"/>
    <n v="0.6"/>
    <x v="10"/>
    <x v="17"/>
    <x v="0"/>
    <n v="2.7341780503795484E-2"/>
    <n v="159055.3449838004"/>
    <n v="12713.927934264901"/>
    <n v="-155370.48131999248"/>
    <n v="3684.8636638079188"/>
    <s v="36861NGI/CHI. GATE"/>
    <n v="46.5"/>
  </r>
  <r>
    <x v="8"/>
    <x v="0"/>
    <s v="NJ4410"/>
    <x v="0"/>
    <x v="0"/>
    <x v="1"/>
    <x v="12"/>
    <n v="1550000"/>
    <x v="1"/>
    <x v="12"/>
    <n v="0.41499999999999998"/>
    <n v="5.1070000000000002"/>
    <x v="12"/>
    <x v="8"/>
    <n v="0.56399999999999995"/>
    <x v="2"/>
    <x v="12"/>
    <x v="1"/>
    <n v="7.4089661656390193E-3"/>
    <n v="-208819.29196227781"/>
    <n v="11483.89755674048"/>
    <n v="214886.18398423158"/>
    <n v="6066.8920219537686"/>
    <s v="36800IF-TRANSCO/Z6"/>
    <n v="155"/>
  </r>
  <r>
    <x v="8"/>
    <x v="0"/>
    <s v="NJ4410"/>
    <x v="0"/>
    <x v="0"/>
    <x v="1"/>
    <x v="13"/>
    <n v="1500000"/>
    <x v="1"/>
    <x v="13"/>
    <n v="0.315"/>
    <n v="5"/>
    <x v="13"/>
    <x v="5"/>
    <n v="0.39200000000000002"/>
    <x v="2"/>
    <x v="13"/>
    <x v="1"/>
    <n v="2.1419777501948678E-3"/>
    <n v="-309413.96771534759"/>
    <n v="3212.9666252923016"/>
    <n v="310784.78926451906"/>
    <n v="1370.8215491714654"/>
    <s v="36770IF-TRANSCO/Z6"/>
    <n v="150"/>
  </r>
  <r>
    <x v="18"/>
    <x v="0"/>
    <s v="NJ7455"/>
    <x v="6"/>
    <x v="0"/>
    <x v="0"/>
    <x v="14"/>
    <n v="310000"/>
    <x v="30"/>
    <x v="14"/>
    <n v="0.1225"/>
    <n v="4.3354999999999997"/>
    <x v="14"/>
    <x v="9"/>
    <n v="0.53300000000000003"/>
    <x v="10"/>
    <x v="14"/>
    <x v="0"/>
    <n v="4.0858540517954137E-2"/>
    <n v="129191.8198310078"/>
    <n v="12666.147560565782"/>
    <n v="-126044.64060335686"/>
    <n v="3147.1792276509368"/>
    <s v="36951NGI/CHI. GATE"/>
    <n v="31"/>
  </r>
  <r>
    <x v="18"/>
    <x v="0"/>
    <s v="NJ7455"/>
    <x v="6"/>
    <x v="0"/>
    <x v="0"/>
    <x v="15"/>
    <n v="280000"/>
    <x v="30"/>
    <x v="15"/>
    <n v="0.13750000000000001"/>
    <n v="4.6174999999999997"/>
    <x v="15"/>
    <x v="10"/>
    <n v="0.59299999999999997"/>
    <x v="10"/>
    <x v="15"/>
    <x v="0"/>
    <n v="5.1778937717171743E-2"/>
    <n v="129699.85687365441"/>
    <n v="14498.102560808087"/>
    <n v="-126711.18564876153"/>
    <n v="2988.6712248928816"/>
    <s v="36923NGI/CHI. GATE"/>
    <n v="28"/>
  </r>
  <r>
    <x v="18"/>
    <x v="0"/>
    <s v="NJ7455"/>
    <x v="6"/>
    <x v="0"/>
    <x v="0"/>
    <x v="16"/>
    <n v="310000"/>
    <x v="30"/>
    <x v="16"/>
    <n v="0.1275"/>
    <n v="4.8715000000000002"/>
    <x v="16"/>
    <x v="11"/>
    <n v="0.60499999999999998"/>
    <x v="10"/>
    <x v="16"/>
    <x v="0"/>
    <n v="4.4503043973877957E-2"/>
    <n v="134825.64658941916"/>
    <n v="13795.943631902166"/>
    <n v="-131814.1929258187"/>
    <n v="3011.4536636004632"/>
    <s v="36892NGI/CHI. GATE"/>
    <n v="31"/>
  </r>
  <r>
    <x v="18"/>
    <x v="0"/>
    <s v="NJ7455"/>
    <x v="6"/>
    <x v="0"/>
    <x v="0"/>
    <x v="17"/>
    <n v="310000"/>
    <x v="30"/>
    <x v="17"/>
    <n v="0.1"/>
    <n v="4.9000000000000004"/>
    <x v="17"/>
    <x v="12"/>
    <n v="0.6"/>
    <x v="10"/>
    <x v="17"/>
    <x v="0"/>
    <n v="2.7341780503795484E-2"/>
    <n v="106036.89665586693"/>
    <n v="8475.9519561765992"/>
    <n v="-103580.32087999498"/>
    <n v="2456.5757758719556"/>
    <s v="36861NGI/CHI. GATE"/>
    <n v="31"/>
  </r>
  <r>
    <x v="18"/>
    <x v="0"/>
    <s v="NJ7455"/>
    <x v="6"/>
    <x v="0"/>
    <x v="0"/>
    <x v="18"/>
    <n v="300000"/>
    <x v="30"/>
    <x v="18"/>
    <n v="8.7499999999999994E-2"/>
    <n v="4.8235000000000001"/>
    <x v="18"/>
    <x v="13"/>
    <n v="0.59499999999999997"/>
    <x v="10"/>
    <x v="18"/>
    <x v="0"/>
    <n v="1.550052519581778E-2"/>
    <n v="79344.926186024168"/>
    <n v="4650.1575587453335"/>
    <n v="-77609.94391655919"/>
    <n v="1734.9822694649774"/>
    <s v="36831NGI/CHI. GATE"/>
    <n v="30"/>
  </r>
  <r>
    <x v="7"/>
    <x v="0"/>
    <s v="NK0151"/>
    <x v="6"/>
    <x v="0"/>
    <x v="0"/>
    <x v="14"/>
    <n v="310000"/>
    <x v="30"/>
    <x v="14"/>
    <n v="0.1225"/>
    <n v="4.3354999999999997"/>
    <x v="14"/>
    <x v="9"/>
    <n v="0.53300000000000003"/>
    <x v="10"/>
    <x v="14"/>
    <x v="0"/>
    <n v="4.0858540517954137E-2"/>
    <n v="129191.8198310078"/>
    <n v="12666.147560565782"/>
    <n v="-126044.64060335686"/>
    <n v="3147.1792276509368"/>
    <s v="36951NGI/CHI. GATE"/>
    <n v="31"/>
  </r>
  <r>
    <x v="7"/>
    <x v="0"/>
    <s v="NK0151"/>
    <x v="6"/>
    <x v="0"/>
    <x v="0"/>
    <x v="15"/>
    <n v="280000"/>
    <x v="30"/>
    <x v="15"/>
    <n v="0.13750000000000001"/>
    <n v="4.6174999999999997"/>
    <x v="15"/>
    <x v="10"/>
    <n v="0.59299999999999997"/>
    <x v="10"/>
    <x v="15"/>
    <x v="0"/>
    <n v="5.1778937717171743E-2"/>
    <n v="129699.85687365441"/>
    <n v="14498.102560808087"/>
    <n v="-126711.18564876153"/>
    <n v="2988.6712248928816"/>
    <s v="36923NGI/CHI. GATE"/>
    <n v="28"/>
  </r>
  <r>
    <x v="7"/>
    <x v="0"/>
    <s v="NK0151"/>
    <x v="6"/>
    <x v="0"/>
    <x v="0"/>
    <x v="16"/>
    <n v="310000"/>
    <x v="30"/>
    <x v="16"/>
    <n v="0.1275"/>
    <n v="4.8715000000000002"/>
    <x v="16"/>
    <x v="11"/>
    <n v="0.60499999999999998"/>
    <x v="10"/>
    <x v="16"/>
    <x v="0"/>
    <n v="4.4503043973877957E-2"/>
    <n v="134825.64658941916"/>
    <n v="13795.943631902166"/>
    <n v="-131814.1929258187"/>
    <n v="3011.4536636004632"/>
    <s v="36892NGI/CHI. GATE"/>
    <n v="31"/>
  </r>
  <r>
    <x v="7"/>
    <x v="0"/>
    <s v="NK0151"/>
    <x v="6"/>
    <x v="0"/>
    <x v="0"/>
    <x v="17"/>
    <n v="310000"/>
    <x v="30"/>
    <x v="17"/>
    <n v="0.1"/>
    <n v="4.9000000000000004"/>
    <x v="17"/>
    <x v="12"/>
    <n v="0.6"/>
    <x v="10"/>
    <x v="17"/>
    <x v="0"/>
    <n v="2.7341780503795484E-2"/>
    <n v="106036.89665586693"/>
    <n v="8475.9519561765992"/>
    <n v="-103580.32087999498"/>
    <n v="2456.5757758719556"/>
    <s v="36861NGI/CHI. GATE"/>
    <n v="31"/>
  </r>
  <r>
    <x v="7"/>
    <x v="0"/>
    <s v="NK0151"/>
    <x v="6"/>
    <x v="0"/>
    <x v="0"/>
    <x v="18"/>
    <n v="300000"/>
    <x v="30"/>
    <x v="18"/>
    <n v="8.7499999999999994E-2"/>
    <n v="4.8235000000000001"/>
    <x v="18"/>
    <x v="13"/>
    <n v="0.59499999999999997"/>
    <x v="10"/>
    <x v="18"/>
    <x v="0"/>
    <n v="1.550052519581778E-2"/>
    <n v="79344.926186024168"/>
    <n v="4650.1575587453335"/>
    <n v="-77609.94391655919"/>
    <n v="1734.9822694649774"/>
    <s v="36831NGI/CHI. GATE"/>
    <n v="30"/>
  </r>
  <r>
    <x v="12"/>
    <x v="0"/>
    <s v="NK4321"/>
    <x v="0"/>
    <x v="0"/>
    <x v="1"/>
    <x v="14"/>
    <n v="1000000"/>
    <x v="12"/>
    <x v="14"/>
    <n v="1.075"/>
    <n v="5.2880000000000003"/>
    <x v="14"/>
    <x v="9"/>
    <n v="0.61199999999999999"/>
    <x v="7"/>
    <x v="14"/>
    <x v="1"/>
    <n v="0.34215489694425383"/>
    <n v="-339156.90657542727"/>
    <n v="342154.89694425382"/>
    <n v="426577.20952257147"/>
    <n v="87420.302947144199"/>
    <s v="36951IF-TRANSCO/Z6"/>
    <n v="100"/>
  </r>
  <r>
    <x v="12"/>
    <x v="0"/>
    <s v="NK4321"/>
    <x v="0"/>
    <x v="0"/>
    <x v="1"/>
    <x v="15"/>
    <n v="1000000"/>
    <x v="12"/>
    <x v="15"/>
    <n v="2.09"/>
    <n v="6.57"/>
    <x v="15"/>
    <x v="10"/>
    <n v="0.68100000000000005"/>
    <x v="7"/>
    <x v="15"/>
    <x v="1"/>
    <n v="0.14024849922231708"/>
    <n v="-145784.35428341973"/>
    <n v="140248.49922231707"/>
    <n v="207253.92587589275"/>
    <n v="61469.571592473018"/>
    <s v="36923IF-TRANSCO/Z6"/>
    <n v="100"/>
  </r>
  <r>
    <x v="12"/>
    <x v="0"/>
    <s v="NK4321"/>
    <x v="0"/>
    <x v="0"/>
    <x v="1"/>
    <x v="16"/>
    <n v="1000000"/>
    <x v="12"/>
    <x v="16"/>
    <n v="2.17"/>
    <n v="6.9139999999999997"/>
    <x v="16"/>
    <x v="11"/>
    <n v="0.69599999999999995"/>
    <x v="7"/>
    <x v="16"/>
    <x v="1"/>
    <n v="0.11073968944962387"/>
    <n v="-126921.27164591105"/>
    <n v="110739.68944962387"/>
    <n v="177899.01517975616"/>
    <n v="50977.743533845103"/>
    <s v="36892IF-TRANSCO/Z6"/>
    <n v="100"/>
  </r>
  <r>
    <x v="12"/>
    <x v="0"/>
    <s v="NK4321"/>
    <x v="0"/>
    <x v="0"/>
    <x v="1"/>
    <x v="17"/>
    <n v="1000000"/>
    <x v="12"/>
    <x v="17"/>
    <n v="1.645"/>
    <n v="6.4450000000000003"/>
    <x v="17"/>
    <x v="12"/>
    <n v="0.69"/>
    <x v="7"/>
    <x v="17"/>
    <x v="1"/>
    <n v="0.14791698517127294"/>
    <n v="-191425.38331192316"/>
    <n v="147916.98517127294"/>
    <n v="247008.46361200424"/>
    <n v="55583.080300081085"/>
    <s v="36861IF-TRANSCO/Z6"/>
    <n v="100"/>
  </r>
  <r>
    <x v="12"/>
    <x v="0"/>
    <s v="NK4321"/>
    <x v="0"/>
    <x v="0"/>
    <x v="1"/>
    <x v="18"/>
    <n v="1000000"/>
    <x v="12"/>
    <x v="18"/>
    <n v="0.77"/>
    <n v="5.5060000000000002"/>
    <x v="18"/>
    <x v="13"/>
    <n v="0.625"/>
    <x v="6"/>
    <x v="18"/>
    <x v="1"/>
    <n v="0.24961789258441158"/>
    <n v="-458332.11613441096"/>
    <n v="249617.89258441157"/>
    <n v="503482.71081758081"/>
    <n v="45150.594683169853"/>
    <s v="36831IF-TRANSCO/Z6"/>
    <n v="100"/>
  </r>
  <r>
    <x v="3"/>
    <x v="0"/>
    <s v="NK4353"/>
    <x v="0"/>
    <x v="0"/>
    <x v="1"/>
    <x v="14"/>
    <n v="-620000"/>
    <x v="13"/>
    <x v="14"/>
    <n v="1.075"/>
    <n v="5.2880000000000003"/>
    <x v="14"/>
    <x v="9"/>
    <n v="0.61199999999999999"/>
    <x v="7"/>
    <x v="14"/>
    <x v="1"/>
    <n v="0.54911441709740649"/>
    <n v="282300.02405055764"/>
    <n v="-340450.93860039202"/>
    <n v="-337005.033438001"/>
    <n v="-54705.009387443366"/>
    <s v="36951IF-TRANSCO/Z6"/>
    <n v="-62"/>
  </r>
  <r>
    <x v="3"/>
    <x v="0"/>
    <s v="NK4353"/>
    <x v="0"/>
    <x v="0"/>
    <x v="1"/>
    <x v="15"/>
    <n v="-560000"/>
    <x v="13"/>
    <x v="15"/>
    <n v="2.09"/>
    <n v="6.57"/>
    <x v="15"/>
    <x v="10"/>
    <n v="0.68100000000000005"/>
    <x v="7"/>
    <x v="15"/>
    <x v="1"/>
    <n v="0.25214129972097754"/>
    <n v="125748.92410428901"/>
    <n v="-141199.12784374741"/>
    <n v="-167854.87514781614"/>
    <n v="-42105.951043527137"/>
    <s v="36923IF-TRANSCO/Z6"/>
    <n v="-56"/>
  </r>
  <r>
    <x v="3"/>
    <x v="0"/>
    <s v="NK4353"/>
    <x v="0"/>
    <x v="0"/>
    <x v="1"/>
    <x v="16"/>
    <n v="-620000"/>
    <x v="13"/>
    <x v="16"/>
    <n v="2.17"/>
    <n v="6.9139999999999997"/>
    <x v="16"/>
    <x v="11"/>
    <n v="0.69599999999999995"/>
    <x v="7"/>
    <x v="16"/>
    <x v="1"/>
    <n v="0.20847620774735121"/>
    <n v="126830.4443945196"/>
    <n v="-129255.24880335775"/>
    <n v="-167250.76140727571"/>
    <n v="-40420.317012756117"/>
    <s v="36892IF-TRANSCO/Z6"/>
    <n v="-62"/>
  </r>
  <r>
    <x v="3"/>
    <x v="0"/>
    <s v="NK4353"/>
    <x v="0"/>
    <x v="0"/>
    <x v="1"/>
    <x v="17"/>
    <n v="-620000"/>
    <x v="13"/>
    <x v="17"/>
    <n v="1.645"/>
    <n v="6.4450000000000003"/>
    <x v="17"/>
    <x v="12"/>
    <n v="0.69"/>
    <x v="7"/>
    <x v="17"/>
    <x v="1"/>
    <n v="0.27915941560650492"/>
    <n v="187533.98197840768"/>
    <n v="-173078.83767603306"/>
    <n v="-229031.65405742603"/>
    <n v="-41497.672079018346"/>
    <s v="36861IF-TRANSCO/Z6"/>
    <n v="-62"/>
  </r>
  <r>
    <x v="3"/>
    <x v="0"/>
    <s v="NK4353"/>
    <x v="0"/>
    <x v="0"/>
    <x v="1"/>
    <x v="18"/>
    <n v="-600000"/>
    <x v="13"/>
    <x v="18"/>
    <n v="0.77"/>
    <n v="5.5060000000000002"/>
    <x v="18"/>
    <x v="13"/>
    <n v="0.625"/>
    <x v="6"/>
    <x v="18"/>
    <x v="1"/>
    <n v="0.50269231966812455"/>
    <n v="405932.35216911067"/>
    <n v="-301615.39180087473"/>
    <n v="-428575.56702685449"/>
    <n v="-22643.21485774382"/>
    <s v="36831IF-TRANSCO/Z6"/>
    <n v="-60"/>
  </r>
  <r>
    <x v="3"/>
    <x v="0"/>
    <s v="NK4369"/>
    <x v="0"/>
    <x v="0"/>
    <x v="1"/>
    <x v="14"/>
    <n v="-1000000"/>
    <x v="6"/>
    <x v="14"/>
    <n v="1.075"/>
    <n v="5.2880000000000003"/>
    <x v="14"/>
    <x v="9"/>
    <n v="0.61199999999999999"/>
    <x v="7"/>
    <x v="14"/>
    <x v="1"/>
    <n v="0.46550991672981534"/>
    <n v="412515.00266951171"/>
    <n v="-465509.91672981536"/>
    <n v="-501451.82364404586"/>
    <n v="-88936.820974534145"/>
    <s v="36951IF-TRANSCO/Z6"/>
    <n v="-100"/>
  </r>
  <r>
    <x v="3"/>
    <x v="0"/>
    <s v="NK7690"/>
    <x v="0"/>
    <x v="0"/>
    <x v="1"/>
    <x v="14"/>
    <n v="1000000"/>
    <x v="12"/>
    <x v="14"/>
    <n v="1.075"/>
    <n v="5.2880000000000003"/>
    <x v="14"/>
    <x v="9"/>
    <n v="0.61199999999999999"/>
    <x v="7"/>
    <x v="14"/>
    <x v="1"/>
    <n v="0.34215489694425383"/>
    <n v="-339156.90657542727"/>
    <n v="342154.89694425382"/>
    <n v="426577.20952257147"/>
    <n v="87420.302947144199"/>
    <s v="36951IF-TRANSCO/Z6"/>
    <n v="100"/>
  </r>
  <r>
    <x v="3"/>
    <x v="0"/>
    <s v="NK7690"/>
    <x v="0"/>
    <x v="0"/>
    <x v="1"/>
    <x v="15"/>
    <n v="1000000"/>
    <x v="12"/>
    <x v="15"/>
    <n v="2.09"/>
    <n v="6.57"/>
    <x v="15"/>
    <x v="10"/>
    <n v="0.68100000000000005"/>
    <x v="7"/>
    <x v="15"/>
    <x v="1"/>
    <n v="0.14024849922231708"/>
    <n v="-145784.35428341973"/>
    <n v="140248.49922231707"/>
    <n v="207253.92587589275"/>
    <n v="61469.571592473018"/>
    <s v="36923IF-TRANSCO/Z6"/>
    <n v="100"/>
  </r>
  <r>
    <x v="3"/>
    <x v="0"/>
    <s v="NK7690"/>
    <x v="0"/>
    <x v="0"/>
    <x v="1"/>
    <x v="16"/>
    <n v="1000000"/>
    <x v="12"/>
    <x v="16"/>
    <n v="2.17"/>
    <n v="6.9139999999999997"/>
    <x v="16"/>
    <x v="11"/>
    <n v="0.69599999999999995"/>
    <x v="7"/>
    <x v="16"/>
    <x v="1"/>
    <n v="0.11073968944962387"/>
    <n v="-126921.27164591105"/>
    <n v="110739.68944962387"/>
    <n v="177899.01517975616"/>
    <n v="50977.743533845103"/>
    <s v="36892IF-TRANSCO/Z6"/>
    <n v="100"/>
  </r>
  <r>
    <x v="3"/>
    <x v="0"/>
    <s v="NK7690"/>
    <x v="0"/>
    <x v="0"/>
    <x v="1"/>
    <x v="17"/>
    <n v="1000000"/>
    <x v="12"/>
    <x v="17"/>
    <n v="1.645"/>
    <n v="6.4450000000000003"/>
    <x v="17"/>
    <x v="12"/>
    <n v="0.69"/>
    <x v="7"/>
    <x v="17"/>
    <x v="1"/>
    <n v="0.14791698517127294"/>
    <n v="-191425.38331192316"/>
    <n v="147916.98517127294"/>
    <n v="247008.46361200424"/>
    <n v="55583.080300081085"/>
    <s v="36861IF-TRANSCO/Z6"/>
    <n v="100"/>
  </r>
  <r>
    <x v="3"/>
    <x v="0"/>
    <s v="NK7690"/>
    <x v="0"/>
    <x v="0"/>
    <x v="1"/>
    <x v="18"/>
    <n v="1000000"/>
    <x v="12"/>
    <x v="18"/>
    <n v="0.77"/>
    <n v="5.5060000000000002"/>
    <x v="18"/>
    <x v="13"/>
    <n v="0.625"/>
    <x v="6"/>
    <x v="18"/>
    <x v="1"/>
    <n v="0.24961789258441158"/>
    <n v="-458332.11613441096"/>
    <n v="249617.89258441157"/>
    <n v="503482.71081758081"/>
    <n v="45150.594683169853"/>
    <s v="36831IF-TRANSCO/Z6"/>
    <n v="100"/>
  </r>
  <r>
    <x v="3"/>
    <x v="0"/>
    <s v="NK7692"/>
    <x v="0"/>
    <x v="0"/>
    <x v="0"/>
    <x v="14"/>
    <n v="-310000"/>
    <x v="31"/>
    <x v="14"/>
    <n v="1.075"/>
    <n v="5.2880000000000003"/>
    <x v="14"/>
    <x v="9"/>
    <n v="0.61199999999999999"/>
    <x v="7"/>
    <x v="14"/>
    <x v="0"/>
    <n v="0.10527550921372972"/>
    <n v="-48943.09730143546"/>
    <n v="-32635.407856256214"/>
    <n v="35060.335374088252"/>
    <n v="-13882.761927347208"/>
    <s v="36951IF-TRANSCO/Z6"/>
    <n v="-31"/>
  </r>
  <r>
    <x v="3"/>
    <x v="0"/>
    <s v="NK7692"/>
    <x v="0"/>
    <x v="0"/>
    <x v="0"/>
    <x v="15"/>
    <n v="-280000"/>
    <x v="31"/>
    <x v="15"/>
    <n v="2.09"/>
    <n v="6.57"/>
    <x v="15"/>
    <x v="10"/>
    <n v="0.68100000000000005"/>
    <x v="7"/>
    <x v="15"/>
    <x v="0"/>
    <n v="0.39988323237582518"/>
    <n v="-103115.89871866348"/>
    <n v="-111967.30506523105"/>
    <n v="81958.099569922357"/>
    <n v="-21157.79914874112"/>
    <s v="36923IF-TRANSCO/Z6"/>
    <n v="-28"/>
  </r>
  <r>
    <x v="3"/>
    <x v="0"/>
    <s v="NK7692"/>
    <x v="0"/>
    <x v="0"/>
    <x v="0"/>
    <x v="16"/>
    <n v="-310000"/>
    <x v="31"/>
    <x v="16"/>
    <n v="2.17"/>
    <n v="6.9139999999999997"/>
    <x v="16"/>
    <x v="11"/>
    <n v="0.69599999999999995"/>
    <x v="7"/>
    <x v="16"/>
    <x v="0"/>
    <n v="0.38621711903889011"/>
    <n v="-114596.194333936"/>
    <n v="-119727.30690205593"/>
    <n v="93016.808157945881"/>
    <n v="-21579.386175990119"/>
    <s v="36892IF-TRANSCO/Z6"/>
    <n v="-31"/>
  </r>
  <r>
    <x v="3"/>
    <x v="0"/>
    <s v="NK7692"/>
    <x v="0"/>
    <x v="0"/>
    <x v="0"/>
    <x v="17"/>
    <n v="-310000"/>
    <x v="31"/>
    <x v="17"/>
    <n v="1.645"/>
    <n v="6.4450000000000003"/>
    <x v="17"/>
    <x v="12"/>
    <n v="0.69"/>
    <x v="7"/>
    <x v="17"/>
    <x v="0"/>
    <n v="0.15867812072193169"/>
    <n v="-68325.405215692153"/>
    <n v="-49190.217423798822"/>
    <n v="53896.026614231698"/>
    <n v="-14429.378601460456"/>
    <s v="36861IF-TRANSCO/Z6"/>
    <n v="-31"/>
  </r>
  <r>
    <x v="3"/>
    <x v="0"/>
    <s v="NK7692"/>
    <x v="0"/>
    <x v="0"/>
    <x v="0"/>
    <x v="18"/>
    <n v="-300000"/>
    <x v="31"/>
    <x v="18"/>
    <n v="0.77"/>
    <n v="5.5060000000000002"/>
    <x v="18"/>
    <x v="13"/>
    <n v="0.625"/>
    <x v="6"/>
    <x v="18"/>
    <x v="0"/>
    <n v="2.0084677451953142E-3"/>
    <n v="-2559.7493323134286"/>
    <n v="-602.54032355859431"/>
    <n v="1958.3392766438394"/>
    <n v="-601.41005566958916"/>
    <s v="36831IF-TRANSCO/Z6"/>
    <n v="-30"/>
  </r>
  <r>
    <x v="3"/>
    <x v="0"/>
    <s v="NK7700"/>
    <x v="0"/>
    <x v="0"/>
    <x v="1"/>
    <x v="14"/>
    <n v="500000"/>
    <x v="12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</r>
  <r>
    <x v="3"/>
    <x v="0"/>
    <s v="NL2540.1"/>
    <x v="0"/>
    <x v="0"/>
    <x v="0"/>
    <x v="14"/>
    <n v="-1000000"/>
    <x v="32"/>
    <x v="14"/>
    <n v="1.075"/>
    <n v="5.2880000000000003"/>
    <x v="14"/>
    <x v="9"/>
    <n v="0.61199999999999999"/>
    <x v="7"/>
    <x v="14"/>
    <x v="0"/>
    <n v="0.29169353443198293"/>
    <n v="-358544.99221515533"/>
    <n v="-291693.5344319829"/>
    <n v="281111.32176072628"/>
    <n v="-77433.670454429055"/>
    <s v="36951IF-TRANSCO/Z6"/>
    <n v="-100"/>
  </r>
  <r>
    <x v="3"/>
    <x v="0"/>
    <s v="NL2540.1"/>
    <x v="0"/>
    <x v="0"/>
    <x v="0"/>
    <x v="15"/>
    <n v="-1000000"/>
    <x v="32"/>
    <x v="15"/>
    <n v="2.09"/>
    <n v="6.57"/>
    <x v="15"/>
    <x v="10"/>
    <n v="0.68100000000000005"/>
    <x v="7"/>
    <x v="15"/>
    <x v="0"/>
    <n v="0.83167569846266187"/>
    <n v="-615005.20832498663"/>
    <n v="-831675.69846266182"/>
    <n v="529691.58460641641"/>
    <n v="-85313.623718570219"/>
    <s v="36923IF-TRANSCO/Z6"/>
    <n v="-100"/>
  </r>
  <r>
    <x v="3"/>
    <x v="0"/>
    <s v="NL2540.1"/>
    <x v="0"/>
    <x v="0"/>
    <x v="0"/>
    <x v="16"/>
    <n v="-1000000"/>
    <x v="32"/>
    <x v="16"/>
    <n v="2.17"/>
    <n v="6.9139999999999997"/>
    <x v="16"/>
    <x v="11"/>
    <n v="0.69599999999999995"/>
    <x v="7"/>
    <x v="16"/>
    <x v="0"/>
    <n v="0.84805353713203213"/>
    <n v="-636286.9272110064"/>
    <n v="-848053.5371320321"/>
    <n v="559116.94176896417"/>
    <n v="-77169.985442042234"/>
    <s v="36892IF-TRANSCO/Z6"/>
    <n v="-100"/>
  </r>
  <r>
    <x v="3"/>
    <x v="0"/>
    <s v="NL2540.1"/>
    <x v="0"/>
    <x v="0"/>
    <x v="0"/>
    <x v="17"/>
    <n v="-1000000"/>
    <x v="32"/>
    <x v="17"/>
    <n v="1.645"/>
    <n v="6.4450000000000003"/>
    <x v="17"/>
    <x v="12"/>
    <n v="0.69"/>
    <x v="7"/>
    <x v="17"/>
    <x v="0"/>
    <n v="0.47281258615513388"/>
    <n v="-502675.01261715597"/>
    <n v="-472812.5861551339"/>
    <n v="432501.34243843274"/>
    <n v="-70173.67017872323"/>
    <s v="36861IF-TRANSCO/Z6"/>
    <n v="-100"/>
  </r>
  <r>
    <x v="3"/>
    <x v="0"/>
    <s v="NL2540.1"/>
    <x v="0"/>
    <x v="0"/>
    <x v="0"/>
    <x v="18"/>
    <n v="-1000000"/>
    <x v="32"/>
    <x v="18"/>
    <n v="0.77"/>
    <n v="5.5060000000000002"/>
    <x v="18"/>
    <x v="13"/>
    <n v="0.625"/>
    <x v="6"/>
    <x v="18"/>
    <x v="0"/>
    <n v="3.5639805064446209E-2"/>
    <n v="-111379.45500328676"/>
    <n v="-35639.805064446206"/>
    <n v="92763.479981175478"/>
    <n v="-18615.975022111277"/>
    <s v="36831IF-TRANSCO/Z6"/>
    <n v="-100"/>
  </r>
  <r>
    <x v="3"/>
    <x v="0"/>
    <s v="NL2540.2"/>
    <x v="0"/>
    <x v="0"/>
    <x v="0"/>
    <x v="14"/>
    <n v="1000000"/>
    <x v="33"/>
    <x v="14"/>
    <n v="1.075"/>
    <n v="5.2880000000000003"/>
    <x v="14"/>
    <x v="9"/>
    <n v="0.61199999999999999"/>
    <x v="7"/>
    <x v="14"/>
    <x v="0"/>
    <n v="0.15769806655468968"/>
    <n v="220747.75959653669"/>
    <n v="157698.06655468969"/>
    <n v="-163439.17021491885"/>
    <n v="57308.589381617843"/>
    <s v="36951IF-TRANSCO/Z6"/>
    <n v="100"/>
  </r>
  <r>
    <x v="3"/>
    <x v="0"/>
    <s v="NL2540.2"/>
    <x v="0"/>
    <x v="0"/>
    <x v="0"/>
    <x v="15"/>
    <n v="1000000"/>
    <x v="33"/>
    <x v="15"/>
    <n v="2.09"/>
    <n v="6.57"/>
    <x v="15"/>
    <x v="10"/>
    <n v="0.68100000000000005"/>
    <x v="7"/>
    <x v="15"/>
    <x v="0"/>
    <n v="0.53709625631967106"/>
    <n v="457823.52405267616"/>
    <n v="537096.25631967105"/>
    <n v="-375053.92181647627"/>
    <n v="82769.602236199891"/>
    <s v="36923IF-TRANSCO/Z6"/>
    <n v="100"/>
  </r>
  <r>
    <x v="3"/>
    <x v="0"/>
    <s v="NL2540.2"/>
    <x v="0"/>
    <x v="0"/>
    <x v="0"/>
    <x v="16"/>
    <n v="1000000"/>
    <x v="33"/>
    <x v="16"/>
    <n v="2.17"/>
    <n v="6.9139999999999997"/>
    <x v="16"/>
    <x v="11"/>
    <n v="0.69599999999999995"/>
    <x v="7"/>
    <x v="16"/>
    <x v="0"/>
    <n v="0.53186610397093281"/>
    <n v="467162.63651000749"/>
    <n v="531866.10397093277"/>
    <n v="-390800.80571110657"/>
    <n v="76361.830798900919"/>
    <s v="36892IF-TRANSCO/Z6"/>
    <n v="100"/>
  </r>
  <r>
    <x v="3"/>
    <x v="0"/>
    <s v="NL2540.2"/>
    <x v="0"/>
    <x v="0"/>
    <x v="0"/>
    <x v="17"/>
    <n v="1000000"/>
    <x v="33"/>
    <x v="17"/>
    <n v="1.645"/>
    <n v="6.4450000000000003"/>
    <x v="17"/>
    <x v="12"/>
    <n v="0.69"/>
    <x v="7"/>
    <x v="17"/>
    <x v="0"/>
    <n v="0.24773751980055622"/>
    <n v="313568.26351721247"/>
    <n v="247737.51980055621"/>
    <n v="-255541.43698000131"/>
    <n v="58026.826537211164"/>
    <s v="36861IF-TRANSCO/Z6"/>
    <n v="100"/>
  </r>
  <r>
    <x v="3"/>
    <x v="0"/>
    <s v="NL2540.2"/>
    <x v="0"/>
    <x v="0"/>
    <x v="0"/>
    <x v="18"/>
    <n v="1000000"/>
    <x v="33"/>
    <x v="18"/>
    <n v="0.77"/>
    <n v="5.5060000000000002"/>
    <x v="18"/>
    <x v="13"/>
    <n v="0.625"/>
    <x v="6"/>
    <x v="18"/>
    <x v="0"/>
    <n v="6.4395475095290703E-3"/>
    <n v="24732.567910056041"/>
    <n v="6439.5475095290703"/>
    <n v="-19500.594567664339"/>
    <n v="5231.9733423917023"/>
    <s v="36831IF-TRANSCO/Z6"/>
    <n v="100"/>
  </r>
  <r>
    <x v="3"/>
    <x v="0"/>
    <s v="NL4381.1"/>
    <x v="0"/>
    <x v="0"/>
    <x v="1"/>
    <x v="12"/>
    <n v="-1000000"/>
    <x v="34"/>
    <x v="12"/>
    <n v="0.41499999999999998"/>
    <n v="5.1070000000000002"/>
    <x v="12"/>
    <x v="8"/>
    <n v="0.56399999999999995"/>
    <x v="2"/>
    <x v="12"/>
    <x v="1"/>
    <n v="0.10093567753937571"/>
    <n v="751326.60951049312"/>
    <n v="-100935.67753937571"/>
    <n v="-756166.29918914556"/>
    <n v="-4839.6896786524449"/>
    <s v="36800IF-TRANSCO/Z6"/>
    <n v="-100"/>
  </r>
  <r>
    <x v="3"/>
    <x v="0"/>
    <s v="NL4381.1"/>
    <x v="0"/>
    <x v="0"/>
    <x v="1"/>
    <x v="13"/>
    <n v="-1000000"/>
    <x v="34"/>
    <x v="13"/>
    <n v="0.315"/>
    <n v="5"/>
    <x v="13"/>
    <x v="5"/>
    <n v="0.39200000000000002"/>
    <x v="2"/>
    <x v="13"/>
    <x v="1"/>
    <n v="0.18493192220017224"/>
    <n v="999632.01189282339"/>
    <n v="-184931.92220017224"/>
    <n v="-999632.01189282339"/>
    <n v="0"/>
    <s v="36770IF-TRANSCO/Z6"/>
    <n v="-100"/>
  </r>
  <r>
    <x v="3"/>
    <x v="0"/>
    <s v="NL4381.2"/>
    <x v="0"/>
    <x v="0"/>
    <x v="1"/>
    <x v="12"/>
    <n v="1000000"/>
    <x v="1"/>
    <x v="12"/>
    <n v="0.41499999999999998"/>
    <n v="5.1070000000000002"/>
    <x v="12"/>
    <x v="8"/>
    <n v="0.56399999999999995"/>
    <x v="2"/>
    <x v="12"/>
    <x v="1"/>
    <n v="7.4089661656390193E-3"/>
    <n v="-134722.12384663086"/>
    <n v="7408.966165639019"/>
    <n v="138636.2477317623"/>
    <n v="3914.1238851314411"/>
    <s v="36800IF-TRANSCO/Z6"/>
    <n v="100"/>
  </r>
  <r>
    <x v="3"/>
    <x v="0"/>
    <s v="NL4381.2"/>
    <x v="0"/>
    <x v="0"/>
    <x v="1"/>
    <x v="13"/>
    <n v="1000000"/>
    <x v="1"/>
    <x v="13"/>
    <n v="0.315"/>
    <n v="5"/>
    <x v="13"/>
    <x v="5"/>
    <n v="0.39200000000000002"/>
    <x v="2"/>
    <x v="13"/>
    <x v="1"/>
    <n v="2.1419777501948678E-3"/>
    <n v="-206275.97847689837"/>
    <n v="2141.9777501948679"/>
    <n v="207189.85950967937"/>
    <n v="913.88103278100607"/>
    <s v="36770IF-TRANSCO/Z6"/>
    <n v="100"/>
  </r>
  <r>
    <x v="3"/>
    <x v="0"/>
    <s v="NL6881"/>
    <x v="0"/>
    <x v="0"/>
    <x v="0"/>
    <x v="14"/>
    <n v="-1000000"/>
    <x v="31"/>
    <x v="14"/>
    <n v="1.075"/>
    <n v="5.2880000000000003"/>
    <x v="14"/>
    <x v="9"/>
    <n v="0.61199999999999999"/>
    <x v="7"/>
    <x v="14"/>
    <x v="0"/>
    <n v="0.10527550921372972"/>
    <n v="-157880.95903688858"/>
    <n v="-105275.50921372972"/>
    <n v="113097.85604544597"/>
    <n v="-44783.102991442618"/>
    <s v="36951IF-TRANSCO/Z6"/>
    <n v="-100"/>
  </r>
  <r>
    <x v="3"/>
    <x v="0"/>
    <s v="NL6881"/>
    <x v="0"/>
    <x v="0"/>
    <x v="0"/>
    <x v="15"/>
    <n v="-1000000"/>
    <x v="31"/>
    <x v="15"/>
    <n v="2.09"/>
    <n v="6.57"/>
    <x v="15"/>
    <x v="10"/>
    <n v="0.68100000000000005"/>
    <x v="7"/>
    <x v="15"/>
    <x v="0"/>
    <n v="0.39988323237582518"/>
    <n v="-368271.06685236952"/>
    <n v="-399883.23237582517"/>
    <n v="292707.49846400839"/>
    <n v="-75563.568388361135"/>
    <s v="36923IF-TRANSCO/Z6"/>
    <n v="-100"/>
  </r>
  <r>
    <x v="3"/>
    <x v="0"/>
    <s v="NL6881"/>
    <x v="0"/>
    <x v="0"/>
    <x v="0"/>
    <x v="16"/>
    <n v="-1000000"/>
    <x v="31"/>
    <x v="16"/>
    <n v="2.17"/>
    <n v="6.9139999999999997"/>
    <x v="16"/>
    <x v="11"/>
    <n v="0.69599999999999995"/>
    <x v="7"/>
    <x v="16"/>
    <x v="0"/>
    <n v="0.38621711903889011"/>
    <n v="-369665.14301269676"/>
    <n v="-386217.11903889012"/>
    <n v="300054.21986434155"/>
    <n v="-69610.923148355214"/>
    <s v="36892IF-TRANSCO/Z6"/>
    <n v="-100"/>
  </r>
  <r>
    <x v="3"/>
    <x v="0"/>
    <s v="NL6881"/>
    <x v="0"/>
    <x v="0"/>
    <x v="0"/>
    <x v="17"/>
    <n v="-1000000"/>
    <x v="31"/>
    <x v="17"/>
    <n v="1.645"/>
    <n v="6.4450000000000003"/>
    <x v="17"/>
    <x v="12"/>
    <n v="0.69"/>
    <x v="7"/>
    <x v="17"/>
    <x v="0"/>
    <n v="0.15867812072193169"/>
    <n v="-220404.53295384566"/>
    <n v="-158678.12072193169"/>
    <n v="173858.15036848933"/>
    <n v="-46546.382585356332"/>
    <s v="36861IF-TRANSCO/Z6"/>
    <n v="-100"/>
  </r>
  <r>
    <x v="3"/>
    <x v="0"/>
    <s v="NL6881"/>
    <x v="0"/>
    <x v="0"/>
    <x v="0"/>
    <x v="18"/>
    <n v="-1000000"/>
    <x v="31"/>
    <x v="18"/>
    <n v="0.77"/>
    <n v="5.5060000000000002"/>
    <x v="18"/>
    <x v="13"/>
    <n v="0.625"/>
    <x v="6"/>
    <x v="18"/>
    <x v="0"/>
    <n v="2.0084677451953142E-3"/>
    <n v="-8532.4977743780946"/>
    <n v="-2008.4677451953141"/>
    <n v="6527.7975888127985"/>
    <n v="-2004.7001855652961"/>
    <s v="36831IF-TRANSCO/Z6"/>
    <n v="-100"/>
  </r>
  <r>
    <x v="6"/>
    <x v="0"/>
    <s v="NL6887"/>
    <x v="0"/>
    <x v="0"/>
    <x v="1"/>
    <x v="14"/>
    <n v="500000"/>
    <x v="34"/>
    <x v="14"/>
    <n v="1.075"/>
    <n v="5.2880000000000003"/>
    <x v="14"/>
    <x v="9"/>
    <n v="0.61199999999999999"/>
    <x v="7"/>
    <x v="14"/>
    <x v="1"/>
    <n v="0.24036985282510182"/>
    <n v="-133165.37375305043"/>
    <n v="120184.92641255091"/>
    <n v="174163.39875163429"/>
    <n v="40998.02499858386"/>
    <s v="36951IF-TRANSCO/Z6"/>
    <n v="50"/>
  </r>
  <r>
    <x v="6"/>
    <x v="0"/>
    <s v="NL6890.1"/>
    <x v="0"/>
    <x v="0"/>
    <x v="0"/>
    <x v="14"/>
    <n v="500000"/>
    <x v="35"/>
    <x v="14"/>
    <n v="1.075"/>
    <n v="5.2880000000000003"/>
    <x v="14"/>
    <x v="9"/>
    <n v="0.61199999999999999"/>
    <x v="7"/>
    <x v="14"/>
    <x v="0"/>
    <n v="0.3382216721586368"/>
    <n v="200224.15263261457"/>
    <n v="169110.8360793184"/>
    <n v="-159408.26181924247"/>
    <n v="40815.890813372098"/>
    <s v="36951IF-TRANSCO/Z6"/>
    <n v="50"/>
  </r>
  <r>
    <x v="6"/>
    <x v="0"/>
    <s v="NL6890.1"/>
    <x v="0"/>
    <x v="0"/>
    <x v="0"/>
    <x v="15"/>
    <n v="500000"/>
    <x v="35"/>
    <x v="15"/>
    <n v="2.09"/>
    <n v="6.57"/>
    <x v="15"/>
    <x v="10"/>
    <n v="0.68100000000000005"/>
    <x v="7"/>
    <x v="15"/>
    <x v="0"/>
    <n v="0.92173554493353982"/>
    <n v="327487.79939046275"/>
    <n v="460867.77246676991"/>
    <n v="-285683.3298622687"/>
    <n v="41804.469528194051"/>
    <s v="36923IF-TRANSCO/Z6"/>
    <n v="50"/>
  </r>
  <r>
    <x v="6"/>
    <x v="0"/>
    <s v="NL6890.1"/>
    <x v="0"/>
    <x v="0"/>
    <x v="0"/>
    <x v="16"/>
    <n v="500000"/>
    <x v="35"/>
    <x v="16"/>
    <n v="2.17"/>
    <n v="6.9139999999999997"/>
    <x v="16"/>
    <x v="11"/>
    <n v="0.69599999999999995"/>
    <x v="7"/>
    <x v="16"/>
    <x v="0"/>
    <n v="0.94484293736027969"/>
    <n v="339200.28904285334"/>
    <n v="472421.46868013986"/>
    <n v="-301756.57980394992"/>
    <n v="37443.709238903422"/>
    <s v="36892IF-TRANSCO/Z6"/>
    <n v="50"/>
  </r>
  <r>
    <x v="6"/>
    <x v="0"/>
    <s v="NL6890.1"/>
    <x v="0"/>
    <x v="0"/>
    <x v="0"/>
    <x v="17"/>
    <n v="500000"/>
    <x v="35"/>
    <x v="17"/>
    <n v="1.645"/>
    <n v="6.4450000000000003"/>
    <x v="17"/>
    <x v="12"/>
    <n v="0.69"/>
    <x v="7"/>
    <x v="17"/>
    <x v="0"/>
    <n v="0.54866336223080558"/>
    <n v="277532.47018224315"/>
    <n v="274331.68111540278"/>
    <n v="-242120.38192529423"/>
    <n v="35412.088256948919"/>
    <s v="36861IF-TRANSCO/Z6"/>
    <n v="50"/>
  </r>
  <r>
    <x v="6"/>
    <x v="0"/>
    <s v="NL6890.1"/>
    <x v="0"/>
    <x v="0"/>
    <x v="0"/>
    <x v="18"/>
    <n v="500000"/>
    <x v="35"/>
    <x v="18"/>
    <n v="0.77"/>
    <n v="5.5060000000000002"/>
    <x v="18"/>
    <x v="13"/>
    <n v="0.625"/>
    <x v="6"/>
    <x v="18"/>
    <x v="0"/>
    <n v="5.2891005139987859E-2"/>
    <n v="77551.025384558772"/>
    <n v="26445.502569993929"/>
    <n v="-65577.617193247483"/>
    <n v="11973.40819131129"/>
    <s v="36831IF-TRANSCO/Z6"/>
    <n v="50"/>
  </r>
  <r>
    <x v="6"/>
    <x v="0"/>
    <s v="NL6890.2"/>
    <x v="0"/>
    <x v="0"/>
    <x v="1"/>
    <x v="14"/>
    <n v="500000"/>
    <x v="35"/>
    <x v="14"/>
    <n v="1.075"/>
    <n v="5.2880000000000003"/>
    <x v="14"/>
    <x v="9"/>
    <n v="0.61199999999999999"/>
    <x v="7"/>
    <x v="14"/>
    <x v="1"/>
    <n v="0.81643031884466799"/>
    <n v="-282814.88442398247"/>
    <n v="408215.15942233399"/>
    <n v="323630.77523735451"/>
    <n v="40815.89081337204"/>
    <s v="36951IF-TRANSCO/Z6"/>
    <n v="50"/>
  </r>
  <r>
    <x v="6"/>
    <x v="0"/>
    <s v="NL6890.2"/>
    <x v="0"/>
    <x v="0"/>
    <x v="1"/>
    <x v="15"/>
    <n v="500000"/>
    <x v="35"/>
    <x v="15"/>
    <n v="2.09"/>
    <n v="6.57"/>
    <x v="15"/>
    <x v="10"/>
    <n v="0.68100000000000005"/>
    <x v="7"/>
    <x v="15"/>
    <x v="1"/>
    <n v="0.41666394518856542"/>
    <n v="-158157.9695950895"/>
    <n v="208331.97259428271"/>
    <n v="199962.43912328355"/>
    <n v="41804.469528194051"/>
    <s v="36923IF-TRANSCO/Z6"/>
    <n v="50"/>
  </r>
  <r>
    <x v="6"/>
    <x v="0"/>
    <s v="NL6890.2"/>
    <x v="0"/>
    <x v="0"/>
    <x v="1"/>
    <x v="16"/>
    <n v="500000"/>
    <x v="35"/>
    <x v="16"/>
    <n v="2.17"/>
    <n v="6.9139999999999997"/>
    <x v="16"/>
    <x v="11"/>
    <n v="0.69599999999999995"/>
    <x v="7"/>
    <x v="16"/>
    <x v="1"/>
    <n v="0.3583906901707774"/>
    <n v="-149509.91694839826"/>
    <n v="179195.34508538869"/>
    <n v="186953.62618730165"/>
    <n v="37443.709238903393"/>
    <s v="36892IF-TRANSCO/Z6"/>
    <n v="50"/>
  </r>
  <r>
    <x v="6"/>
    <x v="0"/>
    <s v="NL6890.2"/>
    <x v="0"/>
    <x v="0"/>
    <x v="1"/>
    <x v="17"/>
    <n v="500000"/>
    <x v="35"/>
    <x v="17"/>
    <n v="1.645"/>
    <n v="6.4450000000000003"/>
    <x v="17"/>
    <x v="12"/>
    <n v="0.69"/>
    <x v="7"/>
    <x v="17"/>
    <x v="1"/>
    <n v="0.47495664136027971"/>
    <n v="-213845.66895459383"/>
    <n v="237478.32068013985"/>
    <n v="249257.75721154275"/>
    <n v="35412.088256948919"/>
    <s v="36861IF-TRANSCO/Z6"/>
    <n v="50"/>
  </r>
  <r>
    <x v="6"/>
    <x v="0"/>
    <s v="NL6890.2"/>
    <x v="0"/>
    <x v="0"/>
    <x v="1"/>
    <x v="18"/>
    <n v="500000"/>
    <x v="35"/>
    <x v="18"/>
    <n v="0.77"/>
    <n v="5.5060000000000002"/>
    <x v="18"/>
    <x v="13"/>
    <n v="0.625"/>
    <x v="6"/>
    <x v="18"/>
    <x v="1"/>
    <n v="0.84354809611522819"/>
    <n v="-416609.65647496685"/>
    <n v="421774.04805761407"/>
    <n v="428583.06466627814"/>
    <n v="11973.40819131129"/>
    <s v="36831IF-TRANSCO/Z6"/>
    <n v="50"/>
  </r>
  <r>
    <x v="3"/>
    <x v="0"/>
    <s v="NL8209.1"/>
    <x v="0"/>
    <x v="0"/>
    <x v="0"/>
    <x v="18"/>
    <n v="-2000000"/>
    <x v="36"/>
    <x v="18"/>
    <n v="0.77"/>
    <n v="5.5060000000000002"/>
    <x v="18"/>
    <x v="13"/>
    <n v="0.625"/>
    <x v="6"/>
    <x v="18"/>
    <x v="0"/>
    <n v="6.1505973255472926E-2"/>
    <n v="-351240.88907111483"/>
    <n v="-123011.94651094585"/>
    <n v="298839.4338935939"/>
    <n v="-52401.455177520926"/>
    <s v="36831IF-TRANSCO/Z6"/>
    <n v="-200"/>
  </r>
  <r>
    <x v="10"/>
    <x v="1"/>
    <s v="NL8209.2"/>
    <x v="0"/>
    <x v="0"/>
    <x v="0"/>
    <x v="18"/>
    <n v="1000000"/>
    <x v="36"/>
    <x v="18"/>
    <n v="0.77"/>
    <n v="5.5060000000000002"/>
    <x v="18"/>
    <x v="13"/>
    <n v="0.625"/>
    <x v="6"/>
    <x v="18"/>
    <x v="0"/>
    <n v="6.1505973255472926E-2"/>
    <n v="175620.44453555741"/>
    <n v="61505.973255472927"/>
    <n v="-149419.71694679695"/>
    <n v="26200.727588760463"/>
    <s v="36831IF-TRANSCO/Z6"/>
    <n v="100"/>
  </r>
  <r>
    <x v="3"/>
    <x v="0"/>
    <s v="NL8217"/>
    <x v="0"/>
    <x v="0"/>
    <x v="0"/>
    <x v="11"/>
    <n v="-1000000"/>
    <x v="17"/>
    <x v="11"/>
    <n v="0.52"/>
    <n v="4.4580000000000002"/>
    <x v="11"/>
    <x v="7"/>
    <n v="0.434"/>
    <x v="1"/>
    <x v="11"/>
    <x v="0"/>
    <n v="7.4548084161956366E-2"/>
    <n v="-323856.18761272356"/>
    <n v="-74548.084161956373"/>
    <n v="301953.70251641417"/>
    <n v="-21902.485096309392"/>
    <s v="36982IF-TRANSCO/Z6"/>
    <n v="-100"/>
  </r>
  <r>
    <x v="19"/>
    <x v="0"/>
    <s v="NL8222"/>
    <x v="0"/>
    <x v="0"/>
    <x v="0"/>
    <x v="11"/>
    <n v="-2100000"/>
    <x v="17"/>
    <x v="11"/>
    <n v="0.52"/>
    <n v="4.4580000000000002"/>
    <x v="11"/>
    <x v="7"/>
    <n v="0.434"/>
    <x v="1"/>
    <x v="11"/>
    <x v="0"/>
    <n v="7.4548084161956366E-2"/>
    <n v="-680097.99398671952"/>
    <n v="-156550.97674010837"/>
    <n v="634102.77528446983"/>
    <n v="-45995.218702249695"/>
    <s v="36982IF-TRANSCO/Z6"/>
    <n v="-210"/>
  </r>
  <r>
    <x v="8"/>
    <x v="0"/>
    <s v="NL8409"/>
    <x v="0"/>
    <x v="0"/>
    <x v="1"/>
    <x v="14"/>
    <n v="930000"/>
    <x v="12"/>
    <x v="14"/>
    <n v="1.075"/>
    <n v="5.2880000000000003"/>
    <x v="14"/>
    <x v="9"/>
    <n v="0.61199999999999999"/>
    <x v="7"/>
    <x v="14"/>
    <x v="1"/>
    <n v="0.34215489694425383"/>
    <n v="-315415.92311514739"/>
    <n v="318204.05415815604"/>
    <n v="396716.8048559915"/>
    <n v="81300.88174084411"/>
    <s v="36951IF-TRANSCO/Z6"/>
    <n v="93"/>
  </r>
  <r>
    <x v="8"/>
    <x v="0"/>
    <s v="NL8409"/>
    <x v="0"/>
    <x v="0"/>
    <x v="1"/>
    <x v="15"/>
    <n v="840000"/>
    <x v="12"/>
    <x v="15"/>
    <n v="2.09"/>
    <n v="6.57"/>
    <x v="15"/>
    <x v="10"/>
    <n v="0.68100000000000005"/>
    <x v="7"/>
    <x v="15"/>
    <x v="1"/>
    <n v="0.14024849922231708"/>
    <n v="-122458.85759807257"/>
    <n v="117808.73934674634"/>
    <n v="174093.29773574992"/>
    <n v="51634.440137677346"/>
    <s v="36923IF-TRANSCO/Z6"/>
    <n v="84"/>
  </r>
  <r>
    <x v="8"/>
    <x v="0"/>
    <s v="NL8409"/>
    <x v="0"/>
    <x v="0"/>
    <x v="1"/>
    <x v="16"/>
    <n v="930000"/>
    <x v="12"/>
    <x v="16"/>
    <n v="2.17"/>
    <n v="6.9139999999999997"/>
    <x v="16"/>
    <x v="11"/>
    <n v="0.69599999999999995"/>
    <x v="7"/>
    <x v="16"/>
    <x v="1"/>
    <n v="0.11073968944962387"/>
    <n v="-118036.78263069727"/>
    <n v="102987.9111881502"/>
    <n v="165446.08411717322"/>
    <n v="47409.301486475946"/>
    <s v="36892IF-TRANSCO/Z6"/>
    <n v="93"/>
  </r>
  <r>
    <x v="8"/>
    <x v="0"/>
    <s v="NL8409"/>
    <x v="0"/>
    <x v="0"/>
    <x v="1"/>
    <x v="17"/>
    <n v="930000"/>
    <x v="12"/>
    <x v="17"/>
    <n v="1.645"/>
    <n v="6.4450000000000003"/>
    <x v="17"/>
    <x v="12"/>
    <n v="0.69"/>
    <x v="7"/>
    <x v="17"/>
    <x v="1"/>
    <n v="0.14791698517127294"/>
    <n v="-178025.60648008855"/>
    <n v="137562.79620928384"/>
    <n v="229717.87115916394"/>
    <n v="51692.264679075393"/>
    <s v="36861IF-TRANSCO/Z6"/>
    <n v="93"/>
  </r>
  <r>
    <x v="8"/>
    <x v="0"/>
    <s v="NL8409"/>
    <x v="0"/>
    <x v="0"/>
    <x v="1"/>
    <x v="18"/>
    <n v="900000"/>
    <x v="12"/>
    <x v="18"/>
    <n v="0.77"/>
    <n v="5.5060000000000002"/>
    <x v="18"/>
    <x v="13"/>
    <n v="0.625"/>
    <x v="6"/>
    <x v="18"/>
    <x v="1"/>
    <n v="0.24961789258441158"/>
    <n v="-412498.90452096984"/>
    <n v="224656.10332597041"/>
    <n v="453134.43973582273"/>
    <n v="40635.535214852891"/>
    <s v="36831IF-TRANSCO/Z6"/>
    <n v="90"/>
  </r>
  <r>
    <x v="3"/>
    <x v="0"/>
    <s v="NL8413.1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3"/>
    <x v="0"/>
    <s v="NL8413.2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3"/>
    <x v="0"/>
    <s v="NL8413.3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9"/>
    <x v="0"/>
    <s v="NL8419.1"/>
    <x v="0"/>
    <x v="0"/>
    <x v="0"/>
    <x v="14"/>
    <n v="-310000"/>
    <x v="32"/>
    <x v="14"/>
    <n v="1.075"/>
    <n v="5.2880000000000003"/>
    <x v="14"/>
    <x v="9"/>
    <n v="0.61199999999999999"/>
    <x v="7"/>
    <x v="14"/>
    <x v="0"/>
    <n v="0.29169353443198293"/>
    <n v="-111148.94758669815"/>
    <n v="-90424.995673914702"/>
    <n v="87144.509745825155"/>
    <n v="-24004.437840872997"/>
    <s v="36951IF-TRANSCO/Z6"/>
    <n v="-31"/>
  </r>
  <r>
    <x v="9"/>
    <x v="0"/>
    <s v="NL8419.1"/>
    <x v="0"/>
    <x v="0"/>
    <x v="0"/>
    <x v="15"/>
    <n v="-280000"/>
    <x v="32"/>
    <x v="15"/>
    <n v="2.09"/>
    <n v="6.57"/>
    <x v="15"/>
    <x v="10"/>
    <n v="0.68100000000000005"/>
    <x v="7"/>
    <x v="15"/>
    <x v="0"/>
    <n v="0.83167569846266187"/>
    <n v="-172201.45833099625"/>
    <n v="-232869.19556954532"/>
    <n v="148313.64368979659"/>
    <n v="-23887.814641199657"/>
    <s v="36923IF-TRANSCO/Z6"/>
    <n v="-28"/>
  </r>
  <r>
    <x v="9"/>
    <x v="0"/>
    <s v="NL8419.1"/>
    <x v="0"/>
    <x v="0"/>
    <x v="0"/>
    <x v="16"/>
    <n v="-310000"/>
    <x v="32"/>
    <x v="16"/>
    <n v="2.17"/>
    <n v="6.9139999999999997"/>
    <x v="16"/>
    <x v="11"/>
    <n v="0.69599999999999995"/>
    <x v="7"/>
    <x v="16"/>
    <x v="0"/>
    <n v="0.84805353713203213"/>
    <n v="-197248.947435412"/>
    <n v="-262896.59651092999"/>
    <n v="173326.25194837889"/>
    <n v="-23922.69548703311"/>
    <s v="36892IF-TRANSCO/Z6"/>
    <n v="-31"/>
  </r>
  <r>
    <x v="9"/>
    <x v="0"/>
    <s v="NL8419.1"/>
    <x v="0"/>
    <x v="0"/>
    <x v="0"/>
    <x v="17"/>
    <n v="-310000"/>
    <x v="32"/>
    <x v="17"/>
    <n v="1.645"/>
    <n v="6.4450000000000003"/>
    <x v="17"/>
    <x v="12"/>
    <n v="0.69"/>
    <x v="7"/>
    <x v="17"/>
    <x v="0"/>
    <n v="0.47281258615513388"/>
    <n v="-155829.25391131834"/>
    <n v="-146571.90170809149"/>
    <n v="134075.41615591416"/>
    <n v="-21753.83775540418"/>
    <s v="36861IF-TRANSCO/Z6"/>
    <n v="-31"/>
  </r>
  <r>
    <x v="9"/>
    <x v="0"/>
    <s v="NL8419.1"/>
    <x v="0"/>
    <x v="0"/>
    <x v="0"/>
    <x v="18"/>
    <n v="-300000"/>
    <x v="32"/>
    <x v="18"/>
    <n v="0.77"/>
    <n v="5.5060000000000002"/>
    <x v="18"/>
    <x v="13"/>
    <n v="0.625"/>
    <x v="6"/>
    <x v="18"/>
    <x v="0"/>
    <n v="3.5639805064446209E-2"/>
    <n v="-33413.836500986028"/>
    <n v="-10691.941519333863"/>
    <n v="27829.043994352643"/>
    <n v="-5584.7925066333846"/>
    <s v="36831IF-TRANSCO/Z6"/>
    <n v="-30"/>
  </r>
  <r>
    <x v="9"/>
    <x v="0"/>
    <s v="NL8419.2"/>
    <x v="0"/>
    <x v="0"/>
    <x v="0"/>
    <x v="14"/>
    <n v="310000"/>
    <x v="33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</r>
  <r>
    <x v="9"/>
    <x v="0"/>
    <s v="NL8419.2"/>
    <x v="0"/>
    <x v="0"/>
    <x v="0"/>
    <x v="15"/>
    <n v="280000"/>
    <x v="33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</r>
  <r>
    <x v="9"/>
    <x v="0"/>
    <s v="NL8419.2"/>
    <x v="0"/>
    <x v="0"/>
    <x v="0"/>
    <x v="16"/>
    <n v="310000"/>
    <x v="33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</r>
  <r>
    <x v="9"/>
    <x v="0"/>
    <s v="NL8419.2"/>
    <x v="0"/>
    <x v="0"/>
    <x v="0"/>
    <x v="17"/>
    <n v="310000"/>
    <x v="33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</r>
  <r>
    <x v="9"/>
    <x v="0"/>
    <s v="NL8419.2"/>
    <x v="0"/>
    <x v="0"/>
    <x v="0"/>
    <x v="18"/>
    <n v="300000"/>
    <x v="33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</r>
  <r>
    <x v="20"/>
    <x v="0"/>
    <s v="NL9178"/>
    <x v="0"/>
    <x v="0"/>
    <x v="1"/>
    <x v="14"/>
    <n v="500000"/>
    <x v="37"/>
    <x v="14"/>
    <n v="1.075"/>
    <n v="5.2880000000000003"/>
    <x v="14"/>
    <x v="9"/>
    <n v="0.61199999999999999"/>
    <x v="7"/>
    <x v="14"/>
    <x v="1"/>
    <n v="0.20592347587252724"/>
    <n v="-119154.24145648818"/>
    <n v="102961.73793626361"/>
    <n v="158496.92998042132"/>
    <n v="39342.688523933146"/>
    <s v="36951IF-TRANSCO/Z6"/>
    <n v="50"/>
  </r>
  <r>
    <x v="20"/>
    <x v="0"/>
    <s v="NL9178"/>
    <x v="0"/>
    <x v="0"/>
    <x v="1"/>
    <x v="15"/>
    <n v="500000"/>
    <x v="37"/>
    <x v="15"/>
    <n v="2.09"/>
    <n v="6.57"/>
    <x v="15"/>
    <x v="10"/>
    <n v="0.68100000000000005"/>
    <x v="7"/>
    <x v="15"/>
    <x v="1"/>
    <n v="7.6256298994490601E-2"/>
    <n v="-45105.009253769982"/>
    <n v="38128.1494972453"/>
    <n v="68306.035233682895"/>
    <n v="23201.025979912913"/>
    <s v="36923IF-TRANSCO/Z6"/>
    <n v="50"/>
  </r>
  <r>
    <x v="20"/>
    <x v="0"/>
    <s v="NL9178"/>
    <x v="0"/>
    <x v="0"/>
    <x v="1"/>
    <x v="16"/>
    <n v="500000"/>
    <x v="37"/>
    <x v="16"/>
    <n v="2.17"/>
    <n v="6.9139999999999997"/>
    <x v="16"/>
    <x v="11"/>
    <n v="0.69599999999999995"/>
    <x v="7"/>
    <x v="16"/>
    <x v="1"/>
    <n v="5.742822747361559E-2"/>
    <n v="-37444.603010086284"/>
    <n v="28714.113736807794"/>
    <n v="55756.238767759867"/>
    <n v="18311.635757673583"/>
    <s v="36892IF-TRANSCO/Z6"/>
    <n v="50"/>
  </r>
  <r>
    <x v="20"/>
    <x v="0"/>
    <s v="NL9178"/>
    <x v="0"/>
    <x v="0"/>
    <x v="1"/>
    <x v="17"/>
    <n v="500000"/>
    <x v="37"/>
    <x v="17"/>
    <n v="1.645"/>
    <n v="6.4450000000000003"/>
    <x v="17"/>
    <x v="12"/>
    <n v="0.69"/>
    <x v="7"/>
    <x v="17"/>
    <x v="1"/>
    <n v="7.5159585110808336E-2"/>
    <n v="-56456.691977049835"/>
    <n v="37579.792555404165"/>
    <n v="77047.65173395256"/>
    <n v="20590.959756902725"/>
    <s v="36861IF-TRANSCO/Z6"/>
    <n v="50"/>
  </r>
  <r>
    <x v="20"/>
    <x v="0"/>
    <s v="NL9178"/>
    <x v="0"/>
    <x v="0"/>
    <x v="1"/>
    <x v="18"/>
    <n v="500000"/>
    <x v="37"/>
    <x v="18"/>
    <n v="0.77"/>
    <n v="5.5060000000000002"/>
    <x v="18"/>
    <x v="13"/>
    <n v="0.625"/>
    <x v="6"/>
    <x v="18"/>
    <x v="1"/>
    <n v="0.10707186808815639"/>
    <n v="-127962.45042628385"/>
    <n v="53535.934044078196"/>
    <n v="147501.65901966734"/>
    <n v="19539.20859338349"/>
    <s v="36831IF-TRANSCO/Z6"/>
    <n v="50"/>
  </r>
  <r>
    <x v="3"/>
    <x v="0"/>
    <s v="NM2053.1"/>
    <x v="0"/>
    <x v="0"/>
    <x v="0"/>
    <x v="14"/>
    <n v="-500000"/>
    <x v="38"/>
    <x v="14"/>
    <n v="1.075"/>
    <n v="5.2880000000000003"/>
    <x v="14"/>
    <x v="9"/>
    <n v="0.61199999999999999"/>
    <x v="7"/>
    <x v="14"/>
    <x v="0"/>
    <n v="0.30394158497160456"/>
    <n v="-184918.58658220654"/>
    <n v="-151970.79248580229"/>
    <n v="145591.77741154283"/>
    <n v="-39326.809170663706"/>
    <s v="36951IF-TRANSCO/Z6"/>
    <n v="-50"/>
  </r>
  <r>
    <x v="3"/>
    <x v="0"/>
    <s v="NM2053.2"/>
    <x v="0"/>
    <x v="0"/>
    <x v="0"/>
    <x v="14"/>
    <n v="1000000"/>
    <x v="33"/>
    <x v="14"/>
    <n v="1.075"/>
    <n v="5.2880000000000003"/>
    <x v="14"/>
    <x v="9"/>
    <n v="0.61199999999999999"/>
    <x v="7"/>
    <x v="14"/>
    <x v="0"/>
    <n v="0.15769806655468968"/>
    <n v="220747.75959653669"/>
    <n v="157698.06655468969"/>
    <n v="-163439.17021491885"/>
    <n v="57308.589381617843"/>
    <s v="36951IF-TRANSCO/Z6"/>
    <n v="100"/>
  </r>
  <r>
    <x v="3"/>
    <x v="0"/>
    <s v="NM2063.1"/>
    <x v="0"/>
    <x v="0"/>
    <x v="1"/>
    <x v="14"/>
    <n v="-1000000"/>
    <x v="38"/>
    <x v="14"/>
    <n v="1.075"/>
    <n v="5.2880000000000003"/>
    <x v="14"/>
    <x v="9"/>
    <n v="0.61199999999999999"/>
    <x v="7"/>
    <x v="14"/>
    <x v="1"/>
    <n v="0.90774038129235057"/>
    <n v="596240.90094878105"/>
    <n v="-907740.38129235059"/>
    <n v="-674894.51929010835"/>
    <n v="-78653.618341327296"/>
    <s v="36951IF-TRANSCO/Z6"/>
    <n v="-100"/>
  </r>
  <r>
    <x v="3"/>
    <x v="0"/>
    <s v="NM2063.1"/>
    <x v="0"/>
    <x v="0"/>
    <x v="1"/>
    <x v="15"/>
    <n v="-1000000"/>
    <x v="38"/>
    <x v="15"/>
    <n v="2.09"/>
    <n v="6.57"/>
    <x v="15"/>
    <x v="10"/>
    <n v="0.68100000000000005"/>
    <x v="7"/>
    <x v="15"/>
    <x v="1"/>
    <n v="0.47706563290775716"/>
    <n v="345207.29067395115"/>
    <n v="-477065.63290775719"/>
    <n v="-430154.78234077385"/>
    <n v="-84947.491666822694"/>
    <s v="36923IF-TRANSCO/Z6"/>
    <n v="-100"/>
  </r>
  <r>
    <x v="3"/>
    <x v="0"/>
    <s v="NM2063.1"/>
    <x v="0"/>
    <x v="0"/>
    <x v="1"/>
    <x v="16"/>
    <n v="-1000000"/>
    <x v="38"/>
    <x v="16"/>
    <n v="2.17"/>
    <n v="6.9139999999999997"/>
    <x v="16"/>
    <x v="11"/>
    <n v="0.69599999999999995"/>
    <x v="7"/>
    <x v="16"/>
    <x v="1"/>
    <n v="0.41467750155694816"/>
    <n v="329411.81679197453"/>
    <n v="-414677.50155694818"/>
    <n v="-406058.22837474017"/>
    <n v="-76646.411582765635"/>
    <s v="36892IF-TRANSCO/Z6"/>
    <n v="-100"/>
  </r>
  <r>
    <x v="3"/>
    <x v="0"/>
    <s v="NM2063.2"/>
    <x v="0"/>
    <x v="0"/>
    <x v="1"/>
    <x v="14"/>
    <n v="1000000"/>
    <x v="6"/>
    <x v="14"/>
    <n v="1.075"/>
    <n v="5.2880000000000003"/>
    <x v="14"/>
    <x v="9"/>
    <n v="0.61199999999999999"/>
    <x v="7"/>
    <x v="14"/>
    <x v="1"/>
    <n v="0.46550991672981534"/>
    <n v="-412515.00266951171"/>
    <n v="465509.91672981536"/>
    <n v="501451.82364404586"/>
    <n v="88936.820974534145"/>
    <s v="36951IF-TRANSCO/Z6"/>
    <n v="100"/>
  </r>
  <r>
    <x v="3"/>
    <x v="0"/>
    <s v="NM2063.2"/>
    <x v="0"/>
    <x v="0"/>
    <x v="1"/>
    <x v="15"/>
    <n v="1000000"/>
    <x v="6"/>
    <x v="15"/>
    <n v="2.09"/>
    <n v="6.57"/>
    <x v="15"/>
    <x v="10"/>
    <n v="0.68100000000000005"/>
    <x v="7"/>
    <x v="15"/>
    <x v="1"/>
    <n v="0.20507600737213183"/>
    <n v="-193560.43640110976"/>
    <n v="205076.00737213183"/>
    <n v="264202.94481125427"/>
    <n v="70642.50841014451"/>
    <s v="36923IF-TRANSCO/Z6"/>
    <n v="100"/>
  </r>
  <r>
    <x v="3"/>
    <x v="0"/>
    <s v="NM2063.2"/>
    <x v="0"/>
    <x v="0"/>
    <x v="1"/>
    <x v="16"/>
    <n v="1000000"/>
    <x v="6"/>
    <x v="16"/>
    <n v="2.17"/>
    <n v="6.9139999999999997"/>
    <x v="16"/>
    <x v="11"/>
    <n v="0.69599999999999995"/>
    <x v="7"/>
    <x v="16"/>
    <x v="1"/>
    <n v="0.16682160872180107"/>
    <n v="-173562.91895910737"/>
    <n v="166821.60872180108"/>
    <n v="233896.58204416619"/>
    <n v="60333.663085058826"/>
    <s v="36892IF-TRANSCO/Z6"/>
    <n v="100"/>
  </r>
  <r>
    <x v="3"/>
    <x v="0"/>
    <s v="NM2077.1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3"/>
    <x v="0"/>
    <s v="NM2077.2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8"/>
    <x v="0"/>
    <s v="NM2100"/>
    <x v="0"/>
    <x v="0"/>
    <x v="1"/>
    <x v="12"/>
    <n v="3100000"/>
    <x v="37"/>
    <x v="12"/>
    <n v="0.41499999999999998"/>
    <n v="5.1070000000000002"/>
    <x v="12"/>
    <x v="8"/>
    <n v="0.56399999999999995"/>
    <x v="2"/>
    <x v="12"/>
    <x v="1"/>
    <n v="3.7336330308136434E-2"/>
    <n v="-1354148.9936662933"/>
    <n v="115742.62395522294"/>
    <n v="1374381.8487713428"/>
    <n v="20232.855105049442"/>
    <s v="36800IF-TRANSCO/Z6"/>
    <n v="310"/>
  </r>
  <r>
    <x v="3"/>
    <x v="0"/>
    <s v="NM2109"/>
    <x v="0"/>
    <x v="0"/>
    <x v="1"/>
    <x v="18"/>
    <n v="-500000"/>
    <x v="37"/>
    <x v="18"/>
    <n v="0.77"/>
    <n v="5.5060000000000002"/>
    <x v="18"/>
    <x v="13"/>
    <n v="0.625"/>
    <x v="6"/>
    <x v="18"/>
    <x v="1"/>
    <n v="0.10707186808815639"/>
    <n v="127962.45042628385"/>
    <n v="-53535.934044078196"/>
    <n v="-147501.65901966734"/>
    <n v="-19539.20859338349"/>
    <s v="36831IF-TRANSCO/Z6"/>
    <n v="-50"/>
  </r>
  <r>
    <x v="20"/>
    <x v="0"/>
    <s v="NM2145"/>
    <x v="0"/>
    <x v="0"/>
    <x v="1"/>
    <x v="18"/>
    <n v="500000"/>
    <x v="37"/>
    <x v="18"/>
    <n v="0.77"/>
    <n v="5.5060000000000002"/>
    <x v="18"/>
    <x v="13"/>
    <n v="0.625"/>
    <x v="6"/>
    <x v="18"/>
    <x v="1"/>
    <n v="0.10707186808815639"/>
    <n v="-127962.45042628385"/>
    <n v="53535.934044078196"/>
    <n v="147501.65901966734"/>
    <n v="19539.20859338349"/>
    <s v="36831IF-TRANSCO/Z6"/>
    <n v="50"/>
  </r>
  <r>
    <x v="3"/>
    <x v="0"/>
    <s v="NM2238"/>
    <x v="0"/>
    <x v="0"/>
    <x v="0"/>
    <x v="12"/>
    <n v="-620000"/>
    <x v="17"/>
    <x v="12"/>
    <n v="0.41499999999999998"/>
    <n v="5.1070000000000002"/>
    <x v="12"/>
    <x v="8"/>
    <n v="0.56399999999999995"/>
    <x v="2"/>
    <x v="12"/>
    <x v="0"/>
    <n v="7.5892388018139435E-4"/>
    <n v="-10692.504808630732"/>
    <n v="-470.53280571246449"/>
    <n v="10324.515572784685"/>
    <n v="-367.98923584604745"/>
    <s v="36800IF-TRANSCO/Z6"/>
    <n v="-62"/>
  </r>
  <r>
    <x v="3"/>
    <x v="0"/>
    <s v="NM4160.1"/>
    <x v="0"/>
    <x v="0"/>
    <x v="0"/>
    <x v="14"/>
    <n v="-500000"/>
    <x v="39"/>
    <x v="14"/>
    <n v="1.075"/>
    <n v="5.2880000000000003"/>
    <x v="14"/>
    <x v="9"/>
    <n v="0.61199999999999999"/>
    <x v="7"/>
    <x v="14"/>
    <x v="0"/>
    <n v="2.2641515439359852E-2"/>
    <n v="-20599.732448029823"/>
    <n v="-11320.757719679927"/>
    <n v="13310.869113650135"/>
    <n v="-7288.8633343796882"/>
    <s v="36951IF-TRANSCO/Z6"/>
    <n v="-50"/>
  </r>
  <r>
    <x v="3"/>
    <x v="0"/>
    <s v="NM4160.1"/>
    <x v="0"/>
    <x v="0"/>
    <x v="0"/>
    <x v="15"/>
    <n v="-500000"/>
    <x v="39"/>
    <x v="15"/>
    <n v="2.09"/>
    <n v="6.57"/>
    <x v="15"/>
    <x v="10"/>
    <n v="0.68100000000000005"/>
    <x v="7"/>
    <x v="15"/>
    <x v="0"/>
    <n v="0.1248574392326707"/>
    <n v="-71755.440613343133"/>
    <n v="-62428.719616335351"/>
    <n v="51672.578132368661"/>
    <n v="-20082.862480974472"/>
    <s v="36923IF-TRANSCO/Z6"/>
    <n v="-50"/>
  </r>
  <r>
    <x v="3"/>
    <x v="0"/>
    <s v="NM4160.1"/>
    <x v="0"/>
    <x v="0"/>
    <x v="0"/>
    <x v="16"/>
    <n v="-500000"/>
    <x v="39"/>
    <x v="16"/>
    <n v="2.17"/>
    <n v="6.9139999999999997"/>
    <x v="16"/>
    <x v="11"/>
    <n v="0.69599999999999995"/>
    <x v="7"/>
    <x v="16"/>
    <x v="0"/>
    <n v="0.10626990984510724"/>
    <n v="-64987.527324053983"/>
    <n v="-53134.954922553625"/>
    <n v="47748.774257077683"/>
    <n v="-17238.7530669763"/>
    <s v="36892IF-TRANSCO/Z6"/>
    <n v="-50"/>
  </r>
  <r>
    <x v="3"/>
    <x v="0"/>
    <s v="NM4160.1"/>
    <x v="0"/>
    <x v="0"/>
    <x v="0"/>
    <x v="17"/>
    <n v="-500000"/>
    <x v="39"/>
    <x v="17"/>
    <n v="1.645"/>
    <n v="6.4450000000000003"/>
    <x v="17"/>
    <x v="12"/>
    <n v="0.69"/>
    <x v="7"/>
    <x v="17"/>
    <x v="0"/>
    <n v="2.6188530147270829E-2"/>
    <n v="-23542.865079174793"/>
    <n v="-13094.265073635415"/>
    <n v="16718.2940238991"/>
    <n v="-6824.5710552756937"/>
    <s v="36861IF-TRANSCO/Z6"/>
    <n v="-50"/>
  </r>
  <r>
    <x v="3"/>
    <x v="0"/>
    <s v="NM4160.1"/>
    <x v="0"/>
    <x v="0"/>
    <x v="0"/>
    <x v="18"/>
    <n v="-500000"/>
    <x v="39"/>
    <x v="18"/>
    <n v="0.77"/>
    <n v="5.5060000000000002"/>
    <x v="18"/>
    <x v="13"/>
    <n v="0.625"/>
    <x v="6"/>
    <x v="18"/>
    <x v="0"/>
    <n v="2.0948333147627672E-5"/>
    <n v="-57.57388400606829"/>
    <n v="-10.474166573813836"/>
    <n v="40.337053133063392"/>
    <n v="-17.236830873004898"/>
    <s v="36831IF-TRANSCO/Z6"/>
    <n v="-50"/>
  </r>
  <r>
    <x v="3"/>
    <x v="0"/>
    <s v="NM4160.2"/>
    <x v="0"/>
    <x v="0"/>
    <x v="1"/>
    <x v="11"/>
    <n v="-1000000"/>
    <x v="37"/>
    <x v="11"/>
    <n v="0.52"/>
    <n v="4.4580000000000002"/>
    <x v="11"/>
    <x v="7"/>
    <n v="0.434"/>
    <x v="1"/>
    <x v="11"/>
    <x v="1"/>
    <n v="8.0776232848360607E-2"/>
    <n v="332820.91532170534"/>
    <n v="-80776.232848360611"/>
    <n v="-358050.96729506837"/>
    <n v="-25230.051973363035"/>
    <s v="36982IF-TRANSCO/Z6"/>
    <n v="-100"/>
  </r>
  <r>
    <x v="3"/>
    <x v="0"/>
    <s v="NM4160.3"/>
    <x v="0"/>
    <x v="0"/>
    <x v="0"/>
    <x v="11"/>
    <n v="-1000000"/>
    <x v="17"/>
    <x v="11"/>
    <n v="0.52"/>
    <n v="4.4580000000000002"/>
    <x v="11"/>
    <x v="7"/>
    <n v="0.434"/>
    <x v="1"/>
    <x v="11"/>
    <x v="0"/>
    <n v="7.4548084161956366E-2"/>
    <n v="-323856.18761272356"/>
    <n v="-74548.084161956373"/>
    <n v="301953.70251641417"/>
    <n v="-21902.485096309392"/>
    <s v="36982IF-TRANSCO/Z6"/>
    <n v="-100"/>
  </r>
  <r>
    <x v="3"/>
    <x v="0"/>
    <s v="NM6058.1"/>
    <x v="0"/>
    <x v="0"/>
    <x v="0"/>
    <x v="14"/>
    <n v="-500000"/>
    <x v="28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</r>
  <r>
    <x v="3"/>
    <x v="0"/>
    <s v="NM6058.1"/>
    <x v="0"/>
    <x v="0"/>
    <x v="0"/>
    <x v="15"/>
    <n v="-500000"/>
    <x v="28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</r>
  <r>
    <x v="3"/>
    <x v="0"/>
    <s v="NM6058.1"/>
    <x v="0"/>
    <x v="0"/>
    <x v="0"/>
    <x v="16"/>
    <n v="-500000"/>
    <x v="28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</r>
  <r>
    <x v="3"/>
    <x v="0"/>
    <s v="NM6058.1"/>
    <x v="0"/>
    <x v="0"/>
    <x v="0"/>
    <x v="17"/>
    <n v="-500000"/>
    <x v="28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</r>
  <r>
    <x v="3"/>
    <x v="0"/>
    <s v="NM6058.1"/>
    <x v="0"/>
    <x v="0"/>
    <x v="0"/>
    <x v="18"/>
    <n v="-500000"/>
    <x v="28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</r>
  <r>
    <x v="3"/>
    <x v="0"/>
    <s v="NM6058.2"/>
    <x v="0"/>
    <x v="0"/>
    <x v="1"/>
    <x v="14"/>
    <n v="-500000"/>
    <x v="28"/>
    <x v="14"/>
    <n v="1.075"/>
    <n v="5.2880000000000003"/>
    <x v="14"/>
    <x v="9"/>
    <n v="0.61199999999999999"/>
    <x v="7"/>
    <x v="14"/>
    <x v="1"/>
    <n v="0.83717822614252846"/>
    <n v="286426.39287688554"/>
    <n v="-418589.11307126423"/>
    <n v="-326912.69477968669"/>
    <n v="-40486.301902801148"/>
    <s v="36951IF-TRANSCO/Z6"/>
    <n v="-50"/>
  </r>
  <r>
    <x v="3"/>
    <x v="0"/>
    <s v="NM6058.2"/>
    <x v="0"/>
    <x v="0"/>
    <x v="1"/>
    <x v="15"/>
    <n v="-500000"/>
    <x v="28"/>
    <x v="15"/>
    <n v="2.09"/>
    <n v="6.57"/>
    <x v="15"/>
    <x v="10"/>
    <n v="0.68100000000000005"/>
    <x v="7"/>
    <x v="15"/>
    <x v="1"/>
    <n v="0.43021764681193009"/>
    <n v="161493.544432189"/>
    <n v="-215108.82340596506"/>
    <n v="-203477.86345754721"/>
    <n v="-41984.319025358214"/>
    <s v="36923IF-TRANSCO/Z6"/>
    <n v="-50"/>
  </r>
  <r>
    <x v="3"/>
    <x v="0"/>
    <s v="NM6058.2"/>
    <x v="0"/>
    <x v="0"/>
    <x v="1"/>
    <x v="16"/>
    <n v="-500000"/>
    <x v="28"/>
    <x v="16"/>
    <n v="2.17"/>
    <n v="6.9139999999999997"/>
    <x v="16"/>
    <x v="11"/>
    <n v="0.69599999999999995"/>
    <x v="7"/>
    <x v="16"/>
    <x v="1"/>
    <n v="0.37097242159554278"/>
    <n v="153006.88177340766"/>
    <n v="-185486.21079777137"/>
    <n v="-190679.41140057804"/>
    <n v="-37672.529627170385"/>
    <s v="36892IF-TRANSCO/Z6"/>
    <n v="-50"/>
  </r>
  <r>
    <x v="3"/>
    <x v="0"/>
    <s v="NM6058.2"/>
    <x v="0"/>
    <x v="0"/>
    <x v="1"/>
    <x v="17"/>
    <n v="-500000"/>
    <x v="28"/>
    <x v="17"/>
    <n v="1.645"/>
    <n v="6.4450000000000003"/>
    <x v="17"/>
    <x v="12"/>
    <n v="0.69"/>
    <x v="7"/>
    <x v="17"/>
    <x v="1"/>
    <n v="0.49111891837193733"/>
    <n v="218268.99212934793"/>
    <n v="-245559.45918596868"/>
    <n v="-253670.19355306664"/>
    <n v="-35401.20142371871"/>
    <s v="36861IF-TRANSCO/Z6"/>
    <n v="-50"/>
  </r>
  <r>
    <x v="3"/>
    <x v="0"/>
    <s v="NM6058.2"/>
    <x v="0"/>
    <x v="0"/>
    <x v="1"/>
    <x v="18"/>
    <n v="-500000"/>
    <x v="28"/>
    <x v="18"/>
    <n v="0.77"/>
    <n v="5.5060000000000002"/>
    <x v="18"/>
    <x v="13"/>
    <n v="0.625"/>
    <x v="6"/>
    <x v="18"/>
    <x v="1"/>
    <n v="0.86986168648056772"/>
    <n v="420691.28007981461"/>
    <n v="-434930.84324028384"/>
    <n v="-432195.22435392824"/>
    <n v="-11503.94427411363"/>
    <s v="36831IF-TRANSCO/Z6"/>
    <n v="-50"/>
  </r>
  <r>
    <x v="3"/>
    <x v="0"/>
    <s v="NM6058.3"/>
    <x v="0"/>
    <x v="0"/>
    <x v="0"/>
    <x v="15"/>
    <n v="-500000"/>
    <x v="33"/>
    <x v="15"/>
    <n v="2.09"/>
    <n v="6.57"/>
    <x v="15"/>
    <x v="10"/>
    <n v="0.68100000000000005"/>
    <x v="7"/>
    <x v="15"/>
    <x v="0"/>
    <n v="0.53709625631967106"/>
    <n v="-228911.76202633808"/>
    <n v="-268548.12815983553"/>
    <n v="187526.96090823814"/>
    <n v="-41384.801118099946"/>
    <s v="36923IF-TRANSCO/Z6"/>
    <n v="-50"/>
  </r>
  <r>
    <x v="3"/>
    <x v="0"/>
    <s v="NM6058.3"/>
    <x v="0"/>
    <x v="0"/>
    <x v="0"/>
    <x v="16"/>
    <n v="-500000"/>
    <x v="33"/>
    <x v="16"/>
    <n v="2.17"/>
    <n v="6.9139999999999997"/>
    <x v="16"/>
    <x v="11"/>
    <n v="0.69599999999999995"/>
    <x v="7"/>
    <x v="16"/>
    <x v="0"/>
    <n v="0.53186610397093281"/>
    <n v="-233581.31825500375"/>
    <n v="-265933.05198546639"/>
    <n v="195400.40285555329"/>
    <n v="-38180.91539945046"/>
    <s v="36892IF-TRANSCO/Z6"/>
    <n v="-50"/>
  </r>
  <r>
    <x v="3"/>
    <x v="0"/>
    <s v="NM6058.3"/>
    <x v="0"/>
    <x v="0"/>
    <x v="0"/>
    <x v="17"/>
    <n v="-500000"/>
    <x v="33"/>
    <x v="17"/>
    <n v="1.645"/>
    <n v="6.4450000000000003"/>
    <x v="17"/>
    <x v="12"/>
    <n v="0.69"/>
    <x v="7"/>
    <x v="17"/>
    <x v="0"/>
    <n v="0.24773751980055622"/>
    <n v="-156784.13175860624"/>
    <n v="-123868.75990027811"/>
    <n v="127770.71849000065"/>
    <n v="-29013.413268605582"/>
    <s v="36861IF-TRANSCO/Z6"/>
    <n v="-50"/>
  </r>
  <r>
    <x v="3"/>
    <x v="0"/>
    <s v="NM6058.4"/>
    <x v="0"/>
    <x v="0"/>
    <x v="1"/>
    <x v="14"/>
    <n v="500000"/>
    <x v="12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</r>
  <r>
    <x v="3"/>
    <x v="0"/>
    <s v="NM6058.4"/>
    <x v="0"/>
    <x v="0"/>
    <x v="1"/>
    <x v="15"/>
    <n v="500000"/>
    <x v="12"/>
    <x v="15"/>
    <n v="2.09"/>
    <n v="6.57"/>
    <x v="15"/>
    <x v="10"/>
    <n v="0.68100000000000005"/>
    <x v="7"/>
    <x v="15"/>
    <x v="1"/>
    <n v="0.14024849922231708"/>
    <n v="-72892.177141709864"/>
    <n v="70124.249611158535"/>
    <n v="103626.96293794637"/>
    <n v="30734.785796236509"/>
    <s v="36923IF-TRANSCO/Z6"/>
    <n v="50"/>
  </r>
  <r>
    <x v="3"/>
    <x v="0"/>
    <s v="NM6058.4"/>
    <x v="0"/>
    <x v="0"/>
    <x v="1"/>
    <x v="16"/>
    <n v="500000"/>
    <x v="12"/>
    <x v="16"/>
    <n v="2.17"/>
    <n v="6.9139999999999997"/>
    <x v="16"/>
    <x v="11"/>
    <n v="0.69599999999999995"/>
    <x v="7"/>
    <x v="16"/>
    <x v="1"/>
    <n v="0.11073968944962387"/>
    <n v="-63460.635822955526"/>
    <n v="55369.844724811934"/>
    <n v="88949.507589878078"/>
    <n v="25488.871766922552"/>
    <s v="36892IF-TRANSCO/Z6"/>
    <n v="50"/>
  </r>
  <r>
    <x v="3"/>
    <x v="0"/>
    <s v="NM6058.4"/>
    <x v="0"/>
    <x v="0"/>
    <x v="1"/>
    <x v="17"/>
    <n v="500000"/>
    <x v="12"/>
    <x v="17"/>
    <n v="1.645"/>
    <n v="6.4450000000000003"/>
    <x v="17"/>
    <x v="12"/>
    <n v="0.69"/>
    <x v="7"/>
    <x v="17"/>
    <x v="1"/>
    <n v="0.14791698517127294"/>
    <n v="-95712.691655961578"/>
    <n v="73958.492585636472"/>
    <n v="123504.23180600212"/>
    <n v="27791.540150040542"/>
    <s v="36861IF-TRANSCO/Z6"/>
    <n v="50"/>
  </r>
  <r>
    <x v="3"/>
    <x v="0"/>
    <s v="NM6058.4"/>
    <x v="0"/>
    <x v="0"/>
    <x v="1"/>
    <x v="18"/>
    <n v="500000"/>
    <x v="12"/>
    <x v="18"/>
    <n v="0.77"/>
    <n v="5.5060000000000002"/>
    <x v="18"/>
    <x v="13"/>
    <n v="0.625"/>
    <x v="6"/>
    <x v="18"/>
    <x v="1"/>
    <n v="0.24961789258441158"/>
    <n v="-229166.05806720548"/>
    <n v="124808.94629220579"/>
    <n v="251741.3554087904"/>
    <n v="22575.297341584926"/>
    <s v="36831IF-TRANSCO/Z6"/>
    <n v="50"/>
  </r>
  <r>
    <x v="3"/>
    <x v="0"/>
    <s v="NM6058.5"/>
    <x v="0"/>
    <x v="0"/>
    <x v="0"/>
    <x v="0"/>
    <n v="500000"/>
    <x v="40"/>
    <x v="0"/>
    <n v="0.99"/>
    <n v="4.5949999999999998"/>
    <x v="0"/>
    <x v="0"/>
    <n v="0.40200000000000002"/>
    <x v="0"/>
    <x v="0"/>
    <x v="0"/>
    <n v="0.21874190080874295"/>
    <n v="188357.48680013767"/>
    <n v="109370.95040437147"/>
    <n v="-165569.52137192109"/>
    <n v="22787.965428216587"/>
    <s v="37316IF-TRANSCO/Z6"/>
    <n v="50"/>
  </r>
  <r>
    <x v="3"/>
    <x v="0"/>
    <s v="NM6058.5"/>
    <x v="0"/>
    <x v="0"/>
    <x v="0"/>
    <x v="1"/>
    <n v="500000"/>
    <x v="40"/>
    <x v="1"/>
    <n v="1.56"/>
    <n v="5.33"/>
    <x v="1"/>
    <x v="1"/>
    <n v="0.435"/>
    <x v="0"/>
    <x v="1"/>
    <x v="0"/>
    <n v="0.52347892321112888"/>
    <n v="289323.77441666101"/>
    <n v="261739.46160556443"/>
    <n v="-265788.56104029797"/>
    <n v="23535.213376363041"/>
    <s v="37288IF-TRANSCO/Z6"/>
    <n v="50"/>
  </r>
  <r>
    <x v="3"/>
    <x v="0"/>
    <s v="NM6058.5"/>
    <x v="0"/>
    <x v="0"/>
    <x v="0"/>
    <x v="2"/>
    <n v="500000"/>
    <x v="40"/>
    <x v="2"/>
    <n v="1.56"/>
    <n v="5.5"/>
    <x v="2"/>
    <x v="2"/>
    <n v="0.45400000000000001"/>
    <x v="0"/>
    <x v="2"/>
    <x v="0"/>
    <n v="0.53875715123823065"/>
    <n v="289890.8181410369"/>
    <n v="269378.57561911532"/>
    <n v="-265698.37861140433"/>
    <n v="24192.439529632567"/>
    <s v="37257IF-TRANSCO/Z6"/>
    <n v="50"/>
  </r>
  <r>
    <x v="3"/>
    <x v="0"/>
    <s v="NM6058.5"/>
    <x v="0"/>
    <x v="0"/>
    <x v="0"/>
    <x v="3"/>
    <n v="500000"/>
    <x v="40"/>
    <x v="3"/>
    <n v="1.31"/>
    <n v="5.2780000000000005"/>
    <x v="3"/>
    <x v="3"/>
    <n v="0.44800000000000001"/>
    <x v="0"/>
    <x v="3"/>
    <x v="0"/>
    <n v="0.38866063755708224"/>
    <n v="251659.35966945175"/>
    <n v="194330.31877854111"/>
    <n v="-227218.76596114764"/>
    <n v="24440.593708304106"/>
    <s v="37226IF-TRANSCO/Z6"/>
    <n v="50"/>
  </r>
  <r>
    <x v="3"/>
    <x v="0"/>
    <s v="NM6058.5"/>
    <x v="0"/>
    <x v="0"/>
    <x v="0"/>
    <x v="4"/>
    <n v="500000"/>
    <x v="40"/>
    <x v="4"/>
    <n v="0.89"/>
    <n v="4.7679999999999998"/>
    <x v="4"/>
    <x v="4"/>
    <n v="0.443"/>
    <x v="0"/>
    <x v="4"/>
    <x v="0"/>
    <n v="0.19084199258594634"/>
    <n v="172652.45502302685"/>
    <n v="95420.99629297317"/>
    <n v="-150412.6000409947"/>
    <n v="22239.85498203215"/>
    <s v="37196IF-TRANSCO/Z6"/>
    <n v="50"/>
  </r>
  <r>
    <x v="3"/>
    <x v="0"/>
    <s v="NM6058.6"/>
    <x v="0"/>
    <x v="0"/>
    <x v="1"/>
    <x v="0"/>
    <n v="500000"/>
    <x v="40"/>
    <x v="0"/>
    <n v="0.99"/>
    <n v="4.5949999999999998"/>
    <x v="0"/>
    <x v="0"/>
    <n v="0.40200000000000002"/>
    <x v="0"/>
    <x v="0"/>
    <x v="1"/>
    <n v="0.52507468376813948"/>
    <n v="-262131.89990485754"/>
    <n v="262537.34188406973"/>
    <n v="284919.86533307412"/>
    <n v="22787.965428216587"/>
    <s v="37316IF-TRANSCO/Z6"/>
    <n v="50"/>
  </r>
  <r>
    <x v="3"/>
    <x v="0"/>
    <s v="NM6058.6"/>
    <x v="0"/>
    <x v="0"/>
    <x v="1"/>
    <x v="1"/>
    <n v="500000"/>
    <x v="40"/>
    <x v="1"/>
    <n v="1.56"/>
    <n v="5.33"/>
    <x v="1"/>
    <x v="1"/>
    <n v="0.435"/>
    <x v="0"/>
    <x v="1"/>
    <x v="1"/>
    <n v="0.31513309927577193"/>
    <n v="-163601.92979063597"/>
    <n v="157566.54963788597"/>
    <n v="187137.14316699904"/>
    <n v="23535.21337636307"/>
    <s v="37288IF-TRANSCO/Z6"/>
    <n v="50"/>
  </r>
  <r>
    <x v="3"/>
    <x v="0"/>
    <s v="NM6058.6"/>
    <x v="0"/>
    <x v="0"/>
    <x v="1"/>
    <x v="2"/>
    <n v="500000"/>
    <x v="40"/>
    <x v="2"/>
    <n v="1.56"/>
    <n v="5.5"/>
    <x v="2"/>
    <x v="2"/>
    <n v="0.45400000000000001"/>
    <x v="0"/>
    <x v="2"/>
    <x v="1"/>
    <n v="0.32908553933386453"/>
    <n v="-165917.03382497674"/>
    <n v="164542.76966693226"/>
    <n v="190109.4733546093"/>
    <n v="24192.439529632567"/>
    <s v="37257IF-TRANSCO/Z6"/>
    <n v="50"/>
  </r>
  <r>
    <x v="3"/>
    <x v="0"/>
    <s v="NM6058.6"/>
    <x v="0"/>
    <x v="0"/>
    <x v="1"/>
    <x v="3"/>
    <n v="500000"/>
    <x v="40"/>
    <x v="3"/>
    <n v="1.31"/>
    <n v="5.2780000000000005"/>
    <x v="3"/>
    <x v="3"/>
    <n v="0.44800000000000001"/>
    <x v="0"/>
    <x v="3"/>
    <x v="1"/>
    <n v="0.40699460918701003"/>
    <n v="-206689.93107874316"/>
    <n v="203497.30459350502"/>
    <n v="231130.52478704727"/>
    <n v="24440.593708304106"/>
    <s v="37226IF-TRANSCO/Z6"/>
    <n v="50"/>
  </r>
  <r>
    <x v="3"/>
    <x v="0"/>
    <s v="NM6058.6"/>
    <x v="0"/>
    <x v="0"/>
    <x v="1"/>
    <x v="4"/>
    <n v="500000"/>
    <x v="40"/>
    <x v="4"/>
    <n v="0.89"/>
    <n v="4.7679999999999998"/>
    <x v="4"/>
    <x v="4"/>
    <n v="0.443"/>
    <x v="0"/>
    <x v="4"/>
    <x v="1"/>
    <n v="0.59650833325860475"/>
    <n v="-288332.0230140838"/>
    <n v="298254.16662930237"/>
    <n v="310571.87799611595"/>
    <n v="22239.85498203215"/>
    <s v="37196IF-TRANSCO/Z6"/>
    <n v="50"/>
  </r>
  <r>
    <x v="3"/>
    <x v="0"/>
    <s v="NM6102.1"/>
    <x v="0"/>
    <x v="0"/>
    <x v="0"/>
    <x v="14"/>
    <n v="-500000"/>
    <x v="33"/>
    <x v="14"/>
    <n v="1.075"/>
    <n v="5.2880000000000003"/>
    <x v="14"/>
    <x v="9"/>
    <n v="0.61199999999999999"/>
    <x v="7"/>
    <x v="14"/>
    <x v="0"/>
    <n v="0.15769806655468968"/>
    <n v="-110373.87979826835"/>
    <n v="-78849.033277344846"/>
    <n v="81719.585107459425"/>
    <n v="-28654.294690808922"/>
    <s v="36951IF-TRANSCO/Z6"/>
    <n v="-50"/>
  </r>
  <r>
    <x v="3"/>
    <x v="0"/>
    <s v="NM6102.1"/>
    <x v="0"/>
    <x v="0"/>
    <x v="0"/>
    <x v="15"/>
    <n v="-500000"/>
    <x v="33"/>
    <x v="15"/>
    <n v="2.09"/>
    <n v="6.57"/>
    <x v="15"/>
    <x v="10"/>
    <n v="0.68100000000000005"/>
    <x v="7"/>
    <x v="15"/>
    <x v="0"/>
    <n v="0.53709625631967106"/>
    <n v="-228911.76202633808"/>
    <n v="-268548.12815983553"/>
    <n v="187526.96090823814"/>
    <n v="-41384.801118099946"/>
    <s v="36923IF-TRANSCO/Z6"/>
    <n v="-50"/>
  </r>
  <r>
    <x v="3"/>
    <x v="0"/>
    <s v="NM6102.1"/>
    <x v="0"/>
    <x v="0"/>
    <x v="0"/>
    <x v="16"/>
    <n v="-500000"/>
    <x v="33"/>
    <x v="16"/>
    <n v="2.17"/>
    <n v="6.9139999999999997"/>
    <x v="16"/>
    <x v="11"/>
    <n v="0.69599999999999995"/>
    <x v="7"/>
    <x v="16"/>
    <x v="0"/>
    <n v="0.53186610397093281"/>
    <n v="-233581.31825500375"/>
    <n v="-265933.05198546639"/>
    <n v="195400.40285555329"/>
    <n v="-38180.91539945046"/>
    <s v="36892IF-TRANSCO/Z6"/>
    <n v="-50"/>
  </r>
  <r>
    <x v="3"/>
    <x v="0"/>
    <s v="NM6102.1"/>
    <x v="0"/>
    <x v="0"/>
    <x v="0"/>
    <x v="17"/>
    <n v="-500000"/>
    <x v="33"/>
    <x v="17"/>
    <n v="1.645"/>
    <n v="6.4450000000000003"/>
    <x v="17"/>
    <x v="12"/>
    <n v="0.69"/>
    <x v="7"/>
    <x v="17"/>
    <x v="0"/>
    <n v="0.24773751980055622"/>
    <n v="-156784.13175860624"/>
    <n v="-123868.75990027811"/>
    <n v="127770.71849000065"/>
    <n v="-29013.413268605582"/>
    <s v="36861IF-TRANSCO/Z6"/>
    <n v="-50"/>
  </r>
  <r>
    <x v="3"/>
    <x v="0"/>
    <s v="NM6102.1"/>
    <x v="0"/>
    <x v="0"/>
    <x v="0"/>
    <x v="18"/>
    <n v="-500000"/>
    <x v="33"/>
    <x v="18"/>
    <n v="0.77"/>
    <n v="5.5060000000000002"/>
    <x v="18"/>
    <x v="13"/>
    <n v="0.625"/>
    <x v="6"/>
    <x v="18"/>
    <x v="0"/>
    <n v="6.4395475095290703E-3"/>
    <n v="-12366.283955028021"/>
    <n v="-3219.7737547645352"/>
    <n v="9750.2972838321693"/>
    <n v="-2615.9866711958512"/>
    <s v="36831IF-TRANSCO/Z6"/>
    <n v="-50"/>
  </r>
  <r>
    <x v="11"/>
    <x v="0"/>
    <s v="NM6107"/>
    <x v="0"/>
    <x v="0"/>
    <x v="1"/>
    <x v="14"/>
    <n v="500000"/>
    <x v="17"/>
    <x v="14"/>
    <n v="1.075"/>
    <n v="5.2880000000000003"/>
    <x v="14"/>
    <x v="9"/>
    <n v="0.61199999999999999"/>
    <x v="7"/>
    <x v="14"/>
    <x v="1"/>
    <n v="0.32002698930856666"/>
    <n v="-162210.15477770101"/>
    <n v="160013.49465428333"/>
    <n v="205541.02548744975"/>
    <n v="43330.870709748735"/>
    <s v="36951IF-TRANSCO/Z6"/>
    <n v="50"/>
  </r>
  <r>
    <x v="11"/>
    <x v="0"/>
    <s v="NM6107"/>
    <x v="0"/>
    <x v="0"/>
    <x v="1"/>
    <x v="15"/>
    <n v="500000"/>
    <x v="17"/>
    <x v="15"/>
    <n v="2.09"/>
    <n v="6.57"/>
    <x v="15"/>
    <x v="10"/>
    <n v="0.68100000000000005"/>
    <x v="7"/>
    <x v="15"/>
    <x v="1"/>
    <n v="0.12926788295251401"/>
    <n v="-68477.828872769824"/>
    <n v="64633.941476257009"/>
    <n v="98195.516324057709"/>
    <n v="29717.687451287886"/>
    <s v="36923IF-TRANSCO/Z6"/>
    <n v="50"/>
  </r>
  <r>
    <x v="11"/>
    <x v="0"/>
    <s v="NM6107"/>
    <x v="0"/>
    <x v="0"/>
    <x v="1"/>
    <x v="16"/>
    <n v="500000"/>
    <x v="17"/>
    <x v="16"/>
    <n v="2.17"/>
    <n v="6.9139999999999997"/>
    <x v="16"/>
    <x v="11"/>
    <n v="0.69599999999999995"/>
    <x v="7"/>
    <x v="16"/>
    <x v="1"/>
    <n v="0.10142315274818847"/>
    <n v="-59239.423155806217"/>
    <n v="50711.576374094235"/>
    <n v="83725.000911167299"/>
    <n v="24485.577755361082"/>
    <s v="36892IF-TRANSCO/Z6"/>
    <n v="50"/>
  </r>
  <r>
    <x v="11"/>
    <x v="0"/>
    <s v="NM6107"/>
    <x v="0"/>
    <x v="0"/>
    <x v="1"/>
    <x v="17"/>
    <n v="500000"/>
    <x v="17"/>
    <x v="17"/>
    <n v="1.645"/>
    <n v="6.4450000000000003"/>
    <x v="17"/>
    <x v="12"/>
    <n v="0.69"/>
    <x v="7"/>
    <x v="17"/>
    <x v="1"/>
    <n v="0.13525065254316659"/>
    <n v="-89452.572900128318"/>
    <n v="67625.326271583297"/>
    <n v="116306.83551911697"/>
    <n v="26854.262618988651"/>
    <s v="36861IF-TRANSCO/Z6"/>
    <n v="50"/>
  </r>
  <r>
    <x v="11"/>
    <x v="0"/>
    <s v="NM6107"/>
    <x v="0"/>
    <x v="0"/>
    <x v="1"/>
    <x v="18"/>
    <n v="500000"/>
    <x v="17"/>
    <x v="18"/>
    <n v="0.77"/>
    <n v="5.5060000000000002"/>
    <x v="18"/>
    <x v="13"/>
    <n v="0.625"/>
    <x v="6"/>
    <x v="18"/>
    <x v="1"/>
    <n v="0.22448736839763173"/>
    <n v="-214234.58843287986"/>
    <n v="112243.68419881586"/>
    <n v="236785.80556274991"/>
    <n v="22551.217129870056"/>
    <s v="36831IF-TRANSCO/Z6"/>
    <n v="50"/>
  </r>
  <r>
    <x v="8"/>
    <x v="0"/>
    <s v="NM6136"/>
    <x v="0"/>
    <x v="0"/>
    <x v="1"/>
    <x v="14"/>
    <n v="1500000"/>
    <x v="12"/>
    <x v="14"/>
    <n v="1.075"/>
    <n v="5.2880000000000003"/>
    <x v="14"/>
    <x v="9"/>
    <n v="0.61199999999999999"/>
    <x v="7"/>
    <x v="14"/>
    <x v="1"/>
    <n v="0.34215489694425383"/>
    <n v="-508735.35986314097"/>
    <n v="513232.34541638073"/>
    <n v="639865.81428385724"/>
    <n v="131130.45442071627"/>
    <s v="36951IF-TRANSCO/Z6"/>
    <n v="150"/>
  </r>
  <r>
    <x v="8"/>
    <x v="0"/>
    <s v="NM6136"/>
    <x v="0"/>
    <x v="0"/>
    <x v="1"/>
    <x v="15"/>
    <n v="1500000"/>
    <x v="12"/>
    <x v="15"/>
    <n v="2.09"/>
    <n v="6.57"/>
    <x v="15"/>
    <x v="10"/>
    <n v="0.68100000000000005"/>
    <x v="7"/>
    <x v="15"/>
    <x v="1"/>
    <n v="0.14024849922231708"/>
    <n v="-218676.53142512959"/>
    <n v="210372.74883347563"/>
    <n v="310880.88881383912"/>
    <n v="92204.357388709526"/>
    <s v="36923IF-TRANSCO/Z6"/>
    <n v="150"/>
  </r>
  <r>
    <x v="8"/>
    <x v="0"/>
    <s v="NM6136"/>
    <x v="0"/>
    <x v="0"/>
    <x v="1"/>
    <x v="16"/>
    <n v="1500000"/>
    <x v="12"/>
    <x v="16"/>
    <n v="2.17"/>
    <n v="6.9139999999999997"/>
    <x v="16"/>
    <x v="11"/>
    <n v="0.69599999999999995"/>
    <x v="7"/>
    <x v="16"/>
    <x v="1"/>
    <n v="0.11073968944962387"/>
    <n v="-190381.90746886659"/>
    <n v="166109.5341744358"/>
    <n v="266848.5227696342"/>
    <n v="76466.615300767618"/>
    <s v="36892IF-TRANSCO/Z6"/>
    <n v="150"/>
  </r>
  <r>
    <x v="8"/>
    <x v="0"/>
    <s v="NM6136"/>
    <x v="0"/>
    <x v="0"/>
    <x v="1"/>
    <x v="17"/>
    <n v="1500000"/>
    <x v="12"/>
    <x v="17"/>
    <n v="1.645"/>
    <n v="6.4450000000000003"/>
    <x v="17"/>
    <x v="12"/>
    <n v="0.69"/>
    <x v="7"/>
    <x v="17"/>
    <x v="1"/>
    <n v="0.14791698517127294"/>
    <n v="-287138.07496788475"/>
    <n v="221875.47775690941"/>
    <n v="370512.69541800633"/>
    <n v="83374.620450121583"/>
    <s v="36861IF-TRANSCO/Z6"/>
    <n v="150"/>
  </r>
  <r>
    <x v="8"/>
    <x v="0"/>
    <s v="NM6136"/>
    <x v="0"/>
    <x v="0"/>
    <x v="1"/>
    <x v="18"/>
    <n v="1500000"/>
    <x v="12"/>
    <x v="18"/>
    <n v="0.77"/>
    <n v="5.5060000000000002"/>
    <x v="18"/>
    <x v="13"/>
    <n v="0.625"/>
    <x v="6"/>
    <x v="18"/>
    <x v="1"/>
    <n v="0.24961789258441158"/>
    <n v="-687498.17420161644"/>
    <n v="374426.83887661737"/>
    <n v="755224.06622637121"/>
    <n v="67725.892024754779"/>
    <s v="36831IF-TRANSCO/Z6"/>
    <n v="150"/>
  </r>
  <r>
    <x v="3"/>
    <x v="0"/>
    <s v="NM7673.1"/>
    <x v="0"/>
    <x v="0"/>
    <x v="1"/>
    <x v="12"/>
    <n v="-500000"/>
    <x v="41"/>
    <x v="12"/>
    <n v="0.41499999999999998"/>
    <n v="5.1070000000000002"/>
    <x v="12"/>
    <x v="8"/>
    <n v="0.56399999999999995"/>
    <x v="2"/>
    <x v="12"/>
    <x v="1"/>
    <n v="0.23541192224364493"/>
    <n v="478720.22898961388"/>
    <n v="-117705.96112182246"/>
    <n v="-479293.2416503033"/>
    <n v="-573.01266068941914"/>
    <s v="36800IF-TRANSCO/Z6"/>
    <n v="-50"/>
  </r>
  <r>
    <x v="3"/>
    <x v="0"/>
    <s v="NM7673.2"/>
    <x v="0"/>
    <x v="0"/>
    <x v="1"/>
    <x v="12"/>
    <n v="500000"/>
    <x v="42"/>
    <x v="12"/>
    <n v="0.41499999999999998"/>
    <n v="5.1070000000000002"/>
    <x v="12"/>
    <x v="8"/>
    <n v="0.56399999999999995"/>
    <x v="2"/>
    <x v="12"/>
    <x v="1"/>
    <n v="1.8301165319921098E-2"/>
    <n v="-134032.22401528381"/>
    <n v="9150.582659960548"/>
    <n v="136878.78298052415"/>
    <n v="2846.5589652403432"/>
    <s v="36800IF-TRANSCO/Z6"/>
    <n v="50"/>
  </r>
  <r>
    <x v="3"/>
    <x v="0"/>
    <s v="NM7673.3"/>
    <x v="0"/>
    <x v="0"/>
    <x v="1"/>
    <x v="14"/>
    <n v="1000000"/>
    <x v="6"/>
    <x v="14"/>
    <n v="1.075"/>
    <n v="5.2880000000000003"/>
    <x v="14"/>
    <x v="9"/>
    <n v="0.61199999999999999"/>
    <x v="7"/>
    <x v="14"/>
    <x v="1"/>
    <n v="0.46550991672981534"/>
    <n v="-412515.00266951171"/>
    <n v="465509.91672981536"/>
    <n v="501451.82364404586"/>
    <n v="88936.820974534145"/>
    <s v="36951IF-TRANSCO/Z6"/>
    <n v="100"/>
  </r>
  <r>
    <x v="3"/>
    <x v="0"/>
    <s v="NM7733"/>
    <x v="0"/>
    <x v="0"/>
    <x v="1"/>
    <x v="14"/>
    <n v="1000000"/>
    <x v="13"/>
    <x v="14"/>
    <n v="1.075"/>
    <n v="5.2880000000000003"/>
    <x v="14"/>
    <x v="9"/>
    <n v="0.61199999999999999"/>
    <x v="7"/>
    <x v="14"/>
    <x v="1"/>
    <n v="0.54911441709740649"/>
    <n v="-455322.61943638331"/>
    <n v="549114.41709740646"/>
    <n v="543556.50554516283"/>
    <n v="88233.886108779523"/>
    <s v="36951IF-TRANSCO/Z6"/>
    <n v="100"/>
  </r>
  <r>
    <x v="3"/>
    <x v="0"/>
    <s v="NN0150.1"/>
    <x v="0"/>
    <x v="0"/>
    <x v="0"/>
    <x v="12"/>
    <n v="-1000000"/>
    <x v="1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</r>
  <r>
    <x v="3"/>
    <x v="0"/>
    <s v="NN0150.2"/>
    <x v="0"/>
    <x v="0"/>
    <x v="0"/>
    <x v="18"/>
    <n v="-1000000"/>
    <x v="6"/>
    <x v="18"/>
    <n v="0.77"/>
    <n v="5.5060000000000002"/>
    <x v="18"/>
    <x v="13"/>
    <n v="0.625"/>
    <x v="6"/>
    <x v="18"/>
    <x v="0"/>
    <n v="0.17043556386117104"/>
    <n v="-387283.67484406265"/>
    <n v="-170435.56386117105"/>
    <n v="345469.76550031727"/>
    <n v="-41813.909343745385"/>
    <s v="36831IF-TRANSCO/Z6"/>
    <n v="-100"/>
  </r>
  <r>
    <x v="3"/>
    <x v="0"/>
    <s v="NN2121"/>
    <x v="6"/>
    <x v="0"/>
    <x v="0"/>
    <x v="14"/>
    <n v="-1500000"/>
    <x v="1"/>
    <x v="14"/>
    <n v="0.1225"/>
    <n v="4.3354999999999997"/>
    <x v="14"/>
    <x v="9"/>
    <n v="0.53300000000000003"/>
    <x v="10"/>
    <x v="14"/>
    <x v="0"/>
    <n v="1.0669198211330951E-2"/>
    <n v="-212884.63102805181"/>
    <n v="-16003.797316996426"/>
    <n v="204954.99558819886"/>
    <n v="-7929.6354398529511"/>
    <s v="36951NGI/CHI. GATE"/>
    <n v="-150"/>
  </r>
  <r>
    <x v="3"/>
    <x v="0"/>
    <s v="NN2121"/>
    <x v="6"/>
    <x v="0"/>
    <x v="0"/>
    <x v="15"/>
    <n v="-1500000"/>
    <x v="1"/>
    <x v="15"/>
    <n v="0.13750000000000001"/>
    <n v="4.6174999999999997"/>
    <x v="15"/>
    <x v="10"/>
    <n v="0.59299999999999997"/>
    <x v="10"/>
    <x v="15"/>
    <x v="0"/>
    <n v="1.5615571205104772E-2"/>
    <n v="-271654.66480185406"/>
    <n v="-23423.356807657157"/>
    <n v="262034.52756405241"/>
    <n v="-9620.1372378016531"/>
    <s v="36923NGI/CHI. GATE"/>
    <n v="-150"/>
  </r>
  <r>
    <x v="3"/>
    <x v="0"/>
    <s v="NN2121"/>
    <x v="6"/>
    <x v="0"/>
    <x v="0"/>
    <x v="16"/>
    <n v="-1500000"/>
    <x v="1"/>
    <x v="16"/>
    <n v="0.1275"/>
    <n v="4.8715000000000002"/>
    <x v="16"/>
    <x v="11"/>
    <n v="0.60499999999999998"/>
    <x v="10"/>
    <x v="16"/>
    <x v="0"/>
    <n v="1.1479160908768937E-2"/>
    <n v="-222789.52363145689"/>
    <n v="-17218.741363153407"/>
    <n v="215021.85401671109"/>
    <n v="-7767.6696147457988"/>
    <s v="36892NGI/CHI. GATE"/>
    <n v="-150"/>
  </r>
  <r>
    <x v="3"/>
    <x v="0"/>
    <s v="NN2121"/>
    <x v="6"/>
    <x v="0"/>
    <x v="0"/>
    <x v="17"/>
    <n v="-1500000"/>
    <x v="1"/>
    <x v="17"/>
    <n v="0.1"/>
    <n v="4.9000000000000004"/>
    <x v="17"/>
    <x v="12"/>
    <n v="0.6"/>
    <x v="10"/>
    <x v="17"/>
    <x v="0"/>
    <n v="4.6937633317082348E-3"/>
    <n v="-119679.48978624414"/>
    <n v="-7040.6449975623518"/>
    <n v="115330.04492251517"/>
    <n v="-4349.4448637289752"/>
    <s v="36861NGI/CHI. GATE"/>
    <n v="-150"/>
  </r>
  <r>
    <x v="3"/>
    <x v="0"/>
    <s v="NN2121"/>
    <x v="6"/>
    <x v="0"/>
    <x v="0"/>
    <x v="18"/>
    <n v="-1500000"/>
    <x v="1"/>
    <x v="18"/>
    <n v="8.7499999999999994E-2"/>
    <n v="4.8235000000000001"/>
    <x v="18"/>
    <x v="13"/>
    <n v="0.59499999999999997"/>
    <x v="10"/>
    <x v="18"/>
    <x v="0"/>
    <n v="1.2660581525720937E-3"/>
    <n v="-46560.210216709107"/>
    <n v="-1899.0872288581404"/>
    <n v="44884.887299756832"/>
    <n v="-1675.3229169522747"/>
    <s v="36831NGI/CHI. GATE"/>
    <n v="-150"/>
  </r>
  <r>
    <x v="8"/>
    <x v="0"/>
    <s v="NN2173"/>
    <x v="0"/>
    <x v="0"/>
    <x v="1"/>
    <x v="12"/>
    <n v="465000"/>
    <x v="43"/>
    <x v="12"/>
    <n v="0.41499999999999998"/>
    <n v="5.1070000000000002"/>
    <x v="12"/>
    <x v="8"/>
    <n v="0.56399999999999995"/>
    <x v="2"/>
    <x v="12"/>
    <x v="1"/>
    <n v="0.1425006604027369"/>
    <n v="-397411.26550950436"/>
    <n v="66262.807087272653"/>
    <n v="398961.55744314834"/>
    <n v="1550.2919336439809"/>
    <s v="36800IF-TRANSCO/Z6"/>
    <n v="46.5"/>
  </r>
  <r>
    <x v="3"/>
    <x v="0"/>
    <s v="NN3942"/>
    <x v="0"/>
    <x v="0"/>
    <x v="0"/>
    <x v="18"/>
    <n v="-500000"/>
    <x v="6"/>
    <x v="18"/>
    <n v="0.77"/>
    <n v="5.5060000000000002"/>
    <x v="18"/>
    <x v="13"/>
    <n v="0.625"/>
    <x v="6"/>
    <x v="18"/>
    <x v="0"/>
    <n v="0.17043556386117104"/>
    <n v="-193641.83742203133"/>
    <n v="-85217.781930585523"/>
    <n v="172734.88275015863"/>
    <n v="-20906.954671872692"/>
    <s v="36831IF-TRANSCO/Z6"/>
    <n v="-50"/>
  </r>
  <r>
    <x v="8"/>
    <x v="0"/>
    <s v="NN3958"/>
    <x v="0"/>
    <x v="0"/>
    <x v="1"/>
    <x v="15"/>
    <n v="840000"/>
    <x v="12"/>
    <x v="15"/>
    <n v="2.09"/>
    <n v="6.57"/>
    <x v="15"/>
    <x v="10"/>
    <n v="0.68100000000000005"/>
    <x v="7"/>
    <x v="15"/>
    <x v="1"/>
    <n v="0.14024849922231708"/>
    <n v="-122458.85759807257"/>
    <n v="117808.73934674634"/>
    <n v="174093.29773574992"/>
    <n v="51634.440137677346"/>
    <s v="36923IF-TRANSCO/Z6"/>
    <n v="84"/>
  </r>
  <r>
    <x v="8"/>
    <x v="0"/>
    <s v="NN3958"/>
    <x v="0"/>
    <x v="0"/>
    <x v="1"/>
    <x v="16"/>
    <n v="930000"/>
    <x v="12"/>
    <x v="16"/>
    <n v="2.17"/>
    <n v="6.9139999999999997"/>
    <x v="16"/>
    <x v="11"/>
    <n v="0.69599999999999995"/>
    <x v="7"/>
    <x v="16"/>
    <x v="1"/>
    <n v="0.11073968944962387"/>
    <n v="-118036.78263069727"/>
    <n v="102987.9111881502"/>
    <n v="165446.08411717322"/>
    <n v="47409.301486475946"/>
    <s v="36892IF-TRANSCO/Z6"/>
    <n v="93"/>
  </r>
  <r>
    <x v="8"/>
    <x v="0"/>
    <s v="NN3958"/>
    <x v="0"/>
    <x v="0"/>
    <x v="1"/>
    <x v="17"/>
    <n v="930000"/>
    <x v="12"/>
    <x v="17"/>
    <n v="1.645"/>
    <n v="6.4450000000000003"/>
    <x v="17"/>
    <x v="12"/>
    <n v="0.69"/>
    <x v="7"/>
    <x v="17"/>
    <x v="1"/>
    <n v="0.14791698517127294"/>
    <n v="-178025.60648008855"/>
    <n v="137562.79620928384"/>
    <n v="229717.87115916394"/>
    <n v="51692.264679075393"/>
    <s v="36861IF-TRANSCO/Z6"/>
    <n v="93"/>
  </r>
  <r>
    <x v="3"/>
    <x v="0"/>
    <s v="NN9640.1"/>
    <x v="0"/>
    <x v="0"/>
    <x v="0"/>
    <x v="14"/>
    <n v="-500000"/>
    <x v="28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</r>
  <r>
    <x v="3"/>
    <x v="0"/>
    <s v="NN9640.1"/>
    <x v="0"/>
    <x v="0"/>
    <x v="0"/>
    <x v="15"/>
    <n v="-500000"/>
    <x v="28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</r>
  <r>
    <x v="3"/>
    <x v="0"/>
    <s v="NN9640.1"/>
    <x v="0"/>
    <x v="0"/>
    <x v="0"/>
    <x v="16"/>
    <n v="-500000"/>
    <x v="28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</r>
  <r>
    <x v="3"/>
    <x v="0"/>
    <s v="NN9640.1"/>
    <x v="0"/>
    <x v="0"/>
    <x v="0"/>
    <x v="17"/>
    <n v="-500000"/>
    <x v="28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</r>
  <r>
    <x v="3"/>
    <x v="0"/>
    <s v="NN9640.1"/>
    <x v="0"/>
    <x v="0"/>
    <x v="0"/>
    <x v="18"/>
    <n v="-500000"/>
    <x v="28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</r>
  <r>
    <x v="3"/>
    <x v="0"/>
    <s v="NN9640.2"/>
    <x v="0"/>
    <x v="0"/>
    <x v="1"/>
    <x v="14"/>
    <n v="-500000"/>
    <x v="28"/>
    <x v="14"/>
    <n v="1.075"/>
    <n v="5.2880000000000003"/>
    <x v="14"/>
    <x v="9"/>
    <n v="0.61199999999999999"/>
    <x v="7"/>
    <x v="14"/>
    <x v="1"/>
    <n v="0.83717822614252846"/>
    <n v="286426.39287688554"/>
    <n v="-418589.11307126423"/>
    <n v="-326912.69477968669"/>
    <n v="-40486.301902801148"/>
    <s v="36951IF-TRANSCO/Z6"/>
    <n v="-50"/>
  </r>
  <r>
    <x v="3"/>
    <x v="0"/>
    <s v="NN9640.2"/>
    <x v="0"/>
    <x v="0"/>
    <x v="1"/>
    <x v="15"/>
    <n v="-500000"/>
    <x v="28"/>
    <x v="15"/>
    <n v="2.09"/>
    <n v="6.57"/>
    <x v="15"/>
    <x v="10"/>
    <n v="0.68100000000000005"/>
    <x v="7"/>
    <x v="15"/>
    <x v="1"/>
    <n v="0.43021764681193009"/>
    <n v="161493.544432189"/>
    <n v="-215108.82340596506"/>
    <n v="-203477.86345754721"/>
    <n v="-41984.319025358214"/>
    <s v="36923IF-TRANSCO/Z6"/>
    <n v="-50"/>
  </r>
  <r>
    <x v="3"/>
    <x v="0"/>
    <s v="NN9640.2"/>
    <x v="0"/>
    <x v="0"/>
    <x v="1"/>
    <x v="16"/>
    <n v="-500000"/>
    <x v="28"/>
    <x v="16"/>
    <n v="2.17"/>
    <n v="6.9139999999999997"/>
    <x v="16"/>
    <x v="11"/>
    <n v="0.69599999999999995"/>
    <x v="7"/>
    <x v="16"/>
    <x v="1"/>
    <n v="0.37097242159554278"/>
    <n v="153006.88177340766"/>
    <n v="-185486.21079777137"/>
    <n v="-190679.41140057804"/>
    <n v="-37672.529627170385"/>
    <s v="36892IF-TRANSCO/Z6"/>
    <n v="-50"/>
  </r>
  <r>
    <x v="3"/>
    <x v="0"/>
    <s v="NN9640.2"/>
    <x v="0"/>
    <x v="0"/>
    <x v="1"/>
    <x v="17"/>
    <n v="-500000"/>
    <x v="28"/>
    <x v="17"/>
    <n v="1.645"/>
    <n v="6.4450000000000003"/>
    <x v="17"/>
    <x v="12"/>
    <n v="0.69"/>
    <x v="7"/>
    <x v="17"/>
    <x v="1"/>
    <n v="0.49111891837193733"/>
    <n v="218268.99212934793"/>
    <n v="-245559.45918596868"/>
    <n v="-253670.19355306664"/>
    <n v="-35401.20142371871"/>
    <s v="36861IF-TRANSCO/Z6"/>
    <n v="-50"/>
  </r>
  <r>
    <x v="3"/>
    <x v="0"/>
    <s v="NN9640.2"/>
    <x v="0"/>
    <x v="0"/>
    <x v="1"/>
    <x v="18"/>
    <n v="-500000"/>
    <x v="28"/>
    <x v="18"/>
    <n v="0.77"/>
    <n v="5.5060000000000002"/>
    <x v="18"/>
    <x v="13"/>
    <n v="0.625"/>
    <x v="6"/>
    <x v="18"/>
    <x v="1"/>
    <n v="0.86986168648056772"/>
    <n v="420691.28007981461"/>
    <n v="-434930.84324028384"/>
    <n v="-432195.22435392824"/>
    <n v="-11503.94427411363"/>
    <s v="36831IF-TRANSCO/Z6"/>
    <n v="-50"/>
  </r>
  <r>
    <x v="21"/>
    <x v="0"/>
    <s v="NO1679.1"/>
    <x v="0"/>
    <x v="0"/>
    <x v="1"/>
    <x v="12"/>
    <n v="-2170000"/>
    <x v="43"/>
    <x v="12"/>
    <n v="0.41499999999999998"/>
    <n v="5.1070000000000002"/>
    <x v="12"/>
    <x v="8"/>
    <n v="0.56399999999999995"/>
    <x v="2"/>
    <x v="12"/>
    <x v="1"/>
    <n v="0.1425006604027369"/>
    <n v="1854585.9057110201"/>
    <n v="-309226.43307393906"/>
    <n v="-1861820.6014013588"/>
    <n v="-7234.6956903387327"/>
    <s v="36800IF-TRANSCO/Z6"/>
    <n v="-217"/>
  </r>
  <r>
    <x v="21"/>
    <x v="0"/>
    <s v="NO1679.2"/>
    <x v="0"/>
    <x v="0"/>
    <x v="1"/>
    <x v="12"/>
    <n v="-930000"/>
    <x v="43"/>
    <x v="12"/>
    <n v="0.41499999999999998"/>
    <n v="5.1070000000000002"/>
    <x v="12"/>
    <x v="8"/>
    <n v="0.56399999999999995"/>
    <x v="2"/>
    <x v="12"/>
    <x v="1"/>
    <n v="0.1425006604027369"/>
    <n v="794822.53101900872"/>
    <n v="-132525.61417454531"/>
    <n v="-797923.11488629668"/>
    <n v="-3100.5838672879618"/>
    <s v="36800IF-TRANSCO/Z6"/>
    <n v="-93"/>
  </r>
  <r>
    <x v="8"/>
    <x v="0"/>
    <s v="NO1684"/>
    <x v="7"/>
    <x v="0"/>
    <x v="1"/>
    <x v="14"/>
    <n v="-620000"/>
    <x v="11"/>
    <x v="14"/>
    <n v="-0.13750000000000001"/>
    <n v="4.0754999999999999"/>
    <x v="14"/>
    <x v="9"/>
    <n v="0.53300000000000003"/>
    <x v="4"/>
    <x v="14"/>
    <x v="1"/>
    <n v="1.9295564577080281E-2"/>
    <n v="117391.87332600362"/>
    <n v="-11963.250037789774"/>
    <n v="-122820.44494005367"/>
    <n v="-5428.5716140500444"/>
    <s v="36951IF-PAN/TX/OK"/>
    <n v="-62"/>
  </r>
  <r>
    <x v="8"/>
    <x v="0"/>
    <s v="NO1684"/>
    <x v="7"/>
    <x v="0"/>
    <x v="1"/>
    <x v="15"/>
    <n v="-560000"/>
    <x v="11"/>
    <x v="15"/>
    <n v="-0.14499999999999999"/>
    <n v="4.335"/>
    <x v="15"/>
    <x v="10"/>
    <n v="0.59299999999999997"/>
    <x v="4"/>
    <x v="15"/>
    <x v="1"/>
    <n v="2.4720417917777023E-2"/>
    <n v="121342.26136956114"/>
    <n v="-13843.434033955133"/>
    <n v="-126842.74951681816"/>
    <n v="-5500.4881472570269"/>
    <s v="36923IF-PAN/TX/OK"/>
    <n v="-56"/>
  </r>
  <r>
    <x v="8"/>
    <x v="0"/>
    <s v="NO1684"/>
    <x v="7"/>
    <x v="0"/>
    <x v="1"/>
    <x v="16"/>
    <n v="-620000"/>
    <x v="11"/>
    <x v="16"/>
    <n v="-0.16"/>
    <n v="4.5839999999999996"/>
    <x v="16"/>
    <x v="11"/>
    <n v="0.60499999999999998"/>
    <x v="4"/>
    <x v="16"/>
    <x v="1"/>
    <n v="2.5200252981517395E-2"/>
    <n v="141622.77023973962"/>
    <n v="-15624.156848540784"/>
    <n v="-147356.70484116662"/>
    <n v="-5733.9346014269977"/>
    <s v="36892IF-PAN/TX/OK"/>
    <n v="-62"/>
  </r>
  <r>
    <x v="8"/>
    <x v="0"/>
    <s v="NO1684"/>
    <x v="7"/>
    <x v="0"/>
    <x v="1"/>
    <x v="17"/>
    <n v="-620000"/>
    <x v="11"/>
    <x v="17"/>
    <n v="-0.1525"/>
    <n v="4.6475"/>
    <x v="17"/>
    <x v="12"/>
    <n v="0.6"/>
    <x v="4"/>
    <x v="17"/>
    <x v="1"/>
    <n v="1.691445870275753E-2"/>
    <n v="115420.54461093234"/>
    <n v="-10486.964395709669"/>
    <n v="-119849.43394696988"/>
    <n v="-4428.8893360375369"/>
    <s v="36861IF-PAN/TX/OK"/>
    <n v="-62"/>
  </r>
  <r>
    <x v="8"/>
    <x v="0"/>
    <s v="NO1684"/>
    <x v="7"/>
    <x v="0"/>
    <x v="1"/>
    <x v="18"/>
    <n v="-600000"/>
    <x v="11"/>
    <x v="18"/>
    <n v="-0.14249999999999999"/>
    <n v="4.5934999999999997"/>
    <x v="18"/>
    <x v="13"/>
    <n v="0.59499999999999997"/>
    <x v="4"/>
    <x v="18"/>
    <x v="1"/>
    <n v="7.9149934761735229E-3"/>
    <n v="72128.916623226673"/>
    <n v="-4748.9960857041133"/>
    <n v="-74750.967144787443"/>
    <n v="-2622.05052156077"/>
    <s v="36831IF-PAN/TX/OK"/>
    <n v="-60"/>
  </r>
  <r>
    <x v="2"/>
    <x v="0"/>
    <s v="NO2879"/>
    <x v="7"/>
    <x v="0"/>
    <x v="1"/>
    <x v="14"/>
    <n v="-310000"/>
    <x v="11"/>
    <x v="14"/>
    <n v="-0.13750000000000001"/>
    <n v="4.0754999999999999"/>
    <x v="14"/>
    <x v="9"/>
    <n v="0.53300000000000003"/>
    <x v="4"/>
    <x v="14"/>
    <x v="1"/>
    <n v="1.9295564577080281E-2"/>
    <n v="58695.936663001812"/>
    <n v="-5981.625018894887"/>
    <n v="-61410.222470026834"/>
    <n v="-2714.2858070250222"/>
    <s v="36951IF-PAN/TX/OK"/>
    <n v="-31"/>
  </r>
  <r>
    <x v="2"/>
    <x v="0"/>
    <s v="NO2879"/>
    <x v="7"/>
    <x v="0"/>
    <x v="1"/>
    <x v="15"/>
    <n v="-280000"/>
    <x v="11"/>
    <x v="15"/>
    <n v="-0.14499999999999999"/>
    <n v="4.335"/>
    <x v="15"/>
    <x v="10"/>
    <n v="0.59299999999999997"/>
    <x v="4"/>
    <x v="15"/>
    <x v="1"/>
    <n v="2.4720417917777023E-2"/>
    <n v="60671.130684780568"/>
    <n v="-6921.7170169775663"/>
    <n v="-63421.374758409082"/>
    <n v="-2750.2440736285134"/>
    <s v="36923IF-PAN/TX/OK"/>
    <n v="-28"/>
  </r>
  <r>
    <x v="2"/>
    <x v="0"/>
    <s v="NO2879"/>
    <x v="7"/>
    <x v="0"/>
    <x v="1"/>
    <x v="16"/>
    <n v="-310000"/>
    <x v="11"/>
    <x v="16"/>
    <n v="-0.16"/>
    <n v="4.5839999999999996"/>
    <x v="16"/>
    <x v="11"/>
    <n v="0.60499999999999998"/>
    <x v="4"/>
    <x v="16"/>
    <x v="1"/>
    <n v="2.5200252981517395E-2"/>
    <n v="70811.38511986981"/>
    <n v="-7812.0784242703921"/>
    <n v="-73678.352420583309"/>
    <n v="-2866.9673007134988"/>
    <s v="36892IF-PAN/TX/OK"/>
    <n v="-31"/>
  </r>
  <r>
    <x v="2"/>
    <x v="0"/>
    <s v="NO2879"/>
    <x v="7"/>
    <x v="0"/>
    <x v="1"/>
    <x v="17"/>
    <n v="-310000"/>
    <x v="11"/>
    <x v="17"/>
    <n v="-0.1525"/>
    <n v="4.6475"/>
    <x v="17"/>
    <x v="12"/>
    <n v="0.6"/>
    <x v="4"/>
    <x v="17"/>
    <x v="1"/>
    <n v="1.691445870275753E-2"/>
    <n v="57710.272305466169"/>
    <n v="-5243.4821978548343"/>
    <n v="-59924.716973484938"/>
    <n v="-2214.4446680187684"/>
    <s v="36861IF-PAN/TX/OK"/>
    <n v="-31"/>
  </r>
  <r>
    <x v="2"/>
    <x v="0"/>
    <s v="NO2879"/>
    <x v="7"/>
    <x v="0"/>
    <x v="1"/>
    <x v="18"/>
    <n v="-300000"/>
    <x v="11"/>
    <x v="18"/>
    <n v="-0.14249999999999999"/>
    <n v="4.5934999999999997"/>
    <x v="18"/>
    <x v="13"/>
    <n v="0.59499999999999997"/>
    <x v="4"/>
    <x v="18"/>
    <x v="1"/>
    <n v="7.9149934761735229E-3"/>
    <n v="36064.458311613336"/>
    <n v="-2374.4980428520566"/>
    <n v="-37375.483572393721"/>
    <n v="-1311.025260780385"/>
    <s v="36831IF-PAN/TX/OK"/>
    <n v="-30"/>
  </r>
  <r>
    <x v="21"/>
    <x v="0"/>
    <s v="NO2888"/>
    <x v="0"/>
    <x v="0"/>
    <x v="1"/>
    <x v="12"/>
    <n v="-1550000"/>
    <x v="43"/>
    <x v="12"/>
    <n v="0.41499999999999998"/>
    <n v="5.1070000000000002"/>
    <x v="12"/>
    <x v="8"/>
    <n v="0.56399999999999995"/>
    <x v="2"/>
    <x v="12"/>
    <x v="1"/>
    <n v="0.1425006604027369"/>
    <n v="1324704.2183650145"/>
    <n v="-220876.0236242422"/>
    <n v="-1329871.8581438279"/>
    <n v="-5167.6397788133472"/>
    <s v="36800IF-TRANSCO/Z6"/>
    <n v="-155"/>
  </r>
  <r>
    <x v="3"/>
    <x v="0"/>
    <s v="NO2893"/>
    <x v="0"/>
    <x v="0"/>
    <x v="0"/>
    <x v="14"/>
    <n v="500000"/>
    <x v="44"/>
    <x v="14"/>
    <n v="1.075"/>
    <n v="5.2880000000000003"/>
    <x v="14"/>
    <x v="9"/>
    <n v="0.61199999999999999"/>
    <x v="7"/>
    <x v="14"/>
    <x v="0"/>
    <n v="0.18566653150689086"/>
    <n v="125968.09427357004"/>
    <n v="92833.265753445434"/>
    <n v="-94608.075955594526"/>
    <n v="31360.018317975511"/>
    <s v="36951IF-TRANSCO/Z6"/>
    <n v="50"/>
  </r>
  <r>
    <x v="3"/>
    <x v="0"/>
    <s v="NO2893"/>
    <x v="0"/>
    <x v="0"/>
    <x v="0"/>
    <x v="15"/>
    <n v="500000"/>
    <x v="44"/>
    <x v="15"/>
    <n v="2.09"/>
    <n v="6.57"/>
    <x v="15"/>
    <x v="10"/>
    <n v="0.68100000000000005"/>
    <x v="7"/>
    <x v="15"/>
    <x v="0"/>
    <n v="0.60409299724839804"/>
    <n v="248732.94579963855"/>
    <n v="302046.49862419901"/>
    <n v="-206391.53771313454"/>
    <n v="42341.408086504001"/>
    <s v="36923IF-TRANSCO/Z6"/>
    <n v="50"/>
  </r>
  <r>
    <x v="3"/>
    <x v="0"/>
    <s v="NO2893"/>
    <x v="0"/>
    <x v="0"/>
    <x v="0"/>
    <x v="16"/>
    <n v="500000"/>
    <x v="44"/>
    <x v="16"/>
    <n v="2.17"/>
    <n v="6.9139999999999997"/>
    <x v="16"/>
    <x v="11"/>
    <n v="0.69599999999999995"/>
    <x v="7"/>
    <x v="16"/>
    <x v="0"/>
    <n v="0.60354012865962514"/>
    <n v="255092.84309913672"/>
    <n v="301770.06432981259"/>
    <n v="-216120.58315484971"/>
    <n v="38972.259944287012"/>
    <s v="36892IF-TRANSCO/Z6"/>
    <n v="50"/>
  </r>
  <r>
    <x v="3"/>
    <x v="0"/>
    <s v="NO2893"/>
    <x v="0"/>
    <x v="0"/>
    <x v="0"/>
    <x v="17"/>
    <n v="500000"/>
    <x v="44"/>
    <x v="17"/>
    <n v="1.645"/>
    <n v="6.4450000000000003"/>
    <x v="17"/>
    <x v="12"/>
    <n v="0.69"/>
    <x v="7"/>
    <x v="17"/>
    <x v="0"/>
    <n v="0.29529874972299897"/>
    <n v="179209.46131890791"/>
    <n v="147649.37486149947"/>
    <n v="-148083.97321844118"/>
    <n v="31125.488100466726"/>
    <s v="36861IF-TRANSCO/Z6"/>
    <n v="50"/>
  </r>
  <r>
    <x v="3"/>
    <x v="0"/>
    <s v="NO2893"/>
    <x v="0"/>
    <x v="0"/>
    <x v="0"/>
    <x v="18"/>
    <n v="500000"/>
    <x v="44"/>
    <x v="18"/>
    <n v="0.77"/>
    <n v="5.5060000000000002"/>
    <x v="18"/>
    <x v="13"/>
    <n v="0.625"/>
    <x v="6"/>
    <x v="18"/>
    <x v="0"/>
    <n v="1.0231786809518556E-2"/>
    <n v="18739.702681397037"/>
    <n v="5115.8934047592784"/>
    <n v="-14974.413942908324"/>
    <n v="3765.2887384887126"/>
    <s v="36831IF-TRANSCO/Z6"/>
    <n v="50"/>
  </r>
  <r>
    <x v="12"/>
    <x v="0"/>
    <s v="NO2894"/>
    <x v="0"/>
    <x v="0"/>
    <x v="1"/>
    <x v="14"/>
    <n v="1000000"/>
    <x v="0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</r>
  <r>
    <x v="12"/>
    <x v="0"/>
    <s v="NO2894"/>
    <x v="0"/>
    <x v="0"/>
    <x v="1"/>
    <x v="15"/>
    <n v="1000000"/>
    <x v="0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</r>
  <r>
    <x v="12"/>
    <x v="0"/>
    <s v="NO2894"/>
    <x v="0"/>
    <x v="0"/>
    <x v="1"/>
    <x v="16"/>
    <n v="1000000"/>
    <x v="0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</r>
  <r>
    <x v="12"/>
    <x v="0"/>
    <s v="NO2894"/>
    <x v="0"/>
    <x v="0"/>
    <x v="1"/>
    <x v="17"/>
    <n v="1000000"/>
    <x v="0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</r>
  <r>
    <x v="12"/>
    <x v="0"/>
    <s v="NO2894"/>
    <x v="0"/>
    <x v="0"/>
    <x v="1"/>
    <x v="18"/>
    <n v="1000000"/>
    <x v="0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</r>
  <r>
    <x v="7"/>
    <x v="0"/>
    <s v="NO4881"/>
    <x v="8"/>
    <x v="0"/>
    <x v="0"/>
    <x v="14"/>
    <n v="-500000"/>
    <x v="42"/>
    <x v="14"/>
    <n v="0.22750000000000001"/>
    <n v="4.4405000000000001"/>
    <x v="14"/>
    <x v="9"/>
    <n v="0.53300000000000003"/>
    <x v="4"/>
    <x v="14"/>
    <x v="0"/>
    <n v="3.3872274193051354E-2"/>
    <n v="-142074.71718372719"/>
    <n v="-16936.137096525676"/>
    <n v="136938.64267998666"/>
    <n v="-5136.0745037405286"/>
    <s v="36951MICH_CG-GD"/>
    <n v="-50"/>
  </r>
  <r>
    <x v="7"/>
    <x v="0"/>
    <s v="NO4881"/>
    <x v="8"/>
    <x v="0"/>
    <x v="0"/>
    <x v="15"/>
    <n v="-500000"/>
    <x v="42"/>
    <x v="15"/>
    <n v="0.24"/>
    <n v="4.72"/>
    <x v="15"/>
    <x v="10"/>
    <n v="0.59299999999999997"/>
    <x v="4"/>
    <x v="15"/>
    <x v="0"/>
    <n v="4.2371819279213241E-2"/>
    <n v="-158893.43910242096"/>
    <n v="-21185.90963960662"/>
    <n v="153281.32822341745"/>
    <n v="-5612.1108790035069"/>
    <s v="36923MICH_CG-GD"/>
    <n v="-50"/>
  </r>
  <r>
    <x v="7"/>
    <x v="0"/>
    <s v="NO4881"/>
    <x v="8"/>
    <x v="0"/>
    <x v="0"/>
    <x v="16"/>
    <n v="-500000"/>
    <x v="42"/>
    <x v="16"/>
    <n v="0.22"/>
    <n v="4.9639999999999995"/>
    <x v="16"/>
    <x v="11"/>
    <n v="0.60499999999999998"/>
    <x v="4"/>
    <x v="16"/>
    <x v="0"/>
    <n v="3.2158890928715975E-2"/>
    <n v="-135767.6270178484"/>
    <n v="-16079.445464357987"/>
    <n v="130953.20469162175"/>
    <n v="-4814.422326226646"/>
    <s v="36892MICH_CG-GD"/>
    <n v="-50"/>
  </r>
  <r>
    <x v="7"/>
    <x v="0"/>
    <s v="NO4881"/>
    <x v="8"/>
    <x v="0"/>
    <x v="0"/>
    <x v="17"/>
    <n v="-500000"/>
    <x v="42"/>
    <x v="17"/>
    <n v="0.1925"/>
    <n v="4.9924999999999997"/>
    <x v="17"/>
    <x v="12"/>
    <n v="0.6"/>
    <x v="4"/>
    <x v="17"/>
    <x v="0"/>
    <n v="1.8164082044783661E-2"/>
    <n v="-97523.708431614403"/>
    <n v="-9082.0410223918298"/>
    <n v="94024.60991791627"/>
    <n v="-3499.0985136981326"/>
    <s v="36861MICH_CG-GD"/>
    <n v="-50"/>
  </r>
  <r>
    <x v="7"/>
    <x v="0"/>
    <s v="NO4881"/>
    <x v="8"/>
    <x v="0"/>
    <x v="0"/>
    <x v="18"/>
    <n v="-500000"/>
    <x v="42"/>
    <x v="18"/>
    <n v="0.17"/>
    <n v="4.9059999999999997"/>
    <x v="18"/>
    <x v="13"/>
    <n v="0.59499999999999997"/>
    <x v="4"/>
    <x v="18"/>
    <x v="0"/>
    <n v="7.1012189289966551E-3"/>
    <n v="-54437.852779883004"/>
    <n v="-3550.6094644983277"/>
    <n v="52500.940581470495"/>
    <n v="-1936.9121984125086"/>
    <s v="36831MICH_CG-GD"/>
    <n v="-50"/>
  </r>
  <r>
    <x v="2"/>
    <x v="0"/>
    <s v="NO7688.1"/>
    <x v="1"/>
    <x v="0"/>
    <x v="1"/>
    <x v="14"/>
    <n v="-310000"/>
    <x v="2"/>
    <x v="14"/>
    <n v="-0.39750000000000002"/>
    <n v="3.8155000000000001"/>
    <x v="14"/>
    <x v="9"/>
    <n v="0.51100000000000001"/>
    <x v="9"/>
    <x v="14"/>
    <x v="1"/>
    <n v="0.22706645581320334"/>
    <n v="141700.96560518199"/>
    <n v="-70390.60130209304"/>
    <n v="-157786.67859192731"/>
    <n v="-16085.712986745319"/>
    <s v="36951IF-NWPL_ROCKY_M"/>
    <n v="-31"/>
  </r>
  <r>
    <x v="2"/>
    <x v="0"/>
    <s v="NO7688.1"/>
    <x v="1"/>
    <x v="0"/>
    <x v="1"/>
    <x v="15"/>
    <n v="-280000"/>
    <x v="2"/>
    <x v="15"/>
    <n v="-0.38750000000000001"/>
    <n v="4.0925000000000002"/>
    <x v="15"/>
    <x v="10"/>
    <n v="0.56899999999999995"/>
    <x v="9"/>
    <x v="15"/>
    <x v="1"/>
    <n v="0.24347921528202868"/>
    <n v="126766.51688410307"/>
    <n v="-68174.180278968022"/>
    <n v="-141777.76367148722"/>
    <n v="-15011.246787384152"/>
    <s v="36923IF-NWPL_ROCKY_M"/>
    <n v="-28"/>
  </r>
  <r>
    <x v="2"/>
    <x v="0"/>
    <s v="NO7688.1"/>
    <x v="1"/>
    <x v="0"/>
    <x v="1"/>
    <x v="16"/>
    <n v="-310000"/>
    <x v="2"/>
    <x v="16"/>
    <n v="-0.36749999999999999"/>
    <n v="4.3765000000000001"/>
    <x v="16"/>
    <x v="11"/>
    <n v="0.58099999999999996"/>
    <x v="9"/>
    <x v="16"/>
    <x v="1"/>
    <n v="0.22527783014679784"/>
    <n v="137892.44987902115"/>
    <n v="-69836.127345507324"/>
    <n v="-153077.29661585984"/>
    <n v="-15184.846736838692"/>
    <s v="36892IF-NWPL_ROCKY_M"/>
    <n v="-31"/>
  </r>
  <r>
    <x v="2"/>
    <x v="0"/>
    <s v="NO7688.1"/>
    <x v="1"/>
    <x v="0"/>
    <x v="1"/>
    <x v="17"/>
    <n v="-310000"/>
    <x v="2"/>
    <x v="17"/>
    <n v="-0.35749999999999998"/>
    <n v="4.4424999999999999"/>
    <x v="17"/>
    <x v="12"/>
    <n v="0.57599999999999996"/>
    <x v="9"/>
    <x v="17"/>
    <x v="1"/>
    <n v="0.19203952872791191"/>
    <n v="136478.97956227534"/>
    <n v="-59532.253905652695"/>
    <n v="-149688.94655522346"/>
    <n v="-13209.966992948117"/>
    <s v="36861IF-NWPL_ROCKY_M"/>
    <n v="-31"/>
  </r>
  <r>
    <x v="2"/>
    <x v="0"/>
    <s v="NO7688.1"/>
    <x v="1"/>
    <x v="0"/>
    <x v="1"/>
    <x v="18"/>
    <n v="-300000"/>
    <x v="2"/>
    <x v="18"/>
    <n v="-0.46750000000000003"/>
    <n v="4.2684999999999995"/>
    <x v="18"/>
    <x v="13"/>
    <n v="0.57099999999999995"/>
    <x v="9"/>
    <x v="18"/>
    <x v="1"/>
    <n v="0.20558370028779754"/>
    <n v="161699.73302057528"/>
    <n v="-61675.110086339264"/>
    <n v="-172072.61653629562"/>
    <n v="-10372.883515720343"/>
    <s v="36831IF-NWPL_ROCKY_M"/>
    <n v="-30"/>
  </r>
  <r>
    <x v="2"/>
    <x v="0"/>
    <s v="NO7688.2"/>
    <x v="1"/>
    <x v="0"/>
    <x v="0"/>
    <x v="14"/>
    <n v="310000"/>
    <x v="45"/>
    <x v="14"/>
    <n v="-0.39750000000000002"/>
    <n v="3.8155000000000001"/>
    <x v="14"/>
    <x v="9"/>
    <n v="0.51100000000000001"/>
    <x v="9"/>
    <x v="14"/>
    <x v="0"/>
    <n v="0.102722148245528"/>
    <n v="96758.430311254357"/>
    <n v="31843.865956113681"/>
    <n v="-82358.338238896496"/>
    <n v="14400.09207235786"/>
    <s v="36951IF-NWPL_ROCKY_M"/>
    <n v="31"/>
  </r>
  <r>
    <x v="2"/>
    <x v="0"/>
    <s v="NO7688.2"/>
    <x v="1"/>
    <x v="0"/>
    <x v="0"/>
    <x v="15"/>
    <n v="280000"/>
    <x v="45"/>
    <x v="15"/>
    <n v="-0.38750000000000001"/>
    <n v="4.0925000000000002"/>
    <x v="15"/>
    <x v="10"/>
    <n v="0.56899999999999995"/>
    <x v="9"/>
    <x v="15"/>
    <x v="0"/>
    <n v="0.12413519722855254"/>
    <n v="94086.80472927542"/>
    <n v="34757.855223994709"/>
    <n v="-80277.000426559185"/>
    <n v="13809.804302716235"/>
    <s v="36923IF-NWPL_ROCKY_M"/>
    <n v="28"/>
  </r>
  <r>
    <x v="2"/>
    <x v="0"/>
    <s v="NO7688.2"/>
    <x v="1"/>
    <x v="0"/>
    <x v="0"/>
    <x v="16"/>
    <n v="310000"/>
    <x v="45"/>
    <x v="16"/>
    <n v="-0.36749999999999999"/>
    <n v="4.3765000000000001"/>
    <x v="16"/>
    <x v="11"/>
    <n v="0.58099999999999996"/>
    <x v="9"/>
    <x v="16"/>
    <x v="0"/>
    <n v="0.12334146107932482"/>
    <n v="105863.12773313477"/>
    <n v="38235.852934590694"/>
    <n v="-91817.25950937139"/>
    <n v="14045.868223763377"/>
    <s v="36892IF-NWPL_ROCKY_M"/>
    <n v="31"/>
  </r>
  <r>
    <x v="2"/>
    <x v="0"/>
    <s v="NO7688.2"/>
    <x v="1"/>
    <x v="0"/>
    <x v="0"/>
    <x v="17"/>
    <n v="310000"/>
    <x v="45"/>
    <x v="17"/>
    <n v="-0.35749999999999998"/>
    <n v="4.4424999999999999"/>
    <x v="17"/>
    <x v="12"/>
    <n v="0.57599999999999996"/>
    <x v="9"/>
    <x v="17"/>
    <x v="0"/>
    <n v="0.10170728899734657"/>
    <n v="100580.69750297233"/>
    <n v="31529.259589177436"/>
    <n v="-88601.735985084844"/>
    <n v="11978.961517887481"/>
    <s v="36861IF-NWPL_ROCKY_M"/>
    <n v="31"/>
  </r>
  <r>
    <x v="2"/>
    <x v="0"/>
    <s v="NO7688.2"/>
    <x v="1"/>
    <x v="0"/>
    <x v="0"/>
    <x v="18"/>
    <n v="300000"/>
    <x v="45"/>
    <x v="18"/>
    <n v="-0.46750000000000003"/>
    <n v="4.2684999999999995"/>
    <x v="18"/>
    <x v="13"/>
    <n v="0.57099999999999995"/>
    <x v="9"/>
    <x v="18"/>
    <x v="0"/>
    <n v="4.182078042554549E-2"/>
    <n v="59141.02534073493"/>
    <n v="12546.234127663647"/>
    <n v="-51894.633808568971"/>
    <n v="7246.3915321659588"/>
    <s v="36831IF-NWPL_ROCKY_M"/>
    <n v="30"/>
  </r>
  <r>
    <x v="8"/>
    <x v="0"/>
    <s v="NP3241"/>
    <x v="4"/>
    <x v="0"/>
    <x v="0"/>
    <x v="14"/>
    <n v="155000"/>
    <x v="46"/>
    <x v="14"/>
    <n v="0.59750000000000003"/>
    <n v="4.8105000000000002"/>
    <x v="14"/>
    <x v="9"/>
    <n v="0.51700000000000002"/>
    <x v="11"/>
    <x v="14"/>
    <x v="0"/>
    <n v="0.57758860156296943"/>
    <n v="105310.88678233829"/>
    <n v="89526.233242260263"/>
    <n v="-94278.979233245671"/>
    <n v="11031.907549092619"/>
    <s v="36951NGI-SOCAL"/>
    <n v="15.5"/>
  </r>
  <r>
    <x v="8"/>
    <x v="0"/>
    <s v="NP3241"/>
    <x v="4"/>
    <x v="0"/>
    <x v="0"/>
    <x v="15"/>
    <n v="140000"/>
    <x v="46"/>
    <x v="15"/>
    <n v="0.61750000000000005"/>
    <n v="5.0975000000000001"/>
    <x v="15"/>
    <x v="10"/>
    <n v="0.57499999999999996"/>
    <x v="11"/>
    <x v="15"/>
    <x v="0"/>
    <n v="0.62163460410250204"/>
    <n v="95067.960432574531"/>
    <n v="87028.844574350282"/>
    <n v="-84745.098400543226"/>
    <n v="10322.862032031306"/>
    <s v="36923NGI-SOCAL"/>
    <n v="14"/>
  </r>
  <r>
    <x v="8"/>
    <x v="0"/>
    <s v="NP3241"/>
    <x v="4"/>
    <x v="0"/>
    <x v="0"/>
    <x v="16"/>
    <n v="155000"/>
    <x v="46"/>
    <x v="16"/>
    <n v="0.76749999999999996"/>
    <n v="5.5114999999999998"/>
    <x v="16"/>
    <x v="11"/>
    <n v="0.58699999999999997"/>
    <x v="11"/>
    <x v="16"/>
    <x v="0"/>
    <n v="0.71670695573044696"/>
    <n v="113930.82849926365"/>
    <n v="111089.57813821928"/>
    <n v="-104350.54740811659"/>
    <n v="9580.2810911470588"/>
    <s v="36892NGI-SOCAL"/>
    <n v="15.5"/>
  </r>
  <r>
    <x v="8"/>
    <x v="0"/>
    <s v="NP3241"/>
    <x v="4"/>
    <x v="0"/>
    <x v="0"/>
    <x v="17"/>
    <n v="155000"/>
    <x v="46"/>
    <x v="17"/>
    <n v="1.0049999999999999"/>
    <n v="5.8049999999999997"/>
    <x v="17"/>
    <x v="12"/>
    <n v="0.58199999999999996"/>
    <x v="11"/>
    <x v="17"/>
    <x v="0"/>
    <n v="0.87124075438965032"/>
    <n v="128629.38338854727"/>
    <n v="135042.31693039581"/>
    <n v="-122202.26281272092"/>
    <n v="6427.1205758263532"/>
    <s v="36861NGI-SOCAL"/>
    <n v="15.5"/>
  </r>
  <r>
    <x v="8"/>
    <x v="0"/>
    <s v="NP3241"/>
    <x v="4"/>
    <x v="0"/>
    <x v="0"/>
    <x v="18"/>
    <n v="150000"/>
    <x v="46"/>
    <x v="18"/>
    <n v="1.5449999999999999"/>
    <n v="6.2809999999999997"/>
    <x v="18"/>
    <x v="13"/>
    <n v="0.57699999999999996"/>
    <x v="11"/>
    <x v="18"/>
    <x v="0"/>
    <n v="1.3384795070860105"/>
    <n v="144080.34126732231"/>
    <n v="200771.92606290156"/>
    <n v="-142635.23303313216"/>
    <n v="1445.1082341901492"/>
    <s v="36831NGI-SOCAL"/>
    <n v="15"/>
  </r>
  <r>
    <x v="12"/>
    <x v="0"/>
    <s v="NP6690"/>
    <x v="0"/>
    <x v="0"/>
    <x v="1"/>
    <x v="14"/>
    <n v="500000"/>
    <x v="0"/>
    <x v="14"/>
    <n v="1.075"/>
    <n v="5.2880000000000003"/>
    <x v="14"/>
    <x v="9"/>
    <n v="0.61199999999999999"/>
    <x v="7"/>
    <x v="14"/>
    <x v="1"/>
    <n v="0.4391935748419632"/>
    <n v="-198990.44285973045"/>
    <n v="219596.78742098159"/>
    <n v="243450.13179216106"/>
    <n v="44459.68893243061"/>
    <s v="36951IF-TRANSCO/Z6"/>
    <n v="50"/>
  </r>
  <r>
    <x v="12"/>
    <x v="0"/>
    <s v="NP6690"/>
    <x v="0"/>
    <x v="0"/>
    <x v="1"/>
    <x v="15"/>
    <n v="500000"/>
    <x v="0"/>
    <x v="15"/>
    <n v="2.09"/>
    <n v="6.57"/>
    <x v="15"/>
    <x v="10"/>
    <n v="0.68100000000000005"/>
    <x v="7"/>
    <x v="15"/>
    <x v="1"/>
    <n v="0.19076107387737962"/>
    <n v="-91786.738802927255"/>
    <n v="95380.536938689809"/>
    <n v="126265.64479739666"/>
    <n v="34478.905994469402"/>
    <s v="36923IF-TRANSCO/Z6"/>
    <n v="50"/>
  </r>
  <r>
    <x v="12"/>
    <x v="0"/>
    <s v="NP6690"/>
    <x v="0"/>
    <x v="0"/>
    <x v="1"/>
    <x v="16"/>
    <n v="500000"/>
    <x v="0"/>
    <x v="16"/>
    <n v="2.17"/>
    <n v="6.9139999999999997"/>
    <x v="16"/>
    <x v="11"/>
    <n v="0.69599999999999995"/>
    <x v="7"/>
    <x v="16"/>
    <x v="1"/>
    <n v="0.15429615312093103"/>
    <n v="-81844.968987132335"/>
    <n v="77148.076560465517"/>
    <n v="111132.04431257401"/>
    <n v="29287.075325441678"/>
    <s v="36892IF-TRANSCO/Z6"/>
    <n v="50"/>
  </r>
  <r>
    <x v="12"/>
    <x v="0"/>
    <s v="NP6690"/>
    <x v="0"/>
    <x v="0"/>
    <x v="1"/>
    <x v="17"/>
    <n v="500000"/>
    <x v="0"/>
    <x v="17"/>
    <n v="1.645"/>
    <n v="6.4450000000000003"/>
    <x v="17"/>
    <x v="12"/>
    <n v="0.69"/>
    <x v="7"/>
    <x v="17"/>
    <x v="1"/>
    <n v="0.20677959023365367"/>
    <n v="-122467.54136200661"/>
    <n v="103389.79511682683"/>
    <n v="153538.02453300796"/>
    <n v="31070.483171001353"/>
    <s v="36861IF-TRANSCO/Z6"/>
    <n v="50"/>
  </r>
  <r>
    <x v="12"/>
    <x v="0"/>
    <s v="NP6690"/>
    <x v="0"/>
    <x v="0"/>
    <x v="1"/>
    <x v="18"/>
    <n v="500000"/>
    <x v="0"/>
    <x v="18"/>
    <n v="0.77"/>
    <n v="5.5060000000000002"/>
    <x v="18"/>
    <x v="13"/>
    <n v="0.625"/>
    <x v="6"/>
    <x v="18"/>
    <x v="1"/>
    <n v="0.36528537794140992"/>
    <n v="-286943.73925154738"/>
    <n v="182642.68897070497"/>
    <n v="308389.19139161991"/>
    <n v="21445.452140072535"/>
    <s v="36831IF-TRANSCO/Z6"/>
    <n v="50"/>
  </r>
  <r>
    <x v="13"/>
    <x v="0"/>
    <s v="NP8939.1"/>
    <x v="0"/>
    <x v="0"/>
    <x v="1"/>
    <x v="0"/>
    <n v="-1000000"/>
    <x v="0"/>
    <x v="0"/>
    <n v="0.99"/>
    <n v="4.5949999999999998"/>
    <x v="0"/>
    <x v="0"/>
    <n v="0.40200000000000002"/>
    <x v="0"/>
    <x v="0"/>
    <x v="1"/>
    <n v="0.29664224798001759"/>
    <n v="389208.19013201911"/>
    <n v="-296642.24798001756"/>
    <n v="-438137.90410006599"/>
    <n v="-48929.713968046883"/>
    <s v="37316IF-TRANSCO/Z6"/>
    <n v="-100"/>
  </r>
  <r>
    <x v="13"/>
    <x v="0"/>
    <s v="NP8939.1"/>
    <x v="0"/>
    <x v="0"/>
    <x v="1"/>
    <x v="1"/>
    <n v="-1000000"/>
    <x v="0"/>
    <x v="1"/>
    <n v="1.56"/>
    <n v="5.33"/>
    <x v="1"/>
    <x v="1"/>
    <n v="0.435"/>
    <x v="0"/>
    <x v="1"/>
    <x v="1"/>
    <n v="0.15604461802290759"/>
    <n v="209599.64741504277"/>
    <n v="-156044.61802290758"/>
    <n v="-250704.97259482116"/>
    <n v="-41105.325179778389"/>
    <s v="37288IF-TRANSCO/Z6"/>
    <n v="-100"/>
  </r>
  <r>
    <x v="13"/>
    <x v="0"/>
    <s v="NP8939.1"/>
    <x v="0"/>
    <x v="0"/>
    <x v="1"/>
    <x v="2"/>
    <n v="-1000000"/>
    <x v="0"/>
    <x v="2"/>
    <n v="1.56"/>
    <n v="5.5"/>
    <x v="2"/>
    <x v="2"/>
    <n v="0.45400000000000001"/>
    <x v="0"/>
    <x v="2"/>
    <x v="1"/>
    <n v="0.16712247076381415"/>
    <n v="216660.2258082715"/>
    <n v="-167122.47076381414"/>
    <n v="-259385.05895936713"/>
    <n v="-42724.833151095634"/>
    <s v="37257IF-TRANSCO/Z6"/>
    <n v="-100"/>
  </r>
  <r>
    <x v="13"/>
    <x v="0"/>
    <s v="NP8939.1"/>
    <x v="0"/>
    <x v="0"/>
    <x v="1"/>
    <x v="3"/>
    <n v="-1000000"/>
    <x v="0"/>
    <x v="3"/>
    <n v="1.31"/>
    <n v="5.2780000000000005"/>
    <x v="3"/>
    <x v="3"/>
    <n v="0.44800000000000001"/>
    <x v="0"/>
    <x v="3"/>
    <x v="1"/>
    <n v="0.21693141367417401"/>
    <n v="285072.26834548439"/>
    <n v="-216931.41367417402"/>
    <n v="-331702.85457605106"/>
    <n v="-46630.586230566667"/>
    <s v="37226IF-TRANSCO/Z6"/>
    <n v="-100"/>
  </r>
  <r>
    <x v="13"/>
    <x v="0"/>
    <s v="NP8939.1"/>
    <x v="0"/>
    <x v="0"/>
    <x v="1"/>
    <x v="4"/>
    <n v="-1000000"/>
    <x v="0"/>
    <x v="4"/>
    <n v="0.89"/>
    <n v="4.7679999999999998"/>
    <x v="4"/>
    <x v="4"/>
    <n v="0.443"/>
    <x v="0"/>
    <x v="4"/>
    <x v="1"/>
    <n v="0.35055148087833843"/>
    <n v="442994.55030553968"/>
    <n v="-350551.48087833845"/>
    <n v="-492706.8137670841"/>
    <n v="-49712.263461544411"/>
    <s v="37196IF-TRANSCO/Z6"/>
    <n v="-100"/>
  </r>
  <r>
    <x v="3"/>
    <x v="0"/>
    <s v="NP8966.1"/>
    <x v="0"/>
    <x v="0"/>
    <x v="0"/>
    <x v="14"/>
    <n v="-1000000"/>
    <x v="38"/>
    <x v="14"/>
    <n v="1.075"/>
    <n v="5.2880000000000003"/>
    <x v="14"/>
    <x v="9"/>
    <n v="0.61199999999999999"/>
    <x v="7"/>
    <x v="14"/>
    <x v="0"/>
    <n v="0.30394158497160456"/>
    <n v="-369837.17316441308"/>
    <n v="-303941.58497160458"/>
    <n v="291183.55482308567"/>
    <n v="-78653.618341327412"/>
    <s v="36951IF-TRANSCO/Z6"/>
    <n v="-100"/>
  </r>
  <r>
    <x v="3"/>
    <x v="0"/>
    <s v="NP8966.1"/>
    <x v="0"/>
    <x v="0"/>
    <x v="0"/>
    <x v="15"/>
    <n v="-1000000"/>
    <x v="38"/>
    <x v="15"/>
    <n v="2.09"/>
    <n v="6.57"/>
    <x v="15"/>
    <x v="10"/>
    <n v="0.68100000000000005"/>
    <x v="7"/>
    <x v="15"/>
    <x v="0"/>
    <n v="0.85586933271648857"/>
    <n v="-626084.24729715334"/>
    <n v="-855869.33271648863"/>
    <n v="541136.75563033065"/>
    <n v="-84947.491666822694"/>
    <s v="36923IF-TRANSCO/Z6"/>
    <n v="-100"/>
  </r>
  <r>
    <x v="3"/>
    <x v="0"/>
    <s v="NP8966.1"/>
    <x v="0"/>
    <x v="0"/>
    <x v="0"/>
    <x v="16"/>
    <n v="-1000000"/>
    <x v="38"/>
    <x v="16"/>
    <n v="2.17"/>
    <n v="6.9139999999999997"/>
    <x v="16"/>
    <x v="11"/>
    <n v="0.69599999999999995"/>
    <x v="7"/>
    <x v="16"/>
    <x v="0"/>
    <n v="0.87406509518872499"/>
    <n v="-648008.59519052866"/>
    <n v="-874065.09518872504"/>
    <n v="571362.18360776303"/>
    <n v="-76646.411582765635"/>
    <s v="36892IF-TRANSCO/Z6"/>
    <n v="-100"/>
  </r>
  <r>
    <x v="3"/>
    <x v="0"/>
    <s v="NP8966.1"/>
    <x v="0"/>
    <x v="0"/>
    <x v="0"/>
    <x v="17"/>
    <n v="-1000000"/>
    <x v="38"/>
    <x v="17"/>
    <n v="1.645"/>
    <n v="6.4450000000000003"/>
    <x v="17"/>
    <x v="12"/>
    <n v="0.69"/>
    <x v="7"/>
    <x v="17"/>
    <x v="0"/>
    <n v="0.49291546746933068"/>
    <n v="-517045.15836432285"/>
    <n v="-492915.4674693307"/>
    <n v="446569.57374466391"/>
    <n v="-70475.584619658941"/>
    <s v="36861IF-TRANSCO/Z6"/>
    <n v="-100"/>
  </r>
  <r>
    <x v="3"/>
    <x v="0"/>
    <s v="NP8966.1"/>
    <x v="0"/>
    <x v="0"/>
    <x v="0"/>
    <x v="18"/>
    <n v="-1000000"/>
    <x v="38"/>
    <x v="18"/>
    <n v="0.77"/>
    <n v="5.5060000000000002"/>
    <x v="18"/>
    <x v="13"/>
    <n v="0.625"/>
    <x v="6"/>
    <x v="18"/>
    <x v="0"/>
    <n v="3.9805707090587145E-2"/>
    <n v="-122301.40100151706"/>
    <n v="-39805.707090587144"/>
    <n v="102281.90846393975"/>
    <n v="-20019.492537577316"/>
    <s v="36831IF-TRANSCO/Z6"/>
    <n v="-100"/>
  </r>
  <r>
    <x v="3"/>
    <x v="0"/>
    <s v="NP8966.2"/>
    <x v="0"/>
    <x v="0"/>
    <x v="1"/>
    <x v="14"/>
    <n v="-1000000"/>
    <x v="38"/>
    <x v="14"/>
    <n v="1.075"/>
    <n v="5.2880000000000003"/>
    <x v="14"/>
    <x v="9"/>
    <n v="0.61199999999999999"/>
    <x v="7"/>
    <x v="14"/>
    <x v="1"/>
    <n v="0.90774038129235057"/>
    <n v="596240.90094878105"/>
    <n v="-907740.38129235059"/>
    <n v="-674894.51929010835"/>
    <n v="-78653.618341327296"/>
    <s v="36951IF-TRANSCO/Z6"/>
    <n v="-100"/>
  </r>
  <r>
    <x v="3"/>
    <x v="0"/>
    <s v="NP8966.2"/>
    <x v="0"/>
    <x v="0"/>
    <x v="1"/>
    <x v="15"/>
    <n v="-1000000"/>
    <x v="38"/>
    <x v="15"/>
    <n v="2.09"/>
    <n v="6.57"/>
    <x v="15"/>
    <x v="10"/>
    <n v="0.68100000000000005"/>
    <x v="7"/>
    <x v="15"/>
    <x v="1"/>
    <n v="0.47706563290775716"/>
    <n v="345207.29067395115"/>
    <n v="-477065.63290775719"/>
    <n v="-430154.78234077385"/>
    <n v="-84947.491666822694"/>
    <s v="36923IF-TRANSCO/Z6"/>
    <n v="-100"/>
  </r>
  <r>
    <x v="3"/>
    <x v="0"/>
    <s v="NP8966.2"/>
    <x v="0"/>
    <x v="0"/>
    <x v="1"/>
    <x v="16"/>
    <n v="-1000000"/>
    <x v="38"/>
    <x v="16"/>
    <n v="2.17"/>
    <n v="6.9139999999999997"/>
    <x v="16"/>
    <x v="11"/>
    <n v="0.69599999999999995"/>
    <x v="7"/>
    <x v="16"/>
    <x v="1"/>
    <n v="0.41467750155694816"/>
    <n v="329411.81679197453"/>
    <n v="-414677.50155694818"/>
    <n v="-406058.22837474017"/>
    <n v="-76646.411582765635"/>
    <s v="36892IF-TRANSCO/Z6"/>
    <n v="-100"/>
  </r>
  <r>
    <x v="3"/>
    <x v="0"/>
    <s v="NP8966.2"/>
    <x v="0"/>
    <x v="0"/>
    <x v="1"/>
    <x v="17"/>
    <n v="-1000000"/>
    <x v="38"/>
    <x v="17"/>
    <n v="1.645"/>
    <n v="6.4450000000000003"/>
    <x v="17"/>
    <x v="12"/>
    <n v="0.69"/>
    <x v="7"/>
    <x v="17"/>
    <x v="1"/>
    <n v="0.54696706277438234"/>
    <n v="465711.11990935111"/>
    <n v="-546967.0627743823"/>
    <n v="-536186.70452901011"/>
    <n v="-70475.584619658999"/>
    <s v="36861IF-TRANSCO/Z6"/>
    <n v="-100"/>
  </r>
  <r>
    <x v="3"/>
    <x v="0"/>
    <s v="NP8966.2"/>
    <x v="0"/>
    <x v="0"/>
    <x v="1"/>
    <x v="18"/>
    <n v="-1000000"/>
    <x v="38"/>
    <x v="18"/>
    <n v="0.77"/>
    <n v="5.5060000000000002"/>
    <x v="18"/>
    <x v="13"/>
    <n v="0.625"/>
    <x v="6"/>
    <x v="18"/>
    <x v="1"/>
    <n v="0.95894457534930422"/>
    <n v="866019.96271753416"/>
    <n v="-958944.57534930424"/>
    <n v="-886039.45525511145"/>
    <n v="-20019.492537577287"/>
    <s v="36831IF-TRANSCO/Z6"/>
    <n v="-100"/>
  </r>
  <r>
    <x v="21"/>
    <x v="0"/>
    <s v="NR1864"/>
    <x v="6"/>
    <x v="0"/>
    <x v="0"/>
    <x v="14"/>
    <n v="-155000"/>
    <x v="30"/>
    <x v="14"/>
    <n v="0.1225"/>
    <n v="4.3354999999999997"/>
    <x v="14"/>
    <x v="9"/>
    <n v="0.53300000000000003"/>
    <x v="10"/>
    <x v="14"/>
    <x v="0"/>
    <n v="4.0858540517954137E-2"/>
    <n v="-64595.9099155039"/>
    <n v="-6333.0737802828908"/>
    <n v="63022.320301678432"/>
    <n v="-1573.5896138254684"/>
    <s v="36951NGI/CHI. GATE"/>
    <n v="-15.5"/>
  </r>
  <r>
    <x v="21"/>
    <x v="0"/>
    <s v="NR1864"/>
    <x v="6"/>
    <x v="0"/>
    <x v="0"/>
    <x v="15"/>
    <n v="-140000"/>
    <x v="30"/>
    <x v="15"/>
    <n v="0.13750000000000001"/>
    <n v="4.6174999999999997"/>
    <x v="15"/>
    <x v="10"/>
    <n v="0.59299999999999997"/>
    <x v="10"/>
    <x v="15"/>
    <x v="0"/>
    <n v="5.1778937717171743E-2"/>
    <n v="-64849.928436827206"/>
    <n v="-7249.0512804040436"/>
    <n v="63355.592824380765"/>
    <n v="-1494.3356124464408"/>
    <s v="36923NGI/CHI. GATE"/>
    <n v="-14"/>
  </r>
  <r>
    <x v="21"/>
    <x v="0"/>
    <s v="NR1864"/>
    <x v="6"/>
    <x v="0"/>
    <x v="0"/>
    <x v="16"/>
    <n v="-155000"/>
    <x v="30"/>
    <x v="16"/>
    <n v="0.1275"/>
    <n v="4.8715000000000002"/>
    <x v="16"/>
    <x v="11"/>
    <n v="0.60499999999999998"/>
    <x v="10"/>
    <x v="16"/>
    <x v="0"/>
    <n v="4.4503043973877957E-2"/>
    <n v="-67412.823294709582"/>
    <n v="-6897.971815951083"/>
    <n v="65907.096462909351"/>
    <n v="-1505.7268318002316"/>
    <s v="36892NGI/CHI. GATE"/>
    <n v="-15.5"/>
  </r>
  <r>
    <x v="21"/>
    <x v="0"/>
    <s v="NR1864"/>
    <x v="6"/>
    <x v="0"/>
    <x v="0"/>
    <x v="17"/>
    <n v="-155000"/>
    <x v="30"/>
    <x v="17"/>
    <n v="0.1"/>
    <n v="4.9000000000000004"/>
    <x v="17"/>
    <x v="12"/>
    <n v="0.6"/>
    <x v="10"/>
    <x v="17"/>
    <x v="0"/>
    <n v="2.7341780503795484E-2"/>
    <n v="-53018.448327933467"/>
    <n v="-4237.9759780882996"/>
    <n v="51790.160439997489"/>
    <n v="-1228.2878879359778"/>
    <s v="36861NGI/CHI. GATE"/>
    <n v="-15.5"/>
  </r>
  <r>
    <x v="21"/>
    <x v="0"/>
    <s v="NR1864"/>
    <x v="6"/>
    <x v="0"/>
    <x v="0"/>
    <x v="18"/>
    <n v="-150000"/>
    <x v="30"/>
    <x v="18"/>
    <n v="8.7499999999999994E-2"/>
    <n v="4.8235000000000001"/>
    <x v="18"/>
    <x v="13"/>
    <n v="0.59499999999999997"/>
    <x v="10"/>
    <x v="18"/>
    <x v="0"/>
    <n v="1.550052519581778E-2"/>
    <n v="-39672.463093012084"/>
    <n v="-2325.0787793726668"/>
    <n v="38804.971958279595"/>
    <n v="-867.49113473248872"/>
    <s v="36831NGI/CHI. GATE"/>
    <n v="-15"/>
  </r>
  <r>
    <x v="3"/>
    <x v="0"/>
    <s v="NR1866"/>
    <x v="4"/>
    <x v="0"/>
    <x v="0"/>
    <x v="14"/>
    <n v="1000000"/>
    <x v="1"/>
    <x v="14"/>
    <n v="0.59750000000000003"/>
    <n v="4.8105000000000002"/>
    <x v="14"/>
    <x v="9"/>
    <n v="0.51700000000000002"/>
    <x v="11"/>
    <x v="14"/>
    <x v="0"/>
    <n v="0.51572110794585235"/>
    <n v="641424.69622476539"/>
    <n v="515721.10794585233"/>
    <n v="-567547.89968099294"/>
    <n v="73876.796543772449"/>
    <s v="36951NGI-SOCAL"/>
    <n v="100"/>
  </r>
  <r>
    <x v="3"/>
    <x v="0"/>
    <s v="NR1866"/>
    <x v="4"/>
    <x v="0"/>
    <x v="0"/>
    <x v="15"/>
    <n v="1000000"/>
    <x v="1"/>
    <x v="15"/>
    <n v="0.61750000000000005"/>
    <n v="5.0975000000000001"/>
    <x v="15"/>
    <x v="10"/>
    <n v="0.57499999999999996"/>
    <x v="11"/>
    <x v="15"/>
    <x v="0"/>
    <n v="0.5597231033502309"/>
    <n v="643781.0258445252"/>
    <n v="559723.10335023084"/>
    <n v="-567542.00268891209"/>
    <n v="76239.023155613104"/>
    <s v="36923NGI-SOCAL"/>
    <n v="100"/>
  </r>
  <r>
    <x v="3"/>
    <x v="0"/>
    <s v="NR1866"/>
    <x v="4"/>
    <x v="0"/>
    <x v="0"/>
    <x v="16"/>
    <n v="1000000"/>
    <x v="1"/>
    <x v="16"/>
    <n v="0.76749999999999996"/>
    <n v="5.5114999999999998"/>
    <x v="16"/>
    <x v="11"/>
    <n v="0.58699999999999997"/>
    <x v="11"/>
    <x v="16"/>
    <x v="0"/>
    <n v="0.64834590428876826"/>
    <n v="701470.63635281625"/>
    <n v="648345.9042887683"/>
    <n v="-636329.56541689008"/>
    <n v="65141.070935926167"/>
    <s v="36892NGI-SOCAL"/>
    <n v="100"/>
  </r>
  <r>
    <x v="3"/>
    <x v="0"/>
    <s v="NR1866"/>
    <x v="4"/>
    <x v="0"/>
    <x v="0"/>
    <x v="17"/>
    <n v="1000000"/>
    <x v="1"/>
    <x v="17"/>
    <n v="1.0049999999999999"/>
    <n v="5.8049999999999997"/>
    <x v="17"/>
    <x v="12"/>
    <n v="0.58199999999999996"/>
    <x v="11"/>
    <x v="17"/>
    <x v="0"/>
    <n v="0.79202125840164439"/>
    <n v="800681.71877104649"/>
    <n v="792021.25840164442"/>
    <n v="-754902.2530195982"/>
    <n v="45779.465751448297"/>
    <s v="36861NGI-SOCAL"/>
    <n v="100"/>
  </r>
  <r>
    <x v="3"/>
    <x v="0"/>
    <s v="NR1866"/>
    <x v="4"/>
    <x v="0"/>
    <x v="0"/>
    <x v="18"/>
    <n v="1000000"/>
    <x v="1"/>
    <x v="18"/>
    <n v="1.5449999999999999"/>
    <n v="6.2809999999999997"/>
    <x v="18"/>
    <x v="13"/>
    <n v="0.57699999999999996"/>
    <x v="11"/>
    <x v="18"/>
    <x v="0"/>
    <n v="1.2434752381691645"/>
    <n v="950393.88398188457"/>
    <n v="1243475.2381691644"/>
    <n v="-938101.98813434539"/>
    <n v="12291.895847539185"/>
    <s v="36831NGI-SOCAL"/>
    <n v="100"/>
  </r>
  <r>
    <x v="22"/>
    <x v="0"/>
    <s v="NR1867"/>
    <x v="4"/>
    <x v="0"/>
    <x v="0"/>
    <x v="14"/>
    <n v="500000"/>
    <x v="1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</r>
  <r>
    <x v="22"/>
    <x v="0"/>
    <s v="NR1867"/>
    <x v="4"/>
    <x v="0"/>
    <x v="0"/>
    <x v="15"/>
    <n v="500000"/>
    <x v="1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</r>
  <r>
    <x v="22"/>
    <x v="0"/>
    <s v="NR1867"/>
    <x v="4"/>
    <x v="0"/>
    <x v="0"/>
    <x v="16"/>
    <n v="500000"/>
    <x v="1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</r>
  <r>
    <x v="22"/>
    <x v="0"/>
    <s v="NR1867"/>
    <x v="4"/>
    <x v="0"/>
    <x v="0"/>
    <x v="17"/>
    <n v="500000"/>
    <x v="1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</r>
  <r>
    <x v="22"/>
    <x v="0"/>
    <s v="NR1867"/>
    <x v="4"/>
    <x v="0"/>
    <x v="0"/>
    <x v="18"/>
    <n v="500000"/>
    <x v="1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</r>
  <r>
    <x v="6"/>
    <x v="0"/>
    <s v="NR3983"/>
    <x v="0"/>
    <x v="0"/>
    <x v="0"/>
    <x v="5"/>
    <n v="310000"/>
    <x v="34"/>
    <x v="5"/>
    <n v="0.46100000000000002"/>
    <n v="4.234"/>
    <x v="5"/>
    <x v="4"/>
    <n v="0.39400000000000002"/>
    <x v="1"/>
    <x v="5"/>
    <x v="0"/>
    <n v="0.13714256120638882"/>
    <n v="139775.77710318161"/>
    <n v="42514.193973980531"/>
    <n v="-130231.3748334049"/>
    <n v="9544.4022697767068"/>
    <s v="37165IF-TRANSCO/Z6"/>
    <n v="31"/>
  </r>
  <r>
    <x v="6"/>
    <x v="0"/>
    <s v="NR3983"/>
    <x v="0"/>
    <x v="0"/>
    <x v="0"/>
    <x v="6"/>
    <n v="300000"/>
    <x v="34"/>
    <x v="6"/>
    <n v="0.39500000000000002"/>
    <n v="4.1829999999999998"/>
    <x v="6"/>
    <x v="5"/>
    <n v="0.39200000000000002"/>
    <x v="1"/>
    <x v="6"/>
    <x v="0"/>
    <n v="0.10436260251325032"/>
    <n v="116833.40647032809"/>
    <n v="31308.780753975094"/>
    <n v="-108136.34939813422"/>
    <n v="8697.0570721938711"/>
    <s v="37135IF-TRANSCO/Z6"/>
    <n v="30"/>
  </r>
  <r>
    <x v="6"/>
    <x v="0"/>
    <s v="NR3983"/>
    <x v="0"/>
    <x v="0"/>
    <x v="0"/>
    <x v="7"/>
    <n v="310000"/>
    <x v="34"/>
    <x v="7"/>
    <n v="0.46"/>
    <n v="4.2679999999999998"/>
    <x v="7"/>
    <x v="5"/>
    <n v="0.39200000000000002"/>
    <x v="1"/>
    <x v="7"/>
    <x v="0"/>
    <n v="0.1264820590295051"/>
    <n v="139587.06497798621"/>
    <n v="39209.438299146583"/>
    <n v="-130729.59864305025"/>
    <n v="8857.4663349359616"/>
    <s v="37104IF-TRANSCO/Z6"/>
    <n v="31"/>
  </r>
  <r>
    <x v="6"/>
    <x v="0"/>
    <s v="NR3983"/>
    <x v="0"/>
    <x v="0"/>
    <x v="0"/>
    <x v="8"/>
    <n v="310000"/>
    <x v="34"/>
    <x v="8"/>
    <n v="0.46"/>
    <n v="4.2629999999999999"/>
    <x v="8"/>
    <x v="5"/>
    <n v="0.39200000000000002"/>
    <x v="1"/>
    <x v="8"/>
    <x v="0"/>
    <n v="0.1200067855524454"/>
    <n v="139495.10645684483"/>
    <n v="37202.103521258075"/>
    <n v="-131027.57631983225"/>
    <n v="8467.5301370125817"/>
    <s v="37073IF-TRANSCO/Z6"/>
    <n v="31"/>
  </r>
  <r>
    <x v="6"/>
    <x v="0"/>
    <s v="NR3983"/>
    <x v="0"/>
    <x v="0"/>
    <x v="0"/>
    <x v="9"/>
    <n v="300000"/>
    <x v="34"/>
    <x v="9"/>
    <n v="0.39500000000000002"/>
    <n v="4.2130000000000001"/>
    <x v="9"/>
    <x v="5"/>
    <n v="0.39200000000000002"/>
    <x v="1"/>
    <x v="9"/>
    <x v="0"/>
    <n v="8.735020414401895E-2"/>
    <n v="113670.78444091768"/>
    <n v="26205.061243205684"/>
    <n v="-106088.19329388764"/>
    <n v="7582.5911470300343"/>
    <s v="37043IF-TRANSCO/Z6"/>
    <n v="30"/>
  </r>
  <r>
    <x v="6"/>
    <x v="0"/>
    <s v="NR3983"/>
    <x v="0"/>
    <x v="0"/>
    <x v="0"/>
    <x v="10"/>
    <n v="310000"/>
    <x v="34"/>
    <x v="10"/>
    <n v="0.40500000000000003"/>
    <n v="4.2430000000000003"/>
    <x v="10"/>
    <x v="6"/>
    <n v="0.39700000000000002"/>
    <x v="1"/>
    <x v="10"/>
    <x v="0"/>
    <n v="8.5893158214631282E-2"/>
    <n v="119746.42902473015"/>
    <n v="26626.879046535698"/>
    <n v="-112222.1690923128"/>
    <n v="7524.2599324173498"/>
    <s v="37012IF-TRANSCO/Z6"/>
    <n v="31"/>
  </r>
  <r>
    <x v="6"/>
    <x v="0"/>
    <s v="NR3983"/>
    <x v="0"/>
    <x v="0"/>
    <x v="0"/>
    <x v="11"/>
    <n v="300000"/>
    <x v="34"/>
    <x v="11"/>
    <n v="0.52"/>
    <n v="4.4580000000000002"/>
    <x v="11"/>
    <x v="7"/>
    <n v="0.434"/>
    <x v="1"/>
    <x v="11"/>
    <x v="0"/>
    <n v="0.14461673425404681"/>
    <n v="155921.06640175125"/>
    <n v="43385.02027621404"/>
    <n v="-148155.38595300418"/>
    <n v="7765.6804487470654"/>
    <s v="36982IF-TRANSCO/Z6"/>
    <n v="30"/>
  </r>
  <r>
    <x v="3"/>
    <x v="0"/>
    <s v="NR3997"/>
    <x v="4"/>
    <x v="0"/>
    <x v="0"/>
    <x v="14"/>
    <n v="500000"/>
    <x v="1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</r>
  <r>
    <x v="3"/>
    <x v="0"/>
    <s v="NR3997"/>
    <x v="4"/>
    <x v="0"/>
    <x v="0"/>
    <x v="15"/>
    <n v="500000"/>
    <x v="1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</r>
  <r>
    <x v="3"/>
    <x v="0"/>
    <s v="NR3997"/>
    <x v="4"/>
    <x v="0"/>
    <x v="0"/>
    <x v="16"/>
    <n v="500000"/>
    <x v="1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</r>
  <r>
    <x v="3"/>
    <x v="0"/>
    <s v="NR3997"/>
    <x v="4"/>
    <x v="0"/>
    <x v="0"/>
    <x v="17"/>
    <n v="500000"/>
    <x v="1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</r>
  <r>
    <x v="3"/>
    <x v="0"/>
    <s v="NR3997"/>
    <x v="4"/>
    <x v="0"/>
    <x v="0"/>
    <x v="18"/>
    <n v="500000"/>
    <x v="1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</r>
  <r>
    <x v="22"/>
    <x v="0"/>
    <s v="NR3998"/>
    <x v="0"/>
    <x v="0"/>
    <x v="0"/>
    <x v="18"/>
    <n v="1000000"/>
    <x v="47"/>
    <x v="18"/>
    <n v="0.77"/>
    <n v="5.5060000000000002"/>
    <x v="18"/>
    <x v="13"/>
    <n v="0.625"/>
    <x v="6"/>
    <x v="18"/>
    <x v="0"/>
    <n v="0.24665387075196671"/>
    <n v="500345.34397960029"/>
    <n v="246653.87075196672"/>
    <n v="-455409.10070623556"/>
    <n v="44936.243273364729"/>
    <s v="36831IF-TRANSCO/Z6"/>
    <n v="100"/>
  </r>
  <r>
    <x v="22"/>
    <x v="0"/>
    <s v="NR5974"/>
    <x v="0"/>
    <x v="0"/>
    <x v="0"/>
    <x v="12"/>
    <n v="310000"/>
    <x v="17"/>
    <x v="12"/>
    <n v="0.41499999999999998"/>
    <n v="5.1070000000000002"/>
    <x v="12"/>
    <x v="8"/>
    <n v="0.56399999999999995"/>
    <x v="2"/>
    <x v="12"/>
    <x v="0"/>
    <n v="7.5892388018139435E-4"/>
    <n v="5346.2524043153662"/>
    <n v="235.26640285623225"/>
    <n v="-5162.2577863923425"/>
    <n v="183.99461792302372"/>
    <s v="36800IF-TRANSCO/Z6"/>
    <n v="31"/>
  </r>
  <r>
    <x v="7"/>
    <x v="0"/>
    <s v="NR5976"/>
    <x v="0"/>
    <x v="0"/>
    <x v="0"/>
    <x v="14"/>
    <n v="310000"/>
    <x v="33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</r>
  <r>
    <x v="7"/>
    <x v="0"/>
    <s v="NR5976"/>
    <x v="0"/>
    <x v="0"/>
    <x v="0"/>
    <x v="15"/>
    <n v="280000"/>
    <x v="33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</r>
  <r>
    <x v="7"/>
    <x v="0"/>
    <s v="NR5976"/>
    <x v="0"/>
    <x v="0"/>
    <x v="0"/>
    <x v="16"/>
    <n v="310000"/>
    <x v="33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</r>
  <r>
    <x v="7"/>
    <x v="0"/>
    <s v="NR5976"/>
    <x v="0"/>
    <x v="0"/>
    <x v="0"/>
    <x v="17"/>
    <n v="310000"/>
    <x v="33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</r>
  <r>
    <x v="7"/>
    <x v="0"/>
    <s v="NR5976"/>
    <x v="0"/>
    <x v="0"/>
    <x v="0"/>
    <x v="18"/>
    <n v="300000"/>
    <x v="33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</r>
  <r>
    <x v="7"/>
    <x v="0"/>
    <s v="NR5978"/>
    <x v="0"/>
    <x v="0"/>
    <x v="0"/>
    <x v="12"/>
    <n v="-620000"/>
    <x v="37"/>
    <x v="12"/>
    <n v="0.41499999999999998"/>
    <n v="5.1070000000000002"/>
    <x v="12"/>
    <x v="8"/>
    <n v="0.56399999999999995"/>
    <x v="2"/>
    <x v="12"/>
    <x v="0"/>
    <n v="5.2249944515571738E-2"/>
    <n v="-345599.58850740845"/>
    <n v="-32394.965599654479"/>
    <n v="341553.01748639857"/>
    <n v="-4046.5710210098769"/>
    <s v="36800IF-TRANSCO/Z6"/>
    <n v="-62"/>
  </r>
  <r>
    <x v="7"/>
    <x v="0"/>
    <s v="NR5979"/>
    <x v="6"/>
    <x v="0"/>
    <x v="0"/>
    <x v="14"/>
    <n v="-310000"/>
    <x v="30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</r>
  <r>
    <x v="7"/>
    <x v="0"/>
    <s v="NR5979"/>
    <x v="6"/>
    <x v="0"/>
    <x v="0"/>
    <x v="15"/>
    <n v="-280000"/>
    <x v="30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</r>
  <r>
    <x v="7"/>
    <x v="0"/>
    <s v="NR5979"/>
    <x v="6"/>
    <x v="0"/>
    <x v="0"/>
    <x v="16"/>
    <n v="-310000"/>
    <x v="30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</r>
  <r>
    <x v="7"/>
    <x v="0"/>
    <s v="NR5979"/>
    <x v="6"/>
    <x v="0"/>
    <x v="0"/>
    <x v="17"/>
    <n v="-310000"/>
    <x v="30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</r>
  <r>
    <x v="7"/>
    <x v="0"/>
    <s v="NR5979"/>
    <x v="6"/>
    <x v="0"/>
    <x v="0"/>
    <x v="18"/>
    <n v="-300000"/>
    <x v="30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</r>
  <r>
    <x v="21"/>
    <x v="0"/>
    <s v="NR5983"/>
    <x v="0"/>
    <x v="0"/>
    <x v="1"/>
    <x v="12"/>
    <n v="310000"/>
    <x v="37"/>
    <x v="12"/>
    <n v="0.41499999999999998"/>
    <n v="5.1070000000000002"/>
    <x v="12"/>
    <x v="8"/>
    <n v="0.56399999999999995"/>
    <x v="2"/>
    <x v="12"/>
    <x v="1"/>
    <n v="3.7336330308136434E-2"/>
    <n v="-135414.89936662931"/>
    <n v="11574.262395522295"/>
    <n v="137438.18487713428"/>
    <n v="2023.2855105049675"/>
    <s v="36800IF-TRANSCO/Z6"/>
    <n v="31"/>
  </r>
  <r>
    <x v="22"/>
    <x v="0"/>
    <s v="NR7762"/>
    <x v="4"/>
    <x v="0"/>
    <x v="1"/>
    <x v="12"/>
    <n v="500000"/>
    <x v="1"/>
    <x v="12"/>
    <n v="1.99"/>
    <n v="6.6820000000000004"/>
    <x v="12"/>
    <x v="8"/>
    <n v="0.54100000000000004"/>
    <x v="7"/>
    <x v="12"/>
    <x v="1"/>
    <n v="1.1068446874162863E-4"/>
    <n v="-325.59312306579267"/>
    <n v="55.34223437081431"/>
    <n v="451.18575193631159"/>
    <n v="125.59262887051892"/>
    <s v="36800NGI-SOCAL"/>
    <n v="50"/>
  </r>
  <r>
    <x v="3"/>
    <x v="0"/>
    <s v="NR7764"/>
    <x v="4"/>
    <x v="0"/>
    <x v="0"/>
    <x v="14"/>
    <n v="500000"/>
    <x v="1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</r>
  <r>
    <x v="3"/>
    <x v="0"/>
    <s v="NR7764"/>
    <x v="4"/>
    <x v="0"/>
    <x v="0"/>
    <x v="15"/>
    <n v="500000"/>
    <x v="1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</r>
  <r>
    <x v="3"/>
    <x v="0"/>
    <s v="NR7764"/>
    <x v="4"/>
    <x v="0"/>
    <x v="0"/>
    <x v="16"/>
    <n v="500000"/>
    <x v="1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</r>
  <r>
    <x v="3"/>
    <x v="0"/>
    <s v="NR7764"/>
    <x v="4"/>
    <x v="0"/>
    <x v="0"/>
    <x v="17"/>
    <n v="500000"/>
    <x v="1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</r>
  <r>
    <x v="3"/>
    <x v="0"/>
    <s v="NR7764"/>
    <x v="4"/>
    <x v="0"/>
    <x v="0"/>
    <x v="18"/>
    <n v="500000"/>
    <x v="1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</r>
  <r>
    <x v="3"/>
    <x v="0"/>
    <s v="NR7765"/>
    <x v="0"/>
    <x v="0"/>
    <x v="1"/>
    <x v="14"/>
    <n v="-1000000"/>
    <x v="48"/>
    <x v="14"/>
    <n v="1.075"/>
    <n v="5.2880000000000003"/>
    <x v="14"/>
    <x v="9"/>
    <n v="0.61199999999999999"/>
    <x v="7"/>
    <x v="14"/>
    <x v="1"/>
    <n v="0.6392930277151645"/>
    <n v="496547.71675806196"/>
    <n v="-639293.02771516447"/>
    <n v="-583093.79792810336"/>
    <n v="-86546.081170041405"/>
    <s v="36951IF-TRANSCO/Z6"/>
    <n v="-100"/>
  </r>
  <r>
    <x v="3"/>
    <x v="0"/>
    <s v="NR7765"/>
    <x v="0"/>
    <x v="0"/>
    <x v="1"/>
    <x v="15"/>
    <n v="-1000000"/>
    <x v="48"/>
    <x v="15"/>
    <n v="2.09"/>
    <n v="6.57"/>
    <x v="15"/>
    <x v="10"/>
    <n v="0.68100000000000005"/>
    <x v="7"/>
    <x v="15"/>
    <x v="1"/>
    <n v="0.30540416005784032"/>
    <n v="256738.01505320816"/>
    <n v="-305404.16005784034"/>
    <n v="-335671.15047905094"/>
    <n v="-78933.135425842775"/>
    <s v="36923IF-TRANSCO/Z6"/>
    <n v="-100"/>
  </r>
  <r>
    <x v="3"/>
    <x v="0"/>
    <s v="NR7765"/>
    <x v="0"/>
    <x v="0"/>
    <x v="1"/>
    <x v="16"/>
    <n v="-1000000"/>
    <x v="48"/>
    <x v="16"/>
    <n v="2.17"/>
    <n v="6.9139999999999997"/>
    <x v="16"/>
    <x v="11"/>
    <n v="0.69599999999999995"/>
    <x v="7"/>
    <x v="16"/>
    <x v="1"/>
    <n v="0.25636339276386311"/>
    <n v="237285.31358502826"/>
    <n v="-256363.39276386311"/>
    <n v="-306636.08400388662"/>
    <n v="-69350.770418858359"/>
    <s v="36892IF-TRANSCO/Z6"/>
    <n v="-100"/>
  </r>
  <r>
    <x v="3"/>
    <x v="0"/>
    <s v="NR7765"/>
    <x v="0"/>
    <x v="0"/>
    <x v="1"/>
    <x v="17"/>
    <n v="-1000000"/>
    <x v="48"/>
    <x v="17"/>
    <n v="1.645"/>
    <n v="6.4450000000000003"/>
    <x v="17"/>
    <x v="12"/>
    <n v="0.69"/>
    <x v="7"/>
    <x v="17"/>
    <x v="1"/>
    <n v="0.34238488338830875"/>
    <n v="347066.85445667274"/>
    <n v="-342384.88338830875"/>
    <n v="-416333.17596773012"/>
    <n v="-69266.32151105738"/>
    <s v="36861IF-TRANSCO/Z6"/>
    <n v="-100"/>
  </r>
  <r>
    <x v="3"/>
    <x v="0"/>
    <s v="NR7765"/>
    <x v="0"/>
    <x v="0"/>
    <x v="1"/>
    <x v="18"/>
    <n v="-1000000"/>
    <x v="48"/>
    <x v="18"/>
    <n v="0.77"/>
    <n v="5.5060000000000002"/>
    <x v="18"/>
    <x v="13"/>
    <n v="0.625"/>
    <x v="6"/>
    <x v="18"/>
    <x v="1"/>
    <n v="0.61754573814537794"/>
    <n v="741949.70245103969"/>
    <n v="-617545.73814537795"/>
    <n v="-774849.51686241257"/>
    <n v="-32899.814411372878"/>
    <s v="36831IF-TRANSCO/Z6"/>
    <n v="-100"/>
  </r>
  <r>
    <x v="12"/>
    <x v="0"/>
    <s v="NR7766"/>
    <x v="0"/>
    <x v="0"/>
    <x v="0"/>
    <x v="18"/>
    <n v="500000"/>
    <x v="47"/>
    <x v="18"/>
    <n v="0.77"/>
    <n v="5.5060000000000002"/>
    <x v="18"/>
    <x v="13"/>
    <n v="0.625"/>
    <x v="6"/>
    <x v="18"/>
    <x v="0"/>
    <n v="0.24665387075196671"/>
    <n v="250172.67198980015"/>
    <n v="123326.93537598336"/>
    <n v="-227704.55035311778"/>
    <n v="22468.121636682365"/>
    <s v="36831IF-TRANSCO/Z6"/>
    <n v="50"/>
  </r>
  <r>
    <x v="6"/>
    <x v="0"/>
    <s v="NR7767.1"/>
    <x v="0"/>
    <x v="0"/>
    <x v="0"/>
    <x v="14"/>
    <n v="155000"/>
    <x v="48"/>
    <x v="14"/>
    <n v="1.075"/>
    <n v="5.2880000000000003"/>
    <x v="14"/>
    <x v="9"/>
    <n v="0.61199999999999999"/>
    <x v="7"/>
    <x v="14"/>
    <x v="0"/>
    <n v="0.42192546103969569"/>
    <n v="72777.205390045463"/>
    <n v="65398.446461152831"/>
    <n v="-59362.562808689057"/>
    <n v="13414.642581356406"/>
    <s v="36951IF-TRANSCO/Z6"/>
    <n v="15.5"/>
  </r>
  <r>
    <x v="6"/>
    <x v="0"/>
    <s v="NR7767.1"/>
    <x v="0"/>
    <x v="0"/>
    <x v="0"/>
    <x v="15"/>
    <n v="140000"/>
    <x v="48"/>
    <x v="15"/>
    <n v="2.09"/>
    <n v="6.57"/>
    <x v="15"/>
    <x v="10"/>
    <n v="0.68100000000000005"/>
    <x v="7"/>
    <x v="15"/>
    <x v="0"/>
    <n v="1.0727244750550129"/>
    <n v="100037.49320850549"/>
    <n v="150181.42650770181"/>
    <n v="-88986.854248887495"/>
    <n v="11050.638959617994"/>
    <s v="36923IF-TRANSCO/Z6"/>
    <n v="14"/>
  </r>
  <r>
    <x v="6"/>
    <x v="0"/>
    <s v="NR7767.1"/>
    <x v="0"/>
    <x v="0"/>
    <x v="0"/>
    <x v="16"/>
    <n v="155000"/>
    <x v="48"/>
    <x v="16"/>
    <n v="2.17"/>
    <n v="6.9139999999999997"/>
    <x v="16"/>
    <x v="11"/>
    <n v="0.69599999999999995"/>
    <x v="7"/>
    <x v="16"/>
    <x v="0"/>
    <n v="1.1067191511886412"/>
    <n v="114720.94025160861"/>
    <n v="171541.46843423939"/>
    <n v="-103971.57083668557"/>
    <n v="10749.369414923043"/>
    <s v="36892IF-TRANSCO/Z6"/>
    <n v="15.5"/>
  </r>
  <r>
    <x v="6"/>
    <x v="0"/>
    <s v="NR7767.1"/>
    <x v="0"/>
    <x v="0"/>
    <x v="0"/>
    <x v="17"/>
    <n v="155000"/>
    <x v="48"/>
    <x v="17"/>
    <n v="1.645"/>
    <n v="6.4450000000000003"/>
    <x v="17"/>
    <x v="12"/>
    <n v="0.69"/>
    <x v="7"/>
    <x v="17"/>
    <x v="0"/>
    <n v="0.68143579939272703"/>
    <n v="98531.860691635186"/>
    <n v="105622.5489058727"/>
    <n v="-87795.580857421301"/>
    <n v="10736.279834213885"/>
    <s v="36861IF-TRANSCO/Z6"/>
    <n v="15.5"/>
  </r>
  <r>
    <x v="6"/>
    <x v="0"/>
    <s v="NR7767.1"/>
    <x v="0"/>
    <x v="0"/>
    <x v="0"/>
    <x v="18"/>
    <n v="150000"/>
    <x v="48"/>
    <x v="18"/>
    <n v="0.77"/>
    <n v="5.5060000000000002"/>
    <x v="18"/>
    <x v="13"/>
    <n v="0.625"/>
    <x v="6"/>
    <x v="18"/>
    <x v="0"/>
    <n v="9.3735415374281122E-2"/>
    <n v="36955.749190201735"/>
    <n v="14060.312306142168"/>
    <n v="-32020.777028495806"/>
    <n v="4934.9721617059295"/>
    <s v="36831IF-TRANSCO/Z6"/>
    <n v="15"/>
  </r>
  <r>
    <x v="6"/>
    <x v="0"/>
    <s v="NR7767.2"/>
    <x v="0"/>
    <x v="0"/>
    <x v="1"/>
    <x v="14"/>
    <n v="155000"/>
    <x v="48"/>
    <x v="14"/>
    <n v="1.075"/>
    <n v="5.2880000000000003"/>
    <x v="14"/>
    <x v="9"/>
    <n v="0.61199999999999999"/>
    <x v="7"/>
    <x v="14"/>
    <x v="1"/>
    <n v="0.6392930277151645"/>
    <n v="-76964.896097499601"/>
    <n v="99090.419295850501"/>
    <n v="90379.538678856014"/>
    <n v="13414.642581356413"/>
    <s v="36951IF-TRANSCO/Z6"/>
    <n v="15.5"/>
  </r>
  <r>
    <x v="6"/>
    <x v="0"/>
    <s v="NR7767.2"/>
    <x v="0"/>
    <x v="0"/>
    <x v="1"/>
    <x v="15"/>
    <n v="140000"/>
    <x v="48"/>
    <x v="15"/>
    <n v="2.09"/>
    <n v="6.57"/>
    <x v="15"/>
    <x v="10"/>
    <n v="0.68100000000000005"/>
    <x v="7"/>
    <x v="15"/>
    <x v="1"/>
    <n v="0.30540416005784032"/>
    <n v="-35943.322107449138"/>
    <n v="42756.582408097645"/>
    <n v="46993.961067067132"/>
    <n v="11050.638959617994"/>
    <s v="36923IF-TRANSCO/Z6"/>
    <n v="14"/>
  </r>
  <r>
    <x v="6"/>
    <x v="0"/>
    <s v="NR7767.2"/>
    <x v="0"/>
    <x v="0"/>
    <x v="1"/>
    <x v="16"/>
    <n v="155000"/>
    <x v="48"/>
    <x v="16"/>
    <n v="2.17"/>
    <n v="6.9139999999999997"/>
    <x v="16"/>
    <x v="11"/>
    <n v="0.69599999999999995"/>
    <x v="7"/>
    <x v="16"/>
    <x v="1"/>
    <n v="0.25636339276386311"/>
    <n v="-36779.223605679377"/>
    <n v="39736.325878398784"/>
    <n v="47528.593020602428"/>
    <n v="10749.36941492305"/>
    <s v="36892IF-TRANSCO/Z6"/>
    <n v="15.5"/>
  </r>
  <r>
    <x v="6"/>
    <x v="0"/>
    <s v="NR7767.2"/>
    <x v="0"/>
    <x v="0"/>
    <x v="1"/>
    <x v="17"/>
    <n v="155000"/>
    <x v="48"/>
    <x v="17"/>
    <n v="1.645"/>
    <n v="6.4450000000000003"/>
    <x v="17"/>
    <x v="12"/>
    <n v="0.69"/>
    <x v="7"/>
    <x v="17"/>
    <x v="1"/>
    <n v="0.34238488338830875"/>
    <n v="-53795.362440784273"/>
    <n v="53069.656925187854"/>
    <n v="64531.642274998165"/>
    <n v="10736.279834213892"/>
    <s v="36861IF-TRANSCO/Z6"/>
    <n v="15.5"/>
  </r>
  <r>
    <x v="6"/>
    <x v="0"/>
    <s v="NR7767.2"/>
    <x v="0"/>
    <x v="0"/>
    <x v="1"/>
    <x v="18"/>
    <n v="150000"/>
    <x v="48"/>
    <x v="18"/>
    <n v="0.77"/>
    <n v="5.5060000000000002"/>
    <x v="18"/>
    <x v="13"/>
    <n v="0.625"/>
    <x v="6"/>
    <x v="18"/>
    <x v="1"/>
    <n v="0.61754573814537794"/>
    <n v="-111292.45536765594"/>
    <n v="92631.86072180669"/>
    <n v="116227.42752936188"/>
    <n v="4934.9721617059404"/>
    <s v="36831IF-TRANSCO/Z6"/>
    <n v="15"/>
  </r>
  <r>
    <x v="21"/>
    <x v="0"/>
    <s v="NS0945"/>
    <x v="0"/>
    <x v="0"/>
    <x v="1"/>
    <x v="12"/>
    <n v="-1240000"/>
    <x v="37"/>
    <x v="12"/>
    <n v="0.41499999999999998"/>
    <n v="5.1070000000000002"/>
    <x v="12"/>
    <x v="8"/>
    <n v="0.56399999999999995"/>
    <x v="2"/>
    <x v="12"/>
    <x v="1"/>
    <n v="3.7336330308136434E-2"/>
    <n v="541659.59746651724"/>
    <n v="-46297.049582089181"/>
    <n v="-549752.73950853711"/>
    <n v="-8093.1420420198701"/>
    <s v="36800IF-TRANSCO/Z6"/>
    <n v="-124"/>
  </r>
  <r>
    <x v="21"/>
    <x v="0"/>
    <s v="NS0946"/>
    <x v="2"/>
    <x v="0"/>
    <x v="0"/>
    <x v="14"/>
    <n v="-310000"/>
    <x v="37"/>
    <x v="14"/>
    <n v="0.27"/>
    <n v="4.4830000000000005"/>
    <x v="14"/>
    <x v="9"/>
    <n v="0.53300000000000003"/>
    <x v="5"/>
    <x v="14"/>
    <x v="0"/>
    <n v="5.4639929538661862E-2"/>
    <n v="-100474.43758976206"/>
    <n v="-16938.378156985178"/>
    <n v="95482.89140471119"/>
    <n v="-4991.5461850508727"/>
    <s v="36951IF-CGT/APPALAC"/>
    <n v="-31"/>
  </r>
  <r>
    <x v="21"/>
    <x v="0"/>
    <s v="NS0946"/>
    <x v="2"/>
    <x v="0"/>
    <x v="0"/>
    <x v="15"/>
    <n v="-280000"/>
    <x v="37"/>
    <x v="15"/>
    <n v="0.29499999999999998"/>
    <n v="4.7750000000000004"/>
    <x v="15"/>
    <x v="10"/>
    <n v="0.59299999999999997"/>
    <x v="5"/>
    <x v="15"/>
    <x v="0"/>
    <n v="7.0506703532524931E-2"/>
    <n v="-103095.40548551212"/>
    <n v="-19741.876989106982"/>
    <n v="98194.423516814451"/>
    <n v="-4900.9819686976698"/>
    <s v="36923IF-CGT/APPALAC"/>
    <n v="-28"/>
  </r>
  <r>
    <x v="21"/>
    <x v="0"/>
    <s v="NS0946"/>
    <x v="2"/>
    <x v="0"/>
    <x v="0"/>
    <x v="16"/>
    <n v="-310000"/>
    <x v="37"/>
    <x v="16"/>
    <n v="0.3"/>
    <n v="5.0439999999999996"/>
    <x v="16"/>
    <x v="11"/>
    <n v="0.60499999999999998"/>
    <x v="5"/>
    <x v="16"/>
    <x v="0"/>
    <n v="6.6512633766821525E-2"/>
    <n v="-113648.19357376476"/>
    <n v="-20618.916467714673"/>
    <n v="108674.49071004173"/>
    <n v="-4973.7028637230251"/>
    <s v="36892IF-CGT/APPALAC"/>
    <n v="-31"/>
  </r>
  <r>
    <x v="21"/>
    <x v="0"/>
    <s v="NS0946"/>
    <x v="2"/>
    <x v="0"/>
    <x v="0"/>
    <x v="17"/>
    <n v="-310000"/>
    <x v="37"/>
    <x v="17"/>
    <n v="0.29499999999999998"/>
    <n v="5.0949999999999998"/>
    <x v="17"/>
    <x v="12"/>
    <n v="0.6"/>
    <x v="5"/>
    <x v="17"/>
    <x v="0"/>
    <n v="5.2292412876347588E-2"/>
    <n v="-105234.94529562142"/>
    <n v="-16210.647991667753"/>
    <n v="101019.98377776175"/>
    <n v="-4214.9615178596723"/>
    <s v="36861IF-CGT/APPALAC"/>
    <n v="-31"/>
  </r>
  <r>
    <x v="21"/>
    <x v="0"/>
    <s v="NS0946"/>
    <x v="2"/>
    <x v="0"/>
    <x v="0"/>
    <x v="18"/>
    <n v="-300000"/>
    <x v="37"/>
    <x v="18"/>
    <n v="0.26500000000000001"/>
    <n v="5.0009999999999994"/>
    <x v="18"/>
    <x v="13"/>
    <n v="0.59499999999999997"/>
    <x v="5"/>
    <x v="18"/>
    <x v="0"/>
    <n v="2.7900806145605476E-2"/>
    <n v="-75145.723965750803"/>
    <n v="-8370.2418436816424"/>
    <n v="72246.573311502492"/>
    <n v="-2899.1506542483112"/>
    <s v="36831IF-CGT/APPALAC"/>
    <n v="-30"/>
  </r>
  <r>
    <x v="21"/>
    <x v="0"/>
    <s v="NS0947"/>
    <x v="9"/>
    <x v="0"/>
    <x v="0"/>
    <x v="14"/>
    <n v="-310000"/>
    <x v="34"/>
    <x v="14"/>
    <n v="0.36"/>
    <n v="4.5730000000000004"/>
    <x v="14"/>
    <x v="9"/>
    <n v="0.53300000000000003"/>
    <x v="4"/>
    <x v="14"/>
    <x v="0"/>
    <n v="4.0756463999864205E-2"/>
    <n v="-92354.479980177173"/>
    <n v="-12634.503839957904"/>
    <n v="89464.469248137015"/>
    <n v="-2890.0107320401585"/>
    <s v="36951IF-CNG/APPALACH"/>
    <n v="-31"/>
  </r>
  <r>
    <x v="21"/>
    <x v="0"/>
    <s v="NS0947"/>
    <x v="9"/>
    <x v="0"/>
    <x v="0"/>
    <x v="15"/>
    <n v="-280000"/>
    <x v="34"/>
    <x v="15"/>
    <n v="0.41499999999999998"/>
    <n v="4.8949999999999996"/>
    <x v="15"/>
    <x v="10"/>
    <n v="0.59299999999999997"/>
    <x v="4"/>
    <x v="15"/>
    <x v="0"/>
    <n v="6.4690218828433829E-2"/>
    <n v="-109353.86515374279"/>
    <n v="-18113.261271961474"/>
    <n v="106386.75169301005"/>
    <n v="-2967.1134607327404"/>
    <s v="36923IF-CNG/APPALACH"/>
    <n v="-28"/>
  </r>
  <r>
    <x v="21"/>
    <x v="0"/>
    <s v="NS0947"/>
    <x v="9"/>
    <x v="0"/>
    <x v="0"/>
    <x v="16"/>
    <n v="-310000"/>
    <x v="34"/>
    <x v="16"/>
    <n v="0.45500000000000002"/>
    <n v="5.1989999999999998"/>
    <x v="16"/>
    <x v="11"/>
    <n v="0.60499999999999998"/>
    <x v="4"/>
    <x v="16"/>
    <x v="0"/>
    <n v="7.4714134062326673E-2"/>
    <n v="-137682.02001096719"/>
    <n v="-23161.381559321268"/>
    <n v="134608.62318374481"/>
    <n v="-3073.3968272223719"/>
    <s v="36892IF-CNG/APPALACH"/>
    <n v="-31"/>
  </r>
  <r>
    <x v="21"/>
    <x v="0"/>
    <s v="NS0947"/>
    <x v="9"/>
    <x v="0"/>
    <x v="0"/>
    <x v="17"/>
    <n v="-310000"/>
    <x v="34"/>
    <x v="17"/>
    <n v="0.375"/>
    <n v="5.1749999999999998"/>
    <x v="17"/>
    <x v="12"/>
    <n v="0.6"/>
    <x v="4"/>
    <x v="17"/>
    <x v="0"/>
    <n v="3.4319075157112557E-2"/>
    <n v="-89138.362174306225"/>
    <n v="-10638.913298704892"/>
    <n v="86757.00128598178"/>
    <n v="-2381.3608883244451"/>
    <s v="36861IF-CNG/APPALACH"/>
    <n v="-31"/>
  </r>
  <r>
    <x v="21"/>
    <x v="0"/>
    <s v="NS0947"/>
    <x v="9"/>
    <x v="0"/>
    <x v="0"/>
    <x v="18"/>
    <n v="-300000"/>
    <x v="34"/>
    <x v="18"/>
    <n v="0.32150000000000001"/>
    <n v="5.0575000000000001"/>
    <x v="18"/>
    <x v="13"/>
    <n v="0.59499999999999997"/>
    <x v="4"/>
    <x v="18"/>
    <x v="0"/>
    <n v="1.1762959430634472E-2"/>
    <n v="-44746.977246670562"/>
    <n v="-3528.8878291903416"/>
    <n v="43449.279439811718"/>
    <n v="-1297.6978068588433"/>
    <s v="36831IF-CNG/APPALACH"/>
    <n v="-30"/>
  </r>
  <r>
    <x v="2"/>
    <x v="0"/>
    <s v="NS2705"/>
    <x v="7"/>
    <x v="0"/>
    <x v="1"/>
    <x v="14"/>
    <n v="-310000"/>
    <x v="10"/>
    <x v="14"/>
    <n v="-0.13750000000000001"/>
    <n v="4.0754999999999999"/>
    <x v="14"/>
    <x v="9"/>
    <n v="0.53300000000000003"/>
    <x v="4"/>
    <x v="14"/>
    <x v="1"/>
    <n v="2.8081517606628359E-2"/>
    <n v="79966.410141486209"/>
    <n v="-8705.2704580547907"/>
    <n v="-83276.811563618699"/>
    <n v="-3310.4014221324906"/>
    <s v="36951IF-PAN/TX/OK"/>
    <n v="-31"/>
  </r>
  <r>
    <x v="2"/>
    <x v="0"/>
    <s v="NS2705"/>
    <x v="7"/>
    <x v="0"/>
    <x v="1"/>
    <x v="15"/>
    <n v="-280000"/>
    <x v="10"/>
    <x v="15"/>
    <n v="-0.14499999999999999"/>
    <n v="4.335"/>
    <x v="15"/>
    <x v="10"/>
    <n v="0.59299999999999997"/>
    <x v="4"/>
    <x v="15"/>
    <x v="1"/>
    <n v="3.474232817201546E-2"/>
    <n v="80025.331418855436"/>
    <n v="-9727.8518881643286"/>
    <n v="-83279.530560721731"/>
    <n v="-3254.1991418662947"/>
    <s v="36923IF-PAN/TX/OK"/>
    <n v="-28"/>
  </r>
  <r>
    <x v="2"/>
    <x v="0"/>
    <s v="NS2705"/>
    <x v="7"/>
    <x v="0"/>
    <x v="1"/>
    <x v="16"/>
    <n v="-310000"/>
    <x v="10"/>
    <x v="16"/>
    <n v="-0.16"/>
    <n v="4.5839999999999996"/>
    <x v="16"/>
    <x v="11"/>
    <n v="0.60499999999999998"/>
    <x v="4"/>
    <x v="16"/>
    <x v="1"/>
    <n v="3.6175246754154872E-2"/>
    <n v="94675.014060187517"/>
    <n v="-11214.32649378801"/>
    <n v="-98067.461533815775"/>
    <n v="-3392.4474736282573"/>
    <s v="36892IF-PAN/TX/OK"/>
    <n v="-31"/>
  </r>
  <r>
    <x v="2"/>
    <x v="0"/>
    <s v="NS2705"/>
    <x v="7"/>
    <x v="0"/>
    <x v="1"/>
    <x v="17"/>
    <n v="-310000"/>
    <x v="10"/>
    <x v="17"/>
    <n v="-0.1525"/>
    <n v="4.6475"/>
    <x v="17"/>
    <x v="12"/>
    <n v="0.6"/>
    <x v="4"/>
    <x v="17"/>
    <x v="1"/>
    <n v="2.6360420473757418E-2"/>
    <n v="82843.55898068173"/>
    <n v="-8171.7303468647997"/>
    <n v="-85621.109941293209"/>
    <n v="-2777.5509606114792"/>
    <s v="36861IF-PAN/TX/OK"/>
    <n v="-31"/>
  </r>
  <r>
    <x v="2"/>
    <x v="0"/>
    <s v="NS2705"/>
    <x v="7"/>
    <x v="0"/>
    <x v="1"/>
    <x v="18"/>
    <n v="-300000"/>
    <x v="10"/>
    <x v="18"/>
    <n v="-0.14249999999999999"/>
    <n v="4.5934999999999997"/>
    <x v="18"/>
    <x v="13"/>
    <n v="0.59499999999999997"/>
    <x v="4"/>
    <x v="18"/>
    <x v="1"/>
    <n v="1.4632522343757033E-2"/>
    <n v="60324.897458959662"/>
    <n v="-4389.7567031271101"/>
    <n v="-62205.476113935089"/>
    <n v="-1880.5786549754266"/>
    <s v="36831IF-PAN/TX/OK"/>
    <n v="-30"/>
  </r>
  <r>
    <x v="8"/>
    <x v="0"/>
    <s v="NS2749"/>
    <x v="6"/>
    <x v="0"/>
    <x v="0"/>
    <x v="19"/>
    <n v="310000"/>
    <x v="46"/>
    <x v="19"/>
    <n v="0.12"/>
    <n v="3.3050000000000002"/>
    <x v="19"/>
    <x v="14"/>
    <n v="0.27300000000000002"/>
    <x v="12"/>
    <x v="19"/>
    <x v="0"/>
    <n v="5.9226425393445012E-2"/>
    <n v="103744.10547558307"/>
    <n v="18360.191871967952"/>
    <n v="-96480.473601048012"/>
    <n v="7263.6318745350582"/>
    <s v="37681NGI/CHI. GATE"/>
    <n v="31"/>
  </r>
  <r>
    <x v="8"/>
    <x v="0"/>
    <s v="NS2749"/>
    <x v="6"/>
    <x v="0"/>
    <x v="0"/>
    <x v="20"/>
    <n v="280000"/>
    <x v="46"/>
    <x v="20"/>
    <n v="0.1225"/>
    <n v="3.4775"/>
    <x v="20"/>
    <x v="15"/>
    <n v="0.28299999999999997"/>
    <x v="12"/>
    <x v="20"/>
    <x v="0"/>
    <n v="6.6279555037330934E-2"/>
    <n v="96822.167513298191"/>
    <n v="18558.275410452661"/>
    <n v="-90009.625395118623"/>
    <n v="6812.5421181795682"/>
    <s v="37653NGI/CHI. GATE"/>
    <n v="28"/>
  </r>
  <r>
    <x v="8"/>
    <x v="0"/>
    <s v="NS2749"/>
    <x v="6"/>
    <x v="0"/>
    <x v="0"/>
    <x v="21"/>
    <n v="310000"/>
    <x v="46"/>
    <x v="21"/>
    <n v="0.14499999999999999"/>
    <n v="3.6419999999999999"/>
    <x v="21"/>
    <x v="15"/>
    <n v="0.28299999999999997"/>
    <x v="12"/>
    <x v="21"/>
    <x v="0"/>
    <n v="7.659953700503995E-2"/>
    <n v="116349.10044555389"/>
    <n v="23745.856471562383"/>
    <n v="-108735.40417470539"/>
    <n v="7613.696270848508"/>
    <s v="37622NGI/CHI. GATE"/>
    <n v="31"/>
  </r>
  <r>
    <x v="8"/>
    <x v="0"/>
    <s v="NS2749"/>
    <x v="6"/>
    <x v="0"/>
    <x v="0"/>
    <x v="22"/>
    <n v="310000"/>
    <x v="46"/>
    <x v="22"/>
    <n v="0.13250000000000001"/>
    <n v="3.6364999999999998"/>
    <x v="22"/>
    <x v="16"/>
    <n v="0.29499999999999998"/>
    <x v="12"/>
    <x v="22"/>
    <x v="0"/>
    <n v="7.462411098488099E-2"/>
    <n v="113124.11143208624"/>
    <n v="23133.474405313107"/>
    <n v="-105344.46436664596"/>
    <n v="7779.6470654402801"/>
    <s v="37591NGI/CHI. GATE"/>
    <n v="31"/>
  </r>
  <r>
    <x v="8"/>
    <x v="0"/>
    <s v="NS2749"/>
    <x v="6"/>
    <x v="0"/>
    <x v="0"/>
    <x v="23"/>
    <n v="300000"/>
    <x v="46"/>
    <x v="23"/>
    <n v="9.2499999999999999E-2"/>
    <n v="3.5105"/>
    <x v="23"/>
    <x v="17"/>
    <n v="0.29299999999999998"/>
    <x v="12"/>
    <x v="23"/>
    <x v="0"/>
    <n v="5.7097412131602632E-2"/>
    <n v="94667.397194913166"/>
    <n v="17129.223639480788"/>
    <n v="-87623.453558757348"/>
    <n v="7043.9436361558182"/>
    <s v="37561NGI/CHI. GATE"/>
    <n v="30"/>
  </r>
  <r>
    <x v="3"/>
    <x v="0"/>
    <s v="NS2782"/>
    <x v="4"/>
    <x v="0"/>
    <x v="0"/>
    <x v="14"/>
    <n v="155000"/>
    <x v="1"/>
    <x v="14"/>
    <n v="0.59750000000000003"/>
    <n v="4.8105000000000002"/>
    <x v="14"/>
    <x v="9"/>
    <n v="0.51700000000000002"/>
    <x v="11"/>
    <x v="14"/>
    <x v="0"/>
    <n v="0.51572110794585235"/>
    <n v="99420.827914838635"/>
    <n v="79936.771731607121"/>
    <n v="-87969.92445055391"/>
    <n v="11450.903464284725"/>
    <s v="36951NGI-SOCAL"/>
    <n v="15.5"/>
  </r>
  <r>
    <x v="3"/>
    <x v="0"/>
    <s v="NS2782"/>
    <x v="4"/>
    <x v="0"/>
    <x v="0"/>
    <x v="15"/>
    <n v="140000"/>
    <x v="1"/>
    <x v="15"/>
    <n v="0.61750000000000005"/>
    <n v="5.0975000000000001"/>
    <x v="15"/>
    <x v="10"/>
    <n v="0.57499999999999996"/>
    <x v="11"/>
    <x v="15"/>
    <x v="0"/>
    <n v="0.5597231033502309"/>
    <n v="90129.343618233528"/>
    <n v="78361.234469032323"/>
    <n v="-79455.880376447691"/>
    <n v="10673.463241785837"/>
    <s v="36923NGI-SOCAL"/>
    <n v="14"/>
  </r>
  <r>
    <x v="3"/>
    <x v="0"/>
    <s v="NS2782"/>
    <x v="4"/>
    <x v="0"/>
    <x v="0"/>
    <x v="16"/>
    <n v="155000"/>
    <x v="1"/>
    <x v="16"/>
    <n v="0.76749999999999996"/>
    <n v="5.5114999999999998"/>
    <x v="16"/>
    <x v="11"/>
    <n v="0.58699999999999997"/>
    <x v="11"/>
    <x v="16"/>
    <x v="0"/>
    <n v="0.64834590428876826"/>
    <n v="108727.94863468652"/>
    <n v="100493.61516475907"/>
    <n v="-98631.082639617962"/>
    <n v="10096.865995068554"/>
    <s v="36892NGI-SOCAL"/>
    <n v="15.5"/>
  </r>
  <r>
    <x v="3"/>
    <x v="0"/>
    <s v="NS2782"/>
    <x v="4"/>
    <x v="0"/>
    <x v="0"/>
    <x v="17"/>
    <n v="155000"/>
    <x v="1"/>
    <x v="17"/>
    <n v="1.0049999999999999"/>
    <n v="5.8049999999999997"/>
    <x v="17"/>
    <x v="12"/>
    <n v="0.58199999999999996"/>
    <x v="11"/>
    <x v="17"/>
    <x v="0"/>
    <n v="0.79202125840164439"/>
    <n v="124105.66640951221"/>
    <n v="122763.29505225488"/>
    <n v="-117009.84921803772"/>
    <n v="7095.8171914744889"/>
    <s v="36861NGI-SOCAL"/>
    <n v="15.5"/>
  </r>
  <r>
    <x v="3"/>
    <x v="0"/>
    <s v="NS2782"/>
    <x v="4"/>
    <x v="0"/>
    <x v="0"/>
    <x v="18"/>
    <n v="150000"/>
    <x v="1"/>
    <x v="18"/>
    <n v="1.5449999999999999"/>
    <n v="6.2809999999999997"/>
    <x v="18"/>
    <x v="13"/>
    <n v="0.57699999999999996"/>
    <x v="11"/>
    <x v="18"/>
    <x v="0"/>
    <n v="1.2434752381691645"/>
    <n v="142559.08259728269"/>
    <n v="186521.28572537468"/>
    <n v="-140715.2982201518"/>
    <n v="1843.7843771308835"/>
    <s v="36831NGI-SOCAL"/>
    <n v="15"/>
  </r>
  <r>
    <x v="16"/>
    <x v="0"/>
    <s v="NS3031.1"/>
    <x v="4"/>
    <x v="0"/>
    <x v="0"/>
    <x v="12"/>
    <n v="620000"/>
    <x v="49"/>
    <x v="12"/>
    <n v="1.99"/>
    <n v="6.6820000000000004"/>
    <x v="12"/>
    <x v="8"/>
    <n v="0.54100000000000004"/>
    <x v="7"/>
    <x v="12"/>
    <x v="0"/>
    <n v="1.1368172389465752"/>
    <n v="606795.56722442212"/>
    <n v="704826.68814687664"/>
    <n v="-604337.80256026611"/>
    <n v="2457.7646641560132"/>
    <s v="36800NGI-SOCAL"/>
    <n v="62"/>
  </r>
  <r>
    <x v="16"/>
    <x v="0"/>
    <s v="NS3031.1"/>
    <x v="4"/>
    <x v="0"/>
    <x v="0"/>
    <x v="13"/>
    <n v="600000"/>
    <x v="49"/>
    <x v="13"/>
    <n v="2.5"/>
    <n v="7.1849999999999996"/>
    <x v="13"/>
    <x v="5"/>
    <n v="0.376"/>
    <x v="7"/>
    <x v="13"/>
    <x v="0"/>
    <n v="1.6493930359247566"/>
    <n v="599779.28574823542"/>
    <n v="989635.82155485393"/>
    <n v="-599779.3096899502"/>
    <n v="-2.3941714782267809E-2"/>
    <s v="36770NGI-SOCAL"/>
    <n v="60"/>
  </r>
  <r>
    <x v="16"/>
    <x v="0"/>
    <s v="NS3031.2"/>
    <x v="4"/>
    <x v="0"/>
    <x v="1"/>
    <x v="12"/>
    <n v="-620000"/>
    <x v="34"/>
    <x v="12"/>
    <n v="1.99"/>
    <n v="6.6820000000000004"/>
    <x v="12"/>
    <x v="8"/>
    <n v="0.54100000000000004"/>
    <x v="7"/>
    <x v="12"/>
    <x v="1"/>
    <n v="4.187872871359577E-4"/>
    <n v="1414.5209735996823"/>
    <n v="-259.64811802429375"/>
    <n v="-1891.730114723038"/>
    <n v="-477.20914112335572"/>
    <s v="36800NGI-SOCAL"/>
    <n v="-62"/>
  </r>
  <r>
    <x v="16"/>
    <x v="0"/>
    <s v="NS3031.2"/>
    <x v="4"/>
    <x v="0"/>
    <x v="1"/>
    <x v="13"/>
    <n v="-600000"/>
    <x v="34"/>
    <x v="13"/>
    <n v="2.5"/>
    <n v="7.1849999999999996"/>
    <x v="13"/>
    <x v="5"/>
    <n v="0.376"/>
    <x v="7"/>
    <x v="13"/>
    <x v="1"/>
    <n v="2.6217787613136423E-7"/>
    <n v="-7.8612541343225928E-2"/>
    <n v="-0.15730672567881854"/>
    <n v="0.1025542562871351"/>
    <n v="2.3941714943909176E-2"/>
    <s v="36770NGI-SOCAL"/>
    <n v="-60"/>
  </r>
  <r>
    <x v="16"/>
    <x v="0"/>
    <s v="NS5125"/>
    <x v="4"/>
    <x v="0"/>
    <x v="1"/>
    <x v="12"/>
    <n v="-155000"/>
    <x v="34"/>
    <x v="12"/>
    <n v="1.99"/>
    <n v="6.6820000000000004"/>
    <x v="12"/>
    <x v="8"/>
    <n v="0.54100000000000004"/>
    <x v="7"/>
    <x v="12"/>
    <x v="1"/>
    <n v="4.187872871359577E-4"/>
    <n v="353.63024339992057"/>
    <n v="-64.912029506073438"/>
    <n v="-472.9325286807595"/>
    <n v="-119.30228528083893"/>
    <s v="36800NGI-SOCAL"/>
    <n v="-15.5"/>
  </r>
  <r>
    <x v="16"/>
    <x v="0"/>
    <s v="NS5125"/>
    <x v="4"/>
    <x v="0"/>
    <x v="1"/>
    <x v="13"/>
    <n v="-150000"/>
    <x v="34"/>
    <x v="13"/>
    <n v="2.5"/>
    <n v="7.1849999999999996"/>
    <x v="13"/>
    <x v="5"/>
    <n v="0.376"/>
    <x v="7"/>
    <x v="13"/>
    <x v="1"/>
    <n v="2.6217787613136423E-7"/>
    <n v="-1.9653135335806482E-2"/>
    <n v="-3.9326681419704634E-2"/>
    <n v="2.5638564071783776E-2"/>
    <n v="5.985428735977294E-3"/>
    <s v="36770NGI-SOCAL"/>
    <n v="-15"/>
  </r>
  <r>
    <x v="9"/>
    <x v="0"/>
    <s v="NS5170"/>
    <x v="4"/>
    <x v="0"/>
    <x v="1"/>
    <x v="12"/>
    <n v="155000"/>
    <x v="34"/>
    <x v="12"/>
    <n v="1.99"/>
    <n v="6.6820000000000004"/>
    <x v="12"/>
    <x v="8"/>
    <n v="0.54100000000000004"/>
    <x v="7"/>
    <x v="12"/>
    <x v="1"/>
    <n v="4.187872871359577E-4"/>
    <n v="-353.63024339992057"/>
    <n v="64.912029506073438"/>
    <n v="472.9325286807595"/>
    <n v="119.30228528083893"/>
    <s v="36800NGI-SOCAL"/>
    <n v="15.5"/>
  </r>
  <r>
    <x v="9"/>
    <x v="0"/>
    <s v="NS5170"/>
    <x v="4"/>
    <x v="0"/>
    <x v="1"/>
    <x v="13"/>
    <n v="150000"/>
    <x v="34"/>
    <x v="13"/>
    <n v="2.5"/>
    <n v="7.1849999999999996"/>
    <x v="13"/>
    <x v="5"/>
    <n v="0.376"/>
    <x v="7"/>
    <x v="13"/>
    <x v="1"/>
    <n v="2.6217787613136423E-7"/>
    <n v="1.9653135335806482E-2"/>
    <n v="3.9326681419704634E-2"/>
    <n v="-2.5638564071783776E-2"/>
    <n v="-5.985428735977294E-3"/>
    <s v="36770NGI-SOCAL"/>
    <n v="15"/>
  </r>
  <r>
    <x v="3"/>
    <x v="0"/>
    <s v="NS5173"/>
    <x v="4"/>
    <x v="0"/>
    <x v="0"/>
    <x v="14"/>
    <n v="155000"/>
    <x v="1"/>
    <x v="14"/>
    <n v="0.59750000000000003"/>
    <n v="4.8105000000000002"/>
    <x v="14"/>
    <x v="9"/>
    <n v="0.51700000000000002"/>
    <x v="11"/>
    <x v="14"/>
    <x v="0"/>
    <n v="0.51572110794585235"/>
    <n v="99420.827914838635"/>
    <n v="79936.771731607121"/>
    <n v="-87969.92445055391"/>
    <n v="11450.903464284725"/>
    <s v="36951NGI-SOCAL"/>
    <n v="15.5"/>
  </r>
  <r>
    <x v="3"/>
    <x v="0"/>
    <s v="NS5173"/>
    <x v="4"/>
    <x v="0"/>
    <x v="0"/>
    <x v="15"/>
    <n v="140000"/>
    <x v="1"/>
    <x v="15"/>
    <n v="0.61750000000000005"/>
    <n v="5.0975000000000001"/>
    <x v="15"/>
    <x v="10"/>
    <n v="0.57499999999999996"/>
    <x v="11"/>
    <x v="15"/>
    <x v="0"/>
    <n v="0.5597231033502309"/>
    <n v="90129.343618233528"/>
    <n v="78361.234469032323"/>
    <n v="-79455.880376447691"/>
    <n v="10673.463241785837"/>
    <s v="36923NGI-SOCAL"/>
    <n v="14"/>
  </r>
  <r>
    <x v="3"/>
    <x v="0"/>
    <s v="NS5173"/>
    <x v="4"/>
    <x v="0"/>
    <x v="0"/>
    <x v="16"/>
    <n v="155000"/>
    <x v="1"/>
    <x v="16"/>
    <n v="0.76749999999999996"/>
    <n v="5.5114999999999998"/>
    <x v="16"/>
    <x v="11"/>
    <n v="0.58699999999999997"/>
    <x v="11"/>
    <x v="16"/>
    <x v="0"/>
    <n v="0.64834590428876826"/>
    <n v="108727.94863468652"/>
    <n v="100493.61516475907"/>
    <n v="-98631.082639617962"/>
    <n v="10096.865995068554"/>
    <s v="36892NGI-SOCAL"/>
    <n v="15.5"/>
  </r>
  <r>
    <x v="3"/>
    <x v="0"/>
    <s v="NS5173"/>
    <x v="4"/>
    <x v="0"/>
    <x v="0"/>
    <x v="17"/>
    <n v="155000"/>
    <x v="1"/>
    <x v="17"/>
    <n v="1.0049999999999999"/>
    <n v="5.8049999999999997"/>
    <x v="17"/>
    <x v="12"/>
    <n v="0.58199999999999996"/>
    <x v="11"/>
    <x v="17"/>
    <x v="0"/>
    <n v="0.79202125840164439"/>
    <n v="124105.66640951221"/>
    <n v="122763.29505225488"/>
    <n v="-117009.84921803772"/>
    <n v="7095.8171914744889"/>
    <s v="36861NGI-SOCAL"/>
    <n v="15.5"/>
  </r>
  <r>
    <x v="3"/>
    <x v="0"/>
    <s v="NS5173"/>
    <x v="4"/>
    <x v="0"/>
    <x v="0"/>
    <x v="18"/>
    <n v="150000"/>
    <x v="1"/>
    <x v="18"/>
    <n v="1.5449999999999999"/>
    <n v="6.2809999999999997"/>
    <x v="18"/>
    <x v="13"/>
    <n v="0.57699999999999996"/>
    <x v="11"/>
    <x v="18"/>
    <x v="0"/>
    <n v="1.2434752381691645"/>
    <n v="142559.08259728269"/>
    <n v="186521.28572537468"/>
    <n v="-140715.2982201518"/>
    <n v="1843.7843771308835"/>
    <s v="36831NGI-SOCAL"/>
    <n v="15"/>
  </r>
  <r>
    <x v="3"/>
    <x v="0"/>
    <s v="NS7549"/>
    <x v="4"/>
    <x v="0"/>
    <x v="0"/>
    <x v="12"/>
    <n v="1000000"/>
    <x v="17"/>
    <x v="12"/>
    <n v="1.99"/>
    <n v="6.6820000000000004"/>
    <x v="12"/>
    <x v="8"/>
    <n v="0.54100000000000004"/>
    <x v="7"/>
    <x v="12"/>
    <x v="0"/>
    <n v="1.2840118782300358"/>
    <n v="987079.96812461468"/>
    <n v="1284011.8782300358"/>
    <n v="-985005.84803177707"/>
    <n v="2074.1200928376056"/>
    <s v="36800NGI-SOCAL"/>
    <n v="100"/>
  </r>
  <r>
    <x v="3"/>
    <x v="0"/>
    <s v="NS7549"/>
    <x v="4"/>
    <x v="0"/>
    <x v="0"/>
    <x v="13"/>
    <n v="1000000"/>
    <x v="17"/>
    <x v="13"/>
    <n v="2.5"/>
    <n v="7.1849999999999996"/>
    <x v="13"/>
    <x v="5"/>
    <n v="0.376"/>
    <x v="7"/>
    <x v="13"/>
    <x v="0"/>
    <n v="1.7993378573699415"/>
    <n v="999632.14291372558"/>
    <n v="1799337.8573699414"/>
    <n v="-999632.18281658553"/>
    <n v="-3.9902859949506819E-2"/>
    <s v="36770NGI-SOCAL"/>
    <n v="100"/>
  </r>
  <r>
    <x v="9"/>
    <x v="0"/>
    <s v="NS9621"/>
    <x v="4"/>
    <x v="0"/>
    <x v="1"/>
    <x v="12"/>
    <n v="-155000"/>
    <x v="34"/>
    <x v="12"/>
    <n v="1.99"/>
    <n v="6.6820000000000004"/>
    <x v="12"/>
    <x v="8"/>
    <n v="0.54100000000000004"/>
    <x v="7"/>
    <x v="12"/>
    <x v="1"/>
    <n v="4.187872871359577E-4"/>
    <n v="353.63024339992057"/>
    <n v="-64.912029506073438"/>
    <n v="-472.9325286807595"/>
    <n v="-119.30228528083893"/>
    <s v="36800NGI-SOCAL"/>
    <n v="-15.5"/>
  </r>
  <r>
    <x v="9"/>
    <x v="0"/>
    <s v="NS9621"/>
    <x v="4"/>
    <x v="0"/>
    <x v="1"/>
    <x v="13"/>
    <n v="-150000"/>
    <x v="34"/>
    <x v="13"/>
    <n v="2.5"/>
    <n v="7.1849999999999996"/>
    <x v="13"/>
    <x v="5"/>
    <n v="0.376"/>
    <x v="7"/>
    <x v="13"/>
    <x v="1"/>
    <n v="2.6217787613136423E-7"/>
    <n v="-1.9653135335806482E-2"/>
    <n v="-3.9326681419704634E-2"/>
    <n v="2.5638564071783776E-2"/>
    <n v="5.985428735977294E-3"/>
    <s v="36770NGI-SOCAL"/>
    <n v="-15"/>
  </r>
  <r>
    <x v="21"/>
    <x v="0"/>
    <s v="NT3509"/>
    <x v="6"/>
    <x v="0"/>
    <x v="0"/>
    <x v="18"/>
    <n v="-150000"/>
    <x v="30"/>
    <x v="18"/>
    <n v="8.7499999999999994E-2"/>
    <n v="4.8235000000000001"/>
    <x v="18"/>
    <x v="13"/>
    <n v="0.59499999999999997"/>
    <x v="10"/>
    <x v="18"/>
    <x v="0"/>
    <n v="1.550052519581778E-2"/>
    <n v="-39672.463093012084"/>
    <n v="-2325.0787793726668"/>
    <n v="38804.971958279595"/>
    <n v="-867.49113473248872"/>
    <s v="36831NGI/CHI. GATE"/>
    <n v="-15"/>
  </r>
  <r>
    <x v="21"/>
    <x v="0"/>
    <s v="NT3509"/>
    <x v="6"/>
    <x v="0"/>
    <x v="0"/>
    <x v="17"/>
    <n v="-155000"/>
    <x v="30"/>
    <x v="17"/>
    <n v="0.1"/>
    <n v="4.9000000000000004"/>
    <x v="17"/>
    <x v="12"/>
    <n v="0.6"/>
    <x v="10"/>
    <x v="17"/>
    <x v="0"/>
    <n v="2.7341780503795484E-2"/>
    <n v="-53018.448327933467"/>
    <n v="-4237.9759780882996"/>
    <n v="51790.160439997489"/>
    <n v="-1228.2878879359778"/>
    <s v="36861NGI/CHI. GATE"/>
    <n v="-15.5"/>
  </r>
  <r>
    <x v="21"/>
    <x v="0"/>
    <s v="NT3509"/>
    <x v="6"/>
    <x v="0"/>
    <x v="0"/>
    <x v="16"/>
    <n v="-155000"/>
    <x v="30"/>
    <x v="16"/>
    <n v="0.1275"/>
    <n v="4.8715000000000002"/>
    <x v="16"/>
    <x v="11"/>
    <n v="0.60499999999999998"/>
    <x v="10"/>
    <x v="16"/>
    <x v="0"/>
    <n v="4.4503043973877957E-2"/>
    <n v="-67412.823294709582"/>
    <n v="-6897.971815951083"/>
    <n v="65907.096462909351"/>
    <n v="-1505.7268318002316"/>
    <s v="36892NGI/CHI. GATE"/>
    <n v="-15.5"/>
  </r>
  <r>
    <x v="21"/>
    <x v="0"/>
    <s v="NT3509"/>
    <x v="6"/>
    <x v="0"/>
    <x v="0"/>
    <x v="15"/>
    <n v="-140000"/>
    <x v="30"/>
    <x v="15"/>
    <n v="0.13750000000000001"/>
    <n v="4.6174999999999997"/>
    <x v="15"/>
    <x v="10"/>
    <n v="0.59299999999999997"/>
    <x v="10"/>
    <x v="15"/>
    <x v="0"/>
    <n v="5.1778937717171743E-2"/>
    <n v="-64849.928436827206"/>
    <n v="-7249.0512804040436"/>
    <n v="63355.592824380765"/>
    <n v="-1494.3356124464408"/>
    <s v="36923NGI/CHI. GATE"/>
    <n v="-14"/>
  </r>
  <r>
    <x v="21"/>
    <x v="0"/>
    <s v="NT3509"/>
    <x v="6"/>
    <x v="0"/>
    <x v="0"/>
    <x v="14"/>
    <n v="-155000"/>
    <x v="30"/>
    <x v="14"/>
    <n v="0.1225"/>
    <n v="4.3354999999999997"/>
    <x v="14"/>
    <x v="9"/>
    <n v="0.53300000000000003"/>
    <x v="10"/>
    <x v="14"/>
    <x v="0"/>
    <n v="4.0858540517954137E-2"/>
    <n v="-64595.9099155039"/>
    <n v="-6333.0737802828908"/>
    <n v="63022.320301678432"/>
    <n v="-1573.5896138254684"/>
    <s v="36951NGI/CHI. GATE"/>
    <n v="-15.5"/>
  </r>
  <r>
    <x v="2"/>
    <x v="0"/>
    <s v="NT6024"/>
    <x v="7"/>
    <x v="0"/>
    <x v="0"/>
    <x v="18"/>
    <n v="-300000"/>
    <x v="50"/>
    <x v="18"/>
    <n v="-0.14249999999999999"/>
    <n v="4.5934999999999997"/>
    <x v="18"/>
    <x v="13"/>
    <n v="0.59499999999999997"/>
    <x v="4"/>
    <x v="18"/>
    <x v="0"/>
    <n v="5.1573441195278152E-2"/>
    <n v="-156532.8056462509"/>
    <n v="-15472.032358583445"/>
    <n v="153754.54461311488"/>
    <n v="-2778.2610331360193"/>
    <s v="36831IF-PAN/TX/OK"/>
    <n v="-30"/>
  </r>
  <r>
    <x v="2"/>
    <x v="0"/>
    <s v="NT6024"/>
    <x v="7"/>
    <x v="0"/>
    <x v="0"/>
    <x v="17"/>
    <n v="-310000"/>
    <x v="50"/>
    <x v="17"/>
    <n v="-0.1525"/>
    <n v="4.6475"/>
    <x v="17"/>
    <x v="12"/>
    <n v="0.6"/>
    <x v="4"/>
    <x v="17"/>
    <x v="0"/>
    <n v="5.7699193196087961E-2"/>
    <n v="-151525.80130860116"/>
    <n v="-17886.749890787269"/>
    <n v="148021.70791398265"/>
    <n v="-3504.0933946185105"/>
    <s v="36861IF-PAN/TX/OK"/>
    <n v="-31"/>
  </r>
  <r>
    <x v="2"/>
    <x v="0"/>
    <s v="NT6024"/>
    <x v="7"/>
    <x v="0"/>
    <x v="0"/>
    <x v="16"/>
    <n v="-310000"/>
    <x v="50"/>
    <x v="16"/>
    <n v="-0.16"/>
    <n v="4.5839999999999996"/>
    <x v="16"/>
    <x v="11"/>
    <n v="0.60499999999999998"/>
    <x v="4"/>
    <x v="16"/>
    <x v="0"/>
    <n v="6.2177869877475006E-2"/>
    <n v="-145818.4628756654"/>
    <n v="-19275.139662017253"/>
    <n v="141807.96999813858"/>
    <n v="-4010.4928775268199"/>
    <s v="36892IF-PAN/TX/OK"/>
    <n v="-31"/>
  </r>
  <r>
    <x v="2"/>
    <x v="0"/>
    <s v="NT6024"/>
    <x v="7"/>
    <x v="0"/>
    <x v="0"/>
    <x v="15"/>
    <n v="-280000"/>
    <x v="50"/>
    <x v="15"/>
    <n v="-0.14499999999999999"/>
    <n v="4.335"/>
    <x v="15"/>
    <x v="10"/>
    <n v="0.59299999999999997"/>
    <x v="4"/>
    <x v="15"/>
    <x v="0"/>
    <n v="7.2111564304316034E-2"/>
    <n v="-140261.79892574952"/>
    <n v="-20191.238005208488"/>
    <n v="136298.81200439981"/>
    <n v="-3962.986921349715"/>
    <s v="36923IF-PAN/TX/OK"/>
    <n v="-28"/>
  </r>
  <r>
    <x v="2"/>
    <x v="0"/>
    <s v="NT6024"/>
    <x v="7"/>
    <x v="0"/>
    <x v="0"/>
    <x v="14"/>
    <n v="-310000"/>
    <x v="50"/>
    <x v="14"/>
    <n v="-0.13750000000000001"/>
    <n v="4.0754999999999999"/>
    <x v="14"/>
    <x v="9"/>
    <n v="0.53300000000000003"/>
    <x v="4"/>
    <x v="14"/>
    <x v="0"/>
    <n v="7.0221748962884245E-2"/>
    <n v="-159955.25368357814"/>
    <n v="-21768.742178494114"/>
    <n v="155727.00961247733"/>
    <n v="-4228.2440711008094"/>
    <s v="36951IF-PAN/TX/OK"/>
    <n v="-31"/>
  </r>
  <r>
    <x v="3"/>
    <x v="0"/>
    <s v="NT8124.1"/>
    <x v="0"/>
    <x v="0"/>
    <x v="1"/>
    <x v="18"/>
    <n v="500000"/>
    <x v="6"/>
    <x v="18"/>
    <n v="0.77"/>
    <n v="5.5060000000000002"/>
    <x v="18"/>
    <x v="13"/>
    <n v="0.625"/>
    <x v="6"/>
    <x v="18"/>
    <x v="1"/>
    <n v="0.39774947751655254"/>
    <n v="-300518.84443749429"/>
    <n v="198874.73875827627"/>
    <n v="321425.79910936696"/>
    <n v="20906.954671872663"/>
    <s v="36831IF-TRANSCO/Z6"/>
    <n v="50"/>
  </r>
  <r>
    <x v="3"/>
    <x v="0"/>
    <s v="NT8124.1"/>
    <x v="0"/>
    <x v="0"/>
    <x v="1"/>
    <x v="17"/>
    <n v="500000"/>
    <x v="6"/>
    <x v="17"/>
    <n v="1.645"/>
    <n v="6.4450000000000003"/>
    <x v="17"/>
    <x v="12"/>
    <n v="0.69"/>
    <x v="7"/>
    <x v="17"/>
    <x v="1"/>
    <n v="0.22359489711956859"/>
    <n v="-129510.21106902328"/>
    <n v="111797.4485597843"/>
    <n v="161267.33778204062"/>
    <n v="31757.126713017336"/>
    <s v="36861IF-TRANSCO/Z6"/>
    <n v="50"/>
  </r>
  <r>
    <x v="3"/>
    <x v="0"/>
    <s v="NT8124.1"/>
    <x v="0"/>
    <x v="0"/>
    <x v="1"/>
    <x v="16"/>
    <n v="500000"/>
    <x v="6"/>
    <x v="16"/>
    <n v="2.17"/>
    <n v="6.9139999999999997"/>
    <x v="16"/>
    <x v="11"/>
    <n v="0.69599999999999995"/>
    <x v="7"/>
    <x v="16"/>
    <x v="1"/>
    <n v="0.16682160872180107"/>
    <n v="-86781.459479553683"/>
    <n v="83410.80436090054"/>
    <n v="116948.2910220831"/>
    <n v="30166.831542529413"/>
    <s v="36892IF-TRANSCO/Z6"/>
    <n v="50"/>
  </r>
  <r>
    <x v="3"/>
    <x v="0"/>
    <s v="NT8124.1"/>
    <x v="0"/>
    <x v="0"/>
    <x v="1"/>
    <x v="15"/>
    <n v="500000"/>
    <x v="6"/>
    <x v="15"/>
    <n v="2.09"/>
    <n v="6.57"/>
    <x v="15"/>
    <x v="10"/>
    <n v="0.68100000000000005"/>
    <x v="7"/>
    <x v="15"/>
    <x v="1"/>
    <n v="0.20507600737213183"/>
    <n v="-96780.218200554882"/>
    <n v="102538.00368606592"/>
    <n v="132101.47240562714"/>
    <n v="35321.254205072255"/>
    <s v="36923IF-TRANSCO/Z6"/>
    <n v="50"/>
  </r>
  <r>
    <x v="3"/>
    <x v="0"/>
    <s v="NT8124.1"/>
    <x v="0"/>
    <x v="0"/>
    <x v="1"/>
    <x v="14"/>
    <n v="500000"/>
    <x v="6"/>
    <x v="14"/>
    <n v="1.075"/>
    <n v="5.2880000000000003"/>
    <x v="14"/>
    <x v="9"/>
    <n v="0.61199999999999999"/>
    <x v="7"/>
    <x v="14"/>
    <x v="1"/>
    <n v="0.46550991672981534"/>
    <n v="-206257.50133475586"/>
    <n v="232754.95836490768"/>
    <n v="250725.91182202293"/>
    <n v="44468.410487267072"/>
    <s v="36951IF-TRANSCO/Z6"/>
    <n v="50"/>
  </r>
  <r>
    <x v="3"/>
    <x v="0"/>
    <s v="NT8124.3"/>
    <x v="0"/>
    <x v="0"/>
    <x v="0"/>
    <x v="18"/>
    <n v="-300000"/>
    <x v="33"/>
    <x v="18"/>
    <n v="0.77"/>
    <n v="5.5060000000000002"/>
    <x v="18"/>
    <x v="13"/>
    <n v="0.625"/>
    <x v="6"/>
    <x v="18"/>
    <x v="0"/>
    <n v="6.4395475095290703E-3"/>
    <n v="-7419.7703730168123"/>
    <n v="-1931.8642528587211"/>
    <n v="5850.1783702993016"/>
    <n v="-1569.5920027175107"/>
    <s v="36831IF-TRANSCO/Z6"/>
    <n v="-30"/>
  </r>
  <r>
    <x v="3"/>
    <x v="0"/>
    <s v="NT8124.3"/>
    <x v="0"/>
    <x v="0"/>
    <x v="0"/>
    <x v="17"/>
    <n v="-310000"/>
    <x v="33"/>
    <x v="17"/>
    <n v="1.645"/>
    <n v="6.4450000000000003"/>
    <x v="17"/>
    <x v="12"/>
    <n v="0.69"/>
    <x v="7"/>
    <x v="17"/>
    <x v="0"/>
    <n v="0.24773751980055622"/>
    <n v="-97206.161690335866"/>
    <n v="-76798.631138172423"/>
    <n v="79217.845463800404"/>
    <n v="-17988.316226535462"/>
    <s v="36861IF-TRANSCO/Z6"/>
    <n v="-31"/>
  </r>
  <r>
    <x v="3"/>
    <x v="0"/>
    <s v="NT8124.3"/>
    <x v="0"/>
    <x v="0"/>
    <x v="0"/>
    <x v="16"/>
    <n v="-310000"/>
    <x v="33"/>
    <x v="16"/>
    <n v="2.17"/>
    <n v="6.9139999999999997"/>
    <x v="16"/>
    <x v="11"/>
    <n v="0.69599999999999995"/>
    <x v="7"/>
    <x v="16"/>
    <x v="0"/>
    <n v="0.53186610397093281"/>
    <n v="-144820.41731810232"/>
    <n v="-164878.49223098918"/>
    <n v="121148.24977044304"/>
    <n v="-23672.167547659279"/>
    <s v="36892IF-TRANSCO/Z6"/>
    <n v="-31"/>
  </r>
  <r>
    <x v="3"/>
    <x v="0"/>
    <s v="NT8124.3"/>
    <x v="0"/>
    <x v="0"/>
    <x v="0"/>
    <x v="15"/>
    <n v="-280000"/>
    <x v="33"/>
    <x v="15"/>
    <n v="2.09"/>
    <n v="6.57"/>
    <x v="15"/>
    <x v="10"/>
    <n v="0.68100000000000005"/>
    <x v="7"/>
    <x v="15"/>
    <x v="0"/>
    <n v="0.53709625631967106"/>
    <n v="-128190.58673474933"/>
    <n v="-150386.9517695079"/>
    <n v="105015.09810861335"/>
    <n v="-23175.488626135979"/>
    <s v="36923IF-TRANSCO/Z6"/>
    <n v="-28"/>
  </r>
  <r>
    <x v="3"/>
    <x v="0"/>
    <s v="NT8124.3"/>
    <x v="0"/>
    <x v="0"/>
    <x v="0"/>
    <x v="14"/>
    <n v="-310000"/>
    <x v="33"/>
    <x v="14"/>
    <n v="1.075"/>
    <n v="5.2880000000000003"/>
    <x v="14"/>
    <x v="9"/>
    <n v="0.61199999999999999"/>
    <x v="7"/>
    <x v="14"/>
    <x v="0"/>
    <n v="0.15769806655468968"/>
    <n v="-68431.805474926383"/>
    <n v="-48886.400631953802"/>
    <n v="50666.142766624842"/>
    <n v="-17765.662708301541"/>
    <s v="36951IF-TRANSCO/Z6"/>
    <n v="-31"/>
  </r>
  <r>
    <x v="3"/>
    <x v="0"/>
    <s v="NT8124.4"/>
    <x v="0"/>
    <x v="0"/>
    <x v="0"/>
    <x v="18"/>
    <n v="-500000"/>
    <x v="51"/>
    <x v="18"/>
    <n v="0.77"/>
    <n v="5.5060000000000002"/>
    <x v="18"/>
    <x v="13"/>
    <n v="0.625"/>
    <x v="6"/>
    <x v="18"/>
    <x v="0"/>
    <n v="5.8920261199464238E-2"/>
    <n v="-84771.704880914243"/>
    <n v="-29460.130599732118"/>
    <n v="71997.381632822275"/>
    <n v="-12774.323248091969"/>
    <s v="36831IF-TRANSCO/Z6"/>
    <n v="-50"/>
  </r>
  <r>
    <x v="3"/>
    <x v="0"/>
    <s v="NT8124.4"/>
    <x v="0"/>
    <x v="0"/>
    <x v="0"/>
    <x v="17"/>
    <n v="-500000"/>
    <x v="51"/>
    <x v="17"/>
    <n v="1.645"/>
    <n v="6.4450000000000003"/>
    <x v="17"/>
    <x v="12"/>
    <n v="0.69"/>
    <x v="7"/>
    <x v="17"/>
    <x v="0"/>
    <n v="0.57148549883332755"/>
    <n v="-284943.29581932031"/>
    <n v="-285742.74941666378"/>
    <n v="249554.23529628071"/>
    <n v="-35389.060523039603"/>
    <s v="36861IF-TRANSCO/Z6"/>
    <n v="-50"/>
  </r>
  <r>
    <x v="3"/>
    <x v="0"/>
    <s v="NT8124.4"/>
    <x v="0"/>
    <x v="0"/>
    <x v="0"/>
    <x v="16"/>
    <n v="-500000"/>
    <x v="51"/>
    <x v="16"/>
    <n v="2.17"/>
    <n v="6.9139999999999997"/>
    <x v="16"/>
    <x v="11"/>
    <n v="0.69599999999999995"/>
    <x v="7"/>
    <x v="16"/>
    <x v="0"/>
    <n v="0.97329326189707344"/>
    <n v="-345008.1648348968"/>
    <n v="-486646.63094853674"/>
    <n v="307980.72247582691"/>
    <n v="-37027.442359069886"/>
    <s v="36892IF-TRANSCO/Z6"/>
    <n v="-50"/>
  </r>
  <r>
    <x v="3"/>
    <x v="0"/>
    <s v="NT8124.4"/>
    <x v="0"/>
    <x v="0"/>
    <x v="0"/>
    <x v="15"/>
    <n v="-500000"/>
    <x v="51"/>
    <x v="15"/>
    <n v="2.09"/>
    <n v="6.57"/>
    <x v="15"/>
    <x v="10"/>
    <n v="0.68100000000000005"/>
    <x v="7"/>
    <x v="15"/>
    <x v="0"/>
    <n v="0.94823200760652804"/>
    <n v="-333043.69188880624"/>
    <n v="-474116.003803264"/>
    <n v="291573.70933788957"/>
    <n v="-41469.982550916669"/>
    <s v="36923IF-TRANSCO/Z6"/>
    <n v="-50"/>
  </r>
  <r>
    <x v="3"/>
    <x v="0"/>
    <s v="NT8124.4"/>
    <x v="0"/>
    <x v="0"/>
    <x v="0"/>
    <x v="14"/>
    <n v="-500000"/>
    <x v="51"/>
    <x v="14"/>
    <n v="1.075"/>
    <n v="5.2880000000000003"/>
    <x v="14"/>
    <x v="9"/>
    <n v="0.61199999999999999"/>
    <x v="7"/>
    <x v="14"/>
    <x v="0"/>
    <n v="0.35239596757231417"/>
    <n v="-206347.49002568822"/>
    <n v="-176197.9837861571"/>
    <n v="165003.76584506128"/>
    <n v="-41343.724180626945"/>
    <s v="36951IF-TRANSCO/Z6"/>
    <n v="-50"/>
  </r>
  <r>
    <x v="3"/>
    <x v="0"/>
    <s v="NT8124.5"/>
    <x v="0"/>
    <x v="0"/>
    <x v="1"/>
    <x v="18"/>
    <n v="-500000"/>
    <x v="51"/>
    <x v="18"/>
    <n v="0.77"/>
    <n v="5.5060000000000002"/>
    <x v="18"/>
    <x v="13"/>
    <n v="0.625"/>
    <x v="6"/>
    <x v="18"/>
    <x v="1"/>
    <n v="0.80016128398875219"/>
    <n v="409388.97697861138"/>
    <n v="-400080.64199437608"/>
    <n v="-422163.30022670334"/>
    <n v="-12774.323248091969"/>
    <s v="36831IF-TRANSCO/Z6"/>
    <n v="-50"/>
  </r>
  <r>
    <x v="3"/>
    <x v="0"/>
    <s v="NT8124.5"/>
    <x v="0"/>
    <x v="0"/>
    <x v="1"/>
    <x v="17"/>
    <n v="-500000"/>
    <x v="51"/>
    <x v="17"/>
    <n v="1.645"/>
    <n v="6.4450000000000003"/>
    <x v="17"/>
    <x v="12"/>
    <n v="0.69"/>
    <x v="7"/>
    <x v="17"/>
    <x v="1"/>
    <n v="0.4486409640491178"/>
    <n v="206434.84331751667"/>
    <n v="-224320.48202455891"/>
    <n v="-241823.90384055628"/>
    <n v="-35389.060523039603"/>
    <s v="36861IF-TRANSCO/Z6"/>
    <n v="-50"/>
  </r>
  <r>
    <x v="3"/>
    <x v="0"/>
    <s v="NT8124.5"/>
    <x v="0"/>
    <x v="0"/>
    <x v="1"/>
    <x v="16"/>
    <n v="-500000"/>
    <x v="51"/>
    <x v="16"/>
    <n v="2.17"/>
    <n v="6.9139999999999997"/>
    <x v="16"/>
    <x v="11"/>
    <n v="0.69599999999999995"/>
    <x v="7"/>
    <x v="16"/>
    <x v="1"/>
    <n v="0.33796999410844619"/>
    <n v="143702.04115635477"/>
    <n v="-168984.99705422309"/>
    <n v="-180729.48351542468"/>
    <n v="-37027.442359069915"/>
    <s v="36892IF-TRANSCO/Z6"/>
    <n v="-50"/>
  </r>
  <r>
    <x v="3"/>
    <x v="0"/>
    <s v="NT8124.5"/>
    <x v="0"/>
    <x v="0"/>
    <x v="1"/>
    <x v="15"/>
    <n v="-500000"/>
    <x v="51"/>
    <x v="15"/>
    <n v="2.09"/>
    <n v="6.57"/>
    <x v="15"/>
    <x v="10"/>
    <n v="0.68100000000000005"/>
    <x v="7"/>
    <x v="15"/>
    <x v="1"/>
    <n v="0.394595830962998"/>
    <n v="152602.07709674601"/>
    <n v="-197297.91548149899"/>
    <n v="-194072.05964766265"/>
    <n v="-41469.98255091664"/>
    <s v="36923IF-TRANSCO/Z6"/>
    <n v="-50"/>
  </r>
  <r>
    <x v="3"/>
    <x v="0"/>
    <s v="NT8124.5"/>
    <x v="0"/>
    <x v="0"/>
    <x v="1"/>
    <x v="14"/>
    <n v="-500000"/>
    <x v="51"/>
    <x v="14"/>
    <n v="1.075"/>
    <n v="5.2880000000000003"/>
    <x v="14"/>
    <x v="9"/>
    <n v="0.61199999999999999"/>
    <x v="7"/>
    <x v="14"/>
    <x v="1"/>
    <n v="0.78230071055268535"/>
    <n v="276691.54703090881"/>
    <n v="-391150.35527634266"/>
    <n v="-318035.27121153573"/>
    <n v="-41343.724180626916"/>
    <s v="36951IF-TRANSCO/Z6"/>
    <n v="-50"/>
  </r>
  <r>
    <x v="12"/>
    <x v="0"/>
    <s v="NT9909.1"/>
    <x v="0"/>
    <x v="0"/>
    <x v="0"/>
    <x v="18"/>
    <n v="500000"/>
    <x v="6"/>
    <x v="18"/>
    <n v="0.77"/>
    <n v="5.5060000000000002"/>
    <x v="18"/>
    <x v="13"/>
    <n v="0.625"/>
    <x v="6"/>
    <x v="18"/>
    <x v="0"/>
    <n v="0.17043556386117104"/>
    <n v="193641.83742203133"/>
    <n v="85217.781930585523"/>
    <n v="-172734.88275015863"/>
    <n v="20906.954671872692"/>
    <s v="36831IF-TRANSCO/Z6"/>
    <n v="50"/>
  </r>
  <r>
    <x v="12"/>
    <x v="0"/>
    <s v="NT9909.2"/>
    <x v="0"/>
    <x v="0"/>
    <x v="0"/>
    <x v="18"/>
    <n v="-500000"/>
    <x v="36"/>
    <x v="18"/>
    <n v="0.77"/>
    <n v="5.5060000000000002"/>
    <x v="18"/>
    <x v="13"/>
    <n v="0.625"/>
    <x v="6"/>
    <x v="18"/>
    <x v="0"/>
    <n v="6.1505973255472926E-2"/>
    <n v="-87810.222267778707"/>
    <n v="-30752.986627736464"/>
    <n v="74709.858473398475"/>
    <n v="-13100.363794380231"/>
    <s v="36831IF-TRANSCO/Z6"/>
    <n v="-50"/>
  </r>
  <r>
    <x v="22"/>
    <x v="0"/>
    <s v="NT9931"/>
    <x v="0"/>
    <x v="0"/>
    <x v="0"/>
    <x v="18"/>
    <n v="1000000"/>
    <x v="6"/>
    <x v="18"/>
    <n v="0.77"/>
    <n v="5.5060000000000002"/>
    <x v="18"/>
    <x v="13"/>
    <n v="0.625"/>
    <x v="6"/>
    <x v="18"/>
    <x v="0"/>
    <n v="0.17043556386117104"/>
    <n v="387283.67484406265"/>
    <n v="170435.56386117105"/>
    <n v="-345469.76550031727"/>
    <n v="41813.909343745385"/>
    <s v="36831IF-TRANSCO/Z6"/>
    <n v="100"/>
  </r>
  <r>
    <x v="16"/>
    <x v="0"/>
    <s v="NU0070.1"/>
    <x v="0"/>
    <x v="0"/>
    <x v="0"/>
    <x v="18"/>
    <n v="600000"/>
    <x v="31"/>
    <x v="18"/>
    <n v="0.77"/>
    <n v="5.5060000000000002"/>
    <x v="18"/>
    <x v="13"/>
    <n v="0.625"/>
    <x v="6"/>
    <x v="18"/>
    <x v="0"/>
    <n v="2.0084677451953142E-3"/>
    <n v="5119.4986646268571"/>
    <n v="1205.0806471171886"/>
    <n v="-3916.6785532876788"/>
    <n v="1202.8201113391783"/>
    <s v="36831IF-TRANSCO/Z6"/>
    <n v="60"/>
  </r>
  <r>
    <x v="16"/>
    <x v="0"/>
    <s v="NU0070.1"/>
    <x v="0"/>
    <x v="0"/>
    <x v="0"/>
    <x v="17"/>
    <n v="620000"/>
    <x v="31"/>
    <x v="17"/>
    <n v="1.645"/>
    <n v="6.4450000000000003"/>
    <x v="17"/>
    <x v="12"/>
    <n v="0.69"/>
    <x v="7"/>
    <x v="17"/>
    <x v="0"/>
    <n v="0.15867812072193169"/>
    <n v="136650.81043138431"/>
    <n v="98380.434847597644"/>
    <n v="-107792.0532284634"/>
    <n v="28858.757202920911"/>
    <s v="36861IF-TRANSCO/Z6"/>
    <n v="62"/>
  </r>
  <r>
    <x v="16"/>
    <x v="0"/>
    <s v="NU0070.1"/>
    <x v="0"/>
    <x v="0"/>
    <x v="0"/>
    <x v="16"/>
    <n v="620000"/>
    <x v="31"/>
    <x v="16"/>
    <n v="2.17"/>
    <n v="6.9139999999999997"/>
    <x v="16"/>
    <x v="11"/>
    <n v="0.69599999999999995"/>
    <x v="7"/>
    <x v="16"/>
    <x v="0"/>
    <n v="0.38621711903889011"/>
    <n v="229192.388667872"/>
    <n v="239454.61380411187"/>
    <n v="-186033.61631589176"/>
    <n v="43158.772351980238"/>
    <s v="36892IF-TRANSCO/Z6"/>
    <n v="62"/>
  </r>
  <r>
    <x v="16"/>
    <x v="0"/>
    <s v="NU0070.1"/>
    <x v="0"/>
    <x v="0"/>
    <x v="0"/>
    <x v="15"/>
    <n v="560000"/>
    <x v="31"/>
    <x v="15"/>
    <n v="2.09"/>
    <n v="6.57"/>
    <x v="15"/>
    <x v="10"/>
    <n v="0.68100000000000005"/>
    <x v="7"/>
    <x v="15"/>
    <x v="0"/>
    <n v="0.39988323237582518"/>
    <n v="206231.79743732695"/>
    <n v="223934.6101304621"/>
    <n v="-163916.19913984471"/>
    <n v="42315.59829748224"/>
    <s v="36923IF-TRANSCO/Z6"/>
    <n v="56"/>
  </r>
  <r>
    <x v="16"/>
    <x v="0"/>
    <s v="NU0070.1"/>
    <x v="0"/>
    <x v="0"/>
    <x v="0"/>
    <x v="14"/>
    <n v="620000"/>
    <x v="31"/>
    <x v="14"/>
    <n v="1.075"/>
    <n v="5.2880000000000003"/>
    <x v="14"/>
    <x v="9"/>
    <n v="0.61199999999999999"/>
    <x v="7"/>
    <x v="14"/>
    <x v="0"/>
    <n v="0.10527550921372972"/>
    <n v="97886.194602870921"/>
    <n v="65270.815712512427"/>
    <n v="-70120.670748176504"/>
    <n v="27765.523854694417"/>
    <s v="36951IF-TRANSCO/Z6"/>
    <n v="62"/>
  </r>
  <r>
    <x v="16"/>
    <x v="0"/>
    <s v="NU0070.2"/>
    <x v="0"/>
    <x v="0"/>
    <x v="0"/>
    <x v="18"/>
    <n v="-600000"/>
    <x v="52"/>
    <x v="18"/>
    <n v="0.77"/>
    <n v="5.5060000000000002"/>
    <x v="18"/>
    <x v="13"/>
    <n v="0.625"/>
    <x v="6"/>
    <x v="18"/>
    <x v="0"/>
    <n v="6.274716115882592E-4"/>
    <n v="-1735.7727422478652"/>
    <n v="-376.48296695295551"/>
    <n v="1293.6318921634129"/>
    <n v="-442.14085008445227"/>
    <s v="36831IF-TRANSCO/Z6"/>
    <n v="-60"/>
  </r>
  <r>
    <x v="16"/>
    <x v="0"/>
    <s v="NU0070.2"/>
    <x v="0"/>
    <x v="0"/>
    <x v="0"/>
    <x v="17"/>
    <n v="-620000"/>
    <x v="52"/>
    <x v="17"/>
    <n v="1.645"/>
    <n v="6.4450000000000003"/>
    <x v="17"/>
    <x v="12"/>
    <n v="0.69"/>
    <x v="7"/>
    <x v="17"/>
    <x v="0"/>
    <n v="0.10110967315458028"/>
    <n v="-94226.208756969136"/>
    <n v="-62687.997355839769"/>
    <n v="72145.414010930821"/>
    <n v="-22080.794746038315"/>
    <s v="36861IF-TRANSCO/Z6"/>
    <n v="-62"/>
  </r>
  <r>
    <x v="16"/>
    <x v="0"/>
    <s v="NU0070.2"/>
    <x v="0"/>
    <x v="0"/>
    <x v="0"/>
    <x v="16"/>
    <n v="-620000"/>
    <x v="52"/>
    <x v="16"/>
    <n v="2.17"/>
    <n v="6.9139999999999997"/>
    <x v="16"/>
    <x v="11"/>
    <n v="0.69599999999999995"/>
    <x v="7"/>
    <x v="16"/>
    <x v="0"/>
    <n v="0.27958594967361644"/>
    <n v="-178657.39869584853"/>
    <n v="-173343.28879764219"/>
    <n v="141024.47595574081"/>
    <n v="-37632.922740107722"/>
    <s v="36892IF-TRANSCO/Z6"/>
    <n v="-62"/>
  </r>
  <r>
    <x v="16"/>
    <x v="0"/>
    <s v="NU0070.2"/>
    <x v="0"/>
    <x v="0"/>
    <x v="0"/>
    <x v="15"/>
    <n v="-560000"/>
    <x v="52"/>
    <x v="15"/>
    <n v="2.09"/>
    <n v="6.57"/>
    <x v="15"/>
    <x v="10"/>
    <n v="0.68100000000000005"/>
    <x v="7"/>
    <x v="15"/>
    <x v="0"/>
    <n v="0.29779118970695706"/>
    <n v="-164170.12683513877"/>
    <n v="-166763.06623589597"/>
    <n v="126909.95027679794"/>
    <n v="-37260.176558340827"/>
    <s v="36923IF-TRANSCO/Z6"/>
    <n v="-56"/>
  </r>
  <r>
    <x v="16"/>
    <x v="0"/>
    <s v="NU0070.2"/>
    <x v="0"/>
    <x v="0"/>
    <x v="0"/>
    <x v="14"/>
    <n v="-620000"/>
    <x v="52"/>
    <x v="14"/>
    <n v="1.075"/>
    <n v="5.2880000000000003"/>
    <x v="14"/>
    <x v="9"/>
    <n v="0.61199999999999999"/>
    <x v="7"/>
    <x v="14"/>
    <x v="0"/>
    <n v="7.0788384773296825E-2"/>
    <n v="-69798.937375562862"/>
    <n v="-43888.798559444032"/>
    <n v="48541.259187082411"/>
    <n v="-21257.678188480451"/>
    <s v="36951IF-TRANSCO/Z6"/>
    <n v="-62"/>
  </r>
  <r>
    <x v="3"/>
    <x v="0"/>
    <s v="NU0073"/>
    <x v="0"/>
    <x v="0"/>
    <x v="0"/>
    <x v="17"/>
    <n v="-500000"/>
    <x v="31"/>
    <x v="17"/>
    <n v="1.645"/>
    <n v="6.4450000000000003"/>
    <x v="17"/>
    <x v="12"/>
    <n v="0.69"/>
    <x v="7"/>
    <x v="17"/>
    <x v="0"/>
    <n v="0.15867812072193169"/>
    <n v="-110202.26647692283"/>
    <n v="-79339.060360965843"/>
    <n v="86929.075184244663"/>
    <n v="-23273.191292678166"/>
    <s v="36861IF-TRANSCO/Z6"/>
    <n v="-50"/>
  </r>
  <r>
    <x v="3"/>
    <x v="0"/>
    <s v="NU0073"/>
    <x v="0"/>
    <x v="0"/>
    <x v="0"/>
    <x v="16"/>
    <n v="-500000"/>
    <x v="31"/>
    <x v="16"/>
    <n v="2.17"/>
    <n v="6.9139999999999997"/>
    <x v="16"/>
    <x v="11"/>
    <n v="0.69599999999999995"/>
    <x v="7"/>
    <x v="16"/>
    <x v="0"/>
    <n v="0.38621711903889011"/>
    <n v="-184832.57150634838"/>
    <n v="-193108.55951944506"/>
    <n v="150027.10993217077"/>
    <n v="-34805.461574177607"/>
    <s v="36892IF-TRANSCO/Z6"/>
    <n v="-50"/>
  </r>
  <r>
    <x v="3"/>
    <x v="0"/>
    <s v="NU0073"/>
    <x v="0"/>
    <x v="0"/>
    <x v="0"/>
    <x v="15"/>
    <n v="-500000"/>
    <x v="31"/>
    <x v="15"/>
    <n v="2.09"/>
    <n v="6.57"/>
    <x v="15"/>
    <x v="10"/>
    <n v="0.68100000000000005"/>
    <x v="7"/>
    <x v="15"/>
    <x v="0"/>
    <n v="0.39988323237582518"/>
    <n v="-184135.53342618476"/>
    <n v="-199941.61618791259"/>
    <n v="146353.74923200419"/>
    <n v="-37781.784194180567"/>
    <s v="36923IF-TRANSCO/Z6"/>
    <n v="-50"/>
  </r>
  <r>
    <x v="21"/>
    <x v="0"/>
    <s v="NU0077"/>
    <x v="0"/>
    <x v="0"/>
    <x v="1"/>
    <x v="12"/>
    <n v="-1550000"/>
    <x v="37"/>
    <x v="12"/>
    <n v="0.41499999999999998"/>
    <n v="5.1070000000000002"/>
    <x v="12"/>
    <x v="8"/>
    <n v="0.56399999999999995"/>
    <x v="2"/>
    <x v="12"/>
    <x v="1"/>
    <n v="3.7336330308136434E-2"/>
    <n v="677074.49683314667"/>
    <n v="-57871.311977611469"/>
    <n v="-687190.92438567139"/>
    <n v="-10116.427552524721"/>
    <s v="36800IF-TRANSCO/Z6"/>
    <n v="-155"/>
  </r>
  <r>
    <x v="12"/>
    <x v="0"/>
    <s v="NU3268"/>
    <x v="4"/>
    <x v="0"/>
    <x v="0"/>
    <x v="13"/>
    <n v="300000"/>
    <x v="34"/>
    <x v="13"/>
    <n v="2.5"/>
    <n v="7.1849999999999996"/>
    <x v="13"/>
    <x v="5"/>
    <n v="0.376"/>
    <x v="7"/>
    <x v="13"/>
    <x v="0"/>
    <n v="1.9992642859635223"/>
    <n v="299889.64287411771"/>
    <n v="599779.28578905668"/>
    <n v="-299889.65484497516"/>
    <n v="-1.1970857449341565E-2"/>
    <s v="36770NGI-SOCAL"/>
    <n v="30"/>
  </r>
  <r>
    <x v="19"/>
    <x v="0"/>
    <s v="NU3291"/>
    <x v="0"/>
    <x v="0"/>
    <x v="0"/>
    <x v="11"/>
    <n v="-1200000"/>
    <x v="17"/>
    <x v="11"/>
    <n v="0.52"/>
    <n v="4.4580000000000002"/>
    <x v="11"/>
    <x v="7"/>
    <n v="0.434"/>
    <x v="1"/>
    <x v="11"/>
    <x v="0"/>
    <n v="7.4548084161956366E-2"/>
    <n v="-388627.42513526825"/>
    <n v="-89457.700994347644"/>
    <n v="362344.44301969704"/>
    <n v="-26282.982115571212"/>
    <s v="36982IF-TRANSCO/Z6"/>
    <n v="-120"/>
  </r>
  <r>
    <x v="0"/>
    <x v="0"/>
    <s v="NU5426"/>
    <x v="0"/>
    <x v="0"/>
    <x v="1"/>
    <x v="18"/>
    <n v="1000000"/>
    <x v="0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</r>
  <r>
    <x v="0"/>
    <x v="0"/>
    <s v="NU5426"/>
    <x v="0"/>
    <x v="0"/>
    <x v="1"/>
    <x v="17"/>
    <n v="1000000"/>
    <x v="0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</r>
  <r>
    <x v="0"/>
    <x v="0"/>
    <s v="NU5426"/>
    <x v="0"/>
    <x v="0"/>
    <x v="1"/>
    <x v="16"/>
    <n v="1000000"/>
    <x v="0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</r>
  <r>
    <x v="0"/>
    <x v="0"/>
    <s v="NU5426"/>
    <x v="0"/>
    <x v="0"/>
    <x v="1"/>
    <x v="15"/>
    <n v="1000000"/>
    <x v="0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</r>
  <r>
    <x v="0"/>
    <x v="0"/>
    <s v="NU5426"/>
    <x v="0"/>
    <x v="0"/>
    <x v="1"/>
    <x v="14"/>
    <n v="1000000"/>
    <x v="0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</r>
  <r>
    <x v="12"/>
    <x v="0"/>
    <s v="NU5429"/>
    <x v="0"/>
    <x v="0"/>
    <x v="0"/>
    <x v="18"/>
    <n v="-300000"/>
    <x v="53"/>
    <x v="18"/>
    <n v="0.77"/>
    <n v="5.5060000000000002"/>
    <x v="18"/>
    <x v="13"/>
    <n v="0.625"/>
    <x v="6"/>
    <x v="18"/>
    <x v="0"/>
    <n v="1.9832782982378294E-4"/>
    <n v="-293.64121394332511"/>
    <n v="-59.498348947134886"/>
    <n v="213.86448278618136"/>
    <n v="-79.776731157143757"/>
    <s v="36831IF-TRANSCO/Z6"/>
    <n v="-30"/>
  </r>
  <r>
    <x v="12"/>
    <x v="0"/>
    <s v="NU5429"/>
    <x v="0"/>
    <x v="0"/>
    <x v="0"/>
    <x v="17"/>
    <n v="-310000"/>
    <x v="53"/>
    <x v="17"/>
    <n v="1.645"/>
    <n v="6.4450000000000003"/>
    <x v="17"/>
    <x v="12"/>
    <n v="0.69"/>
    <x v="7"/>
    <x v="17"/>
    <x v="0"/>
    <n v="6.4335424241627623E-2"/>
    <n v="-32084.561970316081"/>
    <n v="-19943.981514904564"/>
    <n v="23905.495708293081"/>
    <n v="-8179.0662620229996"/>
    <s v="36861IF-TRANSCO/Z6"/>
    <n v="-31"/>
  </r>
  <r>
    <x v="12"/>
    <x v="0"/>
    <s v="NU5429"/>
    <x v="0"/>
    <x v="0"/>
    <x v="0"/>
    <x v="16"/>
    <n v="-310000"/>
    <x v="53"/>
    <x v="16"/>
    <n v="2.17"/>
    <n v="6.9139999999999997"/>
    <x v="16"/>
    <x v="11"/>
    <n v="0.69599999999999995"/>
    <x v="7"/>
    <x v="16"/>
    <x v="0"/>
    <n v="0.20225014353023979"/>
    <n v="-68917.324706469299"/>
    <n v="-62697.544494374335"/>
    <n v="53016.238228784721"/>
    <n v="-15901.086477684577"/>
    <s v="36892IF-TRANSCO/Z6"/>
    <n v="-31"/>
  </r>
  <r>
    <x v="12"/>
    <x v="0"/>
    <s v="NU5429"/>
    <x v="0"/>
    <x v="0"/>
    <x v="0"/>
    <x v="15"/>
    <n v="-280000"/>
    <x v="53"/>
    <x v="15"/>
    <n v="2.09"/>
    <n v="6.57"/>
    <x v="15"/>
    <x v="10"/>
    <n v="0.68100000000000005"/>
    <x v="7"/>
    <x v="15"/>
    <x v="0"/>
    <n v="0.22217715686784054"/>
    <n v="-64908.474177547316"/>
    <n v="-62209.603922995353"/>
    <n v="48911.13413824467"/>
    <n v="-15997.340039302646"/>
    <s v="36923IF-TRANSCO/Z6"/>
    <n v="-28"/>
  </r>
  <r>
    <x v="12"/>
    <x v="0"/>
    <s v="NU5429"/>
    <x v="0"/>
    <x v="0"/>
    <x v="0"/>
    <x v="14"/>
    <n v="-310000"/>
    <x v="53"/>
    <x v="14"/>
    <n v="1.075"/>
    <n v="5.2880000000000003"/>
    <x v="14"/>
    <x v="9"/>
    <n v="0.61199999999999999"/>
    <x v="7"/>
    <x v="14"/>
    <x v="0"/>
    <n v="4.7991632106536918E-2"/>
    <n v="-24892.590949952177"/>
    <n v="-14877.405953026444"/>
    <n v="16854.077235280325"/>
    <n v="-8038.5137146718516"/>
    <s v="36951IF-TRANSCO/Z6"/>
    <n v="-31"/>
  </r>
  <r>
    <x v="3"/>
    <x v="0"/>
    <s v="NU5433.1"/>
    <x v="1"/>
    <x v="0"/>
    <x v="0"/>
    <x v="13"/>
    <n v="300000"/>
    <x v="54"/>
    <x v="13"/>
    <n v="-1.24"/>
    <n v="3.4449999999999998"/>
    <x v="13"/>
    <x v="5"/>
    <n v="0.38400000000000001"/>
    <x v="3"/>
    <x v="13"/>
    <x v="0"/>
    <n v="8.387640559881504E-8"/>
    <n v="-5.0877247481651011E-2"/>
    <n v="2.5162921679644512E-2"/>
    <n v="3.9303683441183068E-2"/>
    <n v="-1.1573564040467943E-2"/>
    <s v="36770IF-NWPL_ROCKY_M"/>
    <n v="30"/>
  </r>
  <r>
    <x v="3"/>
    <x v="0"/>
    <s v="NU5433.1"/>
    <x v="1"/>
    <x v="0"/>
    <x v="0"/>
    <x v="12"/>
    <n v="310000"/>
    <x v="54"/>
    <x v="12"/>
    <n v="-0.80500000000000005"/>
    <n v="3.887"/>
    <x v="12"/>
    <x v="8"/>
    <n v="0.55200000000000005"/>
    <x v="3"/>
    <x v="12"/>
    <x v="0"/>
    <n v="8.3119599037111636E-2"/>
    <n v="101004.61396307635"/>
    <n v="25767.075701504607"/>
    <n v="-91140.245257312999"/>
    <n v="9864.3687057633506"/>
    <s v="36800IF-NWPL_ROCKY_M"/>
    <n v="31"/>
  </r>
  <r>
    <x v="3"/>
    <x v="0"/>
    <s v="NU5433.2"/>
    <x v="1"/>
    <x v="0"/>
    <x v="0"/>
    <x v="13"/>
    <n v="-300000"/>
    <x v="55"/>
    <x v="13"/>
    <n v="-1.24"/>
    <n v="3.4449999999999998"/>
    <x v="13"/>
    <x v="5"/>
    <n v="0.38400000000000001"/>
    <x v="3"/>
    <x v="13"/>
    <x v="0"/>
    <n v="7.0768898075002085E-8"/>
    <n v="5.0877242585567473E-2"/>
    <n v="-2.1230669422500625E-2"/>
    <n v="-3.9303679244540035E-2"/>
    <n v="1.1573563341027437E-2"/>
    <s v="36770IF-NWPL_ROCKY_M"/>
    <n v="-30"/>
  </r>
  <r>
    <x v="3"/>
    <x v="0"/>
    <s v="NU5433.2"/>
    <x v="1"/>
    <x v="0"/>
    <x v="0"/>
    <x v="12"/>
    <n v="-310000"/>
    <x v="55"/>
    <x v="12"/>
    <n v="-0.80500000000000005"/>
    <n v="3.887"/>
    <x v="12"/>
    <x v="8"/>
    <n v="0.55200000000000005"/>
    <x v="3"/>
    <x v="12"/>
    <x v="0"/>
    <n v="0.12040868178097264"/>
    <n v="-129145.63973134081"/>
    <n v="-37326.691352101516"/>
    <n v="118447.95162259108"/>
    <n v="-10697.688108749731"/>
    <s v="36800IF-NWPL_ROCKY_M"/>
    <n v="-31"/>
  </r>
  <r>
    <x v="3"/>
    <x v="0"/>
    <s v="NU5442"/>
    <x v="0"/>
    <x v="0"/>
    <x v="0"/>
    <x v="14"/>
    <n v="2000000"/>
    <x v="24"/>
    <x v="14"/>
    <n v="1.075"/>
    <n v="5.2880000000000003"/>
    <x v="14"/>
    <x v="9"/>
    <n v="0.61199999999999999"/>
    <x v="7"/>
    <x v="14"/>
    <x v="0"/>
    <n v="0.23747355682399185"/>
    <n v="612263.50607893185"/>
    <n v="474947.1136479837"/>
    <n v="-470417.95520612004"/>
    <n v="141845.55087281181"/>
    <s v="36951IF-TRANSCO/Z6"/>
    <n v="200"/>
  </r>
  <r>
    <x v="16"/>
    <x v="0"/>
    <s v="NU5447"/>
    <x v="4"/>
    <x v="0"/>
    <x v="0"/>
    <x v="13"/>
    <n v="450000"/>
    <x v="34"/>
    <x v="13"/>
    <n v="2.5"/>
    <n v="7.1849999999999996"/>
    <x v="13"/>
    <x v="5"/>
    <n v="0.376"/>
    <x v="7"/>
    <x v="13"/>
    <x v="0"/>
    <n v="1.9992642859635223"/>
    <n v="449834.4643111765"/>
    <n v="899668.92868358502"/>
    <n v="-449834.48226746271"/>
    <n v="-1.7956286203116179E-2"/>
    <s v="36770NGI-SOCAL"/>
    <n v="45"/>
  </r>
  <r>
    <x v="16"/>
    <x v="0"/>
    <s v="NU5447"/>
    <x v="4"/>
    <x v="0"/>
    <x v="0"/>
    <x v="12"/>
    <n v="465000"/>
    <x v="34"/>
    <x v="12"/>
    <n v="1.99"/>
    <n v="6.6820000000000004"/>
    <x v="12"/>
    <x v="8"/>
    <n v="0.54100000000000004"/>
    <x v="7"/>
    <x v="12"/>
    <x v="0"/>
    <n v="1.4818377985590623"/>
    <n v="461261.14970030059"/>
    <n v="689054.57632996398"/>
    <n v="-460903.24284445809"/>
    <n v="357.90685584250605"/>
    <s v="36800NGI-SOCAL"/>
    <n v="46.5"/>
  </r>
  <r>
    <x v="8"/>
    <x v="0"/>
    <s v="NU5454"/>
    <x v="0"/>
    <x v="0"/>
    <x v="1"/>
    <x v="11"/>
    <n v="300000"/>
    <x v="1"/>
    <x v="11"/>
    <n v="0.52"/>
    <n v="4.4580000000000002"/>
    <x v="11"/>
    <x v="7"/>
    <n v="0.434"/>
    <x v="1"/>
    <x v="11"/>
    <x v="1"/>
    <n v="4.8130822327853651E-2"/>
    <n v="-69349.183136221211"/>
    <n v="14439.246698356095"/>
    <n v="76044.555575902792"/>
    <n v="6695.3724396815815"/>
    <s v="36982IF-TRANSCO/Z6"/>
    <n v="30"/>
  </r>
  <r>
    <x v="8"/>
    <x v="0"/>
    <s v="NU5454"/>
    <x v="0"/>
    <x v="0"/>
    <x v="1"/>
    <x v="10"/>
    <n v="310000"/>
    <x v="1"/>
    <x v="10"/>
    <n v="0.40500000000000003"/>
    <n v="4.2430000000000003"/>
    <x v="10"/>
    <x v="6"/>
    <n v="0.39700000000000002"/>
    <x v="1"/>
    <x v="10"/>
    <x v="1"/>
    <n v="7.5040449341795601E-2"/>
    <n v="-104690.45438105936"/>
    <n v="23262.539295956638"/>
    <n v="112598.93429053146"/>
    <n v="7908.4799094720947"/>
    <s v="37012IF-TRANSCO/Z6"/>
    <n v="31"/>
  </r>
  <r>
    <x v="8"/>
    <x v="0"/>
    <s v="NU5454"/>
    <x v="0"/>
    <x v="0"/>
    <x v="1"/>
    <x v="9"/>
    <n v="300000"/>
    <x v="1"/>
    <x v="9"/>
    <n v="0.39500000000000002"/>
    <n v="4.2130000000000001"/>
    <x v="9"/>
    <x v="5"/>
    <n v="0.39200000000000002"/>
    <x v="1"/>
    <x v="9"/>
    <x v="1"/>
    <n v="8.3369905916028775E-2"/>
    <n v="-105342.76451193367"/>
    <n v="25010.971774808633"/>
    <n v="113462.00081844855"/>
    <n v="8119.236306514882"/>
    <s v="37043IF-TRANSCO/Z6"/>
    <n v="30"/>
  </r>
  <r>
    <x v="8"/>
    <x v="0"/>
    <s v="NU5454"/>
    <x v="0"/>
    <x v="0"/>
    <x v="1"/>
    <x v="8"/>
    <n v="310000"/>
    <x v="1"/>
    <x v="8"/>
    <n v="0.46"/>
    <n v="4.2629999999999999"/>
    <x v="8"/>
    <x v="5"/>
    <n v="0.39200000000000002"/>
    <x v="1"/>
    <x v="8"/>
    <x v="1"/>
    <n v="6.7736715606437792E-2"/>
    <n v="-89499.233680311183"/>
    <n v="20998.381837995716"/>
    <n v="97695.487333422017"/>
    <n v="8196.2536531108344"/>
    <s v="37073IF-TRANSCO/Z6"/>
    <n v="31"/>
  </r>
  <r>
    <x v="8"/>
    <x v="0"/>
    <s v="NU5454"/>
    <x v="0"/>
    <x v="0"/>
    <x v="1"/>
    <x v="7"/>
    <n v="310000"/>
    <x v="1"/>
    <x v="7"/>
    <n v="0.46"/>
    <n v="4.2679999999999998"/>
    <x v="7"/>
    <x v="5"/>
    <n v="0.39200000000000002"/>
    <x v="1"/>
    <x v="7"/>
    <x v="1"/>
    <n v="7.3457763842120272E-2"/>
    <n v="-91120.837205446005"/>
    <n v="22771.906791057285"/>
    <n v="99776.034022506065"/>
    <n v="8655.1968170600594"/>
    <s v="37104IF-TRANSCO/Z6"/>
    <n v="31"/>
  </r>
  <r>
    <x v="8"/>
    <x v="0"/>
    <s v="NU5454"/>
    <x v="0"/>
    <x v="0"/>
    <x v="1"/>
    <x v="6"/>
    <n v="300000"/>
    <x v="1"/>
    <x v="6"/>
    <n v="0.39500000000000002"/>
    <n v="4.1829999999999998"/>
    <x v="6"/>
    <x v="5"/>
    <n v="0.39200000000000002"/>
    <x v="1"/>
    <x v="6"/>
    <x v="1"/>
    <n v="9.92164871050496E-2"/>
    <n v="-106823.36490538612"/>
    <n v="29764.94613151488"/>
    <n v="116122.17600914001"/>
    <n v="9298.8111037538911"/>
    <s v="37135IF-TRANSCO/Z6"/>
    <n v="30"/>
  </r>
  <r>
    <x v="8"/>
    <x v="0"/>
    <s v="NU5454"/>
    <x v="0"/>
    <x v="0"/>
    <x v="1"/>
    <x v="5"/>
    <n v="310000"/>
    <x v="1"/>
    <x v="5"/>
    <n v="0.46100000000000002"/>
    <n v="4.234"/>
    <x v="5"/>
    <x v="4"/>
    <n v="0.39400000000000002"/>
    <x v="1"/>
    <x v="5"/>
    <x v="1"/>
    <n v="8.2265197844509308E-2"/>
    <n v="-92822.214583767025"/>
    <n v="25502.211331797884"/>
    <n v="102266.80955851398"/>
    <n v="9444.5949747469567"/>
    <s v="37165IF-TRANSCO/Z6"/>
    <n v="31"/>
  </r>
  <r>
    <x v="6"/>
    <x v="0"/>
    <s v="NU5468"/>
    <x v="0"/>
    <x v="0"/>
    <x v="0"/>
    <x v="11"/>
    <n v="500000"/>
    <x v="17"/>
    <x v="11"/>
    <n v="0.52"/>
    <n v="4.4580000000000002"/>
    <x v="11"/>
    <x v="7"/>
    <n v="0.434"/>
    <x v="1"/>
    <x v="11"/>
    <x v="0"/>
    <n v="7.4548084161956366E-2"/>
    <n v="161928.09380636178"/>
    <n v="37274.042080978186"/>
    <n v="-150976.85125820708"/>
    <n v="10951.242548154696"/>
    <s v="36982IF-TRANSCO/Z6"/>
    <n v="50"/>
  </r>
  <r>
    <x v="23"/>
    <x v="0"/>
    <s v="NU7573"/>
    <x v="6"/>
    <x v="0"/>
    <x v="0"/>
    <x v="18"/>
    <n v="-1500000"/>
    <x v="56"/>
    <x v="18"/>
    <n v="8.7499999999999994E-2"/>
    <n v="4.8235000000000001"/>
    <x v="18"/>
    <x v="13"/>
    <n v="0.59499999999999997"/>
    <x v="10"/>
    <x v="18"/>
    <x v="0"/>
    <n v="2.3997181477235136E-2"/>
    <n v="-552150.62549074367"/>
    <n v="-35995.772215852703"/>
    <n v="541946.76487322629"/>
    <n v="-10203.860617517377"/>
    <s v="36831NGI/CHI. GATE"/>
    <n v="-150"/>
  </r>
  <r>
    <x v="23"/>
    <x v="0"/>
    <s v="NU7573"/>
    <x v="6"/>
    <x v="0"/>
    <x v="0"/>
    <x v="17"/>
    <n v="-1550000"/>
    <x v="56"/>
    <x v="17"/>
    <n v="0.1"/>
    <n v="4.9000000000000004"/>
    <x v="17"/>
    <x v="12"/>
    <n v="0.6"/>
    <x v="10"/>
    <x v="17"/>
    <x v="0"/>
    <n v="3.767662323002683E-2"/>
    <n v="-669696.25772431353"/>
    <n v="-58398.766006541584"/>
    <n v="656287.84515093488"/>
    <n v="-13408.41257337865"/>
    <s v="36861NGI/CHI. GATE"/>
    <n v="-155"/>
  </r>
  <r>
    <x v="23"/>
    <x v="0"/>
    <s v="NU7573"/>
    <x v="6"/>
    <x v="0"/>
    <x v="0"/>
    <x v="16"/>
    <n v="-1550000"/>
    <x v="56"/>
    <x v="16"/>
    <n v="0.1275"/>
    <n v="4.8715000000000002"/>
    <x v="16"/>
    <x v="11"/>
    <n v="0.60499999999999998"/>
    <x v="10"/>
    <x v="16"/>
    <x v="0"/>
    <n v="5.7216774333382153E-2"/>
    <n v="-801613.39050868084"/>
    <n v="-88686.000216742337"/>
    <n v="786080.06727373903"/>
    <n v="-15533.32323494181"/>
    <s v="36892NGI/CHI. GATE"/>
    <n v="-155"/>
  </r>
  <r>
    <x v="23"/>
    <x v="0"/>
    <s v="NU7573"/>
    <x v="6"/>
    <x v="0"/>
    <x v="0"/>
    <x v="15"/>
    <n v="-1400000"/>
    <x v="56"/>
    <x v="15"/>
    <n v="0.13750000000000001"/>
    <n v="4.6174999999999997"/>
    <x v="15"/>
    <x v="10"/>
    <n v="0.59299999999999997"/>
    <x v="10"/>
    <x v="15"/>
    <x v="0"/>
    <n v="6.4984762880446439E-2"/>
    <n v="-757041.30049211707"/>
    <n v="-90978.668032625021"/>
    <n v="741834.31518945424"/>
    <n v="-15206.985302662826"/>
    <s v="36923NGI/CHI. GATE"/>
    <n v="-140"/>
  </r>
  <r>
    <x v="23"/>
    <x v="0"/>
    <s v="NU7573"/>
    <x v="6"/>
    <x v="0"/>
    <x v="0"/>
    <x v="14"/>
    <n v="-1550000"/>
    <x v="56"/>
    <x v="14"/>
    <n v="0.1225"/>
    <n v="4.3354999999999997"/>
    <x v="14"/>
    <x v="9"/>
    <n v="0.53300000000000003"/>
    <x v="10"/>
    <x v="14"/>
    <x v="0"/>
    <n v="5.2743029649831637E-2"/>
    <n v="-773115.08068138093"/>
    <n v="-81751.695957239033"/>
    <n v="756714.6029651775"/>
    <n v="-16400.47771620343"/>
    <s v="36951NGI/CHI. GATE"/>
    <n v="-155"/>
  </r>
  <r>
    <x v="18"/>
    <x v="0"/>
    <s v="NU9007"/>
    <x v="6"/>
    <x v="0"/>
    <x v="0"/>
    <x v="18"/>
    <n v="-300000"/>
    <x v="56"/>
    <x v="18"/>
    <n v="8.7499999999999994E-2"/>
    <n v="4.8235000000000001"/>
    <x v="18"/>
    <x v="13"/>
    <n v="0.59499999999999997"/>
    <x v="10"/>
    <x v="18"/>
    <x v="0"/>
    <n v="2.3997181477235136E-2"/>
    <n v="-110430.12509814874"/>
    <n v="-7199.1544431705406"/>
    <n v="108389.35297464526"/>
    <n v="-2040.7721235034842"/>
    <s v="36831NGI/CHI. GATE"/>
    <n v="-30"/>
  </r>
  <r>
    <x v="18"/>
    <x v="0"/>
    <s v="NU9007"/>
    <x v="6"/>
    <x v="0"/>
    <x v="0"/>
    <x v="17"/>
    <n v="-310000"/>
    <x v="56"/>
    <x v="17"/>
    <n v="0.1"/>
    <n v="4.9000000000000004"/>
    <x v="17"/>
    <x v="12"/>
    <n v="0.6"/>
    <x v="10"/>
    <x v="17"/>
    <x v="0"/>
    <n v="3.767662323002683E-2"/>
    <n v="-133939.25154486269"/>
    <n v="-11679.753201308318"/>
    <n v="131257.56903018698"/>
    <n v="-2681.6825146757183"/>
    <s v="36861NGI/CHI. GATE"/>
    <n v="-31"/>
  </r>
  <r>
    <x v="18"/>
    <x v="0"/>
    <s v="NU9007"/>
    <x v="6"/>
    <x v="0"/>
    <x v="0"/>
    <x v="16"/>
    <n v="-310000"/>
    <x v="56"/>
    <x v="16"/>
    <n v="0.1275"/>
    <n v="4.8715000000000002"/>
    <x v="16"/>
    <x v="11"/>
    <n v="0.60499999999999998"/>
    <x v="10"/>
    <x v="16"/>
    <x v="0"/>
    <n v="5.7216774333382153E-2"/>
    <n v="-160322.67810173618"/>
    <n v="-17737.200043348468"/>
    <n v="157216.01345474779"/>
    <n v="-3106.6646469883854"/>
    <s v="36892NGI/CHI. GATE"/>
    <n v="-31"/>
  </r>
  <r>
    <x v="18"/>
    <x v="0"/>
    <s v="NU9007"/>
    <x v="6"/>
    <x v="0"/>
    <x v="0"/>
    <x v="15"/>
    <n v="-280000"/>
    <x v="56"/>
    <x v="15"/>
    <n v="0.13750000000000001"/>
    <n v="4.6174999999999997"/>
    <x v="15"/>
    <x v="10"/>
    <n v="0.59299999999999997"/>
    <x v="10"/>
    <x v="15"/>
    <x v="0"/>
    <n v="6.4984762880446439E-2"/>
    <n v="-151408.2600984234"/>
    <n v="-18195.733606525002"/>
    <n v="148366.86303789084"/>
    <n v="-3041.3970605325594"/>
    <s v="36923NGI/CHI. GATE"/>
    <n v="-28"/>
  </r>
  <r>
    <x v="18"/>
    <x v="0"/>
    <s v="NU9007"/>
    <x v="6"/>
    <x v="0"/>
    <x v="0"/>
    <x v="14"/>
    <n v="-310000"/>
    <x v="56"/>
    <x v="14"/>
    <n v="0.1225"/>
    <n v="4.3354999999999997"/>
    <x v="14"/>
    <x v="9"/>
    <n v="0.53300000000000003"/>
    <x v="10"/>
    <x v="14"/>
    <x v="0"/>
    <n v="5.2743029649831637E-2"/>
    <n v="-154623.01613627619"/>
    <n v="-16350.339191447807"/>
    <n v="151342.92059303549"/>
    <n v="-3280.0955432406918"/>
    <s v="36951NGI/CHI. GATE"/>
    <n v="-31"/>
  </r>
  <r>
    <x v="22"/>
    <x v="0"/>
    <s v="NU9019"/>
    <x v="0"/>
    <x v="0"/>
    <x v="0"/>
    <x v="12"/>
    <n v="1550000"/>
    <x v="34"/>
    <x v="12"/>
    <n v="0.41499999999999998"/>
    <n v="5.1070000000000002"/>
    <x v="12"/>
    <x v="8"/>
    <n v="0.56399999999999995"/>
    <x v="2"/>
    <x v="12"/>
    <x v="0"/>
    <n v="1.6425197030574067E-2"/>
    <n v="376517.22336040344"/>
    <n v="25459.055397389802"/>
    <n v="-369015.7043584921"/>
    <n v="7501.5190019113361"/>
    <s v="36800IF-TRANSCO/Z6"/>
    <n v="155"/>
  </r>
  <r>
    <x v="2"/>
    <x v="0"/>
    <s v="NU9027"/>
    <x v="0"/>
    <x v="0"/>
    <x v="0"/>
    <x v="18"/>
    <n v="300000"/>
    <x v="33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</r>
  <r>
    <x v="2"/>
    <x v="0"/>
    <s v="NU9027"/>
    <x v="0"/>
    <x v="0"/>
    <x v="0"/>
    <x v="17"/>
    <n v="310000"/>
    <x v="33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</r>
  <r>
    <x v="2"/>
    <x v="0"/>
    <s v="NU9027"/>
    <x v="0"/>
    <x v="0"/>
    <x v="0"/>
    <x v="16"/>
    <n v="310000"/>
    <x v="33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</r>
  <r>
    <x v="2"/>
    <x v="0"/>
    <s v="NU9027"/>
    <x v="0"/>
    <x v="0"/>
    <x v="0"/>
    <x v="15"/>
    <n v="280000"/>
    <x v="33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</r>
  <r>
    <x v="2"/>
    <x v="0"/>
    <s v="NU9027"/>
    <x v="0"/>
    <x v="0"/>
    <x v="0"/>
    <x v="14"/>
    <n v="310000"/>
    <x v="33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</r>
  <r>
    <x v="9"/>
    <x v="0"/>
    <s v="NV0431"/>
    <x v="0"/>
    <x v="0"/>
    <x v="0"/>
    <x v="11"/>
    <n v="500000"/>
    <x v="34"/>
    <x v="11"/>
    <n v="0.52"/>
    <n v="4.4580000000000002"/>
    <x v="11"/>
    <x v="7"/>
    <n v="0.434"/>
    <x v="1"/>
    <x v="11"/>
    <x v="0"/>
    <n v="0.14461673425404681"/>
    <n v="259868.44400291875"/>
    <n v="72308.367127023404"/>
    <n v="-246925.64325500699"/>
    <n v="12942.800747911766"/>
    <s v="36982IF-TRANSCO/Z6"/>
    <n v="50"/>
  </r>
  <r>
    <x v="9"/>
    <x v="0"/>
    <s v="NV0431"/>
    <x v="0"/>
    <x v="0"/>
    <x v="0"/>
    <x v="10"/>
    <n v="500000"/>
    <x v="34"/>
    <x v="10"/>
    <n v="0.40500000000000003"/>
    <n v="4.2430000000000003"/>
    <x v="10"/>
    <x v="6"/>
    <n v="0.39700000000000002"/>
    <x v="1"/>
    <x v="10"/>
    <x v="0"/>
    <n v="8.5893158214631282E-2"/>
    <n v="193139.40165279055"/>
    <n v="42946.579107315643"/>
    <n v="-181003.49853598842"/>
    <n v="12135.903116802132"/>
    <s v="37012IF-TRANSCO/Z6"/>
    <n v="50"/>
  </r>
  <r>
    <x v="9"/>
    <x v="0"/>
    <s v="NV0431"/>
    <x v="0"/>
    <x v="0"/>
    <x v="0"/>
    <x v="9"/>
    <n v="500000"/>
    <x v="34"/>
    <x v="9"/>
    <n v="0.39500000000000002"/>
    <n v="4.2130000000000001"/>
    <x v="9"/>
    <x v="5"/>
    <n v="0.39200000000000002"/>
    <x v="1"/>
    <x v="9"/>
    <x v="0"/>
    <n v="8.735020414401895E-2"/>
    <n v="189451.30740152946"/>
    <n v="43675.102072009475"/>
    <n v="-176813.65548981272"/>
    <n v="12637.651911716734"/>
    <s v="37043IF-TRANSCO/Z6"/>
    <n v="50"/>
  </r>
  <r>
    <x v="9"/>
    <x v="0"/>
    <s v="NV0431"/>
    <x v="0"/>
    <x v="0"/>
    <x v="0"/>
    <x v="8"/>
    <n v="500000"/>
    <x v="34"/>
    <x v="8"/>
    <n v="0.46"/>
    <n v="4.2629999999999999"/>
    <x v="8"/>
    <x v="5"/>
    <n v="0.39200000000000002"/>
    <x v="1"/>
    <x v="8"/>
    <x v="0"/>
    <n v="0.1200067855524454"/>
    <n v="224992.1071884594"/>
    <n v="60003.392776222703"/>
    <n v="-211334.80051585849"/>
    <n v="13657.306672600913"/>
    <s v="37073IF-TRANSCO/Z6"/>
    <n v="50"/>
  </r>
  <r>
    <x v="9"/>
    <x v="0"/>
    <s v="NV0431"/>
    <x v="0"/>
    <x v="0"/>
    <x v="0"/>
    <x v="7"/>
    <n v="500000"/>
    <x v="34"/>
    <x v="7"/>
    <n v="0.46"/>
    <n v="4.2679999999999998"/>
    <x v="7"/>
    <x v="5"/>
    <n v="0.39200000000000002"/>
    <x v="1"/>
    <x v="7"/>
    <x v="0"/>
    <n v="0.1264820590295051"/>
    <n v="225140.42738384873"/>
    <n v="63241.029514752547"/>
    <n v="-210854.19135975846"/>
    <n v="14286.236024090264"/>
    <s v="37104IF-TRANSCO/Z6"/>
    <n v="50"/>
  </r>
  <r>
    <x v="9"/>
    <x v="0"/>
    <s v="NV0431"/>
    <x v="0"/>
    <x v="0"/>
    <x v="0"/>
    <x v="6"/>
    <n v="500000"/>
    <x v="34"/>
    <x v="6"/>
    <n v="0.39500000000000002"/>
    <n v="4.1829999999999998"/>
    <x v="6"/>
    <x v="5"/>
    <n v="0.39200000000000002"/>
    <x v="1"/>
    <x v="6"/>
    <x v="0"/>
    <n v="0.10436260251325032"/>
    <n v="194722.34411721348"/>
    <n v="52181.301256625156"/>
    <n v="-180227.24899689035"/>
    <n v="14495.095120323123"/>
    <s v="37135IF-TRANSCO/Z6"/>
    <n v="50"/>
  </r>
  <r>
    <x v="9"/>
    <x v="0"/>
    <s v="NV0431"/>
    <x v="0"/>
    <x v="0"/>
    <x v="0"/>
    <x v="5"/>
    <n v="500000"/>
    <x v="34"/>
    <x v="5"/>
    <n v="0.46100000000000002"/>
    <n v="4.234"/>
    <x v="5"/>
    <x v="4"/>
    <n v="0.39400000000000002"/>
    <x v="1"/>
    <x v="5"/>
    <x v="0"/>
    <n v="0.13714256120638882"/>
    <n v="225444.80177932518"/>
    <n v="68571.280603194406"/>
    <n v="-210050.60457000791"/>
    <n v="15394.197209317266"/>
    <s v="37165IF-TRANSCO/Z6"/>
    <n v="50"/>
  </r>
  <r>
    <x v="9"/>
    <x v="0"/>
    <s v="NV0442"/>
    <x v="0"/>
    <x v="0"/>
    <x v="1"/>
    <x v="11"/>
    <n v="1000000"/>
    <x v="1"/>
    <x v="11"/>
    <n v="0.52"/>
    <n v="4.4580000000000002"/>
    <x v="11"/>
    <x v="7"/>
    <n v="0.434"/>
    <x v="1"/>
    <x v="11"/>
    <x v="1"/>
    <n v="4.8130822327853651E-2"/>
    <n v="-231163.94378740402"/>
    <n v="48130.822327853653"/>
    <n v="253481.85191967597"/>
    <n v="22317.908132271958"/>
    <s v="36982IF-TRANSCO/Z6"/>
    <n v="100"/>
  </r>
  <r>
    <x v="9"/>
    <x v="0"/>
    <s v="NV0442"/>
    <x v="0"/>
    <x v="0"/>
    <x v="1"/>
    <x v="10"/>
    <n v="1000000"/>
    <x v="1"/>
    <x v="10"/>
    <n v="0.40500000000000003"/>
    <n v="4.2430000000000003"/>
    <x v="10"/>
    <x v="6"/>
    <n v="0.39700000000000002"/>
    <x v="1"/>
    <x v="10"/>
    <x v="1"/>
    <n v="7.5040449341795601E-2"/>
    <n v="-337711.14316470764"/>
    <n v="75040.449341795596"/>
    <n v="363222.36867913371"/>
    <n v="25511.225514426071"/>
    <s v="37012IF-TRANSCO/Z6"/>
    <n v="100"/>
  </r>
  <r>
    <x v="9"/>
    <x v="0"/>
    <s v="NV0442"/>
    <x v="0"/>
    <x v="0"/>
    <x v="1"/>
    <x v="9"/>
    <n v="1000000"/>
    <x v="1"/>
    <x v="9"/>
    <n v="0.39500000000000002"/>
    <n v="4.2130000000000001"/>
    <x v="9"/>
    <x v="5"/>
    <n v="0.39200000000000002"/>
    <x v="1"/>
    <x v="9"/>
    <x v="1"/>
    <n v="8.3369905916028775E-2"/>
    <n v="-351142.54837311222"/>
    <n v="83369.905916028772"/>
    <n v="378206.6693948285"/>
    <n v="27064.121021716273"/>
    <s v="37043IF-TRANSCO/Z6"/>
    <n v="100"/>
  </r>
  <r>
    <x v="9"/>
    <x v="0"/>
    <s v="NV0442"/>
    <x v="0"/>
    <x v="0"/>
    <x v="1"/>
    <x v="8"/>
    <n v="1000000"/>
    <x v="1"/>
    <x v="8"/>
    <n v="0.46"/>
    <n v="4.2629999999999999"/>
    <x v="8"/>
    <x v="5"/>
    <n v="0.39200000000000002"/>
    <x v="1"/>
    <x v="8"/>
    <x v="1"/>
    <n v="6.7736715606437792E-2"/>
    <n v="-288707.20542035863"/>
    <n v="67736.715606437792"/>
    <n v="315146.73333361943"/>
    <n v="26439.527913260798"/>
    <s v="37073IF-TRANSCO/Z6"/>
    <n v="100"/>
  </r>
  <r>
    <x v="9"/>
    <x v="0"/>
    <s v="NV0442"/>
    <x v="0"/>
    <x v="0"/>
    <x v="1"/>
    <x v="7"/>
    <n v="1000000"/>
    <x v="1"/>
    <x v="7"/>
    <n v="0.46"/>
    <n v="4.2679999999999998"/>
    <x v="7"/>
    <x v="5"/>
    <n v="0.39200000000000002"/>
    <x v="1"/>
    <x v="7"/>
    <x v="1"/>
    <n v="7.3457763842120272E-2"/>
    <n v="-293938.1845336968"/>
    <n v="73457.763842120272"/>
    <n v="321858.17426614859"/>
    <n v="27919.989732451795"/>
    <s v="37104IF-TRANSCO/Z6"/>
    <n v="100"/>
  </r>
  <r>
    <x v="9"/>
    <x v="0"/>
    <s v="NV0442"/>
    <x v="0"/>
    <x v="0"/>
    <x v="1"/>
    <x v="6"/>
    <n v="1000000"/>
    <x v="1"/>
    <x v="6"/>
    <n v="0.39500000000000002"/>
    <n v="4.1829999999999998"/>
    <x v="6"/>
    <x v="5"/>
    <n v="0.39200000000000002"/>
    <x v="1"/>
    <x v="6"/>
    <x v="1"/>
    <n v="9.92164871050496E-2"/>
    <n v="-356077.88301795372"/>
    <n v="99216.4871050496"/>
    <n v="387073.92003046669"/>
    <n v="30996.03701251297"/>
    <s v="37135IF-TRANSCO/Z6"/>
    <n v="100"/>
  </r>
  <r>
    <x v="9"/>
    <x v="0"/>
    <s v="NV0442"/>
    <x v="0"/>
    <x v="0"/>
    <x v="1"/>
    <x v="5"/>
    <n v="1000000"/>
    <x v="1"/>
    <x v="5"/>
    <n v="0.46100000000000002"/>
    <n v="4.234"/>
    <x v="5"/>
    <x v="4"/>
    <n v="0.39400000000000002"/>
    <x v="1"/>
    <x v="5"/>
    <x v="1"/>
    <n v="8.2265197844509308E-2"/>
    <n v="-299426.49865731294"/>
    <n v="82265.197844509312"/>
    <n v="329892.93405972252"/>
    <n v="30466.435402409581"/>
    <s v="37165IF-TRANSCO/Z6"/>
    <n v="100"/>
  </r>
  <r>
    <x v="3"/>
    <x v="0"/>
    <s v="NV0444.1"/>
    <x v="1"/>
    <x v="0"/>
    <x v="0"/>
    <x v="13"/>
    <n v="-1000000"/>
    <x v="57"/>
    <x v="13"/>
    <n v="-1.24"/>
    <n v="3.4449999999999998"/>
    <x v="13"/>
    <x v="5"/>
    <n v="0.38400000000000001"/>
    <x v="3"/>
    <x v="13"/>
    <x v="0"/>
    <n v="7.4973930233310782E-3"/>
    <n v="-182024.09123201625"/>
    <n v="-7497.3930233310784"/>
    <n v="178124.58277417932"/>
    <n v="-3899.5084578369278"/>
    <s v="36770IF-NWPL_ROCKY_M"/>
    <n v="-100"/>
  </r>
  <r>
    <x v="3"/>
    <x v="0"/>
    <s v="NV0444.2"/>
    <x v="1"/>
    <x v="0"/>
    <x v="1"/>
    <x v="13"/>
    <n v="-1000000"/>
    <x v="57"/>
    <x v="13"/>
    <n v="-1.24"/>
    <n v="3.4449999999999998"/>
    <x v="13"/>
    <x v="5"/>
    <n v="0.38400000000000001"/>
    <x v="3"/>
    <x v="13"/>
    <x v="1"/>
    <n v="7.747163385582953E-2"/>
    <n v="817607.92066080717"/>
    <n v="-77471.633855829525"/>
    <n v="-821507.4291186441"/>
    <n v="-3899.5084578369278"/>
    <s v="36770IF-NWPL_ROCKY_M"/>
    <n v="-100"/>
  </r>
  <r>
    <x v="3"/>
    <x v="0"/>
    <s v="NV0444.3"/>
    <x v="1"/>
    <x v="0"/>
    <x v="0"/>
    <x v="13"/>
    <n v="-500000"/>
    <x v="57"/>
    <x v="13"/>
    <n v="-1.24"/>
    <n v="3.4449999999999998"/>
    <x v="13"/>
    <x v="5"/>
    <n v="0.38400000000000001"/>
    <x v="3"/>
    <x v="13"/>
    <x v="0"/>
    <n v="7.4973930233310782E-3"/>
    <n v="-91012.045616008123"/>
    <n v="-3748.6965116655392"/>
    <n v="89062.291387089659"/>
    <n v="-1949.7542289184639"/>
    <s v="36770IF-NWPL_ROCKY_M"/>
    <n v="-50"/>
  </r>
  <r>
    <x v="3"/>
    <x v="0"/>
    <s v="NV0444.4"/>
    <x v="1"/>
    <x v="0"/>
    <x v="1"/>
    <x v="13"/>
    <n v="-500000"/>
    <x v="57"/>
    <x v="13"/>
    <n v="-1.24"/>
    <n v="3.4449999999999998"/>
    <x v="13"/>
    <x v="5"/>
    <n v="0.38400000000000001"/>
    <x v="3"/>
    <x v="13"/>
    <x v="1"/>
    <n v="7.747163385582953E-2"/>
    <n v="408803.96033040358"/>
    <n v="-38735.816927914762"/>
    <n v="-410753.71455932205"/>
    <n v="-1949.7542289184639"/>
    <s v="36770IF-NWPL_ROCKY_M"/>
    <n v="-50"/>
  </r>
  <r>
    <x v="8"/>
    <x v="0"/>
    <s v="NV0535"/>
    <x v="7"/>
    <x v="0"/>
    <x v="0"/>
    <x v="18"/>
    <n v="300000"/>
    <x v="50"/>
    <x v="18"/>
    <n v="-0.14249999999999999"/>
    <n v="4.5934999999999997"/>
    <x v="18"/>
    <x v="13"/>
    <n v="0.59499999999999997"/>
    <x v="4"/>
    <x v="18"/>
    <x v="0"/>
    <n v="5.1573441195278152E-2"/>
    <n v="156532.8056462509"/>
    <n v="15472.032358583445"/>
    <n v="-153754.54461311488"/>
    <n v="2778.2610331360193"/>
    <s v="36831IF-PAN/TX/OK"/>
    <n v="30"/>
  </r>
  <r>
    <x v="8"/>
    <x v="0"/>
    <s v="NV0535"/>
    <x v="7"/>
    <x v="0"/>
    <x v="0"/>
    <x v="17"/>
    <n v="310000"/>
    <x v="50"/>
    <x v="17"/>
    <n v="-0.1525"/>
    <n v="4.6475"/>
    <x v="17"/>
    <x v="12"/>
    <n v="0.6"/>
    <x v="4"/>
    <x v="17"/>
    <x v="0"/>
    <n v="5.7699193196087961E-2"/>
    <n v="151525.80130860116"/>
    <n v="17886.749890787269"/>
    <n v="-148021.70791398265"/>
    <n v="3504.0933946185105"/>
    <s v="36861IF-PAN/TX/OK"/>
    <n v="31"/>
  </r>
  <r>
    <x v="8"/>
    <x v="0"/>
    <s v="NV0535"/>
    <x v="7"/>
    <x v="0"/>
    <x v="0"/>
    <x v="16"/>
    <n v="310000"/>
    <x v="50"/>
    <x v="16"/>
    <n v="-0.16"/>
    <n v="4.5839999999999996"/>
    <x v="16"/>
    <x v="11"/>
    <n v="0.60499999999999998"/>
    <x v="4"/>
    <x v="16"/>
    <x v="0"/>
    <n v="6.2177869877475006E-2"/>
    <n v="145818.4628756654"/>
    <n v="19275.139662017253"/>
    <n v="-141807.96999813858"/>
    <n v="4010.4928775268199"/>
    <s v="36892IF-PAN/TX/OK"/>
    <n v="31"/>
  </r>
  <r>
    <x v="8"/>
    <x v="0"/>
    <s v="NV0535"/>
    <x v="7"/>
    <x v="0"/>
    <x v="0"/>
    <x v="15"/>
    <n v="280000"/>
    <x v="50"/>
    <x v="15"/>
    <n v="-0.14499999999999999"/>
    <n v="4.335"/>
    <x v="15"/>
    <x v="10"/>
    <n v="0.59299999999999997"/>
    <x v="4"/>
    <x v="15"/>
    <x v="0"/>
    <n v="7.2111564304316034E-2"/>
    <n v="140261.79892574952"/>
    <n v="20191.238005208488"/>
    <n v="-136298.81200439981"/>
    <n v="3962.986921349715"/>
    <s v="36923IF-PAN/TX/OK"/>
    <n v="28"/>
  </r>
  <r>
    <x v="8"/>
    <x v="0"/>
    <s v="NV0535"/>
    <x v="7"/>
    <x v="0"/>
    <x v="0"/>
    <x v="14"/>
    <n v="310000"/>
    <x v="50"/>
    <x v="14"/>
    <n v="-0.13750000000000001"/>
    <n v="4.0754999999999999"/>
    <x v="14"/>
    <x v="9"/>
    <n v="0.53300000000000003"/>
    <x v="4"/>
    <x v="14"/>
    <x v="0"/>
    <n v="7.0221748962884245E-2"/>
    <n v="159955.25368357814"/>
    <n v="21768.742178494114"/>
    <n v="-155727.00961247733"/>
    <n v="4228.2440711008094"/>
    <s v="36951IF-PAN/TX/OK"/>
    <n v="31"/>
  </r>
  <r>
    <x v="12"/>
    <x v="0"/>
    <s v="NV2737.1"/>
    <x v="0"/>
    <x v="0"/>
    <x v="0"/>
    <x v="18"/>
    <n v="-500000"/>
    <x v="58"/>
    <x v="18"/>
    <n v="0.77"/>
    <n v="5.5060000000000002"/>
    <x v="18"/>
    <x v="13"/>
    <n v="0.625"/>
    <x v="6"/>
    <x v="18"/>
    <x v="0"/>
    <n v="6.8435983908895132E-2"/>
    <n v="-95792.983060825936"/>
    <n v="-34217.991954447563"/>
    <n v="81866.083822757835"/>
    <n v="-13926.899238068101"/>
    <s v="36831IF-TRANSCO/Z6"/>
    <n v="-50"/>
  </r>
  <r>
    <x v="12"/>
    <x v="0"/>
    <s v="NV2737.1"/>
    <x v="0"/>
    <x v="0"/>
    <x v="0"/>
    <x v="17"/>
    <n v="-500000"/>
    <x v="58"/>
    <x v="17"/>
    <n v="1.645"/>
    <n v="6.4450000000000003"/>
    <x v="17"/>
    <x v="12"/>
    <n v="0.69"/>
    <x v="7"/>
    <x v="17"/>
    <x v="0"/>
    <n v="0.60476436136475764"/>
    <n v="-295380.64026134874"/>
    <n v="-302382.18068237882"/>
    <n v="260113.5732160536"/>
    <n v="-35267.067045295145"/>
    <s v="36861IF-TRANSCO/Z6"/>
    <n v="-50"/>
  </r>
  <r>
    <x v="12"/>
    <x v="0"/>
    <s v="NV2737.1"/>
    <x v="0"/>
    <x v="0"/>
    <x v="0"/>
    <x v="16"/>
    <n v="-500000"/>
    <x v="58"/>
    <x v="16"/>
    <n v="2.17"/>
    <n v="6.9139999999999997"/>
    <x v="16"/>
    <x v="11"/>
    <n v="0.69599999999999995"/>
    <x v="7"/>
    <x v="16"/>
    <x v="0"/>
    <n v="1.0142841779994587"/>
    <n v="-353083.01107513352"/>
    <n v="-507142.08899972937"/>
    <n v="316712.03099680401"/>
    <n v="-36370.980078329507"/>
    <s v="36892IF-TRANSCO/Z6"/>
    <n v="-50"/>
  </r>
  <r>
    <x v="12"/>
    <x v="0"/>
    <s v="NV2737.1"/>
    <x v="0"/>
    <x v="0"/>
    <x v="0"/>
    <x v="15"/>
    <n v="-500000"/>
    <x v="58"/>
    <x v="15"/>
    <n v="2.09"/>
    <n v="6.57"/>
    <x v="15"/>
    <x v="10"/>
    <n v="0.68100000000000005"/>
    <x v="7"/>
    <x v="15"/>
    <x v="0"/>
    <n v="0.98643459332716366"/>
    <n v="-340803.67353941541"/>
    <n v="-493217.2966635818"/>
    <n v="299876.22722329444"/>
    <n v="-40927.446316120971"/>
    <s v="36923IF-TRANSCO/Z6"/>
    <n v="-50"/>
  </r>
  <r>
    <x v="12"/>
    <x v="0"/>
    <s v="NV2737.1"/>
    <x v="0"/>
    <x v="0"/>
    <x v="0"/>
    <x v="14"/>
    <n v="-500000"/>
    <x v="58"/>
    <x v="14"/>
    <n v="1.075"/>
    <n v="5.2880000000000003"/>
    <x v="14"/>
    <x v="9"/>
    <n v="0.61199999999999999"/>
    <x v="7"/>
    <x v="14"/>
    <x v="0"/>
    <n v="0.37321888206606746"/>
    <n v="-215134.60781101082"/>
    <n v="-186609.44103303374"/>
    <n v="173102.1231506367"/>
    <n v="-42032.484660374117"/>
    <s v="36951IF-TRANSCO/Z6"/>
    <n v="-50"/>
  </r>
  <r>
    <x v="12"/>
    <x v="0"/>
    <s v="NV2737.2"/>
    <x v="0"/>
    <x v="0"/>
    <x v="1"/>
    <x v="18"/>
    <n v="-500000"/>
    <x v="58"/>
    <x v="18"/>
    <n v="0.77"/>
    <n v="5.5060000000000002"/>
    <x v="18"/>
    <x v="13"/>
    <n v="0.625"/>
    <x v="6"/>
    <x v="18"/>
    <x v="1"/>
    <n v="0.74049451123784893"/>
    <n v="398367.69879869965"/>
    <n v="-370247.25561892445"/>
    <n v="-412294.59803676774"/>
    <n v="-13926.899238068087"/>
    <s v="36831IF-TRANSCO/Z6"/>
    <n v="-50"/>
  </r>
  <r>
    <x v="12"/>
    <x v="0"/>
    <s v="NV2737.2"/>
    <x v="0"/>
    <x v="0"/>
    <x v="1"/>
    <x v="17"/>
    <n v="-500000"/>
    <x v="58"/>
    <x v="17"/>
    <n v="1.645"/>
    <n v="6.4450000000000003"/>
    <x v="17"/>
    <x v="12"/>
    <n v="0.69"/>
    <x v="7"/>
    <x v="17"/>
    <x v="1"/>
    <n v="0.41312688710139089"/>
    <n v="195997.49887548824"/>
    <n v="-206563.44355069546"/>
    <n v="-231264.56592078338"/>
    <n v="-35267.067045295145"/>
    <s v="36861IF-TRANSCO/Z6"/>
    <n v="-50"/>
  </r>
  <r>
    <x v="12"/>
    <x v="0"/>
    <s v="NV2737.2"/>
    <x v="0"/>
    <x v="0"/>
    <x v="1"/>
    <x v="16"/>
    <n v="-500000"/>
    <x v="58"/>
    <x v="16"/>
    <n v="2.17"/>
    <n v="6.9139999999999997"/>
    <x v="16"/>
    <x v="11"/>
    <n v="0.69599999999999995"/>
    <x v="7"/>
    <x v="16"/>
    <x v="1"/>
    <n v="0.31054148137205595"/>
    <n v="135627.19491611808"/>
    <n v="-155270.74068602797"/>
    <n v="-171998.17499444759"/>
    <n v="-36370.980078329507"/>
    <s v="36892IF-TRANSCO/Z6"/>
    <n v="-50"/>
  </r>
  <r>
    <x v="12"/>
    <x v="0"/>
    <s v="NV2737.2"/>
    <x v="0"/>
    <x v="0"/>
    <x v="1"/>
    <x v="15"/>
    <n v="-500000"/>
    <x v="58"/>
    <x v="15"/>
    <n v="2.09"/>
    <n v="6.57"/>
    <x v="15"/>
    <x v="10"/>
    <n v="0.68100000000000005"/>
    <x v="7"/>
    <x v="15"/>
    <x v="1"/>
    <n v="0.36480800902565624"/>
    <n v="144842.09544613681"/>
    <n v="-182404.00451282813"/>
    <n v="-185769.54176225778"/>
    <n v="-40927.446316120971"/>
    <s v="36923IF-TRANSCO/Z6"/>
    <n v="-50"/>
  </r>
  <r>
    <x v="12"/>
    <x v="0"/>
    <s v="NV2737.2"/>
    <x v="0"/>
    <x v="0"/>
    <x v="1"/>
    <x v="14"/>
    <n v="-500000"/>
    <x v="58"/>
    <x v="14"/>
    <n v="1.075"/>
    <n v="5.2880000000000003"/>
    <x v="14"/>
    <x v="9"/>
    <n v="0.61199999999999999"/>
    <x v="7"/>
    <x v="14"/>
    <x v="1"/>
    <n v="0.7354981598585153"/>
    <n v="267904.42924558622"/>
    <n v="-367749.07992925763"/>
    <n v="-309936.91390596033"/>
    <n v="-42032.484660374117"/>
    <s v="36951IF-TRANSCO/Z6"/>
    <n v="-50"/>
  </r>
  <r>
    <x v="12"/>
    <x v="0"/>
    <s v="NV2771"/>
    <x v="0"/>
    <x v="0"/>
    <x v="1"/>
    <x v="18"/>
    <n v="1000000"/>
    <x v="0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</r>
  <r>
    <x v="12"/>
    <x v="0"/>
    <s v="NV2771"/>
    <x v="0"/>
    <x v="0"/>
    <x v="1"/>
    <x v="17"/>
    <n v="1000000"/>
    <x v="0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</r>
  <r>
    <x v="12"/>
    <x v="0"/>
    <s v="NV2771"/>
    <x v="0"/>
    <x v="0"/>
    <x v="1"/>
    <x v="16"/>
    <n v="1000000"/>
    <x v="0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</r>
  <r>
    <x v="12"/>
    <x v="0"/>
    <s v="NV2771"/>
    <x v="0"/>
    <x v="0"/>
    <x v="1"/>
    <x v="15"/>
    <n v="1000000"/>
    <x v="0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</r>
  <r>
    <x v="12"/>
    <x v="0"/>
    <s v="NV2771"/>
    <x v="0"/>
    <x v="0"/>
    <x v="1"/>
    <x v="14"/>
    <n v="1000000"/>
    <x v="0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</r>
  <r>
    <x v="3"/>
    <x v="0"/>
    <s v="NV5364.1"/>
    <x v="1"/>
    <x v="0"/>
    <x v="1"/>
    <x v="12"/>
    <n v="2000000"/>
    <x v="59"/>
    <x v="12"/>
    <n v="-0.80500000000000005"/>
    <n v="3.887"/>
    <x v="12"/>
    <x v="8"/>
    <n v="0.55200000000000005"/>
    <x v="3"/>
    <x v="12"/>
    <x v="1"/>
    <n v="0.25470809732724325"/>
    <n v="-1247313.3587547762"/>
    <n v="509416.19465448649"/>
    <n v="1314098.3309273259"/>
    <n v="66784.972172549693"/>
    <s v="36800IF-NWPL_ROCKY_M"/>
    <n v="200"/>
  </r>
  <r>
    <x v="3"/>
    <x v="0"/>
    <s v="NV5364.2"/>
    <x v="1"/>
    <x v="0"/>
    <x v="1"/>
    <x v="12"/>
    <n v="2000000"/>
    <x v="59"/>
    <x v="12"/>
    <n v="-0.80500000000000005"/>
    <n v="3.887"/>
    <x v="12"/>
    <x v="8"/>
    <n v="0.55200000000000005"/>
    <x v="3"/>
    <x v="12"/>
    <x v="1"/>
    <n v="0.25470809732724325"/>
    <n v="-1247313.3587547762"/>
    <n v="509416.19465448649"/>
    <n v="1314098.3309273259"/>
    <n v="66784.972172549693"/>
    <s v="36800IF-NWPL_ROCKY_M"/>
    <n v="200"/>
  </r>
  <r>
    <x v="6"/>
    <x v="0"/>
    <s v="NV5380.1"/>
    <x v="0"/>
    <x v="0"/>
    <x v="0"/>
    <x v="11"/>
    <n v="500000"/>
    <x v="60"/>
    <x v="11"/>
    <n v="0.52"/>
    <n v="4.4580000000000002"/>
    <x v="11"/>
    <x v="7"/>
    <n v="0.434"/>
    <x v="1"/>
    <x v="11"/>
    <x v="0"/>
    <n v="0.1847954030939872"/>
    <n v="303122.74622317409"/>
    <n v="92397.701546993601"/>
    <n v="-290351.53405393276"/>
    <n v="12771.212169241335"/>
    <s v="36982IF-TRANSCO/Z6"/>
    <n v="50"/>
  </r>
  <r>
    <x v="6"/>
    <x v="0"/>
    <s v="NV5380.1"/>
    <x v="0"/>
    <x v="0"/>
    <x v="0"/>
    <x v="10"/>
    <n v="500000"/>
    <x v="60"/>
    <x v="10"/>
    <n v="0.40500000000000003"/>
    <n v="4.2430000000000003"/>
    <x v="10"/>
    <x v="6"/>
    <n v="0.39700000000000002"/>
    <x v="1"/>
    <x v="10"/>
    <x v="0"/>
    <n v="0.11570665838082962"/>
    <n v="237903.88533560265"/>
    <n v="57853.329190414814"/>
    <n v="-224950.53642276482"/>
    <n v="12953.348912837828"/>
    <s v="37012IF-TRANSCO/Z6"/>
    <n v="50"/>
  </r>
  <r>
    <x v="6"/>
    <x v="0"/>
    <s v="NV5380.1"/>
    <x v="0"/>
    <x v="0"/>
    <x v="0"/>
    <x v="9"/>
    <n v="500000"/>
    <x v="60"/>
    <x v="9"/>
    <n v="0.39500000000000002"/>
    <n v="4.2130000000000001"/>
    <x v="9"/>
    <x v="5"/>
    <n v="0.39200000000000002"/>
    <x v="1"/>
    <x v="9"/>
    <x v="0"/>
    <n v="0.11617212310655868"/>
    <n v="231629.65259810939"/>
    <n v="58086.061553279338"/>
    <n v="-218103.53683525254"/>
    <n v="13526.115762856847"/>
    <s v="37043IF-TRANSCO/Z6"/>
    <n v="50"/>
  </r>
  <r>
    <x v="6"/>
    <x v="0"/>
    <s v="NV5380.1"/>
    <x v="0"/>
    <x v="0"/>
    <x v="0"/>
    <x v="8"/>
    <n v="500000"/>
    <x v="60"/>
    <x v="8"/>
    <n v="0.46"/>
    <n v="4.2629999999999999"/>
    <x v="8"/>
    <x v="5"/>
    <n v="0.39200000000000002"/>
    <x v="1"/>
    <x v="8"/>
    <x v="0"/>
    <n v="0.15399865189256778"/>
    <n v="265818.45747028943"/>
    <n v="76999.325946283891"/>
    <n v="-251797.17723133005"/>
    <n v="14021.280238959385"/>
    <s v="37073IF-TRANSCO/Z6"/>
    <n v="50"/>
  </r>
  <r>
    <x v="6"/>
    <x v="0"/>
    <s v="NV5380.1"/>
    <x v="0"/>
    <x v="0"/>
    <x v="0"/>
    <x v="7"/>
    <n v="500000"/>
    <x v="60"/>
    <x v="7"/>
    <n v="0.46"/>
    <n v="4.2679999999999998"/>
    <x v="7"/>
    <x v="5"/>
    <n v="0.39200000000000002"/>
    <x v="1"/>
    <x v="7"/>
    <x v="0"/>
    <n v="0.16007124509162401"/>
    <n v="263615.93651582667"/>
    <n v="80035.622545812002"/>
    <n v="-248952.01734408474"/>
    <n v="14663.919171741931"/>
    <s v="37104IF-TRANSCO/Z6"/>
    <n v="50"/>
  </r>
  <r>
    <x v="6"/>
    <x v="0"/>
    <s v="NV5380.1"/>
    <x v="0"/>
    <x v="0"/>
    <x v="0"/>
    <x v="6"/>
    <n v="500000"/>
    <x v="60"/>
    <x v="6"/>
    <n v="0.39500000000000002"/>
    <n v="4.1829999999999998"/>
    <x v="6"/>
    <x v="5"/>
    <n v="0.39200000000000002"/>
    <x v="1"/>
    <x v="6"/>
    <x v="0"/>
    <n v="0.13281893896115102"/>
    <n v="230743.97217102131"/>
    <n v="66409.469480575513"/>
    <n v="-215397.96572480752"/>
    <n v="15346.006446213782"/>
    <s v="37135IF-TRANSCO/Z6"/>
    <n v="50"/>
  </r>
  <r>
    <x v="6"/>
    <x v="0"/>
    <s v="NV5380.1"/>
    <x v="0"/>
    <x v="0"/>
    <x v="0"/>
    <x v="5"/>
    <n v="500000"/>
    <x v="60"/>
    <x v="5"/>
    <n v="0.46100000000000002"/>
    <n v="4.234"/>
    <x v="5"/>
    <x v="4"/>
    <n v="0.39400000000000002"/>
    <x v="1"/>
    <x v="5"/>
    <x v="0"/>
    <n v="0.1700681660658197"/>
    <n v="260490.42324493665"/>
    <n v="85034.083032909854"/>
    <n v="-244694.67131735434"/>
    <n v="15795.751927582314"/>
    <s v="37165IF-TRANSCO/Z6"/>
    <n v="50"/>
  </r>
  <r>
    <x v="6"/>
    <x v="0"/>
    <s v="NV5380.2"/>
    <x v="0"/>
    <x v="0"/>
    <x v="1"/>
    <x v="11"/>
    <n v="500000"/>
    <x v="60"/>
    <x v="11"/>
    <n v="0.52"/>
    <n v="4.4580000000000002"/>
    <x v="11"/>
    <x v="7"/>
    <n v="0.434"/>
    <x v="1"/>
    <x v="11"/>
    <x v="1"/>
    <n v="8.8742799415169216E-2"/>
    <n v="-177140.27217091271"/>
    <n v="44371.399707584605"/>
    <n v="189911.48434015404"/>
    <n v="12771.212169241335"/>
    <s v="36982IF-TRANSCO/Z6"/>
    <n v="50"/>
  </r>
  <r>
    <x v="6"/>
    <x v="0"/>
    <s v="NV5380.2"/>
    <x v="0"/>
    <x v="0"/>
    <x v="1"/>
    <x v="10"/>
    <n v="500000"/>
    <x v="60"/>
    <x v="10"/>
    <n v="0.40500000000000003"/>
    <n v="4.2430000000000003"/>
    <x v="10"/>
    <x v="6"/>
    <n v="0.39700000000000002"/>
    <x v="1"/>
    <x v="10"/>
    <x v="1"/>
    <n v="0.13003538748194782"/>
    <n v="-239720.4180349978"/>
    <n v="65017.693740973911"/>
    <n v="252673.7669478356"/>
    <n v="12953.348912837799"/>
    <s v="37012IF-TRANSCO/Z6"/>
    <n v="50"/>
  </r>
  <r>
    <x v="6"/>
    <x v="0"/>
    <s v="NV5380.2"/>
    <x v="0"/>
    <x v="0"/>
    <x v="1"/>
    <x v="9"/>
    <n v="500000"/>
    <x v="60"/>
    <x v="9"/>
    <n v="0.39500000000000002"/>
    <n v="4.2130000000000001"/>
    <x v="9"/>
    <x v="5"/>
    <n v="0.39200000000000002"/>
    <x v="1"/>
    <x v="9"/>
    <x v="1"/>
    <n v="0.13990397899425"/>
    <n v="-243007.46515571527"/>
    <n v="69951.989497125003"/>
    <n v="256533.58091857214"/>
    <n v="13526.115762856876"/>
    <s v="37043IF-TRANSCO/Z6"/>
    <n v="50"/>
  </r>
  <r>
    <x v="6"/>
    <x v="0"/>
    <s v="NV5380.2"/>
    <x v="0"/>
    <x v="0"/>
    <x v="1"/>
    <x v="8"/>
    <n v="500000"/>
    <x v="60"/>
    <x v="8"/>
    <n v="0.46"/>
    <n v="4.2629999999999999"/>
    <x v="8"/>
    <x v="5"/>
    <n v="0.39200000000000002"/>
    <x v="1"/>
    <x v="8"/>
    <x v="1"/>
    <n v="0.11623680796053826"/>
    <n v="-206204.59168008558"/>
    <n v="58118.403980269126"/>
    <n v="220225.87191904496"/>
    <n v="14021.280238959385"/>
    <s v="37073IF-TRANSCO/Z6"/>
    <n v="50"/>
  </r>
  <r>
    <x v="6"/>
    <x v="0"/>
    <s v="NV5380.2"/>
    <x v="0"/>
    <x v="0"/>
    <x v="1"/>
    <x v="7"/>
    <n v="500000"/>
    <x v="60"/>
    <x v="7"/>
    <n v="0.46"/>
    <n v="4.2679999999999998"/>
    <x v="7"/>
    <x v="5"/>
    <n v="0.39200000000000002"/>
    <x v="1"/>
    <x v="7"/>
    <x v="1"/>
    <n v="0.12253901909276632"/>
    <n v="-205536.88846989788"/>
    <n v="61269.50954638316"/>
    <n v="220200.80764163978"/>
    <n v="14663.919171741902"/>
    <s v="37104IF-TRANSCO/Z6"/>
    <n v="50"/>
  </r>
  <r>
    <x v="6"/>
    <x v="0"/>
    <s v="NV5380.2"/>
    <x v="0"/>
    <x v="0"/>
    <x v="1"/>
    <x v="6"/>
    <n v="500000"/>
    <x v="60"/>
    <x v="6"/>
    <n v="0.39500000000000002"/>
    <n v="4.1829999999999998"/>
    <x v="6"/>
    <x v="5"/>
    <n v="0.39200000000000002"/>
    <x v="1"/>
    <x v="6"/>
    <x v="1"/>
    <n v="0.15613819390307843"/>
    <n v="-235641.12666753083"/>
    <n v="78069.096951539206"/>
    <n v="250987.13311374461"/>
    <n v="15346.006446213782"/>
    <s v="37135IF-TRANSCO/Z6"/>
    <n v="50"/>
  </r>
  <r>
    <x v="6"/>
    <x v="0"/>
    <s v="NV5380.2"/>
    <x v="0"/>
    <x v="0"/>
    <x v="1"/>
    <x v="5"/>
    <n v="500000"/>
    <x v="60"/>
    <x v="5"/>
    <n v="0.46100000000000002"/>
    <n v="4.234"/>
    <x v="5"/>
    <x v="4"/>
    <n v="0.39400000000000002"/>
    <x v="1"/>
    <x v="5"/>
    <x v="1"/>
    <n v="0.13202861306995772"/>
    <n v="-203406.56450948169"/>
    <n v="66014.306534978867"/>
    <n v="219202.316437064"/>
    <n v="15795.751927582314"/>
    <s v="37165IF-TRANSCO/Z6"/>
    <n v="50"/>
  </r>
  <r>
    <x v="12"/>
    <x v="0"/>
    <s v="NV5394.1"/>
    <x v="4"/>
    <x v="0"/>
    <x v="0"/>
    <x v="12"/>
    <n v="620000"/>
    <x v="12"/>
    <x v="12"/>
    <n v="1.99"/>
    <n v="6.6820000000000004"/>
    <x v="12"/>
    <x v="8"/>
    <n v="0.54100000000000004"/>
    <x v="7"/>
    <x v="12"/>
    <x v="0"/>
    <n v="1.234788157735319"/>
    <n v="610633.49466989178"/>
    <n v="765568.6577958978"/>
    <n v="-609022.37075202854"/>
    <n v="1611.1239178632386"/>
    <s v="36800NGI-SOCAL"/>
    <n v="62"/>
  </r>
  <r>
    <x v="12"/>
    <x v="0"/>
    <s v="NV5394.2"/>
    <x v="4"/>
    <x v="0"/>
    <x v="1"/>
    <x v="12"/>
    <n v="-620000"/>
    <x v="37"/>
    <x v="12"/>
    <n v="1.99"/>
    <n v="6.6820000000000004"/>
    <x v="12"/>
    <x v="8"/>
    <n v="0.54100000000000004"/>
    <x v="7"/>
    <x v="12"/>
    <x v="1"/>
    <n v="2.1756822227581019E-4"/>
    <n v="765.16652329028159"/>
    <n v="-134.89229781100232"/>
    <n v="-1041.8138503161044"/>
    <n v="-276.64732702582285"/>
    <s v="36800NGI-SOCAL"/>
    <n v="-62"/>
  </r>
  <r>
    <x v="16"/>
    <x v="0"/>
    <s v="NV5416.1"/>
    <x v="4"/>
    <x v="0"/>
    <x v="0"/>
    <x v="12"/>
    <n v="620000"/>
    <x v="12"/>
    <x v="12"/>
    <n v="1.99"/>
    <n v="6.6820000000000004"/>
    <x v="12"/>
    <x v="8"/>
    <n v="0.54100000000000004"/>
    <x v="7"/>
    <x v="12"/>
    <x v="0"/>
    <n v="1.234788157735319"/>
    <n v="610633.49466989178"/>
    <n v="765568.6577958978"/>
    <n v="-609022.37075202854"/>
    <n v="1611.1239178632386"/>
    <s v="36800NGI-SOCAL"/>
    <n v="62"/>
  </r>
  <r>
    <x v="16"/>
    <x v="0"/>
    <s v="NV5416.2"/>
    <x v="4"/>
    <x v="0"/>
    <x v="1"/>
    <x v="12"/>
    <n v="-620000"/>
    <x v="37"/>
    <x v="12"/>
    <n v="1.99"/>
    <n v="6.6820000000000004"/>
    <x v="12"/>
    <x v="8"/>
    <n v="0.54100000000000004"/>
    <x v="7"/>
    <x v="12"/>
    <x v="1"/>
    <n v="2.1756822227581019E-4"/>
    <n v="765.16652329028159"/>
    <n v="-134.89229781100232"/>
    <n v="-1041.8138503161044"/>
    <n v="-276.64732702582285"/>
    <s v="36800NGI-SOCAL"/>
    <n v="-62"/>
  </r>
  <r>
    <x v="16"/>
    <x v="0"/>
    <s v="NV6667.1"/>
    <x v="1"/>
    <x v="0"/>
    <x v="0"/>
    <x v="18"/>
    <n v="600000"/>
    <x v="61"/>
    <x v="18"/>
    <n v="-0.46750000000000003"/>
    <n v="4.2684999999999995"/>
    <x v="18"/>
    <x v="13"/>
    <n v="0.57099999999999995"/>
    <x v="9"/>
    <x v="18"/>
    <x v="0"/>
    <n v="0.12759880353186631"/>
    <n v="255912.75512445151"/>
    <n v="76559.282119119787"/>
    <n v="-235337.31584226037"/>
    <n v="20575.439282191131"/>
    <s v="36831IF-NWPL_ROCKY_M"/>
    <n v="60"/>
  </r>
  <r>
    <x v="16"/>
    <x v="0"/>
    <s v="NV6667.1"/>
    <x v="1"/>
    <x v="0"/>
    <x v="0"/>
    <x v="17"/>
    <n v="620000"/>
    <x v="61"/>
    <x v="17"/>
    <n v="-0.35749999999999998"/>
    <n v="4.4424999999999999"/>
    <x v="17"/>
    <x v="12"/>
    <n v="0.57599999999999996"/>
    <x v="9"/>
    <x v="17"/>
    <x v="0"/>
    <n v="0.22009271199998892"/>
    <n v="325346.88863424328"/>
    <n v="136457.48143999313"/>
    <n v="-298796.26079402643"/>
    <n v="26550.627840216854"/>
    <s v="36861IF-NWPL_ROCKY_M"/>
    <n v="62"/>
  </r>
  <r>
    <x v="16"/>
    <x v="0"/>
    <s v="NV6667.1"/>
    <x v="1"/>
    <x v="0"/>
    <x v="0"/>
    <x v="16"/>
    <n v="620000"/>
    <x v="61"/>
    <x v="16"/>
    <n v="-0.36749999999999999"/>
    <n v="4.3765000000000001"/>
    <x v="16"/>
    <x v="11"/>
    <n v="0.58099999999999996"/>
    <x v="9"/>
    <x v="16"/>
    <x v="0"/>
    <n v="0.24347990903441935"/>
    <n v="320629.65413166163"/>
    <n v="150957.54360134"/>
    <n v="-290145.66327136866"/>
    <n v="30483.990860292979"/>
    <s v="36892IF-NWPL_ROCKY_M"/>
    <n v="62"/>
  </r>
  <r>
    <x v="16"/>
    <x v="0"/>
    <s v="NV6667.1"/>
    <x v="1"/>
    <x v="0"/>
    <x v="0"/>
    <x v="15"/>
    <n v="560000"/>
    <x v="61"/>
    <x v="15"/>
    <n v="-0.38750000000000001"/>
    <n v="4.0925000000000002"/>
    <x v="15"/>
    <x v="10"/>
    <n v="0.56899999999999995"/>
    <x v="9"/>
    <x v="15"/>
    <x v="0"/>
    <n v="0.24230151183849485"/>
    <n v="282129.01442221232"/>
    <n v="135688.84662955711"/>
    <n v="-252024.64416073568"/>
    <n v="30104.370261476637"/>
    <s v="36923IF-NWPL_ROCKY_M"/>
    <n v="56"/>
  </r>
  <r>
    <x v="16"/>
    <x v="0"/>
    <s v="NV6667.1"/>
    <x v="1"/>
    <x v="0"/>
    <x v="0"/>
    <x v="14"/>
    <n v="620000"/>
    <x v="61"/>
    <x v="14"/>
    <n v="-0.39750000000000002"/>
    <n v="3.8155000000000001"/>
    <x v="14"/>
    <x v="9"/>
    <n v="0.51100000000000001"/>
    <x v="9"/>
    <x v="14"/>
    <x v="0"/>
    <n v="0.2163779785781661"/>
    <n v="305647.79311445582"/>
    <n v="134154.34671846297"/>
    <n v="-273402.09382975812"/>
    <n v="32245.699284697708"/>
    <s v="36951IF-NWPL_ROCKY_M"/>
    <n v="62"/>
  </r>
  <r>
    <x v="16"/>
    <x v="0"/>
    <s v="NV6667.2"/>
    <x v="1"/>
    <x v="0"/>
    <x v="1"/>
    <x v="18"/>
    <n v="600000"/>
    <x v="61"/>
    <x v="18"/>
    <n v="-0.46750000000000003"/>
    <n v="4.2684999999999995"/>
    <x v="18"/>
    <x v="13"/>
    <n v="0.57099999999999995"/>
    <x v="9"/>
    <x v="18"/>
    <x v="1"/>
    <n v="0.21901852967587856"/>
    <n v="-337080.06310697924"/>
    <n v="131411.11780552714"/>
    <n v="357655.50238917035"/>
    <n v="20575.439282191102"/>
    <s v="36831IF-NWPL_ROCKY_M"/>
    <n v="60"/>
  </r>
  <r>
    <x v="16"/>
    <x v="0"/>
    <s v="NV6667.2"/>
    <x v="1"/>
    <x v="0"/>
    <x v="1"/>
    <x v="17"/>
    <n v="620000"/>
    <x v="61"/>
    <x v="17"/>
    <n v="-0.35749999999999998"/>
    <n v="4.4424999999999999"/>
    <x v="17"/>
    <x v="12"/>
    <n v="0.57599999999999996"/>
    <x v="9"/>
    <x v="17"/>
    <x v="1"/>
    <n v="0.20289447713019984"/>
    <n v="-283962.00389543461"/>
    <n v="125794.5758207239"/>
    <n v="310512.6317356514"/>
    <n v="26550.627840216795"/>
    <s v="36861IF-NWPL_ROCKY_M"/>
    <n v="62"/>
  </r>
  <r>
    <x v="16"/>
    <x v="0"/>
    <s v="NV6667.2"/>
    <x v="1"/>
    <x v="0"/>
    <x v="1"/>
    <x v="16"/>
    <n v="620000"/>
    <x v="61"/>
    <x v="16"/>
    <n v="-0.36749999999999999"/>
    <n v="4.3765000000000001"/>
    <x v="16"/>
    <x v="11"/>
    <n v="0.58099999999999996"/>
    <x v="9"/>
    <x v="16"/>
    <x v="1"/>
    <n v="0.23614925594454975"/>
    <n v="-285371.00129749032"/>
    <n v="146412.53868562085"/>
    <n v="315854.9921577833"/>
    <n v="30483.990860292979"/>
    <s v="36892IF-NWPL_ROCKY_M"/>
    <n v="62"/>
  </r>
  <r>
    <x v="16"/>
    <x v="0"/>
    <s v="NV6667.2"/>
    <x v="1"/>
    <x v="0"/>
    <x v="1"/>
    <x v="15"/>
    <n v="560000"/>
    <x v="61"/>
    <x v="15"/>
    <n v="-0.38750000000000001"/>
    <n v="4.0925000000000002"/>
    <x v="15"/>
    <x v="10"/>
    <n v="0.56899999999999995"/>
    <x v="9"/>
    <x v="15"/>
    <x v="1"/>
    <n v="0.2544426560631341"/>
    <n v="-261794.24684160619"/>
    <n v="142487.88739535509"/>
    <n v="291898.61710308283"/>
    <n v="30104.370261476637"/>
    <s v="36923IF-NWPL_ROCKY_M"/>
    <n v="56"/>
  </r>
  <r>
    <x v="16"/>
    <x v="0"/>
    <s v="NV6667.2"/>
    <x v="1"/>
    <x v="0"/>
    <x v="1"/>
    <x v="14"/>
    <n v="620000"/>
    <x v="61"/>
    <x v="14"/>
    <n v="-0.39750000000000002"/>
    <n v="3.8155000000000001"/>
    <x v="14"/>
    <x v="9"/>
    <n v="0.51100000000000001"/>
    <x v="9"/>
    <x v="14"/>
    <x v="1"/>
    <n v="0.23811473524571275"/>
    <n v="-293320.61283572443"/>
    <n v="147631.13585234192"/>
    <n v="325566.3121204222"/>
    <n v="32245.699284697766"/>
    <s v="36951IF-NWPL_ROCKY_M"/>
    <n v="62"/>
  </r>
  <r>
    <x v="13"/>
    <x v="0"/>
    <s v="NV6677"/>
    <x v="6"/>
    <x v="0"/>
    <x v="0"/>
    <x v="16"/>
    <n v="-1000000"/>
    <x v="46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</r>
  <r>
    <x v="13"/>
    <x v="0"/>
    <s v="NV6677"/>
    <x v="6"/>
    <x v="0"/>
    <x v="0"/>
    <x v="15"/>
    <n v="-1000000"/>
    <x v="46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</r>
  <r>
    <x v="13"/>
    <x v="0"/>
    <s v="NV6677"/>
    <x v="6"/>
    <x v="0"/>
    <x v="0"/>
    <x v="14"/>
    <n v="-1000000"/>
    <x v="46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</r>
  <r>
    <x v="8"/>
    <x v="0"/>
    <s v="NV6691"/>
    <x v="5"/>
    <x v="0"/>
    <x v="1"/>
    <x v="11"/>
    <n v="1000000"/>
    <x v="62"/>
    <x v="11"/>
    <n v="0.3775"/>
    <n v="4.3155000000000001"/>
    <x v="11"/>
    <x v="7"/>
    <n v="0.434"/>
    <x v="5"/>
    <x v="11"/>
    <x v="1"/>
    <n v="4.1506052834076712E-2"/>
    <n v="-296513.93973256077"/>
    <n v="41506.052834076712"/>
    <n v="310926.87244115456"/>
    <n v="14412.932708593784"/>
    <s v="36982IF-TETCO/M3"/>
    <n v="100"/>
  </r>
  <r>
    <x v="8"/>
    <x v="0"/>
    <s v="NV6691"/>
    <x v="5"/>
    <x v="0"/>
    <x v="1"/>
    <x v="10"/>
    <n v="1000000"/>
    <x v="62"/>
    <x v="10"/>
    <n v="0.315"/>
    <n v="4.1530000000000005"/>
    <x v="10"/>
    <x v="6"/>
    <n v="0.39700000000000002"/>
    <x v="5"/>
    <x v="10"/>
    <x v="1"/>
    <n v="5.9419355948889196E-2"/>
    <n v="-398937.30566368427"/>
    <n v="59419.355948889199"/>
    <n v="414355.16451327957"/>
    <n v="15417.858849595301"/>
    <s v="37012IF-TETCO/M3"/>
    <n v="100"/>
  </r>
  <r>
    <x v="8"/>
    <x v="0"/>
    <s v="NV6691"/>
    <x v="5"/>
    <x v="0"/>
    <x v="1"/>
    <x v="9"/>
    <n v="1000000"/>
    <x v="62"/>
    <x v="9"/>
    <n v="0.315"/>
    <n v="4.133"/>
    <x v="9"/>
    <x v="5"/>
    <n v="0.39200000000000002"/>
    <x v="5"/>
    <x v="9"/>
    <x v="1"/>
    <n v="6.2583394225031674E-2"/>
    <n v="-398833.29498595686"/>
    <n v="62583.394225031676"/>
    <n v="414969.16657109628"/>
    <n v="16135.871585139423"/>
    <s v="37043IF-TETCO/M3"/>
    <n v="100"/>
  </r>
  <r>
    <x v="8"/>
    <x v="0"/>
    <s v="NV6691"/>
    <x v="5"/>
    <x v="0"/>
    <x v="1"/>
    <x v="8"/>
    <n v="1000000"/>
    <x v="62"/>
    <x v="8"/>
    <n v="0.32750000000000001"/>
    <n v="4.1304999999999996"/>
    <x v="8"/>
    <x v="5"/>
    <n v="0.39200000000000002"/>
    <x v="5"/>
    <x v="8"/>
    <x v="1"/>
    <n v="6.1107051643178423E-2"/>
    <n v="-377729.63129749947"/>
    <n v="61107.05164317842"/>
    <n v="394391.6673135435"/>
    <n v="16662.036016044032"/>
    <s v="37073IF-TETCO/M3"/>
    <n v="100"/>
  </r>
  <r>
    <x v="8"/>
    <x v="0"/>
    <s v="NV6691"/>
    <x v="5"/>
    <x v="0"/>
    <x v="1"/>
    <x v="7"/>
    <n v="1000000"/>
    <x v="62"/>
    <x v="7"/>
    <n v="0.32750000000000001"/>
    <n v="4.1354999999999995"/>
    <x v="7"/>
    <x v="5"/>
    <n v="0.39200000000000002"/>
    <x v="5"/>
    <x v="7"/>
    <x v="1"/>
    <n v="6.4932747612597763E-2"/>
    <n v="-378782.63076159224"/>
    <n v="64932.747612597763"/>
    <n v="396241.36307211424"/>
    <n v="17458.732310521998"/>
    <s v="37104IF-TETCO/M3"/>
    <n v="100"/>
  </r>
  <r>
    <x v="8"/>
    <x v="0"/>
    <s v="NV6691"/>
    <x v="5"/>
    <x v="0"/>
    <x v="1"/>
    <x v="6"/>
    <n v="1000000"/>
    <x v="62"/>
    <x v="6"/>
    <n v="0.3175"/>
    <n v="4.1055000000000001"/>
    <x v="6"/>
    <x v="5"/>
    <n v="0.39200000000000002"/>
    <x v="5"/>
    <x v="6"/>
    <x v="1"/>
    <n v="7.1844764511781234E-2"/>
    <n v="-394119.44083602104"/>
    <n v="71844.764511781235"/>
    <n v="412434.62486840441"/>
    <n v="18315.184032383375"/>
    <s v="37135IF-TETCO/M3"/>
    <n v="100"/>
  </r>
  <r>
    <x v="8"/>
    <x v="0"/>
    <s v="NV6691"/>
    <x v="5"/>
    <x v="0"/>
    <x v="1"/>
    <x v="5"/>
    <n v="1000000"/>
    <x v="62"/>
    <x v="5"/>
    <n v="0.33"/>
    <n v="4.1029999999999998"/>
    <x v="5"/>
    <x v="4"/>
    <n v="0.39400000000000002"/>
    <x v="5"/>
    <x v="5"/>
    <x v="1"/>
    <n v="6.9952650358762358E-2"/>
    <n v="-375298.66574489645"/>
    <n v="69952.650358762359"/>
    <n v="394112.14529108739"/>
    <n v="18813.479546190938"/>
    <s v="37165IF-TETCO/M3"/>
    <n v="100"/>
  </r>
  <r>
    <x v="19"/>
    <x v="0"/>
    <s v="NV7017"/>
    <x v="2"/>
    <x v="0"/>
    <x v="0"/>
    <x v="15"/>
    <n v="-1120000"/>
    <x v="37"/>
    <x v="15"/>
    <n v="0.29499999999999998"/>
    <n v="4.7750000000000004"/>
    <x v="15"/>
    <x v="10"/>
    <n v="0.59299999999999997"/>
    <x v="5"/>
    <x v="15"/>
    <x v="0"/>
    <n v="7.0506703532524931E-2"/>
    <n v="-412381.62194204848"/>
    <n v="-78967.507956427929"/>
    <n v="392777.69406725781"/>
    <n v="-19603.927874790679"/>
    <s v="36923IF-CGT/APPALAC"/>
    <n v="-112"/>
  </r>
  <r>
    <x v="9"/>
    <x v="0"/>
    <s v="NV8440"/>
    <x v="0"/>
    <x v="0"/>
    <x v="1"/>
    <x v="18"/>
    <n v="2000000"/>
    <x v="34"/>
    <x v="18"/>
    <n v="0.77"/>
    <n v="5.5060000000000002"/>
    <x v="18"/>
    <x v="13"/>
    <n v="0.625"/>
    <x v="6"/>
    <x v="18"/>
    <x v="1"/>
    <n v="0.13988875420971553"/>
    <n v="-621606.71427162259"/>
    <n v="279777.50841943105"/>
    <n v="705895.41041899344"/>
    <n v="84288.696147370851"/>
    <s v="36831IF-TRANSCO/Z6"/>
    <n v="200"/>
  </r>
  <r>
    <x v="21"/>
    <x v="0"/>
    <s v="NW0631"/>
    <x v="6"/>
    <x v="0"/>
    <x v="0"/>
    <x v="16"/>
    <n v="-1000000"/>
    <x v="46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</r>
  <r>
    <x v="21"/>
    <x v="0"/>
    <s v="NW0631"/>
    <x v="6"/>
    <x v="0"/>
    <x v="0"/>
    <x v="15"/>
    <n v="-1000000"/>
    <x v="46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</r>
  <r>
    <x v="21"/>
    <x v="0"/>
    <s v="NW0631"/>
    <x v="6"/>
    <x v="0"/>
    <x v="0"/>
    <x v="14"/>
    <n v="-1000000"/>
    <x v="46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</r>
  <r>
    <x v="3"/>
    <x v="0"/>
    <s v="NW0635"/>
    <x v="4"/>
    <x v="0"/>
    <x v="0"/>
    <x v="18"/>
    <n v="-300000"/>
    <x v="37"/>
    <x v="18"/>
    <n v="1.5449999999999999"/>
    <n v="6.2809999999999997"/>
    <x v="18"/>
    <x v="13"/>
    <n v="0.57699999999999996"/>
    <x v="11"/>
    <x v="18"/>
    <x v="0"/>
    <n v="1.1498690051094145"/>
    <n v="-281178.016713586"/>
    <n v="-344960.70153282431"/>
    <n v="276558.59781756514"/>
    <n v="-4619.4188960208558"/>
    <s v="36831NGI-SOCAL"/>
    <n v="-30"/>
  </r>
  <r>
    <x v="3"/>
    <x v="0"/>
    <s v="NW0635"/>
    <x v="4"/>
    <x v="0"/>
    <x v="0"/>
    <x v="17"/>
    <n v="-310000"/>
    <x v="37"/>
    <x v="17"/>
    <n v="1.0049999999999999"/>
    <n v="5.8049999999999997"/>
    <x v="17"/>
    <x v="12"/>
    <n v="0.58199999999999996"/>
    <x v="11"/>
    <x v="17"/>
    <x v="0"/>
    <n v="0.71643193450698872"/>
    <n v="-238110.46472676267"/>
    <n v="-222093.89969716649"/>
    <n v="222668.98029568678"/>
    <n v="-15441.484431075893"/>
    <s v="36861NGI-SOCAL"/>
    <n v="-31"/>
  </r>
  <r>
    <x v="3"/>
    <x v="0"/>
    <s v="NW0635"/>
    <x v="4"/>
    <x v="0"/>
    <x v="0"/>
    <x v="16"/>
    <n v="-310000"/>
    <x v="37"/>
    <x v="16"/>
    <n v="0.76749999999999996"/>
    <n v="5.5114999999999998"/>
    <x v="16"/>
    <x v="11"/>
    <n v="0.58699999999999997"/>
    <x v="11"/>
    <x v="16"/>
    <x v="0"/>
    <n v="0.58407218595501875"/>
    <n v="-206379.90056359538"/>
    <n v="-181062.3776460558"/>
    <n v="185353.92379859235"/>
    <n v="-21025.976765003026"/>
    <s v="36892NGI-SOCAL"/>
    <n v="-31"/>
  </r>
  <r>
    <x v="3"/>
    <x v="0"/>
    <s v="NW0635"/>
    <x v="4"/>
    <x v="0"/>
    <x v="0"/>
    <x v="15"/>
    <n v="-280000"/>
    <x v="37"/>
    <x v="15"/>
    <n v="0.61750000000000005"/>
    <n v="5.0975000000000001"/>
    <x v="15"/>
    <x v="10"/>
    <n v="0.57499999999999996"/>
    <x v="11"/>
    <x v="15"/>
    <x v="0"/>
    <n v="0.50210159372471419"/>
    <n v="-169954.97519878819"/>
    <n v="-140588.44624291998"/>
    <n v="148139.1424982957"/>
    <n v="-21815.832700492494"/>
    <s v="36923NGI-SOCAL"/>
    <n v="-28"/>
  </r>
  <r>
    <x v="3"/>
    <x v="0"/>
    <s v="NW0635"/>
    <x v="4"/>
    <x v="0"/>
    <x v="0"/>
    <x v="14"/>
    <n v="-310000"/>
    <x v="37"/>
    <x v="14"/>
    <n v="0.59750000000000003"/>
    <n v="4.8105000000000002"/>
    <x v="14"/>
    <x v="9"/>
    <n v="0.51700000000000002"/>
    <x v="11"/>
    <x v="14"/>
    <x v="0"/>
    <n v="0.45845476529705009"/>
    <n v="-186513.50160546848"/>
    <n v="-142120.97724208553"/>
    <n v="163065.45905130138"/>
    <n v="-23448.042554167099"/>
    <s v="36951NGI-SOCAL"/>
    <n v="-31"/>
  </r>
  <r>
    <x v="3"/>
    <x v="0"/>
    <s v="NW0645"/>
    <x v="4"/>
    <x v="0"/>
    <x v="0"/>
    <x v="13"/>
    <n v="-600000"/>
    <x v="63"/>
    <x v="13"/>
    <n v="2.5"/>
    <n v="7.1849999999999996"/>
    <x v="13"/>
    <x v="5"/>
    <n v="0.376"/>
    <x v="7"/>
    <x v="13"/>
    <x v="0"/>
    <n v="1.5994114287763597"/>
    <n v="-599779.28574823542"/>
    <n v="-959646.85726581584"/>
    <n v="599779.30968995113"/>
    <n v="2.3941715713590384E-2"/>
    <s v="36770NGI-SOCAL"/>
    <n v="-60"/>
  </r>
  <r>
    <x v="18"/>
    <x v="0"/>
    <s v="NW0648"/>
    <x v="4"/>
    <x v="0"/>
    <x v="0"/>
    <x v="12"/>
    <n v="310000"/>
    <x v="47"/>
    <x v="12"/>
    <n v="1.99"/>
    <n v="6.6820000000000004"/>
    <x v="12"/>
    <x v="8"/>
    <n v="0.54100000000000004"/>
    <x v="7"/>
    <x v="12"/>
    <x v="0"/>
    <n v="1.1857110260966903"/>
    <n v="304462.69308187539"/>
    <n v="367570.41808997397"/>
    <n v="-303462.92737078125"/>
    <n v="999.76571109413635"/>
    <s v="36800NGI-SOCAL"/>
    <n v="31"/>
  </r>
  <r>
    <x v="3"/>
    <x v="0"/>
    <s v="NW3286.1"/>
    <x v="4"/>
    <x v="0"/>
    <x v="1"/>
    <x v="18"/>
    <n v="300000"/>
    <x v="1"/>
    <x v="18"/>
    <n v="1.5449999999999999"/>
    <n v="6.2809999999999997"/>
    <x v="18"/>
    <x v="13"/>
    <n v="0.57699999999999996"/>
    <x v="11"/>
    <x v="18"/>
    <x v="1"/>
    <n v="1.3015140338945519E-2"/>
    <n v="-11378.243921149977"/>
    <n v="3904.5421016836558"/>
    <n v="15065.812675411738"/>
    <n v="3687.5687542617616"/>
    <s v="36831NGI-SOCAL"/>
    <n v="30"/>
  </r>
  <r>
    <x v="3"/>
    <x v="0"/>
    <s v="NW3286.1"/>
    <x v="4"/>
    <x v="0"/>
    <x v="1"/>
    <x v="17"/>
    <n v="310000"/>
    <x v="1"/>
    <x v="17"/>
    <n v="1.0049999999999999"/>
    <n v="5.8049999999999997"/>
    <x v="17"/>
    <x v="12"/>
    <n v="0.58199999999999996"/>
    <x v="11"/>
    <x v="17"/>
    <x v="1"/>
    <n v="9.9178082218704056E-2"/>
    <n v="-56443.113445814495"/>
    <n v="30745.205487798255"/>
    <n v="70634.747828763473"/>
    <n v="14191.634382948978"/>
    <s v="36861NGI-SOCAL"/>
    <n v="31"/>
  </r>
  <r>
    <x v="3"/>
    <x v="0"/>
    <s v="NW3286.1"/>
    <x v="4"/>
    <x v="0"/>
    <x v="1"/>
    <x v="16"/>
    <n v="310000"/>
    <x v="1"/>
    <x v="16"/>
    <n v="0.76749999999999996"/>
    <n v="5.5114999999999998"/>
    <x v="16"/>
    <x v="11"/>
    <n v="0.58699999999999997"/>
    <x v="11"/>
    <x v="16"/>
    <x v="1"/>
    <n v="0.19140186168694734"/>
    <n v="-85544.430445202946"/>
    <n v="59334.577122953677"/>
    <n v="105738.16243534005"/>
    <n v="20193.731990137108"/>
    <s v="36892NGI-SOCAL"/>
    <n v="31"/>
  </r>
  <r>
    <x v="3"/>
    <x v="0"/>
    <s v="NW3286.1"/>
    <x v="4"/>
    <x v="0"/>
    <x v="1"/>
    <x v="15"/>
    <n v="280000"/>
    <x v="1"/>
    <x v="15"/>
    <n v="0.61750000000000005"/>
    <n v="5.0975000000000001"/>
    <x v="15"/>
    <x v="10"/>
    <n v="0.57499999999999996"/>
    <x v="11"/>
    <x v="15"/>
    <x v="1"/>
    <n v="0.2513380400444053"/>
    <n v="-91702.943395442184"/>
    <n v="70374.651212433484"/>
    <n v="113049.86987901386"/>
    <n v="21346.926483571675"/>
    <s v="36923NGI-SOCAL"/>
    <n v="28"/>
  </r>
  <r>
    <x v="3"/>
    <x v="0"/>
    <s v="NW3286.1"/>
    <x v="4"/>
    <x v="0"/>
    <x v="1"/>
    <x v="14"/>
    <n v="310000"/>
    <x v="1"/>
    <x v="14"/>
    <n v="0.59750000000000003"/>
    <n v="4.8105000000000002"/>
    <x v="14"/>
    <x v="9"/>
    <n v="0.51700000000000002"/>
    <x v="11"/>
    <x v="14"/>
    <x v="1"/>
    <n v="0.22831288089717727"/>
    <n v="-100642.54714541287"/>
    <n v="70776.993078124957"/>
    <n v="123544.35407398234"/>
    <n v="22901.806928569466"/>
    <s v="36951NGI-SOCAL"/>
    <n v="31"/>
  </r>
  <r>
    <x v="3"/>
    <x v="0"/>
    <s v="NW3286.2"/>
    <x v="4"/>
    <x v="0"/>
    <x v="0"/>
    <x v="18"/>
    <n v="300000"/>
    <x v="64"/>
    <x v="18"/>
    <n v="1.5449999999999999"/>
    <n v="6.2809999999999997"/>
    <x v="18"/>
    <x v="13"/>
    <n v="0.57699999999999996"/>
    <x v="11"/>
    <x v="18"/>
    <x v="0"/>
    <n v="0.96847898908806052"/>
    <n v="269996.88858363108"/>
    <n v="290543.69672641816"/>
    <n v="-263170.27388757147"/>
    <n v="6826.6146960596088"/>
    <s v="36831NGI-SOCAL"/>
    <n v="30"/>
  </r>
  <r>
    <x v="3"/>
    <x v="0"/>
    <s v="NW3286.2"/>
    <x v="4"/>
    <x v="0"/>
    <x v="0"/>
    <x v="17"/>
    <n v="310000"/>
    <x v="64"/>
    <x v="17"/>
    <n v="1.0049999999999999"/>
    <n v="5.8049999999999997"/>
    <x v="17"/>
    <x v="12"/>
    <n v="0.58199999999999996"/>
    <x v="11"/>
    <x v="17"/>
    <x v="0"/>
    <n v="0.57753242751586775"/>
    <n v="215096.74767620701"/>
    <n v="179035.05252991899"/>
    <n v="-197619.58589343063"/>
    <n v="17477.161782776384"/>
    <s v="36861NGI-SOCAL"/>
    <n v="31"/>
  </r>
  <r>
    <x v="3"/>
    <x v="0"/>
    <s v="NW3286.2"/>
    <x v="4"/>
    <x v="0"/>
    <x v="0"/>
    <x v="16"/>
    <n v="310000"/>
    <x v="64"/>
    <x v="16"/>
    <n v="0.76749999999999996"/>
    <n v="5.5114999999999998"/>
    <x v="16"/>
    <x v="11"/>
    <n v="0.58699999999999997"/>
    <x v="11"/>
    <x v="16"/>
    <x v="0"/>
    <n v="0.4684484200971803"/>
    <n v="182791.10618106689"/>
    <n v="145219.01023012589"/>
    <n v="-160810.28638510534"/>
    <n v="21980.81979596155"/>
    <s v="36892NGI-SOCAL"/>
    <n v="31"/>
  </r>
  <r>
    <x v="3"/>
    <x v="0"/>
    <s v="NW3286.2"/>
    <x v="4"/>
    <x v="0"/>
    <x v="0"/>
    <x v="15"/>
    <n v="280000"/>
    <x v="64"/>
    <x v="15"/>
    <n v="0.61750000000000005"/>
    <n v="5.0975000000000001"/>
    <x v="15"/>
    <x v="10"/>
    <n v="0.57499999999999996"/>
    <x v="11"/>
    <x v="15"/>
    <x v="0"/>
    <n v="0.3999877291189512"/>
    <n v="148665.0982631529"/>
    <n v="111996.56415330633"/>
    <n v="-126645.31486871914"/>
    <n v="22019.783394433762"/>
    <s v="36923NGI-SOCAL"/>
    <n v="28"/>
  </r>
  <r>
    <x v="3"/>
    <x v="0"/>
    <s v="NW3286.2"/>
    <x v="4"/>
    <x v="0"/>
    <x v="0"/>
    <x v="14"/>
    <n v="310000"/>
    <x v="64"/>
    <x v="14"/>
    <n v="0.59750000000000003"/>
    <n v="4.8105000000000002"/>
    <x v="14"/>
    <x v="9"/>
    <n v="0.51700000000000002"/>
    <x v="11"/>
    <x v="14"/>
    <x v="0"/>
    <n v="0.35800394733003721"/>
    <n v="161039.99341463411"/>
    <n v="110981.22367231153"/>
    <n v="-137421.31734196297"/>
    <n v="23618.676072671136"/>
    <s v="36951NGI-SOCAL"/>
    <n v="31"/>
  </r>
  <r>
    <x v="16"/>
    <x v="0"/>
    <s v="NW3289"/>
    <x v="6"/>
    <x v="0"/>
    <x v="0"/>
    <x v="18"/>
    <n v="-300000"/>
    <x v="30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</r>
  <r>
    <x v="16"/>
    <x v="0"/>
    <s v="NW3289"/>
    <x v="6"/>
    <x v="0"/>
    <x v="0"/>
    <x v="17"/>
    <n v="-310000"/>
    <x v="30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</r>
  <r>
    <x v="16"/>
    <x v="0"/>
    <s v="NW3289"/>
    <x v="6"/>
    <x v="0"/>
    <x v="0"/>
    <x v="16"/>
    <n v="-310000"/>
    <x v="30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</r>
  <r>
    <x v="16"/>
    <x v="0"/>
    <s v="NW3289"/>
    <x v="6"/>
    <x v="0"/>
    <x v="0"/>
    <x v="15"/>
    <n v="-280000"/>
    <x v="30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</r>
  <r>
    <x v="16"/>
    <x v="0"/>
    <s v="NW3289"/>
    <x v="6"/>
    <x v="0"/>
    <x v="0"/>
    <x v="14"/>
    <n v="-310000"/>
    <x v="30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</r>
  <r>
    <x v="13"/>
    <x v="0"/>
    <s v="NW5608"/>
    <x v="6"/>
    <x v="0"/>
    <x v="0"/>
    <x v="18"/>
    <n v="-300000"/>
    <x v="30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</r>
  <r>
    <x v="13"/>
    <x v="0"/>
    <s v="NW5608"/>
    <x v="6"/>
    <x v="0"/>
    <x v="0"/>
    <x v="17"/>
    <n v="-310000"/>
    <x v="30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</r>
  <r>
    <x v="13"/>
    <x v="0"/>
    <s v="NW5608"/>
    <x v="6"/>
    <x v="0"/>
    <x v="0"/>
    <x v="16"/>
    <n v="-310000"/>
    <x v="30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</r>
  <r>
    <x v="13"/>
    <x v="0"/>
    <s v="NW5608"/>
    <x v="6"/>
    <x v="0"/>
    <x v="0"/>
    <x v="15"/>
    <n v="-280000"/>
    <x v="30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</r>
  <r>
    <x v="13"/>
    <x v="0"/>
    <s v="NW5608"/>
    <x v="6"/>
    <x v="0"/>
    <x v="0"/>
    <x v="14"/>
    <n v="-310000"/>
    <x v="30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</r>
  <r>
    <x v="19"/>
    <x v="0"/>
    <s v="NW5620"/>
    <x v="6"/>
    <x v="0"/>
    <x v="0"/>
    <x v="18"/>
    <n v="-300000"/>
    <x v="30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</r>
  <r>
    <x v="19"/>
    <x v="0"/>
    <s v="NW5620"/>
    <x v="6"/>
    <x v="0"/>
    <x v="0"/>
    <x v="17"/>
    <n v="-310000"/>
    <x v="30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</r>
  <r>
    <x v="19"/>
    <x v="0"/>
    <s v="NW5620"/>
    <x v="6"/>
    <x v="0"/>
    <x v="0"/>
    <x v="16"/>
    <n v="-310000"/>
    <x v="30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</r>
  <r>
    <x v="19"/>
    <x v="0"/>
    <s v="NW5620"/>
    <x v="6"/>
    <x v="0"/>
    <x v="0"/>
    <x v="15"/>
    <n v="-280000"/>
    <x v="30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</r>
  <r>
    <x v="19"/>
    <x v="0"/>
    <s v="NW5620"/>
    <x v="6"/>
    <x v="0"/>
    <x v="0"/>
    <x v="14"/>
    <n v="-310000"/>
    <x v="30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</r>
  <r>
    <x v="3"/>
    <x v="0"/>
    <s v="NW5627.1"/>
    <x v="4"/>
    <x v="0"/>
    <x v="0"/>
    <x v="18"/>
    <n v="-1000000"/>
    <x v="6"/>
    <x v="18"/>
    <n v="1.5449999999999999"/>
    <n v="6.2809999999999997"/>
    <x v="18"/>
    <x v="13"/>
    <n v="0.57699999999999996"/>
    <x v="11"/>
    <x v="18"/>
    <x v="0"/>
    <n v="0.64239711919021891"/>
    <n v="-773571.45363866177"/>
    <n v="-642397.11919021886"/>
    <n v="735121.55731707241"/>
    <n v="-38449.89632158936"/>
    <s v="36831NGI-SOCAL"/>
    <n v="-100"/>
  </r>
  <r>
    <x v="3"/>
    <x v="0"/>
    <s v="NW5627.1"/>
    <x v="4"/>
    <x v="0"/>
    <x v="0"/>
    <x v="17"/>
    <n v="-1000000"/>
    <x v="6"/>
    <x v="17"/>
    <n v="1.0049999999999999"/>
    <n v="5.8049999999999997"/>
    <x v="17"/>
    <x v="12"/>
    <n v="0.58199999999999996"/>
    <x v="11"/>
    <x v="17"/>
    <x v="0"/>
    <n v="0.35468527074912176"/>
    <n v="-523941.29410369229"/>
    <n v="-354685.27074912179"/>
    <n v="463282.71527354058"/>
    <n v="-60658.578830151702"/>
    <s v="36861NGI-SOCAL"/>
    <n v="-100"/>
  </r>
  <r>
    <x v="3"/>
    <x v="0"/>
    <s v="NW5627.1"/>
    <x v="4"/>
    <x v="0"/>
    <x v="0"/>
    <x v="16"/>
    <n v="-1000000"/>
    <x v="6"/>
    <x v="16"/>
    <n v="0.76749999999999996"/>
    <n v="5.5114999999999998"/>
    <x v="16"/>
    <x v="11"/>
    <n v="0.58699999999999997"/>
    <x v="11"/>
    <x v="16"/>
    <x v="0"/>
    <n v="0.28932060439244373"/>
    <n v="-433935.69412362191"/>
    <n v="-289320.60439244373"/>
    <n v="366179.38690822345"/>
    <n v="-67756.307215398469"/>
    <s v="36892NGI-SOCAL"/>
    <n v="-100"/>
  </r>
  <r>
    <x v="3"/>
    <x v="0"/>
    <s v="NW5627.1"/>
    <x v="4"/>
    <x v="0"/>
    <x v="0"/>
    <x v="15"/>
    <n v="-1000000"/>
    <x v="6"/>
    <x v="15"/>
    <n v="0.61750000000000005"/>
    <n v="5.0975000000000001"/>
    <x v="15"/>
    <x v="10"/>
    <n v="0.57499999999999996"/>
    <x v="11"/>
    <x v="15"/>
    <x v="0"/>
    <n v="0.24587699175387281"/>
    <n v="-383655.1524543768"/>
    <n v="-245876.9917538728"/>
    <n v="312627.66523326666"/>
    <n v="-71027.487221110146"/>
    <s v="36923NGI-SOCAL"/>
    <n v="-100"/>
  </r>
  <r>
    <x v="3"/>
    <x v="0"/>
    <s v="NW5627.1"/>
    <x v="4"/>
    <x v="0"/>
    <x v="0"/>
    <x v="14"/>
    <n v="-1000000"/>
    <x v="6"/>
    <x v="14"/>
    <n v="0.59750000000000003"/>
    <n v="4.8105000000000002"/>
    <x v="14"/>
    <x v="9"/>
    <n v="0.51700000000000002"/>
    <x v="11"/>
    <x v="14"/>
    <x v="0"/>
    <n v="0.21030560438987847"/>
    <n v="-362412.59513088182"/>
    <n v="-210305.60438987846"/>
    <n v="295118.46300505177"/>
    <n v="-67294.132125830045"/>
    <s v="36951NGI-SOCAL"/>
    <n v="-100"/>
  </r>
  <r>
    <x v="16"/>
    <x v="0"/>
    <s v="NW5630.1"/>
    <x v="1"/>
    <x v="0"/>
    <x v="0"/>
    <x v="18"/>
    <n v="-600000"/>
    <x v="65"/>
    <x v="18"/>
    <n v="-0.46750000000000003"/>
    <n v="4.2684999999999995"/>
    <x v="18"/>
    <x v="13"/>
    <n v="0.57099999999999995"/>
    <x v="9"/>
    <x v="18"/>
    <x v="0"/>
    <n v="6.529791282484787E-2"/>
    <n v="-163705.50374782769"/>
    <n v="-39178.747694908721"/>
    <n v="146265.46612057765"/>
    <n v="-17440.037627250043"/>
    <s v="36831IF-NWPL_ROCKY_M"/>
    <n v="-60"/>
  </r>
  <r>
    <x v="16"/>
    <x v="0"/>
    <s v="NW5630.1"/>
    <x v="1"/>
    <x v="0"/>
    <x v="0"/>
    <x v="17"/>
    <n v="-620000"/>
    <x v="65"/>
    <x v="17"/>
    <n v="-0.35749999999999998"/>
    <n v="4.4424999999999999"/>
    <x v="17"/>
    <x v="12"/>
    <n v="0.57599999999999996"/>
    <x v="9"/>
    <x v="17"/>
    <x v="0"/>
    <n v="0.13780520333892959"/>
    <n v="-245838.70748788683"/>
    <n v="-85439.226070136341"/>
    <n v="220073.37742109972"/>
    <n v="-25765.330066787108"/>
    <s v="36861IF-NWPL_ROCKY_M"/>
    <n v="-62"/>
  </r>
  <r>
    <x v="16"/>
    <x v="0"/>
    <s v="NW5630.1"/>
    <x v="1"/>
    <x v="0"/>
    <x v="0"/>
    <x v="16"/>
    <n v="-620000"/>
    <x v="65"/>
    <x v="16"/>
    <n v="-0.36749999999999999"/>
    <n v="4.3765000000000001"/>
    <x v="16"/>
    <x v="11"/>
    <n v="0.58099999999999996"/>
    <x v="9"/>
    <x v="16"/>
    <x v="0"/>
    <n v="0.16077117196574778"/>
    <n v="-251247.18653856867"/>
    <n v="-99678.126618763621"/>
    <n v="221490.769928945"/>
    <n v="-29756.416609623673"/>
    <s v="36892IF-NWPL_ROCKY_M"/>
    <n v="-62"/>
  </r>
  <r>
    <x v="16"/>
    <x v="0"/>
    <s v="NW5630.1"/>
    <x v="1"/>
    <x v="0"/>
    <x v="0"/>
    <x v="15"/>
    <n v="-560000"/>
    <x v="65"/>
    <x v="15"/>
    <n v="-0.38750000000000001"/>
    <n v="4.0925000000000002"/>
    <x v="15"/>
    <x v="10"/>
    <n v="0.56899999999999995"/>
    <x v="9"/>
    <x v="15"/>
    <x v="0"/>
    <n v="0.16098949061980206"/>
    <n v="-222313.22928107856"/>
    <n v="-90154.114747089145"/>
    <n v="193049.54314137439"/>
    <n v="-29263.686139704165"/>
    <s v="36923IF-NWPL_ROCKY_M"/>
    <n v="-56"/>
  </r>
  <r>
    <x v="16"/>
    <x v="0"/>
    <s v="NW5630.1"/>
    <x v="1"/>
    <x v="0"/>
    <x v="0"/>
    <x v="14"/>
    <n v="-620000"/>
    <x v="65"/>
    <x v="14"/>
    <n v="-0.39750000000000002"/>
    <n v="3.8155000000000001"/>
    <x v="14"/>
    <x v="9"/>
    <n v="0.51100000000000001"/>
    <x v="9"/>
    <x v="14"/>
    <x v="0"/>
    <n v="0.13749408832366405"/>
    <n v="-233971.87614035443"/>
    <n v="-85246.334760671714"/>
    <n v="202996.59097604576"/>
    <n v="-30975.285164308676"/>
    <s v="36951IF-NWPL_ROCKY_M"/>
    <n v="-62"/>
  </r>
  <r>
    <x v="16"/>
    <x v="0"/>
    <s v="NW5630.2"/>
    <x v="1"/>
    <x v="0"/>
    <x v="1"/>
    <x v="18"/>
    <n v="-600000"/>
    <x v="66"/>
    <x v="18"/>
    <n v="-0.46750000000000003"/>
    <n v="4.2684999999999995"/>
    <x v="18"/>
    <x v="13"/>
    <n v="0.57099999999999995"/>
    <x v="9"/>
    <x v="18"/>
    <x v="1"/>
    <n v="0.15778673045805278"/>
    <n v="269510.72164498345"/>
    <n v="-94672.038274831662"/>
    <n v="-290222.016811373"/>
    <n v="-20711.295166389551"/>
    <s v="36831IF-NWPL_ROCKY_M"/>
    <n v="-60"/>
  </r>
  <r>
    <x v="16"/>
    <x v="0"/>
    <s v="NW5630.2"/>
    <x v="1"/>
    <x v="0"/>
    <x v="1"/>
    <x v="17"/>
    <n v="-620000"/>
    <x v="66"/>
    <x v="17"/>
    <n v="-0.35749999999999998"/>
    <n v="4.4424999999999999"/>
    <x v="17"/>
    <x v="12"/>
    <n v="0.57599999999999996"/>
    <x v="9"/>
    <x v="17"/>
    <x v="1"/>
    <n v="0.15322464041905529"/>
    <n v="230818.68207694252"/>
    <n v="-94999.277059814282"/>
    <n v="-256197.91125838028"/>
    <n v="-25379.229181437753"/>
    <s v="36861IF-NWPL_ROCKY_M"/>
    <n v="-62"/>
  </r>
  <r>
    <x v="16"/>
    <x v="0"/>
    <s v="NW5630.2"/>
    <x v="1"/>
    <x v="0"/>
    <x v="1"/>
    <x v="16"/>
    <n v="-620000"/>
    <x v="66"/>
    <x v="16"/>
    <n v="-0.36749999999999999"/>
    <n v="4.3765000000000001"/>
    <x v="16"/>
    <x v="11"/>
    <n v="0.58099999999999996"/>
    <x v="9"/>
    <x v="16"/>
    <x v="1"/>
    <n v="0.1859006008855898"/>
    <n v="238937.1634384561"/>
    <n v="-115258.37254906568"/>
    <n v="-268383.72192889074"/>
    <n v="-29446.558490434632"/>
    <s v="36892IF-NWPL_ROCKY_M"/>
    <n v="-62"/>
  </r>
  <r>
    <x v="16"/>
    <x v="0"/>
    <s v="NW5630.2"/>
    <x v="1"/>
    <x v="0"/>
    <x v="1"/>
    <x v="15"/>
    <n v="-560000"/>
    <x v="66"/>
    <x v="15"/>
    <n v="-0.38750000000000001"/>
    <n v="4.0925000000000002"/>
    <x v="15"/>
    <x v="10"/>
    <n v="0.56899999999999995"/>
    <x v="9"/>
    <x v="15"/>
    <x v="1"/>
    <n v="0.20361435802165551"/>
    <n v="221751.77342921658"/>
    <n v="-114024.04049212708"/>
    <n v="-251017.16885521144"/>
    <n v="-29265.395425994851"/>
    <s v="36923IF-NWPL_ROCKY_M"/>
    <n v="-56"/>
  </r>
  <r>
    <x v="16"/>
    <x v="0"/>
    <s v="NW5630.2"/>
    <x v="1"/>
    <x v="0"/>
    <x v="1"/>
    <x v="14"/>
    <n v="-620000"/>
    <x v="66"/>
    <x v="14"/>
    <n v="-0.39750000000000002"/>
    <n v="3.8155000000000001"/>
    <x v="14"/>
    <x v="9"/>
    <n v="0.51100000000000001"/>
    <x v="9"/>
    <x v="14"/>
    <x v="1"/>
    <n v="0.18716411220475737"/>
    <n v="245313.9651228821"/>
    <n v="-116041.74956694957"/>
    <n v="-276645.12916478748"/>
    <n v="-31331.164041905373"/>
    <s v="36951IF-NWPL_ROCKY_M"/>
    <n v="-62"/>
  </r>
  <r>
    <x v="13"/>
    <x v="0"/>
    <s v="NW5635"/>
    <x v="6"/>
    <x v="0"/>
    <x v="0"/>
    <x v="18"/>
    <n v="-1000000"/>
    <x v="46"/>
    <x v="18"/>
    <n v="8.7499999999999994E-2"/>
    <n v="4.8235000000000001"/>
    <x v="18"/>
    <x v="13"/>
    <n v="0.59499999999999997"/>
    <x v="10"/>
    <x v="18"/>
    <x v="0"/>
    <n v="7.0492455730318745E-3"/>
    <n v="-139474.46746243423"/>
    <n v="-7049.2455730318743"/>
    <n v="135689.97356052499"/>
    <n v="-3784.4939019092417"/>
    <s v="36831NGI/CHI. GATE"/>
    <n v="-100"/>
  </r>
  <r>
    <x v="13"/>
    <x v="0"/>
    <s v="NW5635"/>
    <x v="6"/>
    <x v="0"/>
    <x v="0"/>
    <x v="17"/>
    <n v="-1000000"/>
    <x v="46"/>
    <x v="17"/>
    <n v="0.1"/>
    <n v="4.9000000000000004"/>
    <x v="17"/>
    <x v="12"/>
    <n v="0.6"/>
    <x v="10"/>
    <x v="17"/>
    <x v="0"/>
    <n v="1.5540517320006605E-2"/>
    <n v="-219874.45566948724"/>
    <n v="-15540.517320006606"/>
    <n v="213704.69327887075"/>
    <n v="-6169.7623906164954"/>
    <s v="36861NGI/CHI. GATE"/>
    <n v="-100"/>
  </r>
  <r>
    <x v="13"/>
    <x v="0"/>
    <s v="NW5635"/>
    <x v="6"/>
    <x v="0"/>
    <x v="0"/>
    <x v="16"/>
    <n v="-1000000"/>
    <x v="46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</r>
  <r>
    <x v="13"/>
    <x v="0"/>
    <s v="NW5635"/>
    <x v="6"/>
    <x v="0"/>
    <x v="0"/>
    <x v="15"/>
    <n v="-1000000"/>
    <x v="46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</r>
  <r>
    <x v="13"/>
    <x v="0"/>
    <s v="NW5635"/>
    <x v="6"/>
    <x v="0"/>
    <x v="0"/>
    <x v="14"/>
    <n v="-1000000"/>
    <x v="46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</r>
  <r>
    <x v="18"/>
    <x v="0"/>
    <s v="NW8030.1"/>
    <x v="6"/>
    <x v="0"/>
    <x v="1"/>
    <x v="18"/>
    <n v="300000"/>
    <x v="67"/>
    <x v="18"/>
    <n v="8.7499999999999994E-2"/>
    <n v="4.8235000000000001"/>
    <x v="18"/>
    <x v="13"/>
    <n v="0.59499999999999997"/>
    <x v="10"/>
    <x v="18"/>
    <x v="1"/>
    <n v="4.9798956143007472E-2"/>
    <n v="-174487.7337182129"/>
    <n v="14939.686842902242"/>
    <n v="176601.97959090059"/>
    <n v="2114.2458726876939"/>
    <s v="36831NGI/CHI. GATE"/>
    <n v="30"/>
  </r>
  <r>
    <x v="18"/>
    <x v="0"/>
    <s v="NW8030.1"/>
    <x v="6"/>
    <x v="0"/>
    <x v="1"/>
    <x v="17"/>
    <n v="310000"/>
    <x v="67"/>
    <x v="17"/>
    <n v="0.1"/>
    <n v="4.9000000000000004"/>
    <x v="17"/>
    <x v="12"/>
    <n v="0.6"/>
    <x v="10"/>
    <x v="17"/>
    <x v="1"/>
    <n v="5.1593750497140142E-2"/>
    <n v="-160773.7562472634"/>
    <n v="15994.062654113444"/>
    <n v="163500.16018481899"/>
    <n v="2726.4039375555876"/>
    <s v="36861NGI/CHI. GATE"/>
    <n v="31"/>
  </r>
  <r>
    <x v="18"/>
    <x v="0"/>
    <s v="NW8030.1"/>
    <x v="6"/>
    <x v="0"/>
    <x v="1"/>
    <x v="16"/>
    <n v="310000"/>
    <x v="67"/>
    <x v="16"/>
    <n v="0.1275"/>
    <n v="4.8715000000000002"/>
    <x v="16"/>
    <x v="11"/>
    <n v="0.60499999999999998"/>
    <x v="10"/>
    <x v="16"/>
    <x v="1"/>
    <n v="4.4956494646471112E-2"/>
    <n v="-133917.49717664064"/>
    <n v="13936.513340406045"/>
    <n v="137023.77718821971"/>
    <n v="3106.2800115790742"/>
    <s v="36892NGI/CHI. GATE"/>
    <n v="31"/>
  </r>
  <r>
    <x v="18"/>
    <x v="0"/>
    <s v="NW8030.1"/>
    <x v="6"/>
    <x v="0"/>
    <x v="1"/>
    <x v="15"/>
    <n v="280000"/>
    <x v="67"/>
    <x v="15"/>
    <n v="0.13750000000000001"/>
    <n v="4.6174999999999997"/>
    <x v="15"/>
    <x v="10"/>
    <n v="0.59299999999999997"/>
    <x v="10"/>
    <x v="15"/>
    <x v="1"/>
    <n v="4.3259945935821609E-2"/>
    <n v="-113136.80352557746"/>
    <n v="12112.78486203005"/>
    <n v="116166.71663483123"/>
    <n v="3029.9131092537718"/>
    <s v="36923NGI/CHI. GATE"/>
    <n v="28"/>
  </r>
  <r>
    <x v="18"/>
    <x v="0"/>
    <s v="NW8030.1"/>
    <x v="6"/>
    <x v="0"/>
    <x v="1"/>
    <x v="14"/>
    <n v="310000"/>
    <x v="67"/>
    <x v="14"/>
    <n v="0.1225"/>
    <n v="4.3354999999999997"/>
    <x v="14"/>
    <x v="9"/>
    <n v="0.53300000000000003"/>
    <x v="10"/>
    <x v="14"/>
    <x v="1"/>
    <n v="4.5235894832977533E-2"/>
    <n v="-136014.07355015661"/>
    <n v="14023.127398223036"/>
    <n v="139304.84706947027"/>
    <n v="3290.7735193136614"/>
    <s v="36951NGI/CHI. GATE"/>
    <n v="31"/>
  </r>
  <r>
    <x v="18"/>
    <x v="0"/>
    <s v="NW8030.2"/>
    <x v="6"/>
    <x v="0"/>
    <x v="1"/>
    <x v="18"/>
    <n v="300000"/>
    <x v="67"/>
    <x v="18"/>
    <n v="8.7499999999999994E-2"/>
    <n v="4.8235000000000001"/>
    <x v="18"/>
    <x v="13"/>
    <n v="0.59499999999999997"/>
    <x v="10"/>
    <x v="18"/>
    <x v="1"/>
    <n v="4.9798956143007472E-2"/>
    <n v="-174487.7337182129"/>
    <n v="14939.686842902242"/>
    <n v="176601.97959090059"/>
    <n v="2114.2458726876939"/>
    <s v="36831NGI/CHI. GATE"/>
    <n v="30"/>
  </r>
  <r>
    <x v="18"/>
    <x v="0"/>
    <s v="NW8030.2"/>
    <x v="6"/>
    <x v="0"/>
    <x v="1"/>
    <x v="17"/>
    <n v="310000"/>
    <x v="67"/>
    <x v="17"/>
    <n v="0.1"/>
    <n v="4.9000000000000004"/>
    <x v="17"/>
    <x v="12"/>
    <n v="0.6"/>
    <x v="10"/>
    <x v="17"/>
    <x v="1"/>
    <n v="5.1593750497140142E-2"/>
    <n v="-160773.7562472634"/>
    <n v="15994.062654113444"/>
    <n v="163500.16018481899"/>
    <n v="2726.4039375555876"/>
    <s v="36861NGI/CHI. GATE"/>
    <n v="31"/>
  </r>
  <r>
    <x v="18"/>
    <x v="0"/>
    <s v="NW8030.2"/>
    <x v="6"/>
    <x v="0"/>
    <x v="1"/>
    <x v="16"/>
    <n v="310000"/>
    <x v="67"/>
    <x v="16"/>
    <n v="0.1275"/>
    <n v="4.8715000000000002"/>
    <x v="16"/>
    <x v="11"/>
    <n v="0.60499999999999998"/>
    <x v="10"/>
    <x v="16"/>
    <x v="1"/>
    <n v="4.4956494646471112E-2"/>
    <n v="-133917.49717664064"/>
    <n v="13936.513340406045"/>
    <n v="137023.77718821971"/>
    <n v="3106.2800115790742"/>
    <s v="36892NGI/CHI. GATE"/>
    <n v="31"/>
  </r>
  <r>
    <x v="18"/>
    <x v="0"/>
    <s v="NW8030.2"/>
    <x v="6"/>
    <x v="0"/>
    <x v="1"/>
    <x v="15"/>
    <n v="280000"/>
    <x v="67"/>
    <x v="15"/>
    <n v="0.13750000000000001"/>
    <n v="4.6174999999999997"/>
    <x v="15"/>
    <x v="10"/>
    <n v="0.59299999999999997"/>
    <x v="10"/>
    <x v="15"/>
    <x v="1"/>
    <n v="4.3259945935821609E-2"/>
    <n v="-113136.80352557746"/>
    <n v="12112.78486203005"/>
    <n v="116166.71663483123"/>
    <n v="3029.9131092537718"/>
    <s v="36923NGI/CHI. GATE"/>
    <n v="28"/>
  </r>
  <r>
    <x v="12"/>
    <x v="0"/>
    <s v="NW9582"/>
    <x v="0"/>
    <x v="0"/>
    <x v="0"/>
    <x v="18"/>
    <n v="500000"/>
    <x v="6"/>
    <x v="18"/>
    <n v="0.77"/>
    <n v="5.5060000000000002"/>
    <x v="18"/>
    <x v="13"/>
    <n v="0.625"/>
    <x v="6"/>
    <x v="18"/>
    <x v="0"/>
    <n v="0.17043556386117104"/>
    <n v="193641.83742203133"/>
    <n v="85217.781930585523"/>
    <n v="-172734.88275015863"/>
    <n v="20906.954671872692"/>
    <s v="36831IF-TRANSCO/Z6"/>
    <n v="50"/>
  </r>
  <r>
    <x v="22"/>
    <x v="0"/>
    <s v="NW9726"/>
    <x v="0"/>
    <x v="0"/>
    <x v="1"/>
    <x v="18"/>
    <n v="1000000"/>
    <x v="34"/>
    <x v="18"/>
    <n v="0.77"/>
    <n v="5.5060000000000002"/>
    <x v="18"/>
    <x v="13"/>
    <n v="0.625"/>
    <x v="6"/>
    <x v="18"/>
    <x v="1"/>
    <n v="0.13988875420971553"/>
    <n v="-310803.3571358113"/>
    <n v="139888.75420971552"/>
    <n v="352947.70520949672"/>
    <n v="42144.348073685425"/>
    <s v="36831IF-TRANSCO/Z6"/>
    <n v="100"/>
  </r>
  <r>
    <x v="24"/>
    <x v="0"/>
    <s v="NW9731"/>
    <x v="0"/>
    <x v="0"/>
    <x v="0"/>
    <x v="18"/>
    <n v="300000"/>
    <x v="6"/>
    <x v="18"/>
    <n v="0.77"/>
    <n v="5.5060000000000002"/>
    <x v="18"/>
    <x v="13"/>
    <n v="0.625"/>
    <x v="6"/>
    <x v="18"/>
    <x v="0"/>
    <n v="0.17043556386117104"/>
    <n v="116185.1024532188"/>
    <n v="51130.669158351309"/>
    <n v="-103640.92965009518"/>
    <n v="12544.172803123627"/>
    <s v="36831IF-TRANSCO/Z6"/>
    <n v="30"/>
  </r>
  <r>
    <x v="2"/>
    <x v="0"/>
    <s v="NW9732"/>
    <x v="4"/>
    <x v="0"/>
    <x v="1"/>
    <x v="18"/>
    <n v="-150000"/>
    <x v="34"/>
    <x v="18"/>
    <n v="1.5449999999999999"/>
    <n v="6.2809999999999997"/>
    <x v="18"/>
    <x v="13"/>
    <n v="0.57699999999999996"/>
    <x v="11"/>
    <x v="18"/>
    <x v="1"/>
    <n v="2.5258610546011473E-2"/>
    <n v="10156.305404971083"/>
    <n v="-3788.7915819017207"/>
    <n v="-12993.321600663887"/>
    <n v="-2837.0161956928041"/>
    <s v="36831NGI-SOCAL"/>
    <n v="-15"/>
  </r>
  <r>
    <x v="2"/>
    <x v="0"/>
    <s v="NW9732"/>
    <x v="4"/>
    <x v="0"/>
    <x v="1"/>
    <x v="17"/>
    <n v="-155000"/>
    <x v="34"/>
    <x v="17"/>
    <n v="1.0049999999999999"/>
    <n v="5.8049999999999997"/>
    <x v="17"/>
    <x v="12"/>
    <n v="0.58199999999999996"/>
    <x v="11"/>
    <x v="17"/>
    <x v="1"/>
    <n v="0.14854190133638373"/>
    <n v="38811.494171969534"/>
    <n v="-23023.994707139478"/>
    <n v="-47087.494292911273"/>
    <n v="-8276.0001209417387"/>
    <s v="36861NGI-SOCAL"/>
    <n v="-15.5"/>
  </r>
  <r>
    <x v="2"/>
    <x v="0"/>
    <s v="NW9732"/>
    <x v="4"/>
    <x v="0"/>
    <x v="1"/>
    <x v="16"/>
    <n v="-155000"/>
    <x v="34"/>
    <x v="16"/>
    <n v="0.76749999999999996"/>
    <n v="5.5114999999999998"/>
    <x v="16"/>
    <x v="11"/>
    <n v="0.58699999999999997"/>
    <x v="11"/>
    <x v="16"/>
    <x v="1"/>
    <n v="0.26260999778603433"/>
    <n v="54114.358626821158"/>
    <n v="-40704.549656835319"/>
    <n v="-64928.074392945877"/>
    <n v="-10813.715766124718"/>
    <s v="36892NGI-SOCAL"/>
    <n v="-15.5"/>
  </r>
  <r>
    <x v="2"/>
    <x v="0"/>
    <s v="NW9732"/>
    <x v="4"/>
    <x v="0"/>
    <x v="1"/>
    <x v="15"/>
    <n v="-140000"/>
    <x v="34"/>
    <x v="15"/>
    <n v="0.61750000000000005"/>
    <n v="5.0975000000000001"/>
    <x v="15"/>
    <x v="10"/>
    <n v="0.57499999999999996"/>
    <x v="11"/>
    <x v="15"/>
    <x v="1"/>
    <n v="0.33472877139366974"/>
    <n v="56294.778752421007"/>
    <n v="-46862.027995113764"/>
    <n v="-67314.670200304448"/>
    <n v="-11019.891447883441"/>
    <s v="36923NGI-SOCAL"/>
    <n v="-14"/>
  </r>
  <r>
    <x v="2"/>
    <x v="0"/>
    <s v="NW9732"/>
    <x v="4"/>
    <x v="0"/>
    <x v="1"/>
    <x v="14"/>
    <n v="-155000"/>
    <x v="34"/>
    <x v="14"/>
    <n v="0.59750000000000003"/>
    <n v="4.8105000000000002"/>
    <x v="14"/>
    <x v="9"/>
    <n v="0.51700000000000002"/>
    <x v="11"/>
    <x v="14"/>
    <x v="1"/>
    <n v="0.31169176935881937"/>
    <n v="62821.346205548718"/>
    <n v="-48312.224250617001"/>
    <n v="-74664.350590397953"/>
    <n v="-11843.004384849235"/>
    <s v="36951NGI-SOCAL"/>
    <n v="-15.5"/>
  </r>
  <r>
    <x v="12"/>
    <x v="0"/>
    <s v="NW9733"/>
    <x v="4"/>
    <x v="0"/>
    <x v="1"/>
    <x v="18"/>
    <n v="-1000000"/>
    <x v="34"/>
    <x v="18"/>
    <n v="1.5449999999999999"/>
    <n v="6.2809999999999997"/>
    <x v="18"/>
    <x v="13"/>
    <n v="0.57699999999999996"/>
    <x v="11"/>
    <x v="18"/>
    <x v="1"/>
    <n v="2.5258610546011473E-2"/>
    <n v="67708.702699807225"/>
    <n v="-25258.610546011474"/>
    <n v="-86622.144004425922"/>
    <n v="-18913.441304618696"/>
    <s v="36831NGI-SOCAL"/>
    <n v="-100"/>
  </r>
  <r>
    <x v="12"/>
    <x v="0"/>
    <s v="NW9733"/>
    <x v="4"/>
    <x v="0"/>
    <x v="1"/>
    <x v="17"/>
    <n v="-1000000"/>
    <x v="34"/>
    <x v="17"/>
    <n v="1.0049999999999999"/>
    <n v="5.8049999999999997"/>
    <x v="17"/>
    <x v="12"/>
    <n v="0.58199999999999996"/>
    <x v="11"/>
    <x v="17"/>
    <x v="1"/>
    <n v="0.14854190133638373"/>
    <n v="250396.73659335182"/>
    <n v="-148541.90133638374"/>
    <n v="-303790.28576071787"/>
    <n v="-53393.549167366058"/>
    <s v="36861NGI-SOCAL"/>
    <n v="-100"/>
  </r>
  <r>
    <x v="12"/>
    <x v="0"/>
    <s v="NW9733"/>
    <x v="4"/>
    <x v="0"/>
    <x v="1"/>
    <x v="16"/>
    <n v="-1000000"/>
    <x v="34"/>
    <x v="16"/>
    <n v="0.76749999999999996"/>
    <n v="5.5114999999999998"/>
    <x v="16"/>
    <x v="11"/>
    <n v="0.58699999999999997"/>
    <x v="11"/>
    <x v="16"/>
    <x v="1"/>
    <n v="0.26260999778603433"/>
    <n v="349124.89436658809"/>
    <n v="-262609.99778603431"/>
    <n v="-418890.80253513466"/>
    <n v="-69765.908168546564"/>
    <s v="36892NGI-SOCAL"/>
    <n v="-100"/>
  </r>
  <r>
    <x v="12"/>
    <x v="0"/>
    <s v="NW9733"/>
    <x v="4"/>
    <x v="0"/>
    <x v="1"/>
    <x v="15"/>
    <n v="-1000000"/>
    <x v="34"/>
    <x v="15"/>
    <n v="0.61750000000000005"/>
    <n v="5.0975000000000001"/>
    <x v="15"/>
    <x v="10"/>
    <n v="0.57499999999999996"/>
    <x v="11"/>
    <x v="15"/>
    <x v="1"/>
    <n v="0.33472877139366974"/>
    <n v="402105.56251729291"/>
    <n v="-334728.77139366977"/>
    <n v="-480819.07285931753"/>
    <n v="-78713.510342024616"/>
    <s v="36923NGI-SOCAL"/>
    <n v="-100"/>
  </r>
  <r>
    <x v="12"/>
    <x v="0"/>
    <s v="NW9733"/>
    <x v="4"/>
    <x v="0"/>
    <x v="1"/>
    <x v="14"/>
    <n v="-1000000"/>
    <x v="34"/>
    <x v="14"/>
    <n v="0.59750000000000003"/>
    <n v="4.8105000000000002"/>
    <x v="14"/>
    <x v="9"/>
    <n v="0.51700000000000002"/>
    <x v="11"/>
    <x v="14"/>
    <x v="1"/>
    <n v="0.31169176935881937"/>
    <n v="405299.00777773367"/>
    <n v="-311691.76935881935"/>
    <n v="-481705.48767998675"/>
    <n v="-76406.479902253079"/>
    <s v="36951NGI-SOCAL"/>
    <n v="-100"/>
  </r>
  <r>
    <x v="25"/>
    <x v="0"/>
    <s v="NW9477.2"/>
    <x v="10"/>
    <x v="0"/>
    <x v="0"/>
    <x v="18"/>
    <n v="2500000"/>
    <x v="30"/>
    <x v="18"/>
    <n v="-0.17499999999999999"/>
    <n v="4.5609999999999999"/>
    <x v="18"/>
    <x v="13"/>
    <n v="0.60699999999999998"/>
    <x v="9"/>
    <x v="18"/>
    <x v="0"/>
    <n v="5.757959428949555E-2"/>
    <n v="601516.55662125768"/>
    <n v="143948.98572373888"/>
    <n v="-531760.08566191047"/>
    <n v="69756.470959347207"/>
    <s v="36831IF-NTHWST/CANBR"/>
    <n v="250"/>
  </r>
  <r>
    <x v="25"/>
    <x v="0"/>
    <s v="NW9477.2"/>
    <x v="10"/>
    <x v="0"/>
    <x v="0"/>
    <x v="17"/>
    <n v="2500000"/>
    <x v="30"/>
    <x v="17"/>
    <n v="0.53"/>
    <n v="5.33"/>
    <x v="17"/>
    <x v="12"/>
    <n v="0.61199999999999999"/>
    <x v="9"/>
    <x v="17"/>
    <x v="0"/>
    <n v="0.46247722545934383"/>
    <n v="1868052.8094247542"/>
    <n v="1156193.0636483596"/>
    <n v="-1777483.2572239293"/>
    <n v="90569.552200824954"/>
    <s v="36861IF-NTHWST/CANBR"/>
    <n v="250"/>
  </r>
  <r>
    <x v="25"/>
    <x v="0"/>
    <s v="NW9477.2"/>
    <x v="10"/>
    <x v="0"/>
    <x v="0"/>
    <x v="16"/>
    <n v="2500000"/>
    <x v="30"/>
    <x v="16"/>
    <n v="0.53"/>
    <n v="5.274"/>
    <x v="16"/>
    <x v="11"/>
    <n v="0.61699999999999999"/>
    <x v="9"/>
    <x v="16"/>
    <x v="0"/>
    <n v="0.48681395295079449"/>
    <n v="1801769.2534961517"/>
    <n v="1217034.8823769863"/>
    <n v="-1692517.2355965348"/>
    <n v="109252.01789961685"/>
    <s v="36892IF-NTHWST/CANBR"/>
    <n v="250"/>
  </r>
  <r>
    <x v="25"/>
    <x v="0"/>
    <s v="NW9477.2"/>
    <x v="10"/>
    <x v="0"/>
    <x v="0"/>
    <x v="15"/>
    <n v="2500000"/>
    <x v="30"/>
    <x v="15"/>
    <n v="0.34499999999999997"/>
    <n v="4.8250000000000002"/>
    <x v="15"/>
    <x v="10"/>
    <n v="0.60399999999999998"/>
    <x v="9"/>
    <x v="15"/>
    <x v="0"/>
    <n v="0.37048927885901034"/>
    <n v="1552974.071306678"/>
    <n v="926223.19714752585"/>
    <n v="-1417784.2160301635"/>
    <n v="135189.85527651454"/>
    <s v="36923IF-NTHWST/CANBR"/>
    <n v="250"/>
  </r>
  <r>
    <x v="25"/>
    <x v="0"/>
    <s v="NW9477.2"/>
    <x v="10"/>
    <x v="0"/>
    <x v="0"/>
    <x v="14"/>
    <n v="2500000"/>
    <x v="30"/>
    <x v="14"/>
    <n v="-0.03"/>
    <n v="4.1829999999999998"/>
    <x v="14"/>
    <x v="9"/>
    <n v="0.54300000000000004"/>
    <x v="9"/>
    <x v="14"/>
    <x v="0"/>
    <n v="0.15605456185896566"/>
    <n v="990682.34559233661"/>
    <n v="390136.40464741417"/>
    <n v="-859928.56400274322"/>
    <n v="130753.78158959339"/>
    <s v="36951IF-NTHWST/CANBR"/>
    <n v="250"/>
  </r>
  <r>
    <x v="3"/>
    <x v="0"/>
    <s v="NX1655.1"/>
    <x v="4"/>
    <x v="0"/>
    <x v="0"/>
    <x v="18"/>
    <n v="-300000"/>
    <x v="36"/>
    <x v="18"/>
    <n v="1.5449999999999999"/>
    <n v="6.2809999999999997"/>
    <x v="18"/>
    <x v="13"/>
    <n v="0.57699999999999996"/>
    <x v="11"/>
    <x v="18"/>
    <x v="0"/>
    <n v="0.33709810768336412"/>
    <n v="-162523.89949229368"/>
    <n v="-101129.43230500924"/>
    <n v="148392.40178865931"/>
    <n v="-14131.497703634377"/>
    <s v="36831NGI-SOCAL"/>
    <n v="-30"/>
  </r>
  <r>
    <x v="3"/>
    <x v="0"/>
    <s v="NX1655.1"/>
    <x v="4"/>
    <x v="0"/>
    <x v="0"/>
    <x v="17"/>
    <n v="-310000"/>
    <x v="36"/>
    <x v="17"/>
    <n v="1.0049999999999999"/>
    <n v="5.8049999999999997"/>
    <x v="17"/>
    <x v="12"/>
    <n v="0.58199999999999996"/>
    <x v="11"/>
    <x v="17"/>
    <x v="0"/>
    <n v="0.17657334423500509"/>
    <n v="-99987.103989572672"/>
    <n v="-54737.736712851576"/>
    <n v="84314.537621689175"/>
    <n v="-15672.566367883497"/>
    <s v="36861NGI-SOCAL"/>
    <n v="-31"/>
  </r>
  <r>
    <x v="3"/>
    <x v="0"/>
    <s v="NX1655.1"/>
    <x v="4"/>
    <x v="0"/>
    <x v="0"/>
    <x v="16"/>
    <n v="-310000"/>
    <x v="36"/>
    <x v="16"/>
    <n v="0.76749999999999996"/>
    <n v="5.5114999999999998"/>
    <x v="16"/>
    <x v="11"/>
    <n v="0.58699999999999997"/>
    <x v="11"/>
    <x v="16"/>
    <x v="0"/>
    <n v="0.14993867372253597"/>
    <n v="-83160.355360036745"/>
    <n v="-46480.988853986149"/>
    <n v="66866.6136436651"/>
    <n v="-16293.741716371645"/>
    <s v="36892NGI-SOCAL"/>
    <n v="-31"/>
  </r>
  <r>
    <x v="3"/>
    <x v="0"/>
    <s v="NX1655.1"/>
    <x v="4"/>
    <x v="0"/>
    <x v="0"/>
    <x v="15"/>
    <n v="-280000"/>
    <x v="36"/>
    <x v="15"/>
    <n v="0.61750000000000005"/>
    <n v="5.0975000000000001"/>
    <x v="15"/>
    <x v="10"/>
    <n v="0.57499999999999996"/>
    <x v="11"/>
    <x v="15"/>
    <x v="0"/>
    <n v="0.12900168019954056"/>
    <n v="-66103.693911631519"/>
    <n v="-36120.470455871357"/>
    <n v="51265.958335284879"/>
    <n v="-14837.73557634664"/>
    <s v="36923NGI-SOCAL"/>
    <n v="-28"/>
  </r>
  <r>
    <x v="3"/>
    <x v="0"/>
    <s v="NX1655.1"/>
    <x v="4"/>
    <x v="0"/>
    <x v="0"/>
    <x v="14"/>
    <n v="-310000"/>
    <x v="36"/>
    <x v="14"/>
    <n v="0.59750000000000003"/>
    <n v="4.8105000000000002"/>
    <x v="14"/>
    <x v="9"/>
    <n v="0.51700000000000002"/>
    <x v="11"/>
    <x v="14"/>
    <x v="0"/>
    <n v="0.10367769699693882"/>
    <n v="-65457.073771313626"/>
    <n v="-32140.086069051034"/>
    <n v="50622.134110540304"/>
    <n v="-14834.939660773322"/>
    <s v="36951NGI-SOCAL"/>
    <n v="-31"/>
  </r>
  <r>
    <x v="3"/>
    <x v="0"/>
    <s v="NX1655.2"/>
    <x v="4"/>
    <x v="0"/>
    <x v="0"/>
    <x v="18"/>
    <n v="1000000"/>
    <x v="36"/>
    <x v="18"/>
    <n v="1.5449999999999999"/>
    <n v="6.2809999999999997"/>
    <x v="18"/>
    <x v="13"/>
    <n v="0.57699999999999996"/>
    <x v="11"/>
    <x v="18"/>
    <x v="0"/>
    <n v="0.33709810768336412"/>
    <n v="541746.33164097893"/>
    <n v="337098.10768336413"/>
    <n v="-494641.33929553104"/>
    <n v="47104.992345447885"/>
    <s v="36831NGI-SOCAL"/>
    <n v="100"/>
  </r>
  <r>
    <x v="3"/>
    <x v="0"/>
    <s v="NX1655.2"/>
    <x v="4"/>
    <x v="0"/>
    <x v="0"/>
    <x v="17"/>
    <n v="1000000"/>
    <x v="36"/>
    <x v="17"/>
    <n v="1.0049999999999999"/>
    <n v="5.8049999999999997"/>
    <x v="17"/>
    <x v="12"/>
    <n v="0.58199999999999996"/>
    <x v="11"/>
    <x v="17"/>
    <x v="0"/>
    <n v="0.17657334423500509"/>
    <n v="322539.04512765381"/>
    <n v="176573.34423500509"/>
    <n v="-271982.37942480377"/>
    <n v="50556.665702850034"/>
    <s v="36861NGI-SOCAL"/>
    <n v="100"/>
  </r>
  <r>
    <x v="3"/>
    <x v="0"/>
    <s v="NX1655.2"/>
    <x v="4"/>
    <x v="0"/>
    <x v="0"/>
    <x v="16"/>
    <n v="1000000"/>
    <x v="36"/>
    <x v="16"/>
    <n v="0.76749999999999996"/>
    <n v="5.5114999999999998"/>
    <x v="16"/>
    <x v="11"/>
    <n v="0.58699999999999997"/>
    <x v="11"/>
    <x v="16"/>
    <x v="0"/>
    <n v="0.14993867372253597"/>
    <n v="268259.21083882818"/>
    <n v="149938.67372253598"/>
    <n v="-215698.75368924226"/>
    <n v="52560.457149585913"/>
    <s v="36892NGI-SOCAL"/>
    <n v="100"/>
  </r>
  <r>
    <x v="3"/>
    <x v="0"/>
    <s v="NX1655.2"/>
    <x v="4"/>
    <x v="0"/>
    <x v="0"/>
    <x v="15"/>
    <n v="1000000"/>
    <x v="36"/>
    <x v="15"/>
    <n v="0.61750000000000005"/>
    <n v="5.0975000000000001"/>
    <x v="15"/>
    <x v="10"/>
    <n v="0.57499999999999996"/>
    <x v="11"/>
    <x v="15"/>
    <x v="0"/>
    <n v="0.12900168019954056"/>
    <n v="236084.6211129697"/>
    <n v="129001.68019954055"/>
    <n v="-183092.70834030313"/>
    <n v="52991.912772666576"/>
    <s v="36923NGI-SOCAL"/>
    <n v="100"/>
  </r>
  <r>
    <x v="3"/>
    <x v="0"/>
    <s v="NX1655.2"/>
    <x v="4"/>
    <x v="0"/>
    <x v="0"/>
    <x v="14"/>
    <n v="1000000"/>
    <x v="36"/>
    <x v="14"/>
    <n v="0.59750000000000003"/>
    <n v="4.8105000000000002"/>
    <x v="14"/>
    <x v="9"/>
    <n v="0.51700000000000002"/>
    <x v="11"/>
    <x v="14"/>
    <x v="0"/>
    <n v="0.10367769699693882"/>
    <n v="211151.85087520524"/>
    <n v="103677.69699693883"/>
    <n v="-163297.20680819455"/>
    <n v="47854.644067010697"/>
    <s v="36951NGI-SOCAL"/>
    <n v="100"/>
  </r>
  <r>
    <x v="3"/>
    <x v="0"/>
    <s v="NX1655.3"/>
    <x v="4"/>
    <x v="0"/>
    <x v="0"/>
    <x v="11"/>
    <n v="-500000"/>
    <x v="36"/>
    <x v="11"/>
    <n v="0.59"/>
    <n v="4.5280000000000005"/>
    <x v="11"/>
    <x v="7"/>
    <n v="0.443"/>
    <x v="13"/>
    <x v="11"/>
    <x v="0"/>
    <n v="5.6529531771418361E-2"/>
    <n v="-76584.540832552957"/>
    <n v="-28264.765885709181"/>
    <n v="61017.141141491084"/>
    <n v="-15567.399691061873"/>
    <s v="36982NGI-SOCAL"/>
    <n v="-50"/>
  </r>
  <r>
    <x v="3"/>
    <x v="0"/>
    <s v="NX1655.3"/>
    <x v="4"/>
    <x v="0"/>
    <x v="0"/>
    <x v="10"/>
    <n v="-500000"/>
    <x v="36"/>
    <x v="10"/>
    <n v="0.6"/>
    <n v="4.4379999999999997"/>
    <x v="10"/>
    <x v="6"/>
    <n v="0.40500000000000003"/>
    <x v="13"/>
    <x v="10"/>
    <x v="0"/>
    <n v="5.0233709547122952E-2"/>
    <n v="-71949.442680733759"/>
    <n v="-25116.854773561477"/>
    <n v="57489.863804051223"/>
    <n v="-14459.578876682535"/>
    <s v="37012NGI-SOCAL"/>
    <n v="-50"/>
  </r>
  <r>
    <x v="3"/>
    <x v="0"/>
    <s v="NX1655.3"/>
    <x v="4"/>
    <x v="0"/>
    <x v="0"/>
    <x v="9"/>
    <n v="-500000"/>
    <x v="36"/>
    <x v="9"/>
    <n v="0.62"/>
    <n v="4.4379999999999997"/>
    <x v="9"/>
    <x v="5"/>
    <n v="0.4"/>
    <x v="13"/>
    <x v="9"/>
    <x v="0"/>
    <n v="6.1307940640012833E-2"/>
    <n v="-81203.531741979343"/>
    <n v="-30653.970320006418"/>
    <n v="64746.874778968842"/>
    <n v="-16456.6569630105"/>
    <s v="37043NGI-SOCAL"/>
    <n v="-50"/>
  </r>
  <r>
    <x v="3"/>
    <x v="0"/>
    <s v="NX1655.3"/>
    <x v="4"/>
    <x v="0"/>
    <x v="0"/>
    <x v="8"/>
    <n v="-500000"/>
    <x v="36"/>
    <x v="8"/>
    <n v="1.2250000000000001"/>
    <n v="5.0280000000000005"/>
    <x v="8"/>
    <x v="5"/>
    <n v="0.4"/>
    <x v="13"/>
    <x v="8"/>
    <x v="0"/>
    <n v="0.2414369501394508"/>
    <n v="-200223.47174906798"/>
    <n v="-120718.47506972539"/>
    <n v="172652.32903323715"/>
    <n v="-27571.142715830822"/>
    <s v="37073NGI-SOCAL"/>
    <n v="-50"/>
  </r>
  <r>
    <x v="3"/>
    <x v="0"/>
    <s v="NX1655.3"/>
    <x v="4"/>
    <x v="0"/>
    <x v="0"/>
    <x v="7"/>
    <n v="-500000"/>
    <x v="36"/>
    <x v="7"/>
    <n v="1.2749999999999999"/>
    <n v="5.0830000000000002"/>
    <x v="7"/>
    <x v="5"/>
    <n v="0.4"/>
    <x v="13"/>
    <x v="7"/>
    <x v="0"/>
    <n v="0.27851788101850228"/>
    <n v="-212143.79059404304"/>
    <n v="-139258.94050925114"/>
    <n v="182894.96693477297"/>
    <n v="-29248.82365927007"/>
    <s v="37104NGI-SOCAL"/>
    <n v="-50"/>
  </r>
  <r>
    <x v="3"/>
    <x v="0"/>
    <s v="NX1655.3"/>
    <x v="4"/>
    <x v="0"/>
    <x v="0"/>
    <x v="6"/>
    <n v="-500000"/>
    <x v="36"/>
    <x v="6"/>
    <n v="1.2524999999999999"/>
    <n v="5.0404999999999998"/>
    <x v="6"/>
    <x v="5"/>
    <n v="0.4"/>
    <x v="13"/>
    <x v="6"/>
    <x v="0"/>
    <n v="0.2826094721055234"/>
    <n v="-209380.39418037821"/>
    <n v="-141304.7360527617"/>
    <n v="179067.17958854319"/>
    <n v="-30313.214591835014"/>
    <s v="37135NGI-SOCAL"/>
    <n v="-50"/>
  </r>
  <r>
    <x v="3"/>
    <x v="0"/>
    <s v="NX1655.3"/>
    <x v="4"/>
    <x v="0"/>
    <x v="0"/>
    <x v="5"/>
    <n v="-500000"/>
    <x v="36"/>
    <x v="5"/>
    <n v="0.74750000000000005"/>
    <n v="4.5205000000000002"/>
    <x v="5"/>
    <x v="4"/>
    <n v="0.40300000000000002"/>
    <x v="13"/>
    <x v="5"/>
    <x v="0"/>
    <n v="0.12854701973762603"/>
    <n v="-124288.65680294277"/>
    <n v="-64273.509868813017"/>
    <n v="98867.123177999572"/>
    <n v="-25421.5336249432"/>
    <s v="37165NGI-SOCAL"/>
    <n v="-50"/>
  </r>
  <r>
    <x v="3"/>
    <x v="0"/>
    <s v="NX1655.4"/>
    <x v="4"/>
    <x v="0"/>
    <x v="0"/>
    <x v="11"/>
    <n v="-500000"/>
    <x v="36"/>
    <x v="11"/>
    <n v="0.59"/>
    <n v="4.5280000000000005"/>
    <x v="11"/>
    <x v="7"/>
    <n v="0.443"/>
    <x v="13"/>
    <x v="11"/>
    <x v="0"/>
    <n v="5.6529531771418361E-2"/>
    <n v="-76584.540832552957"/>
    <n v="-28264.765885709181"/>
    <n v="61017.141141491084"/>
    <n v="-15567.399691061873"/>
    <s v="36982NGI-SOCAL"/>
    <n v="-50"/>
  </r>
  <r>
    <x v="3"/>
    <x v="0"/>
    <s v="NX1655.4"/>
    <x v="4"/>
    <x v="0"/>
    <x v="0"/>
    <x v="10"/>
    <n v="-500000"/>
    <x v="36"/>
    <x v="10"/>
    <n v="0.6"/>
    <n v="4.4379999999999997"/>
    <x v="10"/>
    <x v="6"/>
    <n v="0.40500000000000003"/>
    <x v="13"/>
    <x v="10"/>
    <x v="0"/>
    <n v="5.0233709547122952E-2"/>
    <n v="-71949.442680733759"/>
    <n v="-25116.854773561477"/>
    <n v="57489.863804051223"/>
    <n v="-14459.578876682535"/>
    <s v="37012NGI-SOCAL"/>
    <n v="-50"/>
  </r>
  <r>
    <x v="3"/>
    <x v="0"/>
    <s v="NX1655.4"/>
    <x v="4"/>
    <x v="0"/>
    <x v="0"/>
    <x v="9"/>
    <n v="-500000"/>
    <x v="36"/>
    <x v="9"/>
    <n v="0.62"/>
    <n v="4.4379999999999997"/>
    <x v="9"/>
    <x v="5"/>
    <n v="0.4"/>
    <x v="13"/>
    <x v="9"/>
    <x v="0"/>
    <n v="6.1307940640012833E-2"/>
    <n v="-81203.531741979343"/>
    <n v="-30653.970320006418"/>
    <n v="64746.874778968842"/>
    <n v="-16456.6569630105"/>
    <s v="37043NGI-SOCAL"/>
    <n v="-50"/>
  </r>
  <r>
    <x v="3"/>
    <x v="0"/>
    <s v="NX1655.4"/>
    <x v="4"/>
    <x v="0"/>
    <x v="0"/>
    <x v="8"/>
    <n v="-500000"/>
    <x v="36"/>
    <x v="8"/>
    <n v="1.2250000000000001"/>
    <n v="5.0280000000000005"/>
    <x v="8"/>
    <x v="5"/>
    <n v="0.4"/>
    <x v="13"/>
    <x v="8"/>
    <x v="0"/>
    <n v="0.2414369501394508"/>
    <n v="-200223.47174906798"/>
    <n v="-120718.47506972539"/>
    <n v="172652.32903323715"/>
    <n v="-27571.142715830822"/>
    <s v="37073NGI-SOCAL"/>
    <n v="-50"/>
  </r>
  <r>
    <x v="3"/>
    <x v="0"/>
    <s v="NX1655.4"/>
    <x v="4"/>
    <x v="0"/>
    <x v="0"/>
    <x v="7"/>
    <n v="-500000"/>
    <x v="36"/>
    <x v="7"/>
    <n v="1.2749999999999999"/>
    <n v="5.0830000000000002"/>
    <x v="7"/>
    <x v="5"/>
    <n v="0.4"/>
    <x v="13"/>
    <x v="7"/>
    <x v="0"/>
    <n v="0.27851788101850228"/>
    <n v="-212143.79059404304"/>
    <n v="-139258.94050925114"/>
    <n v="182894.96693477297"/>
    <n v="-29248.82365927007"/>
    <s v="37104NGI-SOCAL"/>
    <n v="-50"/>
  </r>
  <r>
    <x v="3"/>
    <x v="0"/>
    <s v="NX1655.4"/>
    <x v="4"/>
    <x v="0"/>
    <x v="0"/>
    <x v="6"/>
    <n v="-500000"/>
    <x v="36"/>
    <x v="6"/>
    <n v="1.2524999999999999"/>
    <n v="5.0404999999999998"/>
    <x v="6"/>
    <x v="5"/>
    <n v="0.4"/>
    <x v="13"/>
    <x v="6"/>
    <x v="0"/>
    <n v="0.2826094721055234"/>
    <n v="-209380.39418037821"/>
    <n v="-141304.7360527617"/>
    <n v="179067.17958854319"/>
    <n v="-30313.214591835014"/>
    <s v="37135NGI-SOCAL"/>
    <n v="-50"/>
  </r>
  <r>
    <x v="3"/>
    <x v="0"/>
    <s v="NX1655.4"/>
    <x v="4"/>
    <x v="0"/>
    <x v="0"/>
    <x v="5"/>
    <n v="-500000"/>
    <x v="36"/>
    <x v="5"/>
    <n v="0.74750000000000005"/>
    <n v="4.5205000000000002"/>
    <x v="5"/>
    <x v="4"/>
    <n v="0.40300000000000002"/>
    <x v="13"/>
    <x v="5"/>
    <x v="0"/>
    <n v="0.12854701973762603"/>
    <n v="-124288.65680294277"/>
    <n v="-64273.509868813017"/>
    <n v="98867.123177999572"/>
    <n v="-25421.5336249432"/>
    <s v="37165NGI-SOCAL"/>
    <n v="-50"/>
  </r>
  <r>
    <x v="3"/>
    <x v="0"/>
    <s v="NX1690"/>
    <x v="4"/>
    <x v="0"/>
    <x v="0"/>
    <x v="11"/>
    <n v="-500000"/>
    <x v="36"/>
    <x v="11"/>
    <n v="0.59"/>
    <n v="4.5280000000000005"/>
    <x v="11"/>
    <x v="7"/>
    <n v="0.443"/>
    <x v="13"/>
    <x v="11"/>
    <x v="0"/>
    <n v="5.6529531771418361E-2"/>
    <n v="-76584.540832552957"/>
    <n v="-28264.765885709181"/>
    <n v="61017.141141491084"/>
    <n v="-15567.399691061873"/>
    <s v="36982NGI-SOCAL"/>
    <n v="-50"/>
  </r>
  <r>
    <x v="3"/>
    <x v="0"/>
    <s v="NX1690"/>
    <x v="4"/>
    <x v="0"/>
    <x v="0"/>
    <x v="10"/>
    <n v="-500000"/>
    <x v="36"/>
    <x v="10"/>
    <n v="0.6"/>
    <n v="4.4379999999999997"/>
    <x v="10"/>
    <x v="6"/>
    <n v="0.40500000000000003"/>
    <x v="13"/>
    <x v="10"/>
    <x v="0"/>
    <n v="5.0233709547122952E-2"/>
    <n v="-71949.442680733759"/>
    <n v="-25116.854773561477"/>
    <n v="57489.863804051223"/>
    <n v="-14459.578876682535"/>
    <s v="37012NGI-SOCAL"/>
    <n v="-50"/>
  </r>
  <r>
    <x v="3"/>
    <x v="0"/>
    <s v="NX1690"/>
    <x v="4"/>
    <x v="0"/>
    <x v="0"/>
    <x v="9"/>
    <n v="-500000"/>
    <x v="36"/>
    <x v="9"/>
    <n v="0.62"/>
    <n v="4.4379999999999997"/>
    <x v="9"/>
    <x v="5"/>
    <n v="0.4"/>
    <x v="13"/>
    <x v="9"/>
    <x v="0"/>
    <n v="6.1307940640012833E-2"/>
    <n v="-81203.531741979343"/>
    <n v="-30653.970320006418"/>
    <n v="64746.874778968842"/>
    <n v="-16456.6569630105"/>
    <s v="37043NGI-SOCAL"/>
    <n v="-50"/>
  </r>
  <r>
    <x v="3"/>
    <x v="0"/>
    <s v="NX1690"/>
    <x v="4"/>
    <x v="0"/>
    <x v="0"/>
    <x v="8"/>
    <n v="-500000"/>
    <x v="36"/>
    <x v="8"/>
    <n v="1.2250000000000001"/>
    <n v="5.0280000000000005"/>
    <x v="8"/>
    <x v="5"/>
    <n v="0.4"/>
    <x v="13"/>
    <x v="8"/>
    <x v="0"/>
    <n v="0.2414369501394508"/>
    <n v="-200223.47174906798"/>
    <n v="-120718.47506972539"/>
    <n v="172652.32903323715"/>
    <n v="-27571.142715830822"/>
    <s v="37073NGI-SOCAL"/>
    <n v="-50"/>
  </r>
  <r>
    <x v="3"/>
    <x v="0"/>
    <s v="NX1690"/>
    <x v="4"/>
    <x v="0"/>
    <x v="0"/>
    <x v="7"/>
    <n v="-500000"/>
    <x v="36"/>
    <x v="7"/>
    <n v="1.2749999999999999"/>
    <n v="5.0830000000000002"/>
    <x v="7"/>
    <x v="5"/>
    <n v="0.4"/>
    <x v="13"/>
    <x v="7"/>
    <x v="0"/>
    <n v="0.27851788101850228"/>
    <n v="-212143.79059404304"/>
    <n v="-139258.94050925114"/>
    <n v="182894.96693477297"/>
    <n v="-29248.82365927007"/>
    <s v="37104NGI-SOCAL"/>
    <n v="-50"/>
  </r>
  <r>
    <x v="3"/>
    <x v="0"/>
    <s v="NX1690"/>
    <x v="4"/>
    <x v="0"/>
    <x v="0"/>
    <x v="6"/>
    <n v="-500000"/>
    <x v="36"/>
    <x v="6"/>
    <n v="1.2524999999999999"/>
    <n v="5.0404999999999998"/>
    <x v="6"/>
    <x v="5"/>
    <n v="0.4"/>
    <x v="13"/>
    <x v="6"/>
    <x v="0"/>
    <n v="0.2826094721055234"/>
    <n v="-209380.39418037821"/>
    <n v="-141304.7360527617"/>
    <n v="179067.17958854319"/>
    <n v="-30313.214591835014"/>
    <s v="37135NGI-SOCAL"/>
    <n v="-50"/>
  </r>
  <r>
    <x v="3"/>
    <x v="0"/>
    <s v="NX1690"/>
    <x v="4"/>
    <x v="0"/>
    <x v="0"/>
    <x v="5"/>
    <n v="-500000"/>
    <x v="36"/>
    <x v="5"/>
    <n v="0.74750000000000005"/>
    <n v="4.5205000000000002"/>
    <x v="5"/>
    <x v="4"/>
    <n v="0.40300000000000002"/>
    <x v="13"/>
    <x v="5"/>
    <x v="0"/>
    <n v="0.12854701973762603"/>
    <n v="-124288.65680294277"/>
    <n v="-64273.509868813017"/>
    <n v="98867.123177999572"/>
    <n v="-25421.5336249432"/>
    <s v="37165NGI-SOCAL"/>
    <n v="-50"/>
  </r>
  <r>
    <x v="6"/>
    <x v="0"/>
    <s v="NX1706"/>
    <x v="0"/>
    <x v="0"/>
    <x v="1"/>
    <x v="13"/>
    <n v="-2500000"/>
    <x v="1"/>
    <x v="13"/>
    <n v="0.315"/>
    <n v="5"/>
    <x v="13"/>
    <x v="5"/>
    <n v="0.39200000000000002"/>
    <x v="2"/>
    <x v="13"/>
    <x v="1"/>
    <n v="2.1419777501948678E-3"/>
    <n v="515689.94619224593"/>
    <n v="-5354.9443754871691"/>
    <n v="-517974.64877419849"/>
    <n v="-2284.7025819525588"/>
    <s v="36770IF-TRANSCO/Z6"/>
    <n v="-250"/>
  </r>
  <r>
    <x v="25"/>
    <x v="0"/>
    <s v="NX1727.2"/>
    <x v="10"/>
    <x v="0"/>
    <x v="1"/>
    <x v="18"/>
    <n v="500000"/>
    <x v="30"/>
    <x v="18"/>
    <n v="-0.17499999999999999"/>
    <n v="4.5609999999999999"/>
    <x v="18"/>
    <x v="13"/>
    <n v="0.60699999999999998"/>
    <x v="9"/>
    <x v="18"/>
    <x v="1"/>
    <n v="0.37878403749818657"/>
    <n v="-373857.37053527409"/>
    <n v="189392.01874909329"/>
    <n v="387808.66472714348"/>
    <n v="13951.294191869383"/>
    <s v="36831IF-NTHWST/CANBR"/>
    <n v="50"/>
  </r>
  <r>
    <x v="25"/>
    <x v="0"/>
    <s v="NX1727.2"/>
    <x v="10"/>
    <x v="0"/>
    <x v="1"/>
    <x v="17"/>
    <n v="500000"/>
    <x v="30"/>
    <x v="17"/>
    <n v="0.53"/>
    <n v="5.33"/>
    <x v="17"/>
    <x v="12"/>
    <n v="0.61199999999999999"/>
    <x v="9"/>
    <x v="17"/>
    <x v="1"/>
    <n v="8.9029839715347059E-2"/>
    <n v="-117767.57725188613"/>
    <n v="44514.919857673529"/>
    <n v="135881.4876920511"/>
    <n v="18113.910440164967"/>
    <s v="36861IF-NTHWST/CANBR"/>
    <n v="50"/>
  </r>
  <r>
    <x v="25"/>
    <x v="0"/>
    <s v="NX1727.2"/>
    <x v="10"/>
    <x v="0"/>
    <x v="1"/>
    <x v="16"/>
    <n v="500000"/>
    <x v="30"/>
    <x v="16"/>
    <n v="0.53"/>
    <n v="5.274"/>
    <x v="16"/>
    <x v="11"/>
    <n v="0.61699999999999999"/>
    <x v="9"/>
    <x v="16"/>
    <x v="1"/>
    <n v="0.11539419639744244"/>
    <n v="-128356.35529202127"/>
    <n v="57697.098198721222"/>
    <n v="150206.75887194462"/>
    <n v="21850.403579923353"/>
    <s v="36892IF-NTHWST/CANBR"/>
    <n v="50"/>
  </r>
  <r>
    <x v="25"/>
    <x v="0"/>
    <s v="NX1727.2"/>
    <x v="10"/>
    <x v="0"/>
    <x v="1"/>
    <x v="15"/>
    <n v="500000"/>
    <x v="30"/>
    <x v="15"/>
    <n v="0.34499999999999997"/>
    <n v="4.8250000000000002"/>
    <x v="15"/>
    <x v="10"/>
    <n v="0.60399999999999998"/>
    <x v="9"/>
    <x v="15"/>
    <x v="1"/>
    <n v="0.18108742895464519"/>
    <n v="-175050.9547242166"/>
    <n v="90543.714477322588"/>
    <n v="202088.92577951954"/>
    <n v="27037.971055302944"/>
    <s v="36923IF-NTHWST/CANBR"/>
    <n v="50"/>
  </r>
  <r>
    <x v="25"/>
    <x v="0"/>
    <s v="NX1727.2"/>
    <x v="10"/>
    <x v="0"/>
    <x v="1"/>
    <x v="14"/>
    <n v="500000"/>
    <x v="30"/>
    <x v="14"/>
    <n v="-0.03"/>
    <n v="4.1829999999999998"/>
    <x v="14"/>
    <x v="9"/>
    <n v="0.54300000000000004"/>
    <x v="9"/>
    <x v="14"/>
    <x v="1"/>
    <n v="0.32994861519934116"/>
    <n v="-284902.56793812971"/>
    <n v="164974.30759967057"/>
    <n v="311053.32425604836"/>
    <n v="26150.756317918655"/>
    <s v="36951IF-NTHWST/CANBR"/>
    <n v="50"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  <r>
    <x v="26"/>
    <x v="2"/>
    <m/>
    <x v="11"/>
    <x v="1"/>
    <x v="2"/>
    <x v="24"/>
    <m/>
    <x v="68"/>
    <x v="24"/>
    <m/>
    <m/>
    <x v="24"/>
    <x v="18"/>
    <m/>
    <x v="14"/>
    <x v="24"/>
    <x v="2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25">
  <r>
    <x v="0"/>
    <x v="0"/>
    <s v="EM1452.2"/>
    <x v="0"/>
    <x v="0"/>
    <x v="0"/>
    <x v="0"/>
    <n v="-1000000"/>
    <n v="0.95"/>
    <x v="0"/>
    <n v="0.99"/>
    <n v="4.5949999999999998"/>
    <x v="0"/>
    <x v="0"/>
    <n v="0.40200000000000002"/>
    <x v="0"/>
    <x v="0"/>
    <x v="0"/>
    <n v="0.3326813989164174"/>
    <n v="-511770.58327797131"/>
    <n v="-332681.39891641738"/>
    <n v="462840.86930992448"/>
    <n v="-48929.713968046824"/>
    <s v="37316IF-TRANSCO/Z6"/>
    <n v="-100"/>
    <n v="0.51177058327797131"/>
    <n v="0.40647572345741689"/>
    <n v="-0.40647572345741684"/>
    <n v="15117.255659256738"/>
    <n v="221.86108820854079"/>
    <x v="0"/>
  </r>
  <r>
    <x v="0"/>
    <x v="0"/>
    <s v="EM1452.2"/>
    <x v="0"/>
    <x v="0"/>
    <x v="0"/>
    <x v="1"/>
    <n v="-1000000"/>
    <n v="0.95"/>
    <x v="1"/>
    <n v="1.56"/>
    <n v="5.33"/>
    <x v="1"/>
    <x v="1"/>
    <n v="0.435"/>
    <x v="0"/>
    <x v="1"/>
    <x v="0"/>
    <n v="0.7086139771558102"/>
    <n v="-696251.76099955116"/>
    <n v="-708613.97715581022"/>
    <n v="655146.43581977289"/>
    <n v="-41105.325179778272"/>
    <s v="37288IF-TRANSCO/Z6"/>
    <n v="-100"/>
    <n v="0.69625176099955111"/>
    <n v="0.25276342469974078"/>
    <n v="-0.25276342469974078"/>
    <n v="13750.762123412371"/>
    <n v="159.37114294625084"/>
    <x v="0"/>
  </r>
  <r>
    <x v="0"/>
    <x v="0"/>
    <s v="EM1452.2"/>
    <x v="0"/>
    <x v="0"/>
    <x v="0"/>
    <x v="2"/>
    <n v="-1000000"/>
    <n v="0.95"/>
    <x v="2"/>
    <n v="1.56"/>
    <n v="5.5"/>
    <x v="2"/>
    <x v="2"/>
    <n v="0.45400000000000001"/>
    <x v="0"/>
    <x v="2"/>
    <x v="0"/>
    <n v="0.72320805016235024"/>
    <n v="-694955.47812375578"/>
    <n v="-723208.05016235029"/>
    <n v="652230.64497266011"/>
    <n v="-42724.833151095663"/>
    <s v="37257IF-TRANSCO/Z6"/>
    <n v="-100"/>
    <n v="0.6949554781237558"/>
    <n v="0.25087095950488048"/>
    <n v="-0.25087095950488048"/>
    <n v="14998.473453766244"/>
    <n v="192.6855775761496"/>
    <x v="0"/>
  </r>
  <r>
    <x v="0"/>
    <x v="0"/>
    <s v="EM1452.2"/>
    <x v="0"/>
    <x v="0"/>
    <x v="0"/>
    <x v="3"/>
    <n v="-1000000"/>
    <n v="0.95"/>
    <x v="3"/>
    <n v="1.31"/>
    <n v="5.2780000000000005"/>
    <x v="3"/>
    <x v="3"/>
    <n v="0.44800000000000001"/>
    <x v="0"/>
    <x v="3"/>
    <x v="0"/>
    <n v="0.54694290301287463"/>
    <n v="-631626.31315090542"/>
    <n v="-546942.90301287465"/>
    <n v="584995.7269203387"/>
    <n v="-46630.586230566725"/>
    <s v="37226IF-TRANSCO/Z6"/>
    <n v="-100"/>
    <n v="0.63162631315090545"/>
    <n v="0.31905699024886064"/>
    <n v="-0.31905699024886064"/>
    <n v="16323.727221871151"/>
    <n v="259.80443092286976"/>
    <x v="0"/>
  </r>
  <r>
    <x v="0"/>
    <x v="0"/>
    <s v="EM1452.2"/>
    <x v="0"/>
    <x v="0"/>
    <x v="0"/>
    <x v="4"/>
    <n v="-1000000"/>
    <n v="0.95"/>
    <x v="4"/>
    <n v="0.89"/>
    <n v="4.7679999999999998"/>
    <x v="4"/>
    <x v="4"/>
    <n v="0.443"/>
    <x v="0"/>
    <x v="4"/>
    <x v="0"/>
    <n v="0.29523334351388492"/>
    <n v="-478974.40576868155"/>
    <n v="-295233.34351388493"/>
    <n v="429262.14230713714"/>
    <n v="-49712.263461544411"/>
    <s v="37196IF-TRANSCO/Z6"/>
    <n v="-100"/>
    <n v="0.47897440576868155"/>
    <n v="0.42616222528370729"/>
    <n v="-0.42616222528370729"/>
    <n v="16499.665228104965"/>
    <n v="318.13927485264458"/>
    <x v="0"/>
  </r>
  <r>
    <x v="1"/>
    <x v="0"/>
    <s v="EW1882"/>
    <x v="0"/>
    <x v="0"/>
    <x v="0"/>
    <x v="5"/>
    <n v="500000"/>
    <n v="0.3"/>
    <x v="5"/>
    <n v="0.46100000000000002"/>
    <n v="4.234"/>
    <x v="5"/>
    <x v="4"/>
    <n v="0.39400000000000002"/>
    <x v="1"/>
    <x v="5"/>
    <x v="0"/>
    <n v="0.23164002790143209"/>
    <n v="314183.73842576187"/>
    <n v="115820.01395071605"/>
    <n v="-298950.52072455711"/>
    <n v="15233.217701204761"/>
    <s v="37165IF-TRANSCO/Z6"/>
    <n v="50"/>
    <n v="0.62836747685152372"/>
    <n v="0.83409829439390326"/>
    <n v="0.41704914719695163"/>
    <n v="-11867.451575097797"/>
    <n v="-62.933136019188048"/>
    <x v="0"/>
  </r>
  <r>
    <x v="1"/>
    <x v="0"/>
    <s v="EW1882"/>
    <x v="0"/>
    <x v="0"/>
    <x v="0"/>
    <x v="6"/>
    <n v="500000"/>
    <n v="0.3"/>
    <x v="6"/>
    <n v="0.39500000000000002"/>
    <n v="4.1829999999999998"/>
    <x v="6"/>
    <x v="5"/>
    <n v="0.39200000000000002"/>
    <x v="1"/>
    <x v="6"/>
    <x v="0"/>
    <n v="0.18782965588437475"/>
    <n v="288346.15732957528"/>
    <n v="93914.827942187374"/>
    <n v="-272848.13882331876"/>
    <n v="15498.018506256514"/>
    <s v="37135IF-TRANSCO/Z6"/>
    <n v="50"/>
    <n v="0.5766923146591505"/>
    <n v="0.94072921220911965"/>
    <n v="0.47036460610455982"/>
    <n v="-12012.651935595099"/>
    <n v="-74.54312284006879"/>
    <x v="0"/>
  </r>
  <r>
    <x v="1"/>
    <x v="0"/>
    <s v="EW1882"/>
    <x v="0"/>
    <x v="0"/>
    <x v="0"/>
    <x v="7"/>
    <n v="500000"/>
    <n v="0.3"/>
    <x v="7"/>
    <n v="0.46"/>
    <n v="4.2679999999999998"/>
    <x v="7"/>
    <x v="5"/>
    <n v="0.39200000000000002"/>
    <x v="1"/>
    <x v="7"/>
    <x v="0"/>
    <n v="0.2235866678375521"/>
    <n v="322183.7327188761"/>
    <n v="111793.33391877604"/>
    <n v="-308223.73785265023"/>
    <n v="13959.994866225868"/>
    <s v="37104IF-TRANSCO/Z6"/>
    <n v="50"/>
    <n v="0.64436746543775214"/>
    <n v="0.90092935316193823"/>
    <n v="0.45046467658096917"/>
    <n v="-10960.820842351792"/>
    <n v="-70.847331453976537"/>
    <x v="0"/>
  </r>
  <r>
    <x v="1"/>
    <x v="0"/>
    <s v="EW1882"/>
    <x v="0"/>
    <x v="0"/>
    <x v="0"/>
    <x v="8"/>
    <n v="500000"/>
    <n v="0.3"/>
    <x v="8"/>
    <n v="0.46"/>
    <n v="4.2629999999999999"/>
    <x v="8"/>
    <x v="5"/>
    <n v="0.39200000000000002"/>
    <x v="1"/>
    <x v="8"/>
    <x v="0"/>
    <n v="0.21878409133455745"/>
    <n v="327669.44644019566"/>
    <n v="109392.04566727873"/>
    <n v="-314449.6824835653"/>
    <n v="13219.76395663037"/>
    <s v="37073IF-TRANSCO/Z6"/>
    <n v="50"/>
    <n v="0.65533889288039138"/>
    <n v="0.94431044701151334"/>
    <n v="0.47215522350575662"/>
    <n v="-10368.322606567079"/>
    <n v="-75.415416283509273"/>
    <x v="0"/>
  </r>
  <r>
    <x v="1"/>
    <x v="0"/>
    <s v="EW1882"/>
    <x v="0"/>
    <x v="0"/>
    <x v="0"/>
    <x v="9"/>
    <n v="500000"/>
    <n v="0.3"/>
    <x v="9"/>
    <n v="0.39500000000000002"/>
    <n v="4.2130000000000001"/>
    <x v="9"/>
    <x v="5"/>
    <n v="0.39200000000000002"/>
    <x v="1"/>
    <x v="9"/>
    <x v="0"/>
    <n v="0.17355095828925546"/>
    <n v="299065.84356726857"/>
    <n v="86775.479144627723"/>
    <n v="-285533.78305641044"/>
    <n v="13532.060510858137"/>
    <s v="37043IF-TRANSCO/Z6"/>
    <n v="50"/>
    <n v="0.59813168713453713"/>
    <n v="1.0885035704631509"/>
    <n v="0.54425178523157547"/>
    <n v="-10569.181086496506"/>
    <n v="-91.522238927681087"/>
    <x v="0"/>
  </r>
  <r>
    <x v="1"/>
    <x v="0"/>
    <s v="EW1882"/>
    <x v="0"/>
    <x v="0"/>
    <x v="0"/>
    <x v="10"/>
    <n v="500000"/>
    <n v="0.3"/>
    <x v="10"/>
    <n v="0.40500000000000003"/>
    <n v="4.2430000000000003"/>
    <x v="10"/>
    <x v="6"/>
    <n v="0.39700000000000002"/>
    <x v="1"/>
    <x v="10"/>
    <x v="0"/>
    <n v="0.17534155304962179"/>
    <n v="308768.73178824666"/>
    <n v="87670.776524810892"/>
    <n v="-296013.1190310336"/>
    <n v="12755.612757213064"/>
    <s v="37012IF-TRANSCO/Z6"/>
    <n v="50"/>
    <n v="0.61753746357649331"/>
    <n v="1.127503119599327"/>
    <n v="0.56375155979966352"/>
    <n v="-10022.423781787182"/>
    <n v="-99.615018860336747"/>
    <x v="0"/>
  </r>
  <r>
    <x v="1"/>
    <x v="0"/>
    <s v="EW1882"/>
    <x v="0"/>
    <x v="0"/>
    <x v="0"/>
    <x v="11"/>
    <n v="500000"/>
    <n v="0.3"/>
    <x v="11"/>
    <n v="0.52"/>
    <n v="4.4580000000000002"/>
    <x v="11"/>
    <x v="7"/>
    <n v="0.434"/>
    <x v="1"/>
    <x v="11"/>
    <x v="0"/>
    <n v="0.25944655042125214"/>
    <n v="364681.04650038481"/>
    <n v="129723.27521062607"/>
    <n v="-353522.09243424883"/>
    <n v="11158.954066135979"/>
    <s v="36982IF-TRANSCO/Z6"/>
    <n v="50"/>
    <n v="0.7293620930007696"/>
    <n v="0.88109392853105439"/>
    <n v="0.44054696426552725"/>
    <n v="-9096.5766238328415"/>
    <n v="-95.319795359460684"/>
    <x v="0"/>
  </r>
  <r>
    <x v="1"/>
    <x v="0"/>
    <s v="EW1882"/>
    <x v="0"/>
    <x v="0"/>
    <x v="0"/>
    <x v="12"/>
    <n v="500000"/>
    <n v="0.3"/>
    <x v="12"/>
    <n v="0.41499999999999998"/>
    <n v="5.1070000000000002"/>
    <x v="12"/>
    <x v="8"/>
    <n v="0.56399999999999995"/>
    <x v="2"/>
    <x v="12"/>
    <x v="0"/>
    <n v="0.121746675089311"/>
    <n v="429759.41165786772"/>
    <n v="60873.3375446555"/>
    <n v="-427802.349715302"/>
    <n v="1957.0619425657205"/>
    <s v="36800IF-TRANSCO/Z6"/>
    <n v="50"/>
    <n v="0.85951882331573548"/>
    <n v="2.0158999907685802"/>
    <n v="1.0079499953842901"/>
    <n v="-6780.721612332708"/>
    <n v="-176.7591336725508"/>
    <x v="0"/>
  </r>
  <r>
    <x v="1"/>
    <x v="0"/>
    <s v="EW1882"/>
    <x v="0"/>
    <x v="0"/>
    <x v="0"/>
    <x v="13"/>
    <n v="500000"/>
    <n v="0.3"/>
    <x v="13"/>
    <n v="0.315"/>
    <n v="5"/>
    <x v="13"/>
    <x v="5"/>
    <n v="0.39200000000000002"/>
    <x v="2"/>
    <x v="13"/>
    <x v="0"/>
    <n v="1.713645792858692E-2"/>
    <n v="396678.0167079625"/>
    <n v="8568.2289642934593"/>
    <n v="-396221.07619157201"/>
    <n v="456.94051639048848"/>
    <s v="36770IF-TRANSCO/Z6"/>
    <n v="50"/>
    <n v="0.79335603341592498"/>
    <n v="15.497602968755826"/>
    <n v="7.7488014843779123"/>
    <n v="-1562.578341081748"/>
    <n v="-654.67787137099424"/>
    <x v="0"/>
  </r>
  <r>
    <x v="2"/>
    <x v="0"/>
    <s v="EW2420"/>
    <x v="1"/>
    <x v="0"/>
    <x v="1"/>
    <x v="12"/>
    <n v="310000"/>
    <n v="-0.4"/>
    <x v="12"/>
    <n v="-0.80500000000000005"/>
    <n v="3.887"/>
    <x v="12"/>
    <x v="8"/>
    <n v="0.55200000000000005"/>
    <x v="3"/>
    <x v="12"/>
    <x v="1"/>
    <n v="0.43702595785222825"/>
    <n v="-255110.39536218726"/>
    <n v="135478.04693419076"/>
    <n v="262023.98904443302"/>
    <n v="6913.5936822457588"/>
    <s v="36800IF-NWPL_ROCKY_M"/>
    <n v="31"/>
    <n v="-0.82293675923286214"/>
    <n v="0.65073432200693859"/>
    <n v="0.20172763982215094"/>
    <n v="-904.64624871310605"/>
    <n v="-470.11543032355615"/>
    <x v="0"/>
  </r>
  <r>
    <x v="2"/>
    <x v="0"/>
    <s v="EW2420"/>
    <x v="1"/>
    <x v="0"/>
    <x v="1"/>
    <x v="13"/>
    <n v="300000"/>
    <n v="-0.4"/>
    <x v="13"/>
    <n v="-1.24"/>
    <n v="3.4449999999999994"/>
    <x v="13"/>
    <x v="5"/>
    <n v="0.38400000000000001"/>
    <x v="3"/>
    <x v="13"/>
    <x v="1"/>
    <n v="0.8396910000813943"/>
    <n v="-299889.65444509493"/>
    <n v="251907.30002441828"/>
    <n v="299889.64287153044"/>
    <n v="-1.1573564494028687E-2"/>
    <s v="36770IF-NWPL_ROCKY_M"/>
    <n v="30"/>
    <n v="-0.99963218148364974"/>
    <n v="-1.768202916319936E-5"/>
    <n v="-5.3046087489598086E-6"/>
    <n v="-7.5165151909029575E-5"/>
    <n v="46.389729170141081"/>
    <x v="0"/>
  </r>
  <r>
    <x v="3"/>
    <x v="0"/>
    <s v="EY1230"/>
    <x v="0"/>
    <x v="0"/>
    <x v="0"/>
    <x v="12"/>
    <n v="310000"/>
    <n v="0.25"/>
    <x v="12"/>
    <n v="0.41499999999999998"/>
    <n v="5.1070000000000002"/>
    <x v="12"/>
    <x v="8"/>
    <n v="0.56399999999999995"/>
    <x v="2"/>
    <x v="12"/>
    <x v="0"/>
    <n v="0.1664503470448859"/>
    <n v="291648.57235517591"/>
    <n v="51599.607583914629"/>
    <n v="-291012.56423413131"/>
    <n v="636.00812104460783"/>
    <s v="36800IF-TRANSCO/Z6"/>
    <n v="31"/>
    <n v="0.94080184630701913"/>
    <n v="1.0318741005601588"/>
    <n v="0.31988097117364922"/>
    <n v="-2173.8467988116108"/>
    <n v="-47.719897430372832"/>
    <x v="0"/>
  </r>
  <r>
    <x v="3"/>
    <x v="0"/>
    <s v="EY1230"/>
    <x v="0"/>
    <x v="0"/>
    <x v="0"/>
    <x v="13"/>
    <n v="300000"/>
    <n v="0.25"/>
    <x v="13"/>
    <n v="0.315"/>
    <n v="5"/>
    <x v="13"/>
    <x v="5"/>
    <n v="0.39200000000000002"/>
    <x v="2"/>
    <x v="13"/>
    <x v="0"/>
    <n v="6.4976737601546694E-2"/>
    <n v="299845.67101746355"/>
    <n v="19493.021280464007"/>
    <n v="-299845.10537692055"/>
    <n v="0.56564054300542921"/>
    <s v="36770IF-TRANSCO/Z6"/>
    <n v="30"/>
    <n v="0.99948557005821181"/>
    <n v="3.1311587960934396E-2"/>
    <n v="9.3934763882803189E-3"/>
    <n v="-1.9101379462547099"/>
    <n v="2.8210802118574265"/>
    <x v="0"/>
  </r>
  <r>
    <x v="1"/>
    <x v="0"/>
    <s v="N33626.2"/>
    <x v="2"/>
    <x v="0"/>
    <x v="0"/>
    <x v="12"/>
    <n v="620000"/>
    <n v="0.16"/>
    <x v="12"/>
    <n v="0.185"/>
    <n v="4.8769999999999998"/>
    <x v="12"/>
    <x v="8"/>
    <n v="0.56399999999999995"/>
    <x v="4"/>
    <x v="12"/>
    <x v="0"/>
    <n v="4.5781273407068362E-2"/>
    <n v="385621.02631564857"/>
    <n v="28384.389512382386"/>
    <n v="-381883.12215316587"/>
    <n v="3737.9041624827078"/>
    <s v="36800IF-CGT/APPALAC"/>
    <n v="62"/>
    <n v="0.62196939728330414"/>
    <n v="4.6848619419958899"/>
    <n v="2.904614404037452"/>
    <n v="-18386.229518390344"/>
    <n v="-298.48024544181385"/>
    <x v="0"/>
  </r>
  <r>
    <x v="1"/>
    <x v="0"/>
    <s v="N33626.2"/>
    <x v="2"/>
    <x v="0"/>
    <x v="0"/>
    <x v="13"/>
    <n v="600000"/>
    <n v="0.16"/>
    <x v="13"/>
    <n v="0.17"/>
    <n v="4.8549999999999995"/>
    <x v="13"/>
    <x v="5"/>
    <n v="0.39200000000000002"/>
    <x v="4"/>
    <x v="13"/>
    <x v="0"/>
    <n v="1.1978879909010205E-2"/>
    <n v="456653.53660260804"/>
    <n v="7187.327945406123"/>
    <n v="-456127.82022982312"/>
    <n v="525.71637278492562"/>
    <s v="36770IF-CGT/APPALAC"/>
    <n v="60"/>
    <n v="0.76108922767101339"/>
    <n v="21.947925683586103"/>
    <n v="13.168755410151661"/>
    <n v="-2576.9126498979285"/>
    <n v="-655.04895623582229"/>
    <x v="0"/>
  </r>
  <r>
    <x v="4"/>
    <x v="1"/>
    <s v="NA9501.1"/>
    <x v="2"/>
    <x v="0"/>
    <x v="0"/>
    <x v="12"/>
    <n v="310000"/>
    <n v="0.16"/>
    <x v="12"/>
    <n v="0.185"/>
    <n v="4.8769999999999998"/>
    <x v="12"/>
    <x v="8"/>
    <n v="0.56399999999999995"/>
    <x v="4"/>
    <x v="12"/>
    <x v="0"/>
    <n v="4.5781273407068362E-2"/>
    <n v="192810.51315782429"/>
    <n v="14192.194756191193"/>
    <n v="-190941.56107658293"/>
    <n v="1868.9520812413539"/>
    <s v="36800IF-CGT/APPALAC"/>
    <n v="31"/>
    <n v="0.62196939728330414"/>
    <n v="4.6848619419958899"/>
    <n v="1.452307202018726"/>
    <n v="-9193.1147591951722"/>
    <n v="-149.24012272090692"/>
    <x v="0"/>
  </r>
  <r>
    <x v="4"/>
    <x v="1"/>
    <s v="NA9501.1"/>
    <x v="2"/>
    <x v="0"/>
    <x v="0"/>
    <x v="13"/>
    <n v="300000"/>
    <n v="0.16"/>
    <x v="13"/>
    <n v="0.17"/>
    <n v="4.8549999999999995"/>
    <x v="13"/>
    <x v="5"/>
    <n v="0.39200000000000002"/>
    <x v="4"/>
    <x v="13"/>
    <x v="0"/>
    <n v="1.1978879909010205E-2"/>
    <n v="228326.76830130402"/>
    <n v="3593.6639727030615"/>
    <n v="-228063.91011491156"/>
    <n v="262.85818639246281"/>
    <s v="36770IF-CGT/APPALAC"/>
    <n v="30"/>
    <n v="0.76108922767101339"/>
    <n v="21.947925683586103"/>
    <n v="6.5843777050758305"/>
    <n v="-1288.4563249489643"/>
    <n v="-327.52447811791114"/>
    <x v="0"/>
  </r>
  <r>
    <x v="5"/>
    <x v="0"/>
    <s v="NB4804"/>
    <x v="2"/>
    <x v="0"/>
    <x v="0"/>
    <x v="14"/>
    <n v="310000"/>
    <n v="0.33"/>
    <x v="14"/>
    <n v="0.27"/>
    <n v="4.4830000000000005"/>
    <x v="14"/>
    <x v="9"/>
    <n v="0.53300000000000003"/>
    <x v="5"/>
    <x v="14"/>
    <x v="0"/>
    <n v="7.518135428029124E-2"/>
    <n v="127739.35023861668"/>
    <n v="23306.219826890283"/>
    <n v="-122175.69935334691"/>
    <n v="5563.6508852697734"/>
    <s v="36951IF-CGT/APPALAC"/>
    <n v="31"/>
    <n v="0.41206242012456995"/>
    <n v="1.4583899400306266"/>
    <n v="0.45210088140949423"/>
    <n v="-12037.732646596443"/>
    <n v="-79.982346346654779"/>
    <x v="0"/>
  </r>
  <r>
    <x v="5"/>
    <x v="0"/>
    <s v="NB4804"/>
    <x v="2"/>
    <x v="0"/>
    <x v="0"/>
    <x v="15"/>
    <n v="280000"/>
    <n v="0.33"/>
    <x v="15"/>
    <n v="0.29499999999999998"/>
    <n v="4.7750000000000004"/>
    <x v="15"/>
    <x v="10"/>
    <n v="0.59299999999999997"/>
    <x v="5"/>
    <x v="15"/>
    <x v="0"/>
    <n v="9.3855556414218333E-2"/>
    <n v="127156.35115854295"/>
    <n v="26279.555795981134"/>
    <n v="-121855.13751506231"/>
    <n v="5301.2136434806453"/>
    <s v="36923IF-CGT/APPALAC"/>
    <n v="28"/>
    <n v="0.45412982556622483"/>
    <n v="1.3729483780715341"/>
    <n v="0.38442554586002958"/>
    <n v="-12213.174596417086"/>
    <n v="-94.386185334376393"/>
    <x v="0"/>
  </r>
  <r>
    <x v="5"/>
    <x v="0"/>
    <s v="NB4804"/>
    <x v="2"/>
    <x v="0"/>
    <x v="0"/>
    <x v="16"/>
    <n v="310000"/>
    <n v="0.33"/>
    <x v="16"/>
    <n v="0.3"/>
    <n v="5.0439999999999996"/>
    <x v="16"/>
    <x v="11"/>
    <n v="0.60499999999999998"/>
    <x v="5"/>
    <x v="16"/>
    <x v="0"/>
    <n v="9.0629839427428152E-2"/>
    <n v="142344.75302261239"/>
    <n v="28095.250222502727"/>
    <n v="-136949.53733596342"/>
    <n v="5395.2156866489677"/>
    <s v="36892IF-CGT/APPALAC"/>
    <n v="31"/>
    <n v="0.45917662265358838"/>
    <n v="1.4589636117675557"/>
    <n v="0.45227871964794225"/>
    <n v="-13185.417160169045"/>
    <n v="-127.6657956968016"/>
    <x v="0"/>
  </r>
  <r>
    <x v="5"/>
    <x v="0"/>
    <s v="NB4804"/>
    <x v="2"/>
    <x v="0"/>
    <x v="0"/>
    <x v="17"/>
    <n v="310000"/>
    <n v="0.33"/>
    <x v="17"/>
    <n v="0.29499999999999998"/>
    <n v="5.0949999999999998"/>
    <x v="17"/>
    <x v="12"/>
    <n v="0.6"/>
    <x v="5"/>
    <x v="17"/>
    <x v="0"/>
    <n v="7.5654336805862435E-2"/>
    <n v="137934.06999426498"/>
    <n v="23452.844409817353"/>
    <n v="-133250.13803379898"/>
    <n v="4683.9319604659977"/>
    <s v="36861IF-CGT/APPALAC"/>
    <n v="31"/>
    <n v="0.44494861288472576"/>
    <n v="1.6732438150383946"/>
    <n v="0.51870558266190225"/>
    <n v="-11573.406716391117"/>
    <n v="-147.6949010151217"/>
    <x v="0"/>
  </r>
  <r>
    <x v="5"/>
    <x v="0"/>
    <s v="NB4804"/>
    <x v="2"/>
    <x v="0"/>
    <x v="0"/>
    <x v="18"/>
    <n v="300000"/>
    <n v="0.33"/>
    <x v="18"/>
    <n v="0.26500000000000001"/>
    <n v="5.0009999999999994"/>
    <x v="18"/>
    <x v="13"/>
    <n v="0.59499999999999997"/>
    <x v="5"/>
    <x v="18"/>
    <x v="0"/>
    <n v="4.6483111476336519E-2"/>
    <n v="111002.27879781606"/>
    <n v="13944.933442900956"/>
    <n v="-107452.85568426919"/>
    <n v="3549.4231135468726"/>
    <s v="36831IF-CGT/APPALAC"/>
    <n v="30"/>
    <n v="0.37000759599272021"/>
    <n v="2.0097491082055852"/>
    <n v="0.60292473246167555"/>
    <n v="-8631.2831369431096"/>
    <n v="-164.47216574156707"/>
    <x v="0"/>
  </r>
  <r>
    <x v="6"/>
    <x v="0"/>
    <s v="NE3899"/>
    <x v="0"/>
    <x v="0"/>
    <x v="0"/>
    <x v="18"/>
    <n v="900000"/>
    <n v="1"/>
    <x v="18"/>
    <n v="0.77"/>
    <n v="5.5060000000000002"/>
    <x v="18"/>
    <x v="13"/>
    <n v="0.625"/>
    <x v="6"/>
    <x v="18"/>
    <x v="0"/>
    <n v="0.17043556386117104"/>
    <n v="348555.30735965644"/>
    <n v="153392.00747505392"/>
    <n v="-310922.78895028553"/>
    <n v="37632.51840937091"/>
    <s v="36831IF-TRANSCO/Z6"/>
    <n v="90"/>
    <n v="0.38728367484406273"/>
    <n v="0.56841829606161087"/>
    <n v="0.51157646645544974"/>
    <n v="-8250.6099344709492"/>
    <n v="-1788.8791402623576"/>
    <x v="0"/>
  </r>
  <r>
    <x v="7"/>
    <x v="0"/>
    <s v="NE3901"/>
    <x v="0"/>
    <x v="0"/>
    <x v="1"/>
    <x v="18"/>
    <n v="300000"/>
    <n v="0.45"/>
    <x v="18"/>
    <n v="0.77"/>
    <n v="5.5060000000000002"/>
    <x v="18"/>
    <x v="13"/>
    <n v="0.625"/>
    <x v="6"/>
    <x v="18"/>
    <x v="1"/>
    <n v="0.12271011855347486"/>
    <n v="-84860.251869355779"/>
    <n v="36813.035566042454"/>
    <n v="97079.553583898378"/>
    <n v="12219.301714542598"/>
    <s v="36831IF-TRANSCO/Z6"/>
    <n v="30"/>
    <n v="-0.28286750623118595"/>
    <n v="0.51516851207611603"/>
    <n v="0.15455055362283482"/>
    <n v="-2743.3808431252091"/>
    <n v="-516.37562632930724"/>
    <x v="0"/>
  </r>
  <r>
    <x v="8"/>
    <x v="0"/>
    <s v="NE3903"/>
    <x v="0"/>
    <x v="0"/>
    <x v="1"/>
    <x v="18"/>
    <n v="900000"/>
    <n v="0.45"/>
    <x v="18"/>
    <n v="0.77"/>
    <n v="5.5060000000000002"/>
    <x v="18"/>
    <x v="13"/>
    <n v="0.625"/>
    <x v="6"/>
    <x v="18"/>
    <x v="1"/>
    <n v="0.12271011855347486"/>
    <n v="-254580.75560806735"/>
    <n v="110439.10669812738"/>
    <n v="291238.66075169516"/>
    <n v="36657.90514362781"/>
    <s v="36831IF-TRANSCO/Z6"/>
    <n v="90"/>
    <n v="-0.28286750623118595"/>
    <n v="0.51516851207611603"/>
    <n v="0.46365166086850446"/>
    <n v="-8230.1425293756292"/>
    <n v="-1549.1268789879218"/>
    <x v="0"/>
  </r>
  <r>
    <x v="9"/>
    <x v="0"/>
    <s v="NE3906"/>
    <x v="0"/>
    <x v="0"/>
    <x v="1"/>
    <x v="18"/>
    <n v="1500000"/>
    <n v="0.45"/>
    <x v="18"/>
    <n v="0.77"/>
    <n v="5.5060000000000002"/>
    <x v="18"/>
    <x v="13"/>
    <n v="0.625"/>
    <x v="6"/>
    <x v="18"/>
    <x v="1"/>
    <n v="0.12271011855347486"/>
    <n v="-424301.25934677891"/>
    <n v="184065.17783021228"/>
    <n v="485397.76791949192"/>
    <n v="61096.508572713006"/>
    <s v="36831IF-TRANSCO/Z6"/>
    <n v="150"/>
    <n v="-0.28286750623118595"/>
    <n v="0.51516851207611603"/>
    <n v="0.77275276811417404"/>
    <n v="-13716.904215626048"/>
    <n v="-2581.8781316465365"/>
    <x v="0"/>
  </r>
  <r>
    <x v="6"/>
    <x v="0"/>
    <s v="NE5062.1"/>
    <x v="0"/>
    <x v="0"/>
    <x v="0"/>
    <x v="14"/>
    <n v="1240000"/>
    <n v="1.25"/>
    <x v="14"/>
    <n v="1.075"/>
    <n v="5.2880000000000003"/>
    <x v="14"/>
    <x v="9"/>
    <n v="0.61199999999999999"/>
    <x v="7"/>
    <x v="14"/>
    <x v="0"/>
    <n v="0.43947287889585668"/>
    <n v="599006.60415959393"/>
    <n v="544946.36983086227"/>
    <n v="-490870.92123462394"/>
    <n v="108135.68292496999"/>
    <s v="36951IF-TRANSCO/Z6"/>
    <n v="124"/>
    <n v="0.48306984206418868"/>
    <n v="0.29030365921063567"/>
    <n v="0.35997653742118824"/>
    <n v="-12783.464146186343"/>
    <n v="-1639.858049514545"/>
    <x v="0"/>
  </r>
  <r>
    <x v="10"/>
    <x v="1"/>
    <s v="NE5062.2"/>
    <x v="0"/>
    <x v="0"/>
    <x v="0"/>
    <x v="14"/>
    <n v="-310000"/>
    <n v="1.25"/>
    <x v="14"/>
    <n v="1.075"/>
    <n v="5.2880000000000003"/>
    <x v="14"/>
    <x v="9"/>
    <n v="0.61199999999999999"/>
    <x v="7"/>
    <x v="14"/>
    <x v="0"/>
    <n v="0.43947287889585668"/>
    <n v="-149751.65103989848"/>
    <n v="-136236.59245771557"/>
    <n v="122717.73030865598"/>
    <n v="-27033.920731242499"/>
    <s v="36951IF-TRANSCO/Z6"/>
    <n v="-31"/>
    <n v="0.48306984206418868"/>
    <n v="0.29030365921063567"/>
    <n v="-8.9994134355297059E-2"/>
    <n v="3195.8660365465857"/>
    <n v="409.96451237863624"/>
    <x v="0"/>
  </r>
  <r>
    <x v="11"/>
    <x v="0"/>
    <s v="NE6161.1"/>
    <x v="1"/>
    <x v="0"/>
    <x v="0"/>
    <x v="12"/>
    <n v="310000"/>
    <n v="-0.32"/>
    <x v="12"/>
    <n v="-0.80500000000000005"/>
    <n v="3.887"/>
    <x v="12"/>
    <x v="8"/>
    <n v="0.55200000000000005"/>
    <x v="3"/>
    <x v="12"/>
    <x v="0"/>
    <n v="2.2795559989855496E-2"/>
    <n v="38603.729026086505"/>
    <n v="7066.6235968552037"/>
    <n v="-33047.263102924211"/>
    <n v="5556.4659231622936"/>
    <s v="36800IF-NWPL_ROCKY_M"/>
    <n v="31"/>
    <n v="0.12452815814866615"/>
    <n v="0.53456098923597606"/>
    <n v="0.16571390666315255"/>
    <n v="-729.01428146673584"/>
    <n v="-391.96857417647851"/>
    <x v="0"/>
  </r>
  <r>
    <x v="11"/>
    <x v="0"/>
    <s v="NE6161.1"/>
    <x v="1"/>
    <x v="0"/>
    <x v="0"/>
    <x v="13"/>
    <n v="300000"/>
    <n v="-0.32"/>
    <x v="13"/>
    <n v="-1.24"/>
    <n v="3.4449999999999994"/>
    <x v="13"/>
    <x v="5"/>
    <n v="0.38400000000000001"/>
    <x v="3"/>
    <x v="13"/>
    <x v="0"/>
    <n v="1.2057742898585744E-7"/>
    <n v="-5.08772478813313E-2"/>
    <n v="3.6173228695757231E-2"/>
    <n v="3.9303683441183068E-2"/>
    <n v="-1.1573564440148232E-2"/>
    <s v="36770IF-NWPL_ROCKY_M"/>
    <n v="30"/>
    <n v="-1.6959082627110433E-7"/>
    <n v="-1.9378394613128954E-5"/>
    <n v="-5.8135183839386868E-6"/>
    <n v="3.7582575954514787E-5"/>
    <n v="8.413585473298571E-6"/>
    <x v="0"/>
  </r>
  <r>
    <x v="11"/>
    <x v="0"/>
    <s v="NE6161.2"/>
    <x v="1"/>
    <x v="0"/>
    <x v="1"/>
    <x v="12"/>
    <n v="310000"/>
    <n v="-0.32"/>
    <x v="12"/>
    <n v="-0.80500000000000005"/>
    <n v="3.887"/>
    <x v="12"/>
    <x v="8"/>
    <n v="0.55200000000000005"/>
    <x v="3"/>
    <x v="12"/>
    <x v="1"/>
    <n v="0.50500241936360335"/>
    <n v="-269610.96459424705"/>
    <n v="156550.75000271705"/>
    <n v="275167.43051740935"/>
    <n v="5556.4659231622936"/>
    <s v="36800IF-NWPL_ROCKY_M"/>
    <n v="31"/>
    <n v="-0.86971278901370019"/>
    <n v="0.53456098923597606"/>
    <n v="0.16571390666315255"/>
    <n v="-729.01428146673584"/>
    <n v="-364.09867607544061"/>
    <x v="0"/>
  </r>
  <r>
    <x v="11"/>
    <x v="0"/>
    <s v="NE6161.2"/>
    <x v="1"/>
    <x v="0"/>
    <x v="1"/>
    <x v="13"/>
    <n v="300000"/>
    <n v="-0.32"/>
    <x v="13"/>
    <n v="-1.24"/>
    <n v="3.4449999999999994"/>
    <x v="13"/>
    <x v="5"/>
    <n v="0.38400000000000001"/>
    <x v="3"/>
    <x v="13"/>
    <x v="1"/>
    <n v="0.91966157151882699"/>
    <n v="-299889.65444509487"/>
    <n v="275898.47145564808"/>
    <n v="299889.64287153044"/>
    <n v="-1.1573564435821027E-2"/>
    <s v="36770IF-NWPL_ROCKY_M"/>
    <n v="30"/>
    <n v="-0.99963218148364952"/>
    <n v="-1.9378394613128954E-5"/>
    <n v="-5.8135183839386868E-6"/>
    <n v="3.7582575954514787E-5"/>
    <n v="50.807798442566096"/>
    <x v="0"/>
  </r>
  <r>
    <x v="11"/>
    <x v="0"/>
    <s v="NE6195"/>
    <x v="1"/>
    <x v="0"/>
    <x v="1"/>
    <x v="12"/>
    <n v="620000"/>
    <n v="-0.4"/>
    <x v="12"/>
    <n v="-0.80500000000000005"/>
    <n v="3.887"/>
    <x v="12"/>
    <x v="8"/>
    <n v="0.55200000000000005"/>
    <x v="3"/>
    <x v="12"/>
    <x v="1"/>
    <n v="0.43702595785222825"/>
    <n v="-510220.79072437453"/>
    <n v="270956.09386838152"/>
    <n v="524047.97808886605"/>
    <n v="13827.187364491518"/>
    <s v="36800IF-NWPL_ROCKY_M"/>
    <n v="62"/>
    <n v="-0.82293675923286214"/>
    <n v="0.65073432200693859"/>
    <n v="0.40345527964430189"/>
    <n v="-1809.2924974262121"/>
    <n v="-940.23086064711231"/>
    <x v="0"/>
  </r>
  <r>
    <x v="11"/>
    <x v="0"/>
    <s v="NE6195"/>
    <x v="1"/>
    <x v="0"/>
    <x v="1"/>
    <x v="13"/>
    <n v="600000"/>
    <n v="-0.4"/>
    <x v="13"/>
    <n v="-1.24"/>
    <n v="3.4449999999999994"/>
    <x v="13"/>
    <x v="5"/>
    <n v="0.38400000000000001"/>
    <x v="3"/>
    <x v="13"/>
    <x v="1"/>
    <n v="0.8396910000813943"/>
    <n v="-599779.30889018986"/>
    <n v="503814.60004883655"/>
    <n v="599779.28574306087"/>
    <n v="-2.3147128988057375E-2"/>
    <s v="36770IF-NWPL_ROCKY_M"/>
    <n v="60"/>
    <n v="-0.99963218148364974"/>
    <n v="-1.768202916319936E-5"/>
    <n v="-1.0609217497919617E-5"/>
    <n v="-1.5033030381805915E-4"/>
    <n v="92.779458340282162"/>
    <x v="0"/>
  </r>
  <r>
    <x v="2"/>
    <x v="0"/>
    <s v="NE6212"/>
    <x v="1"/>
    <x v="0"/>
    <x v="0"/>
    <x v="12"/>
    <n v="310000"/>
    <n v="-0.25"/>
    <x v="12"/>
    <n v="-0.80500000000000005"/>
    <n v="3.887"/>
    <x v="12"/>
    <x v="8"/>
    <n v="0.55200000000000005"/>
    <x v="3"/>
    <x v="12"/>
    <x v="0"/>
    <n v="1.5486375696830756E-2"/>
    <n v="28329.063541090101"/>
    <n v="4800.7764660175344"/>
    <n v="-23905.585596128058"/>
    <n v="4423.4779449620437"/>
    <s v="36800IF-NWPL_ROCKY_M"/>
    <n v="31"/>
    <n v="9.1384075939000331E-2"/>
    <n v="0.43383602112205233"/>
    <n v="0.13448916654783621"/>
    <n v="-581.68529773572993"/>
    <n v="-309.33129261086799"/>
    <x v="0"/>
  </r>
  <r>
    <x v="2"/>
    <x v="0"/>
    <s v="NE6212"/>
    <x v="1"/>
    <x v="0"/>
    <x v="0"/>
    <x v="13"/>
    <n v="300000"/>
    <n v="-0.25"/>
    <x v="13"/>
    <n v="-1.24"/>
    <n v="3.4449999999999994"/>
    <x v="13"/>
    <x v="5"/>
    <n v="0.38400000000000001"/>
    <x v="3"/>
    <x v="13"/>
    <x v="0"/>
    <n v="1.2975268473547352E-7"/>
    <n v="-5.0877248114478135E-2"/>
    <n v="3.8925805420642057E-2"/>
    <n v="3.9303683441183068E-2"/>
    <n v="-1.1573564673295067E-2"/>
    <s v="36770IF-NWPL_ROCKY_M"/>
    <n v="30"/>
    <n v="-1.6959082704826045E-7"/>
    <n v="-2.0862714381729432E-5"/>
    <n v="-6.2588143145188299E-6"/>
    <n v="-1.8791287977257394E-5"/>
    <n v="8.9204833816495567E-6"/>
    <x v="0"/>
  </r>
  <r>
    <x v="9"/>
    <x v="0"/>
    <s v="NE7612"/>
    <x v="1"/>
    <x v="0"/>
    <x v="0"/>
    <x v="12"/>
    <n v="310000"/>
    <n v="-0.3"/>
    <x v="12"/>
    <n v="-0.80500000000000005"/>
    <n v="3.887"/>
    <x v="12"/>
    <x v="8"/>
    <n v="0.55200000000000005"/>
    <x v="3"/>
    <x v="12"/>
    <x v="0"/>
    <n v="2.0465634510576369E-2"/>
    <n v="35440.361194386373"/>
    <n v="6344.3466982786749"/>
    <n v="-30216.02708369938"/>
    <n v="5224.3341106869921"/>
    <s v="36800IF-NWPL_ROCKY_M"/>
    <n v="31"/>
    <n v="0.11432374578834313"/>
    <n v="0.50537779076484501"/>
    <n v="0.15666711513710196"/>
    <n v="-685.88837734507342"/>
    <n v="-367.56829971375237"/>
    <x v="0"/>
  </r>
  <r>
    <x v="9"/>
    <x v="0"/>
    <s v="NE7612"/>
    <x v="1"/>
    <x v="0"/>
    <x v="1"/>
    <x v="12"/>
    <n v="310000"/>
    <n v="-0.3"/>
    <x v="12"/>
    <n v="-0.80500000000000005"/>
    <n v="3.887"/>
    <x v="12"/>
    <x v="8"/>
    <n v="0.55200000000000005"/>
    <x v="3"/>
    <x v="12"/>
    <x v="1"/>
    <n v="0.52255731282757178"/>
    <n v="-272774.33242594718"/>
    <n v="161992.76697654725"/>
    <n v="277998.66653663421"/>
    <n v="5224.3341106870212"/>
    <s v="36800IF-NWPL_ROCKY_M"/>
    <n v="31"/>
    <n v="-0.87991720137402318"/>
    <n v="0.50537779076484501"/>
    <n v="0.15666711513710196"/>
    <n v="-685.88837734507342"/>
    <n v="-338.54912746421809"/>
    <x v="0"/>
  </r>
  <r>
    <x v="9"/>
    <x v="0"/>
    <s v="NE7612"/>
    <x v="1"/>
    <x v="0"/>
    <x v="0"/>
    <x v="13"/>
    <n v="300000"/>
    <n v="-0.3"/>
    <x v="13"/>
    <n v="-1.24"/>
    <n v="3.4449999999999994"/>
    <x v="13"/>
    <x v="5"/>
    <n v="0.38400000000000001"/>
    <x v="3"/>
    <x v="13"/>
    <x v="0"/>
    <n v="1.2319893094581147E-7"/>
    <n v="-5.0877248047864754E-2"/>
    <n v="3.6959679283743441E-2"/>
    <n v="3.9303683441183068E-2"/>
    <n v="-1.1573564606681686E-2"/>
    <s v="36770IF-NWPL_ROCKY_M"/>
    <n v="30"/>
    <n v="-1.6959082682621585E-7"/>
    <n v="-1.9802485970418361E-5"/>
    <n v="-5.9407457911255078E-6"/>
    <n v="3.7582575954514787E-5"/>
    <n v="8.5617862115096749E-6"/>
    <x v="0"/>
  </r>
  <r>
    <x v="9"/>
    <x v="0"/>
    <s v="NE7612"/>
    <x v="1"/>
    <x v="0"/>
    <x v="1"/>
    <x v="13"/>
    <n v="300000"/>
    <n v="-0.3"/>
    <x v="13"/>
    <n v="-1.24"/>
    <n v="3.4449999999999994"/>
    <x v="13"/>
    <x v="5"/>
    <n v="0.38400000000000001"/>
    <x v="3"/>
    <x v="13"/>
    <x v="1"/>
    <n v="0.93965421437818542"/>
    <n v="-299889.65444509505"/>
    <n v="281896.26431345561"/>
    <n v="299889.64287153044"/>
    <n v="-1.1573564610444009E-2"/>
    <s v="36770IF-NWPL_ROCKY_M"/>
    <n v="30"/>
    <n v="-0.99963218148365018"/>
    <n v="-1.9802485970418361E-5"/>
    <n v="-5.9407457911255078E-6"/>
    <n v="3.7582575954514787E-5"/>
    <n v="51.912315765309891"/>
    <x v="0"/>
  </r>
  <r>
    <x v="3"/>
    <x v="0"/>
    <s v="NE8609"/>
    <x v="0"/>
    <x v="0"/>
    <x v="1"/>
    <x v="15"/>
    <n v="500000"/>
    <n v="1"/>
    <x v="15"/>
    <n v="2.09"/>
    <n v="6.57"/>
    <x v="15"/>
    <x v="10"/>
    <n v="0.68100000000000005"/>
    <x v="7"/>
    <x v="15"/>
    <x v="1"/>
    <n v="0.20507600737213183"/>
    <n v="-96780.218200554882"/>
    <n v="102538.00368606592"/>
    <n v="132101.47240562714"/>
    <n v="35321.254205072255"/>
    <s v="36923IF-TRANSCO/Z6"/>
    <n v="50"/>
    <n v="-0.19356043640110976"/>
    <n v="0.16261023775223696"/>
    <n v="8.1305118876118479E-2"/>
    <n v="-4875.2330496126988"/>
    <n v="-714.50106103500968"/>
    <x v="0"/>
  </r>
  <r>
    <x v="3"/>
    <x v="0"/>
    <s v="NE8609"/>
    <x v="0"/>
    <x v="0"/>
    <x v="1"/>
    <x v="16"/>
    <n v="500000"/>
    <n v="1"/>
    <x v="16"/>
    <n v="2.17"/>
    <n v="6.9139999999999997"/>
    <x v="16"/>
    <x v="11"/>
    <n v="0.69599999999999995"/>
    <x v="7"/>
    <x v="16"/>
    <x v="1"/>
    <n v="0.16682160872180107"/>
    <n v="-86781.459479553683"/>
    <n v="83410.80436090054"/>
    <n v="116948.2910220831"/>
    <n v="30166.831542529413"/>
    <s v="36892IF-TRANSCO/Z6"/>
    <n v="50"/>
    <n v="-0.17356291895910736"/>
    <n v="0.16015948137157252"/>
    <n v="8.0079740685786244E-2"/>
    <n v="-4412.0341273735894"/>
    <n v="-814.95392193209079"/>
    <x v="0"/>
  </r>
  <r>
    <x v="3"/>
    <x v="0"/>
    <s v="NE8609"/>
    <x v="0"/>
    <x v="0"/>
    <x v="1"/>
    <x v="17"/>
    <n v="500000"/>
    <n v="1"/>
    <x v="17"/>
    <n v="1.645"/>
    <n v="6.4450000000000003"/>
    <x v="17"/>
    <x v="12"/>
    <n v="0.69"/>
    <x v="7"/>
    <x v="17"/>
    <x v="1"/>
    <n v="0.22359489711956859"/>
    <n v="-129510.21106902328"/>
    <n v="111797.4485597843"/>
    <n v="161267.33778204062"/>
    <n v="31757.126713017336"/>
    <s v="36861IF-TRANSCO/Z6"/>
    <n v="50"/>
    <n v="-0.25902042213804655"/>
    <n v="0.25110004239965222"/>
    <n v="0.12555002119982611"/>
    <n v="-4532.6141267036819"/>
    <n v="-1085.5055231167521"/>
    <x v="0"/>
  </r>
  <r>
    <x v="11"/>
    <x v="0"/>
    <s v="NE8644"/>
    <x v="0"/>
    <x v="0"/>
    <x v="1"/>
    <x v="14"/>
    <n v="500000"/>
    <n v="0.75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  <n v="-0.3391569065754273"/>
    <n v="0.27629990813735328"/>
    <n v="0.13814995406867664"/>
    <n v="-5352.3791789766619"/>
    <n v="-604.4349905677833"/>
    <x v="0"/>
  </r>
  <r>
    <x v="11"/>
    <x v="0"/>
    <s v="NE8644"/>
    <x v="0"/>
    <x v="0"/>
    <x v="1"/>
    <x v="15"/>
    <n v="500000"/>
    <n v="0.75"/>
    <x v="15"/>
    <n v="2.09"/>
    <n v="6.57"/>
    <x v="15"/>
    <x v="10"/>
    <n v="0.68100000000000005"/>
    <x v="7"/>
    <x v="15"/>
    <x v="1"/>
    <n v="0.14024849922231708"/>
    <n v="-72892.177141709864"/>
    <n v="70124.249611158535"/>
    <n v="103626.96293794637"/>
    <n v="30734.785796236509"/>
    <s v="36923IF-TRANSCO/Z6"/>
    <n v="50"/>
    <n v="-0.14578435428341974"/>
    <n v="0.13740490550901874"/>
    <n v="6.8702452754509369E-2"/>
    <n v="-4321.6527926626031"/>
    <n v="-591.53962210443808"/>
    <x v="0"/>
  </r>
  <r>
    <x v="11"/>
    <x v="0"/>
    <s v="NE8644"/>
    <x v="0"/>
    <x v="0"/>
    <x v="1"/>
    <x v="16"/>
    <n v="500000"/>
    <n v="0.75"/>
    <x v="16"/>
    <n v="2.17"/>
    <n v="6.9139999999999997"/>
    <x v="16"/>
    <x v="11"/>
    <n v="0.69599999999999995"/>
    <x v="7"/>
    <x v="16"/>
    <x v="1"/>
    <n v="0.11073968944962387"/>
    <n v="-63460.635822955526"/>
    <n v="55369.844724811934"/>
    <n v="88949.507589878078"/>
    <n v="25488.871766922552"/>
    <s v="36892IF-TRANSCO/Z6"/>
    <n v="50"/>
    <n v="-0.12692127164591105"/>
    <n v="0.13155869338846921"/>
    <n v="6.5779346694234603E-2"/>
    <n v="-3795.3519737443444"/>
    <n v="-656.47955136257565"/>
    <x v="0"/>
  </r>
  <r>
    <x v="11"/>
    <x v="0"/>
    <s v="NE8644"/>
    <x v="0"/>
    <x v="0"/>
    <x v="1"/>
    <x v="17"/>
    <n v="500000"/>
    <n v="0.75"/>
    <x v="17"/>
    <n v="1.645"/>
    <n v="6.4450000000000003"/>
    <x v="17"/>
    <x v="12"/>
    <n v="0.69"/>
    <x v="7"/>
    <x v="17"/>
    <x v="1"/>
    <n v="0.14791698517127294"/>
    <n v="-95712.691655961578"/>
    <n v="73958.492585636472"/>
    <n v="123504.23180600212"/>
    <n v="27791.540150040542"/>
    <s v="36861IF-TRANSCO/Z6"/>
    <n v="50"/>
    <n v="-0.19142538331192316"/>
    <n v="0.21394584130878833"/>
    <n v="0.10697292065439416"/>
    <n v="-4036.3176391680299"/>
    <n v="-909.48763628341476"/>
    <x v="0"/>
  </r>
  <r>
    <x v="11"/>
    <x v="0"/>
    <s v="NE8644"/>
    <x v="0"/>
    <x v="0"/>
    <x v="1"/>
    <x v="18"/>
    <n v="500000"/>
    <n v="0.75"/>
    <x v="18"/>
    <n v="0.77"/>
    <n v="5.5060000000000002"/>
    <x v="18"/>
    <x v="13"/>
    <n v="0.625"/>
    <x v="6"/>
    <x v="18"/>
    <x v="1"/>
    <n v="0.24961789258441158"/>
    <n v="-229166.05806720548"/>
    <n v="124808.94629220579"/>
    <n v="251741.3554087904"/>
    <n v="22575.297341584926"/>
    <s v="36831IF-TRANSCO/Z6"/>
    <n v="50"/>
    <n v="-0.45833211613441094"/>
    <n v="0.59550221444918572"/>
    <n v="0.29775110722459286"/>
    <n v="-5001.0132481914734"/>
    <n v="-1006.6667513771916"/>
    <x v="0"/>
  </r>
  <r>
    <x v="3"/>
    <x v="0"/>
    <s v="NE9017"/>
    <x v="0"/>
    <x v="0"/>
    <x v="0"/>
    <x v="14"/>
    <n v="-500000"/>
    <n v="1.1499999999999999"/>
    <x v="14"/>
    <n v="1.075"/>
    <n v="5.2880000000000003"/>
    <x v="14"/>
    <x v="9"/>
    <n v="0.61199999999999999"/>
    <x v="7"/>
    <x v="14"/>
    <x v="0"/>
    <n v="0.476658561538917"/>
    <n v="-255377.72733840536"/>
    <n v="-238329.28076945851"/>
    <n v="211260.78428401556"/>
    <n v="-44116.943054389791"/>
    <s v="36951IF-TRANSCO/Z6"/>
    <n v="-50"/>
    <n v="0.51075545467681072"/>
    <n v="0.29097695529176387"/>
    <n v="-0.14548847764588194"/>
    <n v="5249.5342093266254"/>
    <n v="652.27769025096552"/>
    <x v="0"/>
  </r>
  <r>
    <x v="3"/>
    <x v="0"/>
    <s v="NE9017"/>
    <x v="0"/>
    <x v="0"/>
    <x v="0"/>
    <x v="15"/>
    <n v="-500000"/>
    <n v="1.1499999999999999"/>
    <x v="15"/>
    <n v="2.09"/>
    <n v="6.57"/>
    <x v="15"/>
    <x v="10"/>
    <n v="0.68100000000000005"/>
    <x v="7"/>
    <x v="15"/>
    <x v="0"/>
    <n v="1.1651553454138159"/>
    <n v="-373369.94389243703"/>
    <n v="-582577.67270690796"/>
    <n v="335775.3447464307"/>
    <n v="-37594.599146006338"/>
    <s v="36923IF-TRANSCO/Z6"/>
    <n v="-50"/>
    <n v="0.7467398877848741"/>
    <n v="0.1758955480355909"/>
    <n v="-8.7947774017795452E-2"/>
    <n v="5134.868016235856"/>
    <n v="697.00262342788517"/>
    <x v="0"/>
  </r>
  <r>
    <x v="3"/>
    <x v="0"/>
    <s v="NE9017"/>
    <x v="0"/>
    <x v="0"/>
    <x v="0"/>
    <x v="16"/>
    <n v="-500000"/>
    <n v="1.1499999999999999"/>
    <x v="16"/>
    <n v="2.17"/>
    <n v="6.9139999999999997"/>
    <x v="16"/>
    <x v="11"/>
    <n v="0.69599999999999995"/>
    <x v="7"/>
    <x v="16"/>
    <x v="0"/>
    <n v="1.2054450279695053"/>
    <n v="-386427.58954405837"/>
    <n v="-602722.51398475259"/>
    <n v="353830.55969506147"/>
    <n v="-32597.029848996899"/>
    <s v="36892IF-TRANSCO/Z6"/>
    <n v="-50"/>
    <n v="0.77285517908811674"/>
    <n v="0.17579158262992722"/>
    <n v="-8.7895791314963626E-2"/>
    <n v="4719.0706190203919"/>
    <n v="812.44091108822249"/>
    <x v="0"/>
  </r>
  <r>
    <x v="3"/>
    <x v="0"/>
    <s v="NE9017"/>
    <x v="0"/>
    <x v="0"/>
    <x v="0"/>
    <x v="17"/>
    <n v="-500000"/>
    <n v="1.1499999999999999"/>
    <x v="17"/>
    <n v="1.645"/>
    <n v="6.4450000000000003"/>
    <x v="17"/>
    <x v="12"/>
    <n v="0.69"/>
    <x v="7"/>
    <x v="17"/>
    <x v="0"/>
    <n v="0.76562377335197385"/>
    <n v="-340141.05689618562"/>
    <n v="-382811.88667598693"/>
    <n v="306675.19231633213"/>
    <n v="-33465.864579853485"/>
    <s v="36861IF-TRANSCO/Z6"/>
    <n v="-50"/>
    <n v="0.68028211379237125"/>
    <n v="0.2685599261647062"/>
    <n v="-0.1342799630823531"/>
    <n v="4729.522928450795"/>
    <n v="1128.0012802327826"/>
    <x v="0"/>
  </r>
  <r>
    <x v="3"/>
    <x v="0"/>
    <s v="NE9017"/>
    <x v="0"/>
    <x v="0"/>
    <x v="0"/>
    <x v="18"/>
    <n v="-500000"/>
    <n v="1.1499999999999999"/>
    <x v="18"/>
    <n v="0.77"/>
    <n v="5.5060000000000002"/>
    <x v="18"/>
    <x v="13"/>
    <n v="0.625"/>
    <x v="6"/>
    <x v="18"/>
    <x v="0"/>
    <n v="0.12713020145488552"/>
    <n v="-155883.72171860002"/>
    <n v="-63565.100727442761"/>
    <n v="137014.37600381352"/>
    <n v="-18869.345714786497"/>
    <s v="36831IF-TRANSCO/Z6"/>
    <n v="-50"/>
    <n v="0.31176744343720003"/>
    <n v="0.52139158818250608"/>
    <n v="-0.26069579409125304"/>
    <n v="4113.0735401568127"/>
    <n v="930.70790128689237"/>
    <x v="0"/>
  </r>
  <r>
    <x v="11"/>
    <x v="0"/>
    <s v="NF0077.1"/>
    <x v="0"/>
    <x v="0"/>
    <x v="0"/>
    <x v="12"/>
    <n v="-250000"/>
    <n v="0.3"/>
    <x v="12"/>
    <n v="0.41499999999999998"/>
    <n v="5.1070000000000002"/>
    <x v="12"/>
    <x v="8"/>
    <n v="0.56399999999999995"/>
    <x v="2"/>
    <x v="12"/>
    <x v="0"/>
    <n v="0.121746675089311"/>
    <n v="-214879.70582893386"/>
    <n v="-30436.66877232775"/>
    <n v="213901.174857651"/>
    <n v="-978.53097128286026"/>
    <s v="36800IF-TRANSCO/Z6"/>
    <n v="-25"/>
    <n v="0.85951882331573548"/>
    <n v="2.0158999907685802"/>
    <n v="-0.50397499769214504"/>
    <n v="3390.360806166354"/>
    <n v="88.379566836275401"/>
    <x v="0"/>
  </r>
  <r>
    <x v="11"/>
    <x v="0"/>
    <s v="NF0077.1"/>
    <x v="0"/>
    <x v="0"/>
    <x v="0"/>
    <x v="13"/>
    <n v="-250000"/>
    <n v="0.3"/>
    <x v="13"/>
    <n v="0.315"/>
    <n v="5"/>
    <x v="13"/>
    <x v="5"/>
    <n v="0.39200000000000002"/>
    <x v="2"/>
    <x v="13"/>
    <x v="0"/>
    <n v="1.713645792858692E-2"/>
    <n v="-198339.00835398125"/>
    <n v="-4284.1144821467296"/>
    <n v="198110.538095786"/>
    <n v="-228.47025819524424"/>
    <s v="36770IF-TRANSCO/Z6"/>
    <n v="-25"/>
    <n v="0.79335603341592498"/>
    <n v="15.497602968755826"/>
    <n v="-3.8744007421889561"/>
    <n v="781.28917054087401"/>
    <n v="327.33893568549712"/>
    <x v="0"/>
  </r>
  <r>
    <x v="11"/>
    <x v="0"/>
    <s v="NF0077.2"/>
    <x v="0"/>
    <x v="0"/>
    <x v="1"/>
    <x v="12"/>
    <n v="-250000"/>
    <n v="0.3"/>
    <x v="12"/>
    <n v="0.41499999999999998"/>
    <n v="5.1070000000000002"/>
    <x v="12"/>
    <x v="8"/>
    <n v="0.56399999999999995"/>
    <x v="2"/>
    <x v="12"/>
    <x v="1"/>
    <n v="7.4089661656390193E-3"/>
    <n v="33680.530961657714"/>
    <n v="-1852.2415414097547"/>
    <n v="-34659.061932940574"/>
    <n v="-978.53097128286026"/>
    <s v="36800IF-TRANSCO/Z6"/>
    <n v="-25"/>
    <n v="-0.13472212384663085"/>
    <n v="2.0158999907685802"/>
    <n v="-0.50397499769214504"/>
    <n v="3390.360806166354"/>
    <n v="93.708862282932103"/>
    <x v="0"/>
  </r>
  <r>
    <x v="11"/>
    <x v="0"/>
    <s v="NF0077.2"/>
    <x v="0"/>
    <x v="0"/>
    <x v="1"/>
    <x v="13"/>
    <n v="-250000"/>
    <n v="0.3"/>
    <x v="13"/>
    <n v="0.315"/>
    <n v="5"/>
    <x v="13"/>
    <x v="5"/>
    <n v="0.39200000000000002"/>
    <x v="2"/>
    <x v="13"/>
    <x v="1"/>
    <n v="2.1419777501948678E-3"/>
    <n v="51568.994619224592"/>
    <n v="-535.49443754871697"/>
    <n v="-51797.464877419843"/>
    <n v="-228.47025819525152"/>
    <s v="36770IF-TRANSCO/Z6"/>
    <n v="-25"/>
    <n v="-0.20627597847689835"/>
    <n v="15.497602968755826"/>
    <n v="-3.8744007421889561"/>
    <n v="781.28917054087401"/>
    <n v="328.02925891958654"/>
    <x v="0"/>
  </r>
  <r>
    <x v="3"/>
    <x v="0"/>
    <s v="NF0106.1"/>
    <x v="0"/>
    <x v="0"/>
    <x v="0"/>
    <x v="12"/>
    <n v="-250000"/>
    <n v="0.3"/>
    <x v="12"/>
    <n v="0.41499999999999998"/>
    <n v="5.1070000000000002"/>
    <x v="12"/>
    <x v="8"/>
    <n v="0.56399999999999995"/>
    <x v="2"/>
    <x v="12"/>
    <x v="0"/>
    <n v="0.121746675089311"/>
    <n v="-214879.70582893386"/>
    <n v="-30436.66877232775"/>
    <n v="213901.174857651"/>
    <n v="-978.53097128286026"/>
    <s v="36800IF-TRANSCO/Z6"/>
    <n v="-25"/>
    <n v="0.85951882331573548"/>
    <n v="2.0158999907685802"/>
    <n v="-0.50397499769214504"/>
    <n v="3390.360806166354"/>
    <n v="88.379566836275401"/>
    <x v="0"/>
  </r>
  <r>
    <x v="3"/>
    <x v="0"/>
    <s v="NF0106.1"/>
    <x v="0"/>
    <x v="0"/>
    <x v="0"/>
    <x v="12"/>
    <n v="-500000"/>
    <n v="0.3"/>
    <x v="12"/>
    <n v="0.41499999999999998"/>
    <n v="5.1070000000000002"/>
    <x v="12"/>
    <x v="8"/>
    <n v="0.56399999999999995"/>
    <x v="2"/>
    <x v="12"/>
    <x v="0"/>
    <n v="0.121746675089311"/>
    <n v="-429759.41165786772"/>
    <n v="-60873.3375446555"/>
    <n v="427802.349715302"/>
    <n v="-1957.0619425657205"/>
    <s v="36800IF-TRANSCO/Z6"/>
    <n v="-50"/>
    <n v="0.85951882331573548"/>
    <n v="2.0158999907685802"/>
    <n v="-1.0079499953842901"/>
    <n v="6780.721612332708"/>
    <n v="176.7591336725508"/>
    <x v="0"/>
  </r>
  <r>
    <x v="3"/>
    <x v="0"/>
    <s v="NF0106.1"/>
    <x v="0"/>
    <x v="0"/>
    <x v="0"/>
    <x v="13"/>
    <n v="-250000"/>
    <n v="0.3"/>
    <x v="13"/>
    <n v="0.315"/>
    <n v="5"/>
    <x v="13"/>
    <x v="5"/>
    <n v="0.39200000000000002"/>
    <x v="2"/>
    <x v="13"/>
    <x v="0"/>
    <n v="1.713645792858692E-2"/>
    <n v="-198339.00835398125"/>
    <n v="-4284.1144821467296"/>
    <n v="198110.538095786"/>
    <n v="-228.47025819524424"/>
    <s v="36770IF-TRANSCO/Z6"/>
    <n v="-25"/>
    <n v="0.79335603341592498"/>
    <n v="15.497602968755826"/>
    <n v="-3.8744007421889561"/>
    <n v="781.28917054087401"/>
    <n v="327.33893568549712"/>
    <x v="0"/>
  </r>
  <r>
    <x v="3"/>
    <x v="0"/>
    <s v="NF0106.1"/>
    <x v="0"/>
    <x v="0"/>
    <x v="0"/>
    <x v="13"/>
    <n v="-500000"/>
    <n v="0.3"/>
    <x v="13"/>
    <n v="0.315"/>
    <n v="5"/>
    <x v="13"/>
    <x v="5"/>
    <n v="0.39200000000000002"/>
    <x v="2"/>
    <x v="13"/>
    <x v="0"/>
    <n v="1.713645792858692E-2"/>
    <n v="-396678.0167079625"/>
    <n v="-8568.2289642934593"/>
    <n v="396221.07619157201"/>
    <n v="-456.94051639048848"/>
    <s v="36770IF-TRANSCO/Z6"/>
    <n v="-50"/>
    <n v="0.79335603341592498"/>
    <n v="15.497602968755826"/>
    <n v="-7.7488014843779123"/>
    <n v="1562.578341081748"/>
    <n v="654.67787137099424"/>
    <x v="0"/>
  </r>
  <r>
    <x v="3"/>
    <x v="0"/>
    <s v="NF0106.2"/>
    <x v="0"/>
    <x v="0"/>
    <x v="1"/>
    <x v="12"/>
    <n v="-250000"/>
    <n v="0.3"/>
    <x v="12"/>
    <n v="0.41499999999999998"/>
    <n v="5.1070000000000002"/>
    <x v="12"/>
    <x v="8"/>
    <n v="0.56399999999999995"/>
    <x v="2"/>
    <x v="12"/>
    <x v="1"/>
    <n v="7.4089661656390193E-3"/>
    <n v="33680.530961657714"/>
    <n v="-1852.2415414097547"/>
    <n v="-34659.061932940574"/>
    <n v="-978.53097128286026"/>
    <s v="36800IF-TRANSCO/Z6"/>
    <n v="-25"/>
    <n v="-0.13472212384663085"/>
    <n v="2.0158999907685802"/>
    <n v="-0.50397499769214504"/>
    <n v="3390.360806166354"/>
    <n v="93.708862282932103"/>
    <x v="0"/>
  </r>
  <r>
    <x v="3"/>
    <x v="0"/>
    <s v="NF0106.2"/>
    <x v="0"/>
    <x v="0"/>
    <x v="1"/>
    <x v="12"/>
    <n v="-500000"/>
    <n v="0.3"/>
    <x v="12"/>
    <n v="0.41499999999999998"/>
    <n v="5.1070000000000002"/>
    <x v="12"/>
    <x v="8"/>
    <n v="0.56399999999999995"/>
    <x v="2"/>
    <x v="12"/>
    <x v="1"/>
    <n v="7.4089661656390193E-3"/>
    <n v="67361.061923315428"/>
    <n v="-3704.4830828195095"/>
    <n v="-69318.123865881149"/>
    <n v="-1957.0619425657205"/>
    <s v="36800IF-TRANSCO/Z6"/>
    <n v="-50"/>
    <n v="-0.13472212384663085"/>
    <n v="2.0158999907685802"/>
    <n v="-1.0079499953842901"/>
    <n v="6780.721612332708"/>
    <n v="187.41772456586421"/>
    <x v="0"/>
  </r>
  <r>
    <x v="3"/>
    <x v="0"/>
    <s v="NF0106.2"/>
    <x v="0"/>
    <x v="0"/>
    <x v="1"/>
    <x v="13"/>
    <n v="-250000"/>
    <n v="0.3"/>
    <x v="13"/>
    <n v="0.315"/>
    <n v="5"/>
    <x v="13"/>
    <x v="5"/>
    <n v="0.39200000000000002"/>
    <x v="2"/>
    <x v="13"/>
    <x v="1"/>
    <n v="2.1419777501948678E-3"/>
    <n v="51568.994619224592"/>
    <n v="-535.49443754871697"/>
    <n v="-51797.464877419843"/>
    <n v="-228.47025819525152"/>
    <s v="36770IF-TRANSCO/Z6"/>
    <n v="-25"/>
    <n v="-0.20627597847689835"/>
    <n v="15.497602968755826"/>
    <n v="-3.8744007421889561"/>
    <n v="781.28917054087401"/>
    <n v="328.02925891958654"/>
    <x v="0"/>
  </r>
  <r>
    <x v="3"/>
    <x v="0"/>
    <s v="NF0106.2"/>
    <x v="0"/>
    <x v="0"/>
    <x v="1"/>
    <x v="13"/>
    <n v="-500000"/>
    <n v="0.3"/>
    <x v="13"/>
    <n v="0.315"/>
    <n v="5"/>
    <x v="13"/>
    <x v="5"/>
    <n v="0.39200000000000002"/>
    <x v="2"/>
    <x v="13"/>
    <x v="1"/>
    <n v="2.1419777501948678E-3"/>
    <n v="103137.98923844918"/>
    <n v="-1070.9888750974339"/>
    <n v="-103594.92975483969"/>
    <n v="-456.94051639050303"/>
    <s v="36770IF-TRANSCO/Z6"/>
    <n v="-50"/>
    <n v="-0.20627597847689835"/>
    <n v="15.497602968755826"/>
    <n v="-7.7488014843779123"/>
    <n v="1562.578341081748"/>
    <n v="656.05851783917308"/>
    <x v="0"/>
  </r>
  <r>
    <x v="3"/>
    <x v="0"/>
    <s v="NF1092.1"/>
    <x v="1"/>
    <x v="0"/>
    <x v="0"/>
    <x v="12"/>
    <n v="-1000000"/>
    <n v="-0.25"/>
    <x v="12"/>
    <n v="-0.80500000000000005"/>
    <n v="3.887"/>
    <x v="12"/>
    <x v="8"/>
    <n v="0.55200000000000005"/>
    <x v="3"/>
    <x v="12"/>
    <x v="0"/>
    <n v="1.5486375696830756E-2"/>
    <n v="-91384.075939000337"/>
    <n v="-15486.375696830757"/>
    <n v="77114.792245574383"/>
    <n v="-14269.283693425954"/>
    <s v="36800IF-NWPL_ROCKY_M"/>
    <n v="-100"/>
    <n v="9.1384075939000331E-2"/>
    <n v="0.43383602112205233"/>
    <n v="-0.43383602112205233"/>
    <n v="1876.40418624429"/>
    <n v="997.84287938989667"/>
    <x v="0"/>
  </r>
  <r>
    <x v="3"/>
    <x v="0"/>
    <s v="NF1092.1"/>
    <x v="1"/>
    <x v="0"/>
    <x v="0"/>
    <x v="13"/>
    <n v="-1000000"/>
    <n v="-0.25"/>
    <x v="13"/>
    <n v="-1.24"/>
    <n v="3.4449999999999994"/>
    <x v="13"/>
    <x v="5"/>
    <n v="0.38400000000000001"/>
    <x v="3"/>
    <x v="13"/>
    <x v="0"/>
    <n v="1.2975268473547352E-7"/>
    <n v="0.16959082704826045"/>
    <n v="-0.12975268473547352"/>
    <n v="-0.13101227813727689"/>
    <n v="3.8578548910983557E-2"/>
    <s v="36770IF-NWPL_ROCKY_M"/>
    <n v="-100"/>
    <n v="-1.6959082704826045E-7"/>
    <n v="-2.0862714381729432E-5"/>
    <n v="2.0862714381729436E-5"/>
    <n v="6.2637626590857979E-5"/>
    <n v="-2.9734944605498523E-5"/>
    <x v="0"/>
  </r>
  <r>
    <x v="3"/>
    <x v="0"/>
    <s v="NF1092.2"/>
    <x v="1"/>
    <x v="0"/>
    <x v="1"/>
    <x v="12"/>
    <n v="1000000"/>
    <n v="-0.4"/>
    <x v="12"/>
    <n v="-0.80500000000000005"/>
    <n v="3.887"/>
    <x v="12"/>
    <x v="8"/>
    <n v="0.55200000000000005"/>
    <x v="3"/>
    <x v="12"/>
    <x v="1"/>
    <n v="0.43702595785222825"/>
    <n v="-822936.75923286215"/>
    <n v="437025.95785222825"/>
    <n v="845238.67433688068"/>
    <n v="22301.915104018524"/>
    <s v="36800IF-NWPL_ROCKY_M"/>
    <n v="100"/>
    <n v="-0.82293675923286214"/>
    <n v="0.65073432200693859"/>
    <n v="0.65073432200693859"/>
    <n v="-2918.2137055261487"/>
    <n v="-1516.5013881405036"/>
    <x v="0"/>
  </r>
  <r>
    <x v="3"/>
    <x v="0"/>
    <s v="NF1092.2"/>
    <x v="1"/>
    <x v="0"/>
    <x v="1"/>
    <x v="13"/>
    <n v="1000000"/>
    <n v="-0.4"/>
    <x v="13"/>
    <n v="-1.24"/>
    <n v="3.4449999999999994"/>
    <x v="13"/>
    <x v="5"/>
    <n v="0.38400000000000001"/>
    <x v="3"/>
    <x v="13"/>
    <x v="1"/>
    <n v="0.8396910000813943"/>
    <n v="-999632.18148364977"/>
    <n v="839691.00008139433"/>
    <n v="999632.14290510153"/>
    <n v="-3.8578548235818744E-2"/>
    <s v="36770IF-NWPL_ROCKY_M"/>
    <n v="100"/>
    <n v="-0.99963218148364974"/>
    <n v="-1.768202916319936E-5"/>
    <n v="-1.768202916319936E-5"/>
    <n v="-2.5055050636343192E-4"/>
    <n v="154.63243056713694"/>
    <x v="0"/>
  </r>
  <r>
    <x v="3"/>
    <x v="0"/>
    <s v="NF1105.1"/>
    <x v="0"/>
    <x v="0"/>
    <x v="0"/>
    <x v="14"/>
    <n v="-250000"/>
    <n v="1.1499999999999999"/>
    <x v="14"/>
    <n v="1.075"/>
    <n v="5.2880000000000003"/>
    <x v="14"/>
    <x v="9"/>
    <n v="0.61199999999999999"/>
    <x v="7"/>
    <x v="14"/>
    <x v="0"/>
    <n v="0.476658561538917"/>
    <n v="-127688.86366920268"/>
    <n v="-119164.64038472925"/>
    <n v="105630.39214200778"/>
    <n v="-22058.471527194895"/>
    <s v="36951IF-TRANSCO/Z6"/>
    <n v="-25"/>
    <n v="0.51075545467681072"/>
    <n v="0.29097695529176387"/>
    <n v="-7.2744238822940968E-2"/>
    <n v="2624.7671046633127"/>
    <n v="326.13884512548276"/>
    <x v="0"/>
  </r>
  <r>
    <x v="3"/>
    <x v="0"/>
    <s v="NF1105.1"/>
    <x v="0"/>
    <x v="0"/>
    <x v="0"/>
    <x v="15"/>
    <n v="-250000"/>
    <n v="1.1499999999999999"/>
    <x v="15"/>
    <n v="2.09"/>
    <n v="6.57"/>
    <x v="15"/>
    <x v="10"/>
    <n v="0.68100000000000005"/>
    <x v="7"/>
    <x v="15"/>
    <x v="0"/>
    <n v="1.1651553454138159"/>
    <n v="-186684.97194621852"/>
    <n v="-291288.83635345398"/>
    <n v="167887.67237321535"/>
    <n v="-18797.299573003169"/>
    <s v="36923IF-TRANSCO/Z6"/>
    <n v="-25"/>
    <n v="0.7467398877848741"/>
    <n v="0.1758955480355909"/>
    <n v="-4.3973887008897726E-2"/>
    <n v="2567.434008117928"/>
    <n v="348.50131171394258"/>
    <x v="0"/>
  </r>
  <r>
    <x v="3"/>
    <x v="0"/>
    <s v="NF1105.1"/>
    <x v="0"/>
    <x v="0"/>
    <x v="0"/>
    <x v="16"/>
    <n v="-250000"/>
    <n v="1.1499999999999999"/>
    <x v="16"/>
    <n v="2.17"/>
    <n v="6.9139999999999997"/>
    <x v="16"/>
    <x v="11"/>
    <n v="0.69599999999999995"/>
    <x v="7"/>
    <x v="16"/>
    <x v="0"/>
    <n v="1.2054450279695053"/>
    <n v="-193213.79477202918"/>
    <n v="-301361.25699237629"/>
    <n v="176915.27984753074"/>
    <n v="-16298.51492449845"/>
    <s v="36892IF-TRANSCO/Z6"/>
    <n v="-25"/>
    <n v="0.77285517908811674"/>
    <n v="0.17579158262992722"/>
    <n v="-4.3947895657481813E-2"/>
    <n v="2359.5353095101959"/>
    <n v="406.22045554411125"/>
    <x v="0"/>
  </r>
  <r>
    <x v="3"/>
    <x v="0"/>
    <s v="NF1105.1"/>
    <x v="0"/>
    <x v="0"/>
    <x v="0"/>
    <x v="17"/>
    <n v="-250000"/>
    <n v="1.1499999999999999"/>
    <x v="17"/>
    <n v="1.645"/>
    <n v="6.4450000000000003"/>
    <x v="17"/>
    <x v="12"/>
    <n v="0.69"/>
    <x v="7"/>
    <x v="17"/>
    <x v="0"/>
    <n v="0.76562377335197385"/>
    <n v="-170070.52844809281"/>
    <n v="-191405.94333799346"/>
    <n v="153337.59615816607"/>
    <n v="-16732.932289926743"/>
    <s v="36861IF-TRANSCO/Z6"/>
    <n v="-25"/>
    <n v="0.68028211379237125"/>
    <n v="0.2685599261647062"/>
    <n v="-6.7139981541176549E-2"/>
    <n v="2364.7614642253975"/>
    <n v="564.00064011639131"/>
    <x v="0"/>
  </r>
  <r>
    <x v="3"/>
    <x v="0"/>
    <s v="NF1105.1"/>
    <x v="0"/>
    <x v="0"/>
    <x v="0"/>
    <x v="18"/>
    <n v="-250000"/>
    <n v="1.1499999999999999"/>
    <x v="18"/>
    <n v="0.77"/>
    <n v="5.5060000000000002"/>
    <x v="18"/>
    <x v="13"/>
    <n v="0.625"/>
    <x v="6"/>
    <x v="18"/>
    <x v="0"/>
    <n v="0.12713020145488552"/>
    <n v="-77941.86085930001"/>
    <n v="-31782.550363721381"/>
    <n v="68507.188001906761"/>
    <n v="-9434.6728573932487"/>
    <s v="36831IF-TRANSCO/Z6"/>
    <n v="-25"/>
    <n v="0.31176744343720003"/>
    <n v="0.52139158818250608"/>
    <n v="-0.13034789704562652"/>
    <n v="2056.5367700784063"/>
    <n v="465.35395064344618"/>
    <x v="0"/>
  </r>
  <r>
    <x v="3"/>
    <x v="0"/>
    <s v="NF1105.2"/>
    <x v="0"/>
    <x v="0"/>
    <x v="1"/>
    <x v="14"/>
    <n v="-250000"/>
    <n v="1.1499999999999999"/>
    <x v="14"/>
    <n v="1.075"/>
    <n v="5.2880000000000003"/>
    <x v="14"/>
    <x v="9"/>
    <n v="0.61199999999999999"/>
    <x v="7"/>
    <x v="14"/>
    <x v="1"/>
    <n v="0.54911441709740649"/>
    <n v="113830.65485909583"/>
    <n v="-137278.60427435162"/>
    <n v="-135889.12638629071"/>
    <n v="-22058.471527194881"/>
    <s v="36951IF-TRANSCO/Z6"/>
    <n v="-25"/>
    <n v="-0.4553226194363833"/>
    <n v="0.29097695529176387"/>
    <n v="-7.2744238822940968E-2"/>
    <n v="2624.7671046633127"/>
    <n v="322.72052600006572"/>
    <x v="0"/>
  </r>
  <r>
    <x v="3"/>
    <x v="0"/>
    <s v="NF1105.2"/>
    <x v="0"/>
    <x v="0"/>
    <x v="1"/>
    <x v="15"/>
    <n v="-250000"/>
    <n v="1.1499999999999999"/>
    <x v="15"/>
    <n v="2.09"/>
    <n v="6.57"/>
    <x v="15"/>
    <x v="10"/>
    <n v="0.68100000000000005"/>
    <x v="7"/>
    <x v="15"/>
    <x v="1"/>
    <n v="0.25214129972097754"/>
    <n v="56137.912546557593"/>
    <n v="-63035.324930244387"/>
    <n v="-74935.212119560776"/>
    <n v="-18797.299573003183"/>
    <s v="36923IF-TRANSCO/Z6"/>
    <n v="-25"/>
    <n v="-0.22455165018623038"/>
    <n v="0.1758955480355909"/>
    <n v="-4.3973887008897726E-2"/>
    <n v="2567.434008117928"/>
    <n v="391.42557996723639"/>
    <x v="0"/>
  </r>
  <r>
    <x v="3"/>
    <x v="0"/>
    <s v="NF1105.2"/>
    <x v="0"/>
    <x v="0"/>
    <x v="1"/>
    <x v="16"/>
    <n v="-250000"/>
    <n v="1.1499999999999999"/>
    <x v="16"/>
    <n v="2.17"/>
    <n v="6.9139999999999997"/>
    <x v="16"/>
    <x v="11"/>
    <n v="0.69599999999999995"/>
    <x v="7"/>
    <x v="16"/>
    <x v="1"/>
    <n v="0.20847620774735121"/>
    <n v="51141.308223596607"/>
    <n v="-52119.051936837801"/>
    <n v="-67439.823148095049"/>
    <n v="-16298.514924498442"/>
    <s v="36892IF-TRANSCO/Z6"/>
    <n v="-25"/>
    <n v="-0.20456523289438644"/>
    <n v="0.17579158262992722"/>
    <n v="-4.3947895657481813E-2"/>
    <n v="2359.5353095101959"/>
    <n v="452.91057523109754"/>
    <x v="0"/>
  </r>
  <r>
    <x v="3"/>
    <x v="0"/>
    <s v="NF1105.2"/>
    <x v="0"/>
    <x v="0"/>
    <x v="1"/>
    <x v="17"/>
    <n v="-250000"/>
    <n v="1.1499999999999999"/>
    <x v="17"/>
    <n v="1.645"/>
    <n v="6.4450000000000003"/>
    <x v="17"/>
    <x v="12"/>
    <n v="0.69"/>
    <x v="7"/>
    <x v="17"/>
    <x v="1"/>
    <n v="0.27915941560650492"/>
    <n v="75618.541120325681"/>
    <n v="-69789.853901626237"/>
    <n v="-92351.473410252438"/>
    <n v="-16732.932289926757"/>
    <s v="36861IF-TRANSCO/Z6"/>
    <n v="-25"/>
    <n v="-0.30247416448130271"/>
    <n v="0.2685599261647062"/>
    <n v="-6.7139981541176549E-2"/>
    <n v="2364.7614642253975"/>
    <n v="586.76251666139945"/>
    <x v="0"/>
  </r>
  <r>
    <x v="3"/>
    <x v="0"/>
    <s v="NF1105.2"/>
    <x v="0"/>
    <x v="0"/>
    <x v="1"/>
    <x v="18"/>
    <n v="-250000"/>
    <n v="1.1499999999999999"/>
    <x v="18"/>
    <n v="0.77"/>
    <n v="5.5060000000000002"/>
    <x v="18"/>
    <x v="13"/>
    <n v="0.625"/>
    <x v="6"/>
    <x v="18"/>
    <x v="1"/>
    <n v="0.50269231966812455"/>
    <n v="169138.48007046277"/>
    <n v="-125673.07991703114"/>
    <n v="-178573.15292785602"/>
    <n v="-9434.6728573932487"/>
    <s v="36831IF-TRANSCO/Z6"/>
    <n v="-25"/>
    <n v="-0.67655392028185113"/>
    <n v="0.52139158818250608"/>
    <n v="-0.13034789704562652"/>
    <n v="2056.5367700784063"/>
    <n v="447.8345540753848"/>
    <x v="0"/>
  </r>
  <r>
    <x v="3"/>
    <x v="0"/>
    <s v="NF1114.1"/>
    <x v="1"/>
    <x v="0"/>
    <x v="0"/>
    <x v="12"/>
    <n v="-500000"/>
    <n v="-0.32"/>
    <x v="12"/>
    <n v="-0.80500000000000005"/>
    <n v="3.887"/>
    <x v="12"/>
    <x v="8"/>
    <n v="0.55200000000000005"/>
    <x v="3"/>
    <x v="12"/>
    <x v="0"/>
    <n v="2.2795559989855496E-2"/>
    <n v="-62264.079074333065"/>
    <n v="-11397.779994927749"/>
    <n v="53302.037262780985"/>
    <n v="-8962.0418115520806"/>
    <s v="36800IF-NWPL_ROCKY_M"/>
    <n v="-50"/>
    <n v="0.12452815814866613"/>
    <n v="0.53456098923597606"/>
    <n v="-0.26728049461798803"/>
    <n v="1175.8294862366708"/>
    <n v="632.20737770399762"/>
    <x v="0"/>
  </r>
  <r>
    <x v="3"/>
    <x v="0"/>
    <s v="NF1114.1"/>
    <x v="1"/>
    <x v="0"/>
    <x v="0"/>
    <x v="13"/>
    <n v="-500000"/>
    <n v="-0.32"/>
    <x v="13"/>
    <n v="-1.24"/>
    <n v="3.4449999999999994"/>
    <x v="13"/>
    <x v="5"/>
    <n v="0.38400000000000001"/>
    <x v="3"/>
    <x v="13"/>
    <x v="0"/>
    <n v="1.2057742898585744E-7"/>
    <n v="8.4795413135552167E-2"/>
    <n v="-6.0288714492928719E-2"/>
    <n v="-6.5506139068638447E-2"/>
    <n v="1.928927406691372E-2"/>
    <s v="36770IF-NWPL_ROCKY_M"/>
    <n v="-50"/>
    <n v="-1.6959082627110433E-7"/>
    <n v="-1.9378394613128954E-5"/>
    <n v="9.6891973065644768E-6"/>
    <n v="-6.2637626590857979E-5"/>
    <n v="-1.4022642455497617E-5"/>
    <x v="0"/>
  </r>
  <r>
    <x v="3"/>
    <x v="0"/>
    <s v="NF1114.2"/>
    <x v="1"/>
    <x v="0"/>
    <x v="1"/>
    <x v="12"/>
    <n v="-500000"/>
    <n v="-0.32"/>
    <x v="12"/>
    <n v="-0.80500000000000005"/>
    <n v="3.887"/>
    <x v="12"/>
    <x v="8"/>
    <n v="0.55200000000000005"/>
    <x v="3"/>
    <x v="12"/>
    <x v="1"/>
    <n v="0.50500241936360335"/>
    <n v="434856.39450685011"/>
    <n v="-252501.20968180167"/>
    <n v="-443818.43631840218"/>
    <n v="-8962.0418115520733"/>
    <s v="36800IF-NWPL_ROCKY_M"/>
    <n v="-50"/>
    <n v="-0.86971278901370019"/>
    <n v="0.53456098923597606"/>
    <n v="-0.26728049461798803"/>
    <n v="1175.8294862366708"/>
    <n v="587.25592915393645"/>
    <x v="0"/>
  </r>
  <r>
    <x v="3"/>
    <x v="0"/>
    <s v="NF1114.2"/>
    <x v="1"/>
    <x v="0"/>
    <x v="1"/>
    <x v="13"/>
    <n v="-500000"/>
    <n v="-0.32"/>
    <x v="13"/>
    <n v="-1.24"/>
    <n v="3.4449999999999994"/>
    <x v="13"/>
    <x v="5"/>
    <n v="0.38400000000000001"/>
    <x v="3"/>
    <x v="13"/>
    <x v="1"/>
    <n v="0.91966157151882699"/>
    <n v="499816.09074182482"/>
    <n v="-459830.7857594135"/>
    <n v="-499816.07145255076"/>
    <n v="1.9289274059701711E-2"/>
    <s v="36770IF-NWPL_ROCKY_M"/>
    <n v="-50"/>
    <n v="-0.99963218148364963"/>
    <n v="-1.9378394613128954E-5"/>
    <n v="9.6891973065644768E-6"/>
    <n v="-6.2637626590857979E-5"/>
    <n v="-84.679664070943488"/>
    <x v="0"/>
  </r>
  <r>
    <x v="3"/>
    <x v="0"/>
    <s v="NF2908.1"/>
    <x v="0"/>
    <x v="0"/>
    <x v="0"/>
    <x v="12"/>
    <n v="-500000"/>
    <n v="0.32"/>
    <x v="12"/>
    <n v="0.41499999999999998"/>
    <n v="5.1070000000000002"/>
    <x v="12"/>
    <x v="8"/>
    <n v="0.56399999999999995"/>
    <x v="2"/>
    <x v="12"/>
    <x v="0"/>
    <n v="0.10536173399090998"/>
    <n v="-406033.99568266532"/>
    <n v="-52680.866995454991"/>
    <n v="403689.30753777293"/>
    <n v="-2344.6881448923959"/>
    <s v="36800IF-TRANSCO/Z6"/>
    <n v="-50"/>
    <n v="0.81206799136533059"/>
    <n v="2.4365600308897073"/>
    <n v="-1.2182800154448536"/>
    <n v="8165.0629451592531"/>
    <n v="221.48462637111143"/>
    <x v="0"/>
  </r>
  <r>
    <x v="3"/>
    <x v="0"/>
    <s v="NF2908.1"/>
    <x v="0"/>
    <x v="0"/>
    <x v="0"/>
    <x v="13"/>
    <n v="-500000"/>
    <n v="0.32"/>
    <x v="13"/>
    <n v="0.315"/>
    <n v="5"/>
    <x v="13"/>
    <x v="5"/>
    <n v="0.39200000000000002"/>
    <x v="2"/>
    <x v="13"/>
    <x v="0"/>
    <n v="5.1638549129332332E-3"/>
    <n v="-197264.19012977614"/>
    <n v="-2581.9274564666166"/>
    <n v="196657.05039077444"/>
    <n v="-607.13973900169367"/>
    <s v="36770IF-TRANSCO/Z6"/>
    <n v="-50"/>
    <n v="0.39452838025955228"/>
    <n v="20.764184301591825"/>
    <n v="-10.382092150795913"/>
    <n v="2086.3509174779201"/>
    <n v="891.67879149267344"/>
    <x v="0"/>
  </r>
  <r>
    <x v="3"/>
    <x v="0"/>
    <s v="NF2908.2"/>
    <x v="0"/>
    <x v="0"/>
    <x v="1"/>
    <x v="12"/>
    <n v="-500000"/>
    <n v="0.32"/>
    <x v="12"/>
    <n v="0.41499999999999998"/>
    <n v="5.1070000000000002"/>
    <x v="12"/>
    <x v="8"/>
    <n v="0.56399999999999995"/>
    <x v="2"/>
    <x v="12"/>
    <x v="1"/>
    <n v="1.0908844010485863E-2"/>
    <n v="91086.477898517813"/>
    <n v="-5454.4220052429318"/>
    <n v="-93431.166043410223"/>
    <n v="-2344.6881448924105"/>
    <s v="36800IF-TRANSCO/Z6"/>
    <n v="-50"/>
    <n v="-0.18217295579703563"/>
    <n v="2.4365600308897073"/>
    <n v="-1.2182800154448536"/>
    <n v="8165.0629451592531"/>
    <n v="230.28954928297901"/>
    <x v="0"/>
  </r>
  <r>
    <x v="3"/>
    <x v="0"/>
    <s v="NF2908.2"/>
    <x v="0"/>
    <x v="0"/>
    <x v="1"/>
    <x v="13"/>
    <n v="-500000"/>
    <n v="0.32"/>
    <x v="13"/>
    <n v="0.315"/>
    <n v="5"/>
    <x v="13"/>
    <x v="5"/>
    <n v="0.39200000000000002"/>
    <x v="2"/>
    <x v="13"/>
    <x v="1"/>
    <n v="1.0162014972396938E-2"/>
    <n v="302551.81581663556"/>
    <n v="-5081.0074861984685"/>
    <n v="-303158.95555563719"/>
    <n v="-607.13973900163546"/>
    <s v="36770IF-TRANSCO/Z6"/>
    <n v="-50"/>
    <n v="-0.60510363163327108"/>
    <n v="20.764184301591825"/>
    <n v="-10.382092150795913"/>
    <n v="2086.3509174779201"/>
    <n v="891.21857600328042"/>
    <x v="0"/>
  </r>
  <r>
    <x v="3"/>
    <x v="0"/>
    <s v="NF2912.1"/>
    <x v="0"/>
    <x v="0"/>
    <x v="0"/>
    <x v="12"/>
    <n v="-500000"/>
    <n v="0.32"/>
    <x v="12"/>
    <n v="0.41499999999999998"/>
    <n v="5.1070000000000002"/>
    <x v="12"/>
    <x v="8"/>
    <n v="0.56399999999999995"/>
    <x v="2"/>
    <x v="12"/>
    <x v="0"/>
    <n v="0.10536173399090998"/>
    <n v="-406033.99568266532"/>
    <n v="-52680.866995454991"/>
    <n v="403689.30753777293"/>
    <n v="-2344.6881448923959"/>
    <s v="36800IF-TRANSCO/Z6"/>
    <n v="-50"/>
    <n v="0.81206799136533059"/>
    <n v="2.4365600308897073"/>
    <n v="-1.2182800154448536"/>
    <n v="8165.0629451592531"/>
    <n v="221.48462637111143"/>
    <x v="0"/>
  </r>
  <r>
    <x v="3"/>
    <x v="0"/>
    <s v="NF2912.1"/>
    <x v="0"/>
    <x v="0"/>
    <x v="0"/>
    <x v="13"/>
    <n v="-500000"/>
    <n v="0.32"/>
    <x v="13"/>
    <n v="0.315"/>
    <n v="5"/>
    <x v="13"/>
    <x v="5"/>
    <n v="0.39200000000000002"/>
    <x v="2"/>
    <x v="13"/>
    <x v="0"/>
    <n v="5.1638549129332332E-3"/>
    <n v="-197264.19012977614"/>
    <n v="-2581.9274564666166"/>
    <n v="196657.05039077444"/>
    <n v="-607.13973900169367"/>
    <s v="36770IF-TRANSCO/Z6"/>
    <n v="-50"/>
    <n v="0.39452838025955228"/>
    <n v="20.764184301591825"/>
    <n v="-10.382092150795913"/>
    <n v="2086.3509174779201"/>
    <n v="891.67879149267344"/>
    <x v="0"/>
  </r>
  <r>
    <x v="3"/>
    <x v="0"/>
    <s v="NF2912.2"/>
    <x v="0"/>
    <x v="0"/>
    <x v="1"/>
    <x v="12"/>
    <n v="-500000"/>
    <n v="0.32"/>
    <x v="12"/>
    <n v="0.41499999999999998"/>
    <n v="5.1070000000000002"/>
    <x v="12"/>
    <x v="8"/>
    <n v="0.56399999999999995"/>
    <x v="2"/>
    <x v="12"/>
    <x v="1"/>
    <n v="1.0908844010485863E-2"/>
    <n v="91086.477898517813"/>
    <n v="-5454.4220052429318"/>
    <n v="-93431.166043410223"/>
    <n v="-2344.6881448924105"/>
    <s v="36800IF-TRANSCO/Z6"/>
    <n v="-50"/>
    <n v="-0.18217295579703563"/>
    <n v="2.4365600308897073"/>
    <n v="-1.2182800154448536"/>
    <n v="8165.0629451592531"/>
    <n v="230.28954928297901"/>
    <x v="0"/>
  </r>
  <r>
    <x v="3"/>
    <x v="0"/>
    <s v="NF2912.2"/>
    <x v="0"/>
    <x v="0"/>
    <x v="1"/>
    <x v="13"/>
    <n v="-500000"/>
    <n v="0.32"/>
    <x v="13"/>
    <n v="0.315"/>
    <n v="5"/>
    <x v="13"/>
    <x v="5"/>
    <n v="0.39200000000000002"/>
    <x v="2"/>
    <x v="13"/>
    <x v="1"/>
    <n v="1.0162014972396938E-2"/>
    <n v="302551.81581663556"/>
    <n v="-5081.0074861984685"/>
    <n v="-303158.95555563719"/>
    <n v="-607.13973900163546"/>
    <s v="36770IF-TRANSCO/Z6"/>
    <n v="-50"/>
    <n v="-0.60510363163327108"/>
    <n v="20.764184301591825"/>
    <n v="-10.382092150795913"/>
    <n v="2086.3509174779201"/>
    <n v="891.21857600328042"/>
    <x v="0"/>
  </r>
  <r>
    <x v="3"/>
    <x v="0"/>
    <s v="NF3896.1"/>
    <x v="0"/>
    <x v="0"/>
    <x v="1"/>
    <x v="12"/>
    <n v="-250000"/>
    <n v="0.32"/>
    <x v="12"/>
    <n v="0.41499999999999998"/>
    <n v="5.1070000000000002"/>
    <x v="12"/>
    <x v="8"/>
    <n v="0.56399999999999995"/>
    <x v="2"/>
    <x v="12"/>
    <x v="1"/>
    <n v="1.0908844010485863E-2"/>
    <n v="45543.238949258906"/>
    <n v="-2727.2110026214659"/>
    <n v="-46715.583021705112"/>
    <n v="-1172.3440724462052"/>
    <s v="36800IF-TRANSCO/Z6"/>
    <n v="-25"/>
    <n v="-0.18217295579703563"/>
    <n v="2.4365600308897073"/>
    <n v="-0.60914000772242682"/>
    <n v="4082.5314725796266"/>
    <n v="115.14477464148951"/>
    <x v="0"/>
  </r>
  <r>
    <x v="3"/>
    <x v="0"/>
    <s v="NF3896.1"/>
    <x v="0"/>
    <x v="0"/>
    <x v="1"/>
    <x v="13"/>
    <n v="-250000"/>
    <n v="0.32"/>
    <x v="13"/>
    <n v="0.315"/>
    <n v="5"/>
    <x v="13"/>
    <x v="5"/>
    <n v="0.39200000000000002"/>
    <x v="2"/>
    <x v="13"/>
    <x v="1"/>
    <n v="1.0162014972396938E-2"/>
    <n v="151275.90790831778"/>
    <n v="-2540.5037430992343"/>
    <n v="-151579.4777778186"/>
    <n v="-303.56986950081773"/>
    <s v="36770IF-TRANSCO/Z6"/>
    <n v="-25"/>
    <n v="-0.60510363163327108"/>
    <n v="20.764184301591825"/>
    <n v="-5.1910460753979564"/>
    <n v="1043.1754587389601"/>
    <n v="445.60928800164021"/>
    <x v="0"/>
  </r>
  <r>
    <x v="3"/>
    <x v="0"/>
    <s v="NF3896.2"/>
    <x v="0"/>
    <x v="0"/>
    <x v="1"/>
    <x v="12"/>
    <n v="-250000"/>
    <n v="0.26"/>
    <x v="12"/>
    <n v="0.41499999999999998"/>
    <n v="5.1070000000000002"/>
    <x v="12"/>
    <x v="8"/>
    <n v="0.56399999999999995"/>
    <x v="2"/>
    <x v="12"/>
    <x v="1"/>
    <n v="3.0649373965684901E-3"/>
    <n v="16403.347033313392"/>
    <n v="-766.23434914212248"/>
    <n v="-17000.561371349755"/>
    <n v="-597.21433803636319"/>
    <s v="36800IF-TRANSCO/Z6"/>
    <n v="-25"/>
    <n v="-6.561338813325357E-2"/>
    <n v="1.2074173679710194"/>
    <n v="-0.30185434199275485"/>
    <n v="2047.0040651756676"/>
    <n v="54.378005805835002"/>
    <x v="0"/>
  </r>
  <r>
    <x v="3"/>
    <x v="0"/>
    <s v="NF3896.2"/>
    <x v="0"/>
    <x v="0"/>
    <x v="1"/>
    <x v="13"/>
    <n v="-250000"/>
    <n v="0.26"/>
    <x v="13"/>
    <n v="0.315"/>
    <n v="5"/>
    <x v="13"/>
    <x v="5"/>
    <n v="0.39200000000000002"/>
    <x v="2"/>
    <x v="13"/>
    <x v="1"/>
    <n v="5.7764721210773473E-6"/>
    <n v="284.16621136212461"/>
    <n v="-1.4441180302693368"/>
    <n v="-287.29775864688725"/>
    <n v="-3.1315472847626324"/>
    <s v="36770IF-TRANSCO/Z6"/>
    <n v="-25"/>
    <n v="-1.1366648454484984E-3"/>
    <n v="0.2086492666353226"/>
    <n v="-5.216231665883065E-2"/>
    <n v="10.594397014047045"/>
    <n v="4.297715772946713"/>
    <x v="0"/>
  </r>
  <r>
    <x v="8"/>
    <x v="0"/>
    <s v="NF4362"/>
    <x v="0"/>
    <x v="0"/>
    <x v="0"/>
    <x v="14"/>
    <n v="620000"/>
    <n v="2.2000000000000002"/>
    <x v="14"/>
    <n v="1.075"/>
    <n v="5.2880000000000003"/>
    <x v="14"/>
    <x v="9"/>
    <n v="0.61199999999999999"/>
    <x v="7"/>
    <x v="14"/>
    <x v="0"/>
    <n v="0.20151309617393046"/>
    <n v="166767.8543093531"/>
    <n v="124938.11962783689"/>
    <n v="-126181.23720229151"/>
    <n v="40586.617107061596"/>
    <s v="36951IF-TRANSCO/Z6"/>
    <n v="62"/>
    <n v="0.26898041017637597"/>
    <n v="0.23395699246176627"/>
    <n v="0.14505333532629508"/>
    <n v="-4556.5417902595718"/>
    <n v="-743.10258766884863"/>
    <x v="0"/>
  </r>
  <r>
    <x v="8"/>
    <x v="0"/>
    <s v="NF4362"/>
    <x v="0"/>
    <x v="0"/>
    <x v="0"/>
    <x v="15"/>
    <n v="560000"/>
    <n v="2.2000000000000002"/>
    <x v="15"/>
    <n v="2.09"/>
    <n v="6.57"/>
    <x v="15"/>
    <x v="10"/>
    <n v="0.68100000000000005"/>
    <x v="7"/>
    <x v="15"/>
    <x v="0"/>
    <n v="0.6405406921126634"/>
    <n v="290085.67217866081"/>
    <n v="358702.78758309153"/>
    <n v="-242288.59403818881"/>
    <n v="47797.078140472004"/>
    <s v="36923IF-TRANSCO/Z6"/>
    <n v="56"/>
    <n v="0.51801012889046572"/>
    <n v="0.21801185416908878"/>
    <n v="0.12208663833468972"/>
    <n v="-6145.2982155277514"/>
    <n v="-1177.1049962970594"/>
    <x v="0"/>
  </r>
  <r>
    <x v="8"/>
    <x v="0"/>
    <s v="NF4362"/>
    <x v="0"/>
    <x v="0"/>
    <x v="0"/>
    <x v="16"/>
    <n v="620000"/>
    <n v="2.2000000000000002"/>
    <x v="16"/>
    <n v="2.17"/>
    <n v="6.9139999999999997"/>
    <x v="16"/>
    <x v="11"/>
    <n v="0.69599999999999995"/>
    <x v="7"/>
    <x v="16"/>
    <x v="0"/>
    <n v="0.64262450795790738"/>
    <n v="330093.80666587513"/>
    <n v="398427.19493390259"/>
    <n v="-281478.80037025892"/>
    <n v="48615.006295616215"/>
    <s v="36892IF-TRANSCO/Z6"/>
    <n v="62"/>
    <n v="0.5324093655901212"/>
    <n v="0.23046728105129111"/>
    <n v="0.1428897142518005"/>
    <n v="-6631.4561868454275"/>
    <n v="-1590.8772803447114"/>
    <x v="0"/>
  </r>
  <r>
    <x v="8"/>
    <x v="0"/>
    <s v="NF4362"/>
    <x v="0"/>
    <x v="0"/>
    <x v="0"/>
    <x v="17"/>
    <n v="620000"/>
    <n v="2.2000000000000002"/>
    <x v="17"/>
    <n v="1.645"/>
    <n v="6.4450000000000003"/>
    <x v="17"/>
    <x v="12"/>
    <n v="0.69"/>
    <x v="7"/>
    <x v="17"/>
    <x v="0"/>
    <n v="0.32215853301991865"/>
    <n v="237127.39932304199"/>
    <n v="199738.29047234956"/>
    <n v="-197339.37186389352"/>
    <n v="39788.027459148463"/>
    <s v="36861IF-TRANSCO/Z6"/>
    <n v="62"/>
    <n v="0.38246354729522902"/>
    <n v="0.27942101982821443"/>
    <n v="0.17324103229349294"/>
    <n v="-5308.5738485908132"/>
    <n v="-1664.5137608584375"/>
    <x v="0"/>
  </r>
  <r>
    <x v="8"/>
    <x v="0"/>
    <s v="NF4362"/>
    <x v="0"/>
    <x v="0"/>
    <x v="0"/>
    <x v="18"/>
    <n v="600000"/>
    <n v="2.2000000000000002"/>
    <x v="18"/>
    <n v="0.77"/>
    <n v="5.5060000000000002"/>
    <x v="18"/>
    <x v="13"/>
    <n v="0.625"/>
    <x v="6"/>
    <x v="18"/>
    <x v="0"/>
    <n v="1.2880270126205009E-2"/>
    <n v="27595.330106162044"/>
    <n v="7728.1620757230057"/>
    <n v="-22205.713777063829"/>
    <n v="5389.6163290982149"/>
    <s v="36831IF-TRANSCO/Z6"/>
    <n v="60"/>
    <n v="4.5992216843603405E-2"/>
    <n v="0.13486012438454192"/>
    <n v="8.0916074630725157E-2"/>
    <n v="-1137.1946970054341"/>
    <n v="-327.09808753805419"/>
    <x v="0"/>
  </r>
  <r>
    <x v="12"/>
    <x v="0"/>
    <s v="NF4364.1"/>
    <x v="0"/>
    <x v="0"/>
    <x v="1"/>
    <x v="14"/>
    <n v="500000"/>
    <n v="0.7"/>
    <x v="14"/>
    <n v="1.075"/>
    <n v="5.2880000000000003"/>
    <x v="14"/>
    <x v="9"/>
    <n v="0.61199999999999999"/>
    <x v="7"/>
    <x v="14"/>
    <x v="1"/>
    <n v="0.32002698930856666"/>
    <n v="-162210.15477770101"/>
    <n v="160013.49465428333"/>
    <n v="205541.02548744975"/>
    <n v="43330.870709748735"/>
    <s v="36951IF-TRANSCO/Z6"/>
    <n v="50"/>
    <n v="-0.32442030955540202"/>
    <n v="0.27228887914761535"/>
    <n v="0.13614443957380767"/>
    <n v="-5326.5559404878086"/>
    <n v="-594.51029879346777"/>
    <x v="0"/>
  </r>
  <r>
    <x v="12"/>
    <x v="0"/>
    <s v="NF4364.1"/>
    <x v="0"/>
    <x v="0"/>
    <x v="1"/>
    <x v="15"/>
    <n v="500000"/>
    <n v="0.7"/>
    <x v="15"/>
    <n v="2.09"/>
    <n v="6.57"/>
    <x v="15"/>
    <x v="10"/>
    <n v="0.68100000000000005"/>
    <x v="7"/>
    <x v="15"/>
    <x v="1"/>
    <n v="0.12926788295251401"/>
    <n v="-68477.828872769824"/>
    <n v="64633.941476257009"/>
    <n v="98195.516324057709"/>
    <n v="29717.687451287886"/>
    <s v="36923IF-TRANSCO/Z6"/>
    <n v="50"/>
    <n v="-0.13695565774553964"/>
    <n v="0.13203325616296463"/>
    <n v="6.6016628081482315E-2"/>
    <n v="-4194.800010855196"/>
    <n v="-566.30760159684894"/>
    <x v="0"/>
  </r>
  <r>
    <x v="12"/>
    <x v="0"/>
    <s v="NF4364.1"/>
    <x v="0"/>
    <x v="0"/>
    <x v="1"/>
    <x v="16"/>
    <n v="500000"/>
    <n v="0.7"/>
    <x v="16"/>
    <n v="2.17"/>
    <n v="6.9139999999999997"/>
    <x v="16"/>
    <x v="11"/>
    <n v="0.69599999999999995"/>
    <x v="7"/>
    <x v="16"/>
    <x v="1"/>
    <n v="0.10142315274818847"/>
    <n v="-59239.423155806217"/>
    <n v="50711.576374094235"/>
    <n v="83725.000911167299"/>
    <n v="24485.577755361082"/>
    <s v="36892IF-TRANSCO/Z6"/>
    <n v="50"/>
    <n v="-0.11847884631161243"/>
    <n v="0.12563000274164032"/>
    <n v="6.2815001370820162E-2"/>
    <n v="-3659.5262266525442"/>
    <n v="-624.72173658328154"/>
    <x v="0"/>
  </r>
  <r>
    <x v="12"/>
    <x v="0"/>
    <s v="NF4364.1"/>
    <x v="0"/>
    <x v="0"/>
    <x v="1"/>
    <x v="17"/>
    <n v="500000"/>
    <n v="0.7"/>
    <x v="17"/>
    <n v="1.645"/>
    <n v="6.4450000000000003"/>
    <x v="17"/>
    <x v="12"/>
    <n v="0.69"/>
    <x v="7"/>
    <x v="17"/>
    <x v="1"/>
    <n v="0.13525065254316659"/>
    <n v="-89452.572900128318"/>
    <n v="67625.326271583297"/>
    <n v="116306.83551911697"/>
    <n v="26854.262618988651"/>
    <s v="36861IF-TRANSCO/Z6"/>
    <n v="50"/>
    <n v="-0.17890514580025663"/>
    <n v="0.20556456576343565"/>
    <n v="0.10278228288171781"/>
    <n v="-3914.3134168033284"/>
    <n v="-871.25105423539583"/>
    <x v="0"/>
  </r>
  <r>
    <x v="12"/>
    <x v="0"/>
    <s v="NF4364.1"/>
    <x v="0"/>
    <x v="0"/>
    <x v="1"/>
    <x v="18"/>
    <n v="500000"/>
    <n v="0.7"/>
    <x v="18"/>
    <n v="0.77"/>
    <n v="5.5060000000000002"/>
    <x v="18"/>
    <x v="13"/>
    <n v="0.625"/>
    <x v="6"/>
    <x v="18"/>
    <x v="1"/>
    <n v="0.22448736839763173"/>
    <n v="-214234.58843287986"/>
    <n v="112243.68419881586"/>
    <n v="236785.80556274991"/>
    <n v="22551.217129870056"/>
    <s v="36831IF-TRANSCO/Z6"/>
    <n v="50"/>
    <n v="-0.42846917686575969"/>
    <n v="0.5909777451394872"/>
    <n v="0.2954888725697436"/>
    <n v="-5006.504947294904"/>
    <n v="-996.45805076135343"/>
    <x v="0"/>
  </r>
  <r>
    <x v="12"/>
    <x v="0"/>
    <s v="NF4364.2"/>
    <x v="0"/>
    <x v="0"/>
    <x v="0"/>
    <x v="15"/>
    <n v="-500000"/>
    <n v="1.4"/>
    <x v="15"/>
    <n v="2.09"/>
    <n v="6.57"/>
    <x v="15"/>
    <x v="10"/>
    <n v="0.68100000000000005"/>
    <x v="7"/>
    <x v="15"/>
    <x v="0"/>
    <n v="1.0145224718441159"/>
    <n v="-346324.07153282344"/>
    <n v="-507261.23592205794"/>
    <n v="305838.04606770538"/>
    <n v="-40486.025465118058"/>
    <s v="36923IF-TRANSCO/Z6"/>
    <n v="-50"/>
    <n v="0.69264814306564693"/>
    <n v="0.1941525172228141"/>
    <n v="-9.7076258611407035E-2"/>
    <n v="5439.9640568484992"/>
    <n v="819.20061240130826"/>
    <x v="0"/>
  </r>
  <r>
    <x v="12"/>
    <x v="0"/>
    <s v="NF4364.2"/>
    <x v="0"/>
    <x v="0"/>
    <x v="0"/>
    <x v="16"/>
    <n v="-500000"/>
    <n v="1.4"/>
    <x v="16"/>
    <n v="2.17"/>
    <n v="6.9139999999999997"/>
    <x v="16"/>
    <x v="11"/>
    <n v="0.69599999999999995"/>
    <x v="7"/>
    <x v="16"/>
    <x v="0"/>
    <n v="1.0443973703180629"/>
    <n v="-358799.53481299698"/>
    <n v="-522198.68515903148"/>
    <n v="322950.15744732233"/>
    <n v="-35849.377365674649"/>
    <s v="36892IF-TRANSCO/Z6"/>
    <n v="-50"/>
    <n v="0.71759906962599396"/>
    <n v="0.19803058359402267"/>
    <n v="-9.9015291797011337E-2"/>
    <n v="5107.4826266586406"/>
    <n v="971.46472446970154"/>
    <x v="0"/>
  </r>
  <r>
    <x v="12"/>
    <x v="0"/>
    <s v="NF4364.2"/>
    <x v="0"/>
    <x v="0"/>
    <x v="0"/>
    <x v="17"/>
    <n v="-500000"/>
    <n v="1.4"/>
    <x v="17"/>
    <n v="1.645"/>
    <n v="6.4450000000000003"/>
    <x v="17"/>
    <x v="12"/>
    <n v="0.69"/>
    <x v="7"/>
    <x v="17"/>
    <x v="0"/>
    <n v="0.62950061108774724"/>
    <n v="-302864.04776712821"/>
    <n v="-314750.30554387363"/>
    <n v="267750.65581914899"/>
    <n v="-35113.391947979224"/>
    <s v="36861IF-TRANSCO/Z6"/>
    <n v="-50"/>
    <n v="0.60572809553425644"/>
    <n v="0.28826037858220899"/>
    <n v="-0.14413018929110449"/>
    <n v="4886.0972953943765"/>
    <n v="1259.3331103990681"/>
    <x v="0"/>
  </r>
  <r>
    <x v="12"/>
    <x v="0"/>
    <s v="NF4364.3"/>
    <x v="0"/>
    <x v="0"/>
    <x v="1"/>
    <x v="15"/>
    <n v="-500000"/>
    <n v="1.4"/>
    <x v="15"/>
    <n v="2.09"/>
    <n v="6.57"/>
    <x v="15"/>
    <x v="10"/>
    <n v="0.68100000000000005"/>
    <x v="7"/>
    <x v="15"/>
    <x v="1"/>
    <n v="0.34433131064405353"/>
    <n v="139321.69745272881"/>
    <n v="-172165.65532202678"/>
    <n v="-179807.72291784687"/>
    <n v="-40486.025465118058"/>
    <s v="36923IF-TRANSCO/Z6"/>
    <n v="-50"/>
    <n v="-0.27864339490545764"/>
    <n v="0.1941525172228141"/>
    <n v="-9.7076258611407035E-2"/>
    <n v="5439.9640568484992"/>
    <n v="882.21709132635658"/>
    <x v="0"/>
  </r>
  <r>
    <x v="12"/>
    <x v="0"/>
    <s v="NF4364.3"/>
    <x v="0"/>
    <x v="0"/>
    <x v="1"/>
    <x v="16"/>
    <n v="-500000"/>
    <n v="1.4"/>
    <x v="16"/>
    <n v="2.17"/>
    <n v="6.9139999999999997"/>
    <x v="16"/>
    <x v="11"/>
    <n v="0.69599999999999995"/>
    <x v="7"/>
    <x v="16"/>
    <x v="1"/>
    <n v="0.29178365309153542"/>
    <n v="129910.6711782546"/>
    <n v="-145891.82654576772"/>
    <n v="-165760.0485439293"/>
    <n v="-35849.377365674693"/>
    <s v="36892IF-TRANSCO/Z6"/>
    <n v="-50"/>
    <n v="-0.25982134235650922"/>
    <n v="0.19803058359402267"/>
    <n v="-9.9015291797011337E-2"/>
    <n v="5107.4826266586406"/>
    <n v="1041.9576502716222"/>
    <x v="0"/>
  </r>
  <r>
    <x v="12"/>
    <x v="0"/>
    <s v="NF4364.3"/>
    <x v="0"/>
    <x v="0"/>
    <x v="1"/>
    <x v="17"/>
    <n v="-500000"/>
    <n v="1.4"/>
    <x v="17"/>
    <n v="1.645"/>
    <n v="6.4450000000000003"/>
    <x v="17"/>
    <x v="12"/>
    <n v="0.69"/>
    <x v="7"/>
    <x v="17"/>
    <x v="1"/>
    <n v="0.38872532291069706"/>
    <n v="188514.09136970877"/>
    <n v="-194362.66145534854"/>
    <n v="-223627.48331768799"/>
    <n v="-35113.391947979224"/>
    <s v="36861IF-TRANSCO/Z6"/>
    <n v="-50"/>
    <n v="-0.37702818273941752"/>
    <n v="0.28826037858220899"/>
    <n v="-0.14413018929110449"/>
    <n v="4886.0972953943765"/>
    <n v="1281.8650689991771"/>
    <x v="0"/>
  </r>
  <r>
    <x v="3"/>
    <x v="0"/>
    <s v="NF5550.1"/>
    <x v="3"/>
    <x v="0"/>
    <x v="0"/>
    <x v="14"/>
    <n v="-1000000"/>
    <n v="0"/>
    <x v="14"/>
    <n v="3.2500000000000001E-2"/>
    <n v="4.2454999999999998"/>
    <x v="14"/>
    <x v="9"/>
    <n v="0.55900000000000005"/>
    <x v="8"/>
    <x v="14"/>
    <x v="0"/>
    <n v="7.1142689100674769E-2"/>
    <n v="-577845.52972439455"/>
    <n v="-71142.689100674776"/>
    <n v="565416.69747242692"/>
    <n v="-12428.832251967629"/>
    <s v="36951IF-NNG/VENT"/>
    <n v="-100"/>
    <n v="0.57784552972439451"/>
    <n v="2.6568735827718615"/>
    <n v="-2.6568735827718615"/>
    <n v="71420.157784030482"/>
    <n v="130.27814615558168"/>
    <x v="0"/>
  </r>
  <r>
    <x v="3"/>
    <x v="0"/>
    <s v="NF5550.1"/>
    <x v="3"/>
    <x v="0"/>
    <x v="0"/>
    <x v="15"/>
    <n v="-1000000"/>
    <n v="0"/>
    <x v="15"/>
    <n v="3.5000000000000003E-2"/>
    <n v="4.5150000000000006"/>
    <x v="15"/>
    <x v="10"/>
    <n v="0.622"/>
    <x v="8"/>
    <x v="15"/>
    <x v="0"/>
    <n v="7.7674757511825135E-2"/>
    <n v="-580136.04987075413"/>
    <n v="-77674.757511825141"/>
    <n v="567330.25755745522"/>
    <n v="-12805.792313298909"/>
    <s v="36923IF-NNG/VENT"/>
    <n v="-100"/>
    <n v="0.58013604987075418"/>
    <n v="2.4537887260745124"/>
    <n v="-2.4537887260745124"/>
    <n v="78229.90430624217"/>
    <n v="171.28853623657207"/>
    <x v="0"/>
  </r>
  <r>
    <x v="3"/>
    <x v="0"/>
    <s v="NF5550.1"/>
    <x v="3"/>
    <x v="0"/>
    <x v="0"/>
    <x v="16"/>
    <n v="-1000000"/>
    <n v="0"/>
    <x v="16"/>
    <n v="0.03"/>
    <n v="4.774"/>
    <x v="16"/>
    <x v="11"/>
    <n v="0.63500000000000001"/>
    <x v="8"/>
    <x v="16"/>
    <x v="0"/>
    <n v="7.2817754182042671E-2"/>
    <n v="-574080.78429283015"/>
    <n v="-72817.75418204267"/>
    <n v="562361.71128089435"/>
    <n v="-11719.073011935805"/>
    <s v="36892IF-NNG/VENT"/>
    <n v="-100"/>
    <n v="0.57408078429283016"/>
    <n v="2.5968931544276082"/>
    <n v="-2.5968931544276082"/>
    <n v="75948.208407300379"/>
    <n v="215.06729318161305"/>
    <x v="0"/>
  </r>
  <r>
    <x v="3"/>
    <x v="0"/>
    <s v="NF5550.1"/>
    <x v="3"/>
    <x v="0"/>
    <x v="0"/>
    <x v="17"/>
    <n v="-1000000"/>
    <n v="0"/>
    <x v="17"/>
    <n v="1.7500000000000002E-2"/>
    <n v="4.8174999999999999"/>
    <x v="17"/>
    <x v="12"/>
    <n v="0.63"/>
    <x v="8"/>
    <x v="17"/>
    <x v="0"/>
    <n v="5.9315326948970001E-2"/>
    <n v="-549915.87947575597"/>
    <n v="-59315.326948970003"/>
    <n v="539563.42944081721"/>
    <n v="-10352.450034938753"/>
    <s v="36861IF-NNG/VENT"/>
    <n v="-100"/>
    <n v="0.54991587947575593"/>
    <n v="3.0193168452410832"/>
    <n v="-3.0193168452410832"/>
    <n v="67442.984917311434"/>
    <n v="256.71197363319942"/>
    <x v="0"/>
  </r>
  <r>
    <x v="3"/>
    <x v="0"/>
    <s v="NF5550.1"/>
    <x v="3"/>
    <x v="0"/>
    <x v="0"/>
    <x v="18"/>
    <n v="-1000000"/>
    <n v="0"/>
    <x v="18"/>
    <n v="-2.5000000000000001E-3"/>
    <n v="4.7334999999999994"/>
    <x v="18"/>
    <x v="13"/>
    <n v="0.625"/>
    <x v="8"/>
    <x v="18"/>
    <x v="0"/>
    <n v="3.9503038518871256E-2"/>
    <n v="-488919.09078465885"/>
    <n v="-39503.038518871253"/>
    <n v="480319.99764940399"/>
    <n v="-8599.093135254865"/>
    <s v="36831IF-NNG/VENT"/>
    <n v="-100"/>
    <n v="0.48891909078465884"/>
    <n v="3.8177459938952718"/>
    <n v="-3.8177459938952718"/>
    <n v="54868.003634188986"/>
    <n v="315.96885836409751"/>
    <x v="0"/>
  </r>
  <r>
    <x v="3"/>
    <x v="0"/>
    <s v="NF5550.1"/>
    <x v="3"/>
    <x v="0"/>
    <x v="0"/>
    <x v="12"/>
    <n v="-1000000"/>
    <n v="0"/>
    <x v="12"/>
    <n v="-0.09"/>
    <n v="4.6020000000000003"/>
    <x v="12"/>
    <x v="8"/>
    <n v="0.57499999999999996"/>
    <x v="8"/>
    <x v="12"/>
    <x v="0"/>
    <n v="1.1703133504245599E-3"/>
    <n v="-51340.137516766488"/>
    <n v="-1170.31335042456"/>
    <n v="50105.924488194505"/>
    <n v="-1234.2130285719832"/>
    <s v="36800IF-NNG/VENT"/>
    <n v="-100"/>
    <n v="5.1340137516766492E-2"/>
    <n v="1.9300067886561059"/>
    <n v="-1.9300067886561059"/>
    <n v="11469.893111975924"/>
    <n v="92.344282108227915"/>
    <x v="0"/>
  </r>
  <r>
    <x v="3"/>
    <x v="0"/>
    <s v="NF5550.1"/>
    <x v="3"/>
    <x v="0"/>
    <x v="0"/>
    <x v="13"/>
    <n v="-1000000"/>
    <n v="0"/>
    <x v="13"/>
    <n v="-0.11"/>
    <n v="4.5750000000000002"/>
    <x v="13"/>
    <x v="5"/>
    <n v="0.4"/>
    <x v="8"/>
    <x v="13"/>
    <x v="0"/>
    <n v="2.9317190494040337E-33"/>
    <n v="-3.7720208664561247E-24"/>
    <n v="-2.9317190494040337E-27"/>
    <n v="3.682239523478732E-24"/>
    <n v="-8.9781342977392657E-26"/>
    <s v="36770IF-NNG/VENT"/>
    <n v="-100"/>
    <n v="3.772020866456125E-30"/>
    <n v="4.3863736829254601E-27"/>
    <n v="-4.3863736829254594E-27"/>
    <n v="7.7314147090913159E-25"/>
    <n v="9.8702002685767726E-26"/>
    <x v="0"/>
  </r>
  <r>
    <x v="3"/>
    <x v="0"/>
    <s v="NF5550.2"/>
    <x v="3"/>
    <x v="0"/>
    <x v="1"/>
    <x v="14"/>
    <n v="-1000000"/>
    <n v="0"/>
    <x v="14"/>
    <n v="3.2500000000000001E-2"/>
    <n v="4.2454999999999998"/>
    <x v="14"/>
    <x v="9"/>
    <n v="0.55900000000000005"/>
    <x v="8"/>
    <x v="14"/>
    <x v="1"/>
    <n v="3.9745151691995773E-2"/>
    <n v="388232.54438879952"/>
    <n v="-39745.151691995772"/>
    <n v="-400661.37664076709"/>
    <n v="-12428.832251967571"/>
    <s v="36951IF-NNG/VENT"/>
    <n v="-100"/>
    <n v="-0.38823254438879951"/>
    <n v="2.6568735827718615"/>
    <n v="-2.6568735827718615"/>
    <n v="71420.157784030482"/>
    <n v="136.20323263963775"/>
    <x v="0"/>
  </r>
  <r>
    <x v="3"/>
    <x v="0"/>
    <s v="NF5550.2"/>
    <x v="3"/>
    <x v="0"/>
    <x v="1"/>
    <x v="15"/>
    <n v="-1000000"/>
    <n v="0"/>
    <x v="15"/>
    <n v="3.5000000000000003E-2"/>
    <n v="4.5149999999999997"/>
    <x v="15"/>
    <x v="10"/>
    <n v="0.622"/>
    <x v="8"/>
    <x v="15"/>
    <x v="1"/>
    <n v="4.3679553682835603E-2"/>
    <n v="391155.48810035025"/>
    <n v="-43679.553682835605"/>
    <n v="-403961.28041364922"/>
    <n v="-12805.792313298967"/>
    <s v="36923IF-NNG/VENT"/>
    <n v="-100"/>
    <n v="-0.39115548810035028"/>
    <n v="2.4537887260745124"/>
    <n v="-2.4537887260745124"/>
    <n v="78229.90430624217"/>
    <n v="177.6815123594032"/>
    <x v="0"/>
  </r>
  <r>
    <x v="3"/>
    <x v="0"/>
    <s v="NF5550.2"/>
    <x v="3"/>
    <x v="0"/>
    <x v="1"/>
    <x v="16"/>
    <n v="-1000000"/>
    <n v="0"/>
    <x v="16"/>
    <n v="0.03"/>
    <n v="4.774"/>
    <x v="16"/>
    <x v="11"/>
    <n v="0.63500000000000001"/>
    <x v="8"/>
    <x v="16"/>
    <x v="1"/>
    <n v="4.3495141822567085E-2"/>
    <n v="403339.62768967304"/>
    <n v="-43495.141822567086"/>
    <n v="-415058.7007016089"/>
    <n v="-11719.073011935863"/>
    <s v="36892IF-NNG/VENT"/>
    <n v="-100"/>
    <n v="-0.40333962768967302"/>
    <n v="2.5968931544276082"/>
    <n v="-2.5968931544276082"/>
    <n v="75948.208407300379"/>
    <n v="220.56024843890569"/>
    <x v="0"/>
  </r>
  <r>
    <x v="3"/>
    <x v="0"/>
    <s v="NF5550.2"/>
    <x v="3"/>
    <x v="0"/>
    <x v="1"/>
    <x v="17"/>
    <n v="-1000000"/>
    <n v="0"/>
    <x v="17"/>
    <n v="1.7500000000000002E-2"/>
    <n v="4.8174999999999999"/>
    <x v="17"/>
    <x v="12"/>
    <n v="0.63"/>
    <x v="8"/>
    <x v="17"/>
    <x v="1"/>
    <n v="4.2117092079180907E-2"/>
    <n v="432840.39879791805"/>
    <n v="-42117.092079180904"/>
    <n v="-443192.84883285669"/>
    <n v="-10352.450034938636"/>
    <s v="36861IF-NNG/VENT"/>
    <n v="-100"/>
    <n v="-0.43284039879791808"/>
    <n v="3.0193168452410832"/>
    <n v="-3.0193168452410832"/>
    <n v="67442.984917311434"/>
    <n v="259.93082486178639"/>
    <x v="0"/>
  </r>
  <r>
    <x v="3"/>
    <x v="0"/>
    <s v="NF5550.2"/>
    <x v="3"/>
    <x v="0"/>
    <x v="1"/>
    <x v="18"/>
    <n v="-1000000"/>
    <n v="0"/>
    <x v="18"/>
    <n v="-2.5000000000000001E-3"/>
    <n v="4.7334999999999994"/>
    <x v="18"/>
    <x v="13"/>
    <n v="0.625"/>
    <x v="8"/>
    <x v="18"/>
    <x v="1"/>
    <n v="4.1973841928169442E-2"/>
    <n v="499402.27293439239"/>
    <n v="-41973.841928169444"/>
    <n v="-508001.36606964719"/>
    <n v="-8599.0931352548068"/>
    <s v="36831IF-NNG/VENT"/>
    <n v="-100"/>
    <n v="-0.49940227293439238"/>
    <n v="3.8177459938952718"/>
    <n v="-3.8177459938952718"/>
    <n v="54868.003634188986"/>
    <n v="315.50782161230632"/>
    <x v="0"/>
  </r>
  <r>
    <x v="3"/>
    <x v="0"/>
    <s v="NF5550.2"/>
    <x v="3"/>
    <x v="0"/>
    <x v="1"/>
    <x v="12"/>
    <n v="-1000000"/>
    <n v="0"/>
    <x v="12"/>
    <n v="-0.09"/>
    <n v="4.6020000000000003"/>
    <x v="12"/>
    <x v="8"/>
    <n v="0.57499999999999996"/>
    <x v="8"/>
    <x v="12"/>
    <x v="1"/>
    <n v="9.065199859503803E-2"/>
    <n v="942900.8096455998"/>
    <n v="-90651.998595038036"/>
    <n v="-944135.02267417184"/>
    <n v="-1234.2130285720341"/>
    <s v="36800IF-NNG/VENT"/>
    <n v="-100"/>
    <n v="-0.94290080964559975"/>
    <n v="1.9300067886561059"/>
    <n v="-1.9300067886561059"/>
    <n v="11469.893111975924"/>
    <n v="75.661270275215514"/>
    <x v="0"/>
  </r>
  <r>
    <x v="3"/>
    <x v="0"/>
    <s v="NF5550.2"/>
    <x v="3"/>
    <x v="0"/>
    <x v="1"/>
    <x v="13"/>
    <n v="-1000000"/>
    <n v="0"/>
    <x v="13"/>
    <n v="-0.11"/>
    <n v="4.5750000000000002"/>
    <x v="13"/>
    <x v="5"/>
    <n v="0.4"/>
    <x v="8"/>
    <x v="13"/>
    <x v="1"/>
    <n v="0.10995952130821074"/>
    <n v="999632.01189282339"/>
    <n v="-109959.52130821074"/>
    <n v="-999632.01189282339"/>
    <n v="0"/>
    <s v="36770IF-NNG/VENT"/>
    <n v="-100"/>
    <n v="-0.99963201189282336"/>
    <n v="4.3863736829254601E-27"/>
    <n v="-4.3863736829254594E-27"/>
    <n v="7.7314147090913159E-25"/>
    <n v="-20.249481533289398"/>
    <x v="0"/>
  </r>
  <r>
    <x v="8"/>
    <x v="0"/>
    <s v="NF5563"/>
    <x v="0"/>
    <x v="0"/>
    <x v="0"/>
    <x v="14"/>
    <n v="310000"/>
    <n v="2.2000000000000002"/>
    <x v="14"/>
    <n v="1.075"/>
    <n v="5.2880000000000003"/>
    <x v="14"/>
    <x v="9"/>
    <n v="0.61199999999999999"/>
    <x v="7"/>
    <x v="14"/>
    <x v="0"/>
    <n v="0.20151309617393046"/>
    <n v="83383.927154676552"/>
    <n v="62469.059813918444"/>
    <n v="-63090.618601145754"/>
    <n v="20293.308553530798"/>
    <s v="36951IF-TRANSCO/Z6"/>
    <n v="31"/>
    <n v="0.26898041017637597"/>
    <n v="0.23395699246176627"/>
    <n v="7.252666766314754E-2"/>
    <n v="-2278.2708951297859"/>
    <n v="-371.55129383442431"/>
    <x v="0"/>
  </r>
  <r>
    <x v="8"/>
    <x v="0"/>
    <s v="NF5563"/>
    <x v="0"/>
    <x v="0"/>
    <x v="0"/>
    <x v="15"/>
    <n v="280000"/>
    <n v="2.2000000000000002"/>
    <x v="15"/>
    <n v="2.09"/>
    <n v="6.57"/>
    <x v="15"/>
    <x v="10"/>
    <n v="0.68100000000000005"/>
    <x v="7"/>
    <x v="15"/>
    <x v="0"/>
    <n v="0.6405406921126634"/>
    <n v="145042.83608933041"/>
    <n v="179351.39379154576"/>
    <n v="-121144.2970190944"/>
    <n v="23898.539070236002"/>
    <s v="36923IF-TRANSCO/Z6"/>
    <n v="28"/>
    <n v="0.51801012889046572"/>
    <n v="0.21801185416908878"/>
    <n v="6.1043319167344859E-2"/>
    <n v="-3072.6491077638757"/>
    <n v="-588.55249814852971"/>
    <x v="0"/>
  </r>
  <r>
    <x v="8"/>
    <x v="0"/>
    <s v="NF5563"/>
    <x v="0"/>
    <x v="0"/>
    <x v="0"/>
    <x v="16"/>
    <n v="310000"/>
    <n v="2.2000000000000002"/>
    <x v="16"/>
    <n v="2.17"/>
    <n v="6.9139999999999997"/>
    <x v="16"/>
    <x v="11"/>
    <n v="0.69599999999999995"/>
    <x v="7"/>
    <x v="16"/>
    <x v="0"/>
    <n v="0.64262450795790738"/>
    <n v="165046.90333293757"/>
    <n v="199213.59746695129"/>
    <n v="-140739.40018512946"/>
    <n v="24307.503147808107"/>
    <s v="36892IF-TRANSCO/Z6"/>
    <n v="31"/>
    <n v="0.5324093655901212"/>
    <n v="0.23046728105129111"/>
    <n v="7.1444857125900249E-2"/>
    <n v="-3315.7280934227138"/>
    <n v="-795.43864017235569"/>
    <x v="0"/>
  </r>
  <r>
    <x v="8"/>
    <x v="0"/>
    <s v="NF5563"/>
    <x v="0"/>
    <x v="0"/>
    <x v="0"/>
    <x v="17"/>
    <n v="310000"/>
    <n v="2.2000000000000002"/>
    <x v="17"/>
    <n v="1.645"/>
    <n v="6.4450000000000003"/>
    <x v="17"/>
    <x v="12"/>
    <n v="0.69"/>
    <x v="7"/>
    <x v="17"/>
    <x v="0"/>
    <n v="0.32215853301991865"/>
    <n v="118563.69966152099"/>
    <n v="99869.14523617478"/>
    <n v="-98669.685931946762"/>
    <n v="19894.013729574232"/>
    <s v="36861IF-TRANSCO/Z6"/>
    <n v="31"/>
    <n v="0.38246354729522902"/>
    <n v="0.27942101982821443"/>
    <n v="8.6620516146746471E-2"/>
    <n v="-2654.2869242954066"/>
    <n v="-832.25688042921877"/>
    <x v="0"/>
  </r>
  <r>
    <x v="8"/>
    <x v="0"/>
    <s v="NF5563"/>
    <x v="0"/>
    <x v="0"/>
    <x v="0"/>
    <x v="18"/>
    <n v="300000"/>
    <n v="2.2000000000000002"/>
    <x v="18"/>
    <n v="0.77"/>
    <n v="5.5060000000000002"/>
    <x v="18"/>
    <x v="13"/>
    <n v="0.625"/>
    <x v="6"/>
    <x v="18"/>
    <x v="0"/>
    <n v="1.2880270126205009E-2"/>
    <n v="13797.665053081022"/>
    <n v="3864.0810378615029"/>
    <n v="-11102.856888531915"/>
    <n v="2694.8081645491075"/>
    <s v="36831IF-TRANSCO/Z6"/>
    <n v="30"/>
    <n v="4.5992216843603405E-2"/>
    <n v="0.13486012438454192"/>
    <n v="4.0458037315362579E-2"/>
    <n v="-568.59734850271707"/>
    <n v="-163.54904376902709"/>
    <x v="0"/>
  </r>
  <r>
    <x v="3"/>
    <x v="0"/>
    <s v="NF5578.1"/>
    <x v="3"/>
    <x v="0"/>
    <x v="0"/>
    <x v="14"/>
    <n v="-1000000"/>
    <n v="0"/>
    <x v="14"/>
    <n v="3.2500000000000001E-2"/>
    <n v="4.2454999999999998"/>
    <x v="14"/>
    <x v="9"/>
    <n v="0.55900000000000005"/>
    <x v="8"/>
    <x v="14"/>
    <x v="0"/>
    <n v="7.1142689100674769E-2"/>
    <n v="-577845.52972439455"/>
    <n v="-71142.689100674776"/>
    <n v="565416.69747242692"/>
    <n v="-12428.832251967629"/>
    <s v="36951IF-NNG/VENT"/>
    <n v="-100"/>
    <n v="0.57784552972439451"/>
    <n v="2.6568735827718615"/>
    <n v="-2.6568735827718615"/>
    <n v="71420.157784030482"/>
    <n v="130.27814615558168"/>
    <x v="0"/>
  </r>
  <r>
    <x v="3"/>
    <x v="0"/>
    <s v="NF5578.1"/>
    <x v="3"/>
    <x v="0"/>
    <x v="0"/>
    <x v="15"/>
    <n v="-1000000"/>
    <n v="0"/>
    <x v="15"/>
    <n v="3.5000000000000003E-2"/>
    <n v="4.5149999999999997"/>
    <x v="15"/>
    <x v="10"/>
    <n v="0.622"/>
    <x v="8"/>
    <x v="15"/>
    <x v="0"/>
    <n v="7.7674757511825135E-2"/>
    <n v="-580136.04987075413"/>
    <n v="-77674.757511825141"/>
    <n v="567330.25755745522"/>
    <n v="-12805.792313298909"/>
    <s v="36923IF-NNG/VENT"/>
    <n v="-100"/>
    <n v="0.58013604987075418"/>
    <n v="2.4537887260745124"/>
    <n v="-2.4537887260745124"/>
    <n v="78229.90430624217"/>
    <n v="171.28853623657207"/>
    <x v="0"/>
  </r>
  <r>
    <x v="3"/>
    <x v="0"/>
    <s v="NF5578.1"/>
    <x v="3"/>
    <x v="0"/>
    <x v="0"/>
    <x v="16"/>
    <n v="-1000000"/>
    <n v="0"/>
    <x v="16"/>
    <n v="0.03"/>
    <n v="4.774"/>
    <x v="16"/>
    <x v="11"/>
    <n v="0.63500000000000001"/>
    <x v="8"/>
    <x v="16"/>
    <x v="0"/>
    <n v="7.2817754182042671E-2"/>
    <n v="-574080.78429283015"/>
    <n v="-72817.75418204267"/>
    <n v="562361.71128089435"/>
    <n v="-11719.073011935805"/>
    <s v="36892IF-NNG/VENT"/>
    <n v="-100"/>
    <n v="0.57408078429283016"/>
    <n v="2.5968931544276082"/>
    <n v="-2.5968931544276082"/>
    <n v="75948.208407300379"/>
    <n v="215.06729318161305"/>
    <x v="0"/>
  </r>
  <r>
    <x v="3"/>
    <x v="0"/>
    <s v="NF5578.1"/>
    <x v="3"/>
    <x v="0"/>
    <x v="0"/>
    <x v="17"/>
    <n v="-1000000"/>
    <n v="0"/>
    <x v="17"/>
    <n v="1.7500000000000002E-2"/>
    <n v="4.8174999999999999"/>
    <x v="17"/>
    <x v="12"/>
    <n v="0.63"/>
    <x v="8"/>
    <x v="17"/>
    <x v="0"/>
    <n v="5.9315326948970001E-2"/>
    <n v="-549915.87947575597"/>
    <n v="-59315.326948970003"/>
    <n v="539563.42944081721"/>
    <n v="-10352.450034938753"/>
    <s v="36861IF-NNG/VENT"/>
    <n v="-100"/>
    <n v="0.54991587947575593"/>
    <n v="3.0193168452410832"/>
    <n v="-3.0193168452410832"/>
    <n v="67442.984917311434"/>
    <n v="256.71197363319942"/>
    <x v="0"/>
  </r>
  <r>
    <x v="3"/>
    <x v="0"/>
    <s v="NF5578.1"/>
    <x v="3"/>
    <x v="0"/>
    <x v="0"/>
    <x v="18"/>
    <n v="-1000000"/>
    <n v="0"/>
    <x v="18"/>
    <n v="-2.5000000000000001E-3"/>
    <n v="4.7334999999999994"/>
    <x v="18"/>
    <x v="13"/>
    <n v="0.625"/>
    <x v="8"/>
    <x v="18"/>
    <x v="0"/>
    <n v="3.9503038518871256E-2"/>
    <n v="-488919.09078465885"/>
    <n v="-39503.038518871253"/>
    <n v="480319.99764940399"/>
    <n v="-8599.093135254865"/>
    <s v="36831IF-NNG/VENT"/>
    <n v="-100"/>
    <n v="0.48891909078465884"/>
    <n v="3.8177459938952718"/>
    <n v="-3.8177459938952718"/>
    <n v="54868.003634188986"/>
    <n v="315.96885836409751"/>
    <x v="0"/>
  </r>
  <r>
    <x v="3"/>
    <x v="0"/>
    <s v="NF5578.1"/>
    <x v="3"/>
    <x v="0"/>
    <x v="0"/>
    <x v="12"/>
    <n v="-1000000"/>
    <n v="0"/>
    <x v="12"/>
    <n v="-0.09"/>
    <n v="4.6020000000000003"/>
    <x v="12"/>
    <x v="8"/>
    <n v="0.57499999999999996"/>
    <x v="8"/>
    <x v="12"/>
    <x v="0"/>
    <n v="1.1703133504245599E-3"/>
    <n v="-51340.137516766488"/>
    <n v="-1170.31335042456"/>
    <n v="50105.924488194505"/>
    <n v="-1234.2130285719832"/>
    <s v="36800IF-NNG/VENT"/>
    <n v="-100"/>
    <n v="5.1340137516766492E-2"/>
    <n v="1.9300067886561059"/>
    <n v="-1.9300067886561059"/>
    <n v="11469.893111975924"/>
    <n v="92.344282108227915"/>
    <x v="0"/>
  </r>
  <r>
    <x v="3"/>
    <x v="0"/>
    <s v="NF5578.1"/>
    <x v="3"/>
    <x v="0"/>
    <x v="0"/>
    <x v="13"/>
    <n v="-1000000"/>
    <n v="0"/>
    <x v="13"/>
    <n v="-0.11"/>
    <n v="4.5750000000000002"/>
    <x v="13"/>
    <x v="5"/>
    <n v="0.4"/>
    <x v="8"/>
    <x v="13"/>
    <x v="0"/>
    <n v="2.9317190494040337E-33"/>
    <n v="-3.7720208664561247E-24"/>
    <n v="-2.9317190494040337E-27"/>
    <n v="3.682239523478732E-24"/>
    <n v="-8.9781342977392657E-26"/>
    <s v="36770IF-NNG/VENT"/>
    <n v="-100"/>
    <n v="3.772020866456125E-30"/>
    <n v="4.3863736829254601E-27"/>
    <n v="-4.3863736829254594E-27"/>
    <n v="7.7314147090913159E-25"/>
    <n v="9.8702002685767726E-26"/>
    <x v="0"/>
  </r>
  <r>
    <x v="3"/>
    <x v="0"/>
    <s v="NF5578.2"/>
    <x v="3"/>
    <x v="0"/>
    <x v="1"/>
    <x v="14"/>
    <n v="-1000000"/>
    <n v="0"/>
    <x v="14"/>
    <n v="3.2500000000000001E-2"/>
    <n v="4.2454999999999998"/>
    <x v="14"/>
    <x v="9"/>
    <n v="0.55900000000000005"/>
    <x v="8"/>
    <x v="14"/>
    <x v="1"/>
    <n v="3.9745151691995773E-2"/>
    <n v="388232.54438879952"/>
    <n v="-39745.151691995772"/>
    <n v="-400661.37664076709"/>
    <n v="-12428.832251967571"/>
    <s v="36951IF-NNG/VENT"/>
    <n v="-100"/>
    <n v="-0.38823254438879951"/>
    <n v="2.6568735827718615"/>
    <n v="-2.6568735827718615"/>
    <n v="71420.157784030482"/>
    <n v="136.20323263963775"/>
    <x v="0"/>
  </r>
  <r>
    <x v="3"/>
    <x v="0"/>
    <s v="NF5578.2"/>
    <x v="3"/>
    <x v="0"/>
    <x v="1"/>
    <x v="15"/>
    <n v="-1000000"/>
    <n v="0"/>
    <x v="15"/>
    <n v="3.5000000000000003E-2"/>
    <n v="4.5149999999999997"/>
    <x v="15"/>
    <x v="10"/>
    <n v="0.622"/>
    <x v="8"/>
    <x v="15"/>
    <x v="1"/>
    <n v="4.3679553682835603E-2"/>
    <n v="391155.48810035025"/>
    <n v="-43679.553682835605"/>
    <n v="-403961.28041364922"/>
    <n v="-12805.792313298967"/>
    <s v="36923IF-NNG/VENT"/>
    <n v="-100"/>
    <n v="-0.39115548810035028"/>
    <n v="2.4537887260745124"/>
    <n v="-2.4537887260745124"/>
    <n v="78229.90430624217"/>
    <n v="177.6815123594032"/>
    <x v="0"/>
  </r>
  <r>
    <x v="3"/>
    <x v="0"/>
    <s v="NF5578.2"/>
    <x v="3"/>
    <x v="0"/>
    <x v="1"/>
    <x v="16"/>
    <n v="-1000000"/>
    <n v="0"/>
    <x v="16"/>
    <n v="0.03"/>
    <n v="4.774"/>
    <x v="16"/>
    <x v="11"/>
    <n v="0.63500000000000001"/>
    <x v="8"/>
    <x v="16"/>
    <x v="1"/>
    <n v="4.3495141822567085E-2"/>
    <n v="403339.62768967304"/>
    <n v="-43495.141822567086"/>
    <n v="-415058.7007016089"/>
    <n v="-11719.073011935863"/>
    <s v="36892IF-NNG/VENT"/>
    <n v="-100"/>
    <n v="-0.40333962768967302"/>
    <n v="2.5968931544276082"/>
    <n v="-2.5968931544276082"/>
    <n v="75948.208407300379"/>
    <n v="220.56024843890569"/>
    <x v="0"/>
  </r>
  <r>
    <x v="3"/>
    <x v="0"/>
    <s v="NF5578.2"/>
    <x v="3"/>
    <x v="0"/>
    <x v="1"/>
    <x v="17"/>
    <n v="-1000000"/>
    <n v="0"/>
    <x v="17"/>
    <n v="1.7500000000000002E-2"/>
    <n v="4.8174999999999999"/>
    <x v="17"/>
    <x v="12"/>
    <n v="0.63"/>
    <x v="8"/>
    <x v="17"/>
    <x v="1"/>
    <n v="4.2117092079180907E-2"/>
    <n v="432840.39879791805"/>
    <n v="-42117.092079180904"/>
    <n v="-443192.84883285669"/>
    <n v="-10352.450034938636"/>
    <s v="36861IF-NNG/VENT"/>
    <n v="-100"/>
    <n v="-0.43284039879791808"/>
    <n v="3.0193168452410832"/>
    <n v="-3.0193168452410832"/>
    <n v="67442.984917311434"/>
    <n v="259.93082486178639"/>
    <x v="0"/>
  </r>
  <r>
    <x v="3"/>
    <x v="0"/>
    <s v="NF5578.2"/>
    <x v="3"/>
    <x v="0"/>
    <x v="1"/>
    <x v="18"/>
    <n v="-1000000"/>
    <n v="0"/>
    <x v="18"/>
    <n v="-2.5000000000000001E-3"/>
    <n v="4.7334999999999994"/>
    <x v="18"/>
    <x v="13"/>
    <n v="0.625"/>
    <x v="8"/>
    <x v="18"/>
    <x v="1"/>
    <n v="4.1973841928169442E-2"/>
    <n v="499402.27293439239"/>
    <n v="-41973.841928169444"/>
    <n v="-508001.36606964719"/>
    <n v="-8599.0931352548068"/>
    <s v="36831IF-NNG/VENT"/>
    <n v="-100"/>
    <n v="-0.49940227293439238"/>
    <n v="3.8177459938952718"/>
    <n v="-3.8177459938952718"/>
    <n v="54868.003634188986"/>
    <n v="315.50782161230632"/>
    <x v="0"/>
  </r>
  <r>
    <x v="3"/>
    <x v="0"/>
    <s v="NF5578.2"/>
    <x v="3"/>
    <x v="0"/>
    <x v="1"/>
    <x v="12"/>
    <n v="-1000000"/>
    <n v="0"/>
    <x v="12"/>
    <n v="-0.09"/>
    <n v="4.6020000000000003"/>
    <x v="12"/>
    <x v="8"/>
    <n v="0.57499999999999996"/>
    <x v="8"/>
    <x v="12"/>
    <x v="1"/>
    <n v="9.065199859503803E-2"/>
    <n v="942900.8096455998"/>
    <n v="-90651.998595038036"/>
    <n v="-944135.02267417184"/>
    <n v="-1234.2130285720341"/>
    <s v="36800IF-NNG/VENT"/>
    <n v="-100"/>
    <n v="-0.94290080964559975"/>
    <n v="1.9300067886561059"/>
    <n v="-1.9300067886561059"/>
    <n v="11469.893111975924"/>
    <n v="75.661270275215514"/>
    <x v="0"/>
  </r>
  <r>
    <x v="3"/>
    <x v="0"/>
    <s v="NF5578.2"/>
    <x v="3"/>
    <x v="0"/>
    <x v="1"/>
    <x v="13"/>
    <n v="-1000000"/>
    <n v="0"/>
    <x v="13"/>
    <n v="-0.11"/>
    <n v="4.5750000000000002"/>
    <x v="13"/>
    <x v="5"/>
    <n v="0.4"/>
    <x v="8"/>
    <x v="13"/>
    <x v="1"/>
    <n v="0.10995952130821074"/>
    <n v="999632.01189282339"/>
    <n v="-109959.52130821074"/>
    <n v="-999632.01189282339"/>
    <n v="0"/>
    <s v="36770IF-NNG/VENT"/>
    <n v="-100"/>
    <n v="-0.99963201189282336"/>
    <n v="4.3863736829254601E-27"/>
    <n v="-4.3863736829254594E-27"/>
    <n v="7.7314147090913159E-25"/>
    <n v="-20.249481533289398"/>
    <x v="0"/>
  </r>
  <r>
    <x v="11"/>
    <x v="0"/>
    <s v="NF6503.1"/>
    <x v="1"/>
    <x v="0"/>
    <x v="0"/>
    <x v="14"/>
    <n v="310000"/>
    <n v="-0.27"/>
    <x v="14"/>
    <n v="-0.39750000000000002"/>
    <n v="3.8155000000000001"/>
    <x v="14"/>
    <x v="9"/>
    <n v="0.51100000000000001"/>
    <x v="9"/>
    <x v="14"/>
    <x v="0"/>
    <n v="0.16630100192827879"/>
    <n v="131436.63179898771"/>
    <n v="51553.310597766424"/>
    <n v="-115499.29514460494"/>
    <n v="15937.336654382772"/>
    <s v="36951IF-NWPL_ROCKY_M"/>
    <n v="31"/>
    <n v="0.42398913483544426"/>
    <n v="0.66988007646556214"/>
    <n v="0.20766282370432423"/>
    <n v="-4411.3475651177951"/>
    <n v="-174.31033952933137"/>
    <x v="0"/>
  </r>
  <r>
    <x v="11"/>
    <x v="0"/>
    <s v="NF6503.1"/>
    <x v="1"/>
    <x v="0"/>
    <x v="0"/>
    <x v="15"/>
    <n v="280000"/>
    <n v="-0.27"/>
    <x v="15"/>
    <n v="-0.38750000000000001"/>
    <n v="4.0925000000000002"/>
    <x v="15"/>
    <x v="10"/>
    <n v="0.56899999999999995"/>
    <x v="9"/>
    <x v="15"/>
    <x v="0"/>
    <n v="0.19096293669972503"/>
    <n v="123243.81241839181"/>
    <n v="53469.622275923008"/>
    <n v="-108288.86080598888"/>
    <n v="14954.951612402932"/>
    <s v="36923IF-NWPL_ROCKY_M"/>
    <n v="28"/>
    <n v="0.44015647292282789"/>
    <n v="0.61969906228631244"/>
    <n v="0.17351573744016752"/>
    <n v="-4429.9441941428959"/>
    <n v="-206.45816561536603"/>
    <x v="0"/>
  </r>
  <r>
    <x v="11"/>
    <x v="0"/>
    <s v="NF6503.1"/>
    <x v="1"/>
    <x v="0"/>
    <x v="0"/>
    <x v="16"/>
    <n v="310000"/>
    <n v="-0.27"/>
    <x v="16"/>
    <n v="-0.36749999999999999"/>
    <n v="4.3765000000000001"/>
    <x v="16"/>
    <x v="11"/>
    <n v="0.58099999999999996"/>
    <x v="9"/>
    <x v="16"/>
    <x v="0"/>
    <n v="0.19123880835230045"/>
    <n v="139636.81598834042"/>
    <n v="59284.030589213136"/>
    <n v="-124446.10726577608"/>
    <n v="15190.708722564334"/>
    <s v="36892IF-NWPL_ROCKY_M"/>
    <n v="31"/>
    <n v="0.45044134189787233"/>
    <n v="0.64816784388787752"/>
    <n v="0.20093203160524201"/>
    <n v="-4795.6798206519761"/>
    <n v="-284.78326189151375"/>
    <x v="0"/>
  </r>
  <r>
    <x v="11"/>
    <x v="0"/>
    <s v="NF6503.1"/>
    <x v="1"/>
    <x v="0"/>
    <x v="0"/>
    <x v="17"/>
    <n v="310000"/>
    <n v="-0.27"/>
    <x v="17"/>
    <n v="-0.35749999999999998"/>
    <n v="4.4424999999999999"/>
    <x v="17"/>
    <x v="12"/>
    <n v="0.57599999999999996"/>
    <x v="9"/>
    <x v="17"/>
    <x v="0"/>
    <n v="0.16779633315127906"/>
    <n v="138934.06730283718"/>
    <n v="52016.863276896511"/>
    <n v="-125709.49735874047"/>
    <n v="13224.569944096715"/>
    <s v="36861IF-NWPL_ROCKY_M"/>
    <n v="31"/>
    <n v="0.44817441065431352"/>
    <n v="0.74123958270735624"/>
    <n v="0.22978427063928045"/>
    <n v="-4232.2182678013405"/>
    <n v="-332.36299981754553"/>
    <x v="0"/>
  </r>
  <r>
    <x v="11"/>
    <x v="0"/>
    <s v="NF6503.1"/>
    <x v="1"/>
    <x v="0"/>
    <x v="0"/>
    <x v="18"/>
    <n v="300000"/>
    <n v="-0.27"/>
    <x v="18"/>
    <n v="-0.46750000000000003"/>
    <n v="4.2684999999999995"/>
    <x v="18"/>
    <x v="13"/>
    <n v="0.57099999999999995"/>
    <x v="9"/>
    <x v="18"/>
    <x v="0"/>
    <n v="8.6793394798516499E-2"/>
    <n v="99645.377194806642"/>
    <n v="26038.018439554951"/>
    <n v="-90108.153296399192"/>
    <n v="9537.2238984074502"/>
    <s v="36831IF-NWPL_ROCKY_M"/>
    <n v="30"/>
    <n v="0.33215125731602213"/>
    <n v="0.87164201181012679"/>
    <n v="0.26149260354303805"/>
    <n v="-2969.2383787846879"/>
    <n v="-350.72614992136596"/>
    <x v="0"/>
  </r>
  <r>
    <x v="11"/>
    <x v="0"/>
    <s v="NF6503.1"/>
    <x v="1"/>
    <x v="0"/>
    <x v="0"/>
    <x v="12"/>
    <n v="310000"/>
    <n v="-0.27"/>
    <x v="12"/>
    <n v="-0.80500000000000005"/>
    <n v="3.887"/>
    <x v="12"/>
    <x v="8"/>
    <n v="0.55200000000000005"/>
    <x v="3"/>
    <x v="12"/>
    <x v="0"/>
    <n v="1.7340766932673946E-2"/>
    <n v="31038.54552120516"/>
    <n v="5375.6377491289231"/>
    <n v="-26300.624164573856"/>
    <n v="4737.9213566313047"/>
    <s v="36800IF-NWPL_ROCKY_M"/>
    <n v="31"/>
    <n v="0.10012434039098439"/>
    <n v="0.46212333090745444"/>
    <n v="0.14325823258131087"/>
    <n v="-622.63475354303296"/>
    <n v="-332.0997432137292"/>
    <x v="0"/>
  </r>
  <r>
    <x v="11"/>
    <x v="0"/>
    <s v="NF6503.1"/>
    <x v="1"/>
    <x v="0"/>
    <x v="0"/>
    <x v="13"/>
    <n v="300000"/>
    <n v="-0.27"/>
    <x v="13"/>
    <n v="-1.24"/>
    <n v="3.4449999999999998"/>
    <x v="13"/>
    <x v="5"/>
    <n v="0.38400000000000001"/>
    <x v="3"/>
    <x v="13"/>
    <x v="0"/>
    <n v="1.2713118280327507E-7"/>
    <n v="-5.0877248414238352E-2"/>
    <n v="3.813935484098252E-2"/>
    <n v="3.9303683441183068E-2"/>
    <n v="-1.1573564973055284E-2"/>
    <s v="36770IF-NWPL_ROCKY_M"/>
    <n v="30"/>
    <n v="-1.6959082804746117E-7"/>
    <n v="-2.0438623019975077E-5"/>
    <n v="-6.1315869059925228E-6"/>
    <n v="-3.7582575954514787E-5"/>
    <n v="8.7756553964285869E-6"/>
    <x v="0"/>
  </r>
  <r>
    <x v="3"/>
    <x v="0"/>
    <s v="NG1241.1"/>
    <x v="0"/>
    <x v="0"/>
    <x v="0"/>
    <x v="14"/>
    <n v="-1000000"/>
    <n v="1.1499999999999999"/>
    <x v="14"/>
    <n v="1.075"/>
    <n v="5.2880000000000003"/>
    <x v="14"/>
    <x v="9"/>
    <n v="0.61199999999999999"/>
    <x v="7"/>
    <x v="14"/>
    <x v="0"/>
    <n v="0.476658561538917"/>
    <n v="-510755.45467681071"/>
    <n v="-476658.56153891701"/>
    <n v="422521.56856803113"/>
    <n v="-88233.886108779581"/>
    <s v="36951IF-TRANSCO/Z6"/>
    <n v="-100"/>
    <n v="0.51075545467681072"/>
    <n v="0.29097695529176387"/>
    <n v="-0.29097695529176387"/>
    <n v="10499.068418653251"/>
    <n v="1304.555380501931"/>
    <x v="0"/>
  </r>
  <r>
    <x v="3"/>
    <x v="0"/>
    <s v="NG1241.1"/>
    <x v="0"/>
    <x v="0"/>
    <x v="0"/>
    <x v="15"/>
    <n v="-1000000"/>
    <n v="1.1499999999999999"/>
    <x v="15"/>
    <n v="2.09"/>
    <n v="6.57"/>
    <x v="15"/>
    <x v="10"/>
    <n v="0.68100000000000005"/>
    <x v="7"/>
    <x v="15"/>
    <x v="0"/>
    <n v="1.1651553454138159"/>
    <n v="-746739.88778487407"/>
    <n v="-1165155.3454138159"/>
    <n v="671550.68949286139"/>
    <n v="-75189.198292012676"/>
    <s v="36923IF-TRANSCO/Z6"/>
    <n v="-100"/>
    <n v="0.7467398877848741"/>
    <n v="0.1758955480355909"/>
    <n v="-0.1758955480355909"/>
    <n v="10269.736032471712"/>
    <n v="1394.0052468557703"/>
    <x v="0"/>
  </r>
  <r>
    <x v="3"/>
    <x v="0"/>
    <s v="NG1241.1"/>
    <x v="0"/>
    <x v="0"/>
    <x v="0"/>
    <x v="16"/>
    <n v="-1000000"/>
    <n v="1.1499999999999999"/>
    <x v="16"/>
    <n v="2.17"/>
    <n v="6.9139999999999997"/>
    <x v="16"/>
    <x v="11"/>
    <n v="0.69599999999999995"/>
    <x v="7"/>
    <x v="16"/>
    <x v="0"/>
    <n v="1.2054450279695053"/>
    <n v="-772855.17908811674"/>
    <n v="-1205445.0279695052"/>
    <n v="707661.11939012294"/>
    <n v="-65194.059697993798"/>
    <s v="36892IF-TRANSCO/Z6"/>
    <n v="-100"/>
    <n v="0.77285517908811674"/>
    <n v="0.17579158262992722"/>
    <n v="-0.17579158262992725"/>
    <n v="9438.1412380407837"/>
    <n v="1624.881822176445"/>
    <x v="0"/>
  </r>
  <r>
    <x v="3"/>
    <x v="0"/>
    <s v="NG1241.1"/>
    <x v="0"/>
    <x v="0"/>
    <x v="0"/>
    <x v="17"/>
    <n v="-1000000"/>
    <n v="1.1499999999999999"/>
    <x v="17"/>
    <n v="1.645"/>
    <n v="6.4450000000000003"/>
    <x v="17"/>
    <x v="12"/>
    <n v="0.69"/>
    <x v="7"/>
    <x v="17"/>
    <x v="0"/>
    <n v="0.76562377335197385"/>
    <n v="-680282.11379237124"/>
    <n v="-765623.77335197385"/>
    <n v="613350.38463266427"/>
    <n v="-66931.729159706971"/>
    <s v="36861IF-TRANSCO/Z6"/>
    <n v="-100"/>
    <n v="0.68028211379237125"/>
    <n v="0.2685599261647062"/>
    <n v="-0.2685599261647062"/>
    <n v="9459.04585690159"/>
    <n v="2256.0025604655652"/>
    <x v="0"/>
  </r>
  <r>
    <x v="3"/>
    <x v="0"/>
    <s v="NG1241.1"/>
    <x v="0"/>
    <x v="0"/>
    <x v="0"/>
    <x v="18"/>
    <n v="-1000000"/>
    <n v="1.1499999999999999"/>
    <x v="18"/>
    <n v="0.77"/>
    <n v="5.5060000000000002"/>
    <x v="18"/>
    <x v="13"/>
    <n v="0.625"/>
    <x v="6"/>
    <x v="18"/>
    <x v="0"/>
    <n v="0.12713020145488552"/>
    <n v="-311767.44343720004"/>
    <n v="-127130.20145488552"/>
    <n v="274028.75200762704"/>
    <n v="-37738.691429572995"/>
    <s v="36831IF-TRANSCO/Z6"/>
    <n v="-100"/>
    <n v="0.31176744343720003"/>
    <n v="0.52139158818250608"/>
    <n v="-0.52139158818250608"/>
    <n v="8226.1470803136253"/>
    <n v="1861.4158025737847"/>
    <x v="0"/>
  </r>
  <r>
    <x v="13"/>
    <x v="0"/>
    <s v="NG4285.1"/>
    <x v="0"/>
    <x v="0"/>
    <x v="0"/>
    <x v="12"/>
    <n v="-1000000"/>
    <n v="0.32"/>
    <x v="12"/>
    <n v="0.41499999999999998"/>
    <n v="5.1070000000000002"/>
    <x v="12"/>
    <x v="8"/>
    <n v="0.56399999999999995"/>
    <x v="2"/>
    <x v="12"/>
    <x v="0"/>
    <n v="0.10536173399090998"/>
    <n v="-812067.99136533064"/>
    <n v="-105361.73399090998"/>
    <n v="807378.61507554585"/>
    <n v="-4689.3762897847919"/>
    <s v="36800IF-TRANSCO/Z6"/>
    <n v="-100"/>
    <n v="0.81206799136533059"/>
    <n v="2.4365600308897073"/>
    <n v="-2.4365600308897073"/>
    <n v="16330.125890318506"/>
    <n v="442.96925274222286"/>
    <x v="0"/>
  </r>
  <r>
    <x v="13"/>
    <x v="0"/>
    <s v="NG4285.1"/>
    <x v="0"/>
    <x v="0"/>
    <x v="0"/>
    <x v="13"/>
    <n v="-1000000"/>
    <n v="0.32"/>
    <x v="13"/>
    <n v="0.315"/>
    <n v="5"/>
    <x v="13"/>
    <x v="5"/>
    <n v="0.39200000000000002"/>
    <x v="2"/>
    <x v="13"/>
    <x v="0"/>
    <n v="5.1638549129332332E-3"/>
    <n v="-394528.38025955227"/>
    <n v="-5163.8549129332332"/>
    <n v="393314.10078154888"/>
    <n v="-1214.2794780033873"/>
    <s v="36770IF-TRANSCO/Z6"/>
    <n v="-100"/>
    <n v="0.39452838025955228"/>
    <n v="20.764184301591825"/>
    <n v="-20.764184301591825"/>
    <n v="4172.7018349558402"/>
    <n v="1783.3575829853469"/>
    <x v="0"/>
  </r>
  <r>
    <x v="13"/>
    <x v="0"/>
    <s v="NG4285.2"/>
    <x v="0"/>
    <x v="0"/>
    <x v="1"/>
    <x v="12"/>
    <n v="-1000000"/>
    <n v="0.32"/>
    <x v="12"/>
    <n v="0.41499999999999998"/>
    <n v="5.1070000000000002"/>
    <x v="12"/>
    <x v="8"/>
    <n v="0.56399999999999995"/>
    <x v="2"/>
    <x v="12"/>
    <x v="1"/>
    <n v="1.0908844010485863E-2"/>
    <n v="182172.95579703563"/>
    <n v="-10908.844010485864"/>
    <n v="-186862.33208682045"/>
    <n v="-4689.376289784821"/>
    <s v="36800IF-TRANSCO/Z6"/>
    <n v="-100"/>
    <n v="-0.18217295579703563"/>
    <n v="2.4365600308897073"/>
    <n v="-2.4365600308897073"/>
    <n v="16330.125890318506"/>
    <n v="460.57909856595802"/>
    <x v="0"/>
  </r>
  <r>
    <x v="13"/>
    <x v="0"/>
    <s v="NG4285.2"/>
    <x v="0"/>
    <x v="0"/>
    <x v="1"/>
    <x v="13"/>
    <n v="-1000000"/>
    <n v="0.32"/>
    <x v="13"/>
    <n v="0.315"/>
    <n v="5"/>
    <x v="13"/>
    <x v="5"/>
    <n v="0.39200000000000002"/>
    <x v="2"/>
    <x v="13"/>
    <x v="1"/>
    <n v="1.0162014972396938E-2"/>
    <n v="605103.63163327111"/>
    <n v="-10162.014972396937"/>
    <n v="-606317.91111127438"/>
    <n v="-1214.2794780032709"/>
    <s v="36770IF-TRANSCO/Z6"/>
    <n v="-100"/>
    <n v="-0.60510363163327108"/>
    <n v="20.764184301591825"/>
    <n v="-20.764184301591825"/>
    <n v="4172.7018349558402"/>
    <n v="1782.4371520065608"/>
    <x v="0"/>
  </r>
  <r>
    <x v="14"/>
    <x v="0"/>
    <s v="NG4457.1"/>
    <x v="1"/>
    <x v="0"/>
    <x v="1"/>
    <x v="12"/>
    <n v="500000"/>
    <n v="-0.4"/>
    <x v="12"/>
    <n v="-0.80500000000000005"/>
    <n v="3.887"/>
    <x v="12"/>
    <x v="8"/>
    <n v="0.55200000000000005"/>
    <x v="3"/>
    <x v="12"/>
    <x v="1"/>
    <n v="0.43702595785222825"/>
    <n v="-411468.37961643108"/>
    <n v="218512.97892611413"/>
    <n v="422619.33716844034"/>
    <n v="11150.957552009262"/>
    <s v="36800IF-NWPL_ROCKY_M"/>
    <n v="50"/>
    <n v="-0.82293675923286214"/>
    <n v="0.65073432200693859"/>
    <n v="0.3253671610034693"/>
    <n v="-1459.1068527630744"/>
    <n v="-758.25069407025182"/>
    <x v="0"/>
  </r>
  <r>
    <x v="14"/>
    <x v="0"/>
    <s v="NG4457.1"/>
    <x v="1"/>
    <x v="0"/>
    <x v="1"/>
    <x v="13"/>
    <n v="500000"/>
    <n v="-0.4"/>
    <x v="13"/>
    <n v="-1.24"/>
    <n v="3.4449999999999998"/>
    <x v="13"/>
    <x v="5"/>
    <n v="0.38400000000000001"/>
    <x v="3"/>
    <x v="13"/>
    <x v="1"/>
    <n v="0.8396910000813943"/>
    <n v="-499816.09074182488"/>
    <n v="419845.50004069717"/>
    <n v="499816.07145255076"/>
    <n v="-1.9289274117909372E-2"/>
    <s v="36770IF-NWPL_ROCKY_M"/>
    <n v="50"/>
    <n v="-0.99963218148364974"/>
    <n v="-1.768202916319936E-5"/>
    <n v="-8.8410145815996798E-6"/>
    <n v="-1.2527525318171596E-4"/>
    <n v="77.316215283568468"/>
    <x v="0"/>
  </r>
  <r>
    <x v="13"/>
    <x v="0"/>
    <s v="NG8049.1"/>
    <x v="4"/>
    <x v="0"/>
    <x v="0"/>
    <x v="12"/>
    <n v="-500000"/>
    <n v="0.1"/>
    <x v="12"/>
    <n v="1.99"/>
    <n v="6.6820000000000004"/>
    <x v="12"/>
    <x v="8"/>
    <n v="0.54100000000000004"/>
    <x v="7"/>
    <x v="12"/>
    <x v="0"/>
    <n v="1.8791426639151987"/>
    <n v="-497035.41557996155"/>
    <n v="-939571.33195759938"/>
    <n v="496998.53599540115"/>
    <n v="-36.8795845604036"/>
    <s v="36800NGI-SOCAL"/>
    <n v="-50"/>
    <n v="0.99407083115992312"/>
    <n v="1.0350841093220832E-3"/>
    <n v="-5.1754205466104149E-4"/>
    <n v="5.9942329518653352"/>
    <n v="-171.86639878934403"/>
    <x v="0"/>
  </r>
  <r>
    <x v="13"/>
    <x v="0"/>
    <s v="NG8049.1"/>
    <x v="4"/>
    <x v="0"/>
    <x v="0"/>
    <x v="13"/>
    <n v="-500000"/>
    <n v="0.1"/>
    <x v="13"/>
    <n v="2.5"/>
    <n v="7.1849999999999996"/>
    <x v="13"/>
    <x v="5"/>
    <n v="0.376"/>
    <x v="7"/>
    <x v="13"/>
    <x v="0"/>
    <n v="2.3991171431506855"/>
    <n v="-499816.07145686279"/>
    <n v="-1199558.5715753427"/>
    <n v="499816.09140829166"/>
    <n v="1.9951428868807852E-2"/>
    <s v="36770NGI-SOCAL"/>
    <n v="-50"/>
    <n v="0.9996321429137256"/>
    <n v="2.8475587848701011E-132"/>
    <n v="-1.4237793924350506E-132"/>
    <n v="-1.2527525318171596E-4"/>
    <n v="-220.90345694014141"/>
    <x v="0"/>
  </r>
  <r>
    <x v="12"/>
    <x v="0"/>
    <s v="NG8063.1"/>
    <x v="0"/>
    <x v="0"/>
    <x v="0"/>
    <x v="14"/>
    <n v="310000"/>
    <n v="1.1499999999999999"/>
    <x v="14"/>
    <n v="1.075"/>
    <n v="5.2880000000000003"/>
    <x v="14"/>
    <x v="9"/>
    <n v="0.61199999999999999"/>
    <x v="7"/>
    <x v="14"/>
    <x v="0"/>
    <n v="0.476658561538917"/>
    <n v="158334.19094981131"/>
    <n v="147764.15407706428"/>
    <n v="-130981.68625608966"/>
    <n v="27352.504693721654"/>
    <s v="36951IF-TRANSCO/Z6"/>
    <n v="31"/>
    <n v="0.51075545467681072"/>
    <n v="0.29097695529176387"/>
    <n v="9.0202856140446819E-2"/>
    <n v="-3254.7112097825075"/>
    <n v="-404.41216795559859"/>
    <x v="0"/>
  </r>
  <r>
    <x v="12"/>
    <x v="0"/>
    <s v="NG8063.1"/>
    <x v="0"/>
    <x v="0"/>
    <x v="0"/>
    <x v="15"/>
    <n v="280000"/>
    <n v="1.1499999999999999"/>
    <x v="15"/>
    <n v="2.09"/>
    <n v="6.57"/>
    <x v="15"/>
    <x v="10"/>
    <n v="0.68100000000000005"/>
    <x v="7"/>
    <x v="15"/>
    <x v="0"/>
    <n v="1.1651553454138159"/>
    <n v="209087.16857976475"/>
    <n v="326243.49671586847"/>
    <n v="-188034.19305800117"/>
    <n v="21052.975521763583"/>
    <s v="36923IF-TRANSCO/Z6"/>
    <n v="28"/>
    <n v="0.7467398877848741"/>
    <n v="0.1758955480355909"/>
    <n v="4.9250753449965448E-2"/>
    <n v="-2875.526089092079"/>
    <n v="-390.32146911961564"/>
    <x v="0"/>
  </r>
  <r>
    <x v="12"/>
    <x v="0"/>
    <s v="NG8063.1"/>
    <x v="0"/>
    <x v="0"/>
    <x v="0"/>
    <x v="16"/>
    <n v="310000"/>
    <n v="1.1499999999999999"/>
    <x v="16"/>
    <n v="2.17"/>
    <n v="6.9139999999999997"/>
    <x v="16"/>
    <x v="11"/>
    <n v="0.69599999999999995"/>
    <x v="7"/>
    <x v="16"/>
    <x v="0"/>
    <n v="1.2054450279695053"/>
    <n v="239585.1055173162"/>
    <n v="373687.95867054665"/>
    <n v="-219374.94701093814"/>
    <n v="20210.158506378066"/>
    <s v="36892IF-TRANSCO/Z6"/>
    <n v="31"/>
    <n v="0.77285517908811674"/>
    <n v="0.17579158262992722"/>
    <n v="5.4495390615277438E-2"/>
    <n v="-2925.8237837926426"/>
    <n v="-503.7133648746979"/>
    <x v="0"/>
  </r>
  <r>
    <x v="12"/>
    <x v="0"/>
    <s v="NG8063.1"/>
    <x v="0"/>
    <x v="0"/>
    <x v="0"/>
    <x v="17"/>
    <n v="310000"/>
    <n v="1.1499999999999999"/>
    <x v="17"/>
    <n v="1.645"/>
    <n v="6.4450000000000003"/>
    <x v="17"/>
    <x v="12"/>
    <n v="0.69"/>
    <x v="7"/>
    <x v="17"/>
    <x v="0"/>
    <n v="0.76562377335197385"/>
    <n v="210887.45527563509"/>
    <n v="237343.36973911189"/>
    <n v="-190138.6192361259"/>
    <n v="20748.836039509188"/>
    <s v="36861IF-TRANSCO/Z6"/>
    <n v="31"/>
    <n v="0.68028211379237125"/>
    <n v="0.2685599261647062"/>
    <n v="8.3253577111058921E-2"/>
    <n v="-2932.3042156394931"/>
    <n v="-699.36079374432529"/>
    <x v="0"/>
  </r>
  <r>
    <x v="12"/>
    <x v="0"/>
    <s v="NG8063.1"/>
    <x v="0"/>
    <x v="0"/>
    <x v="0"/>
    <x v="18"/>
    <n v="300000"/>
    <n v="1.1499999999999999"/>
    <x v="18"/>
    <n v="0.77"/>
    <n v="5.5060000000000002"/>
    <x v="18"/>
    <x v="13"/>
    <n v="0.625"/>
    <x v="6"/>
    <x v="18"/>
    <x v="0"/>
    <n v="0.12713020145488552"/>
    <n v="93530.233031160009"/>
    <n v="38139.060436465654"/>
    <n v="-82208.625602288113"/>
    <n v="11321.607428871896"/>
    <s v="36831IF-TRANSCO/Z6"/>
    <n v="30"/>
    <n v="0.31176744343720003"/>
    <n v="0.52139158818250608"/>
    <n v="0.15641747645475182"/>
    <n v="-2467.8441240940874"/>
    <n v="-558.42474077213546"/>
    <x v="0"/>
  </r>
  <r>
    <x v="0"/>
    <x v="0"/>
    <s v="NH2932"/>
    <x v="0"/>
    <x v="0"/>
    <x v="0"/>
    <x v="12"/>
    <n v="310000"/>
    <n v="0.33750000000000002"/>
    <x v="12"/>
    <n v="0.41499999999999998"/>
    <n v="5.1070000000000002"/>
    <x v="12"/>
    <x v="8"/>
    <n v="0.56399999999999995"/>
    <x v="2"/>
    <x v="12"/>
    <x v="0"/>
    <n v="9.1936417858378722E-2"/>
    <n v="236810.76790163628"/>
    <n v="28500.289536097403"/>
    <n v="-235165.13347741682"/>
    <n v="1645.6344242194609"/>
    <s v="36800IF-TRANSCO/Z6"/>
    <n v="31"/>
    <n v="0.76390570290850413"/>
    <n v="2.778681713081701"/>
    <n v="0.86139133105532739"/>
    <n v="-5755.1265310031122"/>
    <n v="-160.74382962044683"/>
    <x v="0"/>
  </r>
  <r>
    <x v="0"/>
    <x v="0"/>
    <s v="NH2932"/>
    <x v="0"/>
    <x v="0"/>
    <x v="0"/>
    <x v="13"/>
    <n v="300000"/>
    <n v="0.33750000000000002"/>
    <x v="13"/>
    <n v="0.315"/>
    <n v="5"/>
    <x v="13"/>
    <x v="5"/>
    <n v="0.39200000000000002"/>
    <x v="2"/>
    <x v="13"/>
    <x v="0"/>
    <n v="1.0440714426671964E-3"/>
    <n v="34514.318352977978"/>
    <n v="313.22143280015894"/>
    <n v="-34333.00692350122"/>
    <n v="181.31142947675835"/>
    <s v="36770IF-TRANSCO/Z6"/>
    <n v="30"/>
    <n v="0.11504772784325992"/>
    <n v="10.40777759442072"/>
    <n v="3.1223332783262161"/>
    <n v="-625.63533962109068"/>
    <n v="-271.75422636152103"/>
    <x v="0"/>
  </r>
  <r>
    <x v="13"/>
    <x v="0"/>
    <s v="NH4419"/>
    <x v="4"/>
    <x v="0"/>
    <x v="0"/>
    <x v="12"/>
    <n v="-500000"/>
    <n v="0.1"/>
    <x v="12"/>
    <n v="1.99"/>
    <n v="6.6820000000000004"/>
    <x v="12"/>
    <x v="8"/>
    <n v="0.54100000000000004"/>
    <x v="7"/>
    <x v="12"/>
    <x v="0"/>
    <n v="1.8791426639151987"/>
    <n v="-497035.41557996155"/>
    <n v="-939571.33195759938"/>
    <n v="496998.53599540115"/>
    <n v="-36.8795845604036"/>
    <s v="36800NGI-SOCAL"/>
    <n v="-50"/>
    <n v="0.99407083115992312"/>
    <n v="1.0350841093220832E-3"/>
    <n v="-5.1754205466104149E-4"/>
    <n v="5.9942329518653352"/>
    <n v="-171.86639878934403"/>
    <x v="0"/>
  </r>
  <r>
    <x v="13"/>
    <x v="0"/>
    <s v="NH4419"/>
    <x v="4"/>
    <x v="0"/>
    <x v="0"/>
    <x v="13"/>
    <n v="-500000"/>
    <n v="0.1"/>
    <x v="13"/>
    <n v="2.5"/>
    <n v="7.1849999999999996"/>
    <x v="13"/>
    <x v="5"/>
    <n v="0.376"/>
    <x v="7"/>
    <x v="13"/>
    <x v="0"/>
    <n v="2.3991171431506855"/>
    <n v="-499816.07145686279"/>
    <n v="-1199558.5715753427"/>
    <n v="499816.09140829166"/>
    <n v="1.9951428868807852E-2"/>
    <s v="36770NGI-SOCAL"/>
    <n v="-50"/>
    <n v="0.9996321429137256"/>
    <n v="2.8475587848701011E-132"/>
    <n v="-1.4237793924350506E-132"/>
    <n v="-1.2527525318171596E-4"/>
    <n v="-220.90345694014141"/>
    <x v="0"/>
  </r>
  <r>
    <x v="15"/>
    <x v="0"/>
    <s v="NH6374"/>
    <x v="4"/>
    <x v="0"/>
    <x v="0"/>
    <x v="12"/>
    <n v="-310000"/>
    <n v="4.4999999999999998E-2"/>
    <x v="12"/>
    <n v="1.99"/>
    <n v="6.6820000000000004"/>
    <x v="12"/>
    <x v="8"/>
    <n v="0.54100000000000004"/>
    <x v="7"/>
    <x v="12"/>
    <x v="0"/>
    <n v="1.9338170552055181"/>
    <n v="-308178.69490541815"/>
    <n v="-599483.28711371054"/>
    <n v="308162.61941073212"/>
    <n v="-16.075494686025195"/>
    <s v="36800NGI-SOCAL"/>
    <n v="-31"/>
    <n v="0.99412482227554244"/>
    <n v="7.1960768096516841E-4"/>
    <n v="-2.230783810992022E-4"/>
    <n v="2.607869978514163"/>
    <n v="-110.32491735465875"/>
    <x v="0"/>
  </r>
  <r>
    <x v="15"/>
    <x v="0"/>
    <s v="NH6374"/>
    <x v="4"/>
    <x v="0"/>
    <x v="1"/>
    <x v="12"/>
    <n v="-310000"/>
    <n v="4.4999999999999998E-2"/>
    <x v="12"/>
    <n v="1.99"/>
    <n v="6.6820000000000004"/>
    <x v="12"/>
    <x v="8"/>
    <n v="0.54100000000000004"/>
    <x v="7"/>
    <x v="12"/>
    <x v="1"/>
    <n v="1.8412974715047159E-5"/>
    <n v="35.998714915405074"/>
    <n v="-5.7080221616646192"/>
    <n v="-52.074209601459252"/>
    <n v="-16.075494686054178"/>
    <s v="36800NGI-SOCAL"/>
    <n v="-31"/>
    <n v="-1.1612488682388733E-4"/>
    <n v="7.1960768096516841E-4"/>
    <n v="-2.230783810992022E-4"/>
    <n v="2.607869978514163"/>
    <n v="1.4419935866168272"/>
    <x v="0"/>
  </r>
  <r>
    <x v="15"/>
    <x v="0"/>
    <s v="NH6374"/>
    <x v="4"/>
    <x v="0"/>
    <x v="0"/>
    <x v="13"/>
    <n v="-300000"/>
    <n v="4.4999999999999998E-2"/>
    <x v="13"/>
    <n v="2.5"/>
    <n v="7.1849999999999996"/>
    <x v="13"/>
    <x v="5"/>
    <n v="0.376"/>
    <x v="7"/>
    <x v="13"/>
    <x v="0"/>
    <n v="2.454096911013921"/>
    <n v="-299889.64287411771"/>
    <n v="-736229.07330417633"/>
    <n v="299889.65484497527"/>
    <n v="1.1970857565756887E-2"/>
    <s v="36770NGI-SOCAL"/>
    <n v="-30"/>
    <n v="0.99963214291372571"/>
    <n v="9.0799168530989982E-139"/>
    <n v="-2.7239750559296992E-139"/>
    <n v="7.5165151909029575E-5"/>
    <n v="-135.5794967923552"/>
    <x v="0"/>
  </r>
  <r>
    <x v="15"/>
    <x v="0"/>
    <s v="NH6374"/>
    <x v="4"/>
    <x v="0"/>
    <x v="1"/>
    <x v="13"/>
    <n v="-300000"/>
    <n v="4.4999999999999998E-2"/>
    <x v="13"/>
    <n v="2.5"/>
    <n v="7.1849999999999996"/>
    <x v="13"/>
    <x v="5"/>
    <n v="0.376"/>
    <x v="7"/>
    <x v="13"/>
    <x v="1"/>
    <n v="3.2181704017614221E-7"/>
    <n v="-3.9306270671612964E-2"/>
    <n v="-9.6545112052842663E-2"/>
    <n v="5.1277128276794315E-2"/>
    <n v="1.1970857605181351E-2"/>
    <s v="36770NGI-SOCAL"/>
    <n v="-30"/>
    <n v="1.3102090223870988E-7"/>
    <n v="9.0799168530989982E-139"/>
    <n v="-2.7239750559296992E-139"/>
    <n v="7.5165151909029575E-5"/>
    <n v="-1.3617195065604474E-5"/>
    <x v="0"/>
  </r>
  <r>
    <x v="8"/>
    <x v="0"/>
    <s v="NH8899.1"/>
    <x v="0"/>
    <x v="0"/>
    <x v="0"/>
    <x v="14"/>
    <n v="1000000"/>
    <n v="2"/>
    <x v="14"/>
    <n v="1.075"/>
    <n v="5.2880000000000003"/>
    <x v="14"/>
    <x v="9"/>
    <n v="0.61199999999999999"/>
    <x v="7"/>
    <x v="14"/>
    <x v="0"/>
    <n v="0.23747355682399185"/>
    <n v="306131.75303946593"/>
    <n v="237473.55682399185"/>
    <n v="-235208.97760306002"/>
    <n v="70922.775436405907"/>
    <s v="36951IF-TRANSCO/Z6"/>
    <n v="100"/>
    <n v="0.30613175303946594"/>
    <n v="0.25027833666544225"/>
    <n v="0.25027833666544225"/>
    <n v="-8038.5090466168294"/>
    <n v="-1255.9450121095654"/>
    <x v="0"/>
  </r>
  <r>
    <x v="8"/>
    <x v="0"/>
    <s v="NH8899.1"/>
    <x v="0"/>
    <x v="0"/>
    <x v="0"/>
    <x v="15"/>
    <n v="1000000"/>
    <n v="2"/>
    <x v="15"/>
    <n v="2.09"/>
    <n v="6.57"/>
    <x v="15"/>
    <x v="10"/>
    <n v="0.68100000000000005"/>
    <x v="7"/>
    <x v="15"/>
    <x v="0"/>
    <n v="0.719788605198734"/>
    <n v="560341.07337942289"/>
    <n v="719788.60519873397"/>
    <n v="-474335.13633991871"/>
    <n v="86005.937039504177"/>
    <s v="36923IF-TRANSCO/Z6"/>
    <n v="100"/>
    <n v="0.56034107337942285"/>
    <n v="0.2166466662078361"/>
    <n v="0.2166466662078361"/>
    <n v="-11168.620236832268"/>
    <n v="-2033.2328954453765"/>
    <x v="0"/>
  </r>
  <r>
    <x v="8"/>
    <x v="0"/>
    <s v="NH8899.1"/>
    <x v="0"/>
    <x v="0"/>
    <x v="0"/>
    <x v="16"/>
    <n v="1000000"/>
    <n v="2"/>
    <x v="16"/>
    <n v="2.17"/>
    <n v="6.9139999999999997"/>
    <x v="16"/>
    <x v="11"/>
    <n v="0.69599999999999995"/>
    <x v="7"/>
    <x v="16"/>
    <x v="0"/>
    <n v="0.72774461781377076"/>
    <n v="577987.49860535492"/>
    <n v="727744.61781377078"/>
    <n v="-499401.47216811404"/>
    <n v="78586.026437240886"/>
    <s v="36892IF-TRANSCO/Z6"/>
    <n v="100"/>
    <n v="0.57798749860535492"/>
    <n v="0.22782663986845403"/>
    <n v="0.22782663986845403"/>
    <n v="-10826.060381205127"/>
    <n v="-2472.1957004610895"/>
    <x v="0"/>
  </r>
  <r>
    <x v="8"/>
    <x v="0"/>
    <s v="NH8899.1"/>
    <x v="0"/>
    <x v="0"/>
    <x v="0"/>
    <x v="17"/>
    <n v="1000000"/>
    <n v="2"/>
    <x v="17"/>
    <n v="1.645"/>
    <n v="6.4450000000000003"/>
    <x v="17"/>
    <x v="12"/>
    <n v="0.69"/>
    <x v="7"/>
    <x v="17"/>
    <x v="0"/>
    <n v="0.3827406601056198"/>
    <n v="433627.00503711076"/>
    <n v="382740.66010561981"/>
    <n v="-366155.13617439597"/>
    <n v="67471.868862714793"/>
    <s v="36861IF-TRANSCO/Z6"/>
    <n v="100"/>
    <n v="0.43362700503711077"/>
    <n v="0.28996682543539248"/>
    <n v="0.28996682543539248"/>
    <n v="-9088.6087810532408"/>
    <n v="-2729.3439483674683"/>
    <x v="0"/>
  </r>
  <r>
    <x v="8"/>
    <x v="0"/>
    <s v="NH8899.1"/>
    <x v="0"/>
    <x v="0"/>
    <x v="0"/>
    <x v="18"/>
    <n v="1000000"/>
    <n v="2"/>
    <x v="18"/>
    <n v="0.77"/>
    <n v="5.5060000000000002"/>
    <x v="18"/>
    <x v="13"/>
    <n v="0.625"/>
    <x v="6"/>
    <x v="18"/>
    <x v="0"/>
    <n v="2.03352360253772E-2"/>
    <n v="68711.940984249028"/>
    <n v="20335.236025377199"/>
    <n v="-56109.992137552901"/>
    <n v="12601.948846696127"/>
    <s v="36831IF-TRANSCO/Z6"/>
    <n v="100"/>
    <n v="6.8711940984249029E-2"/>
    <n v="0.18681368490099562"/>
    <n v="0.18681368490099562"/>
    <n v="-2673.0473533761424"/>
    <n v="-739.7905769992143"/>
    <x v="0"/>
  </r>
  <r>
    <x v="12"/>
    <x v="0"/>
    <s v="NI0591.1"/>
    <x v="0"/>
    <x v="0"/>
    <x v="0"/>
    <x v="12"/>
    <n v="310000"/>
    <n v="0.34"/>
    <x v="12"/>
    <n v="0.41499999999999998"/>
    <n v="5.1070000000000002"/>
    <x v="12"/>
    <x v="8"/>
    <n v="0.56399999999999995"/>
    <x v="2"/>
    <x v="12"/>
    <x v="0"/>
    <n v="9.0094437947830355E-2"/>
    <n v="234535.37204893073"/>
    <n v="27929.275763827409"/>
    <n v="-232864.5204807111"/>
    <n v="1670.8515682196303"/>
    <s v="36800IF-TRANSCO/Z6"/>
    <n v="31"/>
    <n v="0.7565657162868733"/>
    <n v="2.8241685786259385"/>
    <n v="0.87549225937404107"/>
    <n v="-5846.7867558313346"/>
    <n v="-163.93753070659002"/>
    <x v="0"/>
  </r>
  <r>
    <x v="12"/>
    <x v="0"/>
    <s v="NI0591.1"/>
    <x v="0"/>
    <x v="0"/>
    <x v="0"/>
    <x v="13"/>
    <n v="300000"/>
    <n v="0.34"/>
    <x v="13"/>
    <n v="0.315"/>
    <n v="5"/>
    <x v="13"/>
    <x v="5"/>
    <n v="0.39200000000000002"/>
    <x v="2"/>
    <x v="13"/>
    <x v="0"/>
    <n v="7.9228671481912578E-4"/>
    <n v="27431.076860128171"/>
    <n v="237.68601444573773"/>
    <n v="-27277.931848465403"/>
    <n v="153.1450116627675"/>
    <s v="36770IF-TRANSCO/Z6"/>
    <n v="30"/>
    <n v="9.14369228670939E-2"/>
    <n v="8.799635940855925"/>
    <n v="2.6398907822567774"/>
    <n v="-528.75266878669765"/>
    <n v="-230.19846296356494"/>
    <x v="0"/>
  </r>
  <r>
    <x v="5"/>
    <x v="0"/>
    <s v="NI3439.1"/>
    <x v="5"/>
    <x v="0"/>
    <x v="0"/>
    <x v="12"/>
    <n v="310000"/>
    <n v="0.30249999999999999"/>
    <x v="12"/>
    <n v="0.36"/>
    <n v="5.0520000000000005"/>
    <x v="12"/>
    <x v="8"/>
    <n v="0.56399999999999995"/>
    <x v="2"/>
    <x v="12"/>
    <x v="0"/>
    <n v="7.6391029458414014E-2"/>
    <n v="219563.59056158416"/>
    <n v="23681.219132108345"/>
    <n v="-217662.95161511758"/>
    <n v="1900.6389464665845"/>
    <s v="36800IF-TETCO/M3"/>
    <n v="31"/>
    <n v="0.70826964697285211"/>
    <n v="3.2006485092954216"/>
    <n v="0.99220103788158065"/>
    <n v="-6539.5026776164768"/>
    <n v="-175.80963437424813"/>
    <x v="0"/>
  </r>
  <r>
    <x v="5"/>
    <x v="0"/>
    <s v="NI3439.1"/>
    <x v="5"/>
    <x v="0"/>
    <x v="0"/>
    <x v="13"/>
    <n v="300000"/>
    <n v="0.30249999999999999"/>
    <x v="13"/>
    <n v="0.30499999999999999"/>
    <n v="4.99"/>
    <x v="13"/>
    <x v="5"/>
    <n v="0.39200000000000002"/>
    <x v="2"/>
    <x v="13"/>
    <x v="0"/>
    <n v="8.6402411708762193E-3"/>
    <n v="166459.02422424874"/>
    <n v="2592.0723512628656"/>
    <n v="-166079.89215402468"/>
    <n v="379.13207022406277"/>
    <s v="36770IF-TETCO/M3"/>
    <n v="30"/>
    <n v="0.55486341408082918"/>
    <n v="21.504035279614705"/>
    <n v="6.4512105838844116"/>
    <n v="-1295.4831727939684"/>
    <n v="-544.09234023346789"/>
    <x v="0"/>
  </r>
  <r>
    <x v="5"/>
    <x v="0"/>
    <s v="NI3439.2"/>
    <x v="2"/>
    <x v="0"/>
    <x v="1"/>
    <x v="12"/>
    <n v="310000"/>
    <n v="0.16750000000000001"/>
    <x v="12"/>
    <n v="0.185"/>
    <n v="4.8769999999999998"/>
    <x v="12"/>
    <x v="8"/>
    <n v="0.56399999999999995"/>
    <x v="4"/>
    <x v="12"/>
    <x v="1"/>
    <n v="2.3947067342933726E-2"/>
    <n v="-126520.80189249439"/>
    <n v="7423.5908763094549"/>
    <n v="128426.79651413854"/>
    <n v="1905.9946216441458"/>
    <s v="36800IF-CGT/APPALAC"/>
    <n v="31"/>
    <n v="-0.4081316190080464"/>
    <n v="4.7992564899441321"/>
    <n v="1.487769511882681"/>
    <n v="-9403.3851622408911"/>
    <n v="-154.70467503003115"/>
    <x v="0"/>
  </r>
  <r>
    <x v="5"/>
    <x v="0"/>
    <s v="NI3439.2"/>
    <x v="2"/>
    <x v="0"/>
    <x v="1"/>
    <x v="13"/>
    <n v="300000"/>
    <n v="0.16750000000000001"/>
    <x v="13"/>
    <n v="0.17"/>
    <n v="4.8550000000000004"/>
    <x v="13"/>
    <x v="5"/>
    <n v="0.39200000000000002"/>
    <x v="4"/>
    <x v="13"/>
    <x v="1"/>
    <n v="4.4733884481778508E-3"/>
    <n v="-128710.04173708617"/>
    <n v="1342.0165344533552"/>
    <n v="129041.10061924899"/>
    <n v="331.05888216281892"/>
    <s v="36770IF-CGT/APPALAC"/>
    <n v="30"/>
    <n v="-0.42903347245695389"/>
    <n v="27.770298242207911"/>
    <n v="8.3310894726623737"/>
    <n v="-1627.7889388919355"/>
    <n v="-416.11848098894285"/>
    <x v="0"/>
  </r>
  <r>
    <x v="2"/>
    <x v="0"/>
    <s v="NI3451.1"/>
    <x v="4"/>
    <x v="0"/>
    <x v="0"/>
    <x v="12"/>
    <n v="155000"/>
    <n v="0.1"/>
    <x v="12"/>
    <n v="1.99"/>
    <n v="6.6820000000000004"/>
    <x v="12"/>
    <x v="8"/>
    <n v="0.54100000000000004"/>
    <x v="7"/>
    <x v="12"/>
    <x v="0"/>
    <n v="1.8791426639151987"/>
    <n v="154080.97882978807"/>
    <n v="291267.11290685582"/>
    <n v="-154069.54615857438"/>
    <n v="11.432671213697176"/>
    <s v="36800NGI-SOCAL"/>
    <n v="15.5"/>
    <n v="0.99407083115992301"/>
    <n v="1.0350841093220832E-3"/>
    <n v="1.6043803694492289E-4"/>
    <n v="-1.8582122150782541"/>
    <n v="53.278583624696651"/>
    <x v="0"/>
  </r>
  <r>
    <x v="2"/>
    <x v="0"/>
    <s v="NI3451.1"/>
    <x v="4"/>
    <x v="0"/>
    <x v="0"/>
    <x v="13"/>
    <n v="150000"/>
    <n v="0.1"/>
    <x v="13"/>
    <n v="2.5"/>
    <n v="7.1849999999999996"/>
    <x v="13"/>
    <x v="5"/>
    <n v="0.376"/>
    <x v="7"/>
    <x v="13"/>
    <x v="0"/>
    <n v="2.3991171431506855"/>
    <n v="149944.82143705885"/>
    <n v="359867.57147260284"/>
    <n v="-149944.82742248749"/>
    <n v="-5.9854286373592913E-3"/>
    <s v="36770NGI-SOCAL"/>
    <n v="15"/>
    <n v="0.99963214291372571"/>
    <n v="2.8475587848701011E-132"/>
    <n v="4.2713381773051522E-133"/>
    <n v="3.7582575954514787E-5"/>
    <n v="66.271037082042426"/>
    <x v="0"/>
  </r>
  <r>
    <x v="12"/>
    <x v="0"/>
    <s v="NI6123.1"/>
    <x v="0"/>
    <x v="0"/>
    <x v="0"/>
    <x v="14"/>
    <n v="-310000"/>
    <n v="2.2000000000000002"/>
    <x v="14"/>
    <n v="1.075"/>
    <n v="5.2880000000000003"/>
    <x v="14"/>
    <x v="9"/>
    <n v="0.61199999999999999"/>
    <x v="7"/>
    <x v="14"/>
    <x v="0"/>
    <n v="0.20151309617393046"/>
    <n v="-83383.927154676552"/>
    <n v="-62469.059813918444"/>
    <n v="63090.618601145754"/>
    <n v="-20293.308553530798"/>
    <s v="36951IF-TRANSCO/Z6"/>
    <n v="-31"/>
    <n v="0.26898041017637597"/>
    <n v="0.23395699246176627"/>
    <n v="-7.252666766314754E-2"/>
    <n v="2278.2708951297859"/>
    <n v="371.55129383442431"/>
    <x v="0"/>
  </r>
  <r>
    <x v="12"/>
    <x v="0"/>
    <s v="NI6123.1"/>
    <x v="0"/>
    <x v="0"/>
    <x v="0"/>
    <x v="15"/>
    <n v="-280000"/>
    <n v="2.2000000000000002"/>
    <x v="15"/>
    <n v="2.09"/>
    <n v="6.57"/>
    <x v="15"/>
    <x v="10"/>
    <n v="0.68100000000000005"/>
    <x v="7"/>
    <x v="15"/>
    <x v="0"/>
    <n v="0.6405406921126634"/>
    <n v="-145042.83608933041"/>
    <n v="-179351.39379154576"/>
    <n v="121144.2970190944"/>
    <n v="-23898.539070236002"/>
    <s v="36923IF-TRANSCO/Z6"/>
    <n v="-28"/>
    <n v="0.51801012889046572"/>
    <n v="0.21801185416908878"/>
    <n v="-6.1043319167344859E-2"/>
    <n v="3072.6491077638757"/>
    <n v="588.55249814852971"/>
    <x v="0"/>
  </r>
  <r>
    <x v="12"/>
    <x v="0"/>
    <s v="NI6123.1"/>
    <x v="0"/>
    <x v="0"/>
    <x v="0"/>
    <x v="16"/>
    <n v="-310000"/>
    <n v="2.2000000000000002"/>
    <x v="16"/>
    <n v="2.17"/>
    <n v="6.9139999999999997"/>
    <x v="16"/>
    <x v="11"/>
    <n v="0.69599999999999995"/>
    <x v="7"/>
    <x v="16"/>
    <x v="0"/>
    <n v="0.64262450795790738"/>
    <n v="-165046.90333293757"/>
    <n v="-199213.59746695129"/>
    <n v="140739.40018512946"/>
    <n v="-24307.503147808107"/>
    <s v="36892IF-TRANSCO/Z6"/>
    <n v="-31"/>
    <n v="0.5324093655901212"/>
    <n v="0.23046728105129111"/>
    <n v="-7.1444857125900249E-2"/>
    <n v="3315.7280934227138"/>
    <n v="795.43864017235569"/>
    <x v="0"/>
  </r>
  <r>
    <x v="12"/>
    <x v="0"/>
    <s v="NI6123.1"/>
    <x v="0"/>
    <x v="0"/>
    <x v="0"/>
    <x v="17"/>
    <n v="-310000"/>
    <n v="2.2000000000000002"/>
    <x v="17"/>
    <n v="1.645"/>
    <n v="6.4450000000000003"/>
    <x v="17"/>
    <x v="12"/>
    <n v="0.69"/>
    <x v="7"/>
    <x v="17"/>
    <x v="0"/>
    <n v="0.32215853301991865"/>
    <n v="-118563.69966152099"/>
    <n v="-99869.14523617478"/>
    <n v="98669.685931946762"/>
    <n v="-19894.013729574232"/>
    <s v="36861IF-TRANSCO/Z6"/>
    <n v="-31"/>
    <n v="0.38246354729522902"/>
    <n v="0.27942101982821443"/>
    <n v="-8.6620516146746471E-2"/>
    <n v="2654.2869242954066"/>
    <n v="832.25688042921877"/>
    <x v="0"/>
  </r>
  <r>
    <x v="12"/>
    <x v="0"/>
    <s v="NI6123.1"/>
    <x v="0"/>
    <x v="0"/>
    <x v="0"/>
    <x v="18"/>
    <n v="-300000"/>
    <n v="2.2000000000000002"/>
    <x v="18"/>
    <n v="0.77"/>
    <n v="5.5060000000000002"/>
    <x v="18"/>
    <x v="13"/>
    <n v="0.625"/>
    <x v="6"/>
    <x v="18"/>
    <x v="0"/>
    <n v="1.2880270126205009E-2"/>
    <n v="-13797.665053081022"/>
    <n v="-3864.0810378615029"/>
    <n v="11102.856888531915"/>
    <n v="-2694.8081645491075"/>
    <s v="36831IF-TRANSCO/Z6"/>
    <n v="-30"/>
    <n v="4.5992216843603405E-2"/>
    <n v="0.13486012438454192"/>
    <n v="-4.0458037315362579E-2"/>
    <n v="568.59734850271707"/>
    <n v="163.54904376902709"/>
    <x v="0"/>
  </r>
  <r>
    <x v="6"/>
    <x v="0"/>
    <s v="NI6136.1"/>
    <x v="0"/>
    <x v="0"/>
    <x v="0"/>
    <x v="14"/>
    <n v="-500000"/>
    <n v="1.6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  <n v="0.39322528835942289"/>
    <n v="0.27765939453101945"/>
    <n v="-0.13882969726550973"/>
    <n v="4686.476096503"/>
    <n v="664.55364953140838"/>
    <x v="0"/>
  </r>
  <r>
    <x v="6"/>
    <x v="0"/>
    <s v="NI6136.1"/>
    <x v="0"/>
    <x v="0"/>
    <x v="0"/>
    <x v="15"/>
    <n v="-500000"/>
    <n v="1.6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  <n v="0.64830444910672647"/>
    <n v="0.20496518695269236"/>
    <n v="-0.1024825934763462"/>
    <n v="5573.194539157761"/>
    <n v="900.87846129323293"/>
    <x v="0"/>
  </r>
  <r>
    <x v="6"/>
    <x v="0"/>
    <s v="NI6136.1"/>
    <x v="0"/>
    <x v="0"/>
    <x v="0"/>
    <x v="16"/>
    <n v="-500000"/>
    <n v="1.6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  <n v="0.67140664843568787"/>
    <n v="0.21177224476874285"/>
    <n v="-0.10588612238437144"/>
    <n v="5303.5870046862601"/>
    <n v="1079.8462285872267"/>
    <x v="0"/>
  </r>
  <r>
    <x v="6"/>
    <x v="0"/>
    <s v="NI6136.1"/>
    <x v="0"/>
    <x v="0"/>
    <x v="0"/>
    <x v="17"/>
    <n v="-500000"/>
    <n v="1.6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  <n v="0.54621829401497812"/>
    <n v="0.29547609311244366"/>
    <n v="-0.14773804655622183"/>
    <n v="4869.6817273184579"/>
    <n v="1326.6870943607987"/>
    <x v="0"/>
  </r>
  <r>
    <x v="6"/>
    <x v="0"/>
    <s v="NI6136.1"/>
    <x v="0"/>
    <x v="0"/>
    <x v="0"/>
    <x v="18"/>
    <n v="-500000"/>
    <n v="1.6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  <n v="0.14693880355942202"/>
    <n v="0.33123000363895488"/>
    <n v="-0.16561500181947747"/>
    <n v="2468.9714526083599"/>
    <n v="626.66060435848101"/>
    <x v="0"/>
  </r>
  <r>
    <x v="6"/>
    <x v="0"/>
    <s v="NI6136.2"/>
    <x v="0"/>
    <x v="0"/>
    <x v="0"/>
    <x v="14"/>
    <n v="500000"/>
    <n v="2.1"/>
    <x v="14"/>
    <n v="1.075"/>
    <n v="5.2880000000000003"/>
    <x v="14"/>
    <x v="9"/>
    <n v="0.61199999999999999"/>
    <x v="7"/>
    <x v="14"/>
    <x v="0"/>
    <n v="0.21874337964775428"/>
    <n v="143518.10228981663"/>
    <n v="109371.68982387714"/>
    <n v="-109416.03755415785"/>
    <n v="34102.064735658772"/>
    <s v="36951IF-TRANSCO/Z6"/>
    <n v="50"/>
    <n v="0.28703620457963325"/>
    <n v="0.24224551873398104"/>
    <n v="0.12112275936699052"/>
    <n v="-3846.5257402135762"/>
    <n v="-614.26248654701169"/>
    <x v="0"/>
  </r>
  <r>
    <x v="6"/>
    <x v="0"/>
    <s v="NI6136.2"/>
    <x v="0"/>
    <x v="0"/>
    <x v="0"/>
    <x v="15"/>
    <n v="500000"/>
    <n v="2.1"/>
    <x v="15"/>
    <n v="2.09"/>
    <n v="6.57"/>
    <x v="15"/>
    <x v="10"/>
    <n v="0.68100000000000005"/>
    <x v="7"/>
    <x v="15"/>
    <x v="0"/>
    <n v="0.67907576598978592"/>
    <n v="269492.35587836086"/>
    <n v="339537.88299489295"/>
    <n v="-226592.1727675038"/>
    <n v="42900.183110857062"/>
    <s v="36923IF-TRANSCO/Z6"/>
    <n v="50"/>
    <n v="0.53898471175672169"/>
    <n v="0.21766738291557791"/>
    <n v="0.10883369145778894"/>
    <n v="-5542.8270348161805"/>
    <n v="-1035.6773801385564"/>
    <x v="0"/>
  </r>
  <r>
    <x v="6"/>
    <x v="0"/>
    <s v="NI6136.2"/>
    <x v="0"/>
    <x v="0"/>
    <x v="0"/>
    <x v="16"/>
    <n v="500000"/>
    <n v="2.1"/>
    <x v="16"/>
    <n v="2.17"/>
    <n v="6.9139999999999997"/>
    <x v="16"/>
    <x v="11"/>
    <n v="0.69599999999999995"/>
    <x v="7"/>
    <x v="16"/>
    <x v="0"/>
    <n v="0.68399640094290037"/>
    <n v="277516.34793235944"/>
    <n v="341998.20047145017"/>
    <n v="-238200.18608650347"/>
    <n v="39316.161845855968"/>
    <s v="36892IF-TRANSCO/Z6"/>
    <n v="50"/>
    <n v="0.55503269586471893"/>
    <n v="0.22956344087881292"/>
    <n v="0.11478172043940646"/>
    <n v="-5389.1523515203689"/>
    <n v="-1262.0799850359583"/>
    <x v="0"/>
  </r>
  <r>
    <x v="6"/>
    <x v="0"/>
    <s v="NI6136.2"/>
    <x v="0"/>
    <x v="0"/>
    <x v="0"/>
    <x v="17"/>
    <n v="500000"/>
    <n v="2.1"/>
    <x v="17"/>
    <n v="1.645"/>
    <n v="6.4450000000000003"/>
    <x v="17"/>
    <x v="12"/>
    <n v="0.69"/>
    <x v="7"/>
    <x v="17"/>
    <x v="0"/>
    <n v="0.35125809243390804"/>
    <n v="203774.57610491358"/>
    <n v="175629.04621695401"/>
    <n v="-170811.21091373183"/>
    <n v="32963.365191181743"/>
    <s v="36861IF-TRANSCO/Z6"/>
    <n v="50"/>
    <n v="0.40754915220982713"/>
    <n v="0.28521776086224265"/>
    <n v="0.14260888043112133"/>
    <n v="-4418.7619095704604"/>
    <n v="-1356.4779330520594"/>
    <x v="0"/>
  </r>
  <r>
    <x v="6"/>
    <x v="0"/>
    <s v="NI6136.2"/>
    <x v="0"/>
    <x v="0"/>
    <x v="0"/>
    <x v="18"/>
    <n v="500000"/>
    <n v="2.1"/>
    <x v="18"/>
    <n v="0.77"/>
    <n v="5.5060000000000002"/>
    <x v="18"/>
    <x v="13"/>
    <n v="0.625"/>
    <x v="6"/>
    <x v="18"/>
    <x v="0"/>
    <n v="1.6195425457091524E-2"/>
    <n v="28148.279828712639"/>
    <n v="8097.7127285457618"/>
    <n v="-22814.975918761196"/>
    <n v="5333.3039099514426"/>
    <s v="36831IF-TRANSCO/Z6"/>
    <n v="50"/>
    <n v="5.6296559657425277E-2"/>
    <n v="0.15915218168274139"/>
    <n v="7.9576090841370697E-2"/>
    <n v="-1128.2356353167179"/>
    <n v="-318.44133363308976"/>
    <x v="0"/>
  </r>
  <r>
    <x v="9"/>
    <x v="0"/>
    <s v="NJ0119.1"/>
    <x v="0"/>
    <x v="0"/>
    <x v="0"/>
    <x v="18"/>
    <n v="1000000"/>
    <n v="1"/>
    <x v="18"/>
    <n v="0.77"/>
    <n v="5.5060000000000002"/>
    <x v="18"/>
    <x v="13"/>
    <n v="0.625"/>
    <x v="6"/>
    <x v="18"/>
    <x v="0"/>
    <n v="0.17043556386117104"/>
    <n v="387283.67484406265"/>
    <n v="170435.56386117105"/>
    <n v="-345469.76550031727"/>
    <n v="41813.909343745385"/>
    <s v="36831IF-TRANSCO/Z6"/>
    <n v="100"/>
    <n v="0.38728367484406268"/>
    <n v="0.56841829606161087"/>
    <n v="0.56841829606161087"/>
    <n v="-9167.3443716343882"/>
    <n v="-1987.6434891803974"/>
    <x v="0"/>
  </r>
  <r>
    <x v="16"/>
    <x v="0"/>
    <s v="NJ0240.1"/>
    <x v="0"/>
    <x v="0"/>
    <x v="0"/>
    <x v="14"/>
    <n v="-310000"/>
    <n v="1.6"/>
    <x v="14"/>
    <n v="1.075"/>
    <n v="5.2880000000000003"/>
    <x v="14"/>
    <x v="9"/>
    <n v="0.61199999999999999"/>
    <x v="7"/>
    <x v="14"/>
    <x v="0"/>
    <n v="0.32998723723310153"/>
    <n v="-121899.83939142109"/>
    <n v="-102296.04354226147"/>
    <n v="96798.332211684392"/>
    <n v="-25101.507179736698"/>
    <s v="36951IF-TRANSCO/Z6"/>
    <n v="-31"/>
    <n v="0.39322528835942289"/>
    <n v="0.27765939453101945"/>
    <n v="-8.607441230461603E-2"/>
    <n v="2905.6151798318601"/>
    <n v="412.02326270947322"/>
    <x v="0"/>
  </r>
  <r>
    <x v="16"/>
    <x v="0"/>
    <s v="NJ0240.1"/>
    <x v="0"/>
    <x v="0"/>
    <x v="0"/>
    <x v="15"/>
    <n v="-280000"/>
    <n v="1.6"/>
    <x v="15"/>
    <n v="2.09"/>
    <n v="6.57"/>
    <x v="15"/>
    <x v="10"/>
    <n v="0.68100000000000005"/>
    <x v="7"/>
    <x v="15"/>
    <x v="0"/>
    <n v="0.90615050041777145"/>
    <n v="-181525.24574988341"/>
    <n v="-253722.14011697602"/>
    <n v="158014.0270956828"/>
    <n v="-23511.218654200609"/>
    <s v="36923IF-TRANSCO/Z6"/>
    <n v="-28"/>
    <n v="0.64830444910672647"/>
    <n v="0.20496518695269236"/>
    <n v="-5.7390252346753864E-2"/>
    <n v="3120.9889419283463"/>
    <n v="504.49193832421042"/>
    <x v="0"/>
  </r>
  <r>
    <x v="16"/>
    <x v="0"/>
    <s v="NJ0240.1"/>
    <x v="0"/>
    <x v="0"/>
    <x v="0"/>
    <x v="16"/>
    <n v="-310000"/>
    <n v="1.6"/>
    <x v="16"/>
    <n v="2.17"/>
    <n v="6.9139999999999997"/>
    <x v="16"/>
    <x v="11"/>
    <n v="0.69599999999999995"/>
    <x v="7"/>
    <x v="16"/>
    <x v="0"/>
    <n v="0.92810205642557009"/>
    <n v="-208136.06101506323"/>
    <n v="-287711.63749192673"/>
    <n v="184779.09264621761"/>
    <n v="-23356.968368845613"/>
    <s v="36892IF-TRANSCO/Z6"/>
    <n v="-31"/>
    <n v="0.67140664843568787"/>
    <n v="0.21177224476874285"/>
    <n v="-6.5649395878310285E-2"/>
    <n v="3288.2239429054812"/>
    <n v="669.50466172408062"/>
    <x v="0"/>
  </r>
  <r>
    <x v="16"/>
    <x v="0"/>
    <s v="NJ0240.1"/>
    <x v="0"/>
    <x v="0"/>
    <x v="0"/>
    <x v="17"/>
    <n v="-310000"/>
    <n v="1.6"/>
    <x v="17"/>
    <n v="1.645"/>
    <n v="6.4450000000000003"/>
    <x v="17"/>
    <x v="12"/>
    <n v="0.69"/>
    <x v="7"/>
    <x v="17"/>
    <x v="0"/>
    <n v="0.53534295089425321"/>
    <n v="-169327.67114464322"/>
    <n v="-165956.3147772185"/>
    <n v="147378.92626193762"/>
    <n v="-21948.744882705592"/>
    <s v="36861IF-TRANSCO/Z6"/>
    <n v="-31"/>
    <n v="0.54621829401497812"/>
    <n v="0.29547609311244366"/>
    <n v="-9.159758886485754E-2"/>
    <n v="3019.2026709374436"/>
    <n v="822.54599850369516"/>
    <x v="0"/>
  </r>
  <r>
    <x v="16"/>
    <x v="0"/>
    <s v="NJ0240.1"/>
    <x v="0"/>
    <x v="0"/>
    <x v="0"/>
    <x v="18"/>
    <n v="-300000"/>
    <n v="1.6"/>
    <x v="18"/>
    <n v="0.77"/>
    <n v="5.5060000000000002"/>
    <x v="18"/>
    <x v="13"/>
    <n v="0.625"/>
    <x v="6"/>
    <x v="18"/>
    <x v="0"/>
    <n v="4.9554954593755501E-2"/>
    <n v="-44081.641067826604"/>
    <n v="-14866.48637812665"/>
    <n v="37179.274503358443"/>
    <n v="-6902.3665644681605"/>
    <s v="36831IF-TRANSCO/Z6"/>
    <n v="-30"/>
    <n v="0.14693880355942202"/>
    <n v="0.33123000363895488"/>
    <n v="-9.9369001091686476E-2"/>
    <n v="1481.3828715650159"/>
    <n v="375.99636261508863"/>
    <x v="0"/>
  </r>
  <r>
    <x v="16"/>
    <x v="0"/>
    <s v="NJ0240.2"/>
    <x v="0"/>
    <x v="0"/>
    <x v="0"/>
    <x v="14"/>
    <n v="310000"/>
    <n v="2.1"/>
    <x v="14"/>
    <n v="1.075"/>
    <n v="5.2880000000000003"/>
    <x v="14"/>
    <x v="9"/>
    <n v="0.61199999999999999"/>
    <x v="7"/>
    <x v="14"/>
    <x v="0"/>
    <n v="0.21874337964775428"/>
    <n v="88981.223419686314"/>
    <n v="67810.447690803834"/>
    <n v="-67837.943283577872"/>
    <n v="21143.280136108442"/>
    <s v="36951IF-TRANSCO/Z6"/>
    <n v="31"/>
    <n v="0.28703620457963325"/>
    <n v="0.24224551873398104"/>
    <n v="7.5096110807534117E-2"/>
    <n v="-2384.8459589324175"/>
    <n v="-380.84274165914729"/>
    <x v="0"/>
  </r>
  <r>
    <x v="16"/>
    <x v="0"/>
    <s v="NJ0240.2"/>
    <x v="0"/>
    <x v="0"/>
    <x v="0"/>
    <x v="15"/>
    <n v="280000"/>
    <n v="2.1"/>
    <x v="15"/>
    <n v="2.09"/>
    <n v="6.57"/>
    <x v="15"/>
    <x v="10"/>
    <n v="0.68100000000000005"/>
    <x v="7"/>
    <x v="15"/>
    <x v="0"/>
    <n v="0.67907576598978592"/>
    <n v="150915.71929188207"/>
    <n v="190141.21447714005"/>
    <n v="-126891.61674980212"/>
    <n v="24024.102542079941"/>
    <s v="36923IF-TRANSCO/Z6"/>
    <n v="28"/>
    <n v="0.53898471175672169"/>
    <n v="0.21766738291557791"/>
    <n v="6.0946867216361819E-2"/>
    <n v="-3103.9831394970615"/>
    <n v="-579.97933287759156"/>
    <x v="0"/>
  </r>
  <r>
    <x v="16"/>
    <x v="0"/>
    <s v="NJ0240.2"/>
    <x v="0"/>
    <x v="0"/>
    <x v="0"/>
    <x v="16"/>
    <n v="310000"/>
    <n v="2.1"/>
    <x v="16"/>
    <n v="2.17"/>
    <n v="6.9139999999999997"/>
    <x v="16"/>
    <x v="11"/>
    <n v="0.69599999999999995"/>
    <x v="7"/>
    <x v="16"/>
    <x v="0"/>
    <n v="0.68399640094290037"/>
    <n v="172060.13571806287"/>
    <n v="212038.8842922991"/>
    <n v="-147684.11537363214"/>
    <n v="24376.020344430726"/>
    <s v="36892IF-TRANSCO/Z6"/>
    <n v="31"/>
    <n v="0.55503269586471893"/>
    <n v="0.22956344087881292"/>
    <n v="7.1164666672432014E-2"/>
    <n v="-3341.2744579426285"/>
    <n v="-782.48959072229422"/>
    <x v="0"/>
  </r>
  <r>
    <x v="16"/>
    <x v="0"/>
    <s v="NJ0240.2"/>
    <x v="0"/>
    <x v="0"/>
    <x v="0"/>
    <x v="17"/>
    <n v="310000"/>
    <n v="2.1"/>
    <x v="17"/>
    <n v="1.645"/>
    <n v="6.4450000000000003"/>
    <x v="17"/>
    <x v="12"/>
    <n v="0.69"/>
    <x v="7"/>
    <x v="17"/>
    <x v="0"/>
    <n v="0.35125809243390804"/>
    <n v="126340.23718504641"/>
    <n v="108890.00865451149"/>
    <n v="-105902.95076651374"/>
    <n v="20437.286418532676"/>
    <s v="36861IF-TRANSCO/Z6"/>
    <n v="31"/>
    <n v="0.40754915220982713"/>
    <n v="0.28521776086224265"/>
    <n v="8.8417505867295229E-2"/>
    <n v="-2739.6323839336856"/>
    <n v="-841.01631849227692"/>
    <x v="0"/>
  </r>
  <r>
    <x v="16"/>
    <x v="0"/>
    <s v="NJ0240.2"/>
    <x v="0"/>
    <x v="0"/>
    <x v="0"/>
    <x v="18"/>
    <n v="300000"/>
    <n v="2.1"/>
    <x v="18"/>
    <n v="0.77"/>
    <n v="5.5060000000000002"/>
    <x v="18"/>
    <x v="13"/>
    <n v="0.625"/>
    <x v="6"/>
    <x v="18"/>
    <x v="0"/>
    <n v="1.6195425457091524E-2"/>
    <n v="16888.967897227583"/>
    <n v="4858.6276371274571"/>
    <n v="-13688.985551256717"/>
    <n v="3199.9823459708659"/>
    <s v="36831IF-TRANSCO/Z6"/>
    <n v="30"/>
    <n v="5.6296559657425277E-2"/>
    <n v="0.15915218168274139"/>
    <n v="4.7745654504822425E-2"/>
    <n v="-676.94138119003082"/>
    <n v="-191.06480017985388"/>
    <x v="0"/>
  </r>
  <r>
    <x v="17"/>
    <x v="0"/>
    <s v="NJ4328"/>
    <x v="6"/>
    <x v="0"/>
    <x v="0"/>
    <x v="16"/>
    <n v="465000"/>
    <n v="0.15"/>
    <x v="16"/>
    <n v="0.1275"/>
    <n v="4.8715000000000002"/>
    <x v="16"/>
    <x v="11"/>
    <n v="0.60499999999999998"/>
    <x v="10"/>
    <x v="16"/>
    <x v="0"/>
    <n v="4.4503043973877957E-2"/>
    <n v="202238.46988412878"/>
    <n v="20693.915447853251"/>
    <n v="-197721.28938872807"/>
    <n v="4517.1804954007093"/>
    <s v="36892NGI/CHI. GATE"/>
    <n v="46.5"/>
    <n v="0.43492144061102961"/>
    <n v="2.7636752842353736"/>
    <n v="1.2851090071694489"/>
    <n v="-36185.802964451599"/>
    <n v="-99.814410362029491"/>
    <x v="0"/>
  </r>
  <r>
    <x v="17"/>
    <x v="0"/>
    <s v="NJ4328"/>
    <x v="6"/>
    <x v="0"/>
    <x v="0"/>
    <x v="17"/>
    <n v="465000"/>
    <n v="0.15"/>
    <x v="17"/>
    <n v="0.1"/>
    <n v="4.9000000000000004"/>
    <x v="17"/>
    <x v="12"/>
    <n v="0.6"/>
    <x v="10"/>
    <x v="17"/>
    <x v="0"/>
    <n v="2.7341780503795484E-2"/>
    <n v="159055.3449838004"/>
    <n v="12713.927934264901"/>
    <n v="-155370.48131999248"/>
    <n v="3684.8636638079188"/>
    <s v="36861NGI/CHI. GATE"/>
    <n v="46.5"/>
    <n v="0.34205450534150622"/>
    <n v="2.9959955786471109"/>
    <n v="1.3931379440709066"/>
    <n v="-29779.470898887281"/>
    <n v="-108.39027428025896"/>
    <x v="0"/>
  </r>
  <r>
    <x v="8"/>
    <x v="0"/>
    <s v="NJ4410"/>
    <x v="0"/>
    <x v="0"/>
    <x v="1"/>
    <x v="12"/>
    <n v="1550000"/>
    <n v="0.3"/>
    <x v="12"/>
    <n v="0.41499999999999998"/>
    <n v="5.1070000000000002"/>
    <x v="12"/>
    <x v="8"/>
    <n v="0.56399999999999995"/>
    <x v="2"/>
    <x v="12"/>
    <x v="1"/>
    <n v="7.4089661656390193E-3"/>
    <n v="-208819.29196227781"/>
    <n v="11483.89755674048"/>
    <n v="214886.18398423158"/>
    <n v="6066.8920219537686"/>
    <s v="36800IF-TRANSCO/Z6"/>
    <n v="155"/>
    <n v="-0.13472212384663085"/>
    <n v="2.0158999907685802"/>
    <n v="3.1246449856912992"/>
    <n v="-21020.236998231394"/>
    <n v="-580.99494615417905"/>
    <x v="0"/>
  </r>
  <r>
    <x v="8"/>
    <x v="0"/>
    <s v="NJ4410"/>
    <x v="0"/>
    <x v="0"/>
    <x v="1"/>
    <x v="13"/>
    <n v="1500000"/>
    <n v="0.3"/>
    <x v="13"/>
    <n v="0.315"/>
    <n v="5"/>
    <x v="13"/>
    <x v="5"/>
    <n v="0.39200000000000002"/>
    <x v="2"/>
    <x v="13"/>
    <x v="1"/>
    <n v="2.1419777501948678E-3"/>
    <n v="-309413.96771534759"/>
    <n v="3212.9666252923016"/>
    <n v="310784.78926451906"/>
    <n v="1370.8215491714654"/>
    <s v="36770IF-TRANSCO/Z6"/>
    <n v="150"/>
    <n v="-0.20627597847689841"/>
    <n v="15.497602968755826"/>
    <n v="23.246404453133742"/>
    <n v="-4687.7350232452445"/>
    <n v="-1968.1755535175191"/>
    <x v="0"/>
  </r>
  <r>
    <x v="18"/>
    <x v="0"/>
    <s v="NJ7455"/>
    <x v="6"/>
    <x v="0"/>
    <x v="0"/>
    <x v="14"/>
    <n v="310000"/>
    <n v="0.15"/>
    <x v="14"/>
    <n v="0.1225"/>
    <n v="4.3354999999999997"/>
    <x v="14"/>
    <x v="9"/>
    <n v="0.53300000000000003"/>
    <x v="10"/>
    <x v="14"/>
    <x v="0"/>
    <n v="4.0858540517954137E-2"/>
    <n v="129191.8198310078"/>
    <n v="12666.147560565782"/>
    <n v="-126044.64060335686"/>
    <n v="3147.1792276509368"/>
    <s v="36951NGI/CHI. GATE"/>
    <n v="31"/>
    <n v="0.41674780590647675"/>
    <n v="2.7810649312681774"/>
    <n v="0.86213012869313499"/>
    <n v="-22293.820521706926"/>
    <n v="-41.979162973776042"/>
    <x v="0"/>
  </r>
  <r>
    <x v="18"/>
    <x v="0"/>
    <s v="NJ7455"/>
    <x v="6"/>
    <x v="0"/>
    <x v="0"/>
    <x v="15"/>
    <n v="280000"/>
    <n v="0.15"/>
    <x v="15"/>
    <n v="0.13750000000000001"/>
    <n v="4.6174999999999997"/>
    <x v="15"/>
    <x v="10"/>
    <n v="0.59299999999999997"/>
    <x v="10"/>
    <x v="15"/>
    <x v="0"/>
    <n v="5.1778937717171743E-2"/>
    <n v="129699.85687365441"/>
    <n v="14498.102560808087"/>
    <n v="-126711.18564876153"/>
    <n v="2988.6712248928816"/>
    <s v="36923NGI/CHI. GATE"/>
    <n v="28"/>
    <n v="0.46321377454876578"/>
    <n v="2.6145513341602959"/>
    <n v="0.73207437356488281"/>
    <n v="-22547.407029554248"/>
    <n v="-49.511384020410219"/>
    <x v="0"/>
  </r>
  <r>
    <x v="18"/>
    <x v="0"/>
    <s v="NJ7455"/>
    <x v="6"/>
    <x v="0"/>
    <x v="0"/>
    <x v="16"/>
    <n v="310000"/>
    <n v="0.15"/>
    <x v="16"/>
    <n v="0.1275"/>
    <n v="4.8715000000000002"/>
    <x v="16"/>
    <x v="11"/>
    <n v="0.60499999999999998"/>
    <x v="10"/>
    <x v="16"/>
    <x v="0"/>
    <n v="4.4503043973877957E-2"/>
    <n v="134825.64658941916"/>
    <n v="13795.943631902166"/>
    <n v="-131814.1929258187"/>
    <n v="3011.4536636004632"/>
    <s v="36892NGI/CHI. GATE"/>
    <n v="31"/>
    <n v="0.43492144061102955"/>
    <n v="2.7636752842353736"/>
    <n v="0.85673933811296576"/>
    <n v="-24123.868642967729"/>
    <n v="-66.542940241352994"/>
    <x v="0"/>
  </r>
  <r>
    <x v="18"/>
    <x v="0"/>
    <s v="NJ7455"/>
    <x v="6"/>
    <x v="0"/>
    <x v="0"/>
    <x v="17"/>
    <n v="310000"/>
    <n v="0.15"/>
    <x v="17"/>
    <n v="0.1"/>
    <n v="4.9000000000000004"/>
    <x v="17"/>
    <x v="12"/>
    <n v="0.6"/>
    <x v="10"/>
    <x v="17"/>
    <x v="0"/>
    <n v="2.7341780503795484E-2"/>
    <n v="106036.89665586693"/>
    <n v="8475.9519561765992"/>
    <n v="-103580.32087999498"/>
    <n v="2456.5757758719556"/>
    <s v="36861NGI/CHI. GATE"/>
    <n v="31"/>
    <n v="0.34205450534150622"/>
    <n v="2.9959955786471109"/>
    <n v="0.92875862938060438"/>
    <n v="-19852.98059925819"/>
    <n v="-72.260182853505967"/>
    <x v="0"/>
  </r>
  <r>
    <x v="18"/>
    <x v="0"/>
    <s v="NJ7455"/>
    <x v="6"/>
    <x v="0"/>
    <x v="0"/>
    <x v="18"/>
    <n v="300000"/>
    <n v="0.15"/>
    <x v="18"/>
    <n v="8.7499999999999994E-2"/>
    <n v="4.8235000000000001"/>
    <x v="18"/>
    <x v="13"/>
    <n v="0.59499999999999997"/>
    <x v="10"/>
    <x v="18"/>
    <x v="0"/>
    <n v="1.550052519581778E-2"/>
    <n v="79344.926186024168"/>
    <n v="4650.1575587453335"/>
    <n v="-77609.94391655919"/>
    <n v="1734.9822694649774"/>
    <s v="36831NGI/CHI. GATE"/>
    <n v="30"/>
    <n v="0.26448308728674724"/>
    <n v="3.3388376108619982"/>
    <n v="1.0016512832585993"/>
    <n v="-13818.64587232146"/>
    <n v="-74.921077543304349"/>
    <x v="0"/>
  </r>
  <r>
    <x v="7"/>
    <x v="0"/>
    <s v="NK0151"/>
    <x v="6"/>
    <x v="0"/>
    <x v="0"/>
    <x v="14"/>
    <n v="310000"/>
    <n v="0.15"/>
    <x v="14"/>
    <n v="0.1225"/>
    <n v="4.3354999999999997"/>
    <x v="14"/>
    <x v="9"/>
    <n v="0.53300000000000003"/>
    <x v="10"/>
    <x v="14"/>
    <x v="0"/>
    <n v="4.0858540517954137E-2"/>
    <n v="129191.8198310078"/>
    <n v="12666.147560565782"/>
    <n v="-126044.64060335686"/>
    <n v="3147.1792276509368"/>
    <s v="36951NGI/CHI. GATE"/>
    <n v="31"/>
    <n v="0.41674780590647675"/>
    <n v="2.7810649312681774"/>
    <n v="0.86213012869313499"/>
    <n v="-22293.820521706926"/>
    <n v="-41.979162973776042"/>
    <x v="0"/>
  </r>
  <r>
    <x v="7"/>
    <x v="0"/>
    <s v="NK0151"/>
    <x v="6"/>
    <x v="0"/>
    <x v="0"/>
    <x v="15"/>
    <n v="280000"/>
    <n v="0.15"/>
    <x v="15"/>
    <n v="0.13750000000000001"/>
    <n v="4.6174999999999997"/>
    <x v="15"/>
    <x v="10"/>
    <n v="0.59299999999999997"/>
    <x v="10"/>
    <x v="15"/>
    <x v="0"/>
    <n v="5.1778937717171743E-2"/>
    <n v="129699.85687365441"/>
    <n v="14498.102560808087"/>
    <n v="-126711.18564876153"/>
    <n v="2988.6712248928816"/>
    <s v="36923NGI/CHI. GATE"/>
    <n v="28"/>
    <n v="0.46321377454876578"/>
    <n v="2.6145513341602959"/>
    <n v="0.73207437356488281"/>
    <n v="-22547.407029554248"/>
    <n v="-49.511384020410219"/>
    <x v="0"/>
  </r>
  <r>
    <x v="7"/>
    <x v="0"/>
    <s v="NK0151"/>
    <x v="6"/>
    <x v="0"/>
    <x v="0"/>
    <x v="16"/>
    <n v="310000"/>
    <n v="0.15"/>
    <x v="16"/>
    <n v="0.1275"/>
    <n v="4.8715000000000002"/>
    <x v="16"/>
    <x v="11"/>
    <n v="0.60499999999999998"/>
    <x v="10"/>
    <x v="16"/>
    <x v="0"/>
    <n v="4.4503043973877957E-2"/>
    <n v="134825.64658941916"/>
    <n v="13795.943631902166"/>
    <n v="-131814.1929258187"/>
    <n v="3011.4536636004632"/>
    <s v="36892NGI/CHI. GATE"/>
    <n v="31"/>
    <n v="0.43492144061102955"/>
    <n v="2.7636752842353736"/>
    <n v="0.85673933811296576"/>
    <n v="-24123.868642967729"/>
    <n v="-66.542940241352994"/>
    <x v="0"/>
  </r>
  <r>
    <x v="7"/>
    <x v="0"/>
    <s v="NK0151"/>
    <x v="6"/>
    <x v="0"/>
    <x v="0"/>
    <x v="17"/>
    <n v="310000"/>
    <n v="0.15"/>
    <x v="17"/>
    <n v="0.1"/>
    <n v="4.9000000000000004"/>
    <x v="17"/>
    <x v="12"/>
    <n v="0.6"/>
    <x v="10"/>
    <x v="17"/>
    <x v="0"/>
    <n v="2.7341780503795484E-2"/>
    <n v="106036.89665586693"/>
    <n v="8475.9519561765992"/>
    <n v="-103580.32087999498"/>
    <n v="2456.5757758719556"/>
    <s v="36861NGI/CHI. GATE"/>
    <n v="31"/>
    <n v="0.34205450534150622"/>
    <n v="2.9959955786471109"/>
    <n v="0.92875862938060438"/>
    <n v="-19852.98059925819"/>
    <n v="-72.260182853505967"/>
    <x v="0"/>
  </r>
  <r>
    <x v="7"/>
    <x v="0"/>
    <s v="NK0151"/>
    <x v="6"/>
    <x v="0"/>
    <x v="0"/>
    <x v="18"/>
    <n v="300000"/>
    <n v="0.15"/>
    <x v="18"/>
    <n v="8.7499999999999994E-2"/>
    <n v="4.8235000000000001"/>
    <x v="18"/>
    <x v="13"/>
    <n v="0.59499999999999997"/>
    <x v="10"/>
    <x v="18"/>
    <x v="0"/>
    <n v="1.550052519581778E-2"/>
    <n v="79344.926186024168"/>
    <n v="4650.1575587453335"/>
    <n v="-77609.94391655919"/>
    <n v="1734.9822694649774"/>
    <s v="36831NGI/CHI. GATE"/>
    <n v="30"/>
    <n v="0.26448308728674724"/>
    <n v="3.3388376108619982"/>
    <n v="1.0016512832585993"/>
    <n v="-13818.64587232146"/>
    <n v="-74.921077543304349"/>
    <x v="0"/>
  </r>
  <r>
    <x v="12"/>
    <x v="0"/>
    <s v="NK4321"/>
    <x v="0"/>
    <x v="0"/>
    <x v="1"/>
    <x v="14"/>
    <n v="1000000"/>
    <n v="0.75"/>
    <x v="14"/>
    <n v="1.075"/>
    <n v="5.2880000000000003"/>
    <x v="14"/>
    <x v="9"/>
    <n v="0.61199999999999999"/>
    <x v="7"/>
    <x v="14"/>
    <x v="1"/>
    <n v="0.34215489694425383"/>
    <n v="-339156.90657542727"/>
    <n v="342154.89694425382"/>
    <n v="426577.20952257147"/>
    <n v="87420.302947144199"/>
    <s v="36951IF-TRANSCO/Z6"/>
    <n v="100"/>
    <n v="-0.3391569065754273"/>
    <n v="0.27629990813735328"/>
    <n v="0.27629990813735328"/>
    <n v="-10704.758357953324"/>
    <n v="-1208.8699811355666"/>
    <x v="0"/>
  </r>
  <r>
    <x v="12"/>
    <x v="0"/>
    <s v="NK4321"/>
    <x v="0"/>
    <x v="0"/>
    <x v="1"/>
    <x v="15"/>
    <n v="1000000"/>
    <n v="0.75"/>
    <x v="15"/>
    <n v="2.09"/>
    <n v="6.57"/>
    <x v="15"/>
    <x v="10"/>
    <n v="0.68100000000000005"/>
    <x v="7"/>
    <x v="15"/>
    <x v="1"/>
    <n v="0.14024849922231708"/>
    <n v="-145784.35428341973"/>
    <n v="140248.49922231707"/>
    <n v="207253.92587589275"/>
    <n v="61469.571592473018"/>
    <s v="36923IF-TRANSCO/Z6"/>
    <n v="100"/>
    <n v="-0.14578435428341974"/>
    <n v="0.13740490550901874"/>
    <n v="0.13740490550901874"/>
    <n v="-8643.3055853252063"/>
    <n v="-1183.0792442088762"/>
    <x v="0"/>
  </r>
  <r>
    <x v="12"/>
    <x v="0"/>
    <s v="NK4321"/>
    <x v="0"/>
    <x v="0"/>
    <x v="1"/>
    <x v="16"/>
    <n v="1000000"/>
    <n v="0.75"/>
    <x v="16"/>
    <n v="2.17"/>
    <n v="6.9139999999999997"/>
    <x v="16"/>
    <x v="11"/>
    <n v="0.69599999999999995"/>
    <x v="7"/>
    <x v="16"/>
    <x v="1"/>
    <n v="0.11073968944962387"/>
    <n v="-126921.27164591105"/>
    <n v="110739.68944962387"/>
    <n v="177899.01517975616"/>
    <n v="50977.743533845103"/>
    <s v="36892IF-TRANSCO/Z6"/>
    <n v="100"/>
    <n v="-0.12692127164591105"/>
    <n v="0.13155869338846921"/>
    <n v="0.13155869338846921"/>
    <n v="-7590.7039474886888"/>
    <n v="-1312.9591027251513"/>
    <x v="0"/>
  </r>
  <r>
    <x v="12"/>
    <x v="0"/>
    <s v="NK4321"/>
    <x v="0"/>
    <x v="0"/>
    <x v="1"/>
    <x v="17"/>
    <n v="1000000"/>
    <n v="0.75"/>
    <x v="17"/>
    <n v="1.645"/>
    <n v="6.4450000000000003"/>
    <x v="17"/>
    <x v="12"/>
    <n v="0.69"/>
    <x v="7"/>
    <x v="17"/>
    <x v="1"/>
    <n v="0.14791698517127294"/>
    <n v="-191425.38331192316"/>
    <n v="147916.98517127294"/>
    <n v="247008.46361200424"/>
    <n v="55583.080300081085"/>
    <s v="36861IF-TRANSCO/Z6"/>
    <n v="100"/>
    <n v="-0.19142538331192316"/>
    <n v="0.21394584130878833"/>
    <n v="0.21394584130878833"/>
    <n v="-8072.6352783360599"/>
    <n v="-1818.9752725668295"/>
    <x v="0"/>
  </r>
  <r>
    <x v="12"/>
    <x v="0"/>
    <s v="NK4321"/>
    <x v="0"/>
    <x v="0"/>
    <x v="1"/>
    <x v="18"/>
    <n v="1000000"/>
    <n v="0.75"/>
    <x v="18"/>
    <n v="0.77"/>
    <n v="5.5060000000000002"/>
    <x v="18"/>
    <x v="13"/>
    <n v="0.625"/>
    <x v="6"/>
    <x v="18"/>
    <x v="1"/>
    <n v="0.24961789258441158"/>
    <n v="-458332.11613441096"/>
    <n v="249617.89258441157"/>
    <n v="503482.71081758081"/>
    <n v="45150.594683169853"/>
    <s v="36831IF-TRANSCO/Z6"/>
    <n v="100"/>
    <n v="-0.45833211613441094"/>
    <n v="0.59550221444918572"/>
    <n v="0.59550221444918572"/>
    <n v="-10002.026496382947"/>
    <n v="-2013.3335027543833"/>
    <x v="0"/>
  </r>
  <r>
    <x v="3"/>
    <x v="0"/>
    <s v="NK4353"/>
    <x v="0"/>
    <x v="0"/>
    <x v="1"/>
    <x v="14"/>
    <n v="-620000"/>
    <n v="1.1499999999999999"/>
    <x v="14"/>
    <n v="1.075"/>
    <n v="5.2880000000000003"/>
    <x v="14"/>
    <x v="9"/>
    <n v="0.61199999999999999"/>
    <x v="7"/>
    <x v="14"/>
    <x v="1"/>
    <n v="0.54911441709740649"/>
    <n v="282300.02405055764"/>
    <n v="-340450.93860039202"/>
    <n v="-337005.033438001"/>
    <n v="-54705.009387443366"/>
    <s v="36951IF-TRANSCO/Z6"/>
    <n v="-62"/>
    <n v="-0.4553226194363833"/>
    <n v="0.29097695529176387"/>
    <n v="-0.18040571228089364"/>
    <n v="6509.4224195650149"/>
    <n v="800.34690448016306"/>
    <x v="0"/>
  </r>
  <r>
    <x v="3"/>
    <x v="0"/>
    <s v="NK4353"/>
    <x v="0"/>
    <x v="0"/>
    <x v="1"/>
    <x v="15"/>
    <n v="-560000"/>
    <n v="1.1499999999999999"/>
    <x v="15"/>
    <n v="2.09"/>
    <n v="6.57"/>
    <x v="15"/>
    <x v="10"/>
    <n v="0.68100000000000005"/>
    <x v="7"/>
    <x v="15"/>
    <x v="1"/>
    <n v="0.25214129972097754"/>
    <n v="125748.92410428901"/>
    <n v="-141199.12784374741"/>
    <n v="-167854.87514781614"/>
    <n v="-42105.951043527137"/>
    <s v="36923IF-TRANSCO/Z6"/>
    <n v="-56"/>
    <n v="-0.22455165018623036"/>
    <n v="0.1758955480355909"/>
    <n v="-9.8501506899930896E-2"/>
    <n v="5751.052178184158"/>
    <n v="876.79329912660955"/>
    <x v="0"/>
  </r>
  <r>
    <x v="3"/>
    <x v="0"/>
    <s v="NK4353"/>
    <x v="0"/>
    <x v="0"/>
    <x v="1"/>
    <x v="16"/>
    <n v="-620000"/>
    <n v="1.1499999999999999"/>
    <x v="16"/>
    <n v="2.17"/>
    <n v="6.9139999999999997"/>
    <x v="16"/>
    <x v="11"/>
    <n v="0.69599999999999995"/>
    <x v="7"/>
    <x v="16"/>
    <x v="1"/>
    <n v="0.20847620774735121"/>
    <n v="126830.4443945196"/>
    <n v="-129255.24880335775"/>
    <n v="-167250.76140727571"/>
    <n v="-40420.317012756117"/>
    <s v="36892IF-TRANSCO/Z6"/>
    <n v="-62"/>
    <n v="-0.20456523289438644"/>
    <n v="0.17579158262992722"/>
    <n v="-0.10899078123055488"/>
    <n v="5851.6475675852853"/>
    <n v="1123.2182265731219"/>
    <x v="0"/>
  </r>
  <r>
    <x v="3"/>
    <x v="0"/>
    <s v="NK4353"/>
    <x v="0"/>
    <x v="0"/>
    <x v="1"/>
    <x v="17"/>
    <n v="-620000"/>
    <n v="1.1499999999999999"/>
    <x v="17"/>
    <n v="1.645"/>
    <n v="6.4450000000000003"/>
    <x v="17"/>
    <x v="12"/>
    <n v="0.69"/>
    <x v="7"/>
    <x v="17"/>
    <x v="1"/>
    <n v="0.27915941560650492"/>
    <n v="187533.98197840768"/>
    <n v="-173078.83767603306"/>
    <n v="-229031.65405742603"/>
    <n v="-41497.672079018346"/>
    <s v="36861IF-TRANSCO/Z6"/>
    <n v="-62"/>
    <n v="-0.30247416448130271"/>
    <n v="0.2685599261647062"/>
    <n v="-0.16650715422211784"/>
    <n v="5864.6084312789862"/>
    <n v="1455.1710413202707"/>
    <x v="0"/>
  </r>
  <r>
    <x v="3"/>
    <x v="0"/>
    <s v="NK4353"/>
    <x v="0"/>
    <x v="0"/>
    <x v="1"/>
    <x v="18"/>
    <n v="-600000"/>
    <n v="1.1499999999999999"/>
    <x v="18"/>
    <n v="0.77"/>
    <n v="5.5060000000000002"/>
    <x v="18"/>
    <x v="13"/>
    <n v="0.625"/>
    <x v="6"/>
    <x v="18"/>
    <x v="1"/>
    <n v="0.50269231966812455"/>
    <n v="405932.35216911067"/>
    <n v="-301615.39180087473"/>
    <n v="-428575.56702685449"/>
    <n v="-22643.21485774382"/>
    <s v="36831IF-TRANSCO/Z6"/>
    <n v="-60"/>
    <n v="-0.67655392028185113"/>
    <n v="0.52139158818250608"/>
    <n v="-0.31283495290950364"/>
    <n v="4935.6882481881748"/>
    <n v="1074.8029297809235"/>
    <x v="0"/>
  </r>
  <r>
    <x v="3"/>
    <x v="0"/>
    <s v="NK4369"/>
    <x v="0"/>
    <x v="0"/>
    <x v="1"/>
    <x v="14"/>
    <n v="-1000000"/>
    <n v="1"/>
    <x v="14"/>
    <n v="1.075"/>
    <n v="5.2880000000000003"/>
    <x v="14"/>
    <x v="9"/>
    <n v="0.61199999999999999"/>
    <x v="7"/>
    <x v="14"/>
    <x v="1"/>
    <n v="0.46550991672981534"/>
    <n v="412515.00266951171"/>
    <n v="-465509.91672981536"/>
    <n v="-501451.82364404586"/>
    <n v="-88936.820974534145"/>
    <s v="36951IF-TRANSCO/Z6"/>
    <n v="-100"/>
    <n v="-0.41251500266951169"/>
    <n v="0.28893497698052001"/>
    <n v="-0.28893497698052001"/>
    <n v="10691.863368998755"/>
    <n v="1276.1353593061858"/>
    <x v="0"/>
  </r>
  <r>
    <x v="3"/>
    <x v="0"/>
    <s v="NK7690"/>
    <x v="0"/>
    <x v="0"/>
    <x v="1"/>
    <x v="14"/>
    <n v="1000000"/>
    <n v="0.75"/>
    <x v="14"/>
    <n v="1.075"/>
    <n v="5.2880000000000003"/>
    <x v="14"/>
    <x v="9"/>
    <n v="0.61199999999999999"/>
    <x v="7"/>
    <x v="14"/>
    <x v="1"/>
    <n v="0.34215489694425383"/>
    <n v="-339156.90657542727"/>
    <n v="342154.89694425382"/>
    <n v="426577.20952257147"/>
    <n v="87420.302947144199"/>
    <s v="36951IF-TRANSCO/Z6"/>
    <n v="100"/>
    <n v="-0.3391569065754273"/>
    <n v="0.27629990813735328"/>
    <n v="0.27629990813735328"/>
    <n v="-10704.758357953324"/>
    <n v="-1208.8699811355666"/>
    <x v="0"/>
  </r>
  <r>
    <x v="3"/>
    <x v="0"/>
    <s v="NK7690"/>
    <x v="0"/>
    <x v="0"/>
    <x v="1"/>
    <x v="15"/>
    <n v="1000000"/>
    <n v="0.75"/>
    <x v="15"/>
    <n v="2.09"/>
    <n v="6.57"/>
    <x v="15"/>
    <x v="10"/>
    <n v="0.68100000000000005"/>
    <x v="7"/>
    <x v="15"/>
    <x v="1"/>
    <n v="0.14024849922231708"/>
    <n v="-145784.35428341973"/>
    <n v="140248.49922231707"/>
    <n v="207253.92587589275"/>
    <n v="61469.571592473018"/>
    <s v="36923IF-TRANSCO/Z6"/>
    <n v="100"/>
    <n v="-0.14578435428341974"/>
    <n v="0.13740490550901874"/>
    <n v="0.13740490550901874"/>
    <n v="-8643.3055853252063"/>
    <n v="-1183.0792442088762"/>
    <x v="0"/>
  </r>
  <r>
    <x v="3"/>
    <x v="0"/>
    <s v="NK7690"/>
    <x v="0"/>
    <x v="0"/>
    <x v="1"/>
    <x v="16"/>
    <n v="1000000"/>
    <n v="0.75"/>
    <x v="16"/>
    <n v="2.17"/>
    <n v="6.9139999999999997"/>
    <x v="16"/>
    <x v="11"/>
    <n v="0.69599999999999995"/>
    <x v="7"/>
    <x v="16"/>
    <x v="1"/>
    <n v="0.11073968944962387"/>
    <n v="-126921.27164591105"/>
    <n v="110739.68944962387"/>
    <n v="177899.01517975616"/>
    <n v="50977.743533845103"/>
    <s v="36892IF-TRANSCO/Z6"/>
    <n v="100"/>
    <n v="-0.12692127164591105"/>
    <n v="0.13155869338846921"/>
    <n v="0.13155869338846921"/>
    <n v="-7590.7039474886888"/>
    <n v="-1312.9591027251513"/>
    <x v="0"/>
  </r>
  <r>
    <x v="3"/>
    <x v="0"/>
    <s v="NK7690"/>
    <x v="0"/>
    <x v="0"/>
    <x v="1"/>
    <x v="17"/>
    <n v="1000000"/>
    <n v="0.75"/>
    <x v="17"/>
    <n v="1.645"/>
    <n v="6.4450000000000003"/>
    <x v="17"/>
    <x v="12"/>
    <n v="0.69"/>
    <x v="7"/>
    <x v="17"/>
    <x v="1"/>
    <n v="0.14791698517127294"/>
    <n v="-191425.38331192316"/>
    <n v="147916.98517127294"/>
    <n v="247008.46361200424"/>
    <n v="55583.080300081085"/>
    <s v="36861IF-TRANSCO/Z6"/>
    <n v="100"/>
    <n v="-0.19142538331192316"/>
    <n v="0.21394584130878833"/>
    <n v="0.21394584130878833"/>
    <n v="-8072.6352783360599"/>
    <n v="-1818.9752725668295"/>
    <x v="0"/>
  </r>
  <r>
    <x v="3"/>
    <x v="0"/>
    <s v="NK7690"/>
    <x v="0"/>
    <x v="0"/>
    <x v="1"/>
    <x v="18"/>
    <n v="1000000"/>
    <n v="0.75"/>
    <x v="18"/>
    <n v="0.77"/>
    <n v="5.5060000000000002"/>
    <x v="18"/>
    <x v="13"/>
    <n v="0.625"/>
    <x v="6"/>
    <x v="18"/>
    <x v="1"/>
    <n v="0.24961789258441158"/>
    <n v="-458332.11613441096"/>
    <n v="249617.89258441157"/>
    <n v="503482.71081758081"/>
    <n v="45150.594683169853"/>
    <s v="36831IF-TRANSCO/Z6"/>
    <n v="100"/>
    <n v="-0.45833211613441094"/>
    <n v="0.59550221444918572"/>
    <n v="0.59550221444918572"/>
    <n v="-10002.026496382947"/>
    <n v="-2013.3335027543833"/>
    <x v="0"/>
  </r>
  <r>
    <x v="3"/>
    <x v="0"/>
    <s v="NK7692"/>
    <x v="0"/>
    <x v="0"/>
    <x v="0"/>
    <x v="14"/>
    <n v="-310000"/>
    <n v="3"/>
    <x v="14"/>
    <n v="1.075"/>
    <n v="5.2880000000000003"/>
    <x v="14"/>
    <x v="9"/>
    <n v="0.61199999999999999"/>
    <x v="7"/>
    <x v="14"/>
    <x v="0"/>
    <n v="0.10527550921372972"/>
    <n v="-48943.09730143546"/>
    <n v="-32635.407856256214"/>
    <n v="35060.335374088252"/>
    <n v="-13882.761927347208"/>
    <s v="36951IF-TRANSCO/Z6"/>
    <n v="-31"/>
    <n v="0.15788095903688859"/>
    <n v="0.16698952528736538"/>
    <n v="-5.1766752839083267E-2"/>
    <n v="1508.1721613995126"/>
    <n v="283.94317185686879"/>
    <x v="0"/>
  </r>
  <r>
    <x v="3"/>
    <x v="0"/>
    <s v="NK7692"/>
    <x v="0"/>
    <x v="0"/>
    <x v="0"/>
    <x v="15"/>
    <n v="-280000"/>
    <n v="3"/>
    <x v="15"/>
    <n v="2.09"/>
    <n v="6.57"/>
    <x v="15"/>
    <x v="10"/>
    <n v="0.68100000000000005"/>
    <x v="7"/>
    <x v="15"/>
    <x v="0"/>
    <n v="0.39988323237582518"/>
    <n v="-103115.89871866348"/>
    <n v="-111967.30506523105"/>
    <n v="81958.099569922357"/>
    <n v="-21157.79914874112"/>
    <s v="36923IF-TRANSCO/Z6"/>
    <n v="-28"/>
    <n v="0.36827106685236954"/>
    <n v="0.20219986232606013"/>
    <n v="-5.661596145129684E-2"/>
    <n v="2628.157753303075"/>
    <n v="593.70094226187359"/>
    <x v="0"/>
  </r>
  <r>
    <x v="3"/>
    <x v="0"/>
    <s v="NK7692"/>
    <x v="0"/>
    <x v="0"/>
    <x v="0"/>
    <x v="16"/>
    <n v="-310000"/>
    <n v="3"/>
    <x v="16"/>
    <n v="2.17"/>
    <n v="6.9139999999999997"/>
    <x v="16"/>
    <x v="11"/>
    <n v="0.69599999999999995"/>
    <x v="7"/>
    <x v="16"/>
    <x v="0"/>
    <n v="0.38621711903889011"/>
    <n v="-114596.194333936"/>
    <n v="-119727.30690205593"/>
    <n v="93016.808157945881"/>
    <n v="-21579.386175990119"/>
    <s v="36892IF-TRANSCO/Z6"/>
    <n v="-31"/>
    <n v="0.36966514301269676"/>
    <n v="0.21426401620967861"/>
    <n v="-6.642184502500037E-2"/>
    <n v="2844.5338392551989"/>
    <n v="801.66969567472165"/>
    <x v="0"/>
  </r>
  <r>
    <x v="3"/>
    <x v="0"/>
    <s v="NK7692"/>
    <x v="0"/>
    <x v="0"/>
    <x v="0"/>
    <x v="17"/>
    <n v="-310000"/>
    <n v="3"/>
    <x v="17"/>
    <n v="1.645"/>
    <n v="6.4450000000000003"/>
    <x v="17"/>
    <x v="12"/>
    <n v="0.69"/>
    <x v="7"/>
    <x v="17"/>
    <x v="0"/>
    <n v="0.15867812072193169"/>
    <n v="-68325.405215692153"/>
    <n v="-49190.217423798822"/>
    <n v="53896.026614231698"/>
    <n v="-14429.378601460456"/>
    <s v="36861IF-TRANSCO/Z6"/>
    <n v="-31"/>
    <n v="0.22040453295384566"/>
    <n v="0.21177587091864533"/>
    <n v="-6.5650519984780054E-2"/>
    <n v="1862.3358424908379"/>
    <n v="675.2892686934149"/>
    <x v="0"/>
  </r>
  <r>
    <x v="3"/>
    <x v="0"/>
    <s v="NK7692"/>
    <x v="0"/>
    <x v="0"/>
    <x v="0"/>
    <x v="18"/>
    <n v="-300000"/>
    <n v="3"/>
    <x v="18"/>
    <n v="0.77"/>
    <n v="5.5060000000000002"/>
    <x v="18"/>
    <x v="13"/>
    <n v="0.625"/>
    <x v="6"/>
    <x v="18"/>
    <x v="0"/>
    <n v="2.0084677451953142E-3"/>
    <n v="-2559.7493323134286"/>
    <n v="-602.54032355859431"/>
    <n v="1958.3392766438394"/>
    <n v="-601.41005566958916"/>
    <s v="36831IF-TRANSCO/Z6"/>
    <n v="-30"/>
    <n v="8.5324977743780946E-3"/>
    <n v="3.1369280966623912E-2"/>
    <n v="-9.4107842899871733E-3"/>
    <n v="124.62568040429579"/>
    <n v="40.799293726144597"/>
    <x v="0"/>
  </r>
  <r>
    <x v="3"/>
    <x v="0"/>
    <s v="NK7700"/>
    <x v="0"/>
    <x v="0"/>
    <x v="1"/>
    <x v="14"/>
    <n v="500000"/>
    <n v="0.75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  <n v="-0.3391569065754273"/>
    <n v="0.27629990813735328"/>
    <n v="0.13814995406867664"/>
    <n v="-5352.3791789766619"/>
    <n v="-604.4349905677833"/>
    <x v="0"/>
  </r>
  <r>
    <x v="3"/>
    <x v="0"/>
    <s v="NL2540.1"/>
    <x v="0"/>
    <x v="0"/>
    <x v="0"/>
    <x v="14"/>
    <n v="-1000000"/>
    <n v="1.75"/>
    <x v="14"/>
    <n v="1.075"/>
    <n v="5.2880000000000003"/>
    <x v="14"/>
    <x v="9"/>
    <n v="0.61199999999999999"/>
    <x v="7"/>
    <x v="14"/>
    <x v="0"/>
    <n v="0.29169353443198293"/>
    <n v="-358544.99221515533"/>
    <n v="-291693.5344319829"/>
    <n v="281111.32176072628"/>
    <n v="-77433.670454429055"/>
    <s v="36951IF-TRANSCO/Z6"/>
    <n v="-100"/>
    <n v="0.35854499221515534"/>
    <n v="0.26855150119885085"/>
    <n v="-0.26855150119885085"/>
    <n v="8889.7436496336286"/>
    <n v="1309.8062501727416"/>
    <x v="0"/>
  </r>
  <r>
    <x v="3"/>
    <x v="0"/>
    <s v="NL2540.1"/>
    <x v="0"/>
    <x v="0"/>
    <x v="0"/>
    <x v="15"/>
    <n v="-1000000"/>
    <n v="1.75"/>
    <x v="15"/>
    <n v="2.09"/>
    <n v="6.57"/>
    <x v="15"/>
    <x v="10"/>
    <n v="0.68100000000000005"/>
    <x v="7"/>
    <x v="15"/>
    <x v="0"/>
    <n v="0.83167569846266187"/>
    <n v="-615005.20832498663"/>
    <n v="-831675.69846266182"/>
    <n v="529691.58460641641"/>
    <n v="-85313.623718570219"/>
    <s v="36923IF-TRANSCO/Z6"/>
    <n v="-100"/>
    <n v="0.61500520832498662"/>
    <n v="0.21084985417060215"/>
    <n v="-0.21084985417060215"/>
    <n v="11228.111763352348"/>
    <n v="1903.6079184877156"/>
    <x v="0"/>
  </r>
  <r>
    <x v="3"/>
    <x v="0"/>
    <s v="NL2540.1"/>
    <x v="0"/>
    <x v="0"/>
    <x v="0"/>
    <x v="16"/>
    <n v="-1000000"/>
    <n v="1.75"/>
    <x v="16"/>
    <n v="2.17"/>
    <n v="6.9139999999999997"/>
    <x v="16"/>
    <x v="11"/>
    <n v="0.69599999999999995"/>
    <x v="7"/>
    <x v="16"/>
    <x v="0"/>
    <n v="0.84805353713203213"/>
    <n v="-636286.9272110064"/>
    <n v="-848053.5371320321"/>
    <n v="559116.94176896417"/>
    <n v="-77169.985442042234"/>
    <s v="36892IF-TRANSCO/Z6"/>
    <n v="-100"/>
    <n v="0.63628692721100644"/>
    <n v="0.21956331853486316"/>
    <n v="-0.21956331853486316"/>
    <n v="10772.586827297393"/>
    <n v="2296.4664915013968"/>
    <x v="0"/>
  </r>
  <r>
    <x v="3"/>
    <x v="0"/>
    <s v="NL2540.1"/>
    <x v="0"/>
    <x v="0"/>
    <x v="0"/>
    <x v="17"/>
    <n v="-1000000"/>
    <n v="1.75"/>
    <x v="17"/>
    <n v="1.645"/>
    <n v="6.4450000000000003"/>
    <x v="17"/>
    <x v="12"/>
    <n v="0.69"/>
    <x v="7"/>
    <x v="17"/>
    <x v="0"/>
    <n v="0.47281258615513388"/>
    <n v="-502675.01261715597"/>
    <n v="-472812.5861551339"/>
    <n v="432501.34243843274"/>
    <n v="-70173.67017872323"/>
    <s v="36861IF-TRANSCO/Z6"/>
    <n v="-100"/>
    <n v="0.50267501261715597"/>
    <n v="0.29625746359774724"/>
    <n v="-0.29625746359774729"/>
    <n v="9574.2851216380386"/>
    <n v="2710.6158333937324"/>
    <x v="0"/>
  </r>
  <r>
    <x v="3"/>
    <x v="0"/>
    <s v="NL2540.1"/>
    <x v="0"/>
    <x v="0"/>
    <x v="0"/>
    <x v="18"/>
    <n v="-1000000"/>
    <n v="1.75"/>
    <x v="18"/>
    <n v="0.77"/>
    <n v="5.5060000000000002"/>
    <x v="18"/>
    <x v="13"/>
    <n v="0.625"/>
    <x v="6"/>
    <x v="18"/>
    <x v="0"/>
    <n v="3.5639805064446209E-2"/>
    <n v="-111379.45500328676"/>
    <n v="-35639.805064446206"/>
    <n v="92763.479981175478"/>
    <n v="-18615.975022111277"/>
    <s v="36831IF-TRANSCO/Z6"/>
    <n v="-100"/>
    <n v="0.11137945500328676"/>
    <n v="0.27114798604443541"/>
    <n v="-0.27114798604443541"/>
    <n v="3976.9897925959363"/>
    <n v="1044.3697178787254"/>
    <x v="0"/>
  </r>
  <r>
    <x v="3"/>
    <x v="0"/>
    <s v="NL2540.2"/>
    <x v="0"/>
    <x v="0"/>
    <x v="0"/>
    <x v="14"/>
    <n v="1000000"/>
    <n v="2.5"/>
    <x v="14"/>
    <n v="1.075"/>
    <n v="5.2880000000000003"/>
    <x v="14"/>
    <x v="9"/>
    <n v="0.61199999999999999"/>
    <x v="7"/>
    <x v="14"/>
    <x v="0"/>
    <n v="0.15769806655468968"/>
    <n v="220747.75959653669"/>
    <n v="157698.06655468969"/>
    <n v="-163439.17021491885"/>
    <n v="57308.589381617843"/>
    <s v="36951IF-TRANSCO/Z6"/>
    <n v="100"/>
    <n v="0.2207477595965367"/>
    <n v="0.20839267824064617"/>
    <n v="0.20839267824064617"/>
    <n v="-6349.3518238774186"/>
    <n v="-1097.9247303105253"/>
    <x v="0"/>
  </r>
  <r>
    <x v="3"/>
    <x v="0"/>
    <s v="NL2540.2"/>
    <x v="0"/>
    <x v="0"/>
    <x v="0"/>
    <x v="15"/>
    <n v="1000000"/>
    <n v="2.5"/>
    <x v="15"/>
    <n v="2.09"/>
    <n v="6.57"/>
    <x v="15"/>
    <x v="10"/>
    <n v="0.68100000000000005"/>
    <x v="7"/>
    <x v="15"/>
    <x v="0"/>
    <n v="0.53709625631967106"/>
    <n v="457823.52405267616"/>
    <n v="537096.25631967105"/>
    <n v="-375053.92181647627"/>
    <n v="82769.602236199891"/>
    <s v="36923IF-TRANSCO/Z6"/>
    <n v="100"/>
    <n v="0.45782352405267618"/>
    <n v="0.2154690533950194"/>
    <n v="0.2154690533950194"/>
    <n v="-10495.340602944323"/>
    <n v="-2152.1129559036144"/>
    <x v="0"/>
  </r>
  <r>
    <x v="3"/>
    <x v="0"/>
    <s v="NL2540.2"/>
    <x v="0"/>
    <x v="0"/>
    <x v="0"/>
    <x v="16"/>
    <n v="1000000"/>
    <n v="2.5"/>
    <x v="16"/>
    <n v="2.17"/>
    <n v="6.9139999999999997"/>
    <x v="16"/>
    <x v="11"/>
    <n v="0.69599999999999995"/>
    <x v="7"/>
    <x v="16"/>
    <x v="0"/>
    <n v="0.53186610397093281"/>
    <n v="467162.63651000749"/>
    <n v="531866.10397093277"/>
    <n v="-390800.80571110657"/>
    <n v="76361.830798900919"/>
    <s v="36892IF-TRANSCO/Z6"/>
    <n v="100"/>
    <n v="0.4671626365100075"/>
    <n v="0.22870493244122136"/>
    <n v="0.22870493244122136"/>
    <n v="-10274.142057082554"/>
    <n v="-2633.7983650501928"/>
    <x v="0"/>
  </r>
  <r>
    <x v="3"/>
    <x v="0"/>
    <s v="NL2540.2"/>
    <x v="0"/>
    <x v="0"/>
    <x v="0"/>
    <x v="17"/>
    <n v="1000000"/>
    <n v="2.5"/>
    <x v="17"/>
    <n v="1.645"/>
    <n v="6.4450000000000003"/>
    <x v="17"/>
    <x v="12"/>
    <n v="0.69"/>
    <x v="7"/>
    <x v="17"/>
    <x v="0"/>
    <n v="0.24773751980055622"/>
    <n v="313568.26351721247"/>
    <n v="247737.51980055621"/>
    <n v="-255541.43698000131"/>
    <n v="58026.826537211164"/>
    <s v="36861IF-TRANSCO/Z6"/>
    <n v="100"/>
    <n v="0.31356826351721245"/>
    <n v="0.25721628353041581"/>
    <n v="0.25721628353041581"/>
    <n v="-7639.6105920416849"/>
    <n v="-2541.3126050372653"/>
    <x v="0"/>
  </r>
  <r>
    <x v="3"/>
    <x v="0"/>
    <s v="NL2540.2"/>
    <x v="0"/>
    <x v="0"/>
    <x v="0"/>
    <x v="18"/>
    <n v="1000000"/>
    <n v="2.5"/>
    <x v="18"/>
    <n v="0.77"/>
    <n v="5.5060000000000002"/>
    <x v="18"/>
    <x v="13"/>
    <n v="0.625"/>
    <x v="6"/>
    <x v="18"/>
    <x v="0"/>
    <n v="6.4395475095290703E-3"/>
    <n v="24732.567910056041"/>
    <n v="6439.5475095290703"/>
    <n v="-19500.594567664339"/>
    <n v="5231.9733423917023"/>
    <s v="36831IF-TRANSCO/Z6"/>
    <n v="100"/>
    <n v="2.4732567910056041E-2"/>
    <n v="7.9901262536593548E-2"/>
    <n v="7.9901262536593548E-2"/>
    <n v="-1095.9125128269282"/>
    <n v="-332.30329420341974"/>
    <x v="0"/>
  </r>
  <r>
    <x v="3"/>
    <x v="0"/>
    <s v="NL4381.1"/>
    <x v="0"/>
    <x v="0"/>
    <x v="1"/>
    <x v="12"/>
    <n v="-1000000"/>
    <n v="0.5"/>
    <x v="12"/>
    <n v="0.41499999999999998"/>
    <n v="5.1070000000000002"/>
    <x v="12"/>
    <x v="8"/>
    <n v="0.56399999999999995"/>
    <x v="2"/>
    <x v="12"/>
    <x v="1"/>
    <n v="0.10093567753937571"/>
    <n v="751326.60951049312"/>
    <n v="-100935.67753937571"/>
    <n v="-756166.29918914556"/>
    <n v="-4839.6896786524449"/>
    <s v="36800IF-TRANSCO/Z6"/>
    <n v="-100"/>
    <n v="-0.75132660951049313"/>
    <n v="2.6777145906738937"/>
    <n v="-2.6777145906738933"/>
    <n v="17478.152045244238"/>
    <n v="570.98812010026631"/>
    <x v="0"/>
  </r>
  <r>
    <x v="3"/>
    <x v="0"/>
    <s v="NL4381.1"/>
    <x v="0"/>
    <x v="0"/>
    <x v="1"/>
    <x v="13"/>
    <n v="-1000000"/>
    <n v="0.5"/>
    <x v="13"/>
    <n v="0.315"/>
    <n v="5"/>
    <x v="13"/>
    <x v="5"/>
    <n v="0.39200000000000002"/>
    <x v="2"/>
    <x v="13"/>
    <x v="1"/>
    <n v="0.18493192220017224"/>
    <n v="999632.01189282339"/>
    <n v="-184931.92220017224"/>
    <n v="-999632.01189282339"/>
    <n v="0"/>
    <s v="36770IF-TRANSCO/Z6"/>
    <n v="-100"/>
    <n v="-0.99963201189282336"/>
    <n v="3.774738580948918E-17"/>
    <n v="-3.774738580948918E-17"/>
    <n v="7.2263449937339387E-15"/>
    <n v="-34.055946215077547"/>
    <x v="0"/>
  </r>
  <r>
    <x v="3"/>
    <x v="0"/>
    <s v="NL4381.2"/>
    <x v="0"/>
    <x v="0"/>
    <x v="1"/>
    <x v="12"/>
    <n v="1000000"/>
    <n v="0.3"/>
    <x v="12"/>
    <n v="0.41499999999999998"/>
    <n v="5.1070000000000002"/>
    <x v="12"/>
    <x v="8"/>
    <n v="0.56399999999999995"/>
    <x v="2"/>
    <x v="12"/>
    <x v="1"/>
    <n v="7.4089661656390193E-3"/>
    <n v="-134722.12384663086"/>
    <n v="7408.966165639019"/>
    <n v="138636.2477317623"/>
    <n v="3914.1238851314411"/>
    <s v="36800IF-TRANSCO/Z6"/>
    <n v="100"/>
    <n v="-0.13472212384663085"/>
    <n v="2.0158999907685802"/>
    <n v="2.0158999907685802"/>
    <n v="-13561.443224665416"/>
    <n v="-374.83544913172841"/>
    <x v="0"/>
  </r>
  <r>
    <x v="3"/>
    <x v="0"/>
    <s v="NL4381.2"/>
    <x v="0"/>
    <x v="0"/>
    <x v="1"/>
    <x v="13"/>
    <n v="1000000"/>
    <n v="0.3"/>
    <x v="13"/>
    <n v="0.315"/>
    <n v="5"/>
    <x v="13"/>
    <x v="5"/>
    <n v="0.39200000000000002"/>
    <x v="2"/>
    <x v="13"/>
    <x v="1"/>
    <n v="2.1419777501948678E-3"/>
    <n v="-206275.97847689837"/>
    <n v="2141.9777501948679"/>
    <n v="207189.85950967937"/>
    <n v="913.88103278100607"/>
    <s v="36770IF-TRANSCO/Z6"/>
    <n v="100"/>
    <n v="-0.20627597847689835"/>
    <n v="15.497602968755826"/>
    <n v="15.497602968755825"/>
    <n v="-3125.156682163496"/>
    <n v="-1312.1170356783462"/>
    <x v="0"/>
  </r>
  <r>
    <x v="3"/>
    <x v="0"/>
    <s v="NL6881"/>
    <x v="0"/>
    <x v="0"/>
    <x v="0"/>
    <x v="14"/>
    <n v="-1000000"/>
    <n v="3"/>
    <x v="14"/>
    <n v="1.075"/>
    <n v="5.2880000000000003"/>
    <x v="14"/>
    <x v="9"/>
    <n v="0.61199999999999999"/>
    <x v="7"/>
    <x v="14"/>
    <x v="0"/>
    <n v="0.10527550921372972"/>
    <n v="-157880.95903688858"/>
    <n v="-105275.50921372972"/>
    <n v="113097.85604544597"/>
    <n v="-44783.102991442618"/>
    <s v="36951IF-TRANSCO/Z6"/>
    <n v="-100"/>
    <n v="0.15788095903688859"/>
    <n v="0.16698952528736538"/>
    <n v="-0.16698952528736541"/>
    <n v="4865.0714883855244"/>
    <n v="915.94571566731861"/>
    <x v="0"/>
  </r>
  <r>
    <x v="3"/>
    <x v="0"/>
    <s v="NL6881"/>
    <x v="0"/>
    <x v="0"/>
    <x v="0"/>
    <x v="15"/>
    <n v="-1000000"/>
    <n v="3"/>
    <x v="15"/>
    <n v="2.09"/>
    <n v="6.57"/>
    <x v="15"/>
    <x v="10"/>
    <n v="0.68100000000000005"/>
    <x v="7"/>
    <x v="15"/>
    <x v="0"/>
    <n v="0.39988323237582518"/>
    <n v="-368271.06685236952"/>
    <n v="-399883.23237582517"/>
    <n v="292707.49846400839"/>
    <n v="-75563.568388361135"/>
    <s v="36923IF-TRANSCO/Z6"/>
    <n v="-100"/>
    <n v="0.36827106685236954"/>
    <n v="0.20219986232606013"/>
    <n v="-0.2021998623260601"/>
    <n v="9386.2776903681261"/>
    <n v="2120.3605080781199"/>
    <x v="0"/>
  </r>
  <r>
    <x v="3"/>
    <x v="0"/>
    <s v="NL6881"/>
    <x v="0"/>
    <x v="0"/>
    <x v="0"/>
    <x v="16"/>
    <n v="-1000000"/>
    <n v="3"/>
    <x v="16"/>
    <n v="2.17"/>
    <n v="6.9139999999999997"/>
    <x v="16"/>
    <x v="11"/>
    <n v="0.69599999999999995"/>
    <x v="7"/>
    <x v="16"/>
    <x v="0"/>
    <n v="0.38621711903889011"/>
    <n v="-369665.14301269676"/>
    <n v="-386217.11903889012"/>
    <n v="300054.21986434155"/>
    <n v="-69610.923148355214"/>
    <s v="36892IF-TRANSCO/Z6"/>
    <n v="-100"/>
    <n v="0.36966514301269676"/>
    <n v="0.21426401620967861"/>
    <n v="-0.21426401620967861"/>
    <n v="9175.9156105006423"/>
    <n v="2586.0312763700699"/>
    <x v="0"/>
  </r>
  <r>
    <x v="3"/>
    <x v="0"/>
    <s v="NL6881"/>
    <x v="0"/>
    <x v="0"/>
    <x v="0"/>
    <x v="17"/>
    <n v="-1000000"/>
    <n v="3"/>
    <x v="17"/>
    <n v="1.645"/>
    <n v="6.4450000000000003"/>
    <x v="17"/>
    <x v="12"/>
    <n v="0.69"/>
    <x v="7"/>
    <x v="17"/>
    <x v="0"/>
    <n v="0.15867812072193169"/>
    <n v="-220404.53295384566"/>
    <n v="-158678.12072193169"/>
    <n v="173858.15036848933"/>
    <n v="-46546.382585356332"/>
    <s v="36861IF-TRANSCO/Z6"/>
    <n v="-100"/>
    <n v="0.22040453295384566"/>
    <n v="0.21177587091864533"/>
    <n v="-0.2117758709186453"/>
    <n v="6007.5349757768972"/>
    <n v="2178.3524796561769"/>
    <x v="0"/>
  </r>
  <r>
    <x v="3"/>
    <x v="0"/>
    <s v="NL6881"/>
    <x v="0"/>
    <x v="0"/>
    <x v="0"/>
    <x v="18"/>
    <n v="-1000000"/>
    <n v="3"/>
    <x v="18"/>
    <n v="0.77"/>
    <n v="5.5060000000000002"/>
    <x v="18"/>
    <x v="13"/>
    <n v="0.625"/>
    <x v="6"/>
    <x v="18"/>
    <x v="0"/>
    <n v="2.0084677451953142E-3"/>
    <n v="-8532.4977743780946"/>
    <n v="-2008.4677451953141"/>
    <n v="6527.7975888127985"/>
    <n v="-2004.7001855652961"/>
    <s v="36831IF-TRANSCO/Z6"/>
    <n v="-100"/>
    <n v="8.5324977743780946E-3"/>
    <n v="3.1369280966623912E-2"/>
    <n v="-3.1369280966623912E-2"/>
    <n v="415.41893468098601"/>
    <n v="135.99764575381533"/>
    <x v="0"/>
  </r>
  <r>
    <x v="6"/>
    <x v="0"/>
    <s v="NL6887"/>
    <x v="0"/>
    <x v="0"/>
    <x v="1"/>
    <x v="14"/>
    <n v="500000"/>
    <n v="0.5"/>
    <x v="14"/>
    <n v="1.075"/>
    <n v="5.2880000000000003"/>
    <x v="14"/>
    <x v="9"/>
    <n v="0.61199999999999999"/>
    <x v="7"/>
    <x v="14"/>
    <x v="1"/>
    <n v="0.24036985282510182"/>
    <n v="-133165.37375305043"/>
    <n v="120184.92641255091"/>
    <n v="174163.39875163429"/>
    <n v="40998.02499858386"/>
    <s v="36951IF-TRANSCO/Z6"/>
    <n v="50"/>
    <n v="-0.26633074750610086"/>
    <n v="0.25126670434842346"/>
    <n v="0.12563335217421173"/>
    <n v="-5121.7742780921162"/>
    <n v="-544.97592786314749"/>
    <x v="0"/>
  </r>
  <r>
    <x v="6"/>
    <x v="0"/>
    <s v="NL6890.1"/>
    <x v="0"/>
    <x v="0"/>
    <x v="0"/>
    <x v="14"/>
    <n v="500000"/>
    <n v="1.57"/>
    <x v="14"/>
    <n v="1.075"/>
    <n v="5.2880000000000003"/>
    <x v="14"/>
    <x v="9"/>
    <n v="0.61199999999999999"/>
    <x v="7"/>
    <x v="14"/>
    <x v="0"/>
    <n v="0.3382216721586368"/>
    <n v="200224.15263261457"/>
    <n v="169110.8360793184"/>
    <n v="-159408.26181924247"/>
    <n v="40815.890813372098"/>
    <s v="36951IF-TRANSCO/Z6"/>
    <n v="50"/>
    <n v="0.40044830526522912"/>
    <n v="0.27926034358384616"/>
    <n v="0.13963017179192308"/>
    <n v="-4732.6701716582593"/>
    <n v="-665.77770557404028"/>
    <x v="0"/>
  </r>
  <r>
    <x v="6"/>
    <x v="0"/>
    <s v="NL6890.1"/>
    <x v="0"/>
    <x v="0"/>
    <x v="0"/>
    <x v="15"/>
    <n v="500000"/>
    <n v="1.57"/>
    <x v="15"/>
    <n v="2.09"/>
    <n v="6.57"/>
    <x v="15"/>
    <x v="10"/>
    <n v="0.68100000000000005"/>
    <x v="7"/>
    <x v="15"/>
    <x v="0"/>
    <n v="0.92173554493353982"/>
    <n v="327487.79939046275"/>
    <n v="460867.77246676991"/>
    <n v="-285683.3298622687"/>
    <n v="41804.469528194051"/>
    <s v="36923IF-TRANSCO/Z6"/>
    <n v="50"/>
    <n v="0.65497559878092548"/>
    <n v="0.20356125588822033"/>
    <n v="0.10178062794411016"/>
    <n v="-5559.1503063493183"/>
    <n v="-889.61467696114994"/>
    <x v="0"/>
  </r>
  <r>
    <x v="6"/>
    <x v="0"/>
    <s v="NL6890.1"/>
    <x v="0"/>
    <x v="0"/>
    <x v="0"/>
    <x v="16"/>
    <n v="500000"/>
    <n v="1.57"/>
    <x v="16"/>
    <n v="2.17"/>
    <n v="6.9139999999999997"/>
    <x v="16"/>
    <x v="11"/>
    <n v="0.69599999999999995"/>
    <x v="7"/>
    <x v="16"/>
    <x v="0"/>
    <n v="0.94484293736027969"/>
    <n v="339200.28904285334"/>
    <n v="472421.46868013986"/>
    <n v="-301756.57980394992"/>
    <n v="37443.709238903422"/>
    <s v="36892IF-TRANSCO/Z6"/>
    <n v="50"/>
    <n v="0.67840057808570664"/>
    <n v="0.20995390948427992"/>
    <n v="0.10497695474213996"/>
    <n v="-5280.5609120504478"/>
    <n v="-1064.8031426214106"/>
    <x v="0"/>
  </r>
  <r>
    <x v="6"/>
    <x v="0"/>
    <s v="NL6890.1"/>
    <x v="0"/>
    <x v="0"/>
    <x v="0"/>
    <x v="17"/>
    <n v="500000"/>
    <n v="1.57"/>
    <x v="17"/>
    <n v="1.645"/>
    <n v="6.4450000000000003"/>
    <x v="17"/>
    <x v="12"/>
    <n v="0.69"/>
    <x v="7"/>
    <x v="17"/>
    <x v="0"/>
    <n v="0.54866336223080558"/>
    <n v="277532.47018224315"/>
    <n v="274331.68111540278"/>
    <n v="-242120.38192529423"/>
    <n v="35412.088256948919"/>
    <s v="36861IF-TRANSCO/Z6"/>
    <n v="50"/>
    <n v="0.55506494036448628"/>
    <n v="0.29485905778200244"/>
    <n v="0.14742952889100122"/>
    <n v="-4879.3811324772387"/>
    <n v="-1318.7419495262109"/>
    <x v="0"/>
  </r>
  <r>
    <x v="6"/>
    <x v="0"/>
    <s v="NL6890.1"/>
    <x v="0"/>
    <x v="0"/>
    <x v="0"/>
    <x v="18"/>
    <n v="500000"/>
    <n v="1.57"/>
    <x v="18"/>
    <n v="0.77"/>
    <n v="5.5060000000000002"/>
    <x v="18"/>
    <x v="13"/>
    <n v="0.625"/>
    <x v="6"/>
    <x v="18"/>
    <x v="0"/>
    <n v="5.2891005139987859E-2"/>
    <n v="77551.025384558772"/>
    <n v="26445.502569993929"/>
    <n v="-65577.617193247483"/>
    <n v="11973.40819131129"/>
    <s v="36831IF-TRANSCO/Z6"/>
    <n v="50"/>
    <n v="0.15510205076911754"/>
    <n v="0.34390559781934432"/>
    <n v="0.17195279890967213"/>
    <n v="-2572.1777180459976"/>
    <n v="-648.26871423053274"/>
    <x v="0"/>
  </r>
  <r>
    <x v="6"/>
    <x v="0"/>
    <s v="NL6890.2"/>
    <x v="0"/>
    <x v="0"/>
    <x v="1"/>
    <x v="14"/>
    <n v="500000"/>
    <n v="1.57"/>
    <x v="14"/>
    <n v="1.075"/>
    <n v="5.2880000000000003"/>
    <x v="14"/>
    <x v="9"/>
    <n v="0.61199999999999999"/>
    <x v="7"/>
    <x v="14"/>
    <x v="1"/>
    <n v="0.81643031884466799"/>
    <n v="-282814.88442398247"/>
    <n v="408215.15942233399"/>
    <n v="323630.77523735451"/>
    <n v="40815.89081337204"/>
    <s v="36951IF-TRANSCO/Z6"/>
    <n v="50"/>
    <n v="-0.5656297688479649"/>
    <n v="0.27926034358384616"/>
    <n v="0.13963017179192308"/>
    <n v="-4732.6701716582593"/>
    <n v="-620.6558931185358"/>
    <x v="0"/>
  </r>
  <r>
    <x v="6"/>
    <x v="0"/>
    <s v="NL6890.2"/>
    <x v="0"/>
    <x v="0"/>
    <x v="1"/>
    <x v="15"/>
    <n v="500000"/>
    <n v="1.57"/>
    <x v="15"/>
    <n v="2.09"/>
    <n v="6.57"/>
    <x v="15"/>
    <x v="10"/>
    <n v="0.68100000000000005"/>
    <x v="7"/>
    <x v="15"/>
    <x v="1"/>
    <n v="0.41666394518856542"/>
    <n v="-158157.9695950895"/>
    <n v="208331.97259428271"/>
    <n v="199962.43912328355"/>
    <n v="41804.469528194051"/>
    <s v="36923IF-TRANSCO/Z6"/>
    <n v="50"/>
    <n v="-0.31631593919017897"/>
    <n v="0.20356125588822033"/>
    <n v="0.10178062794411016"/>
    <n v="-5559.1503063493183"/>
    <n v="-937.10535673075162"/>
    <x v="0"/>
  </r>
  <r>
    <x v="6"/>
    <x v="0"/>
    <s v="NL6890.2"/>
    <x v="0"/>
    <x v="0"/>
    <x v="1"/>
    <x v="16"/>
    <n v="500000"/>
    <n v="1.57"/>
    <x v="16"/>
    <n v="2.17"/>
    <n v="6.9139999999999997"/>
    <x v="16"/>
    <x v="11"/>
    <n v="0.69599999999999995"/>
    <x v="7"/>
    <x v="16"/>
    <x v="1"/>
    <n v="0.3583906901707774"/>
    <n v="-149509.91694839826"/>
    <n v="179195.34508538869"/>
    <n v="186953.62618730165"/>
    <n v="37443.709238903393"/>
    <s v="36892IF-TRANSCO/Z6"/>
    <n v="50"/>
    <n v="-0.29901983389679648"/>
    <n v="0.20995390948427992"/>
    <n v="0.10497695474213996"/>
    <n v="-5280.5609120504478"/>
    <n v="-1119.7326951943357"/>
    <x v="0"/>
  </r>
  <r>
    <x v="6"/>
    <x v="0"/>
    <s v="NL6890.2"/>
    <x v="0"/>
    <x v="0"/>
    <x v="1"/>
    <x v="17"/>
    <n v="500000"/>
    <n v="1.57"/>
    <x v="17"/>
    <n v="1.645"/>
    <n v="6.4450000000000003"/>
    <x v="17"/>
    <x v="12"/>
    <n v="0.69"/>
    <x v="7"/>
    <x v="17"/>
    <x v="1"/>
    <n v="0.47495664136027971"/>
    <n v="-213845.66895459383"/>
    <n v="237478.32068013985"/>
    <n v="249257.75721154275"/>
    <n v="35412.088256948919"/>
    <s v="36861IF-TRANSCO/Z6"/>
    <n v="50"/>
    <n v="-0.42769133790918767"/>
    <n v="0.29485905778200244"/>
    <n v="0.14742952889100122"/>
    <n v="-4879.3811324772387"/>
    <n v="-1325.639487873183"/>
    <x v="0"/>
  </r>
  <r>
    <x v="6"/>
    <x v="0"/>
    <s v="NL6890.2"/>
    <x v="0"/>
    <x v="0"/>
    <x v="1"/>
    <x v="18"/>
    <n v="500000"/>
    <n v="1.57"/>
    <x v="18"/>
    <n v="0.77"/>
    <n v="5.5060000000000002"/>
    <x v="18"/>
    <x v="13"/>
    <n v="0.625"/>
    <x v="6"/>
    <x v="18"/>
    <x v="1"/>
    <n v="0.84354809611522819"/>
    <n v="-416609.65647496685"/>
    <n v="421774.04805761407"/>
    <n v="428583.06466627814"/>
    <n v="11973.40819131129"/>
    <s v="36831IF-TRANSCO/Z6"/>
    <n v="50"/>
    <n v="-0.83321931294993368"/>
    <n v="0.34390559781934432"/>
    <n v="0.17195279890967213"/>
    <n v="-2572.1777180459976"/>
    <n v="-574.50283394395842"/>
    <x v="0"/>
  </r>
  <r>
    <x v="3"/>
    <x v="0"/>
    <s v="NL8209.1"/>
    <x v="0"/>
    <x v="0"/>
    <x v="0"/>
    <x v="18"/>
    <n v="-2000000"/>
    <n v="1.5"/>
    <x v="18"/>
    <n v="0.77"/>
    <n v="5.5060000000000002"/>
    <x v="18"/>
    <x v="13"/>
    <n v="0.625"/>
    <x v="6"/>
    <x v="18"/>
    <x v="0"/>
    <n v="6.1505973255472926E-2"/>
    <n v="-351240.88907111483"/>
    <n v="-123011.94651094585"/>
    <n v="298839.4338935939"/>
    <n v="-52401.455177520926"/>
    <s v="36831IF-TRANSCO/Z6"/>
    <n v="-200"/>
    <n v="0.17562044453555742"/>
    <n v="0.37407782322730976"/>
    <n v="-0.74815564645461952"/>
    <n v="11282.645380793103"/>
    <n v="2796.2669232969401"/>
    <x v="0"/>
  </r>
  <r>
    <x v="10"/>
    <x v="1"/>
    <s v="NL8209.2"/>
    <x v="0"/>
    <x v="0"/>
    <x v="0"/>
    <x v="18"/>
    <n v="1000000"/>
    <n v="1.5"/>
    <x v="18"/>
    <n v="0.77"/>
    <n v="5.5060000000000002"/>
    <x v="18"/>
    <x v="13"/>
    <n v="0.625"/>
    <x v="6"/>
    <x v="18"/>
    <x v="0"/>
    <n v="6.1505973255472926E-2"/>
    <n v="175620.44453555741"/>
    <n v="61505.973255472927"/>
    <n v="-149419.71694679695"/>
    <n v="26200.727588760463"/>
    <s v="36831IF-TRANSCO/Z6"/>
    <n v="100"/>
    <n v="0.17562044453555742"/>
    <n v="0.37407782322730976"/>
    <n v="0.37407782322730976"/>
    <n v="-5641.3226903965515"/>
    <n v="-1398.1334616484701"/>
    <x v="0"/>
  </r>
  <r>
    <x v="3"/>
    <x v="0"/>
    <s v="NL8217"/>
    <x v="0"/>
    <x v="0"/>
    <x v="0"/>
    <x v="11"/>
    <n v="-1000000"/>
    <n v="0.7"/>
    <x v="11"/>
    <n v="0.52"/>
    <n v="4.4580000000000002"/>
    <x v="11"/>
    <x v="7"/>
    <n v="0.434"/>
    <x v="1"/>
    <x v="11"/>
    <x v="0"/>
    <n v="7.4548084161956366E-2"/>
    <n v="-323856.18761272356"/>
    <n v="-74548.084161956373"/>
    <n v="301953.70251641417"/>
    <n v="-21902.485096309392"/>
    <s v="36982IF-TRANSCO/Z6"/>
    <n v="-100"/>
    <n v="0.32385618761272356"/>
    <n v="0.95709813982389791"/>
    <n v="-0.95709813982389791"/>
    <n v="18330.854709804556"/>
    <n v="291.75698134657131"/>
    <x v="0"/>
  </r>
  <r>
    <x v="19"/>
    <x v="0"/>
    <s v="NL8222"/>
    <x v="0"/>
    <x v="0"/>
    <x v="0"/>
    <x v="11"/>
    <n v="-2100000"/>
    <n v="0.7"/>
    <x v="11"/>
    <n v="0.52"/>
    <n v="4.4580000000000002"/>
    <x v="11"/>
    <x v="7"/>
    <n v="0.434"/>
    <x v="1"/>
    <x v="11"/>
    <x v="0"/>
    <n v="7.4548084161956366E-2"/>
    <n v="-680097.99398671952"/>
    <n v="-156550.97674010837"/>
    <n v="634102.77528446983"/>
    <n v="-45995.218702249695"/>
    <s v="36982IF-TRANSCO/Z6"/>
    <n v="-210"/>
    <n v="0.32385618761272356"/>
    <n v="0.95709813982389791"/>
    <n v="-2.0099060936301858"/>
    <n v="38494.794890589568"/>
    <n v="612.68966082779968"/>
    <x v="0"/>
  </r>
  <r>
    <x v="8"/>
    <x v="0"/>
    <s v="NL8409"/>
    <x v="0"/>
    <x v="0"/>
    <x v="1"/>
    <x v="14"/>
    <n v="930000"/>
    <n v="0.75"/>
    <x v="14"/>
    <n v="1.075"/>
    <n v="5.2880000000000003"/>
    <x v="14"/>
    <x v="9"/>
    <n v="0.61199999999999999"/>
    <x v="7"/>
    <x v="14"/>
    <x v="1"/>
    <n v="0.34215489694425383"/>
    <n v="-315415.92311514739"/>
    <n v="318204.05415815604"/>
    <n v="396716.8048559915"/>
    <n v="81300.88174084411"/>
    <s v="36951IF-TRANSCO/Z6"/>
    <n v="93"/>
    <n v="-0.3391569065754273"/>
    <n v="0.27629990813735328"/>
    <n v="0.25695891456773856"/>
    <n v="-9955.4252728965912"/>
    <n v="-1124.2490824560771"/>
    <x v="0"/>
  </r>
  <r>
    <x v="8"/>
    <x v="0"/>
    <s v="NL8409"/>
    <x v="0"/>
    <x v="0"/>
    <x v="1"/>
    <x v="15"/>
    <n v="840000"/>
    <n v="0.75"/>
    <x v="15"/>
    <n v="2.09"/>
    <n v="6.57"/>
    <x v="15"/>
    <x v="10"/>
    <n v="0.68100000000000005"/>
    <x v="7"/>
    <x v="15"/>
    <x v="1"/>
    <n v="0.14024849922231708"/>
    <n v="-122458.85759807257"/>
    <n v="117808.73934674634"/>
    <n v="174093.29773574992"/>
    <n v="51634.440137677346"/>
    <s v="36923IF-TRANSCO/Z6"/>
    <n v="84"/>
    <n v="-0.14578435428341974"/>
    <n v="0.13740490550901874"/>
    <n v="0.11542012062757574"/>
    <n v="-7260.3766916731729"/>
    <n v="-993.78656513545593"/>
    <x v="0"/>
  </r>
  <r>
    <x v="8"/>
    <x v="0"/>
    <s v="NL8409"/>
    <x v="0"/>
    <x v="0"/>
    <x v="1"/>
    <x v="16"/>
    <n v="930000"/>
    <n v="0.75"/>
    <x v="16"/>
    <n v="2.17"/>
    <n v="6.9139999999999997"/>
    <x v="16"/>
    <x v="11"/>
    <n v="0.69599999999999995"/>
    <x v="7"/>
    <x v="16"/>
    <x v="1"/>
    <n v="0.11073968944962387"/>
    <n v="-118036.78263069727"/>
    <n v="102987.9111881502"/>
    <n v="165446.08411717322"/>
    <n v="47409.301486475946"/>
    <s v="36892IF-TRANSCO/Z6"/>
    <n v="93"/>
    <n v="-0.12692127164591105"/>
    <n v="0.13155869338846921"/>
    <n v="0.12234958485127637"/>
    <n v="-7059.3546711644794"/>
    <n v="-1221.0519655343908"/>
    <x v="0"/>
  </r>
  <r>
    <x v="8"/>
    <x v="0"/>
    <s v="NL8409"/>
    <x v="0"/>
    <x v="0"/>
    <x v="1"/>
    <x v="17"/>
    <n v="930000"/>
    <n v="0.75"/>
    <x v="17"/>
    <n v="1.645"/>
    <n v="6.4450000000000003"/>
    <x v="17"/>
    <x v="12"/>
    <n v="0.69"/>
    <x v="7"/>
    <x v="17"/>
    <x v="1"/>
    <n v="0.14791698517127294"/>
    <n v="-178025.60648008855"/>
    <n v="137562.79620928384"/>
    <n v="229717.87115916394"/>
    <n v="51692.264679075393"/>
    <s v="36861IF-TRANSCO/Z6"/>
    <n v="93"/>
    <n v="-0.19142538331192319"/>
    <n v="0.21394584130878833"/>
    <n v="0.19896963241717316"/>
    <n v="-7507.5508088525357"/>
    <n v="-1691.6470034871516"/>
    <x v="0"/>
  </r>
  <r>
    <x v="8"/>
    <x v="0"/>
    <s v="NL8409"/>
    <x v="0"/>
    <x v="0"/>
    <x v="1"/>
    <x v="18"/>
    <n v="900000"/>
    <n v="0.75"/>
    <x v="18"/>
    <n v="0.77"/>
    <n v="5.5060000000000002"/>
    <x v="18"/>
    <x v="13"/>
    <n v="0.625"/>
    <x v="6"/>
    <x v="18"/>
    <x v="1"/>
    <n v="0.24961789258441158"/>
    <n v="-412498.90452096984"/>
    <n v="224656.10332597041"/>
    <n v="453134.43973582273"/>
    <n v="40635.535214852891"/>
    <s v="36831IF-TRANSCO/Z6"/>
    <n v="90"/>
    <n v="-0.45833211613441094"/>
    <n v="0.59550221444918572"/>
    <n v="0.5359519930042671"/>
    <n v="-9001.8238467446536"/>
    <n v="-1812.000152478945"/>
    <x v="0"/>
  </r>
  <r>
    <x v="3"/>
    <x v="0"/>
    <s v="NL8413.1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3"/>
    <x v="0"/>
    <s v="NL8413.2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3"/>
    <x v="0"/>
    <s v="NL8413.3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9"/>
    <x v="0"/>
    <s v="NL8419.1"/>
    <x v="0"/>
    <x v="0"/>
    <x v="0"/>
    <x v="14"/>
    <n v="-310000"/>
    <n v="1.75"/>
    <x v="14"/>
    <n v="1.075"/>
    <n v="5.2880000000000003"/>
    <x v="14"/>
    <x v="9"/>
    <n v="0.61199999999999999"/>
    <x v="7"/>
    <x v="14"/>
    <x v="0"/>
    <n v="0.29169353443198293"/>
    <n v="-111148.94758669815"/>
    <n v="-90424.995673914702"/>
    <n v="87144.509745825155"/>
    <n v="-24004.437840872997"/>
    <s v="36951IF-TRANSCO/Z6"/>
    <n v="-31"/>
    <n v="0.35854499221515534"/>
    <n v="0.26855150119885085"/>
    <n v="-8.3250965371643754E-2"/>
    <n v="2755.8205313864246"/>
    <n v="406.03993755354992"/>
    <x v="0"/>
  </r>
  <r>
    <x v="9"/>
    <x v="0"/>
    <s v="NL8419.1"/>
    <x v="0"/>
    <x v="0"/>
    <x v="0"/>
    <x v="15"/>
    <n v="-280000"/>
    <n v="1.75"/>
    <x v="15"/>
    <n v="2.09"/>
    <n v="6.57"/>
    <x v="15"/>
    <x v="10"/>
    <n v="0.68100000000000005"/>
    <x v="7"/>
    <x v="15"/>
    <x v="0"/>
    <n v="0.83167569846266187"/>
    <n v="-172201.45833099625"/>
    <n v="-232869.19556954532"/>
    <n v="148313.64368979659"/>
    <n v="-23887.814641199657"/>
    <s v="36923IF-TRANSCO/Z6"/>
    <n v="-28"/>
    <n v="0.61500520832498662"/>
    <n v="0.21084985417060215"/>
    <n v="-5.9037959167768606E-2"/>
    <n v="3143.8712937386576"/>
    <n v="533.01021717656033"/>
    <x v="0"/>
  </r>
  <r>
    <x v="9"/>
    <x v="0"/>
    <s v="NL8419.1"/>
    <x v="0"/>
    <x v="0"/>
    <x v="0"/>
    <x v="16"/>
    <n v="-310000"/>
    <n v="1.75"/>
    <x v="16"/>
    <n v="2.17"/>
    <n v="6.9139999999999997"/>
    <x v="16"/>
    <x v="11"/>
    <n v="0.69599999999999995"/>
    <x v="7"/>
    <x v="16"/>
    <x v="0"/>
    <n v="0.84805353713203213"/>
    <n v="-197248.947435412"/>
    <n v="-262896.59651092999"/>
    <n v="173326.25194837889"/>
    <n v="-23922.69548703311"/>
    <s v="36892IF-TRANSCO/Z6"/>
    <n v="-31"/>
    <n v="0.63628692721100644"/>
    <n v="0.21956331853486316"/>
    <n v="-6.8064628745807584E-2"/>
    <n v="3339.5019164621917"/>
    <n v="711.90461236543308"/>
    <x v="0"/>
  </r>
  <r>
    <x v="9"/>
    <x v="0"/>
    <s v="NL8419.1"/>
    <x v="0"/>
    <x v="0"/>
    <x v="0"/>
    <x v="17"/>
    <n v="-310000"/>
    <n v="1.75"/>
    <x v="17"/>
    <n v="1.645"/>
    <n v="6.4450000000000003"/>
    <x v="17"/>
    <x v="12"/>
    <n v="0.69"/>
    <x v="7"/>
    <x v="17"/>
    <x v="0"/>
    <n v="0.47281258615513388"/>
    <n v="-155829.25391131834"/>
    <n v="-146571.90170809149"/>
    <n v="134075.41615591416"/>
    <n v="-21753.83775540418"/>
    <s v="36861IF-TRANSCO/Z6"/>
    <n v="-31"/>
    <n v="0.50267501261715597"/>
    <n v="0.29625746359774724"/>
    <n v="-9.1839813715301644E-2"/>
    <n v="2968.0283877077918"/>
    <n v="840.29090835205704"/>
    <x v="0"/>
  </r>
  <r>
    <x v="9"/>
    <x v="0"/>
    <s v="NL8419.1"/>
    <x v="0"/>
    <x v="0"/>
    <x v="0"/>
    <x v="18"/>
    <n v="-300000"/>
    <n v="1.75"/>
    <x v="18"/>
    <n v="0.77"/>
    <n v="5.5060000000000002"/>
    <x v="18"/>
    <x v="13"/>
    <n v="0.625"/>
    <x v="6"/>
    <x v="18"/>
    <x v="0"/>
    <n v="3.5639805064446209E-2"/>
    <n v="-33413.836500986028"/>
    <n v="-10691.941519333863"/>
    <n v="27829.043994352643"/>
    <n v="-5584.7925066333846"/>
    <s v="36831IF-TRANSCO/Z6"/>
    <n v="-30"/>
    <n v="0.11137945500328676"/>
    <n v="0.27114798604443541"/>
    <n v="-8.1344395813330625E-2"/>
    <n v="1193.0969377787808"/>
    <n v="313.3109153636176"/>
    <x v="0"/>
  </r>
  <r>
    <x v="9"/>
    <x v="0"/>
    <s v="NL8419.2"/>
    <x v="0"/>
    <x v="0"/>
    <x v="0"/>
    <x v="14"/>
    <n v="310000"/>
    <n v="2.5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  <n v="0.22074775959653672"/>
    <n v="0.20839267824064617"/>
    <n v="6.4601730254600309E-2"/>
    <n v="-1968.2990654019998"/>
    <n v="-340.35666639626282"/>
    <x v="0"/>
  </r>
  <r>
    <x v="9"/>
    <x v="0"/>
    <s v="NL8419.2"/>
    <x v="0"/>
    <x v="0"/>
    <x v="0"/>
    <x v="15"/>
    <n v="280000"/>
    <n v="2.5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  <n v="0.45782352405267618"/>
    <n v="0.2154690533950194"/>
    <n v="6.0331334950605428E-2"/>
    <n v="-2938.6953688244103"/>
    <n v="-602.59162765301198"/>
    <x v="0"/>
  </r>
  <r>
    <x v="9"/>
    <x v="0"/>
    <s v="NL8419.2"/>
    <x v="0"/>
    <x v="0"/>
    <x v="0"/>
    <x v="16"/>
    <n v="310000"/>
    <n v="2.5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  <n v="0.4671626365100075"/>
    <n v="0.22870493244122136"/>
    <n v="7.0898529056778625E-2"/>
    <n v="-3184.9840376955917"/>
    <n v="-816.47749316555985"/>
    <x v="0"/>
  </r>
  <r>
    <x v="9"/>
    <x v="0"/>
    <s v="NL8419.2"/>
    <x v="0"/>
    <x v="0"/>
    <x v="0"/>
    <x v="17"/>
    <n v="310000"/>
    <n v="2.5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  <n v="0.31356826351721245"/>
    <n v="0.25721628353041581"/>
    <n v="7.9737047894428897E-2"/>
    <n v="-2368.2792835329224"/>
    <n v="-787.80690756155218"/>
    <x v="0"/>
  </r>
  <r>
    <x v="9"/>
    <x v="0"/>
    <s v="NL8419.2"/>
    <x v="0"/>
    <x v="0"/>
    <x v="0"/>
    <x v="18"/>
    <n v="300000"/>
    <n v="2.5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  <n v="2.4732567910056041E-2"/>
    <n v="7.9901262536593548E-2"/>
    <n v="2.3970378760978062E-2"/>
    <n v="-328.7737538480784"/>
    <n v="-99.690988261025922"/>
    <x v="0"/>
  </r>
  <r>
    <x v="20"/>
    <x v="0"/>
    <s v="NL9178"/>
    <x v="0"/>
    <x v="0"/>
    <x v="1"/>
    <x v="14"/>
    <n v="500000"/>
    <n v="0.4"/>
    <x v="14"/>
    <n v="1.075"/>
    <n v="5.2880000000000003"/>
    <x v="14"/>
    <x v="9"/>
    <n v="0.61199999999999999"/>
    <x v="7"/>
    <x v="14"/>
    <x v="1"/>
    <n v="0.20592347587252724"/>
    <n v="-119154.24145648818"/>
    <n v="102961.73793626361"/>
    <n v="158496.92998042132"/>
    <n v="39342.688523933146"/>
    <s v="36951IF-TRANSCO/Z6"/>
    <n v="50"/>
    <n v="-0.23830848291297635"/>
    <n v="0.23793589230251747"/>
    <n v="0.11896794615125873"/>
    <n v="-4956.4245988948487"/>
    <n v="-515.01529683900424"/>
    <x v="0"/>
  </r>
  <r>
    <x v="20"/>
    <x v="0"/>
    <s v="NL9178"/>
    <x v="0"/>
    <x v="0"/>
    <x v="1"/>
    <x v="15"/>
    <n v="500000"/>
    <n v="0.4"/>
    <x v="15"/>
    <n v="2.09"/>
    <n v="6.57"/>
    <x v="15"/>
    <x v="10"/>
    <n v="0.68100000000000005"/>
    <x v="7"/>
    <x v="15"/>
    <x v="1"/>
    <n v="7.6256298994490601E-2"/>
    <n v="-45105.009253769982"/>
    <n v="38128.1494972453"/>
    <n v="68306.035233682895"/>
    <n v="23201.025979912913"/>
    <s v="36923IF-TRANSCO/Z6"/>
    <n v="50"/>
    <n v="-9.0210018507539957E-2"/>
    <n v="9.9081968890837049E-2"/>
    <n v="4.9540984445418525E-2"/>
    <n v="-3354.1994916611661"/>
    <n v="-417.92622417914919"/>
    <x v="0"/>
  </r>
  <r>
    <x v="20"/>
    <x v="0"/>
    <s v="NL9178"/>
    <x v="0"/>
    <x v="0"/>
    <x v="1"/>
    <x v="16"/>
    <n v="500000"/>
    <n v="0.4"/>
    <x v="16"/>
    <n v="2.17"/>
    <n v="6.9139999999999997"/>
    <x v="16"/>
    <x v="11"/>
    <n v="0.69599999999999995"/>
    <x v="7"/>
    <x v="16"/>
    <x v="1"/>
    <n v="5.742822747361559E-2"/>
    <n v="-37444.603010086284"/>
    <n v="28714.113736807794"/>
    <n v="55756.238767759867"/>
    <n v="18311.635757673583"/>
    <s v="36892IF-TRANSCO/Z6"/>
    <n v="50"/>
    <n v="-7.4889206020172572E-2"/>
    <n v="9.0488424724197838E-2"/>
    <n v="4.5244212362098919E-2"/>
    <n v="-2800.1327909029656"/>
    <n v="-443.15820623777444"/>
    <x v="0"/>
  </r>
  <r>
    <x v="20"/>
    <x v="0"/>
    <s v="NL9178"/>
    <x v="0"/>
    <x v="0"/>
    <x v="1"/>
    <x v="17"/>
    <n v="500000"/>
    <n v="0.4"/>
    <x v="17"/>
    <n v="1.645"/>
    <n v="6.4450000000000003"/>
    <x v="17"/>
    <x v="12"/>
    <n v="0.69"/>
    <x v="7"/>
    <x v="17"/>
    <x v="1"/>
    <n v="7.5159585110808336E-2"/>
    <n v="-56456.691977049835"/>
    <n v="37579.792555404165"/>
    <n v="77047.65173395256"/>
    <n v="20590.959756902725"/>
    <s v="36861IF-TRANSCO/Z6"/>
    <n v="50"/>
    <n v="-0.11291338395409967"/>
    <n v="0.15206668730405201"/>
    <n v="7.6033343652026006E-2"/>
    <n v="-3069.2851064232173"/>
    <n v="-636.20139460597557"/>
    <x v="0"/>
  </r>
  <r>
    <x v="20"/>
    <x v="0"/>
    <s v="NL9178"/>
    <x v="0"/>
    <x v="0"/>
    <x v="1"/>
    <x v="18"/>
    <n v="500000"/>
    <n v="0.4"/>
    <x v="18"/>
    <n v="0.77"/>
    <n v="5.5060000000000002"/>
    <x v="18"/>
    <x v="13"/>
    <n v="0.625"/>
    <x v="6"/>
    <x v="18"/>
    <x v="1"/>
    <n v="0.10707186808815639"/>
    <n v="-127962.45042628385"/>
    <n v="53535.934044078196"/>
    <n v="147501.65901966734"/>
    <n v="19539.20859338349"/>
    <s v="36831IF-TRANSCO/Z6"/>
    <n v="50"/>
    <n v="-0.25592490085256769"/>
    <n v="0.49055774647237421"/>
    <n v="0.24527887323618711"/>
    <n v="-4396.8695579759433"/>
    <n v="-819.03497696110207"/>
    <x v="0"/>
  </r>
  <r>
    <x v="3"/>
    <x v="0"/>
    <s v="NM2053.1"/>
    <x v="0"/>
    <x v="0"/>
    <x v="0"/>
    <x v="14"/>
    <n v="-500000"/>
    <n v="1.7"/>
    <x v="14"/>
    <n v="1.075"/>
    <n v="5.2880000000000003"/>
    <x v="14"/>
    <x v="9"/>
    <n v="0.61199999999999999"/>
    <x v="7"/>
    <x v="14"/>
    <x v="0"/>
    <n v="0.30394158497160456"/>
    <n v="-184918.58658220654"/>
    <n v="-151970.79248580229"/>
    <n v="145591.77741154283"/>
    <n v="-39326.809170663706"/>
    <s v="36951IF-TRANSCO/Z6"/>
    <n v="-50"/>
    <n v="0.36983717316441306"/>
    <n v="0.27177585714856239"/>
    <n v="-0.1358879285742812"/>
    <n v="4527.1010446804748"/>
    <n v="658.73947739050379"/>
    <x v="0"/>
  </r>
  <r>
    <x v="3"/>
    <x v="0"/>
    <s v="NM2053.2"/>
    <x v="0"/>
    <x v="0"/>
    <x v="0"/>
    <x v="14"/>
    <n v="1000000"/>
    <n v="2.5"/>
    <x v="14"/>
    <n v="1.075"/>
    <n v="5.2880000000000003"/>
    <x v="14"/>
    <x v="9"/>
    <n v="0.61199999999999999"/>
    <x v="7"/>
    <x v="14"/>
    <x v="0"/>
    <n v="0.15769806655468968"/>
    <n v="220747.75959653669"/>
    <n v="157698.06655468969"/>
    <n v="-163439.17021491885"/>
    <n v="57308.589381617843"/>
    <s v="36951IF-TRANSCO/Z6"/>
    <n v="100"/>
    <n v="0.2207477595965367"/>
    <n v="0.20839267824064617"/>
    <n v="0.20839267824064617"/>
    <n v="-6349.3518238774186"/>
    <n v="-1097.9247303105253"/>
    <x v="0"/>
  </r>
  <r>
    <x v="3"/>
    <x v="0"/>
    <s v="NM2063.1"/>
    <x v="0"/>
    <x v="0"/>
    <x v="1"/>
    <x v="14"/>
    <n v="-1000000"/>
    <n v="1.7"/>
    <x v="14"/>
    <n v="1.075"/>
    <n v="5.2880000000000003"/>
    <x v="14"/>
    <x v="9"/>
    <n v="0.61199999999999999"/>
    <x v="7"/>
    <x v="14"/>
    <x v="1"/>
    <n v="0.90774038129235057"/>
    <n v="596240.90094878105"/>
    <n v="-907740.38129235059"/>
    <n v="-674894.51929010835"/>
    <n v="-78653.618341327296"/>
    <s v="36951IF-TRANSCO/Z6"/>
    <n v="-100"/>
    <n v="-0.59624090094878102"/>
    <n v="0.27177585714856239"/>
    <n v="-0.27177585714856239"/>
    <n v="9054.2020893609497"/>
    <n v="1203.5349839337741"/>
    <x v="0"/>
  </r>
  <r>
    <x v="3"/>
    <x v="0"/>
    <s v="NM2063.1"/>
    <x v="0"/>
    <x v="0"/>
    <x v="1"/>
    <x v="15"/>
    <n v="-1000000"/>
    <n v="1.7"/>
    <x v="15"/>
    <n v="2.09"/>
    <n v="6.57"/>
    <x v="15"/>
    <x v="10"/>
    <n v="0.68100000000000005"/>
    <x v="7"/>
    <x v="15"/>
    <x v="1"/>
    <n v="0.47706563290775716"/>
    <n v="345207.29067395115"/>
    <n v="-477065.63290775719"/>
    <n v="-430154.78234077385"/>
    <n v="-84947.491666822694"/>
    <s v="36923IF-TRANSCO/Z6"/>
    <n v="-100"/>
    <n v="-0.34520729067395117"/>
    <n v="0.20909626893310501"/>
    <n v="-0.20909626893310501"/>
    <n v="11211.436687589465"/>
    <n v="1942.9029573484002"/>
    <x v="0"/>
  </r>
  <r>
    <x v="3"/>
    <x v="0"/>
    <s v="NM2063.1"/>
    <x v="0"/>
    <x v="0"/>
    <x v="1"/>
    <x v="16"/>
    <n v="-1000000"/>
    <n v="1.7"/>
    <x v="16"/>
    <n v="2.17"/>
    <n v="6.9139999999999997"/>
    <x v="16"/>
    <x v="11"/>
    <n v="0.69599999999999995"/>
    <x v="7"/>
    <x v="16"/>
    <x v="1"/>
    <n v="0.41467750155694816"/>
    <n v="329411.81679197453"/>
    <n v="-414677.50155694818"/>
    <n v="-406058.22837474017"/>
    <n v="-76646.411582765635"/>
    <s v="36892IF-TRANSCO/Z6"/>
    <n v="-100"/>
    <n v="-0.32941181679197451"/>
    <n v="0.2172068115992315"/>
    <n v="-0.2172068115992315"/>
    <n v="10729.22962590984"/>
    <n v="2339.4994388077398"/>
    <x v="0"/>
  </r>
  <r>
    <x v="3"/>
    <x v="0"/>
    <s v="NM2063.2"/>
    <x v="0"/>
    <x v="0"/>
    <x v="1"/>
    <x v="14"/>
    <n v="1000000"/>
    <n v="1"/>
    <x v="14"/>
    <n v="1.075"/>
    <n v="5.2880000000000003"/>
    <x v="14"/>
    <x v="9"/>
    <n v="0.61199999999999999"/>
    <x v="7"/>
    <x v="14"/>
    <x v="1"/>
    <n v="0.46550991672981534"/>
    <n v="-412515.00266951171"/>
    <n v="465509.91672981536"/>
    <n v="501451.82364404586"/>
    <n v="88936.820974534145"/>
    <s v="36951IF-TRANSCO/Z6"/>
    <n v="100"/>
    <n v="-0.41251500266951169"/>
    <n v="0.28893497698052001"/>
    <n v="0.28893497698052001"/>
    <n v="-10691.863368998755"/>
    <n v="-1276.1353593061858"/>
    <x v="0"/>
  </r>
  <r>
    <x v="3"/>
    <x v="0"/>
    <s v="NM2063.2"/>
    <x v="0"/>
    <x v="0"/>
    <x v="1"/>
    <x v="15"/>
    <n v="1000000"/>
    <n v="1"/>
    <x v="15"/>
    <n v="2.09"/>
    <n v="6.57"/>
    <x v="15"/>
    <x v="10"/>
    <n v="0.68100000000000005"/>
    <x v="7"/>
    <x v="15"/>
    <x v="1"/>
    <n v="0.20507600737213183"/>
    <n v="-193560.43640110976"/>
    <n v="205076.00737213183"/>
    <n v="264202.94481125427"/>
    <n v="70642.50841014451"/>
    <s v="36923IF-TRANSCO/Z6"/>
    <n v="100"/>
    <n v="-0.19356043640110976"/>
    <n v="0.16261023775223696"/>
    <n v="0.16261023775223696"/>
    <n v="-9750.4660992253976"/>
    <n v="-1429.0021220700194"/>
    <x v="0"/>
  </r>
  <r>
    <x v="3"/>
    <x v="0"/>
    <s v="NM2063.2"/>
    <x v="0"/>
    <x v="0"/>
    <x v="1"/>
    <x v="16"/>
    <n v="1000000"/>
    <n v="1"/>
    <x v="16"/>
    <n v="2.17"/>
    <n v="6.9139999999999997"/>
    <x v="16"/>
    <x v="11"/>
    <n v="0.69599999999999995"/>
    <x v="7"/>
    <x v="16"/>
    <x v="1"/>
    <n v="0.16682160872180107"/>
    <n v="-173562.91895910737"/>
    <n v="166821.60872180108"/>
    <n v="233896.58204416619"/>
    <n v="60333.663085058826"/>
    <s v="36892IF-TRANSCO/Z6"/>
    <n v="100"/>
    <n v="-0.17356291895910736"/>
    <n v="0.16015948137157252"/>
    <n v="0.16015948137157249"/>
    <n v="-8824.0682547471788"/>
    <n v="-1629.9078438641816"/>
    <x v="0"/>
  </r>
  <r>
    <x v="3"/>
    <x v="0"/>
    <s v="NM2077.1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3"/>
    <x v="0"/>
    <s v="NM2077.2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8"/>
    <x v="0"/>
    <s v="NM2100"/>
    <x v="0"/>
    <x v="0"/>
    <x v="1"/>
    <x v="12"/>
    <n v="3100000"/>
    <n v="0.4"/>
    <x v="12"/>
    <n v="0.41499999999999998"/>
    <n v="5.1070000000000002"/>
    <x v="12"/>
    <x v="8"/>
    <n v="0.56399999999999995"/>
    <x v="2"/>
    <x v="12"/>
    <x v="1"/>
    <n v="3.7336330308136434E-2"/>
    <n v="-1354148.9936662933"/>
    <n v="115742.62395522294"/>
    <n v="1374381.8487713428"/>
    <n v="20232.855105049442"/>
    <s v="36800IF-TRANSCO/Z6"/>
    <n v="310"/>
    <n v="-0.43682225602138497"/>
    <n v="3.4991243442040143"/>
    <n v="10.847285467032442"/>
    <n v="-71743.830342683752"/>
    <n v="-2185.4951668581666"/>
    <x v="0"/>
  </r>
  <r>
    <x v="3"/>
    <x v="0"/>
    <s v="NM2109"/>
    <x v="0"/>
    <x v="0"/>
    <x v="1"/>
    <x v="18"/>
    <n v="-500000"/>
    <n v="0.4"/>
    <x v="18"/>
    <n v="0.77"/>
    <n v="5.5060000000000002"/>
    <x v="18"/>
    <x v="13"/>
    <n v="0.625"/>
    <x v="6"/>
    <x v="18"/>
    <x v="1"/>
    <n v="0.10707186808815639"/>
    <n v="127962.45042628385"/>
    <n v="-53535.934044078196"/>
    <n v="-147501.65901966734"/>
    <n v="-19539.20859338349"/>
    <s v="36831IF-TRANSCO/Z6"/>
    <n v="-50"/>
    <n v="-0.25592490085256769"/>
    <n v="0.49055774647237421"/>
    <n v="-0.24527887323618711"/>
    <n v="4396.8695579759433"/>
    <n v="819.03497696110207"/>
    <x v="0"/>
  </r>
  <r>
    <x v="20"/>
    <x v="0"/>
    <s v="NM2145"/>
    <x v="0"/>
    <x v="0"/>
    <x v="1"/>
    <x v="18"/>
    <n v="500000"/>
    <n v="0.4"/>
    <x v="18"/>
    <n v="0.77"/>
    <n v="5.5060000000000002"/>
    <x v="18"/>
    <x v="13"/>
    <n v="0.625"/>
    <x v="6"/>
    <x v="18"/>
    <x v="1"/>
    <n v="0.10707186808815639"/>
    <n v="-127962.45042628385"/>
    <n v="53535.934044078196"/>
    <n v="147501.65901966734"/>
    <n v="19539.20859338349"/>
    <s v="36831IF-TRANSCO/Z6"/>
    <n v="50"/>
    <n v="-0.25592490085256769"/>
    <n v="0.49055774647237421"/>
    <n v="0.24527887323618711"/>
    <n v="-4396.8695579759433"/>
    <n v="-819.03497696110207"/>
    <x v="0"/>
  </r>
  <r>
    <x v="3"/>
    <x v="0"/>
    <s v="NM2238"/>
    <x v="0"/>
    <x v="0"/>
    <x v="0"/>
    <x v="12"/>
    <n v="-620000"/>
    <n v="0.7"/>
    <x v="12"/>
    <n v="0.41499999999999998"/>
    <n v="5.1070000000000002"/>
    <x v="12"/>
    <x v="8"/>
    <n v="0.56399999999999995"/>
    <x v="2"/>
    <x v="12"/>
    <x v="0"/>
    <n v="7.5892388018139435E-4"/>
    <n v="-10692.504808630732"/>
    <n v="-470.53280571246449"/>
    <n v="10324.515572784685"/>
    <n v="-367.98923584604745"/>
    <s v="36800IF-TRANSCO/Z6"/>
    <n v="-62"/>
    <n v="1.7245975497791503E-2"/>
    <n v="0.34370698532312854"/>
    <n v="-0.21309833090033969"/>
    <n v="1364.9227433669125"/>
    <n v="53.116427884753442"/>
    <x v="0"/>
  </r>
  <r>
    <x v="3"/>
    <x v="0"/>
    <s v="NM4160.1"/>
    <x v="0"/>
    <x v="0"/>
    <x v="0"/>
    <x v="14"/>
    <n v="-500000"/>
    <n v="5"/>
    <x v="14"/>
    <n v="1.075"/>
    <n v="5.2880000000000003"/>
    <x v="14"/>
    <x v="9"/>
    <n v="0.61199999999999999"/>
    <x v="7"/>
    <x v="14"/>
    <x v="0"/>
    <n v="2.2641515439359852E-2"/>
    <n v="-20599.732448029823"/>
    <n v="-11320.757719679927"/>
    <n v="13310.869113650135"/>
    <n v="-7288.8633343796882"/>
    <s v="36951IF-TRANSCO/Z6"/>
    <n v="-50"/>
    <n v="4.1199464896059648E-2"/>
    <n v="5.8383304237859535E-2"/>
    <n v="-2.9191652118929771E-2"/>
    <n v="746.51552243015556"/>
    <n v="178.98242613049896"/>
    <x v="0"/>
  </r>
  <r>
    <x v="3"/>
    <x v="0"/>
    <s v="NM4160.1"/>
    <x v="0"/>
    <x v="0"/>
    <x v="0"/>
    <x v="15"/>
    <n v="-500000"/>
    <n v="5"/>
    <x v="15"/>
    <n v="2.09"/>
    <n v="6.57"/>
    <x v="15"/>
    <x v="10"/>
    <n v="0.68100000000000005"/>
    <x v="7"/>
    <x v="15"/>
    <x v="0"/>
    <n v="0.1248574392326707"/>
    <n v="-71755.440613343133"/>
    <n v="-62428.719616335351"/>
    <n v="51672.578132368661"/>
    <n v="-20082.862480974472"/>
    <s v="36923IF-TRANSCO/Z6"/>
    <n v="-50"/>
    <n v="0.14351088122668626"/>
    <n v="0.11617361566768551"/>
    <n v="-5.8086807833842756E-2"/>
    <n v="2345.5103690907431"/>
    <n v="691.03864484776659"/>
    <x v="0"/>
  </r>
  <r>
    <x v="3"/>
    <x v="0"/>
    <s v="NM4160.1"/>
    <x v="0"/>
    <x v="0"/>
    <x v="0"/>
    <x v="16"/>
    <n v="-500000"/>
    <n v="5"/>
    <x v="16"/>
    <n v="2.17"/>
    <n v="6.9139999999999997"/>
    <x v="16"/>
    <x v="11"/>
    <n v="0.69599999999999995"/>
    <x v="7"/>
    <x v="16"/>
    <x v="0"/>
    <n v="0.10626990984510724"/>
    <n v="-64987.527324053983"/>
    <n v="-53134.954922553625"/>
    <n v="47748.774257077683"/>
    <n v="-17238.7530669763"/>
    <s v="36892IF-TRANSCO/Z6"/>
    <n v="-50"/>
    <n v="0.12997505464810796"/>
    <n v="0.11468246039200082"/>
    <n v="-5.734123019600041E-2"/>
    <n v="2136.7557429750536"/>
    <n v="783.00222825148433"/>
    <x v="0"/>
  </r>
  <r>
    <x v="3"/>
    <x v="0"/>
    <s v="NM4160.1"/>
    <x v="0"/>
    <x v="0"/>
    <x v="0"/>
    <x v="17"/>
    <n v="-500000"/>
    <n v="5"/>
    <x v="17"/>
    <n v="1.645"/>
    <n v="6.4450000000000003"/>
    <x v="17"/>
    <x v="12"/>
    <n v="0.69"/>
    <x v="7"/>
    <x v="17"/>
    <x v="0"/>
    <n v="2.6188530147270829E-2"/>
    <n v="-23542.865079174793"/>
    <n v="-13094.265073635415"/>
    <n v="16718.2940238991"/>
    <n v="-6824.5710552756937"/>
    <s v="36861IF-TRANSCO/Z6"/>
    <n v="-50"/>
    <n v="4.708573015834959E-2"/>
    <n v="6.6893815260603118E-2"/>
    <n v="-3.3446907630301559E-2"/>
    <n v="829.60557608961824"/>
    <n v="385.00353429841363"/>
    <x v="0"/>
  </r>
  <r>
    <x v="3"/>
    <x v="0"/>
    <s v="NM4160.1"/>
    <x v="0"/>
    <x v="0"/>
    <x v="0"/>
    <x v="18"/>
    <n v="-500000"/>
    <n v="5"/>
    <x v="18"/>
    <n v="0.77"/>
    <n v="5.5060000000000002"/>
    <x v="18"/>
    <x v="13"/>
    <n v="0.625"/>
    <x v="6"/>
    <x v="18"/>
    <x v="0"/>
    <n v="2.0948333147627672E-5"/>
    <n v="-57.57388400606829"/>
    <n v="-10.474166573813836"/>
    <n v="40.337053133063392"/>
    <n v="-17.236830873004898"/>
    <s v="36831IF-TRANSCO/Z6"/>
    <n v="-50"/>
    <n v="1.1514776801213658E-4"/>
    <n v="5.7696918759581734E-4"/>
    <n v="-2.8848459379790867E-4"/>
    <n v="3.4604221324886866"/>
    <n v="1.4059657562513406"/>
    <x v="0"/>
  </r>
  <r>
    <x v="3"/>
    <x v="0"/>
    <s v="NM4160.2"/>
    <x v="0"/>
    <x v="0"/>
    <x v="1"/>
    <x v="11"/>
    <n v="-1000000"/>
    <n v="0.4"/>
    <x v="11"/>
    <n v="0.52"/>
    <n v="4.4580000000000002"/>
    <x v="11"/>
    <x v="7"/>
    <n v="0.434"/>
    <x v="1"/>
    <x v="11"/>
    <x v="1"/>
    <n v="8.0776232848360607E-2"/>
    <n v="332820.91532170534"/>
    <n v="-80776.232848360611"/>
    <n v="-358050.96729506837"/>
    <n v="-25230.051973363035"/>
    <s v="36982IF-TRANSCO/Z6"/>
    <n v="-100"/>
    <n v="-0.33282091532170532"/>
    <n v="1.0273608414287152"/>
    <n v="-1.0273608414287152"/>
    <n v="20734.410459211464"/>
    <n v="274.31440237026538"/>
    <x v="0"/>
  </r>
  <r>
    <x v="3"/>
    <x v="0"/>
    <s v="NM4160.3"/>
    <x v="0"/>
    <x v="0"/>
    <x v="0"/>
    <x v="11"/>
    <n v="-1000000"/>
    <n v="0.7"/>
    <x v="11"/>
    <n v="0.52"/>
    <n v="4.4580000000000002"/>
    <x v="11"/>
    <x v="7"/>
    <n v="0.434"/>
    <x v="1"/>
    <x v="11"/>
    <x v="0"/>
    <n v="7.4548084161956366E-2"/>
    <n v="-323856.18761272356"/>
    <n v="-74548.084161956373"/>
    <n v="301953.70251641417"/>
    <n v="-21902.485096309392"/>
    <s v="36982IF-TRANSCO/Z6"/>
    <n v="-100"/>
    <n v="0.32385618761272356"/>
    <n v="0.95709813982389791"/>
    <n v="-0.95709813982389791"/>
    <n v="18330.854709804556"/>
    <n v="291.75698134657131"/>
    <x v="0"/>
  </r>
  <r>
    <x v="3"/>
    <x v="0"/>
    <s v="NM6058.1"/>
    <x v="0"/>
    <x v="0"/>
    <x v="0"/>
    <x v="14"/>
    <n v="-500000"/>
    <n v="1.6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  <n v="0.39322528835942289"/>
    <n v="0.27765939453101945"/>
    <n v="-0.13882969726550973"/>
    <n v="4686.476096503"/>
    <n v="664.55364953140838"/>
    <x v="0"/>
  </r>
  <r>
    <x v="3"/>
    <x v="0"/>
    <s v="NM6058.1"/>
    <x v="0"/>
    <x v="0"/>
    <x v="0"/>
    <x v="15"/>
    <n v="-500000"/>
    <n v="1.6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  <n v="0.64830444910672647"/>
    <n v="0.20496518695269236"/>
    <n v="-0.1024825934763462"/>
    <n v="5573.194539157761"/>
    <n v="900.87846129323293"/>
    <x v="0"/>
  </r>
  <r>
    <x v="3"/>
    <x v="0"/>
    <s v="NM6058.1"/>
    <x v="0"/>
    <x v="0"/>
    <x v="0"/>
    <x v="16"/>
    <n v="-500000"/>
    <n v="1.6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  <n v="0.67140664843568787"/>
    <n v="0.21177224476874285"/>
    <n v="-0.10588612238437144"/>
    <n v="5303.5870046862601"/>
    <n v="1079.8462285872267"/>
    <x v="0"/>
  </r>
  <r>
    <x v="3"/>
    <x v="0"/>
    <s v="NM6058.1"/>
    <x v="0"/>
    <x v="0"/>
    <x v="0"/>
    <x v="17"/>
    <n v="-500000"/>
    <n v="1.6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  <n v="0.54621829401497812"/>
    <n v="0.29547609311244366"/>
    <n v="-0.14773804655622183"/>
    <n v="4869.6817273184579"/>
    <n v="1326.6870943607987"/>
    <x v="0"/>
  </r>
  <r>
    <x v="3"/>
    <x v="0"/>
    <s v="NM6058.1"/>
    <x v="0"/>
    <x v="0"/>
    <x v="0"/>
    <x v="18"/>
    <n v="-500000"/>
    <n v="1.6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  <n v="0.14693880355942202"/>
    <n v="0.33123000363895488"/>
    <n v="-0.16561500181947747"/>
    <n v="2468.9714526083599"/>
    <n v="626.66060435848101"/>
    <x v="0"/>
  </r>
  <r>
    <x v="3"/>
    <x v="0"/>
    <s v="NM6058.2"/>
    <x v="0"/>
    <x v="0"/>
    <x v="1"/>
    <x v="14"/>
    <n v="-500000"/>
    <n v="1.6"/>
    <x v="14"/>
    <n v="1.075"/>
    <n v="5.2880000000000003"/>
    <x v="14"/>
    <x v="9"/>
    <n v="0.61199999999999999"/>
    <x v="7"/>
    <x v="14"/>
    <x v="1"/>
    <n v="0.83717822614252846"/>
    <n v="286426.39287688554"/>
    <n v="-418589.11307126423"/>
    <n v="-326912.69477968669"/>
    <n v="-40486.301902801148"/>
    <s v="36951IF-TRANSCO/Z6"/>
    <n v="-50"/>
    <n v="-0.57285278575377108"/>
    <n v="0.27765939453101945"/>
    <n v="-0.13882969726550973"/>
    <n v="4686.476096503"/>
    <n v="616.69718177557047"/>
    <x v="0"/>
  </r>
  <r>
    <x v="3"/>
    <x v="0"/>
    <s v="NM6058.2"/>
    <x v="0"/>
    <x v="0"/>
    <x v="1"/>
    <x v="15"/>
    <n v="-500000"/>
    <n v="1.6"/>
    <x v="15"/>
    <n v="2.09"/>
    <n v="6.57"/>
    <x v="15"/>
    <x v="10"/>
    <n v="0.68100000000000005"/>
    <x v="7"/>
    <x v="15"/>
    <x v="1"/>
    <n v="0.43021764681193009"/>
    <n v="161493.544432189"/>
    <n v="-215108.82340596506"/>
    <n v="-203477.86345754721"/>
    <n v="-41984.319025358214"/>
    <s v="36923IF-TRANSCO/Z6"/>
    <n v="-50"/>
    <n v="-0.32298708886437799"/>
    <n v="0.20496518695269236"/>
    <n v="-0.1024825934763462"/>
    <n v="5573.194539157761"/>
    <n v="945.62929415304995"/>
    <x v="0"/>
  </r>
  <r>
    <x v="3"/>
    <x v="0"/>
    <s v="NM6058.2"/>
    <x v="0"/>
    <x v="0"/>
    <x v="1"/>
    <x v="16"/>
    <n v="-500000"/>
    <n v="1.6"/>
    <x v="16"/>
    <n v="2.17"/>
    <n v="6.9139999999999997"/>
    <x v="16"/>
    <x v="11"/>
    <n v="0.69599999999999995"/>
    <x v="7"/>
    <x v="16"/>
    <x v="1"/>
    <n v="0.37097242159554278"/>
    <n v="153006.88177340766"/>
    <n v="-185486.21079777137"/>
    <n v="-190679.41140057804"/>
    <n v="-37672.529627170385"/>
    <s v="36892IF-TRANSCO/Z6"/>
    <n v="-50"/>
    <n v="-0.30601376354681531"/>
    <n v="0.21177224476874285"/>
    <n v="-0.10588612238437144"/>
    <n v="5303.5870046862601"/>
    <n v="1132.0293035315058"/>
    <x v="0"/>
  </r>
  <r>
    <x v="3"/>
    <x v="0"/>
    <s v="NM6058.2"/>
    <x v="0"/>
    <x v="0"/>
    <x v="1"/>
    <x v="17"/>
    <n v="-500000"/>
    <n v="1.6"/>
    <x v="17"/>
    <n v="1.645"/>
    <n v="6.4450000000000003"/>
    <x v="17"/>
    <x v="12"/>
    <n v="0.69"/>
    <x v="7"/>
    <x v="17"/>
    <x v="1"/>
    <n v="0.49111891837193733"/>
    <n v="218268.99212934793"/>
    <n v="-245559.45918596868"/>
    <n v="-253670.19355306664"/>
    <n v="-35401.20142371871"/>
    <s v="36861IF-TRANSCO/Z6"/>
    <n v="-50"/>
    <n v="-0.43653798425869583"/>
    <n v="0.29547609311244366"/>
    <n v="-0.14773804655622183"/>
    <n v="4869.6817273184579"/>
    <n v="1330.825617368982"/>
    <x v="0"/>
  </r>
  <r>
    <x v="3"/>
    <x v="0"/>
    <s v="NM6058.2"/>
    <x v="0"/>
    <x v="0"/>
    <x v="1"/>
    <x v="18"/>
    <n v="-500000"/>
    <n v="1.6"/>
    <x v="18"/>
    <n v="0.77"/>
    <n v="5.5060000000000002"/>
    <x v="18"/>
    <x v="13"/>
    <n v="0.625"/>
    <x v="6"/>
    <x v="18"/>
    <x v="1"/>
    <n v="0.86986168648056772"/>
    <n v="420691.28007981461"/>
    <n v="-434930.84324028384"/>
    <n v="-432195.22435392824"/>
    <n v="-11503.94427411363"/>
    <s v="36831IF-TRANSCO/Z6"/>
    <n v="-50"/>
    <n v="-0.8413825601596292"/>
    <n v="0.33123000363895488"/>
    <n v="-0.16561500181947747"/>
    <n v="2468.9714526083599"/>
    <n v="550.1285035611603"/>
    <x v="0"/>
  </r>
  <r>
    <x v="3"/>
    <x v="0"/>
    <s v="NM6058.3"/>
    <x v="0"/>
    <x v="0"/>
    <x v="0"/>
    <x v="15"/>
    <n v="-500000"/>
    <n v="2.5"/>
    <x v="15"/>
    <n v="2.09"/>
    <n v="6.57"/>
    <x v="15"/>
    <x v="10"/>
    <n v="0.68100000000000005"/>
    <x v="7"/>
    <x v="15"/>
    <x v="0"/>
    <n v="0.53709625631967106"/>
    <n v="-228911.76202633808"/>
    <n v="-268548.12815983553"/>
    <n v="187526.96090823814"/>
    <n v="-41384.801118099946"/>
    <s v="36923IF-TRANSCO/Z6"/>
    <n v="-50"/>
    <n v="0.45782352405267618"/>
    <n v="0.2154690533950194"/>
    <n v="-0.1077345266975097"/>
    <n v="5247.6703014721616"/>
    <n v="1076.0564779518072"/>
    <x v="0"/>
  </r>
  <r>
    <x v="3"/>
    <x v="0"/>
    <s v="NM6058.3"/>
    <x v="0"/>
    <x v="0"/>
    <x v="0"/>
    <x v="16"/>
    <n v="-500000"/>
    <n v="2.5"/>
    <x v="16"/>
    <n v="2.17"/>
    <n v="6.9139999999999997"/>
    <x v="16"/>
    <x v="11"/>
    <n v="0.69599999999999995"/>
    <x v="7"/>
    <x v="16"/>
    <x v="0"/>
    <n v="0.53186610397093281"/>
    <n v="-233581.31825500375"/>
    <n v="-265933.05198546639"/>
    <n v="195400.40285555329"/>
    <n v="-38180.91539945046"/>
    <s v="36892IF-TRANSCO/Z6"/>
    <n v="-50"/>
    <n v="0.4671626365100075"/>
    <n v="0.22870493244122136"/>
    <n v="-0.11435246622061068"/>
    <n v="5137.071028541277"/>
    <n v="1316.8991825250964"/>
    <x v="0"/>
  </r>
  <r>
    <x v="3"/>
    <x v="0"/>
    <s v="NM6058.3"/>
    <x v="0"/>
    <x v="0"/>
    <x v="0"/>
    <x v="17"/>
    <n v="-500000"/>
    <n v="2.5"/>
    <x v="17"/>
    <n v="1.645"/>
    <n v="6.4450000000000003"/>
    <x v="17"/>
    <x v="12"/>
    <n v="0.69"/>
    <x v="7"/>
    <x v="17"/>
    <x v="0"/>
    <n v="0.24773751980055622"/>
    <n v="-156784.13175860624"/>
    <n v="-123868.75990027811"/>
    <n v="127770.71849000065"/>
    <n v="-29013.413268605582"/>
    <s v="36861IF-TRANSCO/Z6"/>
    <n v="-50"/>
    <n v="0.31356826351721245"/>
    <n v="0.25721628353041581"/>
    <n v="-0.12860814176520791"/>
    <n v="3819.8052960208424"/>
    <n v="1270.6563025186326"/>
    <x v="0"/>
  </r>
  <r>
    <x v="3"/>
    <x v="0"/>
    <s v="NM6058.4"/>
    <x v="0"/>
    <x v="0"/>
    <x v="1"/>
    <x v="14"/>
    <n v="500000"/>
    <n v="0.75"/>
    <x v="14"/>
    <n v="1.075"/>
    <n v="5.2880000000000003"/>
    <x v="14"/>
    <x v="9"/>
    <n v="0.61199999999999999"/>
    <x v="7"/>
    <x v="14"/>
    <x v="1"/>
    <n v="0.34215489694425383"/>
    <n v="-169578.45328771364"/>
    <n v="171077.44847212691"/>
    <n v="213288.60476128574"/>
    <n v="43710.151473572099"/>
    <s v="36951IF-TRANSCO/Z6"/>
    <n v="50"/>
    <n v="-0.3391569065754273"/>
    <n v="0.27629990813735328"/>
    <n v="0.13814995406867664"/>
    <n v="-5352.3791789766619"/>
    <n v="-604.4349905677833"/>
    <x v="0"/>
  </r>
  <r>
    <x v="3"/>
    <x v="0"/>
    <s v="NM6058.4"/>
    <x v="0"/>
    <x v="0"/>
    <x v="1"/>
    <x v="15"/>
    <n v="500000"/>
    <n v="0.75"/>
    <x v="15"/>
    <n v="2.09"/>
    <n v="6.57"/>
    <x v="15"/>
    <x v="10"/>
    <n v="0.68100000000000005"/>
    <x v="7"/>
    <x v="15"/>
    <x v="1"/>
    <n v="0.14024849922231708"/>
    <n v="-72892.177141709864"/>
    <n v="70124.249611158535"/>
    <n v="103626.96293794637"/>
    <n v="30734.785796236509"/>
    <s v="36923IF-TRANSCO/Z6"/>
    <n v="50"/>
    <n v="-0.14578435428341974"/>
    <n v="0.13740490550901874"/>
    <n v="6.8702452754509369E-2"/>
    <n v="-4321.6527926626031"/>
    <n v="-591.53962210443808"/>
    <x v="0"/>
  </r>
  <r>
    <x v="3"/>
    <x v="0"/>
    <s v="NM6058.4"/>
    <x v="0"/>
    <x v="0"/>
    <x v="1"/>
    <x v="16"/>
    <n v="500000"/>
    <n v="0.75"/>
    <x v="16"/>
    <n v="2.17"/>
    <n v="6.9139999999999997"/>
    <x v="16"/>
    <x v="11"/>
    <n v="0.69599999999999995"/>
    <x v="7"/>
    <x v="16"/>
    <x v="1"/>
    <n v="0.11073968944962387"/>
    <n v="-63460.635822955526"/>
    <n v="55369.844724811934"/>
    <n v="88949.507589878078"/>
    <n v="25488.871766922552"/>
    <s v="36892IF-TRANSCO/Z6"/>
    <n v="50"/>
    <n v="-0.12692127164591105"/>
    <n v="0.13155869338846921"/>
    <n v="6.5779346694234603E-2"/>
    <n v="-3795.3519737443444"/>
    <n v="-656.47955136257565"/>
    <x v="0"/>
  </r>
  <r>
    <x v="3"/>
    <x v="0"/>
    <s v="NM6058.4"/>
    <x v="0"/>
    <x v="0"/>
    <x v="1"/>
    <x v="17"/>
    <n v="500000"/>
    <n v="0.75"/>
    <x v="17"/>
    <n v="1.645"/>
    <n v="6.4450000000000003"/>
    <x v="17"/>
    <x v="12"/>
    <n v="0.69"/>
    <x v="7"/>
    <x v="17"/>
    <x v="1"/>
    <n v="0.14791698517127294"/>
    <n v="-95712.691655961578"/>
    <n v="73958.492585636472"/>
    <n v="123504.23180600212"/>
    <n v="27791.540150040542"/>
    <s v="36861IF-TRANSCO/Z6"/>
    <n v="50"/>
    <n v="-0.19142538331192316"/>
    <n v="0.21394584130878833"/>
    <n v="0.10697292065439416"/>
    <n v="-4036.3176391680299"/>
    <n v="-909.48763628341476"/>
    <x v="0"/>
  </r>
  <r>
    <x v="3"/>
    <x v="0"/>
    <s v="NM6058.4"/>
    <x v="0"/>
    <x v="0"/>
    <x v="1"/>
    <x v="18"/>
    <n v="500000"/>
    <n v="0.75"/>
    <x v="18"/>
    <n v="0.77"/>
    <n v="5.5060000000000002"/>
    <x v="18"/>
    <x v="13"/>
    <n v="0.625"/>
    <x v="6"/>
    <x v="18"/>
    <x v="1"/>
    <n v="0.24961789258441158"/>
    <n v="-229166.05806720548"/>
    <n v="124808.94629220579"/>
    <n v="251741.3554087904"/>
    <n v="22575.297341584926"/>
    <s v="36831IF-TRANSCO/Z6"/>
    <n v="50"/>
    <n v="-0.45833211613441094"/>
    <n v="0.59550221444918572"/>
    <n v="0.29775110722459286"/>
    <n v="-5001.0132481914734"/>
    <n v="-1006.6667513771916"/>
    <x v="0"/>
  </r>
  <r>
    <x v="3"/>
    <x v="0"/>
    <s v="NM6058.5"/>
    <x v="0"/>
    <x v="0"/>
    <x v="0"/>
    <x v="0"/>
    <n v="500000"/>
    <n v="1.33"/>
    <x v="0"/>
    <n v="0.99"/>
    <n v="4.5949999999999998"/>
    <x v="0"/>
    <x v="0"/>
    <n v="0.40200000000000002"/>
    <x v="0"/>
    <x v="0"/>
    <x v="0"/>
    <n v="0.21874190080874295"/>
    <n v="188357.48680013767"/>
    <n v="109370.95040437147"/>
    <n v="-165569.52137192109"/>
    <n v="22787.965428216587"/>
    <s v="37316IF-TRANSCO/Z6"/>
    <n v="50"/>
    <n v="0.37671497360027534"/>
    <n v="0.3828291622539069"/>
    <n v="0.19141458112695342"/>
    <n v="-6779.8214509158224"/>
    <n v="-128.67158345748436"/>
    <x v="0"/>
  </r>
  <r>
    <x v="3"/>
    <x v="0"/>
    <s v="NM6058.5"/>
    <x v="0"/>
    <x v="0"/>
    <x v="0"/>
    <x v="1"/>
    <n v="500000"/>
    <n v="1.33"/>
    <x v="1"/>
    <n v="1.56"/>
    <n v="5.33"/>
    <x v="1"/>
    <x v="1"/>
    <n v="0.435"/>
    <x v="0"/>
    <x v="1"/>
    <x v="0"/>
    <n v="0.52347892321112888"/>
    <n v="289323.77441666101"/>
    <n v="261739.46160556443"/>
    <n v="-265788.56104029797"/>
    <n v="23535.213376363041"/>
    <s v="37288IF-TRANSCO/Z6"/>
    <n v="50"/>
    <n v="0.57864754883332203"/>
    <n v="0.29324155929244811"/>
    <n v="0.14662077964622405"/>
    <n v="-7558.9055022270468"/>
    <n v="-141.89020933198012"/>
    <x v="0"/>
  </r>
  <r>
    <x v="3"/>
    <x v="0"/>
    <s v="NM6058.5"/>
    <x v="0"/>
    <x v="0"/>
    <x v="0"/>
    <x v="2"/>
    <n v="500000"/>
    <n v="1.33"/>
    <x v="2"/>
    <n v="1.56"/>
    <n v="5.5"/>
    <x v="2"/>
    <x v="2"/>
    <n v="0.45400000000000001"/>
    <x v="0"/>
    <x v="2"/>
    <x v="0"/>
    <n v="0.53875715123823065"/>
    <n v="289890.8181410369"/>
    <n v="269378.57561911532"/>
    <n v="-265698.37861140433"/>
    <n v="24192.439529632567"/>
    <s v="37257IF-TRANSCO/Z6"/>
    <n v="50"/>
    <n v="0.5797816362820738"/>
    <n v="0.28774861310325039"/>
    <n v="0.1438743065516252"/>
    <n v="-8159.9763079275799"/>
    <n v="-161.19631893296889"/>
    <x v="0"/>
  </r>
  <r>
    <x v="3"/>
    <x v="0"/>
    <s v="NM6058.5"/>
    <x v="0"/>
    <x v="0"/>
    <x v="0"/>
    <x v="3"/>
    <n v="500000"/>
    <n v="1.33"/>
    <x v="3"/>
    <n v="1.31"/>
    <n v="5.2780000000000005"/>
    <x v="3"/>
    <x v="3"/>
    <n v="0.44800000000000001"/>
    <x v="0"/>
    <x v="3"/>
    <x v="0"/>
    <n v="0.38866063755708224"/>
    <n v="251659.35966945175"/>
    <n v="194330.31877854111"/>
    <n v="-227218.76596114764"/>
    <n v="24440.593708304106"/>
    <s v="37226IF-TRANSCO/Z6"/>
    <n v="50"/>
    <n v="0.50331871933890349"/>
    <n v="0.33850048795830334"/>
    <n v="0.1692502439791517"/>
    <n v="-8235.1252523507301"/>
    <n v="-178.54315104729096"/>
    <x v="0"/>
  </r>
  <r>
    <x v="3"/>
    <x v="0"/>
    <s v="NM6058.5"/>
    <x v="0"/>
    <x v="0"/>
    <x v="0"/>
    <x v="4"/>
    <n v="500000"/>
    <n v="1.33"/>
    <x v="4"/>
    <n v="0.89"/>
    <n v="4.7679999999999998"/>
    <x v="4"/>
    <x v="4"/>
    <n v="0.443"/>
    <x v="0"/>
    <x v="4"/>
    <x v="0"/>
    <n v="0.19084199258594634"/>
    <n v="172652.45502302685"/>
    <n v="95420.99629297317"/>
    <n v="-150412.6000409947"/>
    <n v="22239.85498203215"/>
    <s v="37196IF-TRANSCO/Z6"/>
    <n v="50"/>
    <n v="0.34530491004605368"/>
    <n v="0.38526116979794373"/>
    <n v="0.19263058489897186"/>
    <n v="-7119.3202448799857"/>
    <n v="-169.33873450572335"/>
    <x v="0"/>
  </r>
  <r>
    <x v="3"/>
    <x v="0"/>
    <s v="NM6058.6"/>
    <x v="0"/>
    <x v="0"/>
    <x v="1"/>
    <x v="0"/>
    <n v="500000"/>
    <n v="1.33"/>
    <x v="0"/>
    <n v="0.99"/>
    <n v="4.5949999999999998"/>
    <x v="0"/>
    <x v="0"/>
    <n v="0.40200000000000002"/>
    <x v="0"/>
    <x v="0"/>
    <x v="1"/>
    <n v="0.52507468376813948"/>
    <n v="-262131.89990485754"/>
    <n v="262537.34188406973"/>
    <n v="284919.86533307412"/>
    <n v="22787.965428216587"/>
    <s v="37316IF-TRANSCO/Z6"/>
    <n v="50"/>
    <n v="-0.52426379980971505"/>
    <n v="0.3828291622539069"/>
    <n v="0.19141458112695342"/>
    <n v="-6779.8214509158224"/>
    <n v="-99.507081182108266"/>
    <x v="0"/>
  </r>
  <r>
    <x v="3"/>
    <x v="0"/>
    <s v="NM6058.6"/>
    <x v="0"/>
    <x v="0"/>
    <x v="1"/>
    <x v="1"/>
    <n v="500000"/>
    <n v="1.33"/>
    <x v="1"/>
    <n v="1.56"/>
    <n v="5.33"/>
    <x v="1"/>
    <x v="1"/>
    <n v="0.435"/>
    <x v="0"/>
    <x v="1"/>
    <x v="1"/>
    <n v="0.31513309927577193"/>
    <n v="-163601.92979063597"/>
    <n v="157566.54963788597"/>
    <n v="187137.14316699904"/>
    <n v="23535.21337636307"/>
    <s v="37288IF-TRANSCO/Z6"/>
    <n v="50"/>
    <n v="-0.32720385958127196"/>
    <n v="0.29324155929244811"/>
    <n v="0.14662077964622405"/>
    <n v="-7558.9055022270468"/>
    <n v="-161.71265588364506"/>
    <x v="0"/>
  </r>
  <r>
    <x v="3"/>
    <x v="0"/>
    <s v="NM6058.6"/>
    <x v="0"/>
    <x v="0"/>
    <x v="1"/>
    <x v="2"/>
    <n v="500000"/>
    <n v="1.33"/>
    <x v="2"/>
    <n v="1.56"/>
    <n v="5.5"/>
    <x v="2"/>
    <x v="2"/>
    <n v="0.45400000000000001"/>
    <x v="0"/>
    <x v="2"/>
    <x v="1"/>
    <n v="0.32908553933386453"/>
    <n v="-165917.03382497674"/>
    <n v="164542.76966693226"/>
    <n v="190109.4733546093"/>
    <n v="24192.439529632567"/>
    <s v="37257IF-TRANSCO/Z6"/>
    <n v="50"/>
    <n v="-0.33183406764995349"/>
    <n v="0.28774861310325039"/>
    <n v="0.1438743065516252"/>
    <n v="-8159.9763079275799"/>
    <n v="-181.1302202106946"/>
    <x v="0"/>
  </r>
  <r>
    <x v="3"/>
    <x v="0"/>
    <s v="NM6058.6"/>
    <x v="0"/>
    <x v="0"/>
    <x v="1"/>
    <x v="3"/>
    <n v="500000"/>
    <n v="1.33"/>
    <x v="3"/>
    <n v="1.31"/>
    <n v="5.2780000000000005"/>
    <x v="3"/>
    <x v="3"/>
    <n v="0.44800000000000001"/>
    <x v="0"/>
    <x v="3"/>
    <x v="1"/>
    <n v="0.40699460918701003"/>
    <n v="-206689.93107874316"/>
    <n v="203497.30459350502"/>
    <n v="231130.52478704727"/>
    <n v="24440.593708304106"/>
    <s v="37226IF-TRANSCO/Z6"/>
    <n v="50"/>
    <n v="-0.41337986215748634"/>
    <n v="0.33850048795830334"/>
    <n v="0.1692502439791517"/>
    <n v="-8235.1252523507301"/>
    <n v="-176.80110080825003"/>
    <x v="0"/>
  </r>
  <r>
    <x v="3"/>
    <x v="0"/>
    <s v="NM6058.6"/>
    <x v="0"/>
    <x v="0"/>
    <x v="1"/>
    <x v="4"/>
    <n v="500000"/>
    <n v="1.33"/>
    <x v="4"/>
    <n v="0.89"/>
    <n v="4.7679999999999998"/>
    <x v="4"/>
    <x v="4"/>
    <n v="0.443"/>
    <x v="0"/>
    <x v="4"/>
    <x v="1"/>
    <n v="0.59650833325860475"/>
    <n v="-288332.0230140838"/>
    <n v="298254.16662930237"/>
    <n v="310571.87799611595"/>
    <n v="22239.85498203215"/>
    <s v="37196IF-TRANSCO/Z6"/>
    <n v="50"/>
    <n v="-0.57666404602816757"/>
    <n v="0.38526116979794373"/>
    <n v="0.19263058489897186"/>
    <n v="-7119.3202448799857"/>
    <n v="-130.8102076667048"/>
    <x v="0"/>
  </r>
  <r>
    <x v="3"/>
    <x v="0"/>
    <s v="NM6102.1"/>
    <x v="0"/>
    <x v="0"/>
    <x v="0"/>
    <x v="14"/>
    <n v="-500000"/>
    <n v="2.5"/>
    <x v="14"/>
    <n v="1.075"/>
    <n v="5.2880000000000003"/>
    <x v="14"/>
    <x v="9"/>
    <n v="0.61199999999999999"/>
    <x v="7"/>
    <x v="14"/>
    <x v="0"/>
    <n v="0.15769806655468968"/>
    <n v="-110373.87979826835"/>
    <n v="-78849.033277344846"/>
    <n v="81719.585107459425"/>
    <n v="-28654.294690808922"/>
    <s v="36951IF-TRANSCO/Z6"/>
    <n v="-50"/>
    <n v="0.2207477595965367"/>
    <n v="0.20839267824064617"/>
    <n v="-0.10419633912032308"/>
    <n v="3174.6759119387093"/>
    <n v="548.96236515526266"/>
    <x v="0"/>
  </r>
  <r>
    <x v="3"/>
    <x v="0"/>
    <s v="NM6102.1"/>
    <x v="0"/>
    <x v="0"/>
    <x v="0"/>
    <x v="15"/>
    <n v="-500000"/>
    <n v="2.5"/>
    <x v="15"/>
    <n v="2.09"/>
    <n v="6.57"/>
    <x v="15"/>
    <x v="10"/>
    <n v="0.68100000000000005"/>
    <x v="7"/>
    <x v="15"/>
    <x v="0"/>
    <n v="0.53709625631967106"/>
    <n v="-228911.76202633808"/>
    <n v="-268548.12815983553"/>
    <n v="187526.96090823814"/>
    <n v="-41384.801118099946"/>
    <s v="36923IF-TRANSCO/Z6"/>
    <n v="-50"/>
    <n v="0.45782352405267618"/>
    <n v="0.2154690533950194"/>
    <n v="-0.1077345266975097"/>
    <n v="5247.6703014721616"/>
    <n v="1076.0564779518072"/>
    <x v="0"/>
  </r>
  <r>
    <x v="3"/>
    <x v="0"/>
    <s v="NM6102.1"/>
    <x v="0"/>
    <x v="0"/>
    <x v="0"/>
    <x v="16"/>
    <n v="-500000"/>
    <n v="2.5"/>
    <x v="16"/>
    <n v="2.17"/>
    <n v="6.9139999999999997"/>
    <x v="16"/>
    <x v="11"/>
    <n v="0.69599999999999995"/>
    <x v="7"/>
    <x v="16"/>
    <x v="0"/>
    <n v="0.53186610397093281"/>
    <n v="-233581.31825500375"/>
    <n v="-265933.05198546639"/>
    <n v="195400.40285555329"/>
    <n v="-38180.91539945046"/>
    <s v="36892IF-TRANSCO/Z6"/>
    <n v="-50"/>
    <n v="0.4671626365100075"/>
    <n v="0.22870493244122136"/>
    <n v="-0.11435246622061068"/>
    <n v="5137.071028541277"/>
    <n v="1316.8991825250964"/>
    <x v="0"/>
  </r>
  <r>
    <x v="3"/>
    <x v="0"/>
    <s v="NM6102.1"/>
    <x v="0"/>
    <x v="0"/>
    <x v="0"/>
    <x v="17"/>
    <n v="-500000"/>
    <n v="2.5"/>
    <x v="17"/>
    <n v="1.645"/>
    <n v="6.4450000000000003"/>
    <x v="17"/>
    <x v="12"/>
    <n v="0.69"/>
    <x v="7"/>
    <x v="17"/>
    <x v="0"/>
    <n v="0.24773751980055622"/>
    <n v="-156784.13175860624"/>
    <n v="-123868.75990027811"/>
    <n v="127770.71849000065"/>
    <n v="-29013.413268605582"/>
    <s v="36861IF-TRANSCO/Z6"/>
    <n v="-50"/>
    <n v="0.31356826351721245"/>
    <n v="0.25721628353041581"/>
    <n v="-0.12860814176520791"/>
    <n v="3819.8052960208424"/>
    <n v="1270.6563025186326"/>
    <x v="0"/>
  </r>
  <r>
    <x v="3"/>
    <x v="0"/>
    <s v="NM6102.1"/>
    <x v="0"/>
    <x v="0"/>
    <x v="0"/>
    <x v="18"/>
    <n v="-500000"/>
    <n v="2.5"/>
    <x v="18"/>
    <n v="0.77"/>
    <n v="5.5060000000000002"/>
    <x v="18"/>
    <x v="13"/>
    <n v="0.625"/>
    <x v="6"/>
    <x v="18"/>
    <x v="0"/>
    <n v="6.4395475095290703E-3"/>
    <n v="-12366.283955028021"/>
    <n v="-3219.7737547645352"/>
    <n v="9750.2972838321693"/>
    <n v="-2615.9866711958512"/>
    <s v="36831IF-TRANSCO/Z6"/>
    <n v="-50"/>
    <n v="2.4732567910056041E-2"/>
    <n v="7.9901262536593548E-2"/>
    <n v="-3.9950631268296774E-2"/>
    <n v="547.95625641346408"/>
    <n v="166.15164710170987"/>
    <x v="0"/>
  </r>
  <r>
    <x v="11"/>
    <x v="0"/>
    <s v="NM6107"/>
    <x v="0"/>
    <x v="0"/>
    <x v="1"/>
    <x v="14"/>
    <n v="500000"/>
    <n v="0.7"/>
    <x v="14"/>
    <n v="1.075"/>
    <n v="5.2880000000000003"/>
    <x v="14"/>
    <x v="9"/>
    <n v="0.61199999999999999"/>
    <x v="7"/>
    <x v="14"/>
    <x v="1"/>
    <n v="0.32002698930856666"/>
    <n v="-162210.15477770101"/>
    <n v="160013.49465428333"/>
    <n v="205541.02548744975"/>
    <n v="43330.870709748735"/>
    <s v="36951IF-TRANSCO/Z6"/>
    <n v="50"/>
    <n v="-0.32442030955540202"/>
    <n v="0.27228887914761535"/>
    <n v="0.13614443957380767"/>
    <n v="-5326.5559404878086"/>
    <n v="-594.51029879346777"/>
    <x v="0"/>
  </r>
  <r>
    <x v="11"/>
    <x v="0"/>
    <s v="NM6107"/>
    <x v="0"/>
    <x v="0"/>
    <x v="1"/>
    <x v="15"/>
    <n v="500000"/>
    <n v="0.7"/>
    <x v="15"/>
    <n v="2.09"/>
    <n v="6.57"/>
    <x v="15"/>
    <x v="10"/>
    <n v="0.68100000000000005"/>
    <x v="7"/>
    <x v="15"/>
    <x v="1"/>
    <n v="0.12926788295251401"/>
    <n v="-68477.828872769824"/>
    <n v="64633.941476257009"/>
    <n v="98195.516324057709"/>
    <n v="29717.687451287886"/>
    <s v="36923IF-TRANSCO/Z6"/>
    <n v="50"/>
    <n v="-0.13695565774553964"/>
    <n v="0.13203325616296463"/>
    <n v="6.6016628081482315E-2"/>
    <n v="-4194.800010855196"/>
    <n v="-566.30760159684894"/>
    <x v="0"/>
  </r>
  <r>
    <x v="11"/>
    <x v="0"/>
    <s v="NM6107"/>
    <x v="0"/>
    <x v="0"/>
    <x v="1"/>
    <x v="16"/>
    <n v="500000"/>
    <n v="0.7"/>
    <x v="16"/>
    <n v="2.17"/>
    <n v="6.9139999999999997"/>
    <x v="16"/>
    <x v="11"/>
    <n v="0.69599999999999995"/>
    <x v="7"/>
    <x v="16"/>
    <x v="1"/>
    <n v="0.10142315274818847"/>
    <n v="-59239.423155806217"/>
    <n v="50711.576374094235"/>
    <n v="83725.000911167299"/>
    <n v="24485.577755361082"/>
    <s v="36892IF-TRANSCO/Z6"/>
    <n v="50"/>
    <n v="-0.11847884631161243"/>
    <n v="0.12563000274164032"/>
    <n v="6.2815001370820162E-2"/>
    <n v="-3659.5262266525442"/>
    <n v="-624.72173658328154"/>
    <x v="0"/>
  </r>
  <r>
    <x v="11"/>
    <x v="0"/>
    <s v="NM6107"/>
    <x v="0"/>
    <x v="0"/>
    <x v="1"/>
    <x v="17"/>
    <n v="500000"/>
    <n v="0.7"/>
    <x v="17"/>
    <n v="1.645"/>
    <n v="6.4450000000000003"/>
    <x v="17"/>
    <x v="12"/>
    <n v="0.69"/>
    <x v="7"/>
    <x v="17"/>
    <x v="1"/>
    <n v="0.13525065254316659"/>
    <n v="-89452.572900128318"/>
    <n v="67625.326271583297"/>
    <n v="116306.83551911697"/>
    <n v="26854.262618988651"/>
    <s v="36861IF-TRANSCO/Z6"/>
    <n v="50"/>
    <n v="-0.17890514580025663"/>
    <n v="0.20556456576343565"/>
    <n v="0.10278228288171781"/>
    <n v="-3914.3134168033284"/>
    <n v="-871.25105423539583"/>
    <x v="0"/>
  </r>
  <r>
    <x v="11"/>
    <x v="0"/>
    <s v="NM6107"/>
    <x v="0"/>
    <x v="0"/>
    <x v="1"/>
    <x v="18"/>
    <n v="500000"/>
    <n v="0.7"/>
    <x v="18"/>
    <n v="0.77"/>
    <n v="5.5060000000000002"/>
    <x v="18"/>
    <x v="13"/>
    <n v="0.625"/>
    <x v="6"/>
    <x v="18"/>
    <x v="1"/>
    <n v="0.22448736839763173"/>
    <n v="-214234.58843287986"/>
    <n v="112243.68419881586"/>
    <n v="236785.80556274991"/>
    <n v="22551.217129870056"/>
    <s v="36831IF-TRANSCO/Z6"/>
    <n v="50"/>
    <n v="-0.42846917686575969"/>
    <n v="0.5909777451394872"/>
    <n v="0.2954888725697436"/>
    <n v="-5006.504947294904"/>
    <n v="-996.45805076135343"/>
    <x v="0"/>
  </r>
  <r>
    <x v="8"/>
    <x v="0"/>
    <s v="NM6136"/>
    <x v="0"/>
    <x v="0"/>
    <x v="1"/>
    <x v="14"/>
    <n v="1500000"/>
    <n v="0.75"/>
    <x v="14"/>
    <n v="1.075"/>
    <n v="5.2880000000000003"/>
    <x v="14"/>
    <x v="9"/>
    <n v="0.61199999999999999"/>
    <x v="7"/>
    <x v="14"/>
    <x v="1"/>
    <n v="0.34215489694425383"/>
    <n v="-508735.35986314097"/>
    <n v="513232.34541638073"/>
    <n v="639865.81428385724"/>
    <n v="131130.45442071627"/>
    <s v="36951IF-TRANSCO/Z6"/>
    <n v="150"/>
    <n v="-0.3391569065754273"/>
    <n v="0.27629990813735328"/>
    <n v="0.41444986220602992"/>
    <n v="-16057.137536929986"/>
    <n v="-1813.30497170335"/>
    <x v="0"/>
  </r>
  <r>
    <x v="8"/>
    <x v="0"/>
    <s v="NM6136"/>
    <x v="0"/>
    <x v="0"/>
    <x v="1"/>
    <x v="15"/>
    <n v="1500000"/>
    <n v="0.75"/>
    <x v="15"/>
    <n v="2.09"/>
    <n v="6.57"/>
    <x v="15"/>
    <x v="10"/>
    <n v="0.68100000000000005"/>
    <x v="7"/>
    <x v="15"/>
    <x v="1"/>
    <n v="0.14024849922231708"/>
    <n v="-218676.53142512959"/>
    <n v="210372.74883347563"/>
    <n v="310880.88881383912"/>
    <n v="92204.357388709526"/>
    <s v="36923IF-TRANSCO/Z6"/>
    <n v="150"/>
    <n v="-0.14578435428341974"/>
    <n v="0.13740490550901874"/>
    <n v="0.20610735826352811"/>
    <n v="-12964.95837798781"/>
    <n v="-1774.6188663133141"/>
    <x v="0"/>
  </r>
  <r>
    <x v="8"/>
    <x v="0"/>
    <s v="NM6136"/>
    <x v="0"/>
    <x v="0"/>
    <x v="1"/>
    <x v="16"/>
    <n v="1500000"/>
    <n v="0.75"/>
    <x v="16"/>
    <n v="2.17"/>
    <n v="6.9139999999999997"/>
    <x v="16"/>
    <x v="11"/>
    <n v="0.69599999999999995"/>
    <x v="7"/>
    <x v="16"/>
    <x v="1"/>
    <n v="0.11073968944962387"/>
    <n v="-190381.90746886659"/>
    <n v="166109.5341744358"/>
    <n v="266848.5227696342"/>
    <n v="76466.615300767618"/>
    <s v="36892IF-TRANSCO/Z6"/>
    <n v="150"/>
    <n v="-0.12692127164591105"/>
    <n v="0.13155869338846921"/>
    <n v="0.19733804008270384"/>
    <n v="-11386.055921233034"/>
    <n v="-1969.4386540877269"/>
    <x v="0"/>
  </r>
  <r>
    <x v="8"/>
    <x v="0"/>
    <s v="NM6136"/>
    <x v="0"/>
    <x v="0"/>
    <x v="1"/>
    <x v="17"/>
    <n v="1500000"/>
    <n v="0.75"/>
    <x v="17"/>
    <n v="1.645"/>
    <n v="6.4450000000000003"/>
    <x v="17"/>
    <x v="12"/>
    <n v="0.69"/>
    <x v="7"/>
    <x v="17"/>
    <x v="1"/>
    <n v="0.14791698517127294"/>
    <n v="-287138.07496788475"/>
    <n v="221875.47775690941"/>
    <n v="370512.69541800633"/>
    <n v="83374.620450121583"/>
    <s v="36861IF-TRANSCO/Z6"/>
    <n v="150"/>
    <n v="-0.19142538331192316"/>
    <n v="0.21394584130878833"/>
    <n v="0.32091876196318248"/>
    <n v="-12108.95291750409"/>
    <n v="-2728.4629088502443"/>
    <x v="0"/>
  </r>
  <r>
    <x v="8"/>
    <x v="0"/>
    <s v="NM6136"/>
    <x v="0"/>
    <x v="0"/>
    <x v="1"/>
    <x v="18"/>
    <n v="1500000"/>
    <n v="0.75"/>
    <x v="18"/>
    <n v="0.77"/>
    <n v="5.5060000000000002"/>
    <x v="18"/>
    <x v="13"/>
    <n v="0.625"/>
    <x v="6"/>
    <x v="18"/>
    <x v="1"/>
    <n v="0.24961789258441158"/>
    <n v="-687498.17420161644"/>
    <n v="374426.83887661737"/>
    <n v="755224.06622637121"/>
    <n v="67725.892024754779"/>
    <s v="36831IF-TRANSCO/Z6"/>
    <n v="150"/>
    <n v="-0.45833211613441094"/>
    <n v="0.59550221444918572"/>
    <n v="0.89325332167377847"/>
    <n v="-15003.03974457442"/>
    <n v="-3020.0002541315748"/>
    <x v="0"/>
  </r>
  <r>
    <x v="3"/>
    <x v="0"/>
    <s v="NM7673.1"/>
    <x v="0"/>
    <x v="0"/>
    <x v="1"/>
    <x v="12"/>
    <n v="-500000"/>
    <n v="0.65"/>
    <x v="12"/>
    <n v="0.41499999999999998"/>
    <n v="5.1070000000000002"/>
    <x v="12"/>
    <x v="8"/>
    <n v="0.56399999999999995"/>
    <x v="2"/>
    <x v="12"/>
    <x v="1"/>
    <n v="0.23541192224364493"/>
    <n v="478720.22898961388"/>
    <n v="-117705.96112182246"/>
    <n v="-479293.2416503033"/>
    <n v="-573.01266068941914"/>
    <s v="36800IF-TRANSCO/Z6"/>
    <n v="-50"/>
    <n v="-0.95744045797922772"/>
    <n v="0.65720428471594317"/>
    <n v="-0.32860214235797158"/>
    <n v="2113.2272532047664"/>
    <n v="57.869660961091647"/>
    <x v="0"/>
  </r>
  <r>
    <x v="3"/>
    <x v="0"/>
    <s v="NM7673.2"/>
    <x v="0"/>
    <x v="0"/>
    <x v="1"/>
    <x v="12"/>
    <n v="500000"/>
    <n v="0.35"/>
    <x v="12"/>
    <n v="0.41499999999999998"/>
    <n v="5.1070000000000002"/>
    <x v="12"/>
    <x v="8"/>
    <n v="0.56399999999999995"/>
    <x v="2"/>
    <x v="12"/>
    <x v="1"/>
    <n v="1.8301165319921098E-2"/>
    <n v="-134032.22401528381"/>
    <n v="9150.582659960548"/>
    <n v="136878.78298052415"/>
    <n v="2846.5589652403432"/>
    <s v="36800IF-TRANSCO/Z6"/>
    <n v="50"/>
    <n v="-0.26806444803056761"/>
    <n v="2.9952004948704012"/>
    <n v="1.4976002474352006"/>
    <n v="-9984.2530620080888"/>
    <n v="-290.16525062536567"/>
    <x v="0"/>
  </r>
  <r>
    <x v="3"/>
    <x v="0"/>
    <s v="NM7673.3"/>
    <x v="0"/>
    <x v="0"/>
    <x v="1"/>
    <x v="14"/>
    <n v="1000000"/>
    <n v="1"/>
    <x v="14"/>
    <n v="1.075"/>
    <n v="5.2880000000000003"/>
    <x v="14"/>
    <x v="9"/>
    <n v="0.61199999999999999"/>
    <x v="7"/>
    <x v="14"/>
    <x v="1"/>
    <n v="0.46550991672981534"/>
    <n v="-412515.00266951171"/>
    <n v="465509.91672981536"/>
    <n v="501451.82364404586"/>
    <n v="88936.820974534145"/>
    <s v="36951IF-TRANSCO/Z6"/>
    <n v="100"/>
    <n v="-0.41251500266951169"/>
    <n v="0.28893497698052001"/>
    <n v="0.28893497698052001"/>
    <n v="-10691.863368998755"/>
    <n v="-1276.1353593061858"/>
    <x v="0"/>
  </r>
  <r>
    <x v="3"/>
    <x v="0"/>
    <s v="NM7733"/>
    <x v="0"/>
    <x v="0"/>
    <x v="1"/>
    <x v="14"/>
    <n v="1000000"/>
    <n v="1.1499999999999999"/>
    <x v="14"/>
    <n v="1.075"/>
    <n v="5.2880000000000003"/>
    <x v="14"/>
    <x v="9"/>
    <n v="0.61199999999999999"/>
    <x v="7"/>
    <x v="14"/>
    <x v="1"/>
    <n v="0.54911441709740649"/>
    <n v="-455322.61943638331"/>
    <n v="549114.41709740646"/>
    <n v="543556.50554516283"/>
    <n v="88233.886108779523"/>
    <s v="36951IF-TRANSCO/Z6"/>
    <n v="100"/>
    <n v="-0.4553226194363833"/>
    <n v="0.29097695529176387"/>
    <n v="0.29097695529176387"/>
    <n v="-10499.068418653251"/>
    <n v="-1290.8821040002629"/>
    <x v="0"/>
  </r>
  <r>
    <x v="3"/>
    <x v="0"/>
    <s v="NN0150.1"/>
    <x v="0"/>
    <x v="0"/>
    <x v="0"/>
    <x v="12"/>
    <n v="-1000000"/>
    <n v="0.7"/>
    <x v="12"/>
    <n v="0.41499999999999998"/>
    <n v="5.1070000000000002"/>
    <x v="12"/>
    <x v="8"/>
    <n v="0.56399999999999995"/>
    <x v="2"/>
    <x v="12"/>
    <x v="0"/>
    <n v="7.5892388018139435E-4"/>
    <n v="-17245.975497791504"/>
    <n v="-758.92388018139434"/>
    <n v="16652.444472233361"/>
    <n v="-593.53102555814257"/>
    <s v="36800IF-TRANSCO/Z6"/>
    <n v="-100"/>
    <n v="1.7245975497791503E-2"/>
    <n v="0.34370698532312854"/>
    <n v="-0.34370698532312849"/>
    <n v="2201.4882957530849"/>
    <n v="85.671657878634591"/>
    <x v="0"/>
  </r>
  <r>
    <x v="3"/>
    <x v="0"/>
    <s v="NN0150.2"/>
    <x v="0"/>
    <x v="0"/>
    <x v="0"/>
    <x v="18"/>
    <n v="-1000000"/>
    <n v="1"/>
    <x v="18"/>
    <n v="0.77"/>
    <n v="5.5060000000000002"/>
    <x v="18"/>
    <x v="13"/>
    <n v="0.625"/>
    <x v="6"/>
    <x v="18"/>
    <x v="0"/>
    <n v="0.17043556386117104"/>
    <n v="-387283.67484406265"/>
    <n v="-170435.56386117105"/>
    <n v="345469.76550031727"/>
    <n v="-41813.909343745385"/>
    <s v="36831IF-TRANSCO/Z6"/>
    <n v="-100"/>
    <n v="0.38728367484406268"/>
    <n v="0.56841829606161087"/>
    <n v="-0.56841829606161087"/>
    <n v="9167.3443716343882"/>
    <n v="1987.6434891803974"/>
    <x v="0"/>
  </r>
  <r>
    <x v="3"/>
    <x v="0"/>
    <s v="NN2121"/>
    <x v="6"/>
    <x v="0"/>
    <x v="0"/>
    <x v="14"/>
    <n v="-1500000"/>
    <n v="0.3"/>
    <x v="14"/>
    <n v="0.1225"/>
    <n v="4.3354999999999997"/>
    <x v="14"/>
    <x v="9"/>
    <n v="0.53300000000000003"/>
    <x v="10"/>
    <x v="14"/>
    <x v="0"/>
    <n v="1.0669198211330951E-2"/>
    <n v="-212884.63102805181"/>
    <n v="-16003.797316996426"/>
    <n v="204954.99558819886"/>
    <n v="-7929.6354398529511"/>
    <s v="36951NGI/CHI. GATE"/>
    <n v="-150"/>
    <n v="0.14192308735203454"/>
    <n v="1.4723290174518802"/>
    <n v="-2.2084935261778202"/>
    <n v="55984.522268224617"/>
    <n v="136.61122126057953"/>
    <x v="0"/>
  </r>
  <r>
    <x v="3"/>
    <x v="0"/>
    <s v="NN2121"/>
    <x v="6"/>
    <x v="0"/>
    <x v="0"/>
    <x v="15"/>
    <n v="-1500000"/>
    <n v="0.3"/>
    <x v="15"/>
    <n v="0.13750000000000001"/>
    <n v="4.6174999999999997"/>
    <x v="15"/>
    <x v="10"/>
    <n v="0.59299999999999997"/>
    <x v="10"/>
    <x v="15"/>
    <x v="0"/>
    <n v="1.5615571205104772E-2"/>
    <n v="-271654.66480185406"/>
    <n v="-23423.356807657157"/>
    <n v="262034.52756405241"/>
    <n v="-9620.1372378016531"/>
    <s v="36923NGI/CHI. GATE"/>
    <n v="-150"/>
    <n v="0.18110310986790271"/>
    <n v="1.5975357111508006"/>
    <n v="-2.3963035667262007"/>
    <n v="72360.160026264857"/>
    <n v="204.70649337192566"/>
    <x v="0"/>
  </r>
  <r>
    <x v="3"/>
    <x v="0"/>
    <s v="NN2121"/>
    <x v="6"/>
    <x v="0"/>
    <x v="0"/>
    <x v="16"/>
    <n v="-1500000"/>
    <n v="0.3"/>
    <x v="16"/>
    <n v="0.1275"/>
    <n v="4.8715000000000002"/>
    <x v="16"/>
    <x v="11"/>
    <n v="0.60499999999999998"/>
    <x v="10"/>
    <x v="16"/>
    <x v="0"/>
    <n v="1.1479160908768937E-2"/>
    <n v="-222789.52363145689"/>
    <n v="-17218.741363153407"/>
    <n v="215021.85401671109"/>
    <n v="-7767.6696147457988"/>
    <s v="36892NGI/CHI. GATE"/>
    <n v="-150"/>
    <n v="0.14852634908763793"/>
    <n v="1.5015930102604556"/>
    <n v="-2.2523895153906834"/>
    <n v="62210.44790459342"/>
    <n v="216.09020152864744"/>
    <x v="0"/>
  </r>
  <r>
    <x v="3"/>
    <x v="0"/>
    <s v="NN2121"/>
    <x v="6"/>
    <x v="0"/>
    <x v="0"/>
    <x v="17"/>
    <n v="-1500000"/>
    <n v="0.3"/>
    <x v="17"/>
    <n v="0.1"/>
    <n v="4.9000000000000004"/>
    <x v="17"/>
    <x v="12"/>
    <n v="0.6"/>
    <x v="10"/>
    <x v="17"/>
    <x v="0"/>
    <n v="4.6937633317082348E-3"/>
    <n v="-119679.48978624414"/>
    <n v="-7040.6449975623518"/>
    <n v="115330.04492251517"/>
    <n v="-4349.4448637289752"/>
    <s v="36861NGI/CHI. GATE"/>
    <n v="-150"/>
    <n v="7.9786326524162759E-2"/>
    <n v="1.116801276220919"/>
    <n v="-1.6752019143313785"/>
    <n v="35142.639437965183"/>
    <n v="157.89042603112074"/>
    <x v="0"/>
  </r>
  <r>
    <x v="3"/>
    <x v="0"/>
    <s v="NN2121"/>
    <x v="6"/>
    <x v="0"/>
    <x v="0"/>
    <x v="18"/>
    <n v="-1500000"/>
    <n v="0.3"/>
    <x v="18"/>
    <n v="8.7499999999999994E-2"/>
    <n v="4.8235000000000001"/>
    <x v="18"/>
    <x v="13"/>
    <n v="0.59499999999999997"/>
    <x v="10"/>
    <x v="18"/>
    <x v="0"/>
    <n v="1.2660581525720937E-3"/>
    <n v="-46560.210216709107"/>
    <n v="-1899.0872288581404"/>
    <n v="44884.887299756832"/>
    <n v="-1675.3229169522747"/>
    <s v="36831NGI/CHI. GATE"/>
    <n v="-150"/>
    <n v="3.1040140144472737E-2"/>
    <n v="0.6568965181013301"/>
    <n v="-0.9853447771519952"/>
    <n v="13340.512705085486"/>
    <n v="88.682597093495858"/>
    <x v="0"/>
  </r>
  <r>
    <x v="8"/>
    <x v="0"/>
    <s v="NN2173"/>
    <x v="0"/>
    <x v="0"/>
    <x v="1"/>
    <x v="12"/>
    <n v="465000"/>
    <n v="0.55000000000000004"/>
    <x v="12"/>
    <n v="0.41499999999999998"/>
    <n v="5.1070000000000002"/>
    <x v="12"/>
    <x v="8"/>
    <n v="0.56399999999999995"/>
    <x v="2"/>
    <x v="12"/>
    <x v="1"/>
    <n v="0.1425006604027369"/>
    <n v="-397411.26550950436"/>
    <n v="66262.807087272653"/>
    <n v="398961.55744314834"/>
    <n v="1550.2919336439809"/>
    <s v="36800IF-TRANSCO/Z6"/>
    <n v="46.5"/>
    <n v="-0.85464788281613846"/>
    <n v="1.8691752265714734"/>
    <n v="0.86916648035573518"/>
    <n v="-5642.1396873399135"/>
    <n v="-185.98318639444958"/>
    <x v="0"/>
  </r>
  <r>
    <x v="3"/>
    <x v="0"/>
    <s v="NN3942"/>
    <x v="0"/>
    <x v="0"/>
    <x v="0"/>
    <x v="18"/>
    <n v="-500000"/>
    <n v="1"/>
    <x v="18"/>
    <n v="0.77"/>
    <n v="5.5060000000000002"/>
    <x v="18"/>
    <x v="13"/>
    <n v="0.625"/>
    <x v="6"/>
    <x v="18"/>
    <x v="0"/>
    <n v="0.17043556386117104"/>
    <n v="-193641.83742203133"/>
    <n v="-85217.781930585523"/>
    <n v="172734.88275015863"/>
    <n v="-20906.954671872692"/>
    <s v="36831IF-TRANSCO/Z6"/>
    <n v="-50"/>
    <n v="0.38728367484406268"/>
    <n v="0.56841829606161087"/>
    <n v="-0.28420914803080544"/>
    <n v="4583.6721858171941"/>
    <n v="993.8217445901987"/>
    <x v="0"/>
  </r>
  <r>
    <x v="8"/>
    <x v="0"/>
    <s v="NN3958"/>
    <x v="0"/>
    <x v="0"/>
    <x v="1"/>
    <x v="15"/>
    <n v="840000"/>
    <n v="0.75"/>
    <x v="15"/>
    <n v="2.09"/>
    <n v="6.57"/>
    <x v="15"/>
    <x v="10"/>
    <n v="0.68100000000000005"/>
    <x v="7"/>
    <x v="15"/>
    <x v="1"/>
    <n v="0.14024849922231708"/>
    <n v="-122458.85759807257"/>
    <n v="117808.73934674634"/>
    <n v="174093.29773574992"/>
    <n v="51634.440137677346"/>
    <s v="36923IF-TRANSCO/Z6"/>
    <n v="84"/>
    <n v="-0.14578435428341974"/>
    <n v="0.13740490550901874"/>
    <n v="0.11542012062757574"/>
    <n v="-7260.3766916731729"/>
    <n v="-993.78656513545593"/>
    <x v="0"/>
  </r>
  <r>
    <x v="8"/>
    <x v="0"/>
    <s v="NN3958"/>
    <x v="0"/>
    <x v="0"/>
    <x v="1"/>
    <x v="16"/>
    <n v="930000"/>
    <n v="0.75"/>
    <x v="16"/>
    <n v="2.17"/>
    <n v="6.9139999999999997"/>
    <x v="16"/>
    <x v="11"/>
    <n v="0.69599999999999995"/>
    <x v="7"/>
    <x v="16"/>
    <x v="1"/>
    <n v="0.11073968944962387"/>
    <n v="-118036.78263069727"/>
    <n v="102987.9111881502"/>
    <n v="165446.08411717322"/>
    <n v="47409.301486475946"/>
    <s v="36892IF-TRANSCO/Z6"/>
    <n v="93"/>
    <n v="-0.12692127164591105"/>
    <n v="0.13155869338846921"/>
    <n v="0.12234958485127637"/>
    <n v="-7059.3546711644794"/>
    <n v="-1221.0519655343908"/>
    <x v="0"/>
  </r>
  <r>
    <x v="8"/>
    <x v="0"/>
    <s v="NN3958"/>
    <x v="0"/>
    <x v="0"/>
    <x v="1"/>
    <x v="17"/>
    <n v="930000"/>
    <n v="0.75"/>
    <x v="17"/>
    <n v="1.645"/>
    <n v="6.4450000000000003"/>
    <x v="17"/>
    <x v="12"/>
    <n v="0.69"/>
    <x v="7"/>
    <x v="17"/>
    <x v="1"/>
    <n v="0.14791698517127294"/>
    <n v="-178025.60648008855"/>
    <n v="137562.79620928384"/>
    <n v="229717.87115916394"/>
    <n v="51692.264679075393"/>
    <s v="36861IF-TRANSCO/Z6"/>
    <n v="93"/>
    <n v="-0.19142538331192319"/>
    <n v="0.21394584130878833"/>
    <n v="0.19896963241717316"/>
    <n v="-7507.5508088525357"/>
    <n v="-1691.6470034871516"/>
    <x v="0"/>
  </r>
  <r>
    <x v="3"/>
    <x v="0"/>
    <s v="NN9640.1"/>
    <x v="0"/>
    <x v="0"/>
    <x v="0"/>
    <x v="14"/>
    <n v="-500000"/>
    <n v="1.6"/>
    <x v="14"/>
    <n v="1.075"/>
    <n v="5.2880000000000003"/>
    <x v="14"/>
    <x v="9"/>
    <n v="0.61199999999999999"/>
    <x v="7"/>
    <x v="14"/>
    <x v="0"/>
    <n v="0.32998723723310153"/>
    <n v="-196612.64417971144"/>
    <n v="-164993.61861655075"/>
    <n v="156126.34227691029"/>
    <n v="-40486.301902801148"/>
    <s v="36951IF-TRANSCO/Z6"/>
    <n v="-50"/>
    <n v="0.39322528835942289"/>
    <n v="0.27765939453101945"/>
    <n v="-0.13882969726550973"/>
    <n v="4686.476096503"/>
    <n v="664.55364953140838"/>
    <x v="0"/>
  </r>
  <r>
    <x v="3"/>
    <x v="0"/>
    <s v="NN9640.1"/>
    <x v="0"/>
    <x v="0"/>
    <x v="0"/>
    <x v="15"/>
    <n v="-500000"/>
    <n v="1.6"/>
    <x v="15"/>
    <n v="2.09"/>
    <n v="6.57"/>
    <x v="15"/>
    <x v="10"/>
    <n v="0.68100000000000005"/>
    <x v="7"/>
    <x v="15"/>
    <x v="0"/>
    <n v="0.90615050041777145"/>
    <n v="-324152.22455336322"/>
    <n v="-453075.2502088857"/>
    <n v="282167.90552800504"/>
    <n v="-41984.319025358185"/>
    <s v="36923IF-TRANSCO/Z6"/>
    <n v="-50"/>
    <n v="0.64830444910672647"/>
    <n v="0.20496518695269236"/>
    <n v="-0.1024825934763462"/>
    <n v="5573.194539157761"/>
    <n v="900.87846129323293"/>
    <x v="0"/>
  </r>
  <r>
    <x v="3"/>
    <x v="0"/>
    <s v="NN9640.1"/>
    <x v="0"/>
    <x v="0"/>
    <x v="0"/>
    <x v="16"/>
    <n v="-500000"/>
    <n v="1.6"/>
    <x v="16"/>
    <n v="2.17"/>
    <n v="6.9139999999999997"/>
    <x v="16"/>
    <x v="11"/>
    <n v="0.69599999999999995"/>
    <x v="7"/>
    <x v="16"/>
    <x v="0"/>
    <n v="0.92810205642557009"/>
    <n v="-335703.32421784394"/>
    <n v="-464051.02821278502"/>
    <n v="298030.79459067353"/>
    <n v="-37672.529627170414"/>
    <s v="36892IF-TRANSCO/Z6"/>
    <n v="-50"/>
    <n v="0.67140664843568787"/>
    <n v="0.21177224476874285"/>
    <n v="-0.10588612238437144"/>
    <n v="5303.5870046862601"/>
    <n v="1079.8462285872267"/>
    <x v="0"/>
  </r>
  <r>
    <x v="3"/>
    <x v="0"/>
    <s v="NN9640.1"/>
    <x v="0"/>
    <x v="0"/>
    <x v="0"/>
    <x v="17"/>
    <n v="-500000"/>
    <n v="1.6"/>
    <x v="17"/>
    <n v="1.645"/>
    <n v="6.4450000000000003"/>
    <x v="17"/>
    <x v="12"/>
    <n v="0.69"/>
    <x v="7"/>
    <x v="17"/>
    <x v="0"/>
    <n v="0.53534295089425321"/>
    <n v="-273109.14700748905"/>
    <n v="-267671.47544712661"/>
    <n v="237707.94558377037"/>
    <n v="-35401.201423718681"/>
    <s v="36861IF-TRANSCO/Z6"/>
    <n v="-50"/>
    <n v="0.54621829401497812"/>
    <n v="0.29547609311244366"/>
    <n v="-0.14773804655622183"/>
    <n v="4869.6817273184579"/>
    <n v="1326.6870943607987"/>
    <x v="0"/>
  </r>
  <r>
    <x v="3"/>
    <x v="0"/>
    <s v="NN9640.1"/>
    <x v="0"/>
    <x v="0"/>
    <x v="0"/>
    <x v="18"/>
    <n v="-500000"/>
    <n v="1.6"/>
    <x v="18"/>
    <n v="0.77"/>
    <n v="5.5060000000000002"/>
    <x v="18"/>
    <x v="13"/>
    <n v="0.625"/>
    <x v="6"/>
    <x v="18"/>
    <x v="0"/>
    <n v="4.9554954593755501E-2"/>
    <n v="-73469.401779711014"/>
    <n v="-24777.477296877751"/>
    <n v="61965.457505597406"/>
    <n v="-11503.944274113608"/>
    <s v="36831IF-TRANSCO/Z6"/>
    <n v="-50"/>
    <n v="0.14693880355942202"/>
    <n v="0.33123000363895488"/>
    <n v="-0.16561500181947747"/>
    <n v="2468.9714526083599"/>
    <n v="626.66060435848101"/>
    <x v="0"/>
  </r>
  <r>
    <x v="3"/>
    <x v="0"/>
    <s v="NN9640.2"/>
    <x v="0"/>
    <x v="0"/>
    <x v="1"/>
    <x v="14"/>
    <n v="-500000"/>
    <n v="1.6"/>
    <x v="14"/>
    <n v="1.075"/>
    <n v="5.2880000000000003"/>
    <x v="14"/>
    <x v="9"/>
    <n v="0.61199999999999999"/>
    <x v="7"/>
    <x v="14"/>
    <x v="1"/>
    <n v="0.83717822614252846"/>
    <n v="286426.39287688554"/>
    <n v="-418589.11307126423"/>
    <n v="-326912.69477968669"/>
    <n v="-40486.301902801148"/>
    <s v="36951IF-TRANSCO/Z6"/>
    <n v="-50"/>
    <n v="-0.57285278575377108"/>
    <n v="0.27765939453101945"/>
    <n v="-0.13882969726550973"/>
    <n v="4686.476096503"/>
    <n v="616.69718177557047"/>
    <x v="0"/>
  </r>
  <r>
    <x v="3"/>
    <x v="0"/>
    <s v="NN9640.2"/>
    <x v="0"/>
    <x v="0"/>
    <x v="1"/>
    <x v="15"/>
    <n v="-500000"/>
    <n v="1.6"/>
    <x v="15"/>
    <n v="2.09"/>
    <n v="6.57"/>
    <x v="15"/>
    <x v="10"/>
    <n v="0.68100000000000005"/>
    <x v="7"/>
    <x v="15"/>
    <x v="1"/>
    <n v="0.43021764681193009"/>
    <n v="161493.544432189"/>
    <n v="-215108.82340596506"/>
    <n v="-203477.86345754721"/>
    <n v="-41984.319025358214"/>
    <s v="36923IF-TRANSCO/Z6"/>
    <n v="-50"/>
    <n v="-0.32298708886437799"/>
    <n v="0.20496518695269236"/>
    <n v="-0.1024825934763462"/>
    <n v="5573.194539157761"/>
    <n v="945.62929415304995"/>
    <x v="0"/>
  </r>
  <r>
    <x v="3"/>
    <x v="0"/>
    <s v="NN9640.2"/>
    <x v="0"/>
    <x v="0"/>
    <x v="1"/>
    <x v="16"/>
    <n v="-500000"/>
    <n v="1.6"/>
    <x v="16"/>
    <n v="2.17"/>
    <n v="6.9139999999999997"/>
    <x v="16"/>
    <x v="11"/>
    <n v="0.69599999999999995"/>
    <x v="7"/>
    <x v="16"/>
    <x v="1"/>
    <n v="0.37097242159554278"/>
    <n v="153006.88177340766"/>
    <n v="-185486.21079777137"/>
    <n v="-190679.41140057804"/>
    <n v="-37672.529627170385"/>
    <s v="36892IF-TRANSCO/Z6"/>
    <n v="-50"/>
    <n v="-0.30601376354681531"/>
    <n v="0.21177224476874285"/>
    <n v="-0.10588612238437144"/>
    <n v="5303.5870046862601"/>
    <n v="1132.0293035315058"/>
    <x v="0"/>
  </r>
  <r>
    <x v="3"/>
    <x v="0"/>
    <s v="NN9640.2"/>
    <x v="0"/>
    <x v="0"/>
    <x v="1"/>
    <x v="17"/>
    <n v="-500000"/>
    <n v="1.6"/>
    <x v="17"/>
    <n v="1.645"/>
    <n v="6.4450000000000003"/>
    <x v="17"/>
    <x v="12"/>
    <n v="0.69"/>
    <x v="7"/>
    <x v="17"/>
    <x v="1"/>
    <n v="0.49111891837193733"/>
    <n v="218268.99212934793"/>
    <n v="-245559.45918596868"/>
    <n v="-253670.19355306664"/>
    <n v="-35401.20142371871"/>
    <s v="36861IF-TRANSCO/Z6"/>
    <n v="-50"/>
    <n v="-0.43653798425869583"/>
    <n v="0.29547609311244366"/>
    <n v="-0.14773804655622183"/>
    <n v="4869.6817273184579"/>
    <n v="1330.825617368982"/>
    <x v="0"/>
  </r>
  <r>
    <x v="3"/>
    <x v="0"/>
    <s v="NN9640.2"/>
    <x v="0"/>
    <x v="0"/>
    <x v="1"/>
    <x v="18"/>
    <n v="-500000"/>
    <n v="1.6"/>
    <x v="18"/>
    <n v="0.77"/>
    <n v="5.5060000000000002"/>
    <x v="18"/>
    <x v="13"/>
    <n v="0.625"/>
    <x v="6"/>
    <x v="18"/>
    <x v="1"/>
    <n v="0.86986168648056772"/>
    <n v="420691.28007981461"/>
    <n v="-434930.84324028384"/>
    <n v="-432195.22435392824"/>
    <n v="-11503.94427411363"/>
    <s v="36831IF-TRANSCO/Z6"/>
    <n v="-50"/>
    <n v="-0.8413825601596292"/>
    <n v="0.33123000363895488"/>
    <n v="-0.16561500181947747"/>
    <n v="2468.9714526083599"/>
    <n v="550.1285035611603"/>
    <x v="0"/>
  </r>
  <r>
    <x v="21"/>
    <x v="0"/>
    <s v="NO1679.1"/>
    <x v="0"/>
    <x v="0"/>
    <x v="1"/>
    <x v="12"/>
    <n v="-2170000"/>
    <n v="0.55000000000000004"/>
    <x v="12"/>
    <n v="0.41499999999999998"/>
    <n v="5.1070000000000002"/>
    <x v="12"/>
    <x v="8"/>
    <n v="0.56399999999999995"/>
    <x v="2"/>
    <x v="12"/>
    <x v="1"/>
    <n v="0.1425006604027369"/>
    <n v="1854585.9057110201"/>
    <n v="-309226.43307393906"/>
    <n v="-1861820.6014013588"/>
    <n v="-7234.6956903387327"/>
    <s v="36800IF-TRANSCO/Z6"/>
    <n v="-217"/>
    <n v="-0.85464788281613835"/>
    <n v="1.8691752265714734"/>
    <n v="-4.0561102416600967"/>
    <n v="26329.985207586265"/>
    <n v="867.92153650743137"/>
    <x v="0"/>
  </r>
  <r>
    <x v="21"/>
    <x v="0"/>
    <s v="NO1679.2"/>
    <x v="0"/>
    <x v="0"/>
    <x v="1"/>
    <x v="12"/>
    <n v="-930000"/>
    <n v="0.55000000000000004"/>
    <x v="12"/>
    <n v="0.41499999999999998"/>
    <n v="5.1070000000000002"/>
    <x v="12"/>
    <x v="8"/>
    <n v="0.56399999999999995"/>
    <x v="2"/>
    <x v="12"/>
    <x v="1"/>
    <n v="0.1425006604027369"/>
    <n v="794822.53101900872"/>
    <n v="-132525.61417454531"/>
    <n v="-797923.11488629668"/>
    <n v="-3100.5838672879618"/>
    <s v="36800IF-TRANSCO/Z6"/>
    <n v="-93"/>
    <n v="-0.85464788281613846"/>
    <n v="1.8691752265714734"/>
    <n v="-1.7383329607114704"/>
    <n v="11284.279374679827"/>
    <n v="371.96637278889915"/>
    <x v="0"/>
  </r>
  <r>
    <x v="8"/>
    <x v="0"/>
    <s v="NO1684"/>
    <x v="7"/>
    <x v="0"/>
    <x v="1"/>
    <x v="14"/>
    <n v="-620000"/>
    <n v="-0.3"/>
    <x v="14"/>
    <n v="-0.13750000000000001"/>
    <n v="4.0754999999999999"/>
    <x v="14"/>
    <x v="9"/>
    <n v="0.53300000000000003"/>
    <x v="4"/>
    <x v="14"/>
    <x v="1"/>
    <n v="1.9295564577080281E-2"/>
    <n v="117391.87332600362"/>
    <n v="-11963.250037789774"/>
    <n v="-122820.44494005367"/>
    <n v="-5428.5716140500444"/>
    <s v="36951IF-PAN/TX/OK"/>
    <n v="-62"/>
    <n v="-0.18934173117097358"/>
    <n v="1.4554107830427823"/>
    <n v="-0.90235468548652487"/>
    <n v="22602.994553640805"/>
    <n v="82.293147061932501"/>
    <x v="0"/>
  </r>
  <r>
    <x v="8"/>
    <x v="0"/>
    <s v="NO1684"/>
    <x v="7"/>
    <x v="0"/>
    <x v="1"/>
    <x v="15"/>
    <n v="-560000"/>
    <n v="-0.3"/>
    <x v="15"/>
    <n v="-0.14499999999999999"/>
    <n v="4.335"/>
    <x v="15"/>
    <x v="10"/>
    <n v="0.59299999999999997"/>
    <x v="4"/>
    <x v="15"/>
    <x v="1"/>
    <n v="2.4720417917777023E-2"/>
    <n v="121342.26136956114"/>
    <n v="-13843.434033955133"/>
    <n v="-126842.74951681816"/>
    <n v="-5500.4881472570269"/>
    <s v="36923IF-PAN/TX/OK"/>
    <n v="-56"/>
    <n v="-0.21668260958850202"/>
    <n v="1.466280264025533"/>
    <n v="-0.82111694785429845"/>
    <n v="24339.771304381589"/>
    <n v="102.75675780033971"/>
    <x v="0"/>
  </r>
  <r>
    <x v="8"/>
    <x v="0"/>
    <s v="NO1684"/>
    <x v="7"/>
    <x v="0"/>
    <x v="1"/>
    <x v="16"/>
    <n v="-620000"/>
    <n v="-0.3"/>
    <x v="16"/>
    <n v="-0.16"/>
    <n v="4.5839999999999996"/>
    <x v="16"/>
    <x v="11"/>
    <n v="0.60499999999999998"/>
    <x v="4"/>
    <x v="16"/>
    <x v="1"/>
    <n v="2.5200252981517395E-2"/>
    <n v="141622.77023973962"/>
    <n v="-15624.156848540784"/>
    <n v="-147356.70484116662"/>
    <n v="-5733.9346014269977"/>
    <s v="36892IF-PAN/TX/OK"/>
    <n v="-62"/>
    <n v="-0.22842382296732197"/>
    <n v="1.5883315146413282"/>
    <n v="-0.98476553907762354"/>
    <n v="26724.739704018841"/>
    <n v="142.55063205690271"/>
    <x v="0"/>
  </r>
  <r>
    <x v="8"/>
    <x v="0"/>
    <s v="NO1684"/>
    <x v="7"/>
    <x v="0"/>
    <x v="1"/>
    <x v="17"/>
    <n v="-620000"/>
    <n v="-0.3"/>
    <x v="17"/>
    <n v="-0.1525"/>
    <n v="4.6475"/>
    <x v="17"/>
    <x v="12"/>
    <n v="0.6"/>
    <x v="4"/>
    <x v="17"/>
    <x v="1"/>
    <n v="1.691445870275753E-2"/>
    <n v="115420.54461093234"/>
    <n v="-10486.964395709669"/>
    <n v="-119849.43394696988"/>
    <n v="-4428.8893360375369"/>
    <s v="36861IF-PAN/TX/OK"/>
    <n v="-62"/>
    <n v="-0.18616216872731023"/>
    <n v="1.6131096459959771"/>
    <n v="-1.0001279805175058"/>
    <n v="20907.808784764071"/>
    <n v="146.02112857152659"/>
    <x v="0"/>
  </r>
  <r>
    <x v="8"/>
    <x v="0"/>
    <s v="NO1684"/>
    <x v="7"/>
    <x v="0"/>
    <x v="1"/>
    <x v="18"/>
    <n v="-600000"/>
    <n v="-0.3"/>
    <x v="18"/>
    <n v="-0.14249999999999999"/>
    <n v="4.5934999999999997"/>
    <x v="18"/>
    <x v="13"/>
    <n v="0.59499999999999997"/>
    <x v="4"/>
    <x v="18"/>
    <x v="1"/>
    <n v="7.9149934761735229E-3"/>
    <n v="72128.916623226673"/>
    <n v="-4748.9960857041133"/>
    <n v="-74750.967144787443"/>
    <n v="-2622.05052156077"/>
    <s v="36831IF-PAN/TX/OK"/>
    <n v="-60"/>
    <n v="-0.12021486103871112"/>
    <n v="1.4966786262102914"/>
    <n v="-0.89800717572617483"/>
    <n v="12223.979657471338"/>
    <n v="126.80499190290628"/>
    <x v="0"/>
  </r>
  <r>
    <x v="2"/>
    <x v="0"/>
    <s v="NO2879"/>
    <x v="7"/>
    <x v="0"/>
    <x v="1"/>
    <x v="14"/>
    <n v="-310000"/>
    <n v="-0.3"/>
    <x v="14"/>
    <n v="-0.13750000000000001"/>
    <n v="4.0754999999999999"/>
    <x v="14"/>
    <x v="9"/>
    <n v="0.53300000000000003"/>
    <x v="4"/>
    <x v="14"/>
    <x v="1"/>
    <n v="1.9295564577080281E-2"/>
    <n v="58695.936663001812"/>
    <n v="-5981.625018894887"/>
    <n v="-61410.222470026834"/>
    <n v="-2714.2858070250222"/>
    <s v="36951IF-PAN/TX/OK"/>
    <n v="-31"/>
    <n v="-0.18934173117097358"/>
    <n v="1.4554107830427823"/>
    <n v="-0.45117734274326243"/>
    <n v="11301.497276820402"/>
    <n v="41.146573530966251"/>
    <x v="0"/>
  </r>
  <r>
    <x v="2"/>
    <x v="0"/>
    <s v="NO2879"/>
    <x v="7"/>
    <x v="0"/>
    <x v="1"/>
    <x v="15"/>
    <n v="-280000"/>
    <n v="-0.3"/>
    <x v="15"/>
    <n v="-0.14499999999999999"/>
    <n v="4.335"/>
    <x v="15"/>
    <x v="10"/>
    <n v="0.59299999999999997"/>
    <x v="4"/>
    <x v="15"/>
    <x v="1"/>
    <n v="2.4720417917777023E-2"/>
    <n v="60671.130684780568"/>
    <n v="-6921.7170169775663"/>
    <n v="-63421.374758409082"/>
    <n v="-2750.2440736285134"/>
    <s v="36923IF-PAN/TX/OK"/>
    <n v="-28"/>
    <n v="-0.21668260958850202"/>
    <n v="1.466280264025533"/>
    <n v="-0.41055847392714923"/>
    <n v="12169.885652190795"/>
    <n v="51.378378900169857"/>
    <x v="0"/>
  </r>
  <r>
    <x v="2"/>
    <x v="0"/>
    <s v="NO2879"/>
    <x v="7"/>
    <x v="0"/>
    <x v="1"/>
    <x v="16"/>
    <n v="-310000"/>
    <n v="-0.3"/>
    <x v="16"/>
    <n v="-0.16"/>
    <n v="4.5839999999999996"/>
    <x v="16"/>
    <x v="11"/>
    <n v="0.60499999999999998"/>
    <x v="4"/>
    <x v="16"/>
    <x v="1"/>
    <n v="2.5200252981517395E-2"/>
    <n v="70811.38511986981"/>
    <n v="-7812.0784242703921"/>
    <n v="-73678.352420583309"/>
    <n v="-2866.9673007134988"/>
    <s v="36892IF-PAN/TX/OK"/>
    <n v="-31"/>
    <n v="-0.22842382296732197"/>
    <n v="1.5883315146413282"/>
    <n v="-0.49238276953881177"/>
    <n v="13362.36985200942"/>
    <n v="71.275316028451357"/>
    <x v="0"/>
  </r>
  <r>
    <x v="2"/>
    <x v="0"/>
    <s v="NO2879"/>
    <x v="7"/>
    <x v="0"/>
    <x v="1"/>
    <x v="17"/>
    <n v="-310000"/>
    <n v="-0.3"/>
    <x v="17"/>
    <n v="-0.1525"/>
    <n v="4.6475"/>
    <x v="17"/>
    <x v="12"/>
    <n v="0.6"/>
    <x v="4"/>
    <x v="17"/>
    <x v="1"/>
    <n v="1.691445870275753E-2"/>
    <n v="57710.272305466169"/>
    <n v="-5243.4821978548343"/>
    <n v="-59924.716973484938"/>
    <n v="-2214.4446680187684"/>
    <s v="36861IF-PAN/TX/OK"/>
    <n v="-31"/>
    <n v="-0.18616216872731023"/>
    <n v="1.6131096459959771"/>
    <n v="-0.50006399025875292"/>
    <n v="10453.904392382035"/>
    <n v="73.010564285763294"/>
    <x v="0"/>
  </r>
  <r>
    <x v="2"/>
    <x v="0"/>
    <s v="NO2879"/>
    <x v="7"/>
    <x v="0"/>
    <x v="1"/>
    <x v="18"/>
    <n v="-300000"/>
    <n v="-0.3"/>
    <x v="18"/>
    <n v="-0.14249999999999999"/>
    <n v="4.5934999999999997"/>
    <x v="18"/>
    <x v="13"/>
    <n v="0.59499999999999997"/>
    <x v="4"/>
    <x v="18"/>
    <x v="1"/>
    <n v="7.9149934761735229E-3"/>
    <n v="36064.458311613336"/>
    <n v="-2374.4980428520566"/>
    <n v="-37375.483572393721"/>
    <n v="-1311.025260780385"/>
    <s v="36831IF-PAN/TX/OK"/>
    <n v="-30"/>
    <n v="-0.12021486103871112"/>
    <n v="1.4966786262102914"/>
    <n v="-0.44900358786308742"/>
    <n v="6111.9898287356691"/>
    <n v="63.40249595145314"/>
    <x v="0"/>
  </r>
  <r>
    <x v="21"/>
    <x v="0"/>
    <s v="NO2888"/>
    <x v="0"/>
    <x v="0"/>
    <x v="1"/>
    <x v="12"/>
    <n v="-1550000"/>
    <n v="0.55000000000000004"/>
    <x v="12"/>
    <n v="0.41499999999999998"/>
    <n v="5.1070000000000002"/>
    <x v="12"/>
    <x v="8"/>
    <n v="0.56399999999999995"/>
    <x v="2"/>
    <x v="12"/>
    <x v="1"/>
    <n v="0.1425006604027369"/>
    <n v="1324704.2183650145"/>
    <n v="-220876.0236242422"/>
    <n v="-1329871.8581438279"/>
    <n v="-5167.6397788133472"/>
    <s v="36800IF-TRANSCO/Z6"/>
    <n v="-155"/>
    <n v="-0.85464788281613846"/>
    <n v="1.8691752265714734"/>
    <n v="-2.8972216011857834"/>
    <n v="18807.132291133046"/>
    <n v="619.94395464816535"/>
    <x v="0"/>
  </r>
  <r>
    <x v="3"/>
    <x v="0"/>
    <s v="NO2893"/>
    <x v="0"/>
    <x v="0"/>
    <x v="0"/>
    <x v="14"/>
    <n v="500000"/>
    <n v="2.2999999999999998"/>
    <x v="14"/>
    <n v="1.075"/>
    <n v="5.2880000000000003"/>
    <x v="14"/>
    <x v="9"/>
    <n v="0.61199999999999999"/>
    <x v="7"/>
    <x v="14"/>
    <x v="0"/>
    <n v="0.18566653150689086"/>
    <n v="125968.09427357004"/>
    <n v="92833.265753445434"/>
    <n v="-94608.075955594526"/>
    <n v="31360.018317975511"/>
    <s v="36951IF-TRANSCO/Z6"/>
    <n v="50"/>
    <n v="0.25193618854714006"/>
    <n v="0.22550177734079938"/>
    <n v="0.11275088867039969"/>
    <n v="-3504.7429748116242"/>
    <n v="-583.25466995846841"/>
    <x v="0"/>
  </r>
  <r>
    <x v="3"/>
    <x v="0"/>
    <s v="NO2893"/>
    <x v="0"/>
    <x v="0"/>
    <x v="0"/>
    <x v="15"/>
    <n v="500000"/>
    <n v="2.2999999999999998"/>
    <x v="15"/>
    <n v="2.09"/>
    <n v="6.57"/>
    <x v="15"/>
    <x v="10"/>
    <n v="0.68100000000000005"/>
    <x v="7"/>
    <x v="15"/>
    <x v="0"/>
    <n v="0.60409299724839804"/>
    <n v="248732.94579963855"/>
    <n v="302046.49862419901"/>
    <n v="-206391.53771313454"/>
    <n v="42341.408086504001"/>
    <s v="36923IF-TRANSCO/Z6"/>
    <n v="50"/>
    <n v="0.49746589159927707"/>
    <n v="0.21772764902686598"/>
    <n v="0.108863824513433"/>
    <n v="-5418.02425725184"/>
    <n v="-1062.699551178822"/>
    <x v="0"/>
  </r>
  <r>
    <x v="3"/>
    <x v="0"/>
    <s v="NO2893"/>
    <x v="0"/>
    <x v="0"/>
    <x v="0"/>
    <x v="16"/>
    <n v="500000"/>
    <n v="2.2999999999999998"/>
    <x v="16"/>
    <n v="2.17"/>
    <n v="6.9139999999999997"/>
    <x v="16"/>
    <x v="11"/>
    <n v="0.69599999999999995"/>
    <x v="7"/>
    <x v="16"/>
    <x v="0"/>
    <n v="0.60354012865962514"/>
    <n v="255092.84309913672"/>
    <n v="301770.06432981259"/>
    <n v="-216120.58315484971"/>
    <n v="38972.259944287012"/>
    <s v="36892IF-TRANSCO/Z6"/>
    <n v="50"/>
    <n v="0.51018568619827342"/>
    <n v="0.23058877929066271"/>
    <n v="0.11529438964533135"/>
    <n v="-5291.095088858805"/>
    <n v="-1298.9202628338232"/>
    <x v="0"/>
  </r>
  <r>
    <x v="3"/>
    <x v="0"/>
    <s v="NO2893"/>
    <x v="0"/>
    <x v="0"/>
    <x v="0"/>
    <x v="17"/>
    <n v="500000"/>
    <n v="2.2999999999999998"/>
    <x v="17"/>
    <n v="1.645"/>
    <n v="6.4450000000000003"/>
    <x v="17"/>
    <x v="12"/>
    <n v="0.69"/>
    <x v="7"/>
    <x v="17"/>
    <x v="0"/>
    <n v="0.29529874972299897"/>
    <n v="179209.46131890791"/>
    <n v="147649.37486149947"/>
    <n v="-148083.97321844118"/>
    <n v="31125.488100466726"/>
    <s v="36861IF-TRANSCO/Z6"/>
    <n v="50"/>
    <n v="0.35841892263781583"/>
    <n v="0.27272670477759448"/>
    <n v="0.13636335238879724"/>
    <n v="-4133.8771989081088"/>
    <n v="-1322.9162983566305"/>
    <x v="0"/>
  </r>
  <r>
    <x v="3"/>
    <x v="0"/>
    <s v="NO2893"/>
    <x v="0"/>
    <x v="0"/>
    <x v="0"/>
    <x v="18"/>
    <n v="500000"/>
    <n v="2.2999999999999998"/>
    <x v="18"/>
    <n v="0.77"/>
    <n v="5.5060000000000002"/>
    <x v="18"/>
    <x v="13"/>
    <n v="0.625"/>
    <x v="6"/>
    <x v="18"/>
    <x v="0"/>
    <n v="1.0231786809518556E-2"/>
    <n v="18739.702681397037"/>
    <n v="5115.8934047592784"/>
    <n v="-14974.413942908324"/>
    <n v="3765.2887384887126"/>
    <s v="36831IF-TRANSCO/Z6"/>
    <n v="50"/>
    <n v="3.7479405362794073E-2"/>
    <n v="0.11373139676490569"/>
    <n v="5.6865698382452839E-2"/>
    <n v="-792.47500401442517"/>
    <n v="-232.13709210563073"/>
    <x v="0"/>
  </r>
  <r>
    <x v="12"/>
    <x v="0"/>
    <s v="NO2894"/>
    <x v="0"/>
    <x v="0"/>
    <x v="1"/>
    <x v="14"/>
    <n v="1000000"/>
    <n v="0.95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  <n v="-0.39798088571946089"/>
    <n v="0.28736849188640784"/>
    <n v="0.28736849188640784"/>
    <n v="-10727.778249464103"/>
    <n v="-1266.9927715983033"/>
    <x v="0"/>
  </r>
  <r>
    <x v="12"/>
    <x v="0"/>
    <s v="NO2894"/>
    <x v="0"/>
    <x v="0"/>
    <x v="1"/>
    <x v="15"/>
    <n v="1000000"/>
    <n v="0.95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  <n v="-0.18357347760585452"/>
    <n v="0.1578419293341273"/>
    <n v="0.1578419293341273"/>
    <n v="-9552.3249961315487"/>
    <n v="-1381.228401974598"/>
    <x v="0"/>
  </r>
  <r>
    <x v="12"/>
    <x v="0"/>
    <s v="NO2894"/>
    <x v="0"/>
    <x v="0"/>
    <x v="1"/>
    <x v="16"/>
    <n v="1000000"/>
    <n v="0.95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  <n v="-0.16368993797426468"/>
    <n v="0.15464664651400717"/>
    <n v="0.15464664651400717"/>
    <n v="-8596.7492924347771"/>
    <n v="-1567.3555861823827"/>
    <x v="0"/>
  </r>
  <r>
    <x v="12"/>
    <x v="0"/>
    <s v="NO2894"/>
    <x v="0"/>
    <x v="0"/>
    <x v="1"/>
    <x v="17"/>
    <n v="1000000"/>
    <n v="0.95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  <n v="-0.24493508272401321"/>
    <n v="0.24441082862361821"/>
    <n v="0.24441082862361821"/>
    <n v="-8899.3541720002759"/>
    <n v="-2105.7414771819822"/>
    <x v="0"/>
  </r>
  <r>
    <x v="12"/>
    <x v="0"/>
    <s v="NO2894"/>
    <x v="0"/>
    <x v="0"/>
    <x v="1"/>
    <x v="18"/>
    <n v="1000000"/>
    <n v="0.95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  <n v="-0.57388747850309474"/>
    <n v="0.57973789660797626"/>
    <n v="0.57973789660797626"/>
    <n v="-9422.3076518129274"/>
    <n v="-1979.842893622877"/>
    <x v="0"/>
  </r>
  <r>
    <x v="7"/>
    <x v="0"/>
    <s v="NO4881"/>
    <x v="8"/>
    <x v="0"/>
    <x v="0"/>
    <x v="14"/>
    <n v="-500000"/>
    <n v="0.35"/>
    <x v="14"/>
    <n v="0.22750000000000001"/>
    <n v="4.4405000000000001"/>
    <x v="14"/>
    <x v="9"/>
    <n v="0.53300000000000003"/>
    <x v="4"/>
    <x v="14"/>
    <x v="0"/>
    <n v="3.3872274193051354E-2"/>
    <n v="-142074.71718372719"/>
    <n v="-16936.137096525676"/>
    <n v="136938.64267998666"/>
    <n v="-5136.0745037405286"/>
    <s v="36951MICH_CG-GD"/>
    <n v="-50"/>
    <n v="0.28414943436745438"/>
    <n v="1.6842364122290332"/>
    <n v="-0.8421182061145166"/>
    <n v="22054.915130552414"/>
    <n v="88.210348351288374"/>
    <x v="0"/>
  </r>
  <r>
    <x v="7"/>
    <x v="0"/>
    <s v="NO4881"/>
    <x v="8"/>
    <x v="0"/>
    <x v="0"/>
    <x v="15"/>
    <n v="-500000"/>
    <n v="0.35"/>
    <x v="15"/>
    <n v="0.24"/>
    <n v="4.72"/>
    <x v="15"/>
    <x v="10"/>
    <n v="0.59299999999999997"/>
    <x v="4"/>
    <x v="15"/>
    <x v="0"/>
    <n v="4.2371819279213241E-2"/>
    <n v="-158893.43910242096"/>
    <n v="-21185.90963960662"/>
    <n v="153281.32822341745"/>
    <n v="-5612.1108790035069"/>
    <s v="36923MICH_CG-GD"/>
    <n v="-50"/>
    <n v="0.31778687820484192"/>
    <n v="1.6485722890303298"/>
    <n v="-0.82428614451516491"/>
    <n v="25645.060559135345"/>
    <n v="118.31237773105468"/>
    <x v="0"/>
  </r>
  <r>
    <x v="7"/>
    <x v="0"/>
    <s v="NO4881"/>
    <x v="8"/>
    <x v="0"/>
    <x v="0"/>
    <x v="16"/>
    <n v="-500000"/>
    <n v="0.35"/>
    <x v="16"/>
    <n v="0.22"/>
    <n v="4.9639999999999995"/>
    <x v="16"/>
    <x v="11"/>
    <n v="0.60499999999999998"/>
    <x v="4"/>
    <x v="16"/>
    <x v="0"/>
    <n v="3.2158890928715975E-2"/>
    <n v="-135767.6270178484"/>
    <n v="-16079.445464357987"/>
    <n v="130953.20469162175"/>
    <n v="-4814.422326226646"/>
    <s v="36892MICH_CG-GD"/>
    <n v="-50"/>
    <n v="0.27153525403569678"/>
    <n v="1.6491933676981667"/>
    <n v="-0.82459668384908336"/>
    <n v="23348.217627373924"/>
    <n v="132.30199565615456"/>
    <x v="0"/>
  </r>
  <r>
    <x v="7"/>
    <x v="0"/>
    <s v="NO4881"/>
    <x v="8"/>
    <x v="0"/>
    <x v="0"/>
    <x v="17"/>
    <n v="-500000"/>
    <n v="0.35"/>
    <x v="17"/>
    <n v="0.1925"/>
    <n v="4.9924999999999997"/>
    <x v="17"/>
    <x v="12"/>
    <n v="0.6"/>
    <x v="4"/>
    <x v="17"/>
    <x v="0"/>
    <n v="1.8164082044783661E-2"/>
    <n v="-97523.708431614403"/>
    <n v="-9082.0410223918298"/>
    <n v="94024.60991791627"/>
    <n v="-3499.0985136981326"/>
    <s v="36861MICH_CG-GD"/>
    <n v="-50"/>
    <n v="0.1950474168632288"/>
    <n v="1.5923070135101747"/>
    <n v="-0.79615350675508723"/>
    <n v="17119.047713305652"/>
    <n v="126.20456003491323"/>
    <x v="0"/>
  </r>
  <r>
    <x v="7"/>
    <x v="0"/>
    <s v="NO4881"/>
    <x v="8"/>
    <x v="0"/>
    <x v="0"/>
    <x v="18"/>
    <n v="-500000"/>
    <n v="0.35"/>
    <x v="18"/>
    <n v="0.17"/>
    <n v="4.9059999999999997"/>
    <x v="18"/>
    <x v="13"/>
    <n v="0.59499999999999997"/>
    <x v="4"/>
    <x v="18"/>
    <x v="0"/>
    <n v="7.1012189289966551E-3"/>
    <n v="-54437.852779883004"/>
    <n v="-3550.6094644983277"/>
    <n v="52500.940581470495"/>
    <n v="-1936.9121984125086"/>
    <s v="36831MICH_CG-GD"/>
    <n v="-50"/>
    <n v="0.108875705559766"/>
    <n v="1.3493275155723741"/>
    <n v="-0.67466375778618692"/>
    <n v="9331.1573849382567"/>
    <n v="101.82926579886126"/>
    <x v="0"/>
  </r>
  <r>
    <x v="2"/>
    <x v="0"/>
    <s v="NO7688.1"/>
    <x v="1"/>
    <x v="0"/>
    <x v="1"/>
    <x v="14"/>
    <n v="-310000"/>
    <n v="-0.4"/>
    <x v="14"/>
    <n v="-0.39750000000000002"/>
    <n v="3.8155000000000001"/>
    <x v="14"/>
    <x v="9"/>
    <n v="0.51100000000000001"/>
    <x v="9"/>
    <x v="14"/>
    <x v="1"/>
    <n v="0.22706645581320334"/>
    <n v="141700.96560518199"/>
    <n v="-70390.60130209304"/>
    <n v="-157786.67859192731"/>
    <n v="-16085.712986745319"/>
    <s v="36951IF-NWPL_ROCKY_M"/>
    <n v="-31"/>
    <n v="-0.45709988904897414"/>
    <n v="0.65046257083200121"/>
    <n v="-0.20164339695792038"/>
    <n v="4412.0178774507176"/>
    <n v="180.40863468840044"/>
    <x v="0"/>
  </r>
  <r>
    <x v="2"/>
    <x v="0"/>
    <s v="NO7688.1"/>
    <x v="1"/>
    <x v="0"/>
    <x v="1"/>
    <x v="15"/>
    <n v="-280000"/>
    <n v="-0.4"/>
    <x v="15"/>
    <n v="-0.38750000000000001"/>
    <n v="4.0925000000000002"/>
    <x v="15"/>
    <x v="10"/>
    <n v="0.56899999999999995"/>
    <x v="9"/>
    <x v="15"/>
    <x v="1"/>
    <n v="0.24347921528202868"/>
    <n v="126766.51688410307"/>
    <n v="-68174.180278968022"/>
    <n v="-141777.76367148722"/>
    <n v="-15011.246787384152"/>
    <s v="36923IF-NWPL_ROCKY_M"/>
    <n v="-28"/>
    <n v="-0.4527375603003681"/>
    <n v="0.59991126619412016"/>
    <n v="-0.16797515453435363"/>
    <n v="4409.3654588092022"/>
    <n v="212.86541445135143"/>
    <x v="0"/>
  </r>
  <r>
    <x v="2"/>
    <x v="0"/>
    <s v="NO7688.1"/>
    <x v="1"/>
    <x v="0"/>
    <x v="1"/>
    <x v="16"/>
    <n v="-310000"/>
    <n v="-0.4"/>
    <x v="16"/>
    <n v="-0.36749999999999999"/>
    <n v="4.3765000000000001"/>
    <x v="16"/>
    <x v="11"/>
    <n v="0.58099999999999996"/>
    <x v="9"/>
    <x v="16"/>
    <x v="1"/>
    <n v="0.22527783014679784"/>
    <n v="137892.44987902115"/>
    <n v="-69836.127345507324"/>
    <n v="-153077.29661585984"/>
    <n v="-15184.846736838692"/>
    <s v="36892IF-NWPL_ROCKY_M"/>
    <n v="-31"/>
    <n v="-0.44481435444845535"/>
    <n v="0.62606244540910194"/>
    <n v="-0.19407935807682161"/>
    <n v="4755.9082889018246"/>
    <n v="292.86201487156529"/>
    <x v="0"/>
  </r>
  <r>
    <x v="2"/>
    <x v="0"/>
    <s v="NO7688.1"/>
    <x v="1"/>
    <x v="0"/>
    <x v="1"/>
    <x v="17"/>
    <n v="-310000"/>
    <n v="-0.4"/>
    <x v="17"/>
    <n v="-0.35749999999999998"/>
    <n v="4.4424999999999999"/>
    <x v="17"/>
    <x v="12"/>
    <n v="0.57599999999999996"/>
    <x v="9"/>
    <x v="17"/>
    <x v="1"/>
    <n v="0.19203952872791191"/>
    <n v="136478.97956227534"/>
    <n v="-59532.253905652695"/>
    <n v="-149688.94655522346"/>
    <n v="-13209.966992948117"/>
    <s v="36861IF-NWPL_ROCKY_M"/>
    <n v="-31"/>
    <n v="-0.44025477278153335"/>
    <n v="0.71558529694730955"/>
    <n v="-0.22183144205366595"/>
    <n v="4194.1860975978498"/>
    <n v="341.94619812898236"/>
    <x v="0"/>
  </r>
  <r>
    <x v="2"/>
    <x v="0"/>
    <s v="NO7688.1"/>
    <x v="1"/>
    <x v="0"/>
    <x v="1"/>
    <x v="18"/>
    <n v="-300000"/>
    <n v="-0.4"/>
    <x v="18"/>
    <n v="-0.46750000000000003"/>
    <n v="4.2684999999999995"/>
    <x v="18"/>
    <x v="13"/>
    <n v="0.57099999999999995"/>
    <x v="9"/>
    <x v="18"/>
    <x v="1"/>
    <n v="0.20558370028779754"/>
    <n v="161699.73302057528"/>
    <n v="-61675.110086339264"/>
    <n v="-172072.61653629562"/>
    <n v="-10372.883515720343"/>
    <s v="36831IF-NWPL_ROCKY_M"/>
    <n v="-30"/>
    <n v="-0.53899911006858425"/>
    <n v="0.91434852285452262"/>
    <n v="-0.2743045568563568"/>
    <n v="3202.3590009297641"/>
    <n v="389.10523617480249"/>
    <x v="0"/>
  </r>
  <r>
    <x v="2"/>
    <x v="0"/>
    <s v="NO7688.2"/>
    <x v="1"/>
    <x v="0"/>
    <x v="0"/>
    <x v="14"/>
    <n v="310000"/>
    <n v="-0.1"/>
    <x v="14"/>
    <n v="-0.39750000000000002"/>
    <n v="3.8155000000000001"/>
    <x v="14"/>
    <x v="9"/>
    <n v="0.51100000000000001"/>
    <x v="9"/>
    <x v="14"/>
    <x v="0"/>
    <n v="0.102722148245528"/>
    <n v="96758.430311254357"/>
    <n v="31843.865956113681"/>
    <n v="-82358.338238896496"/>
    <n v="14400.09207235786"/>
    <s v="36951IF-NWPL_ROCKY_M"/>
    <n v="31"/>
    <n v="0.31212396874598181"/>
    <n v="0.63935317320098084"/>
    <n v="0.19819948369230406"/>
    <n v="-4036.3284388344186"/>
    <n v="-153.54781827968682"/>
    <x v="0"/>
  </r>
  <r>
    <x v="2"/>
    <x v="0"/>
    <s v="NO7688.2"/>
    <x v="1"/>
    <x v="0"/>
    <x v="0"/>
    <x v="15"/>
    <n v="280000"/>
    <n v="-0.1"/>
    <x v="15"/>
    <n v="-0.38750000000000001"/>
    <n v="4.0925000000000002"/>
    <x v="15"/>
    <x v="10"/>
    <n v="0.56899999999999995"/>
    <x v="9"/>
    <x v="15"/>
    <x v="0"/>
    <n v="0.12413519722855254"/>
    <n v="94086.80472927542"/>
    <n v="34757.855223994709"/>
    <n v="-80277.000426559185"/>
    <n v="13809.804302716235"/>
    <s v="36923IF-NWPL_ROCKY_M"/>
    <n v="28"/>
    <n v="0.33602430260455507"/>
    <n v="0.60216249789258747"/>
    <n v="0.1686054994099245"/>
    <n v="-4138.2376164366533"/>
    <n v="-186.15341382328882"/>
    <x v="0"/>
  </r>
  <r>
    <x v="2"/>
    <x v="0"/>
    <s v="NO7688.2"/>
    <x v="1"/>
    <x v="0"/>
    <x v="0"/>
    <x v="16"/>
    <n v="310000"/>
    <n v="-0.1"/>
    <x v="16"/>
    <n v="-0.36749999999999999"/>
    <n v="4.3765000000000001"/>
    <x v="16"/>
    <x v="11"/>
    <n v="0.58099999999999996"/>
    <x v="9"/>
    <x v="16"/>
    <x v="0"/>
    <n v="0.12334146107932482"/>
    <n v="105863.12773313477"/>
    <n v="38235.852934590694"/>
    <n v="-91817.25950937139"/>
    <n v="14045.868223763377"/>
    <s v="36892IF-NWPL_ROCKY_M"/>
    <n v="31"/>
    <n v="0.341493960429467"/>
    <n v="0.62870358271975846"/>
    <n v="0.19489811064312512"/>
    <n v="-4482.5202560927974"/>
    <n v="-257.61112465136495"/>
    <x v="0"/>
  </r>
  <r>
    <x v="2"/>
    <x v="0"/>
    <s v="NO7688.2"/>
    <x v="1"/>
    <x v="0"/>
    <x v="0"/>
    <x v="17"/>
    <n v="310000"/>
    <n v="-0.1"/>
    <x v="17"/>
    <n v="-0.35749999999999998"/>
    <n v="4.4424999999999999"/>
    <x v="17"/>
    <x v="12"/>
    <n v="0.57599999999999996"/>
    <x v="9"/>
    <x v="17"/>
    <x v="0"/>
    <n v="0.10170728899734657"/>
    <n v="100580.69750297233"/>
    <n v="31529.259589177436"/>
    <n v="-88601.735985084844"/>
    <n v="11978.961517887481"/>
    <s v="36861IF-NWPL_ROCKY_M"/>
    <n v="31"/>
    <n v="0.32445386291281397"/>
    <n v="0.70400522795753884"/>
    <n v="0.21824162066683703"/>
    <n v="-3875.0933103878588"/>
    <n v="-294.33915714764635"/>
    <x v="0"/>
  </r>
  <r>
    <x v="2"/>
    <x v="0"/>
    <s v="NO7688.2"/>
    <x v="1"/>
    <x v="0"/>
    <x v="0"/>
    <x v="18"/>
    <n v="300000"/>
    <n v="-0.1"/>
    <x v="18"/>
    <n v="-0.46750000000000003"/>
    <n v="4.2684999999999995"/>
    <x v="18"/>
    <x v="13"/>
    <n v="0.57099999999999995"/>
    <x v="9"/>
    <x v="18"/>
    <x v="0"/>
    <n v="4.182078042554549E-2"/>
    <n v="59141.02534073493"/>
    <n v="12546.234127663647"/>
    <n v="-51894.633808568971"/>
    <n v="7246.3915321659588"/>
    <s v="36831IF-NWPL_ROCKY_M"/>
    <n v="30"/>
    <n v="0.19713675113578311"/>
    <n v="0.69611238555568078"/>
    <n v="0.20883371566670422"/>
    <n v="-2281.7161700436982"/>
    <n v="-258.88915036945178"/>
    <x v="0"/>
  </r>
  <r>
    <x v="8"/>
    <x v="0"/>
    <s v="NP3241"/>
    <x v="4"/>
    <x v="0"/>
    <x v="0"/>
    <x v="14"/>
    <n v="155000"/>
    <n v="0.2"/>
    <x v="14"/>
    <n v="0.59750000000000003"/>
    <n v="4.8105000000000002"/>
    <x v="14"/>
    <x v="9"/>
    <n v="0.51700000000000002"/>
    <x v="11"/>
    <x v="14"/>
    <x v="0"/>
    <n v="0.57758860156296943"/>
    <n v="105310.88678233829"/>
    <n v="89526.233242260263"/>
    <n v="-94278.979233245671"/>
    <n v="11031.907549092619"/>
    <s v="36951NGI-SOCAL"/>
    <n v="15.5"/>
    <n v="0.67942507601508573"/>
    <n v="0.3490973749431921"/>
    <n v="5.4110093116194774E-2"/>
    <n v="-1651.212972431138"/>
    <n v="-118.77374383885245"/>
    <x v="0"/>
  </r>
  <r>
    <x v="8"/>
    <x v="0"/>
    <s v="NP3241"/>
    <x v="4"/>
    <x v="0"/>
    <x v="0"/>
    <x v="15"/>
    <n v="140000"/>
    <n v="0.2"/>
    <x v="15"/>
    <n v="0.61750000000000005"/>
    <n v="5.0975000000000001"/>
    <x v="15"/>
    <x v="10"/>
    <n v="0.57499999999999996"/>
    <x v="11"/>
    <x v="15"/>
    <x v="0"/>
    <n v="0.62163460410250204"/>
    <n v="95067.960432574531"/>
    <n v="87028.844574350282"/>
    <n v="-84745.098400543226"/>
    <n v="10322.862032031306"/>
    <s v="36923NGI-SOCAL"/>
    <n v="14"/>
    <n v="0.6790568602326752"/>
    <n v="0.32519554057992406"/>
    <n v="4.5527375681189371E-2"/>
    <n v="-1639.4570615568393"/>
    <n v="-142.6151076194885"/>
    <x v="0"/>
  </r>
  <r>
    <x v="8"/>
    <x v="0"/>
    <s v="NP3241"/>
    <x v="4"/>
    <x v="0"/>
    <x v="0"/>
    <x v="16"/>
    <n v="155000"/>
    <n v="0.2"/>
    <x v="16"/>
    <n v="0.76749999999999996"/>
    <n v="5.5114999999999998"/>
    <x v="16"/>
    <x v="11"/>
    <n v="0.58699999999999997"/>
    <x v="11"/>
    <x v="16"/>
    <x v="0"/>
    <n v="0.71670695573044696"/>
    <n v="113930.82849926365"/>
    <n v="111089.57813821928"/>
    <n v="-104350.54740811659"/>
    <n v="9580.2810911470588"/>
    <s v="36892NGI-SOCAL"/>
    <n v="15.5"/>
    <n v="0.73503760322105582"/>
    <n v="0.30329851351607451"/>
    <n v="4.701126959499155E-2"/>
    <n v="-1628.3785177347518"/>
    <n v="-179.71588487571501"/>
    <x v="0"/>
  </r>
  <r>
    <x v="8"/>
    <x v="0"/>
    <s v="NP3241"/>
    <x v="4"/>
    <x v="0"/>
    <x v="0"/>
    <x v="17"/>
    <n v="155000"/>
    <n v="0.2"/>
    <x v="17"/>
    <n v="1.0049999999999999"/>
    <n v="5.8049999999999997"/>
    <x v="17"/>
    <x v="12"/>
    <n v="0.58199999999999996"/>
    <x v="11"/>
    <x v="17"/>
    <x v="0"/>
    <n v="0.87124075438965032"/>
    <n v="128629.38338854727"/>
    <n v="135042.31693039581"/>
    <n v="-122202.26281272092"/>
    <n v="6427.1205758263532"/>
    <s v="36861NGI-SOCAL"/>
    <n v="15.5"/>
    <n v="0.82986698960353078"/>
    <n v="0.25232774575302674"/>
    <n v="3.9110800591719147E-2"/>
    <n v="-1127.9281251671684"/>
    <n v="-156.88636821427784"/>
    <x v="0"/>
  </r>
  <r>
    <x v="8"/>
    <x v="0"/>
    <s v="NP3241"/>
    <x v="4"/>
    <x v="0"/>
    <x v="0"/>
    <x v="18"/>
    <n v="150000"/>
    <n v="0.2"/>
    <x v="18"/>
    <n v="1.5449999999999999"/>
    <n v="6.2809999999999997"/>
    <x v="18"/>
    <x v="13"/>
    <n v="0.57699999999999996"/>
    <x v="11"/>
    <x v="18"/>
    <x v="0"/>
    <n v="1.3384795070860105"/>
    <n v="144080.34126732231"/>
    <n v="200771.92606290156"/>
    <n v="-142635.23303313216"/>
    <n v="1445.1082341901492"/>
    <s v="36831NGI-SOCAL"/>
    <n v="15"/>
    <n v="0.96053560844881536"/>
    <n v="7.7517233637474509E-2"/>
    <n v="1.1627585045621176E-2"/>
    <n v="-261.79509407753221"/>
    <n v="-24.936509281024058"/>
    <x v="0"/>
  </r>
  <r>
    <x v="12"/>
    <x v="0"/>
    <s v="NP6690"/>
    <x v="0"/>
    <x v="0"/>
    <x v="1"/>
    <x v="14"/>
    <n v="500000"/>
    <n v="0.95"/>
    <x v="14"/>
    <n v="1.075"/>
    <n v="5.2880000000000003"/>
    <x v="14"/>
    <x v="9"/>
    <n v="0.61199999999999999"/>
    <x v="7"/>
    <x v="14"/>
    <x v="1"/>
    <n v="0.4391935748419632"/>
    <n v="-198990.44285973045"/>
    <n v="219596.78742098159"/>
    <n v="243450.13179216106"/>
    <n v="44459.68893243061"/>
    <s v="36951IF-TRANSCO/Z6"/>
    <n v="50"/>
    <n v="-0.39798088571946089"/>
    <n v="0.28736849188640784"/>
    <n v="0.14368424594320392"/>
    <n v="-5363.8891247320516"/>
    <n v="-633.49638579915165"/>
    <x v="0"/>
  </r>
  <r>
    <x v="12"/>
    <x v="0"/>
    <s v="NP6690"/>
    <x v="0"/>
    <x v="0"/>
    <x v="1"/>
    <x v="15"/>
    <n v="500000"/>
    <n v="0.95"/>
    <x v="15"/>
    <n v="2.09"/>
    <n v="6.57"/>
    <x v="15"/>
    <x v="10"/>
    <n v="0.68100000000000005"/>
    <x v="7"/>
    <x v="15"/>
    <x v="1"/>
    <n v="0.19076107387737962"/>
    <n v="-91786.738802927255"/>
    <n v="95380.536938689809"/>
    <n v="126265.64479739666"/>
    <n v="34478.905994469402"/>
    <s v="36923IF-TRANSCO/Z6"/>
    <n v="50"/>
    <n v="-0.18357347760585452"/>
    <n v="0.1578419293341273"/>
    <n v="7.8920964667063651E-2"/>
    <n v="-4776.1624980657743"/>
    <n v="-690.614200987299"/>
    <x v="0"/>
  </r>
  <r>
    <x v="12"/>
    <x v="0"/>
    <s v="NP6690"/>
    <x v="0"/>
    <x v="0"/>
    <x v="1"/>
    <x v="16"/>
    <n v="500000"/>
    <n v="0.95"/>
    <x v="16"/>
    <n v="2.17"/>
    <n v="6.9139999999999997"/>
    <x v="16"/>
    <x v="11"/>
    <n v="0.69599999999999995"/>
    <x v="7"/>
    <x v="16"/>
    <x v="1"/>
    <n v="0.15429615312093103"/>
    <n v="-81844.968987132335"/>
    <n v="77148.076560465517"/>
    <n v="111132.04431257401"/>
    <n v="29287.075325441678"/>
    <s v="36892IF-TRANSCO/Z6"/>
    <n v="50"/>
    <n v="-0.16368993797426468"/>
    <n v="0.15464664651400717"/>
    <n v="7.7323323257003584E-2"/>
    <n v="-4298.3746462173885"/>
    <n v="-783.67779309119135"/>
    <x v="0"/>
  </r>
  <r>
    <x v="12"/>
    <x v="0"/>
    <s v="NP6690"/>
    <x v="0"/>
    <x v="0"/>
    <x v="1"/>
    <x v="17"/>
    <n v="500000"/>
    <n v="0.95"/>
    <x v="17"/>
    <n v="1.645"/>
    <n v="6.4450000000000003"/>
    <x v="17"/>
    <x v="12"/>
    <n v="0.69"/>
    <x v="7"/>
    <x v="17"/>
    <x v="1"/>
    <n v="0.20677959023365367"/>
    <n v="-122467.54136200661"/>
    <n v="103389.79511682683"/>
    <n v="153538.02453300796"/>
    <n v="31070.483171001353"/>
    <s v="36861IF-TRANSCO/Z6"/>
    <n v="50"/>
    <n v="-0.24493508272401321"/>
    <n v="0.24441082862361821"/>
    <n v="0.1222054143118091"/>
    <n v="-4449.6770860001379"/>
    <n v="-1052.8707385909911"/>
    <x v="0"/>
  </r>
  <r>
    <x v="12"/>
    <x v="0"/>
    <s v="NP6690"/>
    <x v="0"/>
    <x v="0"/>
    <x v="1"/>
    <x v="18"/>
    <n v="500000"/>
    <n v="0.95"/>
    <x v="18"/>
    <n v="0.77"/>
    <n v="5.5060000000000002"/>
    <x v="18"/>
    <x v="13"/>
    <n v="0.625"/>
    <x v="6"/>
    <x v="18"/>
    <x v="1"/>
    <n v="0.36528537794140992"/>
    <n v="-286943.73925154738"/>
    <n v="182642.68897070497"/>
    <n v="308389.19139161991"/>
    <n v="21445.452140072535"/>
    <s v="36831IF-TRANSCO/Z6"/>
    <n v="50"/>
    <n v="-0.57388747850309474"/>
    <n v="0.57973789660797626"/>
    <n v="0.28986894830398813"/>
    <n v="-4711.1538259064637"/>
    <n v="-989.9214468114385"/>
    <x v="0"/>
  </r>
  <r>
    <x v="13"/>
    <x v="0"/>
    <s v="NP8939.1"/>
    <x v="0"/>
    <x v="0"/>
    <x v="1"/>
    <x v="0"/>
    <n v="-1000000"/>
    <n v="0.95"/>
    <x v="0"/>
    <n v="0.99"/>
    <n v="4.5949999999999998"/>
    <x v="0"/>
    <x v="0"/>
    <n v="0.40200000000000002"/>
    <x v="0"/>
    <x v="0"/>
    <x v="1"/>
    <n v="0.29664224798001759"/>
    <n v="389208.19013201911"/>
    <n v="-296642.24798001756"/>
    <n v="-438137.90410006599"/>
    <n v="-48929.713968046883"/>
    <s v="37316IF-TRANSCO/Z6"/>
    <n v="-100"/>
    <n v="-0.38920819013201913"/>
    <n v="0.40647572345741689"/>
    <n v="-0.40647572345741684"/>
    <n v="15117.255659256738"/>
    <n v="228.72332403804106"/>
    <x v="0"/>
  </r>
  <r>
    <x v="13"/>
    <x v="0"/>
    <s v="NP8939.1"/>
    <x v="0"/>
    <x v="0"/>
    <x v="1"/>
    <x v="1"/>
    <n v="-1000000"/>
    <n v="0.95"/>
    <x v="1"/>
    <n v="1.56"/>
    <n v="5.33"/>
    <x v="1"/>
    <x v="1"/>
    <n v="0.435"/>
    <x v="0"/>
    <x v="1"/>
    <x v="1"/>
    <n v="0.15604461802290759"/>
    <n v="209599.64741504277"/>
    <n v="-156044.61802290758"/>
    <n v="-250704.97259482116"/>
    <n v="-41105.325179778389"/>
    <s v="37288IF-TRANSCO/Z6"/>
    <n v="-100"/>
    <n v="-0.20959964741504278"/>
    <n v="0.25276342469974078"/>
    <n v="-0.25276342469974078"/>
    <n v="13750.762123412371"/>
    <n v="264.51629422029953"/>
    <x v="0"/>
  </r>
  <r>
    <x v="13"/>
    <x v="0"/>
    <s v="NP8939.1"/>
    <x v="0"/>
    <x v="0"/>
    <x v="1"/>
    <x v="2"/>
    <n v="-1000000"/>
    <n v="0.95"/>
    <x v="2"/>
    <n v="1.56"/>
    <n v="5.5"/>
    <x v="2"/>
    <x v="2"/>
    <n v="0.45400000000000001"/>
    <x v="0"/>
    <x v="2"/>
    <x v="1"/>
    <n v="0.16712247076381415"/>
    <n v="216660.2258082715"/>
    <n v="-167122.47076381414"/>
    <n v="-259385.05895936713"/>
    <n v="-42724.833151095634"/>
    <s v="37257IF-TRANSCO/Z6"/>
    <n v="-100"/>
    <n v="-0.21666022580827149"/>
    <n v="0.25087095950488048"/>
    <n v="-0.25087095950488048"/>
    <n v="14998.473453766244"/>
    <n v="298.42192348408599"/>
    <x v="0"/>
  </r>
  <r>
    <x v="13"/>
    <x v="0"/>
    <s v="NP8939.1"/>
    <x v="0"/>
    <x v="0"/>
    <x v="1"/>
    <x v="3"/>
    <n v="-1000000"/>
    <n v="0.95"/>
    <x v="3"/>
    <n v="1.31"/>
    <n v="5.2780000000000005"/>
    <x v="3"/>
    <x v="3"/>
    <n v="0.44800000000000001"/>
    <x v="0"/>
    <x v="3"/>
    <x v="1"/>
    <n v="0.21693141367417401"/>
    <n v="285072.26834548439"/>
    <n v="-216931.41367417402"/>
    <n v="-331702.85457605106"/>
    <n v="-46630.586230566667"/>
    <s v="37226IF-TRANSCO/Z6"/>
    <n v="-100"/>
    <n v="-0.28507226834548438"/>
    <n v="0.31905699024886064"/>
    <n v="-0.31905699024886064"/>
    <n v="16323.727221871151"/>
    <n v="322.51823952834479"/>
    <x v="0"/>
  </r>
  <r>
    <x v="13"/>
    <x v="0"/>
    <s v="NP8939.1"/>
    <x v="0"/>
    <x v="0"/>
    <x v="1"/>
    <x v="4"/>
    <n v="-1000000"/>
    <n v="0.95"/>
    <x v="4"/>
    <n v="0.89"/>
    <n v="4.7679999999999998"/>
    <x v="4"/>
    <x v="4"/>
    <n v="0.443"/>
    <x v="0"/>
    <x v="4"/>
    <x v="1"/>
    <n v="0.35055148087833843"/>
    <n v="442994.55030553968"/>
    <n v="-350551.48087833845"/>
    <n v="-492706.8137670841"/>
    <n v="-49712.263461544411"/>
    <s v="37196IF-TRANSCO/Z6"/>
    <n v="-100"/>
    <n v="-0.44299455030553969"/>
    <n v="0.42616222528370729"/>
    <n v="-0.42616222528370729"/>
    <n v="16499.665228104965"/>
    <n v="307.63149480563942"/>
    <x v="0"/>
  </r>
  <r>
    <x v="3"/>
    <x v="0"/>
    <s v="NP8966.1"/>
    <x v="0"/>
    <x v="0"/>
    <x v="0"/>
    <x v="14"/>
    <n v="-1000000"/>
    <n v="1.7"/>
    <x v="14"/>
    <n v="1.075"/>
    <n v="5.2880000000000003"/>
    <x v="14"/>
    <x v="9"/>
    <n v="0.61199999999999999"/>
    <x v="7"/>
    <x v="14"/>
    <x v="0"/>
    <n v="0.30394158497160456"/>
    <n v="-369837.17316441308"/>
    <n v="-303941.58497160458"/>
    <n v="291183.55482308567"/>
    <n v="-78653.618341327412"/>
    <s v="36951IF-TRANSCO/Z6"/>
    <n v="-100"/>
    <n v="0.36983717316441306"/>
    <n v="0.27177585714856239"/>
    <n v="-0.27177585714856239"/>
    <n v="9054.2020893609497"/>
    <n v="1317.4789547810076"/>
    <x v="0"/>
  </r>
  <r>
    <x v="3"/>
    <x v="0"/>
    <s v="NP8966.1"/>
    <x v="0"/>
    <x v="0"/>
    <x v="0"/>
    <x v="15"/>
    <n v="-1000000"/>
    <n v="1.7"/>
    <x v="15"/>
    <n v="2.09"/>
    <n v="6.57"/>
    <x v="15"/>
    <x v="10"/>
    <n v="0.68100000000000005"/>
    <x v="7"/>
    <x v="15"/>
    <x v="0"/>
    <n v="0.85586933271648857"/>
    <n v="-626084.24729715334"/>
    <n v="-855869.33271648863"/>
    <n v="541136.75563033065"/>
    <n v="-84947.491666822694"/>
    <s v="36923IF-TRANSCO/Z6"/>
    <n v="-100"/>
    <n v="0.6260842472971534"/>
    <n v="0.20909626893310501"/>
    <n v="-0.20909626893310501"/>
    <n v="11211.436687589465"/>
    <n v="1871.6669376939979"/>
    <x v="0"/>
  </r>
  <r>
    <x v="3"/>
    <x v="0"/>
    <s v="NP8966.1"/>
    <x v="0"/>
    <x v="0"/>
    <x v="0"/>
    <x v="16"/>
    <n v="-1000000"/>
    <n v="1.7"/>
    <x v="16"/>
    <n v="2.17"/>
    <n v="6.9139999999999997"/>
    <x v="16"/>
    <x v="11"/>
    <n v="0.69599999999999995"/>
    <x v="7"/>
    <x v="16"/>
    <x v="0"/>
    <n v="0.87406509518872499"/>
    <n v="-648008.59519052866"/>
    <n v="-874065.09518872504"/>
    <n v="571362.18360776303"/>
    <n v="-76646.411582765635"/>
    <s v="36892IF-TRANSCO/Z6"/>
    <n v="-100"/>
    <n v="0.64800859519052867"/>
    <n v="0.2172068115992315"/>
    <n v="-0.2172068115992315"/>
    <n v="10729.22962590984"/>
    <n v="2253.443139776824"/>
    <x v="0"/>
  </r>
  <r>
    <x v="3"/>
    <x v="0"/>
    <s v="NP8966.1"/>
    <x v="0"/>
    <x v="0"/>
    <x v="0"/>
    <x v="17"/>
    <n v="-1000000"/>
    <n v="1.7"/>
    <x v="17"/>
    <n v="1.645"/>
    <n v="6.4450000000000003"/>
    <x v="17"/>
    <x v="12"/>
    <n v="0.69"/>
    <x v="7"/>
    <x v="17"/>
    <x v="0"/>
    <n v="0.49291546746933068"/>
    <n v="-517045.15836432285"/>
    <n v="-492915.4674693307"/>
    <n v="446569.57374466391"/>
    <n v="-70475.584619658941"/>
    <s v="36861IF-TRANSCO/Z6"/>
    <n v="-100"/>
    <n v="0.51704515836432285"/>
    <n v="0.29641070894288057"/>
    <n v="-0.29641070894288057"/>
    <n v="9641.2977358957633"/>
    <n v="2695.5820025474814"/>
    <x v="0"/>
  </r>
  <r>
    <x v="3"/>
    <x v="0"/>
    <s v="NP8966.1"/>
    <x v="0"/>
    <x v="0"/>
    <x v="0"/>
    <x v="18"/>
    <n v="-1000000"/>
    <n v="1.7"/>
    <x v="18"/>
    <n v="0.77"/>
    <n v="5.5060000000000002"/>
    <x v="18"/>
    <x v="13"/>
    <n v="0.625"/>
    <x v="6"/>
    <x v="18"/>
    <x v="0"/>
    <n v="3.9805707090587145E-2"/>
    <n v="-122301.40100151706"/>
    <n v="-39805.707090587144"/>
    <n v="102281.90846393975"/>
    <n v="-20019.492537577316"/>
    <s v="36831IF-TRANSCO/Z6"/>
    <n v="-100"/>
    <n v="0.12230140100151707"/>
    <n v="0.2904874213384368"/>
    <n v="-0.2904874213384368"/>
    <n v="4283.2772791633706"/>
    <n v="1112.3569586046337"/>
    <x v="0"/>
  </r>
  <r>
    <x v="3"/>
    <x v="0"/>
    <s v="NP8966.2"/>
    <x v="0"/>
    <x v="0"/>
    <x v="1"/>
    <x v="14"/>
    <n v="-1000000"/>
    <n v="1.7"/>
    <x v="14"/>
    <n v="1.075"/>
    <n v="5.2880000000000003"/>
    <x v="14"/>
    <x v="9"/>
    <n v="0.61199999999999999"/>
    <x v="7"/>
    <x v="14"/>
    <x v="1"/>
    <n v="0.90774038129235057"/>
    <n v="596240.90094878105"/>
    <n v="-907740.38129235059"/>
    <n v="-674894.51929010835"/>
    <n v="-78653.618341327296"/>
    <s v="36951IF-TRANSCO/Z6"/>
    <n v="-100"/>
    <n v="-0.59624090094878102"/>
    <n v="0.27177585714856239"/>
    <n v="-0.27177585714856239"/>
    <n v="9054.2020893609497"/>
    <n v="1203.5349839337741"/>
    <x v="0"/>
  </r>
  <r>
    <x v="3"/>
    <x v="0"/>
    <s v="NP8966.2"/>
    <x v="0"/>
    <x v="0"/>
    <x v="1"/>
    <x v="15"/>
    <n v="-1000000"/>
    <n v="1.7"/>
    <x v="15"/>
    <n v="2.09"/>
    <n v="6.57"/>
    <x v="15"/>
    <x v="10"/>
    <n v="0.68100000000000005"/>
    <x v="7"/>
    <x v="15"/>
    <x v="1"/>
    <n v="0.47706563290775716"/>
    <n v="345207.29067395115"/>
    <n v="-477065.63290775719"/>
    <n v="-430154.78234077385"/>
    <n v="-84947.491666822694"/>
    <s v="36923IF-TRANSCO/Z6"/>
    <n v="-100"/>
    <n v="-0.34520729067395117"/>
    <n v="0.20909626893310501"/>
    <n v="-0.20909626893310501"/>
    <n v="11211.436687589465"/>
    <n v="1942.9029573484002"/>
    <x v="0"/>
  </r>
  <r>
    <x v="3"/>
    <x v="0"/>
    <s v="NP8966.2"/>
    <x v="0"/>
    <x v="0"/>
    <x v="1"/>
    <x v="16"/>
    <n v="-1000000"/>
    <n v="1.7"/>
    <x v="16"/>
    <n v="2.17"/>
    <n v="6.9139999999999997"/>
    <x v="16"/>
    <x v="11"/>
    <n v="0.69599999999999995"/>
    <x v="7"/>
    <x v="16"/>
    <x v="1"/>
    <n v="0.41467750155694816"/>
    <n v="329411.81679197453"/>
    <n v="-414677.50155694818"/>
    <n v="-406058.22837474017"/>
    <n v="-76646.411582765635"/>
    <s v="36892IF-TRANSCO/Z6"/>
    <n v="-100"/>
    <n v="-0.32941181679197451"/>
    <n v="0.2172068115992315"/>
    <n v="-0.2172068115992315"/>
    <n v="10729.22962590984"/>
    <n v="2339.4994388077398"/>
    <x v="0"/>
  </r>
  <r>
    <x v="3"/>
    <x v="0"/>
    <s v="NP8966.2"/>
    <x v="0"/>
    <x v="0"/>
    <x v="1"/>
    <x v="17"/>
    <n v="-1000000"/>
    <n v="1.7"/>
    <x v="17"/>
    <n v="1.645"/>
    <n v="6.4450000000000003"/>
    <x v="17"/>
    <x v="12"/>
    <n v="0.69"/>
    <x v="7"/>
    <x v="17"/>
    <x v="1"/>
    <n v="0.54696706277438234"/>
    <n v="465711.11990935111"/>
    <n v="-546967.0627743823"/>
    <n v="-536186.70452901011"/>
    <n v="-70475.584619658999"/>
    <s v="36861IF-TRANSCO/Z6"/>
    <n v="-100"/>
    <n v="-0.4657111199093511"/>
    <n v="0.29641070894288057"/>
    <n v="-0.29641070894288057"/>
    <n v="9641.2977358957633"/>
    <n v="2685.4656129719224"/>
    <x v="0"/>
  </r>
  <r>
    <x v="3"/>
    <x v="0"/>
    <s v="NP8966.2"/>
    <x v="0"/>
    <x v="0"/>
    <x v="1"/>
    <x v="18"/>
    <n v="-1000000"/>
    <n v="1.7"/>
    <x v="18"/>
    <n v="0.77"/>
    <n v="5.5060000000000002"/>
    <x v="18"/>
    <x v="13"/>
    <n v="0.625"/>
    <x v="6"/>
    <x v="18"/>
    <x v="1"/>
    <n v="0.95894457534930422"/>
    <n v="866019.96271753416"/>
    <n v="-958944.57534930424"/>
    <n v="-886039.45525511145"/>
    <n v="-20019.492537577287"/>
    <s v="36831IF-TRANSCO/Z6"/>
    <n v="-100"/>
    <n v="-0.86601996271753412"/>
    <n v="0.2904874213384368"/>
    <n v="-0.2904874213384368"/>
    <n v="4283.2772791633706"/>
    <n v="940.85128693834861"/>
    <x v="0"/>
  </r>
  <r>
    <x v="21"/>
    <x v="0"/>
    <s v="NR1864"/>
    <x v="6"/>
    <x v="0"/>
    <x v="0"/>
    <x v="14"/>
    <n v="-155000"/>
    <n v="0.15"/>
    <x v="14"/>
    <n v="0.1225"/>
    <n v="4.3354999999999997"/>
    <x v="14"/>
    <x v="9"/>
    <n v="0.53300000000000003"/>
    <x v="10"/>
    <x v="14"/>
    <x v="0"/>
    <n v="4.0858540517954137E-2"/>
    <n v="-64595.9099155039"/>
    <n v="-6333.0737802828908"/>
    <n v="63022.320301678432"/>
    <n v="-1573.5896138254684"/>
    <s v="36951NGI/CHI. GATE"/>
    <n v="-15.5"/>
    <n v="0.41674780590647675"/>
    <n v="2.7810649312681774"/>
    <n v="-0.43106506434656749"/>
    <n v="11146.910260853463"/>
    <n v="20.989581486888021"/>
    <x v="0"/>
  </r>
  <r>
    <x v="21"/>
    <x v="0"/>
    <s v="NR1864"/>
    <x v="6"/>
    <x v="0"/>
    <x v="0"/>
    <x v="15"/>
    <n v="-140000"/>
    <n v="0.15"/>
    <x v="15"/>
    <n v="0.13750000000000001"/>
    <n v="4.6174999999999997"/>
    <x v="15"/>
    <x v="10"/>
    <n v="0.59299999999999997"/>
    <x v="10"/>
    <x v="15"/>
    <x v="0"/>
    <n v="5.1778937717171743E-2"/>
    <n v="-64849.928436827206"/>
    <n v="-7249.0512804040436"/>
    <n v="63355.592824380765"/>
    <n v="-1494.3356124464408"/>
    <s v="36923NGI/CHI. GATE"/>
    <n v="-14"/>
    <n v="0.46321377454876578"/>
    <n v="2.6145513341602959"/>
    <n v="-0.3660371867824414"/>
    <n v="11273.703514777124"/>
    <n v="24.755692010205109"/>
    <x v="0"/>
  </r>
  <r>
    <x v="21"/>
    <x v="0"/>
    <s v="NR1864"/>
    <x v="6"/>
    <x v="0"/>
    <x v="0"/>
    <x v="16"/>
    <n v="-155000"/>
    <n v="0.15"/>
    <x v="16"/>
    <n v="0.1275"/>
    <n v="4.8715000000000002"/>
    <x v="16"/>
    <x v="11"/>
    <n v="0.60499999999999998"/>
    <x v="10"/>
    <x v="16"/>
    <x v="0"/>
    <n v="4.4503043973877957E-2"/>
    <n v="-67412.823294709582"/>
    <n v="-6897.971815951083"/>
    <n v="65907.096462909351"/>
    <n v="-1505.7268318002316"/>
    <s v="36892NGI/CHI. GATE"/>
    <n v="-15.5"/>
    <n v="0.43492144061102955"/>
    <n v="2.7636752842353736"/>
    <n v="-0.42836966905648288"/>
    <n v="12061.934321483865"/>
    <n v="33.271470120676497"/>
    <x v="0"/>
  </r>
  <r>
    <x v="21"/>
    <x v="0"/>
    <s v="NR1864"/>
    <x v="6"/>
    <x v="0"/>
    <x v="0"/>
    <x v="17"/>
    <n v="-155000"/>
    <n v="0.15"/>
    <x v="17"/>
    <n v="0.1"/>
    <n v="4.9000000000000004"/>
    <x v="17"/>
    <x v="12"/>
    <n v="0.6"/>
    <x v="10"/>
    <x v="17"/>
    <x v="0"/>
    <n v="2.7341780503795484E-2"/>
    <n v="-53018.448327933467"/>
    <n v="-4237.9759780882996"/>
    <n v="51790.160439997489"/>
    <n v="-1228.2878879359778"/>
    <s v="36861NGI/CHI. GATE"/>
    <n v="-15.5"/>
    <n v="0.34205450534150622"/>
    <n v="2.9959955786471109"/>
    <n v="-0.46437931469030219"/>
    <n v="9926.4902996290948"/>
    <n v="36.130091426752983"/>
    <x v="0"/>
  </r>
  <r>
    <x v="21"/>
    <x v="0"/>
    <s v="NR1864"/>
    <x v="6"/>
    <x v="0"/>
    <x v="0"/>
    <x v="18"/>
    <n v="-150000"/>
    <n v="0.15"/>
    <x v="18"/>
    <n v="8.7499999999999994E-2"/>
    <n v="4.8235000000000001"/>
    <x v="18"/>
    <x v="13"/>
    <n v="0.59499999999999997"/>
    <x v="10"/>
    <x v="18"/>
    <x v="0"/>
    <n v="1.550052519581778E-2"/>
    <n v="-39672.463093012084"/>
    <n v="-2325.0787793726668"/>
    <n v="38804.971958279595"/>
    <n v="-867.49113473248872"/>
    <s v="36831NGI/CHI. GATE"/>
    <n v="-15"/>
    <n v="0.26448308728674724"/>
    <n v="3.3388376108619982"/>
    <n v="-0.50082564162929966"/>
    <n v="6909.32293616073"/>
    <n v="37.460538771652175"/>
    <x v="0"/>
  </r>
  <r>
    <x v="3"/>
    <x v="0"/>
    <s v="NR1866"/>
    <x v="4"/>
    <x v="0"/>
    <x v="0"/>
    <x v="14"/>
    <n v="1000000"/>
    <n v="0.3"/>
    <x v="14"/>
    <n v="0.59750000000000003"/>
    <n v="4.8105000000000002"/>
    <x v="14"/>
    <x v="9"/>
    <n v="0.51700000000000002"/>
    <x v="11"/>
    <x v="14"/>
    <x v="0"/>
    <n v="0.51572110794585235"/>
    <n v="641424.69622476539"/>
    <n v="515721.10794585233"/>
    <n v="-567547.89968099294"/>
    <n v="73876.796543772449"/>
    <s v="36951NGI-SOCAL"/>
    <n v="100"/>
    <n v="0.64142469622476539"/>
    <n v="0.37143232019710426"/>
    <n v="0.37143232019710426"/>
    <n v="-11079.69901651593"/>
    <n v="-817.69216869480999"/>
    <x v="0"/>
  </r>
  <r>
    <x v="3"/>
    <x v="0"/>
    <s v="NR1866"/>
    <x v="4"/>
    <x v="0"/>
    <x v="0"/>
    <x v="15"/>
    <n v="1000000"/>
    <n v="0.3"/>
    <x v="15"/>
    <n v="0.61750000000000005"/>
    <n v="5.0975000000000001"/>
    <x v="15"/>
    <x v="10"/>
    <n v="0.57499999999999996"/>
    <x v="11"/>
    <x v="15"/>
    <x v="0"/>
    <n v="0.5597231033502309"/>
    <n v="643781.0258445252"/>
    <n v="559723.10335023084"/>
    <n v="-567542.00268891209"/>
    <n v="76239.023155613104"/>
    <s v="36923NGI-SOCAL"/>
    <n v="100"/>
    <n v="0.64378102584452523"/>
    <n v="0.34418424748724724"/>
    <n v="0.34418424748724724"/>
    <n v="-12131.523791188651"/>
    <n v="-1076.2222517845255"/>
    <x v="0"/>
  </r>
  <r>
    <x v="3"/>
    <x v="0"/>
    <s v="NR1866"/>
    <x v="4"/>
    <x v="0"/>
    <x v="0"/>
    <x v="16"/>
    <n v="1000000"/>
    <n v="0.3"/>
    <x v="16"/>
    <n v="0.76749999999999996"/>
    <n v="5.5114999999999998"/>
    <x v="16"/>
    <x v="11"/>
    <n v="0.58699999999999997"/>
    <x v="11"/>
    <x v="16"/>
    <x v="0"/>
    <n v="0.64834590428876826"/>
    <n v="701470.63635281625"/>
    <n v="648345.9042887683"/>
    <n v="-636329.56541689008"/>
    <n v="65141.070935926167"/>
    <s v="36892NGI-SOCAL"/>
    <n v="100"/>
    <n v="0.70147063635281626"/>
    <n v="0.32675520844933853"/>
    <n v="0.32675520844933847"/>
    <n v="-11093.150102319369"/>
    <n v="-1249.1444191774151"/>
    <x v="0"/>
  </r>
  <r>
    <x v="3"/>
    <x v="0"/>
    <s v="NR1866"/>
    <x v="4"/>
    <x v="0"/>
    <x v="0"/>
    <x v="17"/>
    <n v="1000000"/>
    <n v="0.3"/>
    <x v="17"/>
    <n v="1.0049999999999999"/>
    <n v="5.8049999999999997"/>
    <x v="17"/>
    <x v="12"/>
    <n v="0.58199999999999996"/>
    <x v="11"/>
    <x v="17"/>
    <x v="0"/>
    <n v="0.79202125840164439"/>
    <n v="800681.71877104649"/>
    <n v="792021.25840164442"/>
    <n v="-754902.2530195982"/>
    <n v="45779.465751448297"/>
    <s v="36861NGI-SOCAL"/>
    <n v="100"/>
    <n v="0.80068171877104655"/>
    <n v="0.28463958616759916"/>
    <n v="0.28463958616759916"/>
    <n v="-8049.7575116000135"/>
    <n v="-1155.4536174610876"/>
    <x v="0"/>
  </r>
  <r>
    <x v="3"/>
    <x v="0"/>
    <s v="NR1866"/>
    <x v="4"/>
    <x v="0"/>
    <x v="0"/>
    <x v="18"/>
    <n v="1000000"/>
    <n v="0.3"/>
    <x v="18"/>
    <n v="1.5449999999999999"/>
    <n v="6.2809999999999997"/>
    <x v="18"/>
    <x v="13"/>
    <n v="0.57699999999999996"/>
    <x v="11"/>
    <x v="18"/>
    <x v="0"/>
    <n v="1.2434752381691645"/>
    <n v="950393.88398188457"/>
    <n v="1243475.2381691644"/>
    <n v="-938101.98813434539"/>
    <n v="12291.895847539185"/>
    <s v="36831NGI-SOCAL"/>
    <n v="100"/>
    <n v="0.95039388398188462"/>
    <n v="0.10103493406510085"/>
    <n v="0.10103493406510085"/>
    <n v="-2231.4707088599489"/>
    <n v="-301.10651318003261"/>
    <x v="0"/>
  </r>
  <r>
    <x v="22"/>
    <x v="0"/>
    <s v="NR1867"/>
    <x v="4"/>
    <x v="0"/>
    <x v="0"/>
    <x v="14"/>
    <n v="500000"/>
    <n v="0.3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  <n v="0.64142469622476539"/>
    <n v="0.37143232019710426"/>
    <n v="0.18571616009855213"/>
    <n v="-5539.8495082579648"/>
    <n v="-408.846084347405"/>
    <x v="0"/>
  </r>
  <r>
    <x v="22"/>
    <x v="0"/>
    <s v="NR1867"/>
    <x v="4"/>
    <x v="0"/>
    <x v="0"/>
    <x v="15"/>
    <n v="500000"/>
    <n v="0.3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  <n v="0.64378102584452523"/>
    <n v="0.34418424748724724"/>
    <n v="0.17209212374362362"/>
    <n v="-6065.7618955943253"/>
    <n v="-538.11112589226275"/>
    <x v="0"/>
  </r>
  <r>
    <x v="22"/>
    <x v="0"/>
    <s v="NR1867"/>
    <x v="4"/>
    <x v="0"/>
    <x v="0"/>
    <x v="16"/>
    <n v="500000"/>
    <n v="0.3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  <n v="0.70147063635281626"/>
    <n v="0.32675520844933853"/>
    <n v="0.16337760422466924"/>
    <n v="-5546.5750511596843"/>
    <n v="-624.57220958870755"/>
    <x v="0"/>
  </r>
  <r>
    <x v="22"/>
    <x v="0"/>
    <s v="NR1867"/>
    <x v="4"/>
    <x v="0"/>
    <x v="0"/>
    <x v="17"/>
    <n v="500000"/>
    <n v="0.3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  <n v="0.80068171877104655"/>
    <n v="0.28463958616759916"/>
    <n v="0.14231979308379958"/>
    <n v="-4024.8787558000067"/>
    <n v="-577.72680873054378"/>
    <x v="0"/>
  </r>
  <r>
    <x v="22"/>
    <x v="0"/>
    <s v="NR1867"/>
    <x v="4"/>
    <x v="0"/>
    <x v="0"/>
    <x v="18"/>
    <n v="500000"/>
    <n v="0.3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  <n v="0.95039388398188462"/>
    <n v="0.10103493406510085"/>
    <n v="5.0517467032550424E-2"/>
    <n v="-1115.7353544299744"/>
    <n v="-150.5532565900163"/>
    <x v="0"/>
  </r>
  <r>
    <x v="6"/>
    <x v="0"/>
    <s v="NR3983"/>
    <x v="0"/>
    <x v="0"/>
    <x v="0"/>
    <x v="5"/>
    <n v="310000"/>
    <n v="0.5"/>
    <x v="5"/>
    <n v="0.46100000000000002"/>
    <n v="4.234"/>
    <x v="5"/>
    <x v="4"/>
    <n v="0.39400000000000002"/>
    <x v="1"/>
    <x v="5"/>
    <x v="0"/>
    <n v="0.13714256120638882"/>
    <n v="139775.77710318161"/>
    <n v="42514.193973980531"/>
    <n v="-130231.3748334049"/>
    <n v="9544.4022697767068"/>
    <s v="37165IF-TRANSCO/Z6"/>
    <n v="31"/>
    <n v="0.45088960355865038"/>
    <n v="0.89365522877907544"/>
    <n v="0.27703312092151344"/>
    <n v="-7558.2344222700103"/>
    <n v="-52.98431654762738"/>
    <x v="0"/>
  </r>
  <r>
    <x v="6"/>
    <x v="0"/>
    <s v="NR3983"/>
    <x v="0"/>
    <x v="0"/>
    <x v="0"/>
    <x v="6"/>
    <n v="300000"/>
    <n v="0.5"/>
    <x v="6"/>
    <n v="0.39500000000000002"/>
    <n v="4.1829999999999998"/>
    <x v="6"/>
    <x v="5"/>
    <n v="0.39200000000000002"/>
    <x v="1"/>
    <x v="6"/>
    <x v="0"/>
    <n v="0.10436260251325032"/>
    <n v="116833.40647032809"/>
    <n v="31308.780753975094"/>
    <n v="-108136.34939813422"/>
    <n v="8697.0570721938711"/>
    <s v="37135IF-TRANSCO/Z6"/>
    <n v="30"/>
    <n v="0.38944468823442696"/>
    <n v="0.93029307337925482"/>
    <n v="0.27908792201377641"/>
    <n v="-6842.6047146863257"/>
    <n v="-53.148546275677887"/>
    <x v="0"/>
  </r>
  <r>
    <x v="6"/>
    <x v="0"/>
    <s v="NR3983"/>
    <x v="0"/>
    <x v="0"/>
    <x v="0"/>
    <x v="7"/>
    <n v="310000"/>
    <n v="0.5"/>
    <x v="7"/>
    <n v="0.46"/>
    <n v="4.2679999999999998"/>
    <x v="7"/>
    <x v="5"/>
    <n v="0.39200000000000002"/>
    <x v="1"/>
    <x v="7"/>
    <x v="0"/>
    <n v="0.1264820590295051"/>
    <n v="139587.06497798621"/>
    <n v="39209.438299146583"/>
    <n v="-130729.59864305025"/>
    <n v="8857.4663349359616"/>
    <s v="37104IF-TRANSCO/Z6"/>
    <n v="31"/>
    <n v="0.45028085476769747"/>
    <n v="0.97668929470297738"/>
    <n v="0.30277368135792299"/>
    <n v="-7062.9985099384876"/>
    <n v="-59.479184007056212"/>
    <x v="0"/>
  </r>
  <r>
    <x v="6"/>
    <x v="0"/>
    <s v="NR3983"/>
    <x v="0"/>
    <x v="0"/>
    <x v="0"/>
    <x v="8"/>
    <n v="310000"/>
    <n v="0.5"/>
    <x v="8"/>
    <n v="0.46"/>
    <n v="4.2629999999999999"/>
    <x v="8"/>
    <x v="5"/>
    <n v="0.39200000000000002"/>
    <x v="1"/>
    <x v="8"/>
    <x v="0"/>
    <n v="0.1200067855524454"/>
    <n v="139495.10645684483"/>
    <n v="37202.103521258075"/>
    <n v="-131027.57631983225"/>
    <n v="8467.5301370125817"/>
    <s v="37073IF-TRANSCO/Z6"/>
    <n v="31"/>
    <n v="0.44998421437691882"/>
    <n v="1.0338255557516154"/>
    <n v="0.32048592228300082"/>
    <n v="-6745.4695558720241"/>
    <n v="-63.534822549290233"/>
    <x v="0"/>
  </r>
  <r>
    <x v="6"/>
    <x v="0"/>
    <s v="NR3983"/>
    <x v="0"/>
    <x v="0"/>
    <x v="0"/>
    <x v="9"/>
    <n v="300000"/>
    <n v="0.5"/>
    <x v="9"/>
    <n v="0.39500000000000002"/>
    <n v="4.2130000000000001"/>
    <x v="9"/>
    <x v="5"/>
    <n v="0.39200000000000002"/>
    <x v="1"/>
    <x v="9"/>
    <x v="0"/>
    <n v="8.735020414401895E-2"/>
    <n v="113670.78444091768"/>
    <n v="26205.061243205684"/>
    <n v="-106088.19329388764"/>
    <n v="7582.5911470300343"/>
    <s v="37043IF-TRANSCO/Z6"/>
    <n v="30"/>
    <n v="0.37890261480305892"/>
    <n v="1.0754482053975236"/>
    <n v="0.32263446161925713"/>
    <n v="-6012.6656809277893"/>
    <n v="-63.924444982271758"/>
    <x v="0"/>
  </r>
  <r>
    <x v="6"/>
    <x v="0"/>
    <s v="NR3983"/>
    <x v="0"/>
    <x v="0"/>
    <x v="0"/>
    <x v="10"/>
    <n v="310000"/>
    <n v="0.5"/>
    <x v="10"/>
    <n v="0.40500000000000003"/>
    <n v="4.2430000000000003"/>
    <x v="10"/>
    <x v="6"/>
    <n v="0.39700000000000002"/>
    <x v="1"/>
    <x v="10"/>
    <x v="0"/>
    <n v="8.5893158214631282E-2"/>
    <n v="119746.42902473015"/>
    <n v="26626.879046535698"/>
    <n v="-112222.1690923128"/>
    <n v="7524.2599324173498"/>
    <s v="37012IF-TRANSCO/Z6"/>
    <n v="31"/>
    <n v="0.38627880330558112"/>
    <n v="1.1349963414592004"/>
    <n v="0.35184886585235214"/>
    <n v="-6001.5366878216792"/>
    <n v="-73.022691443446973"/>
    <x v="0"/>
  </r>
  <r>
    <x v="6"/>
    <x v="0"/>
    <s v="NR3983"/>
    <x v="0"/>
    <x v="0"/>
    <x v="0"/>
    <x v="11"/>
    <n v="300000"/>
    <n v="0.5"/>
    <x v="11"/>
    <n v="0.52"/>
    <n v="4.4580000000000002"/>
    <x v="11"/>
    <x v="7"/>
    <n v="0.434"/>
    <x v="1"/>
    <x v="11"/>
    <x v="0"/>
    <n v="0.14461673425404681"/>
    <n v="155921.06640175125"/>
    <n v="43385.02027621404"/>
    <n v="-148155.38595300418"/>
    <n v="7765.6804487470654"/>
    <s v="36982IF-TRANSCO/Z6"/>
    <n v="30"/>
    <n v="0.51973688800583751"/>
    <n v="1.0829462731832513"/>
    <n v="0.32488388195497536"/>
    <n v="-6426.9356275170521"/>
    <n v="-87.286724845856696"/>
    <x v="0"/>
  </r>
  <r>
    <x v="3"/>
    <x v="0"/>
    <s v="NR3997"/>
    <x v="4"/>
    <x v="0"/>
    <x v="0"/>
    <x v="14"/>
    <n v="500000"/>
    <n v="0.3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  <n v="0.64142469622476539"/>
    <n v="0.37143232019710426"/>
    <n v="0.18571616009855213"/>
    <n v="-5539.8495082579648"/>
    <n v="-408.846084347405"/>
    <x v="0"/>
  </r>
  <r>
    <x v="3"/>
    <x v="0"/>
    <s v="NR3997"/>
    <x v="4"/>
    <x v="0"/>
    <x v="0"/>
    <x v="15"/>
    <n v="500000"/>
    <n v="0.3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  <n v="0.64378102584452523"/>
    <n v="0.34418424748724724"/>
    <n v="0.17209212374362362"/>
    <n v="-6065.7618955943253"/>
    <n v="-538.11112589226275"/>
    <x v="0"/>
  </r>
  <r>
    <x v="3"/>
    <x v="0"/>
    <s v="NR3997"/>
    <x v="4"/>
    <x v="0"/>
    <x v="0"/>
    <x v="16"/>
    <n v="500000"/>
    <n v="0.3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  <n v="0.70147063635281626"/>
    <n v="0.32675520844933853"/>
    <n v="0.16337760422466924"/>
    <n v="-5546.5750511596843"/>
    <n v="-624.57220958870755"/>
    <x v="0"/>
  </r>
  <r>
    <x v="3"/>
    <x v="0"/>
    <s v="NR3997"/>
    <x v="4"/>
    <x v="0"/>
    <x v="0"/>
    <x v="17"/>
    <n v="500000"/>
    <n v="0.3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  <n v="0.80068171877104655"/>
    <n v="0.28463958616759916"/>
    <n v="0.14231979308379958"/>
    <n v="-4024.8787558000067"/>
    <n v="-577.72680873054378"/>
    <x v="0"/>
  </r>
  <r>
    <x v="3"/>
    <x v="0"/>
    <s v="NR3997"/>
    <x v="4"/>
    <x v="0"/>
    <x v="0"/>
    <x v="18"/>
    <n v="500000"/>
    <n v="0.3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  <n v="0.95039388398188462"/>
    <n v="0.10103493406510085"/>
    <n v="5.0517467032550424E-2"/>
    <n v="-1115.7353544299744"/>
    <n v="-150.5532565900163"/>
    <x v="0"/>
  </r>
  <r>
    <x v="22"/>
    <x v="0"/>
    <s v="NR3998"/>
    <x v="0"/>
    <x v="0"/>
    <x v="0"/>
    <x v="18"/>
    <n v="1000000"/>
    <n v="0.8"/>
    <x v="18"/>
    <n v="0.77"/>
    <n v="5.5060000000000002"/>
    <x v="18"/>
    <x v="13"/>
    <n v="0.625"/>
    <x v="6"/>
    <x v="18"/>
    <x v="0"/>
    <n v="0.24665387075196671"/>
    <n v="500345.34397960029"/>
    <n v="246653.87075196672"/>
    <n v="-455409.10070623556"/>
    <n v="44936.243273364729"/>
    <s v="36831IF-TRANSCO/Z6"/>
    <n v="100"/>
    <n v="0.50034534397960029"/>
    <n v="0.59647082762645387"/>
    <n v="0.59647082762645387"/>
    <n v="-9933.2812627360945"/>
    <n v="-2027.4334983807198"/>
    <x v="0"/>
  </r>
  <r>
    <x v="22"/>
    <x v="0"/>
    <s v="NR5974"/>
    <x v="0"/>
    <x v="0"/>
    <x v="0"/>
    <x v="12"/>
    <n v="310000"/>
    <n v="0.7"/>
    <x v="12"/>
    <n v="0.41499999999999998"/>
    <n v="5.1070000000000002"/>
    <x v="12"/>
    <x v="8"/>
    <n v="0.56399999999999995"/>
    <x v="2"/>
    <x v="12"/>
    <x v="0"/>
    <n v="7.5892388018139435E-4"/>
    <n v="5346.2524043153662"/>
    <n v="235.26640285623225"/>
    <n v="-5162.2577863923425"/>
    <n v="183.99461792302372"/>
    <s v="36800IF-TRANSCO/Z6"/>
    <n v="31"/>
    <n v="1.7245975497791503E-2"/>
    <n v="0.34370698532312854"/>
    <n v="0.10654916545016985"/>
    <n v="-682.46137168345626"/>
    <n v="-26.558213942376721"/>
    <x v="0"/>
  </r>
  <r>
    <x v="7"/>
    <x v="0"/>
    <s v="NR5976"/>
    <x v="0"/>
    <x v="0"/>
    <x v="0"/>
    <x v="14"/>
    <n v="310000"/>
    <n v="2.5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  <n v="0.22074775959653672"/>
    <n v="0.20839267824064617"/>
    <n v="6.4601730254600309E-2"/>
    <n v="-1968.2990654019998"/>
    <n v="-340.35666639626282"/>
    <x v="0"/>
  </r>
  <r>
    <x v="7"/>
    <x v="0"/>
    <s v="NR5976"/>
    <x v="0"/>
    <x v="0"/>
    <x v="0"/>
    <x v="15"/>
    <n v="280000"/>
    <n v="2.5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  <n v="0.45782352405267618"/>
    <n v="0.2154690533950194"/>
    <n v="6.0331334950605428E-2"/>
    <n v="-2938.6953688244103"/>
    <n v="-602.59162765301198"/>
    <x v="0"/>
  </r>
  <r>
    <x v="7"/>
    <x v="0"/>
    <s v="NR5976"/>
    <x v="0"/>
    <x v="0"/>
    <x v="0"/>
    <x v="16"/>
    <n v="310000"/>
    <n v="2.5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  <n v="0.4671626365100075"/>
    <n v="0.22870493244122136"/>
    <n v="7.0898529056778625E-2"/>
    <n v="-3184.9840376955917"/>
    <n v="-816.47749316555985"/>
    <x v="0"/>
  </r>
  <r>
    <x v="7"/>
    <x v="0"/>
    <s v="NR5976"/>
    <x v="0"/>
    <x v="0"/>
    <x v="0"/>
    <x v="17"/>
    <n v="310000"/>
    <n v="2.5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  <n v="0.31356826351721245"/>
    <n v="0.25721628353041581"/>
    <n v="7.9737047894428897E-2"/>
    <n v="-2368.2792835329224"/>
    <n v="-787.80690756155218"/>
    <x v="0"/>
  </r>
  <r>
    <x v="7"/>
    <x v="0"/>
    <s v="NR5976"/>
    <x v="0"/>
    <x v="0"/>
    <x v="0"/>
    <x v="18"/>
    <n v="300000"/>
    <n v="2.5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  <n v="2.4732567910056041E-2"/>
    <n v="7.9901262536593548E-2"/>
    <n v="2.3970378760978062E-2"/>
    <n v="-328.7737538480784"/>
    <n v="-99.690988261025922"/>
    <x v="0"/>
  </r>
  <r>
    <x v="7"/>
    <x v="0"/>
    <s v="NR5978"/>
    <x v="0"/>
    <x v="0"/>
    <x v="0"/>
    <x v="12"/>
    <n v="-620000"/>
    <n v="0.4"/>
    <x v="12"/>
    <n v="0.41499999999999998"/>
    <n v="5.1070000000000002"/>
    <x v="12"/>
    <x v="8"/>
    <n v="0.56399999999999995"/>
    <x v="2"/>
    <x v="12"/>
    <x v="0"/>
    <n v="5.2249944515571738E-2"/>
    <n v="-345599.58850740845"/>
    <n v="-32394.965599654479"/>
    <n v="341553.01748639857"/>
    <n v="-4046.5710210098769"/>
    <s v="36800IF-TRANSCO/Z6"/>
    <n v="-62"/>
    <n v="0.55741869114098141"/>
    <n v="3.4991243442040143"/>
    <n v="-2.1694570934064887"/>
    <n v="14348.766068536752"/>
    <n v="435.37512214888875"/>
    <x v="0"/>
  </r>
  <r>
    <x v="7"/>
    <x v="0"/>
    <s v="NR5979"/>
    <x v="6"/>
    <x v="0"/>
    <x v="0"/>
    <x v="14"/>
    <n v="-310000"/>
    <n v="0.15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  <n v="0.41674780590647675"/>
    <n v="2.7810649312681774"/>
    <n v="-0.86213012869313499"/>
    <n v="22293.820521706926"/>
    <n v="41.979162973776042"/>
    <x v="0"/>
  </r>
  <r>
    <x v="7"/>
    <x v="0"/>
    <s v="NR5979"/>
    <x v="6"/>
    <x v="0"/>
    <x v="0"/>
    <x v="15"/>
    <n v="-280000"/>
    <n v="0.15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  <n v="0.46321377454876578"/>
    <n v="2.6145513341602959"/>
    <n v="-0.73207437356488281"/>
    <n v="22547.407029554248"/>
    <n v="49.511384020410219"/>
    <x v="0"/>
  </r>
  <r>
    <x v="7"/>
    <x v="0"/>
    <s v="NR5979"/>
    <x v="6"/>
    <x v="0"/>
    <x v="0"/>
    <x v="16"/>
    <n v="-310000"/>
    <n v="0.15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  <n v="0.43492144061102955"/>
    <n v="2.7636752842353736"/>
    <n v="-0.85673933811296576"/>
    <n v="24123.868642967729"/>
    <n v="66.542940241352994"/>
    <x v="0"/>
  </r>
  <r>
    <x v="7"/>
    <x v="0"/>
    <s v="NR5979"/>
    <x v="6"/>
    <x v="0"/>
    <x v="0"/>
    <x v="17"/>
    <n v="-310000"/>
    <n v="0.15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  <n v="0.34205450534150622"/>
    <n v="2.9959955786471109"/>
    <n v="-0.92875862938060438"/>
    <n v="19852.98059925819"/>
    <n v="72.260182853505967"/>
    <x v="0"/>
  </r>
  <r>
    <x v="7"/>
    <x v="0"/>
    <s v="NR5979"/>
    <x v="6"/>
    <x v="0"/>
    <x v="0"/>
    <x v="18"/>
    <n v="-300000"/>
    <n v="0.15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  <n v="0.26448308728674724"/>
    <n v="3.3388376108619982"/>
    <n v="-1.0016512832585993"/>
    <n v="13818.64587232146"/>
    <n v="74.921077543304349"/>
    <x v="0"/>
  </r>
  <r>
    <x v="21"/>
    <x v="0"/>
    <s v="NR5983"/>
    <x v="0"/>
    <x v="0"/>
    <x v="1"/>
    <x v="12"/>
    <n v="310000"/>
    <n v="0.4"/>
    <x v="12"/>
    <n v="0.41499999999999998"/>
    <n v="5.1070000000000002"/>
    <x v="12"/>
    <x v="8"/>
    <n v="0.56399999999999995"/>
    <x v="2"/>
    <x v="12"/>
    <x v="1"/>
    <n v="3.7336330308136434E-2"/>
    <n v="-135414.89936662931"/>
    <n v="11574.262395522295"/>
    <n v="137438.18487713428"/>
    <n v="2023.2855105049675"/>
    <s v="36800IF-TRANSCO/Z6"/>
    <n v="31"/>
    <n v="-0.43682225602138486"/>
    <n v="3.4991243442040143"/>
    <n v="1.0847285467032444"/>
    <n v="-7174.3830342683759"/>
    <n v="-218.54951668581666"/>
    <x v="0"/>
  </r>
  <r>
    <x v="22"/>
    <x v="0"/>
    <s v="NR7762"/>
    <x v="4"/>
    <x v="0"/>
    <x v="1"/>
    <x v="12"/>
    <n v="500000"/>
    <n v="0.3"/>
    <x v="12"/>
    <n v="1.99"/>
    <n v="6.6820000000000004"/>
    <x v="12"/>
    <x v="8"/>
    <n v="0.54100000000000004"/>
    <x v="7"/>
    <x v="12"/>
    <x v="1"/>
    <n v="1.1068446874162863E-4"/>
    <n v="-325.59312306579267"/>
    <n v="55.34223437081431"/>
    <n v="451.18575193631159"/>
    <n v="125.59262887051892"/>
    <s v="36800NGI-SOCAL"/>
    <n v="50"/>
    <n v="-6.5118624613158538E-4"/>
    <n v="3.6783617568437879E-3"/>
    <n v="1.8391808784218942E-3"/>
    <n v="-20.553722876644365"/>
    <n v="-11.272923190016266"/>
    <x v="0"/>
  </r>
  <r>
    <x v="3"/>
    <x v="0"/>
    <s v="NR7764"/>
    <x v="4"/>
    <x v="0"/>
    <x v="0"/>
    <x v="14"/>
    <n v="500000"/>
    <n v="0.3"/>
    <x v="14"/>
    <n v="0.59750000000000003"/>
    <n v="4.8105000000000002"/>
    <x v="14"/>
    <x v="9"/>
    <n v="0.51700000000000002"/>
    <x v="11"/>
    <x v="14"/>
    <x v="0"/>
    <n v="0.51572110794585235"/>
    <n v="320712.34811238269"/>
    <n v="257860.55397292617"/>
    <n v="-283773.94984049647"/>
    <n v="36938.398271886224"/>
    <s v="36951NGI-SOCAL"/>
    <n v="50"/>
    <n v="0.64142469622476539"/>
    <n v="0.37143232019710426"/>
    <n v="0.18571616009855213"/>
    <n v="-5539.8495082579648"/>
    <n v="-408.846084347405"/>
    <x v="0"/>
  </r>
  <r>
    <x v="3"/>
    <x v="0"/>
    <s v="NR7764"/>
    <x v="4"/>
    <x v="0"/>
    <x v="0"/>
    <x v="15"/>
    <n v="500000"/>
    <n v="0.3"/>
    <x v="15"/>
    <n v="0.61750000000000005"/>
    <n v="5.0975000000000001"/>
    <x v="15"/>
    <x v="10"/>
    <n v="0.57499999999999996"/>
    <x v="11"/>
    <x v="15"/>
    <x v="0"/>
    <n v="0.5597231033502309"/>
    <n v="321890.5129222626"/>
    <n v="279861.55167511542"/>
    <n v="-283771.00134445605"/>
    <n v="38119.511577806552"/>
    <s v="36923NGI-SOCAL"/>
    <n v="50"/>
    <n v="0.64378102584452523"/>
    <n v="0.34418424748724724"/>
    <n v="0.17209212374362362"/>
    <n v="-6065.7618955943253"/>
    <n v="-538.11112589226275"/>
    <x v="0"/>
  </r>
  <r>
    <x v="3"/>
    <x v="0"/>
    <s v="NR7764"/>
    <x v="4"/>
    <x v="0"/>
    <x v="0"/>
    <x v="16"/>
    <n v="500000"/>
    <n v="0.3"/>
    <x v="16"/>
    <n v="0.76749999999999996"/>
    <n v="5.5114999999999998"/>
    <x v="16"/>
    <x v="11"/>
    <n v="0.58699999999999997"/>
    <x v="11"/>
    <x v="16"/>
    <x v="0"/>
    <n v="0.64834590428876826"/>
    <n v="350735.31817640812"/>
    <n v="324172.95214438415"/>
    <n v="-318164.78270844504"/>
    <n v="32570.535467963084"/>
    <s v="36892NGI-SOCAL"/>
    <n v="50"/>
    <n v="0.70147063635281626"/>
    <n v="0.32675520844933853"/>
    <n v="0.16337760422466924"/>
    <n v="-5546.5750511596843"/>
    <n v="-624.57220958870755"/>
    <x v="0"/>
  </r>
  <r>
    <x v="3"/>
    <x v="0"/>
    <s v="NR7764"/>
    <x v="4"/>
    <x v="0"/>
    <x v="0"/>
    <x v="17"/>
    <n v="500000"/>
    <n v="0.3"/>
    <x v="17"/>
    <n v="1.0049999999999999"/>
    <n v="5.8049999999999997"/>
    <x v="17"/>
    <x v="12"/>
    <n v="0.58199999999999996"/>
    <x v="11"/>
    <x v="17"/>
    <x v="0"/>
    <n v="0.79202125840164439"/>
    <n v="400340.85938552325"/>
    <n v="396010.62920082221"/>
    <n v="-377451.1265097991"/>
    <n v="22889.732875724148"/>
    <s v="36861NGI-SOCAL"/>
    <n v="50"/>
    <n v="0.80068171877104655"/>
    <n v="0.28463958616759916"/>
    <n v="0.14231979308379958"/>
    <n v="-4024.8787558000067"/>
    <n v="-577.72680873054378"/>
    <x v="0"/>
  </r>
  <r>
    <x v="3"/>
    <x v="0"/>
    <s v="NR7764"/>
    <x v="4"/>
    <x v="0"/>
    <x v="0"/>
    <x v="18"/>
    <n v="500000"/>
    <n v="0.3"/>
    <x v="18"/>
    <n v="1.5449999999999999"/>
    <n v="6.2809999999999997"/>
    <x v="18"/>
    <x v="13"/>
    <n v="0.57699999999999996"/>
    <x v="11"/>
    <x v="18"/>
    <x v="0"/>
    <n v="1.2434752381691645"/>
    <n v="475196.94199094229"/>
    <n v="621737.6190845822"/>
    <n v="-469050.99406717269"/>
    <n v="6145.9479237695923"/>
    <s v="36831NGI-SOCAL"/>
    <n v="50"/>
    <n v="0.95039388398188462"/>
    <n v="0.10103493406510085"/>
    <n v="5.0517467032550424E-2"/>
    <n v="-1115.7353544299744"/>
    <n v="-150.5532565900163"/>
    <x v="0"/>
  </r>
  <r>
    <x v="3"/>
    <x v="0"/>
    <s v="NR7765"/>
    <x v="0"/>
    <x v="0"/>
    <x v="1"/>
    <x v="14"/>
    <n v="-1000000"/>
    <n v="1.3"/>
    <x v="14"/>
    <n v="1.075"/>
    <n v="5.2880000000000003"/>
    <x v="14"/>
    <x v="9"/>
    <n v="0.61199999999999999"/>
    <x v="7"/>
    <x v="14"/>
    <x v="1"/>
    <n v="0.6392930277151645"/>
    <n v="496547.71675806196"/>
    <n v="-639293.02771516447"/>
    <n v="-583093.79792810336"/>
    <n v="-86546.081170041405"/>
    <s v="36951IF-TRANSCO/Z6"/>
    <n v="-100"/>
    <n v="-0.49654771675806197"/>
    <n v="0.28941543609699122"/>
    <n v="-0.28941543609699122"/>
    <n v="10198.77395926337"/>
    <n v="1287.5218676838535"/>
    <x v="0"/>
  </r>
  <r>
    <x v="3"/>
    <x v="0"/>
    <s v="NR7765"/>
    <x v="0"/>
    <x v="0"/>
    <x v="1"/>
    <x v="15"/>
    <n v="-1000000"/>
    <n v="1.3"/>
    <x v="15"/>
    <n v="2.09"/>
    <n v="6.57"/>
    <x v="15"/>
    <x v="10"/>
    <n v="0.68100000000000005"/>
    <x v="7"/>
    <x v="15"/>
    <x v="1"/>
    <n v="0.30540416005784032"/>
    <n v="256738.01505320816"/>
    <n v="-305404.16005784034"/>
    <n v="-335671.15047905094"/>
    <n v="-78933.135425842775"/>
    <s v="36923IF-TRANSCO/Z6"/>
    <n v="-100"/>
    <n v="-0.25673801505320815"/>
    <n v="0.18746750168101067"/>
    <n v="-0.18746750168101067"/>
    <n v="10673.92486098872"/>
    <n v="1689.8988370843776"/>
    <x v="0"/>
  </r>
  <r>
    <x v="3"/>
    <x v="0"/>
    <s v="NR7765"/>
    <x v="0"/>
    <x v="0"/>
    <x v="1"/>
    <x v="16"/>
    <n v="-1000000"/>
    <n v="1.3"/>
    <x v="16"/>
    <n v="2.17"/>
    <n v="6.9139999999999997"/>
    <x v="16"/>
    <x v="11"/>
    <n v="0.69599999999999995"/>
    <x v="7"/>
    <x v="16"/>
    <x v="1"/>
    <n v="0.25636339276386311"/>
    <n v="237285.31358502826"/>
    <n v="-256363.39276386311"/>
    <n v="-306636.08400388662"/>
    <n v="-69350.770418858359"/>
    <s v="36892IF-TRANSCO/Z6"/>
    <n v="-100"/>
    <n v="-0.23728531358502825"/>
    <n v="0.18977115562933131"/>
    <n v="-0.18977115562933128"/>
    <n v="9942.443722500333"/>
    <n v="1980.5603393089477"/>
    <x v="0"/>
  </r>
  <r>
    <x v="3"/>
    <x v="0"/>
    <s v="NR7765"/>
    <x v="0"/>
    <x v="0"/>
    <x v="1"/>
    <x v="17"/>
    <n v="-1000000"/>
    <n v="1.3"/>
    <x v="17"/>
    <n v="1.645"/>
    <n v="6.4450000000000003"/>
    <x v="17"/>
    <x v="12"/>
    <n v="0.69"/>
    <x v="7"/>
    <x v="17"/>
    <x v="1"/>
    <n v="0.34238488338830875"/>
    <n v="347066.85445667274"/>
    <n v="-342384.88338830875"/>
    <n v="-416333.17596773012"/>
    <n v="-69266.32151105738"/>
    <s v="36861IF-TRANSCO/Z6"/>
    <n v="-100"/>
    <n v="-0.34706685445667274"/>
    <n v="0.28182405620117962"/>
    <n v="-0.28182405620117962"/>
    <n v="9697.0157212395006"/>
    <n v="2489.3423730699892"/>
    <x v="0"/>
  </r>
  <r>
    <x v="3"/>
    <x v="0"/>
    <s v="NR7765"/>
    <x v="0"/>
    <x v="0"/>
    <x v="1"/>
    <x v="18"/>
    <n v="-1000000"/>
    <n v="1.3"/>
    <x v="18"/>
    <n v="0.77"/>
    <n v="5.5060000000000002"/>
    <x v="18"/>
    <x v="13"/>
    <n v="0.625"/>
    <x v="6"/>
    <x v="18"/>
    <x v="1"/>
    <n v="0.61754573814537794"/>
    <n v="741949.70245103969"/>
    <n v="-617545.73814537795"/>
    <n v="-774849.51686241257"/>
    <n v="-32899.814411372878"/>
    <s v="36831IF-TRANSCO/Z6"/>
    <n v="-100"/>
    <n v="-0.74194970245103964"/>
    <n v="0.46134550670195101"/>
    <n v="-0.46134550670195101"/>
    <n v="7132.2287009242691"/>
    <n v="1582.8103446794216"/>
    <x v="0"/>
  </r>
  <r>
    <x v="12"/>
    <x v="0"/>
    <s v="NR7766"/>
    <x v="0"/>
    <x v="0"/>
    <x v="0"/>
    <x v="18"/>
    <n v="500000"/>
    <n v="0.8"/>
    <x v="18"/>
    <n v="0.77"/>
    <n v="5.5060000000000002"/>
    <x v="18"/>
    <x v="13"/>
    <n v="0.625"/>
    <x v="6"/>
    <x v="18"/>
    <x v="0"/>
    <n v="0.24665387075196671"/>
    <n v="250172.67198980015"/>
    <n v="123326.93537598336"/>
    <n v="-227704.55035311778"/>
    <n v="22468.121636682365"/>
    <s v="36831IF-TRANSCO/Z6"/>
    <n v="50"/>
    <n v="0.50034534397960029"/>
    <n v="0.59647082762645387"/>
    <n v="0.29823541381322693"/>
    <n v="-4966.6406313680473"/>
    <n v="-1013.7167491903599"/>
    <x v="0"/>
  </r>
  <r>
    <x v="6"/>
    <x v="0"/>
    <s v="NR7767.1"/>
    <x v="0"/>
    <x v="0"/>
    <x v="0"/>
    <x v="14"/>
    <n v="155000"/>
    <n v="1.3"/>
    <x v="14"/>
    <n v="1.075"/>
    <n v="5.2880000000000003"/>
    <x v="14"/>
    <x v="9"/>
    <n v="0.61199999999999999"/>
    <x v="7"/>
    <x v="14"/>
    <x v="0"/>
    <n v="0.42192546103969569"/>
    <n v="72777.205390045463"/>
    <n v="65398.446461152831"/>
    <n v="-59362.562808689057"/>
    <n v="13414.642581356406"/>
    <s v="36951IF-TRANSCO/Z6"/>
    <n v="15.5"/>
    <n v="0.46953035735513204"/>
    <n v="0.28941543609699122"/>
    <n v="4.4859392595033638E-2"/>
    <n v="-1580.8099636858224"/>
    <n v="-205.92396306427293"/>
    <x v="0"/>
  </r>
  <r>
    <x v="6"/>
    <x v="0"/>
    <s v="NR7767.1"/>
    <x v="0"/>
    <x v="0"/>
    <x v="0"/>
    <x v="15"/>
    <n v="140000"/>
    <n v="1.3"/>
    <x v="15"/>
    <n v="2.09"/>
    <n v="6.57"/>
    <x v="15"/>
    <x v="10"/>
    <n v="0.68100000000000005"/>
    <x v="7"/>
    <x v="15"/>
    <x v="0"/>
    <n v="1.0727244750550129"/>
    <n v="100037.49320850549"/>
    <n v="150181.42650770181"/>
    <n v="-88986.854248887495"/>
    <n v="11050.638959617994"/>
    <s v="36923IF-TRANSCO/Z6"/>
    <n v="14"/>
    <n v="0.71455352291789631"/>
    <n v="0.18746750168101067"/>
    <n v="2.6245450235341493E-2"/>
    <n v="-1494.3494805384207"/>
    <n v="-216.38403264366696"/>
    <x v="0"/>
  </r>
  <r>
    <x v="6"/>
    <x v="0"/>
    <s v="NR7767.1"/>
    <x v="0"/>
    <x v="0"/>
    <x v="0"/>
    <x v="16"/>
    <n v="155000"/>
    <n v="1.3"/>
    <x v="16"/>
    <n v="2.17"/>
    <n v="6.9139999999999997"/>
    <x v="16"/>
    <x v="11"/>
    <n v="0.69599999999999995"/>
    <x v="7"/>
    <x v="16"/>
    <x v="0"/>
    <n v="1.1067191511886412"/>
    <n v="114720.94025160861"/>
    <n v="171541.46843423939"/>
    <n v="-103971.57083668557"/>
    <n v="10749.369414923043"/>
    <s v="36892IF-TRANSCO/Z6"/>
    <n v="15.5"/>
    <n v="0.74013509839747493"/>
    <n v="0.18977115562933131"/>
    <n v="2.9414529122546353E-2"/>
    <n v="-1541.0787769875515"/>
    <n v="-282.29601871135708"/>
    <x v="0"/>
  </r>
  <r>
    <x v="6"/>
    <x v="0"/>
    <s v="NR7767.1"/>
    <x v="0"/>
    <x v="0"/>
    <x v="0"/>
    <x v="17"/>
    <n v="155000"/>
    <n v="1.3"/>
    <x v="17"/>
    <n v="1.645"/>
    <n v="6.4450000000000003"/>
    <x v="17"/>
    <x v="12"/>
    <n v="0.69"/>
    <x v="7"/>
    <x v="17"/>
    <x v="0"/>
    <n v="0.68143579939272703"/>
    <n v="98531.860691635186"/>
    <n v="105622.5489058727"/>
    <n v="-87795.580857421301"/>
    <n v="10736.279834213885"/>
    <s v="36861IF-TRANSCO/Z6"/>
    <n v="15.5"/>
    <n v="0.63568942381700122"/>
    <n v="0.28182405620117962"/>
    <n v="4.3682728711182846E-2"/>
    <n v="-1503.0374367921227"/>
    <n v="-376.01217814306608"/>
    <x v="0"/>
  </r>
  <r>
    <x v="6"/>
    <x v="0"/>
    <s v="NR7767.1"/>
    <x v="0"/>
    <x v="0"/>
    <x v="0"/>
    <x v="18"/>
    <n v="150000"/>
    <n v="1.3"/>
    <x v="18"/>
    <n v="0.77"/>
    <n v="5.5060000000000002"/>
    <x v="18"/>
    <x v="13"/>
    <n v="0.625"/>
    <x v="6"/>
    <x v="18"/>
    <x v="0"/>
    <n v="9.3735415374281122E-2"/>
    <n v="36955.749190201735"/>
    <n v="14060.312306142168"/>
    <n v="-32020.777028495806"/>
    <n v="4934.9721617059295"/>
    <s v="36831IF-TRANSCO/Z6"/>
    <n v="15"/>
    <n v="0.24637166126801158"/>
    <n v="0.46134550670195101"/>
    <n v="6.9201826005292649E-2"/>
    <n v="-1069.8343051386403"/>
    <n v="-252.08252040886984"/>
    <x v="0"/>
  </r>
  <r>
    <x v="6"/>
    <x v="0"/>
    <s v="NR7767.2"/>
    <x v="0"/>
    <x v="0"/>
    <x v="1"/>
    <x v="14"/>
    <n v="155000"/>
    <n v="1.3"/>
    <x v="14"/>
    <n v="1.075"/>
    <n v="5.2880000000000003"/>
    <x v="14"/>
    <x v="9"/>
    <n v="0.61199999999999999"/>
    <x v="7"/>
    <x v="14"/>
    <x v="1"/>
    <n v="0.6392930277151645"/>
    <n v="-76964.896097499601"/>
    <n v="99090.419295850501"/>
    <n v="90379.538678856014"/>
    <n v="13414.642581356413"/>
    <s v="36951IF-TRANSCO/Z6"/>
    <n v="15.5"/>
    <n v="-0.49654771675806192"/>
    <n v="0.28941543609699122"/>
    <n v="4.4859392595033638E-2"/>
    <n v="-1580.8099636858224"/>
    <n v="-199.56588949099731"/>
    <x v="0"/>
  </r>
  <r>
    <x v="6"/>
    <x v="0"/>
    <s v="NR7767.2"/>
    <x v="0"/>
    <x v="0"/>
    <x v="1"/>
    <x v="15"/>
    <n v="140000"/>
    <n v="1.3"/>
    <x v="15"/>
    <n v="2.09"/>
    <n v="6.57"/>
    <x v="15"/>
    <x v="10"/>
    <n v="0.68100000000000005"/>
    <x v="7"/>
    <x v="15"/>
    <x v="1"/>
    <n v="0.30540416005784032"/>
    <n v="-35943.322107449138"/>
    <n v="42756.582408097645"/>
    <n v="46993.961067067132"/>
    <n v="11050.638959617994"/>
    <s v="36923IF-TRANSCO/Z6"/>
    <n v="14"/>
    <n v="-0.25673801505320815"/>
    <n v="0.18746750168101067"/>
    <n v="2.6245450235341493E-2"/>
    <n v="-1494.3494805384207"/>
    <n v="-236.58583719181289"/>
    <x v="0"/>
  </r>
  <r>
    <x v="6"/>
    <x v="0"/>
    <s v="NR7767.2"/>
    <x v="0"/>
    <x v="0"/>
    <x v="1"/>
    <x v="16"/>
    <n v="155000"/>
    <n v="1.3"/>
    <x v="16"/>
    <n v="2.17"/>
    <n v="6.9139999999999997"/>
    <x v="16"/>
    <x v="11"/>
    <n v="0.69599999999999995"/>
    <x v="7"/>
    <x v="16"/>
    <x v="1"/>
    <n v="0.25636339276386311"/>
    <n v="-36779.223605679377"/>
    <n v="39736.325878398784"/>
    <n v="47528.593020602428"/>
    <n v="10749.36941492305"/>
    <s v="36892IF-TRANSCO/Z6"/>
    <n v="15.5"/>
    <n v="-0.23728531358502825"/>
    <n v="0.18977115562933131"/>
    <n v="2.9414529122546353E-2"/>
    <n v="-1541.0787769875515"/>
    <n v="-306.98685259288692"/>
    <x v="0"/>
  </r>
  <r>
    <x v="6"/>
    <x v="0"/>
    <s v="NR7767.2"/>
    <x v="0"/>
    <x v="0"/>
    <x v="1"/>
    <x v="17"/>
    <n v="155000"/>
    <n v="1.3"/>
    <x v="17"/>
    <n v="1.645"/>
    <n v="6.4450000000000003"/>
    <x v="17"/>
    <x v="12"/>
    <n v="0.69"/>
    <x v="7"/>
    <x v="17"/>
    <x v="1"/>
    <n v="0.34238488338830875"/>
    <n v="-53795.362440784273"/>
    <n v="53069.656925187854"/>
    <n v="64531.642274998165"/>
    <n v="10736.279834213892"/>
    <s v="36861IF-TRANSCO/Z6"/>
    <n v="15.5"/>
    <n v="-0.34706685445667274"/>
    <n v="0.28182405620117962"/>
    <n v="4.3682728711182846E-2"/>
    <n v="-1503.0374367921227"/>
    <n v="-385.84806782584832"/>
    <x v="0"/>
  </r>
  <r>
    <x v="6"/>
    <x v="0"/>
    <s v="NR7767.2"/>
    <x v="0"/>
    <x v="0"/>
    <x v="1"/>
    <x v="18"/>
    <n v="150000"/>
    <n v="1.3"/>
    <x v="18"/>
    <n v="0.77"/>
    <n v="5.5060000000000002"/>
    <x v="18"/>
    <x v="13"/>
    <n v="0.625"/>
    <x v="6"/>
    <x v="18"/>
    <x v="1"/>
    <n v="0.61754573814537794"/>
    <n v="-111292.45536765594"/>
    <n v="92631.86072180669"/>
    <n v="116227.42752936188"/>
    <n v="4934.9721617059404"/>
    <s v="36831IF-TRANSCO/Z6"/>
    <n v="15"/>
    <n v="-0.74194970245103964"/>
    <n v="0.46134550670195101"/>
    <n v="6.9201826005292649E-2"/>
    <n v="-1069.8343051386403"/>
    <n v="-237.42155170191324"/>
    <x v="0"/>
  </r>
  <r>
    <x v="21"/>
    <x v="0"/>
    <s v="NS0945"/>
    <x v="0"/>
    <x v="0"/>
    <x v="1"/>
    <x v="12"/>
    <n v="-1240000"/>
    <n v="0.4"/>
    <x v="12"/>
    <n v="0.41499999999999998"/>
    <n v="5.1070000000000002"/>
    <x v="12"/>
    <x v="8"/>
    <n v="0.56399999999999995"/>
    <x v="2"/>
    <x v="12"/>
    <x v="1"/>
    <n v="3.7336330308136434E-2"/>
    <n v="541659.59746651724"/>
    <n v="-46297.049582089181"/>
    <n v="-549752.73950853711"/>
    <n v="-8093.1420420198701"/>
    <s v="36800IF-TRANSCO/Z6"/>
    <n v="-124"/>
    <n v="-0.43682225602138486"/>
    <n v="3.4991243442040143"/>
    <n v="-4.3389141868129775"/>
    <n v="28697.532137073504"/>
    <n v="874.19806674326662"/>
    <x v="0"/>
  </r>
  <r>
    <x v="21"/>
    <x v="0"/>
    <s v="NS0946"/>
    <x v="2"/>
    <x v="0"/>
    <x v="0"/>
    <x v="14"/>
    <n v="-310000"/>
    <n v="0.4"/>
    <x v="14"/>
    <n v="0.27"/>
    <n v="4.4830000000000005"/>
    <x v="14"/>
    <x v="9"/>
    <n v="0.53300000000000003"/>
    <x v="5"/>
    <x v="14"/>
    <x v="0"/>
    <n v="5.4639929538661862E-2"/>
    <n v="-100474.43758976206"/>
    <n v="-16938.378156985178"/>
    <n v="95482.89140471119"/>
    <n v="-4991.5461850508727"/>
    <s v="36951IF-CGT/APPALAC"/>
    <n v="-31"/>
    <n v="0.32411108899923247"/>
    <n v="1.3211332129094593"/>
    <n v="-0.40955129600193241"/>
    <n v="10792.294506805258"/>
    <n v="77.422790765234154"/>
    <x v="0"/>
  </r>
  <r>
    <x v="21"/>
    <x v="0"/>
    <s v="NS0946"/>
    <x v="2"/>
    <x v="0"/>
    <x v="0"/>
    <x v="15"/>
    <n v="-280000"/>
    <n v="0.4"/>
    <x v="15"/>
    <n v="0.29499999999999998"/>
    <n v="4.7750000000000004"/>
    <x v="15"/>
    <x v="10"/>
    <n v="0.59299999999999997"/>
    <x v="5"/>
    <x v="15"/>
    <x v="0"/>
    <n v="7.0506703532524931E-2"/>
    <n v="-103095.40548551212"/>
    <n v="-19741.876989106982"/>
    <n v="98194.423516814451"/>
    <n v="-4900.9819686976698"/>
    <s v="36923IF-CGT/APPALAC"/>
    <n v="-28"/>
    <n v="0.36819787673397186"/>
    <n v="1.2815466106073412"/>
    <n v="-0.35883305097005552"/>
    <n v="11283.92222078082"/>
    <n v="93.901394819365152"/>
    <x v="0"/>
  </r>
  <r>
    <x v="21"/>
    <x v="0"/>
    <s v="NS0946"/>
    <x v="2"/>
    <x v="0"/>
    <x v="0"/>
    <x v="16"/>
    <n v="-310000"/>
    <n v="0.4"/>
    <x v="16"/>
    <n v="0.3"/>
    <n v="5.0439999999999996"/>
    <x v="16"/>
    <x v="11"/>
    <n v="0.60499999999999998"/>
    <x v="5"/>
    <x v="16"/>
    <x v="0"/>
    <n v="6.6512633766821525E-2"/>
    <n v="-113648.19357376476"/>
    <n v="-20618.916467714673"/>
    <n v="108674.49071004173"/>
    <n v="-4973.7028637230251"/>
    <s v="36892IF-CGT/APPALAC"/>
    <n v="-31"/>
    <n v="0.36660707604440246"/>
    <n v="1.3583876434348092"/>
    <n v="-0.42110016946479084"/>
    <n v="12152.903672493137"/>
    <n v="126.09493002322932"/>
    <x v="0"/>
  </r>
  <r>
    <x v="21"/>
    <x v="0"/>
    <s v="NS0946"/>
    <x v="2"/>
    <x v="0"/>
    <x v="0"/>
    <x v="17"/>
    <n v="-310000"/>
    <n v="0.4"/>
    <x v="17"/>
    <n v="0.29499999999999998"/>
    <n v="5.0949999999999998"/>
    <x v="17"/>
    <x v="12"/>
    <n v="0.6"/>
    <x v="5"/>
    <x v="17"/>
    <x v="0"/>
    <n v="5.2292412876347588E-2"/>
    <n v="-105234.94529562142"/>
    <n v="-16210.647991667753"/>
    <n v="101019.98377776175"/>
    <n v="-4214.9615178596723"/>
    <s v="36861IF-CGT/APPALAC"/>
    <n v="-31"/>
    <n v="0.33946756546974655"/>
    <n v="1.5207731596761933"/>
    <n v="-0.4714396794996199"/>
    <n v="10412.62747860194"/>
    <n v="142.02634000636223"/>
    <x v="0"/>
  </r>
  <r>
    <x v="21"/>
    <x v="0"/>
    <s v="NS0946"/>
    <x v="2"/>
    <x v="0"/>
    <x v="0"/>
    <x v="18"/>
    <n v="-300000"/>
    <n v="0.4"/>
    <x v="18"/>
    <n v="0.26500000000000001"/>
    <n v="5.0009999999999994"/>
    <x v="18"/>
    <x v="13"/>
    <n v="0.59499999999999997"/>
    <x v="5"/>
    <x v="18"/>
    <x v="0"/>
    <n v="2.7900806145605476E-2"/>
    <n v="-75145.723965750803"/>
    <n v="-8370.2418436816424"/>
    <n v="72246.573311502492"/>
    <n v="-2899.1506542483112"/>
    <s v="36831IF-CGT/APPALAC"/>
    <n v="-30"/>
    <n v="0.25048574655250266"/>
    <n v="1.6579418494579636"/>
    <n v="-0.49738255483738913"/>
    <n v="7048.6014415326272"/>
    <n v="143.01383425125928"/>
    <x v="0"/>
  </r>
  <r>
    <x v="21"/>
    <x v="0"/>
    <s v="NS0947"/>
    <x v="9"/>
    <x v="0"/>
    <x v="0"/>
    <x v="14"/>
    <n v="-310000"/>
    <n v="0.5"/>
    <x v="14"/>
    <n v="0.36"/>
    <n v="4.5730000000000004"/>
    <x v="14"/>
    <x v="9"/>
    <n v="0.53300000000000003"/>
    <x v="4"/>
    <x v="14"/>
    <x v="0"/>
    <n v="4.0756463999864205E-2"/>
    <n v="-92354.479980177173"/>
    <n v="-12634.503839957904"/>
    <n v="89464.469248137015"/>
    <n v="-2890.0107320401585"/>
    <s v="36951IF-CNG/APPALACH"/>
    <n v="-31"/>
    <n v="0.29791767735541025"/>
    <n v="1.4957656572415807"/>
    <n v="-0.46368735374489001"/>
    <n v="12557.655100779966"/>
    <n v="64.462134086211861"/>
    <x v="0"/>
  </r>
  <r>
    <x v="21"/>
    <x v="0"/>
    <s v="NS0947"/>
    <x v="9"/>
    <x v="0"/>
    <x v="0"/>
    <x v="15"/>
    <n v="-280000"/>
    <n v="0.5"/>
    <x v="15"/>
    <n v="0.41499999999999998"/>
    <n v="4.8949999999999996"/>
    <x v="15"/>
    <x v="10"/>
    <n v="0.59299999999999997"/>
    <x v="4"/>
    <x v="15"/>
    <x v="0"/>
    <n v="6.4690218828433829E-2"/>
    <n v="-109353.86515374279"/>
    <n v="-18113.261271961474"/>
    <n v="106386.75169301005"/>
    <n v="-2967.1134607327404"/>
    <s v="36923IF-CNG/APPALACH"/>
    <n v="-28"/>
    <n v="0.39054951840622426"/>
    <n v="1.5107079053490331"/>
    <n v="-0.42299821349772926"/>
    <n v="13767.826285163757"/>
    <n v="82.901298001617661"/>
    <x v="0"/>
  </r>
  <r>
    <x v="21"/>
    <x v="0"/>
    <s v="NS0947"/>
    <x v="9"/>
    <x v="0"/>
    <x v="0"/>
    <x v="16"/>
    <n v="-310000"/>
    <n v="0.5"/>
    <x v="16"/>
    <n v="0.45500000000000002"/>
    <n v="5.1989999999999998"/>
    <x v="16"/>
    <x v="11"/>
    <n v="0.60499999999999998"/>
    <x v="4"/>
    <x v="16"/>
    <x v="0"/>
    <n v="7.4714134062326673E-2"/>
    <n v="-137682.02001096719"/>
    <n v="-23161.381559321268"/>
    <n v="134608.62318374481"/>
    <n v="-3073.3968272223719"/>
    <s v="36892IF-CNG/APPALACH"/>
    <n v="-31"/>
    <n v="0.44413554842247477"/>
    <n v="1.632235469873766"/>
    <n v="-0.50599299566086753"/>
    <n v="15244.296056415193"/>
    <n v="114.70010418055952"/>
    <x v="0"/>
  </r>
  <r>
    <x v="21"/>
    <x v="0"/>
    <s v="NS0947"/>
    <x v="9"/>
    <x v="0"/>
    <x v="0"/>
    <x v="17"/>
    <n v="-310000"/>
    <n v="0.5"/>
    <x v="17"/>
    <n v="0.375"/>
    <n v="5.1749999999999998"/>
    <x v="17"/>
    <x v="12"/>
    <n v="0.6"/>
    <x v="4"/>
    <x v="17"/>
    <x v="0"/>
    <n v="3.4319075157112557E-2"/>
    <n v="-89138.362174306225"/>
    <n v="-10638.913298704892"/>
    <n v="86757.00128598178"/>
    <n v="-2381.3608883244451"/>
    <s v="36861IF-CNG/APPALACH"/>
    <n v="-31"/>
    <n v="0.28754310378808462"/>
    <n v="1.6985394983431545"/>
    <n v="-0.52654724448637791"/>
    <n v="11855.965474155804"/>
    <n v="111.51114346758365"/>
    <x v="0"/>
  </r>
  <r>
    <x v="21"/>
    <x v="0"/>
    <s v="NS0947"/>
    <x v="9"/>
    <x v="0"/>
    <x v="0"/>
    <x v="18"/>
    <n v="-300000"/>
    <n v="0.5"/>
    <x v="18"/>
    <n v="0.32150000000000001"/>
    <n v="5.0575000000000001"/>
    <x v="18"/>
    <x v="13"/>
    <n v="0.59499999999999997"/>
    <x v="4"/>
    <x v="18"/>
    <x v="0"/>
    <n v="1.1762959430634472E-2"/>
    <n v="-44746.977246670562"/>
    <n v="-3528.8878291903416"/>
    <n v="43449.279439811718"/>
    <n v="-1297.6978068588433"/>
    <s v="36831IF-CNG/APPALACH"/>
    <n v="-30"/>
    <n v="0.1491565908222352"/>
    <n v="1.4732318611697899"/>
    <n v="-0.44196955835093699"/>
    <n v="6344.8026231584281"/>
    <n v="86.649717386684245"/>
    <x v="0"/>
  </r>
  <r>
    <x v="2"/>
    <x v="0"/>
    <s v="NS2705"/>
    <x v="7"/>
    <x v="0"/>
    <x v="1"/>
    <x v="14"/>
    <n v="-310000"/>
    <n v="-0.25"/>
    <x v="14"/>
    <n v="-0.13750000000000001"/>
    <n v="4.0754999999999999"/>
    <x v="14"/>
    <x v="9"/>
    <n v="0.53300000000000003"/>
    <x v="4"/>
    <x v="14"/>
    <x v="1"/>
    <n v="2.8081517606628359E-2"/>
    <n v="79966.410141486209"/>
    <n v="-8705.2704580547907"/>
    <n v="-83276.811563618699"/>
    <n v="-3310.4014221324906"/>
    <s v="36951IF-PAN/TX/OK"/>
    <n v="-31"/>
    <n v="-0.2579561617467297"/>
    <n v="1.7860904547404732"/>
    <n v="-0.5536880409695466"/>
    <n v="13776.35681838114"/>
    <n v="46.947587642121192"/>
    <x v="0"/>
  </r>
  <r>
    <x v="2"/>
    <x v="0"/>
    <s v="NS2705"/>
    <x v="7"/>
    <x v="0"/>
    <x v="1"/>
    <x v="15"/>
    <n v="-280000"/>
    <n v="-0.25"/>
    <x v="15"/>
    <n v="-0.14499999999999999"/>
    <n v="4.335"/>
    <x v="15"/>
    <x v="10"/>
    <n v="0.59299999999999997"/>
    <x v="4"/>
    <x v="15"/>
    <x v="1"/>
    <n v="3.474232817201546E-2"/>
    <n v="80025.331418855436"/>
    <n v="-9727.8518881643286"/>
    <n v="-83279.530560721731"/>
    <n v="-3254.1991418662947"/>
    <s v="36923IF-PAN/TX/OK"/>
    <n v="-28"/>
    <n v="-0.28580475506734082"/>
    <n v="1.7456774116097948"/>
    <n v="-0.48878967525074252"/>
    <n v="14393.352794310162"/>
    <n v="57.034363185516746"/>
    <x v="0"/>
  </r>
  <r>
    <x v="2"/>
    <x v="0"/>
    <s v="NS2705"/>
    <x v="7"/>
    <x v="0"/>
    <x v="1"/>
    <x v="16"/>
    <n v="-310000"/>
    <n v="-0.25"/>
    <x v="16"/>
    <n v="-0.16"/>
    <n v="4.5839999999999996"/>
    <x v="16"/>
    <x v="11"/>
    <n v="0.60499999999999998"/>
    <x v="4"/>
    <x v="16"/>
    <x v="1"/>
    <n v="3.6175246754154872E-2"/>
    <n v="94675.014060187517"/>
    <n v="-11214.32649378801"/>
    <n v="-98067.461533815775"/>
    <n v="-3392.4474736282573"/>
    <s v="36892IF-PAN/TX/OK"/>
    <n v="-31"/>
    <n v="-0.3054032711618952"/>
    <n v="1.8921537689042425"/>
    <n v="-0.58656766836031515"/>
    <n v="15813.142133628477"/>
    <n v="79.269247095821243"/>
    <x v="0"/>
  </r>
  <r>
    <x v="2"/>
    <x v="0"/>
    <s v="NS2705"/>
    <x v="7"/>
    <x v="0"/>
    <x v="1"/>
    <x v="17"/>
    <n v="-310000"/>
    <n v="-0.25"/>
    <x v="17"/>
    <n v="-0.1525"/>
    <n v="4.6475"/>
    <x v="17"/>
    <x v="12"/>
    <n v="0.6"/>
    <x v="4"/>
    <x v="17"/>
    <x v="1"/>
    <n v="2.6360420473757418E-2"/>
    <n v="82843.55898068173"/>
    <n v="-8171.7303468647997"/>
    <n v="-85621.109941293209"/>
    <n v="-2777.5509606114792"/>
    <s v="36861IF-PAN/TX/OK"/>
    <n v="-31"/>
    <n v="-0.2672372870344572"/>
    <n v="2.0369771264325376"/>
    <n v="-0.63146290919408665"/>
    <n v="13113.528574501112"/>
    <n v="86.277168286913536"/>
    <x v="0"/>
  </r>
  <r>
    <x v="2"/>
    <x v="0"/>
    <s v="NS2705"/>
    <x v="7"/>
    <x v="0"/>
    <x v="1"/>
    <x v="18"/>
    <n v="-300000"/>
    <n v="-0.25"/>
    <x v="18"/>
    <n v="-0.14249999999999999"/>
    <n v="4.5934999999999997"/>
    <x v="18"/>
    <x v="13"/>
    <n v="0.59499999999999997"/>
    <x v="4"/>
    <x v="18"/>
    <x v="1"/>
    <n v="1.4632522343757033E-2"/>
    <n v="60324.897458959662"/>
    <n v="-4389.7567031271101"/>
    <n v="-62205.476113935089"/>
    <n v="-1880.5786549754266"/>
    <s v="36831IF-PAN/TX/OK"/>
    <n v="-30"/>
    <n v="-0.20108299152986553"/>
    <n v="2.1615108076859797"/>
    <n v="-0.64845324230579393"/>
    <n v="8768.1308252317976"/>
    <n v="85.812553604891832"/>
    <x v="0"/>
  </r>
  <r>
    <x v="8"/>
    <x v="0"/>
    <s v="NS2749"/>
    <x v="6"/>
    <x v="0"/>
    <x v="0"/>
    <x v="19"/>
    <n v="310000"/>
    <n v="0.2"/>
    <x v="19"/>
    <n v="0.12"/>
    <n v="3.3050000000000002"/>
    <x v="19"/>
    <x v="14"/>
    <n v="0.27300000000000002"/>
    <x v="12"/>
    <x v="19"/>
    <x v="0"/>
    <n v="5.9226425393445012E-2"/>
    <n v="103744.10547558307"/>
    <n v="18360.191871967952"/>
    <n v="-96480.473601048012"/>
    <n v="7263.6318745350582"/>
    <s v="37681NGI/CHI. GATE"/>
    <n v="31"/>
    <n v="0.3346584047599454"/>
    <n v="1.2420362357662209"/>
    <n v="0.38503123308752846"/>
    <n v="-7381.6190195051531"/>
    <n v="-11.002285841228307"/>
    <x v="0"/>
  </r>
  <r>
    <x v="8"/>
    <x v="0"/>
    <s v="NS2749"/>
    <x v="6"/>
    <x v="0"/>
    <x v="0"/>
    <x v="20"/>
    <n v="280000"/>
    <n v="0.2"/>
    <x v="20"/>
    <n v="0.1225"/>
    <n v="3.4775"/>
    <x v="20"/>
    <x v="15"/>
    <n v="0.28299999999999997"/>
    <x v="12"/>
    <x v="20"/>
    <x v="0"/>
    <n v="6.6279555037330934E-2"/>
    <n v="96822.167513298191"/>
    <n v="18558.275410452661"/>
    <n v="-90009.625395118623"/>
    <n v="6812.5421181795682"/>
    <s v="37653NGI/CHI. GATE"/>
    <n v="28"/>
    <n v="0.34579345540463641"/>
    <n v="1.1745947396253056"/>
    <n v="0.32888652709508565"/>
    <n v="-7290.7433975416088"/>
    <n v="-11.10476812504732"/>
    <x v="0"/>
  </r>
  <r>
    <x v="8"/>
    <x v="0"/>
    <s v="NS2749"/>
    <x v="6"/>
    <x v="0"/>
    <x v="0"/>
    <x v="21"/>
    <n v="310000"/>
    <n v="0.2"/>
    <x v="21"/>
    <n v="0.14499999999999999"/>
    <n v="3.6419999999999999"/>
    <x v="21"/>
    <x v="15"/>
    <n v="0.28299999999999997"/>
    <x v="12"/>
    <x v="21"/>
    <x v="0"/>
    <n v="7.659953700503995E-2"/>
    <n v="116349.10044555389"/>
    <n v="23745.856471562383"/>
    <n v="-108735.40417470539"/>
    <n v="7613.696270848508"/>
    <s v="37622NGI/CHI. GATE"/>
    <n v="31"/>
    <n v="0.37531967885662548"/>
    <n v="1.1687427734289606"/>
    <n v="0.36231025976297782"/>
    <n v="-8514.4961939334062"/>
    <n v="-13.088690584814925"/>
    <x v="0"/>
  </r>
  <r>
    <x v="8"/>
    <x v="0"/>
    <s v="NS2749"/>
    <x v="6"/>
    <x v="0"/>
    <x v="0"/>
    <x v="22"/>
    <n v="310000"/>
    <n v="0.2"/>
    <x v="22"/>
    <n v="0.13250000000000001"/>
    <n v="3.6364999999999998"/>
    <x v="22"/>
    <x v="16"/>
    <n v="0.29499999999999998"/>
    <x v="12"/>
    <x v="22"/>
    <x v="0"/>
    <n v="7.462411098488099E-2"/>
    <n v="113124.11143208624"/>
    <n v="23133.474405313107"/>
    <n v="-105344.46436664596"/>
    <n v="7779.6470654402801"/>
    <s v="37591NGI/CHI. GATE"/>
    <n v="31"/>
    <n v="0.36491648849060077"/>
    <n v="1.1466840087217527"/>
    <n v="0.35547204270374327"/>
    <n v="-8728.6192727320686"/>
    <n v="-14.242462717107188"/>
    <x v="0"/>
  </r>
  <r>
    <x v="8"/>
    <x v="0"/>
    <s v="NS2749"/>
    <x v="6"/>
    <x v="0"/>
    <x v="0"/>
    <x v="23"/>
    <n v="300000"/>
    <n v="0.2"/>
    <x v="23"/>
    <n v="9.2499999999999999E-2"/>
    <n v="3.5105"/>
    <x v="23"/>
    <x v="17"/>
    <n v="0.29299999999999998"/>
    <x v="12"/>
    <x v="23"/>
    <x v="0"/>
    <n v="5.7097412131602632E-2"/>
    <n v="94667.397194913166"/>
    <n v="17129.223639480788"/>
    <n v="-87623.453558757348"/>
    <n v="7043.9436361558182"/>
    <s v="37561NGI/CHI. GATE"/>
    <n v="30"/>
    <n v="0.31555799064971057"/>
    <n v="1.1730016742887468"/>
    <n v="0.35190050228662406"/>
    <n v="-7646.5197771114999"/>
    <n v="-13.773852399955365"/>
    <x v="0"/>
  </r>
  <r>
    <x v="3"/>
    <x v="0"/>
    <s v="NS2782"/>
    <x v="4"/>
    <x v="0"/>
    <x v="0"/>
    <x v="14"/>
    <n v="155000"/>
    <n v="0.3"/>
    <x v="14"/>
    <n v="0.59750000000000003"/>
    <n v="4.8105000000000002"/>
    <x v="14"/>
    <x v="9"/>
    <n v="0.51700000000000002"/>
    <x v="11"/>
    <x v="14"/>
    <x v="0"/>
    <n v="0.51572110794585235"/>
    <n v="99420.827914838635"/>
    <n v="79936.771731607121"/>
    <n v="-87969.92445055391"/>
    <n v="11450.903464284725"/>
    <s v="36951NGI-SOCAL"/>
    <n v="15.5"/>
    <n v="0.64142469622476539"/>
    <n v="0.37143232019710426"/>
    <n v="5.757200963055116E-2"/>
    <n v="-1717.3533475599691"/>
    <n v="-126.74228614769555"/>
    <x v="0"/>
  </r>
  <r>
    <x v="3"/>
    <x v="0"/>
    <s v="NS2782"/>
    <x v="4"/>
    <x v="0"/>
    <x v="0"/>
    <x v="15"/>
    <n v="140000"/>
    <n v="0.3"/>
    <x v="15"/>
    <n v="0.61750000000000005"/>
    <n v="5.0975000000000001"/>
    <x v="15"/>
    <x v="10"/>
    <n v="0.57499999999999996"/>
    <x v="11"/>
    <x v="15"/>
    <x v="0"/>
    <n v="0.5597231033502309"/>
    <n v="90129.343618233528"/>
    <n v="78361.234469032323"/>
    <n v="-79455.880376447691"/>
    <n v="10673.463241785837"/>
    <s v="36923NGI-SOCAL"/>
    <n v="14"/>
    <n v="0.64378102584452523"/>
    <n v="0.34418424748724724"/>
    <n v="4.8185794648214611E-2"/>
    <n v="-1698.4133307664115"/>
    <n v="-150.67111524983358"/>
    <x v="0"/>
  </r>
  <r>
    <x v="3"/>
    <x v="0"/>
    <s v="NS2782"/>
    <x v="4"/>
    <x v="0"/>
    <x v="0"/>
    <x v="16"/>
    <n v="155000"/>
    <n v="0.3"/>
    <x v="16"/>
    <n v="0.76749999999999996"/>
    <n v="5.5114999999999998"/>
    <x v="16"/>
    <x v="11"/>
    <n v="0.58699999999999997"/>
    <x v="11"/>
    <x v="16"/>
    <x v="0"/>
    <n v="0.64834590428876826"/>
    <n v="108727.94863468652"/>
    <n v="100493.61516475907"/>
    <n v="-98631.082639617962"/>
    <n v="10096.865995068554"/>
    <s v="36892NGI-SOCAL"/>
    <n v="15.5"/>
    <n v="0.70147063635281626"/>
    <n v="0.32675520844933853"/>
    <n v="5.0647057309647463E-2"/>
    <n v="-1719.4382658595021"/>
    <n v="-193.61738497249934"/>
    <x v="0"/>
  </r>
  <r>
    <x v="3"/>
    <x v="0"/>
    <s v="NS2782"/>
    <x v="4"/>
    <x v="0"/>
    <x v="0"/>
    <x v="17"/>
    <n v="155000"/>
    <n v="0.3"/>
    <x v="17"/>
    <n v="1.0049999999999999"/>
    <n v="5.8049999999999997"/>
    <x v="17"/>
    <x v="12"/>
    <n v="0.58199999999999996"/>
    <x v="11"/>
    <x v="17"/>
    <x v="0"/>
    <n v="0.79202125840164439"/>
    <n v="124105.66640951221"/>
    <n v="122763.29505225488"/>
    <n v="-117009.84921803772"/>
    <n v="7095.8171914744889"/>
    <s v="36861NGI-SOCAL"/>
    <n v="15.5"/>
    <n v="0.80068171877104655"/>
    <n v="0.28463958616759916"/>
    <n v="4.4119135855977862E-2"/>
    <n v="-1247.7124142980022"/>
    <n v="-179.09531070646858"/>
    <x v="0"/>
  </r>
  <r>
    <x v="3"/>
    <x v="0"/>
    <s v="NS2782"/>
    <x v="4"/>
    <x v="0"/>
    <x v="0"/>
    <x v="18"/>
    <n v="150000"/>
    <n v="0.3"/>
    <x v="18"/>
    <n v="1.5449999999999999"/>
    <n v="6.2809999999999997"/>
    <x v="18"/>
    <x v="13"/>
    <n v="0.57699999999999996"/>
    <x v="11"/>
    <x v="18"/>
    <x v="0"/>
    <n v="1.2434752381691645"/>
    <n v="142559.08259728269"/>
    <n v="186521.28572537468"/>
    <n v="-140715.2982201518"/>
    <n v="1843.7843771308835"/>
    <s v="36831NGI-SOCAL"/>
    <n v="15"/>
    <n v="0.95039388398188462"/>
    <n v="0.10103493406510085"/>
    <n v="1.5155240109765126E-2"/>
    <n v="-334.72060632899235"/>
    <n v="-45.165976977004888"/>
    <x v="0"/>
  </r>
  <r>
    <x v="16"/>
    <x v="0"/>
    <s v="NS3031.1"/>
    <x v="4"/>
    <x v="0"/>
    <x v="0"/>
    <x v="12"/>
    <n v="620000"/>
    <n v="0.85"/>
    <x v="12"/>
    <n v="1.99"/>
    <n v="6.6820000000000004"/>
    <x v="12"/>
    <x v="8"/>
    <n v="0.54100000000000004"/>
    <x v="7"/>
    <x v="12"/>
    <x v="0"/>
    <n v="1.1368172389465752"/>
    <n v="606795.56722442212"/>
    <n v="704826.68814687664"/>
    <n v="-604337.80256026611"/>
    <n v="2457.7646641560132"/>
    <s v="36800NGI-SOCAL"/>
    <n v="62"/>
    <n v="0.97870252778132605"/>
    <n v="6.5763907233441221E-2"/>
    <n v="4.0773622484733554E-2"/>
    <n v="-409.7148903091973"/>
    <n v="-100.27784211741194"/>
    <x v="0"/>
  </r>
  <r>
    <x v="16"/>
    <x v="0"/>
    <s v="NS3031.1"/>
    <x v="4"/>
    <x v="0"/>
    <x v="0"/>
    <x v="13"/>
    <n v="600000"/>
    <n v="0.85"/>
    <x v="13"/>
    <n v="2.5"/>
    <n v="7.1849999999999996"/>
    <x v="13"/>
    <x v="5"/>
    <n v="0.376"/>
    <x v="7"/>
    <x v="13"/>
    <x v="0"/>
    <n v="1.6493930359247566"/>
    <n v="599779.28574823542"/>
    <n v="989635.82155485393"/>
    <n v="-599779.3096899502"/>
    <n v="-2.3941714782267809E-2"/>
    <s v="36770NGI-SOCAL"/>
    <n v="60"/>
    <n v="0.99963214291372571"/>
    <n v="1.6189205011957989E-60"/>
    <n v="9.7135230071747924E-61"/>
    <n v="7.5165151909029575E-5"/>
    <n v="182.24534936859692"/>
    <x v="0"/>
  </r>
  <r>
    <x v="16"/>
    <x v="0"/>
    <s v="NS3031.2"/>
    <x v="4"/>
    <x v="0"/>
    <x v="1"/>
    <x v="12"/>
    <n v="-620000"/>
    <n v="0.5"/>
    <x v="12"/>
    <n v="1.99"/>
    <n v="6.6820000000000004"/>
    <x v="12"/>
    <x v="8"/>
    <n v="0.54100000000000004"/>
    <x v="7"/>
    <x v="12"/>
    <x v="1"/>
    <n v="4.187872871359577E-4"/>
    <n v="1414.5209735996823"/>
    <n v="-259.64811802429375"/>
    <n v="-1891.730114723038"/>
    <n v="-477.20914112335572"/>
    <s v="36800NGI-SOCAL"/>
    <n v="-62"/>
    <n v="-2.28148544128981E-3"/>
    <n v="1.178719595959174E-2"/>
    <n v="-7.3080614949468789E-3"/>
    <n v="78.645190705699903"/>
    <n v="43.250225638742556"/>
    <x v="0"/>
  </r>
  <r>
    <x v="16"/>
    <x v="0"/>
    <s v="NS3031.2"/>
    <x v="4"/>
    <x v="0"/>
    <x v="1"/>
    <x v="13"/>
    <n v="-600000"/>
    <n v="0.5"/>
    <x v="13"/>
    <n v="2.5"/>
    <n v="7.1849999999999996"/>
    <x v="13"/>
    <x v="5"/>
    <n v="0.376"/>
    <x v="7"/>
    <x v="13"/>
    <x v="1"/>
    <n v="2.6217787613136423E-7"/>
    <n v="-7.8612541343225928E-2"/>
    <n v="-0.15730672567881854"/>
    <n v="0.1025542562871351"/>
    <n v="2.3941714943909176E-2"/>
    <s v="36770NGI-SOCAL"/>
    <n v="-60"/>
    <n v="1.3102090223870988E-7"/>
    <n v="1.0011402570486957E-90"/>
    <n v="-6.0068415422921739E-91"/>
    <n v="7.5165151909029575E-5"/>
    <n v="-2.0637971651273051E-5"/>
    <x v="0"/>
  </r>
  <r>
    <x v="16"/>
    <x v="0"/>
    <s v="NS5125"/>
    <x v="4"/>
    <x v="0"/>
    <x v="1"/>
    <x v="12"/>
    <n v="-155000"/>
    <n v="0.5"/>
    <x v="12"/>
    <n v="1.99"/>
    <n v="6.6820000000000004"/>
    <x v="12"/>
    <x v="8"/>
    <n v="0.54100000000000004"/>
    <x v="7"/>
    <x v="12"/>
    <x v="1"/>
    <n v="4.187872871359577E-4"/>
    <n v="353.63024339992057"/>
    <n v="-64.912029506073438"/>
    <n v="-472.9325286807595"/>
    <n v="-119.30228528083893"/>
    <s v="36800NGI-SOCAL"/>
    <n v="-15.5"/>
    <n v="-2.28148544128981E-3"/>
    <n v="1.178719595959174E-2"/>
    <n v="-1.8270153737367197E-3"/>
    <n v="19.661297676424976"/>
    <n v="10.812556409685639"/>
    <x v="0"/>
  </r>
  <r>
    <x v="16"/>
    <x v="0"/>
    <s v="NS5125"/>
    <x v="4"/>
    <x v="0"/>
    <x v="1"/>
    <x v="13"/>
    <n v="-150000"/>
    <n v="0.5"/>
    <x v="13"/>
    <n v="2.5"/>
    <n v="7.1849999999999996"/>
    <x v="13"/>
    <x v="5"/>
    <n v="0.376"/>
    <x v="7"/>
    <x v="13"/>
    <x v="1"/>
    <n v="2.6217787613136423E-7"/>
    <n v="-1.9653135335806482E-2"/>
    <n v="-3.9326681419704634E-2"/>
    <n v="2.5638564071783776E-2"/>
    <n v="5.985428735977294E-3"/>
    <s v="36770NGI-SOCAL"/>
    <n v="-15"/>
    <n v="1.3102090223870988E-7"/>
    <n v="1.0011402570486957E-90"/>
    <n v="-1.5017103855730435E-91"/>
    <n v="1.8791287977257394E-5"/>
    <n v="-5.1594929128182626E-6"/>
    <x v="0"/>
  </r>
  <r>
    <x v="9"/>
    <x v="0"/>
    <s v="NS5170"/>
    <x v="4"/>
    <x v="0"/>
    <x v="1"/>
    <x v="12"/>
    <n v="155000"/>
    <n v="0.5"/>
    <x v="12"/>
    <n v="1.99"/>
    <n v="6.6820000000000004"/>
    <x v="12"/>
    <x v="8"/>
    <n v="0.54100000000000004"/>
    <x v="7"/>
    <x v="12"/>
    <x v="1"/>
    <n v="4.187872871359577E-4"/>
    <n v="-353.63024339992057"/>
    <n v="64.912029506073438"/>
    <n v="472.9325286807595"/>
    <n v="119.30228528083893"/>
    <s v="36800NGI-SOCAL"/>
    <n v="15.5"/>
    <n v="-2.28148544128981E-3"/>
    <n v="1.178719595959174E-2"/>
    <n v="1.8270153737367197E-3"/>
    <n v="-19.661297676424976"/>
    <n v="-10.812556409685639"/>
    <x v="0"/>
  </r>
  <r>
    <x v="9"/>
    <x v="0"/>
    <s v="NS5170"/>
    <x v="4"/>
    <x v="0"/>
    <x v="1"/>
    <x v="13"/>
    <n v="150000"/>
    <n v="0.5"/>
    <x v="13"/>
    <n v="2.5"/>
    <n v="7.1849999999999996"/>
    <x v="13"/>
    <x v="5"/>
    <n v="0.376"/>
    <x v="7"/>
    <x v="13"/>
    <x v="1"/>
    <n v="2.6217787613136423E-7"/>
    <n v="1.9653135335806482E-2"/>
    <n v="3.9326681419704634E-2"/>
    <n v="-2.5638564071783776E-2"/>
    <n v="-5.985428735977294E-3"/>
    <s v="36770NGI-SOCAL"/>
    <n v="15"/>
    <n v="1.3102090223870988E-7"/>
    <n v="1.0011402570486957E-90"/>
    <n v="1.5017103855730435E-91"/>
    <n v="-1.8791287977257394E-5"/>
    <n v="5.1594929128182626E-6"/>
    <x v="0"/>
  </r>
  <r>
    <x v="3"/>
    <x v="0"/>
    <s v="NS5173"/>
    <x v="4"/>
    <x v="0"/>
    <x v="0"/>
    <x v="14"/>
    <n v="155000"/>
    <n v="0.3"/>
    <x v="14"/>
    <n v="0.59750000000000003"/>
    <n v="4.8105000000000002"/>
    <x v="14"/>
    <x v="9"/>
    <n v="0.51700000000000002"/>
    <x v="11"/>
    <x v="14"/>
    <x v="0"/>
    <n v="0.51572110794585235"/>
    <n v="99420.827914838635"/>
    <n v="79936.771731607121"/>
    <n v="-87969.92445055391"/>
    <n v="11450.903464284725"/>
    <s v="36951NGI-SOCAL"/>
    <n v="15.5"/>
    <n v="0.64142469622476539"/>
    <n v="0.37143232019710426"/>
    <n v="5.757200963055116E-2"/>
    <n v="-1717.3533475599691"/>
    <n v="-126.74228614769555"/>
    <x v="0"/>
  </r>
  <r>
    <x v="3"/>
    <x v="0"/>
    <s v="NS5173"/>
    <x v="4"/>
    <x v="0"/>
    <x v="0"/>
    <x v="15"/>
    <n v="140000"/>
    <n v="0.3"/>
    <x v="15"/>
    <n v="0.61750000000000005"/>
    <n v="5.0975000000000001"/>
    <x v="15"/>
    <x v="10"/>
    <n v="0.57499999999999996"/>
    <x v="11"/>
    <x v="15"/>
    <x v="0"/>
    <n v="0.5597231033502309"/>
    <n v="90129.343618233528"/>
    <n v="78361.234469032323"/>
    <n v="-79455.880376447691"/>
    <n v="10673.463241785837"/>
    <s v="36923NGI-SOCAL"/>
    <n v="14"/>
    <n v="0.64378102584452523"/>
    <n v="0.34418424748724724"/>
    <n v="4.8185794648214611E-2"/>
    <n v="-1698.4133307664115"/>
    <n v="-150.67111524983358"/>
    <x v="0"/>
  </r>
  <r>
    <x v="3"/>
    <x v="0"/>
    <s v="NS5173"/>
    <x v="4"/>
    <x v="0"/>
    <x v="0"/>
    <x v="16"/>
    <n v="155000"/>
    <n v="0.3"/>
    <x v="16"/>
    <n v="0.76749999999999996"/>
    <n v="5.5114999999999998"/>
    <x v="16"/>
    <x v="11"/>
    <n v="0.58699999999999997"/>
    <x v="11"/>
    <x v="16"/>
    <x v="0"/>
    <n v="0.64834590428876826"/>
    <n v="108727.94863468652"/>
    <n v="100493.61516475907"/>
    <n v="-98631.082639617962"/>
    <n v="10096.865995068554"/>
    <s v="36892NGI-SOCAL"/>
    <n v="15.5"/>
    <n v="0.70147063635281626"/>
    <n v="0.32675520844933853"/>
    <n v="5.0647057309647463E-2"/>
    <n v="-1719.4382658595021"/>
    <n v="-193.61738497249934"/>
    <x v="0"/>
  </r>
  <r>
    <x v="3"/>
    <x v="0"/>
    <s v="NS5173"/>
    <x v="4"/>
    <x v="0"/>
    <x v="0"/>
    <x v="17"/>
    <n v="155000"/>
    <n v="0.3"/>
    <x v="17"/>
    <n v="1.0049999999999999"/>
    <n v="5.8049999999999997"/>
    <x v="17"/>
    <x v="12"/>
    <n v="0.58199999999999996"/>
    <x v="11"/>
    <x v="17"/>
    <x v="0"/>
    <n v="0.79202125840164439"/>
    <n v="124105.66640951221"/>
    <n v="122763.29505225488"/>
    <n v="-117009.84921803772"/>
    <n v="7095.8171914744889"/>
    <s v="36861NGI-SOCAL"/>
    <n v="15.5"/>
    <n v="0.80068171877104655"/>
    <n v="0.28463958616759916"/>
    <n v="4.4119135855977862E-2"/>
    <n v="-1247.7124142980022"/>
    <n v="-179.09531070646858"/>
    <x v="0"/>
  </r>
  <r>
    <x v="3"/>
    <x v="0"/>
    <s v="NS5173"/>
    <x v="4"/>
    <x v="0"/>
    <x v="0"/>
    <x v="18"/>
    <n v="150000"/>
    <n v="0.3"/>
    <x v="18"/>
    <n v="1.5449999999999999"/>
    <n v="6.2809999999999997"/>
    <x v="18"/>
    <x v="13"/>
    <n v="0.57699999999999996"/>
    <x v="11"/>
    <x v="18"/>
    <x v="0"/>
    <n v="1.2434752381691645"/>
    <n v="142559.08259728269"/>
    <n v="186521.28572537468"/>
    <n v="-140715.2982201518"/>
    <n v="1843.7843771308835"/>
    <s v="36831NGI-SOCAL"/>
    <n v="15"/>
    <n v="0.95039388398188462"/>
    <n v="0.10103493406510085"/>
    <n v="1.5155240109765126E-2"/>
    <n v="-334.72060632899235"/>
    <n v="-45.165976977004888"/>
    <x v="0"/>
  </r>
  <r>
    <x v="3"/>
    <x v="0"/>
    <s v="NS7549"/>
    <x v="4"/>
    <x v="0"/>
    <x v="0"/>
    <x v="12"/>
    <n v="1000000"/>
    <n v="0.7"/>
    <x v="12"/>
    <n v="1.99"/>
    <n v="6.6820000000000004"/>
    <x v="12"/>
    <x v="8"/>
    <n v="0.54100000000000004"/>
    <x v="7"/>
    <x v="12"/>
    <x v="0"/>
    <n v="1.2840118782300358"/>
    <n v="987079.96812461468"/>
    <n v="1284011.8782300358"/>
    <n v="-985005.84803177707"/>
    <n v="2074.1200928376056"/>
    <s v="36800NGI-SOCAL"/>
    <n v="100"/>
    <n v="0.98707996812461463"/>
    <n v="3.3251173272482837E-2"/>
    <n v="3.3251173272482844E-2"/>
    <n v="-344.12748750783146"/>
    <n v="47.653045385256448"/>
    <x v="0"/>
  </r>
  <r>
    <x v="3"/>
    <x v="0"/>
    <s v="NS7549"/>
    <x v="4"/>
    <x v="0"/>
    <x v="0"/>
    <x v="13"/>
    <n v="1000000"/>
    <n v="0.7"/>
    <x v="13"/>
    <n v="2.5"/>
    <n v="7.1849999999999996"/>
    <x v="13"/>
    <x v="5"/>
    <n v="0.376"/>
    <x v="7"/>
    <x v="13"/>
    <x v="0"/>
    <n v="1.7993378573699415"/>
    <n v="999632.14291372558"/>
    <n v="1799337.8573699414"/>
    <n v="-999632.18281658553"/>
    <n v="-3.9902859949506819E-2"/>
    <s v="36770NGI-SOCAL"/>
    <n v="100"/>
    <n v="0.9996321429137256"/>
    <n v="7.8982542993172119E-73"/>
    <n v="7.8982542993172131E-73"/>
    <n v="3.7582575954514785E-4"/>
    <n v="331.35518192069458"/>
    <x v="0"/>
  </r>
  <r>
    <x v="9"/>
    <x v="0"/>
    <s v="NS9621"/>
    <x v="4"/>
    <x v="0"/>
    <x v="1"/>
    <x v="12"/>
    <n v="-155000"/>
    <n v="0.5"/>
    <x v="12"/>
    <n v="1.99"/>
    <n v="6.6820000000000004"/>
    <x v="12"/>
    <x v="8"/>
    <n v="0.54100000000000004"/>
    <x v="7"/>
    <x v="12"/>
    <x v="1"/>
    <n v="4.187872871359577E-4"/>
    <n v="353.63024339992057"/>
    <n v="-64.912029506073438"/>
    <n v="-472.9325286807595"/>
    <n v="-119.30228528083893"/>
    <s v="36800NGI-SOCAL"/>
    <n v="-15.5"/>
    <n v="-2.28148544128981E-3"/>
    <n v="1.178719595959174E-2"/>
    <n v="-1.8270153737367197E-3"/>
    <n v="19.661297676424976"/>
    <n v="10.812556409685639"/>
    <x v="0"/>
  </r>
  <r>
    <x v="9"/>
    <x v="0"/>
    <s v="NS9621"/>
    <x v="4"/>
    <x v="0"/>
    <x v="1"/>
    <x v="13"/>
    <n v="-150000"/>
    <n v="0.5"/>
    <x v="13"/>
    <n v="2.5"/>
    <n v="7.1849999999999996"/>
    <x v="13"/>
    <x v="5"/>
    <n v="0.376"/>
    <x v="7"/>
    <x v="13"/>
    <x v="1"/>
    <n v="2.6217787613136423E-7"/>
    <n v="-1.9653135335806482E-2"/>
    <n v="-3.9326681419704634E-2"/>
    <n v="2.5638564071783776E-2"/>
    <n v="5.985428735977294E-3"/>
    <s v="36770NGI-SOCAL"/>
    <n v="-15"/>
    <n v="1.3102090223870988E-7"/>
    <n v="1.0011402570486957E-90"/>
    <n v="-1.5017103855730435E-91"/>
    <n v="1.8791287977257394E-5"/>
    <n v="-5.1594929128182626E-6"/>
    <x v="0"/>
  </r>
  <r>
    <x v="21"/>
    <x v="0"/>
    <s v="NT3509"/>
    <x v="6"/>
    <x v="0"/>
    <x v="0"/>
    <x v="18"/>
    <n v="-150000"/>
    <n v="0.15"/>
    <x v="18"/>
    <n v="8.7499999999999994E-2"/>
    <n v="4.8235000000000001"/>
    <x v="18"/>
    <x v="13"/>
    <n v="0.59499999999999997"/>
    <x v="10"/>
    <x v="18"/>
    <x v="0"/>
    <n v="1.550052519581778E-2"/>
    <n v="-39672.463093012084"/>
    <n v="-2325.0787793726668"/>
    <n v="38804.971958279595"/>
    <n v="-867.49113473248872"/>
    <s v="36831NGI/CHI. GATE"/>
    <n v="-15"/>
    <n v="0.26448308728674724"/>
    <n v="3.3388376108619982"/>
    <n v="-0.50082564162929966"/>
    <n v="6909.32293616073"/>
    <n v="37.460538771652175"/>
    <x v="0"/>
  </r>
  <r>
    <x v="21"/>
    <x v="0"/>
    <s v="NT3509"/>
    <x v="6"/>
    <x v="0"/>
    <x v="0"/>
    <x v="17"/>
    <n v="-155000"/>
    <n v="0.15"/>
    <x v="17"/>
    <n v="0.1"/>
    <n v="4.9000000000000004"/>
    <x v="17"/>
    <x v="12"/>
    <n v="0.6"/>
    <x v="10"/>
    <x v="17"/>
    <x v="0"/>
    <n v="2.7341780503795484E-2"/>
    <n v="-53018.448327933467"/>
    <n v="-4237.9759780882996"/>
    <n v="51790.160439997489"/>
    <n v="-1228.2878879359778"/>
    <s v="36861NGI/CHI. GATE"/>
    <n v="-15.5"/>
    <n v="0.34205450534150622"/>
    <n v="2.9959955786471109"/>
    <n v="-0.46437931469030219"/>
    <n v="9926.4902996290948"/>
    <n v="36.130091426752983"/>
    <x v="0"/>
  </r>
  <r>
    <x v="21"/>
    <x v="0"/>
    <s v="NT3509"/>
    <x v="6"/>
    <x v="0"/>
    <x v="0"/>
    <x v="16"/>
    <n v="-155000"/>
    <n v="0.15"/>
    <x v="16"/>
    <n v="0.1275"/>
    <n v="4.8715000000000002"/>
    <x v="16"/>
    <x v="11"/>
    <n v="0.60499999999999998"/>
    <x v="10"/>
    <x v="16"/>
    <x v="0"/>
    <n v="4.4503043973877957E-2"/>
    <n v="-67412.823294709582"/>
    <n v="-6897.971815951083"/>
    <n v="65907.096462909351"/>
    <n v="-1505.7268318002316"/>
    <s v="36892NGI/CHI. GATE"/>
    <n v="-15.5"/>
    <n v="0.43492144061102955"/>
    <n v="2.7636752842353736"/>
    <n v="-0.42836966905648288"/>
    <n v="12061.934321483865"/>
    <n v="33.271470120676497"/>
    <x v="0"/>
  </r>
  <r>
    <x v="21"/>
    <x v="0"/>
    <s v="NT3509"/>
    <x v="6"/>
    <x v="0"/>
    <x v="0"/>
    <x v="15"/>
    <n v="-140000"/>
    <n v="0.15"/>
    <x v="15"/>
    <n v="0.13750000000000001"/>
    <n v="4.6174999999999997"/>
    <x v="15"/>
    <x v="10"/>
    <n v="0.59299999999999997"/>
    <x v="10"/>
    <x v="15"/>
    <x v="0"/>
    <n v="5.1778937717171743E-2"/>
    <n v="-64849.928436827206"/>
    <n v="-7249.0512804040436"/>
    <n v="63355.592824380765"/>
    <n v="-1494.3356124464408"/>
    <s v="36923NGI/CHI. GATE"/>
    <n v="-14"/>
    <n v="0.46321377454876578"/>
    <n v="2.6145513341602959"/>
    <n v="-0.3660371867824414"/>
    <n v="11273.703514777124"/>
    <n v="24.755692010205109"/>
    <x v="0"/>
  </r>
  <r>
    <x v="21"/>
    <x v="0"/>
    <s v="NT3509"/>
    <x v="6"/>
    <x v="0"/>
    <x v="0"/>
    <x v="14"/>
    <n v="-155000"/>
    <n v="0.15"/>
    <x v="14"/>
    <n v="0.1225"/>
    <n v="4.3354999999999997"/>
    <x v="14"/>
    <x v="9"/>
    <n v="0.53300000000000003"/>
    <x v="10"/>
    <x v="14"/>
    <x v="0"/>
    <n v="4.0858540517954137E-2"/>
    <n v="-64595.9099155039"/>
    <n v="-6333.0737802828908"/>
    <n v="63022.320301678432"/>
    <n v="-1573.5896138254684"/>
    <s v="36951NGI/CHI. GATE"/>
    <n v="-15.5"/>
    <n v="0.41674780590647675"/>
    <n v="2.7810649312681774"/>
    <n v="-0.43106506434656749"/>
    <n v="11146.910260853463"/>
    <n v="20.989581486888021"/>
    <x v="0"/>
  </r>
  <r>
    <x v="2"/>
    <x v="0"/>
    <s v="NT6024"/>
    <x v="7"/>
    <x v="0"/>
    <x v="0"/>
    <x v="18"/>
    <n v="-300000"/>
    <n v="-0.15"/>
    <x v="18"/>
    <n v="-0.14249999999999999"/>
    <n v="4.5934999999999997"/>
    <x v="18"/>
    <x v="13"/>
    <n v="0.59499999999999997"/>
    <x v="4"/>
    <x v="18"/>
    <x v="0"/>
    <n v="5.1573441195278152E-2"/>
    <n v="-156532.8056462509"/>
    <n v="-15472.032358583445"/>
    <n v="153754.54461311488"/>
    <n v="-2778.2610331360193"/>
    <s v="36831IF-PAN/TX/OK"/>
    <n v="-30"/>
    <n v="0.52177601882083635"/>
    <n v="3.2471161943116997"/>
    <n v="-0.97413485829350988"/>
    <n v="12955.98500829924"/>
    <n v="110.96107686769788"/>
    <x v="0"/>
  </r>
  <r>
    <x v="2"/>
    <x v="0"/>
    <s v="NT6024"/>
    <x v="7"/>
    <x v="0"/>
    <x v="0"/>
    <x v="17"/>
    <n v="-310000"/>
    <n v="-0.15"/>
    <x v="17"/>
    <n v="-0.1525"/>
    <n v="4.6475"/>
    <x v="17"/>
    <x v="12"/>
    <n v="0.6"/>
    <x v="4"/>
    <x v="17"/>
    <x v="0"/>
    <n v="5.7699193196087961E-2"/>
    <n v="-151525.80130860116"/>
    <n v="-17886.749890787269"/>
    <n v="148021.70791398265"/>
    <n v="-3504.0933946185105"/>
    <s v="36861IF-PAN/TX/OK"/>
    <n v="-31"/>
    <n v="0.48879290744710052"/>
    <n v="2.6126733400399531"/>
    <n v="-0.80992873541238541"/>
    <n v="16546.773492686771"/>
    <n v="95.20800077879241"/>
    <x v="0"/>
  </r>
  <r>
    <x v="2"/>
    <x v="0"/>
    <s v="NT6024"/>
    <x v="7"/>
    <x v="0"/>
    <x v="0"/>
    <x v="16"/>
    <n v="-310000"/>
    <n v="-0.15"/>
    <x v="16"/>
    <n v="-0.16"/>
    <n v="4.5839999999999996"/>
    <x v="16"/>
    <x v="11"/>
    <n v="0.60499999999999998"/>
    <x v="4"/>
    <x v="16"/>
    <x v="0"/>
    <n v="6.2177869877475006E-2"/>
    <n v="-145818.4628756654"/>
    <n v="-19275.139662017253"/>
    <n v="141807.96999813858"/>
    <n v="-4010.4928775268199"/>
    <s v="36892IF-PAN/TX/OK"/>
    <n v="-31"/>
    <n v="0.47038213830859804"/>
    <n v="2.2743058688604223"/>
    <n v="-0.70503481934673085"/>
    <n v="18697.533763966418"/>
    <n v="81.719230338116873"/>
    <x v="0"/>
  </r>
  <r>
    <x v="2"/>
    <x v="0"/>
    <s v="NT6024"/>
    <x v="7"/>
    <x v="0"/>
    <x v="0"/>
    <x v="15"/>
    <n v="-280000"/>
    <n v="-0.15"/>
    <x v="15"/>
    <n v="-0.14499999999999999"/>
    <n v="4.335"/>
    <x v="15"/>
    <x v="10"/>
    <n v="0.59299999999999997"/>
    <x v="4"/>
    <x v="15"/>
    <x v="0"/>
    <n v="7.2111564304316034E-2"/>
    <n v="-140261.79892574952"/>
    <n v="-20191.238005208488"/>
    <n v="136298.81200439981"/>
    <n v="-3962.986921349715"/>
    <s v="36923IF-PAN/TX/OK"/>
    <n v="-28"/>
    <n v="0.5009349961633911"/>
    <n v="2.1587806706122574"/>
    <n v="-0.60445858777143213"/>
    <n v="17507.291155104445"/>
    <n v="59.477187881913451"/>
    <x v="0"/>
  </r>
  <r>
    <x v="2"/>
    <x v="0"/>
    <s v="NT6024"/>
    <x v="7"/>
    <x v="0"/>
    <x v="0"/>
    <x v="14"/>
    <n v="-310000"/>
    <n v="-0.15"/>
    <x v="14"/>
    <n v="-0.13750000000000001"/>
    <n v="4.0754999999999999"/>
    <x v="14"/>
    <x v="9"/>
    <n v="0.53300000000000003"/>
    <x v="4"/>
    <x v="14"/>
    <x v="0"/>
    <n v="7.0221748962884245E-2"/>
    <n v="-159955.25368357814"/>
    <n v="-21768.742178494114"/>
    <n v="155727.00961247733"/>
    <n v="-4228.2440711008094"/>
    <s v="36951IF-PAN/TX/OK"/>
    <n v="-31"/>
    <n v="0.51598468930186492"/>
    <n v="2.3172721771890932"/>
    <n v="-0.71835437492861887"/>
    <n v="17571.581543904511"/>
    <n v="50.281154133408684"/>
    <x v="0"/>
  </r>
  <r>
    <x v="3"/>
    <x v="0"/>
    <s v="NT8124.1"/>
    <x v="0"/>
    <x v="0"/>
    <x v="1"/>
    <x v="18"/>
    <n v="500000"/>
    <n v="1"/>
    <x v="18"/>
    <n v="0.77"/>
    <n v="5.5060000000000002"/>
    <x v="18"/>
    <x v="13"/>
    <n v="0.625"/>
    <x v="6"/>
    <x v="18"/>
    <x v="1"/>
    <n v="0.39774947751655254"/>
    <n v="-300518.84443749429"/>
    <n v="198874.73875827627"/>
    <n v="321425.79910936696"/>
    <n v="20906.954671872663"/>
    <s v="36831IF-TRANSCO/Z6"/>
    <n v="50"/>
    <n v="-0.60103768887498854"/>
    <n v="0.56841829606161087"/>
    <n v="0.28420914803080544"/>
    <n v="-4583.6721858171941"/>
    <n v="-972.6140540078087"/>
    <x v="0"/>
  </r>
  <r>
    <x v="3"/>
    <x v="0"/>
    <s v="NT8124.1"/>
    <x v="0"/>
    <x v="0"/>
    <x v="1"/>
    <x v="17"/>
    <n v="500000"/>
    <n v="1"/>
    <x v="17"/>
    <n v="1.645"/>
    <n v="6.4450000000000003"/>
    <x v="17"/>
    <x v="12"/>
    <n v="0.69"/>
    <x v="7"/>
    <x v="17"/>
    <x v="1"/>
    <n v="0.22359489711956859"/>
    <n v="-129510.21106902328"/>
    <n v="111797.4485597843"/>
    <n v="161267.33778204062"/>
    <n v="31757.126713017336"/>
    <s v="36861IF-TRANSCO/Z6"/>
    <n v="50"/>
    <n v="-0.25902042213804655"/>
    <n v="0.25110004239965222"/>
    <n v="0.12555002119982611"/>
    <n v="-4532.6141267036819"/>
    <n v="-1085.5055231167521"/>
    <x v="0"/>
  </r>
  <r>
    <x v="3"/>
    <x v="0"/>
    <s v="NT8124.1"/>
    <x v="0"/>
    <x v="0"/>
    <x v="1"/>
    <x v="16"/>
    <n v="500000"/>
    <n v="1"/>
    <x v="16"/>
    <n v="2.17"/>
    <n v="6.9139999999999997"/>
    <x v="16"/>
    <x v="11"/>
    <n v="0.69599999999999995"/>
    <x v="7"/>
    <x v="16"/>
    <x v="1"/>
    <n v="0.16682160872180107"/>
    <n v="-86781.459479553683"/>
    <n v="83410.80436090054"/>
    <n v="116948.2910220831"/>
    <n v="30166.831542529413"/>
    <s v="36892IF-TRANSCO/Z6"/>
    <n v="50"/>
    <n v="-0.17356291895910736"/>
    <n v="0.16015948137157252"/>
    <n v="8.0079740685786244E-2"/>
    <n v="-4412.0341273735894"/>
    <n v="-814.95392193209079"/>
    <x v="0"/>
  </r>
  <r>
    <x v="3"/>
    <x v="0"/>
    <s v="NT8124.1"/>
    <x v="0"/>
    <x v="0"/>
    <x v="1"/>
    <x v="15"/>
    <n v="500000"/>
    <n v="1"/>
    <x v="15"/>
    <n v="2.09"/>
    <n v="6.57"/>
    <x v="15"/>
    <x v="10"/>
    <n v="0.68100000000000005"/>
    <x v="7"/>
    <x v="15"/>
    <x v="1"/>
    <n v="0.20507600737213183"/>
    <n v="-96780.218200554882"/>
    <n v="102538.00368606592"/>
    <n v="132101.47240562714"/>
    <n v="35321.254205072255"/>
    <s v="36923IF-TRANSCO/Z6"/>
    <n v="50"/>
    <n v="-0.19356043640110976"/>
    <n v="0.16261023775223696"/>
    <n v="8.1305118876118479E-2"/>
    <n v="-4875.2330496126988"/>
    <n v="-714.50106103500968"/>
    <x v="0"/>
  </r>
  <r>
    <x v="3"/>
    <x v="0"/>
    <s v="NT8124.1"/>
    <x v="0"/>
    <x v="0"/>
    <x v="1"/>
    <x v="14"/>
    <n v="500000"/>
    <n v="1"/>
    <x v="14"/>
    <n v="1.075"/>
    <n v="5.2880000000000003"/>
    <x v="14"/>
    <x v="9"/>
    <n v="0.61199999999999999"/>
    <x v="7"/>
    <x v="14"/>
    <x v="1"/>
    <n v="0.46550991672981534"/>
    <n v="-206257.50133475586"/>
    <n v="232754.95836490768"/>
    <n v="250725.91182202293"/>
    <n v="44468.410487267072"/>
    <s v="36951IF-TRANSCO/Z6"/>
    <n v="50"/>
    <n v="-0.41251500266951169"/>
    <n v="0.28893497698052001"/>
    <n v="0.14446748849026"/>
    <n v="-5345.9316844993773"/>
    <n v="-638.06767965309291"/>
    <x v="0"/>
  </r>
  <r>
    <x v="3"/>
    <x v="0"/>
    <s v="NT8124.3"/>
    <x v="0"/>
    <x v="0"/>
    <x v="0"/>
    <x v="18"/>
    <n v="-300000"/>
    <n v="2.5"/>
    <x v="18"/>
    <n v="0.77"/>
    <n v="5.5060000000000002"/>
    <x v="18"/>
    <x v="13"/>
    <n v="0.625"/>
    <x v="6"/>
    <x v="18"/>
    <x v="0"/>
    <n v="6.4395475095290703E-3"/>
    <n v="-7419.7703730168123"/>
    <n v="-1931.8642528587211"/>
    <n v="5850.1783702993016"/>
    <n v="-1569.5920027175107"/>
    <s v="36831IF-TRANSCO/Z6"/>
    <n v="-30"/>
    <n v="2.4732567910056041E-2"/>
    <n v="7.9901262536593548E-2"/>
    <n v="-2.3970378760978062E-2"/>
    <n v="328.7737538480784"/>
    <n v="99.690988261025922"/>
    <x v="0"/>
  </r>
  <r>
    <x v="3"/>
    <x v="0"/>
    <s v="NT8124.3"/>
    <x v="0"/>
    <x v="0"/>
    <x v="0"/>
    <x v="17"/>
    <n v="-310000"/>
    <n v="2.5"/>
    <x v="17"/>
    <n v="1.645"/>
    <n v="6.4450000000000003"/>
    <x v="17"/>
    <x v="12"/>
    <n v="0.69"/>
    <x v="7"/>
    <x v="17"/>
    <x v="0"/>
    <n v="0.24773751980055622"/>
    <n v="-97206.161690335866"/>
    <n v="-76798.631138172423"/>
    <n v="79217.845463800404"/>
    <n v="-17988.316226535462"/>
    <s v="36861IF-TRANSCO/Z6"/>
    <n v="-31"/>
    <n v="0.31356826351721245"/>
    <n v="0.25721628353041581"/>
    <n v="-7.9737047894428897E-2"/>
    <n v="2368.2792835329224"/>
    <n v="787.80690756155218"/>
    <x v="0"/>
  </r>
  <r>
    <x v="3"/>
    <x v="0"/>
    <s v="NT8124.3"/>
    <x v="0"/>
    <x v="0"/>
    <x v="0"/>
    <x v="16"/>
    <n v="-310000"/>
    <n v="2.5"/>
    <x v="16"/>
    <n v="2.17"/>
    <n v="6.9139999999999997"/>
    <x v="16"/>
    <x v="11"/>
    <n v="0.69599999999999995"/>
    <x v="7"/>
    <x v="16"/>
    <x v="0"/>
    <n v="0.53186610397093281"/>
    <n v="-144820.41731810232"/>
    <n v="-164878.49223098918"/>
    <n v="121148.24977044304"/>
    <n v="-23672.167547659279"/>
    <s v="36892IF-TRANSCO/Z6"/>
    <n v="-31"/>
    <n v="0.4671626365100075"/>
    <n v="0.22870493244122136"/>
    <n v="-7.0898529056778625E-2"/>
    <n v="3184.9840376955917"/>
    <n v="816.47749316555985"/>
    <x v="0"/>
  </r>
  <r>
    <x v="3"/>
    <x v="0"/>
    <s v="NT8124.3"/>
    <x v="0"/>
    <x v="0"/>
    <x v="0"/>
    <x v="15"/>
    <n v="-280000"/>
    <n v="2.5"/>
    <x v="15"/>
    <n v="2.09"/>
    <n v="6.57"/>
    <x v="15"/>
    <x v="10"/>
    <n v="0.68100000000000005"/>
    <x v="7"/>
    <x v="15"/>
    <x v="0"/>
    <n v="0.53709625631967106"/>
    <n v="-128190.58673474933"/>
    <n v="-150386.9517695079"/>
    <n v="105015.09810861335"/>
    <n v="-23175.488626135979"/>
    <s v="36923IF-TRANSCO/Z6"/>
    <n v="-28"/>
    <n v="0.45782352405267618"/>
    <n v="0.2154690533950194"/>
    <n v="-6.0331334950605428E-2"/>
    <n v="2938.6953688244103"/>
    <n v="602.59162765301198"/>
    <x v="0"/>
  </r>
  <r>
    <x v="3"/>
    <x v="0"/>
    <s v="NT8124.3"/>
    <x v="0"/>
    <x v="0"/>
    <x v="0"/>
    <x v="14"/>
    <n v="-310000"/>
    <n v="2.5"/>
    <x v="14"/>
    <n v="1.075"/>
    <n v="5.2880000000000003"/>
    <x v="14"/>
    <x v="9"/>
    <n v="0.61199999999999999"/>
    <x v="7"/>
    <x v="14"/>
    <x v="0"/>
    <n v="0.15769806655468968"/>
    <n v="-68431.805474926383"/>
    <n v="-48886.400631953802"/>
    <n v="50666.142766624842"/>
    <n v="-17765.662708301541"/>
    <s v="36951IF-TRANSCO/Z6"/>
    <n v="-31"/>
    <n v="0.22074775959653672"/>
    <n v="0.20839267824064617"/>
    <n v="-6.4601730254600309E-2"/>
    <n v="1968.2990654019998"/>
    <n v="340.35666639626282"/>
    <x v="0"/>
  </r>
  <r>
    <x v="3"/>
    <x v="0"/>
    <s v="NT8124.4"/>
    <x v="0"/>
    <x v="0"/>
    <x v="0"/>
    <x v="18"/>
    <n v="-500000"/>
    <n v="1.52"/>
    <x v="18"/>
    <n v="0.77"/>
    <n v="5.5060000000000002"/>
    <x v="18"/>
    <x v="13"/>
    <n v="0.625"/>
    <x v="6"/>
    <x v="18"/>
    <x v="0"/>
    <n v="5.8920261199464238E-2"/>
    <n v="-84771.704880914243"/>
    <n v="-29460.130599732118"/>
    <n v="71997.381632822275"/>
    <n v="-12774.323248091969"/>
    <s v="36831IF-TRANSCO/Z6"/>
    <n v="-50"/>
    <n v="0.1695434097618285"/>
    <n v="0.365386652110613"/>
    <n v="-0.1826933260553065"/>
    <n v="2748.6632417312676"/>
    <n v="684.52828868503161"/>
    <x v="0"/>
  </r>
  <r>
    <x v="3"/>
    <x v="0"/>
    <s v="NT8124.4"/>
    <x v="0"/>
    <x v="0"/>
    <x v="0"/>
    <x v="17"/>
    <n v="-500000"/>
    <n v="1.52"/>
    <x v="17"/>
    <n v="1.645"/>
    <n v="6.4450000000000003"/>
    <x v="17"/>
    <x v="12"/>
    <n v="0.69"/>
    <x v="7"/>
    <x v="17"/>
    <x v="0"/>
    <n v="0.57148549883332755"/>
    <n v="-284943.29581932031"/>
    <n v="-285742.74941666378"/>
    <n v="249554.23529628071"/>
    <n v="-35389.060523039603"/>
    <s v="36861IF-TRANSCO/Z6"/>
    <n v="-50"/>
    <n v="0.56988659163864064"/>
    <n v="0.29347259231723899"/>
    <n v="-0.14673629615861949"/>
    <n v="4890.0819566911414"/>
    <n v="1303.8158712110767"/>
    <x v="0"/>
  </r>
  <r>
    <x v="3"/>
    <x v="0"/>
    <s v="NT8124.4"/>
    <x v="0"/>
    <x v="0"/>
    <x v="0"/>
    <x v="16"/>
    <n v="-500000"/>
    <n v="1.52"/>
    <x v="16"/>
    <n v="2.17"/>
    <n v="6.9139999999999997"/>
    <x v="16"/>
    <x v="11"/>
    <n v="0.69599999999999995"/>
    <x v="7"/>
    <x v="16"/>
    <x v="0"/>
    <n v="0.97329326189707344"/>
    <n v="-345008.1648348968"/>
    <n v="-486646.63094853674"/>
    <n v="307980.72247582691"/>
    <n v="-37027.442359069886"/>
    <s v="36892IF-TRANSCO/Z6"/>
    <n v="-50"/>
    <n v="0.69001632966979365"/>
    <n v="0.20673129233863466"/>
    <n v="-0.10336564616931733"/>
    <n v="5237.221938212233"/>
    <n v="1038.7542155786464"/>
    <x v="0"/>
  </r>
  <r>
    <x v="3"/>
    <x v="0"/>
    <s v="NT8124.4"/>
    <x v="0"/>
    <x v="0"/>
    <x v="0"/>
    <x v="15"/>
    <n v="-500000"/>
    <n v="1.52"/>
    <x v="15"/>
    <n v="2.09"/>
    <n v="6.57"/>
    <x v="15"/>
    <x v="10"/>
    <n v="0.68100000000000005"/>
    <x v="7"/>
    <x v="15"/>
    <x v="0"/>
    <n v="0.94823200760652804"/>
    <n v="-333043.69188880624"/>
    <n v="-474116.003803264"/>
    <n v="291573.70933788957"/>
    <n v="-41469.982550916669"/>
    <s v="36923IF-TRANSCO/Z6"/>
    <n v="-50"/>
    <n v="0.66608738377761245"/>
    <n v="0.20105082651767059"/>
    <n v="-0.10052541325883529"/>
    <n v="5531.1764362702806"/>
    <n v="870.05567706919192"/>
    <x v="0"/>
  </r>
  <r>
    <x v="3"/>
    <x v="0"/>
    <s v="NT8124.4"/>
    <x v="0"/>
    <x v="0"/>
    <x v="0"/>
    <x v="14"/>
    <n v="-500000"/>
    <n v="1.52"/>
    <x v="14"/>
    <n v="1.075"/>
    <n v="5.2880000000000003"/>
    <x v="14"/>
    <x v="9"/>
    <n v="0.61199999999999999"/>
    <x v="7"/>
    <x v="14"/>
    <x v="0"/>
    <n v="0.35239596757231417"/>
    <n v="-206347.49002568822"/>
    <n v="-176197.9837861571"/>
    <n v="165003.76584506128"/>
    <n v="-41343.724180626945"/>
    <s v="36951IF-TRANSCO/Z6"/>
    <n v="-50"/>
    <n v="0.41269498005137645"/>
    <n v="0.28174199538110489"/>
    <n v="-0.14087099769055245"/>
    <n v="4807.6829418812003"/>
    <n v="667.24520852990349"/>
    <x v="0"/>
  </r>
  <r>
    <x v="3"/>
    <x v="0"/>
    <s v="NT8124.5"/>
    <x v="0"/>
    <x v="0"/>
    <x v="1"/>
    <x v="18"/>
    <n v="-500000"/>
    <n v="1.52"/>
    <x v="18"/>
    <n v="0.77"/>
    <n v="5.5060000000000002"/>
    <x v="18"/>
    <x v="13"/>
    <n v="0.625"/>
    <x v="6"/>
    <x v="18"/>
    <x v="1"/>
    <n v="0.80016128398875219"/>
    <n v="409388.97697861138"/>
    <n v="-400080.64199437608"/>
    <n v="-422163.30022670334"/>
    <n v="-12774.323248091969"/>
    <s v="36831IF-TRANSCO/Z6"/>
    <n v="-50"/>
    <n v="-0.81877795395722275"/>
    <n v="0.365386652110613"/>
    <n v="-0.1826933260553065"/>
    <n v="2748.6632417312676"/>
    <n v="615.37277591636837"/>
    <x v="0"/>
  </r>
  <r>
    <x v="3"/>
    <x v="0"/>
    <s v="NT8124.5"/>
    <x v="0"/>
    <x v="0"/>
    <x v="1"/>
    <x v="17"/>
    <n v="-500000"/>
    <n v="1.52"/>
    <x v="17"/>
    <n v="1.645"/>
    <n v="6.4450000000000003"/>
    <x v="17"/>
    <x v="12"/>
    <n v="0.69"/>
    <x v="7"/>
    <x v="17"/>
    <x v="1"/>
    <n v="0.4486409640491178"/>
    <n v="206434.84331751667"/>
    <n v="-224320.48202455891"/>
    <n v="-241823.90384055628"/>
    <n v="-35389.060523039603"/>
    <s v="36861IF-TRANSCO/Z6"/>
    <n v="-50"/>
    <n v="-0.41286968663503332"/>
    <n v="0.29347259231723899"/>
    <n v="-0.14673629615861949"/>
    <n v="4890.0819566911414"/>
    <n v="1315.3117684560304"/>
    <x v="0"/>
  </r>
  <r>
    <x v="3"/>
    <x v="0"/>
    <s v="NT8124.5"/>
    <x v="0"/>
    <x v="0"/>
    <x v="1"/>
    <x v="16"/>
    <n v="-500000"/>
    <n v="1.52"/>
    <x v="16"/>
    <n v="2.17"/>
    <n v="6.9139999999999997"/>
    <x v="16"/>
    <x v="11"/>
    <n v="0.69599999999999995"/>
    <x v="7"/>
    <x v="16"/>
    <x v="1"/>
    <n v="0.33796999410844619"/>
    <n v="143702.04115635477"/>
    <n v="-168984.99705422309"/>
    <n v="-180729.48351542468"/>
    <n v="-37027.442359069915"/>
    <s v="36892IF-TRANSCO/Z6"/>
    <n v="-50"/>
    <n v="-0.28740408231270953"/>
    <n v="0.20673129233863466"/>
    <n v="-0.10336564616931733"/>
    <n v="5237.221938212233"/>
    <n v="1098.2612308659818"/>
    <x v="0"/>
  </r>
  <r>
    <x v="3"/>
    <x v="0"/>
    <s v="NT8124.5"/>
    <x v="0"/>
    <x v="0"/>
    <x v="1"/>
    <x v="15"/>
    <n v="-500000"/>
    <n v="1.52"/>
    <x v="15"/>
    <n v="2.09"/>
    <n v="6.57"/>
    <x v="15"/>
    <x v="10"/>
    <n v="0.68100000000000005"/>
    <x v="7"/>
    <x v="15"/>
    <x v="1"/>
    <n v="0.394595830962998"/>
    <n v="152602.07709674601"/>
    <n v="-197297.91548149899"/>
    <n v="-194072.05964766265"/>
    <n v="-41469.98255091664"/>
    <s v="36923IF-TRANSCO/Z6"/>
    <n v="-50"/>
    <n v="-0.30520415419349201"/>
    <n v="0.20105082651767059"/>
    <n v="-0.10052541325883529"/>
    <n v="5531.1764362702806"/>
    <n v="922.11276835510159"/>
    <x v="0"/>
  </r>
  <r>
    <x v="3"/>
    <x v="0"/>
    <s v="NT8124.5"/>
    <x v="0"/>
    <x v="0"/>
    <x v="1"/>
    <x v="14"/>
    <n v="-500000"/>
    <n v="1.52"/>
    <x v="14"/>
    <n v="1.075"/>
    <n v="5.2880000000000003"/>
    <x v="14"/>
    <x v="9"/>
    <n v="0.61199999999999999"/>
    <x v="7"/>
    <x v="14"/>
    <x v="1"/>
    <n v="0.78230071055268535"/>
    <n v="276691.54703090881"/>
    <n v="-391150.35527634266"/>
    <n v="-318035.27121153573"/>
    <n v="-41343.724180626916"/>
    <s v="36951IF-TRANSCO/Z6"/>
    <n v="-50"/>
    <n v="-0.55338309406181763"/>
    <n v="0.28174199538110489"/>
    <n v="-0.14087099769055245"/>
    <n v="4807.6829418812003"/>
    <n v="626.68115490828848"/>
    <x v="0"/>
  </r>
  <r>
    <x v="12"/>
    <x v="0"/>
    <s v="NT9909.1"/>
    <x v="0"/>
    <x v="0"/>
    <x v="0"/>
    <x v="18"/>
    <n v="500000"/>
    <n v="1"/>
    <x v="18"/>
    <n v="0.77"/>
    <n v="5.5060000000000002"/>
    <x v="18"/>
    <x v="13"/>
    <n v="0.625"/>
    <x v="6"/>
    <x v="18"/>
    <x v="0"/>
    <n v="0.17043556386117104"/>
    <n v="193641.83742203133"/>
    <n v="85217.781930585523"/>
    <n v="-172734.88275015863"/>
    <n v="20906.954671872692"/>
    <s v="36831IF-TRANSCO/Z6"/>
    <n v="50"/>
    <n v="0.38728367484406268"/>
    <n v="0.56841829606161087"/>
    <n v="0.28420914803080544"/>
    <n v="-4583.6721858171941"/>
    <n v="-993.8217445901987"/>
    <x v="0"/>
  </r>
  <r>
    <x v="12"/>
    <x v="0"/>
    <s v="NT9909.2"/>
    <x v="0"/>
    <x v="0"/>
    <x v="0"/>
    <x v="18"/>
    <n v="-500000"/>
    <n v="1.5"/>
    <x v="18"/>
    <n v="0.77"/>
    <n v="5.5060000000000002"/>
    <x v="18"/>
    <x v="13"/>
    <n v="0.625"/>
    <x v="6"/>
    <x v="18"/>
    <x v="0"/>
    <n v="6.1505973255472926E-2"/>
    <n v="-87810.222267778707"/>
    <n v="-30752.986627736464"/>
    <n v="74709.858473398475"/>
    <n v="-13100.363794380231"/>
    <s v="36831IF-TRANSCO/Z6"/>
    <n v="-50"/>
    <n v="0.17562044453555742"/>
    <n v="0.37407782322730976"/>
    <n v="-0.18703891161365488"/>
    <n v="2820.6613451982757"/>
    <n v="699.06673082423504"/>
    <x v="0"/>
  </r>
  <r>
    <x v="22"/>
    <x v="0"/>
    <s v="NT9931"/>
    <x v="0"/>
    <x v="0"/>
    <x v="0"/>
    <x v="18"/>
    <n v="1000000"/>
    <n v="1"/>
    <x v="18"/>
    <n v="0.77"/>
    <n v="5.5060000000000002"/>
    <x v="18"/>
    <x v="13"/>
    <n v="0.625"/>
    <x v="6"/>
    <x v="18"/>
    <x v="0"/>
    <n v="0.17043556386117104"/>
    <n v="387283.67484406265"/>
    <n v="170435.56386117105"/>
    <n v="-345469.76550031727"/>
    <n v="41813.909343745385"/>
    <s v="36831IF-TRANSCO/Z6"/>
    <n v="100"/>
    <n v="0.38728367484406268"/>
    <n v="0.56841829606161087"/>
    <n v="0.56841829606161087"/>
    <n v="-9167.3443716343882"/>
    <n v="-1987.6434891803974"/>
    <x v="0"/>
  </r>
  <r>
    <x v="16"/>
    <x v="0"/>
    <s v="NU0070.1"/>
    <x v="0"/>
    <x v="0"/>
    <x v="0"/>
    <x v="18"/>
    <n v="600000"/>
    <n v="3"/>
    <x v="18"/>
    <n v="0.77"/>
    <n v="5.5060000000000002"/>
    <x v="18"/>
    <x v="13"/>
    <n v="0.625"/>
    <x v="6"/>
    <x v="18"/>
    <x v="0"/>
    <n v="2.0084677451953142E-3"/>
    <n v="5119.4986646268571"/>
    <n v="1205.0806471171886"/>
    <n v="-3916.6785532876788"/>
    <n v="1202.8201113391783"/>
    <s v="36831IF-TRANSCO/Z6"/>
    <n v="60"/>
    <n v="8.5324977743780946E-3"/>
    <n v="3.1369280966623912E-2"/>
    <n v="1.8821568579974347E-2"/>
    <n v="-249.25136080859158"/>
    <n v="-81.598587452289195"/>
    <x v="0"/>
  </r>
  <r>
    <x v="16"/>
    <x v="0"/>
    <s v="NU0070.1"/>
    <x v="0"/>
    <x v="0"/>
    <x v="0"/>
    <x v="17"/>
    <n v="620000"/>
    <n v="3"/>
    <x v="17"/>
    <n v="1.645"/>
    <n v="6.4450000000000003"/>
    <x v="17"/>
    <x v="12"/>
    <n v="0.69"/>
    <x v="7"/>
    <x v="17"/>
    <x v="0"/>
    <n v="0.15867812072193169"/>
    <n v="136650.81043138431"/>
    <n v="98380.434847597644"/>
    <n v="-107792.0532284634"/>
    <n v="28858.757202920911"/>
    <s v="36861IF-TRANSCO/Z6"/>
    <n v="62"/>
    <n v="0.22040453295384566"/>
    <n v="0.21177587091864533"/>
    <n v="0.13130103996956011"/>
    <n v="-3724.6716849816758"/>
    <n v="-1350.5785373868298"/>
    <x v="0"/>
  </r>
  <r>
    <x v="16"/>
    <x v="0"/>
    <s v="NU0070.1"/>
    <x v="0"/>
    <x v="0"/>
    <x v="0"/>
    <x v="16"/>
    <n v="620000"/>
    <n v="3"/>
    <x v="16"/>
    <n v="2.17"/>
    <n v="6.9139999999999997"/>
    <x v="16"/>
    <x v="11"/>
    <n v="0.69599999999999995"/>
    <x v="7"/>
    <x v="16"/>
    <x v="0"/>
    <n v="0.38621711903889011"/>
    <n v="229192.388667872"/>
    <n v="239454.61380411187"/>
    <n v="-186033.61631589176"/>
    <n v="43158.772351980238"/>
    <s v="36892IF-TRANSCO/Z6"/>
    <n v="62"/>
    <n v="0.36966514301269676"/>
    <n v="0.21426401620967861"/>
    <n v="0.13284369005000074"/>
    <n v="-5689.0676785103979"/>
    <n v="-1603.3393913494433"/>
    <x v="0"/>
  </r>
  <r>
    <x v="16"/>
    <x v="0"/>
    <s v="NU0070.1"/>
    <x v="0"/>
    <x v="0"/>
    <x v="0"/>
    <x v="15"/>
    <n v="560000"/>
    <n v="3"/>
    <x v="15"/>
    <n v="2.09"/>
    <n v="6.57"/>
    <x v="15"/>
    <x v="10"/>
    <n v="0.68100000000000005"/>
    <x v="7"/>
    <x v="15"/>
    <x v="0"/>
    <n v="0.39988323237582518"/>
    <n v="206231.79743732695"/>
    <n v="223934.6101304621"/>
    <n v="-163916.19913984471"/>
    <n v="42315.59829748224"/>
    <s v="36923IF-TRANSCO/Z6"/>
    <n v="56"/>
    <n v="0.36827106685236954"/>
    <n v="0.20219986232606013"/>
    <n v="0.11323192290259368"/>
    <n v="-5256.3155066061499"/>
    <n v="-1187.4018845237472"/>
    <x v="0"/>
  </r>
  <r>
    <x v="16"/>
    <x v="0"/>
    <s v="NU0070.1"/>
    <x v="0"/>
    <x v="0"/>
    <x v="0"/>
    <x v="14"/>
    <n v="620000"/>
    <n v="3"/>
    <x v="14"/>
    <n v="1.075"/>
    <n v="5.2880000000000003"/>
    <x v="14"/>
    <x v="9"/>
    <n v="0.61199999999999999"/>
    <x v="7"/>
    <x v="14"/>
    <x v="0"/>
    <n v="0.10527550921372972"/>
    <n v="97886.194602870921"/>
    <n v="65270.815712512427"/>
    <n v="-70120.670748176504"/>
    <n v="27765.523854694417"/>
    <s v="36951IF-TRANSCO/Z6"/>
    <n v="62"/>
    <n v="0.15788095903688859"/>
    <n v="0.16698952528736538"/>
    <n v="0.10353350567816653"/>
    <n v="-3016.3443227990251"/>
    <n v="-567.88634371373757"/>
    <x v="0"/>
  </r>
  <r>
    <x v="16"/>
    <x v="0"/>
    <s v="NU0070.2"/>
    <x v="0"/>
    <x v="0"/>
    <x v="0"/>
    <x v="18"/>
    <n v="-600000"/>
    <n v="3.5"/>
    <x v="18"/>
    <n v="0.77"/>
    <n v="5.5060000000000002"/>
    <x v="18"/>
    <x v="13"/>
    <n v="0.625"/>
    <x v="6"/>
    <x v="18"/>
    <x v="0"/>
    <n v="6.274716115882592E-4"/>
    <n v="-1735.7727422478652"/>
    <n v="-376.48296695295551"/>
    <n v="1293.6318921634129"/>
    <n v="-442.14085008445227"/>
    <s v="36831IF-TRANSCO/Z6"/>
    <n v="-60"/>
    <n v="2.8929545704131088E-3"/>
    <n v="1.1769456261157937E-2"/>
    <n v="-7.0616737566947616E-3"/>
    <n v="90.767269694107611"/>
    <n v="31.723129464414853"/>
    <x v="0"/>
  </r>
  <r>
    <x v="16"/>
    <x v="0"/>
    <s v="NU0070.2"/>
    <x v="0"/>
    <x v="0"/>
    <x v="0"/>
    <x v="17"/>
    <n v="-620000"/>
    <n v="3.5"/>
    <x v="17"/>
    <n v="1.645"/>
    <n v="6.4450000000000003"/>
    <x v="17"/>
    <x v="12"/>
    <n v="0.69"/>
    <x v="7"/>
    <x v="17"/>
    <x v="0"/>
    <n v="0.10110967315458028"/>
    <n v="-94226.208756969136"/>
    <n v="-62687.997355839769"/>
    <n v="72145.414010930821"/>
    <n v="-22080.794746038315"/>
    <s v="36861IF-TRANSCO/Z6"/>
    <n v="-62"/>
    <n v="0.15197775605962763"/>
    <n v="0.16569928502106027"/>
    <n v="-0.10273355671305737"/>
    <n v="2800.4317654622882"/>
    <n v="1093.5067515364697"/>
    <x v="0"/>
  </r>
  <r>
    <x v="16"/>
    <x v="0"/>
    <s v="NU0070.2"/>
    <x v="0"/>
    <x v="0"/>
    <x v="0"/>
    <x v="16"/>
    <n v="-620000"/>
    <n v="3.5"/>
    <x v="16"/>
    <n v="2.17"/>
    <n v="6.9139999999999997"/>
    <x v="16"/>
    <x v="11"/>
    <n v="0.69599999999999995"/>
    <x v="7"/>
    <x v="16"/>
    <x v="0"/>
    <n v="0.27958594967361644"/>
    <n v="-178657.39869584853"/>
    <n v="-173343.28879764219"/>
    <n v="141024.47595574081"/>
    <n v="-37632.922740107722"/>
    <s v="36892IF-TRANSCO/Z6"/>
    <n v="-62"/>
    <n v="0.28815709467072342"/>
    <n v="0.19125030323915662"/>
    <n v="-0.1185751880082771"/>
    <n v="4872.1283104195099"/>
    <n v="1487.3418365829625"/>
    <x v="0"/>
  </r>
  <r>
    <x v="16"/>
    <x v="0"/>
    <s v="NU0070.2"/>
    <x v="0"/>
    <x v="0"/>
    <x v="0"/>
    <x v="15"/>
    <n v="-560000"/>
    <n v="3.5"/>
    <x v="15"/>
    <n v="2.09"/>
    <n v="6.57"/>
    <x v="15"/>
    <x v="10"/>
    <n v="0.68100000000000005"/>
    <x v="7"/>
    <x v="15"/>
    <x v="0"/>
    <n v="0.29779118970695706"/>
    <n v="-164170.12683513877"/>
    <n v="-166763.06623589597"/>
    <n v="126909.95027679794"/>
    <n v="-37260.176558340827"/>
    <s v="36923IF-TRANSCO/Z6"/>
    <n v="-56"/>
    <n v="0.29316094077703353"/>
    <n v="0.18227415614245368"/>
    <n v="-0.10207352743977406"/>
    <n v="4545.4709129697912"/>
    <n v="1113.7094708767527"/>
    <x v="0"/>
  </r>
  <r>
    <x v="16"/>
    <x v="0"/>
    <s v="NU0070.2"/>
    <x v="0"/>
    <x v="0"/>
    <x v="0"/>
    <x v="14"/>
    <n v="-620000"/>
    <n v="3.5"/>
    <x v="14"/>
    <n v="1.075"/>
    <n v="5.2880000000000003"/>
    <x v="14"/>
    <x v="9"/>
    <n v="0.61199999999999999"/>
    <x v="7"/>
    <x v="14"/>
    <x v="0"/>
    <n v="7.0788384773296825E-2"/>
    <n v="-69798.937375562862"/>
    <n v="-43888.798559444032"/>
    <n v="48541.259187082411"/>
    <n v="-21257.678188480451"/>
    <s v="36951IF-TRANSCO/Z6"/>
    <n v="-62"/>
    <n v="0.11257893125090784"/>
    <n v="0.13062698905972311"/>
    <n v="-8.0988733217028319E-2"/>
    <n v="2269.8682067567679"/>
    <n v="459.60657394312659"/>
    <x v="0"/>
  </r>
  <r>
    <x v="3"/>
    <x v="0"/>
    <s v="NU0073"/>
    <x v="0"/>
    <x v="0"/>
    <x v="0"/>
    <x v="17"/>
    <n v="-500000"/>
    <n v="3"/>
    <x v="17"/>
    <n v="1.645"/>
    <n v="6.4450000000000003"/>
    <x v="17"/>
    <x v="12"/>
    <n v="0.69"/>
    <x v="7"/>
    <x v="17"/>
    <x v="0"/>
    <n v="0.15867812072193169"/>
    <n v="-110202.26647692283"/>
    <n v="-79339.060360965843"/>
    <n v="86929.075184244663"/>
    <n v="-23273.191292678166"/>
    <s v="36861IF-TRANSCO/Z6"/>
    <n v="-50"/>
    <n v="0.22040453295384566"/>
    <n v="0.21177587091864533"/>
    <n v="-0.10588793545932265"/>
    <n v="3003.7674878884486"/>
    <n v="1089.1762398280885"/>
    <x v="0"/>
  </r>
  <r>
    <x v="3"/>
    <x v="0"/>
    <s v="NU0073"/>
    <x v="0"/>
    <x v="0"/>
    <x v="0"/>
    <x v="16"/>
    <n v="-500000"/>
    <n v="3"/>
    <x v="16"/>
    <n v="2.17"/>
    <n v="6.9139999999999997"/>
    <x v="16"/>
    <x v="11"/>
    <n v="0.69599999999999995"/>
    <x v="7"/>
    <x v="16"/>
    <x v="0"/>
    <n v="0.38621711903889011"/>
    <n v="-184832.57150634838"/>
    <n v="-193108.55951944506"/>
    <n v="150027.10993217077"/>
    <n v="-34805.461574177607"/>
    <s v="36892IF-TRANSCO/Z6"/>
    <n v="-50"/>
    <n v="0.36966514301269676"/>
    <n v="0.21426401620967861"/>
    <n v="-0.1071320081048393"/>
    <n v="4587.9578052503211"/>
    <n v="1293.015638185035"/>
    <x v="0"/>
  </r>
  <r>
    <x v="3"/>
    <x v="0"/>
    <s v="NU0073"/>
    <x v="0"/>
    <x v="0"/>
    <x v="0"/>
    <x v="15"/>
    <n v="-500000"/>
    <n v="3"/>
    <x v="15"/>
    <n v="2.09"/>
    <n v="6.57"/>
    <x v="15"/>
    <x v="10"/>
    <n v="0.68100000000000005"/>
    <x v="7"/>
    <x v="15"/>
    <x v="0"/>
    <n v="0.39988323237582518"/>
    <n v="-184135.53342618476"/>
    <n v="-199941.61618791259"/>
    <n v="146353.74923200419"/>
    <n v="-37781.784194180567"/>
    <s v="36923IF-TRANSCO/Z6"/>
    <n v="-50"/>
    <n v="0.36827106685236954"/>
    <n v="0.20219986232606013"/>
    <n v="-0.10109993116303005"/>
    <n v="4693.138845184063"/>
    <n v="1060.1802540390599"/>
    <x v="0"/>
  </r>
  <r>
    <x v="21"/>
    <x v="0"/>
    <s v="NU0077"/>
    <x v="0"/>
    <x v="0"/>
    <x v="1"/>
    <x v="12"/>
    <n v="-1550000"/>
    <n v="0.4"/>
    <x v="12"/>
    <n v="0.41499999999999998"/>
    <n v="5.1070000000000002"/>
    <x v="12"/>
    <x v="8"/>
    <n v="0.56399999999999995"/>
    <x v="2"/>
    <x v="12"/>
    <x v="1"/>
    <n v="3.7336330308136434E-2"/>
    <n v="677074.49683314667"/>
    <n v="-57871.311977611469"/>
    <n v="-687190.92438567139"/>
    <n v="-10116.427552524721"/>
    <s v="36800IF-TRANSCO/Z6"/>
    <n v="-155"/>
    <n v="-0.43682225602138497"/>
    <n v="3.4991243442040143"/>
    <n v="-5.4236427335162212"/>
    <n v="35871.915171341876"/>
    <n v="1092.7475834290833"/>
    <x v="0"/>
  </r>
  <r>
    <x v="12"/>
    <x v="0"/>
    <s v="NU3268"/>
    <x v="4"/>
    <x v="0"/>
    <x v="0"/>
    <x v="13"/>
    <n v="300000"/>
    <n v="0.5"/>
    <x v="13"/>
    <n v="2.5"/>
    <n v="7.1849999999999996"/>
    <x v="13"/>
    <x v="5"/>
    <n v="0.376"/>
    <x v="7"/>
    <x v="13"/>
    <x v="0"/>
    <n v="1.9992642859635223"/>
    <n v="299889.64287411771"/>
    <n v="599779.28578905668"/>
    <n v="-299889.65484497516"/>
    <n v="-1.1970857449341565E-2"/>
    <s v="36770NGI-SOCAL"/>
    <n v="30"/>
    <n v="0.99963214291372571"/>
    <n v="1.0011402570486957E-90"/>
    <n v="3.003420771146087E-91"/>
    <n v="-3.7582575954514787E-5"/>
    <n v="110.45172777329142"/>
    <x v="0"/>
  </r>
  <r>
    <x v="19"/>
    <x v="0"/>
    <s v="NU3291"/>
    <x v="0"/>
    <x v="0"/>
    <x v="0"/>
    <x v="11"/>
    <n v="-1200000"/>
    <n v="0.7"/>
    <x v="11"/>
    <n v="0.52"/>
    <n v="4.4580000000000002"/>
    <x v="11"/>
    <x v="7"/>
    <n v="0.434"/>
    <x v="1"/>
    <x v="11"/>
    <x v="0"/>
    <n v="7.4548084161956366E-2"/>
    <n v="-388627.42513526825"/>
    <n v="-89457.700994347644"/>
    <n v="362344.44301969704"/>
    <n v="-26282.982115571212"/>
    <s v="36982IF-TRANSCO/Z6"/>
    <n v="-120"/>
    <n v="0.32385618761272356"/>
    <n v="0.95709813982389791"/>
    <n v="-1.1485177677886775"/>
    <n v="21997.025651765467"/>
    <n v="350.10837761588556"/>
    <x v="0"/>
  </r>
  <r>
    <x v="0"/>
    <x v="0"/>
    <s v="NU5426"/>
    <x v="0"/>
    <x v="0"/>
    <x v="1"/>
    <x v="18"/>
    <n v="1000000"/>
    <n v="0.95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  <n v="-0.57388747850309474"/>
    <n v="0.57973789660797626"/>
    <n v="0.57973789660797626"/>
    <n v="-9422.3076518129274"/>
    <n v="-1979.842893622877"/>
    <x v="0"/>
  </r>
  <r>
    <x v="0"/>
    <x v="0"/>
    <s v="NU5426"/>
    <x v="0"/>
    <x v="0"/>
    <x v="1"/>
    <x v="17"/>
    <n v="1000000"/>
    <n v="0.95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  <n v="-0.24493508272401321"/>
    <n v="0.24441082862361821"/>
    <n v="0.24441082862361821"/>
    <n v="-8899.3541720002759"/>
    <n v="-2105.7414771819822"/>
    <x v="0"/>
  </r>
  <r>
    <x v="0"/>
    <x v="0"/>
    <s v="NU5426"/>
    <x v="0"/>
    <x v="0"/>
    <x v="1"/>
    <x v="16"/>
    <n v="1000000"/>
    <n v="0.95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  <n v="-0.16368993797426468"/>
    <n v="0.15464664651400717"/>
    <n v="0.15464664651400717"/>
    <n v="-8596.7492924347771"/>
    <n v="-1567.3555861823827"/>
    <x v="0"/>
  </r>
  <r>
    <x v="0"/>
    <x v="0"/>
    <s v="NU5426"/>
    <x v="0"/>
    <x v="0"/>
    <x v="1"/>
    <x v="15"/>
    <n v="1000000"/>
    <n v="0.95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  <n v="-0.18357347760585452"/>
    <n v="0.1578419293341273"/>
    <n v="0.1578419293341273"/>
    <n v="-9552.3249961315487"/>
    <n v="-1381.228401974598"/>
    <x v="0"/>
  </r>
  <r>
    <x v="0"/>
    <x v="0"/>
    <s v="NU5426"/>
    <x v="0"/>
    <x v="0"/>
    <x v="1"/>
    <x v="14"/>
    <n v="1000000"/>
    <n v="0.95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  <n v="-0.39798088571946089"/>
    <n v="0.28736849188640784"/>
    <n v="0.28736849188640784"/>
    <n v="-10727.778249464103"/>
    <n v="-1266.9927715983033"/>
    <x v="0"/>
  </r>
  <r>
    <x v="12"/>
    <x v="0"/>
    <s v="NU5429"/>
    <x v="0"/>
    <x v="0"/>
    <x v="0"/>
    <x v="18"/>
    <n v="-300000"/>
    <n v="4"/>
    <x v="18"/>
    <n v="0.77"/>
    <n v="5.5060000000000002"/>
    <x v="18"/>
    <x v="13"/>
    <n v="0.625"/>
    <x v="6"/>
    <x v="18"/>
    <x v="0"/>
    <n v="1.9832782982378294E-4"/>
    <n v="-293.64121394332511"/>
    <n v="-59.498348947134886"/>
    <n v="213.86448278618136"/>
    <n v="-79.776731157143757"/>
    <s v="36831IF-TRANSCO/Z6"/>
    <n v="-30"/>
    <n v="9.7880404647775047E-4"/>
    <n v="4.322699029864244E-3"/>
    <n v="-1.2968097089592731E-3"/>
    <n v="16.242513919287557"/>
    <n v="6.0076688442176245"/>
    <x v="0"/>
  </r>
  <r>
    <x v="12"/>
    <x v="0"/>
    <s v="NU5429"/>
    <x v="0"/>
    <x v="0"/>
    <x v="0"/>
    <x v="17"/>
    <n v="-310000"/>
    <n v="4"/>
    <x v="17"/>
    <n v="1.645"/>
    <n v="6.4450000000000003"/>
    <x v="17"/>
    <x v="12"/>
    <n v="0.69"/>
    <x v="7"/>
    <x v="17"/>
    <x v="0"/>
    <n v="6.4335424241627623E-2"/>
    <n v="-32084.561970316081"/>
    <n v="-19943.981514904564"/>
    <n v="23905.495708293081"/>
    <n v="-8179.0662620229996"/>
    <s v="36861IF-TRANSCO/Z6"/>
    <n v="-31"/>
    <n v="0.10349858700101962"/>
    <n v="0.12516841331650497"/>
    <n v="-3.8802208128116536E-2"/>
    <n v="1021.2730168981103"/>
    <n v="425.39837874014393"/>
    <x v="0"/>
  </r>
  <r>
    <x v="12"/>
    <x v="0"/>
    <s v="NU5429"/>
    <x v="0"/>
    <x v="0"/>
    <x v="0"/>
    <x v="16"/>
    <n v="-310000"/>
    <n v="4"/>
    <x v="16"/>
    <n v="2.17"/>
    <n v="6.9139999999999997"/>
    <x v="16"/>
    <x v="11"/>
    <n v="0.69599999999999995"/>
    <x v="7"/>
    <x v="16"/>
    <x v="0"/>
    <n v="0.20225014353023979"/>
    <n v="-68917.324706469299"/>
    <n v="-62697.544494374335"/>
    <n v="53016.238228784721"/>
    <n v="-15901.086477684577"/>
    <s v="36892IF-TRANSCO/Z6"/>
    <n v="-31"/>
    <n v="0.22231395066602999"/>
    <n v="0.16493637173058198"/>
    <n v="-5.1130275236480414E-2"/>
    <n v="2025.8974692521963"/>
    <n v="662.5385958902192"/>
    <x v="0"/>
  </r>
  <r>
    <x v="12"/>
    <x v="0"/>
    <s v="NU5429"/>
    <x v="0"/>
    <x v="0"/>
    <x v="0"/>
    <x v="15"/>
    <n v="-280000"/>
    <n v="4"/>
    <x v="15"/>
    <n v="2.09"/>
    <n v="6.57"/>
    <x v="15"/>
    <x v="10"/>
    <n v="0.68100000000000005"/>
    <x v="7"/>
    <x v="15"/>
    <x v="0"/>
    <n v="0.22217715686784054"/>
    <n v="-64908.474177547316"/>
    <n v="-62209.603922995353"/>
    <n v="48911.13413824467"/>
    <n v="-15997.340039302646"/>
    <s v="36923IF-TRANSCO/Z6"/>
    <n v="-28"/>
    <n v="0.23181597920552613"/>
    <n v="0.15973843502799112"/>
    <n v="-4.4726761807837516E-2"/>
    <n v="1920.4761556108913"/>
    <n v="504.50835326756174"/>
    <x v="0"/>
  </r>
  <r>
    <x v="12"/>
    <x v="0"/>
    <s v="NU5429"/>
    <x v="0"/>
    <x v="0"/>
    <x v="0"/>
    <x v="14"/>
    <n v="-310000"/>
    <n v="4"/>
    <x v="14"/>
    <n v="1.075"/>
    <n v="5.2880000000000003"/>
    <x v="14"/>
    <x v="9"/>
    <n v="0.61199999999999999"/>
    <x v="7"/>
    <x v="14"/>
    <x v="0"/>
    <n v="4.7991632106536918E-2"/>
    <n v="-24892.590949952177"/>
    <n v="-14877.405953026444"/>
    <n v="16854.077235280325"/>
    <n v="-8038.5137146718516"/>
    <s v="36951IF-TRANSCO/Z6"/>
    <n v="-31"/>
    <n v="8.0298680483716703E-2"/>
    <n v="0.10065708535242805"/>
    <n v="-3.1203696459252694E-2"/>
    <n v="845.27364681299139"/>
    <n v="182.33848018776811"/>
    <x v="0"/>
  </r>
  <r>
    <x v="3"/>
    <x v="0"/>
    <s v="NU5433.1"/>
    <x v="1"/>
    <x v="0"/>
    <x v="0"/>
    <x v="13"/>
    <n v="300000"/>
    <n v="-0.6"/>
    <x v="13"/>
    <n v="-1.24"/>
    <n v="3.4449999999999998"/>
    <x v="13"/>
    <x v="5"/>
    <n v="0.38400000000000001"/>
    <x v="3"/>
    <x v="13"/>
    <x v="0"/>
    <n v="8.387640559881504E-8"/>
    <n v="-5.0877247481651011E-2"/>
    <n v="2.5162921679644512E-2"/>
    <n v="3.9303683441183068E-2"/>
    <n v="-1.1573564040467943E-2"/>
    <s v="36770IF-NWPL_ROCKY_M"/>
    <n v="30"/>
    <n v="-1.695908249388367E-7"/>
    <n v="-1.3441115509237365E-5"/>
    <n v="-4.0323346527712094E-6"/>
    <n v="3.7582575954514787E-5"/>
    <n v="6.3843074548447588E-6"/>
    <x v="0"/>
  </r>
  <r>
    <x v="3"/>
    <x v="0"/>
    <s v="NU5433.1"/>
    <x v="1"/>
    <x v="0"/>
    <x v="0"/>
    <x v="12"/>
    <n v="310000"/>
    <n v="-0.6"/>
    <x v="12"/>
    <n v="-0.80500000000000005"/>
    <n v="3.887"/>
    <x v="12"/>
    <x v="8"/>
    <n v="0.55200000000000005"/>
    <x v="3"/>
    <x v="12"/>
    <x v="0"/>
    <n v="8.3119599037111636E-2"/>
    <n v="101004.61396307635"/>
    <n v="25767.075701504607"/>
    <n v="-91140.245257312999"/>
    <n v="9864.3687057633506"/>
    <s v="36800IF-NWPL_ROCKY_M"/>
    <n v="31"/>
    <n v="0.32582133536476243"/>
    <n v="0.88034024949564371"/>
    <n v="0.27290547734364951"/>
    <n v="-1281.8132696355729"/>
    <n v="-728.68256937471438"/>
    <x v="0"/>
  </r>
  <r>
    <x v="3"/>
    <x v="0"/>
    <s v="NU5433.2"/>
    <x v="1"/>
    <x v="0"/>
    <x v="0"/>
    <x v="13"/>
    <n v="-300000"/>
    <n v="-0.7"/>
    <x v="13"/>
    <n v="-1.24"/>
    <n v="3.4449999999999998"/>
    <x v="13"/>
    <x v="5"/>
    <n v="0.38400000000000001"/>
    <x v="3"/>
    <x v="13"/>
    <x v="0"/>
    <n v="7.0768898075002085E-8"/>
    <n v="5.0877242585567473E-2"/>
    <n v="-2.1230669422500625E-2"/>
    <n v="-3.9303679244540035E-2"/>
    <n v="1.1573563341027437E-2"/>
    <s v="36770IF-NWPL_ROCKY_M"/>
    <n v="-30"/>
    <n v="-1.6959080861855824E-7"/>
    <n v="-1.1320656893938789E-5"/>
    <n v="3.3961970681816366E-6"/>
    <n v="-1.8791287977257394E-5"/>
    <n v="-5.6626971604951237E-6"/>
    <x v="0"/>
  </r>
  <r>
    <x v="3"/>
    <x v="0"/>
    <s v="NU5433.2"/>
    <x v="1"/>
    <x v="0"/>
    <x v="0"/>
    <x v="12"/>
    <n v="-310000"/>
    <n v="-0.7"/>
    <x v="12"/>
    <n v="-0.80500000000000005"/>
    <n v="3.887"/>
    <x v="12"/>
    <x v="8"/>
    <n v="0.55200000000000005"/>
    <x v="3"/>
    <x v="12"/>
    <x v="0"/>
    <n v="0.12040868178097264"/>
    <n v="-129145.63973134081"/>
    <n v="-37326.691352101516"/>
    <n v="118447.95162259108"/>
    <n v="-10697.688108749731"/>
    <s v="36800IF-NWPL_ROCKY_M"/>
    <n v="-31"/>
    <n v="0.41659883784303486"/>
    <n v="0.93068136056323403"/>
    <n v="-0.28851122177460253"/>
    <n v="1385.1762682735161"/>
    <n v="805.34811626566056"/>
    <x v="0"/>
  </r>
  <r>
    <x v="3"/>
    <x v="0"/>
    <s v="NU5442"/>
    <x v="0"/>
    <x v="0"/>
    <x v="0"/>
    <x v="14"/>
    <n v="2000000"/>
    <n v="2"/>
    <x v="14"/>
    <n v="1.075"/>
    <n v="5.2880000000000003"/>
    <x v="14"/>
    <x v="9"/>
    <n v="0.61199999999999999"/>
    <x v="7"/>
    <x v="14"/>
    <x v="0"/>
    <n v="0.23747355682399185"/>
    <n v="612263.50607893185"/>
    <n v="474947.1136479837"/>
    <n v="-470417.95520612004"/>
    <n v="141845.55087281181"/>
    <s v="36951IF-TRANSCO/Z6"/>
    <n v="200"/>
    <n v="0.30613175303946594"/>
    <n v="0.25027833666544225"/>
    <n v="0.50055667333088449"/>
    <n v="-16077.018093233659"/>
    <n v="-2511.8900242191307"/>
    <x v="0"/>
  </r>
  <r>
    <x v="16"/>
    <x v="0"/>
    <s v="NU5447"/>
    <x v="4"/>
    <x v="0"/>
    <x v="0"/>
    <x v="13"/>
    <n v="450000"/>
    <n v="0.5"/>
    <x v="13"/>
    <n v="2.5"/>
    <n v="7.1849999999999996"/>
    <x v="13"/>
    <x v="5"/>
    <n v="0.376"/>
    <x v="7"/>
    <x v="13"/>
    <x v="0"/>
    <n v="1.9992642859635223"/>
    <n v="449834.4643111765"/>
    <n v="899668.92868358502"/>
    <n v="-449834.48226746271"/>
    <n v="-1.7956286203116179E-2"/>
    <s v="36770NGI-SOCAL"/>
    <n v="45"/>
    <n v="0.9996321429137256"/>
    <n v="1.0011402570486957E-90"/>
    <n v="4.5051311567191307E-91"/>
    <n v="-5.6373863931772174E-5"/>
    <n v="165.67759165993715"/>
    <x v="0"/>
  </r>
  <r>
    <x v="16"/>
    <x v="0"/>
    <s v="NU5447"/>
    <x v="4"/>
    <x v="0"/>
    <x v="0"/>
    <x v="12"/>
    <n v="465000"/>
    <n v="0.5"/>
    <x v="12"/>
    <n v="1.99"/>
    <n v="6.6820000000000004"/>
    <x v="12"/>
    <x v="8"/>
    <n v="0.54100000000000004"/>
    <x v="7"/>
    <x v="12"/>
    <x v="0"/>
    <n v="1.4818377985590623"/>
    <n v="461261.14970030059"/>
    <n v="689054.57632996398"/>
    <n v="-460903.24284445809"/>
    <n v="357.90685584250605"/>
    <s v="36800NGI-SOCAL"/>
    <n v="46.5"/>
    <n v="0.99195946172107652"/>
    <n v="1.178719595959174E-2"/>
    <n v="5.4810461212101589E-3"/>
    <n v="-58.983893029274924"/>
    <n v="95.993716865416573"/>
    <x v="0"/>
  </r>
  <r>
    <x v="8"/>
    <x v="0"/>
    <s v="NU5454"/>
    <x v="0"/>
    <x v="0"/>
    <x v="1"/>
    <x v="11"/>
    <n v="300000"/>
    <n v="0.3"/>
    <x v="11"/>
    <n v="0.52"/>
    <n v="4.4580000000000002"/>
    <x v="11"/>
    <x v="7"/>
    <n v="0.434"/>
    <x v="1"/>
    <x v="11"/>
    <x v="1"/>
    <n v="4.8130822327853651E-2"/>
    <n v="-69349.183136221211"/>
    <n v="14439.246698356095"/>
    <n v="76044.555575902792"/>
    <n v="6695.3724396815815"/>
    <s v="36982IF-TRANSCO/Z6"/>
    <n v="30"/>
    <n v="-0.23116394378740404"/>
    <n v="0.88109392853105439"/>
    <n v="0.26432817855931634"/>
    <n v="-5457.9459742997042"/>
    <n v="-69.186805183422308"/>
    <x v="0"/>
  </r>
  <r>
    <x v="8"/>
    <x v="0"/>
    <s v="NU5454"/>
    <x v="0"/>
    <x v="0"/>
    <x v="1"/>
    <x v="10"/>
    <n v="310000"/>
    <n v="0.3"/>
    <x v="10"/>
    <n v="0.40500000000000003"/>
    <n v="4.2430000000000003"/>
    <x v="10"/>
    <x v="6"/>
    <n v="0.39700000000000002"/>
    <x v="1"/>
    <x v="10"/>
    <x v="1"/>
    <n v="7.5040449341795601E-2"/>
    <n v="-104690.45438105936"/>
    <n v="23262.539295956638"/>
    <n v="112598.93429053146"/>
    <n v="7908.4799094720947"/>
    <s v="37012IF-TRANSCO/Z6"/>
    <n v="31"/>
    <n v="-0.33771114316470763"/>
    <n v="1.127503119599327"/>
    <n v="0.34952596707579142"/>
    <n v="-6213.9027447080534"/>
    <n v="-67.64784796127617"/>
    <x v="0"/>
  </r>
  <r>
    <x v="8"/>
    <x v="0"/>
    <s v="NU5454"/>
    <x v="0"/>
    <x v="0"/>
    <x v="1"/>
    <x v="9"/>
    <n v="300000"/>
    <n v="0.3"/>
    <x v="9"/>
    <n v="0.39500000000000002"/>
    <n v="4.2130000000000001"/>
    <x v="9"/>
    <x v="5"/>
    <n v="0.39200000000000002"/>
    <x v="1"/>
    <x v="9"/>
    <x v="1"/>
    <n v="8.3369905916028775E-2"/>
    <n v="-105342.76451193367"/>
    <n v="25010.971774808633"/>
    <n v="113462.00081844855"/>
    <n v="8119.236306514882"/>
    <s v="37043IF-TRANSCO/Z6"/>
    <n v="30"/>
    <n v="-0.35114254837311221"/>
    <n v="1.0885035704631509"/>
    <n v="0.32655107113894533"/>
    <n v="-6341.5086518979042"/>
    <n v="-60.038237938594726"/>
    <x v="0"/>
  </r>
  <r>
    <x v="8"/>
    <x v="0"/>
    <s v="NU5454"/>
    <x v="0"/>
    <x v="0"/>
    <x v="1"/>
    <x v="8"/>
    <n v="310000"/>
    <n v="0.3"/>
    <x v="8"/>
    <n v="0.46"/>
    <n v="4.2629999999999999"/>
    <x v="8"/>
    <x v="5"/>
    <n v="0.39200000000000002"/>
    <x v="1"/>
    <x v="8"/>
    <x v="1"/>
    <n v="6.7736715606437792E-2"/>
    <n v="-89499.233680311183"/>
    <n v="20998.381837995716"/>
    <n v="97695.487333422017"/>
    <n v="8196.2536531108344"/>
    <s v="37073IF-TRANSCO/Z6"/>
    <n v="31"/>
    <n v="-0.28870720542035866"/>
    <n v="0.94431044701151334"/>
    <n v="0.29273623857356917"/>
    <n v="-6428.3600160715896"/>
    <n v="-55.632641341113228"/>
    <x v="0"/>
  </r>
  <r>
    <x v="8"/>
    <x v="0"/>
    <s v="NU5454"/>
    <x v="0"/>
    <x v="0"/>
    <x v="1"/>
    <x v="7"/>
    <n v="310000"/>
    <n v="0.3"/>
    <x v="7"/>
    <n v="0.46"/>
    <n v="4.2679999999999998"/>
    <x v="7"/>
    <x v="5"/>
    <n v="0.39200000000000002"/>
    <x v="1"/>
    <x v="7"/>
    <x v="1"/>
    <n v="7.3457763842120272E-2"/>
    <n v="-91120.837205446005"/>
    <n v="22771.906791057285"/>
    <n v="99776.034022506065"/>
    <n v="8655.1968170600594"/>
    <s v="37104IF-TRANSCO/Z6"/>
    <n v="31"/>
    <n v="-0.2939381845336968"/>
    <n v="0.90092935316193823"/>
    <n v="0.27928809948020084"/>
    <n v="-6795.7089222581117"/>
    <n v="-52.751752335241321"/>
    <x v="0"/>
  </r>
  <r>
    <x v="8"/>
    <x v="0"/>
    <s v="NU5454"/>
    <x v="0"/>
    <x v="0"/>
    <x v="1"/>
    <x v="6"/>
    <n v="300000"/>
    <n v="0.3"/>
    <x v="6"/>
    <n v="0.39500000000000002"/>
    <n v="4.1829999999999998"/>
    <x v="6"/>
    <x v="5"/>
    <n v="0.39200000000000002"/>
    <x v="1"/>
    <x v="6"/>
    <x v="1"/>
    <n v="9.92164871050496E-2"/>
    <n v="-106823.36490538612"/>
    <n v="29764.94613151488"/>
    <n v="116122.17600914001"/>
    <n v="9298.8111037538911"/>
    <s v="37135IF-TRANSCO/Z6"/>
    <n v="30"/>
    <n v="-0.35607788301795373"/>
    <n v="0.94072921220911965"/>
    <n v="0.28221876366273585"/>
    <n v="-7207.5911613570597"/>
    <n v="-49.770600781818487"/>
    <x v="0"/>
  </r>
  <r>
    <x v="8"/>
    <x v="0"/>
    <s v="NU5454"/>
    <x v="0"/>
    <x v="0"/>
    <x v="1"/>
    <x v="5"/>
    <n v="310000"/>
    <n v="0.3"/>
    <x v="5"/>
    <n v="0.46100000000000002"/>
    <n v="4.234"/>
    <x v="5"/>
    <x v="4"/>
    <n v="0.39400000000000002"/>
    <x v="1"/>
    <x v="5"/>
    <x v="1"/>
    <n v="8.2265197844509308E-2"/>
    <n v="-92822.214583767025"/>
    <n v="25502.211331797884"/>
    <n v="102266.80955851398"/>
    <n v="9444.5949747469567"/>
    <s v="37165IF-TRANSCO/Z6"/>
    <n v="31"/>
    <n v="-0.29942649865731297"/>
    <n v="0.83409829439390326"/>
    <n v="0.25857047126211002"/>
    <n v="-7357.819976560635"/>
    <n v="-47.810498337630079"/>
    <x v="0"/>
  </r>
  <r>
    <x v="6"/>
    <x v="0"/>
    <s v="NU5468"/>
    <x v="0"/>
    <x v="0"/>
    <x v="0"/>
    <x v="11"/>
    <n v="500000"/>
    <n v="0.7"/>
    <x v="11"/>
    <n v="0.52"/>
    <n v="4.4580000000000002"/>
    <x v="11"/>
    <x v="7"/>
    <n v="0.434"/>
    <x v="1"/>
    <x v="11"/>
    <x v="0"/>
    <n v="7.4548084161956366E-2"/>
    <n v="161928.09380636178"/>
    <n v="37274.042080978186"/>
    <n v="-150976.85125820708"/>
    <n v="10951.242548154696"/>
    <s v="36982IF-TRANSCO/Z6"/>
    <n v="50"/>
    <n v="0.32385618761272356"/>
    <n v="0.95709813982389791"/>
    <n v="0.47854906991194895"/>
    <n v="-9165.4273549022782"/>
    <n v="-145.87849067328565"/>
    <x v="0"/>
  </r>
  <r>
    <x v="23"/>
    <x v="0"/>
    <s v="NU7573"/>
    <x v="6"/>
    <x v="0"/>
    <x v="0"/>
    <x v="18"/>
    <n v="-1500000"/>
    <n v="0.12"/>
    <x v="18"/>
    <n v="8.7499999999999994E-2"/>
    <n v="4.8235000000000001"/>
    <x v="18"/>
    <x v="13"/>
    <n v="0.59499999999999997"/>
    <x v="10"/>
    <x v="18"/>
    <x v="0"/>
    <n v="2.3997181477235136E-2"/>
    <n v="-552150.62549074367"/>
    <n v="-35995.772215852703"/>
    <n v="541946.76487322629"/>
    <n v="-10203.860617517377"/>
    <s v="36831NGI/CHI. GATE"/>
    <n v="-150"/>
    <n v="0.36810041699382912"/>
    <n v="3.9075744570602216"/>
    <n v="-5.8613616855903317"/>
    <n v="81274.116907662901"/>
    <n v="420.72223583757329"/>
    <x v="0"/>
  </r>
  <r>
    <x v="23"/>
    <x v="0"/>
    <s v="NU7573"/>
    <x v="6"/>
    <x v="0"/>
    <x v="0"/>
    <x v="17"/>
    <n v="-1550000"/>
    <n v="0.12"/>
    <x v="17"/>
    <n v="0.1"/>
    <n v="4.9000000000000004"/>
    <x v="17"/>
    <x v="12"/>
    <n v="0.6"/>
    <x v="10"/>
    <x v="17"/>
    <x v="0"/>
    <n v="3.767662323002683E-2"/>
    <n v="-669696.25772431353"/>
    <n v="-58398.766006541584"/>
    <n v="656287.84515093488"/>
    <n v="-13408.41257337865"/>
    <s v="36861NGI/CHI. GATE"/>
    <n v="-155"/>
    <n v="0.43206210175762161"/>
    <n v="3.254167118858311"/>
    <n v="-5.0439590342303822"/>
    <n v="108365.34064942636"/>
    <n v="375.4864202062891"/>
    <x v="0"/>
  </r>
  <r>
    <x v="23"/>
    <x v="0"/>
    <s v="NU7573"/>
    <x v="6"/>
    <x v="0"/>
    <x v="0"/>
    <x v="16"/>
    <n v="-1550000"/>
    <n v="0.12"/>
    <x v="16"/>
    <n v="0.1275"/>
    <n v="4.8715000000000002"/>
    <x v="16"/>
    <x v="11"/>
    <n v="0.60499999999999998"/>
    <x v="10"/>
    <x v="16"/>
    <x v="0"/>
    <n v="5.7216774333382153E-2"/>
    <n v="-801613.39050868084"/>
    <n v="-88686.000216742337"/>
    <n v="786080.06727373903"/>
    <n v="-15533.32323494181"/>
    <s v="36892NGI/CHI. GATE"/>
    <n v="-155"/>
    <n v="0.51716992936043926"/>
    <n v="2.8363312655054362"/>
    <n v="-4.3963134615334267"/>
    <n v="124437.62075154723"/>
    <n v="324.2198306023829"/>
    <x v="0"/>
  </r>
  <r>
    <x v="23"/>
    <x v="0"/>
    <s v="NU7573"/>
    <x v="6"/>
    <x v="0"/>
    <x v="0"/>
    <x v="15"/>
    <n v="-1400000"/>
    <n v="0.12"/>
    <x v="15"/>
    <n v="0.13750000000000001"/>
    <n v="4.6174999999999997"/>
    <x v="15"/>
    <x v="10"/>
    <n v="0.59299999999999997"/>
    <x v="10"/>
    <x v="15"/>
    <x v="0"/>
    <n v="6.4984762880446439E-2"/>
    <n v="-757041.30049211707"/>
    <n v="-90978.668032625021"/>
    <n v="741834.31518945424"/>
    <n v="-15206.985302662826"/>
    <s v="36923NGI/CHI. GATE"/>
    <n v="-140"/>
    <n v="0.54074378606579787"/>
    <n v="2.6483909150540779"/>
    <n v="-3.7077472810757093"/>
    <n v="114817.79775788316"/>
    <n v="235.80755549368973"/>
    <x v="0"/>
  </r>
  <r>
    <x v="23"/>
    <x v="0"/>
    <s v="NU7573"/>
    <x v="6"/>
    <x v="0"/>
    <x v="0"/>
    <x v="14"/>
    <n v="-1550000"/>
    <n v="0.12"/>
    <x v="14"/>
    <n v="0.1225"/>
    <n v="4.3354999999999997"/>
    <x v="14"/>
    <x v="9"/>
    <n v="0.53300000000000003"/>
    <x v="10"/>
    <x v="14"/>
    <x v="0"/>
    <n v="5.2743029649831637E-2"/>
    <n v="-773115.08068138093"/>
    <n v="-81751.695957239033"/>
    <n v="756714.6029651775"/>
    <n v="-16400.47771620343"/>
    <s v="36951NGI/CHI. GATE"/>
    <n v="-155"/>
    <n v="0.49878392302024577"/>
    <n v="2.885092017601381"/>
    <n v="-4.4718926272821413"/>
    <n v="116282.43266971747"/>
    <n v="204.04851833914259"/>
    <x v="0"/>
  </r>
  <r>
    <x v="18"/>
    <x v="0"/>
    <s v="NU9007"/>
    <x v="6"/>
    <x v="0"/>
    <x v="0"/>
    <x v="18"/>
    <n v="-300000"/>
    <n v="0.12"/>
    <x v="18"/>
    <n v="8.7499999999999994E-2"/>
    <n v="4.8235000000000001"/>
    <x v="18"/>
    <x v="13"/>
    <n v="0.59499999999999997"/>
    <x v="10"/>
    <x v="18"/>
    <x v="0"/>
    <n v="2.3997181477235136E-2"/>
    <n v="-110430.12509814874"/>
    <n v="-7199.1544431705406"/>
    <n v="108389.35297464526"/>
    <n v="-2040.7721235034842"/>
    <s v="36831NGI/CHI. GATE"/>
    <n v="-30"/>
    <n v="0.36810041699382912"/>
    <n v="3.9075744570602216"/>
    <n v="-1.1722723371180663"/>
    <n v="16254.823381532582"/>
    <n v="84.144447167514656"/>
    <x v="0"/>
  </r>
  <r>
    <x v="18"/>
    <x v="0"/>
    <s v="NU9007"/>
    <x v="6"/>
    <x v="0"/>
    <x v="0"/>
    <x v="17"/>
    <n v="-310000"/>
    <n v="0.12"/>
    <x v="17"/>
    <n v="0.1"/>
    <n v="4.9000000000000004"/>
    <x v="17"/>
    <x v="12"/>
    <n v="0.6"/>
    <x v="10"/>
    <x v="17"/>
    <x v="0"/>
    <n v="3.767662323002683E-2"/>
    <n v="-133939.25154486269"/>
    <n v="-11679.753201308318"/>
    <n v="131257.56903018698"/>
    <n v="-2681.6825146757183"/>
    <s v="36861NGI/CHI. GATE"/>
    <n v="-31"/>
    <n v="0.43206210175762161"/>
    <n v="3.254167118858311"/>
    <n v="-1.0087918068460764"/>
    <n v="21673.068129885272"/>
    <n v="75.097284041257822"/>
    <x v="0"/>
  </r>
  <r>
    <x v="18"/>
    <x v="0"/>
    <s v="NU9007"/>
    <x v="6"/>
    <x v="0"/>
    <x v="0"/>
    <x v="16"/>
    <n v="-310000"/>
    <n v="0.12"/>
    <x v="16"/>
    <n v="0.1275"/>
    <n v="4.8715000000000002"/>
    <x v="16"/>
    <x v="11"/>
    <n v="0.60499999999999998"/>
    <x v="10"/>
    <x v="16"/>
    <x v="0"/>
    <n v="5.7216774333382153E-2"/>
    <n v="-160322.67810173618"/>
    <n v="-17737.200043348468"/>
    <n v="157216.01345474779"/>
    <n v="-3106.6646469883854"/>
    <s v="36892NGI/CHI. GATE"/>
    <n v="-31"/>
    <n v="0.51716992936043926"/>
    <n v="2.8363312655054362"/>
    <n v="-0.87926269230668519"/>
    <n v="24887.524150309448"/>
    <n v="64.84396612047658"/>
    <x v="0"/>
  </r>
  <r>
    <x v="18"/>
    <x v="0"/>
    <s v="NU9007"/>
    <x v="6"/>
    <x v="0"/>
    <x v="0"/>
    <x v="15"/>
    <n v="-280000"/>
    <n v="0.12"/>
    <x v="15"/>
    <n v="0.13750000000000001"/>
    <n v="4.6174999999999997"/>
    <x v="15"/>
    <x v="10"/>
    <n v="0.59299999999999997"/>
    <x v="10"/>
    <x v="15"/>
    <x v="0"/>
    <n v="6.4984762880446439E-2"/>
    <n v="-151408.2600984234"/>
    <n v="-18195.733606525002"/>
    <n v="148366.86303789084"/>
    <n v="-3041.3970605325594"/>
    <s v="36923NGI/CHI. GATE"/>
    <n v="-28"/>
    <n v="0.54074378606579787"/>
    <n v="2.6483909150540779"/>
    <n v="-0.7415494562151419"/>
    <n v="22963.559551576636"/>
    <n v="47.161511098737947"/>
    <x v="0"/>
  </r>
  <r>
    <x v="18"/>
    <x v="0"/>
    <s v="NU9007"/>
    <x v="6"/>
    <x v="0"/>
    <x v="0"/>
    <x v="14"/>
    <n v="-310000"/>
    <n v="0.12"/>
    <x v="14"/>
    <n v="0.1225"/>
    <n v="4.3354999999999997"/>
    <x v="14"/>
    <x v="9"/>
    <n v="0.53300000000000003"/>
    <x v="10"/>
    <x v="14"/>
    <x v="0"/>
    <n v="5.2743029649831637E-2"/>
    <n v="-154623.01613627619"/>
    <n v="-16350.339191447807"/>
    <n v="151342.92059303549"/>
    <n v="-3280.0955432406918"/>
    <s v="36951NGI/CHI. GATE"/>
    <n v="-31"/>
    <n v="0.49878392302024577"/>
    <n v="2.885092017601381"/>
    <n v="-0.89437852545642815"/>
    <n v="23256.486533943495"/>
    <n v="40.809703667828515"/>
    <x v="0"/>
  </r>
  <r>
    <x v="22"/>
    <x v="0"/>
    <s v="NU9019"/>
    <x v="0"/>
    <x v="0"/>
    <x v="0"/>
    <x v="12"/>
    <n v="1550000"/>
    <n v="0.5"/>
    <x v="12"/>
    <n v="0.41499999999999998"/>
    <n v="5.1070000000000002"/>
    <x v="12"/>
    <x v="8"/>
    <n v="0.56399999999999995"/>
    <x v="2"/>
    <x v="12"/>
    <x v="0"/>
    <n v="1.6425197030574067E-2"/>
    <n v="376517.22336040344"/>
    <n v="25459.055397389802"/>
    <n v="-369015.7043584921"/>
    <n v="7501.5190019113361"/>
    <s v="36800IF-TRANSCO/Z6"/>
    <n v="155"/>
    <n v="0.24291433765187317"/>
    <n v="2.6777145906738937"/>
    <n v="4.1504576155445356"/>
    <n v="-27091.135670128566"/>
    <n v="-909.45366181096165"/>
    <x v="0"/>
  </r>
  <r>
    <x v="2"/>
    <x v="0"/>
    <s v="NU9027"/>
    <x v="0"/>
    <x v="0"/>
    <x v="0"/>
    <x v="18"/>
    <n v="300000"/>
    <n v="2.5"/>
    <x v="18"/>
    <n v="0.77"/>
    <n v="5.5060000000000002"/>
    <x v="18"/>
    <x v="13"/>
    <n v="0.625"/>
    <x v="6"/>
    <x v="18"/>
    <x v="0"/>
    <n v="6.4395475095290703E-3"/>
    <n v="7419.7703730168123"/>
    <n v="1931.8642528587211"/>
    <n v="-5850.1783702993016"/>
    <n v="1569.5920027175107"/>
    <s v="36831IF-TRANSCO/Z6"/>
    <n v="30"/>
    <n v="2.4732567910056041E-2"/>
    <n v="7.9901262536593548E-2"/>
    <n v="2.3970378760978062E-2"/>
    <n v="-328.7737538480784"/>
    <n v="-99.690988261025922"/>
    <x v="0"/>
  </r>
  <r>
    <x v="2"/>
    <x v="0"/>
    <s v="NU9027"/>
    <x v="0"/>
    <x v="0"/>
    <x v="0"/>
    <x v="17"/>
    <n v="310000"/>
    <n v="2.5"/>
    <x v="17"/>
    <n v="1.645"/>
    <n v="6.4450000000000003"/>
    <x v="17"/>
    <x v="12"/>
    <n v="0.69"/>
    <x v="7"/>
    <x v="17"/>
    <x v="0"/>
    <n v="0.24773751980055622"/>
    <n v="97206.161690335866"/>
    <n v="76798.631138172423"/>
    <n v="-79217.845463800404"/>
    <n v="17988.316226535462"/>
    <s v="36861IF-TRANSCO/Z6"/>
    <n v="31"/>
    <n v="0.31356826351721245"/>
    <n v="0.25721628353041581"/>
    <n v="7.9737047894428897E-2"/>
    <n v="-2368.2792835329224"/>
    <n v="-787.80690756155218"/>
    <x v="0"/>
  </r>
  <r>
    <x v="2"/>
    <x v="0"/>
    <s v="NU9027"/>
    <x v="0"/>
    <x v="0"/>
    <x v="0"/>
    <x v="16"/>
    <n v="310000"/>
    <n v="2.5"/>
    <x v="16"/>
    <n v="2.17"/>
    <n v="6.9139999999999997"/>
    <x v="16"/>
    <x v="11"/>
    <n v="0.69599999999999995"/>
    <x v="7"/>
    <x v="16"/>
    <x v="0"/>
    <n v="0.53186610397093281"/>
    <n v="144820.41731810232"/>
    <n v="164878.49223098918"/>
    <n v="-121148.24977044304"/>
    <n v="23672.167547659279"/>
    <s v="36892IF-TRANSCO/Z6"/>
    <n v="31"/>
    <n v="0.4671626365100075"/>
    <n v="0.22870493244122136"/>
    <n v="7.0898529056778625E-2"/>
    <n v="-3184.9840376955917"/>
    <n v="-816.47749316555985"/>
    <x v="0"/>
  </r>
  <r>
    <x v="2"/>
    <x v="0"/>
    <s v="NU9027"/>
    <x v="0"/>
    <x v="0"/>
    <x v="0"/>
    <x v="15"/>
    <n v="280000"/>
    <n v="2.5"/>
    <x v="15"/>
    <n v="2.09"/>
    <n v="6.57"/>
    <x v="15"/>
    <x v="10"/>
    <n v="0.68100000000000005"/>
    <x v="7"/>
    <x v="15"/>
    <x v="0"/>
    <n v="0.53709625631967106"/>
    <n v="128190.58673474933"/>
    <n v="150386.9517695079"/>
    <n v="-105015.09810861335"/>
    <n v="23175.488626135979"/>
    <s v="36923IF-TRANSCO/Z6"/>
    <n v="28"/>
    <n v="0.45782352405267618"/>
    <n v="0.2154690533950194"/>
    <n v="6.0331334950605428E-2"/>
    <n v="-2938.6953688244103"/>
    <n v="-602.59162765301198"/>
    <x v="0"/>
  </r>
  <r>
    <x v="2"/>
    <x v="0"/>
    <s v="NU9027"/>
    <x v="0"/>
    <x v="0"/>
    <x v="0"/>
    <x v="14"/>
    <n v="310000"/>
    <n v="2.5"/>
    <x v="14"/>
    <n v="1.075"/>
    <n v="5.2880000000000003"/>
    <x v="14"/>
    <x v="9"/>
    <n v="0.61199999999999999"/>
    <x v="7"/>
    <x v="14"/>
    <x v="0"/>
    <n v="0.15769806655468968"/>
    <n v="68431.805474926383"/>
    <n v="48886.400631953802"/>
    <n v="-50666.142766624842"/>
    <n v="17765.662708301541"/>
    <s v="36951IF-TRANSCO/Z6"/>
    <n v="31"/>
    <n v="0.22074775959653672"/>
    <n v="0.20839267824064617"/>
    <n v="6.4601730254600309E-2"/>
    <n v="-1968.2990654019998"/>
    <n v="-340.35666639626282"/>
    <x v="0"/>
  </r>
  <r>
    <x v="9"/>
    <x v="0"/>
    <s v="NV0431"/>
    <x v="0"/>
    <x v="0"/>
    <x v="0"/>
    <x v="11"/>
    <n v="500000"/>
    <n v="0.5"/>
    <x v="11"/>
    <n v="0.52"/>
    <n v="4.4580000000000002"/>
    <x v="11"/>
    <x v="7"/>
    <n v="0.434"/>
    <x v="1"/>
    <x v="11"/>
    <x v="0"/>
    <n v="0.14461673425404681"/>
    <n v="259868.44400291875"/>
    <n v="72308.367127023404"/>
    <n v="-246925.64325500699"/>
    <n v="12942.800747911766"/>
    <s v="36982IF-TRANSCO/Z6"/>
    <n v="50"/>
    <n v="0.51973688800583751"/>
    <n v="1.0829462731832513"/>
    <n v="0.54147313659162566"/>
    <n v="-10711.559379195087"/>
    <n v="-145.4778747430945"/>
    <x v="0"/>
  </r>
  <r>
    <x v="9"/>
    <x v="0"/>
    <s v="NV0431"/>
    <x v="0"/>
    <x v="0"/>
    <x v="0"/>
    <x v="10"/>
    <n v="500000"/>
    <n v="0.5"/>
    <x v="10"/>
    <n v="0.40500000000000003"/>
    <n v="4.2430000000000003"/>
    <x v="10"/>
    <x v="6"/>
    <n v="0.39700000000000002"/>
    <x v="1"/>
    <x v="10"/>
    <x v="0"/>
    <n v="8.5893158214631282E-2"/>
    <n v="193139.40165279055"/>
    <n v="42946.579107315643"/>
    <n v="-181003.49853598842"/>
    <n v="12135.903116802132"/>
    <s v="37012IF-TRANSCO/Z6"/>
    <n v="50"/>
    <n v="0.38627880330558112"/>
    <n v="1.1349963414592004"/>
    <n v="0.56749817072960018"/>
    <n v="-9679.897883583355"/>
    <n v="-117.7785345862048"/>
    <x v="0"/>
  </r>
  <r>
    <x v="9"/>
    <x v="0"/>
    <s v="NV0431"/>
    <x v="0"/>
    <x v="0"/>
    <x v="0"/>
    <x v="9"/>
    <n v="500000"/>
    <n v="0.5"/>
    <x v="9"/>
    <n v="0.39500000000000002"/>
    <n v="4.2130000000000001"/>
    <x v="9"/>
    <x v="5"/>
    <n v="0.39200000000000002"/>
    <x v="1"/>
    <x v="9"/>
    <x v="0"/>
    <n v="8.735020414401895E-2"/>
    <n v="189451.30740152946"/>
    <n v="43675.102072009475"/>
    <n v="-176813.65548981272"/>
    <n v="12637.651911716734"/>
    <s v="37043IF-TRANSCO/Z6"/>
    <n v="50"/>
    <n v="0.37890261480305892"/>
    <n v="1.0754482053975236"/>
    <n v="0.53772410269876181"/>
    <n v="-10021.109468212981"/>
    <n v="-106.54074163711961"/>
    <x v="0"/>
  </r>
  <r>
    <x v="9"/>
    <x v="0"/>
    <s v="NV0431"/>
    <x v="0"/>
    <x v="0"/>
    <x v="0"/>
    <x v="8"/>
    <n v="500000"/>
    <n v="0.5"/>
    <x v="8"/>
    <n v="0.46"/>
    <n v="4.2629999999999999"/>
    <x v="8"/>
    <x v="5"/>
    <n v="0.39200000000000002"/>
    <x v="1"/>
    <x v="8"/>
    <x v="0"/>
    <n v="0.1200067855524454"/>
    <n v="224992.1071884594"/>
    <n v="60003.392776222703"/>
    <n v="-211334.80051585849"/>
    <n v="13657.306672600913"/>
    <s v="37073IF-TRANSCO/Z6"/>
    <n v="50"/>
    <n v="0.44998421437691882"/>
    <n v="1.0338255557516154"/>
    <n v="0.51691277787580769"/>
    <n v="-10879.7896062452"/>
    <n v="-102.4755202407907"/>
    <x v="0"/>
  </r>
  <r>
    <x v="9"/>
    <x v="0"/>
    <s v="NV0431"/>
    <x v="0"/>
    <x v="0"/>
    <x v="0"/>
    <x v="7"/>
    <n v="500000"/>
    <n v="0.5"/>
    <x v="7"/>
    <n v="0.46"/>
    <n v="4.2679999999999998"/>
    <x v="7"/>
    <x v="5"/>
    <n v="0.39200000000000002"/>
    <x v="1"/>
    <x v="7"/>
    <x v="0"/>
    <n v="0.1264820590295051"/>
    <n v="225140.42738384873"/>
    <n v="63241.029514752547"/>
    <n v="-210854.19135975846"/>
    <n v="14286.236024090264"/>
    <s v="37104IF-TRANSCO/Z6"/>
    <n v="50"/>
    <n v="0.45028085476769747"/>
    <n v="0.97668929470297738"/>
    <n v="0.48834464735148869"/>
    <n v="-11391.933080545949"/>
    <n v="-95.934167753316473"/>
    <x v="0"/>
  </r>
  <r>
    <x v="9"/>
    <x v="0"/>
    <s v="NV0431"/>
    <x v="0"/>
    <x v="0"/>
    <x v="0"/>
    <x v="6"/>
    <n v="500000"/>
    <n v="0.5"/>
    <x v="6"/>
    <n v="0.39500000000000002"/>
    <n v="4.1829999999999998"/>
    <x v="6"/>
    <x v="5"/>
    <n v="0.39200000000000002"/>
    <x v="1"/>
    <x v="6"/>
    <x v="0"/>
    <n v="0.10436260251325032"/>
    <n v="194722.34411721348"/>
    <n v="52181.301256625156"/>
    <n v="-180227.24899689035"/>
    <n v="14495.095120323123"/>
    <s v="37135IF-TRANSCO/Z6"/>
    <n v="50"/>
    <n v="0.38944468823442696"/>
    <n v="0.93029307337925482"/>
    <n v="0.46514653668962735"/>
    <n v="-11404.341191143876"/>
    <n v="-88.580910459463141"/>
    <x v="0"/>
  </r>
  <r>
    <x v="9"/>
    <x v="0"/>
    <s v="NV0431"/>
    <x v="0"/>
    <x v="0"/>
    <x v="0"/>
    <x v="5"/>
    <n v="500000"/>
    <n v="0.5"/>
    <x v="5"/>
    <n v="0.46100000000000002"/>
    <n v="4.234"/>
    <x v="5"/>
    <x v="4"/>
    <n v="0.39400000000000002"/>
    <x v="1"/>
    <x v="5"/>
    <x v="0"/>
    <n v="0.13714256120638882"/>
    <n v="225444.80177932518"/>
    <n v="68571.280603194406"/>
    <n v="-210050.60457000791"/>
    <n v="15394.197209317266"/>
    <s v="37165IF-TRANSCO/Z6"/>
    <n v="50"/>
    <n v="0.45088960355865038"/>
    <n v="0.89365522877907544"/>
    <n v="0.44682761438953766"/>
    <n v="-12190.700681080662"/>
    <n v="-85.458575076818349"/>
    <x v="0"/>
  </r>
  <r>
    <x v="9"/>
    <x v="0"/>
    <s v="NV0442"/>
    <x v="0"/>
    <x v="0"/>
    <x v="1"/>
    <x v="11"/>
    <n v="1000000"/>
    <n v="0.3"/>
    <x v="11"/>
    <n v="0.52"/>
    <n v="4.4580000000000002"/>
    <x v="11"/>
    <x v="7"/>
    <n v="0.434"/>
    <x v="1"/>
    <x v="11"/>
    <x v="1"/>
    <n v="4.8130822327853651E-2"/>
    <n v="-231163.94378740402"/>
    <n v="48130.822327853653"/>
    <n v="253481.85191967597"/>
    <n v="22317.908132271958"/>
    <s v="36982IF-TRANSCO/Z6"/>
    <n v="100"/>
    <n v="-0.23116394378740401"/>
    <n v="0.88109392853105439"/>
    <n v="0.8810939285310545"/>
    <n v="-18193.153247665683"/>
    <n v="-230.62268394474103"/>
    <x v="0"/>
  </r>
  <r>
    <x v="9"/>
    <x v="0"/>
    <s v="NV0442"/>
    <x v="0"/>
    <x v="0"/>
    <x v="1"/>
    <x v="10"/>
    <n v="1000000"/>
    <n v="0.3"/>
    <x v="10"/>
    <n v="0.40500000000000003"/>
    <n v="4.2430000000000003"/>
    <x v="10"/>
    <x v="6"/>
    <n v="0.39700000000000002"/>
    <x v="1"/>
    <x v="10"/>
    <x v="1"/>
    <n v="7.5040449341795601E-2"/>
    <n v="-337711.14316470764"/>
    <n v="75040.449341795596"/>
    <n v="363222.36867913371"/>
    <n v="25511.225514426071"/>
    <s v="37012IF-TRANSCO/Z6"/>
    <n v="100"/>
    <n v="-0.33771114316470763"/>
    <n v="1.127503119599327"/>
    <n v="1.127503119599327"/>
    <n v="-20044.847563574363"/>
    <n v="-218.21886439121346"/>
    <x v="0"/>
  </r>
  <r>
    <x v="9"/>
    <x v="0"/>
    <s v="NV0442"/>
    <x v="0"/>
    <x v="0"/>
    <x v="1"/>
    <x v="9"/>
    <n v="1000000"/>
    <n v="0.3"/>
    <x v="9"/>
    <n v="0.39500000000000002"/>
    <n v="4.2130000000000001"/>
    <x v="9"/>
    <x v="5"/>
    <n v="0.39200000000000002"/>
    <x v="1"/>
    <x v="9"/>
    <x v="1"/>
    <n v="8.3369905916028775E-2"/>
    <n v="-351142.54837311222"/>
    <n v="83369.905916028772"/>
    <n v="378206.6693948285"/>
    <n v="27064.121021716273"/>
    <s v="37043IF-TRANSCO/Z6"/>
    <n v="100"/>
    <n v="-0.35114254837311221"/>
    <n v="1.0885035704631509"/>
    <n v="1.0885035704631509"/>
    <n v="-21138.362172993013"/>
    <n v="-200.12745979531576"/>
    <x v="0"/>
  </r>
  <r>
    <x v="9"/>
    <x v="0"/>
    <s v="NV0442"/>
    <x v="0"/>
    <x v="0"/>
    <x v="1"/>
    <x v="8"/>
    <n v="1000000"/>
    <n v="0.3"/>
    <x v="8"/>
    <n v="0.46"/>
    <n v="4.2629999999999999"/>
    <x v="8"/>
    <x v="5"/>
    <n v="0.39200000000000002"/>
    <x v="1"/>
    <x v="8"/>
    <x v="1"/>
    <n v="6.7736715606437792E-2"/>
    <n v="-288707.20542035863"/>
    <n v="67736.715606437792"/>
    <n v="315146.73333361943"/>
    <n v="26439.527913260798"/>
    <s v="37073IF-TRANSCO/Z6"/>
    <n v="100"/>
    <n v="-0.2887072054203586"/>
    <n v="0.94431044701151334"/>
    <n v="0.94431044701151323"/>
    <n v="-20736.645213134158"/>
    <n v="-179.46013335842977"/>
    <x v="0"/>
  </r>
  <r>
    <x v="9"/>
    <x v="0"/>
    <s v="NV0442"/>
    <x v="0"/>
    <x v="0"/>
    <x v="1"/>
    <x v="7"/>
    <n v="1000000"/>
    <n v="0.3"/>
    <x v="7"/>
    <n v="0.46"/>
    <n v="4.2679999999999998"/>
    <x v="7"/>
    <x v="5"/>
    <n v="0.39200000000000002"/>
    <x v="1"/>
    <x v="7"/>
    <x v="1"/>
    <n v="7.3457763842120272E-2"/>
    <n v="-293938.1845336968"/>
    <n v="73457.763842120272"/>
    <n v="321858.17426614859"/>
    <n v="27919.989732451795"/>
    <s v="37104IF-TRANSCO/Z6"/>
    <n v="100"/>
    <n v="-0.2939381845336968"/>
    <n v="0.90092935316193823"/>
    <n v="0.90092935316193834"/>
    <n v="-21921.641684703583"/>
    <n v="-170.16694301690748"/>
    <x v="0"/>
  </r>
  <r>
    <x v="9"/>
    <x v="0"/>
    <s v="NV0442"/>
    <x v="0"/>
    <x v="0"/>
    <x v="1"/>
    <x v="6"/>
    <n v="1000000"/>
    <n v="0.3"/>
    <x v="6"/>
    <n v="0.39500000000000002"/>
    <n v="4.1829999999999998"/>
    <x v="6"/>
    <x v="5"/>
    <n v="0.39200000000000002"/>
    <x v="1"/>
    <x v="6"/>
    <x v="1"/>
    <n v="9.92164871050496E-2"/>
    <n v="-356077.88301795372"/>
    <n v="99216.4871050496"/>
    <n v="387073.92003046669"/>
    <n v="30996.03701251297"/>
    <s v="37135IF-TRANSCO/Z6"/>
    <n v="100"/>
    <n v="-0.35607788301795373"/>
    <n v="0.94072921220911965"/>
    <n v="0.94072921220911965"/>
    <n v="-24025.303871190197"/>
    <n v="-165.90200260606164"/>
    <x v="0"/>
  </r>
  <r>
    <x v="9"/>
    <x v="0"/>
    <s v="NV0442"/>
    <x v="0"/>
    <x v="0"/>
    <x v="1"/>
    <x v="5"/>
    <n v="1000000"/>
    <n v="0.3"/>
    <x v="5"/>
    <n v="0.46100000000000002"/>
    <n v="4.234"/>
    <x v="5"/>
    <x v="4"/>
    <n v="0.39400000000000002"/>
    <x v="1"/>
    <x v="5"/>
    <x v="1"/>
    <n v="8.2265197844509308E-2"/>
    <n v="-299426.49865731294"/>
    <n v="82265.197844509312"/>
    <n v="329892.93405972252"/>
    <n v="30466.435402409581"/>
    <s v="37165IF-TRANSCO/Z6"/>
    <n v="100"/>
    <n v="-0.29942649865731297"/>
    <n v="0.83409829439390326"/>
    <n v="0.83409829439390326"/>
    <n v="-23734.903150195594"/>
    <n v="-154.22741399235511"/>
    <x v="0"/>
  </r>
  <r>
    <x v="3"/>
    <x v="0"/>
    <s v="NV0444.1"/>
    <x v="1"/>
    <x v="0"/>
    <x v="0"/>
    <x v="13"/>
    <n v="-1000000"/>
    <n v="-1.17"/>
    <x v="13"/>
    <n v="-1.24"/>
    <n v="3.4449999999999998"/>
    <x v="13"/>
    <x v="5"/>
    <n v="0.38400000000000001"/>
    <x v="3"/>
    <x v="13"/>
    <x v="0"/>
    <n v="7.4973930233310782E-3"/>
    <n v="-182024.09123201625"/>
    <n v="-7497.3930233310784"/>
    <n v="178124.58277417932"/>
    <n v="-3899.5084578369278"/>
    <s v="36770IF-NWPL_ROCKY_M"/>
    <n v="-100"/>
    <n v="0.18202409123201624"/>
    <n v="3.4696980244700208"/>
    <n v="-3.4696980244700213"/>
    <n v="464.60800262749035"/>
    <n v="5032.3882631813131"/>
    <x v="0"/>
  </r>
  <r>
    <x v="3"/>
    <x v="0"/>
    <s v="NV0444.2"/>
    <x v="1"/>
    <x v="0"/>
    <x v="1"/>
    <x v="13"/>
    <n v="-1000000"/>
    <n v="-1.17"/>
    <x v="13"/>
    <n v="-1.24"/>
    <n v="3.4449999999999998"/>
    <x v="13"/>
    <x v="5"/>
    <n v="0.38400000000000001"/>
    <x v="3"/>
    <x v="13"/>
    <x v="1"/>
    <n v="7.747163385582953E-2"/>
    <n v="817607.92066080717"/>
    <n v="-77471.633855829525"/>
    <n v="-821507.4291186441"/>
    <n v="-3899.5084578369278"/>
    <s v="36770IF-NWPL_ROCKY_M"/>
    <n v="-100"/>
    <n v="-0.81760792066080712"/>
    <n v="3.4696980244700208"/>
    <n v="-3.4696980244700213"/>
    <n v="464.60800262749035"/>
    <n v="5019.5022294783112"/>
    <x v="0"/>
  </r>
  <r>
    <x v="3"/>
    <x v="0"/>
    <s v="NV0444.3"/>
    <x v="1"/>
    <x v="0"/>
    <x v="0"/>
    <x v="13"/>
    <n v="-500000"/>
    <n v="-1.17"/>
    <x v="13"/>
    <n v="-1.24"/>
    <n v="3.4449999999999998"/>
    <x v="13"/>
    <x v="5"/>
    <n v="0.38400000000000001"/>
    <x v="3"/>
    <x v="13"/>
    <x v="0"/>
    <n v="7.4973930233310782E-3"/>
    <n v="-91012.045616008123"/>
    <n v="-3748.6965116655392"/>
    <n v="89062.291387089659"/>
    <n v="-1949.7542289184639"/>
    <s v="36770IF-NWPL_ROCKY_M"/>
    <n v="-50"/>
    <n v="0.18202409123201624"/>
    <n v="3.4696980244700208"/>
    <n v="-1.7348490122350106"/>
    <n v="232.30400131374518"/>
    <n v="2516.1941315906565"/>
    <x v="0"/>
  </r>
  <r>
    <x v="3"/>
    <x v="0"/>
    <s v="NV0444.4"/>
    <x v="1"/>
    <x v="0"/>
    <x v="1"/>
    <x v="13"/>
    <n v="-500000"/>
    <n v="-1.17"/>
    <x v="13"/>
    <n v="-1.24"/>
    <n v="3.4449999999999998"/>
    <x v="13"/>
    <x v="5"/>
    <n v="0.38400000000000001"/>
    <x v="3"/>
    <x v="13"/>
    <x v="1"/>
    <n v="7.747163385582953E-2"/>
    <n v="408803.96033040358"/>
    <n v="-38735.816927914762"/>
    <n v="-410753.71455932205"/>
    <n v="-1949.7542289184639"/>
    <s v="36770IF-NWPL_ROCKY_M"/>
    <n v="-50"/>
    <n v="-0.81760792066080712"/>
    <n v="3.4696980244700208"/>
    <n v="-1.7348490122350106"/>
    <n v="232.30400131374518"/>
    <n v="2509.7511147391556"/>
    <x v="0"/>
  </r>
  <r>
    <x v="8"/>
    <x v="0"/>
    <s v="NV0535"/>
    <x v="7"/>
    <x v="0"/>
    <x v="0"/>
    <x v="18"/>
    <n v="300000"/>
    <n v="-0.15"/>
    <x v="18"/>
    <n v="-0.14249999999999999"/>
    <n v="4.5934999999999997"/>
    <x v="18"/>
    <x v="13"/>
    <n v="0.59499999999999997"/>
    <x v="4"/>
    <x v="18"/>
    <x v="0"/>
    <n v="5.1573441195278152E-2"/>
    <n v="156532.8056462509"/>
    <n v="15472.032358583445"/>
    <n v="-153754.54461311488"/>
    <n v="2778.2610331360193"/>
    <s v="36831IF-PAN/TX/OK"/>
    <n v="30"/>
    <n v="0.52177601882083635"/>
    <n v="3.2471161943116997"/>
    <n v="0.97413485829350988"/>
    <n v="-12955.98500829924"/>
    <n v="-110.96107686769788"/>
    <x v="0"/>
  </r>
  <r>
    <x v="8"/>
    <x v="0"/>
    <s v="NV0535"/>
    <x v="7"/>
    <x v="0"/>
    <x v="0"/>
    <x v="17"/>
    <n v="310000"/>
    <n v="-0.15"/>
    <x v="17"/>
    <n v="-0.1525"/>
    <n v="4.6475"/>
    <x v="17"/>
    <x v="12"/>
    <n v="0.6"/>
    <x v="4"/>
    <x v="17"/>
    <x v="0"/>
    <n v="5.7699193196087961E-2"/>
    <n v="151525.80130860116"/>
    <n v="17886.749890787269"/>
    <n v="-148021.70791398265"/>
    <n v="3504.0933946185105"/>
    <s v="36861IF-PAN/TX/OK"/>
    <n v="31"/>
    <n v="0.48879290744710052"/>
    <n v="2.6126733400399531"/>
    <n v="0.80992873541238541"/>
    <n v="-16546.773492686771"/>
    <n v="-95.20800077879241"/>
    <x v="0"/>
  </r>
  <r>
    <x v="8"/>
    <x v="0"/>
    <s v="NV0535"/>
    <x v="7"/>
    <x v="0"/>
    <x v="0"/>
    <x v="16"/>
    <n v="310000"/>
    <n v="-0.15"/>
    <x v="16"/>
    <n v="-0.16"/>
    <n v="4.5839999999999996"/>
    <x v="16"/>
    <x v="11"/>
    <n v="0.60499999999999998"/>
    <x v="4"/>
    <x v="16"/>
    <x v="0"/>
    <n v="6.2177869877475006E-2"/>
    <n v="145818.4628756654"/>
    <n v="19275.139662017253"/>
    <n v="-141807.96999813858"/>
    <n v="4010.4928775268199"/>
    <s v="36892IF-PAN/TX/OK"/>
    <n v="31"/>
    <n v="0.47038213830859804"/>
    <n v="2.2743058688604223"/>
    <n v="0.70503481934673085"/>
    <n v="-18697.533763966418"/>
    <n v="-81.719230338116873"/>
    <x v="0"/>
  </r>
  <r>
    <x v="8"/>
    <x v="0"/>
    <s v="NV0535"/>
    <x v="7"/>
    <x v="0"/>
    <x v="0"/>
    <x v="15"/>
    <n v="280000"/>
    <n v="-0.15"/>
    <x v="15"/>
    <n v="-0.14499999999999999"/>
    <n v="4.335"/>
    <x v="15"/>
    <x v="10"/>
    <n v="0.59299999999999997"/>
    <x v="4"/>
    <x v="15"/>
    <x v="0"/>
    <n v="7.2111564304316034E-2"/>
    <n v="140261.79892574952"/>
    <n v="20191.238005208488"/>
    <n v="-136298.81200439981"/>
    <n v="3962.986921349715"/>
    <s v="36923IF-PAN/TX/OK"/>
    <n v="28"/>
    <n v="0.5009349961633911"/>
    <n v="2.1587806706122574"/>
    <n v="0.60445858777143213"/>
    <n v="-17507.291155104445"/>
    <n v="-59.477187881913451"/>
    <x v="0"/>
  </r>
  <r>
    <x v="8"/>
    <x v="0"/>
    <s v="NV0535"/>
    <x v="7"/>
    <x v="0"/>
    <x v="0"/>
    <x v="14"/>
    <n v="310000"/>
    <n v="-0.15"/>
    <x v="14"/>
    <n v="-0.13750000000000001"/>
    <n v="4.0754999999999999"/>
    <x v="14"/>
    <x v="9"/>
    <n v="0.53300000000000003"/>
    <x v="4"/>
    <x v="14"/>
    <x v="0"/>
    <n v="7.0221748962884245E-2"/>
    <n v="159955.25368357814"/>
    <n v="21768.742178494114"/>
    <n v="-155727.00961247733"/>
    <n v="4228.2440711008094"/>
    <s v="36951IF-PAN/TX/OK"/>
    <n v="31"/>
    <n v="0.51598468930186492"/>
    <n v="2.3172721771890932"/>
    <n v="0.71835437492861887"/>
    <n v="-17571.581543904511"/>
    <n v="-50.281154133408684"/>
    <x v="0"/>
  </r>
  <r>
    <x v="12"/>
    <x v="0"/>
    <s v="NV2737.1"/>
    <x v="0"/>
    <x v="0"/>
    <x v="0"/>
    <x v="18"/>
    <n v="-500000"/>
    <n v="1.45"/>
    <x v="18"/>
    <n v="0.77"/>
    <n v="5.5060000000000002"/>
    <x v="18"/>
    <x v="13"/>
    <n v="0.625"/>
    <x v="6"/>
    <x v="18"/>
    <x v="0"/>
    <n v="6.8435983908895132E-2"/>
    <n v="-95792.983060825936"/>
    <n v="-34217.991954447563"/>
    <n v="81866.083822757835"/>
    <n v="-13926.899238068101"/>
    <s v="36831IF-TRANSCO/Z6"/>
    <n v="-50"/>
    <n v="0.19158596612165188"/>
    <n v="0.39596594580551675"/>
    <n v="-0.19798297290275838"/>
    <n v="3003.59682775995"/>
    <n v="735.32894586243299"/>
    <x v="0"/>
  </r>
  <r>
    <x v="12"/>
    <x v="0"/>
    <s v="NV2737.1"/>
    <x v="0"/>
    <x v="0"/>
    <x v="0"/>
    <x v="17"/>
    <n v="-500000"/>
    <n v="1.45"/>
    <x v="17"/>
    <n v="1.645"/>
    <n v="6.4450000000000003"/>
    <x v="17"/>
    <x v="12"/>
    <n v="0.69"/>
    <x v="7"/>
    <x v="17"/>
    <x v="0"/>
    <n v="0.60476436136475764"/>
    <n v="-295380.64026134874"/>
    <n v="-302382.18068237882"/>
    <n v="260113.5732160536"/>
    <n v="-35267.067045295145"/>
    <s v="36861IF-TRANSCO/Z6"/>
    <n v="-50"/>
    <n v="0.5907612805226975"/>
    <n v="0.29076069468521837"/>
    <n v="-0.14538034734260921"/>
    <n v="4893.0181893940271"/>
    <n v="1279.3569017804257"/>
    <x v="0"/>
  </r>
  <r>
    <x v="12"/>
    <x v="0"/>
    <s v="NV2737.1"/>
    <x v="0"/>
    <x v="0"/>
    <x v="0"/>
    <x v="16"/>
    <n v="-500000"/>
    <n v="1.45"/>
    <x v="16"/>
    <n v="2.17"/>
    <n v="6.9139999999999997"/>
    <x v="16"/>
    <x v="11"/>
    <n v="0.69599999999999995"/>
    <x v="7"/>
    <x v="16"/>
    <x v="0"/>
    <n v="1.0142841779994587"/>
    <n v="-353083.01107513352"/>
    <n v="-507142.08899972937"/>
    <n v="316712.03099680401"/>
    <n v="-36370.980078329507"/>
    <s v="36892IF-TRANSCO/Z6"/>
    <n v="-50"/>
    <n v="0.70616602215026703"/>
    <n v="0.20181985122422211"/>
    <n v="-0.10090992561211105"/>
    <n v="5165.9955655384902"/>
    <n v="1000.2961852779832"/>
    <x v="0"/>
  </r>
  <r>
    <x v="12"/>
    <x v="0"/>
    <s v="NV2737.1"/>
    <x v="0"/>
    <x v="0"/>
    <x v="0"/>
    <x v="15"/>
    <n v="-500000"/>
    <n v="1.45"/>
    <x v="15"/>
    <n v="2.09"/>
    <n v="6.57"/>
    <x v="15"/>
    <x v="10"/>
    <n v="0.68100000000000005"/>
    <x v="7"/>
    <x v="15"/>
    <x v="0"/>
    <n v="0.98643459332716366"/>
    <n v="-340803.67353941541"/>
    <n v="-493217.2966635818"/>
    <n v="299876.22722329444"/>
    <n v="-40927.446316120971"/>
    <s v="36923IF-TRANSCO/Z6"/>
    <n v="-50"/>
    <n v="0.68160734707883086"/>
    <n v="0.1971766497769554"/>
    <n v="-9.8588324888477685E-2"/>
    <n v="5482.1845419074943"/>
    <n v="841.04924897882279"/>
    <x v="0"/>
  </r>
  <r>
    <x v="12"/>
    <x v="0"/>
    <s v="NV2737.1"/>
    <x v="0"/>
    <x v="0"/>
    <x v="0"/>
    <x v="14"/>
    <n v="-500000"/>
    <n v="1.45"/>
    <x v="14"/>
    <n v="1.075"/>
    <n v="5.2880000000000003"/>
    <x v="14"/>
    <x v="9"/>
    <n v="0.61199999999999999"/>
    <x v="7"/>
    <x v="14"/>
    <x v="0"/>
    <n v="0.37321888206606746"/>
    <n v="-215134.60781101082"/>
    <n v="-186609.44103303374"/>
    <n v="173102.1231506367"/>
    <n v="-42032.484660374117"/>
    <s v="36951IF-TRANSCO/Z6"/>
    <n v="-50"/>
    <n v="0.43026921562202164"/>
    <n v="0.28479136305330083"/>
    <n v="-0.14239568152665041"/>
    <n v="4907.9300629465997"/>
    <n v="668.03172592656097"/>
    <x v="0"/>
  </r>
  <r>
    <x v="12"/>
    <x v="0"/>
    <s v="NV2737.2"/>
    <x v="0"/>
    <x v="0"/>
    <x v="1"/>
    <x v="18"/>
    <n v="-500000"/>
    <n v="1.45"/>
    <x v="18"/>
    <n v="0.77"/>
    <n v="5.5060000000000002"/>
    <x v="18"/>
    <x v="13"/>
    <n v="0.625"/>
    <x v="6"/>
    <x v="18"/>
    <x v="1"/>
    <n v="0.74049451123784893"/>
    <n v="398367.69879869965"/>
    <n v="-370247.25561892445"/>
    <n v="-412294.59803676774"/>
    <n v="-13926.899238068087"/>
    <s v="36831IF-TRANSCO/Z6"/>
    <n v="-50"/>
    <n v="-0.79673539759739931"/>
    <n v="0.39596594580551675"/>
    <n v="-0.19798297290275838"/>
    <n v="3003.59682775995"/>
    <n v="672.62794761884504"/>
    <x v="0"/>
  </r>
  <r>
    <x v="12"/>
    <x v="0"/>
    <s v="NV2737.2"/>
    <x v="0"/>
    <x v="0"/>
    <x v="1"/>
    <x v="17"/>
    <n v="-500000"/>
    <n v="1.45"/>
    <x v="17"/>
    <n v="1.645"/>
    <n v="6.4450000000000003"/>
    <x v="17"/>
    <x v="12"/>
    <n v="0.69"/>
    <x v="7"/>
    <x v="17"/>
    <x v="1"/>
    <n v="0.41312688710139089"/>
    <n v="195997.49887548824"/>
    <n v="-206563.44355069546"/>
    <n v="-231264.56592078338"/>
    <n v="-35267.067045295145"/>
    <s v="36861IF-TRANSCO/Z6"/>
    <n v="-50"/>
    <n v="-0.39199499775097646"/>
    <n v="0.29076069468521837"/>
    <n v="-0.14538034734260921"/>
    <n v="4893.0181893940271"/>
    <n v="1297.2905014825533"/>
    <x v="0"/>
  </r>
  <r>
    <x v="12"/>
    <x v="0"/>
    <s v="NV2737.2"/>
    <x v="0"/>
    <x v="0"/>
    <x v="1"/>
    <x v="16"/>
    <n v="-500000"/>
    <n v="1.45"/>
    <x v="16"/>
    <n v="2.17"/>
    <n v="6.9139999999999997"/>
    <x v="16"/>
    <x v="11"/>
    <n v="0.69599999999999995"/>
    <x v="7"/>
    <x v="16"/>
    <x v="1"/>
    <n v="0.31054148137205595"/>
    <n v="135627.19491611808"/>
    <n v="-155270.74068602797"/>
    <n v="-171998.17499444759"/>
    <n v="-36370.980078329507"/>
    <s v="36892IF-TRANSCO/Z6"/>
    <n v="-50"/>
    <n v="-0.27125438983223615"/>
    <n v="0.20181985122422211"/>
    <n v="-0.10090992561211105"/>
    <n v="5165.9955655384902"/>
    <n v="1066.2116483654934"/>
    <x v="0"/>
  </r>
  <r>
    <x v="12"/>
    <x v="0"/>
    <s v="NV2737.2"/>
    <x v="0"/>
    <x v="0"/>
    <x v="1"/>
    <x v="15"/>
    <n v="-500000"/>
    <n v="1.45"/>
    <x v="15"/>
    <n v="2.09"/>
    <n v="6.57"/>
    <x v="15"/>
    <x v="10"/>
    <n v="0.68100000000000005"/>
    <x v="7"/>
    <x v="15"/>
    <x v="1"/>
    <n v="0.36480800902565624"/>
    <n v="144842.09544613681"/>
    <n v="-182404.00451282813"/>
    <n v="-185769.54176225778"/>
    <n v="-40927.446316120971"/>
    <s v="36923IF-TRANSCO/Z6"/>
    <n v="-50"/>
    <n v="-0.2896841908922736"/>
    <n v="0.1971766497769554"/>
    <n v="-9.8588324888477685E-2"/>
    <n v="5482.1845419074943"/>
    <n v="899.49931638756334"/>
    <x v="0"/>
  </r>
  <r>
    <x v="12"/>
    <x v="0"/>
    <s v="NV2737.2"/>
    <x v="0"/>
    <x v="0"/>
    <x v="1"/>
    <x v="14"/>
    <n v="-500000"/>
    <n v="1.45"/>
    <x v="14"/>
    <n v="1.075"/>
    <n v="5.2880000000000003"/>
    <x v="14"/>
    <x v="9"/>
    <n v="0.61199999999999999"/>
    <x v="7"/>
    <x v="14"/>
    <x v="1"/>
    <n v="0.7354981598585153"/>
    <n v="267904.42924558622"/>
    <n v="-367749.07992925763"/>
    <n v="-309936.91390596033"/>
    <n v="-42032.484660374117"/>
    <s v="36951IF-TRANSCO/Z6"/>
    <n v="-50"/>
    <n v="-0.53580885849117244"/>
    <n v="0.28479136305330083"/>
    <n v="-0.14239568152665041"/>
    <n v="4907.9300629465997"/>
    <n v="633.848534672391"/>
    <x v="0"/>
  </r>
  <r>
    <x v="12"/>
    <x v="0"/>
    <s v="NV2771"/>
    <x v="0"/>
    <x v="0"/>
    <x v="1"/>
    <x v="18"/>
    <n v="1000000"/>
    <n v="0.95"/>
    <x v="18"/>
    <n v="0.77"/>
    <n v="5.5060000000000002"/>
    <x v="18"/>
    <x v="13"/>
    <n v="0.625"/>
    <x v="6"/>
    <x v="18"/>
    <x v="1"/>
    <n v="0.36528537794140992"/>
    <n v="-573887.47850309475"/>
    <n v="365285.37794140994"/>
    <n v="616778.38278323982"/>
    <n v="42890.904280145071"/>
    <s v="36831IF-TRANSCO/Z6"/>
    <n v="100"/>
    <n v="-0.57388747850309474"/>
    <n v="0.57973789660797626"/>
    <n v="0.57973789660797626"/>
    <n v="-9422.3076518129274"/>
    <n v="-1979.842893622877"/>
    <x v="0"/>
  </r>
  <r>
    <x v="12"/>
    <x v="0"/>
    <s v="NV2771"/>
    <x v="0"/>
    <x v="0"/>
    <x v="1"/>
    <x v="17"/>
    <n v="1000000"/>
    <n v="0.95"/>
    <x v="17"/>
    <n v="1.645"/>
    <n v="6.4450000000000003"/>
    <x v="17"/>
    <x v="12"/>
    <n v="0.69"/>
    <x v="7"/>
    <x v="17"/>
    <x v="1"/>
    <n v="0.20677959023365367"/>
    <n v="-244935.08272401322"/>
    <n v="206779.59023365367"/>
    <n v="307076.04906601593"/>
    <n v="62140.966342002706"/>
    <s v="36861IF-TRANSCO/Z6"/>
    <n v="100"/>
    <n v="-0.24493508272401321"/>
    <n v="0.24441082862361821"/>
    <n v="0.24441082862361821"/>
    <n v="-8899.3541720002759"/>
    <n v="-2105.7414771819822"/>
    <x v="0"/>
  </r>
  <r>
    <x v="12"/>
    <x v="0"/>
    <s v="NV2771"/>
    <x v="0"/>
    <x v="0"/>
    <x v="1"/>
    <x v="16"/>
    <n v="1000000"/>
    <n v="0.95"/>
    <x v="16"/>
    <n v="2.17"/>
    <n v="6.9139999999999997"/>
    <x v="16"/>
    <x v="11"/>
    <n v="0.69599999999999995"/>
    <x v="7"/>
    <x v="16"/>
    <x v="1"/>
    <n v="0.15429615312093103"/>
    <n v="-163689.93797426467"/>
    <n v="154296.15312093103"/>
    <n v="222264.08862514803"/>
    <n v="58574.150650883355"/>
    <s v="36892IF-TRANSCO/Z6"/>
    <n v="100"/>
    <n v="-0.16368993797426468"/>
    <n v="0.15464664651400717"/>
    <n v="0.15464664651400717"/>
    <n v="-8596.7492924347771"/>
    <n v="-1567.3555861823827"/>
    <x v="0"/>
  </r>
  <r>
    <x v="12"/>
    <x v="0"/>
    <s v="NV2771"/>
    <x v="0"/>
    <x v="0"/>
    <x v="1"/>
    <x v="15"/>
    <n v="1000000"/>
    <n v="0.95"/>
    <x v="15"/>
    <n v="2.09"/>
    <n v="6.57"/>
    <x v="15"/>
    <x v="10"/>
    <n v="0.68100000000000005"/>
    <x v="7"/>
    <x v="15"/>
    <x v="1"/>
    <n v="0.19076107387737962"/>
    <n v="-183573.47760585451"/>
    <n v="190761.07387737962"/>
    <n v="252531.28959479331"/>
    <n v="68957.811988938804"/>
    <s v="36923IF-TRANSCO/Z6"/>
    <n v="100"/>
    <n v="-0.18357347760585452"/>
    <n v="0.1578419293341273"/>
    <n v="0.1578419293341273"/>
    <n v="-9552.3249961315487"/>
    <n v="-1381.228401974598"/>
    <x v="0"/>
  </r>
  <r>
    <x v="12"/>
    <x v="0"/>
    <s v="NV2771"/>
    <x v="0"/>
    <x v="0"/>
    <x v="1"/>
    <x v="14"/>
    <n v="1000000"/>
    <n v="0.95"/>
    <x v="14"/>
    <n v="1.075"/>
    <n v="5.2880000000000003"/>
    <x v="14"/>
    <x v="9"/>
    <n v="0.61199999999999999"/>
    <x v="7"/>
    <x v="14"/>
    <x v="1"/>
    <n v="0.4391935748419632"/>
    <n v="-397980.8857194609"/>
    <n v="439193.57484196319"/>
    <n v="486900.26358432212"/>
    <n v="88919.377864861221"/>
    <s v="36951IF-TRANSCO/Z6"/>
    <n v="100"/>
    <n v="-0.39798088571946089"/>
    <n v="0.28736849188640784"/>
    <n v="0.28736849188640784"/>
    <n v="-10727.778249464103"/>
    <n v="-1266.9927715983033"/>
    <x v="0"/>
  </r>
  <r>
    <x v="3"/>
    <x v="0"/>
    <s v="NV5364.1"/>
    <x v="1"/>
    <x v="0"/>
    <x v="1"/>
    <x v="12"/>
    <n v="2000000"/>
    <n v="-0.65"/>
    <x v="12"/>
    <n v="-0.80500000000000005"/>
    <n v="3.887"/>
    <x v="12"/>
    <x v="8"/>
    <n v="0.55200000000000005"/>
    <x v="3"/>
    <x v="12"/>
    <x v="1"/>
    <n v="0.25470809732724325"/>
    <n v="-1247313.3587547762"/>
    <n v="509416.19465448649"/>
    <n v="1314098.3309273259"/>
    <n v="66784.972172549693"/>
    <s v="36800IF-NWPL_ROCKY_M"/>
    <n v="200"/>
    <n v="-0.62365667937738811"/>
    <n v="0.9120287960059662"/>
    <n v="1.8240575920119326"/>
    <n v="-8662.9167685157227"/>
    <n v="-4922.5352727131622"/>
    <x v="0"/>
  </r>
  <r>
    <x v="3"/>
    <x v="0"/>
    <s v="NV5364.2"/>
    <x v="1"/>
    <x v="0"/>
    <x v="1"/>
    <x v="12"/>
    <n v="2000000"/>
    <n v="-0.65"/>
    <x v="12"/>
    <n v="-0.80500000000000005"/>
    <n v="3.887"/>
    <x v="12"/>
    <x v="8"/>
    <n v="0.55200000000000005"/>
    <x v="3"/>
    <x v="12"/>
    <x v="1"/>
    <n v="0.25470809732724325"/>
    <n v="-1247313.3587547762"/>
    <n v="509416.19465448649"/>
    <n v="1314098.3309273259"/>
    <n v="66784.972172549693"/>
    <s v="36800IF-NWPL_ROCKY_M"/>
    <n v="200"/>
    <n v="-0.62365667937738811"/>
    <n v="0.9120287960059662"/>
    <n v="1.8240575920119326"/>
    <n v="-8662.9167685157227"/>
    <n v="-4922.5352727131622"/>
    <x v="0"/>
  </r>
  <r>
    <x v="6"/>
    <x v="0"/>
    <s v="NV5380.1"/>
    <x v="0"/>
    <x v="0"/>
    <x v="0"/>
    <x v="11"/>
    <n v="500000"/>
    <n v="0.42"/>
    <x v="11"/>
    <n v="0.52"/>
    <n v="4.4580000000000002"/>
    <x v="11"/>
    <x v="7"/>
    <n v="0.434"/>
    <x v="1"/>
    <x v="11"/>
    <x v="0"/>
    <n v="0.1847954030939872"/>
    <n v="303122.74622317409"/>
    <n v="92397.701546993601"/>
    <n v="-290351.53405393276"/>
    <n v="12771.212169241335"/>
    <s v="36982IF-TRANSCO/Z6"/>
    <n v="50"/>
    <n v="0.60624549244634818"/>
    <n v="1.046048143390262"/>
    <n v="0.52302407169513099"/>
    <n v="-10511.210949629287"/>
    <n v="-131.14744457840445"/>
    <x v="0"/>
  </r>
  <r>
    <x v="6"/>
    <x v="0"/>
    <s v="NV5380.1"/>
    <x v="0"/>
    <x v="0"/>
    <x v="0"/>
    <x v="10"/>
    <n v="500000"/>
    <n v="0.42"/>
    <x v="10"/>
    <n v="0.40500000000000003"/>
    <n v="4.2430000000000003"/>
    <x v="10"/>
    <x v="6"/>
    <n v="0.39700000000000002"/>
    <x v="1"/>
    <x v="10"/>
    <x v="0"/>
    <n v="0.11570665838082962"/>
    <n v="237903.88533560265"/>
    <n v="57853.329190414814"/>
    <n v="-224950.53642276482"/>
    <n v="12953.348912837828"/>
    <s v="37012IF-TRANSCO/Z6"/>
    <n v="50"/>
    <n v="0.47580777067120528"/>
    <n v="1.1867040514711404"/>
    <n v="0.59335202573557022"/>
    <n v="-10275.597548037387"/>
    <n v="-116.55326498420096"/>
    <x v="0"/>
  </r>
  <r>
    <x v="6"/>
    <x v="0"/>
    <s v="NV5380.1"/>
    <x v="0"/>
    <x v="0"/>
    <x v="0"/>
    <x v="9"/>
    <n v="500000"/>
    <n v="0.42"/>
    <x v="9"/>
    <n v="0.39500000000000002"/>
    <n v="4.2130000000000001"/>
    <x v="9"/>
    <x v="5"/>
    <n v="0.39200000000000002"/>
    <x v="1"/>
    <x v="9"/>
    <x v="0"/>
    <n v="0.11617212310655868"/>
    <n v="231629.65259810939"/>
    <n v="58086.061553279338"/>
    <n v="-218103.53683525254"/>
    <n v="13526.115762856847"/>
    <s v="37043IF-TRANSCO/Z6"/>
    <n v="50"/>
    <n v="0.46325930519621877"/>
    <n v="1.1276167765158587"/>
    <n v="0.56380838825792934"/>
    <n v="-10666.826671187004"/>
    <n v="-105.60441179754311"/>
    <x v="0"/>
  </r>
  <r>
    <x v="6"/>
    <x v="0"/>
    <s v="NV5380.1"/>
    <x v="0"/>
    <x v="0"/>
    <x v="0"/>
    <x v="8"/>
    <n v="500000"/>
    <n v="0.42"/>
    <x v="8"/>
    <n v="0.46"/>
    <n v="4.2629999999999999"/>
    <x v="8"/>
    <x v="5"/>
    <n v="0.39200000000000002"/>
    <x v="1"/>
    <x v="8"/>
    <x v="0"/>
    <n v="0.15399865189256778"/>
    <n v="265818.45747028943"/>
    <n v="76999.325946283891"/>
    <n v="-251797.17723133005"/>
    <n v="14021.280238959385"/>
    <s v="37073IF-TRANSCO/Z6"/>
    <n v="50"/>
    <n v="0.53163691494057885"/>
    <n v="1.039110090938917"/>
    <n v="0.51955504546945852"/>
    <n v="-11106.540836769589"/>
    <n v="-96.035092829863416"/>
    <x v="0"/>
  </r>
  <r>
    <x v="6"/>
    <x v="0"/>
    <s v="NV5380.1"/>
    <x v="0"/>
    <x v="0"/>
    <x v="0"/>
    <x v="7"/>
    <n v="500000"/>
    <n v="0.42"/>
    <x v="7"/>
    <n v="0.46"/>
    <n v="4.2679999999999998"/>
    <x v="7"/>
    <x v="5"/>
    <n v="0.39200000000000002"/>
    <x v="1"/>
    <x v="7"/>
    <x v="0"/>
    <n v="0.16007124509162401"/>
    <n v="263615.93651582667"/>
    <n v="80035.622545812002"/>
    <n v="-248952.01734408474"/>
    <n v="14663.919171741931"/>
    <s v="37104IF-TRANSCO/Z6"/>
    <n v="50"/>
    <n v="0.52723187303165331"/>
    <n v="0.98161222578718987"/>
    <n v="0.49080611289359494"/>
    <n v="-11627.426859930465"/>
    <n v="-89.700290936439714"/>
    <x v="0"/>
  </r>
  <r>
    <x v="6"/>
    <x v="0"/>
    <s v="NV5380.1"/>
    <x v="0"/>
    <x v="0"/>
    <x v="0"/>
    <x v="6"/>
    <n v="500000"/>
    <n v="0.42"/>
    <x v="6"/>
    <n v="0.39500000000000002"/>
    <n v="4.1829999999999998"/>
    <x v="6"/>
    <x v="5"/>
    <n v="0.39200000000000002"/>
    <x v="1"/>
    <x v="6"/>
    <x v="0"/>
    <n v="0.13281893896115102"/>
    <n v="230743.97217102131"/>
    <n v="66409.469480575513"/>
    <n v="-215397.96572480752"/>
    <n v="15346.006446213782"/>
    <s v="37135IF-TRANSCO/Z6"/>
    <n v="50"/>
    <n v="0.4614879443420426"/>
    <n v="0.96508484346950263"/>
    <n v="0.48254242173475137"/>
    <n v="-12008.587943744256"/>
    <n v="-86.32676768241393"/>
    <x v="0"/>
  </r>
  <r>
    <x v="6"/>
    <x v="0"/>
    <s v="NV5380.1"/>
    <x v="0"/>
    <x v="0"/>
    <x v="0"/>
    <x v="5"/>
    <n v="500000"/>
    <n v="0.42"/>
    <x v="5"/>
    <n v="0.46100000000000002"/>
    <n v="4.234"/>
    <x v="5"/>
    <x v="4"/>
    <n v="0.39400000000000002"/>
    <x v="1"/>
    <x v="5"/>
    <x v="0"/>
    <n v="0.1700681660658197"/>
    <n v="260490.42324493665"/>
    <n v="85034.083032909854"/>
    <n v="-244694.67131735434"/>
    <n v="15795.751927582314"/>
    <s v="37165IF-TRANSCO/Z6"/>
    <n v="50"/>
    <n v="0.52098084648987331"/>
    <n v="0.8976125218114247"/>
    <n v="0.44880626090571241"/>
    <n v="-12434.488289027817"/>
    <n v="-79.481728628603506"/>
    <x v="0"/>
  </r>
  <r>
    <x v="6"/>
    <x v="0"/>
    <s v="NV5380.2"/>
    <x v="0"/>
    <x v="0"/>
    <x v="1"/>
    <x v="11"/>
    <n v="500000"/>
    <n v="0.42"/>
    <x v="11"/>
    <n v="0.52"/>
    <n v="4.4580000000000002"/>
    <x v="11"/>
    <x v="7"/>
    <n v="0.434"/>
    <x v="1"/>
    <x v="11"/>
    <x v="1"/>
    <n v="8.8742799415169216E-2"/>
    <n v="-177140.27217091271"/>
    <n v="44371.399707584605"/>
    <n v="189911.48434015404"/>
    <n v="12771.212169241335"/>
    <s v="36982IF-TRANSCO/Z6"/>
    <n v="50"/>
    <n v="-0.35428054434182543"/>
    <n v="1.046048143390262"/>
    <n v="0.52302407169513099"/>
    <n v="-10511.210949629287"/>
    <n v="-140.23451122063619"/>
    <x v="0"/>
  </r>
  <r>
    <x v="6"/>
    <x v="0"/>
    <s v="NV5380.2"/>
    <x v="0"/>
    <x v="0"/>
    <x v="1"/>
    <x v="10"/>
    <n v="500000"/>
    <n v="0.42"/>
    <x v="10"/>
    <n v="0.40500000000000003"/>
    <n v="4.2430000000000003"/>
    <x v="10"/>
    <x v="6"/>
    <n v="0.39700000000000002"/>
    <x v="1"/>
    <x v="10"/>
    <x v="1"/>
    <n v="0.13003538748194782"/>
    <n v="-239720.4180349978"/>
    <n v="65017.693740973911"/>
    <n v="252673.7669478356"/>
    <n v="12953.348912837799"/>
    <s v="37012IF-TRANSCO/Z6"/>
    <n v="50"/>
    <n v="-0.4794408360699956"/>
    <n v="1.1867040514711404"/>
    <n v="0.59335202573557022"/>
    <n v="-10275.597548037387"/>
    <n v="-115.19692022201953"/>
    <x v="0"/>
  </r>
  <r>
    <x v="6"/>
    <x v="0"/>
    <s v="NV5380.2"/>
    <x v="0"/>
    <x v="0"/>
    <x v="1"/>
    <x v="9"/>
    <n v="500000"/>
    <n v="0.42"/>
    <x v="9"/>
    <n v="0.39500000000000002"/>
    <n v="4.2130000000000001"/>
    <x v="9"/>
    <x v="5"/>
    <n v="0.39200000000000002"/>
    <x v="1"/>
    <x v="9"/>
    <x v="1"/>
    <n v="0.13990397899425"/>
    <n v="-243007.46515571527"/>
    <n v="69951.989497125003"/>
    <n v="256533.58091857214"/>
    <n v="13526.115762856876"/>
    <s v="37043IF-TRANSCO/Z6"/>
    <n v="50"/>
    <n v="-0.48601493031143056"/>
    <n v="1.1276167765158587"/>
    <n v="0.56380838825792934"/>
    <n v="-10666.826671187004"/>
    <n v="-103.35665101597027"/>
    <x v="0"/>
  </r>
  <r>
    <x v="6"/>
    <x v="0"/>
    <s v="NV5380.2"/>
    <x v="0"/>
    <x v="0"/>
    <x v="1"/>
    <x v="8"/>
    <n v="500000"/>
    <n v="0.42"/>
    <x v="8"/>
    <n v="0.46"/>
    <n v="4.2629999999999999"/>
    <x v="8"/>
    <x v="5"/>
    <n v="0.39200000000000002"/>
    <x v="1"/>
    <x v="8"/>
    <x v="1"/>
    <n v="0.11623680796053826"/>
    <n v="-206204.59168008558"/>
    <n v="58118.403980269126"/>
    <n v="220225.87191904496"/>
    <n v="14021.280238959385"/>
    <s v="37073IF-TRANSCO/Z6"/>
    <n v="50"/>
    <n v="-0.41240918336017113"/>
    <n v="1.039110090938917"/>
    <n v="0.51955504546945852"/>
    <n v="-11106.540836769589"/>
    <n v="-99.613755428789801"/>
    <x v="0"/>
  </r>
  <r>
    <x v="6"/>
    <x v="0"/>
    <s v="NV5380.2"/>
    <x v="0"/>
    <x v="0"/>
    <x v="1"/>
    <x v="7"/>
    <n v="500000"/>
    <n v="0.42"/>
    <x v="7"/>
    <n v="0.46"/>
    <n v="4.2679999999999998"/>
    <x v="7"/>
    <x v="5"/>
    <n v="0.39200000000000002"/>
    <x v="1"/>
    <x v="7"/>
    <x v="1"/>
    <n v="0.12253901909276632"/>
    <n v="-205536.88846989788"/>
    <n v="61269.50954638316"/>
    <n v="220200.80764163978"/>
    <n v="14663.919171741902"/>
    <s v="37104IF-TRANSCO/Z6"/>
    <n v="50"/>
    <n v="-0.41107377693979574"/>
    <n v="0.98161222578718987"/>
    <n v="0.49080611289359494"/>
    <n v="-11627.426859930465"/>
    <n v="-93.259325950059008"/>
    <x v="0"/>
  </r>
  <r>
    <x v="6"/>
    <x v="0"/>
    <s v="NV5380.2"/>
    <x v="0"/>
    <x v="0"/>
    <x v="1"/>
    <x v="6"/>
    <n v="500000"/>
    <n v="0.42"/>
    <x v="6"/>
    <n v="0.39500000000000002"/>
    <n v="4.1829999999999998"/>
    <x v="6"/>
    <x v="5"/>
    <n v="0.39200000000000002"/>
    <x v="1"/>
    <x v="6"/>
    <x v="1"/>
    <n v="0.15613819390307843"/>
    <n v="-235641.12666753083"/>
    <n v="78069.096951539206"/>
    <n v="250987.13311374461"/>
    <n v="15346.006446213782"/>
    <s v="37135IF-TRANSCO/Z6"/>
    <n v="50"/>
    <n v="-0.47128225333506168"/>
    <n v="0.96508484346950263"/>
    <n v="0.48254242173475137"/>
    <n v="-12008.587943744256"/>
    <n v="-84.114168086897621"/>
    <x v="0"/>
  </r>
  <r>
    <x v="6"/>
    <x v="0"/>
    <s v="NV5380.2"/>
    <x v="0"/>
    <x v="0"/>
    <x v="1"/>
    <x v="5"/>
    <n v="500000"/>
    <n v="0.42"/>
    <x v="5"/>
    <n v="0.46100000000000002"/>
    <n v="4.234"/>
    <x v="5"/>
    <x v="4"/>
    <n v="0.39400000000000002"/>
    <x v="1"/>
    <x v="5"/>
    <x v="1"/>
    <n v="0.13202861306995772"/>
    <n v="-203406.56450948169"/>
    <n v="66014.306534978867"/>
    <n v="219202.316437064"/>
    <n v="15795.751927582314"/>
    <s v="37165IF-TRANSCO/Z6"/>
    <n v="50"/>
    <n v="-0.40681312901896338"/>
    <n v="0.8976125218114247"/>
    <n v="0.44880626090571241"/>
    <n v="-12434.488289027817"/>
    <n v="-83.092929933302699"/>
    <x v="0"/>
  </r>
  <r>
    <x v="12"/>
    <x v="0"/>
    <s v="NV5394.1"/>
    <x v="4"/>
    <x v="0"/>
    <x v="0"/>
    <x v="12"/>
    <n v="620000"/>
    <n v="0.75"/>
    <x v="12"/>
    <n v="1.99"/>
    <n v="6.6820000000000004"/>
    <x v="12"/>
    <x v="8"/>
    <n v="0.54100000000000004"/>
    <x v="7"/>
    <x v="12"/>
    <x v="0"/>
    <n v="1.234788157735319"/>
    <n v="610633.49466989178"/>
    <n v="765568.6577958978"/>
    <n v="-609022.37075202854"/>
    <n v="1611.1239178632386"/>
    <s v="36800NGI-SOCAL"/>
    <n v="62"/>
    <n v="0.98489273333853511"/>
    <n v="4.2139058688288454E-2"/>
    <n v="2.612621638673884E-2"/>
    <n v="-267.74100711149282"/>
    <n v="-7.102917425733807"/>
    <x v="0"/>
  </r>
  <r>
    <x v="12"/>
    <x v="0"/>
    <s v="NV5394.2"/>
    <x v="4"/>
    <x v="0"/>
    <x v="1"/>
    <x v="12"/>
    <n v="-620000"/>
    <n v="0.4"/>
    <x v="12"/>
    <n v="1.99"/>
    <n v="6.6820000000000004"/>
    <x v="12"/>
    <x v="8"/>
    <n v="0.54100000000000004"/>
    <x v="7"/>
    <x v="12"/>
    <x v="1"/>
    <n v="2.1756822227581019E-4"/>
    <n v="765.16652329028159"/>
    <n v="-134.89229781100232"/>
    <n v="-1041.8138503161044"/>
    <n v="-276.64732702582285"/>
    <s v="36800NGI-SOCAL"/>
    <n v="-62"/>
    <n v="-1.2341395536940025E-3"/>
    <n v="6.6807190860361642E-3"/>
    <n v="-4.1420458333424224E-3"/>
    <n v="45.433606137473689"/>
    <n v="24.925029979519543"/>
    <x v="0"/>
  </r>
  <r>
    <x v="16"/>
    <x v="0"/>
    <s v="NV5416.1"/>
    <x v="4"/>
    <x v="0"/>
    <x v="0"/>
    <x v="12"/>
    <n v="620000"/>
    <n v="0.75"/>
    <x v="12"/>
    <n v="1.99"/>
    <n v="6.6820000000000004"/>
    <x v="12"/>
    <x v="8"/>
    <n v="0.54100000000000004"/>
    <x v="7"/>
    <x v="12"/>
    <x v="0"/>
    <n v="1.234788157735319"/>
    <n v="610633.49466989178"/>
    <n v="765568.6577958978"/>
    <n v="-609022.37075202854"/>
    <n v="1611.1239178632386"/>
    <s v="36800NGI-SOCAL"/>
    <n v="62"/>
    <n v="0.98489273333853511"/>
    <n v="4.2139058688288454E-2"/>
    <n v="2.612621638673884E-2"/>
    <n v="-267.74100711149282"/>
    <n v="-7.102917425733807"/>
    <x v="0"/>
  </r>
  <r>
    <x v="16"/>
    <x v="0"/>
    <s v="NV5416.2"/>
    <x v="4"/>
    <x v="0"/>
    <x v="1"/>
    <x v="12"/>
    <n v="-620000"/>
    <n v="0.4"/>
    <x v="12"/>
    <n v="1.99"/>
    <n v="6.6820000000000004"/>
    <x v="12"/>
    <x v="8"/>
    <n v="0.54100000000000004"/>
    <x v="7"/>
    <x v="12"/>
    <x v="1"/>
    <n v="2.1756822227581019E-4"/>
    <n v="765.16652329028159"/>
    <n v="-134.89229781100232"/>
    <n v="-1041.8138503161044"/>
    <n v="-276.64732702582285"/>
    <s v="36800NGI-SOCAL"/>
    <n v="-62"/>
    <n v="-1.2341395536940025E-3"/>
    <n v="6.6807190860361642E-3"/>
    <n v="-4.1420458333424224E-3"/>
    <n v="45.433606137473689"/>
    <n v="24.925029979519543"/>
    <x v="0"/>
  </r>
  <r>
    <x v="16"/>
    <x v="0"/>
    <s v="NV6667.1"/>
    <x v="1"/>
    <x v="0"/>
    <x v="0"/>
    <x v="18"/>
    <n v="600000"/>
    <n v="-0.375"/>
    <x v="18"/>
    <n v="-0.46750000000000003"/>
    <n v="4.2684999999999995"/>
    <x v="18"/>
    <x v="13"/>
    <n v="0.57099999999999995"/>
    <x v="9"/>
    <x v="18"/>
    <x v="0"/>
    <n v="0.12759880353186631"/>
    <n v="255912.75512445151"/>
    <n v="76559.282119119787"/>
    <n v="-235337.31584226037"/>
    <n v="20575.439282191131"/>
    <s v="36831IF-NWPL_ROCKY_M"/>
    <n v="60"/>
    <n v="0.42652125854075251"/>
    <n v="0.9130037095239204"/>
    <n v="0.54780222571435222"/>
    <n v="-6362.2010497819974"/>
    <n v="-774.64774264952041"/>
    <x v="0"/>
  </r>
  <r>
    <x v="16"/>
    <x v="0"/>
    <s v="NV6667.1"/>
    <x v="1"/>
    <x v="0"/>
    <x v="0"/>
    <x v="17"/>
    <n v="620000"/>
    <n v="-0.375"/>
    <x v="17"/>
    <n v="-0.35749999999999998"/>
    <n v="4.4424999999999999"/>
    <x v="17"/>
    <x v="12"/>
    <n v="0.57599999999999996"/>
    <x v="9"/>
    <x v="17"/>
    <x v="0"/>
    <n v="0.22009271199998892"/>
    <n v="325346.88863424328"/>
    <n v="136457.48143999313"/>
    <n v="-298796.26079402643"/>
    <n v="26550.627840216854"/>
    <s v="36861IF-NWPL_ROCKY_M"/>
    <n v="62"/>
    <n v="0.52475304618426333"/>
    <n v="0.72372802213356491"/>
    <n v="0.44871137372281028"/>
    <n v="-8442.5031284890028"/>
    <n v="-679.40230517092402"/>
    <x v="0"/>
  </r>
  <r>
    <x v="16"/>
    <x v="0"/>
    <s v="NV6667.1"/>
    <x v="1"/>
    <x v="0"/>
    <x v="0"/>
    <x v="16"/>
    <n v="620000"/>
    <n v="-0.375"/>
    <x v="16"/>
    <n v="-0.36749999999999999"/>
    <n v="4.3765000000000001"/>
    <x v="16"/>
    <x v="11"/>
    <n v="0.58099999999999996"/>
    <x v="9"/>
    <x v="16"/>
    <x v="0"/>
    <n v="0.24347990903441935"/>
    <n v="320629.65413166163"/>
    <n v="150957.54360134"/>
    <n v="-290145.66327136866"/>
    <n v="30483.990860292979"/>
    <s v="36892IF-NWPL_ROCKY_M"/>
    <n v="62"/>
    <n v="0.51714460343816393"/>
    <n v="0.63245764968997964"/>
    <n v="0.39212374280778739"/>
    <n v="-9561.9243943689034"/>
    <n v="-581.69629811678897"/>
    <x v="0"/>
  </r>
  <r>
    <x v="16"/>
    <x v="0"/>
    <s v="NV6667.1"/>
    <x v="1"/>
    <x v="0"/>
    <x v="0"/>
    <x v="15"/>
    <n v="560000"/>
    <n v="-0.375"/>
    <x v="15"/>
    <n v="-0.38750000000000001"/>
    <n v="4.0925000000000002"/>
    <x v="15"/>
    <x v="10"/>
    <n v="0.56899999999999995"/>
    <x v="9"/>
    <x v="15"/>
    <x v="0"/>
    <n v="0.24230151183849485"/>
    <n v="282129.01442221232"/>
    <n v="135688.84662955711"/>
    <n v="-252024.64416073568"/>
    <n v="30104.370261476637"/>
    <s v="36923IF-NWPL_ROCKY_M"/>
    <n v="56"/>
    <n v="0.50380181146823633"/>
    <n v="0.60561327546987753"/>
    <n v="0.33914343426313137"/>
    <n v="-8856.76342465573"/>
    <n v="-423.6386831359784"/>
    <x v="0"/>
  </r>
  <r>
    <x v="16"/>
    <x v="0"/>
    <s v="NV6667.1"/>
    <x v="1"/>
    <x v="0"/>
    <x v="0"/>
    <x v="14"/>
    <n v="620000"/>
    <n v="-0.375"/>
    <x v="14"/>
    <n v="-0.39750000000000002"/>
    <n v="3.8155000000000001"/>
    <x v="14"/>
    <x v="9"/>
    <n v="0.51100000000000001"/>
    <x v="9"/>
    <x v="14"/>
    <x v="0"/>
    <n v="0.2163779785781661"/>
    <n v="305647.79311445582"/>
    <n v="134154.34671846297"/>
    <n v="-273402.09382975812"/>
    <n v="32245.699284697708"/>
    <s v="36951IF-NWPL_ROCKY_M"/>
    <n v="62"/>
    <n v="0.49298031147492877"/>
    <n v="0.65665914454575591"/>
    <n v="0.40712866961836869"/>
    <n v="-8859.5063808188788"/>
    <n v="-359.69933801266023"/>
    <x v="0"/>
  </r>
  <r>
    <x v="16"/>
    <x v="0"/>
    <s v="NV6667.2"/>
    <x v="1"/>
    <x v="0"/>
    <x v="1"/>
    <x v="18"/>
    <n v="600000"/>
    <n v="-0.375"/>
    <x v="18"/>
    <n v="-0.46750000000000003"/>
    <n v="4.2684999999999995"/>
    <x v="18"/>
    <x v="13"/>
    <n v="0.57099999999999995"/>
    <x v="9"/>
    <x v="18"/>
    <x v="1"/>
    <n v="0.21901852967587856"/>
    <n v="-337080.06310697924"/>
    <n v="131411.11780552714"/>
    <n v="357655.50238917035"/>
    <n v="20575.439282191102"/>
    <s v="36831IF-NWPL_ROCKY_M"/>
    <n v="60"/>
    <n v="-0.5618001051782987"/>
    <n v="0.9130037095239204"/>
    <n v="0.54780222571435222"/>
    <n v="-6362.2010497819974"/>
    <n v="-764.41272675975813"/>
    <x v="0"/>
  </r>
  <r>
    <x v="16"/>
    <x v="0"/>
    <s v="NV6667.2"/>
    <x v="1"/>
    <x v="0"/>
    <x v="1"/>
    <x v="17"/>
    <n v="620000"/>
    <n v="-0.375"/>
    <x v="17"/>
    <n v="-0.35749999999999998"/>
    <n v="4.4424999999999999"/>
    <x v="17"/>
    <x v="12"/>
    <n v="0.57599999999999996"/>
    <x v="9"/>
    <x v="17"/>
    <x v="1"/>
    <n v="0.20289447713019984"/>
    <n v="-283962.00389543461"/>
    <n v="125794.5758207239"/>
    <n v="310512.6317356514"/>
    <n v="26550.627840216795"/>
    <s v="36861IF-NWPL_ROCKY_M"/>
    <n v="62"/>
    <n v="-0.45800323208941068"/>
    <n v="0.72372802213356491"/>
    <n v="0.44871137372281028"/>
    <n v="-8442.5031284890028"/>
    <n v="-681.39799293264787"/>
    <x v="0"/>
  </r>
  <r>
    <x v="16"/>
    <x v="0"/>
    <s v="NV6667.2"/>
    <x v="1"/>
    <x v="0"/>
    <x v="1"/>
    <x v="16"/>
    <n v="620000"/>
    <n v="-0.375"/>
    <x v="16"/>
    <n v="-0.36749999999999999"/>
    <n v="4.3765000000000001"/>
    <x v="16"/>
    <x v="11"/>
    <n v="0.58099999999999996"/>
    <x v="9"/>
    <x v="16"/>
    <x v="1"/>
    <n v="0.23614925594454975"/>
    <n v="-285371.00129749032"/>
    <n v="146412.53868562085"/>
    <n v="315854.9921577833"/>
    <n v="30483.990860292979"/>
    <s v="36892IF-NWPL_ROCKY_M"/>
    <n v="62"/>
    <n v="-0.46027580854433925"/>
    <n v="0.63245764968997964"/>
    <n v="0.39212374280778739"/>
    <n v="-9561.9243943689034"/>
    <n v="-582.54770618166924"/>
    <x v="0"/>
  </r>
  <r>
    <x v="16"/>
    <x v="0"/>
    <s v="NV6667.2"/>
    <x v="1"/>
    <x v="0"/>
    <x v="1"/>
    <x v="15"/>
    <n v="560000"/>
    <n v="-0.375"/>
    <x v="15"/>
    <n v="-0.38750000000000001"/>
    <n v="4.0925000000000002"/>
    <x v="15"/>
    <x v="10"/>
    <n v="0.56899999999999995"/>
    <x v="9"/>
    <x v="15"/>
    <x v="1"/>
    <n v="0.2544426560631341"/>
    <n v="-261794.24684160619"/>
    <n v="142487.88739535509"/>
    <n v="291898.61710308283"/>
    <n v="30104.370261476637"/>
    <s v="36923IF-NWPL_ROCKY_M"/>
    <n v="56"/>
    <n v="-0.46748972650286819"/>
    <n v="0.60561327546987753"/>
    <n v="0.33914343426313137"/>
    <n v="-8856.76342465573"/>
    <n v="-422.36008791141217"/>
    <x v="0"/>
  </r>
  <r>
    <x v="16"/>
    <x v="0"/>
    <s v="NV6667.2"/>
    <x v="1"/>
    <x v="0"/>
    <x v="1"/>
    <x v="14"/>
    <n v="620000"/>
    <n v="-0.375"/>
    <x v="14"/>
    <n v="-0.39750000000000002"/>
    <n v="3.8155000000000001"/>
    <x v="14"/>
    <x v="9"/>
    <n v="0.51100000000000001"/>
    <x v="9"/>
    <x v="14"/>
    <x v="1"/>
    <n v="0.23811473524571275"/>
    <n v="-293320.61283572443"/>
    <n v="147631.13585234192"/>
    <n v="325566.3121204222"/>
    <n v="32245.699284697766"/>
    <s v="36951IF-NWPL_ROCKY_M"/>
    <n v="62"/>
    <n v="-0.4730977626382652"/>
    <n v="0.65665914454575591"/>
    <n v="0.40712866961836869"/>
    <n v="-8859.5063808188788"/>
    <n v="-357.15610858335003"/>
    <x v="0"/>
  </r>
  <r>
    <x v="13"/>
    <x v="0"/>
    <s v="NV6677"/>
    <x v="6"/>
    <x v="0"/>
    <x v="0"/>
    <x v="16"/>
    <n v="-1000000"/>
    <n v="0.2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  <n v="0.31370106666401615"/>
    <n v="2.4243637879876143"/>
    <n v="-2.4243637879876143"/>
    <n v="67750.272161079454"/>
    <n v="203.87692301561145"/>
    <x v="0"/>
  </r>
  <r>
    <x v="13"/>
    <x v="0"/>
    <s v="NV6677"/>
    <x v="6"/>
    <x v="0"/>
    <x v="0"/>
    <x v="15"/>
    <n v="-1000000"/>
    <n v="0.2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  <n v="0.34704558827125143"/>
    <n v="2.3644835131882433"/>
    <n v="-2.3644835131882433"/>
    <n v="72258.713398075735"/>
    <n v="175.05537115942221"/>
    <x v="0"/>
  </r>
  <r>
    <x v="13"/>
    <x v="0"/>
    <s v="NV6677"/>
    <x v="6"/>
    <x v="0"/>
    <x v="0"/>
    <x v="14"/>
    <n v="-1000000"/>
    <n v="0.2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  <n v="0.29856038868144957"/>
    <n v="2.4030410697436135"/>
    <n v="-2.4030410697436135"/>
    <n v="61651.223790979071"/>
    <n v="128.52050813256025"/>
    <x v="0"/>
  </r>
  <r>
    <x v="8"/>
    <x v="0"/>
    <s v="NV6691"/>
    <x v="5"/>
    <x v="0"/>
    <x v="1"/>
    <x v="11"/>
    <n v="1000000"/>
    <n v="0.28000000000000003"/>
    <x v="11"/>
    <n v="0.3775"/>
    <n v="4.3155000000000001"/>
    <x v="11"/>
    <x v="7"/>
    <n v="0.434"/>
    <x v="5"/>
    <x v="11"/>
    <x v="1"/>
    <n v="4.1506052834076712E-2"/>
    <n v="-296513.93973256077"/>
    <n v="41506.052834076712"/>
    <n v="310926.87244115456"/>
    <n v="14412.932708593784"/>
    <s v="36982IF-TETCO/M3"/>
    <n v="100"/>
    <n v="-0.29651393973256079"/>
    <n v="1.6058688912777082"/>
    <n v="1.6058688912777079"/>
    <n v="-31216.973886747131"/>
    <n v="-161.42515601163495"/>
    <x v="0"/>
  </r>
  <r>
    <x v="8"/>
    <x v="0"/>
    <s v="NV6691"/>
    <x v="5"/>
    <x v="0"/>
    <x v="1"/>
    <x v="10"/>
    <n v="1000000"/>
    <n v="0.28000000000000003"/>
    <x v="10"/>
    <n v="0.315"/>
    <n v="4.1530000000000005"/>
    <x v="10"/>
    <x v="6"/>
    <n v="0.39700000000000002"/>
    <x v="5"/>
    <x v="10"/>
    <x v="1"/>
    <n v="5.9419355948889196E-2"/>
    <n v="-398937.30566368427"/>
    <n v="59419.355948889199"/>
    <n v="414355.16451327957"/>
    <n v="15417.858849595301"/>
    <s v="37012IF-TETCO/M3"/>
    <n v="100"/>
    <n v="-0.39893730566368429"/>
    <n v="1.8899355888770082"/>
    <n v="1.8899355888770082"/>
    <n v="-32367.473186572661"/>
    <n v="-142.51857894591052"/>
    <x v="0"/>
  </r>
  <r>
    <x v="8"/>
    <x v="0"/>
    <s v="NV6691"/>
    <x v="5"/>
    <x v="0"/>
    <x v="1"/>
    <x v="9"/>
    <n v="1000000"/>
    <n v="0.28000000000000003"/>
    <x v="9"/>
    <n v="0.315"/>
    <n v="4.133"/>
    <x v="9"/>
    <x v="5"/>
    <n v="0.39200000000000002"/>
    <x v="5"/>
    <x v="9"/>
    <x v="1"/>
    <n v="6.2583394225031674E-2"/>
    <n v="-398833.29498595686"/>
    <n v="62583.394225031676"/>
    <n v="414969.16657109628"/>
    <n v="16135.871585139423"/>
    <s v="37043IF-TETCO/M3"/>
    <n v="100"/>
    <n v="-0.39883329498595688"/>
    <n v="1.794537465382031"/>
    <n v="1.794537465382031"/>
    <n v="-33724.301188554826"/>
    <n v="-129.41822885069587"/>
    <x v="0"/>
  </r>
  <r>
    <x v="8"/>
    <x v="0"/>
    <s v="NV6691"/>
    <x v="5"/>
    <x v="0"/>
    <x v="1"/>
    <x v="8"/>
    <n v="1000000"/>
    <n v="0.28000000000000003"/>
    <x v="8"/>
    <n v="0.32750000000000001"/>
    <n v="4.1304999999999996"/>
    <x v="8"/>
    <x v="5"/>
    <n v="0.39200000000000002"/>
    <x v="5"/>
    <x v="8"/>
    <x v="1"/>
    <n v="6.1107051643178423E-2"/>
    <n v="-377729.63129749947"/>
    <n v="61107.05164317842"/>
    <n v="394391.6673135435"/>
    <n v="16662.036016044032"/>
    <s v="37073IF-TETCO/M3"/>
    <n v="100"/>
    <n v="-0.37772963129749948"/>
    <n v="1.6761679696221843"/>
    <n v="1.6761679696221841"/>
    <n v="-34761.484010867367"/>
    <n v="-120.79401121764165"/>
    <x v="0"/>
  </r>
  <r>
    <x v="8"/>
    <x v="0"/>
    <s v="NV6691"/>
    <x v="5"/>
    <x v="0"/>
    <x v="1"/>
    <x v="7"/>
    <n v="1000000"/>
    <n v="0.28000000000000003"/>
    <x v="7"/>
    <n v="0.32750000000000001"/>
    <n v="4.1354999999999995"/>
    <x v="7"/>
    <x v="5"/>
    <n v="0.39200000000000002"/>
    <x v="5"/>
    <x v="7"/>
    <x v="1"/>
    <n v="6.4932747612597763E-2"/>
    <n v="-378782.63076159224"/>
    <n v="64932.747612597763"/>
    <n v="396241.36307211424"/>
    <n v="17458.732310521998"/>
    <s v="37104IF-TETCO/M3"/>
    <n v="100"/>
    <n v="-0.37878263076159224"/>
    <n v="1.586277947973965"/>
    <n v="1.5862779479739648"/>
    <n v="-36457.554571942717"/>
    <n v="-113.4431995591589"/>
    <x v="0"/>
  </r>
  <r>
    <x v="8"/>
    <x v="0"/>
    <s v="NV6691"/>
    <x v="5"/>
    <x v="0"/>
    <x v="1"/>
    <x v="6"/>
    <n v="1000000"/>
    <n v="0.28000000000000003"/>
    <x v="6"/>
    <n v="0.3175"/>
    <n v="4.1055000000000001"/>
    <x v="6"/>
    <x v="5"/>
    <n v="0.39200000000000002"/>
    <x v="5"/>
    <x v="6"/>
    <x v="1"/>
    <n v="7.1844764511781234E-2"/>
    <n v="-394119.44083602104"/>
    <n v="71844.764511781235"/>
    <n v="412434.62486840441"/>
    <n v="18315.184032383375"/>
    <s v="37135IF-TETCO/M3"/>
    <n v="100"/>
    <n v="-0.39411944083602102"/>
    <n v="1.5357515988538415"/>
    <n v="1.5357515988538415"/>
    <n v="-38000.022819670077"/>
    <n v="-106.55744390469839"/>
    <x v="0"/>
  </r>
  <r>
    <x v="8"/>
    <x v="0"/>
    <s v="NV6691"/>
    <x v="5"/>
    <x v="0"/>
    <x v="1"/>
    <x v="5"/>
    <n v="1000000"/>
    <n v="0.28000000000000003"/>
    <x v="5"/>
    <n v="0.33"/>
    <n v="4.1029999999999998"/>
    <x v="5"/>
    <x v="4"/>
    <n v="0.39400000000000002"/>
    <x v="5"/>
    <x v="5"/>
    <x v="1"/>
    <n v="6.9952650358762358E-2"/>
    <n v="-375298.66574489645"/>
    <n v="69952.650358762359"/>
    <n v="394112.14529108739"/>
    <n v="18813.479546190938"/>
    <s v="37165IF-TETCO/M3"/>
    <n v="100"/>
    <n v="-0.37529866574489645"/>
    <n v="1.4515955624800088"/>
    <n v="1.4515955624800088"/>
    <n v="-39030.69146975183"/>
    <n v="-101.4700867307025"/>
    <x v="0"/>
  </r>
  <r>
    <x v="19"/>
    <x v="0"/>
    <s v="NV7017"/>
    <x v="2"/>
    <x v="0"/>
    <x v="0"/>
    <x v="15"/>
    <n v="-1120000"/>
    <n v="0.4"/>
    <x v="15"/>
    <n v="0.29499999999999998"/>
    <n v="4.7750000000000004"/>
    <x v="15"/>
    <x v="10"/>
    <n v="0.59299999999999997"/>
    <x v="5"/>
    <x v="15"/>
    <x v="0"/>
    <n v="7.0506703532524931E-2"/>
    <n v="-412381.62194204848"/>
    <n v="-78967.507956427929"/>
    <n v="392777.69406725781"/>
    <n v="-19603.927874790679"/>
    <s v="36923IF-CGT/APPALAC"/>
    <n v="-112"/>
    <n v="0.36819787673397186"/>
    <n v="1.2815466106073412"/>
    <n v="-1.4353322038802221"/>
    <n v="45135.688883123279"/>
    <n v="375.60557927746061"/>
    <x v="0"/>
  </r>
  <r>
    <x v="9"/>
    <x v="0"/>
    <s v="NV8440"/>
    <x v="0"/>
    <x v="0"/>
    <x v="1"/>
    <x v="18"/>
    <n v="2000000"/>
    <n v="0.5"/>
    <x v="18"/>
    <n v="0.77"/>
    <n v="5.5060000000000002"/>
    <x v="18"/>
    <x v="13"/>
    <n v="0.625"/>
    <x v="6"/>
    <x v="18"/>
    <x v="1"/>
    <n v="0.13988875420971553"/>
    <n v="-621606.71427162259"/>
    <n v="279777.50841943105"/>
    <n v="705895.41041899344"/>
    <n v="84288.696147370851"/>
    <s v="36831IF-TRANSCO/Z6"/>
    <n v="200"/>
    <n v="-0.31080335713581131"/>
    <n v="0.53699682595613119"/>
    <n v="1.0739936519122624"/>
    <n v="-18880.599899769597"/>
    <n v="-3592.3533904620836"/>
    <x v="0"/>
  </r>
  <r>
    <x v="21"/>
    <x v="0"/>
    <s v="NW0631"/>
    <x v="6"/>
    <x v="0"/>
    <x v="0"/>
    <x v="16"/>
    <n v="-1000000"/>
    <n v="0.2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  <n v="0.31370106666401615"/>
    <n v="2.4243637879876143"/>
    <n v="-2.4243637879876143"/>
    <n v="67750.272161079454"/>
    <n v="203.87692301561145"/>
    <x v="0"/>
  </r>
  <r>
    <x v="21"/>
    <x v="0"/>
    <s v="NW0631"/>
    <x v="6"/>
    <x v="0"/>
    <x v="0"/>
    <x v="15"/>
    <n v="-1000000"/>
    <n v="0.2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  <n v="0.34704558827125143"/>
    <n v="2.3644835131882433"/>
    <n v="-2.3644835131882433"/>
    <n v="72258.713398075735"/>
    <n v="175.05537115942221"/>
    <x v="0"/>
  </r>
  <r>
    <x v="21"/>
    <x v="0"/>
    <s v="NW0631"/>
    <x v="6"/>
    <x v="0"/>
    <x v="0"/>
    <x v="14"/>
    <n v="-1000000"/>
    <n v="0.2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  <n v="0.29856038868144957"/>
    <n v="2.4030410697436135"/>
    <n v="-2.4030410697436135"/>
    <n v="61651.223790979071"/>
    <n v="128.52050813256025"/>
    <x v="0"/>
  </r>
  <r>
    <x v="3"/>
    <x v="0"/>
    <s v="NW0635"/>
    <x v="4"/>
    <x v="0"/>
    <x v="0"/>
    <x v="18"/>
    <n v="-300000"/>
    <n v="0.4"/>
    <x v="18"/>
    <n v="1.5449999999999999"/>
    <n v="6.2809999999999997"/>
    <x v="18"/>
    <x v="13"/>
    <n v="0.57699999999999996"/>
    <x v="11"/>
    <x v="18"/>
    <x v="0"/>
    <n v="1.1498690051094145"/>
    <n v="-281178.016713586"/>
    <n v="-344960.70153282431"/>
    <n v="276558.59781756514"/>
    <n v="-4619.4188960208558"/>
    <s v="36831NGI-SOCAL"/>
    <n v="-30"/>
    <n v="0.93726005571195337"/>
    <n v="0.12932700086846768"/>
    <n v="-3.8798100260540307E-2"/>
    <n v="840.29118953887348"/>
    <n v="137.40411284722344"/>
    <x v="0"/>
  </r>
  <r>
    <x v="3"/>
    <x v="0"/>
    <s v="NW0635"/>
    <x v="4"/>
    <x v="0"/>
    <x v="0"/>
    <x v="17"/>
    <n v="-310000"/>
    <n v="0.4"/>
    <x v="17"/>
    <n v="1.0049999999999999"/>
    <n v="5.8049999999999997"/>
    <x v="17"/>
    <x v="12"/>
    <n v="0.58199999999999996"/>
    <x v="11"/>
    <x v="17"/>
    <x v="0"/>
    <n v="0.71643193450698872"/>
    <n v="-238110.46472676267"/>
    <n v="-222093.89969716649"/>
    <n v="222668.98029568678"/>
    <n v="-15441.484431075893"/>
    <s v="36861NGI-SOCAL"/>
    <n v="-31"/>
    <n v="0.76809827331213765"/>
    <n v="0.31643494128720157"/>
    <n v="-9.8094831799032486E-2"/>
    <n v="2720.1472044719467"/>
    <n v="401.42044663031663"/>
    <x v="0"/>
  </r>
  <r>
    <x v="3"/>
    <x v="0"/>
    <s v="NW0635"/>
    <x v="4"/>
    <x v="0"/>
    <x v="0"/>
    <x v="16"/>
    <n v="-310000"/>
    <n v="0.4"/>
    <x v="16"/>
    <n v="0.76749999999999996"/>
    <n v="5.5114999999999998"/>
    <x v="16"/>
    <x v="11"/>
    <n v="0.58699999999999997"/>
    <x v="11"/>
    <x v="16"/>
    <x v="0"/>
    <n v="0.58407218595501875"/>
    <n v="-206379.90056359538"/>
    <n v="-181062.3776460558"/>
    <n v="185353.92379859235"/>
    <n v="-21025.976765003026"/>
    <s v="36892NGI-SOCAL"/>
    <n v="-31"/>
    <n v="0.66574161472127547"/>
    <n v="0.34772012330571744"/>
    <n v="-0.10779323822477239"/>
    <n v="3586.8594635463919"/>
    <n v="412.00725546278557"/>
    <x v="0"/>
  </r>
  <r>
    <x v="3"/>
    <x v="0"/>
    <s v="NW0635"/>
    <x v="4"/>
    <x v="0"/>
    <x v="0"/>
    <x v="15"/>
    <n v="-280000"/>
    <n v="0.4"/>
    <x v="15"/>
    <n v="0.61750000000000005"/>
    <n v="5.0975000000000001"/>
    <x v="15"/>
    <x v="10"/>
    <n v="0.57499999999999996"/>
    <x v="11"/>
    <x v="15"/>
    <x v="0"/>
    <n v="0.50210159372471419"/>
    <n v="-169954.97519878819"/>
    <n v="-140588.44624291998"/>
    <n v="148139.1424982957"/>
    <n v="-21815.832700492494"/>
    <s v="36923NGI-SOCAL"/>
    <n v="-28"/>
    <n v="0.60698205428138641"/>
    <n v="0.35993556989713638"/>
    <n v="-0.10078195957119819"/>
    <n v="3477.5132463134373"/>
    <n v="314.80173735592984"/>
    <x v="0"/>
  </r>
  <r>
    <x v="3"/>
    <x v="0"/>
    <s v="NW0635"/>
    <x v="4"/>
    <x v="0"/>
    <x v="0"/>
    <x v="14"/>
    <n v="-310000"/>
    <n v="0.4"/>
    <x v="14"/>
    <n v="0.59750000000000003"/>
    <n v="4.8105000000000002"/>
    <x v="14"/>
    <x v="9"/>
    <n v="0.51700000000000002"/>
    <x v="11"/>
    <x v="14"/>
    <x v="0"/>
    <n v="0.45845476529705009"/>
    <n v="-186513.50160546848"/>
    <n v="-142120.97724208553"/>
    <n v="163065.45905130138"/>
    <n v="-23448.042554167099"/>
    <s v="36951NGI-SOCAL"/>
    <n v="-31"/>
    <n v="0.60165645679183377"/>
    <n v="0.38965781071343752"/>
    <n v="-0.12079392132116563"/>
    <n v="3522.9346196356259"/>
    <n v="266.67196851814367"/>
    <x v="0"/>
  </r>
  <r>
    <x v="3"/>
    <x v="0"/>
    <s v="NW0645"/>
    <x v="4"/>
    <x v="0"/>
    <x v="0"/>
    <x v="13"/>
    <n v="-600000"/>
    <n v="0.9"/>
    <x v="13"/>
    <n v="2.5"/>
    <n v="7.1849999999999996"/>
    <x v="13"/>
    <x v="5"/>
    <n v="0.376"/>
    <x v="7"/>
    <x v="13"/>
    <x v="0"/>
    <n v="1.5994114287763597"/>
    <n v="-599779.28574823542"/>
    <n v="-959646.85726581584"/>
    <n v="599779.30968995113"/>
    <n v="2.3941715713590384E-2"/>
    <s v="36770NGI-SOCAL"/>
    <n v="-60"/>
    <n v="0.99963214291372571"/>
    <n v="1.2050424925034638E-56"/>
    <n v="-7.2302549550207832E-57"/>
    <n v="-3.006606076361183E-4"/>
    <n v="-176.72276277848707"/>
    <x v="0"/>
  </r>
  <r>
    <x v="18"/>
    <x v="0"/>
    <s v="NW0648"/>
    <x v="4"/>
    <x v="0"/>
    <x v="0"/>
    <x v="12"/>
    <n v="310000"/>
    <n v="0.8"/>
    <x v="12"/>
    <n v="1.99"/>
    <n v="6.6820000000000004"/>
    <x v="12"/>
    <x v="8"/>
    <n v="0.54100000000000004"/>
    <x v="7"/>
    <x v="12"/>
    <x v="0"/>
    <n v="1.1857110260966903"/>
    <n v="304462.69308187539"/>
    <n v="367570.41808997397"/>
    <n v="-303462.92737078125"/>
    <n v="999.76571109413635"/>
    <s v="36800NGI-SOCAL"/>
    <n v="31"/>
    <n v="0.98213771961895291"/>
    <n v="5.2898379051236434E-2"/>
    <n v="1.6398497505883295E-2"/>
    <n v="-166.40639224363895"/>
    <n v="-25.057163544622757"/>
    <x v="0"/>
  </r>
  <r>
    <x v="3"/>
    <x v="0"/>
    <s v="NW3286.1"/>
    <x v="4"/>
    <x v="0"/>
    <x v="1"/>
    <x v="18"/>
    <n v="300000"/>
    <n v="0.3"/>
    <x v="18"/>
    <n v="1.5449999999999999"/>
    <n v="6.2809999999999997"/>
    <x v="18"/>
    <x v="13"/>
    <n v="0.57699999999999996"/>
    <x v="11"/>
    <x v="18"/>
    <x v="1"/>
    <n v="1.3015140338945519E-2"/>
    <n v="-11378.243921149977"/>
    <n v="3904.5421016836558"/>
    <n v="15065.812675411738"/>
    <n v="3687.5687542617616"/>
    <s v="36831NGI-SOCAL"/>
    <n v="30"/>
    <n v="-3.7927479737166592E-2"/>
    <n v="0.10103493406510085"/>
    <n v="3.0310480219530252E-2"/>
    <n v="-669.44121265798469"/>
    <n v="-159.21084467159849"/>
    <x v="0"/>
  </r>
  <r>
    <x v="3"/>
    <x v="0"/>
    <s v="NW3286.1"/>
    <x v="4"/>
    <x v="0"/>
    <x v="1"/>
    <x v="17"/>
    <n v="310000"/>
    <n v="0.3"/>
    <x v="17"/>
    <n v="1.0049999999999999"/>
    <n v="5.8049999999999997"/>
    <x v="17"/>
    <x v="12"/>
    <n v="0.58199999999999996"/>
    <x v="11"/>
    <x v="17"/>
    <x v="1"/>
    <n v="9.9178082218704056E-2"/>
    <n v="-56443.113445814495"/>
    <n v="30745.205487798255"/>
    <n v="70634.747828763473"/>
    <n v="14191.634382948978"/>
    <s v="36861NGI-SOCAL"/>
    <n v="31"/>
    <n v="-0.18207455950262741"/>
    <n v="0.28463958616759916"/>
    <n v="8.8238271711955724E-2"/>
    <n v="-2495.4248285960043"/>
    <n v="-398.38947489909071"/>
    <x v="0"/>
  </r>
  <r>
    <x v="3"/>
    <x v="0"/>
    <s v="NW3286.1"/>
    <x v="4"/>
    <x v="0"/>
    <x v="1"/>
    <x v="16"/>
    <n v="310000"/>
    <n v="0.3"/>
    <x v="16"/>
    <n v="0.76749999999999996"/>
    <n v="5.5114999999999998"/>
    <x v="16"/>
    <x v="11"/>
    <n v="0.58699999999999997"/>
    <x v="11"/>
    <x v="16"/>
    <x v="1"/>
    <n v="0.19140186168694734"/>
    <n v="-85544.430445202946"/>
    <n v="59334.577122953677"/>
    <n v="105738.16243534005"/>
    <n v="20193.731990137108"/>
    <s v="36892NGI-SOCAL"/>
    <n v="31"/>
    <n v="-0.27594977562968692"/>
    <n v="0.32675520844933853"/>
    <n v="0.10129411461929493"/>
    <n v="-3438.8765317190041"/>
    <n v="-413.77032130043591"/>
    <x v="0"/>
  </r>
  <r>
    <x v="3"/>
    <x v="0"/>
    <s v="NW3286.1"/>
    <x v="4"/>
    <x v="0"/>
    <x v="1"/>
    <x v="15"/>
    <n v="280000"/>
    <n v="0.3"/>
    <x v="15"/>
    <n v="0.61750000000000005"/>
    <n v="5.0975000000000001"/>
    <x v="15"/>
    <x v="10"/>
    <n v="0.57499999999999996"/>
    <x v="11"/>
    <x v="15"/>
    <x v="1"/>
    <n v="0.2513380400444053"/>
    <n v="-91702.943395442184"/>
    <n v="70374.651212433484"/>
    <n v="113049.86987901386"/>
    <n v="21346.926483571675"/>
    <s v="36923NGI-SOCAL"/>
    <n v="28"/>
    <n v="-0.32751051212657922"/>
    <n v="0.34418424748724724"/>
    <n v="9.6371589296429222E-2"/>
    <n v="-3396.826661532823"/>
    <n v="-317.58038985165786"/>
    <x v="0"/>
  </r>
  <r>
    <x v="3"/>
    <x v="0"/>
    <s v="NW3286.1"/>
    <x v="4"/>
    <x v="0"/>
    <x v="1"/>
    <x v="14"/>
    <n v="310000"/>
    <n v="0.3"/>
    <x v="14"/>
    <n v="0.59750000000000003"/>
    <n v="4.8105000000000002"/>
    <x v="14"/>
    <x v="9"/>
    <n v="0.51700000000000002"/>
    <x v="11"/>
    <x v="14"/>
    <x v="1"/>
    <n v="0.22831288089717727"/>
    <n v="-100642.54714541287"/>
    <n v="70776.993078124957"/>
    <n v="123544.35407398234"/>
    <n v="22901.806928569466"/>
    <s v="36951NGI-SOCAL"/>
    <n v="31"/>
    <n v="-0.32465337788842863"/>
    <n v="0.37143232019710426"/>
    <n v="0.11514401926110232"/>
    <n v="-3434.7066951199381"/>
    <n v="-270.29814463360884"/>
    <x v="0"/>
  </r>
  <r>
    <x v="3"/>
    <x v="0"/>
    <s v="NW3286.2"/>
    <x v="4"/>
    <x v="0"/>
    <x v="0"/>
    <x v="18"/>
    <n v="300000"/>
    <n v="0.6"/>
    <x v="18"/>
    <n v="1.5449999999999999"/>
    <n v="6.2809999999999997"/>
    <x v="18"/>
    <x v="13"/>
    <n v="0.57699999999999996"/>
    <x v="11"/>
    <x v="18"/>
    <x v="0"/>
    <n v="0.96847898908806052"/>
    <n v="269996.88858363108"/>
    <n v="290543.69672641816"/>
    <n v="-263170.27388757147"/>
    <n v="6826.6146960596088"/>
    <s v="36831NGI-SOCAL"/>
    <n v="30"/>
    <n v="0.89998962861210363"/>
    <n v="0.19955489831990297"/>
    <n v="5.9866469495970895E-2"/>
    <n v="-1246.3266316616432"/>
    <n v="-250.50650747993109"/>
    <x v="0"/>
  </r>
  <r>
    <x v="3"/>
    <x v="0"/>
    <s v="NW3286.2"/>
    <x v="4"/>
    <x v="0"/>
    <x v="0"/>
    <x v="17"/>
    <n v="310000"/>
    <n v="0.6"/>
    <x v="17"/>
    <n v="1.0049999999999999"/>
    <n v="5.8049999999999997"/>
    <x v="17"/>
    <x v="12"/>
    <n v="0.58199999999999996"/>
    <x v="11"/>
    <x v="17"/>
    <x v="0"/>
    <n v="0.57753242751586775"/>
    <n v="215096.74767620701"/>
    <n v="179035.05252991899"/>
    <n v="-197619.58589343063"/>
    <n v="17477.161782776384"/>
    <s v="36861NGI-SOCAL"/>
    <n v="31"/>
    <n v="0.69386047637486137"/>
    <n v="0.3735808886032248"/>
    <n v="0.11581007546699969"/>
    <n v="-3088.6414421661884"/>
    <n v="-479.01632972667198"/>
    <x v="0"/>
  </r>
  <r>
    <x v="3"/>
    <x v="0"/>
    <s v="NW3286.2"/>
    <x v="4"/>
    <x v="0"/>
    <x v="0"/>
    <x v="16"/>
    <n v="310000"/>
    <n v="0.6"/>
    <x v="16"/>
    <n v="0.76749999999999996"/>
    <n v="5.5114999999999998"/>
    <x v="16"/>
    <x v="11"/>
    <n v="0.58699999999999997"/>
    <x v="11"/>
    <x v="16"/>
    <x v="0"/>
    <n v="0.4684484200971803"/>
    <n v="182791.10618106689"/>
    <n v="145219.01023012589"/>
    <n v="-160810.28638510534"/>
    <n v="21980.81979596155"/>
    <s v="36892NGI-SOCAL"/>
    <n v="31"/>
    <n v="0.58964872961634485"/>
    <n v="0.37922547437428017"/>
    <n v="0.11755989705602685"/>
    <n v="-3761.035329277664"/>
    <n v="-449.89419230492206"/>
    <x v="0"/>
  </r>
  <r>
    <x v="3"/>
    <x v="0"/>
    <s v="NW3286.2"/>
    <x v="4"/>
    <x v="0"/>
    <x v="0"/>
    <x v="15"/>
    <n v="280000"/>
    <n v="0.6"/>
    <x v="15"/>
    <n v="0.61750000000000005"/>
    <n v="5.0975000000000001"/>
    <x v="15"/>
    <x v="10"/>
    <n v="0.57499999999999996"/>
    <x v="11"/>
    <x v="15"/>
    <x v="0"/>
    <n v="0.3999877291189512"/>
    <n v="148665.0982631529"/>
    <n v="111996.56415330633"/>
    <n v="-126645.31486871914"/>
    <n v="22019.783394433762"/>
    <s v="36923NGI-SOCAL"/>
    <n v="28"/>
    <n v="0.53094677951126035"/>
    <n v="0.37971687894060852"/>
    <n v="0.10632072610337039"/>
    <n v="-3520.2677146336141"/>
    <n v="-332.57709587918902"/>
    <x v="0"/>
  </r>
  <r>
    <x v="3"/>
    <x v="0"/>
    <s v="NW3286.2"/>
    <x v="4"/>
    <x v="0"/>
    <x v="0"/>
    <x v="14"/>
    <n v="310000"/>
    <n v="0.6"/>
    <x v="14"/>
    <n v="0.59750000000000003"/>
    <n v="4.8105000000000002"/>
    <x v="14"/>
    <x v="9"/>
    <n v="0.51700000000000002"/>
    <x v="11"/>
    <x v="14"/>
    <x v="0"/>
    <n v="0.35800394733003721"/>
    <n v="161039.99341463411"/>
    <n v="110981.22367231153"/>
    <n v="-137421.31734196297"/>
    <n v="23618.676072671136"/>
    <s v="36951NGI-SOCAL"/>
    <n v="31"/>
    <n v="0.51948384972462613"/>
    <n v="0.41116420073221688"/>
    <n v="0.12746090222698725"/>
    <n v="-3558.9952027369377"/>
    <n v="-283.52277578160778"/>
    <x v="0"/>
  </r>
  <r>
    <x v="16"/>
    <x v="0"/>
    <s v="NW3289"/>
    <x v="6"/>
    <x v="0"/>
    <x v="0"/>
    <x v="18"/>
    <n v="-300000"/>
    <n v="0.15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  <n v="0.26448308728674724"/>
    <n v="3.3388376108619982"/>
    <n v="-1.0016512832585993"/>
    <n v="13818.64587232146"/>
    <n v="74.921077543304349"/>
    <x v="0"/>
  </r>
  <r>
    <x v="16"/>
    <x v="0"/>
    <s v="NW3289"/>
    <x v="6"/>
    <x v="0"/>
    <x v="0"/>
    <x v="17"/>
    <n v="-310000"/>
    <n v="0.15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  <n v="0.34205450534150622"/>
    <n v="2.9959955786471109"/>
    <n v="-0.92875862938060438"/>
    <n v="19852.98059925819"/>
    <n v="72.260182853505967"/>
    <x v="0"/>
  </r>
  <r>
    <x v="16"/>
    <x v="0"/>
    <s v="NW3289"/>
    <x v="6"/>
    <x v="0"/>
    <x v="0"/>
    <x v="16"/>
    <n v="-310000"/>
    <n v="0.15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  <n v="0.43492144061102955"/>
    <n v="2.7636752842353736"/>
    <n v="-0.85673933811296576"/>
    <n v="24123.868642967729"/>
    <n v="66.542940241352994"/>
    <x v="0"/>
  </r>
  <r>
    <x v="16"/>
    <x v="0"/>
    <s v="NW3289"/>
    <x v="6"/>
    <x v="0"/>
    <x v="0"/>
    <x v="15"/>
    <n v="-280000"/>
    <n v="0.15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  <n v="0.46321377454876578"/>
    <n v="2.6145513341602959"/>
    <n v="-0.73207437356488281"/>
    <n v="22547.407029554248"/>
    <n v="49.511384020410219"/>
    <x v="0"/>
  </r>
  <r>
    <x v="16"/>
    <x v="0"/>
    <s v="NW3289"/>
    <x v="6"/>
    <x v="0"/>
    <x v="0"/>
    <x v="14"/>
    <n v="-310000"/>
    <n v="0.15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  <n v="0.41674780590647675"/>
    <n v="2.7810649312681774"/>
    <n v="-0.86213012869313499"/>
    <n v="22293.820521706926"/>
    <n v="41.979162973776042"/>
    <x v="0"/>
  </r>
  <r>
    <x v="13"/>
    <x v="0"/>
    <s v="NW5608"/>
    <x v="6"/>
    <x v="0"/>
    <x v="0"/>
    <x v="18"/>
    <n v="-300000"/>
    <n v="0.15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  <n v="0.26448308728674724"/>
    <n v="3.3388376108619982"/>
    <n v="-1.0016512832585993"/>
    <n v="13818.64587232146"/>
    <n v="74.921077543304349"/>
    <x v="0"/>
  </r>
  <r>
    <x v="13"/>
    <x v="0"/>
    <s v="NW5608"/>
    <x v="6"/>
    <x v="0"/>
    <x v="0"/>
    <x v="17"/>
    <n v="-310000"/>
    <n v="0.15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  <n v="0.34205450534150622"/>
    <n v="2.9959955786471109"/>
    <n v="-0.92875862938060438"/>
    <n v="19852.98059925819"/>
    <n v="72.260182853505967"/>
    <x v="0"/>
  </r>
  <r>
    <x v="13"/>
    <x v="0"/>
    <s v="NW5608"/>
    <x v="6"/>
    <x v="0"/>
    <x v="0"/>
    <x v="16"/>
    <n v="-310000"/>
    <n v="0.15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  <n v="0.43492144061102955"/>
    <n v="2.7636752842353736"/>
    <n v="-0.85673933811296576"/>
    <n v="24123.868642967729"/>
    <n v="66.542940241352994"/>
    <x v="0"/>
  </r>
  <r>
    <x v="13"/>
    <x v="0"/>
    <s v="NW5608"/>
    <x v="6"/>
    <x v="0"/>
    <x v="0"/>
    <x v="15"/>
    <n v="-280000"/>
    <n v="0.15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  <n v="0.46321377454876578"/>
    <n v="2.6145513341602959"/>
    <n v="-0.73207437356488281"/>
    <n v="22547.407029554248"/>
    <n v="49.511384020410219"/>
    <x v="0"/>
  </r>
  <r>
    <x v="13"/>
    <x v="0"/>
    <s v="NW5608"/>
    <x v="6"/>
    <x v="0"/>
    <x v="0"/>
    <x v="14"/>
    <n v="-310000"/>
    <n v="0.15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  <n v="0.41674780590647675"/>
    <n v="2.7810649312681774"/>
    <n v="-0.86213012869313499"/>
    <n v="22293.820521706926"/>
    <n v="41.979162973776042"/>
    <x v="0"/>
  </r>
  <r>
    <x v="19"/>
    <x v="0"/>
    <s v="NW5620"/>
    <x v="6"/>
    <x v="0"/>
    <x v="0"/>
    <x v="18"/>
    <n v="-300000"/>
    <n v="0.15"/>
    <x v="18"/>
    <n v="8.7499999999999994E-2"/>
    <n v="4.8235000000000001"/>
    <x v="18"/>
    <x v="13"/>
    <n v="0.59499999999999997"/>
    <x v="10"/>
    <x v="18"/>
    <x v="0"/>
    <n v="1.550052519581778E-2"/>
    <n v="-79344.926186024168"/>
    <n v="-4650.1575587453335"/>
    <n v="77609.94391655919"/>
    <n v="-1734.9822694649774"/>
    <s v="36831NGI/CHI. GATE"/>
    <n v="-30"/>
    <n v="0.26448308728674724"/>
    <n v="3.3388376108619982"/>
    <n v="-1.0016512832585993"/>
    <n v="13818.64587232146"/>
    <n v="74.921077543304349"/>
    <x v="0"/>
  </r>
  <r>
    <x v="19"/>
    <x v="0"/>
    <s v="NW5620"/>
    <x v="6"/>
    <x v="0"/>
    <x v="0"/>
    <x v="17"/>
    <n v="-310000"/>
    <n v="0.15"/>
    <x v="17"/>
    <n v="0.1"/>
    <n v="4.9000000000000004"/>
    <x v="17"/>
    <x v="12"/>
    <n v="0.6"/>
    <x v="10"/>
    <x v="17"/>
    <x v="0"/>
    <n v="2.7341780503795484E-2"/>
    <n v="-106036.89665586693"/>
    <n v="-8475.9519561765992"/>
    <n v="103580.32087999498"/>
    <n v="-2456.5757758719556"/>
    <s v="36861NGI/CHI. GATE"/>
    <n v="-31"/>
    <n v="0.34205450534150622"/>
    <n v="2.9959955786471109"/>
    <n v="-0.92875862938060438"/>
    <n v="19852.98059925819"/>
    <n v="72.260182853505967"/>
    <x v="0"/>
  </r>
  <r>
    <x v="19"/>
    <x v="0"/>
    <s v="NW5620"/>
    <x v="6"/>
    <x v="0"/>
    <x v="0"/>
    <x v="16"/>
    <n v="-310000"/>
    <n v="0.15"/>
    <x v="16"/>
    <n v="0.1275"/>
    <n v="4.8715000000000002"/>
    <x v="16"/>
    <x v="11"/>
    <n v="0.60499999999999998"/>
    <x v="10"/>
    <x v="16"/>
    <x v="0"/>
    <n v="4.4503043973877957E-2"/>
    <n v="-134825.64658941916"/>
    <n v="-13795.943631902166"/>
    <n v="131814.1929258187"/>
    <n v="-3011.4536636004632"/>
    <s v="36892NGI/CHI. GATE"/>
    <n v="-31"/>
    <n v="0.43492144061102955"/>
    <n v="2.7636752842353736"/>
    <n v="-0.85673933811296576"/>
    <n v="24123.868642967729"/>
    <n v="66.542940241352994"/>
    <x v="0"/>
  </r>
  <r>
    <x v="19"/>
    <x v="0"/>
    <s v="NW5620"/>
    <x v="6"/>
    <x v="0"/>
    <x v="0"/>
    <x v="15"/>
    <n v="-280000"/>
    <n v="0.15"/>
    <x v="15"/>
    <n v="0.13750000000000001"/>
    <n v="4.6174999999999997"/>
    <x v="15"/>
    <x v="10"/>
    <n v="0.59299999999999997"/>
    <x v="10"/>
    <x v="15"/>
    <x v="0"/>
    <n v="5.1778937717171743E-2"/>
    <n v="-129699.85687365441"/>
    <n v="-14498.102560808087"/>
    <n v="126711.18564876153"/>
    <n v="-2988.6712248928816"/>
    <s v="36923NGI/CHI. GATE"/>
    <n v="-28"/>
    <n v="0.46321377454876578"/>
    <n v="2.6145513341602959"/>
    <n v="-0.73207437356488281"/>
    <n v="22547.407029554248"/>
    <n v="49.511384020410219"/>
    <x v="0"/>
  </r>
  <r>
    <x v="19"/>
    <x v="0"/>
    <s v="NW5620"/>
    <x v="6"/>
    <x v="0"/>
    <x v="0"/>
    <x v="14"/>
    <n v="-310000"/>
    <n v="0.15"/>
    <x v="14"/>
    <n v="0.1225"/>
    <n v="4.3354999999999997"/>
    <x v="14"/>
    <x v="9"/>
    <n v="0.53300000000000003"/>
    <x v="10"/>
    <x v="14"/>
    <x v="0"/>
    <n v="4.0858540517954137E-2"/>
    <n v="-129191.8198310078"/>
    <n v="-12666.147560565782"/>
    <n v="126044.64060335686"/>
    <n v="-3147.1792276509368"/>
    <s v="36951NGI/CHI. GATE"/>
    <n v="-31"/>
    <n v="0.41674780590647675"/>
    <n v="2.7810649312681774"/>
    <n v="-0.86213012869313499"/>
    <n v="22293.820521706926"/>
    <n v="41.979162973776042"/>
    <x v="0"/>
  </r>
  <r>
    <x v="3"/>
    <x v="0"/>
    <s v="NW5627.1"/>
    <x v="4"/>
    <x v="0"/>
    <x v="0"/>
    <x v="18"/>
    <n v="-1000000"/>
    <n v="1"/>
    <x v="18"/>
    <n v="1.5449999999999999"/>
    <n v="6.2809999999999997"/>
    <x v="18"/>
    <x v="13"/>
    <n v="0.57699999999999996"/>
    <x v="11"/>
    <x v="18"/>
    <x v="0"/>
    <n v="0.64239711919021891"/>
    <n v="-773571.45363866177"/>
    <n v="-642397.11919021886"/>
    <n v="735121.55731707241"/>
    <n v="-38449.89632158936"/>
    <s v="36831NGI-SOCAL"/>
    <n v="-100"/>
    <n v="0.77357145363866175"/>
    <n v="0.36597908662922546"/>
    <n v="-0.36597908662922551"/>
    <n v="7058.874731647521"/>
    <n v="1716.7163440353811"/>
    <x v="0"/>
  </r>
  <r>
    <x v="3"/>
    <x v="0"/>
    <s v="NW5627.1"/>
    <x v="4"/>
    <x v="0"/>
    <x v="0"/>
    <x v="17"/>
    <n v="-1000000"/>
    <n v="1"/>
    <x v="17"/>
    <n v="1.0049999999999999"/>
    <n v="5.8049999999999997"/>
    <x v="17"/>
    <x v="12"/>
    <n v="0.58199999999999996"/>
    <x v="11"/>
    <x v="17"/>
    <x v="0"/>
    <n v="0.35468527074912176"/>
    <n v="-523941.29410369229"/>
    <n v="-354685.27074912179"/>
    <n v="463282.71527354058"/>
    <n v="-60658.578830151702"/>
    <s v="36861NGI-SOCAL"/>
    <n v="-100"/>
    <n v="0.52394129410369228"/>
    <n v="0.43429105950641594"/>
    <n v="-0.434291059506416"/>
    <n v="10769.287797461291"/>
    <n v="1831.4342788506465"/>
    <x v="0"/>
  </r>
  <r>
    <x v="3"/>
    <x v="0"/>
    <s v="NW5627.1"/>
    <x v="4"/>
    <x v="0"/>
    <x v="0"/>
    <x v="16"/>
    <n v="-1000000"/>
    <n v="1"/>
    <x v="16"/>
    <n v="0.76749999999999996"/>
    <n v="5.5114999999999998"/>
    <x v="16"/>
    <x v="11"/>
    <n v="0.58699999999999997"/>
    <x v="11"/>
    <x v="16"/>
    <x v="0"/>
    <n v="0.28932060439244373"/>
    <n v="-433935.69412362191"/>
    <n v="-289320.60439244373"/>
    <n v="366179.38690822345"/>
    <n v="-67756.307215398469"/>
    <s v="36892NGI-SOCAL"/>
    <n v="-100"/>
    <n v="0.43393569412362193"/>
    <n v="0.39107472468920262"/>
    <n v="-0.39107472468920262"/>
    <n v="11641.316119421019"/>
    <n v="1516.3404772203723"/>
    <x v="0"/>
  </r>
  <r>
    <x v="3"/>
    <x v="0"/>
    <s v="NW5627.1"/>
    <x v="4"/>
    <x v="0"/>
    <x v="0"/>
    <x v="15"/>
    <n v="-1000000"/>
    <n v="1"/>
    <x v="15"/>
    <n v="0.61750000000000005"/>
    <n v="5.0975000000000001"/>
    <x v="15"/>
    <x v="10"/>
    <n v="0.57499999999999996"/>
    <x v="11"/>
    <x v="15"/>
    <x v="0"/>
    <n v="0.24587699175387281"/>
    <n v="-383655.1524543768"/>
    <n v="-245876.9917538728"/>
    <n v="312627.66523326666"/>
    <n v="-71027.487221110146"/>
    <s v="36923NGI-SOCAL"/>
    <n v="-100"/>
    <n v="0.38365515245437681"/>
    <n v="0.37071920861273677"/>
    <n v="-0.37071920861273677"/>
    <n v="11398.048568198339"/>
    <n v="1178.9974651925652"/>
    <x v="0"/>
  </r>
  <r>
    <x v="3"/>
    <x v="0"/>
    <s v="NW5627.1"/>
    <x v="4"/>
    <x v="0"/>
    <x v="0"/>
    <x v="14"/>
    <n v="-1000000"/>
    <n v="1"/>
    <x v="14"/>
    <n v="0.59750000000000003"/>
    <n v="4.8105000000000002"/>
    <x v="14"/>
    <x v="9"/>
    <n v="0.51700000000000002"/>
    <x v="11"/>
    <x v="14"/>
    <x v="0"/>
    <n v="0.21030560438987847"/>
    <n v="-362412.59513088182"/>
    <n v="-210305.60438987846"/>
    <n v="295118.46300505177"/>
    <n v="-67294.132125830045"/>
    <s v="36951NGI-SOCAL"/>
    <n v="-100"/>
    <n v="0.36241259513088181"/>
    <n v="0.39374934071659745"/>
    <n v="-0.39374934071659745"/>
    <n v="10177.229183858804"/>
    <n v="898.09475056955546"/>
    <x v="0"/>
  </r>
  <r>
    <x v="16"/>
    <x v="0"/>
    <s v="NW5630.1"/>
    <x v="1"/>
    <x v="0"/>
    <x v="0"/>
    <x v="18"/>
    <n v="-600000"/>
    <n v="-0.2"/>
    <x v="18"/>
    <n v="-0.46750000000000003"/>
    <n v="4.2684999999999995"/>
    <x v="18"/>
    <x v="13"/>
    <n v="0.57099999999999995"/>
    <x v="9"/>
    <x v="18"/>
    <x v="0"/>
    <n v="6.529791282484787E-2"/>
    <n v="-163705.50374782769"/>
    <n v="-39178.747694908721"/>
    <n v="146265.46612057765"/>
    <n v="-17440.037627250043"/>
    <s v="36831IF-NWPL_ROCKY_M"/>
    <n v="-60"/>
    <n v="0.27284250624637951"/>
    <n v="0.8132892402070826"/>
    <n v="-0.48797354412424954"/>
    <n v="5454.9549696901859"/>
    <n v="632.64001349796706"/>
    <x v="0"/>
  </r>
  <r>
    <x v="16"/>
    <x v="0"/>
    <s v="NW5630.1"/>
    <x v="1"/>
    <x v="0"/>
    <x v="0"/>
    <x v="17"/>
    <n v="-620000"/>
    <n v="-0.2"/>
    <x v="17"/>
    <n v="-0.35749999999999998"/>
    <n v="4.4424999999999999"/>
    <x v="17"/>
    <x v="12"/>
    <n v="0.57599999999999996"/>
    <x v="9"/>
    <x v="17"/>
    <x v="0"/>
    <n v="0.13780520333892959"/>
    <n v="-245838.70748788683"/>
    <n v="-85439.226070136341"/>
    <n v="220073.37742109972"/>
    <n v="-25765.330066787108"/>
    <s v="36861IF-NWPL_ROCKY_M"/>
    <n v="-62"/>
    <n v="0.39651404433530135"/>
    <n v="0.73608870846453034"/>
    <n v="-0.45637499924800884"/>
    <n v="8281.9656281745392"/>
    <n v="640.65045104018589"/>
    <x v="0"/>
  </r>
  <r>
    <x v="16"/>
    <x v="0"/>
    <s v="NW5630.1"/>
    <x v="1"/>
    <x v="0"/>
    <x v="0"/>
    <x v="16"/>
    <n v="-620000"/>
    <n v="-0.2"/>
    <x v="16"/>
    <n v="-0.36749999999999999"/>
    <n v="4.3765000000000001"/>
    <x v="16"/>
    <x v="11"/>
    <n v="0.58099999999999996"/>
    <x v="9"/>
    <x v="16"/>
    <x v="0"/>
    <n v="0.16077117196574778"/>
    <n v="-251247.18653856867"/>
    <n v="-99678.126618763621"/>
    <n v="221490.769928945"/>
    <n v="-29756.416609623673"/>
    <s v="36892IF-NWPL_ROCKY_M"/>
    <n v="-62"/>
    <n v="0.40523739764285271"/>
    <n v="0.64726380875654355"/>
    <n v="-0.40130356142905699"/>
    <n v="9435.6801881534939"/>
    <n v="552.03799193851239"/>
    <x v="0"/>
  </r>
  <r>
    <x v="16"/>
    <x v="0"/>
    <s v="NW5630.1"/>
    <x v="1"/>
    <x v="0"/>
    <x v="0"/>
    <x v="15"/>
    <n v="-560000"/>
    <n v="-0.2"/>
    <x v="15"/>
    <n v="-0.38750000000000001"/>
    <n v="4.0925000000000002"/>
    <x v="15"/>
    <x v="10"/>
    <n v="0.56899999999999995"/>
    <x v="9"/>
    <x v="15"/>
    <x v="0"/>
    <n v="0.16098949061980206"/>
    <n v="-222313.22928107856"/>
    <n v="-90154.114747089145"/>
    <n v="193049.54314137439"/>
    <n v="-29263.686139704165"/>
    <s v="36923IF-NWPL_ROCKY_M"/>
    <n v="-56"/>
    <n v="0.39698790943049744"/>
    <n v="0.6189266126048214"/>
    <n v="-0.3465989030587"/>
    <n v="8709.3983184318458"/>
    <n v="399.40291987588239"/>
    <x v="0"/>
  </r>
  <r>
    <x v="16"/>
    <x v="0"/>
    <s v="NW5630.1"/>
    <x v="1"/>
    <x v="0"/>
    <x v="0"/>
    <x v="14"/>
    <n v="-620000"/>
    <n v="-0.2"/>
    <x v="14"/>
    <n v="-0.39750000000000002"/>
    <n v="3.8155000000000001"/>
    <x v="14"/>
    <x v="9"/>
    <n v="0.51100000000000001"/>
    <x v="9"/>
    <x v="14"/>
    <x v="0"/>
    <n v="0.13749408832366405"/>
    <n v="-233971.87614035443"/>
    <n v="-85246.334760671714"/>
    <n v="202996.59097604576"/>
    <n v="-30975.285164308676"/>
    <s v="36951IF-NWPL_ROCKY_M"/>
    <n v="-62"/>
    <n v="0.37737399377476522"/>
    <n v="0.66553209059877227"/>
    <n v="-0.4126298961712388"/>
    <n v="8617.837316145371"/>
    <n v="334.70819732212573"/>
    <x v="0"/>
  </r>
  <r>
    <x v="16"/>
    <x v="0"/>
    <s v="NW5630.2"/>
    <x v="1"/>
    <x v="0"/>
    <x v="1"/>
    <x v="18"/>
    <n v="-600000"/>
    <n v="-0.5"/>
    <x v="18"/>
    <n v="-0.46750000000000003"/>
    <n v="4.2684999999999995"/>
    <x v="18"/>
    <x v="13"/>
    <n v="0.57099999999999995"/>
    <x v="9"/>
    <x v="18"/>
    <x v="1"/>
    <n v="0.15778673045805278"/>
    <n v="269510.72164498345"/>
    <n v="-94672.038274831662"/>
    <n v="-290222.016811373"/>
    <n v="-20711.295166389551"/>
    <s v="36831IF-NWPL_ROCKY_M"/>
    <n v="-60"/>
    <n v="-0.44918453607497244"/>
    <n v="0.88928399057621321"/>
    <n v="-0.53357039434572795"/>
    <n v="6354.7933455441262"/>
    <n v="806.77084014361844"/>
    <x v="0"/>
  </r>
  <r>
    <x v="16"/>
    <x v="0"/>
    <s v="NW5630.2"/>
    <x v="1"/>
    <x v="0"/>
    <x v="1"/>
    <x v="17"/>
    <n v="-620000"/>
    <n v="-0.5"/>
    <x v="17"/>
    <n v="-0.35749999999999998"/>
    <n v="4.4424999999999999"/>
    <x v="17"/>
    <x v="12"/>
    <n v="0.57599999999999996"/>
    <x v="9"/>
    <x v="17"/>
    <x v="1"/>
    <n v="0.15322464041905529"/>
    <n v="230818.68207694252"/>
    <n v="-94999.277059814282"/>
    <n v="-256197.91125838028"/>
    <n v="-25379.229181437753"/>
    <s v="36861IF-NWPL_ROCKY_M"/>
    <n v="-62"/>
    <n v="-0.3722881968982944"/>
    <n v="0.67071187016441758"/>
    <n v="-0.4158413595019389"/>
    <n v="8011.2546504817255"/>
    <n v="679.81458888546024"/>
    <x v="0"/>
  </r>
  <r>
    <x v="16"/>
    <x v="0"/>
    <s v="NW5630.2"/>
    <x v="1"/>
    <x v="0"/>
    <x v="1"/>
    <x v="16"/>
    <n v="-620000"/>
    <n v="-0.5"/>
    <x v="16"/>
    <n v="-0.36749999999999999"/>
    <n v="4.3765000000000001"/>
    <x v="16"/>
    <x v="11"/>
    <n v="0.58099999999999996"/>
    <x v="9"/>
    <x v="16"/>
    <x v="1"/>
    <n v="0.1859006008855898"/>
    <n v="238937.1634384561"/>
    <n v="-115258.37254906568"/>
    <n v="-268383.72192889074"/>
    <n v="-29446.558490434632"/>
    <s v="36892IF-NWPL_ROCKY_M"/>
    <n v="-62"/>
    <n v="-0.3853825216749292"/>
    <n v="0.59225936339586016"/>
    <n v="-0.36720080530543325"/>
    <n v="9169.2251352741678"/>
    <n v="588.98496547853267"/>
    <x v="0"/>
  </r>
  <r>
    <x v="16"/>
    <x v="0"/>
    <s v="NW5630.2"/>
    <x v="1"/>
    <x v="0"/>
    <x v="1"/>
    <x v="15"/>
    <n v="-560000"/>
    <n v="-0.5"/>
    <x v="15"/>
    <n v="-0.38750000000000001"/>
    <n v="4.0925000000000002"/>
    <x v="15"/>
    <x v="10"/>
    <n v="0.56899999999999995"/>
    <x v="9"/>
    <x v="15"/>
    <x v="1"/>
    <n v="0.20361435802165551"/>
    <n v="221751.77342921658"/>
    <n v="-114024.04049212708"/>
    <n v="-251017.16885521144"/>
    <n v="-29265.395425994851"/>
    <s v="36923IF-NWPL_ROCKY_M"/>
    <n v="-56"/>
    <n v="-0.3959853096950296"/>
    <n v="0.56988677815408428"/>
    <n v="-0.31913659576628717"/>
    <n v="8543.962618981981"/>
    <n v="432.68503614796498"/>
    <x v="0"/>
  </r>
  <r>
    <x v="16"/>
    <x v="0"/>
    <s v="NW5630.2"/>
    <x v="1"/>
    <x v="0"/>
    <x v="1"/>
    <x v="14"/>
    <n v="-620000"/>
    <n v="-0.5"/>
    <x v="14"/>
    <n v="-0.39750000000000002"/>
    <n v="3.8155000000000001"/>
    <x v="14"/>
    <x v="9"/>
    <n v="0.51100000000000001"/>
    <x v="9"/>
    <x v="14"/>
    <x v="1"/>
    <n v="0.18716411220475737"/>
    <n v="245313.9651228821"/>
    <n v="-116041.74956694957"/>
    <n v="-276645.12916478748"/>
    <n v="-31331.164041905373"/>
    <s v="36951IF-NWPL_ROCKY_M"/>
    <n v="-62"/>
    <n v="-0.39566768568206789"/>
    <n v="0.61635915007342434"/>
    <n v="-0.38214267304552307"/>
    <n v="8537.2501357122164"/>
    <n v="368.68222809613349"/>
    <x v="0"/>
  </r>
  <r>
    <x v="13"/>
    <x v="0"/>
    <s v="NW5635"/>
    <x v="6"/>
    <x v="0"/>
    <x v="0"/>
    <x v="18"/>
    <n v="-1000000"/>
    <n v="0.2"/>
    <x v="18"/>
    <n v="8.7499999999999994E-2"/>
    <n v="4.8235000000000001"/>
    <x v="18"/>
    <x v="13"/>
    <n v="0.59499999999999997"/>
    <x v="10"/>
    <x v="18"/>
    <x v="0"/>
    <n v="7.0492455730318745E-3"/>
    <n v="-139474.46746243423"/>
    <n v="-7049.2455730318743"/>
    <n v="135689.97356052499"/>
    <n v="-3784.4939019092417"/>
    <s v="36831NGI/CHI. GATE"/>
    <n v="-100"/>
    <n v="0.13947446746243422"/>
    <n v="2.2008884793138428"/>
    <n v="-2.2008884793138428"/>
    <n v="30140.229812834295"/>
    <n v="176.04152803641836"/>
    <x v="0"/>
  </r>
  <r>
    <x v="13"/>
    <x v="0"/>
    <s v="NW5635"/>
    <x v="6"/>
    <x v="0"/>
    <x v="0"/>
    <x v="17"/>
    <n v="-1000000"/>
    <n v="0.2"/>
    <x v="17"/>
    <n v="0.1"/>
    <n v="4.9000000000000004"/>
    <x v="17"/>
    <x v="12"/>
    <n v="0.6"/>
    <x v="10"/>
    <x v="17"/>
    <x v="0"/>
    <n v="1.5540517320006605E-2"/>
    <n v="-219874.45566948724"/>
    <n v="-15540.517320006606"/>
    <n v="213704.69327887075"/>
    <n v="-6169.7623906164954"/>
    <s v="36861NGI/CHI. GATE"/>
    <n v="-100"/>
    <n v="0.21987445566948724"/>
    <n v="2.3496357804459636"/>
    <n v="-2.3496357804459636"/>
    <n v="49857.758734166287"/>
    <n v="196.13716666494972"/>
    <x v="0"/>
  </r>
  <r>
    <x v="13"/>
    <x v="0"/>
    <s v="NW5635"/>
    <x v="6"/>
    <x v="0"/>
    <x v="0"/>
    <x v="16"/>
    <n v="-1000000"/>
    <n v="0.2"/>
    <x v="16"/>
    <n v="0.1275"/>
    <n v="4.8715000000000002"/>
    <x v="16"/>
    <x v="11"/>
    <n v="0.60499999999999998"/>
    <x v="10"/>
    <x v="16"/>
    <x v="0"/>
    <n v="2.8711898717735211E-2"/>
    <n v="-313701.06666401617"/>
    <n v="-28711.89871773521"/>
    <n v="305242.97852888354"/>
    <n v="-8458.0881351326243"/>
    <s v="36892NGI/CHI. GATE"/>
    <n v="-100"/>
    <n v="0.31370106666401615"/>
    <n v="2.4243637879876143"/>
    <n v="-2.4243637879876143"/>
    <n v="67750.272161079454"/>
    <n v="203.87692301561145"/>
    <x v="0"/>
  </r>
  <r>
    <x v="13"/>
    <x v="0"/>
    <s v="NW5635"/>
    <x v="6"/>
    <x v="0"/>
    <x v="0"/>
    <x v="15"/>
    <n v="-1000000"/>
    <n v="0.2"/>
    <x v="15"/>
    <n v="0.13750000000000001"/>
    <n v="4.6174999999999997"/>
    <x v="15"/>
    <x v="10"/>
    <n v="0.59299999999999997"/>
    <x v="10"/>
    <x v="15"/>
    <x v="0"/>
    <n v="3.499120767982495E-2"/>
    <n v="-347045.58827125141"/>
    <n v="-34991.207679824947"/>
    <n v="337456.46983292606"/>
    <n v="-9589.1184383253567"/>
    <s v="36923NGI/CHI. GATE"/>
    <n v="-100"/>
    <n v="0.34704558827125143"/>
    <n v="2.3644835131882433"/>
    <n v="-2.3644835131882433"/>
    <n v="72258.713398075735"/>
    <n v="175.05537115942221"/>
    <x v="0"/>
  </r>
  <r>
    <x v="13"/>
    <x v="0"/>
    <s v="NW5635"/>
    <x v="6"/>
    <x v="0"/>
    <x v="0"/>
    <x v="14"/>
    <n v="-1000000"/>
    <n v="0.2"/>
    <x v="14"/>
    <n v="0.1225"/>
    <n v="4.3354999999999997"/>
    <x v="14"/>
    <x v="9"/>
    <n v="0.53300000000000003"/>
    <x v="10"/>
    <x v="14"/>
    <x v="0"/>
    <n v="2.6314057292236681E-2"/>
    <n v="-298560.38868144958"/>
    <n v="-26314.057292236681"/>
    <n v="289845.79114884674"/>
    <n v="-8714.597532602842"/>
    <s v="36951NGI/CHI. GATE"/>
    <n v="-100"/>
    <n v="0.29856038868144957"/>
    <n v="2.4030410697436135"/>
    <n v="-2.4030410697436135"/>
    <n v="61651.223790979071"/>
    <n v="128.52050813256025"/>
    <x v="0"/>
  </r>
  <r>
    <x v="18"/>
    <x v="0"/>
    <s v="NW8030.1"/>
    <x v="6"/>
    <x v="0"/>
    <x v="1"/>
    <x v="18"/>
    <n v="300000"/>
    <n v="0.11"/>
    <x v="18"/>
    <n v="8.7499999999999994E-2"/>
    <n v="4.8235000000000001"/>
    <x v="18"/>
    <x v="13"/>
    <n v="0.59499999999999997"/>
    <x v="10"/>
    <x v="18"/>
    <x v="1"/>
    <n v="4.9798956143007472E-2"/>
    <n v="-174487.7337182129"/>
    <n v="14939.686842902242"/>
    <n v="176601.97959090059"/>
    <n v="2114.2458726876939"/>
    <s v="36831NGI/CHI. GATE"/>
    <n v="30"/>
    <n v="-0.58162577906070967"/>
    <n v="4.0409983447932865"/>
    <n v="1.212299503437986"/>
    <n v="-16840.240452813974"/>
    <n v="-84.597001954417394"/>
    <x v="0"/>
  </r>
  <r>
    <x v="18"/>
    <x v="0"/>
    <s v="NW8030.1"/>
    <x v="6"/>
    <x v="0"/>
    <x v="1"/>
    <x v="17"/>
    <n v="310000"/>
    <n v="0.11"/>
    <x v="17"/>
    <n v="0.1"/>
    <n v="4.9000000000000004"/>
    <x v="17"/>
    <x v="12"/>
    <n v="0.6"/>
    <x v="10"/>
    <x v="17"/>
    <x v="1"/>
    <n v="5.1593750497140142E-2"/>
    <n v="-160773.7562472634"/>
    <n v="15994.062654113444"/>
    <n v="163500.16018481899"/>
    <n v="2726.4039375555876"/>
    <s v="36861NGI/CHI. GATE"/>
    <n v="31"/>
    <n v="-0.51862502015246259"/>
    <n v="3.3025316840556838"/>
    <n v="1.0237848220572621"/>
    <n v="-22034.756043005647"/>
    <n v="-74.522802561501479"/>
    <x v="0"/>
  </r>
  <r>
    <x v="18"/>
    <x v="0"/>
    <s v="NW8030.1"/>
    <x v="6"/>
    <x v="0"/>
    <x v="1"/>
    <x v="16"/>
    <n v="310000"/>
    <n v="0.11"/>
    <x v="16"/>
    <n v="0.1275"/>
    <n v="4.8715000000000002"/>
    <x v="16"/>
    <x v="11"/>
    <n v="0.60499999999999998"/>
    <x v="10"/>
    <x v="16"/>
    <x v="1"/>
    <n v="4.4956494646471112E-2"/>
    <n v="-133917.49717664064"/>
    <n v="13936.513340406045"/>
    <n v="137023.77718821971"/>
    <n v="3106.2800115790742"/>
    <s v="36892NGI/CHI. GATE"/>
    <n v="31"/>
    <n v="-0.4319919263762601"/>
    <n v="2.830752707771214"/>
    <n v="0.87753333940907641"/>
    <n v="-24884.719337884952"/>
    <n v="-64.564051780213418"/>
    <x v="0"/>
  </r>
  <r>
    <x v="18"/>
    <x v="0"/>
    <s v="NW8030.1"/>
    <x v="6"/>
    <x v="0"/>
    <x v="1"/>
    <x v="15"/>
    <n v="280000"/>
    <n v="0.11"/>
    <x v="15"/>
    <n v="0.13750000000000001"/>
    <n v="4.6174999999999997"/>
    <x v="15"/>
    <x v="10"/>
    <n v="0.59299999999999997"/>
    <x v="10"/>
    <x v="15"/>
    <x v="1"/>
    <n v="4.3259945935821609E-2"/>
    <n v="-113136.80352557746"/>
    <n v="12112.78486203005"/>
    <n v="116166.71663483123"/>
    <n v="3029.9131092537718"/>
    <s v="36923NGI/CHI. GATE"/>
    <n v="28"/>
    <n v="-0.40406001259134805"/>
    <n v="2.6340175680838831"/>
    <n v="0.73752491906348738"/>
    <n v="-22883.356202774678"/>
    <n v="-47.301892373602392"/>
    <x v="0"/>
  </r>
  <r>
    <x v="18"/>
    <x v="0"/>
    <s v="NW8030.1"/>
    <x v="6"/>
    <x v="0"/>
    <x v="1"/>
    <x v="14"/>
    <n v="310000"/>
    <n v="0.11"/>
    <x v="14"/>
    <n v="0.1225"/>
    <n v="4.3354999999999997"/>
    <x v="14"/>
    <x v="9"/>
    <n v="0.53300000000000003"/>
    <x v="10"/>
    <x v="14"/>
    <x v="1"/>
    <n v="4.5235894832977533E-2"/>
    <n v="-136014.07355015661"/>
    <n v="14023.127398223036"/>
    <n v="139304.84706947027"/>
    <n v="3290.7735193136614"/>
    <s v="36951NGI/CHI. GATE"/>
    <n v="31"/>
    <n v="-0.43875507596824714"/>
    <n v="2.8896410041322218"/>
    <n v="0.8957887112809888"/>
    <n v="-23339.768394663974"/>
    <n v="-40.639239967011527"/>
    <x v="0"/>
  </r>
  <r>
    <x v="18"/>
    <x v="0"/>
    <s v="NW8030.2"/>
    <x v="6"/>
    <x v="0"/>
    <x v="1"/>
    <x v="18"/>
    <n v="300000"/>
    <n v="0.11"/>
    <x v="18"/>
    <n v="8.7499999999999994E-2"/>
    <n v="4.8235000000000001"/>
    <x v="18"/>
    <x v="13"/>
    <n v="0.59499999999999997"/>
    <x v="10"/>
    <x v="18"/>
    <x v="1"/>
    <n v="4.9798956143007472E-2"/>
    <n v="-174487.7337182129"/>
    <n v="14939.686842902242"/>
    <n v="176601.97959090059"/>
    <n v="2114.2458726876939"/>
    <s v="36831NGI/CHI. GATE"/>
    <n v="30"/>
    <n v="-0.58162577906070967"/>
    <n v="4.0409983447932865"/>
    <n v="1.212299503437986"/>
    <n v="-16840.240452813974"/>
    <n v="-84.597001954417394"/>
    <x v="0"/>
  </r>
  <r>
    <x v="18"/>
    <x v="0"/>
    <s v="NW8030.2"/>
    <x v="6"/>
    <x v="0"/>
    <x v="1"/>
    <x v="17"/>
    <n v="310000"/>
    <n v="0.11"/>
    <x v="17"/>
    <n v="0.1"/>
    <n v="4.9000000000000004"/>
    <x v="17"/>
    <x v="12"/>
    <n v="0.6"/>
    <x v="10"/>
    <x v="17"/>
    <x v="1"/>
    <n v="5.1593750497140142E-2"/>
    <n v="-160773.7562472634"/>
    <n v="15994.062654113444"/>
    <n v="163500.16018481899"/>
    <n v="2726.4039375555876"/>
    <s v="36861NGI/CHI. GATE"/>
    <n v="31"/>
    <n v="-0.51862502015246259"/>
    <n v="3.3025316840556838"/>
    <n v="1.0237848220572621"/>
    <n v="-22034.756043005647"/>
    <n v="-74.522802561501479"/>
    <x v="0"/>
  </r>
  <r>
    <x v="18"/>
    <x v="0"/>
    <s v="NW8030.2"/>
    <x v="6"/>
    <x v="0"/>
    <x v="1"/>
    <x v="16"/>
    <n v="310000"/>
    <n v="0.11"/>
    <x v="16"/>
    <n v="0.1275"/>
    <n v="4.8715000000000002"/>
    <x v="16"/>
    <x v="11"/>
    <n v="0.60499999999999998"/>
    <x v="10"/>
    <x v="16"/>
    <x v="1"/>
    <n v="4.4956494646471112E-2"/>
    <n v="-133917.49717664064"/>
    <n v="13936.513340406045"/>
    <n v="137023.77718821971"/>
    <n v="3106.2800115790742"/>
    <s v="36892NGI/CHI. GATE"/>
    <n v="31"/>
    <n v="-0.4319919263762601"/>
    <n v="2.830752707771214"/>
    <n v="0.87753333940907641"/>
    <n v="-24884.719337884952"/>
    <n v="-64.564051780213418"/>
    <x v="0"/>
  </r>
  <r>
    <x v="18"/>
    <x v="0"/>
    <s v="NW8030.2"/>
    <x v="6"/>
    <x v="0"/>
    <x v="1"/>
    <x v="15"/>
    <n v="280000"/>
    <n v="0.11"/>
    <x v="15"/>
    <n v="0.13750000000000001"/>
    <n v="4.6174999999999997"/>
    <x v="15"/>
    <x v="10"/>
    <n v="0.59299999999999997"/>
    <x v="10"/>
    <x v="15"/>
    <x v="1"/>
    <n v="4.3259945935821609E-2"/>
    <n v="-113136.80352557746"/>
    <n v="12112.78486203005"/>
    <n v="116166.71663483123"/>
    <n v="3029.9131092537718"/>
    <s v="36923NGI/CHI. GATE"/>
    <n v="28"/>
    <n v="-0.40406001259134805"/>
    <n v="2.6340175680838831"/>
    <n v="0.73752491906348738"/>
    <n v="-22883.356202774678"/>
    <n v="-47.301892373602392"/>
    <x v="0"/>
  </r>
  <r>
    <x v="12"/>
    <x v="0"/>
    <s v="NW9582"/>
    <x v="0"/>
    <x v="0"/>
    <x v="0"/>
    <x v="18"/>
    <n v="500000"/>
    <n v="1"/>
    <x v="18"/>
    <n v="0.77"/>
    <n v="5.5060000000000002"/>
    <x v="18"/>
    <x v="13"/>
    <n v="0.625"/>
    <x v="6"/>
    <x v="18"/>
    <x v="0"/>
    <n v="0.17043556386117104"/>
    <n v="193641.83742203133"/>
    <n v="85217.781930585523"/>
    <n v="-172734.88275015863"/>
    <n v="20906.954671872692"/>
    <s v="36831IF-TRANSCO/Z6"/>
    <n v="50"/>
    <n v="0.38728367484406268"/>
    <n v="0.56841829606161087"/>
    <n v="0.28420914803080544"/>
    <n v="-4583.6721858171941"/>
    <n v="-993.8217445901987"/>
    <x v="0"/>
  </r>
  <r>
    <x v="22"/>
    <x v="0"/>
    <s v="NW9726"/>
    <x v="0"/>
    <x v="0"/>
    <x v="1"/>
    <x v="18"/>
    <n v="1000000"/>
    <n v="0.5"/>
    <x v="18"/>
    <n v="0.77"/>
    <n v="5.5060000000000002"/>
    <x v="18"/>
    <x v="13"/>
    <n v="0.625"/>
    <x v="6"/>
    <x v="18"/>
    <x v="1"/>
    <n v="0.13988875420971553"/>
    <n v="-310803.3571358113"/>
    <n v="139888.75420971552"/>
    <n v="352947.70520949672"/>
    <n v="42144.348073685425"/>
    <s v="36831IF-TRANSCO/Z6"/>
    <n v="100"/>
    <n v="-0.31080335713581131"/>
    <n v="0.53699682595613119"/>
    <n v="0.53699682595613119"/>
    <n v="-9440.2999498847985"/>
    <n v="-1796.1766952310418"/>
    <x v="0"/>
  </r>
  <r>
    <x v="24"/>
    <x v="0"/>
    <s v="NW9731"/>
    <x v="0"/>
    <x v="0"/>
    <x v="0"/>
    <x v="18"/>
    <n v="300000"/>
    <n v="1"/>
    <x v="18"/>
    <n v="0.77"/>
    <n v="5.5060000000000002"/>
    <x v="18"/>
    <x v="13"/>
    <n v="0.625"/>
    <x v="6"/>
    <x v="18"/>
    <x v="0"/>
    <n v="0.17043556386117104"/>
    <n v="116185.1024532188"/>
    <n v="51130.669158351309"/>
    <n v="-103640.92965009518"/>
    <n v="12544.172803123627"/>
    <s v="36831IF-TRANSCO/Z6"/>
    <n v="30"/>
    <n v="0.38728367484406268"/>
    <n v="0.56841829606161087"/>
    <n v="0.17052548881848323"/>
    <n v="-2750.2033114903165"/>
    <n v="-596.29304675411925"/>
    <x v="0"/>
  </r>
  <r>
    <x v="2"/>
    <x v="0"/>
    <s v="NW9732"/>
    <x v="4"/>
    <x v="0"/>
    <x v="1"/>
    <x v="18"/>
    <n v="-150000"/>
    <n v="0.5"/>
    <x v="18"/>
    <n v="1.5449999999999999"/>
    <n v="6.2809999999999997"/>
    <x v="18"/>
    <x v="13"/>
    <n v="0.57699999999999996"/>
    <x v="11"/>
    <x v="18"/>
    <x v="1"/>
    <n v="2.5258610546011473E-2"/>
    <n v="10156.305404971083"/>
    <n v="-3788.7915819017207"/>
    <n v="-12993.321600663887"/>
    <n v="-2837.0161956928041"/>
    <s v="36831NGI-SOCAL"/>
    <n v="-15"/>
    <n v="-6.7708702699807222E-2"/>
    <n v="0.16232858187125204"/>
    <n v="-2.4349287280687807E-2"/>
    <n v="517.0406162696072"/>
    <n v="124.40858899641481"/>
    <x v="0"/>
  </r>
  <r>
    <x v="2"/>
    <x v="0"/>
    <s v="NW9732"/>
    <x v="4"/>
    <x v="0"/>
    <x v="1"/>
    <x v="17"/>
    <n v="-155000"/>
    <n v="0.5"/>
    <x v="17"/>
    <n v="1.0049999999999999"/>
    <n v="5.8049999999999997"/>
    <x v="17"/>
    <x v="12"/>
    <n v="0.58199999999999996"/>
    <x v="11"/>
    <x v="17"/>
    <x v="1"/>
    <n v="0.14854190133638373"/>
    <n v="38811.494171969534"/>
    <n v="-23023.994707139478"/>
    <n v="-47087.494292911273"/>
    <n v="-8276.0001209417387"/>
    <s v="36861NGI-SOCAL"/>
    <n v="-15.5"/>
    <n v="-0.25039673659335182"/>
    <n v="0.34648728304015614"/>
    <n v="-5.3705528871224199E-2"/>
    <n v="1460.3373329208162"/>
    <n v="235.46526018428438"/>
    <x v="0"/>
  </r>
  <r>
    <x v="2"/>
    <x v="0"/>
    <s v="NW9732"/>
    <x v="4"/>
    <x v="0"/>
    <x v="1"/>
    <x v="16"/>
    <n v="-155000"/>
    <n v="0.5"/>
    <x v="16"/>
    <n v="0.76749999999999996"/>
    <n v="5.5114999999999998"/>
    <x v="16"/>
    <x v="11"/>
    <n v="0.58699999999999997"/>
    <x v="11"/>
    <x v="16"/>
    <x v="1"/>
    <n v="0.26260999778603433"/>
    <n v="54114.358626821158"/>
    <n v="-40704.549656835319"/>
    <n v="-64928.074392945877"/>
    <n v="-10813.715766124718"/>
    <s v="36892NGI-SOCAL"/>
    <n v="-15.5"/>
    <n v="-0.34912489436658811"/>
    <n v="0.36541411919286215"/>
    <n v="-5.6639188474893638E-2"/>
    <n v="1847.6597825336266"/>
    <n v="224.12936952099491"/>
    <x v="0"/>
  </r>
  <r>
    <x v="2"/>
    <x v="0"/>
    <s v="NW9732"/>
    <x v="4"/>
    <x v="0"/>
    <x v="1"/>
    <x v="15"/>
    <n v="-140000"/>
    <n v="0.5"/>
    <x v="15"/>
    <n v="0.61750000000000005"/>
    <n v="5.0975000000000001"/>
    <x v="15"/>
    <x v="10"/>
    <n v="0.57499999999999996"/>
    <x v="11"/>
    <x v="15"/>
    <x v="1"/>
    <n v="0.33472877139366974"/>
    <n v="56294.778752421007"/>
    <n v="-46862.027995113764"/>
    <n v="-67314.670200304448"/>
    <n v="-11019.891447883441"/>
    <s v="36923NGI-SOCAL"/>
    <n v="-14"/>
    <n v="-0.4021055625172929"/>
    <n v="0.37189108013956462"/>
    <n v="-5.2064751219539039E-2"/>
    <n v="1759.3403569730151"/>
    <n v="165.64640087074139"/>
    <x v="0"/>
  </r>
  <r>
    <x v="2"/>
    <x v="0"/>
    <s v="NW9732"/>
    <x v="4"/>
    <x v="0"/>
    <x v="1"/>
    <x v="14"/>
    <n v="-155000"/>
    <n v="0.5"/>
    <x v="14"/>
    <n v="0.59750000000000003"/>
    <n v="4.8105000000000002"/>
    <x v="14"/>
    <x v="9"/>
    <n v="0.51700000000000002"/>
    <x v="11"/>
    <x v="14"/>
    <x v="1"/>
    <n v="0.31169176935881937"/>
    <n v="62821.346205548718"/>
    <n v="-48312.224250617001"/>
    <n v="-74664.350590397953"/>
    <n v="-11843.004384849235"/>
    <s v="36951NGI-SOCAL"/>
    <n v="-15.5"/>
    <n v="-0.40529900777773364"/>
    <n v="0.4030381517301399"/>
    <n v="-6.2470913518171682E-2"/>
    <n v="1782.14977760237"/>
    <n v="141.1330505044547"/>
    <x v="0"/>
  </r>
  <r>
    <x v="12"/>
    <x v="0"/>
    <s v="NW9733"/>
    <x v="4"/>
    <x v="0"/>
    <x v="1"/>
    <x v="18"/>
    <n v="-1000000"/>
    <n v="0.5"/>
    <x v="18"/>
    <n v="1.5449999999999999"/>
    <n v="6.2809999999999997"/>
    <x v="18"/>
    <x v="13"/>
    <n v="0.57699999999999996"/>
    <x v="11"/>
    <x v="18"/>
    <x v="1"/>
    <n v="2.5258610546011473E-2"/>
    <n v="67708.702699807225"/>
    <n v="-25258.610546011474"/>
    <n v="-86622.144004425922"/>
    <n v="-18913.441304618696"/>
    <s v="36831NGI-SOCAL"/>
    <n v="-100"/>
    <n v="-6.7708702699807222E-2"/>
    <n v="0.16232858187125204"/>
    <n v="-0.16232858187125201"/>
    <n v="3446.9374417973818"/>
    <n v="829.39059330943201"/>
    <x v="0"/>
  </r>
  <r>
    <x v="12"/>
    <x v="0"/>
    <s v="NW9733"/>
    <x v="4"/>
    <x v="0"/>
    <x v="1"/>
    <x v="17"/>
    <n v="-1000000"/>
    <n v="0.5"/>
    <x v="17"/>
    <n v="1.0049999999999999"/>
    <n v="5.8049999999999997"/>
    <x v="17"/>
    <x v="12"/>
    <n v="0.58199999999999996"/>
    <x v="11"/>
    <x v="17"/>
    <x v="1"/>
    <n v="0.14854190133638373"/>
    <n v="250396.73659335182"/>
    <n v="-148541.90133638374"/>
    <n v="-303790.28576071787"/>
    <n v="-53393.549167366058"/>
    <s v="36861NGI-SOCAL"/>
    <n v="-100"/>
    <n v="-0.25039673659335182"/>
    <n v="0.34648728304015614"/>
    <n v="-0.34648728304015614"/>
    <n v="9421.5311801342996"/>
    <n v="1519.1307108663509"/>
    <x v="0"/>
  </r>
  <r>
    <x v="12"/>
    <x v="0"/>
    <s v="NW9733"/>
    <x v="4"/>
    <x v="0"/>
    <x v="1"/>
    <x v="16"/>
    <n v="-1000000"/>
    <n v="0.5"/>
    <x v="16"/>
    <n v="0.76749999999999996"/>
    <n v="5.5114999999999998"/>
    <x v="16"/>
    <x v="11"/>
    <n v="0.58699999999999997"/>
    <x v="11"/>
    <x v="16"/>
    <x v="1"/>
    <n v="0.26260999778603433"/>
    <n v="349124.89436658809"/>
    <n v="-262609.99778603431"/>
    <n v="-418890.80253513466"/>
    <n v="-69765.908168546564"/>
    <s v="36892NGI-SOCAL"/>
    <n v="-100"/>
    <n v="-0.34912489436658811"/>
    <n v="0.36541411919286215"/>
    <n v="-0.3654141191928621"/>
    <n v="11920.385693765335"/>
    <n v="1445.9959323935154"/>
    <x v="0"/>
  </r>
  <r>
    <x v="12"/>
    <x v="0"/>
    <s v="NW9733"/>
    <x v="4"/>
    <x v="0"/>
    <x v="1"/>
    <x v="15"/>
    <n v="-1000000"/>
    <n v="0.5"/>
    <x v="15"/>
    <n v="0.61750000000000005"/>
    <n v="5.0975000000000001"/>
    <x v="15"/>
    <x v="10"/>
    <n v="0.57499999999999996"/>
    <x v="11"/>
    <x v="15"/>
    <x v="1"/>
    <n v="0.33472877139366974"/>
    <n v="402105.56251729291"/>
    <n v="-334728.77139366977"/>
    <n v="-480819.07285931753"/>
    <n v="-78713.510342024616"/>
    <s v="36923NGI-SOCAL"/>
    <n v="-100"/>
    <n v="-0.4021055625172929"/>
    <n v="0.37189108013956462"/>
    <n v="-0.37189108013956462"/>
    <n v="12566.716835521536"/>
    <n v="1183.1885776481529"/>
    <x v="0"/>
  </r>
  <r>
    <x v="12"/>
    <x v="0"/>
    <s v="NW9733"/>
    <x v="4"/>
    <x v="0"/>
    <x v="1"/>
    <x v="14"/>
    <n v="-1000000"/>
    <n v="0.5"/>
    <x v="14"/>
    <n v="0.59750000000000003"/>
    <n v="4.8105000000000002"/>
    <x v="14"/>
    <x v="9"/>
    <n v="0.51700000000000002"/>
    <x v="11"/>
    <x v="14"/>
    <x v="1"/>
    <n v="0.31169176935881937"/>
    <n v="405299.00777773367"/>
    <n v="-311691.76935881935"/>
    <n v="-481705.48767998675"/>
    <n v="-76406.479902253079"/>
    <s v="36951NGI-SOCAL"/>
    <n v="-100"/>
    <n v="-0.40529900777773364"/>
    <n v="0.4030381517301399"/>
    <n v="-0.40303815173013996"/>
    <n v="11497.740500660453"/>
    <n v="910.53580970615928"/>
    <x v="0"/>
  </r>
  <r>
    <x v="25"/>
    <x v="0"/>
    <s v="NW9477.2"/>
    <x v="10"/>
    <x v="0"/>
    <x v="0"/>
    <x v="18"/>
    <n v="2500000"/>
    <n v="0.15"/>
    <x v="18"/>
    <n v="-0.17499999999999999"/>
    <n v="4.5609999999999999"/>
    <x v="18"/>
    <x v="13"/>
    <n v="0.60699999999999998"/>
    <x v="9"/>
    <x v="18"/>
    <x v="0"/>
    <n v="5.757959428949555E-2"/>
    <n v="601516.55662125768"/>
    <n v="143948.98572373888"/>
    <n v="-531760.08566191047"/>
    <n v="69756.470959347207"/>
    <s v="36831IF-NTHWST/CANBR"/>
    <n v="250"/>
    <n v="0.24060662264850308"/>
    <n v="0.73151043499860746"/>
    <n v="1.8287760874965187"/>
    <n v="-22964.70953322346"/>
    <n v="-2575.8595562664609"/>
    <x v="0"/>
  </r>
  <r>
    <x v="25"/>
    <x v="0"/>
    <s v="NW9477.2"/>
    <x v="10"/>
    <x v="0"/>
    <x v="0"/>
    <x v="17"/>
    <n v="2500000"/>
    <n v="0.15"/>
    <x v="17"/>
    <n v="0.53"/>
    <n v="5.33"/>
    <x v="17"/>
    <x v="12"/>
    <n v="0.61199999999999999"/>
    <x v="9"/>
    <x v="17"/>
    <x v="0"/>
    <n v="0.46247722545934383"/>
    <n v="1868052.8094247542"/>
    <n v="1156193.0636483596"/>
    <n v="-1777483.2572239293"/>
    <n v="90569.552200824954"/>
    <s v="36861IF-NTHWST/CANBR"/>
    <n v="250"/>
    <n v="0.74722112376990169"/>
    <n v="0.50371148740072602"/>
    <n v="1.2592787185018153"/>
    <n v="-32443.868690232299"/>
    <n v="-2272.8916868400283"/>
    <x v="0"/>
  </r>
  <r>
    <x v="25"/>
    <x v="0"/>
    <s v="NW9477.2"/>
    <x v="10"/>
    <x v="0"/>
    <x v="0"/>
    <x v="16"/>
    <n v="2500000"/>
    <n v="0.15"/>
    <x v="16"/>
    <n v="0.53"/>
    <n v="5.274"/>
    <x v="16"/>
    <x v="11"/>
    <n v="0.61699999999999999"/>
    <x v="9"/>
    <x v="16"/>
    <x v="0"/>
    <n v="0.48681395295079449"/>
    <n v="1801769.2534961517"/>
    <n v="1217034.8823769863"/>
    <n v="-1692517.2355965348"/>
    <n v="109252.01789961685"/>
    <s v="36892IF-NTHWST/CANBR"/>
    <n v="250"/>
    <n v="0.72070770139846063"/>
    <n v="0.46021158464975581"/>
    <n v="1.1505289616243894"/>
    <n v="-38688.886413184518"/>
    <n v="-2035.6838005724262"/>
    <x v="0"/>
  </r>
  <r>
    <x v="25"/>
    <x v="0"/>
    <s v="NW9477.2"/>
    <x v="10"/>
    <x v="0"/>
    <x v="0"/>
    <x v="15"/>
    <n v="2500000"/>
    <n v="0.15"/>
    <x v="15"/>
    <n v="0.34499999999999997"/>
    <n v="4.8250000000000002"/>
    <x v="15"/>
    <x v="10"/>
    <n v="0.60399999999999998"/>
    <x v="9"/>
    <x v="15"/>
    <x v="0"/>
    <n v="0.37048927885901034"/>
    <n v="1552974.071306678"/>
    <n v="926223.19714752585"/>
    <n v="-1417784.2160301635"/>
    <n v="135189.85527651454"/>
    <s v="36923IF-NTHWST/CANBR"/>
    <n v="250"/>
    <n v="0.62118962852267123"/>
    <n v="0.5201129425558102"/>
    <n v="1.3002823563895256"/>
    <n v="-44488.001279090531"/>
    <n v="-1877.4999150876215"/>
    <x v="0"/>
  </r>
  <r>
    <x v="25"/>
    <x v="0"/>
    <s v="NW9477.2"/>
    <x v="10"/>
    <x v="0"/>
    <x v="0"/>
    <x v="14"/>
    <n v="2500000"/>
    <n v="0.15"/>
    <x v="14"/>
    <n v="-0.03"/>
    <n v="4.1829999999999998"/>
    <x v="14"/>
    <x v="9"/>
    <n v="0.54300000000000004"/>
    <x v="9"/>
    <x v="14"/>
    <x v="0"/>
    <n v="0.15605456185896566"/>
    <n v="990682.34559233661"/>
    <n v="390136.40464741417"/>
    <n v="-859928.56400274322"/>
    <n v="130753.78158959339"/>
    <s v="36951IF-NTHWST/CANBR"/>
    <n v="250"/>
    <n v="0.39627293823693466"/>
    <n v="0.63475492802077937"/>
    <n v="1.5868873200519484"/>
    <n v="-38834.592964001706"/>
    <n v="-1446.43926072401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BH6:BL22" firstHeaderRow="1" firstDataRow="2" firstDataCol="2"/>
  <pivotFields count="8">
    <pivotField axis="axisRow" compact="0" outline="0" subtotalTop="0" showAll="0" includeNewItemsInFilter="1">
      <items count="3">
        <item x="0"/>
        <item x="1"/>
        <item t="default"/>
      </items>
    </pivotField>
    <pivotField axis="axisCol" compact="0" outline="0" subtotalTop="0" showAll="0" includeNewItemsInFilter="1">
      <items count="3">
        <item x="0"/>
        <item x="1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2">
    <field x="0"/>
    <field x="-2"/>
  </rowFields>
  <rowItems count="15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rowItems>
  <colFields count="1">
    <field x="1"/>
  </colFields>
  <colItems count="3">
    <i>
      <x/>
    </i>
    <i>
      <x v="1"/>
    </i>
    <i t="grand">
      <x/>
    </i>
  </colItems>
  <dataFields count="5">
    <dataField name="Sum of Gamma" fld="2" baseField="0" baseItem="0" numFmtId="6"/>
    <dataField name="Sum of Rho" fld="3" baseField="0" baseItem="0" numFmtId="6"/>
    <dataField name="Sum of Drift" fld="4" baseField="0" baseItem="0" numFmtId="6"/>
    <dataField name="Sum of Vega" fld="5" baseField="0" baseItem="0" numFmtId="6"/>
    <dataField name="Sum of Theta" fld="6" baseField="0" baseItem="0" numFmtId="6"/>
  </dataFields>
  <formats count="2">
    <format dxfId="1">
      <pivotArea field="0" grandRow="1" outline="0" axis="axisRow" fieldPosition="0">
        <references count="1">
          <reference field="0" count="0" selected="0"/>
        </references>
      </pivotArea>
    </format>
    <format dxfId="0">
      <pivotArea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4:P20" firstHeaderRow="1" firstDataRow="2" firstDataCol="1" rowPageCount="2" colPageCount="1"/>
  <pivotFields count="25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">
        <item x="2"/>
        <item x="1"/>
        <item x="0"/>
        <item h="1" x="11"/>
        <item x="3"/>
        <item x="4"/>
        <item x="5"/>
        <item x="6"/>
        <item x="7"/>
        <item x="8"/>
        <item m="1" x="12"/>
        <item x="9"/>
        <item x="10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4">
        <item x="0"/>
        <item x="1"/>
        <item x="2"/>
        <item t="default"/>
      </items>
    </pivotField>
    <pivotField axis="axisCol" compact="0" outline="0" subtotalTop="0" showAll="0" includeNewItemsInFilter="1">
      <items count="30">
        <item m="1" x="25"/>
        <item m="1" x="26"/>
        <item m="1" x="27"/>
        <item m="1" x="28"/>
        <item x="13"/>
        <item x="12"/>
        <item x="18"/>
        <item x="17"/>
        <item x="16"/>
        <item x="15"/>
        <item x="14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x="23"/>
        <item x="22"/>
        <item x="21"/>
        <item x="20"/>
        <item x="19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 rankBy="0">
      <items count="71">
        <item x="57"/>
        <item x="55"/>
        <item x="59"/>
        <item x="54"/>
        <item x="66"/>
        <item x="2"/>
        <item x="61"/>
        <item x="9"/>
        <item x="11"/>
        <item x="20"/>
        <item x="10"/>
        <item x="65"/>
        <item x="50"/>
        <item x="45"/>
        <item m="1" x="69"/>
        <item x="19"/>
        <item x="23"/>
        <item x="21"/>
        <item x="67"/>
        <item x="56"/>
        <item x="30"/>
        <item x="4"/>
        <item x="27"/>
        <item x="46"/>
        <item x="3"/>
        <item x="15"/>
        <item x="62"/>
        <item x="1"/>
        <item x="26"/>
        <item x="14"/>
        <item x="5"/>
        <item x="22"/>
        <item x="25"/>
        <item x="42"/>
        <item x="37"/>
        <item x="60"/>
        <item x="7"/>
        <item x="34"/>
        <item x="43"/>
        <item x="64"/>
        <item x="41"/>
        <item x="17"/>
        <item x="12"/>
        <item x="47"/>
        <item x="49"/>
        <item x="63"/>
        <item x="0"/>
        <item x="6"/>
        <item x="13"/>
        <item x="8"/>
        <item x="48"/>
        <item x="40"/>
        <item x="18"/>
        <item x="58"/>
        <item x="36"/>
        <item x="51"/>
        <item x="35"/>
        <item x="28"/>
        <item x="38"/>
        <item x="32"/>
        <item x="24"/>
        <item x="29"/>
        <item x="16"/>
        <item x="44"/>
        <item x="33"/>
        <item x="31"/>
        <item x="52"/>
        <item x="53"/>
        <item x="39"/>
        <item x="6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8"/>
  </rowFields>
  <rowItems count="15">
    <i>
      <x v="16"/>
    </i>
    <i>
      <x v="17"/>
    </i>
    <i>
      <x v="23"/>
    </i>
    <i>
      <x v="27"/>
    </i>
    <i>
      <x v="34"/>
    </i>
    <i>
      <x v="37"/>
    </i>
    <i>
      <x v="39"/>
    </i>
    <i>
      <x v="41"/>
    </i>
    <i>
      <x v="42"/>
    </i>
    <i>
      <x v="43"/>
    </i>
    <i>
      <x v="44"/>
    </i>
    <i>
      <x v="45"/>
    </i>
    <i>
      <x v="47"/>
    </i>
    <i>
      <x v="54"/>
    </i>
    <i t="grand">
      <x/>
    </i>
  </rowItems>
  <colFields count="1">
    <field x="6"/>
  </colFields>
  <colItems count="15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pageFields count="2">
    <pageField fld="5" item="0" hier="0"/>
    <pageField fld="3" item="5" hier="0"/>
  </pageFields>
  <dataFields count="1">
    <dataField name="Sum of Contracts" fld="24" baseField="0" baseItem="0" numFmtId="22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M27" firstHeaderRow="1" firstDataRow="2" firstDataCol="1"/>
  <pivotFields count="3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2">
        <item x="2"/>
        <item x="9"/>
        <item x="3"/>
        <item x="10"/>
        <item x="1"/>
        <item x="7"/>
        <item x="5"/>
        <item x="0"/>
        <item x="8"/>
        <item x="6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numFmtId="15" outline="0" subtotalTop="0" showAll="0" includeNewItemsInFilter="1">
      <items count="25">
        <item x="13"/>
        <item x="12"/>
        <item x="18"/>
        <item x="17"/>
        <item x="16"/>
        <item x="15"/>
        <item x="14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3"/>
        <item x="22"/>
        <item x="21"/>
        <item x="20"/>
        <item x="19"/>
        <item t="default"/>
      </items>
    </pivotField>
    <pivotField compact="0" numFmtId="43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numFmtId="2" outline="0" subtotalTop="0" showAll="0" includeNewItemsInFilter="1"/>
    <pivotField compact="0" numFmtId="165" outline="0" subtotalTop="0" showAll="0" includeNewItemsInFilter="1"/>
    <pivotField compact="0" numFmtId="217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9" outline="0" subtotalTop="0" showAll="0" includeNewItemsInFilter="1"/>
    <pivotField compact="0" numFmtId="15" outline="0" subtotalTop="0" showAll="0" includeNewItemsInFilter="1"/>
    <pivotField compact="0" outline="0" subtotalTop="0" showAll="0" includeNewItemsInFilter="1"/>
    <pivotField compact="0" numFmtId="213" outline="0" subtotalTop="0" showAll="0" includeNewItemsInFilter="1"/>
    <pivotField compact="0" numFmtId="171" outline="0" subtotalTop="0" showAll="0" includeNewItemsInFilter="1"/>
    <pivotField compact="0" numFmtId="44" outline="0" subtotalTop="0" showAll="0" includeNewItemsInFilter="1"/>
    <pivotField compact="0" numFmtId="171" outline="0" subtotalTop="0" showAll="0" includeNewItemsInFilter="1"/>
    <pivotField compact="0" numFmtId="171" outline="0" subtotalTop="0" showAll="0" includeNewItemsInFilter="1"/>
    <pivotField compact="0" outline="0" subtotalTop="0" showAll="0" includeNewItemsInFilter="1"/>
    <pivotField compact="0" numFmtId="43" outline="0" subtotalTop="0" showAll="0" includeNewItemsInFilter="1"/>
    <pivotField compact="0" numFmtId="40" outline="0" subtotalTop="0" showAll="0" includeNewItemsInFilter="1"/>
    <pivotField compact="0" numFmtId="40" outline="0" subtotalTop="0" showAll="0" includeNewItemsInFilter="1"/>
    <pivotField compact="0" numFmtId="40" outline="0" subtotalTop="0" showAll="0" includeNewItemsInFilter="1"/>
    <pivotField compact="0" numFmtId="40" outline="0" subtotalTop="0" showAll="0" includeNewItemsInFilter="1"/>
    <pivotField compact="0" numFmtId="40" outline="0" subtotalTop="0" showAll="0" includeNewItemsInFilter="1"/>
    <pivotField dataField="1" compact="0" outline="0" subtotalTop="0" showAll="0" includeNewItemsInFilter="1"/>
  </pivotFields>
  <rowFields count="1">
    <field x="6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 of Curve Shift/Gamma" fld="30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3" Type="http://schemas.openxmlformats.org/officeDocument/2006/relationships/vmlDrawing" Target="../drawings/vmlDrawing6.vml"/><Relationship Id="rId7" Type="http://schemas.openxmlformats.org/officeDocument/2006/relationships/image" Target="../media/image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5.xml"/><Relationship Id="rId5" Type="http://schemas.openxmlformats.org/officeDocument/2006/relationships/image" Target="../media/image4.emf"/><Relationship Id="rId4" Type="http://schemas.openxmlformats.org/officeDocument/2006/relationships/control" Target="../activeX/activeX4.xml"/><Relationship Id="rId9" Type="http://schemas.openxmlformats.org/officeDocument/2006/relationships/image" Target="../media/image6.emf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V996"/>
  <sheetViews>
    <sheetView showGridLines="0" topLeftCell="J1" workbookViewId="0">
      <selection activeCell="P2" sqref="P2"/>
    </sheetView>
  </sheetViews>
  <sheetFormatPr defaultRowHeight="13.2" x14ac:dyDescent="0.25"/>
  <cols>
    <col min="1" max="1" width="19" customWidth="1"/>
    <col min="2" max="2" width="15.33203125" customWidth="1"/>
    <col min="3" max="3" width="19.5546875" customWidth="1"/>
    <col min="4" max="4" width="18.44140625" bestFit="1" customWidth="1"/>
    <col min="5" max="6" width="18.44140625" customWidth="1"/>
    <col min="7" max="7" width="22.6640625" bestFit="1" customWidth="1"/>
    <col min="8" max="9" width="19" bestFit="1" customWidth="1"/>
    <col min="10" max="10" width="12.5546875" bestFit="1" customWidth="1"/>
    <col min="11" max="11" width="24" customWidth="1"/>
    <col min="12" max="12" width="15.88671875" customWidth="1"/>
    <col min="13" max="13" width="20.109375" bestFit="1" customWidth="1"/>
    <col min="14" max="14" width="21" customWidth="1"/>
    <col min="16" max="16" width="11.33203125" bestFit="1" customWidth="1"/>
    <col min="19" max="19" width="12" customWidth="1"/>
  </cols>
  <sheetData>
    <row r="1" spans="1:48" ht="20.399999999999999" x14ac:dyDescent="0.35">
      <c r="A1" s="90" t="s">
        <v>66</v>
      </c>
      <c r="B1" s="51"/>
      <c r="C1" s="51"/>
      <c r="D1" s="51"/>
      <c r="E1" s="51"/>
      <c r="F1" s="51"/>
      <c r="G1" s="51"/>
      <c r="H1" s="51"/>
      <c r="I1" s="51"/>
      <c r="J1" s="51"/>
      <c r="K1" s="251" t="s">
        <v>70</v>
      </c>
      <c r="L1" s="252"/>
      <c r="M1" s="252"/>
      <c r="N1" s="253"/>
      <c r="O1" s="51"/>
      <c r="P1" s="365">
        <v>36767</v>
      </c>
      <c r="Q1" s="4"/>
      <c r="R1" s="4"/>
      <c r="S1" s="4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</row>
    <row r="2" spans="1:48" ht="18" thickBot="1" x14ac:dyDescent="0.35">
      <c r="A2" s="51"/>
      <c r="B2" s="4"/>
      <c r="C2" s="4"/>
      <c r="D2" s="416"/>
      <c r="E2" s="417"/>
      <c r="F2" s="416"/>
      <c r="G2" s="416"/>
      <c r="I2" s="51"/>
      <c r="J2" s="51"/>
      <c r="K2" s="254" t="s">
        <v>67</v>
      </c>
      <c r="L2" s="356" t="s">
        <v>149</v>
      </c>
      <c r="M2" s="356" t="s">
        <v>150</v>
      </c>
      <c r="N2" s="357" t="s">
        <v>151</v>
      </c>
      <c r="O2" s="51"/>
      <c r="P2" s="4"/>
      <c r="Q2" s="4"/>
      <c r="R2" s="4"/>
      <c r="S2" s="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 spans="1:48" ht="18.600000000000001" thickBot="1" x14ac:dyDescent="0.4">
      <c r="A3" s="94" t="s">
        <v>70</v>
      </c>
      <c r="B3" s="4"/>
      <c r="C3" s="4"/>
      <c r="D3" s="4"/>
      <c r="E3" s="4"/>
      <c r="F3" s="4"/>
      <c r="G3" s="51"/>
      <c r="H3" s="51"/>
      <c r="I3" s="51"/>
      <c r="J3" s="51"/>
      <c r="K3" s="251" t="s">
        <v>68</v>
      </c>
      <c r="L3" s="358">
        <f>M3-N3</f>
        <v>17577.66301769577</v>
      </c>
      <c r="M3" s="483">
        <f>C5</f>
        <v>6309362.0144322943</v>
      </c>
      <c r="N3" s="482">
        <v>6291784.3514145985</v>
      </c>
      <c r="O3" s="51"/>
      <c r="P3" s="140"/>
      <c r="Q3" s="140"/>
      <c r="R3" s="290"/>
      <c r="S3" s="4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</row>
    <row r="4" spans="1:48" ht="18" x14ac:dyDescent="0.35">
      <c r="A4" s="107" t="s">
        <v>67</v>
      </c>
      <c r="B4" s="93" t="s">
        <v>42</v>
      </c>
      <c r="C4" s="91" t="s">
        <v>24</v>
      </c>
      <c r="D4" s="51"/>
      <c r="E4" s="51"/>
      <c r="F4" s="51"/>
      <c r="G4" s="132" t="s">
        <v>24</v>
      </c>
      <c r="H4" s="133">
        <f>+C9</f>
        <v>6584362.0144322943</v>
      </c>
      <c r="I4" s="51"/>
      <c r="J4" s="51"/>
      <c r="K4" s="355" t="s">
        <v>69</v>
      </c>
      <c r="L4" s="359">
        <f>M4-N4</f>
        <v>0</v>
      </c>
      <c r="M4" s="255">
        <f>C7</f>
        <v>0</v>
      </c>
      <c r="N4" s="256">
        <v>0</v>
      </c>
      <c r="O4" s="51"/>
      <c r="P4" s="290"/>
      <c r="Q4" s="290"/>
      <c r="R4" s="140"/>
      <c r="S4" s="140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</row>
    <row r="5" spans="1:48" ht="18" x14ac:dyDescent="0.35">
      <c r="A5" s="92" t="s">
        <v>68</v>
      </c>
      <c r="B5" s="100">
        <f>'Basis Options'!T3</f>
        <v>-8277762.9634644082</v>
      </c>
      <c r="C5" s="101">
        <f>'Basis Options'!U3</f>
        <v>6309362.0144322943</v>
      </c>
      <c r="D5" s="51"/>
      <c r="E5" s="51"/>
      <c r="F5" s="51"/>
      <c r="G5" s="134" t="s">
        <v>90</v>
      </c>
      <c r="H5" s="135">
        <v>0</v>
      </c>
      <c r="I5" s="51"/>
      <c r="J5" s="51"/>
      <c r="K5" s="355" t="s">
        <v>102</v>
      </c>
      <c r="L5" s="359">
        <f>M5-N5</f>
        <v>0</v>
      </c>
      <c r="M5" s="255">
        <f>C8</f>
        <v>0</v>
      </c>
      <c r="N5" s="256">
        <v>0</v>
      </c>
      <c r="O5" s="51"/>
      <c r="P5" s="290"/>
      <c r="Q5" s="290"/>
      <c r="R5" s="290"/>
      <c r="S5" s="325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</row>
    <row r="6" spans="1:48" ht="18.600000000000001" thickBot="1" x14ac:dyDescent="0.4">
      <c r="A6" s="92" t="s">
        <v>408</v>
      </c>
      <c r="B6" s="108">
        <f>'GD Spread Options'!T3</f>
        <v>-240754.15829573129</v>
      </c>
      <c r="C6" s="109">
        <f>'GD Spread Options'!U3</f>
        <v>275000</v>
      </c>
      <c r="D6" s="51"/>
      <c r="E6" s="51"/>
      <c r="F6" s="51"/>
      <c r="G6" s="136" t="s">
        <v>91</v>
      </c>
      <c r="H6" s="137">
        <f>+H3-H4</f>
        <v>-6584362.0144322943</v>
      </c>
      <c r="I6" s="51"/>
      <c r="J6" s="51"/>
      <c r="K6" s="355" t="s">
        <v>408</v>
      </c>
      <c r="L6" s="359">
        <f>M6-N6</f>
        <v>0</v>
      </c>
      <c r="M6" s="459">
        <f>C6</f>
        <v>275000</v>
      </c>
      <c r="N6" s="256">
        <v>275000</v>
      </c>
      <c r="O6" s="51"/>
      <c r="P6" s="290"/>
      <c r="Q6" s="290"/>
      <c r="R6" s="290"/>
      <c r="S6" s="325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</row>
    <row r="7" spans="1:48" ht="18.600000000000001" thickBot="1" x14ac:dyDescent="0.4">
      <c r="A7" s="92" t="s">
        <v>69</v>
      </c>
      <c r="B7" s="108"/>
      <c r="C7" s="109"/>
      <c r="D7" s="51"/>
      <c r="E7" s="51"/>
      <c r="F7" s="51"/>
      <c r="G7" s="136"/>
      <c r="H7" s="137"/>
      <c r="I7" s="51"/>
      <c r="J7" s="138"/>
      <c r="K7" s="355" t="s">
        <v>245</v>
      </c>
      <c r="L7" s="360">
        <f>M7-N7</f>
        <v>0</v>
      </c>
      <c r="M7" s="361">
        <f>Digital!S3</f>
        <v>0</v>
      </c>
      <c r="N7" s="362">
        <v>0</v>
      </c>
      <c r="O7" s="51"/>
      <c r="P7" s="290"/>
      <c r="Q7" s="290"/>
      <c r="R7" s="290"/>
      <c r="S7" s="160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</row>
    <row r="8" spans="1:48" ht="18.600000000000001" thickBot="1" x14ac:dyDescent="0.4">
      <c r="A8" s="92" t="s">
        <v>102</v>
      </c>
      <c r="B8" s="108"/>
      <c r="C8" s="109"/>
      <c r="D8" s="51"/>
      <c r="E8" s="51"/>
      <c r="F8" s="51"/>
      <c r="G8" s="417"/>
      <c r="H8" s="458"/>
      <c r="I8" s="51"/>
      <c r="J8" s="138"/>
      <c r="K8" s="433" t="s">
        <v>72</v>
      </c>
      <c r="L8" s="360">
        <f>SUM(L3:L7)</f>
        <v>17577.66301769577</v>
      </c>
      <c r="M8" s="361">
        <f>SUM(M3:M7)</f>
        <v>6584362.0144322943</v>
      </c>
      <c r="N8" s="362">
        <f>SUM(N3:N7)</f>
        <v>6566784.3514145985</v>
      </c>
      <c r="O8" s="51"/>
      <c r="P8" s="290"/>
      <c r="Q8" s="290"/>
      <c r="R8" s="290"/>
      <c r="S8" s="326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</row>
    <row r="9" spans="1:48" ht="13.8" thickBot="1" x14ac:dyDescent="0.3">
      <c r="A9" s="110" t="s">
        <v>72</v>
      </c>
      <c r="B9" s="111">
        <f>SUM(B5:B8)</f>
        <v>-8518517.1217601392</v>
      </c>
      <c r="C9" s="112">
        <f>SUM(C5:C8)</f>
        <v>6584362.0144322943</v>
      </c>
      <c r="D9" s="51"/>
      <c r="G9" s="51"/>
      <c r="H9" s="51"/>
      <c r="I9" s="51"/>
      <c r="J9" s="138"/>
      <c r="O9" s="51"/>
      <c r="P9" s="4"/>
      <c r="Q9" s="4"/>
      <c r="R9" s="4"/>
      <c r="S9" s="4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</row>
    <row r="10" spans="1:48" x14ac:dyDescent="0.25">
      <c r="A10" s="51"/>
      <c r="B10" s="51"/>
      <c r="C10" s="51"/>
      <c r="D10" s="51"/>
      <c r="E10" s="51"/>
      <c r="F10" s="51"/>
      <c r="G10" s="51"/>
      <c r="H10" s="51"/>
      <c r="I10" s="51"/>
      <c r="J10" s="51"/>
      <c r="O10" s="51"/>
      <c r="P10" s="4"/>
      <c r="Q10" s="4"/>
      <c r="R10" s="4"/>
      <c r="S10" s="4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</row>
    <row r="11" spans="1:48" ht="13.8" thickBot="1" x14ac:dyDescent="0.3">
      <c r="A11" s="6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</row>
    <row r="12" spans="1:48" ht="93" thickBot="1" x14ac:dyDescent="0.3">
      <c r="A12" s="94" t="s">
        <v>71</v>
      </c>
      <c r="B12" s="51"/>
      <c r="C12" s="51"/>
      <c r="D12" s="51"/>
      <c r="E12" s="289" t="s">
        <v>179</v>
      </c>
      <c r="F12" s="289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</row>
    <row r="13" spans="1:48" ht="13.8" x14ac:dyDescent="0.25">
      <c r="A13" s="107" t="s">
        <v>3</v>
      </c>
      <c r="B13" s="93" t="s">
        <v>68</v>
      </c>
      <c r="C13" s="93" t="s">
        <v>102</v>
      </c>
      <c r="D13" s="93" t="s">
        <v>69</v>
      </c>
      <c r="E13" s="195" t="s">
        <v>408</v>
      </c>
      <c r="F13" s="195" t="s">
        <v>245</v>
      </c>
      <c r="G13" s="95" t="s">
        <v>72</v>
      </c>
      <c r="H13" s="95" t="s">
        <v>88</v>
      </c>
      <c r="I13" s="95" t="s">
        <v>89</v>
      </c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</row>
    <row r="14" spans="1:48" ht="13.8" x14ac:dyDescent="0.25">
      <c r="A14" s="104">
        <v>36526</v>
      </c>
      <c r="B14" s="96" t="e">
        <f>VLOOKUP(A14,BasOptPos,2,FALSE)</f>
        <v>#N/A</v>
      </c>
      <c r="C14" s="96">
        <f t="shared" ref="C14:C60" si="0">VLOOKUP(A14,BsktOptPos,2,FALSE)</f>
        <v>0</v>
      </c>
      <c r="D14" s="96">
        <f>VLOOKUP(A14,ExtColPos,2,FALSE)</f>
        <v>0</v>
      </c>
      <c r="E14" s="96">
        <f>VLOOKUP(A14,gdspreadoptpos,2,FALSE)</f>
        <v>0</v>
      </c>
      <c r="F14" s="329"/>
      <c r="G14" s="131" t="e">
        <f t="shared" ref="G14:G20" si="1">SUM(B14:D14)</f>
        <v>#N/A</v>
      </c>
      <c r="H14" s="97" t="e">
        <f t="shared" ref="H14:H22" si="2">VLOOKUP(A14,NymEq,2,FALSE)</f>
        <v>#N/A</v>
      </c>
      <c r="I14" s="131" t="e">
        <f t="shared" ref="I14:I60" si="3">+H14+D14+C14+F14</f>
        <v>#N/A</v>
      </c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</row>
    <row r="15" spans="1:48" x14ac:dyDescent="0.25">
      <c r="A15" s="105">
        <f t="shared" ref="A15:A60" si="4">EOMONTH(A14,0)+1</f>
        <v>36557</v>
      </c>
      <c r="B15" s="96" t="e">
        <f>VLOOKUP(A15,BasOptPos,2,FALSE)</f>
        <v>#N/A</v>
      </c>
      <c r="C15" s="96">
        <f t="shared" si="0"/>
        <v>0</v>
      </c>
      <c r="D15" s="96">
        <f t="shared" ref="D15:D60" si="5">VLOOKUP(A15,ExtColPos,2,FALSE)</f>
        <v>0</v>
      </c>
      <c r="E15" s="96">
        <f t="shared" ref="E15:E60" si="6">VLOOKUP(A15,gdspreadoptpos,2,FALSE)</f>
        <v>0</v>
      </c>
      <c r="F15" s="96">
        <v>0</v>
      </c>
      <c r="G15" s="131" t="e">
        <f t="shared" si="1"/>
        <v>#N/A</v>
      </c>
      <c r="H15" s="97" t="e">
        <f t="shared" si="2"/>
        <v>#N/A</v>
      </c>
      <c r="I15" s="131" t="e">
        <f t="shared" si="3"/>
        <v>#N/A</v>
      </c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</row>
    <row r="16" spans="1:48" x14ac:dyDescent="0.25">
      <c r="A16" s="105">
        <f t="shared" si="4"/>
        <v>36586</v>
      </c>
      <c r="B16" s="96" t="e">
        <f t="shared" ref="B16:B60" si="7">VLOOKUP(A16,BasOptPos,2,FALSE)</f>
        <v>#N/A</v>
      </c>
      <c r="C16" s="96">
        <f t="shared" si="0"/>
        <v>0</v>
      </c>
      <c r="D16" s="96">
        <f t="shared" si="5"/>
        <v>0</v>
      </c>
      <c r="E16" s="96">
        <f t="shared" si="6"/>
        <v>0</v>
      </c>
      <c r="F16" s="96">
        <v>0</v>
      </c>
      <c r="G16" s="131" t="e">
        <f t="shared" si="1"/>
        <v>#N/A</v>
      </c>
      <c r="H16" s="97" t="e">
        <f t="shared" si="2"/>
        <v>#N/A</v>
      </c>
      <c r="I16" s="131" t="e">
        <f t="shared" si="3"/>
        <v>#N/A</v>
      </c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</row>
    <row r="17" spans="1:48" x14ac:dyDescent="0.25">
      <c r="A17" s="105">
        <f t="shared" si="4"/>
        <v>36617</v>
      </c>
      <c r="B17" s="96" t="e">
        <f t="shared" si="7"/>
        <v>#N/A</v>
      </c>
      <c r="C17" s="96">
        <f t="shared" si="0"/>
        <v>0</v>
      </c>
      <c r="D17" s="96">
        <f t="shared" si="5"/>
        <v>0</v>
      </c>
      <c r="E17" s="96">
        <f t="shared" si="6"/>
        <v>0</v>
      </c>
      <c r="F17" s="96">
        <v>0</v>
      </c>
      <c r="G17" s="131" t="e">
        <f t="shared" si="1"/>
        <v>#N/A</v>
      </c>
      <c r="H17" s="97" t="e">
        <f t="shared" si="2"/>
        <v>#N/A</v>
      </c>
      <c r="I17" s="131" t="e">
        <f t="shared" si="3"/>
        <v>#N/A</v>
      </c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</row>
    <row r="18" spans="1:48" x14ac:dyDescent="0.25">
      <c r="A18" s="105">
        <f t="shared" si="4"/>
        <v>36647</v>
      </c>
      <c r="B18" s="96" t="e">
        <f t="shared" si="7"/>
        <v>#N/A</v>
      </c>
      <c r="C18" s="96">
        <f t="shared" si="0"/>
        <v>0</v>
      </c>
      <c r="D18" s="96">
        <f t="shared" si="5"/>
        <v>0</v>
      </c>
      <c r="E18" s="96">
        <f t="shared" si="6"/>
        <v>0</v>
      </c>
      <c r="F18" s="96">
        <v>0</v>
      </c>
      <c r="G18" s="131" t="e">
        <f t="shared" si="1"/>
        <v>#N/A</v>
      </c>
      <c r="H18" s="97" t="e">
        <f t="shared" si="2"/>
        <v>#N/A</v>
      </c>
      <c r="I18" s="131" t="e">
        <f t="shared" si="3"/>
        <v>#N/A</v>
      </c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</row>
    <row r="19" spans="1:48" x14ac:dyDescent="0.25">
      <c r="A19" s="105">
        <f t="shared" si="4"/>
        <v>36678</v>
      </c>
      <c r="B19" s="96" t="e">
        <f t="shared" si="7"/>
        <v>#N/A</v>
      </c>
      <c r="C19" s="96" t="e">
        <f t="shared" si="0"/>
        <v>#N/A</v>
      </c>
      <c r="D19" s="96">
        <f t="shared" si="5"/>
        <v>0</v>
      </c>
      <c r="E19" s="96">
        <f t="shared" si="6"/>
        <v>3.7127912860886236</v>
      </c>
      <c r="F19" s="96">
        <v>0</v>
      </c>
      <c r="G19" s="131" t="e">
        <f t="shared" si="1"/>
        <v>#N/A</v>
      </c>
      <c r="H19" s="97" t="e">
        <f t="shared" si="2"/>
        <v>#N/A</v>
      </c>
      <c r="I19" s="131">
        <v>0</v>
      </c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</row>
    <row r="20" spans="1:48" x14ac:dyDescent="0.25">
      <c r="A20" s="105">
        <f t="shared" si="4"/>
        <v>36708</v>
      </c>
      <c r="B20" s="96" t="e">
        <f t="shared" si="7"/>
        <v>#N/A</v>
      </c>
      <c r="C20" s="96">
        <f t="shared" si="0"/>
        <v>0</v>
      </c>
      <c r="D20" s="96">
        <f t="shared" si="5"/>
        <v>0</v>
      </c>
      <c r="E20" s="96">
        <f t="shared" si="6"/>
        <v>0</v>
      </c>
      <c r="F20" s="96">
        <v>0</v>
      </c>
      <c r="G20" s="131" t="e">
        <f t="shared" si="1"/>
        <v>#N/A</v>
      </c>
      <c r="H20" s="97" t="e">
        <f t="shared" si="2"/>
        <v>#N/A</v>
      </c>
      <c r="I20" s="131">
        <v>0</v>
      </c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</row>
    <row r="21" spans="1:48" x14ac:dyDescent="0.25">
      <c r="A21" s="105">
        <f t="shared" si="4"/>
        <v>36739</v>
      </c>
      <c r="B21" s="96">
        <f t="shared" si="7"/>
        <v>0</v>
      </c>
      <c r="C21" s="96">
        <f t="shared" si="0"/>
        <v>0</v>
      </c>
      <c r="D21" s="96">
        <f t="shared" si="5"/>
        <v>0</v>
      </c>
      <c r="E21" s="96">
        <f t="shared" si="6"/>
        <v>0</v>
      </c>
      <c r="F21" s="96">
        <v>0</v>
      </c>
      <c r="G21" s="131">
        <f>SUM(B21:D21)</f>
        <v>0</v>
      </c>
      <c r="H21" s="97">
        <f t="shared" si="2"/>
        <v>0</v>
      </c>
      <c r="I21" s="131">
        <f t="shared" si="3"/>
        <v>0</v>
      </c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</row>
    <row r="22" spans="1:48" x14ac:dyDescent="0.25">
      <c r="A22" s="105">
        <f t="shared" si="4"/>
        <v>36770</v>
      </c>
      <c r="B22" s="96">
        <f t="shared" si="7"/>
        <v>387.47707242708725</v>
      </c>
      <c r="C22" s="96">
        <f t="shared" si="0"/>
        <v>0</v>
      </c>
      <c r="D22" s="96">
        <f t="shared" si="5"/>
        <v>0</v>
      </c>
      <c r="E22" s="96">
        <f t="shared" si="6"/>
        <v>0</v>
      </c>
      <c r="F22" s="96">
        <f>VLOOKUP(A22,Digital!$W$7:$AB$20,6)</f>
        <v>0</v>
      </c>
      <c r="G22" s="131">
        <f>SUM(B22:D22)</f>
        <v>387.47707242708725</v>
      </c>
      <c r="H22" s="97">
        <f t="shared" si="2"/>
        <v>-8627.6207128784317</v>
      </c>
      <c r="I22" s="131">
        <f t="shared" si="3"/>
        <v>-8627.6207128784317</v>
      </c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</row>
    <row r="23" spans="1:48" x14ac:dyDescent="0.25">
      <c r="A23" s="105">
        <f t="shared" si="4"/>
        <v>36800</v>
      </c>
      <c r="B23" s="96">
        <f t="shared" si="7"/>
        <v>350.47830274725368</v>
      </c>
      <c r="C23" s="96">
        <f t="shared" si="0"/>
        <v>0</v>
      </c>
      <c r="D23" s="96">
        <f t="shared" si="5"/>
        <v>0</v>
      </c>
      <c r="E23" s="96">
        <f t="shared" si="6"/>
        <v>0</v>
      </c>
      <c r="F23" s="96">
        <f>VLOOKUP(A23,Digital!$W$7:$AB$20,6)</f>
        <v>0</v>
      </c>
      <c r="G23" s="131">
        <f t="shared" ref="G23:G60" si="8">SUM(B23:E23)</f>
        <v>350.47830274725368</v>
      </c>
      <c r="H23" s="97">
        <f t="shared" ref="H23:H60" si="9">VLOOKUP(A23,NymEq,2,FALSE)</f>
        <v>169073.2182141651</v>
      </c>
      <c r="I23" s="131">
        <f t="shared" si="3"/>
        <v>169073.2182141651</v>
      </c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</row>
    <row r="24" spans="1:48" x14ac:dyDescent="0.25">
      <c r="A24" s="105">
        <f t="shared" si="4"/>
        <v>36831</v>
      </c>
      <c r="B24" s="96">
        <f t="shared" si="7"/>
        <v>-132.33149260205406</v>
      </c>
      <c r="C24" s="96">
        <f t="shared" si="0"/>
        <v>0</v>
      </c>
      <c r="D24" s="96">
        <f t="shared" si="5"/>
        <v>0</v>
      </c>
      <c r="E24" s="96">
        <f t="shared" si="6"/>
        <v>0</v>
      </c>
      <c r="F24" s="96">
        <f>VLOOKUP(A24,Digital!$W$7:$AB$20,6)</f>
        <v>0</v>
      </c>
      <c r="G24" s="131">
        <f t="shared" si="8"/>
        <v>-132.33149260205406</v>
      </c>
      <c r="H24" s="97">
        <f t="shared" si="9"/>
        <v>664245.80033556418</v>
      </c>
      <c r="I24" s="131">
        <f t="shared" si="3"/>
        <v>664245.80033556418</v>
      </c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</row>
    <row r="25" spans="1:48" x14ac:dyDescent="0.25">
      <c r="A25" s="105">
        <f t="shared" si="4"/>
        <v>36861</v>
      </c>
      <c r="B25" s="96">
        <f t="shared" si="7"/>
        <v>-72.02152772483629</v>
      </c>
      <c r="C25" s="96">
        <f t="shared" si="0"/>
        <v>0</v>
      </c>
      <c r="D25" s="96">
        <f t="shared" si="5"/>
        <v>0</v>
      </c>
      <c r="E25" s="96">
        <f t="shared" si="6"/>
        <v>0</v>
      </c>
      <c r="F25" s="96">
        <f>VLOOKUP(A25,Digital!$W$7:$AB$20,6)</f>
        <v>0</v>
      </c>
      <c r="G25" s="131">
        <f t="shared" si="8"/>
        <v>-72.02152772483629</v>
      </c>
      <c r="H25" s="97">
        <f t="shared" si="9"/>
        <v>171739.34112885682</v>
      </c>
      <c r="I25" s="131">
        <f t="shared" si="3"/>
        <v>171739.34112885682</v>
      </c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</row>
    <row r="26" spans="1:48" x14ac:dyDescent="0.25">
      <c r="A26" s="105">
        <f t="shared" si="4"/>
        <v>36892</v>
      </c>
      <c r="B26" s="96">
        <f t="shared" si="7"/>
        <v>-219.58800075426853</v>
      </c>
      <c r="C26" s="96">
        <f t="shared" si="0"/>
        <v>0</v>
      </c>
      <c r="D26" s="96">
        <f t="shared" si="5"/>
        <v>0</v>
      </c>
      <c r="E26" s="96">
        <f t="shared" si="6"/>
        <v>0</v>
      </c>
      <c r="F26" s="96">
        <f>VLOOKUP(A26,Digital!$W$7:$AB$20,6)</f>
        <v>0</v>
      </c>
      <c r="G26" s="131">
        <f t="shared" si="8"/>
        <v>-219.58800075426853</v>
      </c>
      <c r="H26" s="97">
        <f t="shared" si="9"/>
        <v>85919.249322160205</v>
      </c>
      <c r="I26" s="131">
        <f t="shared" si="3"/>
        <v>85919.249322160205</v>
      </c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</row>
    <row r="27" spans="1:48" x14ac:dyDescent="0.25">
      <c r="A27" s="105">
        <f t="shared" si="4"/>
        <v>36923</v>
      </c>
      <c r="B27" s="96">
        <f t="shared" si="7"/>
        <v>-349.2099922128574</v>
      </c>
      <c r="C27" s="96">
        <f t="shared" si="0"/>
        <v>0</v>
      </c>
      <c r="D27" s="96">
        <f t="shared" si="5"/>
        <v>0</v>
      </c>
      <c r="E27" s="96">
        <f t="shared" si="6"/>
        <v>0</v>
      </c>
      <c r="F27" s="96">
        <f>VLOOKUP(A27,Digital!$W$7:$AB$20,6)</f>
        <v>0</v>
      </c>
      <c r="G27" s="131">
        <f t="shared" si="8"/>
        <v>-349.2099922128574</v>
      </c>
      <c r="H27" s="97">
        <f t="shared" si="9"/>
        <v>128248.86744771712</v>
      </c>
      <c r="I27" s="131">
        <f t="shared" si="3"/>
        <v>128248.86744771712</v>
      </c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</row>
    <row r="28" spans="1:48" x14ac:dyDescent="0.25">
      <c r="A28" s="105">
        <f t="shared" si="4"/>
        <v>36951</v>
      </c>
      <c r="B28" s="96">
        <f t="shared" si="7"/>
        <v>-245.07891814104136</v>
      </c>
      <c r="C28" s="96">
        <f t="shared" si="0"/>
        <v>0</v>
      </c>
      <c r="D28" s="96">
        <f t="shared" si="5"/>
        <v>0</v>
      </c>
      <c r="E28" s="96">
        <f t="shared" si="6"/>
        <v>0</v>
      </c>
      <c r="F28" s="96">
        <f>VLOOKUP(A28,Digital!$W$7:$AB$20,6)</f>
        <v>0</v>
      </c>
      <c r="G28" s="131">
        <f t="shared" si="8"/>
        <v>-245.07891814104136</v>
      </c>
      <c r="H28" s="97">
        <f t="shared" si="9"/>
        <v>901844.83623577328</v>
      </c>
      <c r="I28" s="131">
        <f t="shared" si="3"/>
        <v>901844.83623577328</v>
      </c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</row>
    <row r="29" spans="1:48" x14ac:dyDescent="0.25">
      <c r="A29" s="105">
        <f t="shared" si="4"/>
        <v>36982</v>
      </c>
      <c r="B29" s="96">
        <f t="shared" si="7"/>
        <v>-113.80274182524028</v>
      </c>
      <c r="C29" s="96">
        <f t="shared" si="0"/>
        <v>0</v>
      </c>
      <c r="D29" s="96">
        <f t="shared" si="5"/>
        <v>0</v>
      </c>
      <c r="E29" s="96">
        <f t="shared" si="6"/>
        <v>0</v>
      </c>
      <c r="F29" s="96">
        <f>VLOOKUP(A29,Digital!$W$7:$AB$20,6)</f>
        <v>0</v>
      </c>
      <c r="G29" s="131">
        <f t="shared" si="8"/>
        <v>-113.80274182524028</v>
      </c>
      <c r="H29" s="97">
        <f t="shared" si="9"/>
        <v>-75920.631082173742</v>
      </c>
      <c r="I29" s="131">
        <f t="shared" si="3"/>
        <v>-75920.631082173742</v>
      </c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</row>
    <row r="30" spans="1:48" x14ac:dyDescent="0.25">
      <c r="A30" s="105">
        <f t="shared" si="4"/>
        <v>37012</v>
      </c>
      <c r="B30" s="96">
        <f t="shared" si="7"/>
        <v>-43.635364179074841</v>
      </c>
      <c r="C30" s="96">
        <f t="shared" si="0"/>
        <v>0</v>
      </c>
      <c r="D30" s="96">
        <f t="shared" si="5"/>
        <v>0</v>
      </c>
      <c r="E30" s="96">
        <f t="shared" si="6"/>
        <v>0</v>
      </c>
      <c r="F30" s="96">
        <f>VLOOKUP(A30,Digital!$W$7:$AB$20,6)</f>
        <v>0</v>
      </c>
      <c r="G30" s="131">
        <f t="shared" si="8"/>
        <v>-43.635364179074841</v>
      </c>
      <c r="H30" s="97">
        <f t="shared" si="9"/>
        <v>63759.952009895998</v>
      </c>
      <c r="I30" s="131">
        <f t="shared" si="3"/>
        <v>63759.952009895998</v>
      </c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</row>
    <row r="31" spans="1:48" x14ac:dyDescent="0.25">
      <c r="A31" s="105">
        <f t="shared" si="4"/>
        <v>37043</v>
      </c>
      <c r="B31" s="96">
        <f t="shared" si="7"/>
        <v>-50.734501784154276</v>
      </c>
      <c r="C31" s="96">
        <f t="shared" si="0"/>
        <v>0</v>
      </c>
      <c r="D31" s="96">
        <f t="shared" si="5"/>
        <v>0</v>
      </c>
      <c r="E31" s="96">
        <f t="shared" si="6"/>
        <v>0</v>
      </c>
      <c r="F31" s="96">
        <f>VLOOKUP(A31,Digital!$W$7:$AB$20,6)</f>
        <v>0</v>
      </c>
      <c r="G31" s="131">
        <f t="shared" si="8"/>
        <v>-50.734501784154276</v>
      </c>
      <c r="H31" s="97">
        <f t="shared" si="9"/>
        <v>62738.136033272749</v>
      </c>
      <c r="I31" s="131">
        <f t="shared" si="3"/>
        <v>62738.136033272749</v>
      </c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</row>
    <row r="32" spans="1:48" x14ac:dyDescent="0.25">
      <c r="A32" s="105">
        <f t="shared" si="4"/>
        <v>37073</v>
      </c>
      <c r="B32" s="96">
        <f t="shared" si="7"/>
        <v>-60.410250422217018</v>
      </c>
      <c r="C32" s="96">
        <f t="shared" si="0"/>
        <v>0</v>
      </c>
      <c r="D32" s="96">
        <f t="shared" si="5"/>
        <v>0</v>
      </c>
      <c r="E32" s="96">
        <f t="shared" si="6"/>
        <v>0</v>
      </c>
      <c r="F32" s="96">
        <f>VLOOKUP(A32,Digital!$W$7:$AB$20,6)</f>
        <v>0</v>
      </c>
      <c r="G32" s="131">
        <f t="shared" si="8"/>
        <v>-60.410250422217018</v>
      </c>
      <c r="H32" s="97">
        <f t="shared" si="9"/>
        <v>31918.279498971053</v>
      </c>
      <c r="I32" s="131">
        <f t="shared" si="3"/>
        <v>31918.279498971053</v>
      </c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</row>
    <row r="33" spans="1:48" x14ac:dyDescent="0.25">
      <c r="A33" s="105">
        <f t="shared" si="4"/>
        <v>37104</v>
      </c>
      <c r="B33" s="96">
        <f t="shared" si="7"/>
        <v>-65.472070008255088</v>
      </c>
      <c r="C33" s="96">
        <f t="shared" si="0"/>
        <v>0</v>
      </c>
      <c r="D33" s="96">
        <f t="shared" si="5"/>
        <v>0</v>
      </c>
      <c r="E33" s="96">
        <f t="shared" si="6"/>
        <v>0</v>
      </c>
      <c r="F33" s="96">
        <f>VLOOKUP(A33,Digital!$W$7:$AB$20,6)</f>
        <v>0</v>
      </c>
      <c r="G33" s="131">
        <f t="shared" si="8"/>
        <v>-65.472070008255088</v>
      </c>
      <c r="H33" s="97">
        <f t="shared" si="9"/>
        <v>32667.617259341569</v>
      </c>
      <c r="I33" s="131">
        <f t="shared" si="3"/>
        <v>32667.617259341569</v>
      </c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</row>
    <row r="34" spans="1:48" x14ac:dyDescent="0.25">
      <c r="A34" s="105">
        <f t="shared" si="4"/>
        <v>37135</v>
      </c>
      <c r="B34" s="96">
        <f t="shared" si="7"/>
        <v>-89.000890987594886</v>
      </c>
      <c r="C34" s="96">
        <f t="shared" si="0"/>
        <v>0</v>
      </c>
      <c r="D34" s="96">
        <f t="shared" si="5"/>
        <v>0</v>
      </c>
      <c r="E34" s="96">
        <f t="shared" si="6"/>
        <v>0</v>
      </c>
      <c r="F34" s="96">
        <f>VLOOKUP(A34,Digital!$W$7:$AB$20,6)</f>
        <v>0</v>
      </c>
      <c r="G34" s="131">
        <f t="shared" si="8"/>
        <v>-89.000890987594886</v>
      </c>
      <c r="H34" s="97">
        <f t="shared" si="9"/>
        <v>37009.482346041987</v>
      </c>
      <c r="I34" s="131">
        <f t="shared" si="3"/>
        <v>37009.482346041987</v>
      </c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</row>
    <row r="35" spans="1:48" x14ac:dyDescent="0.25">
      <c r="A35" s="105">
        <f t="shared" si="4"/>
        <v>37165</v>
      </c>
      <c r="B35" s="96">
        <f t="shared" si="7"/>
        <v>-40.319158677950405</v>
      </c>
      <c r="C35" s="96">
        <f t="shared" si="0"/>
        <v>0</v>
      </c>
      <c r="D35" s="96">
        <f t="shared" si="5"/>
        <v>0</v>
      </c>
      <c r="E35" s="96">
        <f t="shared" si="6"/>
        <v>0</v>
      </c>
      <c r="F35" s="96">
        <f>VLOOKUP(A35,Digital!$W$7:$AB$20,6)</f>
        <v>0</v>
      </c>
      <c r="G35" s="131">
        <f t="shared" si="8"/>
        <v>-40.319158677950405</v>
      </c>
      <c r="H35" s="97">
        <f t="shared" si="9"/>
        <v>54204.305450343469</v>
      </c>
      <c r="I35" s="131">
        <f t="shared" si="3"/>
        <v>54204.305450343469</v>
      </c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</row>
    <row r="36" spans="1:48" x14ac:dyDescent="0.25">
      <c r="A36" s="105">
        <f t="shared" si="4"/>
        <v>37196</v>
      </c>
      <c r="B36" s="96">
        <f t="shared" si="7"/>
        <v>-15.176694281283673</v>
      </c>
      <c r="C36" s="96">
        <f t="shared" si="0"/>
        <v>0</v>
      </c>
      <c r="D36" s="96">
        <f t="shared" si="5"/>
        <v>0</v>
      </c>
      <c r="E36" s="96">
        <f t="shared" si="6"/>
        <v>0</v>
      </c>
      <c r="F36" s="96">
        <f>VLOOKUP(A36,Digital!$W$7:$AB$20,6)</f>
        <v>0</v>
      </c>
      <c r="G36" s="131">
        <f t="shared" si="8"/>
        <v>-15.176694281283673</v>
      </c>
      <c r="H36" s="97">
        <f t="shared" si="9"/>
        <v>-54900.440800240205</v>
      </c>
      <c r="I36" s="131">
        <f t="shared" si="3"/>
        <v>-54900.440800240205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</row>
    <row r="37" spans="1:48" x14ac:dyDescent="0.25">
      <c r="A37" s="105">
        <f t="shared" si="4"/>
        <v>37226</v>
      </c>
      <c r="B37" s="96">
        <f t="shared" si="7"/>
        <v>-30.187611376121641</v>
      </c>
      <c r="C37" s="96">
        <f t="shared" si="0"/>
        <v>0</v>
      </c>
      <c r="D37" s="96">
        <f t="shared" si="5"/>
        <v>0</v>
      </c>
      <c r="E37" s="96">
        <f t="shared" si="6"/>
        <v>0</v>
      </c>
      <c r="F37" s="96">
        <f>VLOOKUP(A37,Digital!$W$7:$AB$20,6)</f>
        <v>0</v>
      </c>
      <c r="G37" s="131">
        <f t="shared" si="8"/>
        <v>-30.187611376121641</v>
      </c>
      <c r="H37" s="97">
        <f t="shared" si="9"/>
        <v>-44325.5580471867</v>
      </c>
      <c r="I37" s="131">
        <f t="shared" si="3"/>
        <v>-44325.5580471867</v>
      </c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</row>
    <row r="38" spans="1:48" x14ac:dyDescent="0.25">
      <c r="A38" s="105">
        <f t="shared" si="4"/>
        <v>37257</v>
      </c>
      <c r="B38" s="96">
        <f t="shared" si="7"/>
        <v>-35.463029112855331</v>
      </c>
      <c r="C38" s="96">
        <f t="shared" si="0"/>
        <v>0</v>
      </c>
      <c r="D38" s="96">
        <f t="shared" si="5"/>
        <v>0</v>
      </c>
      <c r="E38" s="96">
        <f t="shared" si="6"/>
        <v>0</v>
      </c>
      <c r="F38" s="96">
        <f>VLOOKUP(A38,Digital!$W$7:$AB$20,6)</f>
        <v>0</v>
      </c>
      <c r="G38" s="131">
        <f t="shared" si="8"/>
        <v>-35.463029112855331</v>
      </c>
      <c r="H38" s="97">
        <f t="shared" si="9"/>
        <v>-37005.597425922897</v>
      </c>
      <c r="I38" s="131">
        <f t="shared" si="3"/>
        <v>-37005.597425922897</v>
      </c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</row>
    <row r="39" spans="1:48" x14ac:dyDescent="0.25">
      <c r="A39" s="105">
        <f t="shared" si="4"/>
        <v>37288</v>
      </c>
      <c r="B39" s="96">
        <f t="shared" si="7"/>
        <v>-36.1227753389974</v>
      </c>
      <c r="C39" s="96">
        <f t="shared" si="0"/>
        <v>0</v>
      </c>
      <c r="D39" s="96">
        <f t="shared" si="5"/>
        <v>0</v>
      </c>
      <c r="E39" s="96">
        <f t="shared" si="6"/>
        <v>0</v>
      </c>
      <c r="F39" s="96">
        <f>VLOOKUP(A39,Digital!$W$7:$AB$20,6)</f>
        <v>0</v>
      </c>
      <c r="G39" s="131">
        <f t="shared" si="8"/>
        <v>-36.1227753389974</v>
      </c>
      <c r="H39" s="97">
        <f t="shared" si="9"/>
        <v>-35086.060442525748</v>
      </c>
      <c r="I39" s="131">
        <f t="shared" si="3"/>
        <v>-35086.060442525748</v>
      </c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</row>
    <row r="40" spans="1:48" x14ac:dyDescent="0.25">
      <c r="A40" s="105">
        <f t="shared" si="4"/>
        <v>37316</v>
      </c>
      <c r="B40" s="96">
        <f t="shared" si="7"/>
        <v>-19.647935670388907</v>
      </c>
      <c r="C40" s="96">
        <f t="shared" si="0"/>
        <v>0</v>
      </c>
      <c r="D40" s="96">
        <f t="shared" si="5"/>
        <v>0</v>
      </c>
      <c r="E40" s="96">
        <f t="shared" si="6"/>
        <v>0</v>
      </c>
      <c r="F40" s="96">
        <f>VLOOKUP(A40,Digital!$W$7:$AB$20,6)</f>
        <v>0</v>
      </c>
      <c r="G40" s="131">
        <f t="shared" si="8"/>
        <v>-19.647935670388907</v>
      </c>
      <c r="H40" s="97">
        <f t="shared" si="9"/>
        <v>-52249.916281309037</v>
      </c>
      <c r="I40" s="131">
        <f t="shared" si="3"/>
        <v>-52249.916281309037</v>
      </c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</row>
    <row r="41" spans="1:48" x14ac:dyDescent="0.25">
      <c r="A41" s="105">
        <f t="shared" si="4"/>
        <v>37347</v>
      </c>
      <c r="B41" s="96">
        <f t="shared" si="7"/>
        <v>0</v>
      </c>
      <c r="C41" s="96">
        <f t="shared" si="0"/>
        <v>0</v>
      </c>
      <c r="D41" s="96">
        <f t="shared" si="5"/>
        <v>0</v>
      </c>
      <c r="E41" s="96" t="e">
        <f t="shared" si="6"/>
        <v>#N/A</v>
      </c>
      <c r="F41" s="96">
        <f>VLOOKUP(A41,Digital!$W$7:$AB$20,6)</f>
        <v>0</v>
      </c>
      <c r="G41" s="131" t="e">
        <f t="shared" si="8"/>
        <v>#N/A</v>
      </c>
      <c r="H41" s="97">
        <f t="shared" si="9"/>
        <v>0</v>
      </c>
      <c r="I41" s="131">
        <f t="shared" si="3"/>
        <v>0</v>
      </c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</row>
    <row r="42" spans="1:48" x14ac:dyDescent="0.25">
      <c r="A42" s="105">
        <f t="shared" si="4"/>
        <v>37377</v>
      </c>
      <c r="B42" s="96">
        <f t="shared" si="7"/>
        <v>0</v>
      </c>
      <c r="C42" s="96">
        <f t="shared" si="0"/>
        <v>0</v>
      </c>
      <c r="D42" s="96">
        <f t="shared" si="5"/>
        <v>0</v>
      </c>
      <c r="E42" s="96" t="e">
        <f t="shared" si="6"/>
        <v>#N/A</v>
      </c>
      <c r="F42" s="96">
        <f>VLOOKUP(A42,Digital!$W$7:$AB$20,6)</f>
        <v>0</v>
      </c>
      <c r="G42" s="131" t="e">
        <f t="shared" si="8"/>
        <v>#N/A</v>
      </c>
      <c r="H42" s="97">
        <f t="shared" si="9"/>
        <v>0</v>
      </c>
      <c r="I42" s="131">
        <f t="shared" si="3"/>
        <v>0</v>
      </c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</row>
    <row r="43" spans="1:48" x14ac:dyDescent="0.25">
      <c r="A43" s="105">
        <f t="shared" si="4"/>
        <v>37408</v>
      </c>
      <c r="B43" s="96">
        <f t="shared" si="7"/>
        <v>0</v>
      </c>
      <c r="C43" s="96">
        <f t="shared" si="0"/>
        <v>0</v>
      </c>
      <c r="D43" s="96">
        <f t="shared" si="5"/>
        <v>0</v>
      </c>
      <c r="E43" s="96" t="e">
        <f t="shared" si="6"/>
        <v>#N/A</v>
      </c>
      <c r="F43" s="96">
        <f>VLOOKUP(A43,Digital!$W$7:$AB$20,6)</f>
        <v>0</v>
      </c>
      <c r="G43" s="131" t="e">
        <f t="shared" si="8"/>
        <v>#N/A</v>
      </c>
      <c r="H43" s="97">
        <f t="shared" si="9"/>
        <v>0</v>
      </c>
      <c r="I43" s="131">
        <f t="shared" si="3"/>
        <v>0</v>
      </c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</row>
    <row r="44" spans="1:48" x14ac:dyDescent="0.25">
      <c r="A44" s="105">
        <f t="shared" si="4"/>
        <v>37438</v>
      </c>
      <c r="B44" s="96">
        <f t="shared" si="7"/>
        <v>0</v>
      </c>
      <c r="C44" s="96">
        <f t="shared" si="0"/>
        <v>0</v>
      </c>
      <c r="D44" s="96">
        <f t="shared" si="5"/>
        <v>0</v>
      </c>
      <c r="E44" s="96" t="e">
        <f t="shared" si="6"/>
        <v>#N/A</v>
      </c>
      <c r="F44" s="96">
        <f>VLOOKUP(A44,Digital!$W$7:$AB$20,6)</f>
        <v>0</v>
      </c>
      <c r="G44" s="131" t="e">
        <f t="shared" si="8"/>
        <v>#N/A</v>
      </c>
      <c r="H44" s="97">
        <f t="shared" si="9"/>
        <v>0</v>
      </c>
      <c r="I44" s="131">
        <f t="shared" si="3"/>
        <v>0</v>
      </c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</row>
    <row r="45" spans="1:48" x14ac:dyDescent="0.25">
      <c r="A45" s="105">
        <f t="shared" si="4"/>
        <v>37469</v>
      </c>
      <c r="B45" s="96">
        <f t="shared" si="7"/>
        <v>0</v>
      </c>
      <c r="C45" s="96">
        <f t="shared" si="0"/>
        <v>0</v>
      </c>
      <c r="D45" s="96">
        <f t="shared" si="5"/>
        <v>0</v>
      </c>
      <c r="E45" s="96" t="e">
        <f t="shared" si="6"/>
        <v>#N/A</v>
      </c>
      <c r="F45" s="96">
        <f>VLOOKUP(A45,Digital!$W$7:$AB$20,6)</f>
        <v>0</v>
      </c>
      <c r="G45" s="131" t="e">
        <f t="shared" si="8"/>
        <v>#N/A</v>
      </c>
      <c r="H45" s="97">
        <f t="shared" si="9"/>
        <v>0</v>
      </c>
      <c r="I45" s="131">
        <f t="shared" si="3"/>
        <v>0</v>
      </c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</row>
    <row r="46" spans="1:48" x14ac:dyDescent="0.25">
      <c r="A46" s="105">
        <f t="shared" si="4"/>
        <v>37500</v>
      </c>
      <c r="B46" s="96">
        <f t="shared" si="7"/>
        <v>0</v>
      </c>
      <c r="C46" s="96">
        <f t="shared" si="0"/>
        <v>0</v>
      </c>
      <c r="D46" s="96">
        <f t="shared" si="5"/>
        <v>0</v>
      </c>
      <c r="E46" s="96" t="e">
        <f t="shared" si="6"/>
        <v>#N/A</v>
      </c>
      <c r="F46" s="96">
        <f>VLOOKUP(A46,Digital!$W$7:$AB$20,6)</f>
        <v>0</v>
      </c>
      <c r="G46" s="131" t="e">
        <f t="shared" si="8"/>
        <v>#N/A</v>
      </c>
      <c r="H46" s="97">
        <f t="shared" si="9"/>
        <v>0</v>
      </c>
      <c r="I46" s="131">
        <f t="shared" si="3"/>
        <v>0</v>
      </c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</row>
    <row r="47" spans="1:48" x14ac:dyDescent="0.25">
      <c r="A47" s="105">
        <f t="shared" si="4"/>
        <v>37530</v>
      </c>
      <c r="B47" s="96">
        <f t="shared" si="7"/>
        <v>0</v>
      </c>
      <c r="C47" s="96">
        <f t="shared" si="0"/>
        <v>0</v>
      </c>
      <c r="D47" s="96">
        <f t="shared" si="5"/>
        <v>0</v>
      </c>
      <c r="E47" s="96" t="e">
        <f t="shared" si="6"/>
        <v>#N/A</v>
      </c>
      <c r="F47" s="96">
        <f>VLOOKUP(A47,Digital!$W$7:$AB$20,6)</f>
        <v>0</v>
      </c>
      <c r="G47" s="131" t="e">
        <f t="shared" si="8"/>
        <v>#N/A</v>
      </c>
      <c r="H47" s="97">
        <f t="shared" si="9"/>
        <v>0</v>
      </c>
      <c r="I47" s="131">
        <f t="shared" si="3"/>
        <v>0</v>
      </c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</row>
    <row r="48" spans="1:48" x14ac:dyDescent="0.25">
      <c r="A48" s="105">
        <f t="shared" si="4"/>
        <v>37561</v>
      </c>
      <c r="B48" s="96">
        <f t="shared" si="7"/>
        <v>9.4659118724246589</v>
      </c>
      <c r="C48" s="96">
        <f t="shared" si="0"/>
        <v>0</v>
      </c>
      <c r="D48" s="96">
        <f t="shared" si="5"/>
        <v>0</v>
      </c>
      <c r="E48" s="96" t="e">
        <f t="shared" si="6"/>
        <v>#N/A</v>
      </c>
      <c r="F48" s="96">
        <f>VLOOKUP(A48,Digital!$W$7:$AB$20,6)</f>
        <v>0</v>
      </c>
      <c r="G48" s="131" t="e">
        <f t="shared" si="8"/>
        <v>#N/A</v>
      </c>
      <c r="H48" s="97">
        <f t="shared" si="9"/>
        <v>7040.1903702535783</v>
      </c>
      <c r="I48" s="131">
        <f t="shared" si="3"/>
        <v>7040.1903702535783</v>
      </c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</row>
    <row r="49" spans="1:48" x14ac:dyDescent="0.25">
      <c r="A49" s="105">
        <f t="shared" si="4"/>
        <v>37591</v>
      </c>
      <c r="B49" s="96">
        <f t="shared" si="7"/>
        <v>11.312826036778318</v>
      </c>
      <c r="C49" s="96">
        <f t="shared" si="0"/>
        <v>0</v>
      </c>
      <c r="D49" s="96">
        <f t="shared" si="5"/>
        <v>0</v>
      </c>
      <c r="E49" s="96" t="e">
        <f t="shared" si="6"/>
        <v>#N/A</v>
      </c>
      <c r="F49" s="96">
        <f>VLOOKUP(A49,Digital!$W$7:$AB$20,6)</f>
        <v>0</v>
      </c>
      <c r="G49" s="131" t="e">
        <f t="shared" si="8"/>
        <v>#N/A</v>
      </c>
      <c r="H49" s="97">
        <f t="shared" si="9"/>
        <v>7776.1519463270379</v>
      </c>
      <c r="I49" s="131">
        <f t="shared" si="3"/>
        <v>7776.1519463270379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</row>
    <row r="50" spans="1:48" x14ac:dyDescent="0.25">
      <c r="A50" s="105">
        <f t="shared" si="4"/>
        <v>37622</v>
      </c>
      <c r="B50" s="96">
        <f t="shared" si="7"/>
        <v>11.635691557526393</v>
      </c>
      <c r="C50" s="96">
        <f t="shared" si="0"/>
        <v>0</v>
      </c>
      <c r="D50" s="96">
        <f t="shared" si="5"/>
        <v>0</v>
      </c>
      <c r="E50" s="96" t="e">
        <f t="shared" si="6"/>
        <v>#N/A</v>
      </c>
      <c r="F50" s="96">
        <f>VLOOKUP(A50,Digital!$W$7:$AB$20,6)</f>
        <v>0</v>
      </c>
      <c r="G50" s="131" t="e">
        <f t="shared" si="8"/>
        <v>#N/A</v>
      </c>
      <c r="H50" s="97">
        <f t="shared" si="9"/>
        <v>7610.5299685399805</v>
      </c>
      <c r="I50" s="131">
        <f t="shared" si="3"/>
        <v>7610.5299685399805</v>
      </c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</row>
    <row r="51" spans="1:48" x14ac:dyDescent="0.25">
      <c r="A51" s="105">
        <f t="shared" si="4"/>
        <v>37653</v>
      </c>
      <c r="B51" s="96">
        <f t="shared" si="7"/>
        <v>9.6823922111504412</v>
      </c>
      <c r="C51" s="96">
        <f t="shared" si="0"/>
        <v>0</v>
      </c>
      <c r="D51" s="96">
        <f t="shared" si="5"/>
        <v>0</v>
      </c>
      <c r="E51" s="96" t="e">
        <f t="shared" si="6"/>
        <v>#N/A</v>
      </c>
      <c r="F51" s="96">
        <f>VLOOKUP(A51,Digital!$W$7:$AB$20,6)</f>
        <v>0</v>
      </c>
      <c r="G51" s="131" t="e">
        <f t="shared" si="8"/>
        <v>#N/A</v>
      </c>
      <c r="H51" s="97">
        <f t="shared" si="9"/>
        <v>6809.7018070475169</v>
      </c>
      <c r="I51" s="131">
        <f t="shared" si="3"/>
        <v>6809.7018070475169</v>
      </c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</row>
    <row r="52" spans="1:48" x14ac:dyDescent="0.25">
      <c r="A52" s="105">
        <f t="shared" si="4"/>
        <v>37681</v>
      </c>
      <c r="B52" s="96">
        <f t="shared" si="7"/>
        <v>10.374461900530667</v>
      </c>
      <c r="C52" s="96">
        <f t="shared" si="0"/>
        <v>0</v>
      </c>
      <c r="D52" s="96">
        <f t="shared" si="5"/>
        <v>0</v>
      </c>
      <c r="E52" s="96" t="e">
        <f t="shared" si="6"/>
        <v>#N/A</v>
      </c>
      <c r="F52" s="96">
        <f>VLOOKUP(A52,Digital!$W$7:$AB$20,6)</f>
        <v>0</v>
      </c>
      <c r="G52" s="131" t="e">
        <f t="shared" si="8"/>
        <v>#N/A</v>
      </c>
      <c r="H52" s="97">
        <f t="shared" si="9"/>
        <v>7260.6719568657136</v>
      </c>
      <c r="I52" s="131">
        <f t="shared" si="3"/>
        <v>7260.6719568657136</v>
      </c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</row>
    <row r="53" spans="1:48" x14ac:dyDescent="0.25">
      <c r="A53" s="105">
        <f t="shared" si="4"/>
        <v>37712</v>
      </c>
      <c r="B53" s="96">
        <f t="shared" si="7"/>
        <v>0</v>
      </c>
      <c r="C53" s="96">
        <f t="shared" si="0"/>
        <v>0</v>
      </c>
      <c r="D53" s="96">
        <f t="shared" si="5"/>
        <v>0</v>
      </c>
      <c r="E53" s="96" t="e">
        <f t="shared" si="6"/>
        <v>#N/A</v>
      </c>
      <c r="F53" s="103"/>
      <c r="G53" s="131" t="e">
        <f t="shared" si="8"/>
        <v>#N/A</v>
      </c>
      <c r="H53" s="97">
        <f t="shared" si="9"/>
        <v>0</v>
      </c>
      <c r="I53" s="131">
        <f t="shared" si="3"/>
        <v>0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</row>
    <row r="54" spans="1:48" x14ac:dyDescent="0.25">
      <c r="A54" s="105">
        <f t="shared" si="4"/>
        <v>37742</v>
      </c>
      <c r="B54" s="96">
        <f t="shared" si="7"/>
        <v>0</v>
      </c>
      <c r="C54" s="96">
        <f t="shared" si="0"/>
        <v>0</v>
      </c>
      <c r="D54" s="96">
        <f t="shared" si="5"/>
        <v>0</v>
      </c>
      <c r="E54" s="96" t="e">
        <f t="shared" si="6"/>
        <v>#N/A</v>
      </c>
      <c r="F54" s="103"/>
      <c r="G54" s="131" t="e">
        <f t="shared" si="8"/>
        <v>#N/A</v>
      </c>
      <c r="H54" s="97">
        <f t="shared" si="9"/>
        <v>0</v>
      </c>
      <c r="I54" s="131">
        <f t="shared" si="3"/>
        <v>0</v>
      </c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</row>
    <row r="55" spans="1:48" x14ac:dyDescent="0.25">
      <c r="A55" s="105">
        <f t="shared" si="4"/>
        <v>37773</v>
      </c>
      <c r="B55" s="96">
        <f t="shared" si="7"/>
        <v>0</v>
      </c>
      <c r="C55" s="96">
        <f t="shared" si="0"/>
        <v>0</v>
      </c>
      <c r="D55" s="96">
        <f t="shared" si="5"/>
        <v>0</v>
      </c>
      <c r="E55" s="96" t="e">
        <f t="shared" si="6"/>
        <v>#N/A</v>
      </c>
      <c r="F55" s="103"/>
      <c r="G55" s="131" t="e">
        <f t="shared" si="8"/>
        <v>#N/A</v>
      </c>
      <c r="H55" s="97">
        <f t="shared" si="9"/>
        <v>0</v>
      </c>
      <c r="I55" s="131">
        <f t="shared" si="3"/>
        <v>0</v>
      </c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</row>
    <row r="56" spans="1:48" x14ac:dyDescent="0.25">
      <c r="A56" s="105">
        <f t="shared" si="4"/>
        <v>37803</v>
      </c>
      <c r="B56" s="96">
        <f t="shared" si="7"/>
        <v>0</v>
      </c>
      <c r="C56" s="96">
        <f t="shared" si="0"/>
        <v>0</v>
      </c>
      <c r="D56" s="96">
        <f t="shared" si="5"/>
        <v>0</v>
      </c>
      <c r="E56" s="96" t="e">
        <f t="shared" si="6"/>
        <v>#N/A</v>
      </c>
      <c r="F56" s="103"/>
      <c r="G56" s="131" t="e">
        <f t="shared" si="8"/>
        <v>#N/A</v>
      </c>
      <c r="H56" s="97">
        <f t="shared" si="9"/>
        <v>0</v>
      </c>
      <c r="I56" s="131">
        <f t="shared" si="3"/>
        <v>0</v>
      </c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</row>
    <row r="57" spans="1:48" x14ac:dyDescent="0.25">
      <c r="A57" s="105">
        <f t="shared" si="4"/>
        <v>37834</v>
      </c>
      <c r="B57" s="96">
        <f t="shared" si="7"/>
        <v>0</v>
      </c>
      <c r="C57" s="96">
        <f t="shared" si="0"/>
        <v>0</v>
      </c>
      <c r="D57" s="96">
        <f t="shared" si="5"/>
        <v>0</v>
      </c>
      <c r="E57" s="96" t="e">
        <f t="shared" si="6"/>
        <v>#N/A</v>
      </c>
      <c r="F57" s="103"/>
      <c r="G57" s="131" t="e">
        <f t="shared" si="8"/>
        <v>#N/A</v>
      </c>
      <c r="H57" s="97">
        <f t="shared" si="9"/>
        <v>0</v>
      </c>
      <c r="I57" s="131">
        <f t="shared" si="3"/>
        <v>0</v>
      </c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</row>
    <row r="58" spans="1:48" x14ac:dyDescent="0.25">
      <c r="A58" s="105">
        <f t="shared" si="4"/>
        <v>37865</v>
      </c>
      <c r="B58" s="96">
        <f t="shared" si="7"/>
        <v>0</v>
      </c>
      <c r="C58" s="96">
        <f t="shared" si="0"/>
        <v>0</v>
      </c>
      <c r="D58" s="96">
        <f t="shared" si="5"/>
        <v>0</v>
      </c>
      <c r="E58" s="96" t="e">
        <f t="shared" si="6"/>
        <v>#N/A</v>
      </c>
      <c r="F58" s="103"/>
      <c r="G58" s="131" t="e">
        <f t="shared" si="8"/>
        <v>#N/A</v>
      </c>
      <c r="H58" s="97">
        <f t="shared" si="9"/>
        <v>0</v>
      </c>
      <c r="I58" s="131">
        <f t="shared" si="3"/>
        <v>0</v>
      </c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</row>
    <row r="59" spans="1:48" x14ac:dyDescent="0.25">
      <c r="A59" s="105">
        <f t="shared" si="4"/>
        <v>37895</v>
      </c>
      <c r="B59" s="96">
        <f t="shared" si="7"/>
        <v>0</v>
      </c>
      <c r="C59" s="96">
        <f t="shared" si="0"/>
        <v>0</v>
      </c>
      <c r="D59" s="96">
        <f t="shared" si="5"/>
        <v>0</v>
      </c>
      <c r="E59" s="96" t="e">
        <f t="shared" si="6"/>
        <v>#N/A</v>
      </c>
      <c r="F59" s="103"/>
      <c r="G59" s="131" t="e">
        <f t="shared" si="8"/>
        <v>#N/A</v>
      </c>
      <c r="H59" s="97">
        <f t="shared" si="9"/>
        <v>0</v>
      </c>
      <c r="I59" s="131">
        <f t="shared" si="3"/>
        <v>0</v>
      </c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</row>
    <row r="60" spans="1:48" ht="13.8" thickBot="1" x14ac:dyDescent="0.3">
      <c r="A60" s="106">
        <f t="shared" si="4"/>
        <v>37926</v>
      </c>
      <c r="B60" s="98">
        <f t="shared" si="7"/>
        <v>0</v>
      </c>
      <c r="C60" s="98">
        <f t="shared" si="0"/>
        <v>0</v>
      </c>
      <c r="D60" s="98">
        <f t="shared" si="5"/>
        <v>0</v>
      </c>
      <c r="E60" s="96" t="e">
        <f t="shared" si="6"/>
        <v>#N/A</v>
      </c>
      <c r="F60" s="103"/>
      <c r="G60" s="131" t="e">
        <f t="shared" si="8"/>
        <v>#N/A</v>
      </c>
      <c r="H60" s="99">
        <f t="shared" si="9"/>
        <v>0</v>
      </c>
      <c r="I60" s="131">
        <f t="shared" si="3"/>
        <v>0</v>
      </c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</row>
    <row r="61" spans="1:48" x14ac:dyDescent="0.25">
      <c r="A61" s="102"/>
      <c r="B61" s="103"/>
      <c r="C61" s="103"/>
      <c r="D61" s="103"/>
      <c r="E61" s="103"/>
      <c r="F61" s="103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</row>
    <row r="62" spans="1:48" x14ac:dyDescent="0.25">
      <c r="A62" s="102"/>
      <c r="B62" s="103"/>
      <c r="C62" s="103"/>
      <c r="D62" s="103"/>
      <c r="E62" s="103"/>
      <c r="F62" s="103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</row>
    <row r="63" spans="1:48" x14ac:dyDescent="0.25">
      <c r="A63" s="102"/>
      <c r="B63" s="103"/>
      <c r="C63" s="103"/>
      <c r="D63" s="103"/>
      <c r="E63" s="103"/>
      <c r="F63" s="103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</row>
    <row r="64" spans="1:48" x14ac:dyDescent="0.25">
      <c r="A64" s="102"/>
      <c r="B64" s="103"/>
      <c r="C64" s="103"/>
      <c r="D64" s="103"/>
      <c r="E64" s="103"/>
      <c r="F64" s="103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</row>
    <row r="65" spans="1:47" x14ac:dyDescent="0.25">
      <c r="A65" s="102"/>
      <c r="B65" s="103"/>
      <c r="C65" s="103"/>
      <c r="D65" s="103"/>
      <c r="E65" s="103"/>
      <c r="F65" s="103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</row>
    <row r="66" spans="1:47" x14ac:dyDescent="0.25">
      <c r="A66" s="102"/>
      <c r="B66" s="103"/>
      <c r="C66" s="103"/>
      <c r="D66" s="103"/>
      <c r="E66" s="103"/>
      <c r="F66" s="103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</row>
    <row r="67" spans="1:47" x14ac:dyDescent="0.25">
      <c r="A67" s="102"/>
      <c r="B67" s="103"/>
      <c r="C67" s="103"/>
      <c r="D67" s="103"/>
      <c r="E67" s="103"/>
      <c r="F67" s="103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</row>
    <row r="68" spans="1:47" x14ac:dyDescent="0.25">
      <c r="A68" s="102"/>
      <c r="B68" s="103"/>
      <c r="C68" s="103"/>
      <c r="D68" s="103"/>
      <c r="E68" s="103"/>
      <c r="F68" s="103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</row>
    <row r="69" spans="1:47" x14ac:dyDescent="0.25">
      <c r="A69" s="102"/>
      <c r="B69" s="103"/>
      <c r="C69" s="103"/>
      <c r="D69" s="103"/>
      <c r="E69" s="103"/>
      <c r="F69" s="103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</row>
    <row r="70" spans="1:47" x14ac:dyDescent="0.25">
      <c r="A70" s="102"/>
      <c r="B70" s="103"/>
      <c r="C70" s="103"/>
      <c r="D70" s="103"/>
      <c r="E70" s="103"/>
      <c r="F70" s="103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</row>
    <row r="71" spans="1:47" x14ac:dyDescent="0.25">
      <c r="A71" s="102"/>
      <c r="B71" s="103"/>
      <c r="C71" s="103"/>
      <c r="D71" s="103"/>
      <c r="E71" s="103"/>
      <c r="F71" s="103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</row>
    <row r="72" spans="1:47" x14ac:dyDescent="0.25">
      <c r="A72" s="102"/>
      <c r="B72" s="103"/>
      <c r="C72" s="103"/>
      <c r="D72" s="103"/>
      <c r="E72" s="103"/>
      <c r="F72" s="103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</row>
    <row r="73" spans="1:47" x14ac:dyDescent="0.25">
      <c r="A73" s="102"/>
      <c r="B73" s="103"/>
      <c r="C73" s="103"/>
      <c r="D73" s="103"/>
      <c r="E73" s="103"/>
      <c r="F73" s="103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</row>
    <row r="74" spans="1:47" x14ac:dyDescent="0.25">
      <c r="A74" s="102"/>
      <c r="B74" s="103"/>
      <c r="C74" s="103"/>
      <c r="D74" s="103"/>
      <c r="E74" s="103"/>
      <c r="F74" s="103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</row>
    <row r="75" spans="1:47" x14ac:dyDescent="0.25">
      <c r="A75" s="102"/>
      <c r="B75" s="103"/>
      <c r="C75" s="103"/>
      <c r="D75" s="103"/>
      <c r="E75" s="103"/>
      <c r="F75" s="103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</row>
    <row r="76" spans="1:47" x14ac:dyDescent="0.25">
      <c r="A76" s="102"/>
      <c r="B76" s="103"/>
      <c r="C76" s="103"/>
      <c r="D76" s="103"/>
      <c r="E76" s="103"/>
      <c r="F76" s="103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</row>
    <row r="77" spans="1:47" x14ac:dyDescent="0.25">
      <c r="A77" s="102"/>
      <c r="B77" s="103"/>
      <c r="C77" s="103"/>
      <c r="D77" s="103"/>
      <c r="E77" s="103"/>
      <c r="F77" s="103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</row>
    <row r="78" spans="1:47" x14ac:dyDescent="0.25">
      <c r="A78" s="102"/>
      <c r="B78" s="103"/>
      <c r="C78" s="103"/>
      <c r="D78" s="103"/>
      <c r="E78" s="103"/>
      <c r="F78" s="103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</row>
    <row r="79" spans="1:47" x14ac:dyDescent="0.25">
      <c r="A79" s="102"/>
      <c r="B79" s="103"/>
      <c r="C79" s="103"/>
      <c r="D79" s="103"/>
      <c r="E79" s="103"/>
      <c r="F79" s="103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</row>
    <row r="80" spans="1:47" x14ac:dyDescent="0.25">
      <c r="A80" s="102"/>
      <c r="B80" s="103"/>
      <c r="C80" s="103"/>
      <c r="D80" s="103"/>
      <c r="E80" s="103"/>
      <c r="F80" s="103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</row>
    <row r="81" spans="1:47" x14ac:dyDescent="0.25">
      <c r="A81" s="102"/>
      <c r="B81" s="103"/>
      <c r="C81" s="103"/>
      <c r="D81" s="103"/>
      <c r="E81" s="103"/>
      <c r="F81" s="103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</row>
    <row r="82" spans="1:47" x14ac:dyDescent="0.25">
      <c r="A82" s="102"/>
      <c r="B82" s="103"/>
      <c r="C82" s="103"/>
      <c r="D82" s="103"/>
      <c r="E82" s="103"/>
      <c r="F82" s="103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</row>
    <row r="83" spans="1:47" x14ac:dyDescent="0.25">
      <c r="A83" s="102"/>
      <c r="B83" s="103"/>
      <c r="C83" s="103"/>
      <c r="D83" s="103"/>
      <c r="E83" s="103"/>
      <c r="F83" s="103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</row>
    <row r="84" spans="1:47" x14ac:dyDescent="0.25">
      <c r="A84" s="102"/>
      <c r="B84" s="103"/>
      <c r="C84" s="103"/>
      <c r="D84" s="103"/>
      <c r="E84" s="103"/>
      <c r="F84" s="103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</row>
    <row r="85" spans="1:47" x14ac:dyDescent="0.25">
      <c r="A85" s="102"/>
      <c r="B85" s="103"/>
      <c r="C85" s="103"/>
      <c r="D85" s="103"/>
      <c r="E85" s="103"/>
      <c r="F85" s="103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</row>
    <row r="86" spans="1:47" x14ac:dyDescent="0.25">
      <c r="A86" s="102"/>
      <c r="B86" s="103"/>
      <c r="C86" s="103"/>
      <c r="D86" s="103"/>
      <c r="E86" s="103"/>
      <c r="F86" s="103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</row>
    <row r="87" spans="1:47" x14ac:dyDescent="0.25">
      <c r="A87" s="102"/>
      <c r="B87" s="103"/>
      <c r="C87" s="103"/>
      <c r="D87" s="103"/>
      <c r="E87" s="103"/>
      <c r="F87" s="103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</row>
    <row r="88" spans="1:47" x14ac:dyDescent="0.25">
      <c r="A88" s="102"/>
      <c r="B88" s="103"/>
      <c r="C88" s="103"/>
      <c r="D88" s="103"/>
      <c r="E88" s="103"/>
      <c r="F88" s="103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</row>
    <row r="89" spans="1:47" x14ac:dyDescent="0.25">
      <c r="A89" s="102"/>
      <c r="B89" s="103"/>
      <c r="C89" s="103"/>
      <c r="D89" s="103"/>
      <c r="E89" s="103"/>
      <c r="F89" s="103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</row>
    <row r="90" spans="1:47" x14ac:dyDescent="0.25">
      <c r="A90" s="102"/>
      <c r="B90" s="103"/>
      <c r="C90" s="103"/>
      <c r="D90" s="103"/>
      <c r="E90" s="103"/>
      <c r="F90" s="103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</row>
    <row r="91" spans="1:47" x14ac:dyDescent="0.25">
      <c r="A91" s="102"/>
      <c r="B91" s="103"/>
      <c r="C91" s="103"/>
      <c r="D91" s="103"/>
      <c r="E91" s="103"/>
      <c r="F91" s="103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</row>
    <row r="92" spans="1:47" x14ac:dyDescent="0.25">
      <c r="A92" s="102"/>
      <c r="B92" s="103"/>
      <c r="C92" s="103"/>
      <c r="D92" s="103"/>
      <c r="E92" s="103"/>
      <c r="F92" s="103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</row>
    <row r="93" spans="1:47" x14ac:dyDescent="0.25">
      <c r="A93" s="102"/>
      <c r="B93" s="103"/>
      <c r="C93" s="103"/>
      <c r="D93" s="103"/>
      <c r="E93" s="103"/>
      <c r="F93" s="103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</row>
    <row r="94" spans="1:47" x14ac:dyDescent="0.25">
      <c r="A94" s="102"/>
      <c r="B94" s="103"/>
      <c r="C94" s="103"/>
      <c r="D94" s="103"/>
      <c r="E94" s="103"/>
      <c r="F94" s="103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</row>
    <row r="95" spans="1:47" x14ac:dyDescent="0.25">
      <c r="A95" s="102"/>
      <c r="B95" s="103"/>
      <c r="C95" s="103"/>
      <c r="D95" s="103"/>
      <c r="E95" s="103"/>
      <c r="F95" s="103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</row>
    <row r="96" spans="1:47" x14ac:dyDescent="0.25">
      <c r="A96" s="102"/>
      <c r="B96" s="103"/>
      <c r="C96" s="103"/>
      <c r="D96" s="103"/>
      <c r="E96" s="103"/>
      <c r="F96" s="103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</row>
    <row r="97" spans="1:47" x14ac:dyDescent="0.25">
      <c r="A97" s="102"/>
      <c r="B97" s="103"/>
      <c r="C97" s="103"/>
      <c r="D97" s="103"/>
      <c r="E97" s="103"/>
      <c r="F97" s="103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</row>
    <row r="98" spans="1:47" x14ac:dyDescent="0.25">
      <c r="A98" s="102"/>
      <c r="B98" s="103"/>
      <c r="C98" s="103"/>
      <c r="D98" s="103"/>
      <c r="E98" s="103"/>
      <c r="F98" s="103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</row>
    <row r="99" spans="1:47" x14ac:dyDescent="0.25">
      <c r="A99" s="102"/>
      <c r="B99" s="103"/>
      <c r="C99" s="103"/>
      <c r="D99" s="103"/>
      <c r="E99" s="103"/>
      <c r="F99" s="103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</row>
    <row r="100" spans="1:47" x14ac:dyDescent="0.25">
      <c r="A100" s="102"/>
      <c r="B100" s="103"/>
      <c r="C100" s="103"/>
      <c r="D100" s="103"/>
      <c r="E100" s="103"/>
      <c r="F100" s="103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</row>
    <row r="101" spans="1:47" x14ac:dyDescent="0.25">
      <c r="A101" s="102"/>
      <c r="B101" s="103"/>
      <c r="C101" s="103"/>
      <c r="D101" s="103"/>
      <c r="E101" s="103"/>
      <c r="F101" s="103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</row>
    <row r="102" spans="1:47" x14ac:dyDescent="0.25">
      <c r="A102" s="102"/>
      <c r="B102" s="103"/>
      <c r="C102" s="103"/>
      <c r="D102" s="103"/>
      <c r="E102" s="103"/>
      <c r="F102" s="103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</row>
    <row r="103" spans="1:47" x14ac:dyDescent="0.25">
      <c r="A103" s="102"/>
      <c r="B103" s="103"/>
      <c r="C103" s="103"/>
      <c r="D103" s="103"/>
      <c r="E103" s="103"/>
      <c r="F103" s="103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</row>
    <row r="104" spans="1:47" x14ac:dyDescent="0.25">
      <c r="A104" s="102"/>
      <c r="B104" s="103"/>
      <c r="C104" s="103"/>
      <c r="D104" s="103"/>
      <c r="E104" s="103"/>
      <c r="F104" s="103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</row>
    <row r="105" spans="1:47" x14ac:dyDescent="0.25">
      <c r="A105" s="102"/>
      <c r="B105" s="103"/>
      <c r="C105" s="103"/>
      <c r="D105" s="103"/>
      <c r="E105" s="103"/>
      <c r="F105" s="103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</row>
    <row r="106" spans="1:47" x14ac:dyDescent="0.25">
      <c r="A106" s="102"/>
      <c r="B106" s="103"/>
      <c r="C106" s="103"/>
      <c r="D106" s="103"/>
      <c r="E106" s="103"/>
      <c r="F106" s="103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</row>
    <row r="107" spans="1:47" x14ac:dyDescent="0.25">
      <c r="A107" s="102"/>
      <c r="B107" s="103"/>
      <c r="C107" s="103"/>
      <c r="D107" s="103"/>
      <c r="E107" s="103"/>
      <c r="F107" s="103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</row>
    <row r="108" spans="1:47" x14ac:dyDescent="0.25">
      <c r="A108" s="102"/>
      <c r="B108" s="103"/>
      <c r="C108" s="103"/>
      <c r="D108" s="103"/>
      <c r="E108" s="103"/>
      <c r="F108" s="103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</row>
    <row r="109" spans="1:47" x14ac:dyDescent="0.25">
      <c r="A109" s="102"/>
      <c r="B109" s="103"/>
      <c r="C109" s="103"/>
      <c r="D109" s="103"/>
      <c r="E109" s="103"/>
      <c r="F109" s="103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</row>
    <row r="110" spans="1:47" x14ac:dyDescent="0.25">
      <c r="A110" s="102"/>
      <c r="B110" s="103"/>
      <c r="C110" s="103"/>
      <c r="D110" s="103"/>
      <c r="E110" s="103"/>
      <c r="F110" s="103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</row>
    <row r="111" spans="1:47" x14ac:dyDescent="0.25">
      <c r="A111" s="102"/>
      <c r="B111" s="103"/>
      <c r="C111" s="103"/>
      <c r="D111" s="103"/>
      <c r="E111" s="103"/>
      <c r="F111" s="103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</row>
    <row r="112" spans="1:47" x14ac:dyDescent="0.25">
      <c r="A112" s="102"/>
      <c r="B112" s="103"/>
      <c r="C112" s="103"/>
      <c r="D112" s="103"/>
      <c r="E112" s="103"/>
      <c r="F112" s="103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</row>
    <row r="113" spans="1:47" x14ac:dyDescent="0.25">
      <c r="A113" s="102"/>
      <c r="B113" s="103"/>
      <c r="C113" s="103"/>
      <c r="D113" s="103"/>
      <c r="E113" s="103"/>
      <c r="F113" s="103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</row>
    <row r="114" spans="1:47" x14ac:dyDescent="0.25">
      <c r="A114" s="102"/>
      <c r="B114" s="103"/>
      <c r="C114" s="103"/>
      <c r="D114" s="103"/>
      <c r="E114" s="103"/>
      <c r="F114" s="103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</row>
    <row r="115" spans="1:47" x14ac:dyDescent="0.25">
      <c r="A115" s="102"/>
      <c r="B115" s="103"/>
      <c r="C115" s="103"/>
      <c r="D115" s="103"/>
      <c r="E115" s="103"/>
      <c r="F115" s="103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</row>
    <row r="116" spans="1:47" x14ac:dyDescent="0.25">
      <c r="A116" s="102"/>
      <c r="B116" s="103"/>
      <c r="C116" s="103"/>
      <c r="D116" s="103"/>
      <c r="E116" s="103"/>
      <c r="F116" s="103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</row>
    <row r="117" spans="1:47" x14ac:dyDescent="0.25">
      <c r="A117" s="102"/>
      <c r="B117" s="103"/>
      <c r="C117" s="103"/>
      <c r="D117" s="103"/>
      <c r="E117" s="103"/>
      <c r="F117" s="103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</row>
    <row r="118" spans="1:47" x14ac:dyDescent="0.25">
      <c r="A118" s="102"/>
      <c r="B118" s="103"/>
      <c r="C118" s="103"/>
      <c r="D118" s="103"/>
      <c r="E118" s="103"/>
      <c r="F118" s="103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</row>
    <row r="119" spans="1:47" x14ac:dyDescent="0.25">
      <c r="A119" s="102"/>
      <c r="B119" s="103"/>
      <c r="C119" s="103"/>
      <c r="D119" s="103"/>
      <c r="E119" s="103"/>
      <c r="F119" s="103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</row>
    <row r="120" spans="1:47" x14ac:dyDescent="0.25">
      <c r="A120" s="102"/>
      <c r="B120" s="103"/>
      <c r="C120" s="103"/>
      <c r="D120" s="103"/>
      <c r="E120" s="103"/>
      <c r="F120" s="103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</row>
    <row r="121" spans="1:47" x14ac:dyDescent="0.25">
      <c r="A121" s="102"/>
      <c r="B121" s="103"/>
      <c r="C121" s="103"/>
      <c r="D121" s="103"/>
      <c r="E121" s="103"/>
      <c r="F121" s="103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</row>
    <row r="122" spans="1:47" x14ac:dyDescent="0.25">
      <c r="A122" s="102"/>
      <c r="B122" s="103"/>
      <c r="C122" s="103"/>
      <c r="D122" s="103"/>
      <c r="E122" s="103"/>
      <c r="F122" s="103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</row>
    <row r="123" spans="1:47" x14ac:dyDescent="0.25">
      <c r="A123" s="102"/>
      <c r="B123" s="103"/>
      <c r="C123" s="103"/>
      <c r="D123" s="103"/>
      <c r="E123" s="103"/>
      <c r="F123" s="103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</row>
    <row r="124" spans="1:47" x14ac:dyDescent="0.25">
      <c r="A124" s="102"/>
      <c r="B124" s="103"/>
      <c r="C124" s="103"/>
      <c r="D124" s="103"/>
      <c r="E124" s="103"/>
      <c r="F124" s="103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</row>
    <row r="125" spans="1:47" x14ac:dyDescent="0.25">
      <c r="A125" s="102"/>
      <c r="B125" s="103"/>
      <c r="C125" s="103"/>
      <c r="D125" s="103"/>
      <c r="E125" s="103"/>
      <c r="F125" s="103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</row>
    <row r="126" spans="1:47" x14ac:dyDescent="0.25">
      <c r="A126" s="102"/>
      <c r="B126" s="103"/>
      <c r="C126" s="103"/>
      <c r="D126" s="103"/>
      <c r="E126" s="103"/>
      <c r="F126" s="103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</row>
    <row r="127" spans="1:47" x14ac:dyDescent="0.25">
      <c r="A127" s="102"/>
      <c r="B127" s="103"/>
      <c r="C127" s="103"/>
      <c r="D127" s="103"/>
      <c r="E127" s="103"/>
      <c r="F127" s="103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</row>
    <row r="128" spans="1:47" x14ac:dyDescent="0.25">
      <c r="A128" s="102"/>
      <c r="B128" s="103"/>
      <c r="C128" s="103"/>
      <c r="D128" s="103"/>
      <c r="E128" s="103"/>
      <c r="F128" s="103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</row>
    <row r="129" spans="1:47" x14ac:dyDescent="0.25">
      <c r="A129" s="102"/>
      <c r="B129" s="103"/>
      <c r="C129" s="103"/>
      <c r="D129" s="103"/>
      <c r="E129" s="103"/>
      <c r="F129" s="103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</row>
    <row r="130" spans="1:47" x14ac:dyDescent="0.25">
      <c r="A130" s="102"/>
      <c r="B130" s="103"/>
      <c r="C130" s="103"/>
      <c r="D130" s="103"/>
      <c r="E130" s="103"/>
      <c r="F130" s="103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</row>
    <row r="131" spans="1:47" x14ac:dyDescent="0.25">
      <c r="A131" s="102"/>
      <c r="B131" s="103"/>
      <c r="C131" s="103"/>
      <c r="D131" s="103"/>
      <c r="E131" s="103"/>
      <c r="F131" s="103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</row>
    <row r="132" spans="1:47" x14ac:dyDescent="0.25">
      <c r="A132" s="102"/>
      <c r="B132" s="103"/>
      <c r="C132" s="103"/>
      <c r="D132" s="103"/>
      <c r="E132" s="103"/>
      <c r="F132" s="103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</row>
    <row r="133" spans="1:47" x14ac:dyDescent="0.25">
      <c r="A133" s="102"/>
      <c r="B133" s="103"/>
      <c r="C133" s="103"/>
      <c r="D133" s="103"/>
      <c r="E133" s="103"/>
      <c r="F133" s="103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</row>
    <row r="134" spans="1:47" x14ac:dyDescent="0.25">
      <c r="A134" s="102"/>
      <c r="B134" s="103"/>
      <c r="C134" s="103"/>
      <c r="D134" s="103"/>
      <c r="E134" s="103"/>
      <c r="F134" s="103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</row>
    <row r="135" spans="1:47" x14ac:dyDescent="0.25">
      <c r="A135" s="102"/>
      <c r="B135" s="103"/>
      <c r="C135" s="103"/>
      <c r="D135" s="103"/>
      <c r="E135" s="103"/>
      <c r="F135" s="103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</row>
    <row r="136" spans="1:47" x14ac:dyDescent="0.25">
      <c r="A136" s="102"/>
      <c r="B136" s="103"/>
      <c r="C136" s="103"/>
      <c r="D136" s="103"/>
      <c r="E136" s="103"/>
      <c r="F136" s="103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</row>
    <row r="137" spans="1:47" x14ac:dyDescent="0.25">
      <c r="A137" s="102"/>
      <c r="B137" s="103"/>
      <c r="C137" s="103"/>
      <c r="D137" s="103"/>
      <c r="E137" s="103"/>
      <c r="F137" s="103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</row>
    <row r="138" spans="1:47" x14ac:dyDescent="0.25">
      <c r="A138" s="102"/>
      <c r="B138" s="103"/>
      <c r="C138" s="103"/>
      <c r="D138" s="103"/>
      <c r="E138" s="103"/>
      <c r="F138" s="103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</row>
    <row r="139" spans="1:47" x14ac:dyDescent="0.25">
      <c r="A139" s="102"/>
      <c r="B139" s="103"/>
      <c r="C139" s="103"/>
      <c r="D139" s="103"/>
      <c r="E139" s="103"/>
      <c r="F139" s="103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</row>
    <row r="140" spans="1:47" x14ac:dyDescent="0.25">
      <c r="A140" s="102"/>
      <c r="B140" s="103"/>
      <c r="C140" s="103"/>
      <c r="D140" s="103"/>
      <c r="E140" s="103"/>
      <c r="F140" s="103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</row>
    <row r="141" spans="1:47" x14ac:dyDescent="0.25">
      <c r="A141" s="102"/>
      <c r="B141" s="103"/>
      <c r="C141" s="103"/>
      <c r="D141" s="103"/>
      <c r="E141" s="103"/>
      <c r="F141" s="103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</row>
    <row r="142" spans="1:47" x14ac:dyDescent="0.25">
      <c r="A142" s="102"/>
      <c r="B142" s="103"/>
      <c r="C142" s="103"/>
      <c r="D142" s="103"/>
      <c r="E142" s="103"/>
      <c r="F142" s="103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</row>
    <row r="143" spans="1:47" x14ac:dyDescent="0.25">
      <c r="A143" s="102"/>
      <c r="B143" s="103"/>
      <c r="C143" s="103"/>
      <c r="D143" s="103"/>
      <c r="E143" s="103"/>
      <c r="F143" s="103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</row>
    <row r="144" spans="1:47" x14ac:dyDescent="0.25">
      <c r="A144" s="102"/>
      <c r="B144" s="103"/>
      <c r="C144" s="103"/>
      <c r="D144" s="103"/>
      <c r="E144" s="103"/>
      <c r="F144" s="103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</row>
    <row r="145" spans="1:47" x14ac:dyDescent="0.25">
      <c r="A145" s="102"/>
      <c r="B145" s="103"/>
      <c r="C145" s="103"/>
      <c r="D145" s="103"/>
      <c r="E145" s="103"/>
      <c r="F145" s="103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</row>
    <row r="146" spans="1:47" x14ac:dyDescent="0.25">
      <c r="A146" s="102"/>
      <c r="B146" s="103"/>
      <c r="C146" s="103"/>
      <c r="D146" s="103"/>
      <c r="E146" s="103"/>
      <c r="F146" s="103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</row>
    <row r="147" spans="1:47" x14ac:dyDescent="0.25">
      <c r="A147" s="102"/>
      <c r="B147" s="103"/>
      <c r="C147" s="103"/>
      <c r="D147" s="103"/>
      <c r="E147" s="103"/>
      <c r="F147" s="103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</row>
    <row r="148" spans="1:47" x14ac:dyDescent="0.25">
      <c r="A148" s="102"/>
      <c r="B148" s="103"/>
      <c r="C148" s="103"/>
      <c r="D148" s="103"/>
      <c r="E148" s="103"/>
      <c r="F148" s="103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</row>
    <row r="149" spans="1:47" x14ac:dyDescent="0.25">
      <c r="A149" s="102"/>
      <c r="B149" s="103"/>
      <c r="C149" s="103"/>
      <c r="D149" s="103"/>
      <c r="E149" s="103"/>
      <c r="F149" s="103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</row>
    <row r="150" spans="1:47" x14ac:dyDescent="0.25">
      <c r="A150" s="102"/>
      <c r="B150" s="103"/>
      <c r="C150" s="103"/>
      <c r="D150" s="103"/>
      <c r="E150" s="103"/>
      <c r="F150" s="103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</row>
    <row r="151" spans="1:47" x14ac:dyDescent="0.25">
      <c r="A151" s="102"/>
      <c r="B151" s="103"/>
      <c r="C151" s="103"/>
      <c r="D151" s="103"/>
      <c r="E151" s="103"/>
      <c r="F151" s="103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</row>
    <row r="152" spans="1:47" x14ac:dyDescent="0.25">
      <c r="A152" s="102"/>
      <c r="B152" s="103"/>
      <c r="C152" s="103"/>
      <c r="D152" s="103"/>
      <c r="E152" s="103"/>
      <c r="F152" s="103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</row>
    <row r="153" spans="1:47" x14ac:dyDescent="0.25">
      <c r="A153" s="102"/>
      <c r="B153" s="103"/>
      <c r="C153" s="103"/>
      <c r="D153" s="103"/>
      <c r="E153" s="103"/>
      <c r="F153" s="103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</row>
    <row r="154" spans="1:47" x14ac:dyDescent="0.25">
      <c r="A154" s="102"/>
      <c r="B154" s="103"/>
      <c r="C154" s="103"/>
      <c r="D154" s="103"/>
      <c r="E154" s="103"/>
      <c r="F154" s="103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</row>
    <row r="155" spans="1:47" x14ac:dyDescent="0.25">
      <c r="A155" s="102"/>
      <c r="B155" s="103"/>
      <c r="C155" s="103"/>
      <c r="D155" s="103"/>
      <c r="E155" s="103"/>
      <c r="F155" s="103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</row>
    <row r="156" spans="1:47" x14ac:dyDescent="0.25">
      <c r="A156" s="102"/>
      <c r="B156" s="103"/>
      <c r="C156" s="103"/>
      <c r="D156" s="103"/>
      <c r="E156" s="103"/>
      <c r="F156" s="103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</row>
    <row r="157" spans="1:47" x14ac:dyDescent="0.25">
      <c r="A157" s="102"/>
      <c r="B157" s="103"/>
      <c r="C157" s="103"/>
      <c r="D157" s="103"/>
      <c r="E157" s="103"/>
      <c r="F157" s="103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</row>
    <row r="158" spans="1:47" x14ac:dyDescent="0.25">
      <c r="A158" s="102"/>
      <c r="B158" s="103"/>
      <c r="C158" s="103"/>
      <c r="D158" s="103"/>
      <c r="E158" s="103"/>
      <c r="F158" s="103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</row>
    <row r="159" spans="1:47" x14ac:dyDescent="0.25">
      <c r="A159" s="102"/>
      <c r="B159" s="103"/>
      <c r="C159" s="103"/>
      <c r="D159" s="103"/>
      <c r="E159" s="103"/>
      <c r="F159" s="103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</row>
    <row r="160" spans="1:47" x14ac:dyDescent="0.25">
      <c r="A160" s="102"/>
      <c r="B160" s="103"/>
      <c r="C160" s="103"/>
      <c r="D160" s="103"/>
      <c r="E160" s="103"/>
      <c r="F160" s="103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</row>
    <row r="161" spans="1:47" x14ac:dyDescent="0.25">
      <c r="A161" s="102"/>
      <c r="B161" s="103"/>
      <c r="C161" s="103"/>
      <c r="D161" s="103"/>
      <c r="E161" s="103"/>
      <c r="F161" s="103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</row>
    <row r="162" spans="1:47" x14ac:dyDescent="0.25">
      <c r="A162" s="102"/>
      <c r="B162" s="103"/>
      <c r="C162" s="103"/>
      <c r="D162" s="103"/>
      <c r="E162" s="103"/>
      <c r="F162" s="103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</row>
    <row r="163" spans="1:47" x14ac:dyDescent="0.25">
      <c r="A163" s="102"/>
      <c r="B163" s="103"/>
      <c r="C163" s="103"/>
      <c r="D163" s="103"/>
      <c r="E163" s="103"/>
      <c r="F163" s="103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</row>
    <row r="164" spans="1:47" x14ac:dyDescent="0.25">
      <c r="A164" s="102"/>
      <c r="B164" s="103"/>
      <c r="C164" s="103"/>
      <c r="D164" s="103"/>
      <c r="E164" s="103"/>
      <c r="F164" s="103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</row>
    <row r="165" spans="1:47" x14ac:dyDescent="0.25">
      <c r="A165" s="102"/>
      <c r="B165" s="103"/>
      <c r="C165" s="103"/>
      <c r="D165" s="103"/>
      <c r="E165" s="103"/>
      <c r="F165" s="103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</row>
    <row r="166" spans="1:47" x14ac:dyDescent="0.25">
      <c r="A166" s="102"/>
      <c r="B166" s="103"/>
      <c r="C166" s="103"/>
      <c r="D166" s="103"/>
      <c r="E166" s="103"/>
      <c r="F166" s="103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</row>
    <row r="167" spans="1:47" x14ac:dyDescent="0.25">
      <c r="A167" s="102"/>
      <c r="B167" s="103"/>
      <c r="C167" s="103"/>
      <c r="D167" s="103"/>
      <c r="E167" s="103"/>
      <c r="F167" s="103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</row>
    <row r="168" spans="1:47" x14ac:dyDescent="0.25">
      <c r="A168" s="102"/>
      <c r="B168" s="103"/>
      <c r="C168" s="103"/>
      <c r="D168" s="103"/>
      <c r="E168" s="103"/>
      <c r="F168" s="103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</row>
    <row r="169" spans="1:47" x14ac:dyDescent="0.25">
      <c r="A169" s="102"/>
      <c r="B169" s="103"/>
      <c r="C169" s="103"/>
      <c r="D169" s="103"/>
      <c r="E169" s="103"/>
      <c r="F169" s="103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</row>
    <row r="170" spans="1:47" x14ac:dyDescent="0.25">
      <c r="A170" s="102"/>
      <c r="B170" s="103"/>
      <c r="C170" s="103"/>
      <c r="D170" s="103"/>
      <c r="E170" s="103"/>
      <c r="F170" s="103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</row>
    <row r="171" spans="1:47" x14ac:dyDescent="0.25">
      <c r="A171" s="102"/>
      <c r="B171" s="103"/>
      <c r="C171" s="103"/>
      <c r="D171" s="103"/>
      <c r="E171" s="103"/>
      <c r="F171" s="103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</row>
    <row r="172" spans="1:47" x14ac:dyDescent="0.25">
      <c r="A172" s="102"/>
      <c r="B172" s="103"/>
      <c r="C172" s="103"/>
      <c r="D172" s="103"/>
      <c r="E172" s="103"/>
      <c r="F172" s="103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</row>
    <row r="173" spans="1:47" x14ac:dyDescent="0.25">
      <c r="A173" s="102"/>
      <c r="B173" s="103"/>
      <c r="C173" s="103"/>
      <c r="D173" s="103"/>
      <c r="E173" s="103"/>
      <c r="F173" s="103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</row>
    <row r="174" spans="1:47" x14ac:dyDescent="0.25">
      <c r="A174" s="102"/>
      <c r="B174" s="103"/>
      <c r="C174" s="103"/>
      <c r="D174" s="103"/>
      <c r="E174" s="103"/>
      <c r="F174" s="103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</row>
    <row r="175" spans="1:47" x14ac:dyDescent="0.25">
      <c r="A175" s="102"/>
      <c r="B175" s="103"/>
      <c r="C175" s="103"/>
      <c r="D175" s="103"/>
      <c r="E175" s="103"/>
      <c r="F175" s="103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</row>
    <row r="176" spans="1:47" x14ac:dyDescent="0.25">
      <c r="A176" s="102"/>
      <c r="B176" s="103"/>
      <c r="C176" s="103"/>
      <c r="D176" s="103"/>
      <c r="E176" s="103"/>
      <c r="F176" s="103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</row>
    <row r="177" spans="1:47" x14ac:dyDescent="0.25">
      <c r="A177" s="102"/>
      <c r="B177" s="103"/>
      <c r="C177" s="103"/>
      <c r="D177" s="103"/>
      <c r="E177" s="103"/>
      <c r="F177" s="103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</row>
    <row r="178" spans="1:47" x14ac:dyDescent="0.25">
      <c r="A178" s="102"/>
      <c r="B178" s="103"/>
      <c r="C178" s="103"/>
      <c r="D178" s="103"/>
      <c r="E178" s="103"/>
      <c r="F178" s="103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</row>
    <row r="179" spans="1:47" x14ac:dyDescent="0.25">
      <c r="A179" s="102"/>
      <c r="B179" s="103"/>
      <c r="C179" s="103"/>
      <c r="D179" s="103"/>
      <c r="E179" s="103"/>
      <c r="F179" s="103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</row>
    <row r="180" spans="1:47" x14ac:dyDescent="0.25">
      <c r="A180" s="102"/>
      <c r="B180" s="103"/>
      <c r="C180" s="103"/>
      <c r="D180" s="103"/>
      <c r="E180" s="103"/>
      <c r="F180" s="103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</row>
    <row r="181" spans="1:47" x14ac:dyDescent="0.25">
      <c r="A181" s="102"/>
      <c r="B181" s="103"/>
      <c r="C181" s="103"/>
      <c r="D181" s="103"/>
      <c r="E181" s="103"/>
      <c r="F181" s="103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</row>
    <row r="182" spans="1:47" x14ac:dyDescent="0.25">
      <c r="A182" s="102"/>
      <c r="B182" s="103"/>
      <c r="C182" s="103"/>
      <c r="D182" s="103"/>
      <c r="E182" s="103"/>
      <c r="F182" s="103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</row>
    <row r="183" spans="1:47" x14ac:dyDescent="0.25">
      <c r="A183" s="102"/>
      <c r="B183" s="103"/>
      <c r="C183" s="103"/>
      <c r="D183" s="103"/>
      <c r="E183" s="103"/>
      <c r="F183" s="103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</row>
    <row r="184" spans="1:47" x14ac:dyDescent="0.25">
      <c r="A184" s="102"/>
      <c r="B184" s="103"/>
      <c r="C184" s="103"/>
      <c r="D184" s="103"/>
      <c r="E184" s="103"/>
      <c r="F184" s="103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</row>
    <row r="185" spans="1:47" x14ac:dyDescent="0.25">
      <c r="A185" s="102"/>
      <c r="B185" s="103"/>
      <c r="C185" s="103"/>
      <c r="D185" s="103"/>
      <c r="E185" s="103"/>
      <c r="F185" s="103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</row>
    <row r="186" spans="1:47" x14ac:dyDescent="0.25">
      <c r="A186" s="102"/>
      <c r="B186" s="103"/>
      <c r="C186" s="103"/>
      <c r="D186" s="103"/>
      <c r="E186" s="103"/>
      <c r="F186" s="103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</row>
    <row r="187" spans="1:47" x14ac:dyDescent="0.25">
      <c r="A187" s="102"/>
      <c r="B187" s="103"/>
      <c r="C187" s="103"/>
      <c r="D187" s="103"/>
      <c r="E187" s="103"/>
      <c r="F187" s="103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</row>
    <row r="188" spans="1:47" x14ac:dyDescent="0.25">
      <c r="A188" s="102"/>
      <c r="B188" s="103"/>
      <c r="C188" s="103"/>
      <c r="D188" s="103"/>
      <c r="E188" s="103"/>
      <c r="F188" s="103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</row>
    <row r="189" spans="1:47" x14ac:dyDescent="0.25">
      <c r="A189" s="102"/>
      <c r="B189" s="103"/>
      <c r="C189" s="103"/>
      <c r="D189" s="103"/>
      <c r="E189" s="103"/>
      <c r="F189" s="103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</row>
    <row r="190" spans="1:47" x14ac:dyDescent="0.25">
      <c r="A190" s="102"/>
      <c r="B190" s="103"/>
      <c r="C190" s="103"/>
      <c r="D190" s="103"/>
      <c r="E190" s="103"/>
      <c r="F190" s="103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</row>
    <row r="191" spans="1:47" x14ac:dyDescent="0.25">
      <c r="A191" s="102"/>
      <c r="B191" s="103"/>
      <c r="C191" s="103"/>
      <c r="D191" s="103"/>
      <c r="E191" s="103"/>
      <c r="F191" s="103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</row>
    <row r="192" spans="1:47" x14ac:dyDescent="0.25">
      <c r="A192" s="102"/>
      <c r="B192" s="103"/>
      <c r="C192" s="103"/>
      <c r="D192" s="103"/>
      <c r="E192" s="103"/>
      <c r="F192" s="103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</row>
    <row r="193" spans="1:47" x14ac:dyDescent="0.25">
      <c r="A193" s="102"/>
      <c r="B193" s="103"/>
      <c r="C193" s="103"/>
      <c r="D193" s="103"/>
      <c r="E193" s="103"/>
      <c r="F193" s="103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</row>
    <row r="194" spans="1:47" x14ac:dyDescent="0.25">
      <c r="A194" s="102"/>
      <c r="B194" s="103"/>
      <c r="C194" s="103"/>
      <c r="D194" s="103"/>
      <c r="E194" s="103"/>
      <c r="F194" s="103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</row>
    <row r="195" spans="1:47" x14ac:dyDescent="0.25">
      <c r="A195" s="102"/>
      <c r="B195" s="103"/>
      <c r="C195" s="103"/>
      <c r="D195" s="103"/>
      <c r="E195" s="103"/>
      <c r="F195" s="103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</row>
    <row r="196" spans="1:47" x14ac:dyDescent="0.25">
      <c r="A196" s="102"/>
      <c r="B196" s="103"/>
      <c r="C196" s="103"/>
      <c r="D196" s="103"/>
      <c r="E196" s="103"/>
      <c r="F196" s="103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</row>
    <row r="197" spans="1:47" x14ac:dyDescent="0.25">
      <c r="A197" s="102"/>
      <c r="B197" s="103"/>
      <c r="C197" s="103"/>
      <c r="D197" s="103"/>
      <c r="E197" s="103"/>
      <c r="F197" s="103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</row>
    <row r="198" spans="1:47" x14ac:dyDescent="0.25">
      <c r="A198" s="102"/>
      <c r="B198" s="103"/>
      <c r="C198" s="103"/>
      <c r="D198" s="103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</row>
    <row r="199" spans="1:47" x14ac:dyDescent="0.25">
      <c r="A199" s="102"/>
      <c r="B199" s="103"/>
      <c r="C199" s="103"/>
      <c r="D199" s="103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</row>
    <row r="200" spans="1:47" x14ac:dyDescent="0.25">
      <c r="A200" s="102"/>
      <c r="B200" s="103"/>
      <c r="C200" s="103"/>
      <c r="D200" s="103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</row>
    <row r="201" spans="1:47" x14ac:dyDescent="0.25">
      <c r="A201" s="102"/>
      <c r="B201" s="103"/>
      <c r="C201" s="103"/>
      <c r="D201" s="103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</row>
    <row r="202" spans="1:47" x14ac:dyDescent="0.25">
      <c r="A202" s="102"/>
      <c r="B202" s="103"/>
      <c r="C202" s="103"/>
      <c r="D202" s="103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</row>
    <row r="203" spans="1:47" x14ac:dyDescent="0.25">
      <c r="A203" s="102"/>
      <c r="B203" s="103"/>
      <c r="C203" s="103"/>
      <c r="D203" s="103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</row>
    <row r="204" spans="1:47" x14ac:dyDescent="0.25">
      <c r="A204" s="102"/>
      <c r="B204" s="103"/>
      <c r="C204" s="103"/>
      <c r="D204" s="103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</row>
    <row r="205" spans="1:47" x14ac:dyDescent="0.25">
      <c r="A205" s="102"/>
      <c r="B205" s="103"/>
      <c r="C205" s="103"/>
      <c r="D205" s="103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</row>
    <row r="206" spans="1:47" x14ac:dyDescent="0.25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</row>
    <row r="207" spans="1:47" x14ac:dyDescent="0.25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</row>
    <row r="208" spans="1:47" x14ac:dyDescent="0.2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</row>
    <row r="209" spans="1:47" x14ac:dyDescent="0.2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</row>
    <row r="210" spans="1:47" x14ac:dyDescent="0.2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</row>
    <row r="211" spans="1:47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</row>
    <row r="212" spans="1:47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</row>
    <row r="213" spans="1:47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</row>
    <row r="214" spans="1:47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</row>
    <row r="215" spans="1:47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</row>
    <row r="216" spans="1:47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</row>
    <row r="217" spans="1:47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</row>
    <row r="218" spans="1:47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</row>
    <row r="219" spans="1:47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</row>
    <row r="220" spans="1:47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</row>
    <row r="221" spans="1:47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</row>
    <row r="222" spans="1:47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</row>
    <row r="223" spans="1:47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</row>
    <row r="224" spans="1:47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</row>
    <row r="225" spans="1:47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</row>
    <row r="226" spans="1:47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</row>
    <row r="227" spans="1:47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</row>
    <row r="228" spans="1:47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</row>
    <row r="229" spans="1:47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</row>
    <row r="230" spans="1:47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</row>
    <row r="231" spans="1:47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</row>
    <row r="232" spans="1:47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</row>
    <row r="233" spans="1:47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</row>
    <row r="234" spans="1:47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</row>
    <row r="235" spans="1:47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</row>
    <row r="236" spans="1:47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</row>
    <row r="237" spans="1:47" x14ac:dyDescent="0.25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</row>
    <row r="238" spans="1:47" x14ac:dyDescent="0.25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</row>
    <row r="239" spans="1:47" x14ac:dyDescent="0.2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</row>
    <row r="240" spans="1:47" x14ac:dyDescent="0.25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</row>
    <row r="241" spans="1:47" x14ac:dyDescent="0.25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</row>
    <row r="242" spans="1:47" x14ac:dyDescent="0.25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</row>
    <row r="243" spans="1:47" x14ac:dyDescent="0.25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</row>
    <row r="244" spans="1:47" x14ac:dyDescent="0.25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</row>
    <row r="245" spans="1:47" x14ac:dyDescent="0.2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</row>
    <row r="246" spans="1:47" x14ac:dyDescent="0.25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</row>
    <row r="247" spans="1:47" x14ac:dyDescent="0.25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</row>
    <row r="248" spans="1:47" x14ac:dyDescent="0.25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</row>
    <row r="249" spans="1:47" x14ac:dyDescent="0.25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</row>
    <row r="250" spans="1:47" x14ac:dyDescent="0.2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</row>
    <row r="251" spans="1:47" x14ac:dyDescent="0.2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</row>
    <row r="252" spans="1:47" x14ac:dyDescent="0.2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</row>
    <row r="253" spans="1:47" x14ac:dyDescent="0.2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</row>
    <row r="254" spans="1:47" x14ac:dyDescent="0.2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</row>
    <row r="255" spans="1:47" x14ac:dyDescent="0.2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</row>
    <row r="256" spans="1:47" x14ac:dyDescent="0.25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</row>
    <row r="257" spans="1:47" x14ac:dyDescent="0.25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</row>
    <row r="258" spans="1:47" x14ac:dyDescent="0.25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</row>
    <row r="259" spans="1:47" x14ac:dyDescent="0.2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</row>
    <row r="260" spans="1:47" x14ac:dyDescent="0.2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</row>
    <row r="261" spans="1:47" x14ac:dyDescent="0.2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</row>
    <row r="262" spans="1:47" x14ac:dyDescent="0.2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</row>
    <row r="263" spans="1:47" x14ac:dyDescent="0.2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</row>
    <row r="264" spans="1:47" x14ac:dyDescent="0.2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</row>
    <row r="265" spans="1:47" x14ac:dyDescent="0.2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</row>
    <row r="266" spans="1:47" x14ac:dyDescent="0.2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</row>
    <row r="267" spans="1:47" x14ac:dyDescent="0.2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</row>
    <row r="268" spans="1:47" x14ac:dyDescent="0.2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</row>
    <row r="269" spans="1:47" x14ac:dyDescent="0.2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</row>
    <row r="270" spans="1:47" x14ac:dyDescent="0.2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</row>
    <row r="271" spans="1:47" x14ac:dyDescent="0.2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</row>
    <row r="272" spans="1:47" x14ac:dyDescent="0.2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</row>
    <row r="273" spans="1:47" x14ac:dyDescent="0.2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</row>
    <row r="274" spans="1:47" x14ac:dyDescent="0.25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</row>
    <row r="275" spans="1:47" x14ac:dyDescent="0.2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</row>
    <row r="276" spans="1:47" x14ac:dyDescent="0.25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</row>
    <row r="277" spans="1:47" x14ac:dyDescent="0.25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</row>
    <row r="278" spans="1:47" x14ac:dyDescent="0.25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</row>
    <row r="279" spans="1:47" x14ac:dyDescent="0.25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</row>
    <row r="280" spans="1:47" x14ac:dyDescent="0.25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</row>
    <row r="281" spans="1:47" x14ac:dyDescent="0.25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</row>
    <row r="282" spans="1:47" x14ac:dyDescent="0.25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</row>
    <row r="283" spans="1:47" x14ac:dyDescent="0.2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</row>
    <row r="284" spans="1:47" x14ac:dyDescent="0.25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</row>
    <row r="285" spans="1:47" x14ac:dyDescent="0.2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</row>
    <row r="286" spans="1:47" x14ac:dyDescent="0.25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</row>
    <row r="287" spans="1:47" x14ac:dyDescent="0.25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</row>
    <row r="288" spans="1:47" x14ac:dyDescent="0.25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</row>
    <row r="289" spans="1:47" x14ac:dyDescent="0.25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</row>
    <row r="290" spans="1:47" x14ac:dyDescent="0.25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</row>
    <row r="291" spans="1:47" x14ac:dyDescent="0.25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</row>
    <row r="292" spans="1:47" x14ac:dyDescent="0.25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</row>
    <row r="293" spans="1:47" x14ac:dyDescent="0.25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</row>
    <row r="294" spans="1:47" x14ac:dyDescent="0.25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</row>
    <row r="295" spans="1:47" x14ac:dyDescent="0.2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</row>
    <row r="296" spans="1:47" x14ac:dyDescent="0.25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</row>
    <row r="297" spans="1:47" x14ac:dyDescent="0.25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</row>
    <row r="298" spans="1:47" x14ac:dyDescent="0.25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</row>
    <row r="299" spans="1:47" x14ac:dyDescent="0.25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</row>
    <row r="300" spans="1:47" x14ac:dyDescent="0.25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</row>
    <row r="301" spans="1:47" x14ac:dyDescent="0.25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</row>
    <row r="302" spans="1:47" x14ac:dyDescent="0.25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</row>
    <row r="303" spans="1:47" x14ac:dyDescent="0.25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</row>
    <row r="304" spans="1:47" x14ac:dyDescent="0.25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</row>
    <row r="305" spans="1:47" x14ac:dyDescent="0.2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</row>
    <row r="306" spans="1:47" x14ac:dyDescent="0.25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</row>
    <row r="307" spans="1:47" x14ac:dyDescent="0.25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</row>
    <row r="308" spans="1:47" x14ac:dyDescent="0.25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</row>
    <row r="309" spans="1:47" x14ac:dyDescent="0.25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</row>
    <row r="310" spans="1:47" x14ac:dyDescent="0.25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</row>
    <row r="311" spans="1:47" x14ac:dyDescent="0.25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</row>
    <row r="312" spans="1:47" x14ac:dyDescent="0.25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</row>
    <row r="313" spans="1:47" x14ac:dyDescent="0.25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</row>
    <row r="314" spans="1:47" x14ac:dyDescent="0.25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</row>
    <row r="315" spans="1:47" x14ac:dyDescent="0.2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</row>
    <row r="316" spans="1:47" x14ac:dyDescent="0.25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</row>
    <row r="317" spans="1:47" x14ac:dyDescent="0.25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</row>
    <row r="318" spans="1:47" x14ac:dyDescent="0.25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</row>
    <row r="319" spans="1:47" x14ac:dyDescent="0.25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</row>
    <row r="320" spans="1:47" x14ac:dyDescent="0.25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</row>
    <row r="321" spans="1:47" x14ac:dyDescent="0.25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</row>
    <row r="322" spans="1:47" x14ac:dyDescent="0.25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</row>
    <row r="323" spans="1:47" x14ac:dyDescent="0.25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</row>
    <row r="324" spans="1:47" x14ac:dyDescent="0.25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</row>
    <row r="325" spans="1:47" x14ac:dyDescent="0.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</row>
    <row r="326" spans="1:47" x14ac:dyDescent="0.25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</row>
    <row r="327" spans="1:47" x14ac:dyDescent="0.25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</row>
    <row r="328" spans="1:47" x14ac:dyDescent="0.25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</row>
    <row r="329" spans="1:47" x14ac:dyDescent="0.25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</row>
    <row r="330" spans="1:47" x14ac:dyDescent="0.25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</row>
    <row r="331" spans="1:47" x14ac:dyDescent="0.25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</row>
    <row r="332" spans="1:47" x14ac:dyDescent="0.25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</row>
    <row r="333" spans="1:47" x14ac:dyDescent="0.25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</row>
    <row r="334" spans="1:47" x14ac:dyDescent="0.25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</row>
    <row r="335" spans="1:47" x14ac:dyDescent="0.2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</row>
    <row r="336" spans="1:47" x14ac:dyDescent="0.25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</row>
    <row r="337" spans="1:47" x14ac:dyDescent="0.25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</row>
    <row r="338" spans="1:47" x14ac:dyDescent="0.25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</row>
    <row r="339" spans="1:47" x14ac:dyDescent="0.25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</row>
    <row r="340" spans="1:47" x14ac:dyDescent="0.25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</row>
    <row r="341" spans="1:47" x14ac:dyDescent="0.25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</row>
    <row r="342" spans="1:47" x14ac:dyDescent="0.25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</row>
    <row r="343" spans="1:47" x14ac:dyDescent="0.25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</row>
    <row r="344" spans="1:47" x14ac:dyDescent="0.25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</row>
    <row r="345" spans="1:47" x14ac:dyDescent="0.2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</row>
    <row r="346" spans="1:47" x14ac:dyDescent="0.25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</row>
    <row r="347" spans="1:47" x14ac:dyDescent="0.25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</row>
    <row r="348" spans="1:47" x14ac:dyDescent="0.25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</row>
    <row r="349" spans="1:47" x14ac:dyDescent="0.25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</row>
    <row r="350" spans="1:47" x14ac:dyDescent="0.25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</row>
    <row r="351" spans="1:47" x14ac:dyDescent="0.25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</row>
    <row r="352" spans="1:47" x14ac:dyDescent="0.25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</row>
    <row r="353" spans="1:47" x14ac:dyDescent="0.25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</row>
    <row r="354" spans="1:47" x14ac:dyDescent="0.25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</row>
    <row r="355" spans="1:47" x14ac:dyDescent="0.2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</row>
    <row r="356" spans="1:47" x14ac:dyDescent="0.25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</row>
    <row r="357" spans="1:47" x14ac:dyDescent="0.25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</row>
    <row r="358" spans="1:47" x14ac:dyDescent="0.25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</row>
    <row r="359" spans="1:47" x14ac:dyDescent="0.25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</row>
    <row r="360" spans="1:47" x14ac:dyDescent="0.25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</row>
    <row r="361" spans="1:47" x14ac:dyDescent="0.25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</row>
    <row r="362" spans="1:47" x14ac:dyDescent="0.25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</row>
    <row r="363" spans="1:47" x14ac:dyDescent="0.25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</row>
    <row r="364" spans="1:47" x14ac:dyDescent="0.25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</row>
    <row r="365" spans="1:47" x14ac:dyDescent="0.2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</row>
    <row r="366" spans="1:47" x14ac:dyDescent="0.25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</row>
    <row r="367" spans="1:47" x14ac:dyDescent="0.25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</row>
    <row r="368" spans="1:47" x14ac:dyDescent="0.25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</row>
    <row r="369" spans="1:47" x14ac:dyDescent="0.25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</row>
    <row r="370" spans="1:47" x14ac:dyDescent="0.25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</row>
    <row r="371" spans="1:47" x14ac:dyDescent="0.25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</row>
    <row r="372" spans="1:47" x14ac:dyDescent="0.25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</row>
    <row r="373" spans="1:47" x14ac:dyDescent="0.25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</row>
    <row r="374" spans="1:47" x14ac:dyDescent="0.25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</row>
    <row r="375" spans="1:47" x14ac:dyDescent="0.2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</row>
    <row r="376" spans="1:47" x14ac:dyDescent="0.25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</row>
    <row r="377" spans="1:47" x14ac:dyDescent="0.25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</row>
    <row r="378" spans="1:47" x14ac:dyDescent="0.25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</row>
    <row r="379" spans="1:47" x14ac:dyDescent="0.25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</row>
    <row r="380" spans="1:47" x14ac:dyDescent="0.25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</row>
    <row r="381" spans="1:47" x14ac:dyDescent="0.25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</row>
    <row r="382" spans="1:47" x14ac:dyDescent="0.25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</row>
    <row r="383" spans="1:47" x14ac:dyDescent="0.25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</row>
    <row r="384" spans="1:47" x14ac:dyDescent="0.25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</row>
    <row r="385" spans="1:47" x14ac:dyDescent="0.2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</row>
    <row r="386" spans="1:47" x14ac:dyDescent="0.25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</row>
    <row r="387" spans="1:47" x14ac:dyDescent="0.25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</row>
    <row r="388" spans="1:47" x14ac:dyDescent="0.25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</row>
    <row r="389" spans="1:47" x14ac:dyDescent="0.25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</row>
    <row r="390" spans="1:47" x14ac:dyDescent="0.25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</row>
    <row r="391" spans="1:47" x14ac:dyDescent="0.25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</row>
    <row r="392" spans="1:47" x14ac:dyDescent="0.25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</row>
    <row r="393" spans="1:47" x14ac:dyDescent="0.25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</row>
    <row r="394" spans="1:47" x14ac:dyDescent="0.25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</row>
    <row r="395" spans="1:47" x14ac:dyDescent="0.2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</row>
    <row r="396" spans="1:47" x14ac:dyDescent="0.25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</row>
    <row r="397" spans="1:47" x14ac:dyDescent="0.25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</row>
    <row r="398" spans="1:47" x14ac:dyDescent="0.25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</row>
    <row r="399" spans="1:47" x14ac:dyDescent="0.25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</row>
    <row r="400" spans="1:47" x14ac:dyDescent="0.25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</row>
    <row r="401" spans="1:47" x14ac:dyDescent="0.25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</row>
    <row r="402" spans="1:47" x14ac:dyDescent="0.25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</row>
    <row r="403" spans="1:47" x14ac:dyDescent="0.25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</row>
    <row r="404" spans="1:47" x14ac:dyDescent="0.25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</row>
    <row r="405" spans="1:47" x14ac:dyDescent="0.2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</row>
    <row r="406" spans="1:47" x14ac:dyDescent="0.25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</row>
    <row r="407" spans="1:47" x14ac:dyDescent="0.25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</row>
    <row r="408" spans="1:47" x14ac:dyDescent="0.25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</row>
    <row r="409" spans="1:47" x14ac:dyDescent="0.25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</row>
    <row r="410" spans="1:47" x14ac:dyDescent="0.25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</row>
    <row r="411" spans="1:47" x14ac:dyDescent="0.25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</row>
    <row r="412" spans="1:47" x14ac:dyDescent="0.25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</row>
    <row r="413" spans="1:47" x14ac:dyDescent="0.25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</row>
    <row r="414" spans="1:47" x14ac:dyDescent="0.25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</row>
    <row r="415" spans="1:47" x14ac:dyDescent="0.2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</row>
    <row r="416" spans="1:47" x14ac:dyDescent="0.25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</row>
    <row r="417" spans="1:47" x14ac:dyDescent="0.25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</row>
    <row r="418" spans="1:47" x14ac:dyDescent="0.25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</row>
    <row r="419" spans="1:47" x14ac:dyDescent="0.25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</row>
    <row r="420" spans="1:47" x14ac:dyDescent="0.25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</row>
    <row r="421" spans="1:47" x14ac:dyDescent="0.25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</row>
    <row r="422" spans="1:47" x14ac:dyDescent="0.25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</row>
    <row r="423" spans="1:47" x14ac:dyDescent="0.25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</row>
    <row r="424" spans="1:47" x14ac:dyDescent="0.25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</row>
    <row r="425" spans="1:47" x14ac:dyDescent="0.2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</row>
    <row r="426" spans="1:47" x14ac:dyDescent="0.25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</row>
    <row r="427" spans="1:47" x14ac:dyDescent="0.25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</row>
    <row r="428" spans="1:47" x14ac:dyDescent="0.25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</row>
    <row r="429" spans="1:47" x14ac:dyDescent="0.25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</row>
    <row r="430" spans="1:47" x14ac:dyDescent="0.25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</row>
    <row r="431" spans="1:47" x14ac:dyDescent="0.25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</row>
    <row r="432" spans="1:47" x14ac:dyDescent="0.25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</row>
    <row r="433" spans="1:47" x14ac:dyDescent="0.25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</row>
    <row r="434" spans="1:47" x14ac:dyDescent="0.25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</row>
    <row r="435" spans="1:47" x14ac:dyDescent="0.25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</row>
    <row r="436" spans="1:47" x14ac:dyDescent="0.25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</row>
    <row r="437" spans="1:47" x14ac:dyDescent="0.25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</row>
    <row r="438" spans="1:47" x14ac:dyDescent="0.25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</row>
    <row r="439" spans="1:47" x14ac:dyDescent="0.25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</row>
    <row r="440" spans="1:47" x14ac:dyDescent="0.25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</row>
    <row r="441" spans="1:47" x14ac:dyDescent="0.25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</row>
    <row r="442" spans="1:47" x14ac:dyDescent="0.25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</row>
    <row r="443" spans="1:47" x14ac:dyDescent="0.25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</row>
    <row r="444" spans="1:47" x14ac:dyDescent="0.25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</row>
    <row r="445" spans="1:47" x14ac:dyDescent="0.25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</row>
    <row r="446" spans="1:47" x14ac:dyDescent="0.25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</row>
    <row r="447" spans="1:47" x14ac:dyDescent="0.25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</row>
    <row r="448" spans="1:47" x14ac:dyDescent="0.25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</row>
    <row r="449" spans="1:47" x14ac:dyDescent="0.25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</row>
    <row r="450" spans="1:47" x14ac:dyDescent="0.25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</row>
    <row r="451" spans="1:47" x14ac:dyDescent="0.25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</row>
    <row r="452" spans="1:47" x14ac:dyDescent="0.25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</row>
    <row r="453" spans="1:47" x14ac:dyDescent="0.25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</row>
    <row r="454" spans="1:47" x14ac:dyDescent="0.25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</row>
    <row r="455" spans="1:47" x14ac:dyDescent="0.25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</row>
    <row r="456" spans="1:47" x14ac:dyDescent="0.25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</row>
    <row r="457" spans="1:47" x14ac:dyDescent="0.25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</row>
    <row r="458" spans="1:47" x14ac:dyDescent="0.25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</row>
    <row r="459" spans="1:47" x14ac:dyDescent="0.25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</row>
    <row r="460" spans="1:47" x14ac:dyDescent="0.25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</row>
    <row r="461" spans="1:47" x14ac:dyDescent="0.25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</row>
    <row r="462" spans="1:47" x14ac:dyDescent="0.25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</row>
    <row r="463" spans="1:47" x14ac:dyDescent="0.25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</row>
    <row r="464" spans="1:47" x14ac:dyDescent="0.25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</row>
    <row r="465" spans="1:47" x14ac:dyDescent="0.25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</row>
    <row r="466" spans="1:47" x14ac:dyDescent="0.25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</row>
    <row r="467" spans="1:47" x14ac:dyDescent="0.25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</row>
    <row r="468" spans="1:47" x14ac:dyDescent="0.25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</row>
    <row r="469" spans="1:47" x14ac:dyDescent="0.25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</row>
    <row r="470" spans="1:47" x14ac:dyDescent="0.25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</row>
    <row r="471" spans="1:47" x14ac:dyDescent="0.25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</row>
    <row r="472" spans="1:47" x14ac:dyDescent="0.25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</row>
    <row r="473" spans="1:47" x14ac:dyDescent="0.25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</row>
    <row r="474" spans="1:47" x14ac:dyDescent="0.25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</row>
    <row r="475" spans="1:47" x14ac:dyDescent="0.25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</row>
    <row r="476" spans="1:47" x14ac:dyDescent="0.25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</row>
    <row r="477" spans="1:47" x14ac:dyDescent="0.25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</row>
    <row r="478" spans="1:47" x14ac:dyDescent="0.25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</row>
    <row r="479" spans="1:47" x14ac:dyDescent="0.25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</row>
    <row r="480" spans="1:47" x14ac:dyDescent="0.25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</row>
    <row r="481" spans="1:47" x14ac:dyDescent="0.25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</row>
    <row r="482" spans="1:47" x14ac:dyDescent="0.25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</row>
    <row r="483" spans="1:47" x14ac:dyDescent="0.25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</row>
    <row r="484" spans="1:47" x14ac:dyDescent="0.25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</row>
    <row r="485" spans="1:47" x14ac:dyDescent="0.25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</row>
    <row r="486" spans="1:47" x14ac:dyDescent="0.25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</row>
    <row r="487" spans="1:47" x14ac:dyDescent="0.25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</row>
    <row r="488" spans="1:47" x14ac:dyDescent="0.25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</row>
    <row r="489" spans="1:47" x14ac:dyDescent="0.25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</row>
    <row r="490" spans="1:47" x14ac:dyDescent="0.25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</row>
    <row r="491" spans="1:47" x14ac:dyDescent="0.25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</row>
    <row r="492" spans="1:47" x14ac:dyDescent="0.25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</row>
    <row r="493" spans="1:47" x14ac:dyDescent="0.25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</row>
    <row r="494" spans="1:47" x14ac:dyDescent="0.25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</row>
    <row r="495" spans="1:47" x14ac:dyDescent="0.25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</row>
    <row r="496" spans="1:47" x14ac:dyDescent="0.25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</row>
    <row r="497" spans="1:47" x14ac:dyDescent="0.25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</row>
    <row r="498" spans="1:47" x14ac:dyDescent="0.25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</row>
    <row r="499" spans="1:47" x14ac:dyDescent="0.25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</row>
    <row r="500" spans="1:47" x14ac:dyDescent="0.25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</row>
    <row r="501" spans="1:47" x14ac:dyDescent="0.25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</row>
    <row r="502" spans="1:47" x14ac:dyDescent="0.25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</row>
    <row r="503" spans="1:47" x14ac:dyDescent="0.25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</row>
    <row r="504" spans="1:47" x14ac:dyDescent="0.25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</row>
    <row r="505" spans="1:47" x14ac:dyDescent="0.25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</row>
    <row r="506" spans="1:47" x14ac:dyDescent="0.25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</row>
    <row r="507" spans="1:47" x14ac:dyDescent="0.25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</row>
    <row r="508" spans="1:47" x14ac:dyDescent="0.25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</row>
    <row r="509" spans="1:47" x14ac:dyDescent="0.25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</row>
    <row r="510" spans="1:47" x14ac:dyDescent="0.25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</row>
    <row r="511" spans="1:47" x14ac:dyDescent="0.25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</row>
    <row r="512" spans="1:47" x14ac:dyDescent="0.25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</row>
    <row r="513" spans="1:47" x14ac:dyDescent="0.25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</row>
    <row r="514" spans="1:47" x14ac:dyDescent="0.25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</row>
    <row r="515" spans="1:47" x14ac:dyDescent="0.25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</row>
    <row r="516" spans="1:47" x14ac:dyDescent="0.25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</row>
    <row r="517" spans="1:47" x14ac:dyDescent="0.25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</row>
    <row r="518" spans="1:47" x14ac:dyDescent="0.25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</row>
    <row r="519" spans="1:47" x14ac:dyDescent="0.25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</row>
    <row r="520" spans="1:47" x14ac:dyDescent="0.25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</row>
    <row r="521" spans="1:47" x14ac:dyDescent="0.25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</row>
    <row r="522" spans="1:47" x14ac:dyDescent="0.25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</row>
    <row r="523" spans="1:47" x14ac:dyDescent="0.25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</row>
    <row r="524" spans="1:47" x14ac:dyDescent="0.25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</row>
    <row r="525" spans="1:47" x14ac:dyDescent="0.25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</row>
    <row r="526" spans="1:47" x14ac:dyDescent="0.25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</row>
    <row r="527" spans="1:47" x14ac:dyDescent="0.25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</row>
    <row r="528" spans="1:47" x14ac:dyDescent="0.25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</row>
    <row r="529" spans="1:47" x14ac:dyDescent="0.25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</row>
    <row r="530" spans="1:47" x14ac:dyDescent="0.25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</row>
    <row r="531" spans="1:47" x14ac:dyDescent="0.25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</row>
    <row r="532" spans="1:47" x14ac:dyDescent="0.25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</row>
    <row r="533" spans="1:47" x14ac:dyDescent="0.25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</row>
    <row r="534" spans="1:47" x14ac:dyDescent="0.25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</row>
    <row r="535" spans="1:47" x14ac:dyDescent="0.25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</row>
    <row r="536" spans="1:47" x14ac:dyDescent="0.25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</row>
    <row r="537" spans="1:47" x14ac:dyDescent="0.25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</row>
    <row r="538" spans="1:47" x14ac:dyDescent="0.25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</row>
    <row r="539" spans="1:47" x14ac:dyDescent="0.25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</row>
    <row r="540" spans="1:47" x14ac:dyDescent="0.25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</row>
    <row r="541" spans="1:47" x14ac:dyDescent="0.25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</row>
    <row r="542" spans="1:47" x14ac:dyDescent="0.25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</row>
    <row r="543" spans="1:47" x14ac:dyDescent="0.25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</row>
    <row r="544" spans="1:47" x14ac:dyDescent="0.25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</row>
    <row r="545" spans="1:47" x14ac:dyDescent="0.25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</row>
    <row r="546" spans="1:47" x14ac:dyDescent="0.25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</row>
    <row r="547" spans="1:47" x14ac:dyDescent="0.25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</row>
    <row r="548" spans="1:47" x14ac:dyDescent="0.25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</row>
    <row r="549" spans="1:47" x14ac:dyDescent="0.25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</row>
    <row r="550" spans="1:47" x14ac:dyDescent="0.25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</row>
    <row r="551" spans="1:47" x14ac:dyDescent="0.25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</row>
    <row r="552" spans="1:47" x14ac:dyDescent="0.25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</row>
    <row r="553" spans="1:47" x14ac:dyDescent="0.25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</row>
    <row r="554" spans="1:47" x14ac:dyDescent="0.25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</row>
    <row r="555" spans="1:47" x14ac:dyDescent="0.25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</row>
    <row r="556" spans="1:47" x14ac:dyDescent="0.25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</row>
    <row r="557" spans="1:47" x14ac:dyDescent="0.25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</row>
    <row r="558" spans="1:47" x14ac:dyDescent="0.25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</row>
    <row r="559" spans="1:47" x14ac:dyDescent="0.25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</row>
    <row r="560" spans="1:47" x14ac:dyDescent="0.25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</row>
    <row r="561" spans="1:47" x14ac:dyDescent="0.25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</row>
    <row r="562" spans="1:47" x14ac:dyDescent="0.25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</row>
    <row r="563" spans="1:47" x14ac:dyDescent="0.25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</row>
    <row r="564" spans="1:47" x14ac:dyDescent="0.25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</row>
    <row r="565" spans="1:47" x14ac:dyDescent="0.25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</row>
    <row r="566" spans="1:47" x14ac:dyDescent="0.25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</row>
    <row r="567" spans="1:47" x14ac:dyDescent="0.25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</row>
    <row r="568" spans="1:47" x14ac:dyDescent="0.25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</row>
    <row r="569" spans="1:47" x14ac:dyDescent="0.25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</row>
    <row r="570" spans="1:47" x14ac:dyDescent="0.25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</row>
    <row r="571" spans="1:47" x14ac:dyDescent="0.25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</row>
    <row r="572" spans="1:47" x14ac:dyDescent="0.25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</row>
    <row r="573" spans="1:47" x14ac:dyDescent="0.25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</row>
    <row r="574" spans="1:47" x14ac:dyDescent="0.25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</row>
    <row r="575" spans="1:47" x14ac:dyDescent="0.25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</row>
    <row r="576" spans="1:47" x14ac:dyDescent="0.25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</row>
    <row r="577" spans="1:47" x14ac:dyDescent="0.25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</row>
    <row r="578" spans="1:47" x14ac:dyDescent="0.25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</row>
    <row r="579" spans="1:47" x14ac:dyDescent="0.25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</row>
    <row r="580" spans="1:47" x14ac:dyDescent="0.25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</row>
    <row r="581" spans="1:47" x14ac:dyDescent="0.25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</row>
    <row r="582" spans="1:47" x14ac:dyDescent="0.25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</row>
    <row r="583" spans="1:47" x14ac:dyDescent="0.25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</row>
    <row r="584" spans="1:47" x14ac:dyDescent="0.25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</row>
    <row r="585" spans="1:47" x14ac:dyDescent="0.25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</row>
    <row r="586" spans="1:47" x14ac:dyDescent="0.25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</row>
    <row r="587" spans="1:47" x14ac:dyDescent="0.25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</row>
    <row r="588" spans="1:47" x14ac:dyDescent="0.25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</row>
    <row r="589" spans="1:47" x14ac:dyDescent="0.25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</row>
    <row r="590" spans="1:47" x14ac:dyDescent="0.25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</row>
    <row r="591" spans="1:47" x14ac:dyDescent="0.25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</row>
    <row r="592" spans="1:47" x14ac:dyDescent="0.25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</row>
    <row r="593" spans="1:47" x14ac:dyDescent="0.25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</row>
    <row r="594" spans="1:47" x14ac:dyDescent="0.25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</row>
    <row r="595" spans="1:47" x14ac:dyDescent="0.25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</row>
    <row r="596" spans="1:47" x14ac:dyDescent="0.25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</row>
    <row r="597" spans="1:47" x14ac:dyDescent="0.25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</row>
    <row r="598" spans="1:47" x14ac:dyDescent="0.25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</row>
    <row r="599" spans="1:47" x14ac:dyDescent="0.25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</row>
    <row r="600" spans="1:47" x14ac:dyDescent="0.25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</row>
    <row r="601" spans="1:47" x14ac:dyDescent="0.25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</row>
    <row r="602" spans="1:47" x14ac:dyDescent="0.25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</row>
    <row r="603" spans="1:47" x14ac:dyDescent="0.25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</row>
    <row r="604" spans="1:47" x14ac:dyDescent="0.25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</row>
    <row r="605" spans="1:47" x14ac:dyDescent="0.25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</row>
    <row r="606" spans="1:47" x14ac:dyDescent="0.25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</row>
    <row r="607" spans="1:47" x14ac:dyDescent="0.25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</row>
    <row r="608" spans="1:47" x14ac:dyDescent="0.25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</row>
    <row r="609" spans="1:47" x14ac:dyDescent="0.25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</row>
    <row r="610" spans="1:47" x14ac:dyDescent="0.25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</row>
    <row r="611" spans="1:47" x14ac:dyDescent="0.25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</row>
    <row r="612" spans="1:47" x14ac:dyDescent="0.25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</row>
    <row r="613" spans="1:47" x14ac:dyDescent="0.25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</row>
    <row r="614" spans="1:47" x14ac:dyDescent="0.25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</row>
    <row r="615" spans="1:47" x14ac:dyDescent="0.25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</row>
    <row r="616" spans="1:47" x14ac:dyDescent="0.25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</row>
    <row r="617" spans="1:47" x14ac:dyDescent="0.25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</row>
    <row r="618" spans="1:47" x14ac:dyDescent="0.25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</row>
    <row r="619" spans="1:47" x14ac:dyDescent="0.25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</row>
    <row r="620" spans="1:47" x14ac:dyDescent="0.25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</row>
    <row r="621" spans="1:47" x14ac:dyDescent="0.25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</row>
    <row r="622" spans="1:47" x14ac:dyDescent="0.25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</row>
    <row r="623" spans="1:47" x14ac:dyDescent="0.25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</row>
    <row r="624" spans="1:47" x14ac:dyDescent="0.25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</row>
    <row r="625" spans="1:47" x14ac:dyDescent="0.25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</row>
    <row r="626" spans="1:47" x14ac:dyDescent="0.25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</row>
    <row r="627" spans="1:47" x14ac:dyDescent="0.25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</row>
    <row r="628" spans="1:47" x14ac:dyDescent="0.25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</row>
    <row r="629" spans="1:47" x14ac:dyDescent="0.25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</row>
    <row r="630" spans="1:47" x14ac:dyDescent="0.25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</row>
    <row r="631" spans="1:47" x14ac:dyDescent="0.25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</row>
    <row r="632" spans="1:47" x14ac:dyDescent="0.25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</row>
    <row r="633" spans="1:47" x14ac:dyDescent="0.25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</row>
    <row r="634" spans="1:47" x14ac:dyDescent="0.25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</row>
    <row r="635" spans="1:47" x14ac:dyDescent="0.25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</row>
    <row r="636" spans="1:47" x14ac:dyDescent="0.25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</row>
    <row r="637" spans="1:47" x14ac:dyDescent="0.25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</row>
    <row r="638" spans="1:47" x14ac:dyDescent="0.25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</row>
    <row r="639" spans="1:47" x14ac:dyDescent="0.25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</row>
    <row r="640" spans="1:47" x14ac:dyDescent="0.25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</row>
    <row r="641" spans="1:47" x14ac:dyDescent="0.25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</row>
    <row r="642" spans="1:47" x14ac:dyDescent="0.25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</row>
    <row r="643" spans="1:47" x14ac:dyDescent="0.25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</row>
    <row r="644" spans="1:47" x14ac:dyDescent="0.25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</row>
    <row r="645" spans="1:47" x14ac:dyDescent="0.25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</row>
    <row r="646" spans="1:47" x14ac:dyDescent="0.25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</row>
    <row r="647" spans="1:47" x14ac:dyDescent="0.25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</row>
    <row r="648" spans="1:47" x14ac:dyDescent="0.25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</row>
    <row r="649" spans="1:47" x14ac:dyDescent="0.25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</row>
    <row r="650" spans="1:47" x14ac:dyDescent="0.25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</row>
    <row r="651" spans="1:47" x14ac:dyDescent="0.25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</row>
    <row r="652" spans="1:47" x14ac:dyDescent="0.25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</row>
    <row r="653" spans="1:47" x14ac:dyDescent="0.25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</row>
    <row r="654" spans="1:47" x14ac:dyDescent="0.25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</row>
    <row r="655" spans="1:47" x14ac:dyDescent="0.25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</row>
    <row r="656" spans="1:47" x14ac:dyDescent="0.25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</row>
    <row r="657" spans="1:47" x14ac:dyDescent="0.25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</row>
    <row r="658" spans="1:47" x14ac:dyDescent="0.25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</row>
    <row r="659" spans="1:47" x14ac:dyDescent="0.25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</row>
    <row r="660" spans="1:47" x14ac:dyDescent="0.25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</row>
    <row r="661" spans="1:47" x14ac:dyDescent="0.25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</row>
    <row r="662" spans="1:47" x14ac:dyDescent="0.25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</row>
    <row r="663" spans="1:47" x14ac:dyDescent="0.25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</row>
    <row r="664" spans="1:47" x14ac:dyDescent="0.25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</row>
    <row r="665" spans="1:47" x14ac:dyDescent="0.25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</row>
    <row r="666" spans="1:47" x14ac:dyDescent="0.25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</row>
    <row r="667" spans="1:47" x14ac:dyDescent="0.25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</row>
    <row r="668" spans="1:47" x14ac:dyDescent="0.25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</row>
    <row r="669" spans="1:47" x14ac:dyDescent="0.25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</row>
    <row r="670" spans="1:47" x14ac:dyDescent="0.25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</row>
    <row r="671" spans="1:47" x14ac:dyDescent="0.25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</row>
    <row r="672" spans="1:47" x14ac:dyDescent="0.25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</row>
    <row r="673" spans="1:47" x14ac:dyDescent="0.25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</row>
    <row r="674" spans="1:47" x14ac:dyDescent="0.25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</row>
    <row r="675" spans="1:47" x14ac:dyDescent="0.25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</row>
    <row r="676" spans="1:47" x14ac:dyDescent="0.25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</row>
    <row r="677" spans="1:47" x14ac:dyDescent="0.25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</row>
    <row r="678" spans="1:47" x14ac:dyDescent="0.25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</row>
    <row r="679" spans="1:47" x14ac:dyDescent="0.25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</row>
    <row r="680" spans="1:47" x14ac:dyDescent="0.25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</row>
    <row r="681" spans="1:47" x14ac:dyDescent="0.25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</row>
    <row r="682" spans="1:47" x14ac:dyDescent="0.25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</row>
    <row r="683" spans="1:47" x14ac:dyDescent="0.25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</row>
    <row r="684" spans="1:47" x14ac:dyDescent="0.25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</row>
    <row r="685" spans="1:47" x14ac:dyDescent="0.25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</row>
    <row r="686" spans="1:47" x14ac:dyDescent="0.25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</row>
    <row r="687" spans="1:47" x14ac:dyDescent="0.25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</row>
    <row r="688" spans="1:47" x14ac:dyDescent="0.25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</row>
    <row r="689" spans="1:47" x14ac:dyDescent="0.25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</row>
    <row r="690" spans="1:47" x14ac:dyDescent="0.25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</row>
    <row r="691" spans="1:47" x14ac:dyDescent="0.25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</row>
    <row r="692" spans="1:47" x14ac:dyDescent="0.25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</row>
    <row r="693" spans="1:47" x14ac:dyDescent="0.25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</row>
    <row r="694" spans="1:47" x14ac:dyDescent="0.25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</row>
    <row r="695" spans="1:47" x14ac:dyDescent="0.25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</row>
    <row r="696" spans="1:47" x14ac:dyDescent="0.25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</row>
    <row r="697" spans="1:47" x14ac:dyDescent="0.25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</row>
    <row r="698" spans="1:47" x14ac:dyDescent="0.25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</row>
    <row r="699" spans="1:47" x14ac:dyDescent="0.25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</row>
    <row r="700" spans="1:47" x14ac:dyDescent="0.25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</row>
    <row r="701" spans="1:47" x14ac:dyDescent="0.25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</row>
    <row r="702" spans="1:47" x14ac:dyDescent="0.25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</row>
    <row r="703" spans="1:47" x14ac:dyDescent="0.25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</row>
    <row r="704" spans="1:47" x14ac:dyDescent="0.25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</row>
    <row r="705" spans="1:47" x14ac:dyDescent="0.25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</row>
    <row r="706" spans="1:47" x14ac:dyDescent="0.25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</row>
    <row r="707" spans="1:47" x14ac:dyDescent="0.25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</row>
    <row r="708" spans="1:47" x14ac:dyDescent="0.25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</row>
    <row r="709" spans="1:47" x14ac:dyDescent="0.25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</row>
    <row r="710" spans="1:47" x14ac:dyDescent="0.25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</row>
    <row r="711" spans="1:47" x14ac:dyDescent="0.25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</row>
    <row r="712" spans="1:47" x14ac:dyDescent="0.25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</row>
    <row r="713" spans="1:47" x14ac:dyDescent="0.25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</row>
    <row r="714" spans="1:47" x14ac:dyDescent="0.25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</row>
    <row r="715" spans="1:47" x14ac:dyDescent="0.25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</row>
    <row r="716" spans="1:47" x14ac:dyDescent="0.25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</row>
    <row r="717" spans="1:47" x14ac:dyDescent="0.25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</row>
    <row r="718" spans="1:47" x14ac:dyDescent="0.25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</row>
    <row r="719" spans="1:47" x14ac:dyDescent="0.25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</row>
    <row r="720" spans="1:47" x14ac:dyDescent="0.25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</row>
    <row r="721" spans="1:47" x14ac:dyDescent="0.25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</row>
    <row r="722" spans="1:47" x14ac:dyDescent="0.25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</row>
    <row r="723" spans="1:47" x14ac:dyDescent="0.25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</row>
    <row r="724" spans="1:47" x14ac:dyDescent="0.25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</row>
    <row r="725" spans="1:47" x14ac:dyDescent="0.25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</row>
    <row r="726" spans="1:47" x14ac:dyDescent="0.25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</row>
    <row r="727" spans="1:47" x14ac:dyDescent="0.25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</row>
    <row r="728" spans="1:47" x14ac:dyDescent="0.25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</row>
    <row r="729" spans="1:47" x14ac:dyDescent="0.25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</row>
    <row r="730" spans="1:47" x14ac:dyDescent="0.25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</row>
    <row r="731" spans="1:47" x14ac:dyDescent="0.25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</row>
    <row r="732" spans="1:47" x14ac:dyDescent="0.25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</row>
    <row r="733" spans="1:47" x14ac:dyDescent="0.25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</row>
    <row r="734" spans="1:47" x14ac:dyDescent="0.25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</row>
    <row r="735" spans="1:47" x14ac:dyDescent="0.25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</row>
    <row r="736" spans="1:47" x14ac:dyDescent="0.25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</row>
    <row r="737" spans="1:47" x14ac:dyDescent="0.25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</row>
    <row r="738" spans="1:47" x14ac:dyDescent="0.25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</row>
    <row r="739" spans="1:47" x14ac:dyDescent="0.25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</row>
    <row r="740" spans="1:47" x14ac:dyDescent="0.25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</row>
    <row r="741" spans="1:47" x14ac:dyDescent="0.25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</row>
    <row r="742" spans="1:47" x14ac:dyDescent="0.25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</row>
    <row r="743" spans="1:47" x14ac:dyDescent="0.25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</row>
    <row r="744" spans="1:47" x14ac:dyDescent="0.25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</row>
    <row r="745" spans="1:47" x14ac:dyDescent="0.25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</row>
    <row r="746" spans="1:47" x14ac:dyDescent="0.25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</row>
    <row r="747" spans="1:47" x14ac:dyDescent="0.25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</row>
    <row r="748" spans="1:47" x14ac:dyDescent="0.25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</row>
    <row r="749" spans="1:47" x14ac:dyDescent="0.25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</row>
    <row r="750" spans="1:47" x14ac:dyDescent="0.25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</row>
    <row r="751" spans="1:47" x14ac:dyDescent="0.25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</row>
    <row r="752" spans="1:47" x14ac:dyDescent="0.25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</row>
    <row r="753" spans="1:47" x14ac:dyDescent="0.25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</row>
    <row r="754" spans="1:47" x14ac:dyDescent="0.25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</row>
    <row r="755" spans="1:47" x14ac:dyDescent="0.25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</row>
    <row r="756" spans="1:47" x14ac:dyDescent="0.25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</row>
    <row r="757" spans="1:47" x14ac:dyDescent="0.25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</row>
    <row r="758" spans="1:47" x14ac:dyDescent="0.25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</row>
    <row r="759" spans="1:47" x14ac:dyDescent="0.25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</row>
    <row r="760" spans="1:47" x14ac:dyDescent="0.25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</row>
    <row r="761" spans="1:47" x14ac:dyDescent="0.25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</row>
    <row r="762" spans="1:47" x14ac:dyDescent="0.25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</row>
    <row r="763" spans="1:47" x14ac:dyDescent="0.25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</row>
    <row r="764" spans="1:47" x14ac:dyDescent="0.25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</row>
    <row r="765" spans="1:47" x14ac:dyDescent="0.25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</row>
    <row r="766" spans="1:47" x14ac:dyDescent="0.25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</row>
    <row r="767" spans="1:47" x14ac:dyDescent="0.25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</row>
    <row r="768" spans="1:47" x14ac:dyDescent="0.25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</row>
    <row r="769" spans="1:47" x14ac:dyDescent="0.25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</row>
    <row r="770" spans="1:47" x14ac:dyDescent="0.25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</row>
    <row r="771" spans="1:47" x14ac:dyDescent="0.25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</row>
    <row r="772" spans="1:47" x14ac:dyDescent="0.25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</row>
    <row r="773" spans="1:47" x14ac:dyDescent="0.25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</row>
    <row r="774" spans="1:47" x14ac:dyDescent="0.25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</row>
    <row r="775" spans="1:47" x14ac:dyDescent="0.25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</row>
    <row r="776" spans="1:47" x14ac:dyDescent="0.25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</row>
    <row r="777" spans="1:47" x14ac:dyDescent="0.25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</row>
    <row r="778" spans="1:47" x14ac:dyDescent="0.25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</row>
    <row r="779" spans="1:47" x14ac:dyDescent="0.25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</row>
    <row r="780" spans="1:47" x14ac:dyDescent="0.25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</row>
    <row r="781" spans="1:47" x14ac:dyDescent="0.25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</row>
    <row r="782" spans="1:47" x14ac:dyDescent="0.25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</row>
    <row r="783" spans="1:47" x14ac:dyDescent="0.25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</row>
    <row r="784" spans="1:47" x14ac:dyDescent="0.25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</row>
    <row r="785" spans="1:47" x14ac:dyDescent="0.25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</row>
    <row r="786" spans="1:47" x14ac:dyDescent="0.25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</row>
    <row r="787" spans="1:47" x14ac:dyDescent="0.25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</row>
    <row r="788" spans="1:47" x14ac:dyDescent="0.25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</row>
    <row r="789" spans="1:47" x14ac:dyDescent="0.25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</row>
    <row r="790" spans="1:47" x14ac:dyDescent="0.25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</row>
    <row r="791" spans="1:47" x14ac:dyDescent="0.25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</row>
    <row r="792" spans="1:47" x14ac:dyDescent="0.25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</row>
    <row r="793" spans="1:47" x14ac:dyDescent="0.25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</row>
    <row r="794" spans="1:47" x14ac:dyDescent="0.25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</row>
    <row r="795" spans="1:47" x14ac:dyDescent="0.25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</row>
    <row r="796" spans="1:47" x14ac:dyDescent="0.25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</row>
    <row r="797" spans="1:47" x14ac:dyDescent="0.25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</row>
    <row r="798" spans="1:47" x14ac:dyDescent="0.25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</row>
    <row r="799" spans="1:47" x14ac:dyDescent="0.25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</row>
    <row r="800" spans="1:47" x14ac:dyDescent="0.25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</row>
    <row r="801" spans="1:47" x14ac:dyDescent="0.25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</row>
    <row r="802" spans="1:47" x14ac:dyDescent="0.25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</row>
    <row r="803" spans="1:47" x14ac:dyDescent="0.25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</row>
    <row r="804" spans="1:47" x14ac:dyDescent="0.25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</row>
    <row r="805" spans="1:47" x14ac:dyDescent="0.25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</row>
    <row r="806" spans="1:47" x14ac:dyDescent="0.25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</row>
    <row r="807" spans="1:47" x14ac:dyDescent="0.25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</row>
    <row r="808" spans="1:47" x14ac:dyDescent="0.25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</row>
    <row r="809" spans="1:47" x14ac:dyDescent="0.25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</row>
    <row r="810" spans="1:47" x14ac:dyDescent="0.25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</row>
    <row r="811" spans="1:47" x14ac:dyDescent="0.25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</row>
    <row r="812" spans="1:47" x14ac:dyDescent="0.25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</row>
    <row r="813" spans="1:47" x14ac:dyDescent="0.25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</row>
    <row r="814" spans="1:47" x14ac:dyDescent="0.25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</row>
    <row r="815" spans="1:47" x14ac:dyDescent="0.25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</row>
    <row r="816" spans="1:47" x14ac:dyDescent="0.25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</row>
    <row r="817" spans="1:47" x14ac:dyDescent="0.25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</row>
    <row r="818" spans="1:47" x14ac:dyDescent="0.25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</row>
    <row r="819" spans="1:47" x14ac:dyDescent="0.25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</row>
    <row r="820" spans="1:47" x14ac:dyDescent="0.25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</row>
    <row r="821" spans="1:47" x14ac:dyDescent="0.25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</row>
    <row r="822" spans="1:47" x14ac:dyDescent="0.25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</row>
    <row r="823" spans="1:47" x14ac:dyDescent="0.25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</row>
    <row r="824" spans="1:47" x14ac:dyDescent="0.25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</row>
    <row r="825" spans="1:47" x14ac:dyDescent="0.25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</row>
    <row r="826" spans="1:47" x14ac:dyDescent="0.25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</row>
    <row r="827" spans="1:47" x14ac:dyDescent="0.25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</row>
    <row r="828" spans="1:47" x14ac:dyDescent="0.25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</row>
    <row r="829" spans="1:47" x14ac:dyDescent="0.25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</row>
    <row r="830" spans="1:47" x14ac:dyDescent="0.25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</row>
    <row r="831" spans="1:47" x14ac:dyDescent="0.25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</row>
    <row r="832" spans="1:47" x14ac:dyDescent="0.25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</row>
    <row r="833" spans="1:47" x14ac:dyDescent="0.25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</row>
    <row r="834" spans="1:47" x14ac:dyDescent="0.25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</row>
    <row r="835" spans="1:47" x14ac:dyDescent="0.25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</row>
    <row r="836" spans="1:47" x14ac:dyDescent="0.25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</row>
    <row r="837" spans="1:47" x14ac:dyDescent="0.25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</row>
    <row r="838" spans="1:47" x14ac:dyDescent="0.25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</row>
    <row r="839" spans="1:47" x14ac:dyDescent="0.25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</row>
    <row r="840" spans="1:47" x14ac:dyDescent="0.25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</row>
    <row r="841" spans="1:47" x14ac:dyDescent="0.25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</row>
    <row r="842" spans="1:47" x14ac:dyDescent="0.25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</row>
    <row r="843" spans="1:47" x14ac:dyDescent="0.25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</row>
    <row r="844" spans="1:47" x14ac:dyDescent="0.25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</row>
    <row r="845" spans="1:47" x14ac:dyDescent="0.25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</row>
    <row r="846" spans="1:47" x14ac:dyDescent="0.25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</row>
    <row r="847" spans="1:47" x14ac:dyDescent="0.25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</row>
    <row r="848" spans="1:47" x14ac:dyDescent="0.25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</row>
    <row r="849" spans="1:47" x14ac:dyDescent="0.25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</row>
    <row r="850" spans="1:47" x14ac:dyDescent="0.25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</row>
    <row r="851" spans="1:47" x14ac:dyDescent="0.25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</row>
    <row r="852" spans="1:47" x14ac:dyDescent="0.25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</row>
    <row r="853" spans="1:47" x14ac:dyDescent="0.25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</row>
    <row r="854" spans="1:47" x14ac:dyDescent="0.25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</row>
    <row r="855" spans="1:47" x14ac:dyDescent="0.25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</row>
    <row r="856" spans="1:47" x14ac:dyDescent="0.25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</row>
    <row r="857" spans="1:47" x14ac:dyDescent="0.25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</row>
    <row r="858" spans="1:47" x14ac:dyDescent="0.25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</row>
    <row r="859" spans="1:47" x14ac:dyDescent="0.25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</row>
    <row r="860" spans="1:47" x14ac:dyDescent="0.25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</row>
    <row r="861" spans="1:47" x14ac:dyDescent="0.25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</row>
    <row r="862" spans="1:47" x14ac:dyDescent="0.25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</row>
    <row r="863" spans="1:47" x14ac:dyDescent="0.25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</row>
    <row r="864" spans="1:47" x14ac:dyDescent="0.25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</row>
    <row r="865" spans="1:47" x14ac:dyDescent="0.25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</row>
    <row r="866" spans="1:47" x14ac:dyDescent="0.25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</row>
    <row r="867" spans="1:47" x14ac:dyDescent="0.25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</row>
    <row r="868" spans="1:47" x14ac:dyDescent="0.25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</row>
    <row r="869" spans="1:47" x14ac:dyDescent="0.25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</row>
    <row r="870" spans="1:47" x14ac:dyDescent="0.25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</row>
    <row r="871" spans="1:47" x14ac:dyDescent="0.25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</row>
    <row r="872" spans="1:47" x14ac:dyDescent="0.25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</row>
    <row r="873" spans="1:47" x14ac:dyDescent="0.25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</row>
    <row r="874" spans="1:47" x14ac:dyDescent="0.25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</row>
    <row r="875" spans="1:47" x14ac:dyDescent="0.25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</row>
    <row r="876" spans="1:47" x14ac:dyDescent="0.25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</row>
    <row r="877" spans="1:47" x14ac:dyDescent="0.25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</row>
    <row r="878" spans="1:47" x14ac:dyDescent="0.25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</row>
    <row r="879" spans="1:47" x14ac:dyDescent="0.25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</row>
    <row r="880" spans="1:47" x14ac:dyDescent="0.25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</row>
    <row r="881" spans="1:47" x14ac:dyDescent="0.25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</row>
    <row r="882" spans="1:47" x14ac:dyDescent="0.25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</row>
    <row r="883" spans="1:47" x14ac:dyDescent="0.25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</row>
    <row r="884" spans="1:47" x14ac:dyDescent="0.25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</row>
    <row r="885" spans="1:47" x14ac:dyDescent="0.25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</row>
    <row r="886" spans="1:47" x14ac:dyDescent="0.25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</row>
    <row r="887" spans="1:47" x14ac:dyDescent="0.25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</row>
    <row r="888" spans="1:47" x14ac:dyDescent="0.25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</row>
    <row r="889" spans="1:47" x14ac:dyDescent="0.25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</row>
    <row r="890" spans="1:47" x14ac:dyDescent="0.25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</row>
    <row r="891" spans="1:47" x14ac:dyDescent="0.25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</row>
    <row r="892" spans="1:47" x14ac:dyDescent="0.25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</row>
    <row r="893" spans="1:47" x14ac:dyDescent="0.25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</row>
    <row r="894" spans="1:47" x14ac:dyDescent="0.25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</row>
    <row r="895" spans="1:47" x14ac:dyDescent="0.25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</row>
    <row r="896" spans="1:47" x14ac:dyDescent="0.25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</row>
    <row r="897" spans="1:47" x14ac:dyDescent="0.25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</row>
    <row r="898" spans="1:47" x14ac:dyDescent="0.25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</row>
    <row r="899" spans="1:47" x14ac:dyDescent="0.25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</row>
    <row r="900" spans="1:47" x14ac:dyDescent="0.25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</row>
    <row r="901" spans="1:47" x14ac:dyDescent="0.25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</row>
    <row r="902" spans="1:47" x14ac:dyDescent="0.25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</row>
    <row r="903" spans="1:47" x14ac:dyDescent="0.25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</row>
    <row r="904" spans="1:47" x14ac:dyDescent="0.25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</row>
    <row r="905" spans="1:47" x14ac:dyDescent="0.25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</row>
    <row r="906" spans="1:47" x14ac:dyDescent="0.25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</row>
    <row r="907" spans="1:47" x14ac:dyDescent="0.25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</row>
    <row r="908" spans="1:47" x14ac:dyDescent="0.25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</row>
    <row r="909" spans="1:47" x14ac:dyDescent="0.25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</row>
    <row r="910" spans="1:47" x14ac:dyDescent="0.25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</row>
    <row r="911" spans="1:47" x14ac:dyDescent="0.25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</row>
    <row r="912" spans="1:47" x14ac:dyDescent="0.25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</row>
    <row r="913" spans="1:47" x14ac:dyDescent="0.25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</row>
    <row r="914" spans="1:47" x14ac:dyDescent="0.25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</row>
    <row r="915" spans="1:47" x14ac:dyDescent="0.25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</row>
    <row r="916" spans="1:47" x14ac:dyDescent="0.25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</row>
    <row r="917" spans="1:47" x14ac:dyDescent="0.25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</row>
    <row r="918" spans="1:47" x14ac:dyDescent="0.25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</row>
    <row r="919" spans="1:47" x14ac:dyDescent="0.25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</row>
    <row r="920" spans="1:47" x14ac:dyDescent="0.25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</row>
    <row r="921" spans="1:47" x14ac:dyDescent="0.25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</row>
    <row r="922" spans="1:47" x14ac:dyDescent="0.25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</row>
    <row r="923" spans="1:47" x14ac:dyDescent="0.25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</row>
    <row r="924" spans="1:47" x14ac:dyDescent="0.25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</row>
    <row r="925" spans="1:47" x14ac:dyDescent="0.25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</row>
    <row r="926" spans="1:47" x14ac:dyDescent="0.25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</row>
    <row r="927" spans="1:47" x14ac:dyDescent="0.25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</row>
    <row r="928" spans="1:47" x14ac:dyDescent="0.25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</row>
    <row r="929" spans="1:47" x14ac:dyDescent="0.25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</row>
    <row r="930" spans="1:47" x14ac:dyDescent="0.25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</row>
    <row r="931" spans="1:47" x14ac:dyDescent="0.25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</row>
    <row r="932" spans="1:47" x14ac:dyDescent="0.25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</row>
    <row r="933" spans="1:47" x14ac:dyDescent="0.25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</row>
    <row r="934" spans="1:47" x14ac:dyDescent="0.25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</row>
    <row r="935" spans="1:47" x14ac:dyDescent="0.25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</row>
    <row r="936" spans="1:47" x14ac:dyDescent="0.25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</row>
    <row r="937" spans="1:47" x14ac:dyDescent="0.25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</row>
    <row r="938" spans="1:47" x14ac:dyDescent="0.25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</row>
    <row r="939" spans="1:47" x14ac:dyDescent="0.25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</row>
    <row r="940" spans="1:47" x14ac:dyDescent="0.25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</row>
    <row r="941" spans="1:47" x14ac:dyDescent="0.25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</row>
    <row r="942" spans="1:47" x14ac:dyDescent="0.25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</row>
    <row r="943" spans="1:47" x14ac:dyDescent="0.25">
      <c r="A943" s="51"/>
      <c r="B943" s="51"/>
      <c r="C943" s="51"/>
      <c r="D943" s="51"/>
      <c r="E943" s="51"/>
      <c r="F943" s="51"/>
      <c r="G943" s="51"/>
      <c r="H943" s="51"/>
      <c r="I943" s="51"/>
      <c r="J943" s="51"/>
      <c r="K943" s="51"/>
      <c r="L943" s="51"/>
      <c r="M943" s="51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</row>
    <row r="944" spans="1:47" x14ac:dyDescent="0.25">
      <c r="A944" s="51"/>
      <c r="B944" s="51"/>
      <c r="C944" s="51"/>
      <c r="D944" s="51"/>
      <c r="E944" s="51"/>
      <c r="F944" s="51"/>
      <c r="G944" s="51"/>
      <c r="H944" s="51"/>
      <c r="I944" s="51"/>
      <c r="J944" s="51"/>
      <c r="K944" s="51"/>
      <c r="L944" s="51"/>
      <c r="M944" s="51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</row>
    <row r="945" spans="1:47" x14ac:dyDescent="0.25">
      <c r="A945" s="51"/>
      <c r="B945" s="51"/>
      <c r="C945" s="51"/>
      <c r="D945" s="51"/>
      <c r="E945" s="51"/>
      <c r="F945" s="51"/>
      <c r="G945" s="51"/>
      <c r="H945" s="51"/>
      <c r="I945" s="51"/>
      <c r="J945" s="51"/>
      <c r="K945" s="51"/>
      <c r="L945" s="51"/>
      <c r="M945" s="51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</row>
    <row r="946" spans="1:47" x14ac:dyDescent="0.25">
      <c r="A946" s="51"/>
      <c r="B946" s="51"/>
      <c r="C946" s="51"/>
      <c r="D946" s="51"/>
      <c r="E946" s="51"/>
      <c r="F946" s="51"/>
      <c r="G946" s="51"/>
      <c r="H946" s="51"/>
      <c r="I946" s="51"/>
      <c r="J946" s="51"/>
      <c r="K946" s="51"/>
      <c r="L946" s="51"/>
      <c r="M946" s="51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</row>
    <row r="947" spans="1:47" x14ac:dyDescent="0.25">
      <c r="A947" s="51"/>
      <c r="B947" s="51"/>
      <c r="C947" s="51"/>
      <c r="D947" s="51"/>
      <c r="E947" s="51"/>
      <c r="F947" s="51"/>
      <c r="G947" s="51"/>
      <c r="H947" s="51"/>
      <c r="I947" s="51"/>
      <c r="J947" s="51"/>
      <c r="K947" s="51"/>
      <c r="L947" s="51"/>
      <c r="M947" s="51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</row>
    <row r="948" spans="1:47" x14ac:dyDescent="0.25">
      <c r="A948" s="51"/>
      <c r="B948" s="51"/>
      <c r="C948" s="51"/>
      <c r="D948" s="51"/>
      <c r="E948" s="51"/>
      <c r="F948" s="51"/>
      <c r="G948" s="51"/>
      <c r="H948" s="51"/>
      <c r="I948" s="51"/>
      <c r="J948" s="51"/>
      <c r="K948" s="51"/>
      <c r="L948" s="51"/>
      <c r="M948" s="51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</row>
    <row r="949" spans="1:47" x14ac:dyDescent="0.25">
      <c r="A949" s="51"/>
      <c r="B949" s="51"/>
      <c r="C949" s="51"/>
      <c r="D949" s="51"/>
      <c r="E949" s="51"/>
      <c r="F949" s="51"/>
      <c r="G949" s="51"/>
      <c r="H949" s="51"/>
      <c r="I949" s="51"/>
      <c r="J949" s="51"/>
      <c r="K949" s="51"/>
      <c r="L949" s="51"/>
      <c r="M949" s="51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</row>
    <row r="950" spans="1:47" x14ac:dyDescent="0.25">
      <c r="A950" s="51"/>
      <c r="B950" s="51"/>
      <c r="C950" s="51"/>
      <c r="D950" s="51"/>
      <c r="E950" s="51"/>
      <c r="F950" s="51"/>
      <c r="G950" s="51"/>
      <c r="H950" s="51"/>
      <c r="I950" s="51"/>
      <c r="J950" s="51"/>
      <c r="K950" s="51"/>
      <c r="L950" s="51"/>
      <c r="M950" s="51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</row>
    <row r="951" spans="1:47" x14ac:dyDescent="0.25">
      <c r="A951" s="51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</row>
    <row r="952" spans="1:47" x14ac:dyDescent="0.25">
      <c r="A952" s="51"/>
      <c r="B952" s="51"/>
      <c r="C952" s="51"/>
      <c r="D952" s="51"/>
      <c r="E952" s="51"/>
      <c r="F952" s="51"/>
      <c r="G952" s="51"/>
      <c r="H952" s="51"/>
      <c r="I952" s="51"/>
      <c r="J952" s="51"/>
      <c r="K952" s="51"/>
      <c r="L952" s="51"/>
      <c r="M952" s="51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</row>
    <row r="953" spans="1:47" x14ac:dyDescent="0.25">
      <c r="A953" s="51"/>
      <c r="B953" s="51"/>
      <c r="C953" s="51"/>
      <c r="D953" s="51"/>
      <c r="E953" s="51"/>
      <c r="F953" s="51"/>
      <c r="G953" s="51"/>
      <c r="H953" s="51"/>
      <c r="I953" s="51"/>
      <c r="J953" s="51"/>
      <c r="K953" s="51"/>
      <c r="L953" s="51"/>
      <c r="M953" s="51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</row>
    <row r="954" spans="1:47" x14ac:dyDescent="0.25">
      <c r="A954" s="51"/>
      <c r="B954" s="51"/>
      <c r="C954" s="51"/>
      <c r="D954" s="51"/>
      <c r="E954" s="51"/>
      <c r="F954" s="51"/>
      <c r="G954" s="51"/>
      <c r="H954" s="51"/>
      <c r="I954" s="51"/>
      <c r="J954" s="51"/>
      <c r="K954" s="51"/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</row>
    <row r="955" spans="1:47" x14ac:dyDescent="0.25">
      <c r="A955" s="51"/>
      <c r="B955" s="51"/>
      <c r="C955" s="51"/>
      <c r="D955" s="51"/>
      <c r="E955" s="51"/>
      <c r="F955" s="51"/>
      <c r="G955" s="51"/>
      <c r="H955" s="51"/>
      <c r="I955" s="51"/>
      <c r="J955" s="51"/>
      <c r="K955" s="51"/>
      <c r="L955" s="51"/>
      <c r="M955" s="51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</row>
    <row r="956" spans="1:47" x14ac:dyDescent="0.25">
      <c r="A956" s="51"/>
      <c r="B956" s="51"/>
      <c r="C956" s="51"/>
      <c r="D956" s="51"/>
      <c r="E956" s="51"/>
      <c r="F956" s="51"/>
      <c r="G956" s="51"/>
      <c r="H956" s="51"/>
      <c r="I956" s="51"/>
      <c r="J956" s="51"/>
      <c r="K956" s="51"/>
      <c r="L956" s="51"/>
      <c r="M956" s="51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</row>
    <row r="957" spans="1:47" x14ac:dyDescent="0.25">
      <c r="A957" s="51"/>
      <c r="B957" s="51"/>
      <c r="C957" s="51"/>
      <c r="D957" s="51"/>
      <c r="E957" s="51"/>
      <c r="F957" s="51"/>
      <c r="G957" s="51"/>
      <c r="H957" s="51"/>
      <c r="I957" s="51"/>
      <c r="J957" s="51"/>
      <c r="K957" s="51"/>
      <c r="L957" s="51"/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</row>
    <row r="958" spans="1:47" x14ac:dyDescent="0.25">
      <c r="A958" s="51"/>
      <c r="B958" s="51"/>
      <c r="C958" s="51"/>
      <c r="D958" s="51"/>
      <c r="E958" s="51"/>
      <c r="F958" s="51"/>
      <c r="G958" s="51"/>
      <c r="H958" s="51"/>
      <c r="I958" s="51"/>
      <c r="J958" s="51"/>
      <c r="K958" s="51"/>
      <c r="L958" s="51"/>
      <c r="M958" s="51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</row>
    <row r="959" spans="1:47" x14ac:dyDescent="0.25">
      <c r="A959" s="51"/>
      <c r="B959" s="51"/>
      <c r="C959" s="51"/>
      <c r="D959" s="51"/>
      <c r="E959" s="51"/>
      <c r="F959" s="51"/>
      <c r="G959" s="51"/>
      <c r="H959" s="51"/>
      <c r="I959" s="51"/>
      <c r="J959" s="51"/>
      <c r="K959" s="51"/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</row>
    <row r="960" spans="1:47" x14ac:dyDescent="0.25">
      <c r="A960" s="51"/>
      <c r="B960" s="51"/>
      <c r="C960" s="51"/>
      <c r="D960" s="51"/>
      <c r="E960" s="51"/>
      <c r="F960" s="51"/>
      <c r="G960" s="51"/>
      <c r="H960" s="51"/>
      <c r="I960" s="51"/>
      <c r="J960" s="51"/>
      <c r="K960" s="51"/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</row>
    <row r="961" spans="1:47" x14ac:dyDescent="0.25">
      <c r="A961" s="51"/>
      <c r="B961" s="51"/>
      <c r="C961" s="51"/>
      <c r="D961" s="51"/>
      <c r="E961" s="51"/>
      <c r="F961" s="51"/>
      <c r="G961" s="51"/>
      <c r="H961" s="51"/>
      <c r="I961" s="51"/>
      <c r="J961" s="51"/>
      <c r="K961" s="51"/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</row>
    <row r="962" spans="1:47" x14ac:dyDescent="0.25">
      <c r="A962" s="51"/>
      <c r="B962" s="51"/>
      <c r="C962" s="51"/>
      <c r="D962" s="51"/>
      <c r="E962" s="51"/>
      <c r="F962" s="51"/>
      <c r="G962" s="51"/>
      <c r="H962" s="51"/>
      <c r="I962" s="51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</row>
    <row r="963" spans="1:47" x14ac:dyDescent="0.25">
      <c r="A963" s="51"/>
      <c r="B963" s="51"/>
      <c r="C963" s="51"/>
      <c r="D963" s="51"/>
      <c r="E963" s="51"/>
      <c r="F963" s="51"/>
      <c r="G963" s="51"/>
      <c r="H963" s="51"/>
      <c r="I963" s="51"/>
      <c r="J963" s="51"/>
      <c r="K963" s="51"/>
      <c r="L963" s="51"/>
      <c r="M963" s="51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</row>
    <row r="964" spans="1:47" x14ac:dyDescent="0.25">
      <c r="A964" s="51"/>
      <c r="B964" s="51"/>
      <c r="C964" s="51"/>
      <c r="D964" s="51"/>
      <c r="E964" s="51"/>
      <c r="F964" s="51"/>
      <c r="G964" s="51"/>
      <c r="H964" s="51"/>
      <c r="I964" s="51"/>
      <c r="J964" s="51"/>
      <c r="K964" s="51"/>
      <c r="L964" s="51"/>
      <c r="M964" s="51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</row>
    <row r="965" spans="1:47" x14ac:dyDescent="0.25">
      <c r="A965" s="51"/>
      <c r="B965" s="51"/>
      <c r="C965" s="51"/>
      <c r="D965" s="51"/>
      <c r="E965" s="51"/>
      <c r="F965" s="51"/>
      <c r="G965" s="51"/>
      <c r="H965" s="51"/>
      <c r="I965" s="51"/>
      <c r="J965" s="51"/>
      <c r="K965" s="51"/>
      <c r="L965" s="51"/>
      <c r="M965" s="51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</row>
    <row r="966" spans="1:47" x14ac:dyDescent="0.25">
      <c r="A966" s="51"/>
      <c r="B966" s="51"/>
      <c r="C966" s="51"/>
      <c r="D966" s="51"/>
      <c r="E966" s="51"/>
      <c r="F966" s="51"/>
      <c r="G966" s="51"/>
      <c r="H966" s="51"/>
      <c r="I966" s="51"/>
      <c r="J966" s="51"/>
      <c r="K966" s="51"/>
      <c r="L966" s="51"/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</row>
    <row r="967" spans="1:47" x14ac:dyDescent="0.25">
      <c r="A967" s="51"/>
      <c r="B967" s="51"/>
      <c r="C967" s="51"/>
      <c r="D967" s="51"/>
      <c r="E967" s="51"/>
      <c r="F967" s="51"/>
      <c r="G967" s="51"/>
      <c r="H967" s="51"/>
      <c r="I967" s="51"/>
      <c r="J967" s="51"/>
      <c r="K967" s="51"/>
      <c r="L967" s="51"/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</row>
    <row r="968" spans="1:47" x14ac:dyDescent="0.25">
      <c r="A968" s="51"/>
      <c r="B968" s="51"/>
      <c r="C968" s="51"/>
      <c r="D968" s="51"/>
      <c r="E968" s="51"/>
      <c r="F968" s="51"/>
      <c r="G968" s="51"/>
      <c r="H968" s="51"/>
      <c r="I968" s="51"/>
      <c r="J968" s="51"/>
      <c r="K968" s="51"/>
      <c r="L968" s="51"/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</row>
    <row r="969" spans="1:47" x14ac:dyDescent="0.25">
      <c r="A969" s="51"/>
      <c r="B969" s="51"/>
      <c r="C969" s="51"/>
      <c r="D969" s="51"/>
      <c r="E969" s="51"/>
      <c r="F969" s="51"/>
      <c r="G969" s="51"/>
      <c r="H969" s="51"/>
      <c r="I969" s="51"/>
      <c r="J969" s="51"/>
      <c r="K969" s="51"/>
      <c r="L969" s="51"/>
      <c r="M969" s="51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</row>
    <row r="970" spans="1:47" x14ac:dyDescent="0.25">
      <c r="A970" s="51"/>
      <c r="B970" s="51"/>
      <c r="C970" s="51"/>
      <c r="D970" s="51"/>
      <c r="E970" s="51"/>
      <c r="F970" s="51"/>
      <c r="G970" s="51"/>
      <c r="H970" s="51"/>
      <c r="I970" s="51"/>
      <c r="J970" s="51"/>
      <c r="K970" s="51"/>
      <c r="L970" s="51"/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</row>
    <row r="971" spans="1:47" x14ac:dyDescent="0.25">
      <c r="A971" s="51"/>
      <c r="B971" s="51"/>
      <c r="C971" s="51"/>
      <c r="D971" s="51"/>
      <c r="E971" s="51"/>
      <c r="F971" s="51"/>
      <c r="G971" s="51"/>
      <c r="H971" s="51"/>
      <c r="I971" s="51"/>
      <c r="J971" s="51"/>
      <c r="K971" s="51"/>
      <c r="L971" s="51"/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</row>
    <row r="972" spans="1:47" x14ac:dyDescent="0.25">
      <c r="A972" s="51"/>
      <c r="B972" s="51"/>
      <c r="C972" s="51"/>
      <c r="D972" s="51"/>
      <c r="E972" s="51"/>
      <c r="F972" s="51"/>
      <c r="G972" s="51"/>
      <c r="H972" s="51"/>
      <c r="I972" s="51"/>
      <c r="J972" s="51"/>
      <c r="K972" s="51"/>
      <c r="L972" s="51"/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</row>
    <row r="973" spans="1:47" x14ac:dyDescent="0.25">
      <c r="A973" s="51"/>
      <c r="B973" s="51"/>
      <c r="C973" s="51"/>
      <c r="D973" s="51"/>
      <c r="E973" s="51"/>
      <c r="F973" s="51"/>
      <c r="G973" s="51"/>
      <c r="H973" s="51"/>
      <c r="I973" s="51"/>
      <c r="J973" s="51"/>
      <c r="K973" s="51"/>
      <c r="L973" s="51"/>
      <c r="M973" s="51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</row>
    <row r="974" spans="1:47" x14ac:dyDescent="0.25">
      <c r="A974" s="51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</row>
    <row r="975" spans="1:47" x14ac:dyDescent="0.25">
      <c r="A975" s="51"/>
      <c r="B975" s="51"/>
      <c r="C975" s="51"/>
      <c r="D975" s="51"/>
      <c r="E975" s="51"/>
      <c r="F975" s="51"/>
      <c r="G975" s="51"/>
      <c r="H975" s="51"/>
      <c r="I975" s="51"/>
      <c r="J975" s="51"/>
      <c r="K975" s="51"/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</row>
    <row r="976" spans="1:47" x14ac:dyDescent="0.25">
      <c r="A976" s="51"/>
      <c r="B976" s="51"/>
      <c r="C976" s="51"/>
      <c r="D976" s="51"/>
      <c r="E976" s="51"/>
      <c r="F976" s="51"/>
      <c r="G976" s="51"/>
      <c r="H976" s="51"/>
      <c r="I976" s="51"/>
      <c r="J976" s="51"/>
      <c r="K976" s="51"/>
      <c r="L976" s="51"/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</row>
    <row r="977" spans="1:47" x14ac:dyDescent="0.25">
      <c r="A977" s="51"/>
      <c r="B977" s="51"/>
      <c r="C977" s="51"/>
      <c r="D977" s="51"/>
      <c r="E977" s="51"/>
      <c r="F977" s="51"/>
      <c r="G977" s="51"/>
      <c r="H977" s="51"/>
      <c r="I977" s="51"/>
      <c r="J977" s="51"/>
      <c r="K977" s="51"/>
      <c r="L977" s="51"/>
      <c r="M977" s="51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</row>
    <row r="978" spans="1:47" x14ac:dyDescent="0.25">
      <c r="A978" s="51"/>
      <c r="B978" s="51"/>
      <c r="C978" s="51"/>
      <c r="D978" s="51"/>
      <c r="E978" s="51"/>
      <c r="F978" s="51"/>
      <c r="G978" s="51"/>
      <c r="H978" s="51"/>
      <c r="I978" s="51"/>
      <c r="J978" s="51"/>
      <c r="K978" s="51"/>
      <c r="L978" s="51"/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</row>
    <row r="979" spans="1:47" x14ac:dyDescent="0.25">
      <c r="A979" s="51"/>
      <c r="B979" s="51"/>
      <c r="C979" s="51"/>
      <c r="D979" s="51"/>
      <c r="E979" s="51"/>
      <c r="F979" s="51"/>
      <c r="G979" s="51"/>
      <c r="H979" s="51"/>
      <c r="I979" s="51"/>
      <c r="J979" s="51"/>
      <c r="K979" s="51"/>
      <c r="L979" s="51"/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</row>
    <row r="980" spans="1:47" x14ac:dyDescent="0.25">
      <c r="A980" s="51"/>
      <c r="B980" s="51"/>
      <c r="C980" s="51"/>
      <c r="D980" s="51"/>
      <c r="E980" s="51"/>
      <c r="F980" s="51"/>
      <c r="G980" s="51"/>
      <c r="H980" s="51"/>
      <c r="I980" s="51"/>
      <c r="J980" s="51"/>
      <c r="K980" s="51"/>
      <c r="L980" s="51"/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</row>
    <row r="981" spans="1:47" x14ac:dyDescent="0.25">
      <c r="A981" s="51"/>
      <c r="B981" s="51"/>
      <c r="C981" s="51"/>
      <c r="D981" s="51"/>
      <c r="E981" s="51"/>
      <c r="F981" s="51"/>
      <c r="G981" s="51"/>
      <c r="H981" s="51"/>
      <c r="I981" s="51"/>
      <c r="J981" s="51"/>
      <c r="K981" s="51"/>
      <c r="L981" s="51"/>
      <c r="M981" s="51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</row>
    <row r="982" spans="1:47" x14ac:dyDescent="0.25">
      <c r="A982" s="51"/>
      <c r="B982" s="51"/>
      <c r="C982" s="51"/>
      <c r="D982" s="51"/>
      <c r="E982" s="51"/>
      <c r="F982" s="51"/>
      <c r="G982" s="51"/>
      <c r="H982" s="51"/>
      <c r="I982" s="51"/>
      <c r="J982" s="51"/>
      <c r="K982" s="51"/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</row>
    <row r="983" spans="1:47" x14ac:dyDescent="0.25">
      <c r="A983" s="51"/>
      <c r="B983" s="51"/>
      <c r="C983" s="51"/>
      <c r="D983" s="51"/>
      <c r="E983" s="51"/>
      <c r="F983" s="51"/>
      <c r="G983" s="51"/>
      <c r="H983" s="51"/>
      <c r="I983" s="51"/>
      <c r="J983" s="51"/>
      <c r="K983" s="51"/>
      <c r="L983" s="51"/>
      <c r="M983" s="51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</row>
    <row r="984" spans="1:47" x14ac:dyDescent="0.25">
      <c r="A984" s="51"/>
      <c r="B984" s="51"/>
      <c r="C984" s="51"/>
      <c r="D984" s="51"/>
      <c r="E984" s="51"/>
      <c r="F984" s="51"/>
      <c r="G984" s="51"/>
      <c r="H984" s="51"/>
      <c r="I984" s="51"/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</row>
    <row r="985" spans="1:47" x14ac:dyDescent="0.25">
      <c r="A985" s="51"/>
      <c r="B985" s="51"/>
      <c r="C985" s="51"/>
      <c r="D985" s="51"/>
      <c r="E985" s="51"/>
      <c r="F985" s="51"/>
      <c r="G985" s="51"/>
      <c r="H985" s="51"/>
      <c r="I985" s="51"/>
      <c r="J985" s="51"/>
      <c r="K985" s="51"/>
      <c r="L985" s="51"/>
      <c r="M985" s="51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</row>
    <row r="986" spans="1:47" x14ac:dyDescent="0.25">
      <c r="A986" s="51"/>
      <c r="B986" s="51"/>
      <c r="C986" s="51"/>
      <c r="D986" s="51"/>
      <c r="E986" s="51"/>
      <c r="F986" s="51"/>
      <c r="G986" s="51"/>
      <c r="H986" s="51"/>
      <c r="I986" s="51"/>
      <c r="J986" s="51"/>
      <c r="K986" s="51"/>
      <c r="L986" s="51"/>
      <c r="M986" s="51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</row>
    <row r="987" spans="1:47" x14ac:dyDescent="0.25">
      <c r="A987" s="51"/>
      <c r="B987" s="51"/>
      <c r="C987" s="51"/>
      <c r="D987" s="51"/>
      <c r="E987" s="51"/>
      <c r="F987" s="51"/>
      <c r="G987" s="51"/>
      <c r="H987" s="51"/>
      <c r="I987" s="51"/>
      <c r="J987" s="51"/>
      <c r="K987" s="51"/>
      <c r="L987" s="51"/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</row>
    <row r="988" spans="1:47" x14ac:dyDescent="0.25">
      <c r="A988" s="51"/>
      <c r="B988" s="51"/>
      <c r="C988" s="51"/>
      <c r="D988" s="51"/>
      <c r="G988" s="51"/>
      <c r="H988" s="51"/>
      <c r="I988" s="51"/>
      <c r="J988" s="51"/>
      <c r="K988" s="51"/>
      <c r="L988" s="51"/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</row>
    <row r="989" spans="1:47" x14ac:dyDescent="0.25">
      <c r="A989" s="51"/>
      <c r="B989" s="51"/>
      <c r="C989" s="51"/>
      <c r="D989" s="51"/>
      <c r="G989" s="51"/>
      <c r="H989" s="51"/>
      <c r="I989" s="51"/>
      <c r="J989" s="51"/>
      <c r="K989" s="51"/>
      <c r="L989" s="51"/>
      <c r="M989" s="51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</row>
    <row r="990" spans="1:47" x14ac:dyDescent="0.25">
      <c r="A990" s="51"/>
      <c r="B990" s="51"/>
      <c r="C990" s="51"/>
      <c r="D990" s="51"/>
      <c r="G990" s="51"/>
      <c r="H990" s="51"/>
      <c r="I990" s="51"/>
      <c r="J990" s="51"/>
      <c r="K990" s="51"/>
      <c r="L990" s="51"/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</row>
    <row r="991" spans="1:47" x14ac:dyDescent="0.25">
      <c r="A991" s="51"/>
      <c r="B991" s="51"/>
      <c r="C991" s="51"/>
      <c r="D991" s="51"/>
      <c r="G991" s="51"/>
      <c r="H991" s="51"/>
      <c r="I991" s="51"/>
      <c r="J991" s="51"/>
      <c r="K991" s="51"/>
      <c r="L991" s="51"/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</row>
    <row r="992" spans="1:47" x14ac:dyDescent="0.25">
      <c r="A992" s="51"/>
      <c r="B992" s="51"/>
      <c r="C992" s="51"/>
      <c r="D992" s="51"/>
      <c r="G992" s="51"/>
      <c r="H992" s="51"/>
      <c r="I992" s="51"/>
      <c r="J992" s="51"/>
      <c r="K992" s="51"/>
      <c r="L992" s="51"/>
      <c r="M992" s="51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</row>
    <row r="993" spans="1:47" x14ac:dyDescent="0.25">
      <c r="A993" s="51"/>
      <c r="B993" s="51"/>
      <c r="C993" s="51"/>
      <c r="D993" s="51"/>
      <c r="G993" s="51"/>
      <c r="H993" s="51"/>
      <c r="I993" s="51"/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</row>
    <row r="994" spans="1:47" x14ac:dyDescent="0.25">
      <c r="A994" s="51"/>
      <c r="B994" s="51"/>
      <c r="C994" s="51"/>
      <c r="D994" s="51"/>
      <c r="G994" s="51"/>
      <c r="H994" s="51"/>
      <c r="I994" s="51"/>
      <c r="J994" s="51"/>
      <c r="K994" s="51"/>
      <c r="L994" s="51"/>
      <c r="M994" s="51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</row>
    <row r="995" spans="1:47" x14ac:dyDescent="0.25">
      <c r="A995" s="51"/>
      <c r="B995" s="51"/>
      <c r="C995" s="51"/>
      <c r="D995" s="51"/>
      <c r="O995" s="51"/>
      <c r="P995" s="51"/>
      <c r="Q995" s="51"/>
    </row>
    <row r="996" spans="1:47" x14ac:dyDescent="0.25">
      <c r="O996" s="51"/>
      <c r="P996" s="51"/>
      <c r="Q996" s="51"/>
    </row>
  </sheetData>
  <pageMargins left="0.75" right="0.75" top="1" bottom="1" header="0.5" footer="0.5"/>
  <pageSetup scale="16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5" r:id="rId4" name="Button 3">
              <controlPr defaultSize="0" print="0" autoFill="0" autoPict="0" macro="[0]!NEWDAY">
                <anchor moveWithCells="1" sizeWithCells="1">
                  <from>
                    <xdr:col>15</xdr:col>
                    <xdr:colOff>45720</xdr:colOff>
                    <xdr:row>7</xdr:row>
                    <xdr:rowOff>53340</xdr:rowOff>
                  </from>
                  <to>
                    <xdr:col>17</xdr:col>
                    <xdr:colOff>297180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REFRESHANDPRINTALL">
                <anchor moveWithCells="1" sizeWithCells="1">
                  <from>
                    <xdr:col>15</xdr:col>
                    <xdr:colOff>22860</xdr:colOff>
                    <xdr:row>1</xdr:row>
                    <xdr:rowOff>144780</xdr:rowOff>
                  </from>
                  <to>
                    <xdr:col>18</xdr:col>
                    <xdr:colOff>297180</xdr:colOff>
                    <xdr:row>6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BR65535"/>
  <sheetViews>
    <sheetView showGridLines="0" workbookViewId="0"/>
  </sheetViews>
  <sheetFormatPr defaultRowHeight="13.2" x14ac:dyDescent="0.25"/>
  <cols>
    <col min="1" max="1" width="14.88671875" customWidth="1"/>
    <col min="2" max="2" width="9.88671875" customWidth="1"/>
    <col min="3" max="3" width="18" customWidth="1"/>
    <col min="4" max="4" width="8.88671875" customWidth="1"/>
    <col min="5" max="5" width="10.109375" bestFit="1" customWidth="1"/>
    <col min="6" max="6" width="10.88671875" bestFit="1" customWidth="1"/>
    <col min="7" max="8" width="6.5546875" bestFit="1" customWidth="1"/>
    <col min="9" max="9" width="11.33203125" customWidth="1"/>
    <col min="10" max="10" width="9.33203125" customWidth="1"/>
    <col min="11" max="12" width="10.44140625" customWidth="1"/>
    <col min="13" max="13" width="11.33203125" customWidth="1"/>
    <col min="14" max="14" width="10.44140625" customWidth="1"/>
    <col min="15" max="15" width="6.44140625" customWidth="1"/>
    <col min="16" max="16" width="13" customWidth="1"/>
    <col min="17" max="17" width="8.33203125" customWidth="1"/>
    <col min="19" max="20" width="10.44140625" customWidth="1"/>
    <col min="21" max="21" width="11.5546875" customWidth="1"/>
    <col min="22" max="22" width="14.88671875" customWidth="1"/>
    <col min="26" max="26" width="13.5546875" bestFit="1" customWidth="1"/>
    <col min="27" max="27" width="13.44140625" bestFit="1" customWidth="1"/>
    <col min="28" max="28" width="12.6640625" bestFit="1" customWidth="1"/>
    <col min="29" max="29" width="15.109375" bestFit="1" customWidth="1"/>
    <col min="30" max="32" width="14.88671875" bestFit="1" customWidth="1"/>
    <col min="33" max="33" width="16.5546875" bestFit="1" customWidth="1"/>
    <col min="35" max="35" width="13.5546875" bestFit="1" customWidth="1"/>
    <col min="36" max="36" width="10.5546875" customWidth="1"/>
    <col min="42" max="42" width="10.109375" bestFit="1" customWidth="1"/>
    <col min="48" max="48" width="13.44140625" bestFit="1" customWidth="1"/>
    <col min="49" max="49" width="11" customWidth="1"/>
    <col min="50" max="50" width="11.5546875" customWidth="1"/>
    <col min="52" max="52" width="11.109375" customWidth="1"/>
    <col min="53" max="53" width="12.109375" customWidth="1"/>
    <col min="54" max="54" width="15" customWidth="1"/>
    <col min="60" max="60" width="19.6640625" customWidth="1"/>
    <col min="61" max="61" width="14" bestFit="1" customWidth="1"/>
    <col min="62" max="63" width="16.33203125" bestFit="1" customWidth="1"/>
    <col min="64" max="64" width="10.5546875" customWidth="1"/>
    <col min="65" max="69" width="16.33203125" bestFit="1" customWidth="1"/>
    <col min="70" max="70" width="10.5546875" customWidth="1"/>
  </cols>
  <sheetData>
    <row r="1" spans="1:64" ht="17.399999999999999" x14ac:dyDescent="0.3">
      <c r="A1" s="89" t="s">
        <v>64</v>
      </c>
      <c r="E1" s="152" t="s">
        <v>108</v>
      </c>
      <c r="BB1" s="206"/>
      <c r="BH1" s="210" t="s">
        <v>152</v>
      </c>
      <c r="BI1" s="211"/>
      <c r="BJ1" s="211"/>
      <c r="BK1" s="257">
        <f>V3</f>
        <v>0</v>
      </c>
    </row>
    <row r="2" spans="1:64" ht="13.8" x14ac:dyDescent="0.25">
      <c r="P2" s="71"/>
      <c r="Q2" s="71"/>
      <c r="R2" s="71"/>
      <c r="S2" s="71"/>
      <c r="T2" s="85" t="s">
        <v>43</v>
      </c>
      <c r="U2" s="82" t="s">
        <v>59</v>
      </c>
      <c r="V2" s="82" t="s">
        <v>24</v>
      </c>
      <c r="AM2" t="s">
        <v>107</v>
      </c>
      <c r="AP2" s="258">
        <f>(WORKDAY(B3,-1))</f>
        <v>36766</v>
      </c>
      <c r="BB2" s="206"/>
      <c r="BH2" s="216" t="s">
        <v>153</v>
      </c>
      <c r="BI2" s="217"/>
      <c r="BJ2" s="217"/>
      <c r="BK2" s="259">
        <f>BA4</f>
        <v>0</v>
      </c>
    </row>
    <row r="3" spans="1:64" ht="14.4" thickBot="1" x14ac:dyDescent="0.3">
      <c r="A3" s="11" t="s">
        <v>35</v>
      </c>
      <c r="B3" s="12">
        <f>Summary!P1</f>
        <v>36767</v>
      </c>
      <c r="E3" s="142"/>
      <c r="P3" s="71"/>
      <c r="Q3" s="72"/>
      <c r="R3" s="67"/>
      <c r="T3" s="86"/>
      <c r="U3" s="84"/>
      <c r="V3" s="83"/>
      <c r="AM3" t="s">
        <v>27</v>
      </c>
      <c r="AN3" t="s">
        <v>57</v>
      </c>
      <c r="BA3" s="438" t="s">
        <v>340</v>
      </c>
      <c r="BB3" s="206"/>
      <c r="BH3" s="221" t="s">
        <v>154</v>
      </c>
      <c r="BI3" s="222"/>
      <c r="BJ3" s="222"/>
      <c r="BK3" s="260">
        <f>BK1-BK2</f>
        <v>0</v>
      </c>
    </row>
    <row r="4" spans="1:64" ht="16.2" thickBot="1" x14ac:dyDescent="0.35">
      <c r="A4" s="13" t="s">
        <v>61</v>
      </c>
      <c r="B4" s="14"/>
      <c r="C4" s="15"/>
      <c r="D4" s="15"/>
      <c r="E4" s="15"/>
      <c r="F4" s="15"/>
      <c r="G4" s="15"/>
      <c r="H4" s="73"/>
      <c r="I4" s="70" t="s">
        <v>62</v>
      </c>
      <c r="J4" s="16"/>
      <c r="K4" s="16"/>
      <c r="L4" s="16"/>
      <c r="M4" s="16"/>
      <c r="N4" s="16"/>
      <c r="O4" s="16"/>
      <c r="P4" s="16"/>
      <c r="Q4" s="16"/>
      <c r="R4" s="16"/>
      <c r="S4" s="16"/>
      <c r="T4" s="55"/>
      <c r="U4" s="78"/>
      <c r="V4" s="74"/>
      <c r="Z4" s="35" t="s">
        <v>73</v>
      </c>
      <c r="AA4" s="36"/>
      <c r="AB4" s="36"/>
      <c r="AC4" s="36"/>
      <c r="AD4" s="36"/>
      <c r="AE4" s="36"/>
      <c r="AF4" s="36"/>
      <c r="AG4" s="37"/>
      <c r="AI4" s="35" t="s">
        <v>49</v>
      </c>
      <c r="AJ4" s="37"/>
      <c r="AL4" s="5">
        <v>36465</v>
      </c>
      <c r="AM4">
        <v>0.5</v>
      </c>
      <c r="AN4">
        <v>0.34</v>
      </c>
      <c r="BA4" s="438"/>
      <c r="BB4" s="206"/>
    </row>
    <row r="5" spans="1:64" ht="15.6" x14ac:dyDescent="0.3">
      <c r="A5" s="69"/>
      <c r="B5" s="69"/>
      <c r="C5" s="69"/>
      <c r="D5" s="69"/>
      <c r="E5" s="69" t="s">
        <v>55</v>
      </c>
      <c r="F5" s="69" t="s">
        <v>13</v>
      </c>
      <c r="G5" s="69" t="s">
        <v>50</v>
      </c>
      <c r="H5" s="68" t="s">
        <v>4</v>
      </c>
      <c r="I5" s="48" t="s">
        <v>25</v>
      </c>
      <c r="J5" s="48"/>
      <c r="K5" s="48" t="s">
        <v>27</v>
      </c>
      <c r="L5" s="48" t="s">
        <v>28</v>
      </c>
      <c r="M5" s="48" t="s">
        <v>63</v>
      </c>
      <c r="N5" s="48" t="s">
        <v>60</v>
      </c>
      <c r="O5" s="48" t="s">
        <v>31</v>
      </c>
      <c r="P5" s="48" t="s">
        <v>57</v>
      </c>
      <c r="Q5" s="68" t="s">
        <v>51</v>
      </c>
      <c r="R5" s="69" t="s">
        <v>53</v>
      </c>
      <c r="S5" s="48"/>
      <c r="T5" s="48"/>
      <c r="U5" s="79"/>
      <c r="V5" s="48"/>
      <c r="Z5" s="38" t="s">
        <v>3</v>
      </c>
      <c r="AA5" s="118"/>
      <c r="AB5" s="119"/>
      <c r="AC5" s="119"/>
      <c r="AD5" s="119"/>
      <c r="AE5" s="119"/>
      <c r="AF5" s="119"/>
      <c r="AG5" s="120"/>
      <c r="AI5" s="38" t="s">
        <v>3</v>
      </c>
      <c r="AJ5" s="49" t="s">
        <v>41</v>
      </c>
      <c r="AL5" s="5">
        <v>36495</v>
      </c>
      <c r="AM5">
        <v>0.6</v>
      </c>
      <c r="AP5" t="s">
        <v>155</v>
      </c>
      <c r="AU5" s="227"/>
      <c r="AV5" s="261" t="s">
        <v>156</v>
      </c>
      <c r="AW5" s="228"/>
      <c r="AX5" s="228"/>
      <c r="AY5" s="228"/>
      <c r="AZ5" s="228"/>
      <c r="BA5" s="261" t="s">
        <v>157</v>
      </c>
      <c r="BB5" s="262"/>
      <c r="BH5" s="143" t="s">
        <v>158</v>
      </c>
    </row>
    <row r="6" spans="1:64" ht="16.2" thickBot="1" x14ac:dyDescent="0.35">
      <c r="A6" s="3" t="s">
        <v>15</v>
      </c>
      <c r="B6" s="3" t="s">
        <v>16</v>
      </c>
      <c r="C6" s="3" t="s">
        <v>2</v>
      </c>
      <c r="D6" s="3" t="s">
        <v>3</v>
      </c>
      <c r="E6" s="3" t="s">
        <v>56</v>
      </c>
      <c r="F6" s="3" t="s">
        <v>19</v>
      </c>
      <c r="G6" s="3" t="s">
        <v>5</v>
      </c>
      <c r="H6" s="3" t="s">
        <v>5</v>
      </c>
      <c r="I6" s="3" t="s">
        <v>5</v>
      </c>
      <c r="J6" s="3" t="s">
        <v>26</v>
      </c>
      <c r="K6" s="3" t="s">
        <v>5</v>
      </c>
      <c r="L6" s="3" t="s">
        <v>29</v>
      </c>
      <c r="M6" s="3" t="s">
        <v>32</v>
      </c>
      <c r="N6" s="3" t="s">
        <v>58</v>
      </c>
      <c r="O6" s="3" t="s">
        <v>30</v>
      </c>
      <c r="P6" s="3" t="s">
        <v>58</v>
      </c>
      <c r="Q6" s="3" t="s">
        <v>52</v>
      </c>
      <c r="R6" s="3" t="s">
        <v>54</v>
      </c>
      <c r="S6" s="3" t="s">
        <v>23</v>
      </c>
      <c r="T6" s="3" t="s">
        <v>22</v>
      </c>
      <c r="U6" s="80" t="s">
        <v>41</v>
      </c>
      <c r="V6" s="3" t="s">
        <v>24</v>
      </c>
      <c r="Z6" s="39"/>
      <c r="AA6" s="122" t="s">
        <v>6</v>
      </c>
      <c r="AB6" s="123" t="s">
        <v>47</v>
      </c>
      <c r="AC6" s="123" t="s">
        <v>48</v>
      </c>
      <c r="AD6" s="123" t="s">
        <v>45</v>
      </c>
      <c r="AE6" s="123" t="s">
        <v>44</v>
      </c>
      <c r="AF6" s="123" t="s">
        <v>46</v>
      </c>
      <c r="AG6" s="124" t="s">
        <v>0</v>
      </c>
      <c r="AI6" s="39"/>
      <c r="AJ6" s="50"/>
      <c r="AL6" s="5">
        <v>36526</v>
      </c>
      <c r="AM6">
        <v>0.57999999999999996</v>
      </c>
      <c r="AP6" t="s">
        <v>159</v>
      </c>
      <c r="AQ6" t="s">
        <v>160</v>
      </c>
      <c r="AR6" t="s">
        <v>161</v>
      </c>
      <c r="AS6" t="s">
        <v>162</v>
      </c>
      <c r="AT6" t="s">
        <v>111</v>
      </c>
      <c r="AU6" s="263" t="s">
        <v>163</v>
      </c>
      <c r="AV6" s="232" t="s">
        <v>135</v>
      </c>
      <c r="AW6" s="232" t="s">
        <v>136</v>
      </c>
      <c r="AX6" s="232" t="s">
        <v>146</v>
      </c>
      <c r="AY6" s="232" t="s">
        <v>137</v>
      </c>
      <c r="AZ6" s="232" t="s">
        <v>138</v>
      </c>
      <c r="BA6" s="232" t="s">
        <v>164</v>
      </c>
      <c r="BB6" s="264"/>
      <c r="BH6" s="265"/>
      <c r="BI6" s="266"/>
      <c r="BJ6" s="285" t="s">
        <v>163</v>
      </c>
      <c r="BK6" s="266"/>
      <c r="BL6" s="267"/>
    </row>
    <row r="7" spans="1:64" x14ac:dyDescent="0.25">
      <c r="A7" s="64" t="s">
        <v>259</v>
      </c>
      <c r="B7" s="288" t="s">
        <v>105</v>
      </c>
      <c r="C7" s="4" t="s">
        <v>0</v>
      </c>
      <c r="D7" s="5">
        <v>36647</v>
      </c>
      <c r="E7" s="5">
        <f>+WORKDAY(D7,-6)</f>
        <v>36637</v>
      </c>
      <c r="F7" s="6">
        <v>150000</v>
      </c>
      <c r="G7" s="76">
        <v>2.1</v>
      </c>
      <c r="H7" s="76">
        <v>2.4</v>
      </c>
      <c r="I7" s="53" t="e">
        <f t="shared" ref="I7:I12" si="0">VLOOKUP(D7,NGPrices,2,FALSE)</f>
        <v>#N/A</v>
      </c>
      <c r="J7" s="7" t="e">
        <f t="shared" ref="J7:J12" si="1">HLOOKUP(C7,Prices,VLOOKUP(D7,move_down,2,FALSE),FALSE)</f>
        <v>#N/A</v>
      </c>
      <c r="K7" s="51" t="e">
        <f t="shared" ref="K7:K12" si="2">J7+I7</f>
        <v>#N/A</v>
      </c>
      <c r="L7" s="52" t="e">
        <f t="shared" ref="L7:L12" si="3">VLOOKUP(D7,NGPrices,4,FALSE)</f>
        <v>#N/A</v>
      </c>
      <c r="M7" s="75">
        <f t="shared" ref="M7:M30" si="4">WORKDAY(D7,-3)-B$3</f>
        <v>-125</v>
      </c>
      <c r="N7" s="52">
        <v>0</v>
      </c>
      <c r="O7" s="51" t="e">
        <f t="shared" ref="O7:O12" si="5">HLOOKUP(C7,VOLS,VLOOKUP(D7,move_down,2,FALSE),FALSE)</f>
        <v>#N/A</v>
      </c>
      <c r="P7" s="66">
        <v>0.26</v>
      </c>
      <c r="Q7" s="65">
        <v>1E-3</v>
      </c>
      <c r="R7" s="5">
        <f t="shared" ref="R7:R30" si="6">WORKDAY(D7,-3)</f>
        <v>36642</v>
      </c>
      <c r="S7" s="77" t="e">
        <f>_xll.xXCOL2($K7:$K12,$L7:$L12,$O7:$O12,$M7:$M12,$P7,$Q7,$E7-$B$3,$H7,$G7,$N7,45,0)</f>
        <v>#VALUE!</v>
      </c>
      <c r="T7" s="52" t="e">
        <f>_xll.xXCOL2($K7:$K12,$L7:$L12,$O7:$O12,$M7:$M12,$P7,$Q7,$E7-$B$3,$H7,$G7,$N7,45,1)</f>
        <v>#VALUE!</v>
      </c>
      <c r="U7" s="81" t="e">
        <f>$T$7*F7</f>
        <v>#VALUE!</v>
      </c>
      <c r="V7" s="10" t="e">
        <f>S7*SUM(F7:F12)</f>
        <v>#VALUE!</v>
      </c>
      <c r="Z7" s="40">
        <v>36192</v>
      </c>
      <c r="AA7" s="43">
        <f t="shared" ref="AA7:AG16" si="7">SUMIF($X:$X,CONCATENATE($Z7,AA$6),$U:$U)</f>
        <v>0</v>
      </c>
      <c r="AB7" s="43">
        <f t="shared" si="7"/>
        <v>0</v>
      </c>
      <c r="AC7" s="43">
        <f t="shared" si="7"/>
        <v>0</v>
      </c>
      <c r="AD7" s="43">
        <f t="shared" si="7"/>
        <v>0</v>
      </c>
      <c r="AE7" s="43">
        <f t="shared" si="7"/>
        <v>0</v>
      </c>
      <c r="AF7" s="43">
        <f t="shared" si="7"/>
        <v>0</v>
      </c>
      <c r="AG7" s="44">
        <f t="shared" si="7"/>
        <v>0</v>
      </c>
      <c r="AI7" s="40">
        <v>36192</v>
      </c>
      <c r="AJ7" s="44">
        <f>SUM(AA7:AG7)</f>
        <v>0</v>
      </c>
      <c r="AL7" s="5">
        <v>36557</v>
      </c>
      <c r="AM7">
        <v>0.53</v>
      </c>
      <c r="AP7" t="e">
        <f t="shared" ref="AP7:AP12" si="8">(VLOOKUP(D7,NGPREVPRICES,2,FALSE)+HLOOKUP(C7,PREVCURVES,VLOOKUP(D7,MOVE_DOWN2,2,FALSE),FALSE))</f>
        <v>#N/A</v>
      </c>
      <c r="AQ7" t="e">
        <f t="shared" ref="AQ7:AQ12" si="9">VLOOKUP(D7,NGPREVPRICES,4,FALSE)</f>
        <v>#N/A</v>
      </c>
      <c r="AR7" s="284" t="e">
        <f t="shared" ref="AR7:AR12" si="10">HLOOKUP(C7,PREVVOLS,VLOOKUP(D7,MOVE_DOWN2,2,FALSE),FALSE)</f>
        <v>#N/A</v>
      </c>
      <c r="AS7" s="151">
        <f t="shared" ref="AS7:AS30" si="11">WORKDAY(D7,-3)-$AP$2</f>
        <v>-124</v>
      </c>
      <c r="AT7" t="s">
        <v>172</v>
      </c>
      <c r="AU7" t="str">
        <f>C7</f>
        <v>IF-HPL/SHPCHAN</v>
      </c>
      <c r="AV7" s="434" t="s">
        <v>333</v>
      </c>
      <c r="AW7" s="434" t="s">
        <v>334</v>
      </c>
      <c r="AX7" s="435" t="s">
        <v>335</v>
      </c>
      <c r="AY7" s="434" t="s">
        <v>336</v>
      </c>
      <c r="AZ7" s="434" t="s">
        <v>337</v>
      </c>
      <c r="BA7" s="436" t="s">
        <v>338</v>
      </c>
      <c r="BB7" s="437" t="s">
        <v>339</v>
      </c>
      <c r="BH7" s="285" t="s">
        <v>111</v>
      </c>
      <c r="BI7" s="285" t="s">
        <v>165</v>
      </c>
      <c r="BJ7" s="265" t="s">
        <v>0</v>
      </c>
      <c r="BK7" s="266" t="s">
        <v>178</v>
      </c>
      <c r="BL7" s="270" t="s">
        <v>166</v>
      </c>
    </row>
    <row r="8" spans="1:64" x14ac:dyDescent="0.25">
      <c r="A8" s="64" t="s">
        <v>259</v>
      </c>
      <c r="B8" s="288" t="s">
        <v>105</v>
      </c>
      <c r="C8" s="4" t="s">
        <v>0</v>
      </c>
      <c r="D8" s="5">
        <v>36678</v>
      </c>
      <c r="E8" s="5"/>
      <c r="F8" s="6">
        <v>150000</v>
      </c>
      <c r="G8" s="76">
        <v>2.1</v>
      </c>
      <c r="H8" s="76">
        <v>2.4</v>
      </c>
      <c r="I8" s="53" t="e">
        <f t="shared" si="0"/>
        <v>#N/A</v>
      </c>
      <c r="J8" s="7" t="e">
        <f t="shared" si="1"/>
        <v>#N/A</v>
      </c>
      <c r="K8" s="51" t="e">
        <f t="shared" si="2"/>
        <v>#N/A</v>
      </c>
      <c r="L8" s="52" t="e">
        <f t="shared" si="3"/>
        <v>#N/A</v>
      </c>
      <c r="M8" s="75">
        <f t="shared" si="4"/>
        <v>-92</v>
      </c>
      <c r="N8" s="52"/>
      <c r="O8" s="51" t="e">
        <f t="shared" si="5"/>
        <v>#N/A</v>
      </c>
      <c r="P8" s="66"/>
      <c r="Q8" s="65"/>
      <c r="R8" s="5">
        <f t="shared" si="6"/>
        <v>36675</v>
      </c>
      <c r="S8" s="77"/>
      <c r="T8" s="87"/>
      <c r="U8" s="81"/>
      <c r="V8" s="10"/>
      <c r="X8" t="str">
        <f>D8&amp;C8</f>
        <v>36678IF-HPL/SHPCHAN</v>
      </c>
      <c r="Z8" s="41">
        <f t="shared" ref="Z8:Z25" si="12">EOMONTH(Z7,0)+1</f>
        <v>36220</v>
      </c>
      <c r="AA8" s="43">
        <f t="shared" si="7"/>
        <v>0</v>
      </c>
      <c r="AB8" s="43">
        <f t="shared" si="7"/>
        <v>0</v>
      </c>
      <c r="AC8" s="43">
        <f t="shared" si="7"/>
        <v>0</v>
      </c>
      <c r="AD8" s="43">
        <f t="shared" si="7"/>
        <v>0</v>
      </c>
      <c r="AE8" s="43">
        <f t="shared" si="7"/>
        <v>0</v>
      </c>
      <c r="AF8" s="43">
        <f t="shared" si="7"/>
        <v>0</v>
      </c>
      <c r="AG8" s="44">
        <f t="shared" si="7"/>
        <v>0</v>
      </c>
      <c r="AI8" s="41">
        <f t="shared" ref="AI8:AI25" si="13">EOMONTH(AI7,0)+1</f>
        <v>36220</v>
      </c>
      <c r="AJ8" s="44">
        <f t="shared" ref="AJ8:AJ73" si="14">SUM(AA8:AG8)</f>
        <v>0</v>
      </c>
      <c r="AL8" s="5">
        <v>36586</v>
      </c>
      <c r="AM8">
        <v>0.44</v>
      </c>
      <c r="AP8" t="e">
        <f t="shared" si="8"/>
        <v>#N/A</v>
      </c>
      <c r="AQ8" t="e">
        <f t="shared" si="9"/>
        <v>#N/A</v>
      </c>
      <c r="AR8" s="284" t="e">
        <f t="shared" si="10"/>
        <v>#N/A</v>
      </c>
      <c r="AS8" s="151">
        <f t="shared" si="11"/>
        <v>-91</v>
      </c>
      <c r="BB8" s="206"/>
      <c r="BH8" s="265" t="s">
        <v>172</v>
      </c>
      <c r="BI8" s="265" t="s">
        <v>167</v>
      </c>
      <c r="BJ8" s="271">
        <v>0</v>
      </c>
      <c r="BK8" s="272"/>
      <c r="BL8" s="273">
        <v>0</v>
      </c>
    </row>
    <row r="9" spans="1:64" x14ac:dyDescent="0.25">
      <c r="A9" s="64" t="s">
        <v>259</v>
      </c>
      <c r="B9" s="288" t="s">
        <v>105</v>
      </c>
      <c r="C9" s="4" t="s">
        <v>0</v>
      </c>
      <c r="D9" s="5">
        <v>36708</v>
      </c>
      <c r="E9" s="5"/>
      <c r="F9" s="6">
        <v>150000</v>
      </c>
      <c r="G9" s="76">
        <v>2.1</v>
      </c>
      <c r="H9" s="76">
        <v>2.4</v>
      </c>
      <c r="I9" s="53" t="e">
        <f t="shared" si="0"/>
        <v>#N/A</v>
      </c>
      <c r="J9" s="7" t="e">
        <f t="shared" si="1"/>
        <v>#N/A</v>
      </c>
      <c r="K9" s="51" t="e">
        <f t="shared" si="2"/>
        <v>#N/A</v>
      </c>
      <c r="L9" s="52" t="e">
        <f t="shared" si="3"/>
        <v>#N/A</v>
      </c>
      <c r="M9" s="75">
        <f t="shared" si="4"/>
        <v>-62</v>
      </c>
      <c r="N9" s="52"/>
      <c r="O9" s="51" t="e">
        <f t="shared" si="5"/>
        <v>#N/A</v>
      </c>
      <c r="P9" s="66"/>
      <c r="Q9" s="65"/>
      <c r="R9" s="5">
        <f t="shared" si="6"/>
        <v>36705</v>
      </c>
      <c r="S9" s="77"/>
      <c r="T9" s="87"/>
      <c r="U9" s="81"/>
      <c r="V9" s="10"/>
      <c r="X9" t="str">
        <f t="shared" ref="X9:X18" si="15">D9&amp;C9</f>
        <v>36708IF-HPL/SHPCHAN</v>
      </c>
      <c r="Z9" s="41">
        <f t="shared" si="12"/>
        <v>36251</v>
      </c>
      <c r="AA9" s="43">
        <f t="shared" si="7"/>
        <v>0</v>
      </c>
      <c r="AB9" s="43">
        <f t="shared" si="7"/>
        <v>0</v>
      </c>
      <c r="AC9" s="43">
        <f t="shared" si="7"/>
        <v>0</v>
      </c>
      <c r="AD9" s="43">
        <f t="shared" si="7"/>
        <v>0</v>
      </c>
      <c r="AE9" s="43">
        <f t="shared" si="7"/>
        <v>0</v>
      </c>
      <c r="AF9" s="43">
        <f t="shared" si="7"/>
        <v>0</v>
      </c>
      <c r="AG9" s="44">
        <f t="shared" si="7"/>
        <v>0</v>
      </c>
      <c r="AI9" s="41">
        <f t="shared" si="13"/>
        <v>36251</v>
      </c>
      <c r="AJ9" s="44">
        <f t="shared" si="14"/>
        <v>0</v>
      </c>
      <c r="AL9" s="5">
        <v>36617</v>
      </c>
      <c r="AP9" t="e">
        <f t="shared" si="8"/>
        <v>#N/A</v>
      </c>
      <c r="AQ9" t="e">
        <f t="shared" si="9"/>
        <v>#N/A</v>
      </c>
      <c r="AR9" s="284" t="e">
        <f t="shared" si="10"/>
        <v>#N/A</v>
      </c>
      <c r="AS9" s="151">
        <f t="shared" si="11"/>
        <v>-61</v>
      </c>
      <c r="BB9" s="206"/>
      <c r="BH9" s="274"/>
      <c r="BI9" s="366" t="s">
        <v>168</v>
      </c>
      <c r="BJ9" s="275">
        <v>0</v>
      </c>
      <c r="BK9" s="276"/>
      <c r="BL9" s="277">
        <v>0</v>
      </c>
    </row>
    <row r="10" spans="1:64" x14ac:dyDescent="0.25">
      <c r="A10" s="64" t="s">
        <v>259</v>
      </c>
      <c r="B10" s="288" t="s">
        <v>105</v>
      </c>
      <c r="C10" s="4" t="s">
        <v>0</v>
      </c>
      <c r="D10" s="5">
        <v>36739</v>
      </c>
      <c r="E10" s="5"/>
      <c r="F10" s="6">
        <v>150000</v>
      </c>
      <c r="G10" s="76">
        <v>2.1</v>
      </c>
      <c r="H10" s="76">
        <v>2.4</v>
      </c>
      <c r="I10" s="53" t="e">
        <f t="shared" si="0"/>
        <v>#N/A</v>
      </c>
      <c r="J10" s="7" t="e">
        <f t="shared" si="1"/>
        <v>#N/A</v>
      </c>
      <c r="K10" s="51" t="e">
        <f t="shared" si="2"/>
        <v>#N/A</v>
      </c>
      <c r="L10" s="52" t="e">
        <f t="shared" si="3"/>
        <v>#N/A</v>
      </c>
      <c r="M10" s="75">
        <f t="shared" si="4"/>
        <v>-33</v>
      </c>
      <c r="N10" s="52"/>
      <c r="O10" s="51" t="e">
        <f t="shared" si="5"/>
        <v>#N/A</v>
      </c>
      <c r="P10" s="66"/>
      <c r="Q10" s="65"/>
      <c r="R10" s="5">
        <f t="shared" si="6"/>
        <v>36734</v>
      </c>
      <c r="S10" s="77"/>
      <c r="T10" s="87"/>
      <c r="U10" s="81"/>
      <c r="V10" s="10"/>
      <c r="X10" t="str">
        <f t="shared" si="15"/>
        <v>36739IF-HPL/SHPCHAN</v>
      </c>
      <c r="Z10" s="41">
        <f t="shared" si="12"/>
        <v>36281</v>
      </c>
      <c r="AA10" s="43">
        <f t="shared" si="7"/>
        <v>0</v>
      </c>
      <c r="AB10" s="43">
        <f t="shared" si="7"/>
        <v>0</v>
      </c>
      <c r="AC10" s="43">
        <f t="shared" si="7"/>
        <v>0</v>
      </c>
      <c r="AD10" s="43">
        <f t="shared" si="7"/>
        <v>0</v>
      </c>
      <c r="AE10" s="43">
        <f t="shared" si="7"/>
        <v>0</v>
      </c>
      <c r="AF10" s="43">
        <f t="shared" si="7"/>
        <v>0</v>
      </c>
      <c r="AG10" s="44">
        <f t="shared" si="7"/>
        <v>0</v>
      </c>
      <c r="AI10" s="41">
        <f t="shared" si="13"/>
        <v>36281</v>
      </c>
      <c r="AJ10" s="44">
        <f t="shared" si="14"/>
        <v>0</v>
      </c>
      <c r="AL10" s="5">
        <v>36647</v>
      </c>
      <c r="AP10" t="e">
        <f t="shared" si="8"/>
        <v>#N/A</v>
      </c>
      <c r="AQ10" t="e">
        <f t="shared" si="9"/>
        <v>#N/A</v>
      </c>
      <c r="AR10" s="284" t="e">
        <f t="shared" si="10"/>
        <v>#N/A</v>
      </c>
      <c r="AS10" s="151">
        <f t="shared" si="11"/>
        <v>-32</v>
      </c>
      <c r="BB10" s="206"/>
      <c r="BH10" s="274"/>
      <c r="BI10" s="366" t="s">
        <v>169</v>
      </c>
      <c r="BJ10" s="275">
        <v>0</v>
      </c>
      <c r="BK10" s="276"/>
      <c r="BL10" s="277">
        <v>0</v>
      </c>
    </row>
    <row r="11" spans="1:64" x14ac:dyDescent="0.25">
      <c r="A11" s="64" t="s">
        <v>259</v>
      </c>
      <c r="B11" s="288" t="s">
        <v>105</v>
      </c>
      <c r="C11" s="4" t="s">
        <v>0</v>
      </c>
      <c r="D11" s="5">
        <v>36770</v>
      </c>
      <c r="E11" s="5"/>
      <c r="F11" s="6">
        <v>150000</v>
      </c>
      <c r="G11" s="76">
        <v>2.1</v>
      </c>
      <c r="H11" s="76">
        <v>2.4</v>
      </c>
      <c r="I11" s="53">
        <f t="shared" si="0"/>
        <v>4.6849999999999996</v>
      </c>
      <c r="J11" s="7">
        <f t="shared" si="1"/>
        <v>0</v>
      </c>
      <c r="K11" s="51">
        <f t="shared" si="2"/>
        <v>4.6849999999999996</v>
      </c>
      <c r="L11" s="52">
        <f t="shared" si="3"/>
        <v>6.7216196212184998E-2</v>
      </c>
      <c r="M11" s="75">
        <f t="shared" si="4"/>
        <v>0</v>
      </c>
      <c r="N11" s="52"/>
      <c r="O11" s="51">
        <f t="shared" si="5"/>
        <v>0.4</v>
      </c>
      <c r="P11" s="66"/>
      <c r="Q11" s="65"/>
      <c r="R11" s="5">
        <f t="shared" si="6"/>
        <v>36767</v>
      </c>
      <c r="S11" s="77"/>
      <c r="T11" s="87"/>
      <c r="U11" s="81"/>
      <c r="V11" s="10"/>
      <c r="X11" t="str">
        <f t="shared" si="15"/>
        <v>36770IF-HPL/SHPCHAN</v>
      </c>
      <c r="Z11" s="41">
        <f t="shared" si="12"/>
        <v>36312</v>
      </c>
      <c r="AA11" s="43">
        <f t="shared" si="7"/>
        <v>0</v>
      </c>
      <c r="AB11" s="43">
        <f t="shared" si="7"/>
        <v>0</v>
      </c>
      <c r="AC11" s="43">
        <f t="shared" si="7"/>
        <v>0</v>
      </c>
      <c r="AD11" s="43">
        <f t="shared" si="7"/>
        <v>0</v>
      </c>
      <c r="AE11" s="43">
        <f t="shared" si="7"/>
        <v>0</v>
      </c>
      <c r="AF11" s="43">
        <f t="shared" si="7"/>
        <v>0</v>
      </c>
      <c r="AG11" s="44">
        <f t="shared" si="7"/>
        <v>0</v>
      </c>
      <c r="AI11" s="41">
        <f t="shared" si="13"/>
        <v>36312</v>
      </c>
      <c r="AJ11" s="44">
        <f t="shared" si="14"/>
        <v>0</v>
      </c>
      <c r="AL11" s="5">
        <v>36678</v>
      </c>
      <c r="AP11">
        <f t="shared" si="8"/>
        <v>4.6849999999999996</v>
      </c>
      <c r="AQ11">
        <f t="shared" si="9"/>
        <v>6.7216196212184998E-2</v>
      </c>
      <c r="AR11" s="284">
        <f t="shared" si="10"/>
        <v>0.4</v>
      </c>
      <c r="AS11" s="151">
        <f t="shared" si="11"/>
        <v>1</v>
      </c>
      <c r="BB11" s="206"/>
      <c r="BH11" s="274"/>
      <c r="BI11" s="366" t="s">
        <v>170</v>
      </c>
      <c r="BJ11" s="275">
        <v>0</v>
      </c>
      <c r="BK11" s="276"/>
      <c r="BL11" s="277">
        <v>0</v>
      </c>
    </row>
    <row r="12" spans="1:64" x14ac:dyDescent="0.25">
      <c r="A12" s="64" t="s">
        <v>259</v>
      </c>
      <c r="B12" s="288" t="s">
        <v>105</v>
      </c>
      <c r="C12" s="4" t="s">
        <v>0</v>
      </c>
      <c r="D12" s="5">
        <v>36800</v>
      </c>
      <c r="E12" s="5"/>
      <c r="F12" s="6">
        <v>150000</v>
      </c>
      <c r="G12" s="76">
        <v>2.1</v>
      </c>
      <c r="H12" s="76">
        <v>2.4</v>
      </c>
      <c r="I12" s="53">
        <f t="shared" si="0"/>
        <v>4.6920000000000002</v>
      </c>
      <c r="J12" s="7">
        <f t="shared" si="1"/>
        <v>-0.01</v>
      </c>
      <c r="K12" s="51">
        <f t="shared" si="2"/>
        <v>4.6820000000000004</v>
      </c>
      <c r="L12" s="52">
        <f t="shared" si="3"/>
        <v>6.8050789414654006E-2</v>
      </c>
      <c r="M12" s="75">
        <f t="shared" si="4"/>
        <v>29</v>
      </c>
      <c r="N12" s="52"/>
      <c r="O12" s="51">
        <f t="shared" si="5"/>
        <v>0.57499999999999996</v>
      </c>
      <c r="P12" s="66"/>
      <c r="Q12" s="65"/>
      <c r="R12" s="5">
        <f t="shared" si="6"/>
        <v>36796</v>
      </c>
      <c r="S12" s="77"/>
      <c r="T12" s="87"/>
      <c r="U12" s="81"/>
      <c r="V12" s="10"/>
      <c r="X12" t="str">
        <f t="shared" si="15"/>
        <v>36800IF-HPL/SHPCHAN</v>
      </c>
      <c r="Z12" s="41">
        <f t="shared" si="12"/>
        <v>36342</v>
      </c>
      <c r="AA12" s="43">
        <f t="shared" si="7"/>
        <v>0</v>
      </c>
      <c r="AB12" s="43">
        <f t="shared" si="7"/>
        <v>0</v>
      </c>
      <c r="AC12" s="43">
        <f t="shared" si="7"/>
        <v>0</v>
      </c>
      <c r="AD12" s="43">
        <f t="shared" si="7"/>
        <v>0</v>
      </c>
      <c r="AE12" s="43">
        <f t="shared" si="7"/>
        <v>0</v>
      </c>
      <c r="AF12" s="43">
        <f t="shared" si="7"/>
        <v>0</v>
      </c>
      <c r="AG12" s="44">
        <f t="shared" si="7"/>
        <v>0</v>
      </c>
      <c r="AI12" s="41">
        <f t="shared" si="13"/>
        <v>36342</v>
      </c>
      <c r="AJ12" s="44">
        <f t="shared" si="14"/>
        <v>0</v>
      </c>
      <c r="AL12" s="5">
        <v>36708</v>
      </c>
      <c r="AP12">
        <f t="shared" si="8"/>
        <v>4.6820000000000004</v>
      </c>
      <c r="AQ12">
        <f t="shared" si="9"/>
        <v>6.8050789414654006E-2</v>
      </c>
      <c r="AR12" s="284">
        <f t="shared" si="10"/>
        <v>0.57499999999999996</v>
      </c>
      <c r="AS12" s="151">
        <f t="shared" si="11"/>
        <v>30</v>
      </c>
      <c r="BB12" s="206"/>
      <c r="BH12" s="274"/>
      <c r="BI12" s="366" t="s">
        <v>171</v>
      </c>
      <c r="BJ12" s="275">
        <v>0</v>
      </c>
      <c r="BK12" s="276"/>
      <c r="BL12" s="277">
        <v>0</v>
      </c>
    </row>
    <row r="13" spans="1:64" x14ac:dyDescent="0.25">
      <c r="A13" s="64" t="s">
        <v>259</v>
      </c>
      <c r="B13" s="288" t="s">
        <v>106</v>
      </c>
      <c r="C13" s="4" t="s">
        <v>0</v>
      </c>
      <c r="D13" s="5">
        <v>36647</v>
      </c>
      <c r="E13" s="5">
        <f>+WORKDAY(D13,-6)</f>
        <v>36637</v>
      </c>
      <c r="F13" s="6">
        <v>150000</v>
      </c>
      <c r="G13" s="76">
        <v>2.1</v>
      </c>
      <c r="H13" s="76">
        <v>2.4</v>
      </c>
      <c r="I13" s="53" t="e">
        <f t="shared" ref="I13:I18" si="16">VLOOKUP(D13,NGPrices,2,FALSE)</f>
        <v>#N/A</v>
      </c>
      <c r="J13" s="7" t="e">
        <f t="shared" ref="J13:J18" si="17">HLOOKUP(C13,Prices,VLOOKUP(D13,move_down,2,FALSE),FALSE)</f>
        <v>#N/A</v>
      </c>
      <c r="K13" s="51" t="e">
        <f t="shared" ref="K13:K18" si="18">J13+I13</f>
        <v>#N/A</v>
      </c>
      <c r="L13" s="52" t="e">
        <f t="shared" ref="L13:L18" si="19">VLOOKUP(D13,NGPrices,4,FALSE)</f>
        <v>#N/A</v>
      </c>
      <c r="M13" s="75">
        <f t="shared" si="4"/>
        <v>-125</v>
      </c>
      <c r="N13" s="52">
        <v>0</v>
      </c>
      <c r="O13" s="51" t="e">
        <f t="shared" ref="O13:O18" si="20">HLOOKUP(C13,VOLS,VLOOKUP(D13,move_down,2,FALSE),FALSE)</f>
        <v>#N/A</v>
      </c>
      <c r="P13" s="66">
        <v>0.26</v>
      </c>
      <c r="Q13" s="65">
        <v>1E-3</v>
      </c>
      <c r="R13" s="5">
        <f t="shared" si="6"/>
        <v>36642</v>
      </c>
      <c r="S13" s="77"/>
      <c r="T13" s="52"/>
      <c r="U13" s="81"/>
      <c r="V13" s="10"/>
      <c r="X13" t="str">
        <f t="shared" si="15"/>
        <v>36647IF-HPL/SHPCHAN</v>
      </c>
      <c r="Z13" s="41">
        <f t="shared" si="12"/>
        <v>36373</v>
      </c>
      <c r="AA13" s="43">
        <f t="shared" si="7"/>
        <v>0</v>
      </c>
      <c r="AB13" s="43">
        <f t="shared" si="7"/>
        <v>0</v>
      </c>
      <c r="AC13" s="43">
        <f t="shared" si="7"/>
        <v>0</v>
      </c>
      <c r="AD13" s="43">
        <f t="shared" si="7"/>
        <v>0</v>
      </c>
      <c r="AE13" s="43">
        <f t="shared" si="7"/>
        <v>0</v>
      </c>
      <c r="AF13" s="43">
        <f t="shared" si="7"/>
        <v>0</v>
      </c>
      <c r="AG13" s="44">
        <f t="shared" si="7"/>
        <v>0</v>
      </c>
      <c r="AI13" s="41">
        <f t="shared" si="13"/>
        <v>36373</v>
      </c>
      <c r="AJ13" s="44">
        <f t="shared" si="14"/>
        <v>0</v>
      </c>
      <c r="AL13" s="5">
        <v>36739</v>
      </c>
      <c r="AP13" t="e">
        <f t="shared" ref="AP13:AP18" si="21">(VLOOKUP(D13,NGPREVPRICES,2,FALSE)+HLOOKUP(C13,PREVCURVES,VLOOKUP(D13,MOVE_DOWN2,2,FALSE),FALSE))</f>
        <v>#N/A</v>
      </c>
      <c r="AQ13" t="e">
        <f t="shared" ref="AQ13:AQ18" si="22">VLOOKUP(D13,NGPREVPRICES,4,FALSE)</f>
        <v>#N/A</v>
      </c>
      <c r="AR13" s="284" t="e">
        <f t="shared" ref="AR13:AR18" si="23">HLOOKUP(C13,PREVVOLS,VLOOKUP(D13,MOVE_DOWN2,2,FALSE),FALSE)</f>
        <v>#N/A</v>
      </c>
      <c r="AS13" s="151">
        <f t="shared" si="11"/>
        <v>-124</v>
      </c>
      <c r="AT13" t="s">
        <v>172</v>
      </c>
      <c r="AU13" t="str">
        <f>C13</f>
        <v>IF-HPL/SHPCHAN</v>
      </c>
      <c r="AV13" s="268"/>
      <c r="AW13" s="268"/>
      <c r="AX13" s="328"/>
      <c r="AY13" s="268"/>
      <c r="AZ13" s="268"/>
      <c r="BA13" s="151"/>
      <c r="BB13" s="269"/>
      <c r="BH13" s="265" t="s">
        <v>178</v>
      </c>
      <c r="BI13" s="265" t="s">
        <v>167</v>
      </c>
      <c r="BJ13" s="271"/>
      <c r="BK13" s="272"/>
      <c r="BL13" s="273"/>
    </row>
    <row r="14" spans="1:64" x14ac:dyDescent="0.25">
      <c r="A14" s="64" t="s">
        <v>259</v>
      </c>
      <c r="B14" s="288" t="s">
        <v>106</v>
      </c>
      <c r="C14" s="4" t="s">
        <v>0</v>
      </c>
      <c r="D14" s="5">
        <v>36678</v>
      </c>
      <c r="E14" s="5"/>
      <c r="F14" s="6">
        <v>150000</v>
      </c>
      <c r="G14" s="76">
        <v>2.1</v>
      </c>
      <c r="H14" s="76">
        <v>2.4</v>
      </c>
      <c r="I14" s="53" t="e">
        <f t="shared" si="16"/>
        <v>#N/A</v>
      </c>
      <c r="J14" s="7" t="e">
        <f t="shared" si="17"/>
        <v>#N/A</v>
      </c>
      <c r="K14" s="51" t="e">
        <f t="shared" si="18"/>
        <v>#N/A</v>
      </c>
      <c r="L14" s="52" t="e">
        <f t="shared" si="19"/>
        <v>#N/A</v>
      </c>
      <c r="M14" s="75">
        <f t="shared" si="4"/>
        <v>-92</v>
      </c>
      <c r="N14" s="52"/>
      <c r="O14" s="51" t="e">
        <f t="shared" si="20"/>
        <v>#N/A</v>
      </c>
      <c r="P14" s="66"/>
      <c r="Q14" s="65"/>
      <c r="R14" s="5">
        <f t="shared" si="6"/>
        <v>36675</v>
      </c>
      <c r="S14" s="77"/>
      <c r="T14" s="87"/>
      <c r="U14" s="81"/>
      <c r="V14" s="10"/>
      <c r="X14" t="str">
        <f t="shared" si="15"/>
        <v>36678IF-HPL/SHPCHAN</v>
      </c>
      <c r="Z14" s="41">
        <f t="shared" si="12"/>
        <v>36404</v>
      </c>
      <c r="AA14" s="43">
        <f t="shared" si="7"/>
        <v>0</v>
      </c>
      <c r="AB14" s="43">
        <f t="shared" si="7"/>
        <v>0</v>
      </c>
      <c r="AC14" s="43">
        <f t="shared" si="7"/>
        <v>0</v>
      </c>
      <c r="AD14" s="43">
        <f t="shared" si="7"/>
        <v>0</v>
      </c>
      <c r="AE14" s="43">
        <f t="shared" si="7"/>
        <v>0</v>
      </c>
      <c r="AF14" s="43">
        <f t="shared" si="7"/>
        <v>0</v>
      </c>
      <c r="AG14" s="44">
        <f t="shared" si="7"/>
        <v>0</v>
      </c>
      <c r="AI14" s="41">
        <f t="shared" si="13"/>
        <v>36404</v>
      </c>
      <c r="AJ14" s="44">
        <f t="shared" si="14"/>
        <v>0</v>
      </c>
      <c r="AL14" s="5">
        <v>36770</v>
      </c>
      <c r="AP14" t="e">
        <f t="shared" si="21"/>
        <v>#N/A</v>
      </c>
      <c r="AQ14" t="e">
        <f t="shared" si="22"/>
        <v>#N/A</v>
      </c>
      <c r="AR14" s="284" t="e">
        <f t="shared" si="23"/>
        <v>#N/A</v>
      </c>
      <c r="AS14" s="151">
        <f t="shared" si="11"/>
        <v>-91</v>
      </c>
      <c r="BB14" s="206"/>
      <c r="BH14" s="274"/>
      <c r="BI14" s="366" t="s">
        <v>168</v>
      </c>
      <c r="BJ14" s="275"/>
      <c r="BK14" s="276"/>
      <c r="BL14" s="277"/>
    </row>
    <row r="15" spans="1:64" x14ac:dyDescent="0.25">
      <c r="A15" s="64" t="s">
        <v>259</v>
      </c>
      <c r="B15" s="288" t="s">
        <v>106</v>
      </c>
      <c r="C15" s="4" t="s">
        <v>0</v>
      </c>
      <c r="D15" s="5">
        <v>36708</v>
      </c>
      <c r="E15" s="5"/>
      <c r="F15" s="6">
        <v>150000</v>
      </c>
      <c r="G15" s="76">
        <v>2.1</v>
      </c>
      <c r="H15" s="76">
        <v>2.4</v>
      </c>
      <c r="I15" s="53" t="e">
        <f t="shared" si="16"/>
        <v>#N/A</v>
      </c>
      <c r="J15" s="7" t="e">
        <f t="shared" si="17"/>
        <v>#N/A</v>
      </c>
      <c r="K15" s="51" t="e">
        <f t="shared" si="18"/>
        <v>#N/A</v>
      </c>
      <c r="L15" s="52" t="e">
        <f t="shared" si="19"/>
        <v>#N/A</v>
      </c>
      <c r="M15" s="75">
        <f t="shared" si="4"/>
        <v>-62</v>
      </c>
      <c r="N15" s="52"/>
      <c r="O15" s="51" t="e">
        <f t="shared" si="20"/>
        <v>#N/A</v>
      </c>
      <c r="P15" s="66"/>
      <c r="Q15" s="65"/>
      <c r="R15" s="5">
        <f t="shared" si="6"/>
        <v>36705</v>
      </c>
      <c r="S15" s="77"/>
      <c r="T15" s="87"/>
      <c r="U15" s="81"/>
      <c r="V15" s="10"/>
      <c r="X15" t="str">
        <f t="shared" si="15"/>
        <v>36708IF-HPL/SHPCHAN</v>
      </c>
      <c r="Z15" s="41">
        <f t="shared" si="12"/>
        <v>36434</v>
      </c>
      <c r="AA15" s="43">
        <f t="shared" si="7"/>
        <v>0</v>
      </c>
      <c r="AB15" s="43">
        <f t="shared" si="7"/>
        <v>0</v>
      </c>
      <c r="AC15" s="43">
        <f t="shared" si="7"/>
        <v>0</v>
      </c>
      <c r="AD15" s="43">
        <f t="shared" si="7"/>
        <v>0</v>
      </c>
      <c r="AE15" s="43">
        <f t="shared" si="7"/>
        <v>0</v>
      </c>
      <c r="AF15" s="43">
        <f t="shared" si="7"/>
        <v>0</v>
      </c>
      <c r="AG15" s="44">
        <f t="shared" si="7"/>
        <v>0</v>
      </c>
      <c r="AI15" s="41">
        <f t="shared" si="13"/>
        <v>36434</v>
      </c>
      <c r="AJ15" s="44">
        <f t="shared" si="14"/>
        <v>0</v>
      </c>
      <c r="AL15" s="5">
        <v>36800</v>
      </c>
      <c r="AP15" t="e">
        <f t="shared" si="21"/>
        <v>#N/A</v>
      </c>
      <c r="AQ15" t="e">
        <f t="shared" si="22"/>
        <v>#N/A</v>
      </c>
      <c r="AR15" s="284" t="e">
        <f t="shared" si="23"/>
        <v>#N/A</v>
      </c>
      <c r="AS15" s="151">
        <f t="shared" si="11"/>
        <v>-61</v>
      </c>
      <c r="BB15" s="206"/>
      <c r="BH15" s="274"/>
      <c r="BI15" s="366" t="s">
        <v>169</v>
      </c>
      <c r="BJ15" s="275"/>
      <c r="BK15" s="276"/>
      <c r="BL15" s="277"/>
    </row>
    <row r="16" spans="1:64" x14ac:dyDescent="0.25">
      <c r="A16" s="64" t="s">
        <v>259</v>
      </c>
      <c r="B16" s="288" t="s">
        <v>106</v>
      </c>
      <c r="C16" s="4" t="s">
        <v>0</v>
      </c>
      <c r="D16" s="5">
        <v>36739</v>
      </c>
      <c r="E16" s="5"/>
      <c r="F16" s="6">
        <v>150000</v>
      </c>
      <c r="G16" s="76">
        <v>2.1</v>
      </c>
      <c r="H16" s="76">
        <v>2.4</v>
      </c>
      <c r="I16" s="53" t="e">
        <f t="shared" si="16"/>
        <v>#N/A</v>
      </c>
      <c r="J16" s="7" t="e">
        <f t="shared" si="17"/>
        <v>#N/A</v>
      </c>
      <c r="K16" s="51" t="e">
        <f t="shared" si="18"/>
        <v>#N/A</v>
      </c>
      <c r="L16" s="52" t="e">
        <f t="shared" si="19"/>
        <v>#N/A</v>
      </c>
      <c r="M16" s="75">
        <f t="shared" si="4"/>
        <v>-33</v>
      </c>
      <c r="N16" s="52"/>
      <c r="O16" s="51" t="e">
        <f t="shared" si="20"/>
        <v>#N/A</v>
      </c>
      <c r="P16" s="66"/>
      <c r="Q16" s="65"/>
      <c r="R16" s="5">
        <f t="shared" si="6"/>
        <v>36734</v>
      </c>
      <c r="S16" s="77"/>
      <c r="T16" s="87"/>
      <c r="U16" s="81"/>
      <c r="V16" s="10"/>
      <c r="X16" t="str">
        <f t="shared" si="15"/>
        <v>36739IF-HPL/SHPCHAN</v>
      </c>
      <c r="Z16" s="41">
        <f t="shared" si="12"/>
        <v>36465</v>
      </c>
      <c r="AA16" s="43">
        <f t="shared" si="7"/>
        <v>0</v>
      </c>
      <c r="AB16" s="43">
        <f t="shared" si="7"/>
        <v>0</v>
      </c>
      <c r="AC16" s="43">
        <f t="shared" si="7"/>
        <v>0</v>
      </c>
      <c r="AD16" s="43">
        <f t="shared" si="7"/>
        <v>0</v>
      </c>
      <c r="AE16" s="43">
        <f t="shared" si="7"/>
        <v>0</v>
      </c>
      <c r="AF16" s="43">
        <f t="shared" si="7"/>
        <v>0</v>
      </c>
      <c r="AG16" s="44">
        <f t="shared" si="7"/>
        <v>0</v>
      </c>
      <c r="AI16" s="41">
        <f t="shared" si="13"/>
        <v>36465</v>
      </c>
      <c r="AJ16" s="44">
        <f t="shared" si="14"/>
        <v>0</v>
      </c>
      <c r="AP16" t="e">
        <f t="shared" si="21"/>
        <v>#N/A</v>
      </c>
      <c r="AQ16" t="e">
        <f t="shared" si="22"/>
        <v>#N/A</v>
      </c>
      <c r="AR16" s="284" t="e">
        <f t="shared" si="23"/>
        <v>#N/A</v>
      </c>
      <c r="AS16" s="151">
        <f t="shared" si="11"/>
        <v>-32</v>
      </c>
      <c r="BB16" s="206"/>
      <c r="BH16" s="274"/>
      <c r="BI16" s="366" t="s">
        <v>170</v>
      </c>
      <c r="BJ16" s="275"/>
      <c r="BK16" s="276"/>
      <c r="BL16" s="277"/>
    </row>
    <row r="17" spans="1:70" x14ac:dyDescent="0.25">
      <c r="A17" s="64" t="s">
        <v>259</v>
      </c>
      <c r="B17" s="288" t="s">
        <v>106</v>
      </c>
      <c r="C17" s="4" t="s">
        <v>0</v>
      </c>
      <c r="D17" s="5">
        <v>36770</v>
      </c>
      <c r="E17" s="5"/>
      <c r="F17" s="6">
        <v>150000</v>
      </c>
      <c r="G17" s="76">
        <v>2.1</v>
      </c>
      <c r="H17" s="76">
        <v>2.4</v>
      </c>
      <c r="I17" s="53">
        <f t="shared" si="16"/>
        <v>4.6849999999999996</v>
      </c>
      <c r="J17" s="7">
        <f t="shared" si="17"/>
        <v>0</v>
      </c>
      <c r="K17" s="51">
        <f t="shared" si="18"/>
        <v>4.6849999999999996</v>
      </c>
      <c r="L17" s="52">
        <f t="shared" si="19"/>
        <v>6.7216196212184998E-2</v>
      </c>
      <c r="M17" s="75">
        <f t="shared" si="4"/>
        <v>0</v>
      </c>
      <c r="N17" s="52"/>
      <c r="O17" s="51">
        <f t="shared" si="20"/>
        <v>0.4</v>
      </c>
      <c r="P17" s="66"/>
      <c r="Q17" s="65"/>
      <c r="R17" s="5">
        <f t="shared" si="6"/>
        <v>36767</v>
      </c>
      <c r="S17" s="77"/>
      <c r="T17" s="87"/>
      <c r="U17" s="81"/>
      <c r="V17" s="10"/>
      <c r="X17" t="str">
        <f t="shared" si="15"/>
        <v>36770IF-HPL/SHPCHAN</v>
      </c>
      <c r="Z17" s="41">
        <f t="shared" si="12"/>
        <v>36495</v>
      </c>
      <c r="AA17" s="43">
        <f t="shared" ref="AA17:AG26" si="24">SUMIF($X:$X,CONCATENATE($Z17,AA$6),$U:$U)</f>
        <v>0</v>
      </c>
      <c r="AB17" s="43">
        <f t="shared" si="24"/>
        <v>0</v>
      </c>
      <c r="AC17" s="43">
        <f t="shared" si="24"/>
        <v>0</v>
      </c>
      <c r="AD17" s="43">
        <f t="shared" si="24"/>
        <v>0</v>
      </c>
      <c r="AE17" s="43">
        <f t="shared" si="24"/>
        <v>0</v>
      </c>
      <c r="AF17" s="43">
        <f t="shared" si="24"/>
        <v>0</v>
      </c>
      <c r="AG17" s="44">
        <f t="shared" si="24"/>
        <v>0</v>
      </c>
      <c r="AI17" s="41">
        <f t="shared" si="13"/>
        <v>36495</v>
      </c>
      <c r="AJ17" s="44">
        <f t="shared" si="14"/>
        <v>0</v>
      </c>
      <c r="AP17">
        <f t="shared" si="21"/>
        <v>4.6849999999999996</v>
      </c>
      <c r="AQ17">
        <f t="shared" si="22"/>
        <v>6.7216196212184998E-2</v>
      </c>
      <c r="AR17" s="284">
        <f t="shared" si="23"/>
        <v>0.4</v>
      </c>
      <c r="AS17" s="151">
        <f t="shared" si="11"/>
        <v>1</v>
      </c>
      <c r="BB17" s="206"/>
      <c r="BH17" s="274"/>
      <c r="BI17" s="366" t="s">
        <v>171</v>
      </c>
      <c r="BJ17" s="275"/>
      <c r="BK17" s="276"/>
      <c r="BL17" s="277"/>
    </row>
    <row r="18" spans="1:70" x14ac:dyDescent="0.25">
      <c r="A18" s="64" t="s">
        <v>259</v>
      </c>
      <c r="B18" s="288" t="s">
        <v>106</v>
      </c>
      <c r="C18" s="4" t="s">
        <v>0</v>
      </c>
      <c r="D18" s="5">
        <v>36800</v>
      </c>
      <c r="E18" s="5"/>
      <c r="F18" s="6">
        <v>150000</v>
      </c>
      <c r="G18" s="76">
        <v>2.1</v>
      </c>
      <c r="H18" s="76">
        <v>2.4</v>
      </c>
      <c r="I18" s="53">
        <f t="shared" si="16"/>
        <v>4.6920000000000002</v>
      </c>
      <c r="J18" s="7">
        <f t="shared" si="17"/>
        <v>-0.01</v>
      </c>
      <c r="K18" s="51">
        <f t="shared" si="18"/>
        <v>4.6820000000000004</v>
      </c>
      <c r="L18" s="52">
        <f t="shared" si="19"/>
        <v>6.8050789414654006E-2</v>
      </c>
      <c r="M18" s="75">
        <f t="shared" si="4"/>
        <v>29</v>
      </c>
      <c r="N18" s="52"/>
      <c r="O18" s="51">
        <f t="shared" si="20"/>
        <v>0.57499999999999996</v>
      </c>
      <c r="P18" s="66"/>
      <c r="Q18" s="65"/>
      <c r="R18" s="5">
        <f t="shared" si="6"/>
        <v>36796</v>
      </c>
      <c r="S18" s="77"/>
      <c r="T18" s="87"/>
      <c r="U18" s="81"/>
      <c r="V18" s="10"/>
      <c r="X18" t="str">
        <f t="shared" si="15"/>
        <v>36800IF-HPL/SHPCHAN</v>
      </c>
      <c r="Z18" s="41">
        <f t="shared" si="12"/>
        <v>36526</v>
      </c>
      <c r="AA18" s="43">
        <f t="shared" si="24"/>
        <v>0</v>
      </c>
      <c r="AB18" s="43">
        <f t="shared" si="24"/>
        <v>0</v>
      </c>
      <c r="AC18" s="43">
        <f t="shared" si="24"/>
        <v>0</v>
      </c>
      <c r="AD18" s="43">
        <f t="shared" si="24"/>
        <v>0</v>
      </c>
      <c r="AE18" s="43">
        <f t="shared" si="24"/>
        <v>0</v>
      </c>
      <c r="AF18" s="43">
        <f t="shared" si="24"/>
        <v>0</v>
      </c>
      <c r="AG18" s="44">
        <f t="shared" si="24"/>
        <v>0</v>
      </c>
      <c r="AI18" s="41">
        <f t="shared" si="13"/>
        <v>36526</v>
      </c>
      <c r="AJ18" s="44">
        <f t="shared" si="14"/>
        <v>0</v>
      </c>
      <c r="AP18">
        <f t="shared" si="21"/>
        <v>4.6820000000000004</v>
      </c>
      <c r="AQ18">
        <f t="shared" si="22"/>
        <v>6.8050789414654006E-2</v>
      </c>
      <c r="AR18" s="284">
        <f t="shared" si="23"/>
        <v>0.57499999999999996</v>
      </c>
      <c r="AS18" s="151">
        <f t="shared" si="11"/>
        <v>30</v>
      </c>
      <c r="BB18" s="206"/>
      <c r="BH18" s="265" t="s">
        <v>173</v>
      </c>
      <c r="BI18" s="278"/>
      <c r="BJ18" s="271">
        <v>0</v>
      </c>
      <c r="BK18" s="272"/>
      <c r="BL18" s="273">
        <v>0</v>
      </c>
    </row>
    <row r="19" spans="1:70" x14ac:dyDescent="0.25">
      <c r="A19" s="64" t="s">
        <v>259</v>
      </c>
      <c r="B19" s="288" t="s">
        <v>105</v>
      </c>
      <c r="C19" s="4" t="s">
        <v>0</v>
      </c>
      <c r="D19" s="5">
        <v>36647</v>
      </c>
      <c r="E19" s="5">
        <f>+WORKDAY(D19,-6)</f>
        <v>36637</v>
      </c>
      <c r="F19" s="6">
        <v>-150000</v>
      </c>
      <c r="G19" s="76">
        <v>2.1</v>
      </c>
      <c r="H19" s="76">
        <v>2.4</v>
      </c>
      <c r="I19" s="53" t="e">
        <f t="shared" ref="I19:I30" si="25">VLOOKUP(D19,NGPrices,2,FALSE)</f>
        <v>#N/A</v>
      </c>
      <c r="J19" s="7" t="e">
        <f t="shared" ref="J19:J30" si="26">HLOOKUP(C19,Prices,VLOOKUP(D19,move_down,2,FALSE),FALSE)</f>
        <v>#N/A</v>
      </c>
      <c r="K19" s="51" t="e">
        <f t="shared" ref="K19:K30" si="27">J19+I19</f>
        <v>#N/A</v>
      </c>
      <c r="L19" s="52" t="e">
        <f t="shared" ref="L19:L30" si="28">VLOOKUP(D19,NGPrices,4,FALSE)</f>
        <v>#N/A</v>
      </c>
      <c r="M19" s="75">
        <f t="shared" si="4"/>
        <v>-125</v>
      </c>
      <c r="N19" s="52">
        <v>0</v>
      </c>
      <c r="O19" s="51" t="e">
        <f t="shared" ref="O19:O30" si="29">HLOOKUP(C19,VOLS,VLOOKUP(D19,move_down,2,FALSE),FALSE)</f>
        <v>#N/A</v>
      </c>
      <c r="P19" s="66">
        <v>0.26</v>
      </c>
      <c r="Q19" s="65">
        <v>1E-3</v>
      </c>
      <c r="R19" s="5">
        <f t="shared" si="6"/>
        <v>36642</v>
      </c>
      <c r="S19" s="77"/>
      <c r="T19" s="52"/>
      <c r="U19" s="81"/>
      <c r="V19" s="10"/>
      <c r="X19" t="str">
        <f t="shared" ref="X19:X30" si="30">D19&amp;C19</f>
        <v>36647IF-HPL/SHPCHAN</v>
      </c>
      <c r="Z19" s="41">
        <f t="shared" si="12"/>
        <v>36557</v>
      </c>
      <c r="AA19" s="43">
        <f t="shared" si="24"/>
        <v>0</v>
      </c>
      <c r="AB19" s="43">
        <f t="shared" si="24"/>
        <v>0</v>
      </c>
      <c r="AC19" s="43">
        <f t="shared" si="24"/>
        <v>0</v>
      </c>
      <c r="AD19" s="43">
        <f t="shared" si="24"/>
        <v>0</v>
      </c>
      <c r="AE19" s="43">
        <f t="shared" si="24"/>
        <v>0</v>
      </c>
      <c r="AF19" s="43">
        <f t="shared" si="24"/>
        <v>0</v>
      </c>
      <c r="AG19" s="44">
        <f t="shared" si="24"/>
        <v>0</v>
      </c>
      <c r="AI19" s="41">
        <f t="shared" si="13"/>
        <v>36557</v>
      </c>
      <c r="AJ19" s="44">
        <f t="shared" si="14"/>
        <v>0</v>
      </c>
      <c r="AP19" t="e">
        <f t="shared" ref="AP19:AP28" si="31">(VLOOKUP(D19,NGPREVPRICES,2,FALSE)+HLOOKUP(C19,PREVCURVES,VLOOKUP(D19,MOVE_DOWN2,2,FALSE),FALSE))</f>
        <v>#N/A</v>
      </c>
      <c r="AQ19" t="e">
        <f t="shared" ref="AQ19:AQ28" si="32">VLOOKUP(D19,NGPREVPRICES,4,FALSE)</f>
        <v>#N/A</v>
      </c>
      <c r="AR19" s="284" t="e">
        <f t="shared" ref="AR19:AR28" si="33">HLOOKUP(C19,PREVVOLS,VLOOKUP(D19,MOVE_DOWN2,2,FALSE),FALSE)</f>
        <v>#N/A</v>
      </c>
      <c r="AS19" s="151">
        <f t="shared" si="11"/>
        <v>-124</v>
      </c>
      <c r="AT19" t="s">
        <v>172</v>
      </c>
      <c r="AU19" t="str">
        <f>C19</f>
        <v>IF-HPL/SHPCHAN</v>
      </c>
      <c r="AV19" s="268"/>
      <c r="AW19" s="268"/>
      <c r="AX19" s="328"/>
      <c r="AY19" s="268"/>
      <c r="AZ19" s="268"/>
      <c r="BA19" s="151"/>
      <c r="BB19" s="269"/>
      <c r="BH19" s="265" t="s">
        <v>174</v>
      </c>
      <c r="BI19" s="278"/>
      <c r="BJ19" s="271">
        <v>0</v>
      </c>
      <c r="BK19" s="272"/>
      <c r="BL19" s="273">
        <v>0</v>
      </c>
    </row>
    <row r="20" spans="1:70" x14ac:dyDescent="0.25">
      <c r="A20" s="64" t="s">
        <v>259</v>
      </c>
      <c r="B20" s="288" t="s">
        <v>105</v>
      </c>
      <c r="C20" s="4" t="s">
        <v>0</v>
      </c>
      <c r="D20" s="5">
        <v>36678</v>
      </c>
      <c r="E20" s="5"/>
      <c r="F20" s="6">
        <v>-150000</v>
      </c>
      <c r="G20" s="76">
        <v>2.1</v>
      </c>
      <c r="H20" s="76">
        <v>2.4</v>
      </c>
      <c r="I20" s="53" t="e">
        <f t="shared" si="25"/>
        <v>#N/A</v>
      </c>
      <c r="J20" s="7" t="e">
        <f t="shared" si="26"/>
        <v>#N/A</v>
      </c>
      <c r="K20" s="51" t="e">
        <f t="shared" si="27"/>
        <v>#N/A</v>
      </c>
      <c r="L20" s="52" t="e">
        <f t="shared" si="28"/>
        <v>#N/A</v>
      </c>
      <c r="M20" s="75">
        <f t="shared" si="4"/>
        <v>-92</v>
      </c>
      <c r="N20" s="52"/>
      <c r="O20" s="51" t="e">
        <f t="shared" si="29"/>
        <v>#N/A</v>
      </c>
      <c r="P20" s="66"/>
      <c r="Q20" s="65"/>
      <c r="R20" s="5">
        <f t="shared" si="6"/>
        <v>36675</v>
      </c>
      <c r="S20" s="77"/>
      <c r="T20" s="87"/>
      <c r="U20" s="81"/>
      <c r="V20" s="10"/>
      <c r="X20" t="str">
        <f t="shared" si="30"/>
        <v>36678IF-HPL/SHPCHAN</v>
      </c>
      <c r="Z20" s="41">
        <f t="shared" si="12"/>
        <v>36586</v>
      </c>
      <c r="AA20" s="43">
        <f t="shared" si="24"/>
        <v>0</v>
      </c>
      <c r="AB20" s="43">
        <f t="shared" si="24"/>
        <v>0</v>
      </c>
      <c r="AC20" s="43">
        <f t="shared" si="24"/>
        <v>0</v>
      </c>
      <c r="AD20" s="43">
        <f t="shared" si="24"/>
        <v>0</v>
      </c>
      <c r="AE20" s="43">
        <f t="shared" si="24"/>
        <v>0</v>
      </c>
      <c r="AF20" s="43">
        <f t="shared" si="24"/>
        <v>0</v>
      </c>
      <c r="AG20" s="44">
        <f t="shared" si="24"/>
        <v>0</v>
      </c>
      <c r="AI20" s="41">
        <f t="shared" si="13"/>
        <v>36586</v>
      </c>
      <c r="AJ20" s="44">
        <f t="shared" si="14"/>
        <v>0</v>
      </c>
      <c r="AP20" t="e">
        <f t="shared" si="31"/>
        <v>#N/A</v>
      </c>
      <c r="AQ20" t="e">
        <f t="shared" si="32"/>
        <v>#N/A</v>
      </c>
      <c r="AR20" s="284" t="e">
        <f t="shared" si="33"/>
        <v>#N/A</v>
      </c>
      <c r="AS20" s="151">
        <f t="shared" si="11"/>
        <v>-91</v>
      </c>
      <c r="BH20" s="265" t="s">
        <v>175</v>
      </c>
      <c r="BI20" s="278"/>
      <c r="BJ20" s="271">
        <v>0</v>
      </c>
      <c r="BK20" s="272"/>
      <c r="BL20" s="273">
        <v>0</v>
      </c>
    </row>
    <row r="21" spans="1:70" x14ac:dyDescent="0.25">
      <c r="A21" s="64" t="s">
        <v>259</v>
      </c>
      <c r="B21" s="288" t="s">
        <v>105</v>
      </c>
      <c r="C21" s="4" t="s">
        <v>0</v>
      </c>
      <c r="D21" s="5">
        <v>36708</v>
      </c>
      <c r="E21" s="5"/>
      <c r="F21" s="6">
        <v>-150000</v>
      </c>
      <c r="G21" s="76">
        <v>2.1</v>
      </c>
      <c r="H21" s="76">
        <v>2.4</v>
      </c>
      <c r="I21" s="53" t="e">
        <f t="shared" si="25"/>
        <v>#N/A</v>
      </c>
      <c r="J21" s="7" t="e">
        <f t="shared" si="26"/>
        <v>#N/A</v>
      </c>
      <c r="K21" s="51" t="e">
        <f t="shared" si="27"/>
        <v>#N/A</v>
      </c>
      <c r="L21" s="52" t="e">
        <f t="shared" si="28"/>
        <v>#N/A</v>
      </c>
      <c r="M21" s="75">
        <f t="shared" si="4"/>
        <v>-62</v>
      </c>
      <c r="N21" s="52"/>
      <c r="O21" s="51" t="e">
        <f t="shared" si="29"/>
        <v>#N/A</v>
      </c>
      <c r="P21" s="66"/>
      <c r="Q21" s="65"/>
      <c r="R21" s="5">
        <f t="shared" si="6"/>
        <v>36705</v>
      </c>
      <c r="S21" s="77"/>
      <c r="T21" s="87"/>
      <c r="U21" s="81"/>
      <c r="V21" s="10"/>
      <c r="X21" t="str">
        <f t="shared" si="30"/>
        <v>36708IF-HPL/SHPCHAN</v>
      </c>
      <c r="Z21" s="41">
        <f t="shared" si="12"/>
        <v>36617</v>
      </c>
      <c r="AA21" s="43">
        <f t="shared" si="24"/>
        <v>0</v>
      </c>
      <c r="AB21" s="43">
        <f t="shared" si="24"/>
        <v>0</v>
      </c>
      <c r="AC21" s="43">
        <f t="shared" si="24"/>
        <v>0</v>
      </c>
      <c r="AD21" s="43">
        <f t="shared" si="24"/>
        <v>0</v>
      </c>
      <c r="AE21" s="43">
        <f t="shared" si="24"/>
        <v>0</v>
      </c>
      <c r="AF21" s="43">
        <f t="shared" si="24"/>
        <v>0</v>
      </c>
      <c r="AG21" s="44">
        <f t="shared" si="24"/>
        <v>0</v>
      </c>
      <c r="AI21" s="41">
        <f t="shared" si="13"/>
        <v>36617</v>
      </c>
      <c r="AJ21" s="44">
        <f t="shared" si="14"/>
        <v>0</v>
      </c>
      <c r="AP21" t="e">
        <f t="shared" si="31"/>
        <v>#N/A</v>
      </c>
      <c r="AQ21" t="e">
        <f t="shared" si="32"/>
        <v>#N/A</v>
      </c>
      <c r="AR21" s="284" t="e">
        <f t="shared" si="33"/>
        <v>#N/A</v>
      </c>
      <c r="AS21" s="151">
        <f t="shared" si="11"/>
        <v>-61</v>
      </c>
      <c r="BH21" s="265" t="s">
        <v>176</v>
      </c>
      <c r="BI21" s="278"/>
      <c r="BJ21" s="271">
        <v>0</v>
      </c>
      <c r="BK21" s="272"/>
      <c r="BL21" s="273">
        <v>0</v>
      </c>
    </row>
    <row r="22" spans="1:70" x14ac:dyDescent="0.25">
      <c r="A22" s="64" t="s">
        <v>259</v>
      </c>
      <c r="B22" s="288" t="s">
        <v>105</v>
      </c>
      <c r="C22" s="4" t="s">
        <v>0</v>
      </c>
      <c r="D22" s="5">
        <v>36739</v>
      </c>
      <c r="E22" s="5"/>
      <c r="F22" s="6">
        <v>-150000</v>
      </c>
      <c r="G22" s="76">
        <v>2.1</v>
      </c>
      <c r="H22" s="76">
        <v>2.4</v>
      </c>
      <c r="I22" s="53" t="e">
        <f t="shared" si="25"/>
        <v>#N/A</v>
      </c>
      <c r="J22" s="7" t="e">
        <f t="shared" si="26"/>
        <v>#N/A</v>
      </c>
      <c r="K22" s="51" t="e">
        <f t="shared" si="27"/>
        <v>#N/A</v>
      </c>
      <c r="L22" s="52" t="e">
        <f t="shared" si="28"/>
        <v>#N/A</v>
      </c>
      <c r="M22" s="75">
        <f t="shared" si="4"/>
        <v>-33</v>
      </c>
      <c r="N22" s="52"/>
      <c r="O22" s="51" t="e">
        <f t="shared" si="29"/>
        <v>#N/A</v>
      </c>
      <c r="P22" s="66"/>
      <c r="Q22" s="65"/>
      <c r="R22" s="5">
        <f t="shared" si="6"/>
        <v>36734</v>
      </c>
      <c r="S22" s="77"/>
      <c r="T22" s="87"/>
      <c r="U22" s="81"/>
      <c r="V22" s="10"/>
      <c r="X22" t="str">
        <f t="shared" si="30"/>
        <v>36739IF-HPL/SHPCHAN</v>
      </c>
      <c r="Z22" s="41">
        <f t="shared" si="12"/>
        <v>36647</v>
      </c>
      <c r="AA22" s="43">
        <f t="shared" si="24"/>
        <v>0</v>
      </c>
      <c r="AB22" s="43">
        <f t="shared" si="24"/>
        <v>0</v>
      </c>
      <c r="AC22" s="43">
        <f t="shared" si="24"/>
        <v>0</v>
      </c>
      <c r="AD22" s="43">
        <f t="shared" si="24"/>
        <v>0</v>
      </c>
      <c r="AE22" s="43">
        <f t="shared" si="24"/>
        <v>0</v>
      </c>
      <c r="AF22" s="43">
        <f t="shared" si="24"/>
        <v>0</v>
      </c>
      <c r="AG22" s="44">
        <f t="shared" si="24"/>
        <v>0</v>
      </c>
      <c r="AI22" s="41">
        <f t="shared" si="13"/>
        <v>36647</v>
      </c>
      <c r="AJ22" s="44">
        <f t="shared" si="14"/>
        <v>0</v>
      </c>
      <c r="AP22" t="e">
        <f t="shared" si="31"/>
        <v>#N/A</v>
      </c>
      <c r="AQ22" t="e">
        <f t="shared" si="32"/>
        <v>#N/A</v>
      </c>
      <c r="AR22" s="284" t="e">
        <f t="shared" si="33"/>
        <v>#N/A</v>
      </c>
      <c r="AS22" s="151">
        <f t="shared" si="11"/>
        <v>-32</v>
      </c>
      <c r="BH22" s="279" t="s">
        <v>177</v>
      </c>
      <c r="BI22" s="280"/>
      <c r="BJ22" s="281">
        <v>0</v>
      </c>
      <c r="BK22" s="282"/>
      <c r="BL22" s="283">
        <v>0</v>
      </c>
    </row>
    <row r="23" spans="1:70" x14ac:dyDescent="0.25">
      <c r="A23" s="64" t="s">
        <v>259</v>
      </c>
      <c r="B23" s="288" t="s">
        <v>105</v>
      </c>
      <c r="C23" s="4" t="s">
        <v>0</v>
      </c>
      <c r="D23" s="5">
        <v>36770</v>
      </c>
      <c r="E23" s="5"/>
      <c r="F23" s="6">
        <v>-150000</v>
      </c>
      <c r="G23" s="76">
        <v>2.1</v>
      </c>
      <c r="H23" s="76">
        <v>2.4</v>
      </c>
      <c r="I23" s="53">
        <f t="shared" si="25"/>
        <v>4.6849999999999996</v>
      </c>
      <c r="J23" s="7">
        <f t="shared" si="26"/>
        <v>0</v>
      </c>
      <c r="K23" s="51">
        <f t="shared" si="27"/>
        <v>4.6849999999999996</v>
      </c>
      <c r="L23" s="52">
        <f t="shared" si="28"/>
        <v>6.7216196212184998E-2</v>
      </c>
      <c r="M23" s="75">
        <f t="shared" si="4"/>
        <v>0</v>
      </c>
      <c r="N23" s="52"/>
      <c r="O23" s="51">
        <f t="shared" si="29"/>
        <v>0.4</v>
      </c>
      <c r="P23" s="66"/>
      <c r="Q23" s="65"/>
      <c r="R23" s="5">
        <f t="shared" si="6"/>
        <v>36767</v>
      </c>
      <c r="S23" s="77"/>
      <c r="T23" s="87"/>
      <c r="U23" s="81"/>
      <c r="V23" s="10"/>
      <c r="X23" t="str">
        <f t="shared" si="30"/>
        <v>36770IF-HPL/SHPCHAN</v>
      </c>
      <c r="Z23" s="41">
        <f t="shared" si="12"/>
        <v>36678</v>
      </c>
      <c r="AA23" s="43">
        <f t="shared" si="24"/>
        <v>0</v>
      </c>
      <c r="AB23" s="43">
        <f t="shared" si="24"/>
        <v>0</v>
      </c>
      <c r="AC23" s="43">
        <f t="shared" si="24"/>
        <v>0</v>
      </c>
      <c r="AD23" s="43">
        <f t="shared" si="24"/>
        <v>0</v>
      </c>
      <c r="AE23" s="43">
        <f t="shared" si="24"/>
        <v>0</v>
      </c>
      <c r="AF23" s="43">
        <f t="shared" si="24"/>
        <v>0</v>
      </c>
      <c r="AG23" s="44">
        <f t="shared" si="24"/>
        <v>0</v>
      </c>
      <c r="AI23" s="41">
        <f t="shared" si="13"/>
        <v>36678</v>
      </c>
      <c r="AJ23" s="44">
        <f t="shared" si="14"/>
        <v>0</v>
      </c>
      <c r="AP23">
        <f t="shared" si="31"/>
        <v>4.6849999999999996</v>
      </c>
      <c r="AQ23">
        <f t="shared" si="32"/>
        <v>6.7216196212184998E-2</v>
      </c>
      <c r="AR23" s="284">
        <f t="shared" si="33"/>
        <v>0.4</v>
      </c>
      <c r="AS23" s="151">
        <f t="shared" si="11"/>
        <v>1</v>
      </c>
    </row>
    <row r="24" spans="1:70" x14ac:dyDescent="0.25">
      <c r="A24" s="64" t="s">
        <v>259</v>
      </c>
      <c r="B24" s="288" t="s">
        <v>105</v>
      </c>
      <c r="C24" s="4" t="s">
        <v>0</v>
      </c>
      <c r="D24" s="5">
        <v>36800</v>
      </c>
      <c r="E24" s="5"/>
      <c r="F24" s="6">
        <v>-150000</v>
      </c>
      <c r="G24" s="76">
        <v>2.1</v>
      </c>
      <c r="H24" s="76">
        <v>2.4</v>
      </c>
      <c r="I24" s="53">
        <f t="shared" si="25"/>
        <v>4.6920000000000002</v>
      </c>
      <c r="J24" s="7">
        <f t="shared" si="26"/>
        <v>-0.01</v>
      </c>
      <c r="K24" s="51">
        <f t="shared" si="27"/>
        <v>4.6820000000000004</v>
      </c>
      <c r="L24" s="52">
        <f t="shared" si="28"/>
        <v>6.8050789414654006E-2</v>
      </c>
      <c r="M24" s="75">
        <f t="shared" si="4"/>
        <v>29</v>
      </c>
      <c r="N24" s="52"/>
      <c r="O24" s="51">
        <f t="shared" si="29"/>
        <v>0.57499999999999996</v>
      </c>
      <c r="P24" s="66"/>
      <c r="Q24" s="65"/>
      <c r="R24" s="5">
        <f t="shared" si="6"/>
        <v>36796</v>
      </c>
      <c r="S24" s="77"/>
      <c r="T24" s="87"/>
      <c r="U24" s="81"/>
      <c r="V24" s="10"/>
      <c r="X24" t="str">
        <f t="shared" si="30"/>
        <v>36800IF-HPL/SHPCHAN</v>
      </c>
      <c r="Z24" s="41">
        <f t="shared" si="12"/>
        <v>36708</v>
      </c>
      <c r="AA24" s="43">
        <f t="shared" si="24"/>
        <v>0</v>
      </c>
      <c r="AB24" s="43">
        <f t="shared" si="24"/>
        <v>0</v>
      </c>
      <c r="AC24" s="43">
        <f t="shared" si="24"/>
        <v>0</v>
      </c>
      <c r="AD24" s="43">
        <f t="shared" si="24"/>
        <v>0</v>
      </c>
      <c r="AE24" s="43">
        <f t="shared" si="24"/>
        <v>0</v>
      </c>
      <c r="AF24" s="43">
        <f t="shared" si="24"/>
        <v>0</v>
      </c>
      <c r="AG24" s="44">
        <f t="shared" si="24"/>
        <v>0</v>
      </c>
      <c r="AI24" s="41">
        <f t="shared" si="13"/>
        <v>36708</v>
      </c>
      <c r="AJ24" s="44">
        <f>SUM(AA24:AG24)</f>
        <v>0</v>
      </c>
      <c r="AP24">
        <f t="shared" si="31"/>
        <v>4.6820000000000004</v>
      </c>
      <c r="AQ24">
        <f t="shared" si="32"/>
        <v>6.8050789414654006E-2</v>
      </c>
      <c r="AR24" s="284">
        <f t="shared" si="33"/>
        <v>0.57499999999999996</v>
      </c>
      <c r="AS24" s="151">
        <f t="shared" si="11"/>
        <v>30</v>
      </c>
      <c r="BH24" s="367" t="s">
        <v>258</v>
      </c>
      <c r="BI24" s="368"/>
      <c r="BJ24" s="368"/>
      <c r="BK24" s="368"/>
      <c r="BL24" s="369">
        <f>SUM(BL18:BL23)</f>
        <v>0</v>
      </c>
    </row>
    <row r="25" spans="1:70" x14ac:dyDescent="0.25">
      <c r="A25" s="64" t="s">
        <v>259</v>
      </c>
      <c r="B25" s="288" t="s">
        <v>106</v>
      </c>
      <c r="C25" s="4" t="s">
        <v>0</v>
      </c>
      <c r="D25" s="5">
        <v>36647</v>
      </c>
      <c r="E25" s="5">
        <f>+WORKDAY(D25,-6)</f>
        <v>36637</v>
      </c>
      <c r="F25" s="6">
        <v>-150000</v>
      </c>
      <c r="G25" s="76">
        <v>2.1</v>
      </c>
      <c r="H25" s="76">
        <v>2.4</v>
      </c>
      <c r="I25" s="53" t="e">
        <f t="shared" si="25"/>
        <v>#N/A</v>
      </c>
      <c r="J25" s="7" t="e">
        <f t="shared" si="26"/>
        <v>#N/A</v>
      </c>
      <c r="K25" s="51" t="e">
        <f t="shared" si="27"/>
        <v>#N/A</v>
      </c>
      <c r="L25" s="52" t="e">
        <f t="shared" si="28"/>
        <v>#N/A</v>
      </c>
      <c r="M25" s="75">
        <f t="shared" si="4"/>
        <v>-125</v>
      </c>
      <c r="N25" s="52">
        <v>0</v>
      </c>
      <c r="O25" s="51" t="e">
        <f t="shared" si="29"/>
        <v>#N/A</v>
      </c>
      <c r="P25" s="66">
        <v>0.26</v>
      </c>
      <c r="Q25" s="65">
        <v>1E-3</v>
      </c>
      <c r="R25" s="5">
        <f t="shared" si="6"/>
        <v>36642</v>
      </c>
      <c r="S25" s="77"/>
      <c r="T25" s="52"/>
      <c r="U25" s="81"/>
      <c r="V25" s="10"/>
      <c r="X25" t="str">
        <f t="shared" si="30"/>
        <v>36647IF-HPL/SHPCHAN</v>
      </c>
      <c r="Z25" s="41">
        <f t="shared" si="12"/>
        <v>36739</v>
      </c>
      <c r="AA25" s="43">
        <f t="shared" si="24"/>
        <v>0</v>
      </c>
      <c r="AB25" s="43">
        <f t="shared" si="24"/>
        <v>0</v>
      </c>
      <c r="AC25" s="43">
        <f t="shared" si="24"/>
        <v>0</v>
      </c>
      <c r="AD25" s="43">
        <f t="shared" si="24"/>
        <v>0</v>
      </c>
      <c r="AE25" s="43">
        <f t="shared" si="24"/>
        <v>0</v>
      </c>
      <c r="AF25" s="43">
        <f t="shared" si="24"/>
        <v>0</v>
      </c>
      <c r="AG25" s="44">
        <f t="shared" si="24"/>
        <v>0</v>
      </c>
      <c r="AI25" s="41">
        <f t="shared" si="13"/>
        <v>36739</v>
      </c>
      <c r="AJ25" s="44">
        <f>SUM(AA25:AG25)</f>
        <v>0</v>
      </c>
      <c r="AP25" t="e">
        <f t="shared" si="31"/>
        <v>#N/A</v>
      </c>
      <c r="AQ25" t="e">
        <f t="shared" si="32"/>
        <v>#N/A</v>
      </c>
      <c r="AR25" s="284" t="e">
        <f t="shared" si="33"/>
        <v>#N/A</v>
      </c>
      <c r="AS25" s="151">
        <f t="shared" si="11"/>
        <v>-124</v>
      </c>
      <c r="AT25" t="s">
        <v>172</v>
      </c>
      <c r="AU25" t="str">
        <f>C25</f>
        <v>IF-HPL/SHPCHAN</v>
      </c>
      <c r="AV25" s="268"/>
      <c r="AW25" s="268"/>
      <c r="AX25" s="328"/>
      <c r="AY25" s="268"/>
      <c r="AZ25" s="268"/>
      <c r="BA25" s="151"/>
      <c r="BB25" s="269"/>
    </row>
    <row r="26" spans="1:70" x14ac:dyDescent="0.25">
      <c r="A26" s="64" t="s">
        <v>259</v>
      </c>
      <c r="B26" s="288" t="s">
        <v>106</v>
      </c>
      <c r="C26" s="4" t="s">
        <v>0</v>
      </c>
      <c r="D26" s="5">
        <v>36678</v>
      </c>
      <c r="E26" s="5"/>
      <c r="F26" s="6">
        <v>-150000</v>
      </c>
      <c r="G26" s="76">
        <v>2.1</v>
      </c>
      <c r="H26" s="76">
        <v>2.4</v>
      </c>
      <c r="I26" s="53" t="e">
        <f t="shared" si="25"/>
        <v>#N/A</v>
      </c>
      <c r="J26" s="7" t="e">
        <f t="shared" si="26"/>
        <v>#N/A</v>
      </c>
      <c r="K26" s="51" t="e">
        <f t="shared" si="27"/>
        <v>#N/A</v>
      </c>
      <c r="L26" s="52" t="e">
        <f t="shared" si="28"/>
        <v>#N/A</v>
      </c>
      <c r="M26" s="75">
        <f t="shared" si="4"/>
        <v>-92</v>
      </c>
      <c r="N26" s="52"/>
      <c r="O26" s="51" t="e">
        <f t="shared" si="29"/>
        <v>#N/A</v>
      </c>
      <c r="P26" s="66"/>
      <c r="Q26" s="65"/>
      <c r="R26" s="5">
        <f t="shared" si="6"/>
        <v>36675</v>
      </c>
      <c r="S26" s="77"/>
      <c r="T26" s="87"/>
      <c r="U26" s="81"/>
      <c r="V26" s="10"/>
      <c r="X26" t="str">
        <f t="shared" si="30"/>
        <v>36678IF-HPL/SHPCHAN</v>
      </c>
      <c r="Z26" s="41">
        <f>EOMONTH(Z23,0)+1</f>
        <v>36708</v>
      </c>
      <c r="AA26" s="43">
        <f t="shared" si="24"/>
        <v>0</v>
      </c>
      <c r="AB26" s="43">
        <f t="shared" si="24"/>
        <v>0</v>
      </c>
      <c r="AC26" s="43">
        <f t="shared" si="24"/>
        <v>0</v>
      </c>
      <c r="AD26" s="43">
        <f t="shared" si="24"/>
        <v>0</v>
      </c>
      <c r="AE26" s="43">
        <f t="shared" si="24"/>
        <v>0</v>
      </c>
      <c r="AF26" s="43">
        <f t="shared" si="24"/>
        <v>0</v>
      </c>
      <c r="AG26" s="44">
        <f t="shared" si="24"/>
        <v>0</v>
      </c>
      <c r="AI26" s="41">
        <f>EOMONTH(AI23,0)+1</f>
        <v>36708</v>
      </c>
      <c r="AJ26" s="44">
        <f t="shared" si="14"/>
        <v>0</v>
      </c>
      <c r="AP26" t="e">
        <f t="shared" si="31"/>
        <v>#N/A</v>
      </c>
      <c r="AQ26" t="e">
        <f t="shared" si="32"/>
        <v>#N/A</v>
      </c>
      <c r="AR26" s="284" t="e">
        <f t="shared" si="33"/>
        <v>#N/A</v>
      </c>
      <c r="AS26" s="151">
        <f t="shared" si="11"/>
        <v>-91</v>
      </c>
    </row>
    <row r="27" spans="1:70" x14ac:dyDescent="0.25">
      <c r="A27" s="64" t="s">
        <v>259</v>
      </c>
      <c r="B27" s="288" t="s">
        <v>106</v>
      </c>
      <c r="C27" s="4" t="s">
        <v>0</v>
      </c>
      <c r="D27" s="5">
        <v>36708</v>
      </c>
      <c r="E27" s="5"/>
      <c r="F27" s="6">
        <v>-150000</v>
      </c>
      <c r="G27" s="76">
        <v>2.1</v>
      </c>
      <c r="H27" s="76">
        <v>2.4</v>
      </c>
      <c r="I27" s="53" t="e">
        <f t="shared" si="25"/>
        <v>#N/A</v>
      </c>
      <c r="J27" s="7" t="e">
        <f t="shared" si="26"/>
        <v>#N/A</v>
      </c>
      <c r="K27" s="51" t="e">
        <f t="shared" si="27"/>
        <v>#N/A</v>
      </c>
      <c r="L27" s="52" t="e">
        <f t="shared" si="28"/>
        <v>#N/A</v>
      </c>
      <c r="M27" s="75">
        <f t="shared" si="4"/>
        <v>-62</v>
      </c>
      <c r="N27" s="52"/>
      <c r="O27" s="51" t="e">
        <f t="shared" si="29"/>
        <v>#N/A</v>
      </c>
      <c r="P27" s="66"/>
      <c r="Q27" s="65"/>
      <c r="R27" s="5">
        <f t="shared" si="6"/>
        <v>36705</v>
      </c>
      <c r="S27" s="77"/>
      <c r="T27" s="87"/>
      <c r="U27" s="81"/>
      <c r="V27" s="10"/>
      <c r="X27" t="str">
        <f t="shared" si="30"/>
        <v>36708IF-HPL/SHPCHAN</v>
      </c>
      <c r="Z27" s="41">
        <f t="shared" ref="Z27:Z58" si="34">EOMONTH(Z26,0)+1</f>
        <v>36739</v>
      </c>
      <c r="AA27" s="43">
        <f t="shared" ref="AA27:AG36" si="35">SUMIF($X:$X,CONCATENATE($Z27,AA$6),$U:$U)</f>
        <v>0</v>
      </c>
      <c r="AB27" s="43">
        <f t="shared" si="35"/>
        <v>0</v>
      </c>
      <c r="AC27" s="43">
        <f t="shared" si="35"/>
        <v>0</v>
      </c>
      <c r="AD27" s="43">
        <f t="shared" si="35"/>
        <v>0</v>
      </c>
      <c r="AE27" s="43">
        <f t="shared" si="35"/>
        <v>0</v>
      </c>
      <c r="AF27" s="43">
        <f t="shared" si="35"/>
        <v>0</v>
      </c>
      <c r="AG27" s="44">
        <f t="shared" si="35"/>
        <v>0</v>
      </c>
      <c r="AI27" s="41">
        <f t="shared" ref="AI27:AI58" si="36">EOMONTH(AI26,0)+1</f>
        <v>36739</v>
      </c>
      <c r="AJ27" s="44">
        <f t="shared" si="14"/>
        <v>0</v>
      </c>
      <c r="AP27" t="e">
        <f t="shared" si="31"/>
        <v>#N/A</v>
      </c>
      <c r="AQ27" t="e">
        <f t="shared" si="32"/>
        <v>#N/A</v>
      </c>
      <c r="AR27" s="284" t="e">
        <f t="shared" si="33"/>
        <v>#N/A</v>
      </c>
      <c r="AS27" s="151">
        <f t="shared" si="11"/>
        <v>-61</v>
      </c>
    </row>
    <row r="28" spans="1:70" x14ac:dyDescent="0.25">
      <c r="A28" s="64" t="s">
        <v>259</v>
      </c>
      <c r="B28" s="288" t="s">
        <v>106</v>
      </c>
      <c r="C28" s="4" t="s">
        <v>0</v>
      </c>
      <c r="D28" s="5">
        <v>36739</v>
      </c>
      <c r="E28" s="5"/>
      <c r="F28" s="6">
        <v>-150000</v>
      </c>
      <c r="G28" s="76">
        <v>2.1</v>
      </c>
      <c r="H28" s="76">
        <v>2.4</v>
      </c>
      <c r="I28" s="53" t="e">
        <f t="shared" si="25"/>
        <v>#N/A</v>
      </c>
      <c r="J28" s="7" t="e">
        <f t="shared" si="26"/>
        <v>#N/A</v>
      </c>
      <c r="K28" s="51" t="e">
        <f t="shared" si="27"/>
        <v>#N/A</v>
      </c>
      <c r="L28" s="52" t="e">
        <f t="shared" si="28"/>
        <v>#N/A</v>
      </c>
      <c r="M28" s="75">
        <f t="shared" si="4"/>
        <v>-33</v>
      </c>
      <c r="N28" s="52"/>
      <c r="O28" s="51" t="e">
        <f t="shared" si="29"/>
        <v>#N/A</v>
      </c>
      <c r="P28" s="66"/>
      <c r="Q28" s="65"/>
      <c r="R28" s="5">
        <f t="shared" si="6"/>
        <v>36734</v>
      </c>
      <c r="S28" s="77"/>
      <c r="T28" s="87"/>
      <c r="U28" s="81"/>
      <c r="V28" s="10"/>
      <c r="X28" t="str">
        <f t="shared" si="30"/>
        <v>36739IF-HPL/SHPCHAN</v>
      </c>
      <c r="Z28" s="41">
        <f t="shared" si="34"/>
        <v>36770</v>
      </c>
      <c r="AA28" s="43">
        <f t="shared" si="35"/>
        <v>0</v>
      </c>
      <c r="AB28" s="43">
        <f t="shared" si="35"/>
        <v>0</v>
      </c>
      <c r="AC28" s="43">
        <f t="shared" si="35"/>
        <v>0</v>
      </c>
      <c r="AD28" s="43">
        <f t="shared" si="35"/>
        <v>0</v>
      </c>
      <c r="AE28" s="43">
        <f t="shared" si="35"/>
        <v>0</v>
      </c>
      <c r="AF28" s="43">
        <f t="shared" si="35"/>
        <v>0</v>
      </c>
      <c r="AG28" s="44">
        <f t="shared" si="35"/>
        <v>0</v>
      </c>
      <c r="AI28" s="41">
        <f t="shared" si="36"/>
        <v>36770</v>
      </c>
      <c r="AJ28" s="44">
        <f t="shared" si="14"/>
        <v>0</v>
      </c>
      <c r="AP28" t="e">
        <f t="shared" si="31"/>
        <v>#N/A</v>
      </c>
      <c r="AQ28" t="e">
        <f t="shared" si="32"/>
        <v>#N/A</v>
      </c>
      <c r="AR28" s="284" t="e">
        <f t="shared" si="33"/>
        <v>#N/A</v>
      </c>
      <c r="AS28" s="151">
        <f t="shared" si="11"/>
        <v>-32</v>
      </c>
    </row>
    <row r="29" spans="1:70" x14ac:dyDescent="0.25">
      <c r="A29" s="64" t="s">
        <v>259</v>
      </c>
      <c r="B29" s="288" t="s">
        <v>106</v>
      </c>
      <c r="C29" s="4" t="s">
        <v>0</v>
      </c>
      <c r="D29" s="5">
        <v>36770</v>
      </c>
      <c r="E29" s="5"/>
      <c r="F29" s="6">
        <v>-150000</v>
      </c>
      <c r="G29" s="76">
        <v>2.1</v>
      </c>
      <c r="H29" s="76">
        <v>2.4</v>
      </c>
      <c r="I29" s="53">
        <f t="shared" si="25"/>
        <v>4.6849999999999996</v>
      </c>
      <c r="J29" s="7">
        <f t="shared" si="26"/>
        <v>0</v>
      </c>
      <c r="K29" s="51">
        <f t="shared" si="27"/>
        <v>4.6849999999999996</v>
      </c>
      <c r="L29" s="52">
        <f t="shared" si="28"/>
        <v>6.7216196212184998E-2</v>
      </c>
      <c r="M29" s="75">
        <f t="shared" si="4"/>
        <v>0</v>
      </c>
      <c r="N29" s="52"/>
      <c r="O29" s="51">
        <f t="shared" si="29"/>
        <v>0.4</v>
      </c>
      <c r="P29" s="66"/>
      <c r="Q29" s="65"/>
      <c r="R29" s="5">
        <f t="shared" si="6"/>
        <v>36767</v>
      </c>
      <c r="S29" s="77"/>
      <c r="T29" s="87"/>
      <c r="U29" s="81"/>
      <c r="V29" s="10"/>
      <c r="X29" t="str">
        <f t="shared" si="30"/>
        <v>36770IF-HPL/SHPCHAN</v>
      </c>
      <c r="Z29" s="41">
        <f t="shared" si="34"/>
        <v>36800</v>
      </c>
      <c r="AA29" s="43">
        <f t="shared" si="35"/>
        <v>0</v>
      </c>
      <c r="AB29" s="43">
        <f t="shared" si="35"/>
        <v>0</v>
      </c>
      <c r="AC29" s="43">
        <f t="shared" si="35"/>
        <v>0</v>
      </c>
      <c r="AD29" s="43">
        <f t="shared" si="35"/>
        <v>0</v>
      </c>
      <c r="AE29" s="43">
        <f t="shared" si="35"/>
        <v>0</v>
      </c>
      <c r="AF29" s="43">
        <f t="shared" si="35"/>
        <v>0</v>
      </c>
      <c r="AG29" s="44">
        <f t="shared" si="35"/>
        <v>0</v>
      </c>
      <c r="AI29" s="41">
        <f t="shared" si="36"/>
        <v>36800</v>
      </c>
      <c r="AJ29" s="44">
        <f t="shared" si="14"/>
        <v>0</v>
      </c>
      <c r="AP29">
        <f>(VLOOKUP(D29,NGPREVPRICES,2,FALSE)+HLOOKUP(C29,PREVCURVES,VLOOKUP(D29,MOVE_DOWN2,2,FALSE),FALSE))</f>
        <v>4.6849999999999996</v>
      </c>
      <c r="AQ29">
        <f>VLOOKUP(D29,NGPREVPRICES,4,FALSE)</f>
        <v>6.7216196212184998E-2</v>
      </c>
      <c r="AR29" s="284">
        <f>HLOOKUP(C29,PREVVOLS,VLOOKUP(D29,MOVE_DOWN2,2,FALSE),FALSE)</f>
        <v>0.4</v>
      </c>
      <c r="AS29" s="151">
        <f t="shared" si="11"/>
        <v>1</v>
      </c>
    </row>
    <row r="30" spans="1:70" x14ac:dyDescent="0.25">
      <c r="A30" s="64" t="s">
        <v>259</v>
      </c>
      <c r="B30" s="288" t="s">
        <v>106</v>
      </c>
      <c r="C30" s="4" t="s">
        <v>0</v>
      </c>
      <c r="D30" s="5">
        <v>36800</v>
      </c>
      <c r="E30" s="5"/>
      <c r="F30" s="6">
        <v>-150000</v>
      </c>
      <c r="G30" s="76">
        <v>2.1</v>
      </c>
      <c r="H30" s="76">
        <v>2.4</v>
      </c>
      <c r="I30" s="53">
        <f t="shared" si="25"/>
        <v>4.6920000000000002</v>
      </c>
      <c r="J30" s="7">
        <f t="shared" si="26"/>
        <v>-0.01</v>
      </c>
      <c r="K30" s="51">
        <f t="shared" si="27"/>
        <v>4.6820000000000004</v>
      </c>
      <c r="L30" s="52">
        <f t="shared" si="28"/>
        <v>6.8050789414654006E-2</v>
      </c>
      <c r="M30" s="75">
        <f t="shared" si="4"/>
        <v>29</v>
      </c>
      <c r="N30" s="52"/>
      <c r="O30" s="51">
        <f t="shared" si="29"/>
        <v>0.57499999999999996</v>
      </c>
      <c r="P30" s="66"/>
      <c r="Q30" s="65"/>
      <c r="R30" s="5">
        <f t="shared" si="6"/>
        <v>36796</v>
      </c>
      <c r="S30" s="77"/>
      <c r="T30" s="87"/>
      <c r="U30" s="81"/>
      <c r="V30" s="10"/>
      <c r="X30" t="str">
        <f t="shared" si="30"/>
        <v>36800IF-HPL/SHPCHAN</v>
      </c>
      <c r="Z30" s="41">
        <f t="shared" si="34"/>
        <v>36831</v>
      </c>
      <c r="AA30" s="43">
        <f t="shared" si="35"/>
        <v>0</v>
      </c>
      <c r="AB30" s="43">
        <f t="shared" si="35"/>
        <v>0</v>
      </c>
      <c r="AC30" s="43">
        <f t="shared" si="35"/>
        <v>0</v>
      </c>
      <c r="AD30" s="43">
        <f t="shared" si="35"/>
        <v>0</v>
      </c>
      <c r="AE30" s="43">
        <f t="shared" si="35"/>
        <v>0</v>
      </c>
      <c r="AF30" s="43">
        <f t="shared" si="35"/>
        <v>0</v>
      </c>
      <c r="AG30" s="44">
        <f t="shared" si="35"/>
        <v>0</v>
      </c>
      <c r="AI30" s="41">
        <f t="shared" si="36"/>
        <v>36831</v>
      </c>
      <c r="AJ30" s="44">
        <f t="shared" si="14"/>
        <v>0</v>
      </c>
      <c r="AP30">
        <f>(VLOOKUP(D30,NGPREVPRICES,2,FALSE)+HLOOKUP(C30,PREVCURVES,VLOOKUP(D30,MOVE_DOWN2,2,FALSE),FALSE))</f>
        <v>4.6820000000000004</v>
      </c>
      <c r="AQ30">
        <f>VLOOKUP(D30,NGPREVPRICES,4,FALSE)</f>
        <v>6.8050789414654006E-2</v>
      </c>
      <c r="AR30" s="284">
        <f>HLOOKUP(C30,PREVVOLS,VLOOKUP(D30,MOVE_DOWN2,2,FALSE),FALSE)</f>
        <v>0.57499999999999996</v>
      </c>
      <c r="AS30" s="151">
        <f t="shared" si="11"/>
        <v>30</v>
      </c>
    </row>
    <row r="31" spans="1:70" x14ac:dyDescent="0.25">
      <c r="A31" s="51"/>
      <c r="B31" s="288"/>
      <c r="C31" s="4"/>
      <c r="D31" s="5"/>
      <c r="E31" s="51"/>
      <c r="F31" s="6"/>
      <c r="I31" s="53"/>
      <c r="J31" s="7"/>
      <c r="K31" s="51"/>
      <c r="L31" s="52"/>
      <c r="M31" s="75"/>
      <c r="O31" s="51"/>
      <c r="R31" s="5"/>
      <c r="T31" s="88"/>
      <c r="U31" s="81"/>
      <c r="Z31" s="41">
        <f t="shared" si="34"/>
        <v>36861</v>
      </c>
      <c r="AA31" s="43">
        <f t="shared" si="35"/>
        <v>0</v>
      </c>
      <c r="AB31" s="43">
        <f t="shared" si="35"/>
        <v>0</v>
      </c>
      <c r="AC31" s="43">
        <f t="shared" si="35"/>
        <v>0</v>
      </c>
      <c r="AD31" s="43">
        <f t="shared" si="35"/>
        <v>0</v>
      </c>
      <c r="AE31" s="43">
        <f t="shared" si="35"/>
        <v>0</v>
      </c>
      <c r="AF31" s="43">
        <f t="shared" si="35"/>
        <v>0</v>
      </c>
      <c r="AG31" s="44">
        <f t="shared" si="35"/>
        <v>0</v>
      </c>
      <c r="AI31" s="41">
        <f t="shared" si="36"/>
        <v>36861</v>
      </c>
      <c r="AJ31" s="44">
        <f t="shared" si="14"/>
        <v>0</v>
      </c>
      <c r="BG31" s="363"/>
      <c r="BM31" s="364"/>
      <c r="BN31" s="364"/>
      <c r="BO31" s="364"/>
      <c r="BP31" s="364"/>
      <c r="BQ31" s="364"/>
      <c r="BR31" s="364"/>
    </row>
    <row r="32" spans="1:70" x14ac:dyDescent="0.25">
      <c r="A32" s="51"/>
      <c r="B32" s="51"/>
      <c r="C32" s="51"/>
      <c r="D32" s="51"/>
      <c r="E32" s="51"/>
      <c r="T32" s="88"/>
      <c r="Z32" s="41">
        <f t="shared" si="34"/>
        <v>36892</v>
      </c>
      <c r="AA32" s="43">
        <f t="shared" si="35"/>
        <v>0</v>
      </c>
      <c r="AB32" s="43">
        <f t="shared" si="35"/>
        <v>0</v>
      </c>
      <c r="AC32" s="43">
        <f t="shared" si="35"/>
        <v>0</v>
      </c>
      <c r="AD32" s="43">
        <f t="shared" si="35"/>
        <v>0</v>
      </c>
      <c r="AE32" s="43">
        <f t="shared" si="35"/>
        <v>0</v>
      </c>
      <c r="AF32" s="43">
        <f t="shared" si="35"/>
        <v>0</v>
      </c>
      <c r="AG32" s="44">
        <f t="shared" si="35"/>
        <v>0</v>
      </c>
      <c r="AI32" s="41">
        <f t="shared" si="36"/>
        <v>36892</v>
      </c>
      <c r="AJ32" s="44">
        <f t="shared" si="14"/>
        <v>0</v>
      </c>
    </row>
    <row r="33" spans="1:36" x14ac:dyDescent="0.25">
      <c r="A33" s="51"/>
      <c r="B33" s="51"/>
      <c r="C33" s="51"/>
      <c r="D33" s="51"/>
      <c r="E33" s="51"/>
      <c r="T33" s="88"/>
      <c r="Z33" s="41">
        <f t="shared" si="34"/>
        <v>36923</v>
      </c>
      <c r="AA33" s="43">
        <f t="shared" si="35"/>
        <v>0</v>
      </c>
      <c r="AB33" s="43">
        <f t="shared" si="35"/>
        <v>0</v>
      </c>
      <c r="AC33" s="43">
        <f t="shared" si="35"/>
        <v>0</v>
      </c>
      <c r="AD33" s="43">
        <f t="shared" si="35"/>
        <v>0</v>
      </c>
      <c r="AE33" s="43">
        <f t="shared" si="35"/>
        <v>0</v>
      </c>
      <c r="AF33" s="43">
        <f t="shared" si="35"/>
        <v>0</v>
      </c>
      <c r="AG33" s="44">
        <f t="shared" si="35"/>
        <v>0</v>
      </c>
      <c r="AI33" s="41">
        <f t="shared" si="36"/>
        <v>36923</v>
      </c>
      <c r="AJ33" s="44">
        <f t="shared" si="14"/>
        <v>0</v>
      </c>
    </row>
    <row r="34" spans="1:36" x14ac:dyDescent="0.25">
      <c r="A34" s="51"/>
      <c r="B34" s="51"/>
      <c r="C34" s="51"/>
      <c r="D34" s="51"/>
      <c r="E34" s="51"/>
      <c r="T34" s="88"/>
      <c r="Z34" s="41">
        <f t="shared" si="34"/>
        <v>36951</v>
      </c>
      <c r="AA34" s="43">
        <f t="shared" si="35"/>
        <v>0</v>
      </c>
      <c r="AB34" s="43">
        <f t="shared" si="35"/>
        <v>0</v>
      </c>
      <c r="AC34" s="43">
        <f t="shared" si="35"/>
        <v>0</v>
      </c>
      <c r="AD34" s="43">
        <f t="shared" si="35"/>
        <v>0</v>
      </c>
      <c r="AE34" s="43">
        <f t="shared" si="35"/>
        <v>0</v>
      </c>
      <c r="AF34" s="43">
        <f t="shared" si="35"/>
        <v>0</v>
      </c>
      <c r="AG34" s="44">
        <f t="shared" si="35"/>
        <v>0</v>
      </c>
      <c r="AI34" s="41">
        <f t="shared" si="36"/>
        <v>36951</v>
      </c>
      <c r="AJ34" s="44">
        <f t="shared" si="14"/>
        <v>0</v>
      </c>
    </row>
    <row r="35" spans="1:36" x14ac:dyDescent="0.25">
      <c r="A35" s="51"/>
      <c r="B35" s="51"/>
      <c r="C35" s="51"/>
      <c r="D35" s="51"/>
      <c r="E35" s="51"/>
      <c r="T35" s="88"/>
      <c r="Z35" s="41">
        <f t="shared" si="34"/>
        <v>36982</v>
      </c>
      <c r="AA35" s="43">
        <f t="shared" si="35"/>
        <v>0</v>
      </c>
      <c r="AB35" s="43">
        <f t="shared" si="35"/>
        <v>0</v>
      </c>
      <c r="AC35" s="43">
        <f t="shared" si="35"/>
        <v>0</v>
      </c>
      <c r="AD35" s="43">
        <f t="shared" si="35"/>
        <v>0</v>
      </c>
      <c r="AE35" s="43">
        <f t="shared" si="35"/>
        <v>0</v>
      </c>
      <c r="AF35" s="43">
        <f t="shared" si="35"/>
        <v>0</v>
      </c>
      <c r="AG35" s="44">
        <f t="shared" si="35"/>
        <v>0</v>
      </c>
      <c r="AI35" s="41">
        <f t="shared" si="36"/>
        <v>36982</v>
      </c>
      <c r="AJ35" s="44">
        <f t="shared" si="14"/>
        <v>0</v>
      </c>
    </row>
    <row r="36" spans="1:36" x14ac:dyDescent="0.25">
      <c r="A36" s="51"/>
      <c r="B36" s="51"/>
      <c r="C36" s="51"/>
      <c r="D36" s="51"/>
      <c r="E36" s="51"/>
      <c r="T36" s="88"/>
      <c r="Z36" s="41">
        <f t="shared" si="34"/>
        <v>37012</v>
      </c>
      <c r="AA36" s="43">
        <f t="shared" si="35"/>
        <v>0</v>
      </c>
      <c r="AB36" s="43">
        <f t="shared" si="35"/>
        <v>0</v>
      </c>
      <c r="AC36" s="43">
        <f t="shared" si="35"/>
        <v>0</v>
      </c>
      <c r="AD36" s="43">
        <f t="shared" si="35"/>
        <v>0</v>
      </c>
      <c r="AE36" s="43">
        <f t="shared" si="35"/>
        <v>0</v>
      </c>
      <c r="AF36" s="43">
        <f t="shared" si="35"/>
        <v>0</v>
      </c>
      <c r="AG36" s="44">
        <f t="shared" si="35"/>
        <v>0</v>
      </c>
      <c r="AI36" s="41">
        <f t="shared" si="36"/>
        <v>37012</v>
      </c>
      <c r="AJ36" s="44">
        <f t="shared" si="14"/>
        <v>0</v>
      </c>
    </row>
    <row r="37" spans="1:36" x14ac:dyDescent="0.25">
      <c r="A37" s="51"/>
      <c r="B37" s="51"/>
      <c r="C37" s="51"/>
      <c r="D37" s="51"/>
      <c r="E37" s="51"/>
      <c r="T37" s="88"/>
      <c r="Z37" s="41">
        <f t="shared" si="34"/>
        <v>37043</v>
      </c>
      <c r="AA37" s="43">
        <f t="shared" ref="AA37:AG46" si="37">SUMIF($X:$X,CONCATENATE($Z37,AA$6),$U:$U)</f>
        <v>0</v>
      </c>
      <c r="AB37" s="43">
        <f t="shared" si="37"/>
        <v>0</v>
      </c>
      <c r="AC37" s="43">
        <f t="shared" si="37"/>
        <v>0</v>
      </c>
      <c r="AD37" s="43">
        <f t="shared" si="37"/>
        <v>0</v>
      </c>
      <c r="AE37" s="43">
        <f t="shared" si="37"/>
        <v>0</v>
      </c>
      <c r="AF37" s="43">
        <f t="shared" si="37"/>
        <v>0</v>
      </c>
      <c r="AG37" s="44">
        <f t="shared" si="37"/>
        <v>0</v>
      </c>
      <c r="AI37" s="41">
        <f t="shared" si="36"/>
        <v>37043</v>
      </c>
      <c r="AJ37" s="44">
        <f t="shared" si="14"/>
        <v>0</v>
      </c>
    </row>
    <row r="38" spans="1:36" x14ac:dyDescent="0.25">
      <c r="A38" s="51"/>
      <c r="B38" s="51"/>
      <c r="C38" s="51"/>
      <c r="D38" s="51"/>
      <c r="E38" s="51"/>
      <c r="T38" s="88"/>
      <c r="Z38" s="41">
        <f t="shared" si="34"/>
        <v>37073</v>
      </c>
      <c r="AA38" s="43">
        <f t="shared" si="37"/>
        <v>0</v>
      </c>
      <c r="AB38" s="43">
        <f t="shared" si="37"/>
        <v>0</v>
      </c>
      <c r="AC38" s="43">
        <f t="shared" si="37"/>
        <v>0</v>
      </c>
      <c r="AD38" s="43">
        <f t="shared" si="37"/>
        <v>0</v>
      </c>
      <c r="AE38" s="43">
        <f t="shared" si="37"/>
        <v>0</v>
      </c>
      <c r="AF38" s="43">
        <f t="shared" si="37"/>
        <v>0</v>
      </c>
      <c r="AG38" s="44">
        <f t="shared" si="37"/>
        <v>0</v>
      </c>
      <c r="AI38" s="41">
        <f t="shared" si="36"/>
        <v>37073</v>
      </c>
      <c r="AJ38" s="44">
        <f t="shared" si="14"/>
        <v>0</v>
      </c>
    </row>
    <row r="39" spans="1:36" x14ac:dyDescent="0.25">
      <c r="A39" s="51"/>
      <c r="B39" s="51"/>
      <c r="C39" s="51"/>
      <c r="D39" s="51"/>
      <c r="E39" s="51"/>
      <c r="T39" s="88"/>
      <c r="Z39" s="41">
        <f t="shared" si="34"/>
        <v>37104</v>
      </c>
      <c r="AA39" s="43">
        <f t="shared" si="37"/>
        <v>0</v>
      </c>
      <c r="AB39" s="43">
        <f t="shared" si="37"/>
        <v>0</v>
      </c>
      <c r="AC39" s="43">
        <f t="shared" si="37"/>
        <v>0</v>
      </c>
      <c r="AD39" s="43">
        <f t="shared" si="37"/>
        <v>0</v>
      </c>
      <c r="AE39" s="43">
        <f t="shared" si="37"/>
        <v>0</v>
      </c>
      <c r="AF39" s="43">
        <f t="shared" si="37"/>
        <v>0</v>
      </c>
      <c r="AG39" s="44">
        <f t="shared" si="37"/>
        <v>0</v>
      </c>
      <c r="AI39" s="41">
        <f t="shared" si="36"/>
        <v>37104</v>
      </c>
      <c r="AJ39" s="44">
        <f t="shared" si="14"/>
        <v>0</v>
      </c>
    </row>
    <row r="40" spans="1:36" x14ac:dyDescent="0.25">
      <c r="A40" s="51"/>
      <c r="B40" s="51"/>
      <c r="C40" s="51"/>
      <c r="D40" s="51"/>
      <c r="E40" s="51"/>
      <c r="T40" s="88"/>
      <c r="Z40" s="41">
        <f t="shared" si="34"/>
        <v>37135</v>
      </c>
      <c r="AA40" s="43">
        <f t="shared" si="37"/>
        <v>0</v>
      </c>
      <c r="AB40" s="43">
        <f t="shared" si="37"/>
        <v>0</v>
      </c>
      <c r="AC40" s="43">
        <f t="shared" si="37"/>
        <v>0</v>
      </c>
      <c r="AD40" s="43">
        <f t="shared" si="37"/>
        <v>0</v>
      </c>
      <c r="AE40" s="43">
        <f t="shared" si="37"/>
        <v>0</v>
      </c>
      <c r="AF40" s="43">
        <f t="shared" si="37"/>
        <v>0</v>
      </c>
      <c r="AG40" s="44">
        <f t="shared" si="37"/>
        <v>0</v>
      </c>
      <c r="AI40" s="41">
        <f t="shared" si="36"/>
        <v>37135</v>
      </c>
      <c r="AJ40" s="44">
        <f t="shared" si="14"/>
        <v>0</v>
      </c>
    </row>
    <row r="41" spans="1:36" x14ac:dyDescent="0.25">
      <c r="A41" s="51"/>
      <c r="B41" s="51"/>
      <c r="C41" s="51"/>
      <c r="D41" s="51"/>
      <c r="E41" s="51"/>
      <c r="T41" s="88"/>
      <c r="Z41" s="41">
        <f t="shared" si="34"/>
        <v>37165</v>
      </c>
      <c r="AA41" s="43">
        <f t="shared" si="37"/>
        <v>0</v>
      </c>
      <c r="AB41" s="43">
        <f t="shared" si="37"/>
        <v>0</v>
      </c>
      <c r="AC41" s="43">
        <f t="shared" si="37"/>
        <v>0</v>
      </c>
      <c r="AD41" s="43">
        <f t="shared" si="37"/>
        <v>0</v>
      </c>
      <c r="AE41" s="43">
        <f t="shared" si="37"/>
        <v>0</v>
      </c>
      <c r="AF41" s="43">
        <f t="shared" si="37"/>
        <v>0</v>
      </c>
      <c r="AG41" s="44">
        <f t="shared" si="37"/>
        <v>0</v>
      </c>
      <c r="AI41" s="41">
        <f t="shared" si="36"/>
        <v>37165</v>
      </c>
      <c r="AJ41" s="44">
        <f t="shared" si="14"/>
        <v>0</v>
      </c>
    </row>
    <row r="42" spans="1:36" x14ac:dyDescent="0.25">
      <c r="A42" s="51"/>
      <c r="B42" s="51"/>
      <c r="C42" s="51"/>
      <c r="D42" s="51"/>
      <c r="E42" s="51"/>
      <c r="T42" s="88"/>
      <c r="Z42" s="41">
        <f t="shared" si="34"/>
        <v>37196</v>
      </c>
      <c r="AA42" s="43">
        <f t="shared" si="37"/>
        <v>0</v>
      </c>
      <c r="AB42" s="43">
        <f t="shared" si="37"/>
        <v>0</v>
      </c>
      <c r="AC42" s="43">
        <f t="shared" si="37"/>
        <v>0</v>
      </c>
      <c r="AD42" s="43">
        <f t="shared" si="37"/>
        <v>0</v>
      </c>
      <c r="AE42" s="43">
        <f t="shared" si="37"/>
        <v>0</v>
      </c>
      <c r="AF42" s="43">
        <f t="shared" si="37"/>
        <v>0</v>
      </c>
      <c r="AG42" s="44">
        <f t="shared" si="37"/>
        <v>0</v>
      </c>
      <c r="AI42" s="41">
        <f t="shared" si="36"/>
        <v>37196</v>
      </c>
      <c r="AJ42" s="44">
        <f t="shared" si="14"/>
        <v>0</v>
      </c>
    </row>
    <row r="43" spans="1:36" x14ac:dyDescent="0.25">
      <c r="A43" s="51"/>
      <c r="B43" s="51"/>
      <c r="C43" s="51"/>
      <c r="D43" s="51"/>
      <c r="E43" s="51"/>
      <c r="T43" s="88"/>
      <c r="Z43" s="41">
        <f t="shared" si="34"/>
        <v>37226</v>
      </c>
      <c r="AA43" s="43">
        <f t="shared" si="37"/>
        <v>0</v>
      </c>
      <c r="AB43" s="43">
        <f t="shared" si="37"/>
        <v>0</v>
      </c>
      <c r="AC43" s="43">
        <f t="shared" si="37"/>
        <v>0</v>
      </c>
      <c r="AD43" s="43">
        <f t="shared" si="37"/>
        <v>0</v>
      </c>
      <c r="AE43" s="43">
        <f t="shared" si="37"/>
        <v>0</v>
      </c>
      <c r="AF43" s="43">
        <f t="shared" si="37"/>
        <v>0</v>
      </c>
      <c r="AG43" s="44">
        <f t="shared" si="37"/>
        <v>0</v>
      </c>
      <c r="AI43" s="41">
        <f t="shared" si="36"/>
        <v>37226</v>
      </c>
      <c r="AJ43" s="44">
        <f t="shared" si="14"/>
        <v>0</v>
      </c>
    </row>
    <row r="44" spans="1:36" x14ac:dyDescent="0.25">
      <c r="A44" s="51"/>
      <c r="B44" s="51"/>
      <c r="C44" s="51"/>
      <c r="D44" s="51"/>
      <c r="E44" s="51"/>
      <c r="T44" s="88"/>
      <c r="Z44" s="41">
        <f t="shared" si="34"/>
        <v>37257</v>
      </c>
      <c r="AA44" s="43">
        <f t="shared" si="37"/>
        <v>0</v>
      </c>
      <c r="AB44" s="43">
        <f t="shared" si="37"/>
        <v>0</v>
      </c>
      <c r="AC44" s="43">
        <f t="shared" si="37"/>
        <v>0</v>
      </c>
      <c r="AD44" s="43">
        <f t="shared" si="37"/>
        <v>0</v>
      </c>
      <c r="AE44" s="43">
        <f t="shared" si="37"/>
        <v>0</v>
      </c>
      <c r="AF44" s="43">
        <f t="shared" si="37"/>
        <v>0</v>
      </c>
      <c r="AG44" s="44">
        <f t="shared" si="37"/>
        <v>0</v>
      </c>
      <c r="AI44" s="41">
        <f t="shared" si="36"/>
        <v>37257</v>
      </c>
      <c r="AJ44" s="44">
        <f t="shared" si="14"/>
        <v>0</v>
      </c>
    </row>
    <row r="45" spans="1:36" x14ac:dyDescent="0.25">
      <c r="A45" s="51"/>
      <c r="B45" s="51"/>
      <c r="C45" s="51"/>
      <c r="D45" s="51"/>
      <c r="E45" s="51"/>
      <c r="T45" s="88"/>
      <c r="Z45" s="41">
        <f t="shared" si="34"/>
        <v>37288</v>
      </c>
      <c r="AA45" s="43">
        <f t="shared" si="37"/>
        <v>0</v>
      </c>
      <c r="AB45" s="43">
        <f t="shared" si="37"/>
        <v>0</v>
      </c>
      <c r="AC45" s="43">
        <f t="shared" si="37"/>
        <v>0</v>
      </c>
      <c r="AD45" s="43">
        <f t="shared" si="37"/>
        <v>0</v>
      </c>
      <c r="AE45" s="43">
        <f t="shared" si="37"/>
        <v>0</v>
      </c>
      <c r="AF45" s="43">
        <f t="shared" si="37"/>
        <v>0</v>
      </c>
      <c r="AG45" s="44">
        <f t="shared" si="37"/>
        <v>0</v>
      </c>
      <c r="AI45" s="41">
        <f t="shared" si="36"/>
        <v>37288</v>
      </c>
      <c r="AJ45" s="44">
        <f t="shared" si="14"/>
        <v>0</v>
      </c>
    </row>
    <row r="46" spans="1:36" x14ac:dyDescent="0.25">
      <c r="A46" s="51"/>
      <c r="B46" s="51"/>
      <c r="C46" s="51"/>
      <c r="D46" s="51"/>
      <c r="E46" s="51"/>
      <c r="T46" s="88"/>
      <c r="Z46" s="41">
        <f t="shared" si="34"/>
        <v>37316</v>
      </c>
      <c r="AA46" s="43">
        <f t="shared" si="37"/>
        <v>0</v>
      </c>
      <c r="AB46" s="43">
        <f t="shared" si="37"/>
        <v>0</v>
      </c>
      <c r="AC46" s="43">
        <f t="shared" si="37"/>
        <v>0</v>
      </c>
      <c r="AD46" s="43">
        <f t="shared" si="37"/>
        <v>0</v>
      </c>
      <c r="AE46" s="43">
        <f t="shared" si="37"/>
        <v>0</v>
      </c>
      <c r="AF46" s="43">
        <f t="shared" si="37"/>
        <v>0</v>
      </c>
      <c r="AG46" s="44">
        <f t="shared" si="37"/>
        <v>0</v>
      </c>
      <c r="AI46" s="41">
        <f t="shared" si="36"/>
        <v>37316</v>
      </c>
      <c r="AJ46" s="44">
        <f t="shared" si="14"/>
        <v>0</v>
      </c>
    </row>
    <row r="47" spans="1:36" x14ac:dyDescent="0.25">
      <c r="A47" s="51"/>
      <c r="B47" s="51"/>
      <c r="C47" s="51"/>
      <c r="D47" s="51"/>
      <c r="E47" s="51"/>
      <c r="T47" s="88"/>
      <c r="Z47" s="41">
        <f t="shared" si="34"/>
        <v>37347</v>
      </c>
      <c r="AA47" s="43">
        <f t="shared" ref="AA47:AG56" si="38">SUMIF($X:$X,CONCATENATE($Z47,AA$6),$U:$U)</f>
        <v>0</v>
      </c>
      <c r="AB47" s="43">
        <f t="shared" si="38"/>
        <v>0</v>
      </c>
      <c r="AC47" s="43">
        <f t="shared" si="38"/>
        <v>0</v>
      </c>
      <c r="AD47" s="43">
        <f t="shared" si="38"/>
        <v>0</v>
      </c>
      <c r="AE47" s="43">
        <f t="shared" si="38"/>
        <v>0</v>
      </c>
      <c r="AF47" s="43">
        <f t="shared" si="38"/>
        <v>0</v>
      </c>
      <c r="AG47" s="44">
        <f t="shared" si="38"/>
        <v>0</v>
      </c>
      <c r="AI47" s="41">
        <f t="shared" si="36"/>
        <v>37347</v>
      </c>
      <c r="AJ47" s="44">
        <f t="shared" si="14"/>
        <v>0</v>
      </c>
    </row>
    <row r="48" spans="1:36" x14ac:dyDescent="0.25">
      <c r="T48" s="88"/>
      <c r="Z48" s="41">
        <f t="shared" si="34"/>
        <v>37377</v>
      </c>
      <c r="AA48" s="43">
        <f t="shared" si="38"/>
        <v>0</v>
      </c>
      <c r="AB48" s="43">
        <f t="shared" si="38"/>
        <v>0</v>
      </c>
      <c r="AC48" s="43">
        <f t="shared" si="38"/>
        <v>0</v>
      </c>
      <c r="AD48" s="43">
        <f t="shared" si="38"/>
        <v>0</v>
      </c>
      <c r="AE48" s="43">
        <f t="shared" si="38"/>
        <v>0</v>
      </c>
      <c r="AF48" s="43">
        <f t="shared" si="38"/>
        <v>0</v>
      </c>
      <c r="AG48" s="44">
        <f t="shared" si="38"/>
        <v>0</v>
      </c>
      <c r="AI48" s="41">
        <f t="shared" si="36"/>
        <v>37377</v>
      </c>
      <c r="AJ48" s="44">
        <f t="shared" si="14"/>
        <v>0</v>
      </c>
    </row>
    <row r="49" spans="20:36" x14ac:dyDescent="0.25">
      <c r="T49" s="88"/>
      <c r="Z49" s="41">
        <f t="shared" si="34"/>
        <v>37408</v>
      </c>
      <c r="AA49" s="43">
        <f t="shared" si="38"/>
        <v>0</v>
      </c>
      <c r="AB49" s="43">
        <f t="shared" si="38"/>
        <v>0</v>
      </c>
      <c r="AC49" s="43">
        <f t="shared" si="38"/>
        <v>0</v>
      </c>
      <c r="AD49" s="43">
        <f t="shared" si="38"/>
        <v>0</v>
      </c>
      <c r="AE49" s="43">
        <f t="shared" si="38"/>
        <v>0</v>
      </c>
      <c r="AF49" s="43">
        <f t="shared" si="38"/>
        <v>0</v>
      </c>
      <c r="AG49" s="44">
        <f t="shared" si="38"/>
        <v>0</v>
      </c>
      <c r="AI49" s="41">
        <f t="shared" si="36"/>
        <v>37408</v>
      </c>
      <c r="AJ49" s="44">
        <f t="shared" si="14"/>
        <v>0</v>
      </c>
    </row>
    <row r="50" spans="20:36" x14ac:dyDescent="0.25">
      <c r="T50" s="88"/>
      <c r="Z50" s="41">
        <f t="shared" si="34"/>
        <v>37438</v>
      </c>
      <c r="AA50" s="43">
        <f t="shared" si="38"/>
        <v>0</v>
      </c>
      <c r="AB50" s="43">
        <f t="shared" si="38"/>
        <v>0</v>
      </c>
      <c r="AC50" s="43">
        <f t="shared" si="38"/>
        <v>0</v>
      </c>
      <c r="AD50" s="43">
        <f t="shared" si="38"/>
        <v>0</v>
      </c>
      <c r="AE50" s="43">
        <f t="shared" si="38"/>
        <v>0</v>
      </c>
      <c r="AF50" s="43">
        <f t="shared" si="38"/>
        <v>0</v>
      </c>
      <c r="AG50" s="44">
        <f t="shared" si="38"/>
        <v>0</v>
      </c>
      <c r="AI50" s="41">
        <f t="shared" si="36"/>
        <v>37438</v>
      </c>
      <c r="AJ50" s="44">
        <f t="shared" si="14"/>
        <v>0</v>
      </c>
    </row>
    <row r="51" spans="20:36" x14ac:dyDescent="0.25">
      <c r="T51" s="88"/>
      <c r="Z51" s="41">
        <f t="shared" si="34"/>
        <v>37469</v>
      </c>
      <c r="AA51" s="43">
        <f t="shared" si="38"/>
        <v>0</v>
      </c>
      <c r="AB51" s="43">
        <f t="shared" si="38"/>
        <v>0</v>
      </c>
      <c r="AC51" s="43">
        <f t="shared" si="38"/>
        <v>0</v>
      </c>
      <c r="AD51" s="43">
        <f t="shared" si="38"/>
        <v>0</v>
      </c>
      <c r="AE51" s="43">
        <f t="shared" si="38"/>
        <v>0</v>
      </c>
      <c r="AF51" s="43">
        <f t="shared" si="38"/>
        <v>0</v>
      </c>
      <c r="AG51" s="44">
        <f t="shared" si="38"/>
        <v>0</v>
      </c>
      <c r="AI51" s="41">
        <f t="shared" si="36"/>
        <v>37469</v>
      </c>
      <c r="AJ51" s="44">
        <f t="shared" si="14"/>
        <v>0</v>
      </c>
    </row>
    <row r="52" spans="20:36" x14ac:dyDescent="0.25">
      <c r="T52" s="88"/>
      <c r="Z52" s="41">
        <f t="shared" si="34"/>
        <v>37500</v>
      </c>
      <c r="AA52" s="43">
        <f t="shared" si="38"/>
        <v>0</v>
      </c>
      <c r="AB52" s="43">
        <f t="shared" si="38"/>
        <v>0</v>
      </c>
      <c r="AC52" s="43">
        <f t="shared" si="38"/>
        <v>0</v>
      </c>
      <c r="AD52" s="43">
        <f t="shared" si="38"/>
        <v>0</v>
      </c>
      <c r="AE52" s="43">
        <f t="shared" si="38"/>
        <v>0</v>
      </c>
      <c r="AF52" s="43">
        <f t="shared" si="38"/>
        <v>0</v>
      </c>
      <c r="AG52" s="44">
        <f t="shared" si="38"/>
        <v>0</v>
      </c>
      <c r="AI52" s="41">
        <f t="shared" si="36"/>
        <v>37500</v>
      </c>
      <c r="AJ52" s="44">
        <f t="shared" si="14"/>
        <v>0</v>
      </c>
    </row>
    <row r="53" spans="20:36" x14ac:dyDescent="0.25">
      <c r="T53" s="88"/>
      <c r="Z53" s="41">
        <f t="shared" si="34"/>
        <v>37530</v>
      </c>
      <c r="AA53" s="43">
        <f t="shared" si="38"/>
        <v>0</v>
      </c>
      <c r="AB53" s="43">
        <f t="shared" si="38"/>
        <v>0</v>
      </c>
      <c r="AC53" s="43">
        <f t="shared" si="38"/>
        <v>0</v>
      </c>
      <c r="AD53" s="43">
        <f t="shared" si="38"/>
        <v>0</v>
      </c>
      <c r="AE53" s="43">
        <f t="shared" si="38"/>
        <v>0</v>
      </c>
      <c r="AF53" s="43">
        <f t="shared" si="38"/>
        <v>0</v>
      </c>
      <c r="AG53" s="44">
        <f t="shared" si="38"/>
        <v>0</v>
      </c>
      <c r="AI53" s="41">
        <f t="shared" si="36"/>
        <v>37530</v>
      </c>
      <c r="AJ53" s="44">
        <f t="shared" si="14"/>
        <v>0</v>
      </c>
    </row>
    <row r="54" spans="20:36" x14ac:dyDescent="0.25">
      <c r="T54" s="88"/>
      <c r="Z54" s="41">
        <f t="shared" si="34"/>
        <v>37561</v>
      </c>
      <c r="AA54" s="43">
        <f t="shared" si="38"/>
        <v>0</v>
      </c>
      <c r="AB54" s="43">
        <f t="shared" si="38"/>
        <v>0</v>
      </c>
      <c r="AC54" s="43">
        <f t="shared" si="38"/>
        <v>0</v>
      </c>
      <c r="AD54" s="43">
        <f t="shared" si="38"/>
        <v>0</v>
      </c>
      <c r="AE54" s="43">
        <f t="shared" si="38"/>
        <v>0</v>
      </c>
      <c r="AF54" s="43">
        <f t="shared" si="38"/>
        <v>0</v>
      </c>
      <c r="AG54" s="44">
        <f t="shared" si="38"/>
        <v>0</v>
      </c>
      <c r="AI54" s="41">
        <f t="shared" si="36"/>
        <v>37561</v>
      </c>
      <c r="AJ54" s="44">
        <f t="shared" si="14"/>
        <v>0</v>
      </c>
    </row>
    <row r="55" spans="20:36" x14ac:dyDescent="0.25">
      <c r="Z55" s="41">
        <f t="shared" si="34"/>
        <v>37591</v>
      </c>
      <c r="AA55" s="43">
        <f t="shared" si="38"/>
        <v>0</v>
      </c>
      <c r="AB55" s="43">
        <f t="shared" si="38"/>
        <v>0</v>
      </c>
      <c r="AC55" s="43">
        <f t="shared" si="38"/>
        <v>0</v>
      </c>
      <c r="AD55" s="43">
        <f t="shared" si="38"/>
        <v>0</v>
      </c>
      <c r="AE55" s="43">
        <f t="shared" si="38"/>
        <v>0</v>
      </c>
      <c r="AF55" s="43">
        <f t="shared" si="38"/>
        <v>0</v>
      </c>
      <c r="AG55" s="44">
        <f t="shared" si="38"/>
        <v>0</v>
      </c>
      <c r="AI55" s="41">
        <f t="shared" si="36"/>
        <v>37591</v>
      </c>
      <c r="AJ55" s="44">
        <f t="shared" si="14"/>
        <v>0</v>
      </c>
    </row>
    <row r="56" spans="20:36" x14ac:dyDescent="0.25">
      <c r="Z56" s="41">
        <f t="shared" si="34"/>
        <v>37622</v>
      </c>
      <c r="AA56" s="43">
        <f t="shared" si="38"/>
        <v>0</v>
      </c>
      <c r="AB56" s="43">
        <f t="shared" si="38"/>
        <v>0</v>
      </c>
      <c r="AC56" s="43">
        <f t="shared" si="38"/>
        <v>0</v>
      </c>
      <c r="AD56" s="43">
        <f t="shared" si="38"/>
        <v>0</v>
      </c>
      <c r="AE56" s="43">
        <f t="shared" si="38"/>
        <v>0</v>
      </c>
      <c r="AF56" s="43">
        <f t="shared" si="38"/>
        <v>0</v>
      </c>
      <c r="AG56" s="44">
        <f t="shared" si="38"/>
        <v>0</v>
      </c>
      <c r="AI56" s="41">
        <f t="shared" si="36"/>
        <v>37622</v>
      </c>
      <c r="AJ56" s="44">
        <f t="shared" si="14"/>
        <v>0</v>
      </c>
    </row>
    <row r="57" spans="20:36" x14ac:dyDescent="0.25">
      <c r="Z57" s="41">
        <f t="shared" si="34"/>
        <v>37653</v>
      </c>
      <c r="AA57" s="43">
        <f t="shared" ref="AA57:AG66" si="39">SUMIF($X:$X,CONCATENATE($Z57,AA$6),$U:$U)</f>
        <v>0</v>
      </c>
      <c r="AB57" s="43">
        <f t="shared" si="39"/>
        <v>0</v>
      </c>
      <c r="AC57" s="43">
        <f t="shared" si="39"/>
        <v>0</v>
      </c>
      <c r="AD57" s="43">
        <f t="shared" si="39"/>
        <v>0</v>
      </c>
      <c r="AE57" s="43">
        <f t="shared" si="39"/>
        <v>0</v>
      </c>
      <c r="AF57" s="43">
        <f t="shared" si="39"/>
        <v>0</v>
      </c>
      <c r="AG57" s="44">
        <f t="shared" si="39"/>
        <v>0</v>
      </c>
      <c r="AI57" s="41">
        <f t="shared" si="36"/>
        <v>37653</v>
      </c>
      <c r="AJ57" s="44">
        <f t="shared" si="14"/>
        <v>0</v>
      </c>
    </row>
    <row r="58" spans="20:36" x14ac:dyDescent="0.25">
      <c r="Z58" s="41">
        <f t="shared" si="34"/>
        <v>37681</v>
      </c>
      <c r="AA58" s="43">
        <f t="shared" si="39"/>
        <v>0</v>
      </c>
      <c r="AB58" s="43">
        <f t="shared" si="39"/>
        <v>0</v>
      </c>
      <c r="AC58" s="43">
        <f t="shared" si="39"/>
        <v>0</v>
      </c>
      <c r="AD58" s="43">
        <f t="shared" si="39"/>
        <v>0</v>
      </c>
      <c r="AE58" s="43">
        <f t="shared" si="39"/>
        <v>0</v>
      </c>
      <c r="AF58" s="43">
        <f t="shared" si="39"/>
        <v>0</v>
      </c>
      <c r="AG58" s="44">
        <f t="shared" si="39"/>
        <v>0</v>
      </c>
      <c r="AI58" s="41">
        <f t="shared" si="36"/>
        <v>37681</v>
      </c>
      <c r="AJ58" s="44">
        <f t="shared" si="14"/>
        <v>0</v>
      </c>
    </row>
    <row r="59" spans="20:36" x14ac:dyDescent="0.25">
      <c r="Z59" s="41">
        <f t="shared" ref="Z59:Z90" si="40">EOMONTH(Z58,0)+1</f>
        <v>37712</v>
      </c>
      <c r="AA59" s="43">
        <f t="shared" si="39"/>
        <v>0</v>
      </c>
      <c r="AB59" s="43">
        <f t="shared" si="39"/>
        <v>0</v>
      </c>
      <c r="AC59" s="43">
        <f t="shared" si="39"/>
        <v>0</v>
      </c>
      <c r="AD59" s="43">
        <f t="shared" si="39"/>
        <v>0</v>
      </c>
      <c r="AE59" s="43">
        <f t="shared" si="39"/>
        <v>0</v>
      </c>
      <c r="AF59" s="43">
        <f t="shared" si="39"/>
        <v>0</v>
      </c>
      <c r="AG59" s="44">
        <f t="shared" si="39"/>
        <v>0</v>
      </c>
      <c r="AI59" s="41">
        <f t="shared" ref="AI59:AI90" si="41">EOMONTH(AI58,0)+1</f>
        <v>37712</v>
      </c>
      <c r="AJ59" s="44">
        <f t="shared" si="14"/>
        <v>0</v>
      </c>
    </row>
    <row r="60" spans="20:36" x14ac:dyDescent="0.25">
      <c r="Z60" s="41">
        <f t="shared" si="40"/>
        <v>37742</v>
      </c>
      <c r="AA60" s="43">
        <f t="shared" si="39"/>
        <v>0</v>
      </c>
      <c r="AB60" s="43">
        <f t="shared" si="39"/>
        <v>0</v>
      </c>
      <c r="AC60" s="43">
        <f t="shared" si="39"/>
        <v>0</v>
      </c>
      <c r="AD60" s="43">
        <f t="shared" si="39"/>
        <v>0</v>
      </c>
      <c r="AE60" s="43">
        <f t="shared" si="39"/>
        <v>0</v>
      </c>
      <c r="AF60" s="43">
        <f t="shared" si="39"/>
        <v>0</v>
      </c>
      <c r="AG60" s="44">
        <f t="shared" si="39"/>
        <v>0</v>
      </c>
      <c r="AI60" s="41">
        <f t="shared" si="41"/>
        <v>37742</v>
      </c>
      <c r="AJ60" s="44">
        <f t="shared" si="14"/>
        <v>0</v>
      </c>
    </row>
    <row r="61" spans="20:36" x14ac:dyDescent="0.25">
      <c r="Z61" s="41">
        <f t="shared" si="40"/>
        <v>37773</v>
      </c>
      <c r="AA61" s="43">
        <f t="shared" si="39"/>
        <v>0</v>
      </c>
      <c r="AB61" s="43">
        <f t="shared" si="39"/>
        <v>0</v>
      </c>
      <c r="AC61" s="43">
        <f t="shared" si="39"/>
        <v>0</v>
      </c>
      <c r="AD61" s="43">
        <f t="shared" si="39"/>
        <v>0</v>
      </c>
      <c r="AE61" s="43">
        <f t="shared" si="39"/>
        <v>0</v>
      </c>
      <c r="AF61" s="43">
        <f t="shared" si="39"/>
        <v>0</v>
      </c>
      <c r="AG61" s="44">
        <f t="shared" si="39"/>
        <v>0</v>
      </c>
      <c r="AI61" s="41">
        <f t="shared" si="41"/>
        <v>37773</v>
      </c>
      <c r="AJ61" s="44">
        <f t="shared" si="14"/>
        <v>0</v>
      </c>
    </row>
    <row r="62" spans="20:36" x14ac:dyDescent="0.25">
      <c r="Z62" s="41">
        <f t="shared" si="40"/>
        <v>37803</v>
      </c>
      <c r="AA62" s="43">
        <f t="shared" si="39"/>
        <v>0</v>
      </c>
      <c r="AB62" s="43">
        <f t="shared" si="39"/>
        <v>0</v>
      </c>
      <c r="AC62" s="43">
        <f t="shared" si="39"/>
        <v>0</v>
      </c>
      <c r="AD62" s="43">
        <f t="shared" si="39"/>
        <v>0</v>
      </c>
      <c r="AE62" s="43">
        <f t="shared" si="39"/>
        <v>0</v>
      </c>
      <c r="AF62" s="43">
        <f t="shared" si="39"/>
        <v>0</v>
      </c>
      <c r="AG62" s="44">
        <f t="shared" si="39"/>
        <v>0</v>
      </c>
      <c r="AI62" s="41">
        <f t="shared" si="41"/>
        <v>37803</v>
      </c>
      <c r="AJ62" s="44">
        <f t="shared" si="14"/>
        <v>0</v>
      </c>
    </row>
    <row r="63" spans="20:36" x14ac:dyDescent="0.25">
      <c r="Z63" s="41">
        <f t="shared" si="40"/>
        <v>37834</v>
      </c>
      <c r="AA63" s="43">
        <f t="shared" si="39"/>
        <v>0</v>
      </c>
      <c r="AB63" s="43">
        <f t="shared" si="39"/>
        <v>0</v>
      </c>
      <c r="AC63" s="43">
        <f t="shared" si="39"/>
        <v>0</v>
      </c>
      <c r="AD63" s="43">
        <f t="shared" si="39"/>
        <v>0</v>
      </c>
      <c r="AE63" s="43">
        <f t="shared" si="39"/>
        <v>0</v>
      </c>
      <c r="AF63" s="43">
        <f t="shared" si="39"/>
        <v>0</v>
      </c>
      <c r="AG63" s="44">
        <f t="shared" si="39"/>
        <v>0</v>
      </c>
      <c r="AI63" s="41">
        <f t="shared" si="41"/>
        <v>37834</v>
      </c>
      <c r="AJ63" s="44">
        <f t="shared" si="14"/>
        <v>0</v>
      </c>
    </row>
    <row r="64" spans="20:36" x14ac:dyDescent="0.25">
      <c r="Z64" s="41">
        <f t="shared" si="40"/>
        <v>37865</v>
      </c>
      <c r="AA64" s="43">
        <f t="shared" si="39"/>
        <v>0</v>
      </c>
      <c r="AB64" s="43">
        <f t="shared" si="39"/>
        <v>0</v>
      </c>
      <c r="AC64" s="43">
        <f t="shared" si="39"/>
        <v>0</v>
      </c>
      <c r="AD64" s="43">
        <f t="shared" si="39"/>
        <v>0</v>
      </c>
      <c r="AE64" s="43">
        <f t="shared" si="39"/>
        <v>0</v>
      </c>
      <c r="AF64" s="43">
        <f t="shared" si="39"/>
        <v>0</v>
      </c>
      <c r="AG64" s="44">
        <f t="shared" si="39"/>
        <v>0</v>
      </c>
      <c r="AI64" s="41">
        <f t="shared" si="41"/>
        <v>37865</v>
      </c>
      <c r="AJ64" s="44">
        <f t="shared" si="14"/>
        <v>0</v>
      </c>
    </row>
    <row r="65" spans="26:36" x14ac:dyDescent="0.25">
      <c r="Z65" s="41">
        <f t="shared" si="40"/>
        <v>37895</v>
      </c>
      <c r="AA65" s="43">
        <f t="shared" si="39"/>
        <v>0</v>
      </c>
      <c r="AB65" s="43">
        <f t="shared" si="39"/>
        <v>0</v>
      </c>
      <c r="AC65" s="43">
        <f t="shared" si="39"/>
        <v>0</v>
      </c>
      <c r="AD65" s="43">
        <f t="shared" si="39"/>
        <v>0</v>
      </c>
      <c r="AE65" s="43">
        <f t="shared" si="39"/>
        <v>0</v>
      </c>
      <c r="AF65" s="43">
        <f t="shared" si="39"/>
        <v>0</v>
      </c>
      <c r="AG65" s="44">
        <f t="shared" si="39"/>
        <v>0</v>
      </c>
      <c r="AI65" s="41">
        <f t="shared" si="41"/>
        <v>37895</v>
      </c>
      <c r="AJ65" s="44">
        <f t="shared" si="14"/>
        <v>0</v>
      </c>
    </row>
    <row r="66" spans="26:36" x14ac:dyDescent="0.25">
      <c r="Z66" s="41">
        <f t="shared" si="40"/>
        <v>37926</v>
      </c>
      <c r="AA66" s="43">
        <f t="shared" si="39"/>
        <v>0</v>
      </c>
      <c r="AB66" s="43">
        <f t="shared" si="39"/>
        <v>0</v>
      </c>
      <c r="AC66" s="43">
        <f t="shared" si="39"/>
        <v>0</v>
      </c>
      <c r="AD66" s="43">
        <f t="shared" si="39"/>
        <v>0</v>
      </c>
      <c r="AE66" s="43">
        <f t="shared" si="39"/>
        <v>0</v>
      </c>
      <c r="AF66" s="43">
        <f t="shared" si="39"/>
        <v>0</v>
      </c>
      <c r="AG66" s="44">
        <f t="shared" si="39"/>
        <v>0</v>
      </c>
      <c r="AI66" s="41">
        <f t="shared" si="41"/>
        <v>37926</v>
      </c>
      <c r="AJ66" s="44">
        <f t="shared" si="14"/>
        <v>0</v>
      </c>
    </row>
    <row r="67" spans="26:36" x14ac:dyDescent="0.25">
      <c r="Z67" s="41">
        <f t="shared" si="40"/>
        <v>37956</v>
      </c>
      <c r="AA67" s="43">
        <f t="shared" ref="AA67:AG76" si="42">SUMIF($X:$X,CONCATENATE($Z67,AA$6),$U:$U)</f>
        <v>0</v>
      </c>
      <c r="AB67" s="43">
        <f t="shared" si="42"/>
        <v>0</v>
      </c>
      <c r="AC67" s="43">
        <f t="shared" si="42"/>
        <v>0</v>
      </c>
      <c r="AD67" s="43">
        <f t="shared" si="42"/>
        <v>0</v>
      </c>
      <c r="AE67" s="43">
        <f t="shared" si="42"/>
        <v>0</v>
      </c>
      <c r="AF67" s="43">
        <f t="shared" si="42"/>
        <v>0</v>
      </c>
      <c r="AG67" s="44">
        <f t="shared" si="42"/>
        <v>0</v>
      </c>
      <c r="AI67" s="41">
        <f t="shared" si="41"/>
        <v>37956</v>
      </c>
      <c r="AJ67" s="44">
        <f t="shared" si="14"/>
        <v>0</v>
      </c>
    </row>
    <row r="68" spans="26:36" x14ac:dyDescent="0.25">
      <c r="Z68" s="41">
        <f t="shared" si="40"/>
        <v>37987</v>
      </c>
      <c r="AA68" s="43">
        <f t="shared" si="42"/>
        <v>0</v>
      </c>
      <c r="AB68" s="43">
        <f t="shared" si="42"/>
        <v>0</v>
      </c>
      <c r="AC68" s="43">
        <f t="shared" si="42"/>
        <v>0</v>
      </c>
      <c r="AD68" s="43">
        <f t="shared" si="42"/>
        <v>0</v>
      </c>
      <c r="AE68" s="43">
        <f t="shared" si="42"/>
        <v>0</v>
      </c>
      <c r="AF68" s="43">
        <f t="shared" si="42"/>
        <v>0</v>
      </c>
      <c r="AG68" s="44">
        <f t="shared" si="42"/>
        <v>0</v>
      </c>
      <c r="AI68" s="41">
        <f t="shared" si="41"/>
        <v>37987</v>
      </c>
      <c r="AJ68" s="44">
        <f t="shared" si="14"/>
        <v>0</v>
      </c>
    </row>
    <row r="69" spans="26:36" x14ac:dyDescent="0.25">
      <c r="Z69" s="41">
        <f t="shared" si="40"/>
        <v>38018</v>
      </c>
      <c r="AA69" s="43">
        <f t="shared" si="42"/>
        <v>0</v>
      </c>
      <c r="AB69" s="43">
        <f t="shared" si="42"/>
        <v>0</v>
      </c>
      <c r="AC69" s="43">
        <f t="shared" si="42"/>
        <v>0</v>
      </c>
      <c r="AD69" s="43">
        <f t="shared" si="42"/>
        <v>0</v>
      </c>
      <c r="AE69" s="43">
        <f t="shared" si="42"/>
        <v>0</v>
      </c>
      <c r="AF69" s="43">
        <f t="shared" si="42"/>
        <v>0</v>
      </c>
      <c r="AG69" s="44">
        <f t="shared" si="42"/>
        <v>0</v>
      </c>
      <c r="AI69" s="41">
        <f t="shared" si="41"/>
        <v>38018</v>
      </c>
      <c r="AJ69" s="44">
        <f t="shared" si="14"/>
        <v>0</v>
      </c>
    </row>
    <row r="70" spans="26:36" x14ac:dyDescent="0.25">
      <c r="Z70" s="41">
        <f t="shared" si="40"/>
        <v>38047</v>
      </c>
      <c r="AA70" s="43">
        <f t="shared" si="42"/>
        <v>0</v>
      </c>
      <c r="AB70" s="43">
        <f t="shared" si="42"/>
        <v>0</v>
      </c>
      <c r="AC70" s="43">
        <f t="shared" si="42"/>
        <v>0</v>
      </c>
      <c r="AD70" s="43">
        <f t="shared" si="42"/>
        <v>0</v>
      </c>
      <c r="AE70" s="43">
        <f t="shared" si="42"/>
        <v>0</v>
      </c>
      <c r="AF70" s="43">
        <f t="shared" si="42"/>
        <v>0</v>
      </c>
      <c r="AG70" s="44">
        <f t="shared" si="42"/>
        <v>0</v>
      </c>
      <c r="AI70" s="41">
        <f t="shared" si="41"/>
        <v>38047</v>
      </c>
      <c r="AJ70" s="44">
        <f t="shared" si="14"/>
        <v>0</v>
      </c>
    </row>
    <row r="71" spans="26:36" x14ac:dyDescent="0.25">
      <c r="Z71" s="41">
        <f t="shared" si="40"/>
        <v>38078</v>
      </c>
      <c r="AA71" s="43">
        <f t="shared" si="42"/>
        <v>0</v>
      </c>
      <c r="AB71" s="43">
        <f t="shared" si="42"/>
        <v>0</v>
      </c>
      <c r="AC71" s="43">
        <f t="shared" si="42"/>
        <v>0</v>
      </c>
      <c r="AD71" s="43">
        <f t="shared" si="42"/>
        <v>0</v>
      </c>
      <c r="AE71" s="43">
        <f t="shared" si="42"/>
        <v>0</v>
      </c>
      <c r="AF71" s="43">
        <f t="shared" si="42"/>
        <v>0</v>
      </c>
      <c r="AG71" s="44">
        <f t="shared" si="42"/>
        <v>0</v>
      </c>
      <c r="AI71" s="41">
        <f t="shared" si="41"/>
        <v>38078</v>
      </c>
      <c r="AJ71" s="44">
        <f t="shared" si="14"/>
        <v>0</v>
      </c>
    </row>
    <row r="72" spans="26:36" x14ac:dyDescent="0.25">
      <c r="Z72" s="41">
        <f t="shared" si="40"/>
        <v>38108</v>
      </c>
      <c r="AA72" s="43">
        <f t="shared" si="42"/>
        <v>0</v>
      </c>
      <c r="AB72" s="43">
        <f t="shared" si="42"/>
        <v>0</v>
      </c>
      <c r="AC72" s="43">
        <f t="shared" si="42"/>
        <v>0</v>
      </c>
      <c r="AD72" s="43">
        <f t="shared" si="42"/>
        <v>0</v>
      </c>
      <c r="AE72" s="43">
        <f t="shared" si="42"/>
        <v>0</v>
      </c>
      <c r="AF72" s="43">
        <f t="shared" si="42"/>
        <v>0</v>
      </c>
      <c r="AG72" s="44">
        <f t="shared" si="42"/>
        <v>0</v>
      </c>
      <c r="AI72" s="41">
        <f t="shared" si="41"/>
        <v>38108</v>
      </c>
      <c r="AJ72" s="44">
        <f t="shared" si="14"/>
        <v>0</v>
      </c>
    </row>
    <row r="73" spans="26:36" x14ac:dyDescent="0.25">
      <c r="Z73" s="41">
        <f t="shared" si="40"/>
        <v>38139</v>
      </c>
      <c r="AA73" s="43">
        <f t="shared" si="42"/>
        <v>0</v>
      </c>
      <c r="AB73" s="43">
        <f t="shared" si="42"/>
        <v>0</v>
      </c>
      <c r="AC73" s="43">
        <f t="shared" si="42"/>
        <v>0</v>
      </c>
      <c r="AD73" s="43">
        <f t="shared" si="42"/>
        <v>0</v>
      </c>
      <c r="AE73" s="43">
        <f t="shared" si="42"/>
        <v>0</v>
      </c>
      <c r="AF73" s="43">
        <f t="shared" si="42"/>
        <v>0</v>
      </c>
      <c r="AG73" s="44">
        <f t="shared" si="42"/>
        <v>0</v>
      </c>
      <c r="AI73" s="41">
        <f t="shared" si="41"/>
        <v>38139</v>
      </c>
      <c r="AJ73" s="44">
        <f t="shared" si="14"/>
        <v>0</v>
      </c>
    </row>
    <row r="74" spans="26:36" x14ac:dyDescent="0.25">
      <c r="Z74" s="41">
        <f t="shared" si="40"/>
        <v>38169</v>
      </c>
      <c r="AA74" s="43">
        <f t="shared" si="42"/>
        <v>0</v>
      </c>
      <c r="AB74" s="43">
        <f t="shared" si="42"/>
        <v>0</v>
      </c>
      <c r="AC74" s="43">
        <f t="shared" si="42"/>
        <v>0</v>
      </c>
      <c r="AD74" s="43">
        <f t="shared" si="42"/>
        <v>0</v>
      </c>
      <c r="AE74" s="43">
        <f t="shared" si="42"/>
        <v>0</v>
      </c>
      <c r="AF74" s="43">
        <f t="shared" si="42"/>
        <v>0</v>
      </c>
      <c r="AG74" s="44">
        <f t="shared" si="42"/>
        <v>0</v>
      </c>
      <c r="AI74" s="41">
        <f t="shared" si="41"/>
        <v>38169</v>
      </c>
      <c r="AJ74" s="44">
        <f t="shared" ref="AJ74:AJ137" si="43">SUM(AA74:AG74)</f>
        <v>0</v>
      </c>
    </row>
    <row r="75" spans="26:36" x14ac:dyDescent="0.25">
      <c r="Z75" s="41">
        <f t="shared" si="40"/>
        <v>38200</v>
      </c>
      <c r="AA75" s="43">
        <f t="shared" si="42"/>
        <v>0</v>
      </c>
      <c r="AB75" s="43">
        <f t="shared" si="42"/>
        <v>0</v>
      </c>
      <c r="AC75" s="43">
        <f t="shared" si="42"/>
        <v>0</v>
      </c>
      <c r="AD75" s="43">
        <f t="shared" si="42"/>
        <v>0</v>
      </c>
      <c r="AE75" s="43">
        <f t="shared" si="42"/>
        <v>0</v>
      </c>
      <c r="AF75" s="43">
        <f t="shared" si="42"/>
        <v>0</v>
      </c>
      <c r="AG75" s="44">
        <f t="shared" si="42"/>
        <v>0</v>
      </c>
      <c r="AI75" s="41">
        <f t="shared" si="41"/>
        <v>38200</v>
      </c>
      <c r="AJ75" s="44">
        <f t="shared" si="43"/>
        <v>0</v>
      </c>
    </row>
    <row r="76" spans="26:36" x14ac:dyDescent="0.25">
      <c r="Z76" s="41">
        <f t="shared" si="40"/>
        <v>38231</v>
      </c>
      <c r="AA76" s="43">
        <f t="shared" si="42"/>
        <v>0</v>
      </c>
      <c r="AB76" s="43">
        <f t="shared" si="42"/>
        <v>0</v>
      </c>
      <c r="AC76" s="43">
        <f t="shared" si="42"/>
        <v>0</v>
      </c>
      <c r="AD76" s="43">
        <f t="shared" si="42"/>
        <v>0</v>
      </c>
      <c r="AE76" s="43">
        <f t="shared" si="42"/>
        <v>0</v>
      </c>
      <c r="AF76" s="43">
        <f t="shared" si="42"/>
        <v>0</v>
      </c>
      <c r="AG76" s="44">
        <f t="shared" si="42"/>
        <v>0</v>
      </c>
      <c r="AI76" s="41">
        <f t="shared" si="41"/>
        <v>38231</v>
      </c>
      <c r="AJ76" s="44">
        <f t="shared" si="43"/>
        <v>0</v>
      </c>
    </row>
    <row r="77" spans="26:36" x14ac:dyDescent="0.25">
      <c r="Z77" s="41">
        <f t="shared" si="40"/>
        <v>38261</v>
      </c>
      <c r="AA77" s="43">
        <f t="shared" ref="AA77:AG86" si="44">SUMIF($X:$X,CONCATENATE($Z77,AA$6),$U:$U)</f>
        <v>0</v>
      </c>
      <c r="AB77" s="43">
        <f t="shared" si="44"/>
        <v>0</v>
      </c>
      <c r="AC77" s="43">
        <f t="shared" si="44"/>
        <v>0</v>
      </c>
      <c r="AD77" s="43">
        <f t="shared" si="44"/>
        <v>0</v>
      </c>
      <c r="AE77" s="43">
        <f t="shared" si="44"/>
        <v>0</v>
      </c>
      <c r="AF77" s="43">
        <f t="shared" si="44"/>
        <v>0</v>
      </c>
      <c r="AG77" s="44">
        <f t="shared" si="44"/>
        <v>0</v>
      </c>
      <c r="AI77" s="41">
        <f t="shared" si="41"/>
        <v>38261</v>
      </c>
      <c r="AJ77" s="44">
        <f t="shared" si="43"/>
        <v>0</v>
      </c>
    </row>
    <row r="78" spans="26:36" x14ac:dyDescent="0.25">
      <c r="Z78" s="41">
        <f t="shared" si="40"/>
        <v>38292</v>
      </c>
      <c r="AA78" s="43">
        <f t="shared" si="44"/>
        <v>0</v>
      </c>
      <c r="AB78" s="43">
        <f t="shared" si="44"/>
        <v>0</v>
      </c>
      <c r="AC78" s="43">
        <f t="shared" si="44"/>
        <v>0</v>
      </c>
      <c r="AD78" s="43">
        <f t="shared" si="44"/>
        <v>0</v>
      </c>
      <c r="AE78" s="43">
        <f t="shared" si="44"/>
        <v>0</v>
      </c>
      <c r="AF78" s="43">
        <f t="shared" si="44"/>
        <v>0</v>
      </c>
      <c r="AG78" s="44">
        <f t="shared" si="44"/>
        <v>0</v>
      </c>
      <c r="AI78" s="41">
        <f t="shared" si="41"/>
        <v>38292</v>
      </c>
      <c r="AJ78" s="44">
        <f t="shared" si="43"/>
        <v>0</v>
      </c>
    </row>
    <row r="79" spans="26:36" x14ac:dyDescent="0.25">
      <c r="Z79" s="41">
        <f t="shared" si="40"/>
        <v>38322</v>
      </c>
      <c r="AA79" s="43">
        <f t="shared" si="44"/>
        <v>0</v>
      </c>
      <c r="AB79" s="43">
        <f t="shared" si="44"/>
        <v>0</v>
      </c>
      <c r="AC79" s="43">
        <f t="shared" si="44"/>
        <v>0</v>
      </c>
      <c r="AD79" s="43">
        <f t="shared" si="44"/>
        <v>0</v>
      </c>
      <c r="AE79" s="43">
        <f t="shared" si="44"/>
        <v>0</v>
      </c>
      <c r="AF79" s="43">
        <f t="shared" si="44"/>
        <v>0</v>
      </c>
      <c r="AG79" s="44">
        <f t="shared" si="44"/>
        <v>0</v>
      </c>
      <c r="AI79" s="41">
        <f t="shared" si="41"/>
        <v>38322</v>
      </c>
      <c r="AJ79" s="44">
        <f t="shared" si="43"/>
        <v>0</v>
      </c>
    </row>
    <row r="80" spans="26:36" x14ac:dyDescent="0.25">
      <c r="Z80" s="41">
        <f t="shared" si="40"/>
        <v>38353</v>
      </c>
      <c r="AA80" s="43">
        <f t="shared" si="44"/>
        <v>0</v>
      </c>
      <c r="AB80" s="43">
        <f t="shared" si="44"/>
        <v>0</v>
      </c>
      <c r="AC80" s="43">
        <f t="shared" si="44"/>
        <v>0</v>
      </c>
      <c r="AD80" s="43">
        <f t="shared" si="44"/>
        <v>0</v>
      </c>
      <c r="AE80" s="43">
        <f t="shared" si="44"/>
        <v>0</v>
      </c>
      <c r="AF80" s="43">
        <f t="shared" si="44"/>
        <v>0</v>
      </c>
      <c r="AG80" s="44">
        <f t="shared" si="44"/>
        <v>0</v>
      </c>
      <c r="AI80" s="41">
        <f t="shared" si="41"/>
        <v>38353</v>
      </c>
      <c r="AJ80" s="44">
        <f t="shared" si="43"/>
        <v>0</v>
      </c>
    </row>
    <row r="81" spans="26:36" x14ac:dyDescent="0.25">
      <c r="Z81" s="41">
        <f t="shared" si="40"/>
        <v>38384</v>
      </c>
      <c r="AA81" s="43">
        <f t="shared" si="44"/>
        <v>0</v>
      </c>
      <c r="AB81" s="43">
        <f t="shared" si="44"/>
        <v>0</v>
      </c>
      <c r="AC81" s="43">
        <f t="shared" si="44"/>
        <v>0</v>
      </c>
      <c r="AD81" s="43">
        <f t="shared" si="44"/>
        <v>0</v>
      </c>
      <c r="AE81" s="43">
        <f t="shared" si="44"/>
        <v>0</v>
      </c>
      <c r="AF81" s="43">
        <f t="shared" si="44"/>
        <v>0</v>
      </c>
      <c r="AG81" s="44">
        <f t="shared" si="44"/>
        <v>0</v>
      </c>
      <c r="AI81" s="41">
        <f t="shared" si="41"/>
        <v>38384</v>
      </c>
      <c r="AJ81" s="44">
        <f t="shared" si="43"/>
        <v>0</v>
      </c>
    </row>
    <row r="82" spans="26:36" x14ac:dyDescent="0.25">
      <c r="Z82" s="41">
        <f t="shared" si="40"/>
        <v>38412</v>
      </c>
      <c r="AA82" s="43">
        <f t="shared" si="44"/>
        <v>0</v>
      </c>
      <c r="AB82" s="43">
        <f t="shared" si="44"/>
        <v>0</v>
      </c>
      <c r="AC82" s="43">
        <f t="shared" si="44"/>
        <v>0</v>
      </c>
      <c r="AD82" s="43">
        <f t="shared" si="44"/>
        <v>0</v>
      </c>
      <c r="AE82" s="43">
        <f t="shared" si="44"/>
        <v>0</v>
      </c>
      <c r="AF82" s="43">
        <f t="shared" si="44"/>
        <v>0</v>
      </c>
      <c r="AG82" s="44">
        <f t="shared" si="44"/>
        <v>0</v>
      </c>
      <c r="AI82" s="41">
        <f t="shared" si="41"/>
        <v>38412</v>
      </c>
      <c r="AJ82" s="44">
        <f t="shared" si="43"/>
        <v>0</v>
      </c>
    </row>
    <row r="83" spans="26:36" x14ac:dyDescent="0.25">
      <c r="Z83" s="41">
        <f t="shared" si="40"/>
        <v>38443</v>
      </c>
      <c r="AA83" s="43">
        <f t="shared" si="44"/>
        <v>0</v>
      </c>
      <c r="AB83" s="43">
        <f t="shared" si="44"/>
        <v>0</v>
      </c>
      <c r="AC83" s="43">
        <f t="shared" si="44"/>
        <v>0</v>
      </c>
      <c r="AD83" s="43">
        <f t="shared" si="44"/>
        <v>0</v>
      </c>
      <c r="AE83" s="43">
        <f t="shared" si="44"/>
        <v>0</v>
      </c>
      <c r="AF83" s="43">
        <f t="shared" si="44"/>
        <v>0</v>
      </c>
      <c r="AG83" s="44">
        <f t="shared" si="44"/>
        <v>0</v>
      </c>
      <c r="AI83" s="41">
        <f t="shared" si="41"/>
        <v>38443</v>
      </c>
      <c r="AJ83" s="44">
        <f t="shared" si="43"/>
        <v>0</v>
      </c>
    </row>
    <row r="84" spans="26:36" x14ac:dyDescent="0.25">
      <c r="Z84" s="41">
        <f t="shared" si="40"/>
        <v>38473</v>
      </c>
      <c r="AA84" s="43">
        <f t="shared" si="44"/>
        <v>0</v>
      </c>
      <c r="AB84" s="43">
        <f t="shared" si="44"/>
        <v>0</v>
      </c>
      <c r="AC84" s="43">
        <f t="shared" si="44"/>
        <v>0</v>
      </c>
      <c r="AD84" s="43">
        <f t="shared" si="44"/>
        <v>0</v>
      </c>
      <c r="AE84" s="43">
        <f t="shared" si="44"/>
        <v>0</v>
      </c>
      <c r="AF84" s="43">
        <f t="shared" si="44"/>
        <v>0</v>
      </c>
      <c r="AG84" s="44">
        <f t="shared" si="44"/>
        <v>0</v>
      </c>
      <c r="AI84" s="41">
        <f t="shared" si="41"/>
        <v>38473</v>
      </c>
      <c r="AJ84" s="44">
        <f t="shared" si="43"/>
        <v>0</v>
      </c>
    </row>
    <row r="85" spans="26:36" x14ac:dyDescent="0.25">
      <c r="Z85" s="41">
        <f t="shared" si="40"/>
        <v>38504</v>
      </c>
      <c r="AA85" s="43">
        <f t="shared" si="44"/>
        <v>0</v>
      </c>
      <c r="AB85" s="43">
        <f t="shared" si="44"/>
        <v>0</v>
      </c>
      <c r="AC85" s="43">
        <f t="shared" si="44"/>
        <v>0</v>
      </c>
      <c r="AD85" s="43">
        <f t="shared" si="44"/>
        <v>0</v>
      </c>
      <c r="AE85" s="43">
        <f t="shared" si="44"/>
        <v>0</v>
      </c>
      <c r="AF85" s="43">
        <f t="shared" si="44"/>
        <v>0</v>
      </c>
      <c r="AG85" s="44">
        <f t="shared" si="44"/>
        <v>0</v>
      </c>
      <c r="AI85" s="41">
        <f t="shared" si="41"/>
        <v>38504</v>
      </c>
      <c r="AJ85" s="44">
        <f t="shared" si="43"/>
        <v>0</v>
      </c>
    </row>
    <row r="86" spans="26:36" x14ac:dyDescent="0.25">
      <c r="Z86" s="41">
        <f t="shared" si="40"/>
        <v>38534</v>
      </c>
      <c r="AA86" s="43">
        <f t="shared" si="44"/>
        <v>0</v>
      </c>
      <c r="AB86" s="43">
        <f t="shared" si="44"/>
        <v>0</v>
      </c>
      <c r="AC86" s="43">
        <f t="shared" si="44"/>
        <v>0</v>
      </c>
      <c r="AD86" s="43">
        <f t="shared" si="44"/>
        <v>0</v>
      </c>
      <c r="AE86" s="43">
        <f t="shared" si="44"/>
        <v>0</v>
      </c>
      <c r="AF86" s="43">
        <f t="shared" si="44"/>
        <v>0</v>
      </c>
      <c r="AG86" s="44">
        <f t="shared" si="44"/>
        <v>0</v>
      </c>
      <c r="AI86" s="41">
        <f t="shared" si="41"/>
        <v>38534</v>
      </c>
      <c r="AJ86" s="44">
        <f t="shared" si="43"/>
        <v>0</v>
      </c>
    </row>
    <row r="87" spans="26:36" x14ac:dyDescent="0.25">
      <c r="Z87" s="41">
        <f t="shared" si="40"/>
        <v>38565</v>
      </c>
      <c r="AA87" s="43">
        <f t="shared" ref="AA87:AG96" si="45">SUMIF($X:$X,CONCATENATE($Z87,AA$6),$U:$U)</f>
        <v>0</v>
      </c>
      <c r="AB87" s="43">
        <f t="shared" si="45"/>
        <v>0</v>
      </c>
      <c r="AC87" s="43">
        <f t="shared" si="45"/>
        <v>0</v>
      </c>
      <c r="AD87" s="43">
        <f t="shared" si="45"/>
        <v>0</v>
      </c>
      <c r="AE87" s="43">
        <f t="shared" si="45"/>
        <v>0</v>
      </c>
      <c r="AF87" s="43">
        <f t="shared" si="45"/>
        <v>0</v>
      </c>
      <c r="AG87" s="44">
        <f t="shared" si="45"/>
        <v>0</v>
      </c>
      <c r="AI87" s="41">
        <f t="shared" si="41"/>
        <v>38565</v>
      </c>
      <c r="AJ87" s="44">
        <f t="shared" si="43"/>
        <v>0</v>
      </c>
    </row>
    <row r="88" spans="26:36" x14ac:dyDescent="0.25">
      <c r="Z88" s="41">
        <f t="shared" si="40"/>
        <v>38596</v>
      </c>
      <c r="AA88" s="43">
        <f t="shared" si="45"/>
        <v>0</v>
      </c>
      <c r="AB88" s="43">
        <f t="shared" si="45"/>
        <v>0</v>
      </c>
      <c r="AC88" s="43">
        <f t="shared" si="45"/>
        <v>0</v>
      </c>
      <c r="AD88" s="43">
        <f t="shared" si="45"/>
        <v>0</v>
      </c>
      <c r="AE88" s="43">
        <f t="shared" si="45"/>
        <v>0</v>
      </c>
      <c r="AF88" s="43">
        <f t="shared" si="45"/>
        <v>0</v>
      </c>
      <c r="AG88" s="44">
        <f t="shared" si="45"/>
        <v>0</v>
      </c>
      <c r="AI88" s="41">
        <f t="shared" si="41"/>
        <v>38596</v>
      </c>
      <c r="AJ88" s="44">
        <f t="shared" si="43"/>
        <v>0</v>
      </c>
    </row>
    <row r="89" spans="26:36" x14ac:dyDescent="0.25">
      <c r="Z89" s="41">
        <f t="shared" si="40"/>
        <v>38626</v>
      </c>
      <c r="AA89" s="43">
        <f t="shared" si="45"/>
        <v>0</v>
      </c>
      <c r="AB89" s="43">
        <f t="shared" si="45"/>
        <v>0</v>
      </c>
      <c r="AC89" s="43">
        <f t="shared" si="45"/>
        <v>0</v>
      </c>
      <c r="AD89" s="43">
        <f t="shared" si="45"/>
        <v>0</v>
      </c>
      <c r="AE89" s="43">
        <f t="shared" si="45"/>
        <v>0</v>
      </c>
      <c r="AF89" s="43">
        <f t="shared" si="45"/>
        <v>0</v>
      </c>
      <c r="AG89" s="44">
        <f t="shared" si="45"/>
        <v>0</v>
      </c>
      <c r="AI89" s="41">
        <f t="shared" si="41"/>
        <v>38626</v>
      </c>
      <c r="AJ89" s="44">
        <f t="shared" si="43"/>
        <v>0</v>
      </c>
    </row>
    <row r="90" spans="26:36" x14ac:dyDescent="0.25">
      <c r="Z90" s="41">
        <f t="shared" si="40"/>
        <v>38657</v>
      </c>
      <c r="AA90" s="43">
        <f t="shared" si="45"/>
        <v>0</v>
      </c>
      <c r="AB90" s="43">
        <f t="shared" si="45"/>
        <v>0</v>
      </c>
      <c r="AC90" s="43">
        <f t="shared" si="45"/>
        <v>0</v>
      </c>
      <c r="AD90" s="43">
        <f t="shared" si="45"/>
        <v>0</v>
      </c>
      <c r="AE90" s="43">
        <f t="shared" si="45"/>
        <v>0</v>
      </c>
      <c r="AF90" s="43">
        <f t="shared" si="45"/>
        <v>0</v>
      </c>
      <c r="AG90" s="44">
        <f t="shared" si="45"/>
        <v>0</v>
      </c>
      <c r="AI90" s="41">
        <f t="shared" si="41"/>
        <v>38657</v>
      </c>
      <c r="AJ90" s="44">
        <f t="shared" si="43"/>
        <v>0</v>
      </c>
    </row>
    <row r="91" spans="26:36" x14ac:dyDescent="0.25">
      <c r="Z91" s="41">
        <f t="shared" ref="Z91:Z122" si="46">EOMONTH(Z90,0)+1</f>
        <v>38687</v>
      </c>
      <c r="AA91" s="43">
        <f t="shared" si="45"/>
        <v>0</v>
      </c>
      <c r="AB91" s="43">
        <f t="shared" si="45"/>
        <v>0</v>
      </c>
      <c r="AC91" s="43">
        <f t="shared" si="45"/>
        <v>0</v>
      </c>
      <c r="AD91" s="43">
        <f t="shared" si="45"/>
        <v>0</v>
      </c>
      <c r="AE91" s="43">
        <f t="shared" si="45"/>
        <v>0</v>
      </c>
      <c r="AF91" s="43">
        <f t="shared" si="45"/>
        <v>0</v>
      </c>
      <c r="AG91" s="44">
        <f t="shared" si="45"/>
        <v>0</v>
      </c>
      <c r="AI91" s="41">
        <f t="shared" ref="AI91:AI122" si="47">EOMONTH(AI90,0)+1</f>
        <v>38687</v>
      </c>
      <c r="AJ91" s="44">
        <f t="shared" si="43"/>
        <v>0</v>
      </c>
    </row>
    <row r="92" spans="26:36" x14ac:dyDescent="0.25">
      <c r="Z92" s="41">
        <f t="shared" si="46"/>
        <v>38718</v>
      </c>
      <c r="AA92" s="43">
        <f t="shared" si="45"/>
        <v>0</v>
      </c>
      <c r="AB92" s="43">
        <f t="shared" si="45"/>
        <v>0</v>
      </c>
      <c r="AC92" s="43">
        <f t="shared" si="45"/>
        <v>0</v>
      </c>
      <c r="AD92" s="43">
        <f t="shared" si="45"/>
        <v>0</v>
      </c>
      <c r="AE92" s="43">
        <f t="shared" si="45"/>
        <v>0</v>
      </c>
      <c r="AF92" s="43">
        <f t="shared" si="45"/>
        <v>0</v>
      </c>
      <c r="AG92" s="44">
        <f t="shared" si="45"/>
        <v>0</v>
      </c>
      <c r="AI92" s="41">
        <f t="shared" si="47"/>
        <v>38718</v>
      </c>
      <c r="AJ92" s="44">
        <f t="shared" si="43"/>
        <v>0</v>
      </c>
    </row>
    <row r="93" spans="26:36" x14ac:dyDescent="0.25">
      <c r="Z93" s="41">
        <f t="shared" si="46"/>
        <v>38749</v>
      </c>
      <c r="AA93" s="43">
        <f t="shared" si="45"/>
        <v>0</v>
      </c>
      <c r="AB93" s="43">
        <f t="shared" si="45"/>
        <v>0</v>
      </c>
      <c r="AC93" s="43">
        <f t="shared" si="45"/>
        <v>0</v>
      </c>
      <c r="AD93" s="43">
        <f t="shared" si="45"/>
        <v>0</v>
      </c>
      <c r="AE93" s="43">
        <f t="shared" si="45"/>
        <v>0</v>
      </c>
      <c r="AF93" s="43">
        <f t="shared" si="45"/>
        <v>0</v>
      </c>
      <c r="AG93" s="44">
        <f t="shared" si="45"/>
        <v>0</v>
      </c>
      <c r="AI93" s="41">
        <f t="shared" si="47"/>
        <v>38749</v>
      </c>
      <c r="AJ93" s="44">
        <f t="shared" si="43"/>
        <v>0</v>
      </c>
    </row>
    <row r="94" spans="26:36" x14ac:dyDescent="0.25">
      <c r="Z94" s="41">
        <f t="shared" si="46"/>
        <v>38777</v>
      </c>
      <c r="AA94" s="43">
        <f t="shared" si="45"/>
        <v>0</v>
      </c>
      <c r="AB94" s="43">
        <f t="shared" si="45"/>
        <v>0</v>
      </c>
      <c r="AC94" s="43">
        <f t="shared" si="45"/>
        <v>0</v>
      </c>
      <c r="AD94" s="43">
        <f t="shared" si="45"/>
        <v>0</v>
      </c>
      <c r="AE94" s="43">
        <f t="shared" si="45"/>
        <v>0</v>
      </c>
      <c r="AF94" s="43">
        <f t="shared" si="45"/>
        <v>0</v>
      </c>
      <c r="AG94" s="44">
        <f t="shared" si="45"/>
        <v>0</v>
      </c>
      <c r="AI94" s="41">
        <f t="shared" si="47"/>
        <v>38777</v>
      </c>
      <c r="AJ94" s="44">
        <f t="shared" si="43"/>
        <v>0</v>
      </c>
    </row>
    <row r="95" spans="26:36" x14ac:dyDescent="0.25">
      <c r="Z95" s="41">
        <f t="shared" si="46"/>
        <v>38808</v>
      </c>
      <c r="AA95" s="43">
        <f t="shared" si="45"/>
        <v>0</v>
      </c>
      <c r="AB95" s="43">
        <f t="shared" si="45"/>
        <v>0</v>
      </c>
      <c r="AC95" s="43">
        <f t="shared" si="45"/>
        <v>0</v>
      </c>
      <c r="AD95" s="43">
        <f t="shared" si="45"/>
        <v>0</v>
      </c>
      <c r="AE95" s="43">
        <f t="shared" si="45"/>
        <v>0</v>
      </c>
      <c r="AF95" s="43">
        <f t="shared" si="45"/>
        <v>0</v>
      </c>
      <c r="AG95" s="44">
        <f t="shared" si="45"/>
        <v>0</v>
      </c>
      <c r="AI95" s="41">
        <f t="shared" si="47"/>
        <v>38808</v>
      </c>
      <c r="AJ95" s="44">
        <f t="shared" si="43"/>
        <v>0</v>
      </c>
    </row>
    <row r="96" spans="26:36" x14ac:dyDescent="0.25">
      <c r="Z96" s="41">
        <f t="shared" si="46"/>
        <v>38838</v>
      </c>
      <c r="AA96" s="43">
        <f t="shared" si="45"/>
        <v>0</v>
      </c>
      <c r="AB96" s="43">
        <f t="shared" si="45"/>
        <v>0</v>
      </c>
      <c r="AC96" s="43">
        <f t="shared" si="45"/>
        <v>0</v>
      </c>
      <c r="AD96" s="43">
        <f t="shared" si="45"/>
        <v>0</v>
      </c>
      <c r="AE96" s="43">
        <f t="shared" si="45"/>
        <v>0</v>
      </c>
      <c r="AF96" s="43">
        <f t="shared" si="45"/>
        <v>0</v>
      </c>
      <c r="AG96" s="44">
        <f t="shared" si="45"/>
        <v>0</v>
      </c>
      <c r="AI96" s="41">
        <f t="shared" si="47"/>
        <v>38838</v>
      </c>
      <c r="AJ96" s="44">
        <f t="shared" si="43"/>
        <v>0</v>
      </c>
    </row>
    <row r="97" spans="26:36" x14ac:dyDescent="0.25">
      <c r="Z97" s="41">
        <f t="shared" si="46"/>
        <v>38869</v>
      </c>
      <c r="AA97" s="43">
        <f t="shared" ref="AA97:AG106" si="48">SUMIF($X:$X,CONCATENATE($Z97,AA$6),$U:$U)</f>
        <v>0</v>
      </c>
      <c r="AB97" s="43">
        <f t="shared" si="48"/>
        <v>0</v>
      </c>
      <c r="AC97" s="43">
        <f t="shared" si="48"/>
        <v>0</v>
      </c>
      <c r="AD97" s="43">
        <f t="shared" si="48"/>
        <v>0</v>
      </c>
      <c r="AE97" s="43">
        <f t="shared" si="48"/>
        <v>0</v>
      </c>
      <c r="AF97" s="43">
        <f t="shared" si="48"/>
        <v>0</v>
      </c>
      <c r="AG97" s="44">
        <f t="shared" si="48"/>
        <v>0</v>
      </c>
      <c r="AI97" s="41">
        <f t="shared" si="47"/>
        <v>38869</v>
      </c>
      <c r="AJ97" s="44">
        <f t="shared" si="43"/>
        <v>0</v>
      </c>
    </row>
    <row r="98" spans="26:36" x14ac:dyDescent="0.25">
      <c r="Z98" s="41">
        <f t="shared" si="46"/>
        <v>38899</v>
      </c>
      <c r="AA98" s="43">
        <f t="shared" si="48"/>
        <v>0</v>
      </c>
      <c r="AB98" s="43">
        <f t="shared" si="48"/>
        <v>0</v>
      </c>
      <c r="AC98" s="43">
        <f t="shared" si="48"/>
        <v>0</v>
      </c>
      <c r="AD98" s="43">
        <f t="shared" si="48"/>
        <v>0</v>
      </c>
      <c r="AE98" s="43">
        <f t="shared" si="48"/>
        <v>0</v>
      </c>
      <c r="AF98" s="43">
        <f t="shared" si="48"/>
        <v>0</v>
      </c>
      <c r="AG98" s="44">
        <f t="shared" si="48"/>
        <v>0</v>
      </c>
      <c r="AI98" s="41">
        <f t="shared" si="47"/>
        <v>38899</v>
      </c>
      <c r="AJ98" s="44">
        <f t="shared" si="43"/>
        <v>0</v>
      </c>
    </row>
    <row r="99" spans="26:36" x14ac:dyDescent="0.25">
      <c r="Z99" s="41">
        <f t="shared" si="46"/>
        <v>38930</v>
      </c>
      <c r="AA99" s="43">
        <f t="shared" si="48"/>
        <v>0</v>
      </c>
      <c r="AB99" s="43">
        <f t="shared" si="48"/>
        <v>0</v>
      </c>
      <c r="AC99" s="43">
        <f t="shared" si="48"/>
        <v>0</v>
      </c>
      <c r="AD99" s="43">
        <f t="shared" si="48"/>
        <v>0</v>
      </c>
      <c r="AE99" s="43">
        <f t="shared" si="48"/>
        <v>0</v>
      </c>
      <c r="AF99" s="43">
        <f t="shared" si="48"/>
        <v>0</v>
      </c>
      <c r="AG99" s="44">
        <f t="shared" si="48"/>
        <v>0</v>
      </c>
      <c r="AI99" s="41">
        <f t="shared" si="47"/>
        <v>38930</v>
      </c>
      <c r="AJ99" s="44">
        <f>SUM(AA99:AG99)</f>
        <v>0</v>
      </c>
    </row>
    <row r="100" spans="26:36" x14ac:dyDescent="0.25">
      <c r="Z100" s="41">
        <f t="shared" si="46"/>
        <v>38961</v>
      </c>
      <c r="AA100" s="43">
        <f t="shared" si="48"/>
        <v>0</v>
      </c>
      <c r="AB100" s="43">
        <f t="shared" si="48"/>
        <v>0</v>
      </c>
      <c r="AC100" s="43">
        <f t="shared" si="48"/>
        <v>0</v>
      </c>
      <c r="AD100" s="43">
        <f t="shared" si="48"/>
        <v>0</v>
      </c>
      <c r="AE100" s="43">
        <f t="shared" si="48"/>
        <v>0</v>
      </c>
      <c r="AF100" s="43">
        <f t="shared" si="48"/>
        <v>0</v>
      </c>
      <c r="AG100" s="44">
        <f t="shared" si="48"/>
        <v>0</v>
      </c>
      <c r="AI100" s="41">
        <f t="shared" si="47"/>
        <v>38961</v>
      </c>
      <c r="AJ100" s="44">
        <f>SUM(AA100:AG100)</f>
        <v>0</v>
      </c>
    </row>
    <row r="101" spans="26:36" x14ac:dyDescent="0.25">
      <c r="Z101" s="41">
        <f t="shared" si="46"/>
        <v>38991</v>
      </c>
      <c r="AA101" s="43">
        <f t="shared" si="48"/>
        <v>0</v>
      </c>
      <c r="AB101" s="43">
        <f t="shared" si="48"/>
        <v>0</v>
      </c>
      <c r="AC101" s="43">
        <f t="shared" si="48"/>
        <v>0</v>
      </c>
      <c r="AD101" s="43">
        <f t="shared" si="48"/>
        <v>0</v>
      </c>
      <c r="AE101" s="43">
        <f t="shared" si="48"/>
        <v>0</v>
      </c>
      <c r="AF101" s="43">
        <f t="shared" si="48"/>
        <v>0</v>
      </c>
      <c r="AG101" s="44">
        <f t="shared" si="48"/>
        <v>0</v>
      </c>
      <c r="AI101" s="41">
        <f t="shared" si="47"/>
        <v>38991</v>
      </c>
      <c r="AJ101" s="44">
        <f>SUM(AA101:AG101)</f>
        <v>0</v>
      </c>
    </row>
    <row r="102" spans="26:36" x14ac:dyDescent="0.25">
      <c r="Z102" s="41">
        <f t="shared" si="46"/>
        <v>39022</v>
      </c>
      <c r="AA102" s="43">
        <f t="shared" si="48"/>
        <v>0</v>
      </c>
      <c r="AB102" s="43">
        <f t="shared" si="48"/>
        <v>0</v>
      </c>
      <c r="AC102" s="43">
        <f t="shared" si="48"/>
        <v>0</v>
      </c>
      <c r="AD102" s="43">
        <f t="shared" si="48"/>
        <v>0</v>
      </c>
      <c r="AE102" s="43">
        <f t="shared" si="48"/>
        <v>0</v>
      </c>
      <c r="AF102" s="43">
        <f t="shared" si="48"/>
        <v>0</v>
      </c>
      <c r="AG102" s="44">
        <f t="shared" si="48"/>
        <v>0</v>
      </c>
      <c r="AI102" s="41">
        <f t="shared" si="47"/>
        <v>39022</v>
      </c>
      <c r="AJ102" s="44">
        <f>SUM(AA102:AG102)</f>
        <v>0</v>
      </c>
    </row>
    <row r="103" spans="26:36" x14ac:dyDescent="0.25">
      <c r="Z103" s="41">
        <f t="shared" si="46"/>
        <v>39052</v>
      </c>
      <c r="AA103" s="43">
        <f t="shared" si="48"/>
        <v>0</v>
      </c>
      <c r="AB103" s="43">
        <f t="shared" si="48"/>
        <v>0</v>
      </c>
      <c r="AC103" s="43">
        <f t="shared" si="48"/>
        <v>0</v>
      </c>
      <c r="AD103" s="43">
        <f t="shared" si="48"/>
        <v>0</v>
      </c>
      <c r="AE103" s="43">
        <f t="shared" si="48"/>
        <v>0</v>
      </c>
      <c r="AF103" s="43">
        <f t="shared" si="48"/>
        <v>0</v>
      </c>
      <c r="AG103" s="44">
        <f t="shared" si="48"/>
        <v>0</v>
      </c>
      <c r="AI103" s="41">
        <f t="shared" si="47"/>
        <v>39052</v>
      </c>
      <c r="AJ103" s="44">
        <f>SUM(AA103:AG103)</f>
        <v>0</v>
      </c>
    </row>
    <row r="104" spans="26:36" x14ac:dyDescent="0.25">
      <c r="Z104" s="41">
        <f t="shared" si="46"/>
        <v>39083</v>
      </c>
      <c r="AA104" s="43">
        <f t="shared" si="48"/>
        <v>0</v>
      </c>
      <c r="AB104" s="43">
        <f t="shared" si="48"/>
        <v>0</v>
      </c>
      <c r="AC104" s="43">
        <f t="shared" si="48"/>
        <v>0</v>
      </c>
      <c r="AD104" s="43">
        <f t="shared" si="48"/>
        <v>0</v>
      </c>
      <c r="AE104" s="43">
        <f t="shared" si="48"/>
        <v>0</v>
      </c>
      <c r="AF104" s="43">
        <f t="shared" si="48"/>
        <v>0</v>
      </c>
      <c r="AG104" s="44">
        <f t="shared" si="48"/>
        <v>0</v>
      </c>
      <c r="AI104" s="41">
        <f t="shared" si="47"/>
        <v>39083</v>
      </c>
      <c r="AJ104" s="44">
        <f t="shared" si="43"/>
        <v>0</v>
      </c>
    </row>
    <row r="105" spans="26:36" x14ac:dyDescent="0.25">
      <c r="Z105" s="41">
        <f t="shared" si="46"/>
        <v>39114</v>
      </c>
      <c r="AA105" s="43">
        <f t="shared" si="48"/>
        <v>0</v>
      </c>
      <c r="AB105" s="43">
        <f t="shared" si="48"/>
        <v>0</v>
      </c>
      <c r="AC105" s="43">
        <f t="shared" si="48"/>
        <v>0</v>
      </c>
      <c r="AD105" s="43">
        <f t="shared" si="48"/>
        <v>0</v>
      </c>
      <c r="AE105" s="43">
        <f t="shared" si="48"/>
        <v>0</v>
      </c>
      <c r="AF105" s="43">
        <f t="shared" si="48"/>
        <v>0</v>
      </c>
      <c r="AG105" s="44">
        <f t="shared" si="48"/>
        <v>0</v>
      </c>
      <c r="AI105" s="41">
        <f t="shared" si="47"/>
        <v>39114</v>
      </c>
      <c r="AJ105" s="44">
        <f t="shared" si="43"/>
        <v>0</v>
      </c>
    </row>
    <row r="106" spans="26:36" x14ac:dyDescent="0.25">
      <c r="Z106" s="41">
        <f t="shared" si="46"/>
        <v>39142</v>
      </c>
      <c r="AA106" s="43">
        <f t="shared" si="48"/>
        <v>0</v>
      </c>
      <c r="AB106" s="43">
        <f t="shared" si="48"/>
        <v>0</v>
      </c>
      <c r="AC106" s="43">
        <f t="shared" si="48"/>
        <v>0</v>
      </c>
      <c r="AD106" s="43">
        <f t="shared" si="48"/>
        <v>0</v>
      </c>
      <c r="AE106" s="43">
        <f t="shared" si="48"/>
        <v>0</v>
      </c>
      <c r="AF106" s="43">
        <f t="shared" si="48"/>
        <v>0</v>
      </c>
      <c r="AG106" s="44">
        <f t="shared" si="48"/>
        <v>0</v>
      </c>
      <c r="AI106" s="41">
        <f t="shared" si="47"/>
        <v>39142</v>
      </c>
      <c r="AJ106" s="44">
        <f t="shared" si="43"/>
        <v>0</v>
      </c>
    </row>
    <row r="107" spans="26:36" x14ac:dyDescent="0.25">
      <c r="Z107" s="41">
        <f t="shared" si="46"/>
        <v>39173</v>
      </c>
      <c r="AA107" s="43">
        <f t="shared" ref="AA107:AG116" si="49">SUMIF($X:$X,CONCATENATE($Z107,AA$6),$U:$U)</f>
        <v>0</v>
      </c>
      <c r="AB107" s="43">
        <f t="shared" si="49"/>
        <v>0</v>
      </c>
      <c r="AC107" s="43">
        <f t="shared" si="49"/>
        <v>0</v>
      </c>
      <c r="AD107" s="43">
        <f t="shared" si="49"/>
        <v>0</v>
      </c>
      <c r="AE107" s="43">
        <f t="shared" si="49"/>
        <v>0</v>
      </c>
      <c r="AF107" s="43">
        <f t="shared" si="49"/>
        <v>0</v>
      </c>
      <c r="AG107" s="44">
        <f t="shared" si="49"/>
        <v>0</v>
      </c>
      <c r="AI107" s="41">
        <f t="shared" si="47"/>
        <v>39173</v>
      </c>
      <c r="AJ107" s="44">
        <f t="shared" si="43"/>
        <v>0</v>
      </c>
    </row>
    <row r="108" spans="26:36" x14ac:dyDescent="0.25">
      <c r="Z108" s="41">
        <f t="shared" si="46"/>
        <v>39203</v>
      </c>
      <c r="AA108" s="43">
        <f t="shared" si="49"/>
        <v>0</v>
      </c>
      <c r="AB108" s="43">
        <f t="shared" si="49"/>
        <v>0</v>
      </c>
      <c r="AC108" s="43">
        <f t="shared" si="49"/>
        <v>0</v>
      </c>
      <c r="AD108" s="43">
        <f t="shared" si="49"/>
        <v>0</v>
      </c>
      <c r="AE108" s="43">
        <f t="shared" si="49"/>
        <v>0</v>
      </c>
      <c r="AF108" s="43">
        <f t="shared" si="49"/>
        <v>0</v>
      </c>
      <c r="AG108" s="44">
        <f t="shared" si="49"/>
        <v>0</v>
      </c>
      <c r="AI108" s="41">
        <f t="shared" si="47"/>
        <v>39203</v>
      </c>
      <c r="AJ108" s="44">
        <f t="shared" si="43"/>
        <v>0</v>
      </c>
    </row>
    <row r="109" spans="26:36" x14ac:dyDescent="0.25">
      <c r="Z109" s="41">
        <f t="shared" si="46"/>
        <v>39234</v>
      </c>
      <c r="AA109" s="43">
        <f t="shared" si="49"/>
        <v>0</v>
      </c>
      <c r="AB109" s="43">
        <f t="shared" si="49"/>
        <v>0</v>
      </c>
      <c r="AC109" s="43">
        <f t="shared" si="49"/>
        <v>0</v>
      </c>
      <c r="AD109" s="43">
        <f t="shared" si="49"/>
        <v>0</v>
      </c>
      <c r="AE109" s="43">
        <f t="shared" si="49"/>
        <v>0</v>
      </c>
      <c r="AF109" s="43">
        <f t="shared" si="49"/>
        <v>0</v>
      </c>
      <c r="AG109" s="44">
        <f t="shared" si="49"/>
        <v>0</v>
      </c>
      <c r="AI109" s="41">
        <f t="shared" si="47"/>
        <v>39234</v>
      </c>
      <c r="AJ109" s="44">
        <f t="shared" si="43"/>
        <v>0</v>
      </c>
    </row>
    <row r="110" spans="26:36" x14ac:dyDescent="0.25">
      <c r="Z110" s="41">
        <f t="shared" si="46"/>
        <v>39264</v>
      </c>
      <c r="AA110" s="43">
        <f t="shared" si="49"/>
        <v>0</v>
      </c>
      <c r="AB110" s="43">
        <f t="shared" si="49"/>
        <v>0</v>
      </c>
      <c r="AC110" s="43">
        <f t="shared" si="49"/>
        <v>0</v>
      </c>
      <c r="AD110" s="43">
        <f t="shared" si="49"/>
        <v>0</v>
      </c>
      <c r="AE110" s="43">
        <f t="shared" si="49"/>
        <v>0</v>
      </c>
      <c r="AF110" s="43">
        <f t="shared" si="49"/>
        <v>0</v>
      </c>
      <c r="AG110" s="44">
        <f t="shared" si="49"/>
        <v>0</v>
      </c>
      <c r="AI110" s="41">
        <f t="shared" si="47"/>
        <v>39264</v>
      </c>
      <c r="AJ110" s="44">
        <f t="shared" si="43"/>
        <v>0</v>
      </c>
    </row>
    <row r="111" spans="26:36" x14ac:dyDescent="0.25">
      <c r="Z111" s="41">
        <f t="shared" si="46"/>
        <v>39295</v>
      </c>
      <c r="AA111" s="43">
        <f t="shared" si="49"/>
        <v>0</v>
      </c>
      <c r="AB111" s="43">
        <f t="shared" si="49"/>
        <v>0</v>
      </c>
      <c r="AC111" s="43">
        <f t="shared" si="49"/>
        <v>0</v>
      </c>
      <c r="AD111" s="43">
        <f t="shared" si="49"/>
        <v>0</v>
      </c>
      <c r="AE111" s="43">
        <f t="shared" si="49"/>
        <v>0</v>
      </c>
      <c r="AF111" s="43">
        <f t="shared" si="49"/>
        <v>0</v>
      </c>
      <c r="AG111" s="44">
        <f t="shared" si="49"/>
        <v>0</v>
      </c>
      <c r="AI111" s="41">
        <f t="shared" si="47"/>
        <v>39295</v>
      </c>
      <c r="AJ111" s="44">
        <f t="shared" si="43"/>
        <v>0</v>
      </c>
    </row>
    <row r="112" spans="26:36" x14ac:dyDescent="0.25">
      <c r="Z112" s="41">
        <f t="shared" si="46"/>
        <v>39326</v>
      </c>
      <c r="AA112" s="43">
        <f t="shared" si="49"/>
        <v>0</v>
      </c>
      <c r="AB112" s="43">
        <f t="shared" si="49"/>
        <v>0</v>
      </c>
      <c r="AC112" s="43">
        <f t="shared" si="49"/>
        <v>0</v>
      </c>
      <c r="AD112" s="43">
        <f t="shared" si="49"/>
        <v>0</v>
      </c>
      <c r="AE112" s="43">
        <f t="shared" si="49"/>
        <v>0</v>
      </c>
      <c r="AF112" s="43">
        <f t="shared" si="49"/>
        <v>0</v>
      </c>
      <c r="AG112" s="44">
        <f t="shared" si="49"/>
        <v>0</v>
      </c>
      <c r="AI112" s="41">
        <f t="shared" si="47"/>
        <v>39326</v>
      </c>
      <c r="AJ112" s="44">
        <f t="shared" si="43"/>
        <v>0</v>
      </c>
    </row>
    <row r="113" spans="26:36" x14ac:dyDescent="0.25">
      <c r="Z113" s="41">
        <f t="shared" si="46"/>
        <v>39356</v>
      </c>
      <c r="AA113" s="43">
        <f t="shared" si="49"/>
        <v>0</v>
      </c>
      <c r="AB113" s="43">
        <f t="shared" si="49"/>
        <v>0</v>
      </c>
      <c r="AC113" s="43">
        <f t="shared" si="49"/>
        <v>0</v>
      </c>
      <c r="AD113" s="43">
        <f t="shared" si="49"/>
        <v>0</v>
      </c>
      <c r="AE113" s="43">
        <f t="shared" si="49"/>
        <v>0</v>
      </c>
      <c r="AF113" s="43">
        <f t="shared" si="49"/>
        <v>0</v>
      </c>
      <c r="AG113" s="44">
        <f t="shared" si="49"/>
        <v>0</v>
      </c>
      <c r="AI113" s="41">
        <f t="shared" si="47"/>
        <v>39356</v>
      </c>
      <c r="AJ113" s="44">
        <f t="shared" si="43"/>
        <v>0</v>
      </c>
    </row>
    <row r="114" spans="26:36" x14ac:dyDescent="0.25">
      <c r="Z114" s="41">
        <f t="shared" si="46"/>
        <v>39387</v>
      </c>
      <c r="AA114" s="43">
        <f t="shared" si="49"/>
        <v>0</v>
      </c>
      <c r="AB114" s="43">
        <f t="shared" si="49"/>
        <v>0</v>
      </c>
      <c r="AC114" s="43">
        <f t="shared" si="49"/>
        <v>0</v>
      </c>
      <c r="AD114" s="43">
        <f t="shared" si="49"/>
        <v>0</v>
      </c>
      <c r="AE114" s="43">
        <f t="shared" si="49"/>
        <v>0</v>
      </c>
      <c r="AF114" s="43">
        <f t="shared" si="49"/>
        <v>0</v>
      </c>
      <c r="AG114" s="44">
        <f t="shared" si="49"/>
        <v>0</v>
      </c>
      <c r="AI114" s="41">
        <f t="shared" si="47"/>
        <v>39387</v>
      </c>
      <c r="AJ114" s="44">
        <f t="shared" si="43"/>
        <v>0</v>
      </c>
    </row>
    <row r="115" spans="26:36" x14ac:dyDescent="0.25">
      <c r="Z115" s="41">
        <f t="shared" si="46"/>
        <v>39417</v>
      </c>
      <c r="AA115" s="43">
        <f t="shared" si="49"/>
        <v>0</v>
      </c>
      <c r="AB115" s="43">
        <f t="shared" si="49"/>
        <v>0</v>
      </c>
      <c r="AC115" s="43">
        <f t="shared" si="49"/>
        <v>0</v>
      </c>
      <c r="AD115" s="43">
        <f t="shared" si="49"/>
        <v>0</v>
      </c>
      <c r="AE115" s="43">
        <f t="shared" si="49"/>
        <v>0</v>
      </c>
      <c r="AF115" s="43">
        <f t="shared" si="49"/>
        <v>0</v>
      </c>
      <c r="AG115" s="44">
        <f t="shared" si="49"/>
        <v>0</v>
      </c>
      <c r="AI115" s="41">
        <f t="shared" si="47"/>
        <v>39417</v>
      </c>
      <c r="AJ115" s="44">
        <f t="shared" si="43"/>
        <v>0</v>
      </c>
    </row>
    <row r="116" spans="26:36" x14ac:dyDescent="0.25">
      <c r="Z116" s="41">
        <f t="shared" si="46"/>
        <v>39448</v>
      </c>
      <c r="AA116" s="43">
        <f t="shared" si="49"/>
        <v>0</v>
      </c>
      <c r="AB116" s="43">
        <f t="shared" si="49"/>
        <v>0</v>
      </c>
      <c r="AC116" s="43">
        <f t="shared" si="49"/>
        <v>0</v>
      </c>
      <c r="AD116" s="43">
        <f t="shared" si="49"/>
        <v>0</v>
      </c>
      <c r="AE116" s="43">
        <f t="shared" si="49"/>
        <v>0</v>
      </c>
      <c r="AF116" s="43">
        <f t="shared" si="49"/>
        <v>0</v>
      </c>
      <c r="AG116" s="44">
        <f t="shared" si="49"/>
        <v>0</v>
      </c>
      <c r="AI116" s="41">
        <f t="shared" si="47"/>
        <v>39448</v>
      </c>
      <c r="AJ116" s="44">
        <f t="shared" si="43"/>
        <v>0</v>
      </c>
    </row>
    <row r="117" spans="26:36" x14ac:dyDescent="0.25">
      <c r="Z117" s="41">
        <f t="shared" si="46"/>
        <v>39479</v>
      </c>
      <c r="AA117" s="43">
        <f t="shared" ref="AA117:AG126" si="50">SUMIF($X:$X,CONCATENATE($Z117,AA$6),$U:$U)</f>
        <v>0</v>
      </c>
      <c r="AB117" s="43">
        <f t="shared" si="50"/>
        <v>0</v>
      </c>
      <c r="AC117" s="43">
        <f t="shared" si="50"/>
        <v>0</v>
      </c>
      <c r="AD117" s="43">
        <f t="shared" si="50"/>
        <v>0</v>
      </c>
      <c r="AE117" s="43">
        <f t="shared" si="50"/>
        <v>0</v>
      </c>
      <c r="AF117" s="43">
        <f t="shared" si="50"/>
        <v>0</v>
      </c>
      <c r="AG117" s="44">
        <f t="shared" si="50"/>
        <v>0</v>
      </c>
      <c r="AI117" s="41">
        <f t="shared" si="47"/>
        <v>39479</v>
      </c>
      <c r="AJ117" s="44">
        <f t="shared" si="43"/>
        <v>0</v>
      </c>
    </row>
    <row r="118" spans="26:36" x14ac:dyDescent="0.25">
      <c r="Z118" s="41">
        <f t="shared" si="46"/>
        <v>39508</v>
      </c>
      <c r="AA118" s="43">
        <f t="shared" si="50"/>
        <v>0</v>
      </c>
      <c r="AB118" s="43">
        <f t="shared" si="50"/>
        <v>0</v>
      </c>
      <c r="AC118" s="43">
        <f t="shared" si="50"/>
        <v>0</v>
      </c>
      <c r="AD118" s="43">
        <f t="shared" si="50"/>
        <v>0</v>
      </c>
      <c r="AE118" s="43">
        <f t="shared" si="50"/>
        <v>0</v>
      </c>
      <c r="AF118" s="43">
        <f t="shared" si="50"/>
        <v>0</v>
      </c>
      <c r="AG118" s="44">
        <f t="shared" si="50"/>
        <v>0</v>
      </c>
      <c r="AI118" s="41">
        <f t="shared" si="47"/>
        <v>39508</v>
      </c>
      <c r="AJ118" s="44">
        <f t="shared" si="43"/>
        <v>0</v>
      </c>
    </row>
    <row r="119" spans="26:36" x14ac:dyDescent="0.25">
      <c r="Z119" s="41">
        <f t="shared" si="46"/>
        <v>39539</v>
      </c>
      <c r="AA119" s="43">
        <f t="shared" si="50"/>
        <v>0</v>
      </c>
      <c r="AB119" s="43">
        <f t="shared" si="50"/>
        <v>0</v>
      </c>
      <c r="AC119" s="43">
        <f t="shared" si="50"/>
        <v>0</v>
      </c>
      <c r="AD119" s="43">
        <f t="shared" si="50"/>
        <v>0</v>
      </c>
      <c r="AE119" s="43">
        <f t="shared" si="50"/>
        <v>0</v>
      </c>
      <c r="AF119" s="43">
        <f t="shared" si="50"/>
        <v>0</v>
      </c>
      <c r="AG119" s="44">
        <f t="shared" si="50"/>
        <v>0</v>
      </c>
      <c r="AI119" s="41">
        <f t="shared" si="47"/>
        <v>39539</v>
      </c>
      <c r="AJ119" s="44">
        <f t="shared" si="43"/>
        <v>0</v>
      </c>
    </row>
    <row r="120" spans="26:36" x14ac:dyDescent="0.25">
      <c r="Z120" s="41">
        <f t="shared" si="46"/>
        <v>39569</v>
      </c>
      <c r="AA120" s="43">
        <f t="shared" si="50"/>
        <v>0</v>
      </c>
      <c r="AB120" s="43">
        <f t="shared" si="50"/>
        <v>0</v>
      </c>
      <c r="AC120" s="43">
        <f t="shared" si="50"/>
        <v>0</v>
      </c>
      <c r="AD120" s="43">
        <f t="shared" si="50"/>
        <v>0</v>
      </c>
      <c r="AE120" s="43">
        <f t="shared" si="50"/>
        <v>0</v>
      </c>
      <c r="AF120" s="43">
        <f t="shared" si="50"/>
        <v>0</v>
      </c>
      <c r="AG120" s="44">
        <f t="shared" si="50"/>
        <v>0</v>
      </c>
      <c r="AI120" s="41">
        <f t="shared" si="47"/>
        <v>39569</v>
      </c>
      <c r="AJ120" s="44">
        <f t="shared" si="43"/>
        <v>0</v>
      </c>
    </row>
    <row r="121" spans="26:36" x14ac:dyDescent="0.25">
      <c r="Z121" s="41">
        <f t="shared" si="46"/>
        <v>39600</v>
      </c>
      <c r="AA121" s="43">
        <f t="shared" si="50"/>
        <v>0</v>
      </c>
      <c r="AB121" s="43">
        <f t="shared" si="50"/>
        <v>0</v>
      </c>
      <c r="AC121" s="43">
        <f t="shared" si="50"/>
        <v>0</v>
      </c>
      <c r="AD121" s="43">
        <f t="shared" si="50"/>
        <v>0</v>
      </c>
      <c r="AE121" s="43">
        <f t="shared" si="50"/>
        <v>0</v>
      </c>
      <c r="AF121" s="43">
        <f t="shared" si="50"/>
        <v>0</v>
      </c>
      <c r="AG121" s="44">
        <f t="shared" si="50"/>
        <v>0</v>
      </c>
      <c r="AI121" s="41">
        <f t="shared" si="47"/>
        <v>39600</v>
      </c>
      <c r="AJ121" s="44">
        <f t="shared" si="43"/>
        <v>0</v>
      </c>
    </row>
    <row r="122" spans="26:36" x14ac:dyDescent="0.25">
      <c r="Z122" s="41">
        <f t="shared" si="46"/>
        <v>39630</v>
      </c>
      <c r="AA122" s="43">
        <f t="shared" si="50"/>
        <v>0</v>
      </c>
      <c r="AB122" s="43">
        <f t="shared" si="50"/>
        <v>0</v>
      </c>
      <c r="AC122" s="43">
        <f t="shared" si="50"/>
        <v>0</v>
      </c>
      <c r="AD122" s="43">
        <f t="shared" si="50"/>
        <v>0</v>
      </c>
      <c r="AE122" s="43">
        <f t="shared" si="50"/>
        <v>0</v>
      </c>
      <c r="AF122" s="43">
        <f t="shared" si="50"/>
        <v>0</v>
      </c>
      <c r="AG122" s="44">
        <f t="shared" si="50"/>
        <v>0</v>
      </c>
      <c r="AI122" s="41">
        <f t="shared" si="47"/>
        <v>39630</v>
      </c>
      <c r="AJ122" s="44">
        <f t="shared" si="43"/>
        <v>0</v>
      </c>
    </row>
    <row r="123" spans="26:36" x14ac:dyDescent="0.25">
      <c r="Z123" s="41">
        <f t="shared" ref="Z123:Z154" si="51">EOMONTH(Z122,0)+1</f>
        <v>39661</v>
      </c>
      <c r="AA123" s="43">
        <f t="shared" si="50"/>
        <v>0</v>
      </c>
      <c r="AB123" s="43">
        <f t="shared" si="50"/>
        <v>0</v>
      </c>
      <c r="AC123" s="43">
        <f t="shared" si="50"/>
        <v>0</v>
      </c>
      <c r="AD123" s="43">
        <f t="shared" si="50"/>
        <v>0</v>
      </c>
      <c r="AE123" s="43">
        <f t="shared" si="50"/>
        <v>0</v>
      </c>
      <c r="AF123" s="43">
        <f t="shared" si="50"/>
        <v>0</v>
      </c>
      <c r="AG123" s="44">
        <f t="shared" si="50"/>
        <v>0</v>
      </c>
      <c r="AI123" s="41">
        <f t="shared" ref="AI123:AI154" si="52">EOMONTH(AI122,0)+1</f>
        <v>39661</v>
      </c>
      <c r="AJ123" s="44">
        <f t="shared" si="43"/>
        <v>0</v>
      </c>
    </row>
    <row r="124" spans="26:36" x14ac:dyDescent="0.25">
      <c r="Z124" s="41">
        <f t="shared" si="51"/>
        <v>39692</v>
      </c>
      <c r="AA124" s="43">
        <f t="shared" si="50"/>
        <v>0</v>
      </c>
      <c r="AB124" s="43">
        <f t="shared" si="50"/>
        <v>0</v>
      </c>
      <c r="AC124" s="43">
        <f t="shared" si="50"/>
        <v>0</v>
      </c>
      <c r="AD124" s="43">
        <f t="shared" si="50"/>
        <v>0</v>
      </c>
      <c r="AE124" s="43">
        <f t="shared" si="50"/>
        <v>0</v>
      </c>
      <c r="AF124" s="43">
        <f t="shared" si="50"/>
        <v>0</v>
      </c>
      <c r="AG124" s="44">
        <f t="shared" si="50"/>
        <v>0</v>
      </c>
      <c r="AI124" s="41">
        <f t="shared" si="52"/>
        <v>39692</v>
      </c>
      <c r="AJ124" s="44">
        <f t="shared" si="43"/>
        <v>0</v>
      </c>
    </row>
    <row r="125" spans="26:36" x14ac:dyDescent="0.25">
      <c r="Z125" s="41">
        <f t="shared" si="51"/>
        <v>39722</v>
      </c>
      <c r="AA125" s="43">
        <f t="shared" si="50"/>
        <v>0</v>
      </c>
      <c r="AB125" s="43">
        <f t="shared" si="50"/>
        <v>0</v>
      </c>
      <c r="AC125" s="43">
        <f t="shared" si="50"/>
        <v>0</v>
      </c>
      <c r="AD125" s="43">
        <f t="shared" si="50"/>
        <v>0</v>
      </c>
      <c r="AE125" s="43">
        <f t="shared" si="50"/>
        <v>0</v>
      </c>
      <c r="AF125" s="43">
        <f t="shared" si="50"/>
        <v>0</v>
      </c>
      <c r="AG125" s="44">
        <f t="shared" si="50"/>
        <v>0</v>
      </c>
      <c r="AI125" s="41">
        <f t="shared" si="52"/>
        <v>39722</v>
      </c>
      <c r="AJ125" s="44">
        <f t="shared" si="43"/>
        <v>0</v>
      </c>
    </row>
    <row r="126" spans="26:36" x14ac:dyDescent="0.25">
      <c r="Z126" s="41">
        <f t="shared" si="51"/>
        <v>39753</v>
      </c>
      <c r="AA126" s="43">
        <f t="shared" si="50"/>
        <v>0</v>
      </c>
      <c r="AB126" s="43">
        <f t="shared" si="50"/>
        <v>0</v>
      </c>
      <c r="AC126" s="43">
        <f t="shared" si="50"/>
        <v>0</v>
      </c>
      <c r="AD126" s="43">
        <f t="shared" si="50"/>
        <v>0</v>
      </c>
      <c r="AE126" s="43">
        <f t="shared" si="50"/>
        <v>0</v>
      </c>
      <c r="AF126" s="43">
        <f t="shared" si="50"/>
        <v>0</v>
      </c>
      <c r="AG126" s="44">
        <f t="shared" si="50"/>
        <v>0</v>
      </c>
      <c r="AI126" s="41">
        <f t="shared" si="52"/>
        <v>39753</v>
      </c>
      <c r="AJ126" s="44">
        <f t="shared" si="43"/>
        <v>0</v>
      </c>
    </row>
    <row r="127" spans="26:36" x14ac:dyDescent="0.25">
      <c r="Z127" s="41">
        <f t="shared" si="51"/>
        <v>39783</v>
      </c>
      <c r="AA127" s="43">
        <f t="shared" ref="AA127:AG136" si="53">SUMIF($X:$X,CONCATENATE($Z127,AA$6),$U:$U)</f>
        <v>0</v>
      </c>
      <c r="AB127" s="43">
        <f t="shared" si="53"/>
        <v>0</v>
      </c>
      <c r="AC127" s="43">
        <f t="shared" si="53"/>
        <v>0</v>
      </c>
      <c r="AD127" s="43">
        <f t="shared" si="53"/>
        <v>0</v>
      </c>
      <c r="AE127" s="43">
        <f t="shared" si="53"/>
        <v>0</v>
      </c>
      <c r="AF127" s="43">
        <f t="shared" si="53"/>
        <v>0</v>
      </c>
      <c r="AG127" s="44">
        <f t="shared" si="53"/>
        <v>0</v>
      </c>
      <c r="AI127" s="41">
        <f t="shared" si="52"/>
        <v>39783</v>
      </c>
      <c r="AJ127" s="44">
        <f t="shared" si="43"/>
        <v>0</v>
      </c>
    </row>
    <row r="128" spans="26:36" x14ac:dyDescent="0.25">
      <c r="Z128" s="41">
        <f t="shared" si="51"/>
        <v>39814</v>
      </c>
      <c r="AA128" s="43">
        <f t="shared" si="53"/>
        <v>0</v>
      </c>
      <c r="AB128" s="43">
        <f t="shared" si="53"/>
        <v>0</v>
      </c>
      <c r="AC128" s="43">
        <f t="shared" si="53"/>
        <v>0</v>
      </c>
      <c r="AD128" s="43">
        <f t="shared" si="53"/>
        <v>0</v>
      </c>
      <c r="AE128" s="43">
        <f t="shared" si="53"/>
        <v>0</v>
      </c>
      <c r="AF128" s="43">
        <f t="shared" si="53"/>
        <v>0</v>
      </c>
      <c r="AG128" s="44">
        <f t="shared" si="53"/>
        <v>0</v>
      </c>
      <c r="AI128" s="41">
        <f t="shared" si="52"/>
        <v>39814</v>
      </c>
      <c r="AJ128" s="44">
        <f t="shared" si="43"/>
        <v>0</v>
      </c>
    </row>
    <row r="129" spans="26:36" x14ac:dyDescent="0.25">
      <c r="Z129" s="41">
        <f t="shared" si="51"/>
        <v>39845</v>
      </c>
      <c r="AA129" s="43">
        <f t="shared" si="53"/>
        <v>0</v>
      </c>
      <c r="AB129" s="43">
        <f t="shared" si="53"/>
        <v>0</v>
      </c>
      <c r="AC129" s="43">
        <f t="shared" si="53"/>
        <v>0</v>
      </c>
      <c r="AD129" s="43">
        <f t="shared" si="53"/>
        <v>0</v>
      </c>
      <c r="AE129" s="43">
        <f t="shared" si="53"/>
        <v>0</v>
      </c>
      <c r="AF129" s="43">
        <f t="shared" si="53"/>
        <v>0</v>
      </c>
      <c r="AG129" s="44">
        <f t="shared" si="53"/>
        <v>0</v>
      </c>
      <c r="AI129" s="41">
        <f t="shared" si="52"/>
        <v>39845</v>
      </c>
      <c r="AJ129" s="44">
        <f t="shared" si="43"/>
        <v>0</v>
      </c>
    </row>
    <row r="130" spans="26:36" x14ac:dyDescent="0.25">
      <c r="Z130" s="41">
        <f t="shared" si="51"/>
        <v>39873</v>
      </c>
      <c r="AA130" s="43">
        <f t="shared" si="53"/>
        <v>0</v>
      </c>
      <c r="AB130" s="43">
        <f t="shared" si="53"/>
        <v>0</v>
      </c>
      <c r="AC130" s="43">
        <f t="shared" si="53"/>
        <v>0</v>
      </c>
      <c r="AD130" s="43">
        <f t="shared" si="53"/>
        <v>0</v>
      </c>
      <c r="AE130" s="43">
        <f t="shared" si="53"/>
        <v>0</v>
      </c>
      <c r="AF130" s="43">
        <f t="shared" si="53"/>
        <v>0</v>
      </c>
      <c r="AG130" s="44">
        <f t="shared" si="53"/>
        <v>0</v>
      </c>
      <c r="AI130" s="41">
        <f t="shared" si="52"/>
        <v>39873</v>
      </c>
      <c r="AJ130" s="44">
        <f t="shared" si="43"/>
        <v>0</v>
      </c>
    </row>
    <row r="131" spans="26:36" x14ac:dyDescent="0.25">
      <c r="Z131" s="41">
        <f t="shared" si="51"/>
        <v>39904</v>
      </c>
      <c r="AA131" s="43">
        <f t="shared" si="53"/>
        <v>0</v>
      </c>
      <c r="AB131" s="43">
        <f t="shared" si="53"/>
        <v>0</v>
      </c>
      <c r="AC131" s="43">
        <f t="shared" si="53"/>
        <v>0</v>
      </c>
      <c r="AD131" s="43">
        <f t="shared" si="53"/>
        <v>0</v>
      </c>
      <c r="AE131" s="43">
        <f t="shared" si="53"/>
        <v>0</v>
      </c>
      <c r="AF131" s="43">
        <f t="shared" si="53"/>
        <v>0</v>
      </c>
      <c r="AG131" s="44">
        <f t="shared" si="53"/>
        <v>0</v>
      </c>
      <c r="AI131" s="41">
        <f t="shared" si="52"/>
        <v>39904</v>
      </c>
      <c r="AJ131" s="44">
        <f t="shared" si="43"/>
        <v>0</v>
      </c>
    </row>
    <row r="132" spans="26:36" x14ac:dyDescent="0.25">
      <c r="Z132" s="41">
        <f t="shared" si="51"/>
        <v>39934</v>
      </c>
      <c r="AA132" s="43">
        <f t="shared" si="53"/>
        <v>0</v>
      </c>
      <c r="AB132" s="43">
        <f t="shared" si="53"/>
        <v>0</v>
      </c>
      <c r="AC132" s="43">
        <f t="shared" si="53"/>
        <v>0</v>
      </c>
      <c r="AD132" s="43">
        <f t="shared" si="53"/>
        <v>0</v>
      </c>
      <c r="AE132" s="43">
        <f t="shared" si="53"/>
        <v>0</v>
      </c>
      <c r="AF132" s="43">
        <f t="shared" si="53"/>
        <v>0</v>
      </c>
      <c r="AG132" s="44">
        <f t="shared" si="53"/>
        <v>0</v>
      </c>
      <c r="AI132" s="41">
        <f t="shared" si="52"/>
        <v>39934</v>
      </c>
      <c r="AJ132" s="44">
        <f t="shared" si="43"/>
        <v>0</v>
      </c>
    </row>
    <row r="133" spans="26:36" x14ac:dyDescent="0.25">
      <c r="Z133" s="41">
        <f t="shared" si="51"/>
        <v>39965</v>
      </c>
      <c r="AA133" s="43">
        <f t="shared" si="53"/>
        <v>0</v>
      </c>
      <c r="AB133" s="43">
        <f t="shared" si="53"/>
        <v>0</v>
      </c>
      <c r="AC133" s="43">
        <f t="shared" si="53"/>
        <v>0</v>
      </c>
      <c r="AD133" s="43">
        <f t="shared" si="53"/>
        <v>0</v>
      </c>
      <c r="AE133" s="43">
        <f t="shared" si="53"/>
        <v>0</v>
      </c>
      <c r="AF133" s="43">
        <f t="shared" si="53"/>
        <v>0</v>
      </c>
      <c r="AG133" s="44">
        <f t="shared" si="53"/>
        <v>0</v>
      </c>
      <c r="AI133" s="41">
        <f t="shared" si="52"/>
        <v>39965</v>
      </c>
      <c r="AJ133" s="44">
        <f t="shared" si="43"/>
        <v>0</v>
      </c>
    </row>
    <row r="134" spans="26:36" x14ac:dyDescent="0.25">
      <c r="Z134" s="41">
        <f t="shared" si="51"/>
        <v>39995</v>
      </c>
      <c r="AA134" s="43">
        <f t="shared" si="53"/>
        <v>0</v>
      </c>
      <c r="AB134" s="43">
        <f t="shared" si="53"/>
        <v>0</v>
      </c>
      <c r="AC134" s="43">
        <f t="shared" si="53"/>
        <v>0</v>
      </c>
      <c r="AD134" s="43">
        <f t="shared" si="53"/>
        <v>0</v>
      </c>
      <c r="AE134" s="43">
        <f t="shared" si="53"/>
        <v>0</v>
      </c>
      <c r="AF134" s="43">
        <f t="shared" si="53"/>
        <v>0</v>
      </c>
      <c r="AG134" s="44">
        <f t="shared" si="53"/>
        <v>0</v>
      </c>
      <c r="AI134" s="41">
        <f t="shared" si="52"/>
        <v>39995</v>
      </c>
      <c r="AJ134" s="44">
        <f t="shared" si="43"/>
        <v>0</v>
      </c>
    </row>
    <row r="135" spans="26:36" x14ac:dyDescent="0.25">
      <c r="Z135" s="41">
        <f t="shared" si="51"/>
        <v>40026</v>
      </c>
      <c r="AA135" s="43">
        <f t="shared" si="53"/>
        <v>0</v>
      </c>
      <c r="AB135" s="43">
        <f t="shared" si="53"/>
        <v>0</v>
      </c>
      <c r="AC135" s="43">
        <f t="shared" si="53"/>
        <v>0</v>
      </c>
      <c r="AD135" s="43">
        <f t="shared" si="53"/>
        <v>0</v>
      </c>
      <c r="AE135" s="43">
        <f t="shared" si="53"/>
        <v>0</v>
      </c>
      <c r="AF135" s="43">
        <f t="shared" si="53"/>
        <v>0</v>
      </c>
      <c r="AG135" s="44">
        <f t="shared" si="53"/>
        <v>0</v>
      </c>
      <c r="AI135" s="41">
        <f t="shared" si="52"/>
        <v>40026</v>
      </c>
      <c r="AJ135" s="44">
        <f t="shared" si="43"/>
        <v>0</v>
      </c>
    </row>
    <row r="136" spans="26:36" x14ac:dyDescent="0.25">
      <c r="Z136" s="41">
        <f t="shared" si="51"/>
        <v>40057</v>
      </c>
      <c r="AA136" s="43">
        <f t="shared" si="53"/>
        <v>0</v>
      </c>
      <c r="AB136" s="43">
        <f t="shared" si="53"/>
        <v>0</v>
      </c>
      <c r="AC136" s="43">
        <f t="shared" si="53"/>
        <v>0</v>
      </c>
      <c r="AD136" s="43">
        <f t="shared" si="53"/>
        <v>0</v>
      </c>
      <c r="AE136" s="43">
        <f t="shared" si="53"/>
        <v>0</v>
      </c>
      <c r="AF136" s="43">
        <f t="shared" si="53"/>
        <v>0</v>
      </c>
      <c r="AG136" s="44">
        <f t="shared" si="53"/>
        <v>0</v>
      </c>
      <c r="AI136" s="41">
        <f t="shared" si="52"/>
        <v>40057</v>
      </c>
      <c r="AJ136" s="44">
        <f t="shared" si="43"/>
        <v>0</v>
      </c>
    </row>
    <row r="137" spans="26:36" x14ac:dyDescent="0.25">
      <c r="Z137" s="41">
        <f t="shared" si="51"/>
        <v>40087</v>
      </c>
      <c r="AA137" s="43">
        <f t="shared" ref="AA137:AG146" si="54">SUMIF($X:$X,CONCATENATE($Z137,AA$6),$U:$U)</f>
        <v>0</v>
      </c>
      <c r="AB137" s="43">
        <f t="shared" si="54"/>
        <v>0</v>
      </c>
      <c r="AC137" s="43">
        <f t="shared" si="54"/>
        <v>0</v>
      </c>
      <c r="AD137" s="43">
        <f t="shared" si="54"/>
        <v>0</v>
      </c>
      <c r="AE137" s="43">
        <f t="shared" si="54"/>
        <v>0</v>
      </c>
      <c r="AF137" s="43">
        <f t="shared" si="54"/>
        <v>0</v>
      </c>
      <c r="AG137" s="44">
        <f t="shared" si="54"/>
        <v>0</v>
      </c>
      <c r="AI137" s="41">
        <f t="shared" si="52"/>
        <v>40087</v>
      </c>
      <c r="AJ137" s="44">
        <f t="shared" si="43"/>
        <v>0</v>
      </c>
    </row>
    <row r="138" spans="26:36" x14ac:dyDescent="0.25">
      <c r="Z138" s="41">
        <f t="shared" si="51"/>
        <v>40118</v>
      </c>
      <c r="AA138" s="43">
        <f t="shared" si="54"/>
        <v>0</v>
      </c>
      <c r="AB138" s="43">
        <f t="shared" si="54"/>
        <v>0</v>
      </c>
      <c r="AC138" s="43">
        <f t="shared" si="54"/>
        <v>0</v>
      </c>
      <c r="AD138" s="43">
        <f t="shared" si="54"/>
        <v>0</v>
      </c>
      <c r="AE138" s="43">
        <f t="shared" si="54"/>
        <v>0</v>
      </c>
      <c r="AF138" s="43">
        <f t="shared" si="54"/>
        <v>0</v>
      </c>
      <c r="AG138" s="44">
        <f t="shared" si="54"/>
        <v>0</v>
      </c>
      <c r="AI138" s="41">
        <f t="shared" si="52"/>
        <v>40118</v>
      </c>
      <c r="AJ138" s="44">
        <f t="shared" ref="AJ138:AJ169" si="55">SUM(AA138:AG138)</f>
        <v>0</v>
      </c>
    </row>
    <row r="139" spans="26:36" x14ac:dyDescent="0.25">
      <c r="Z139" s="41">
        <f t="shared" si="51"/>
        <v>40148</v>
      </c>
      <c r="AA139" s="43">
        <f t="shared" si="54"/>
        <v>0</v>
      </c>
      <c r="AB139" s="43">
        <f t="shared" si="54"/>
        <v>0</v>
      </c>
      <c r="AC139" s="43">
        <f t="shared" si="54"/>
        <v>0</v>
      </c>
      <c r="AD139" s="43">
        <f t="shared" si="54"/>
        <v>0</v>
      </c>
      <c r="AE139" s="43">
        <f t="shared" si="54"/>
        <v>0</v>
      </c>
      <c r="AF139" s="43">
        <f t="shared" si="54"/>
        <v>0</v>
      </c>
      <c r="AG139" s="44">
        <f t="shared" si="54"/>
        <v>0</v>
      </c>
      <c r="AI139" s="41">
        <f t="shared" si="52"/>
        <v>40148</v>
      </c>
      <c r="AJ139" s="44">
        <f t="shared" si="55"/>
        <v>0</v>
      </c>
    </row>
    <row r="140" spans="26:36" x14ac:dyDescent="0.25">
      <c r="Z140" s="41">
        <f t="shared" si="51"/>
        <v>40179</v>
      </c>
      <c r="AA140" s="43">
        <f t="shared" si="54"/>
        <v>0</v>
      </c>
      <c r="AB140" s="43">
        <f t="shared" si="54"/>
        <v>0</v>
      </c>
      <c r="AC140" s="43">
        <f t="shared" si="54"/>
        <v>0</v>
      </c>
      <c r="AD140" s="43">
        <f t="shared" si="54"/>
        <v>0</v>
      </c>
      <c r="AE140" s="43">
        <f t="shared" si="54"/>
        <v>0</v>
      </c>
      <c r="AF140" s="43">
        <f t="shared" si="54"/>
        <v>0</v>
      </c>
      <c r="AG140" s="44">
        <f t="shared" si="54"/>
        <v>0</v>
      </c>
      <c r="AI140" s="41">
        <f t="shared" si="52"/>
        <v>40179</v>
      </c>
      <c r="AJ140" s="44">
        <f t="shared" si="55"/>
        <v>0</v>
      </c>
    </row>
    <row r="141" spans="26:36" x14ac:dyDescent="0.25">
      <c r="Z141" s="41">
        <f t="shared" si="51"/>
        <v>40210</v>
      </c>
      <c r="AA141" s="43">
        <f t="shared" si="54"/>
        <v>0</v>
      </c>
      <c r="AB141" s="43">
        <f t="shared" si="54"/>
        <v>0</v>
      </c>
      <c r="AC141" s="43">
        <f t="shared" si="54"/>
        <v>0</v>
      </c>
      <c r="AD141" s="43">
        <f t="shared" si="54"/>
        <v>0</v>
      </c>
      <c r="AE141" s="43">
        <f t="shared" si="54"/>
        <v>0</v>
      </c>
      <c r="AF141" s="43">
        <f t="shared" si="54"/>
        <v>0</v>
      </c>
      <c r="AG141" s="44">
        <f t="shared" si="54"/>
        <v>0</v>
      </c>
      <c r="AI141" s="41">
        <f t="shared" si="52"/>
        <v>40210</v>
      </c>
      <c r="AJ141" s="44">
        <f t="shared" si="55"/>
        <v>0</v>
      </c>
    </row>
    <row r="142" spans="26:36" x14ac:dyDescent="0.25">
      <c r="Z142" s="41">
        <f t="shared" si="51"/>
        <v>40238</v>
      </c>
      <c r="AA142" s="43">
        <f t="shared" si="54"/>
        <v>0</v>
      </c>
      <c r="AB142" s="43">
        <f t="shared" si="54"/>
        <v>0</v>
      </c>
      <c r="AC142" s="43">
        <f t="shared" si="54"/>
        <v>0</v>
      </c>
      <c r="AD142" s="43">
        <f t="shared" si="54"/>
        <v>0</v>
      </c>
      <c r="AE142" s="43">
        <f t="shared" si="54"/>
        <v>0</v>
      </c>
      <c r="AF142" s="43">
        <f t="shared" si="54"/>
        <v>0</v>
      </c>
      <c r="AG142" s="44">
        <f t="shared" si="54"/>
        <v>0</v>
      </c>
      <c r="AI142" s="41">
        <f t="shared" si="52"/>
        <v>40238</v>
      </c>
      <c r="AJ142" s="44">
        <f t="shared" si="55"/>
        <v>0</v>
      </c>
    </row>
    <row r="143" spans="26:36" x14ac:dyDescent="0.25">
      <c r="Z143" s="41">
        <f t="shared" si="51"/>
        <v>40269</v>
      </c>
      <c r="AA143" s="43">
        <f t="shared" si="54"/>
        <v>0</v>
      </c>
      <c r="AB143" s="43">
        <f t="shared" si="54"/>
        <v>0</v>
      </c>
      <c r="AC143" s="43">
        <f t="shared" si="54"/>
        <v>0</v>
      </c>
      <c r="AD143" s="43">
        <f t="shared" si="54"/>
        <v>0</v>
      </c>
      <c r="AE143" s="43">
        <f t="shared" si="54"/>
        <v>0</v>
      </c>
      <c r="AF143" s="43">
        <f t="shared" si="54"/>
        <v>0</v>
      </c>
      <c r="AG143" s="44">
        <f t="shared" si="54"/>
        <v>0</v>
      </c>
      <c r="AI143" s="41">
        <f t="shared" si="52"/>
        <v>40269</v>
      </c>
      <c r="AJ143" s="44">
        <f t="shared" si="55"/>
        <v>0</v>
      </c>
    </row>
    <row r="144" spans="26:36" x14ac:dyDescent="0.25">
      <c r="Z144" s="41">
        <f t="shared" si="51"/>
        <v>40299</v>
      </c>
      <c r="AA144" s="43">
        <f t="shared" si="54"/>
        <v>0</v>
      </c>
      <c r="AB144" s="43">
        <f t="shared" si="54"/>
        <v>0</v>
      </c>
      <c r="AC144" s="43">
        <f t="shared" si="54"/>
        <v>0</v>
      </c>
      <c r="AD144" s="43">
        <f t="shared" si="54"/>
        <v>0</v>
      </c>
      <c r="AE144" s="43">
        <f t="shared" si="54"/>
        <v>0</v>
      </c>
      <c r="AF144" s="43">
        <f t="shared" si="54"/>
        <v>0</v>
      </c>
      <c r="AG144" s="44">
        <f t="shared" si="54"/>
        <v>0</v>
      </c>
      <c r="AI144" s="41">
        <f t="shared" si="52"/>
        <v>40299</v>
      </c>
      <c r="AJ144" s="44">
        <f t="shared" si="55"/>
        <v>0</v>
      </c>
    </row>
    <row r="145" spans="26:36" x14ac:dyDescent="0.25">
      <c r="Z145" s="41">
        <f t="shared" si="51"/>
        <v>40330</v>
      </c>
      <c r="AA145" s="43">
        <f t="shared" si="54"/>
        <v>0</v>
      </c>
      <c r="AB145" s="43">
        <f t="shared" si="54"/>
        <v>0</v>
      </c>
      <c r="AC145" s="43">
        <f t="shared" si="54"/>
        <v>0</v>
      </c>
      <c r="AD145" s="43">
        <f t="shared" si="54"/>
        <v>0</v>
      </c>
      <c r="AE145" s="43">
        <f t="shared" si="54"/>
        <v>0</v>
      </c>
      <c r="AF145" s="43">
        <f t="shared" si="54"/>
        <v>0</v>
      </c>
      <c r="AG145" s="44">
        <f t="shared" si="54"/>
        <v>0</v>
      </c>
      <c r="AI145" s="41">
        <f t="shared" si="52"/>
        <v>40330</v>
      </c>
      <c r="AJ145" s="44">
        <f t="shared" si="55"/>
        <v>0</v>
      </c>
    </row>
    <row r="146" spans="26:36" x14ac:dyDescent="0.25">
      <c r="Z146" s="41">
        <f t="shared" si="51"/>
        <v>40360</v>
      </c>
      <c r="AA146" s="43">
        <f t="shared" si="54"/>
        <v>0</v>
      </c>
      <c r="AB146" s="43">
        <f t="shared" si="54"/>
        <v>0</v>
      </c>
      <c r="AC146" s="43">
        <f t="shared" si="54"/>
        <v>0</v>
      </c>
      <c r="AD146" s="43">
        <f t="shared" si="54"/>
        <v>0</v>
      </c>
      <c r="AE146" s="43">
        <f t="shared" si="54"/>
        <v>0</v>
      </c>
      <c r="AF146" s="43">
        <f t="shared" si="54"/>
        <v>0</v>
      </c>
      <c r="AG146" s="44">
        <f t="shared" si="54"/>
        <v>0</v>
      </c>
      <c r="AI146" s="41">
        <f t="shared" si="52"/>
        <v>40360</v>
      </c>
      <c r="AJ146" s="44">
        <f t="shared" si="55"/>
        <v>0</v>
      </c>
    </row>
    <row r="147" spans="26:36" x14ac:dyDescent="0.25">
      <c r="Z147" s="41">
        <f t="shared" si="51"/>
        <v>40391</v>
      </c>
      <c r="AA147" s="43">
        <f t="shared" ref="AA147:AG156" si="56">SUMIF($X:$X,CONCATENATE($Z147,AA$6),$U:$U)</f>
        <v>0</v>
      </c>
      <c r="AB147" s="43">
        <f t="shared" si="56"/>
        <v>0</v>
      </c>
      <c r="AC147" s="43">
        <f t="shared" si="56"/>
        <v>0</v>
      </c>
      <c r="AD147" s="43">
        <f t="shared" si="56"/>
        <v>0</v>
      </c>
      <c r="AE147" s="43">
        <f t="shared" si="56"/>
        <v>0</v>
      </c>
      <c r="AF147" s="43">
        <f t="shared" si="56"/>
        <v>0</v>
      </c>
      <c r="AG147" s="44">
        <f t="shared" si="56"/>
        <v>0</v>
      </c>
      <c r="AI147" s="41">
        <f t="shared" si="52"/>
        <v>40391</v>
      </c>
      <c r="AJ147" s="44">
        <f t="shared" si="55"/>
        <v>0</v>
      </c>
    </row>
    <row r="148" spans="26:36" x14ac:dyDescent="0.25">
      <c r="Z148" s="41">
        <f t="shared" si="51"/>
        <v>40422</v>
      </c>
      <c r="AA148" s="43">
        <f t="shared" si="56"/>
        <v>0</v>
      </c>
      <c r="AB148" s="43">
        <f t="shared" si="56"/>
        <v>0</v>
      </c>
      <c r="AC148" s="43">
        <f t="shared" si="56"/>
        <v>0</v>
      </c>
      <c r="AD148" s="43">
        <f t="shared" si="56"/>
        <v>0</v>
      </c>
      <c r="AE148" s="43">
        <f t="shared" si="56"/>
        <v>0</v>
      </c>
      <c r="AF148" s="43">
        <f t="shared" si="56"/>
        <v>0</v>
      </c>
      <c r="AG148" s="44">
        <f t="shared" si="56"/>
        <v>0</v>
      </c>
      <c r="AI148" s="41">
        <f t="shared" si="52"/>
        <v>40422</v>
      </c>
      <c r="AJ148" s="44">
        <f t="shared" si="55"/>
        <v>0</v>
      </c>
    </row>
    <row r="149" spans="26:36" x14ac:dyDescent="0.25">
      <c r="Z149" s="41">
        <f t="shared" si="51"/>
        <v>40452</v>
      </c>
      <c r="AA149" s="43">
        <f t="shared" si="56"/>
        <v>0</v>
      </c>
      <c r="AB149" s="43">
        <f t="shared" si="56"/>
        <v>0</v>
      </c>
      <c r="AC149" s="43">
        <f t="shared" si="56"/>
        <v>0</v>
      </c>
      <c r="AD149" s="43">
        <f t="shared" si="56"/>
        <v>0</v>
      </c>
      <c r="AE149" s="43">
        <f t="shared" si="56"/>
        <v>0</v>
      </c>
      <c r="AF149" s="43">
        <f t="shared" si="56"/>
        <v>0</v>
      </c>
      <c r="AG149" s="44">
        <f t="shared" si="56"/>
        <v>0</v>
      </c>
      <c r="AI149" s="41">
        <f t="shared" si="52"/>
        <v>40452</v>
      </c>
      <c r="AJ149" s="44">
        <f t="shared" si="55"/>
        <v>0</v>
      </c>
    </row>
    <row r="150" spans="26:36" x14ac:dyDescent="0.25">
      <c r="Z150" s="41">
        <f t="shared" si="51"/>
        <v>40483</v>
      </c>
      <c r="AA150" s="43">
        <f t="shared" si="56"/>
        <v>0</v>
      </c>
      <c r="AB150" s="43">
        <f t="shared" si="56"/>
        <v>0</v>
      </c>
      <c r="AC150" s="43">
        <f t="shared" si="56"/>
        <v>0</v>
      </c>
      <c r="AD150" s="43">
        <f t="shared" si="56"/>
        <v>0</v>
      </c>
      <c r="AE150" s="43">
        <f t="shared" si="56"/>
        <v>0</v>
      </c>
      <c r="AF150" s="43">
        <f t="shared" si="56"/>
        <v>0</v>
      </c>
      <c r="AG150" s="44">
        <f t="shared" si="56"/>
        <v>0</v>
      </c>
      <c r="AI150" s="41">
        <f t="shared" si="52"/>
        <v>40483</v>
      </c>
      <c r="AJ150" s="44">
        <f t="shared" si="55"/>
        <v>0</v>
      </c>
    </row>
    <row r="151" spans="26:36" x14ac:dyDescent="0.25">
      <c r="Z151" s="41">
        <f t="shared" si="51"/>
        <v>40513</v>
      </c>
      <c r="AA151" s="43">
        <f t="shared" si="56"/>
        <v>0</v>
      </c>
      <c r="AB151" s="43">
        <f t="shared" si="56"/>
        <v>0</v>
      </c>
      <c r="AC151" s="43">
        <f t="shared" si="56"/>
        <v>0</v>
      </c>
      <c r="AD151" s="43">
        <f t="shared" si="56"/>
        <v>0</v>
      </c>
      <c r="AE151" s="43">
        <f t="shared" si="56"/>
        <v>0</v>
      </c>
      <c r="AF151" s="43">
        <f t="shared" si="56"/>
        <v>0</v>
      </c>
      <c r="AG151" s="44">
        <f t="shared" si="56"/>
        <v>0</v>
      </c>
      <c r="AI151" s="41">
        <f t="shared" si="52"/>
        <v>40513</v>
      </c>
      <c r="AJ151" s="44">
        <f t="shared" si="55"/>
        <v>0</v>
      </c>
    </row>
    <row r="152" spans="26:36" x14ac:dyDescent="0.25">
      <c r="Z152" s="41">
        <f t="shared" si="51"/>
        <v>40544</v>
      </c>
      <c r="AA152" s="43">
        <f t="shared" si="56"/>
        <v>0</v>
      </c>
      <c r="AB152" s="43">
        <f t="shared" si="56"/>
        <v>0</v>
      </c>
      <c r="AC152" s="43">
        <f t="shared" si="56"/>
        <v>0</v>
      </c>
      <c r="AD152" s="43">
        <f t="shared" si="56"/>
        <v>0</v>
      </c>
      <c r="AE152" s="43">
        <f t="shared" si="56"/>
        <v>0</v>
      </c>
      <c r="AF152" s="43">
        <f t="shared" si="56"/>
        <v>0</v>
      </c>
      <c r="AG152" s="44">
        <f t="shared" si="56"/>
        <v>0</v>
      </c>
      <c r="AI152" s="41">
        <f t="shared" si="52"/>
        <v>40544</v>
      </c>
      <c r="AJ152" s="44">
        <f t="shared" si="55"/>
        <v>0</v>
      </c>
    </row>
    <row r="153" spans="26:36" x14ac:dyDescent="0.25">
      <c r="Z153" s="41">
        <f t="shared" si="51"/>
        <v>40575</v>
      </c>
      <c r="AA153" s="43">
        <f t="shared" si="56"/>
        <v>0</v>
      </c>
      <c r="AB153" s="43">
        <f t="shared" si="56"/>
        <v>0</v>
      </c>
      <c r="AC153" s="43">
        <f t="shared" si="56"/>
        <v>0</v>
      </c>
      <c r="AD153" s="43">
        <f t="shared" si="56"/>
        <v>0</v>
      </c>
      <c r="AE153" s="43">
        <f t="shared" si="56"/>
        <v>0</v>
      </c>
      <c r="AF153" s="43">
        <f t="shared" si="56"/>
        <v>0</v>
      </c>
      <c r="AG153" s="44">
        <f t="shared" si="56"/>
        <v>0</v>
      </c>
      <c r="AI153" s="41">
        <f t="shared" si="52"/>
        <v>40575</v>
      </c>
      <c r="AJ153" s="44">
        <f t="shared" si="55"/>
        <v>0</v>
      </c>
    </row>
    <row r="154" spans="26:36" x14ac:dyDescent="0.25">
      <c r="Z154" s="41">
        <f t="shared" si="51"/>
        <v>40603</v>
      </c>
      <c r="AA154" s="43">
        <f t="shared" si="56"/>
        <v>0</v>
      </c>
      <c r="AB154" s="43">
        <f t="shared" si="56"/>
        <v>0</v>
      </c>
      <c r="AC154" s="43">
        <f t="shared" si="56"/>
        <v>0</v>
      </c>
      <c r="AD154" s="43">
        <f t="shared" si="56"/>
        <v>0</v>
      </c>
      <c r="AE154" s="43">
        <f t="shared" si="56"/>
        <v>0</v>
      </c>
      <c r="AF154" s="43">
        <f t="shared" si="56"/>
        <v>0</v>
      </c>
      <c r="AG154" s="44">
        <f t="shared" si="56"/>
        <v>0</v>
      </c>
      <c r="AI154" s="41">
        <f t="shared" si="52"/>
        <v>40603</v>
      </c>
      <c r="AJ154" s="44">
        <f t="shared" si="55"/>
        <v>0</v>
      </c>
    </row>
    <row r="155" spans="26:36" x14ac:dyDescent="0.25">
      <c r="Z155" s="41">
        <f t="shared" ref="Z155:Z169" si="57">EOMONTH(Z154,0)+1</f>
        <v>40634</v>
      </c>
      <c r="AA155" s="43">
        <f t="shared" si="56"/>
        <v>0</v>
      </c>
      <c r="AB155" s="43">
        <f t="shared" si="56"/>
        <v>0</v>
      </c>
      <c r="AC155" s="43">
        <f t="shared" si="56"/>
        <v>0</v>
      </c>
      <c r="AD155" s="43">
        <f t="shared" si="56"/>
        <v>0</v>
      </c>
      <c r="AE155" s="43">
        <f t="shared" si="56"/>
        <v>0</v>
      </c>
      <c r="AF155" s="43">
        <f t="shared" si="56"/>
        <v>0</v>
      </c>
      <c r="AG155" s="44">
        <f t="shared" si="56"/>
        <v>0</v>
      </c>
      <c r="AI155" s="41">
        <f t="shared" ref="AI155:AI169" si="58">EOMONTH(AI154,0)+1</f>
        <v>40634</v>
      </c>
      <c r="AJ155" s="44">
        <f t="shared" si="55"/>
        <v>0</v>
      </c>
    </row>
    <row r="156" spans="26:36" x14ac:dyDescent="0.25">
      <c r="Z156" s="41">
        <f t="shared" si="57"/>
        <v>40664</v>
      </c>
      <c r="AA156" s="43">
        <f t="shared" si="56"/>
        <v>0</v>
      </c>
      <c r="AB156" s="43">
        <f t="shared" si="56"/>
        <v>0</v>
      </c>
      <c r="AC156" s="43">
        <f t="shared" si="56"/>
        <v>0</v>
      </c>
      <c r="AD156" s="43">
        <f t="shared" si="56"/>
        <v>0</v>
      </c>
      <c r="AE156" s="43">
        <f t="shared" si="56"/>
        <v>0</v>
      </c>
      <c r="AF156" s="43">
        <f t="shared" si="56"/>
        <v>0</v>
      </c>
      <c r="AG156" s="44">
        <f t="shared" si="56"/>
        <v>0</v>
      </c>
      <c r="AI156" s="41">
        <f t="shared" si="58"/>
        <v>40664</v>
      </c>
      <c r="AJ156" s="44">
        <f t="shared" si="55"/>
        <v>0</v>
      </c>
    </row>
    <row r="157" spans="26:36" x14ac:dyDescent="0.25">
      <c r="Z157" s="41">
        <f t="shared" si="57"/>
        <v>40695</v>
      </c>
      <c r="AA157" s="43">
        <f t="shared" ref="AA157:AG169" si="59">SUMIF($X:$X,CONCATENATE($Z157,AA$6),$U:$U)</f>
        <v>0</v>
      </c>
      <c r="AB157" s="43">
        <f t="shared" si="59"/>
        <v>0</v>
      </c>
      <c r="AC157" s="43">
        <f t="shared" si="59"/>
        <v>0</v>
      </c>
      <c r="AD157" s="43">
        <f t="shared" si="59"/>
        <v>0</v>
      </c>
      <c r="AE157" s="43">
        <f t="shared" si="59"/>
        <v>0</v>
      </c>
      <c r="AF157" s="43">
        <f t="shared" si="59"/>
        <v>0</v>
      </c>
      <c r="AG157" s="44">
        <f t="shared" si="59"/>
        <v>0</v>
      </c>
      <c r="AI157" s="41">
        <f t="shared" si="58"/>
        <v>40695</v>
      </c>
      <c r="AJ157" s="44">
        <f t="shared" si="55"/>
        <v>0</v>
      </c>
    </row>
    <row r="158" spans="26:36" x14ac:dyDescent="0.25">
      <c r="Z158" s="41">
        <f t="shared" si="57"/>
        <v>40725</v>
      </c>
      <c r="AA158" s="43">
        <f t="shared" si="59"/>
        <v>0</v>
      </c>
      <c r="AB158" s="43">
        <f t="shared" si="59"/>
        <v>0</v>
      </c>
      <c r="AC158" s="43">
        <f t="shared" si="59"/>
        <v>0</v>
      </c>
      <c r="AD158" s="43">
        <f t="shared" si="59"/>
        <v>0</v>
      </c>
      <c r="AE158" s="43">
        <f t="shared" si="59"/>
        <v>0</v>
      </c>
      <c r="AF158" s="43">
        <f t="shared" si="59"/>
        <v>0</v>
      </c>
      <c r="AG158" s="44">
        <f t="shared" si="59"/>
        <v>0</v>
      </c>
      <c r="AI158" s="41">
        <f t="shared" si="58"/>
        <v>40725</v>
      </c>
      <c r="AJ158" s="44">
        <f t="shared" si="55"/>
        <v>0</v>
      </c>
    </row>
    <row r="159" spans="26:36" x14ac:dyDescent="0.25">
      <c r="Z159" s="41">
        <f t="shared" si="57"/>
        <v>40756</v>
      </c>
      <c r="AA159" s="43">
        <f t="shared" si="59"/>
        <v>0</v>
      </c>
      <c r="AB159" s="43">
        <f t="shared" si="59"/>
        <v>0</v>
      </c>
      <c r="AC159" s="43">
        <f t="shared" si="59"/>
        <v>0</v>
      </c>
      <c r="AD159" s="43">
        <f t="shared" si="59"/>
        <v>0</v>
      </c>
      <c r="AE159" s="43">
        <f t="shared" si="59"/>
        <v>0</v>
      </c>
      <c r="AF159" s="43">
        <f t="shared" si="59"/>
        <v>0</v>
      </c>
      <c r="AG159" s="44">
        <f t="shared" si="59"/>
        <v>0</v>
      </c>
      <c r="AI159" s="41">
        <f t="shared" si="58"/>
        <v>40756</v>
      </c>
      <c r="AJ159" s="44">
        <f t="shared" si="55"/>
        <v>0</v>
      </c>
    </row>
    <row r="160" spans="26:36" x14ac:dyDescent="0.25">
      <c r="Z160" s="41">
        <f t="shared" si="57"/>
        <v>40787</v>
      </c>
      <c r="AA160" s="43">
        <f t="shared" si="59"/>
        <v>0</v>
      </c>
      <c r="AB160" s="43">
        <f t="shared" si="59"/>
        <v>0</v>
      </c>
      <c r="AC160" s="43">
        <f t="shared" si="59"/>
        <v>0</v>
      </c>
      <c r="AD160" s="43">
        <f t="shared" si="59"/>
        <v>0</v>
      </c>
      <c r="AE160" s="43">
        <f t="shared" si="59"/>
        <v>0</v>
      </c>
      <c r="AF160" s="43">
        <f t="shared" si="59"/>
        <v>0</v>
      </c>
      <c r="AG160" s="44">
        <f t="shared" si="59"/>
        <v>0</v>
      </c>
      <c r="AI160" s="41">
        <f t="shared" si="58"/>
        <v>40787</v>
      </c>
      <c r="AJ160" s="44">
        <f t="shared" si="55"/>
        <v>0</v>
      </c>
    </row>
    <row r="161" spans="26:36" x14ac:dyDescent="0.25">
      <c r="Z161" s="41">
        <f t="shared" si="57"/>
        <v>40817</v>
      </c>
      <c r="AA161" s="43">
        <f t="shared" si="59"/>
        <v>0</v>
      </c>
      <c r="AB161" s="43">
        <f t="shared" si="59"/>
        <v>0</v>
      </c>
      <c r="AC161" s="43">
        <f t="shared" si="59"/>
        <v>0</v>
      </c>
      <c r="AD161" s="43">
        <f t="shared" si="59"/>
        <v>0</v>
      </c>
      <c r="AE161" s="43">
        <f t="shared" si="59"/>
        <v>0</v>
      </c>
      <c r="AF161" s="43">
        <f t="shared" si="59"/>
        <v>0</v>
      </c>
      <c r="AG161" s="44">
        <f t="shared" si="59"/>
        <v>0</v>
      </c>
      <c r="AI161" s="41">
        <f t="shared" si="58"/>
        <v>40817</v>
      </c>
      <c r="AJ161" s="44">
        <f t="shared" si="55"/>
        <v>0</v>
      </c>
    </row>
    <row r="162" spans="26:36" x14ac:dyDescent="0.25">
      <c r="Z162" s="41">
        <f t="shared" si="57"/>
        <v>40848</v>
      </c>
      <c r="AA162" s="43">
        <f t="shared" si="59"/>
        <v>0</v>
      </c>
      <c r="AB162" s="43">
        <f t="shared" si="59"/>
        <v>0</v>
      </c>
      <c r="AC162" s="43">
        <f t="shared" si="59"/>
        <v>0</v>
      </c>
      <c r="AD162" s="43">
        <f t="shared" si="59"/>
        <v>0</v>
      </c>
      <c r="AE162" s="43">
        <f t="shared" si="59"/>
        <v>0</v>
      </c>
      <c r="AF162" s="43">
        <f t="shared" si="59"/>
        <v>0</v>
      </c>
      <c r="AG162" s="44">
        <f t="shared" si="59"/>
        <v>0</v>
      </c>
      <c r="AI162" s="41">
        <f t="shared" si="58"/>
        <v>40848</v>
      </c>
      <c r="AJ162" s="44">
        <f t="shared" si="55"/>
        <v>0</v>
      </c>
    </row>
    <row r="163" spans="26:36" x14ac:dyDescent="0.25">
      <c r="Z163" s="41">
        <f t="shared" si="57"/>
        <v>40878</v>
      </c>
      <c r="AA163" s="43">
        <f t="shared" si="59"/>
        <v>0</v>
      </c>
      <c r="AB163" s="43">
        <f t="shared" si="59"/>
        <v>0</v>
      </c>
      <c r="AC163" s="43">
        <f t="shared" si="59"/>
        <v>0</v>
      </c>
      <c r="AD163" s="43">
        <f t="shared" si="59"/>
        <v>0</v>
      </c>
      <c r="AE163" s="43">
        <f t="shared" si="59"/>
        <v>0</v>
      </c>
      <c r="AF163" s="43">
        <f t="shared" si="59"/>
        <v>0</v>
      </c>
      <c r="AG163" s="44">
        <f t="shared" si="59"/>
        <v>0</v>
      </c>
      <c r="AI163" s="41">
        <f t="shared" si="58"/>
        <v>40878</v>
      </c>
      <c r="AJ163" s="44">
        <f t="shared" si="55"/>
        <v>0</v>
      </c>
    </row>
    <row r="164" spans="26:36" x14ac:dyDescent="0.25">
      <c r="Z164" s="41">
        <f t="shared" si="57"/>
        <v>40909</v>
      </c>
      <c r="AA164" s="43">
        <f t="shared" si="59"/>
        <v>0</v>
      </c>
      <c r="AB164" s="43">
        <f t="shared" si="59"/>
        <v>0</v>
      </c>
      <c r="AC164" s="43">
        <f t="shared" si="59"/>
        <v>0</v>
      </c>
      <c r="AD164" s="43">
        <f t="shared" si="59"/>
        <v>0</v>
      </c>
      <c r="AE164" s="43">
        <f t="shared" si="59"/>
        <v>0</v>
      </c>
      <c r="AF164" s="43">
        <f t="shared" si="59"/>
        <v>0</v>
      </c>
      <c r="AG164" s="44">
        <f t="shared" si="59"/>
        <v>0</v>
      </c>
      <c r="AI164" s="41">
        <f t="shared" si="58"/>
        <v>40909</v>
      </c>
      <c r="AJ164" s="44">
        <f t="shared" si="55"/>
        <v>0</v>
      </c>
    </row>
    <row r="165" spans="26:36" x14ac:dyDescent="0.25">
      <c r="Z165" s="41">
        <f t="shared" si="57"/>
        <v>40940</v>
      </c>
      <c r="AA165" s="43">
        <f t="shared" si="59"/>
        <v>0</v>
      </c>
      <c r="AB165" s="43">
        <f t="shared" si="59"/>
        <v>0</v>
      </c>
      <c r="AC165" s="43">
        <f t="shared" si="59"/>
        <v>0</v>
      </c>
      <c r="AD165" s="43">
        <f t="shared" si="59"/>
        <v>0</v>
      </c>
      <c r="AE165" s="43">
        <f t="shared" si="59"/>
        <v>0</v>
      </c>
      <c r="AF165" s="43">
        <f t="shared" si="59"/>
        <v>0</v>
      </c>
      <c r="AG165" s="44">
        <f t="shared" si="59"/>
        <v>0</v>
      </c>
      <c r="AI165" s="41">
        <f t="shared" si="58"/>
        <v>40940</v>
      </c>
      <c r="AJ165" s="44">
        <f t="shared" si="55"/>
        <v>0</v>
      </c>
    </row>
    <row r="166" spans="26:36" x14ac:dyDescent="0.25">
      <c r="Z166" s="41">
        <f t="shared" si="57"/>
        <v>40969</v>
      </c>
      <c r="AA166" s="43">
        <f t="shared" si="59"/>
        <v>0</v>
      </c>
      <c r="AB166" s="43">
        <f t="shared" si="59"/>
        <v>0</v>
      </c>
      <c r="AC166" s="43">
        <f t="shared" si="59"/>
        <v>0</v>
      </c>
      <c r="AD166" s="43">
        <f t="shared" si="59"/>
        <v>0</v>
      </c>
      <c r="AE166" s="43">
        <f t="shared" si="59"/>
        <v>0</v>
      </c>
      <c r="AF166" s="43">
        <f t="shared" si="59"/>
        <v>0</v>
      </c>
      <c r="AG166" s="44">
        <f t="shared" si="59"/>
        <v>0</v>
      </c>
      <c r="AI166" s="41">
        <f t="shared" si="58"/>
        <v>40969</v>
      </c>
      <c r="AJ166" s="44">
        <f t="shared" si="55"/>
        <v>0</v>
      </c>
    </row>
    <row r="167" spans="26:36" x14ac:dyDescent="0.25">
      <c r="Z167" s="41">
        <f t="shared" si="57"/>
        <v>41000</v>
      </c>
      <c r="AA167" s="43">
        <f t="shared" si="59"/>
        <v>0</v>
      </c>
      <c r="AB167" s="43">
        <f t="shared" si="59"/>
        <v>0</v>
      </c>
      <c r="AC167" s="43">
        <f t="shared" si="59"/>
        <v>0</v>
      </c>
      <c r="AD167" s="43">
        <f t="shared" si="59"/>
        <v>0</v>
      </c>
      <c r="AE167" s="43">
        <f t="shared" si="59"/>
        <v>0</v>
      </c>
      <c r="AF167" s="43">
        <f t="shared" si="59"/>
        <v>0</v>
      </c>
      <c r="AG167" s="44">
        <f t="shared" si="59"/>
        <v>0</v>
      </c>
      <c r="AI167" s="41">
        <f t="shared" si="58"/>
        <v>41000</v>
      </c>
      <c r="AJ167" s="44">
        <f t="shared" si="55"/>
        <v>0</v>
      </c>
    </row>
    <row r="168" spans="26:36" x14ac:dyDescent="0.25">
      <c r="Z168" s="41">
        <f t="shared" si="57"/>
        <v>41030</v>
      </c>
      <c r="AA168" s="43">
        <f t="shared" si="59"/>
        <v>0</v>
      </c>
      <c r="AB168" s="43">
        <f t="shared" si="59"/>
        <v>0</v>
      </c>
      <c r="AC168" s="43">
        <f t="shared" si="59"/>
        <v>0</v>
      </c>
      <c r="AD168" s="43">
        <f t="shared" si="59"/>
        <v>0</v>
      </c>
      <c r="AE168" s="43">
        <f t="shared" si="59"/>
        <v>0</v>
      </c>
      <c r="AF168" s="43">
        <f t="shared" si="59"/>
        <v>0</v>
      </c>
      <c r="AG168" s="44">
        <f t="shared" si="59"/>
        <v>0</v>
      </c>
      <c r="AI168" s="41">
        <f t="shared" si="58"/>
        <v>41030</v>
      </c>
      <c r="AJ168" s="44">
        <f t="shared" si="55"/>
        <v>0</v>
      </c>
    </row>
    <row r="169" spans="26:36" ht="13.8" thickBot="1" x14ac:dyDescent="0.3">
      <c r="Z169" s="42">
        <f t="shared" si="57"/>
        <v>41061</v>
      </c>
      <c r="AA169" s="45">
        <f t="shared" si="59"/>
        <v>0</v>
      </c>
      <c r="AB169" s="45">
        <f t="shared" si="59"/>
        <v>0</v>
      </c>
      <c r="AC169" s="45">
        <f t="shared" si="59"/>
        <v>0</v>
      </c>
      <c r="AD169" s="45">
        <f t="shared" si="59"/>
        <v>0</v>
      </c>
      <c r="AE169" s="45">
        <f t="shared" si="59"/>
        <v>0</v>
      </c>
      <c r="AF169" s="45">
        <f t="shared" si="59"/>
        <v>0</v>
      </c>
      <c r="AG169" s="46">
        <f t="shared" si="59"/>
        <v>0</v>
      </c>
      <c r="AI169" s="42">
        <f t="shared" si="58"/>
        <v>41061</v>
      </c>
      <c r="AJ169" s="46">
        <f t="shared" si="55"/>
        <v>0</v>
      </c>
    </row>
    <row r="65441" spans="22:22" x14ac:dyDescent="0.25">
      <c r="V65441" s="10"/>
    </row>
    <row r="65535" spans="15:15" x14ac:dyDescent="0.25">
      <c r="O65535" s="51"/>
    </row>
  </sheetData>
  <sheetCalcPr fullCalcOnLoad="1"/>
  <pageMargins left="0.75" right="0.75" top="1" bottom="1" header="0.5" footer="0.5"/>
  <pageSetup paperSize="5" scale="22" fitToHeight="3" orientation="landscape" r:id="rId2"/>
  <headerFooter alignWithMargins="0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T166"/>
  <sheetViews>
    <sheetView showGridLines="0" workbookViewId="0"/>
  </sheetViews>
  <sheetFormatPr defaultRowHeight="13.2" x14ac:dyDescent="0.25"/>
  <cols>
    <col min="1" max="1" width="13.5546875" customWidth="1"/>
    <col min="2" max="2" width="13.6640625" bestFit="1" customWidth="1"/>
    <col min="3" max="3" width="16.109375" bestFit="1" customWidth="1"/>
    <col min="4" max="4" width="5.6640625" bestFit="1" customWidth="1"/>
    <col min="5" max="5" width="6" bestFit="1" customWidth="1"/>
    <col min="6" max="6" width="7.33203125" bestFit="1" customWidth="1"/>
    <col min="7" max="7" width="10.6640625" bestFit="1" customWidth="1"/>
    <col min="8" max="8" width="6.44140625" bestFit="1" customWidth="1"/>
    <col min="9" max="9" width="9" bestFit="1" customWidth="1"/>
    <col min="10" max="10" width="12" bestFit="1" customWidth="1"/>
    <col min="11" max="11" width="7.33203125" bestFit="1" customWidth="1"/>
    <col min="12" max="12" width="9.6640625" bestFit="1" customWidth="1"/>
    <col min="13" max="13" width="5.88671875" bestFit="1" customWidth="1"/>
    <col min="14" max="14" width="12" bestFit="1" customWidth="1"/>
    <col min="15" max="15" width="12.5546875" bestFit="1" customWidth="1"/>
    <col min="16" max="16" width="12" bestFit="1" customWidth="1"/>
    <col min="19" max="19" width="13.5546875" bestFit="1" customWidth="1"/>
    <col min="20" max="20" width="13.109375" bestFit="1" customWidth="1"/>
  </cols>
  <sheetData>
    <row r="1" spans="1:20" ht="17.399999999999999" x14ac:dyDescent="0.3">
      <c r="A1" s="145" t="s">
        <v>102</v>
      </c>
    </row>
    <row r="2" spans="1:20" ht="14.4" thickBot="1" x14ac:dyDescent="0.3">
      <c r="N2" s="54" t="s">
        <v>43</v>
      </c>
      <c r="O2" s="59" t="s">
        <v>101</v>
      </c>
      <c r="P2" s="58" t="s">
        <v>41</v>
      </c>
    </row>
    <row r="3" spans="1:20" ht="17.399999999999999" x14ac:dyDescent="0.3">
      <c r="A3" s="143" t="s">
        <v>35</v>
      </c>
      <c r="B3" s="144">
        <f>Summary!P1</f>
        <v>36767</v>
      </c>
      <c r="N3" s="56"/>
      <c r="O3" s="146" t="e">
        <f>SUM(O7:O420)</f>
        <v>#N/A</v>
      </c>
      <c r="P3" s="147" t="e">
        <f>SUM(P7:P420)</f>
        <v>#N/A</v>
      </c>
      <c r="S3" s="35" t="s">
        <v>73</v>
      </c>
      <c r="T3" s="37"/>
    </row>
    <row r="4" spans="1:20" ht="13.8" x14ac:dyDescent="0.25">
      <c r="A4" s="13" t="s">
        <v>36</v>
      </c>
      <c r="B4" s="14"/>
      <c r="C4" s="113"/>
      <c r="D4" s="113"/>
      <c r="E4" s="113"/>
      <c r="F4" s="113"/>
      <c r="G4" s="113"/>
      <c r="H4" s="114"/>
      <c r="I4" s="47" t="s">
        <v>37</v>
      </c>
      <c r="J4" s="115"/>
      <c r="K4" s="115"/>
      <c r="L4" s="115"/>
      <c r="M4" s="115"/>
      <c r="N4" s="115"/>
      <c r="O4" s="115"/>
      <c r="P4" s="115"/>
      <c r="S4" s="38" t="s">
        <v>3</v>
      </c>
      <c r="T4" s="121"/>
    </row>
    <row r="5" spans="1:20" ht="13.8" x14ac:dyDescent="0.25">
      <c r="A5" s="1"/>
      <c r="B5" s="1"/>
      <c r="C5" s="1"/>
      <c r="D5" s="1" t="s">
        <v>11</v>
      </c>
      <c r="E5" s="1" t="s">
        <v>12</v>
      </c>
      <c r="F5" s="1"/>
      <c r="G5" s="1" t="s">
        <v>13</v>
      </c>
      <c r="H5" s="2" t="s">
        <v>14</v>
      </c>
      <c r="I5" s="48" t="s">
        <v>98</v>
      </c>
      <c r="J5" s="8" t="s">
        <v>28</v>
      </c>
      <c r="K5" s="8" t="s">
        <v>25</v>
      </c>
      <c r="L5" s="1"/>
      <c r="M5" s="8" t="s">
        <v>33</v>
      </c>
      <c r="N5" s="8" t="s">
        <v>99</v>
      </c>
      <c r="O5" s="8"/>
      <c r="P5" s="8" t="s">
        <v>99</v>
      </c>
      <c r="S5" s="39"/>
      <c r="T5" s="150" t="s">
        <v>104</v>
      </c>
    </row>
    <row r="6" spans="1:20" x14ac:dyDescent="0.25">
      <c r="A6" s="3" t="s">
        <v>15</v>
      </c>
      <c r="B6" s="3" t="s">
        <v>16</v>
      </c>
      <c r="C6" s="3" t="s">
        <v>103</v>
      </c>
      <c r="D6" s="3" t="s">
        <v>17</v>
      </c>
      <c r="E6" s="3" t="s">
        <v>18</v>
      </c>
      <c r="F6" s="3" t="s">
        <v>3</v>
      </c>
      <c r="G6" s="3" t="s">
        <v>19</v>
      </c>
      <c r="H6" s="3" t="s">
        <v>5</v>
      </c>
      <c r="I6" s="3" t="s">
        <v>5</v>
      </c>
      <c r="J6" s="3" t="s">
        <v>29</v>
      </c>
      <c r="K6" s="3" t="s">
        <v>30</v>
      </c>
      <c r="L6" s="3" t="s">
        <v>32</v>
      </c>
      <c r="M6" s="3" t="s">
        <v>34</v>
      </c>
      <c r="N6" s="3" t="s">
        <v>100</v>
      </c>
      <c r="O6" s="3" t="s">
        <v>101</v>
      </c>
      <c r="P6" s="3" t="s">
        <v>87</v>
      </c>
      <c r="S6" s="40">
        <v>36192</v>
      </c>
      <c r="T6" s="44">
        <f>+SUMIF(F:F,S6,P:P)</f>
        <v>0</v>
      </c>
    </row>
    <row r="7" spans="1:20" x14ac:dyDescent="0.25">
      <c r="A7" s="51" t="s">
        <v>280</v>
      </c>
      <c r="B7" s="461" t="s">
        <v>93</v>
      </c>
      <c r="C7" s="51" t="s">
        <v>94</v>
      </c>
      <c r="D7" t="s">
        <v>20</v>
      </c>
      <c r="E7" t="s">
        <v>1</v>
      </c>
      <c r="F7" s="142">
        <v>36342</v>
      </c>
      <c r="G7">
        <v>-62000</v>
      </c>
      <c r="H7">
        <v>2</v>
      </c>
      <c r="I7" s="10" t="e">
        <f>+(HLOOKUP($C$7,Prices,VLOOKUP(F7,move_down,2,FALSE),FALSE)+HLOOKUP($C$8,Prices,VLOOKUP(F7,move_down,2,FALSE),FALSE)+HLOOKUP($C$9,Prices,VLOOKUP(F7,move_down,2,FALSE),FALSE)+HLOOKUP($C$10,Prices,VLOOKUP(F7,move_down,2,FALSE),FALSE)+4*VLOOKUP(F7,NGPrices,2,FALSE))/4</f>
        <v>#N/A</v>
      </c>
      <c r="J7" s="149" t="e">
        <f>+VLOOKUP(F7,NGPrices,4)</f>
        <v>#N/A</v>
      </c>
      <c r="K7" t="e">
        <f>+VLOOKUP(F7,NGPrices,3)</f>
        <v>#N/A</v>
      </c>
      <c r="L7" s="141">
        <f>+F7</f>
        <v>36342</v>
      </c>
      <c r="M7">
        <f>IF(E7="P",0,1)</f>
        <v>0</v>
      </c>
      <c r="N7" s="10">
        <v>0</v>
      </c>
      <c r="O7" s="10">
        <f>+N7*G7</f>
        <v>0</v>
      </c>
      <c r="P7" s="148">
        <v>0</v>
      </c>
      <c r="S7" s="41">
        <f t="shared" ref="S7:S38" si="0">EOMONTH(S6,0)+1</f>
        <v>36220</v>
      </c>
      <c r="T7" s="44">
        <f t="shared" ref="T7:T70" si="1">+SUMIF(F:F,S7,P:P)</f>
        <v>0</v>
      </c>
    </row>
    <row r="8" spans="1:20" x14ac:dyDescent="0.25">
      <c r="A8" s="51" t="s">
        <v>280</v>
      </c>
      <c r="B8" s="461" t="s">
        <v>93</v>
      </c>
      <c r="C8" s="51" t="s">
        <v>95</v>
      </c>
      <c r="D8" t="s">
        <v>20</v>
      </c>
      <c r="E8" t="s">
        <v>1</v>
      </c>
      <c r="F8" s="142">
        <v>36373</v>
      </c>
      <c r="G8">
        <v>-62000</v>
      </c>
      <c r="H8">
        <v>2</v>
      </c>
      <c r="I8" s="10" t="e">
        <f t="shared" ref="I8:I18" si="2">+(HLOOKUP($C$7,Prices,VLOOKUP(F8,move_down,2,FALSE),FALSE)+HLOOKUP($C$8,Prices,VLOOKUP(F8,move_down,2,FALSE),FALSE)+HLOOKUP($C$9,Prices,VLOOKUP(F8,move_down,2,FALSE),FALSE)+HLOOKUP($C$10,Prices,VLOOKUP(F8,move_down,2,FALSE),FALSE)+4*VLOOKUP(F8,NGPrices,2,FALSE))/4</f>
        <v>#N/A</v>
      </c>
      <c r="J8" s="149" t="e">
        <f t="shared" ref="J8:J18" si="3">+VLOOKUP(F8,NGPrices,4)</f>
        <v>#N/A</v>
      </c>
      <c r="K8" t="e">
        <f t="shared" ref="K8:K18" si="4">+VLOOKUP(F8,NGPrices,3)</f>
        <v>#N/A</v>
      </c>
      <c r="L8" s="141">
        <f t="shared" ref="L8:L18" si="5">+F8</f>
        <v>36373</v>
      </c>
      <c r="M8">
        <f t="shared" ref="M8:M18" si="6">IF(E8="P",0,1)</f>
        <v>0</v>
      </c>
      <c r="N8" s="10">
        <v>0</v>
      </c>
      <c r="O8" s="10">
        <f t="shared" ref="O8:O18" si="7">+N8*G8</f>
        <v>0</v>
      </c>
      <c r="P8" s="148">
        <v>0</v>
      </c>
      <c r="S8" s="41">
        <f t="shared" si="0"/>
        <v>36251</v>
      </c>
      <c r="T8" s="44">
        <f t="shared" si="1"/>
        <v>0</v>
      </c>
    </row>
    <row r="9" spans="1:20" x14ac:dyDescent="0.25">
      <c r="A9" s="51" t="s">
        <v>280</v>
      </c>
      <c r="B9" s="461" t="s">
        <v>93</v>
      </c>
      <c r="C9" s="51" t="s">
        <v>96</v>
      </c>
      <c r="D9" t="s">
        <v>20</v>
      </c>
      <c r="E9" t="s">
        <v>1</v>
      </c>
      <c r="F9" s="142">
        <v>36404</v>
      </c>
      <c r="G9">
        <v>-62000</v>
      </c>
      <c r="H9">
        <v>2</v>
      </c>
      <c r="I9" s="10" t="e">
        <f t="shared" si="2"/>
        <v>#N/A</v>
      </c>
      <c r="J9" s="149" t="e">
        <f t="shared" si="3"/>
        <v>#N/A</v>
      </c>
      <c r="K9" t="e">
        <f t="shared" si="4"/>
        <v>#N/A</v>
      </c>
      <c r="L9" s="141">
        <f t="shared" si="5"/>
        <v>36404</v>
      </c>
      <c r="M9">
        <f t="shared" si="6"/>
        <v>0</v>
      </c>
      <c r="N9" s="10">
        <v>0</v>
      </c>
      <c r="O9" s="10">
        <f t="shared" si="7"/>
        <v>0</v>
      </c>
      <c r="P9" s="148">
        <v>0</v>
      </c>
      <c r="S9" s="41">
        <f t="shared" si="0"/>
        <v>36281</v>
      </c>
      <c r="T9" s="44">
        <f t="shared" si="1"/>
        <v>0</v>
      </c>
    </row>
    <row r="10" spans="1:20" x14ac:dyDescent="0.25">
      <c r="A10" s="51" t="s">
        <v>280</v>
      </c>
      <c r="B10" s="461" t="s">
        <v>93</v>
      </c>
      <c r="C10" s="51" t="s">
        <v>97</v>
      </c>
      <c r="D10" t="s">
        <v>20</v>
      </c>
      <c r="E10" t="s">
        <v>1</v>
      </c>
      <c r="F10" s="142">
        <v>36434</v>
      </c>
      <c r="G10">
        <v>-62000</v>
      </c>
      <c r="H10">
        <v>2</v>
      </c>
      <c r="I10" s="10" t="e">
        <f t="shared" si="2"/>
        <v>#N/A</v>
      </c>
      <c r="J10" s="149" t="e">
        <f t="shared" si="3"/>
        <v>#N/A</v>
      </c>
      <c r="K10" t="e">
        <f t="shared" si="4"/>
        <v>#N/A</v>
      </c>
      <c r="L10" s="141">
        <f t="shared" si="5"/>
        <v>36434</v>
      </c>
      <c r="M10">
        <f t="shared" si="6"/>
        <v>0</v>
      </c>
      <c r="N10" s="10">
        <v>0</v>
      </c>
      <c r="O10" s="10">
        <f t="shared" si="7"/>
        <v>0</v>
      </c>
      <c r="P10" s="148">
        <v>0</v>
      </c>
      <c r="S10" s="41">
        <f t="shared" si="0"/>
        <v>36312</v>
      </c>
      <c r="T10" s="44">
        <f t="shared" si="1"/>
        <v>0</v>
      </c>
    </row>
    <row r="11" spans="1:20" x14ac:dyDescent="0.25">
      <c r="A11" s="51" t="s">
        <v>280</v>
      </c>
      <c r="B11" s="461" t="s">
        <v>93</v>
      </c>
      <c r="D11" t="s">
        <v>20</v>
      </c>
      <c r="E11" t="s">
        <v>1</v>
      </c>
      <c r="F11" s="142">
        <v>36465</v>
      </c>
      <c r="G11">
        <v>-62000</v>
      </c>
      <c r="H11">
        <v>2</v>
      </c>
      <c r="I11" s="10" t="e">
        <f t="shared" si="2"/>
        <v>#N/A</v>
      </c>
      <c r="J11" s="149" t="e">
        <f t="shared" si="3"/>
        <v>#N/A</v>
      </c>
      <c r="K11" t="e">
        <f t="shared" si="4"/>
        <v>#N/A</v>
      </c>
      <c r="L11" s="141">
        <f t="shared" si="5"/>
        <v>36465</v>
      </c>
      <c r="M11">
        <f t="shared" si="6"/>
        <v>0</v>
      </c>
      <c r="N11" s="10">
        <v>0</v>
      </c>
      <c r="O11" s="10">
        <v>0</v>
      </c>
      <c r="P11" s="148">
        <v>0</v>
      </c>
      <c r="S11" s="41">
        <f t="shared" si="0"/>
        <v>36342</v>
      </c>
      <c r="T11" s="44">
        <f t="shared" si="1"/>
        <v>0</v>
      </c>
    </row>
    <row r="12" spans="1:20" x14ac:dyDescent="0.25">
      <c r="A12" s="51" t="s">
        <v>280</v>
      </c>
      <c r="B12" s="461" t="s">
        <v>93</v>
      </c>
      <c r="D12" t="s">
        <v>20</v>
      </c>
      <c r="E12" t="s">
        <v>1</v>
      </c>
      <c r="F12" s="142">
        <v>36495</v>
      </c>
      <c r="G12">
        <v>-62000</v>
      </c>
      <c r="H12">
        <v>2</v>
      </c>
      <c r="I12" s="10" t="e">
        <f t="shared" si="2"/>
        <v>#N/A</v>
      </c>
      <c r="J12" s="149" t="e">
        <f t="shared" si="3"/>
        <v>#N/A</v>
      </c>
      <c r="K12" t="e">
        <f t="shared" si="4"/>
        <v>#N/A</v>
      </c>
      <c r="L12" s="141">
        <f t="shared" si="5"/>
        <v>36495</v>
      </c>
      <c r="M12">
        <f t="shared" si="6"/>
        <v>0</v>
      </c>
      <c r="N12" s="10">
        <v>0</v>
      </c>
      <c r="O12" s="10">
        <v>0</v>
      </c>
      <c r="P12" s="148">
        <v>0</v>
      </c>
      <c r="S12" s="41">
        <f t="shared" si="0"/>
        <v>36373</v>
      </c>
      <c r="T12" s="44">
        <f t="shared" si="1"/>
        <v>0</v>
      </c>
    </row>
    <row r="13" spans="1:20" x14ac:dyDescent="0.25">
      <c r="A13" s="51" t="s">
        <v>280</v>
      </c>
      <c r="B13" s="461" t="s">
        <v>93</v>
      </c>
      <c r="D13" t="s">
        <v>20</v>
      </c>
      <c r="E13" t="s">
        <v>1</v>
      </c>
      <c r="F13" s="142">
        <v>36526</v>
      </c>
      <c r="G13">
        <v>-62000</v>
      </c>
      <c r="H13">
        <v>2</v>
      </c>
      <c r="I13" s="10" t="e">
        <f t="shared" si="2"/>
        <v>#N/A</v>
      </c>
      <c r="J13" s="149" t="e">
        <f t="shared" si="3"/>
        <v>#N/A</v>
      </c>
      <c r="K13" t="e">
        <f t="shared" si="4"/>
        <v>#N/A</v>
      </c>
      <c r="L13" s="141">
        <f t="shared" si="5"/>
        <v>36526</v>
      </c>
      <c r="M13">
        <f t="shared" si="6"/>
        <v>0</v>
      </c>
      <c r="N13" s="10">
        <v>0</v>
      </c>
      <c r="O13" s="10">
        <f t="shared" si="7"/>
        <v>0</v>
      </c>
      <c r="P13" s="148">
        <v>0</v>
      </c>
      <c r="S13" s="41">
        <f t="shared" si="0"/>
        <v>36404</v>
      </c>
      <c r="T13" s="44">
        <f t="shared" si="1"/>
        <v>0</v>
      </c>
    </row>
    <row r="14" spans="1:20" x14ac:dyDescent="0.25">
      <c r="A14" s="51" t="s">
        <v>280</v>
      </c>
      <c r="B14" s="461" t="s">
        <v>93</v>
      </c>
      <c r="D14" t="s">
        <v>20</v>
      </c>
      <c r="E14" t="s">
        <v>1</v>
      </c>
      <c r="F14" s="142">
        <v>36557</v>
      </c>
      <c r="G14">
        <v>-62000</v>
      </c>
      <c r="H14">
        <v>2</v>
      </c>
      <c r="I14" s="10" t="e">
        <f t="shared" si="2"/>
        <v>#N/A</v>
      </c>
      <c r="J14" s="149" t="e">
        <f t="shared" si="3"/>
        <v>#N/A</v>
      </c>
      <c r="K14" t="e">
        <f t="shared" si="4"/>
        <v>#N/A</v>
      </c>
      <c r="L14" s="141">
        <f t="shared" si="5"/>
        <v>36557</v>
      </c>
      <c r="M14">
        <f t="shared" si="6"/>
        <v>0</v>
      </c>
      <c r="N14" s="10">
        <v>0</v>
      </c>
      <c r="O14" s="10">
        <v>0</v>
      </c>
      <c r="P14" s="148">
        <v>0</v>
      </c>
      <c r="S14" s="41">
        <f t="shared" si="0"/>
        <v>36434</v>
      </c>
      <c r="T14" s="44">
        <f t="shared" si="1"/>
        <v>0</v>
      </c>
    </row>
    <row r="15" spans="1:20" x14ac:dyDescent="0.25">
      <c r="A15" s="51" t="s">
        <v>280</v>
      </c>
      <c r="B15" s="461" t="s">
        <v>93</v>
      </c>
      <c r="D15" t="s">
        <v>20</v>
      </c>
      <c r="E15" t="s">
        <v>1</v>
      </c>
      <c r="F15" s="142">
        <v>36586</v>
      </c>
      <c r="G15">
        <v>-62000</v>
      </c>
      <c r="H15">
        <v>2</v>
      </c>
      <c r="I15" s="10" t="e">
        <f t="shared" si="2"/>
        <v>#N/A</v>
      </c>
      <c r="J15" s="149" t="e">
        <f t="shared" si="3"/>
        <v>#N/A</v>
      </c>
      <c r="K15" t="e">
        <f t="shared" si="4"/>
        <v>#N/A</v>
      </c>
      <c r="L15" s="141">
        <f t="shared" si="5"/>
        <v>36586</v>
      </c>
      <c r="M15">
        <f t="shared" si="6"/>
        <v>0</v>
      </c>
      <c r="N15" s="10">
        <v>0</v>
      </c>
      <c r="O15" s="10">
        <v>0</v>
      </c>
      <c r="P15" s="148">
        <v>0</v>
      </c>
      <c r="S15" s="41">
        <f t="shared" si="0"/>
        <v>36465</v>
      </c>
      <c r="T15" s="44">
        <f t="shared" si="1"/>
        <v>0</v>
      </c>
    </row>
    <row r="16" spans="1:20" x14ac:dyDescent="0.25">
      <c r="A16" s="51" t="s">
        <v>280</v>
      </c>
      <c r="B16" s="461" t="s">
        <v>93</v>
      </c>
      <c r="D16" t="s">
        <v>20</v>
      </c>
      <c r="E16" t="s">
        <v>1</v>
      </c>
      <c r="F16" s="142">
        <v>36617</v>
      </c>
      <c r="G16">
        <v>-62000</v>
      </c>
      <c r="H16">
        <v>2</v>
      </c>
      <c r="I16" s="10" t="e">
        <f t="shared" si="2"/>
        <v>#N/A</v>
      </c>
      <c r="J16" s="149" t="e">
        <f t="shared" si="3"/>
        <v>#N/A</v>
      </c>
      <c r="K16" t="e">
        <f t="shared" si="4"/>
        <v>#N/A</v>
      </c>
      <c r="L16" s="141">
        <f t="shared" si="5"/>
        <v>36617</v>
      </c>
      <c r="M16">
        <f t="shared" si="6"/>
        <v>0</v>
      </c>
      <c r="N16" s="10">
        <v>0</v>
      </c>
      <c r="O16" s="10">
        <v>0</v>
      </c>
      <c r="P16" s="148">
        <v>0</v>
      </c>
      <c r="S16" s="41">
        <f t="shared" si="0"/>
        <v>36495</v>
      </c>
      <c r="T16" s="44">
        <f t="shared" si="1"/>
        <v>0</v>
      </c>
    </row>
    <row r="17" spans="1:20" x14ac:dyDescent="0.25">
      <c r="A17" s="51" t="s">
        <v>280</v>
      </c>
      <c r="B17" s="461" t="s">
        <v>93</v>
      </c>
      <c r="D17" t="s">
        <v>20</v>
      </c>
      <c r="E17" t="s">
        <v>1</v>
      </c>
      <c r="F17" s="142">
        <v>36647</v>
      </c>
      <c r="G17">
        <v>-62000</v>
      </c>
      <c r="H17">
        <v>2</v>
      </c>
      <c r="I17" s="10" t="e">
        <f t="shared" si="2"/>
        <v>#N/A</v>
      </c>
      <c r="J17" s="149" t="e">
        <f t="shared" si="3"/>
        <v>#N/A</v>
      </c>
      <c r="K17" t="e">
        <f t="shared" si="4"/>
        <v>#N/A</v>
      </c>
      <c r="L17" s="141">
        <f t="shared" si="5"/>
        <v>36647</v>
      </c>
      <c r="M17">
        <f t="shared" si="6"/>
        <v>0</v>
      </c>
      <c r="N17" s="10">
        <v>0</v>
      </c>
      <c r="O17" s="10">
        <v>0</v>
      </c>
      <c r="P17" s="148">
        <v>0</v>
      </c>
      <c r="S17" s="41">
        <f t="shared" si="0"/>
        <v>36526</v>
      </c>
      <c r="T17" s="44">
        <f t="shared" si="1"/>
        <v>0</v>
      </c>
    </row>
    <row r="18" spans="1:20" x14ac:dyDescent="0.25">
      <c r="A18" s="51" t="s">
        <v>280</v>
      </c>
      <c r="B18" s="461" t="s">
        <v>93</v>
      </c>
      <c r="D18" t="s">
        <v>20</v>
      </c>
      <c r="E18" t="s">
        <v>1</v>
      </c>
      <c r="F18" s="142">
        <v>36678</v>
      </c>
      <c r="G18">
        <v>-62000</v>
      </c>
      <c r="H18">
        <v>2</v>
      </c>
      <c r="I18" s="10" t="e">
        <f t="shared" si="2"/>
        <v>#N/A</v>
      </c>
      <c r="J18" s="149" t="e">
        <f t="shared" si="3"/>
        <v>#N/A</v>
      </c>
      <c r="K18" t="e">
        <f t="shared" si="4"/>
        <v>#N/A</v>
      </c>
      <c r="L18" s="141">
        <f t="shared" si="5"/>
        <v>36678</v>
      </c>
      <c r="M18">
        <f t="shared" si="6"/>
        <v>0</v>
      </c>
      <c r="N18" s="10" t="e">
        <f>_xll.xEURO(I18,H18,J18,J18,K18,L18-B$3,M18,0)</f>
        <v>#N/A</v>
      </c>
      <c r="O18" s="10" t="e">
        <f t="shared" si="7"/>
        <v>#N/A</v>
      </c>
      <c r="P18" s="148" t="e">
        <f>_xll.xEURO(I18,H18,J18,J18,K18,L18-B$3,M18,1)*G18</f>
        <v>#N/A</v>
      </c>
      <c r="S18" s="41">
        <f t="shared" si="0"/>
        <v>36557</v>
      </c>
      <c r="T18" s="44">
        <f t="shared" si="1"/>
        <v>0</v>
      </c>
    </row>
    <row r="19" spans="1:20" x14ac:dyDescent="0.25">
      <c r="S19" s="41">
        <f t="shared" si="0"/>
        <v>36586</v>
      </c>
      <c r="T19" s="44">
        <f t="shared" si="1"/>
        <v>0</v>
      </c>
    </row>
    <row r="20" spans="1:20" x14ac:dyDescent="0.25">
      <c r="S20" s="41">
        <f t="shared" si="0"/>
        <v>36617</v>
      </c>
      <c r="T20" s="44">
        <f t="shared" si="1"/>
        <v>0</v>
      </c>
    </row>
    <row r="21" spans="1:20" x14ac:dyDescent="0.25">
      <c r="S21" s="41">
        <f t="shared" si="0"/>
        <v>36647</v>
      </c>
      <c r="T21" s="44">
        <f t="shared" si="1"/>
        <v>0</v>
      </c>
    </row>
    <row r="22" spans="1:20" x14ac:dyDescent="0.25">
      <c r="S22" s="41">
        <f t="shared" si="0"/>
        <v>36678</v>
      </c>
      <c r="T22" s="44" t="e">
        <f t="shared" si="1"/>
        <v>#N/A</v>
      </c>
    </row>
    <row r="23" spans="1:20" x14ac:dyDescent="0.25">
      <c r="S23" s="41">
        <f t="shared" si="0"/>
        <v>36708</v>
      </c>
      <c r="T23" s="44">
        <f t="shared" si="1"/>
        <v>0</v>
      </c>
    </row>
    <row r="24" spans="1:20" x14ac:dyDescent="0.25">
      <c r="S24" s="41">
        <f t="shared" si="0"/>
        <v>36739</v>
      </c>
      <c r="T24" s="44">
        <f t="shared" si="1"/>
        <v>0</v>
      </c>
    </row>
    <row r="25" spans="1:20" x14ac:dyDescent="0.25">
      <c r="S25" s="41">
        <f t="shared" si="0"/>
        <v>36770</v>
      </c>
      <c r="T25" s="44">
        <f t="shared" si="1"/>
        <v>0</v>
      </c>
    </row>
    <row r="26" spans="1:20" x14ac:dyDescent="0.25">
      <c r="S26" s="41">
        <f t="shared" si="0"/>
        <v>36800</v>
      </c>
      <c r="T26" s="44">
        <f t="shared" si="1"/>
        <v>0</v>
      </c>
    </row>
    <row r="27" spans="1:20" x14ac:dyDescent="0.25">
      <c r="S27" s="41">
        <f t="shared" si="0"/>
        <v>36831</v>
      </c>
      <c r="T27" s="44">
        <f t="shared" si="1"/>
        <v>0</v>
      </c>
    </row>
    <row r="28" spans="1:20" x14ac:dyDescent="0.25">
      <c r="S28" s="41">
        <f t="shared" si="0"/>
        <v>36861</v>
      </c>
      <c r="T28" s="44">
        <f t="shared" si="1"/>
        <v>0</v>
      </c>
    </row>
    <row r="29" spans="1:20" x14ac:dyDescent="0.25">
      <c r="S29" s="41">
        <f t="shared" si="0"/>
        <v>36892</v>
      </c>
      <c r="T29" s="44">
        <f t="shared" si="1"/>
        <v>0</v>
      </c>
    </row>
    <row r="30" spans="1:20" x14ac:dyDescent="0.25">
      <c r="S30" s="41">
        <f t="shared" si="0"/>
        <v>36923</v>
      </c>
      <c r="T30" s="44">
        <f t="shared" si="1"/>
        <v>0</v>
      </c>
    </row>
    <row r="31" spans="1:20" x14ac:dyDescent="0.25">
      <c r="S31" s="41">
        <f t="shared" si="0"/>
        <v>36951</v>
      </c>
      <c r="T31" s="44">
        <f t="shared" si="1"/>
        <v>0</v>
      </c>
    </row>
    <row r="32" spans="1:20" x14ac:dyDescent="0.25">
      <c r="S32" s="41">
        <f t="shared" si="0"/>
        <v>36982</v>
      </c>
      <c r="T32" s="44">
        <f t="shared" si="1"/>
        <v>0</v>
      </c>
    </row>
    <row r="33" spans="19:20" x14ac:dyDescent="0.25">
      <c r="S33" s="41">
        <f t="shared" si="0"/>
        <v>37012</v>
      </c>
      <c r="T33" s="44">
        <f t="shared" si="1"/>
        <v>0</v>
      </c>
    </row>
    <row r="34" spans="19:20" x14ac:dyDescent="0.25">
      <c r="S34" s="41">
        <f t="shared" si="0"/>
        <v>37043</v>
      </c>
      <c r="T34" s="44">
        <f t="shared" si="1"/>
        <v>0</v>
      </c>
    </row>
    <row r="35" spans="19:20" x14ac:dyDescent="0.25">
      <c r="S35" s="41">
        <f t="shared" si="0"/>
        <v>37073</v>
      </c>
      <c r="T35" s="44">
        <f t="shared" si="1"/>
        <v>0</v>
      </c>
    </row>
    <row r="36" spans="19:20" x14ac:dyDescent="0.25">
      <c r="S36" s="41">
        <f t="shared" si="0"/>
        <v>37104</v>
      </c>
      <c r="T36" s="44">
        <f t="shared" si="1"/>
        <v>0</v>
      </c>
    </row>
    <row r="37" spans="19:20" x14ac:dyDescent="0.25">
      <c r="S37" s="41">
        <f t="shared" si="0"/>
        <v>37135</v>
      </c>
      <c r="T37" s="44">
        <f t="shared" si="1"/>
        <v>0</v>
      </c>
    </row>
    <row r="38" spans="19:20" x14ac:dyDescent="0.25">
      <c r="S38" s="41">
        <f t="shared" si="0"/>
        <v>37165</v>
      </c>
      <c r="T38" s="44">
        <f t="shared" si="1"/>
        <v>0</v>
      </c>
    </row>
    <row r="39" spans="19:20" x14ac:dyDescent="0.25">
      <c r="S39" s="41">
        <f t="shared" ref="S39:S70" si="8">EOMONTH(S38,0)+1</f>
        <v>37196</v>
      </c>
      <c r="T39" s="44">
        <f t="shared" si="1"/>
        <v>0</v>
      </c>
    </row>
    <row r="40" spans="19:20" x14ac:dyDescent="0.25">
      <c r="S40" s="41">
        <f t="shared" si="8"/>
        <v>37226</v>
      </c>
      <c r="T40" s="44">
        <f t="shared" si="1"/>
        <v>0</v>
      </c>
    </row>
    <row r="41" spans="19:20" x14ac:dyDescent="0.25">
      <c r="S41" s="41">
        <f t="shared" si="8"/>
        <v>37257</v>
      </c>
      <c r="T41" s="44">
        <f t="shared" si="1"/>
        <v>0</v>
      </c>
    </row>
    <row r="42" spans="19:20" x14ac:dyDescent="0.25">
      <c r="S42" s="41">
        <f t="shared" si="8"/>
        <v>37288</v>
      </c>
      <c r="T42" s="44">
        <f t="shared" si="1"/>
        <v>0</v>
      </c>
    </row>
    <row r="43" spans="19:20" x14ac:dyDescent="0.25">
      <c r="S43" s="41">
        <f t="shared" si="8"/>
        <v>37316</v>
      </c>
      <c r="T43" s="44">
        <f t="shared" si="1"/>
        <v>0</v>
      </c>
    </row>
    <row r="44" spans="19:20" x14ac:dyDescent="0.25">
      <c r="S44" s="41">
        <f t="shared" si="8"/>
        <v>37347</v>
      </c>
      <c r="T44" s="44">
        <f t="shared" si="1"/>
        <v>0</v>
      </c>
    </row>
    <row r="45" spans="19:20" x14ac:dyDescent="0.25">
      <c r="S45" s="41">
        <f t="shared" si="8"/>
        <v>37377</v>
      </c>
      <c r="T45" s="44">
        <f t="shared" si="1"/>
        <v>0</v>
      </c>
    </row>
    <row r="46" spans="19:20" x14ac:dyDescent="0.25">
      <c r="S46" s="41">
        <f t="shared" si="8"/>
        <v>37408</v>
      </c>
      <c r="T46" s="44">
        <f t="shared" si="1"/>
        <v>0</v>
      </c>
    </row>
    <row r="47" spans="19:20" x14ac:dyDescent="0.25">
      <c r="S47" s="41">
        <f t="shared" si="8"/>
        <v>37438</v>
      </c>
      <c r="T47" s="44">
        <f t="shared" si="1"/>
        <v>0</v>
      </c>
    </row>
    <row r="48" spans="19:20" x14ac:dyDescent="0.25">
      <c r="S48" s="41">
        <f t="shared" si="8"/>
        <v>37469</v>
      </c>
      <c r="T48" s="44">
        <f t="shared" si="1"/>
        <v>0</v>
      </c>
    </row>
    <row r="49" spans="19:20" x14ac:dyDescent="0.25">
      <c r="S49" s="41">
        <f t="shared" si="8"/>
        <v>37500</v>
      </c>
      <c r="T49" s="44">
        <f t="shared" si="1"/>
        <v>0</v>
      </c>
    </row>
    <row r="50" spans="19:20" x14ac:dyDescent="0.25">
      <c r="S50" s="41">
        <f t="shared" si="8"/>
        <v>37530</v>
      </c>
      <c r="T50" s="44">
        <f t="shared" si="1"/>
        <v>0</v>
      </c>
    </row>
    <row r="51" spans="19:20" x14ac:dyDescent="0.25">
      <c r="S51" s="41">
        <f t="shared" si="8"/>
        <v>37561</v>
      </c>
      <c r="T51" s="44">
        <f t="shared" si="1"/>
        <v>0</v>
      </c>
    </row>
    <row r="52" spans="19:20" x14ac:dyDescent="0.25">
      <c r="S52" s="41">
        <f t="shared" si="8"/>
        <v>37591</v>
      </c>
      <c r="T52" s="44">
        <f t="shared" si="1"/>
        <v>0</v>
      </c>
    </row>
    <row r="53" spans="19:20" x14ac:dyDescent="0.25">
      <c r="S53" s="41">
        <f t="shared" si="8"/>
        <v>37622</v>
      </c>
      <c r="T53" s="44">
        <f t="shared" si="1"/>
        <v>0</v>
      </c>
    </row>
    <row r="54" spans="19:20" x14ac:dyDescent="0.25">
      <c r="S54" s="41">
        <f t="shared" si="8"/>
        <v>37653</v>
      </c>
      <c r="T54" s="44">
        <f t="shared" si="1"/>
        <v>0</v>
      </c>
    </row>
    <row r="55" spans="19:20" x14ac:dyDescent="0.25">
      <c r="S55" s="41">
        <f t="shared" si="8"/>
        <v>37681</v>
      </c>
      <c r="T55" s="44">
        <f t="shared" si="1"/>
        <v>0</v>
      </c>
    </row>
    <row r="56" spans="19:20" x14ac:dyDescent="0.25">
      <c r="S56" s="41">
        <f t="shared" si="8"/>
        <v>37712</v>
      </c>
      <c r="T56" s="44">
        <f t="shared" si="1"/>
        <v>0</v>
      </c>
    </row>
    <row r="57" spans="19:20" x14ac:dyDescent="0.25">
      <c r="S57" s="41">
        <f t="shared" si="8"/>
        <v>37742</v>
      </c>
      <c r="T57" s="44">
        <f t="shared" si="1"/>
        <v>0</v>
      </c>
    </row>
    <row r="58" spans="19:20" x14ac:dyDescent="0.25">
      <c r="S58" s="41">
        <f t="shared" si="8"/>
        <v>37773</v>
      </c>
      <c r="T58" s="44">
        <f t="shared" si="1"/>
        <v>0</v>
      </c>
    </row>
    <row r="59" spans="19:20" x14ac:dyDescent="0.25">
      <c r="S59" s="41">
        <f t="shared" si="8"/>
        <v>37803</v>
      </c>
      <c r="T59" s="44">
        <f t="shared" si="1"/>
        <v>0</v>
      </c>
    </row>
    <row r="60" spans="19:20" x14ac:dyDescent="0.25">
      <c r="S60" s="41">
        <f t="shared" si="8"/>
        <v>37834</v>
      </c>
      <c r="T60" s="44">
        <f t="shared" si="1"/>
        <v>0</v>
      </c>
    </row>
    <row r="61" spans="19:20" x14ac:dyDescent="0.25">
      <c r="S61" s="41">
        <f t="shared" si="8"/>
        <v>37865</v>
      </c>
      <c r="T61" s="44">
        <f t="shared" si="1"/>
        <v>0</v>
      </c>
    </row>
    <row r="62" spans="19:20" x14ac:dyDescent="0.25">
      <c r="S62" s="41">
        <f t="shared" si="8"/>
        <v>37895</v>
      </c>
      <c r="T62" s="44">
        <f t="shared" si="1"/>
        <v>0</v>
      </c>
    </row>
    <row r="63" spans="19:20" x14ac:dyDescent="0.25">
      <c r="S63" s="41">
        <f t="shared" si="8"/>
        <v>37926</v>
      </c>
      <c r="T63" s="44">
        <f t="shared" si="1"/>
        <v>0</v>
      </c>
    </row>
    <row r="64" spans="19:20" x14ac:dyDescent="0.25">
      <c r="S64" s="41">
        <f t="shared" si="8"/>
        <v>37956</v>
      </c>
      <c r="T64" s="44">
        <f t="shared" si="1"/>
        <v>0</v>
      </c>
    </row>
    <row r="65" spans="19:20" x14ac:dyDescent="0.25">
      <c r="S65" s="41">
        <f t="shared" si="8"/>
        <v>37987</v>
      </c>
      <c r="T65" s="44">
        <f t="shared" si="1"/>
        <v>0</v>
      </c>
    </row>
    <row r="66" spans="19:20" x14ac:dyDescent="0.25">
      <c r="S66" s="41">
        <f t="shared" si="8"/>
        <v>38018</v>
      </c>
      <c r="T66" s="44">
        <f t="shared" si="1"/>
        <v>0</v>
      </c>
    </row>
    <row r="67" spans="19:20" x14ac:dyDescent="0.25">
      <c r="S67" s="41">
        <f t="shared" si="8"/>
        <v>38047</v>
      </c>
      <c r="T67" s="44">
        <f t="shared" si="1"/>
        <v>0</v>
      </c>
    </row>
    <row r="68" spans="19:20" x14ac:dyDescent="0.25">
      <c r="S68" s="41">
        <f t="shared" si="8"/>
        <v>38078</v>
      </c>
      <c r="T68" s="44">
        <f t="shared" si="1"/>
        <v>0</v>
      </c>
    </row>
    <row r="69" spans="19:20" x14ac:dyDescent="0.25">
      <c r="S69" s="41">
        <f t="shared" si="8"/>
        <v>38108</v>
      </c>
      <c r="T69" s="44">
        <f t="shared" si="1"/>
        <v>0</v>
      </c>
    </row>
    <row r="70" spans="19:20" x14ac:dyDescent="0.25">
      <c r="S70" s="41">
        <f t="shared" si="8"/>
        <v>38139</v>
      </c>
      <c r="T70" s="44">
        <f t="shared" si="1"/>
        <v>0</v>
      </c>
    </row>
    <row r="71" spans="19:20" x14ac:dyDescent="0.25">
      <c r="S71" s="41">
        <f t="shared" ref="S71:S102" si="9">EOMONTH(S70,0)+1</f>
        <v>38169</v>
      </c>
      <c r="T71" s="44">
        <f t="shared" ref="T71:T134" si="10">+SUMIF(F:F,S71,P:P)</f>
        <v>0</v>
      </c>
    </row>
    <row r="72" spans="19:20" x14ac:dyDescent="0.25">
      <c r="S72" s="41">
        <f t="shared" si="9"/>
        <v>38200</v>
      </c>
      <c r="T72" s="44">
        <f t="shared" si="10"/>
        <v>0</v>
      </c>
    </row>
    <row r="73" spans="19:20" x14ac:dyDescent="0.25">
      <c r="S73" s="41">
        <f t="shared" si="9"/>
        <v>38231</v>
      </c>
      <c r="T73" s="44">
        <f t="shared" si="10"/>
        <v>0</v>
      </c>
    </row>
    <row r="74" spans="19:20" x14ac:dyDescent="0.25">
      <c r="S74" s="41">
        <f t="shared" si="9"/>
        <v>38261</v>
      </c>
      <c r="T74" s="44">
        <f t="shared" si="10"/>
        <v>0</v>
      </c>
    </row>
    <row r="75" spans="19:20" x14ac:dyDescent="0.25">
      <c r="S75" s="41">
        <f t="shared" si="9"/>
        <v>38292</v>
      </c>
      <c r="T75" s="44">
        <f t="shared" si="10"/>
        <v>0</v>
      </c>
    </row>
    <row r="76" spans="19:20" x14ac:dyDescent="0.25">
      <c r="S76" s="41">
        <f t="shared" si="9"/>
        <v>38322</v>
      </c>
      <c r="T76" s="44">
        <f t="shared" si="10"/>
        <v>0</v>
      </c>
    </row>
    <row r="77" spans="19:20" x14ac:dyDescent="0.25">
      <c r="S77" s="41">
        <f t="shared" si="9"/>
        <v>38353</v>
      </c>
      <c r="T77" s="44">
        <f t="shared" si="10"/>
        <v>0</v>
      </c>
    </row>
    <row r="78" spans="19:20" x14ac:dyDescent="0.25">
      <c r="S78" s="41">
        <f t="shared" si="9"/>
        <v>38384</v>
      </c>
      <c r="T78" s="44">
        <f t="shared" si="10"/>
        <v>0</v>
      </c>
    </row>
    <row r="79" spans="19:20" x14ac:dyDescent="0.25">
      <c r="S79" s="41">
        <f t="shared" si="9"/>
        <v>38412</v>
      </c>
      <c r="T79" s="44">
        <f t="shared" si="10"/>
        <v>0</v>
      </c>
    </row>
    <row r="80" spans="19:20" x14ac:dyDescent="0.25">
      <c r="S80" s="41">
        <f t="shared" si="9"/>
        <v>38443</v>
      </c>
      <c r="T80" s="44">
        <f t="shared" si="10"/>
        <v>0</v>
      </c>
    </row>
    <row r="81" spans="19:20" x14ac:dyDescent="0.25">
      <c r="S81" s="41">
        <f t="shared" si="9"/>
        <v>38473</v>
      </c>
      <c r="T81" s="44">
        <f t="shared" si="10"/>
        <v>0</v>
      </c>
    </row>
    <row r="82" spans="19:20" x14ac:dyDescent="0.25">
      <c r="S82" s="41">
        <f t="shared" si="9"/>
        <v>38504</v>
      </c>
      <c r="T82" s="44">
        <f t="shared" si="10"/>
        <v>0</v>
      </c>
    </row>
    <row r="83" spans="19:20" x14ac:dyDescent="0.25">
      <c r="S83" s="41">
        <f t="shared" si="9"/>
        <v>38534</v>
      </c>
      <c r="T83" s="44">
        <f t="shared" si="10"/>
        <v>0</v>
      </c>
    </row>
    <row r="84" spans="19:20" x14ac:dyDescent="0.25">
      <c r="S84" s="41">
        <f t="shared" si="9"/>
        <v>38565</v>
      </c>
      <c r="T84" s="44">
        <f t="shared" si="10"/>
        <v>0</v>
      </c>
    </row>
    <row r="85" spans="19:20" x14ac:dyDescent="0.25">
      <c r="S85" s="41">
        <f t="shared" si="9"/>
        <v>38596</v>
      </c>
      <c r="T85" s="44">
        <f t="shared" si="10"/>
        <v>0</v>
      </c>
    </row>
    <row r="86" spans="19:20" x14ac:dyDescent="0.25">
      <c r="S86" s="41">
        <f t="shared" si="9"/>
        <v>38626</v>
      </c>
      <c r="T86" s="44">
        <f t="shared" si="10"/>
        <v>0</v>
      </c>
    </row>
    <row r="87" spans="19:20" x14ac:dyDescent="0.25">
      <c r="S87" s="41">
        <f t="shared" si="9"/>
        <v>38657</v>
      </c>
      <c r="T87" s="44">
        <f t="shared" si="10"/>
        <v>0</v>
      </c>
    </row>
    <row r="88" spans="19:20" x14ac:dyDescent="0.25">
      <c r="S88" s="41">
        <f t="shared" si="9"/>
        <v>38687</v>
      </c>
      <c r="T88" s="44">
        <f t="shared" si="10"/>
        <v>0</v>
      </c>
    </row>
    <row r="89" spans="19:20" x14ac:dyDescent="0.25">
      <c r="S89" s="41">
        <f t="shared" si="9"/>
        <v>38718</v>
      </c>
      <c r="T89" s="44">
        <f t="shared" si="10"/>
        <v>0</v>
      </c>
    </row>
    <row r="90" spans="19:20" x14ac:dyDescent="0.25">
      <c r="S90" s="41">
        <f t="shared" si="9"/>
        <v>38749</v>
      </c>
      <c r="T90" s="44">
        <f t="shared" si="10"/>
        <v>0</v>
      </c>
    </row>
    <row r="91" spans="19:20" x14ac:dyDescent="0.25">
      <c r="S91" s="41">
        <f t="shared" si="9"/>
        <v>38777</v>
      </c>
      <c r="T91" s="44">
        <f t="shared" si="10"/>
        <v>0</v>
      </c>
    </row>
    <row r="92" spans="19:20" x14ac:dyDescent="0.25">
      <c r="S92" s="41">
        <f t="shared" si="9"/>
        <v>38808</v>
      </c>
      <c r="T92" s="44">
        <f t="shared" si="10"/>
        <v>0</v>
      </c>
    </row>
    <row r="93" spans="19:20" x14ac:dyDescent="0.25">
      <c r="S93" s="41">
        <f t="shared" si="9"/>
        <v>38838</v>
      </c>
      <c r="T93" s="44">
        <f t="shared" si="10"/>
        <v>0</v>
      </c>
    </row>
    <row r="94" spans="19:20" x14ac:dyDescent="0.25">
      <c r="S94" s="41">
        <f t="shared" si="9"/>
        <v>38869</v>
      </c>
      <c r="T94" s="44">
        <f t="shared" si="10"/>
        <v>0</v>
      </c>
    </row>
    <row r="95" spans="19:20" x14ac:dyDescent="0.25">
      <c r="S95" s="41">
        <f t="shared" si="9"/>
        <v>38899</v>
      </c>
      <c r="T95" s="44">
        <f t="shared" si="10"/>
        <v>0</v>
      </c>
    </row>
    <row r="96" spans="19:20" x14ac:dyDescent="0.25">
      <c r="S96" s="41">
        <f t="shared" si="9"/>
        <v>38930</v>
      </c>
      <c r="T96" s="44">
        <f t="shared" si="10"/>
        <v>0</v>
      </c>
    </row>
    <row r="97" spans="19:20" x14ac:dyDescent="0.25">
      <c r="S97" s="41">
        <f t="shared" si="9"/>
        <v>38961</v>
      </c>
      <c r="T97" s="44">
        <f t="shared" si="10"/>
        <v>0</v>
      </c>
    </row>
    <row r="98" spans="19:20" x14ac:dyDescent="0.25">
      <c r="S98" s="41">
        <f t="shared" si="9"/>
        <v>38991</v>
      </c>
      <c r="T98" s="44">
        <f t="shared" si="10"/>
        <v>0</v>
      </c>
    </row>
    <row r="99" spans="19:20" x14ac:dyDescent="0.25">
      <c r="S99" s="41">
        <f t="shared" si="9"/>
        <v>39022</v>
      </c>
      <c r="T99" s="44">
        <f t="shared" si="10"/>
        <v>0</v>
      </c>
    </row>
    <row r="100" spans="19:20" x14ac:dyDescent="0.25">
      <c r="S100" s="41">
        <f t="shared" si="9"/>
        <v>39052</v>
      </c>
      <c r="T100" s="44">
        <f t="shared" si="10"/>
        <v>0</v>
      </c>
    </row>
    <row r="101" spans="19:20" x14ac:dyDescent="0.25">
      <c r="S101" s="41">
        <f t="shared" si="9"/>
        <v>39083</v>
      </c>
      <c r="T101" s="44">
        <f t="shared" si="10"/>
        <v>0</v>
      </c>
    </row>
    <row r="102" spans="19:20" x14ac:dyDescent="0.25">
      <c r="S102" s="41">
        <f t="shared" si="9"/>
        <v>39114</v>
      </c>
      <c r="T102" s="44">
        <f t="shared" si="10"/>
        <v>0</v>
      </c>
    </row>
    <row r="103" spans="19:20" x14ac:dyDescent="0.25">
      <c r="S103" s="41">
        <f t="shared" ref="S103:S134" si="11">EOMONTH(S102,0)+1</f>
        <v>39142</v>
      </c>
      <c r="T103" s="44">
        <f t="shared" si="10"/>
        <v>0</v>
      </c>
    </row>
    <row r="104" spans="19:20" x14ac:dyDescent="0.25">
      <c r="S104" s="41">
        <f t="shared" si="11"/>
        <v>39173</v>
      </c>
      <c r="T104" s="44">
        <f t="shared" si="10"/>
        <v>0</v>
      </c>
    </row>
    <row r="105" spans="19:20" x14ac:dyDescent="0.25">
      <c r="S105" s="41">
        <f t="shared" si="11"/>
        <v>39203</v>
      </c>
      <c r="T105" s="44">
        <f t="shared" si="10"/>
        <v>0</v>
      </c>
    </row>
    <row r="106" spans="19:20" x14ac:dyDescent="0.25">
      <c r="S106" s="41">
        <f t="shared" si="11"/>
        <v>39234</v>
      </c>
      <c r="T106" s="44">
        <f t="shared" si="10"/>
        <v>0</v>
      </c>
    </row>
    <row r="107" spans="19:20" x14ac:dyDescent="0.25">
      <c r="S107" s="41">
        <f t="shared" si="11"/>
        <v>39264</v>
      </c>
      <c r="T107" s="44">
        <f t="shared" si="10"/>
        <v>0</v>
      </c>
    </row>
    <row r="108" spans="19:20" x14ac:dyDescent="0.25">
      <c r="S108" s="41">
        <f t="shared" si="11"/>
        <v>39295</v>
      </c>
      <c r="T108" s="44">
        <f t="shared" si="10"/>
        <v>0</v>
      </c>
    </row>
    <row r="109" spans="19:20" x14ac:dyDescent="0.25">
      <c r="S109" s="41">
        <f t="shared" si="11"/>
        <v>39326</v>
      </c>
      <c r="T109" s="44">
        <f t="shared" si="10"/>
        <v>0</v>
      </c>
    </row>
    <row r="110" spans="19:20" x14ac:dyDescent="0.25">
      <c r="S110" s="41">
        <f t="shared" si="11"/>
        <v>39356</v>
      </c>
      <c r="T110" s="44">
        <f t="shared" si="10"/>
        <v>0</v>
      </c>
    </row>
    <row r="111" spans="19:20" x14ac:dyDescent="0.25">
      <c r="S111" s="41">
        <f t="shared" si="11"/>
        <v>39387</v>
      </c>
      <c r="T111" s="44">
        <f t="shared" si="10"/>
        <v>0</v>
      </c>
    </row>
    <row r="112" spans="19:20" x14ac:dyDescent="0.25">
      <c r="S112" s="41">
        <f t="shared" si="11"/>
        <v>39417</v>
      </c>
      <c r="T112" s="44">
        <f t="shared" si="10"/>
        <v>0</v>
      </c>
    </row>
    <row r="113" spans="19:20" x14ac:dyDescent="0.25">
      <c r="S113" s="41">
        <f t="shared" si="11"/>
        <v>39448</v>
      </c>
      <c r="T113" s="44">
        <f t="shared" si="10"/>
        <v>0</v>
      </c>
    </row>
    <row r="114" spans="19:20" x14ac:dyDescent="0.25">
      <c r="S114" s="41">
        <f t="shared" si="11"/>
        <v>39479</v>
      </c>
      <c r="T114" s="44">
        <f t="shared" si="10"/>
        <v>0</v>
      </c>
    </row>
    <row r="115" spans="19:20" x14ac:dyDescent="0.25">
      <c r="S115" s="41">
        <f t="shared" si="11"/>
        <v>39508</v>
      </c>
      <c r="T115" s="44">
        <f t="shared" si="10"/>
        <v>0</v>
      </c>
    </row>
    <row r="116" spans="19:20" x14ac:dyDescent="0.25">
      <c r="S116" s="41">
        <f t="shared" si="11"/>
        <v>39539</v>
      </c>
      <c r="T116" s="44">
        <f t="shared" si="10"/>
        <v>0</v>
      </c>
    </row>
    <row r="117" spans="19:20" x14ac:dyDescent="0.25">
      <c r="S117" s="41">
        <f t="shared" si="11"/>
        <v>39569</v>
      </c>
      <c r="T117" s="44">
        <f t="shared" si="10"/>
        <v>0</v>
      </c>
    </row>
    <row r="118" spans="19:20" x14ac:dyDescent="0.25">
      <c r="S118" s="41">
        <f t="shared" si="11"/>
        <v>39600</v>
      </c>
      <c r="T118" s="44">
        <f t="shared" si="10"/>
        <v>0</v>
      </c>
    </row>
    <row r="119" spans="19:20" x14ac:dyDescent="0.25">
      <c r="S119" s="41">
        <f t="shared" si="11"/>
        <v>39630</v>
      </c>
      <c r="T119" s="44">
        <f t="shared" si="10"/>
        <v>0</v>
      </c>
    </row>
    <row r="120" spans="19:20" x14ac:dyDescent="0.25">
      <c r="S120" s="41">
        <f t="shared" si="11"/>
        <v>39661</v>
      </c>
      <c r="T120" s="44">
        <f t="shared" si="10"/>
        <v>0</v>
      </c>
    </row>
    <row r="121" spans="19:20" x14ac:dyDescent="0.25">
      <c r="S121" s="41">
        <f t="shared" si="11"/>
        <v>39692</v>
      </c>
      <c r="T121" s="44">
        <f t="shared" si="10"/>
        <v>0</v>
      </c>
    </row>
    <row r="122" spans="19:20" x14ac:dyDescent="0.25">
      <c r="S122" s="41">
        <f t="shared" si="11"/>
        <v>39722</v>
      </c>
      <c r="T122" s="44">
        <f t="shared" si="10"/>
        <v>0</v>
      </c>
    </row>
    <row r="123" spans="19:20" x14ac:dyDescent="0.25">
      <c r="S123" s="41">
        <f t="shared" si="11"/>
        <v>39753</v>
      </c>
      <c r="T123" s="44">
        <f t="shared" si="10"/>
        <v>0</v>
      </c>
    </row>
    <row r="124" spans="19:20" x14ac:dyDescent="0.25">
      <c r="S124" s="41">
        <f t="shared" si="11"/>
        <v>39783</v>
      </c>
      <c r="T124" s="44">
        <f t="shared" si="10"/>
        <v>0</v>
      </c>
    </row>
    <row r="125" spans="19:20" x14ac:dyDescent="0.25">
      <c r="S125" s="41">
        <f t="shared" si="11"/>
        <v>39814</v>
      </c>
      <c r="T125" s="44">
        <f t="shared" si="10"/>
        <v>0</v>
      </c>
    </row>
    <row r="126" spans="19:20" x14ac:dyDescent="0.25">
      <c r="S126" s="41">
        <f t="shared" si="11"/>
        <v>39845</v>
      </c>
      <c r="T126" s="44">
        <f t="shared" si="10"/>
        <v>0</v>
      </c>
    </row>
    <row r="127" spans="19:20" x14ac:dyDescent="0.25">
      <c r="S127" s="41">
        <f t="shared" si="11"/>
        <v>39873</v>
      </c>
      <c r="T127" s="44">
        <f t="shared" si="10"/>
        <v>0</v>
      </c>
    </row>
    <row r="128" spans="19:20" x14ac:dyDescent="0.25">
      <c r="S128" s="41">
        <f t="shared" si="11"/>
        <v>39904</v>
      </c>
      <c r="T128" s="44">
        <f t="shared" si="10"/>
        <v>0</v>
      </c>
    </row>
    <row r="129" spans="19:20" x14ac:dyDescent="0.25">
      <c r="S129" s="41">
        <f t="shared" si="11"/>
        <v>39934</v>
      </c>
      <c r="T129" s="44">
        <f t="shared" si="10"/>
        <v>0</v>
      </c>
    </row>
    <row r="130" spans="19:20" x14ac:dyDescent="0.25">
      <c r="S130" s="41">
        <f t="shared" si="11"/>
        <v>39965</v>
      </c>
      <c r="T130" s="44">
        <f t="shared" si="10"/>
        <v>0</v>
      </c>
    </row>
    <row r="131" spans="19:20" x14ac:dyDescent="0.25">
      <c r="S131" s="41">
        <f t="shared" si="11"/>
        <v>39995</v>
      </c>
      <c r="T131" s="44">
        <f t="shared" si="10"/>
        <v>0</v>
      </c>
    </row>
    <row r="132" spans="19:20" x14ac:dyDescent="0.25">
      <c r="S132" s="41">
        <f t="shared" si="11"/>
        <v>40026</v>
      </c>
      <c r="T132" s="44">
        <f t="shared" si="10"/>
        <v>0</v>
      </c>
    </row>
    <row r="133" spans="19:20" x14ac:dyDescent="0.25">
      <c r="S133" s="41">
        <f t="shared" si="11"/>
        <v>40057</v>
      </c>
      <c r="T133" s="44">
        <f t="shared" si="10"/>
        <v>0</v>
      </c>
    </row>
    <row r="134" spans="19:20" x14ac:dyDescent="0.25">
      <c r="S134" s="41">
        <f t="shared" si="11"/>
        <v>40087</v>
      </c>
      <c r="T134" s="44">
        <f t="shared" si="10"/>
        <v>0</v>
      </c>
    </row>
    <row r="135" spans="19:20" x14ac:dyDescent="0.25">
      <c r="S135" s="41">
        <f t="shared" ref="S135:S166" si="12">EOMONTH(S134,0)+1</f>
        <v>40118</v>
      </c>
      <c r="T135" s="44">
        <f t="shared" ref="T135:T166" si="13">+SUMIF(F:F,S135,P:P)</f>
        <v>0</v>
      </c>
    </row>
    <row r="136" spans="19:20" x14ac:dyDescent="0.25">
      <c r="S136" s="41">
        <f t="shared" si="12"/>
        <v>40148</v>
      </c>
      <c r="T136" s="44">
        <f t="shared" si="13"/>
        <v>0</v>
      </c>
    </row>
    <row r="137" spans="19:20" x14ac:dyDescent="0.25">
      <c r="S137" s="41">
        <f t="shared" si="12"/>
        <v>40179</v>
      </c>
      <c r="T137" s="44">
        <f t="shared" si="13"/>
        <v>0</v>
      </c>
    </row>
    <row r="138" spans="19:20" x14ac:dyDescent="0.25">
      <c r="S138" s="41">
        <f t="shared" si="12"/>
        <v>40210</v>
      </c>
      <c r="T138" s="44">
        <f t="shared" si="13"/>
        <v>0</v>
      </c>
    </row>
    <row r="139" spans="19:20" x14ac:dyDescent="0.25">
      <c r="S139" s="41">
        <f t="shared" si="12"/>
        <v>40238</v>
      </c>
      <c r="T139" s="44">
        <f t="shared" si="13"/>
        <v>0</v>
      </c>
    </row>
    <row r="140" spans="19:20" x14ac:dyDescent="0.25">
      <c r="S140" s="41">
        <f t="shared" si="12"/>
        <v>40269</v>
      </c>
      <c r="T140" s="44">
        <f t="shared" si="13"/>
        <v>0</v>
      </c>
    </row>
    <row r="141" spans="19:20" x14ac:dyDescent="0.25">
      <c r="S141" s="41">
        <f t="shared" si="12"/>
        <v>40299</v>
      </c>
      <c r="T141" s="44">
        <f t="shared" si="13"/>
        <v>0</v>
      </c>
    </row>
    <row r="142" spans="19:20" x14ac:dyDescent="0.25">
      <c r="S142" s="41">
        <f t="shared" si="12"/>
        <v>40330</v>
      </c>
      <c r="T142" s="44">
        <f t="shared" si="13"/>
        <v>0</v>
      </c>
    </row>
    <row r="143" spans="19:20" x14ac:dyDescent="0.25">
      <c r="S143" s="41">
        <f t="shared" si="12"/>
        <v>40360</v>
      </c>
      <c r="T143" s="44">
        <f t="shared" si="13"/>
        <v>0</v>
      </c>
    </row>
    <row r="144" spans="19:20" x14ac:dyDescent="0.25">
      <c r="S144" s="41">
        <f t="shared" si="12"/>
        <v>40391</v>
      </c>
      <c r="T144" s="44">
        <f t="shared" si="13"/>
        <v>0</v>
      </c>
    </row>
    <row r="145" spans="19:20" x14ac:dyDescent="0.25">
      <c r="S145" s="41">
        <f t="shared" si="12"/>
        <v>40422</v>
      </c>
      <c r="T145" s="44">
        <f t="shared" si="13"/>
        <v>0</v>
      </c>
    </row>
    <row r="146" spans="19:20" x14ac:dyDescent="0.25">
      <c r="S146" s="41">
        <f t="shared" si="12"/>
        <v>40452</v>
      </c>
      <c r="T146" s="44">
        <f t="shared" si="13"/>
        <v>0</v>
      </c>
    </row>
    <row r="147" spans="19:20" x14ac:dyDescent="0.25">
      <c r="S147" s="41">
        <f t="shared" si="12"/>
        <v>40483</v>
      </c>
      <c r="T147" s="44">
        <f t="shared" si="13"/>
        <v>0</v>
      </c>
    </row>
    <row r="148" spans="19:20" x14ac:dyDescent="0.25">
      <c r="S148" s="41">
        <f t="shared" si="12"/>
        <v>40513</v>
      </c>
      <c r="T148" s="44">
        <f t="shared" si="13"/>
        <v>0</v>
      </c>
    </row>
    <row r="149" spans="19:20" x14ac:dyDescent="0.25">
      <c r="S149" s="41">
        <f t="shared" si="12"/>
        <v>40544</v>
      </c>
      <c r="T149" s="44">
        <f t="shared" si="13"/>
        <v>0</v>
      </c>
    </row>
    <row r="150" spans="19:20" x14ac:dyDescent="0.25">
      <c r="S150" s="41">
        <f t="shared" si="12"/>
        <v>40575</v>
      </c>
      <c r="T150" s="44">
        <f t="shared" si="13"/>
        <v>0</v>
      </c>
    </row>
    <row r="151" spans="19:20" x14ac:dyDescent="0.25">
      <c r="S151" s="41">
        <f t="shared" si="12"/>
        <v>40603</v>
      </c>
      <c r="T151" s="44">
        <f t="shared" si="13"/>
        <v>0</v>
      </c>
    </row>
    <row r="152" spans="19:20" x14ac:dyDescent="0.25">
      <c r="S152" s="41">
        <f t="shared" si="12"/>
        <v>40634</v>
      </c>
      <c r="T152" s="44">
        <f t="shared" si="13"/>
        <v>0</v>
      </c>
    </row>
    <row r="153" spans="19:20" x14ac:dyDescent="0.25">
      <c r="S153" s="41">
        <f t="shared" si="12"/>
        <v>40664</v>
      </c>
      <c r="T153" s="44">
        <f t="shared" si="13"/>
        <v>0</v>
      </c>
    </row>
    <row r="154" spans="19:20" x14ac:dyDescent="0.25">
      <c r="S154" s="41">
        <f t="shared" si="12"/>
        <v>40695</v>
      </c>
      <c r="T154" s="44">
        <f t="shared" si="13"/>
        <v>0</v>
      </c>
    </row>
    <row r="155" spans="19:20" x14ac:dyDescent="0.25">
      <c r="S155" s="41">
        <f t="shared" si="12"/>
        <v>40725</v>
      </c>
      <c r="T155" s="44">
        <f t="shared" si="13"/>
        <v>0</v>
      </c>
    </row>
    <row r="156" spans="19:20" x14ac:dyDescent="0.25">
      <c r="S156" s="41">
        <f t="shared" si="12"/>
        <v>40756</v>
      </c>
      <c r="T156" s="44">
        <f t="shared" si="13"/>
        <v>0</v>
      </c>
    </row>
    <row r="157" spans="19:20" x14ac:dyDescent="0.25">
      <c r="S157" s="41">
        <f t="shared" si="12"/>
        <v>40787</v>
      </c>
      <c r="T157" s="44">
        <f t="shared" si="13"/>
        <v>0</v>
      </c>
    </row>
    <row r="158" spans="19:20" x14ac:dyDescent="0.25">
      <c r="S158" s="41">
        <f t="shared" si="12"/>
        <v>40817</v>
      </c>
      <c r="T158" s="44">
        <f t="shared" si="13"/>
        <v>0</v>
      </c>
    </row>
    <row r="159" spans="19:20" x14ac:dyDescent="0.25">
      <c r="S159" s="41">
        <f t="shared" si="12"/>
        <v>40848</v>
      </c>
      <c r="T159" s="44">
        <f t="shared" si="13"/>
        <v>0</v>
      </c>
    </row>
    <row r="160" spans="19:20" x14ac:dyDescent="0.25">
      <c r="S160" s="41">
        <f t="shared" si="12"/>
        <v>40878</v>
      </c>
      <c r="T160" s="44">
        <f t="shared" si="13"/>
        <v>0</v>
      </c>
    </row>
    <row r="161" spans="19:20" x14ac:dyDescent="0.25">
      <c r="S161" s="41">
        <f t="shared" si="12"/>
        <v>40909</v>
      </c>
      <c r="T161" s="44">
        <f t="shared" si="13"/>
        <v>0</v>
      </c>
    </row>
    <row r="162" spans="19:20" x14ac:dyDescent="0.25">
      <c r="S162" s="41">
        <f t="shared" si="12"/>
        <v>40940</v>
      </c>
      <c r="T162" s="44">
        <f t="shared" si="13"/>
        <v>0</v>
      </c>
    </row>
    <row r="163" spans="19:20" x14ac:dyDescent="0.25">
      <c r="S163" s="41">
        <f t="shared" si="12"/>
        <v>40969</v>
      </c>
      <c r="T163" s="44">
        <f t="shared" si="13"/>
        <v>0</v>
      </c>
    </row>
    <row r="164" spans="19:20" x14ac:dyDescent="0.25">
      <c r="S164" s="41">
        <f t="shared" si="12"/>
        <v>41000</v>
      </c>
      <c r="T164" s="44">
        <f t="shared" si="13"/>
        <v>0</v>
      </c>
    </row>
    <row r="165" spans="19:20" x14ac:dyDescent="0.25">
      <c r="S165" s="41">
        <f t="shared" si="12"/>
        <v>41030</v>
      </c>
      <c r="T165" s="44">
        <f t="shared" si="13"/>
        <v>0</v>
      </c>
    </row>
    <row r="166" spans="19:20" ht="13.8" thickBot="1" x14ac:dyDescent="0.3">
      <c r="S166" s="42">
        <f t="shared" si="12"/>
        <v>41061</v>
      </c>
      <c r="T166" s="46">
        <f t="shared" si="13"/>
        <v>0</v>
      </c>
    </row>
  </sheetData>
  <sheetCalcPr fullCalcOnLoad="1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20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7" sqref="B7"/>
      <pivotSelection pane="bottomRight" extendable="1" activeRow="6" activeCol="1" previousRow="6" previousCol="1" click="1" r:id="rId1">
        <pivotArea outline="0" fieldPosition="0">
          <references count="2">
            <reference field="6" count="1" selected="0">
              <x v="4"/>
            </reference>
            <reference field="8" count="1" selected="0">
              <x v="17"/>
            </reference>
          </references>
        </pivotArea>
      </pivotSelection>
    </sheetView>
  </sheetViews>
  <sheetFormatPr defaultRowHeight="13.2" x14ac:dyDescent="0.25"/>
  <cols>
    <col min="1" max="1" width="15.44140625" bestFit="1" customWidth="1"/>
    <col min="2" max="15" width="13.33203125" bestFit="1" customWidth="1"/>
    <col min="16" max="16" width="10.5546875" bestFit="1" customWidth="1"/>
    <col min="26" max="27" width="10.5546875" bestFit="1" customWidth="1"/>
  </cols>
  <sheetData>
    <row r="1" spans="1:16" x14ac:dyDescent="0.25">
      <c r="A1" s="285" t="s">
        <v>18</v>
      </c>
      <c r="B1" s="421" t="s">
        <v>21</v>
      </c>
    </row>
    <row r="2" spans="1:16" x14ac:dyDescent="0.25">
      <c r="A2" s="285" t="s">
        <v>2</v>
      </c>
      <c r="B2" s="421" t="s">
        <v>190</v>
      </c>
    </row>
    <row r="4" spans="1:16" x14ac:dyDescent="0.25">
      <c r="A4" s="514" t="s">
        <v>293</v>
      </c>
      <c r="B4" s="285" t="s">
        <v>3</v>
      </c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7"/>
    </row>
    <row r="5" spans="1:16" x14ac:dyDescent="0.25">
      <c r="A5" s="285" t="s">
        <v>5</v>
      </c>
      <c r="B5" s="419">
        <v>36770</v>
      </c>
      <c r="C5" s="420">
        <v>36800</v>
      </c>
      <c r="D5" s="420">
        <v>36831</v>
      </c>
      <c r="E5" s="420">
        <v>36861</v>
      </c>
      <c r="F5" s="420">
        <v>36892</v>
      </c>
      <c r="G5" s="420">
        <v>36923</v>
      </c>
      <c r="H5" s="420">
        <v>36951</v>
      </c>
      <c r="I5" s="420">
        <v>36982</v>
      </c>
      <c r="J5" s="420">
        <v>37012</v>
      </c>
      <c r="K5" s="420">
        <v>37043</v>
      </c>
      <c r="L5" s="420">
        <v>37073</v>
      </c>
      <c r="M5" s="420">
        <v>37104</v>
      </c>
      <c r="N5" s="420">
        <v>37135</v>
      </c>
      <c r="O5" s="420">
        <v>37165</v>
      </c>
      <c r="P5" s="270" t="s">
        <v>166</v>
      </c>
    </row>
    <row r="6" spans="1:16" x14ac:dyDescent="0.25">
      <c r="A6" s="265">
        <v>4.4999999999999998E-2</v>
      </c>
      <c r="B6" s="422">
        <v>-30</v>
      </c>
      <c r="C6" s="423">
        <v>-31</v>
      </c>
      <c r="D6" s="423"/>
      <c r="E6" s="423"/>
      <c r="F6" s="423"/>
      <c r="G6" s="423"/>
      <c r="H6" s="423"/>
      <c r="I6" s="423"/>
      <c r="J6" s="423"/>
      <c r="K6" s="423"/>
      <c r="L6" s="423"/>
      <c r="M6" s="423"/>
      <c r="N6" s="423"/>
      <c r="O6" s="423"/>
      <c r="P6" s="424">
        <v>-61</v>
      </c>
    </row>
    <row r="7" spans="1:16" x14ac:dyDescent="0.25">
      <c r="A7" s="366">
        <v>0.1</v>
      </c>
      <c r="B7" s="425">
        <v>-85</v>
      </c>
      <c r="C7" s="426">
        <v>-84.5</v>
      </c>
      <c r="D7" s="426"/>
      <c r="E7" s="426"/>
      <c r="F7" s="426"/>
      <c r="G7" s="426"/>
      <c r="H7" s="426"/>
      <c r="I7" s="426"/>
      <c r="J7" s="426"/>
      <c r="K7" s="426"/>
      <c r="L7" s="426"/>
      <c r="M7" s="426"/>
      <c r="N7" s="426"/>
      <c r="O7" s="426"/>
      <c r="P7" s="427">
        <v>-169.5</v>
      </c>
    </row>
    <row r="8" spans="1:16" x14ac:dyDescent="0.25">
      <c r="A8" s="366">
        <v>0.2</v>
      </c>
      <c r="B8" s="425"/>
      <c r="C8" s="426"/>
      <c r="D8" s="426">
        <v>15</v>
      </c>
      <c r="E8" s="426">
        <v>15.5</v>
      </c>
      <c r="F8" s="426">
        <v>15.5</v>
      </c>
      <c r="G8" s="426">
        <v>14</v>
      </c>
      <c r="H8" s="426">
        <v>15.5</v>
      </c>
      <c r="I8" s="426"/>
      <c r="J8" s="426"/>
      <c r="K8" s="426"/>
      <c r="L8" s="426"/>
      <c r="M8" s="426"/>
      <c r="N8" s="426"/>
      <c r="O8" s="426"/>
      <c r="P8" s="427">
        <v>75.5</v>
      </c>
    </row>
    <row r="9" spans="1:16" x14ac:dyDescent="0.25">
      <c r="A9" s="366">
        <v>0.3</v>
      </c>
      <c r="B9" s="425"/>
      <c r="C9" s="426"/>
      <c r="D9" s="426">
        <v>280</v>
      </c>
      <c r="E9" s="426">
        <v>281</v>
      </c>
      <c r="F9" s="426">
        <v>281</v>
      </c>
      <c r="G9" s="426">
        <v>278</v>
      </c>
      <c r="H9" s="426">
        <v>281</v>
      </c>
      <c r="I9" s="426"/>
      <c r="J9" s="426"/>
      <c r="K9" s="426"/>
      <c r="L9" s="426"/>
      <c r="M9" s="426"/>
      <c r="N9" s="426"/>
      <c r="O9" s="426"/>
      <c r="P9" s="427">
        <v>1401</v>
      </c>
    </row>
    <row r="10" spans="1:16" x14ac:dyDescent="0.25">
      <c r="A10" s="366">
        <v>0.4</v>
      </c>
      <c r="B10" s="425"/>
      <c r="C10" s="426"/>
      <c r="D10" s="426">
        <v>-30</v>
      </c>
      <c r="E10" s="426">
        <v>-31</v>
      </c>
      <c r="F10" s="426">
        <v>-31</v>
      </c>
      <c r="G10" s="426">
        <v>-28</v>
      </c>
      <c r="H10" s="426">
        <v>-31</v>
      </c>
      <c r="I10" s="426"/>
      <c r="J10" s="426"/>
      <c r="K10" s="426"/>
      <c r="L10" s="426"/>
      <c r="M10" s="426"/>
      <c r="N10" s="426"/>
      <c r="O10" s="426"/>
      <c r="P10" s="427">
        <v>-151</v>
      </c>
    </row>
    <row r="11" spans="1:16" x14ac:dyDescent="0.25">
      <c r="A11" s="366">
        <v>0.5</v>
      </c>
      <c r="B11" s="425">
        <v>75</v>
      </c>
      <c r="C11" s="426">
        <v>46.5</v>
      </c>
      <c r="D11" s="426"/>
      <c r="E11" s="426"/>
      <c r="F11" s="426"/>
      <c r="G11" s="426"/>
      <c r="H11" s="426"/>
      <c r="I11" s="426"/>
      <c r="J11" s="426"/>
      <c r="K11" s="426"/>
      <c r="L11" s="426"/>
      <c r="M11" s="426"/>
      <c r="N11" s="426"/>
      <c r="O11" s="426"/>
      <c r="P11" s="427">
        <v>121.5</v>
      </c>
    </row>
    <row r="12" spans="1:16" x14ac:dyDescent="0.25">
      <c r="A12" s="366">
        <v>0.6</v>
      </c>
      <c r="B12" s="425"/>
      <c r="C12" s="426"/>
      <c r="D12" s="426">
        <v>30</v>
      </c>
      <c r="E12" s="426">
        <v>31</v>
      </c>
      <c r="F12" s="426">
        <v>31</v>
      </c>
      <c r="G12" s="426">
        <v>28</v>
      </c>
      <c r="H12" s="426">
        <v>31</v>
      </c>
      <c r="I12" s="426"/>
      <c r="J12" s="426"/>
      <c r="K12" s="426"/>
      <c r="L12" s="426"/>
      <c r="M12" s="426"/>
      <c r="N12" s="426"/>
      <c r="O12" s="426"/>
      <c r="P12" s="427">
        <v>151</v>
      </c>
    </row>
    <row r="13" spans="1:16" x14ac:dyDescent="0.25">
      <c r="A13" s="366">
        <v>0.7</v>
      </c>
      <c r="B13" s="425">
        <v>100</v>
      </c>
      <c r="C13" s="426">
        <v>100</v>
      </c>
      <c r="D13" s="426"/>
      <c r="E13" s="426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427">
        <v>200</v>
      </c>
    </row>
    <row r="14" spans="1:16" x14ac:dyDescent="0.25">
      <c r="A14" s="366">
        <v>0.75</v>
      </c>
      <c r="B14" s="425"/>
      <c r="C14" s="426">
        <v>124</v>
      </c>
      <c r="D14" s="426"/>
      <c r="E14" s="426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7">
        <v>124</v>
      </c>
    </row>
    <row r="15" spans="1:16" x14ac:dyDescent="0.25">
      <c r="A15" s="366">
        <v>0.8</v>
      </c>
      <c r="B15" s="425"/>
      <c r="C15" s="426">
        <v>31</v>
      </c>
      <c r="D15" s="426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427">
        <v>31</v>
      </c>
    </row>
    <row r="16" spans="1:16" x14ac:dyDescent="0.25">
      <c r="A16" s="366">
        <v>0.85</v>
      </c>
      <c r="B16" s="425">
        <v>60</v>
      </c>
      <c r="C16" s="426">
        <v>62</v>
      </c>
      <c r="D16" s="426"/>
      <c r="E16" s="426"/>
      <c r="F16" s="426"/>
      <c r="G16" s="426"/>
      <c r="H16" s="426"/>
      <c r="I16" s="426"/>
      <c r="J16" s="426"/>
      <c r="K16" s="426"/>
      <c r="L16" s="426"/>
      <c r="M16" s="426"/>
      <c r="N16" s="426"/>
      <c r="O16" s="426"/>
      <c r="P16" s="427">
        <v>122</v>
      </c>
    </row>
    <row r="17" spans="1:16" x14ac:dyDescent="0.25">
      <c r="A17" s="366">
        <v>0.9</v>
      </c>
      <c r="B17" s="425">
        <v>-60</v>
      </c>
      <c r="C17" s="426"/>
      <c r="D17" s="426"/>
      <c r="E17" s="426"/>
      <c r="F17" s="426"/>
      <c r="G17" s="426"/>
      <c r="H17" s="426"/>
      <c r="I17" s="426"/>
      <c r="J17" s="426"/>
      <c r="K17" s="426"/>
      <c r="L17" s="426"/>
      <c r="M17" s="426"/>
      <c r="N17" s="426"/>
      <c r="O17" s="426"/>
      <c r="P17" s="427">
        <v>-60</v>
      </c>
    </row>
    <row r="18" spans="1:16" x14ac:dyDescent="0.25">
      <c r="A18" s="366">
        <v>1</v>
      </c>
      <c r="B18" s="425"/>
      <c r="C18" s="426"/>
      <c r="D18" s="426">
        <v>-100</v>
      </c>
      <c r="E18" s="426">
        <v>-100</v>
      </c>
      <c r="F18" s="426">
        <v>-100</v>
      </c>
      <c r="G18" s="426">
        <v>-100</v>
      </c>
      <c r="H18" s="426">
        <v>-100</v>
      </c>
      <c r="I18" s="426"/>
      <c r="J18" s="426"/>
      <c r="K18" s="426"/>
      <c r="L18" s="426"/>
      <c r="M18" s="426"/>
      <c r="N18" s="426"/>
      <c r="O18" s="426"/>
      <c r="P18" s="427">
        <v>-500</v>
      </c>
    </row>
    <row r="19" spans="1:16" x14ac:dyDescent="0.25">
      <c r="A19" s="366">
        <v>1.5</v>
      </c>
      <c r="B19" s="425"/>
      <c r="C19" s="426"/>
      <c r="D19" s="426">
        <v>70</v>
      </c>
      <c r="E19" s="426">
        <v>69</v>
      </c>
      <c r="F19" s="426">
        <v>69</v>
      </c>
      <c r="G19" s="426">
        <v>72</v>
      </c>
      <c r="H19" s="426">
        <v>69</v>
      </c>
      <c r="I19" s="426">
        <v>-150</v>
      </c>
      <c r="J19" s="426">
        <v>-150</v>
      </c>
      <c r="K19" s="426">
        <v>-150</v>
      </c>
      <c r="L19" s="426">
        <v>-150</v>
      </c>
      <c r="M19" s="426">
        <v>-150</v>
      </c>
      <c r="N19" s="426">
        <v>-150</v>
      </c>
      <c r="O19" s="426">
        <v>-150</v>
      </c>
      <c r="P19" s="427">
        <v>-701</v>
      </c>
    </row>
    <row r="20" spans="1:16" x14ac:dyDescent="0.25">
      <c r="A20" s="279" t="s">
        <v>166</v>
      </c>
      <c r="B20" s="428">
        <v>60</v>
      </c>
      <c r="C20" s="429">
        <v>248</v>
      </c>
      <c r="D20" s="429">
        <v>265</v>
      </c>
      <c r="E20" s="429">
        <v>265.5</v>
      </c>
      <c r="F20" s="429">
        <v>265.5</v>
      </c>
      <c r="G20" s="429">
        <v>264</v>
      </c>
      <c r="H20" s="429">
        <v>265.5</v>
      </c>
      <c r="I20" s="429">
        <v>-150</v>
      </c>
      <c r="J20" s="429">
        <v>-150</v>
      </c>
      <c r="K20" s="429">
        <v>-150</v>
      </c>
      <c r="L20" s="429">
        <v>-150</v>
      </c>
      <c r="M20" s="429">
        <v>-150</v>
      </c>
      <c r="N20" s="429">
        <v>-150</v>
      </c>
      <c r="O20" s="429">
        <v>-150</v>
      </c>
      <c r="P20" s="430">
        <v>583.5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3:FZ163"/>
  <sheetViews>
    <sheetView workbookViewId="0">
      <selection activeCell="A4" sqref="A4"/>
    </sheetView>
  </sheetViews>
  <sheetFormatPr defaultColWidth="9.109375" defaultRowHeight="10.199999999999999" x14ac:dyDescent="0.2"/>
  <cols>
    <col min="1" max="2" width="9.109375" style="475"/>
    <col min="3" max="22" width="12.6640625" style="475" customWidth="1"/>
    <col min="23" max="182" width="9.109375" style="475"/>
    <col min="183" max="16384" width="9.109375" style="476"/>
  </cols>
  <sheetData>
    <row r="3" spans="2:8" x14ac:dyDescent="0.2">
      <c r="C3" s="475" t="s">
        <v>499</v>
      </c>
      <c r="D3" s="475" t="s">
        <v>500</v>
      </c>
      <c r="E3" s="475" t="s">
        <v>498</v>
      </c>
      <c r="F3" s="475" t="s">
        <v>501</v>
      </c>
      <c r="G3" s="475" t="s">
        <v>472</v>
      </c>
      <c r="H3" s="475" t="s">
        <v>519</v>
      </c>
    </row>
    <row r="4" spans="2:8" x14ac:dyDescent="0.2">
      <c r="B4" s="479">
        <v>36739</v>
      </c>
      <c r="C4" s="477">
        <f>'Basis Options'!BT7/10000</f>
        <v>0</v>
      </c>
      <c r="D4" s="478">
        <f>'Option Gamma'!AH5</f>
        <v>0</v>
      </c>
      <c r="E4" s="478">
        <f>'Option Gamma'!BQ5</f>
        <v>0</v>
      </c>
      <c r="F4" s="478">
        <f>'Option Gamma'!AZ5</f>
        <v>0</v>
      </c>
      <c r="G4" s="477">
        <f>'Option Gamma'!P5</f>
        <v>0</v>
      </c>
      <c r="H4" s="481">
        <f>'Option Gamma'!CH5</f>
        <v>0</v>
      </c>
    </row>
    <row r="5" spans="2:8" x14ac:dyDescent="0.2">
      <c r="B5" s="479">
        <v>36770</v>
      </c>
      <c r="C5" s="477">
        <f>'Basis Options'!BT8/10000</f>
        <v>-0.86276207128784321</v>
      </c>
      <c r="D5" s="478">
        <f>'Option Gamma'!AH6</f>
        <v>10583.445960561767</v>
      </c>
      <c r="E5" s="478">
        <f>'Option Gamma'!BQ6</f>
        <v>-1182.2219870507279</v>
      </c>
      <c r="F5" s="478">
        <f>'Option Gamma'!AZ6</f>
        <v>24056.104196254357</v>
      </c>
      <c r="G5" s="477">
        <f>'Option Gamma'!P6</f>
        <v>-107.57642622323561</v>
      </c>
      <c r="H5" s="481">
        <f>'Option Gamma'!CH6</f>
        <v>0.41822262948933242</v>
      </c>
    </row>
    <row r="6" spans="2:8" x14ac:dyDescent="0.2">
      <c r="B6" s="479">
        <v>36800</v>
      </c>
      <c r="C6" s="477">
        <f>'Basis Options'!BT9/10000</f>
        <v>16.90732182141651</v>
      </c>
      <c r="D6" s="478">
        <f>'Option Gamma'!AH7</f>
        <v>62303.968919499224</v>
      </c>
      <c r="E6" s="478">
        <f>'Option Gamma'!BQ7</f>
        <v>12561.180121873391</v>
      </c>
      <c r="F6" s="478">
        <f>'Option Gamma'!AZ7</f>
        <v>-11407.003145078634</v>
      </c>
      <c r="G6" s="477">
        <f>'Option Gamma'!P7</f>
        <v>-8.8913818400104354</v>
      </c>
      <c r="H6" s="481">
        <f>'Option Gamma'!CH7</f>
        <v>8.9765665135331463E-2</v>
      </c>
    </row>
    <row r="7" spans="2:8" x14ac:dyDescent="0.2">
      <c r="B7" s="479">
        <v>36831</v>
      </c>
      <c r="C7" s="477">
        <f>'Basis Options'!BT10/10000</f>
        <v>66.424580033556424</v>
      </c>
      <c r="D7" s="478">
        <f>'Option Gamma'!AH8</f>
        <v>233595.37806665429</v>
      </c>
      <c r="E7" s="478">
        <f>'Option Gamma'!BQ8</f>
        <v>59412.599313890263</v>
      </c>
      <c r="F7" s="478">
        <f>'Option Gamma'!AZ8</f>
        <v>-27693.482595178084</v>
      </c>
      <c r="G7" s="477">
        <f>'Option Gamma'!P8</f>
        <v>-18.588681351740423</v>
      </c>
      <c r="H7" s="481">
        <f>'Option Gamma'!CH8</f>
        <v>0.75550891587858415</v>
      </c>
    </row>
    <row r="8" spans="2:8" x14ac:dyDescent="0.2">
      <c r="B8" s="479">
        <v>36861</v>
      </c>
      <c r="C8" s="477">
        <f>'Basis Options'!BT11/10000</f>
        <v>17.173934112885682</v>
      </c>
      <c r="D8" s="478">
        <f>'Option Gamma'!AH9</f>
        <v>471440.21094988403</v>
      </c>
      <c r="E8" s="478">
        <f>'Option Gamma'!BQ9</f>
        <v>6745.7848479751829</v>
      </c>
      <c r="F8" s="478">
        <f>'Option Gamma'!AZ9</f>
        <v>-2160.8879545056757</v>
      </c>
      <c r="G8" s="477">
        <f>'Option Gamma'!P9</f>
        <v>-22.751390179413562</v>
      </c>
      <c r="H8" s="481">
        <f>'Option Gamma'!CH9</f>
        <v>1.1427943287303384</v>
      </c>
    </row>
    <row r="9" spans="2:8" x14ac:dyDescent="0.2">
      <c r="B9" s="479">
        <v>36892</v>
      </c>
      <c r="C9" s="477">
        <f>'Basis Options'!BT12/10000</f>
        <v>8.5919249322160205</v>
      </c>
      <c r="D9" s="478">
        <f>'Option Gamma'!AH10</f>
        <v>727705.34005988354</v>
      </c>
      <c r="E9" s="478">
        <f>'Option Gamma'!BQ10</f>
        <v>-8598.7154050097142</v>
      </c>
      <c r="F9" s="478">
        <f>'Option Gamma'!AZ10</f>
        <v>1675.5992628904073</v>
      </c>
      <c r="G9" s="477">
        <f>'Option Gamma'!P10</f>
        <v>-26.35596050798781</v>
      </c>
      <c r="H9" s="481">
        <f>'Option Gamma'!CH10</f>
        <v>0.9729801060644877</v>
      </c>
    </row>
    <row r="10" spans="2:8" x14ac:dyDescent="0.2">
      <c r="B10" s="479">
        <v>36923</v>
      </c>
      <c r="C10" s="477">
        <f>'Basis Options'!BT13/10000</f>
        <v>12.824886744771712</v>
      </c>
      <c r="D10" s="478">
        <f>'Option Gamma'!AH11</f>
        <v>813016.14810010337</v>
      </c>
      <c r="E10" s="478">
        <f>'Option Gamma'!BQ11</f>
        <v>-8095.1064976610251</v>
      </c>
      <c r="F10" s="478">
        <f>'Option Gamma'!AZ11</f>
        <v>967.73294466947073</v>
      </c>
      <c r="G10" s="477">
        <f>'Option Gamma'!P11</f>
        <v>-26.856492935481196</v>
      </c>
      <c r="H10" s="481">
        <f>'Option Gamma'!CH11</f>
        <v>0.87530772713849758</v>
      </c>
    </row>
    <row r="11" spans="2:8" x14ac:dyDescent="0.2">
      <c r="B11" s="479">
        <v>36951</v>
      </c>
      <c r="C11" s="477">
        <f>'Basis Options'!BT14/10000</f>
        <v>90.184483623577322</v>
      </c>
      <c r="D11" s="478">
        <f>'Option Gamma'!AH12</f>
        <v>628072.41334469663</v>
      </c>
      <c r="E11" s="478">
        <f>'Option Gamma'!BQ12</f>
        <v>83072.356649967376</v>
      </c>
      <c r="F11" s="478">
        <f>'Option Gamma'!AZ12</f>
        <v>-11779.712825474719</v>
      </c>
      <c r="G11" s="477">
        <f>'Option Gamma'!P12</f>
        <v>-25.327527553653077</v>
      </c>
      <c r="H11" s="481">
        <f>'Option Gamma'!CH12</f>
        <v>0.49468185045417601</v>
      </c>
    </row>
    <row r="12" spans="2:8" x14ac:dyDescent="0.2">
      <c r="B12" s="479">
        <v>36982</v>
      </c>
      <c r="C12" s="477">
        <f>'Basis Options'!BT15/10000</f>
        <v>-7.5920631082173742</v>
      </c>
      <c r="D12" s="478">
        <f>'Option Gamma'!AH13</f>
        <v>14630.050210106059</v>
      </c>
      <c r="E12" s="478">
        <f>'Option Gamma'!BQ13</f>
        <v>-11809.872891919706</v>
      </c>
      <c r="F12" s="478">
        <f>'Option Gamma'!AZ13</f>
        <v>1226.5650412245293</v>
      </c>
      <c r="G12" s="477">
        <f>'Option Gamma'!P13</f>
        <v>-0.97985813829906987</v>
      </c>
      <c r="H12" s="481">
        <f>'Option Gamma'!CH13</f>
        <v>0.58487435212945116</v>
      </c>
    </row>
    <row r="13" spans="2:8" x14ac:dyDescent="0.2">
      <c r="B13" s="479">
        <v>37012</v>
      </c>
      <c r="C13" s="477">
        <f>'Basis Options'!BT16/10000</f>
        <v>6.3759952009895997</v>
      </c>
      <c r="D13" s="478">
        <f>'Option Gamma'!AH14</f>
        <v>-97354.362151080873</v>
      </c>
      <c r="E13" s="478">
        <f>'Option Gamma'!BQ14</f>
        <v>6302.0284168723992</v>
      </c>
      <c r="F13" s="478">
        <f>'Option Gamma'!AZ14</f>
        <v>-461.35168001147787</v>
      </c>
      <c r="G13" s="477">
        <f>'Option Gamma'!P14</f>
        <v>5.5878587736490726</v>
      </c>
      <c r="H13" s="481">
        <f>'Option Gamma'!CH14</f>
        <v>0.22374723073294511</v>
      </c>
    </row>
    <row r="14" spans="2:8" x14ac:dyDescent="0.2">
      <c r="B14" s="479">
        <v>37043</v>
      </c>
      <c r="C14" s="477">
        <f>'Basis Options'!BT17/10000</f>
        <v>6.2738136033272749</v>
      </c>
      <c r="D14" s="478">
        <f>'Option Gamma'!AH15</f>
        <v>-100642.63005863177</v>
      </c>
      <c r="E14" s="478">
        <f>'Option Gamma'!BQ15</f>
        <v>6046.7903558130183</v>
      </c>
      <c r="F14" s="478">
        <f>'Option Gamma'!AZ15</f>
        <v>-372.84944242843437</v>
      </c>
      <c r="G14" s="477">
        <f>'Option Gamma'!P15</f>
        <v>5.2793548437364262</v>
      </c>
      <c r="H14" s="481">
        <f>'Option Gamma'!CH15</f>
        <v>0.2047042169646929</v>
      </c>
    </row>
    <row r="15" spans="2:8" x14ac:dyDescent="0.2">
      <c r="B15" s="479">
        <v>37073</v>
      </c>
      <c r="C15" s="477">
        <f>'Basis Options'!BT18/10000</f>
        <v>3.1918279498971054</v>
      </c>
      <c r="D15" s="478">
        <f>'Option Gamma'!AH16</f>
        <v>-97148.580274308217</v>
      </c>
      <c r="E15" s="478">
        <f>'Option Gamma'!BQ16</f>
        <v>605.32040456129471</v>
      </c>
      <c r="F15" s="478">
        <f>'Option Gamma'!AZ16</f>
        <v>-15.458811764129877</v>
      </c>
      <c r="G15" s="477">
        <f>'Option Gamma'!P16</f>
        <v>4.6655567168450833</v>
      </c>
      <c r="H15" s="481">
        <f>'Option Gamma'!CH16</f>
        <v>0.22780800378070498</v>
      </c>
    </row>
    <row r="16" spans="2:8" x14ac:dyDescent="0.2">
      <c r="B16" s="479">
        <v>37104</v>
      </c>
      <c r="C16" s="477">
        <f>'Basis Options'!BT19/10000</f>
        <v>3.266761725934157</v>
      </c>
      <c r="D16" s="478">
        <f>'Option Gamma'!AH17</f>
        <v>-101879.5464350605</v>
      </c>
      <c r="E16" s="478">
        <f>'Option Gamma'!BQ17</f>
        <v>409.70856580158943</v>
      </c>
      <c r="F16" s="478">
        <f>'Option Gamma'!AZ17</f>
        <v>-5.7149410619122563</v>
      </c>
      <c r="G16" s="477">
        <f>'Option Gamma'!P17</f>
        <v>4.4256094820196843</v>
      </c>
      <c r="H16" s="481">
        <f>'Option Gamma'!CH17</f>
        <v>0.20810326829894144</v>
      </c>
    </row>
    <row r="17" spans="2:8" x14ac:dyDescent="0.2">
      <c r="B17" s="479">
        <v>37135</v>
      </c>
      <c r="C17" s="477">
        <f>'Basis Options'!BT20/10000</f>
        <v>3.7009482346041986</v>
      </c>
      <c r="D17" s="478">
        <f>'Option Gamma'!AH18</f>
        <v>-107100.03623564992</v>
      </c>
      <c r="E17" s="478">
        <f>'Option Gamma'!BQ18</f>
        <v>648.38771113529947</v>
      </c>
      <c r="F17" s="478">
        <f>'Option Gamma'!AZ18</f>
        <v>-16.710486820853987</v>
      </c>
      <c r="G17" s="477">
        <f>'Option Gamma'!P18</f>
        <v>4.3980517609472791</v>
      </c>
      <c r="H17" s="481">
        <f>'Option Gamma'!CH18</f>
        <v>0.10996470889811891</v>
      </c>
    </row>
    <row r="18" spans="2:8" x14ac:dyDescent="0.2">
      <c r="B18" s="479">
        <v>37165</v>
      </c>
      <c r="C18" s="477">
        <f>'Basis Options'!BT21/10000</f>
        <v>5.4204305450343471</v>
      </c>
      <c r="D18" s="478">
        <f>'Option Gamma'!AH19</f>
        <v>-113596.23790174472</v>
      </c>
      <c r="E18" s="478">
        <f>'Option Gamma'!BQ19</f>
        <v>4298.5673412760771</v>
      </c>
      <c r="F18" s="478">
        <f>'Option Gamma'!AZ19</f>
        <v>-150.85075482892648</v>
      </c>
      <c r="G18" s="477">
        <f>'Option Gamma'!P19</f>
        <v>4.1026430680084545</v>
      </c>
      <c r="H18" s="481">
        <f>'Option Gamma'!CH19</f>
        <v>0.27715823444621701</v>
      </c>
    </row>
    <row r="19" spans="2:8" x14ac:dyDescent="0.2">
      <c r="B19" s="479">
        <v>37196</v>
      </c>
      <c r="C19" s="477">
        <f>'Basis Options'!BT22/10000</f>
        <v>-5.4900440800240204</v>
      </c>
      <c r="D19" s="478">
        <f>'Option Gamma'!AH20</f>
        <v>18745.054127209245</v>
      </c>
      <c r="E19" s="478">
        <f>'Option Gamma'!BQ20</f>
        <v>-7932.1183447337007</v>
      </c>
      <c r="F19" s="478">
        <f>'Option Gamma'!AZ20</f>
        <v>326.27908993085646</v>
      </c>
      <c r="G19" s="477">
        <f>'Option Gamma'!P20</f>
        <v>-0.46778383403433349</v>
      </c>
      <c r="H19" s="481">
        <f>'Option Gamma'!CH20</f>
        <v>-3.8123406090816936E-2</v>
      </c>
    </row>
    <row r="20" spans="2:8" x14ac:dyDescent="0.2">
      <c r="B20" s="479">
        <v>37226</v>
      </c>
      <c r="C20" s="477">
        <f>'Basis Options'!BT23/10000</f>
        <v>-4.4325558047186702</v>
      </c>
      <c r="D20" s="478">
        <f>'Option Gamma'!AH21</f>
        <v>16157.308036518654</v>
      </c>
      <c r="E20" s="478">
        <f>'Option Gamma'!BQ21</f>
        <v>-6652.82554827481</v>
      </c>
      <c r="F20" s="478">
        <f>'Option Gamma'!AZ21</f>
        <v>227.29573348853717</v>
      </c>
      <c r="G20" s="477">
        <f>'Option Gamma'!P21</f>
        <v>-0.29990182451436687</v>
      </c>
      <c r="H20" s="481">
        <f>'Option Gamma'!CH21</f>
        <v>-8.0072212776900131E-2</v>
      </c>
    </row>
    <row r="21" spans="2:8" x14ac:dyDescent="0.2">
      <c r="B21" s="479">
        <v>37257</v>
      </c>
      <c r="C21" s="477">
        <f>'Basis Options'!BT24/10000</f>
        <v>-3.7005597425922896</v>
      </c>
      <c r="D21" s="478">
        <f>'Option Gamma'!AH22</f>
        <v>13655.377827509132</v>
      </c>
      <c r="E21" s="478">
        <f>'Option Gamma'!BQ22</f>
        <v>-5548.7573638617341</v>
      </c>
      <c r="F21" s="478">
        <f>'Option Gamma'!AZ22</f>
        <v>148.88576919548404</v>
      </c>
      <c r="G21" s="477">
        <f>'Option Gamma'!P22</f>
        <v>-0.21409028654538709</v>
      </c>
      <c r="H21" s="481">
        <f>'Option Gamma'!CH22</f>
        <v>-8.387363208364379E-2</v>
      </c>
    </row>
    <row r="22" spans="2:8" x14ac:dyDescent="0.2">
      <c r="B22" s="479">
        <v>37288</v>
      </c>
      <c r="C22" s="477">
        <f>'Basis Options'!BT25/10000</f>
        <v>-3.5086060442525748</v>
      </c>
      <c r="D22" s="478">
        <f>'Option Gamma'!AH23</f>
        <v>12364.849451340613</v>
      </c>
      <c r="E22" s="478">
        <f>'Option Gamma'!BQ23</f>
        <v>-5385.4445261623096</v>
      </c>
      <c r="F22" s="478">
        <f>'Option Gamma'!AZ23</f>
        <v>120.35718104549036</v>
      </c>
      <c r="G22" s="477">
        <f>'Option Gamma'!P23</f>
        <v>-0.21236534418527242</v>
      </c>
      <c r="H22" s="481">
        <f>'Option Gamma'!CH23</f>
        <v>-8.5910836144425629E-2</v>
      </c>
    </row>
    <row r="23" spans="2:8" x14ac:dyDescent="0.2">
      <c r="B23" s="479">
        <v>37316</v>
      </c>
      <c r="C23" s="477">
        <f>'Basis Options'!BT26/10000</f>
        <v>-5.2249916281309039</v>
      </c>
      <c r="D23" s="478">
        <f>'Option Gamma'!AH24</f>
        <v>16663.827579771387</v>
      </c>
      <c r="E23" s="478">
        <f>'Option Gamma'!BQ24</f>
        <v>-8139.5842655851484</v>
      </c>
      <c r="F23" s="478">
        <f>'Option Gamma'!AZ24</f>
        <v>222.7812351556228</v>
      </c>
      <c r="G23" s="477">
        <f>'Option Gamma'!P24</f>
        <v>-0.4306352554551432</v>
      </c>
      <c r="H23" s="481">
        <f>'Option Gamma'!CH24</f>
        <v>-5.633320888677773E-2</v>
      </c>
    </row>
    <row r="24" spans="2:8" x14ac:dyDescent="0.2">
      <c r="B24" s="479">
        <v>37347</v>
      </c>
      <c r="C24" s="477">
        <f>'Basis Options'!BT27/10000</f>
        <v>0</v>
      </c>
      <c r="D24" s="478">
        <f>'Option Gamma'!AH25</f>
        <v>0</v>
      </c>
      <c r="E24" s="478">
        <f>'Option Gamma'!BQ25</f>
        <v>0</v>
      </c>
      <c r="F24" s="478">
        <f>'Option Gamma'!AZ25</f>
        <v>0</v>
      </c>
      <c r="G24" s="477">
        <f>'Option Gamma'!P25</f>
        <v>0</v>
      </c>
      <c r="H24" s="481">
        <f>'Option Gamma'!CH25</f>
        <v>0</v>
      </c>
    </row>
    <row r="25" spans="2:8" x14ac:dyDescent="0.2">
      <c r="B25" s="479">
        <v>37377</v>
      </c>
      <c r="C25" s="477">
        <f>'Basis Options'!BT28/10000</f>
        <v>0</v>
      </c>
      <c r="D25" s="478">
        <f>'Option Gamma'!AH26</f>
        <v>0</v>
      </c>
      <c r="E25" s="478">
        <f>'Option Gamma'!BQ26</f>
        <v>0</v>
      </c>
      <c r="F25" s="478">
        <f>'Option Gamma'!AZ26</f>
        <v>0</v>
      </c>
      <c r="G25" s="477">
        <f>'Option Gamma'!P26</f>
        <v>0</v>
      </c>
      <c r="H25" s="481">
        <f>'Option Gamma'!CH26</f>
        <v>0</v>
      </c>
    </row>
    <row r="26" spans="2:8" x14ac:dyDescent="0.2">
      <c r="B26" s="479">
        <v>37408</v>
      </c>
      <c r="C26" s="477">
        <f>'Basis Options'!BT29/10000</f>
        <v>0</v>
      </c>
      <c r="D26" s="478">
        <f>'Option Gamma'!AH27</f>
        <v>0</v>
      </c>
      <c r="E26" s="478">
        <f>'Option Gamma'!BQ27</f>
        <v>0</v>
      </c>
      <c r="F26" s="478">
        <f>'Option Gamma'!AZ27</f>
        <v>0</v>
      </c>
      <c r="G26" s="477">
        <f>'Option Gamma'!P27</f>
        <v>0</v>
      </c>
      <c r="H26" s="481">
        <f>'Option Gamma'!CH27</f>
        <v>0</v>
      </c>
    </row>
    <row r="27" spans="2:8" x14ac:dyDescent="0.2">
      <c r="B27" s="479">
        <v>37438</v>
      </c>
      <c r="C27" s="477">
        <f>'Basis Options'!BT30/10000</f>
        <v>0</v>
      </c>
      <c r="D27" s="478">
        <f>'Option Gamma'!AH28</f>
        <v>0</v>
      </c>
      <c r="E27" s="478">
        <f>'Option Gamma'!BQ28</f>
        <v>0</v>
      </c>
      <c r="F27" s="478">
        <f>'Option Gamma'!AZ28</f>
        <v>0</v>
      </c>
      <c r="G27" s="477">
        <f>'Option Gamma'!P28</f>
        <v>0</v>
      </c>
      <c r="H27" s="481">
        <f>'Option Gamma'!CH28</f>
        <v>0</v>
      </c>
    </row>
    <row r="28" spans="2:8" x14ac:dyDescent="0.2">
      <c r="B28" s="479">
        <v>37469</v>
      </c>
      <c r="C28" s="477">
        <f>'Basis Options'!BT31/10000</f>
        <v>0</v>
      </c>
      <c r="D28" s="478">
        <f>'Option Gamma'!AH29</f>
        <v>0</v>
      </c>
      <c r="E28" s="478">
        <f>'Option Gamma'!BQ29</f>
        <v>0</v>
      </c>
      <c r="F28" s="478">
        <f>'Option Gamma'!AZ29</f>
        <v>0</v>
      </c>
      <c r="G28" s="477">
        <f>'Option Gamma'!P29</f>
        <v>0</v>
      </c>
      <c r="H28" s="481">
        <f>'Option Gamma'!CH29</f>
        <v>0</v>
      </c>
    </row>
    <row r="29" spans="2:8" x14ac:dyDescent="0.2">
      <c r="B29" s="479">
        <v>37500</v>
      </c>
      <c r="C29" s="477">
        <f>'Basis Options'!BT32/10000</f>
        <v>0</v>
      </c>
      <c r="D29" s="478">
        <f>'Option Gamma'!AH30</f>
        <v>0</v>
      </c>
      <c r="E29" s="478">
        <f>'Option Gamma'!BQ30</f>
        <v>0</v>
      </c>
      <c r="F29" s="478">
        <f>'Option Gamma'!AZ30</f>
        <v>0</v>
      </c>
      <c r="G29" s="477">
        <f>'Option Gamma'!P30</f>
        <v>0</v>
      </c>
      <c r="H29" s="481">
        <f>'Option Gamma'!CH30</f>
        <v>0</v>
      </c>
    </row>
    <row r="30" spans="2:8" x14ac:dyDescent="0.2">
      <c r="B30" s="479">
        <v>37530</v>
      </c>
      <c r="C30" s="477">
        <f>'Basis Options'!BT33/10000</f>
        <v>0</v>
      </c>
      <c r="D30" s="478">
        <f>'Option Gamma'!AH31</f>
        <v>0</v>
      </c>
      <c r="E30" s="478">
        <f>'Option Gamma'!BQ31</f>
        <v>0</v>
      </c>
      <c r="F30" s="478">
        <f>'Option Gamma'!AZ31</f>
        <v>0</v>
      </c>
      <c r="G30" s="477">
        <f>'Option Gamma'!P31</f>
        <v>0</v>
      </c>
      <c r="H30" s="481">
        <f>'Option Gamma'!CH31</f>
        <v>0</v>
      </c>
    </row>
    <row r="31" spans="2:8" x14ac:dyDescent="0.2">
      <c r="B31" s="479">
        <v>37561</v>
      </c>
      <c r="C31" s="477">
        <f>'Basis Options'!BT34/10000</f>
        <v>0.70401903702535784</v>
      </c>
      <c r="D31" s="478">
        <f>'Option Gamma'!AH32</f>
        <v>-7642.4501208617885</v>
      </c>
      <c r="E31" s="478">
        <f>'Option Gamma'!BQ32</f>
        <v>922.59275487586331</v>
      </c>
      <c r="F31" s="478">
        <f>'Option Gamma'!AZ32</f>
        <v>-13.788726517219851</v>
      </c>
      <c r="G31" s="477">
        <f>'Option Gamma'!P32</f>
        <v>0.35215780939705121</v>
      </c>
      <c r="H31" s="481">
        <f>'Option Gamma'!CH32</f>
        <v>-1.8429104847683619E-2</v>
      </c>
    </row>
    <row r="32" spans="2:8" x14ac:dyDescent="0.2">
      <c r="B32" s="479">
        <v>37591</v>
      </c>
      <c r="C32" s="477">
        <f>'Basis Options'!BT35/10000</f>
        <v>0.77761519463270379</v>
      </c>
      <c r="D32" s="478">
        <f>'Option Gamma'!AH33</f>
        <v>-8724.7036837469786</v>
      </c>
      <c r="E32" s="478">
        <f>'Option Gamma'!BQ33</f>
        <v>1038.0132653473502</v>
      </c>
      <c r="F32" s="478">
        <f>'Option Gamma'!AZ33</f>
        <v>-14.259300709632472</v>
      </c>
      <c r="G32" s="477">
        <f>'Option Gamma'!P33</f>
        <v>0.35574587691391102</v>
      </c>
      <c r="H32" s="481">
        <f>'Option Gamma'!CH33</f>
        <v>-1.1167050688927871E-2</v>
      </c>
    </row>
    <row r="33" spans="2:8" x14ac:dyDescent="0.2">
      <c r="B33" s="479">
        <v>37622</v>
      </c>
      <c r="C33" s="477">
        <f>'Basis Options'!BT36/10000</f>
        <v>0.76105299685399808</v>
      </c>
      <c r="D33" s="478">
        <f>'Option Gamma'!AH34</f>
        <v>-8510.9602906733016</v>
      </c>
      <c r="E33" s="478">
        <f>'Option Gamma'!BQ34</f>
        <v>1063.5393868370377</v>
      </c>
      <c r="F33" s="478">
        <f>'Option Gamma'!AZ34</f>
        <v>-13.104325442712645</v>
      </c>
      <c r="G33" s="477">
        <f>'Option Gamma'!P34</f>
        <v>0.36258484479503444</v>
      </c>
      <c r="H33" s="481">
        <f>'Option Gamma'!CH34</f>
        <v>-9.1136143876236475E-3</v>
      </c>
    </row>
    <row r="34" spans="2:8" x14ac:dyDescent="0.2">
      <c r="B34" s="479">
        <v>37653</v>
      </c>
      <c r="C34" s="477">
        <f>'Basis Options'!BT37/10000</f>
        <v>0.68097018070475168</v>
      </c>
      <c r="D34" s="478">
        <f>'Option Gamma'!AH35</f>
        <v>-7287.7076250373948</v>
      </c>
      <c r="E34" s="478">
        <f>'Option Gamma'!BQ35</f>
        <v>916.18632253928979</v>
      </c>
      <c r="F34" s="478">
        <f>'Option Gamma'!AZ35</f>
        <v>-11.117192144641256</v>
      </c>
      <c r="G34" s="477">
        <f>'Option Gamma'!P35</f>
        <v>0.32912195611904116</v>
      </c>
      <c r="H34" s="481">
        <f>'Option Gamma'!CH35</f>
        <v>-1.2313341853266269E-2</v>
      </c>
    </row>
    <row r="35" spans="2:8" x14ac:dyDescent="0.2">
      <c r="B35" s="479">
        <v>37681</v>
      </c>
      <c r="C35" s="477">
        <f>'Basis Options'!BT38/10000</f>
        <v>0.72606719568657141</v>
      </c>
      <c r="D35" s="478">
        <f>'Option Gamma'!AH36</f>
        <v>-7378.6150316032863</v>
      </c>
      <c r="E35" s="478">
        <f>'Option Gamma'!BQ36</f>
        <v>970.50978562147407</v>
      </c>
      <c r="F35" s="478">
        <f>'Option Gamma'!AZ36</f>
        <v>-11.014232131412117</v>
      </c>
      <c r="G35" s="477">
        <f>'Option Gamma'!P36</f>
        <v>0.38529711791869525</v>
      </c>
      <c r="H35" s="481">
        <f>'Option Gamma'!CH36</f>
        <v>-1.5505134910593799E-2</v>
      </c>
    </row>
    <row r="36" spans="2:8" x14ac:dyDescent="0.2">
      <c r="B36" s="479">
        <v>37712</v>
      </c>
      <c r="C36" s="477">
        <f>'Basis Options'!BT39/10000</f>
        <v>0</v>
      </c>
      <c r="D36" s="478">
        <f>'Option Gamma'!AH37</f>
        <v>0</v>
      </c>
      <c r="E36" s="478">
        <f>'Option Gamma'!BQ37</f>
        <v>0</v>
      </c>
      <c r="F36" s="478">
        <f>'Option Gamma'!AZ37</f>
        <v>0</v>
      </c>
      <c r="G36" s="477">
        <f>'Option Gamma'!P37</f>
        <v>0</v>
      </c>
    </row>
    <row r="37" spans="2:8" x14ac:dyDescent="0.2">
      <c r="B37" s="479">
        <v>37742</v>
      </c>
      <c r="C37" s="477">
        <f>'Basis Options'!BT40/10000</f>
        <v>0</v>
      </c>
      <c r="D37" s="478">
        <f>'Option Gamma'!AH38</f>
        <v>0</v>
      </c>
      <c r="E37" s="478">
        <f>'Option Gamma'!BQ38</f>
        <v>0</v>
      </c>
      <c r="F37" s="478">
        <f>'Option Gamma'!AZ38</f>
        <v>0</v>
      </c>
      <c r="G37" s="477">
        <f>'Option Gamma'!P38</f>
        <v>0</v>
      </c>
    </row>
    <row r="38" spans="2:8" x14ac:dyDescent="0.2">
      <c r="B38" s="479">
        <v>37773</v>
      </c>
      <c r="C38" s="477">
        <f>'Basis Options'!BT41/10000</f>
        <v>0</v>
      </c>
      <c r="D38" s="478">
        <f>'Option Gamma'!AH39</f>
        <v>0</v>
      </c>
      <c r="E38" s="478">
        <f>'Option Gamma'!BQ39</f>
        <v>0</v>
      </c>
      <c r="F38" s="478">
        <f>'Option Gamma'!AZ39</f>
        <v>0</v>
      </c>
      <c r="G38" s="477">
        <f>'Option Gamma'!P39</f>
        <v>0</v>
      </c>
    </row>
    <row r="39" spans="2:8" x14ac:dyDescent="0.2">
      <c r="B39" s="479">
        <v>37803</v>
      </c>
      <c r="C39" s="477">
        <f>'Basis Options'!BT42/10000</f>
        <v>0</v>
      </c>
      <c r="D39" s="478">
        <f>'Option Gamma'!AH40</f>
        <v>0</v>
      </c>
      <c r="E39" s="478">
        <f>'Option Gamma'!BQ40</f>
        <v>0</v>
      </c>
      <c r="F39" s="478">
        <f>'Option Gamma'!AZ40</f>
        <v>0</v>
      </c>
      <c r="G39" s="477">
        <f>'Option Gamma'!P40</f>
        <v>0</v>
      </c>
    </row>
    <row r="40" spans="2:8" x14ac:dyDescent="0.2">
      <c r="B40" s="479">
        <v>37834</v>
      </c>
      <c r="C40" s="477">
        <f>'Basis Options'!BT43/10000</f>
        <v>0</v>
      </c>
      <c r="D40" s="478">
        <f>'Option Gamma'!AH41</f>
        <v>0</v>
      </c>
      <c r="E40" s="478">
        <f>'Option Gamma'!BQ41</f>
        <v>0</v>
      </c>
      <c r="F40" s="478">
        <f>'Option Gamma'!AZ41</f>
        <v>0</v>
      </c>
      <c r="G40" s="477">
        <f>'Option Gamma'!P41</f>
        <v>0</v>
      </c>
    </row>
    <row r="41" spans="2:8" x14ac:dyDescent="0.2">
      <c r="B41" s="479">
        <v>37865</v>
      </c>
      <c r="C41" s="477">
        <f>'Basis Options'!BT44/10000</f>
        <v>0</v>
      </c>
      <c r="D41" s="478">
        <f>'Option Gamma'!AH42</f>
        <v>0</v>
      </c>
      <c r="E41" s="478">
        <f>'Option Gamma'!BQ42</f>
        <v>0</v>
      </c>
      <c r="F41" s="478">
        <f>'Option Gamma'!AZ42</f>
        <v>0</v>
      </c>
      <c r="G41" s="477">
        <f>'Option Gamma'!P42</f>
        <v>0</v>
      </c>
    </row>
    <row r="42" spans="2:8" x14ac:dyDescent="0.2">
      <c r="B42" s="479">
        <v>37895</v>
      </c>
      <c r="C42" s="477">
        <f>'Basis Options'!BT45/10000</f>
        <v>0</v>
      </c>
      <c r="D42" s="478">
        <f>'Option Gamma'!AH43</f>
        <v>0</v>
      </c>
      <c r="E42" s="478">
        <f>'Option Gamma'!BQ43</f>
        <v>0</v>
      </c>
      <c r="F42" s="478">
        <f>'Option Gamma'!AZ43</f>
        <v>0</v>
      </c>
      <c r="G42" s="477">
        <f>'Option Gamma'!P43</f>
        <v>0</v>
      </c>
    </row>
    <row r="43" spans="2:8" x14ac:dyDescent="0.2">
      <c r="B43" s="479">
        <v>37926</v>
      </c>
      <c r="C43" s="477">
        <f>'Basis Options'!BT46/10000</f>
        <v>0</v>
      </c>
      <c r="D43" s="478">
        <f>'Option Gamma'!AH44</f>
        <v>0</v>
      </c>
      <c r="E43" s="478">
        <f>'Option Gamma'!BQ44</f>
        <v>0</v>
      </c>
      <c r="F43" s="478">
        <f>'Option Gamma'!AZ44</f>
        <v>0</v>
      </c>
      <c r="G43" s="477">
        <f>'Option Gamma'!P44</f>
        <v>0</v>
      </c>
    </row>
    <row r="44" spans="2:8" x14ac:dyDescent="0.2">
      <c r="B44" s="479">
        <v>37956</v>
      </c>
      <c r="C44" s="477">
        <f>'Basis Options'!BT47/10000</f>
        <v>0</v>
      </c>
      <c r="D44" s="478">
        <f>'Option Gamma'!AH45</f>
        <v>0</v>
      </c>
      <c r="E44" s="478">
        <f>'Option Gamma'!BQ45</f>
        <v>0</v>
      </c>
      <c r="F44" s="478">
        <f>'Option Gamma'!AZ45</f>
        <v>0</v>
      </c>
      <c r="G44" s="477">
        <f>'Option Gamma'!P45</f>
        <v>0</v>
      </c>
    </row>
    <row r="45" spans="2:8" x14ac:dyDescent="0.2">
      <c r="B45" s="479">
        <v>37987</v>
      </c>
      <c r="C45" s="477">
        <f>'Basis Options'!BT48/10000</f>
        <v>0</v>
      </c>
      <c r="D45" s="478">
        <f>'Option Gamma'!AH46</f>
        <v>0</v>
      </c>
      <c r="E45" s="478">
        <f>'Option Gamma'!BQ46</f>
        <v>0</v>
      </c>
      <c r="F45" s="478">
        <f>'Option Gamma'!AZ46</f>
        <v>0</v>
      </c>
      <c r="G45" s="477">
        <f>'Option Gamma'!P46</f>
        <v>0</v>
      </c>
    </row>
    <row r="46" spans="2:8" x14ac:dyDescent="0.2">
      <c r="B46" s="479">
        <v>38018</v>
      </c>
      <c r="C46" s="477">
        <f>'Basis Options'!BT49/10000</f>
        <v>0</v>
      </c>
      <c r="D46" s="478">
        <f>'Option Gamma'!AH47</f>
        <v>0</v>
      </c>
      <c r="E46" s="478">
        <f>'Option Gamma'!BQ47</f>
        <v>0</v>
      </c>
      <c r="F46" s="478">
        <f>'Option Gamma'!AZ47</f>
        <v>0</v>
      </c>
      <c r="G46" s="477">
        <f>'Option Gamma'!P47</f>
        <v>0</v>
      </c>
    </row>
    <row r="47" spans="2:8" x14ac:dyDescent="0.2">
      <c r="B47" s="479">
        <v>38047</v>
      </c>
      <c r="C47" s="477">
        <f>'Basis Options'!BT50/10000</f>
        <v>0</v>
      </c>
      <c r="D47" s="478">
        <f>'Option Gamma'!AH48</f>
        <v>0</v>
      </c>
      <c r="E47" s="478">
        <f>'Option Gamma'!BQ48</f>
        <v>0</v>
      </c>
      <c r="F47" s="478">
        <f>'Option Gamma'!AZ48</f>
        <v>0</v>
      </c>
      <c r="G47" s="477">
        <f>'Option Gamma'!P48</f>
        <v>0</v>
      </c>
    </row>
    <row r="48" spans="2:8" x14ac:dyDescent="0.2">
      <c r="B48" s="479">
        <v>38078</v>
      </c>
      <c r="C48" s="477">
        <f>'Basis Options'!BT51/10000</f>
        <v>0</v>
      </c>
      <c r="D48" s="478">
        <f>'Option Gamma'!AH49</f>
        <v>0</v>
      </c>
      <c r="E48" s="478">
        <f>'Option Gamma'!BQ49</f>
        <v>0</v>
      </c>
      <c r="F48" s="478">
        <f>'Option Gamma'!AZ49</f>
        <v>0</v>
      </c>
      <c r="G48" s="477">
        <f>'Option Gamma'!P49</f>
        <v>0</v>
      </c>
    </row>
    <row r="49" spans="2:7" x14ac:dyDescent="0.2">
      <c r="B49" s="479">
        <v>38108</v>
      </c>
      <c r="C49" s="477">
        <f>'Basis Options'!BT52/10000</f>
        <v>0</v>
      </c>
      <c r="D49" s="478">
        <f>'Option Gamma'!AH50</f>
        <v>0</v>
      </c>
      <c r="E49" s="478">
        <f>'Option Gamma'!BQ50</f>
        <v>0</v>
      </c>
      <c r="F49" s="478">
        <f>'Option Gamma'!AZ50</f>
        <v>0</v>
      </c>
      <c r="G49" s="477">
        <f>'Option Gamma'!P50</f>
        <v>0</v>
      </c>
    </row>
    <row r="50" spans="2:7" x14ac:dyDescent="0.2">
      <c r="B50" s="479">
        <v>38139</v>
      </c>
      <c r="C50" s="477">
        <f>'Basis Options'!BT53/10000</f>
        <v>0</v>
      </c>
      <c r="D50" s="478">
        <f>'Option Gamma'!AH51</f>
        <v>0</v>
      </c>
      <c r="E50" s="478">
        <f>'Option Gamma'!BQ51</f>
        <v>0</v>
      </c>
      <c r="F50" s="478">
        <f>'Option Gamma'!AZ51</f>
        <v>0</v>
      </c>
      <c r="G50" s="477">
        <f>'Option Gamma'!P51</f>
        <v>0</v>
      </c>
    </row>
    <row r="51" spans="2:7" x14ac:dyDescent="0.2">
      <c r="B51" s="479">
        <v>38169</v>
      </c>
      <c r="C51" s="477">
        <f>'Basis Options'!BT54/10000</f>
        <v>0</v>
      </c>
      <c r="D51" s="478">
        <f>'Option Gamma'!AH52</f>
        <v>0</v>
      </c>
      <c r="E51" s="478">
        <f>'Option Gamma'!BQ52</f>
        <v>0</v>
      </c>
      <c r="F51" s="478">
        <f>'Option Gamma'!AZ52</f>
        <v>0</v>
      </c>
      <c r="G51" s="477">
        <f>'Option Gamma'!P52</f>
        <v>0</v>
      </c>
    </row>
    <row r="52" spans="2:7" x14ac:dyDescent="0.2">
      <c r="B52" s="479">
        <v>38200</v>
      </c>
      <c r="C52" s="477">
        <f>'Basis Options'!BT55/10000</f>
        <v>0</v>
      </c>
      <c r="D52" s="478">
        <f>'Option Gamma'!AH53</f>
        <v>0</v>
      </c>
      <c r="E52" s="478">
        <f>'Option Gamma'!BQ53</f>
        <v>0</v>
      </c>
      <c r="F52" s="478">
        <f>'Option Gamma'!AZ53</f>
        <v>0</v>
      </c>
      <c r="G52" s="477">
        <f>'Option Gamma'!P53</f>
        <v>0</v>
      </c>
    </row>
    <row r="53" spans="2:7" x14ac:dyDescent="0.2">
      <c r="B53" s="479">
        <v>38231</v>
      </c>
      <c r="C53" s="477">
        <f>'Basis Options'!BT56/10000</f>
        <v>0</v>
      </c>
      <c r="D53" s="478">
        <f>'Option Gamma'!AH54</f>
        <v>0</v>
      </c>
      <c r="E53" s="478">
        <f>'Option Gamma'!BQ54</f>
        <v>0</v>
      </c>
      <c r="F53" s="478">
        <f>'Option Gamma'!AZ54</f>
        <v>0</v>
      </c>
      <c r="G53" s="477">
        <f>'Option Gamma'!P54</f>
        <v>0</v>
      </c>
    </row>
    <row r="54" spans="2:7" x14ac:dyDescent="0.2">
      <c r="B54" s="479">
        <v>38261</v>
      </c>
      <c r="C54" s="477">
        <f>'Basis Options'!BT57/10000</f>
        <v>0</v>
      </c>
      <c r="D54" s="478">
        <f>'Option Gamma'!AH55</f>
        <v>0</v>
      </c>
      <c r="E54" s="478">
        <f>'Option Gamma'!BQ55</f>
        <v>0</v>
      </c>
      <c r="F54" s="478">
        <f>'Option Gamma'!AZ55</f>
        <v>0</v>
      </c>
      <c r="G54" s="477">
        <f>'Option Gamma'!P55</f>
        <v>0</v>
      </c>
    </row>
    <row r="55" spans="2:7" x14ac:dyDescent="0.2">
      <c r="B55" s="479">
        <v>38292</v>
      </c>
      <c r="C55" s="477">
        <f>'Basis Options'!BT58/10000</f>
        <v>0</v>
      </c>
      <c r="D55" s="478">
        <f>'Option Gamma'!AH56</f>
        <v>0</v>
      </c>
      <c r="E55" s="478">
        <f>'Option Gamma'!BQ56</f>
        <v>0</v>
      </c>
      <c r="F55" s="478">
        <f>'Option Gamma'!AZ56</f>
        <v>0</v>
      </c>
      <c r="G55" s="477">
        <f>'Option Gamma'!P56</f>
        <v>0</v>
      </c>
    </row>
    <row r="56" spans="2:7" x14ac:dyDescent="0.2">
      <c r="B56" s="479">
        <v>38322</v>
      </c>
      <c r="C56" s="477">
        <f>'Basis Options'!BT59/10000</f>
        <v>0</v>
      </c>
      <c r="D56" s="478">
        <f>'Option Gamma'!AH57</f>
        <v>0</v>
      </c>
      <c r="E56" s="478">
        <f>'Option Gamma'!BQ57</f>
        <v>0</v>
      </c>
      <c r="F56" s="478">
        <f>'Option Gamma'!AZ57</f>
        <v>0</v>
      </c>
      <c r="G56" s="477">
        <f>'Option Gamma'!P57</f>
        <v>0</v>
      </c>
    </row>
    <row r="57" spans="2:7" x14ac:dyDescent="0.2">
      <c r="B57" s="479">
        <v>38353</v>
      </c>
    </row>
    <row r="58" spans="2:7" x14ac:dyDescent="0.2">
      <c r="B58" s="479">
        <v>38384</v>
      </c>
    </row>
    <row r="59" spans="2:7" x14ac:dyDescent="0.2">
      <c r="B59" s="479">
        <v>38412</v>
      </c>
    </row>
    <row r="60" spans="2:7" x14ac:dyDescent="0.2">
      <c r="B60" s="479">
        <v>38443</v>
      </c>
    </row>
    <row r="61" spans="2:7" x14ac:dyDescent="0.2">
      <c r="B61" s="479">
        <v>38473</v>
      </c>
    </row>
    <row r="62" spans="2:7" x14ac:dyDescent="0.2">
      <c r="B62" s="479">
        <v>38504</v>
      </c>
    </row>
    <row r="63" spans="2:7" x14ac:dyDescent="0.2">
      <c r="B63" s="479">
        <v>38534</v>
      </c>
    </row>
    <row r="64" spans="2:7" x14ac:dyDescent="0.2">
      <c r="B64" s="479">
        <v>38565</v>
      </c>
    </row>
    <row r="65" spans="2:2" x14ac:dyDescent="0.2">
      <c r="B65" s="479">
        <v>38596</v>
      </c>
    </row>
    <row r="66" spans="2:2" x14ac:dyDescent="0.2">
      <c r="B66" s="479">
        <v>38626</v>
      </c>
    </row>
    <row r="67" spans="2:2" x14ac:dyDescent="0.2">
      <c r="B67" s="479">
        <v>38657</v>
      </c>
    </row>
    <row r="68" spans="2:2" x14ac:dyDescent="0.2">
      <c r="B68" s="479">
        <v>38687</v>
      </c>
    </row>
    <row r="69" spans="2:2" x14ac:dyDescent="0.2">
      <c r="B69" s="479">
        <v>38718</v>
      </c>
    </row>
    <row r="70" spans="2:2" x14ac:dyDescent="0.2">
      <c r="B70" s="479">
        <v>38749</v>
      </c>
    </row>
    <row r="71" spans="2:2" x14ac:dyDescent="0.2">
      <c r="B71" s="479">
        <v>38777</v>
      </c>
    </row>
    <row r="72" spans="2:2" x14ac:dyDescent="0.2">
      <c r="B72" s="479">
        <v>38808</v>
      </c>
    </row>
    <row r="73" spans="2:2" x14ac:dyDescent="0.2">
      <c r="B73" s="479">
        <v>38838</v>
      </c>
    </row>
    <row r="74" spans="2:2" x14ac:dyDescent="0.2">
      <c r="B74" s="479">
        <v>38869</v>
      </c>
    </row>
    <row r="75" spans="2:2" x14ac:dyDescent="0.2">
      <c r="B75" s="479">
        <v>38899</v>
      </c>
    </row>
    <row r="76" spans="2:2" x14ac:dyDescent="0.2">
      <c r="B76" s="479">
        <v>38930</v>
      </c>
    </row>
    <row r="77" spans="2:2" x14ac:dyDescent="0.2">
      <c r="B77" s="479">
        <v>38961</v>
      </c>
    </row>
    <row r="78" spans="2:2" x14ac:dyDescent="0.2">
      <c r="B78" s="479">
        <v>38991</v>
      </c>
    </row>
    <row r="79" spans="2:2" x14ac:dyDescent="0.2">
      <c r="B79" s="479">
        <v>39022</v>
      </c>
    </row>
    <row r="80" spans="2:2" x14ac:dyDescent="0.2">
      <c r="B80" s="479">
        <v>39052</v>
      </c>
    </row>
    <row r="81" spans="2:2" x14ac:dyDescent="0.2">
      <c r="B81" s="479">
        <v>39083</v>
      </c>
    </row>
    <row r="82" spans="2:2" x14ac:dyDescent="0.2">
      <c r="B82" s="479">
        <v>39114</v>
      </c>
    </row>
    <row r="83" spans="2:2" x14ac:dyDescent="0.2">
      <c r="B83" s="479">
        <v>39142</v>
      </c>
    </row>
    <row r="84" spans="2:2" x14ac:dyDescent="0.2">
      <c r="B84" s="479">
        <v>39173</v>
      </c>
    </row>
    <row r="85" spans="2:2" x14ac:dyDescent="0.2">
      <c r="B85" s="479">
        <v>39203</v>
      </c>
    </row>
    <row r="86" spans="2:2" x14ac:dyDescent="0.2">
      <c r="B86" s="479">
        <v>39234</v>
      </c>
    </row>
    <row r="87" spans="2:2" x14ac:dyDescent="0.2">
      <c r="B87" s="479">
        <v>39264</v>
      </c>
    </row>
    <row r="88" spans="2:2" x14ac:dyDescent="0.2">
      <c r="B88" s="479">
        <v>39295</v>
      </c>
    </row>
    <row r="89" spans="2:2" x14ac:dyDescent="0.2">
      <c r="B89" s="479">
        <v>39326</v>
      </c>
    </row>
    <row r="90" spans="2:2" x14ac:dyDescent="0.2">
      <c r="B90" s="479">
        <v>39356</v>
      </c>
    </row>
    <row r="91" spans="2:2" x14ac:dyDescent="0.2">
      <c r="B91" s="479">
        <v>39387</v>
      </c>
    </row>
    <row r="92" spans="2:2" x14ac:dyDescent="0.2">
      <c r="B92" s="479">
        <v>39417</v>
      </c>
    </row>
    <row r="93" spans="2:2" x14ac:dyDescent="0.2">
      <c r="B93" s="479">
        <v>39448</v>
      </c>
    </row>
    <row r="94" spans="2:2" x14ac:dyDescent="0.2">
      <c r="B94" s="479">
        <v>39479</v>
      </c>
    </row>
    <row r="95" spans="2:2" x14ac:dyDescent="0.2">
      <c r="B95" s="479">
        <v>39508</v>
      </c>
    </row>
    <row r="96" spans="2:2" x14ac:dyDescent="0.2">
      <c r="B96" s="479">
        <v>39539</v>
      </c>
    </row>
    <row r="97" spans="2:2" x14ac:dyDescent="0.2">
      <c r="B97" s="479">
        <v>39569</v>
      </c>
    </row>
    <row r="98" spans="2:2" x14ac:dyDescent="0.2">
      <c r="B98" s="479">
        <v>39600</v>
      </c>
    </row>
    <row r="99" spans="2:2" x14ac:dyDescent="0.2">
      <c r="B99" s="479">
        <v>39630</v>
      </c>
    </row>
    <row r="100" spans="2:2" x14ac:dyDescent="0.2">
      <c r="B100" s="479">
        <v>39661</v>
      </c>
    </row>
    <row r="101" spans="2:2" x14ac:dyDescent="0.2">
      <c r="B101" s="479">
        <v>39692</v>
      </c>
    </row>
    <row r="102" spans="2:2" x14ac:dyDescent="0.2">
      <c r="B102" s="479">
        <v>39722</v>
      </c>
    </row>
    <row r="103" spans="2:2" x14ac:dyDescent="0.2">
      <c r="B103" s="479">
        <v>39753</v>
      </c>
    </row>
    <row r="104" spans="2:2" x14ac:dyDescent="0.2">
      <c r="B104" s="479">
        <v>39783</v>
      </c>
    </row>
    <row r="105" spans="2:2" x14ac:dyDescent="0.2">
      <c r="B105" s="479">
        <v>39814</v>
      </c>
    </row>
    <row r="106" spans="2:2" x14ac:dyDescent="0.2">
      <c r="B106" s="479">
        <v>39845</v>
      </c>
    </row>
    <row r="107" spans="2:2" x14ac:dyDescent="0.2">
      <c r="B107" s="479">
        <v>39873</v>
      </c>
    </row>
    <row r="108" spans="2:2" x14ac:dyDescent="0.2">
      <c r="B108" s="479">
        <v>39904</v>
      </c>
    </row>
    <row r="109" spans="2:2" x14ac:dyDescent="0.2">
      <c r="B109" s="479">
        <v>39934</v>
      </c>
    </row>
    <row r="110" spans="2:2" x14ac:dyDescent="0.2">
      <c r="B110" s="479">
        <v>39965</v>
      </c>
    </row>
    <row r="111" spans="2:2" x14ac:dyDescent="0.2">
      <c r="B111" s="479">
        <v>39995</v>
      </c>
    </row>
    <row r="112" spans="2:2" x14ac:dyDescent="0.2">
      <c r="B112" s="479">
        <v>40026</v>
      </c>
    </row>
    <row r="113" spans="2:2" x14ac:dyDescent="0.2">
      <c r="B113" s="479">
        <v>40057</v>
      </c>
    </row>
    <row r="114" spans="2:2" x14ac:dyDescent="0.2">
      <c r="B114" s="479">
        <v>40087</v>
      </c>
    </row>
    <row r="115" spans="2:2" x14ac:dyDescent="0.2">
      <c r="B115" s="479">
        <v>40118</v>
      </c>
    </row>
    <row r="116" spans="2:2" x14ac:dyDescent="0.2">
      <c r="B116" s="479">
        <v>40148</v>
      </c>
    </row>
    <row r="117" spans="2:2" x14ac:dyDescent="0.2">
      <c r="B117" s="479">
        <v>40179</v>
      </c>
    </row>
    <row r="118" spans="2:2" x14ac:dyDescent="0.2">
      <c r="B118" s="479">
        <v>40210</v>
      </c>
    </row>
    <row r="119" spans="2:2" x14ac:dyDescent="0.2">
      <c r="B119" s="479">
        <v>40238</v>
      </c>
    </row>
    <row r="120" spans="2:2" x14ac:dyDescent="0.2">
      <c r="B120" s="479">
        <v>40269</v>
      </c>
    </row>
    <row r="121" spans="2:2" x14ac:dyDescent="0.2">
      <c r="B121" s="479">
        <v>40299</v>
      </c>
    </row>
    <row r="122" spans="2:2" x14ac:dyDescent="0.2">
      <c r="B122" s="479">
        <v>40330</v>
      </c>
    </row>
    <row r="123" spans="2:2" x14ac:dyDescent="0.2">
      <c r="B123" s="479">
        <v>40360</v>
      </c>
    </row>
    <row r="124" spans="2:2" x14ac:dyDescent="0.2">
      <c r="B124" s="479">
        <v>40391</v>
      </c>
    </row>
    <row r="125" spans="2:2" x14ac:dyDescent="0.2">
      <c r="B125" s="479">
        <v>40422</v>
      </c>
    </row>
    <row r="126" spans="2:2" x14ac:dyDescent="0.2">
      <c r="B126" s="479">
        <v>40452</v>
      </c>
    </row>
    <row r="127" spans="2:2" x14ac:dyDescent="0.2">
      <c r="B127" s="479">
        <v>40483</v>
      </c>
    </row>
    <row r="128" spans="2:2" x14ac:dyDescent="0.2">
      <c r="B128" s="479">
        <v>40513</v>
      </c>
    </row>
    <row r="129" spans="2:2" x14ac:dyDescent="0.2">
      <c r="B129" s="479">
        <v>40544</v>
      </c>
    </row>
    <row r="130" spans="2:2" x14ac:dyDescent="0.2">
      <c r="B130" s="479">
        <v>40575</v>
      </c>
    </row>
    <row r="131" spans="2:2" x14ac:dyDescent="0.2">
      <c r="B131" s="479">
        <v>40603</v>
      </c>
    </row>
    <row r="132" spans="2:2" x14ac:dyDescent="0.2">
      <c r="B132" s="479">
        <v>40634</v>
      </c>
    </row>
    <row r="133" spans="2:2" x14ac:dyDescent="0.2">
      <c r="B133" s="479">
        <v>40664</v>
      </c>
    </row>
    <row r="134" spans="2:2" x14ac:dyDescent="0.2">
      <c r="B134" s="479">
        <v>40695</v>
      </c>
    </row>
    <row r="135" spans="2:2" x14ac:dyDescent="0.2">
      <c r="B135" s="479">
        <v>40725</v>
      </c>
    </row>
    <row r="136" spans="2:2" x14ac:dyDescent="0.2">
      <c r="B136" s="479">
        <v>40756</v>
      </c>
    </row>
    <row r="137" spans="2:2" x14ac:dyDescent="0.2">
      <c r="B137" s="479">
        <v>40787</v>
      </c>
    </row>
    <row r="138" spans="2:2" x14ac:dyDescent="0.2">
      <c r="B138" s="479">
        <v>40817</v>
      </c>
    </row>
    <row r="139" spans="2:2" x14ac:dyDescent="0.2">
      <c r="B139" s="479">
        <v>40848</v>
      </c>
    </row>
    <row r="140" spans="2:2" x14ac:dyDescent="0.2">
      <c r="B140" s="479">
        <v>40878</v>
      </c>
    </row>
    <row r="141" spans="2:2" x14ac:dyDescent="0.2">
      <c r="B141" s="479">
        <v>40909</v>
      </c>
    </row>
    <row r="142" spans="2:2" x14ac:dyDescent="0.2">
      <c r="B142" s="479">
        <v>40940</v>
      </c>
    </row>
    <row r="143" spans="2:2" x14ac:dyDescent="0.2">
      <c r="B143" s="479">
        <v>40969</v>
      </c>
    </row>
    <row r="144" spans="2:2" x14ac:dyDescent="0.2">
      <c r="B144" s="479">
        <v>41000</v>
      </c>
    </row>
    <row r="145" spans="2:2" x14ac:dyDescent="0.2">
      <c r="B145" s="479">
        <v>41030</v>
      </c>
    </row>
    <row r="146" spans="2:2" x14ac:dyDescent="0.2">
      <c r="B146" s="479">
        <v>41061</v>
      </c>
    </row>
    <row r="147" spans="2:2" x14ac:dyDescent="0.2">
      <c r="B147" s="479">
        <v>41091</v>
      </c>
    </row>
    <row r="148" spans="2:2" x14ac:dyDescent="0.2">
      <c r="B148" s="479">
        <v>41122</v>
      </c>
    </row>
    <row r="149" spans="2:2" x14ac:dyDescent="0.2">
      <c r="B149" s="479">
        <v>41153</v>
      </c>
    </row>
    <row r="150" spans="2:2" x14ac:dyDescent="0.2">
      <c r="B150" s="479">
        <v>41183</v>
      </c>
    </row>
    <row r="151" spans="2:2" x14ac:dyDescent="0.2">
      <c r="B151" s="479">
        <v>41214</v>
      </c>
    </row>
    <row r="152" spans="2:2" x14ac:dyDescent="0.2">
      <c r="B152" s="479">
        <v>41244</v>
      </c>
    </row>
    <row r="153" spans="2:2" x14ac:dyDescent="0.2">
      <c r="B153" s="479">
        <v>41275</v>
      </c>
    </row>
    <row r="154" spans="2:2" x14ac:dyDescent="0.2">
      <c r="B154" s="479">
        <v>41306</v>
      </c>
    </row>
    <row r="155" spans="2:2" x14ac:dyDescent="0.2">
      <c r="B155" s="479">
        <v>41334</v>
      </c>
    </row>
    <row r="156" spans="2:2" x14ac:dyDescent="0.2">
      <c r="B156" s="479">
        <v>41365</v>
      </c>
    </row>
    <row r="157" spans="2:2" x14ac:dyDescent="0.2">
      <c r="B157" s="479">
        <v>41395</v>
      </c>
    </row>
    <row r="158" spans="2:2" x14ac:dyDescent="0.2">
      <c r="B158" s="479">
        <v>41426</v>
      </c>
    </row>
    <row r="159" spans="2:2" x14ac:dyDescent="0.2">
      <c r="B159" s="479">
        <v>41456</v>
      </c>
    </row>
    <row r="160" spans="2:2" x14ac:dyDescent="0.2">
      <c r="B160" s="479">
        <v>41487</v>
      </c>
    </row>
    <row r="161" spans="2:2" x14ac:dyDescent="0.2">
      <c r="B161" s="479">
        <v>41518</v>
      </c>
    </row>
    <row r="162" spans="2:2" x14ac:dyDescent="0.2">
      <c r="B162" s="479">
        <v>41548</v>
      </c>
    </row>
    <row r="163" spans="2:2" x14ac:dyDescent="0.2">
      <c r="B163" s="479">
        <v>41579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H165"/>
  <sheetViews>
    <sheetView showGridLines="0" workbookViewId="0"/>
  </sheetViews>
  <sheetFormatPr defaultRowHeight="13.2" x14ac:dyDescent="0.25"/>
  <cols>
    <col min="1" max="1" width="13.5546875" customWidth="1"/>
    <col min="2" max="2" width="14.6640625" customWidth="1"/>
    <col min="3" max="3" width="16" customWidth="1"/>
    <col min="4" max="4" width="18.5546875" customWidth="1"/>
    <col min="5" max="5" width="13.44140625" customWidth="1"/>
    <col min="6" max="6" width="16" customWidth="1"/>
    <col min="7" max="7" width="11" customWidth="1"/>
    <col min="8" max="8" width="12.33203125" customWidth="1"/>
    <col min="9" max="9" width="10.33203125" customWidth="1"/>
    <col min="10" max="14" width="12.33203125" customWidth="1"/>
    <col min="15" max="15" width="13.5546875" customWidth="1"/>
    <col min="19" max="19" width="13.5546875" customWidth="1"/>
    <col min="20" max="20" width="14.6640625" customWidth="1"/>
    <col min="21" max="21" width="16" customWidth="1"/>
    <col min="22" max="22" width="18.5546875" customWidth="1"/>
    <col min="23" max="23" width="13.88671875" customWidth="1"/>
    <col min="24" max="24" width="16" customWidth="1"/>
    <col min="25" max="25" width="11" customWidth="1"/>
    <col min="26" max="26" width="12.33203125" customWidth="1"/>
    <col min="31" max="32" width="12.33203125" customWidth="1"/>
    <col min="33" max="33" width="13.5546875" customWidth="1"/>
    <col min="37" max="37" width="13.5546875" customWidth="1"/>
    <col min="38" max="38" width="14.6640625" customWidth="1"/>
    <col min="39" max="39" width="16" customWidth="1"/>
    <col min="40" max="40" width="18.5546875" customWidth="1"/>
    <col min="41" max="41" width="13.88671875" customWidth="1"/>
    <col min="42" max="42" width="16" customWidth="1"/>
    <col min="43" max="43" width="11" customWidth="1"/>
    <col min="44" max="44" width="12.33203125" customWidth="1"/>
    <col min="49" max="50" width="12.33203125" customWidth="1"/>
    <col min="51" max="51" width="13.5546875" customWidth="1"/>
    <col min="54" max="54" width="12.6640625" customWidth="1"/>
    <col min="66" max="66" width="10.88671875" customWidth="1"/>
    <col min="68" max="68" width="11.6640625" customWidth="1"/>
    <col min="71" max="71" width="12.6640625" customWidth="1"/>
    <col min="85" max="85" width="12.109375" customWidth="1"/>
  </cols>
  <sheetData>
    <row r="1" spans="1:86" ht="13.8" thickBot="1" x14ac:dyDescent="0.3"/>
    <row r="2" spans="1:86" ht="15.6" x14ac:dyDescent="0.3">
      <c r="A2" s="35" t="s">
        <v>73</v>
      </c>
      <c r="B2" s="36"/>
      <c r="C2" s="36"/>
      <c r="D2" s="36"/>
      <c r="E2" s="36"/>
      <c r="F2" s="37"/>
      <c r="G2" s="37"/>
      <c r="H2" s="37"/>
      <c r="I2" s="37"/>
      <c r="J2" s="37"/>
      <c r="K2" s="37"/>
      <c r="L2" s="36"/>
      <c r="M2" s="36"/>
      <c r="N2" s="36"/>
      <c r="O2" s="35" t="s">
        <v>49</v>
      </c>
      <c r="P2" s="37"/>
      <c r="S2" s="35" t="s">
        <v>73</v>
      </c>
      <c r="T2" s="36"/>
      <c r="U2" s="36"/>
      <c r="V2" s="36"/>
      <c r="W2" s="36"/>
      <c r="X2" s="37"/>
      <c r="Y2" s="37"/>
      <c r="Z2" s="37"/>
      <c r="AA2" s="37"/>
      <c r="AB2" s="37"/>
      <c r="AC2" s="37"/>
      <c r="AD2" s="37"/>
      <c r="AE2" s="37"/>
      <c r="AF2" s="36"/>
      <c r="AG2" s="35" t="s">
        <v>49</v>
      </c>
      <c r="AH2" s="37"/>
      <c r="AK2" s="35" t="s">
        <v>73</v>
      </c>
      <c r="AL2" s="36"/>
      <c r="AM2" s="36"/>
      <c r="AN2" s="36"/>
      <c r="AO2" s="36"/>
      <c r="AP2" s="37"/>
      <c r="AQ2" s="37"/>
      <c r="AR2" s="37"/>
      <c r="AS2" s="37"/>
      <c r="AT2" s="37"/>
      <c r="AU2" s="37"/>
      <c r="AV2" s="37"/>
      <c r="AW2" s="37"/>
      <c r="AX2" s="36"/>
      <c r="AY2" s="35" t="s">
        <v>49</v>
      </c>
      <c r="AZ2" s="37"/>
      <c r="BB2" s="35" t="s">
        <v>73</v>
      </c>
      <c r="BC2" s="36"/>
      <c r="BD2" s="36"/>
      <c r="BE2" s="36"/>
      <c r="BF2" s="36"/>
      <c r="BG2" s="37"/>
      <c r="BH2" s="37"/>
      <c r="BI2" s="37"/>
      <c r="BJ2" s="37"/>
      <c r="BK2" s="37"/>
      <c r="BL2" s="37"/>
      <c r="BM2" s="37"/>
      <c r="BN2" s="37"/>
      <c r="BO2" s="36"/>
      <c r="BP2" s="35" t="s">
        <v>49</v>
      </c>
      <c r="BQ2" s="37"/>
      <c r="BS2" s="35" t="s">
        <v>73</v>
      </c>
      <c r="BT2" s="36"/>
      <c r="BU2" s="36"/>
      <c r="BV2" s="36"/>
      <c r="BW2" s="36"/>
      <c r="BX2" s="37"/>
      <c r="BY2" s="37"/>
      <c r="BZ2" s="37"/>
      <c r="CA2" s="37"/>
      <c r="CB2" s="37"/>
      <c r="CC2" s="37"/>
      <c r="CD2" s="37"/>
      <c r="CE2" s="37"/>
      <c r="CF2" s="36"/>
      <c r="CG2" s="35" t="s">
        <v>49</v>
      </c>
      <c r="CH2" s="37"/>
    </row>
    <row r="3" spans="1:86" ht="13.8" x14ac:dyDescent="0.25">
      <c r="A3" s="38" t="s">
        <v>3</v>
      </c>
      <c r="B3" s="463"/>
      <c r="C3" s="462"/>
      <c r="D3" s="462"/>
      <c r="E3" s="462" t="s">
        <v>472</v>
      </c>
      <c r="F3" s="462" t="s">
        <v>473</v>
      </c>
      <c r="G3" s="465">
        <f>'Basis Options'!$AB$5</f>
        <v>0</v>
      </c>
      <c r="H3" s="462" t="s">
        <v>474</v>
      </c>
      <c r="I3" s="466">
        <f>'Basis Options'!$AB$4</f>
        <v>36697</v>
      </c>
      <c r="J3" s="462"/>
      <c r="K3" s="462"/>
      <c r="L3" s="462"/>
      <c r="M3" s="462"/>
      <c r="N3" s="462"/>
      <c r="O3" s="38" t="s">
        <v>3</v>
      </c>
      <c r="P3" s="121" t="s">
        <v>41</v>
      </c>
      <c r="S3" s="38" t="s">
        <v>3</v>
      </c>
      <c r="T3" s="463"/>
      <c r="U3" s="462"/>
      <c r="V3" s="462"/>
      <c r="W3" s="462" t="s">
        <v>475</v>
      </c>
      <c r="X3" s="462" t="s">
        <v>473</v>
      </c>
      <c r="Y3" s="465">
        <f>'Basis Options'!$AB$5</f>
        <v>0</v>
      </c>
      <c r="Z3" s="462" t="s">
        <v>474</v>
      </c>
      <c r="AA3" s="466">
        <f>'Basis Options'!$AB$4</f>
        <v>36697</v>
      </c>
      <c r="AB3" s="466"/>
      <c r="AC3" s="466"/>
      <c r="AD3" s="466"/>
      <c r="AE3" s="462"/>
      <c r="AF3" s="462"/>
      <c r="AG3" s="38" t="s">
        <v>3</v>
      </c>
      <c r="AH3" s="121" t="s">
        <v>41</v>
      </c>
      <c r="AK3" s="38" t="s">
        <v>3</v>
      </c>
      <c r="AL3" s="463"/>
      <c r="AM3" s="462"/>
      <c r="AN3" s="462"/>
      <c r="AO3" s="462" t="s">
        <v>476</v>
      </c>
      <c r="AP3" s="462" t="s">
        <v>473</v>
      </c>
      <c r="AQ3" s="465">
        <f>'Basis Options'!$AB$5</f>
        <v>0</v>
      </c>
      <c r="AR3" s="462" t="s">
        <v>474</v>
      </c>
      <c r="AS3" s="466">
        <f>'Basis Options'!$AB$4</f>
        <v>36697</v>
      </c>
      <c r="AT3" s="466"/>
      <c r="AU3" s="466"/>
      <c r="AV3" s="466"/>
      <c r="AW3" s="462"/>
      <c r="AX3" s="462"/>
      <c r="AY3" s="38" t="s">
        <v>3</v>
      </c>
      <c r="AZ3" s="121" t="s">
        <v>41</v>
      </c>
      <c r="BB3" s="38" t="s">
        <v>3</v>
      </c>
      <c r="BC3" s="463"/>
      <c r="BD3" s="462"/>
      <c r="BE3" s="462"/>
      <c r="BF3" s="462" t="s">
        <v>498</v>
      </c>
      <c r="BG3" s="462"/>
      <c r="BH3" s="465">
        <f>'Basis Options'!$AB$5</f>
        <v>0</v>
      </c>
      <c r="BI3" s="462" t="s">
        <v>474</v>
      </c>
      <c r="BJ3" s="466">
        <f>'Basis Options'!$AB$4</f>
        <v>36697</v>
      </c>
      <c r="BK3" s="466"/>
      <c r="BL3" s="466"/>
      <c r="BM3" s="466"/>
      <c r="BN3" s="462"/>
      <c r="BO3" s="462"/>
      <c r="BP3" s="38" t="s">
        <v>3</v>
      </c>
      <c r="BQ3" s="121" t="s">
        <v>41</v>
      </c>
      <c r="BS3" s="38" t="s">
        <v>3</v>
      </c>
      <c r="BT3" s="463"/>
      <c r="BU3" s="462"/>
      <c r="BV3" s="462"/>
      <c r="BW3" s="462" t="s">
        <v>519</v>
      </c>
      <c r="BX3" s="462"/>
      <c r="BY3" s="465">
        <f>'Basis Options'!$AB$5</f>
        <v>0</v>
      </c>
      <c r="BZ3" s="462" t="s">
        <v>474</v>
      </c>
      <c r="CA3" s="466">
        <f>'Basis Options'!$AB$4</f>
        <v>36697</v>
      </c>
      <c r="CB3" s="466"/>
      <c r="CC3" s="466"/>
      <c r="CD3" s="466"/>
      <c r="CE3" s="462"/>
      <c r="CF3" s="462"/>
      <c r="CG3" s="38" t="s">
        <v>3</v>
      </c>
      <c r="CH3" s="121" t="s">
        <v>41</v>
      </c>
    </row>
    <row r="4" spans="1:86" ht="13.8" x14ac:dyDescent="0.25">
      <c r="A4" s="39"/>
      <c r="B4" s="122" t="s">
        <v>7</v>
      </c>
      <c r="C4" s="123" t="s">
        <v>10</v>
      </c>
      <c r="D4" s="123" t="s">
        <v>9</v>
      </c>
      <c r="E4" s="123" t="s">
        <v>74</v>
      </c>
      <c r="F4" s="123" t="s">
        <v>0</v>
      </c>
      <c r="G4" s="123" t="s">
        <v>190</v>
      </c>
      <c r="H4" s="123" t="s">
        <v>325</v>
      </c>
      <c r="I4" s="123" t="s">
        <v>119</v>
      </c>
      <c r="J4" s="123" t="s">
        <v>384</v>
      </c>
      <c r="K4" s="123" t="s">
        <v>6</v>
      </c>
      <c r="L4" s="123" t="s">
        <v>487</v>
      </c>
      <c r="M4" s="123" t="s">
        <v>526</v>
      </c>
      <c r="N4" s="123" t="s">
        <v>617</v>
      </c>
      <c r="O4" s="39"/>
      <c r="P4" s="125"/>
      <c r="S4" s="39"/>
      <c r="T4" s="122" t="s">
        <v>7</v>
      </c>
      <c r="U4" s="123" t="s">
        <v>10</v>
      </c>
      <c r="V4" s="123" t="s">
        <v>9</v>
      </c>
      <c r="W4" s="123" t="s">
        <v>74</v>
      </c>
      <c r="X4" s="123" t="s">
        <v>0</v>
      </c>
      <c r="Y4" s="123" t="s">
        <v>190</v>
      </c>
      <c r="Z4" s="123" t="s">
        <v>325</v>
      </c>
      <c r="AA4" s="123" t="s">
        <v>119</v>
      </c>
      <c r="AB4" s="123" t="s">
        <v>384</v>
      </c>
      <c r="AC4" s="123" t="s">
        <v>6</v>
      </c>
      <c r="AD4" s="123" t="s">
        <v>487</v>
      </c>
      <c r="AE4" s="123" t="s">
        <v>526</v>
      </c>
      <c r="AF4" s="123" t="s">
        <v>617</v>
      </c>
      <c r="AG4" s="39"/>
      <c r="AH4" s="125"/>
      <c r="AK4" s="39"/>
      <c r="AL4" s="122" t="s">
        <v>7</v>
      </c>
      <c r="AM4" s="123" t="s">
        <v>10</v>
      </c>
      <c r="AN4" s="123" t="s">
        <v>9</v>
      </c>
      <c r="AO4" s="123" t="s">
        <v>74</v>
      </c>
      <c r="AP4" s="123" t="s">
        <v>0</v>
      </c>
      <c r="AQ4" s="123" t="s">
        <v>190</v>
      </c>
      <c r="AR4" s="123" t="s">
        <v>325</v>
      </c>
      <c r="AS4" s="123" t="s">
        <v>119</v>
      </c>
      <c r="AT4" s="123" t="s">
        <v>384</v>
      </c>
      <c r="AU4" s="123" t="s">
        <v>6</v>
      </c>
      <c r="AV4" s="123" t="s">
        <v>487</v>
      </c>
      <c r="AW4" s="123" t="s">
        <v>526</v>
      </c>
      <c r="AX4" s="123" t="s">
        <v>617</v>
      </c>
      <c r="AY4" s="39"/>
      <c r="AZ4" s="125"/>
      <c r="BB4" s="39"/>
      <c r="BC4" s="122" t="s">
        <v>7</v>
      </c>
      <c r="BD4" s="123" t="s">
        <v>10</v>
      </c>
      <c r="BE4" s="123" t="s">
        <v>9</v>
      </c>
      <c r="BF4" s="123" t="s">
        <v>74</v>
      </c>
      <c r="BG4" s="123" t="s">
        <v>0</v>
      </c>
      <c r="BH4" s="123" t="s">
        <v>190</v>
      </c>
      <c r="BI4" s="123" t="s">
        <v>325</v>
      </c>
      <c r="BJ4" s="123" t="s">
        <v>119</v>
      </c>
      <c r="BK4" s="123" t="s">
        <v>384</v>
      </c>
      <c r="BL4" s="123" t="s">
        <v>6</v>
      </c>
      <c r="BM4" s="123" t="s">
        <v>487</v>
      </c>
      <c r="BN4" s="123" t="s">
        <v>526</v>
      </c>
      <c r="BO4" s="123" t="s">
        <v>617</v>
      </c>
      <c r="BP4" s="39"/>
      <c r="BQ4" s="125"/>
      <c r="BS4" s="39"/>
      <c r="BT4" s="122" t="s">
        <v>7</v>
      </c>
      <c r="BU4" s="123" t="s">
        <v>10</v>
      </c>
      <c r="BV4" s="123" t="s">
        <v>9</v>
      </c>
      <c r="BW4" s="123" t="s">
        <v>74</v>
      </c>
      <c r="BX4" s="123" t="s">
        <v>0</v>
      </c>
      <c r="BY4" s="123" t="s">
        <v>190</v>
      </c>
      <c r="BZ4" s="123" t="s">
        <v>325</v>
      </c>
      <c r="CA4" s="123" t="s">
        <v>119</v>
      </c>
      <c r="CB4" s="123" t="s">
        <v>384</v>
      </c>
      <c r="CC4" s="123" t="s">
        <v>6</v>
      </c>
      <c r="CD4" s="123" t="s">
        <v>487</v>
      </c>
      <c r="CE4" s="123" t="s">
        <v>526</v>
      </c>
      <c r="CF4" s="123" t="s">
        <v>617</v>
      </c>
      <c r="CG4" s="39"/>
      <c r="CH4" s="125"/>
    </row>
    <row r="5" spans="1:86" x14ac:dyDescent="0.25">
      <c r="A5" s="127">
        <v>36739</v>
      </c>
      <c r="B5" s="43">
        <f>SUMIF('Basis Options'!X:X,CONCATENATE($A5,B$4),'Basis Options'!AB:AB)</f>
        <v>0</v>
      </c>
      <c r="C5" s="43">
        <f>SUMIF('Basis Options'!$X:$X,CONCATENATE($A5,C$4),'Basis Options'!$AB:$AB)</f>
        <v>0</v>
      </c>
      <c r="D5" s="43">
        <f>SUMIF('Basis Options'!$X:$X,CONCATENATE($A5,D$4),'Basis Options'!$AB:$AB)</f>
        <v>0</v>
      </c>
      <c r="E5" s="43">
        <f>SUMIF('Basis Options'!$X:$X,CONCATENATE($A5,E$4),'Basis Options'!$AB:$AB)</f>
        <v>0</v>
      </c>
      <c r="F5" s="43">
        <f>SUMIF('Basis Options'!$X:$X,CONCATENATE($A5,F$4),'Basis Options'!$AB:$AB)</f>
        <v>0</v>
      </c>
      <c r="G5" s="43">
        <f>SUMIF('Basis Options'!$X:$X,CONCATENATE($A5,G$4),'Basis Options'!$AB:$AB)</f>
        <v>0</v>
      </c>
      <c r="H5" s="43">
        <f>SUMIF('Basis Options'!$X:$X,CONCATENATE($A5,H$4),'Basis Options'!$AB:$AB)</f>
        <v>0</v>
      </c>
      <c r="I5" s="43">
        <f>SUMIF('Basis Options'!$X:$X,CONCATENATE($A5,I$4),'Basis Options'!$AB:$AB)</f>
        <v>0</v>
      </c>
      <c r="J5" s="43">
        <f>SUMIF('Basis Options'!$X:$X,CONCATENATE($A5,J$4),'Basis Options'!$AB:$AB)</f>
        <v>0</v>
      </c>
      <c r="K5" s="43">
        <f>SUMIF('Basis Options'!$X:$X,CONCATENATE($A5,K$4),'Basis Options'!$AB:$AB)</f>
        <v>0</v>
      </c>
      <c r="L5" s="43">
        <f>SUMIF('Basis Options'!$X:$X,CONCATENATE($A5,L$4),'Basis Options'!$AB:$AB)</f>
        <v>0</v>
      </c>
      <c r="M5" s="43">
        <f>SUMIF('Basis Options'!$X:$X,CONCATENATE($A5,M$4),'Basis Options'!$AB:$AB)</f>
        <v>0</v>
      </c>
      <c r="N5" s="43">
        <f>SUMIF('Basis Options'!$X:$X,CONCATENATE($A5,N$4),'Basis Options'!$AB:$AB)</f>
        <v>0</v>
      </c>
      <c r="O5" s="127">
        <f>A5</f>
        <v>36739</v>
      </c>
      <c r="P5" s="44">
        <f>SUM(B5:N5)</f>
        <v>0</v>
      </c>
      <c r="S5" s="127">
        <v>36739</v>
      </c>
      <c r="T5" s="43">
        <f>SUMIF('Basis Options'!$X:$X,CONCATENATE($S5,T$4),'Basis Options'!$AC:$AC)</f>
        <v>0</v>
      </c>
      <c r="U5" s="43">
        <f>SUMIF('Basis Options'!$X:$X,CONCATENATE($S5,U$4),'Basis Options'!$AC:$AC)</f>
        <v>0</v>
      </c>
      <c r="V5" s="43">
        <f>SUMIF('Basis Options'!$X:$X,CONCATENATE($S5,V$4),'Basis Options'!$AC:$AC)</f>
        <v>0</v>
      </c>
      <c r="W5" s="43">
        <f>SUMIF('Basis Options'!$X:$X,CONCATENATE($S5,W$4),'Basis Options'!$AC:$AC)</f>
        <v>0</v>
      </c>
      <c r="X5" s="43">
        <f>SUMIF('Basis Options'!$X:$X,CONCATENATE($S5,X$4),'Basis Options'!$AC:$AC)</f>
        <v>0</v>
      </c>
      <c r="Y5" s="43">
        <f>SUMIF('Basis Options'!$X:$X,CONCATENATE($S5,Y$4),'Basis Options'!$AC:$AC)</f>
        <v>0</v>
      </c>
      <c r="Z5" s="43">
        <f>SUMIF('Basis Options'!$X:$X,CONCATENATE($S5,Z$4),'Basis Options'!$AC:$AC)</f>
        <v>0</v>
      </c>
      <c r="AA5" s="43">
        <f>SUMIF('Basis Options'!$X:$X,CONCATENATE($S5,AA$4),'Basis Options'!$AC:$AC)</f>
        <v>0</v>
      </c>
      <c r="AB5" s="43">
        <f>SUMIF('Basis Options'!$X:$X,CONCATENATE($S5,AB$4),'Basis Options'!$AC:$AC)</f>
        <v>0</v>
      </c>
      <c r="AC5" s="43">
        <f>SUMIF('Basis Options'!$X:$X,CONCATENATE($S5,AC$4),'Basis Options'!$AC:$AC)</f>
        <v>0</v>
      </c>
      <c r="AD5" s="43">
        <f>SUMIF('Basis Options'!$X:$X,CONCATENATE($S5,AD$4),'Basis Options'!$AC:$AC)</f>
        <v>0</v>
      </c>
      <c r="AE5" s="43">
        <f>SUMIF('Basis Options'!$X:$X,CONCATENATE($S5,AE$4),'Basis Options'!$AC:$AC)</f>
        <v>0</v>
      </c>
      <c r="AF5" s="43">
        <f>SUMIF('Basis Options'!$X:$X,CONCATENATE($S5,AF$4),'Basis Options'!$AC:$AC)</f>
        <v>0</v>
      </c>
      <c r="AG5" s="127">
        <f>S5</f>
        <v>36739</v>
      </c>
      <c r="AH5" s="44">
        <f>SUM(T5:AF5)</f>
        <v>0</v>
      </c>
      <c r="AK5" s="127">
        <v>36739</v>
      </c>
      <c r="AL5" s="43">
        <f>SUMIF('Basis Options'!$X:$X,CONCATENATE($AK5,AL$4),'Basis Options'!$AD:$AD)</f>
        <v>0</v>
      </c>
      <c r="AM5" s="43">
        <f>SUMIF('Basis Options'!$X:$X,CONCATENATE($AK5,AM$4),'Basis Options'!$AD:$AD)</f>
        <v>0</v>
      </c>
      <c r="AN5" s="43">
        <f>SUMIF('Basis Options'!$X:$X,CONCATENATE($AK5,AN$4),'Basis Options'!$AD:$AD)</f>
        <v>0</v>
      </c>
      <c r="AO5" s="43">
        <f>SUMIF('Basis Options'!$X:$X,CONCATENATE($AK5,AO$4),'Basis Options'!$AD:$AD)</f>
        <v>0</v>
      </c>
      <c r="AP5" s="43">
        <f>SUMIF('Basis Options'!$X:$X,CONCATENATE($AK5,AP$4),'Basis Options'!$AD:$AD)</f>
        <v>0</v>
      </c>
      <c r="AQ5" s="43">
        <f>SUMIF('Basis Options'!$X:$X,CONCATENATE($AK5,AQ$4),'Basis Options'!$AD:$AD)</f>
        <v>0</v>
      </c>
      <c r="AR5" s="43">
        <f>SUMIF('Basis Options'!$X:$X,CONCATENATE($AK5,AR$4),'Basis Options'!$AD:$AD)</f>
        <v>0</v>
      </c>
      <c r="AS5" s="43">
        <f>SUMIF('Basis Options'!$X:$X,CONCATENATE($AK5,AS$4),'Basis Options'!$AD:$AD)</f>
        <v>0</v>
      </c>
      <c r="AT5" s="43">
        <f>SUMIF('Basis Options'!$X:$X,CONCATENATE($AK5,AT$4),'Basis Options'!$AD:$AD)</f>
        <v>0</v>
      </c>
      <c r="AU5" s="43">
        <f>SUMIF('Basis Options'!$X:$X,CONCATENATE($AK5,AU$4),'Basis Options'!$AD:$AD)</f>
        <v>0</v>
      </c>
      <c r="AV5" s="43">
        <f>SUMIF('Basis Options'!$X:$X,CONCATENATE($AK5,AV$4),'Basis Options'!$AD:$AD)</f>
        <v>0</v>
      </c>
      <c r="AW5" s="43">
        <f>SUMIF('Basis Options'!$X:$X,CONCATENATE($AK5,AW$4),'Basis Options'!$AD:$AD)</f>
        <v>0</v>
      </c>
      <c r="AX5" s="43">
        <f>SUMIF('Basis Options'!$X:$X,CONCATENATE($AK5,AX$4),'Basis Options'!$AD:$AD)</f>
        <v>0</v>
      </c>
      <c r="AY5" s="127">
        <f>AK5</f>
        <v>36739</v>
      </c>
      <c r="AZ5" s="44">
        <f>SUM(AL5:AX5)</f>
        <v>0</v>
      </c>
      <c r="BB5" s="127">
        <v>36739</v>
      </c>
      <c r="BC5" s="43">
        <f>SUMIF('Basis Options'!$X:$X,CONCATENATE($AK5,BC$4),'Basis Options'!$AD:$AD)</f>
        <v>0</v>
      </c>
      <c r="BD5" s="43">
        <f>SUMIF('Basis Options'!$X:$X,CONCATENATE($AK5,BD$4),'Basis Options'!$AD:$AD)</f>
        <v>0</v>
      </c>
      <c r="BE5" s="43">
        <f>SUMIF('Basis Options'!$X:$X,CONCATENATE($AK5,BE$4),'Basis Options'!$AD:$AD)</f>
        <v>0</v>
      </c>
      <c r="BF5" s="43">
        <f>SUMIF('Basis Options'!$X:$X,CONCATENATE($AK5,BF$4),'Basis Options'!$AD:$AD)</f>
        <v>0</v>
      </c>
      <c r="BG5" s="43">
        <f>SUMIF('Basis Options'!$X:$X,CONCATENATE($AK5,BG$4),'Basis Options'!$AD:$AD)</f>
        <v>0</v>
      </c>
      <c r="BH5" s="43">
        <f>SUMIF('Basis Options'!$X:$X,CONCATENATE($AK5,BH$4),'Basis Options'!$AD:$AD)</f>
        <v>0</v>
      </c>
      <c r="BI5" s="43">
        <f>SUMIF('Basis Options'!$X:$X,CONCATENATE($AK5,BI$4),'Basis Options'!$AD:$AD)</f>
        <v>0</v>
      </c>
      <c r="BJ5" s="43">
        <f>SUMIF('Basis Options'!$X:$X,CONCATENATE($AK5,BJ$4),'Basis Options'!$AD:$AD)</f>
        <v>0</v>
      </c>
      <c r="BK5" s="43">
        <f>SUMIF('Basis Options'!$X:$X,CONCATENATE($AK5,BK$4),'Basis Options'!$AD:$AD)</f>
        <v>0</v>
      </c>
      <c r="BL5" s="43">
        <f>SUMIF('Basis Options'!$X:$X,CONCATENATE($AK5,BL$4),'Basis Options'!$AD:$AD)</f>
        <v>0</v>
      </c>
      <c r="BM5" s="43">
        <f>SUMIF('Basis Options'!$X:$X,CONCATENATE($AK5,BM$4),'Basis Options'!$AD:$AD)</f>
        <v>0</v>
      </c>
      <c r="BN5" s="43">
        <f>SUMIF('Basis Options'!$X:$X,CONCATENATE($AK5,BN$4),'Basis Options'!$AD:$AD)</f>
        <v>0</v>
      </c>
      <c r="BO5" s="43">
        <f>SUMIF('Basis Options'!$X:$X,CONCATENATE($AK5,BO$4),'Basis Options'!$AD:$AD)</f>
        <v>0</v>
      </c>
      <c r="BP5" s="127">
        <f>BB5</f>
        <v>36739</v>
      </c>
      <c r="BQ5" s="44">
        <f>SUM(BC5:BO5)</f>
        <v>0</v>
      </c>
      <c r="BS5" s="127">
        <v>36739</v>
      </c>
      <c r="BT5" s="43">
        <f>SUMIF('Basis Options'!$X:$X,CONCATENATE($BS5,BT$4),'Basis Options'!$AI:$AI)</f>
        <v>0</v>
      </c>
      <c r="BU5" s="43">
        <f>SUMIF('Basis Options'!$X:$X,CONCATENATE($BS5,BU$4),'Basis Options'!$AI:$AI)</f>
        <v>0</v>
      </c>
      <c r="BV5" s="43">
        <f>SUMIF('Basis Options'!$X:$X,CONCATENATE($BS5,BV$4),'Basis Options'!$AI:$AI)</f>
        <v>0</v>
      </c>
      <c r="BW5" s="43">
        <f>SUMIF('Basis Options'!$X:$X,CONCATENATE($BS5,BW$4),'Basis Options'!$AI:$AI)</f>
        <v>0</v>
      </c>
      <c r="BX5" s="43">
        <f>SUMIF('Basis Options'!$X:$X,CONCATENATE($BS5,BX$4),'Basis Options'!$AI:$AI)</f>
        <v>0</v>
      </c>
      <c r="BY5" s="43">
        <f>SUMIF('Basis Options'!$X:$X,CONCATENATE($BS5,BY$4),'Basis Options'!$AI:$AI)</f>
        <v>0</v>
      </c>
      <c r="BZ5" s="43">
        <f>SUMIF('Basis Options'!$X:$X,CONCATENATE($BS5,BZ$4),'Basis Options'!$AI:$AI)</f>
        <v>0</v>
      </c>
      <c r="CA5" s="43">
        <f>SUMIF('Basis Options'!$X:$X,CONCATENATE($BS5,CA$4),'Basis Options'!$AI:$AI)</f>
        <v>0</v>
      </c>
      <c r="CB5" s="43">
        <f>SUMIF('Basis Options'!$X:$X,CONCATENATE($BS5,CB$4),'Basis Options'!$AI:$AI)</f>
        <v>0</v>
      </c>
      <c r="CC5" s="43">
        <f>SUMIF('Basis Options'!$X:$X,CONCATENATE($BS5,CC$4),'Basis Options'!$AI:$AI)</f>
        <v>0</v>
      </c>
      <c r="CD5" s="43">
        <f>SUMIF('Basis Options'!$X:$X,CONCATENATE($BS5,CD$4),'Basis Options'!$AI:$AI)</f>
        <v>0</v>
      </c>
      <c r="CE5" s="43">
        <f>SUMIF('Basis Options'!$X:$X,CONCATENATE($BS5,CE$4),'Basis Options'!$AI:$AI)</f>
        <v>0</v>
      </c>
      <c r="CF5" s="43">
        <f>SUMIF('Basis Options'!$X:$X,CONCATENATE($BS5,CF$4),'Basis Options'!$AI:$AI)</f>
        <v>0</v>
      </c>
      <c r="CG5" s="127">
        <f>BS5</f>
        <v>36739</v>
      </c>
      <c r="CH5" s="44">
        <f>SUM(BT5:CF5)</f>
        <v>0</v>
      </c>
    </row>
    <row r="6" spans="1:86" x14ac:dyDescent="0.25">
      <c r="A6" s="128">
        <f t="shared" ref="A6:A37" si="0">EOMONTH(A5,0)+1</f>
        <v>36770</v>
      </c>
      <c r="B6" s="43">
        <f>SUMIF('Basis Options'!X:X,CONCATENATE($A6,B$4),'Basis Options'!AB:AB)</f>
        <v>-140.24842668907485</v>
      </c>
      <c r="C6" s="43">
        <f>SUMIF('Basis Options'!$X:$X,CONCATENATE($A6,C$4),'Basis Options'!$AB:$AB)</f>
        <v>33.328517882467793</v>
      </c>
      <c r="D6" s="43">
        <f>SUMIF('Basis Options'!$X:$X,CONCATENATE($A6,D$4),'Basis Options'!$AB:$AB)</f>
        <v>-9.6975157390303615</v>
      </c>
      <c r="E6" s="43">
        <f>SUMIF('Basis Options'!$X:$X,CONCATENATE($A6,E$4),'Basis Options'!$AB:$AB)</f>
        <v>0</v>
      </c>
      <c r="F6" s="43">
        <f>SUMIF('Basis Options'!$X:$X,CONCATENATE($A6,F$4),'Basis Options'!$AB:$AB)</f>
        <v>0</v>
      </c>
      <c r="G6" s="43">
        <f>SUMIF('Basis Options'!$X:$X,CONCATENATE($A6,G$4),'Basis Options'!$AB:$AB)</f>
        <v>-3.9291541549963098E-113</v>
      </c>
      <c r="H6" s="43">
        <f>SUMIF('Basis Options'!$X:$X,CONCATENATE($A6,H$4),'Basis Options'!$AB:$AB)</f>
        <v>-2.5829319986501911E-54</v>
      </c>
      <c r="I6" s="43">
        <f>SUMIF('Basis Options'!$X:$X,CONCATENATE($A6,I$4),'Basis Options'!$AB:$AB)</f>
        <v>0</v>
      </c>
      <c r="J6" s="43">
        <f>SUMIF('Basis Options'!$X:$X,CONCATENATE($A6,J$4),'Basis Options'!$AB:$AB)</f>
        <v>9.0409983224018067</v>
      </c>
      <c r="K6" s="43">
        <f>SUMIF('Basis Options'!$X:$X,CONCATENATE($A6,K$4),'Basis Options'!$AB:$AB)</f>
        <v>0</v>
      </c>
      <c r="L6" s="43">
        <f>SUMIF('Basis Options'!$X:$X,CONCATENATE($A6,L$4),'Basis Options'!$AB:$AB)</f>
        <v>0</v>
      </c>
      <c r="M6" s="43">
        <f>SUMIF('Basis Options'!$X:$X,CONCATENATE($A6,M$4),'Basis Options'!$AB:$AB)</f>
        <v>0</v>
      </c>
      <c r="N6" s="43">
        <f>SUMIF('Basis Options'!$X:$X,CONCATENATE($A6,N$4),'Basis Options'!$AB:$AB)</f>
        <v>0</v>
      </c>
      <c r="O6" s="128">
        <f t="shared" ref="O6:O37" si="1">EOMONTH(O5,0)+1</f>
        <v>36770</v>
      </c>
      <c r="P6" s="44">
        <f t="shared" ref="P6:P69" si="2">SUM(B6:N6)</f>
        <v>-107.57642622323561</v>
      </c>
      <c r="R6" s="43">
        <f>SUM(T6:AE6)</f>
        <v>10583.445960561767</v>
      </c>
      <c r="S6" s="128">
        <f t="shared" ref="S6:S37" si="3">EOMONTH(S5,0)+1</f>
        <v>36770</v>
      </c>
      <c r="T6" s="43">
        <f>SUMIF('Basis Options'!$X:$X,CONCATENATE($S6,T$4),'Basis Options'!$AC:$AC)</f>
        <v>14101.200112329589</v>
      </c>
      <c r="U6" s="43">
        <f>SUMIF('Basis Options'!$X:$X,CONCATENATE($S6,U$4),'Basis Options'!$AC:$AC)</f>
        <v>-3259.2719867667965</v>
      </c>
      <c r="V6" s="43">
        <f>SUMIF('Basis Options'!$X:$X,CONCATENATE($S6,V$4),'Basis Options'!$AC:$AC)</f>
        <v>649.28782251228927</v>
      </c>
      <c r="W6" s="43">
        <f>SUMIF('Basis Options'!$X:$X,CONCATENATE($S6,W$4),'Basis Options'!$AC:$AC)</f>
        <v>0</v>
      </c>
      <c r="X6" s="43">
        <f>SUMIF('Basis Options'!$X:$X,CONCATENATE($S6,X$4),'Basis Options'!$AC:$AC)</f>
        <v>0</v>
      </c>
      <c r="Y6" s="43">
        <f>SUMIF('Basis Options'!$X:$X,CONCATENATE($S6,Y$4),'Basis Options'!$AC:$AC)</f>
        <v>1.5033030381805915E-4</v>
      </c>
      <c r="Z6" s="43">
        <f>SUMIF('Basis Options'!$X:$X,CONCATENATE($S6,Z$4),'Basis Options'!$AC:$AC)</f>
        <v>2.2630744968049747E-52</v>
      </c>
      <c r="AA6" s="43">
        <f>SUMIF('Basis Options'!$X:$X,CONCATENATE($S6,AA$4),'Basis Options'!$AC:$AC)</f>
        <v>0</v>
      </c>
      <c r="AB6" s="43">
        <f>SUMIF('Basis Options'!$X:$X,CONCATENATE($S6,AB$4),'Basis Options'!$AC:$AC)</f>
        <v>-907.77013784361975</v>
      </c>
      <c r="AC6" s="43">
        <f>SUMIF('Basis Options'!$X:$X,CONCATENATE($S6,AC$4),'Basis Options'!$AC:$AC)</f>
        <v>0</v>
      </c>
      <c r="AD6" s="43">
        <f>SUMIF('Basis Options'!$X:$X,CONCATENATE($S6,AD$4),'Basis Options'!$AC:$AC)</f>
        <v>0</v>
      </c>
      <c r="AE6" s="43">
        <f>SUMIF('Basis Options'!$X:$X,CONCATENATE($S6,AE$4),'Basis Options'!$AC:$AC)</f>
        <v>0</v>
      </c>
      <c r="AF6" s="43">
        <f>SUMIF('Basis Options'!$X:$X,CONCATENATE($S6,AF$4),'Basis Options'!$AC:$AC)</f>
        <v>0</v>
      </c>
      <c r="AG6" s="128">
        <f t="shared" ref="AG6:AG37" si="4">EOMONTH(AG5,0)+1</f>
        <v>36770</v>
      </c>
      <c r="AH6" s="44">
        <f t="shared" ref="AH6:AH69" si="5">SUM(T6:AF6)</f>
        <v>10583.445960561767</v>
      </c>
      <c r="AK6" s="128">
        <f t="shared" ref="AK6:AK37" si="6">EOMONTH(AK5,0)+1</f>
        <v>36770</v>
      </c>
      <c r="AL6" s="43">
        <f>SUMIF('Basis Options'!$X:$X,CONCATENATE($AK6,AL$4),'Basis Options'!$AD:$AD)</f>
        <v>11980.884064274202</v>
      </c>
      <c r="AM6" s="43">
        <f>SUMIF('Basis Options'!$X:$X,CONCATENATE($AK6,AM$4),'Basis Options'!$AD:$AD)</f>
        <v>-1660.709399449406</v>
      </c>
      <c r="AN6" s="43">
        <f>SUMIF('Basis Options'!$X:$X,CONCATENATE($AK6,AN$4),'Basis Options'!$AD:$AD)</f>
        <v>14437.295790588483</v>
      </c>
      <c r="AO6" s="43">
        <f>SUMIF('Basis Options'!$X:$X,CONCATENATE($AK6,AO$4),'Basis Options'!$AD:$AD)</f>
        <v>0</v>
      </c>
      <c r="AP6" s="43">
        <f>SUMIF('Basis Options'!$X:$X,CONCATENATE($AK6,AP$4),'Basis Options'!$AD:$AD)</f>
        <v>0</v>
      </c>
      <c r="AQ6" s="43">
        <f>SUMIF('Basis Options'!$X:$X,CONCATENATE($AK6,AQ$4),'Basis Options'!$AD:$AD)</f>
        <v>101.91042755095791</v>
      </c>
      <c r="AR6" s="43">
        <f>SUMIF('Basis Options'!$X:$X,CONCATENATE($AK6,AR$4),'Basis Options'!$AD:$AD)</f>
        <v>-40.506416692156996</v>
      </c>
      <c r="AS6" s="43">
        <f>SUMIF('Basis Options'!$X:$X,CONCATENATE($AK6,AS$4),'Basis Options'!$AD:$AD)</f>
        <v>0</v>
      </c>
      <c r="AT6" s="43">
        <f>SUMIF('Basis Options'!$X:$X,CONCATENATE($AK6,AT$4),'Basis Options'!$AD:$AD)</f>
        <v>-762.77027001771819</v>
      </c>
      <c r="AU6" s="43">
        <f>SUMIF('Basis Options'!$X:$X,CONCATENATE($AK6,AU$4),'Basis Options'!$AD:$AD)</f>
        <v>0</v>
      </c>
      <c r="AV6" s="43">
        <f>SUMIF('Basis Options'!$X:$X,CONCATENATE($AK6,AV$4),'Basis Options'!$AD:$AD)</f>
        <v>0</v>
      </c>
      <c r="AW6" s="43">
        <f>SUMIF('Basis Options'!$X:$X,CONCATENATE($AK6,AW$4),'Basis Options'!$AD:$AD)</f>
        <v>0</v>
      </c>
      <c r="AX6" s="43">
        <f>SUMIF('Basis Options'!$X:$X,CONCATENATE($AK6,AX$4),'Basis Options'!$AD:$AD)</f>
        <v>0</v>
      </c>
      <c r="AY6" s="128">
        <f t="shared" ref="AY6:AY37" si="7">EOMONTH(AY5,0)+1</f>
        <v>36770</v>
      </c>
      <c r="AZ6" s="44">
        <f t="shared" ref="AZ6:AZ69" si="8">SUM(AL6:AX6)</f>
        <v>24056.104196254357</v>
      </c>
      <c r="BB6" s="128">
        <f t="shared" ref="BB6:BB37" si="9">EOMONTH(BB5,0)+1</f>
        <v>36770</v>
      </c>
      <c r="BC6" s="43">
        <f>SUMIF('Basis Options'!$X:$X,CONCATENATE($AK6,BC$4),'Basis Options'!$AF:$AF)</f>
        <v>-600.45587570034013</v>
      </c>
      <c r="BD6" s="43">
        <f>SUMIF('Basis Options'!$X:$X,CONCATENATE($AK6,BD$4),'Basis Options'!$AF:$AF)</f>
        <v>83.076385094136583</v>
      </c>
      <c r="BE6" s="43">
        <f>SUMIF('Basis Options'!$X:$X,CONCATENATE($AK6,BE$4),'Basis Options'!$AF:$AF)</f>
        <v>-702.97306930987293</v>
      </c>
      <c r="BF6" s="43">
        <f>SUMIF('Basis Options'!$X:$X,CONCATENATE($AK6,BF$4),'Basis Options'!$AF:$AF)</f>
        <v>0</v>
      </c>
      <c r="BG6" s="43">
        <f>SUMIF('Basis Options'!$X:$X,CONCATENATE($AK6,BG$4),'Basis Options'!$AF:$AF)</f>
        <v>0</v>
      </c>
      <c r="BH6" s="43">
        <f>SUMIF('Basis Options'!$X:$X,CONCATENATE($AK6,BH$4),'Basis Options'!$AF:$AF)</f>
        <v>-1.1658255369374031E-8</v>
      </c>
      <c r="BI6" s="43">
        <f>SUMIF('Basis Options'!$X:$X,CONCATENATE($AK6,BI$4),'Basis Options'!$AF:$AF)</f>
        <v>-2.8293022677559596E-54</v>
      </c>
      <c r="BJ6" s="43">
        <f>SUMIF('Basis Options'!$X:$X,CONCATENATE($AK6,BJ$4),'Basis Options'!$AF:$AF)</f>
        <v>0</v>
      </c>
      <c r="BK6" s="43">
        <f>SUMIF('Basis Options'!$X:$X,CONCATENATE($AK6,BK$4),'Basis Options'!$AF:$AF)</f>
        <v>38.130572877006898</v>
      </c>
      <c r="BL6" s="43">
        <f>SUMIF('Basis Options'!$X:$X,CONCATENATE($AK6,BL$4),'Basis Options'!$AF:$AF)</f>
        <v>0</v>
      </c>
      <c r="BM6" s="43">
        <f>SUMIF('Basis Options'!$X:$X,CONCATENATE($AK6,BM$4),'Basis Options'!$AF:$AF)</f>
        <v>0</v>
      </c>
      <c r="BN6" s="43">
        <f>SUMIF('Basis Options'!$X:$X,CONCATENATE($AK6,BN$4),'Basis Options'!$AF:$AF)</f>
        <v>0</v>
      </c>
      <c r="BO6" s="43">
        <f>SUMIF('Basis Options'!$X:$X,CONCATENATE($AK6,BO$4),'Basis Options'!$AF:$AF)</f>
        <v>0</v>
      </c>
      <c r="BP6" s="128">
        <f t="shared" ref="BP6:BP37" si="10">EOMONTH(BP5,0)+1</f>
        <v>36770</v>
      </c>
      <c r="BQ6" s="44">
        <f t="shared" ref="BQ6:BQ69" si="11">SUM(BC6:BO6)</f>
        <v>-1182.2219870507279</v>
      </c>
      <c r="BS6" s="128">
        <f t="shared" ref="BS6:BS37" si="12">EOMONTH(BS5,0)+1</f>
        <v>36770</v>
      </c>
      <c r="BT6" s="43">
        <f>SUMIF('Basis Options'!$X:$X,CONCATENATE($BS6,BT$4),'Basis Options'!$AI:$AI)</f>
        <v>5.0949098646766555E-2</v>
      </c>
      <c r="BU6" s="43">
        <f>SUMIF('Basis Options'!$X:$X,CONCATENATE($BS6,BU$4),'Basis Options'!$AI:$AI)</f>
        <v>9.8858196755148064E-2</v>
      </c>
      <c r="BV6" s="43">
        <f>SUMIF('Basis Options'!$X:$X,CONCATENATE($BS6,BV$4),'Basis Options'!$AI:$AI)</f>
        <v>0.26041159100212125</v>
      </c>
      <c r="BW6" s="43">
        <f>SUMIF('Basis Options'!$X:$X,CONCATENATE($BS6,BW$4),'Basis Options'!$AI:$AI)</f>
        <v>0</v>
      </c>
      <c r="BX6" s="43">
        <f>SUMIF('Basis Options'!$X:$X,CONCATENATE($BS6,BX$4),'Basis Options'!$AI:$AI)</f>
        <v>0</v>
      </c>
      <c r="BY6" s="43">
        <f>SUMIF('Basis Options'!$X:$X,CONCATENATE($BS6,BY$4),'Basis Options'!$AI:$AI)</f>
        <v>3.5530855528602355E-5</v>
      </c>
      <c r="BZ6" s="43">
        <f>SUMIF('Basis Options'!$X:$X,CONCATENATE($BS6,BZ$4),'Basis Options'!$AI:$AI)</f>
        <v>1.1918578007041264E-55</v>
      </c>
      <c r="CA6" s="43">
        <f>SUMIF('Basis Options'!$X:$X,CONCATENATE($BS6,CA$4),'Basis Options'!$AI:$AI)</f>
        <v>0</v>
      </c>
      <c r="CB6" s="43">
        <f>SUMIF('Basis Options'!$X:$X,CONCATENATE($BS6,CB$4),'Basis Options'!$AI:$AI)</f>
        <v>7.968212229767957E-3</v>
      </c>
      <c r="CC6" s="43">
        <f>SUMIF('Basis Options'!$X:$X,CONCATENATE($BS6,CC$4),'Basis Options'!$AI:$AI)</f>
        <v>0</v>
      </c>
      <c r="CD6" s="43">
        <f>SUMIF('Basis Options'!$X:$X,CONCATENATE($BS6,CD$4),'Basis Options'!$AI:$AI)</f>
        <v>0</v>
      </c>
      <c r="CE6" s="43">
        <f>SUMIF('Basis Options'!$X:$X,CONCATENATE($BS6,CE$4),'Basis Options'!$AI:$AI)</f>
        <v>0</v>
      </c>
      <c r="CF6" s="43">
        <f>SUMIF('Basis Options'!$X:$X,CONCATENATE($BS6,CF$4),'Basis Options'!$AI:$AI)</f>
        <v>0</v>
      </c>
      <c r="CG6" s="128">
        <f t="shared" ref="CG6:CG37" si="13">EOMONTH(CG5,0)+1</f>
        <v>36770</v>
      </c>
      <c r="CH6" s="480">
        <f t="shared" ref="CH6:CH69" si="14">SUM(BT6:CF6)</f>
        <v>0.41822262948933242</v>
      </c>
    </row>
    <row r="7" spans="1:86" x14ac:dyDescent="0.25">
      <c r="A7" s="128">
        <f t="shared" si="0"/>
        <v>36800</v>
      </c>
      <c r="B7" s="43">
        <f>SUMIF('Basis Options'!X:X,CONCATENATE($A7,B$4),'Basis Options'!AB:AB)</f>
        <v>-13.666545322559539</v>
      </c>
      <c r="C7" s="43">
        <f>SUMIF('Basis Options'!$X:$X,CONCATENATE($A7,C$4),'Basis Options'!$AB:$AB)</f>
        <v>5.9341884938869267</v>
      </c>
      <c r="D7" s="43">
        <f>SUMIF('Basis Options'!$X:$X,CONCATENATE($A7,D$4),'Basis Options'!$AB:$AB)</f>
        <v>5.2210484707645302</v>
      </c>
      <c r="E7" s="43">
        <f>SUMIF('Basis Options'!$X:$X,CONCATENATE($A7,E$4),'Basis Options'!$AB:$AB)</f>
        <v>0</v>
      </c>
      <c r="F7" s="43">
        <f>SUMIF('Basis Options'!$X:$X,CONCATENATE($A7,F$4),'Basis Options'!$AB:$AB)</f>
        <v>0</v>
      </c>
      <c r="G7" s="43">
        <f>SUMIF('Basis Options'!$X:$X,CONCATENATE($A7,G$4),'Basis Options'!$AB:$AB)</f>
        <v>0.12316640103855649</v>
      </c>
      <c r="H7" s="43">
        <f>SUMIF('Basis Options'!$X:$X,CONCATENATE($A7,H$4),'Basis Options'!$AB:$AB)</f>
        <v>-7.5070333887849507</v>
      </c>
      <c r="I7" s="43">
        <f>SUMIF('Basis Options'!$X:$X,CONCATENATE($A7,I$4),'Basis Options'!$AB:$AB)</f>
        <v>0</v>
      </c>
      <c r="J7" s="43">
        <f>SUMIF('Basis Options'!$X:$X,CONCATENATE($A7,J$4),'Basis Options'!$AB:$AB)</f>
        <v>1.0037935056440401</v>
      </c>
      <c r="K7" s="43">
        <f>SUMIF('Basis Options'!$X:$X,CONCATENATE($A7,K$4),'Basis Options'!$AB:$AB)</f>
        <v>0</v>
      </c>
      <c r="L7" s="43">
        <f>SUMIF('Basis Options'!$X:$X,CONCATENATE($A7,L$4),'Basis Options'!$AB:$AB)</f>
        <v>0</v>
      </c>
      <c r="M7" s="43">
        <f>SUMIF('Basis Options'!$X:$X,CONCATENATE($A7,M$4),'Basis Options'!$AB:$AB)</f>
        <v>0</v>
      </c>
      <c r="N7" s="43">
        <f>SUMIF('Basis Options'!$X:$X,CONCATENATE($A7,N$4),'Basis Options'!$AB:$AB)</f>
        <v>0</v>
      </c>
      <c r="O7" s="128">
        <f t="shared" si="1"/>
        <v>36800</v>
      </c>
      <c r="P7" s="44">
        <f t="shared" si="2"/>
        <v>-8.8913818400104354</v>
      </c>
      <c r="R7" s="43">
        <f t="shared" ref="R7:R25" si="15">SUM(T7:AE7)</f>
        <v>62303.968919499224</v>
      </c>
      <c r="S7" s="128">
        <f t="shared" si="3"/>
        <v>36800</v>
      </c>
      <c r="T7" s="43">
        <f>SUMIF('Basis Options'!$X:$X,CONCATENATE($S7,T$4),'Basis Options'!$AC:$AC)</f>
        <v>86663.574846153351</v>
      </c>
      <c r="U7" s="43">
        <f>SUMIF('Basis Options'!$X:$X,CONCATENATE($S7,U$4),'Basis Options'!$AC:$AC)</f>
        <v>-36337.738680406736</v>
      </c>
      <c r="V7" s="43">
        <f>SUMIF('Basis Options'!$X:$X,CONCATENATE($S7,V$4),'Basis Options'!$AC:$AC)</f>
        <v>-23585.257397965521</v>
      </c>
      <c r="W7" s="43">
        <f>SUMIF('Basis Options'!$X:$X,CONCATENATE($S7,W$4),'Basis Options'!$AC:$AC)</f>
        <v>0</v>
      </c>
      <c r="X7" s="43">
        <f>SUMIF('Basis Options'!$X:$X,CONCATENATE($S7,X$4),'Basis Options'!$AC:$AC)</f>
        <v>0</v>
      </c>
      <c r="Y7" s="43">
        <f>SUMIF('Basis Options'!$X:$X,CONCATENATE($S7,Y$4),'Basis Options'!$AC:$AC)</f>
        <v>-1208.8889258890367</v>
      </c>
      <c r="Z7" s="43">
        <f>SUMIF('Basis Options'!$X:$X,CONCATENATE($S7,Z$4),'Basis Options'!$AC:$AC)</f>
        <v>43174.712162357333</v>
      </c>
      <c r="AA7" s="43">
        <f>SUMIF('Basis Options'!$X:$X,CONCATENATE($S7,AA$4),'Basis Options'!$AC:$AC)</f>
        <v>0</v>
      </c>
      <c r="AB7" s="43">
        <f>SUMIF('Basis Options'!$X:$X,CONCATENATE($S7,AB$4),'Basis Options'!$AC:$AC)</f>
        <v>-6402.4330847501724</v>
      </c>
      <c r="AC7" s="43">
        <f>SUMIF('Basis Options'!$X:$X,CONCATENATE($S7,AC$4),'Basis Options'!$AC:$AC)</f>
        <v>0</v>
      </c>
      <c r="AD7" s="43">
        <f>SUMIF('Basis Options'!$X:$X,CONCATENATE($S7,AD$4),'Basis Options'!$AC:$AC)</f>
        <v>0</v>
      </c>
      <c r="AE7" s="43">
        <f>SUMIF('Basis Options'!$X:$X,CONCATENATE($S7,AE$4),'Basis Options'!$AC:$AC)</f>
        <v>0</v>
      </c>
      <c r="AF7" s="43">
        <f>SUMIF('Basis Options'!$X:$X,CONCATENATE($S7,AF$4),'Basis Options'!$AC:$AC)</f>
        <v>0</v>
      </c>
      <c r="AG7" s="128">
        <f t="shared" si="4"/>
        <v>36800</v>
      </c>
      <c r="AH7" s="44">
        <f t="shared" si="5"/>
        <v>62303.968919499224</v>
      </c>
      <c r="AK7" s="128">
        <f t="shared" si="6"/>
        <v>36800</v>
      </c>
      <c r="AL7" s="43">
        <f>SUMIF('Basis Options'!$X:$X,CONCATENATE($AK7,AL$4),'Basis Options'!$AD:$AD)</f>
        <v>2800.6384711279516</v>
      </c>
      <c r="AM7" s="43">
        <f>SUMIF('Basis Options'!$X:$X,CONCATENATE($AK7,AM$4),'Basis Options'!$AD:$AD)</f>
        <v>-611.84588323127775</v>
      </c>
      <c r="AN7" s="43">
        <f>SUMIF('Basis Options'!$X:$X,CONCATENATE($AK7,AN$4),'Basis Options'!$AD:$AD)</f>
        <v>-13487.016369996405</v>
      </c>
      <c r="AO7" s="43">
        <f>SUMIF('Basis Options'!$X:$X,CONCATENATE($AK7,AO$4),'Basis Options'!$AD:$AD)</f>
        <v>0</v>
      </c>
      <c r="AP7" s="43">
        <f>SUMIF('Basis Options'!$X:$X,CONCATENATE($AK7,AP$4),'Basis Options'!$AD:$AD)</f>
        <v>0</v>
      </c>
      <c r="AQ7" s="43">
        <f>SUMIF('Basis Options'!$X:$X,CONCATENATE($AK7,AQ$4),'Basis Options'!$AD:$AD)</f>
        <v>-256.71544850418286</v>
      </c>
      <c r="AR7" s="43">
        <f>SUMIF('Basis Options'!$X:$X,CONCATENATE($AK7,AR$4),'Basis Options'!$AD:$AD)</f>
        <v>325.85849405125202</v>
      </c>
      <c r="AS7" s="43">
        <f>SUMIF('Basis Options'!$X:$X,CONCATENATE($AK7,AS$4),'Basis Options'!$AD:$AD)</f>
        <v>0</v>
      </c>
      <c r="AT7" s="43">
        <f>SUMIF('Basis Options'!$X:$X,CONCATENATE($AK7,AT$4),'Basis Options'!$AD:$AD)</f>
        <v>-177.92240852597249</v>
      </c>
      <c r="AU7" s="43">
        <f>SUMIF('Basis Options'!$X:$X,CONCATENATE($AK7,AU$4),'Basis Options'!$AD:$AD)</f>
        <v>0</v>
      </c>
      <c r="AV7" s="43">
        <f>SUMIF('Basis Options'!$X:$X,CONCATENATE($AK7,AV$4),'Basis Options'!$AD:$AD)</f>
        <v>0</v>
      </c>
      <c r="AW7" s="43">
        <f>SUMIF('Basis Options'!$X:$X,CONCATENATE($AK7,AW$4),'Basis Options'!$AD:$AD)</f>
        <v>0</v>
      </c>
      <c r="AX7" s="43">
        <f>SUMIF('Basis Options'!$X:$X,CONCATENATE($AK7,AX$4),'Basis Options'!$AD:$AD)</f>
        <v>0</v>
      </c>
      <c r="AY7" s="128">
        <f t="shared" si="7"/>
        <v>36800</v>
      </c>
      <c r="AZ7" s="44">
        <f t="shared" si="8"/>
        <v>-11407.003145078634</v>
      </c>
      <c r="BB7" s="128">
        <f t="shared" si="9"/>
        <v>36800</v>
      </c>
      <c r="BC7" s="43">
        <f>SUMIF('Basis Options'!$X:$X,CONCATENATE($AK7,BC$4),'Basis Options'!$AF:$AF)</f>
        <v>-3108.7934295308878</v>
      </c>
      <c r="BD7" s="43">
        <f>SUMIF('Basis Options'!$X:$X,CONCATENATE($AK7,BD$4),'Basis Options'!$AF:$AF)</f>
        <v>647.61354542178378</v>
      </c>
      <c r="BE7" s="43">
        <f>SUMIF('Basis Options'!$X:$X,CONCATENATE($AK7,BE$4),'Basis Options'!$AF:$AF)</f>
        <v>14475.657484787213</v>
      </c>
      <c r="BF7" s="43">
        <f>SUMIF('Basis Options'!$X:$X,CONCATENATE($AK7,BF$4),'Basis Options'!$AF:$AF)</f>
        <v>0</v>
      </c>
      <c r="BG7" s="43">
        <f>SUMIF('Basis Options'!$X:$X,CONCATENATE($AK7,BG$4),'Basis Options'!$AF:$AF)</f>
        <v>0</v>
      </c>
      <c r="BH7" s="43">
        <f>SUMIF('Basis Options'!$X:$X,CONCATENATE($AK7,BH$4),'Basis Options'!$AF:$AF)</f>
        <v>732.03425618458698</v>
      </c>
      <c r="BI7" s="43">
        <f>SUMIF('Basis Options'!$X:$X,CONCATENATE($AK7,BI$4),'Basis Options'!$AF:$AF)</f>
        <v>-375.4323977736218</v>
      </c>
      <c r="BJ7" s="43">
        <f>SUMIF('Basis Options'!$X:$X,CONCATENATE($AK7,BJ$4),'Basis Options'!$AF:$AF)</f>
        <v>0</v>
      </c>
      <c r="BK7" s="43">
        <f>SUMIF('Basis Options'!$X:$X,CONCATENATE($AK7,BK$4),'Basis Options'!$AF:$AF)</f>
        <v>190.10066278431805</v>
      </c>
      <c r="BL7" s="43">
        <f>SUMIF('Basis Options'!$X:$X,CONCATENATE($AK7,BL$4),'Basis Options'!$AF:$AF)</f>
        <v>0</v>
      </c>
      <c r="BM7" s="43">
        <f>SUMIF('Basis Options'!$X:$X,CONCATENATE($AK7,BM$4),'Basis Options'!$AF:$AF)</f>
        <v>0</v>
      </c>
      <c r="BN7" s="43">
        <f>SUMIF('Basis Options'!$X:$X,CONCATENATE($AK7,BN$4),'Basis Options'!$AF:$AF)</f>
        <v>0</v>
      </c>
      <c r="BO7" s="43">
        <f>SUMIF('Basis Options'!$X:$X,CONCATENATE($AK7,BO$4),'Basis Options'!$AF:$AF)</f>
        <v>0</v>
      </c>
      <c r="BP7" s="128">
        <f t="shared" si="10"/>
        <v>36800</v>
      </c>
      <c r="BQ7" s="44">
        <f t="shared" si="11"/>
        <v>12561.180121873391</v>
      </c>
      <c r="BS7" s="128">
        <f t="shared" si="12"/>
        <v>36800</v>
      </c>
      <c r="BT7" s="43">
        <f>SUMIF('Basis Options'!$X:$X,CONCATENATE($BS7,BT$4),'Basis Options'!$AI:$AI)</f>
        <v>0.17005346464054866</v>
      </c>
      <c r="BU7" s="43">
        <f>SUMIF('Basis Options'!$X:$X,CONCATENATE($BS7,BU$4),'Basis Options'!$AI:$AI)</f>
        <v>5.5353896090683641E-2</v>
      </c>
      <c r="BV7" s="43">
        <f>SUMIF('Basis Options'!$X:$X,CONCATENATE($BS7,BV$4),'Basis Options'!$AI:$AI)</f>
        <v>-0.50327733335832014</v>
      </c>
      <c r="BW7" s="43">
        <f>SUMIF('Basis Options'!$X:$X,CONCATENATE($BS7,BW$4),'Basis Options'!$AI:$AI)</f>
        <v>0</v>
      </c>
      <c r="BX7" s="43">
        <f>SUMIF('Basis Options'!$X:$X,CONCATENATE($BS7,BX$4),'Basis Options'!$AI:$AI)</f>
        <v>0</v>
      </c>
      <c r="BY7" s="43">
        <f>SUMIF('Basis Options'!$X:$X,CONCATENATE($BS7,BY$4),'Basis Options'!$AI:$AI)</f>
        <v>6.1755684434671457E-2</v>
      </c>
      <c r="BZ7" s="43">
        <f>SUMIF('Basis Options'!$X:$X,CONCATENATE($BS7,BZ$4),'Basis Options'!$AI:$AI)</f>
        <v>0.28523141499717486</v>
      </c>
      <c r="CA7" s="43">
        <f>SUMIF('Basis Options'!$X:$X,CONCATENATE($BS7,CA$4),'Basis Options'!$AI:$AI)</f>
        <v>0</v>
      </c>
      <c r="CB7" s="43">
        <f>SUMIF('Basis Options'!$X:$X,CONCATENATE($BS7,CB$4),'Basis Options'!$AI:$AI)</f>
        <v>2.0648538330573007E-2</v>
      </c>
      <c r="CC7" s="43">
        <f>SUMIF('Basis Options'!$X:$X,CONCATENATE($BS7,CC$4),'Basis Options'!$AI:$AI)</f>
        <v>0</v>
      </c>
      <c r="CD7" s="43">
        <f>SUMIF('Basis Options'!$X:$X,CONCATENATE($BS7,CD$4),'Basis Options'!$AI:$AI)</f>
        <v>0</v>
      </c>
      <c r="CE7" s="43">
        <f>SUMIF('Basis Options'!$X:$X,CONCATENATE($BS7,CE$4),'Basis Options'!$AI:$AI)</f>
        <v>0</v>
      </c>
      <c r="CF7" s="43">
        <f>SUMIF('Basis Options'!$X:$X,CONCATENATE($BS7,CF$4),'Basis Options'!$AI:$AI)</f>
        <v>0</v>
      </c>
      <c r="CG7" s="128">
        <f t="shared" si="13"/>
        <v>36800</v>
      </c>
      <c r="CH7" s="480">
        <f t="shared" si="14"/>
        <v>8.9765665135331463E-2</v>
      </c>
    </row>
    <row r="8" spans="1:86" x14ac:dyDescent="0.25">
      <c r="A8" s="128">
        <f t="shared" si="0"/>
        <v>36831</v>
      </c>
      <c r="B8" s="43">
        <f>SUMIF('Basis Options'!X:X,CONCATENATE($A8,B$4),'Basis Options'!AB:AB)</f>
        <v>8.0221624343298146</v>
      </c>
      <c r="C8" s="43">
        <f>SUMIF('Basis Options'!$X:$X,CONCATENATE($A8,C$4),'Basis Options'!$AB:$AB)</f>
        <v>0.10776890900157826</v>
      </c>
      <c r="D8" s="43">
        <f>SUMIF('Basis Options'!$X:$X,CONCATENATE($A8,D$4),'Basis Options'!$AB:$AB)</f>
        <v>0.27179501184508981</v>
      </c>
      <c r="E8" s="43">
        <f>SUMIF('Basis Options'!$X:$X,CONCATENATE($A8,E$4),'Basis Options'!$AB:$AB)</f>
        <v>-10.824073935751644</v>
      </c>
      <c r="F8" s="43">
        <f>SUMIF('Basis Options'!$X:$X,CONCATENATE($A8,F$4),'Basis Options'!$AB:$AB)</f>
        <v>0</v>
      </c>
      <c r="G8" s="43">
        <f>SUMIF('Basis Options'!$X:$X,CONCATENATE($A8,G$4),'Basis Options'!$AB:$AB)</f>
        <v>0.13351546759335031</v>
      </c>
      <c r="H8" s="43">
        <f>SUMIF('Basis Options'!$X:$X,CONCATENATE($A8,H$4),'Basis Options'!$AB:$AB)</f>
        <v>-15.396456922194414</v>
      </c>
      <c r="I8" s="43">
        <f>SUMIF('Basis Options'!$X:$X,CONCATENATE($A8,I$4),'Basis Options'!$AB:$AB)</f>
        <v>0</v>
      </c>
      <c r="J8" s="43">
        <f>SUMIF('Basis Options'!$X:$X,CONCATENATE($A8,J$4),'Basis Options'!$AB:$AB)</f>
        <v>0</v>
      </c>
      <c r="K8" s="43">
        <f>SUMIF('Basis Options'!$X:$X,CONCATENATE($A8,K$4),'Basis Options'!$AB:$AB)</f>
        <v>-1.9931959786416931</v>
      </c>
      <c r="L8" s="43">
        <f>SUMIF('Basis Options'!$X:$X,CONCATENATE($A8,L$4),'Basis Options'!$AB:$AB)</f>
        <v>-0.67158957835730859</v>
      </c>
      <c r="M8" s="43">
        <f>SUMIF('Basis Options'!$X:$X,CONCATENATE($A8,M$4),'Basis Options'!$AB:$AB)</f>
        <v>-0.44142317986396135</v>
      </c>
      <c r="N8" s="43">
        <f>SUMIF('Basis Options'!$X:$X,CONCATENATE($A8,N$4),'Basis Options'!$AB:$AB)</f>
        <v>2.2028164202987659</v>
      </c>
      <c r="O8" s="128">
        <f t="shared" si="1"/>
        <v>36831</v>
      </c>
      <c r="P8" s="44">
        <f t="shared" si="2"/>
        <v>-18.588681351740423</v>
      </c>
      <c r="R8" s="43">
        <f t="shared" si="15"/>
        <v>260817.99991504522</v>
      </c>
      <c r="S8" s="128">
        <f t="shared" si="3"/>
        <v>36831</v>
      </c>
      <c r="T8" s="43">
        <f>SUMIF('Basis Options'!$X:$X,CONCATENATE($S8,T$4),'Basis Options'!$AC:$AC)</f>
        <v>-138650.32891357769</v>
      </c>
      <c r="U8" s="43">
        <f>SUMIF('Basis Options'!$X:$X,CONCATENATE($S8,U$4),'Basis Options'!$AC:$AC)</f>
        <v>-1589.2450231059647</v>
      </c>
      <c r="V8" s="43">
        <f>SUMIF('Basis Options'!$X:$X,CONCATENATE($S8,V$4),'Basis Options'!$AC:$AC)</f>
        <v>-2934.7039517464309</v>
      </c>
      <c r="W8" s="43">
        <f>SUMIF('Basis Options'!$X:$X,CONCATENATE($S8,W$4),'Basis Options'!$AC:$AC)</f>
        <v>146753.77564449827</v>
      </c>
      <c r="X8" s="43">
        <f>SUMIF('Basis Options'!$X:$X,CONCATENATE($S8,X$4),'Basis Options'!$AC:$AC)</f>
        <v>0</v>
      </c>
      <c r="Y8" s="43">
        <f>SUMIF('Basis Options'!$X:$X,CONCATENATE($S8,Y$4),'Basis Options'!$AC:$AC)</f>
        <v>-2545.4463721658403</v>
      </c>
      <c r="Z8" s="43">
        <f>SUMIF('Basis Options'!$X:$X,CONCATENATE($S8,Z$4),'Basis Options'!$AC:$AC)</f>
        <v>217762.9649505202</v>
      </c>
      <c r="AA8" s="43">
        <f>SUMIF('Basis Options'!$X:$X,CONCATENATE($S8,AA$4),'Basis Options'!$AC:$AC)</f>
        <v>0</v>
      </c>
      <c r="AB8" s="43">
        <f>SUMIF('Basis Options'!$X:$X,CONCATENATE($S8,AB$4),'Basis Options'!$AC:$AC)</f>
        <v>0</v>
      </c>
      <c r="AC8" s="43">
        <f>SUMIF('Basis Options'!$X:$X,CONCATENATE($S8,AC$4),'Basis Options'!$AC:$AC)</f>
        <v>26643.694313032029</v>
      </c>
      <c r="AD8" s="43">
        <f>SUMIF('Basis Options'!$X:$X,CONCATENATE($S8,AD$4),'Basis Options'!$AC:$AC)</f>
        <v>9141.0665077836693</v>
      </c>
      <c r="AE8" s="43">
        <f>SUMIF('Basis Options'!$X:$X,CONCATENATE($S8,AE$4),'Basis Options'!$AC:$AC)</f>
        <v>6236.2227598070012</v>
      </c>
      <c r="AF8" s="43">
        <f>SUMIF('Basis Options'!$X:$X,CONCATENATE($S8,AF$4),'Basis Options'!$AC:$AC)</f>
        <v>-27222.621848390943</v>
      </c>
      <c r="AG8" s="128">
        <f t="shared" si="4"/>
        <v>36831</v>
      </c>
      <c r="AH8" s="44">
        <f t="shared" si="5"/>
        <v>233595.37806665429</v>
      </c>
      <c r="AK8" s="128">
        <f t="shared" si="6"/>
        <v>36831</v>
      </c>
      <c r="AL8" s="43">
        <f>SUMIF('Basis Options'!$X:$X,CONCATENATE($AK8,AL$4),'Basis Options'!$AD:$AD)</f>
        <v>-26676.164224787204</v>
      </c>
      <c r="AM8" s="43">
        <f>SUMIF('Basis Options'!$X:$X,CONCATENATE($AK8,AM$4),'Basis Options'!$AD:$AD)</f>
        <v>-22.047449295134101</v>
      </c>
      <c r="AN8" s="43">
        <f>SUMIF('Basis Options'!$X:$X,CONCATENATE($AK8,AN$4),'Basis Options'!$AD:$AD)</f>
        <v>-322.27632607542375</v>
      </c>
      <c r="AO8" s="43">
        <f>SUMIF('Basis Options'!$X:$X,CONCATENATE($AK8,AO$4),'Basis Options'!$AD:$AD)</f>
        <v>826.68700581920984</v>
      </c>
      <c r="AP8" s="43">
        <f>SUMIF('Basis Options'!$X:$X,CONCATENATE($AK8,AP$4),'Basis Options'!$AD:$AD)</f>
        <v>0</v>
      </c>
      <c r="AQ8" s="43">
        <f>SUMIF('Basis Options'!$X:$X,CONCATENATE($AK8,AQ$4),'Basis Options'!$AD:$AD)</f>
        <v>-163.75530173299467</v>
      </c>
      <c r="AR8" s="43">
        <f>SUMIF('Basis Options'!$X:$X,CONCATENATE($AK8,AR$4),'Basis Options'!$AD:$AD)</f>
        <v>1273.8166545342476</v>
      </c>
      <c r="AS8" s="43">
        <f>SUMIF('Basis Options'!$X:$X,CONCATENATE($AK8,AS$4),'Basis Options'!$AD:$AD)</f>
        <v>0</v>
      </c>
      <c r="AT8" s="43">
        <f>SUMIF('Basis Options'!$X:$X,CONCATENATE($AK8,AT$4),'Basis Options'!$AD:$AD)</f>
        <v>0</v>
      </c>
      <c r="AU8" s="43">
        <f>SUMIF('Basis Options'!$X:$X,CONCATENATE($AK8,AU$4),'Basis Options'!$AD:$AD)</f>
        <v>275.72689290391236</v>
      </c>
      <c r="AV8" s="43">
        <f>SUMIF('Basis Options'!$X:$X,CONCATENATE($AK8,AV$4),'Basis Options'!$AD:$AD)</f>
        <v>101.37734954568634</v>
      </c>
      <c r="AW8" s="43">
        <f>SUMIF('Basis Options'!$X:$X,CONCATENATE($AK8,AW$4),'Basis Options'!$AD:$AD)</f>
        <v>86.560191516033072</v>
      </c>
      <c r="AX8" s="43">
        <f>SUMIF('Basis Options'!$X:$X,CONCATENATE($AK8,AX$4),'Basis Options'!$AD:$AD)</f>
        <v>-3073.4073876064176</v>
      </c>
      <c r="AY8" s="128">
        <f t="shared" si="7"/>
        <v>36831</v>
      </c>
      <c r="AZ8" s="44">
        <f t="shared" si="8"/>
        <v>-27693.482595178084</v>
      </c>
      <c r="BB8" s="128">
        <f t="shared" si="9"/>
        <v>36831</v>
      </c>
      <c r="BC8" s="43">
        <f>SUMIF('Basis Options'!$X:$X,CONCATENATE($AK8,BC$4),'Basis Options'!$AF:$AF)</f>
        <v>55985.239221901356</v>
      </c>
      <c r="BD8" s="43">
        <f>SUMIF('Basis Options'!$X:$X,CONCATENATE($AK8,BD$4),'Basis Options'!$AF:$AF)</f>
        <v>48.074058532087065</v>
      </c>
      <c r="BE8" s="43">
        <f>SUMIF('Basis Options'!$X:$X,CONCATENATE($AK8,BE$4),'Basis Options'!$AF:$AF)</f>
        <v>690.88010390082263</v>
      </c>
      <c r="BF8" s="43">
        <f>SUMIF('Basis Options'!$X:$X,CONCATENATE($AK8,BF$4),'Basis Options'!$AF:$AF)</f>
        <v>-1735.4163884571958</v>
      </c>
      <c r="BG8" s="43">
        <f>SUMIF('Basis Options'!$X:$X,CONCATENATE($AK8,BG$4),'Basis Options'!$AF:$AF)</f>
        <v>0</v>
      </c>
      <c r="BH8" s="43">
        <f>SUMIF('Basis Options'!$X:$X,CONCATENATE($AK8,BH$4),'Basis Options'!$AF:$AF)</f>
        <v>1583.1432567081692</v>
      </c>
      <c r="BI8" s="43">
        <f>SUMIF('Basis Options'!$X:$X,CONCATENATE($AK8,BI$4),'Basis Options'!$AF:$AF)</f>
        <v>-2715.691147795842</v>
      </c>
      <c r="BJ8" s="43">
        <f>SUMIF('Basis Options'!$X:$X,CONCATENATE($AK8,BJ$4),'Basis Options'!$AF:$AF)</f>
        <v>0</v>
      </c>
      <c r="BK8" s="43">
        <f>SUMIF('Basis Options'!$X:$X,CONCATENATE($AK8,BK$4),'Basis Options'!$AF:$AF)</f>
        <v>0</v>
      </c>
      <c r="BL8" s="43">
        <f>SUMIF('Basis Options'!$X:$X,CONCATENATE($AK8,BL$4),'Basis Options'!$AF:$AF)</f>
        <v>-578.59772204715773</v>
      </c>
      <c r="BM8" s="43">
        <f>SUMIF('Basis Options'!$X:$X,CONCATENATE($AK8,BM$4),'Basis Options'!$AF:$AF)</f>
        <v>-212.46950816490676</v>
      </c>
      <c r="BN8" s="43">
        <f>SUMIF('Basis Options'!$X:$X,CONCATENATE($AK8,BN$4),'Basis Options'!$AF:$AF)</f>
        <v>-181.60856495751443</v>
      </c>
      <c r="BO8" s="43">
        <f>SUMIF('Basis Options'!$X:$X,CONCATENATE($AK8,BO$4),'Basis Options'!$AF:$AF)</f>
        <v>6529.0460042704453</v>
      </c>
      <c r="BP8" s="128">
        <f t="shared" si="10"/>
        <v>36831</v>
      </c>
      <c r="BQ8" s="44">
        <f t="shared" si="11"/>
        <v>59412.599313890263</v>
      </c>
      <c r="BS8" s="128">
        <f t="shared" si="12"/>
        <v>36831</v>
      </c>
      <c r="BT8" s="43">
        <f>SUMIF('Basis Options'!$X:$X,CONCATENATE($BS8,BT$4),'Basis Options'!$AI:$AI)</f>
        <v>0.79514638278670424</v>
      </c>
      <c r="BU8" s="43">
        <f>SUMIF('Basis Options'!$X:$X,CONCATENATE($BS8,BU$4),'Basis Options'!$AI:$AI)</f>
        <v>7.6386413603179437E-3</v>
      </c>
      <c r="BV8" s="43">
        <f>SUMIF('Basis Options'!$X:$X,CONCATENATE($BS8,BV$4),'Basis Options'!$AI:$AI)</f>
        <v>-3.9650652611916276E-2</v>
      </c>
      <c r="BW8" s="43">
        <f>SUMIF('Basis Options'!$X:$X,CONCATENATE($BS8,BW$4),'Basis Options'!$AI:$AI)</f>
        <v>0.26541817970715575</v>
      </c>
      <c r="BX8" s="43">
        <f>SUMIF('Basis Options'!$X:$X,CONCATENATE($BS8,BX$4),'Basis Options'!$AI:$AI)</f>
        <v>0</v>
      </c>
      <c r="BY8" s="43">
        <f>SUMIF('Basis Options'!$X:$X,CONCATENATE($BS8,BY$4),'Basis Options'!$AI:$AI)</f>
        <v>3.6560204856485035E-2</v>
      </c>
      <c r="BZ8" s="43">
        <f>SUMIF('Basis Options'!$X:$X,CONCATENATE($BS8,BZ$4),'Basis Options'!$AI:$AI)</f>
        <v>1.6249992915007283E-2</v>
      </c>
      <c r="CA8" s="43">
        <f>SUMIF('Basis Options'!$X:$X,CONCATENATE($BS8,CA$4),'Basis Options'!$AI:$AI)</f>
        <v>0</v>
      </c>
      <c r="CB8" s="43">
        <f>SUMIF('Basis Options'!$X:$X,CONCATENATE($BS8,CB$4),'Basis Options'!$AI:$AI)</f>
        <v>0</v>
      </c>
      <c r="CC8" s="43">
        <f>SUMIF('Basis Options'!$X:$X,CONCATENATE($BS8,CC$4),'Basis Options'!$AI:$AI)</f>
        <v>-9.0877601012666287E-2</v>
      </c>
      <c r="CD8" s="43">
        <f>SUMIF('Basis Options'!$X:$X,CONCATENATE($BS8,CD$4),'Basis Options'!$AI:$AI)</f>
        <v>3.3322279010880806E-2</v>
      </c>
      <c r="CE8" s="43">
        <f>SUMIF('Basis Options'!$X:$X,CONCATENATE($BS8,CE$4),'Basis Options'!$AI:$AI)</f>
        <v>1.6100643172599238E-2</v>
      </c>
      <c r="CF8" s="43">
        <f>SUMIF('Basis Options'!$X:$X,CONCATENATE($BS8,CF$4),'Basis Options'!$AI:$AI)</f>
        <v>-0.28439915430598367</v>
      </c>
      <c r="CG8" s="128">
        <f t="shared" si="13"/>
        <v>36831</v>
      </c>
      <c r="CH8" s="480">
        <f t="shared" si="14"/>
        <v>0.75550891587858415</v>
      </c>
    </row>
    <row r="9" spans="1:86" x14ac:dyDescent="0.25">
      <c r="A9" s="128">
        <f t="shared" si="0"/>
        <v>36861</v>
      </c>
      <c r="B9" s="467">
        <f>SUMIF('Basis Options'!X:X,CONCATENATE($A9,B$4),'Basis Options'!AB:AB)</f>
        <v>0.10402444635716337</v>
      </c>
      <c r="C9" s="43">
        <f>SUMIF('Basis Options'!$X:$X,CONCATENATE($A9,C$4),'Basis Options'!$AB:$AB)</f>
        <v>4.7956658962298837E-2</v>
      </c>
      <c r="D9" s="43">
        <f>SUMIF('Basis Options'!$X:$X,CONCATENATE($A9,D$4),'Basis Options'!$AB:$AB)</f>
        <v>0.25286936712144592</v>
      </c>
      <c r="E9" s="43">
        <f>SUMIF('Basis Options'!$X:$X,CONCATENATE($A9,E$4),'Basis Options'!$AB:$AB)</f>
        <v>-9.4472257429467543</v>
      </c>
      <c r="F9" s="43">
        <f>SUMIF('Basis Options'!$X:$X,CONCATENATE($A9,F$4),'Basis Options'!$AB:$AB)</f>
        <v>0</v>
      </c>
      <c r="G9" s="43">
        <f>SUMIF('Basis Options'!$X:$X,CONCATENATE($A9,G$4),'Basis Options'!$AB:$AB)</f>
        <v>0.38006650901936867</v>
      </c>
      <c r="H9" s="43">
        <f>SUMIF('Basis Options'!$X:$X,CONCATENATE($A9,H$4),'Basis Options'!$AB:$AB)</f>
        <v>-12.143779734416956</v>
      </c>
      <c r="I9" s="43">
        <f>SUMIF('Basis Options'!$X:$X,CONCATENATE($A9,I$4),'Basis Options'!$AB:$AB)</f>
        <v>0</v>
      </c>
      <c r="J9" s="43">
        <f>SUMIF('Basis Options'!$X:$X,CONCATENATE($A9,J$4),'Basis Options'!$AB:$AB)</f>
        <v>0</v>
      </c>
      <c r="K9" s="43">
        <f>SUMIF('Basis Options'!$X:$X,CONCATENATE($A9,K$4),'Basis Options'!$AB:$AB)</f>
        <v>-2.1358239863537154</v>
      </c>
      <c r="L9" s="43">
        <f>SUMIF('Basis Options'!$X:$X,CONCATENATE($A9,L$4),'Basis Options'!$AB:$AB)</f>
        <v>-0.79720146011845283</v>
      </c>
      <c r="M9" s="43">
        <f>SUMIF('Basis Options'!$X:$X,CONCATENATE($A9,M$4),'Basis Options'!$AB:$AB)</f>
        <v>-0.52842254539509237</v>
      </c>
      <c r="N9" s="43">
        <f>SUMIF('Basis Options'!$X:$X,CONCATENATE($A9,N$4),'Basis Options'!$AB:$AB)</f>
        <v>1.516146308357132</v>
      </c>
      <c r="O9" s="128">
        <f t="shared" si="1"/>
        <v>36861</v>
      </c>
      <c r="P9" s="44">
        <f t="shared" si="2"/>
        <v>-22.751390179413562</v>
      </c>
      <c r="R9" s="43">
        <f t="shared" si="15"/>
        <v>510081.98585025599</v>
      </c>
      <c r="S9" s="128">
        <f t="shared" si="3"/>
        <v>36861</v>
      </c>
      <c r="T9" s="43">
        <f>SUMIF('Basis Options'!$X:$X,CONCATENATE($S9,T$4),'Basis Options'!$AC:$AC)</f>
        <v>-13492.202150900954</v>
      </c>
      <c r="U9" s="43">
        <f>SUMIF('Basis Options'!$X:$X,CONCATENATE($S9,U$4),'Basis Options'!$AC:$AC)</f>
        <v>-1164.0519406784824</v>
      </c>
      <c r="V9" s="43">
        <f>SUMIF('Basis Options'!$X:$X,CONCATENATE($S9,V$4),'Basis Options'!$AC:$AC)</f>
        <v>-4482.7764284827435</v>
      </c>
      <c r="W9" s="43">
        <f>SUMIF('Basis Options'!$X:$X,CONCATENATE($S9,W$4),'Basis Options'!$AC:$AC)</f>
        <v>199102.70000971679</v>
      </c>
      <c r="X9" s="43">
        <f>SUMIF('Basis Options'!$X:$X,CONCATENATE($S9,X$4),'Basis Options'!$AC:$AC)</f>
        <v>0</v>
      </c>
      <c r="Y9" s="43">
        <f>SUMIF('Basis Options'!$X:$X,CONCATENATE($S9,Y$4),'Basis Options'!$AC:$AC)</f>
        <v>-11033.035176699774</v>
      </c>
      <c r="Z9" s="43">
        <f>SUMIF('Basis Options'!$X:$X,CONCATENATE($S9,Z$4),'Basis Options'!$AC:$AC)</f>
        <v>268340.8788137887</v>
      </c>
      <c r="AA9" s="43">
        <f>SUMIF('Basis Options'!$X:$X,CONCATENATE($S9,AA$4),'Basis Options'!$AC:$AC)</f>
        <v>0</v>
      </c>
      <c r="AB9" s="43">
        <f>SUMIF('Basis Options'!$X:$X,CONCATENATE($S9,AB$4),'Basis Options'!$AC:$AC)</f>
        <v>0</v>
      </c>
      <c r="AC9" s="43">
        <f>SUMIF('Basis Options'!$X:$X,CONCATENATE($S9,AC$4),'Basis Options'!$AC:$AC)</f>
        <v>44083.513400946918</v>
      </c>
      <c r="AD9" s="43">
        <f>SUMIF('Basis Options'!$X:$X,CONCATENATE($S9,AD$4),'Basis Options'!$AC:$AC)</f>
        <v>16957.010732649062</v>
      </c>
      <c r="AE9" s="43">
        <f>SUMIF('Basis Options'!$X:$X,CONCATENATE($S9,AE$4),'Basis Options'!$AC:$AC)</f>
        <v>11769.948589916523</v>
      </c>
      <c r="AF9" s="43">
        <f>SUMIF('Basis Options'!$X:$X,CONCATENATE($S9,AF$4),'Basis Options'!$AC:$AC)</f>
        <v>-38641.77490037198</v>
      </c>
      <c r="AG9" s="128">
        <f t="shared" si="4"/>
        <v>36861</v>
      </c>
      <c r="AH9" s="44">
        <f t="shared" si="5"/>
        <v>471440.21094988403</v>
      </c>
      <c r="AK9" s="128">
        <f t="shared" si="6"/>
        <v>36861</v>
      </c>
      <c r="AL9" s="43">
        <f>SUMIF('Basis Options'!$X:$X,CONCATENATE($AK9,AL$4),'Basis Options'!$AD:$AD)</f>
        <v>64.103184396605229</v>
      </c>
      <c r="AM9" s="43">
        <f>SUMIF('Basis Options'!$X:$X,CONCATENATE($AK9,AM$4),'Basis Options'!$AD:$AD)</f>
        <v>-5.8390718653343185</v>
      </c>
      <c r="AN9" s="43">
        <f>SUMIF('Basis Options'!$X:$X,CONCATENATE($AK9,AN$4),'Basis Options'!$AD:$AD)</f>
        <v>-327.21867570663426</v>
      </c>
      <c r="AO9" s="43">
        <f>SUMIF('Basis Options'!$X:$X,CONCATENATE($AK9,AO$4),'Basis Options'!$AD:$AD)</f>
        <v>765.80169246759056</v>
      </c>
      <c r="AP9" s="43">
        <f>SUMIF('Basis Options'!$X:$X,CONCATENATE($AK9,AP$4),'Basis Options'!$AD:$AD)</f>
        <v>0</v>
      </c>
      <c r="AQ9" s="43">
        <f>SUMIF('Basis Options'!$X:$X,CONCATENATE($AK9,AQ$4),'Basis Options'!$AD:$AD)</f>
        <v>-1468.5777936433897</v>
      </c>
      <c r="AR9" s="43">
        <f>SUMIF('Basis Options'!$X:$X,CONCATENATE($AK9,AR$4),'Basis Options'!$AD:$AD)</f>
        <v>1039.3789684179569</v>
      </c>
      <c r="AS9" s="43">
        <f>SUMIF('Basis Options'!$X:$X,CONCATENATE($AK9,AS$4),'Basis Options'!$AD:$AD)</f>
        <v>0</v>
      </c>
      <c r="AT9" s="43">
        <f>SUMIF('Basis Options'!$X:$X,CONCATENATE($AK9,AT$4),'Basis Options'!$AD:$AD)</f>
        <v>0</v>
      </c>
      <c r="AU9" s="43">
        <f>SUMIF('Basis Options'!$X:$X,CONCATENATE($AK9,AU$4),'Basis Options'!$AD:$AD)</f>
        <v>305.95486267074614</v>
      </c>
      <c r="AV9" s="43">
        <f>SUMIF('Basis Options'!$X:$X,CONCATENATE($AK9,AV$4),'Basis Options'!$AD:$AD)</f>
        <v>126.39194021182965</v>
      </c>
      <c r="AW9" s="43">
        <f>SUMIF('Basis Options'!$X:$X,CONCATENATE($AK9,AW$4),'Basis Options'!$AD:$AD)</f>
        <v>111.94055321668209</v>
      </c>
      <c r="AX9" s="43">
        <f>SUMIF('Basis Options'!$X:$X,CONCATENATE($AK9,AX$4),'Basis Options'!$AD:$AD)</f>
        <v>-2772.8236146717281</v>
      </c>
      <c r="AY9" s="128">
        <f t="shared" si="7"/>
        <v>36861</v>
      </c>
      <c r="AZ9" s="44">
        <f t="shared" si="8"/>
        <v>-2160.8879545056757</v>
      </c>
      <c r="BB9" s="128">
        <f t="shared" si="9"/>
        <v>36861</v>
      </c>
      <c r="BC9" s="43">
        <f>SUMIF('Basis Options'!$X:$X,CONCATENATE($AK9,BC$4),'Basis Options'!$AF:$AF)</f>
        <v>-1756.607825387825</v>
      </c>
      <c r="BD9" s="43">
        <f>SUMIF('Basis Options'!$X:$X,CONCATENATE($AK9,BD$4),'Basis Options'!$AF:$AF)</f>
        <v>22.044833769657089</v>
      </c>
      <c r="BE9" s="43">
        <f>SUMIF('Basis Options'!$X:$X,CONCATENATE($AK9,BE$4),'Basis Options'!$AF:$AF)</f>
        <v>1063.2962223306699</v>
      </c>
      <c r="BF9" s="43">
        <f>SUMIF('Basis Options'!$X:$X,CONCATENATE($AK9,BF$4),'Basis Options'!$AF:$AF)</f>
        <v>-2388.5041187859911</v>
      </c>
      <c r="BG9" s="43">
        <f>SUMIF('Basis Options'!$X:$X,CONCATENATE($AK9,BG$4),'Basis Options'!$AF:$AF)</f>
        <v>0</v>
      </c>
      <c r="BH9" s="43">
        <f>SUMIF('Basis Options'!$X:$X,CONCATENATE($AK9,BH$4),'Basis Options'!$AF:$AF)</f>
        <v>5614.6715584746016</v>
      </c>
      <c r="BI9" s="43">
        <f>SUMIF('Basis Options'!$X:$X,CONCATENATE($AK9,BI$4),'Basis Options'!$AF:$AF)</f>
        <v>-3301.0101545919206</v>
      </c>
      <c r="BJ9" s="43">
        <f>SUMIF('Basis Options'!$X:$X,CONCATENATE($AK9,BJ$4),'Basis Options'!$AF:$AF)</f>
        <v>0</v>
      </c>
      <c r="BK9" s="43">
        <f>SUMIF('Basis Options'!$X:$X,CONCATENATE($AK9,BK$4),'Basis Options'!$AF:$AF)</f>
        <v>0</v>
      </c>
      <c r="BL9" s="43">
        <f>SUMIF('Basis Options'!$X:$X,CONCATENATE($AK9,BL$4),'Basis Options'!$AF:$AF)</f>
        <v>-951.15370250963713</v>
      </c>
      <c r="BM9" s="43">
        <f>SUMIF('Basis Options'!$X:$X,CONCATENATE($AK9,BM$4),'Basis Options'!$AF:$AF)</f>
        <v>-392.47340657589393</v>
      </c>
      <c r="BN9" s="43">
        <f>SUMIF('Basis Options'!$X:$X,CONCATENATE($AK9,BN$4),'Basis Options'!$AF:$AF)</f>
        <v>-349.08749933447325</v>
      </c>
      <c r="BO9" s="43">
        <f>SUMIF('Basis Options'!$X:$X,CONCATENATE($AK9,BO$4),'Basis Options'!$AF:$AF)</f>
        <v>9184.6089405859948</v>
      </c>
      <c r="BP9" s="128">
        <f t="shared" si="10"/>
        <v>36861</v>
      </c>
      <c r="BQ9" s="44">
        <f t="shared" si="11"/>
        <v>6745.7848479751829</v>
      </c>
      <c r="BS9" s="128">
        <f t="shared" si="12"/>
        <v>36861</v>
      </c>
      <c r="BT9" s="43">
        <f>SUMIF('Basis Options'!$X:$X,CONCATENATE($BS9,BT$4),'Basis Options'!$AI:$AI)</f>
        <v>0.66948361929511602</v>
      </c>
      <c r="BU9" s="43">
        <f>SUMIF('Basis Options'!$X:$X,CONCATENATE($BS9,BU$4),'Basis Options'!$AI:$AI)</f>
        <v>8.9654468585749214E-3</v>
      </c>
      <c r="BV9" s="43">
        <f>SUMIF('Basis Options'!$X:$X,CONCATENATE($BS9,BV$4),'Basis Options'!$AI:$AI)</f>
        <v>-2.2876332937072447E-2</v>
      </c>
      <c r="BW9" s="43">
        <f>SUMIF('Basis Options'!$X:$X,CONCATENATE($BS9,BW$4),'Basis Options'!$AI:$AI)</f>
        <v>0.22070358537646029</v>
      </c>
      <c r="BX9" s="43">
        <f>SUMIF('Basis Options'!$X:$X,CONCATENATE($BS9,BX$4),'Basis Options'!$AI:$AI)</f>
        <v>0</v>
      </c>
      <c r="BY9" s="43">
        <f>SUMIF('Basis Options'!$X:$X,CONCATENATE($BS9,BY$4),'Basis Options'!$AI:$AI)</f>
        <v>0.15590761750108043</v>
      </c>
      <c r="BZ9" s="43">
        <f>SUMIF('Basis Options'!$X:$X,CONCATENATE($BS9,BZ$4),'Basis Options'!$AI:$AI)</f>
        <v>-8.87101905532095E-2</v>
      </c>
      <c r="CA9" s="43">
        <f>SUMIF('Basis Options'!$X:$X,CONCATENATE($BS9,CA$4),'Basis Options'!$AI:$AI)</f>
        <v>0</v>
      </c>
      <c r="CB9" s="43">
        <f>SUMIF('Basis Options'!$X:$X,CONCATENATE($BS9,CB$4),'Basis Options'!$AI:$AI)</f>
        <v>0</v>
      </c>
      <c r="CC9" s="43">
        <f>SUMIF('Basis Options'!$X:$X,CONCATENATE($BS9,CC$4),'Basis Options'!$AI:$AI)</f>
        <v>-8.8232736286733338E-2</v>
      </c>
      <c r="CD9" s="43">
        <f>SUMIF('Basis Options'!$X:$X,CONCATENATE($BS9,CD$4),'Basis Options'!$AI:$AI)</f>
        <v>3.3179826773934162E-2</v>
      </c>
      <c r="CE9" s="43">
        <f>SUMIF('Basis Options'!$X:$X,CONCATENATE($BS9,CE$4),'Basis Options'!$AI:$AI)</f>
        <v>1.1510181885541759E-2</v>
      </c>
      <c r="CF9" s="43">
        <f>SUMIF('Basis Options'!$X:$X,CONCATENATE($BS9,CF$4),'Basis Options'!$AI:$AI)</f>
        <v>0.24286331081664625</v>
      </c>
      <c r="CG9" s="128">
        <f t="shared" si="13"/>
        <v>36861</v>
      </c>
      <c r="CH9" s="480">
        <f t="shared" si="14"/>
        <v>1.1427943287303384</v>
      </c>
    </row>
    <row r="10" spans="1:86" x14ac:dyDescent="0.25">
      <c r="A10" s="128">
        <f t="shared" si="0"/>
        <v>36892</v>
      </c>
      <c r="B10" s="467">
        <f>SUMIF('Basis Options'!X:X,CONCATENATE($A10,B$4),'Basis Options'!AB:AB)</f>
        <v>-0.27218735812655481</v>
      </c>
      <c r="C10" s="43">
        <f>SUMIF('Basis Options'!$X:$X,CONCATENATE($A10,C$4),'Basis Options'!$AB:$AB)</f>
        <v>3.1520734949999962E-2</v>
      </c>
      <c r="D10" s="43">
        <f>SUMIF('Basis Options'!$X:$X,CONCATENATE($A10,D$4),'Basis Options'!$AB:$AB)</f>
        <v>0.21845104524264508</v>
      </c>
      <c r="E10" s="43">
        <f>SUMIF('Basis Options'!$X:$X,CONCATENATE($A10,E$4),'Basis Options'!$AB:$AB)</f>
        <v>-14.374597081320033</v>
      </c>
      <c r="F10" s="43">
        <f>SUMIF('Basis Options'!$X:$X,CONCATENATE($A10,F$4),'Basis Options'!$AB:$AB)</f>
        <v>0</v>
      </c>
      <c r="G10" s="43">
        <f>SUMIF('Basis Options'!$X:$X,CONCATENATE($A10,G$4),'Basis Options'!$AB:$AB)</f>
        <v>0.49010496938065856</v>
      </c>
      <c r="H10" s="43">
        <f>SUMIF('Basis Options'!$X:$X,CONCATENATE($A10,H$4),'Basis Options'!$AB:$AB)</f>
        <v>-10.430552993544179</v>
      </c>
      <c r="I10" s="43">
        <f>SUMIF('Basis Options'!$X:$X,CONCATENATE($A10,I$4),'Basis Options'!$AB:$AB)</f>
        <v>0</v>
      </c>
      <c r="J10" s="43">
        <f>SUMIF('Basis Options'!$X:$X,CONCATENATE($A10,J$4),'Basis Options'!$AB:$AB)</f>
        <v>0</v>
      </c>
      <c r="K10" s="43">
        <f>SUMIF('Basis Options'!$X:$X,CONCATENATE($A10,K$4),'Basis Options'!$AB:$AB)</f>
        <v>-2.068637628260853</v>
      </c>
      <c r="L10" s="43">
        <f>SUMIF('Basis Options'!$X:$X,CONCATENATE($A10,L$4),'Basis Options'!$AB:$AB)</f>
        <v>-0.82675653798425275</v>
      </c>
      <c r="M10" s="43">
        <f>SUMIF('Basis Options'!$X:$X,CONCATENATE($A10,M$4),'Basis Options'!$AB:$AB)</f>
        <v>-0.50806202902590225</v>
      </c>
      <c r="N10" s="43">
        <f>SUMIF('Basis Options'!$X:$X,CONCATENATE($A10,N$4),'Basis Options'!$AB:$AB)</f>
        <v>1.3847563707006576</v>
      </c>
      <c r="O10" s="128">
        <f t="shared" si="1"/>
        <v>36892</v>
      </c>
      <c r="P10" s="44">
        <f t="shared" si="2"/>
        <v>-26.35596050798781</v>
      </c>
      <c r="R10" s="43">
        <f t="shared" si="15"/>
        <v>773888.95009631768</v>
      </c>
      <c r="S10" s="128">
        <f t="shared" si="3"/>
        <v>36892</v>
      </c>
      <c r="T10" s="43">
        <f>SUMIF('Basis Options'!$X:$X,CONCATENATE($S10,T$4),'Basis Options'!$AC:$AC)</f>
        <v>1443.5893738947707</v>
      </c>
      <c r="U10" s="43">
        <f>SUMIF('Basis Options'!$X:$X,CONCATENATE($S10,U$4),'Basis Options'!$AC:$AC)</f>
        <v>-1034.4420828558468</v>
      </c>
      <c r="V10" s="43">
        <f>SUMIF('Basis Options'!$X:$X,CONCATENATE($S10,V$4),'Basis Options'!$AC:$AC)</f>
        <v>-5022.0839749912648</v>
      </c>
      <c r="W10" s="43">
        <f>SUMIF('Basis Options'!$X:$X,CONCATENATE($S10,W$4),'Basis Options'!$AC:$AC)</f>
        <v>399123.43838095723</v>
      </c>
      <c r="X10" s="43">
        <f>SUMIF('Basis Options'!$X:$X,CONCATENATE($S10,X$4),'Basis Options'!$AC:$AC)</f>
        <v>0</v>
      </c>
      <c r="Y10" s="43">
        <f>SUMIF('Basis Options'!$X:$X,CONCATENATE($S10,Y$4),'Basis Options'!$AC:$AC)</f>
        <v>-17143.750918371421</v>
      </c>
      <c r="Z10" s="43">
        <f>SUMIF('Basis Options'!$X:$X,CONCATENATE($S10,Z$4),'Basis Options'!$AC:$AC)</f>
        <v>302549.40558502916</v>
      </c>
      <c r="AA10" s="43">
        <f>SUMIF('Basis Options'!$X:$X,CONCATENATE($S10,AA$4),'Basis Options'!$AC:$AC)</f>
        <v>0</v>
      </c>
      <c r="AB10" s="43">
        <f>SUMIF('Basis Options'!$X:$X,CONCATENATE($S10,AB$4),'Basis Options'!$AC:$AC)</f>
        <v>0</v>
      </c>
      <c r="AC10" s="43">
        <f>SUMIF('Basis Options'!$X:$X,CONCATENATE($S10,AC$4),'Basis Options'!$AC:$AC)</f>
        <v>55574.948479896026</v>
      </c>
      <c r="AD10" s="43">
        <f>SUMIF('Basis Options'!$X:$X,CONCATENATE($S10,AD$4),'Basis Options'!$AC:$AC)</f>
        <v>23217.125900952327</v>
      </c>
      <c r="AE10" s="43">
        <f>SUMIF('Basis Options'!$X:$X,CONCATENATE($S10,AE$4),'Basis Options'!$AC:$AC)</f>
        <v>15180.719351806641</v>
      </c>
      <c r="AF10" s="43">
        <f>SUMIF('Basis Options'!$X:$X,CONCATENATE($S10,AF$4),'Basis Options'!$AC:$AC)</f>
        <v>-46183.610036434133</v>
      </c>
      <c r="AG10" s="128">
        <f t="shared" si="4"/>
        <v>36892</v>
      </c>
      <c r="AH10" s="44">
        <f t="shared" si="5"/>
        <v>727705.34005988354</v>
      </c>
      <c r="AK10" s="128">
        <f t="shared" si="6"/>
        <v>36892</v>
      </c>
      <c r="AL10" s="43">
        <f>SUMIF('Basis Options'!$X:$X,CONCATENATE($AK10,AL$4),'Basis Options'!$AD:$AD)</f>
        <v>3692.4460571260634</v>
      </c>
      <c r="AM10" s="43">
        <f>SUMIF('Basis Options'!$X:$X,CONCATENATE($AK10,AM$4),'Basis Options'!$AD:$AD)</f>
        <v>-1.646906293068966</v>
      </c>
      <c r="AN10" s="43">
        <f>SUMIF('Basis Options'!$X:$X,CONCATENATE($AK10,AN$4),'Basis Options'!$AD:$AD)</f>
        <v>-274.11791012609763</v>
      </c>
      <c r="AO10" s="43">
        <f>SUMIF('Basis Options'!$X:$X,CONCATENATE($AK10,AO$4),'Basis Options'!$AD:$AD)</f>
        <v>1191.2592458789936</v>
      </c>
      <c r="AP10" s="43">
        <f>SUMIF('Basis Options'!$X:$X,CONCATENATE($AK10,AP$4),'Basis Options'!$AD:$AD)</f>
        <v>0</v>
      </c>
      <c r="AQ10" s="43">
        <f>SUMIF('Basis Options'!$X:$X,CONCATENATE($AK10,AQ$4),'Basis Options'!$AD:$AD)</f>
        <v>-1863.126079284559</v>
      </c>
      <c r="AR10" s="43">
        <f>SUMIF('Basis Options'!$X:$X,CONCATENATE($AK10,AR$4),'Basis Options'!$AD:$AD)</f>
        <v>875.2036836810064</v>
      </c>
      <c r="AS10" s="43">
        <f>SUMIF('Basis Options'!$X:$X,CONCATENATE($AK10,AS$4),'Basis Options'!$AD:$AD)</f>
        <v>0</v>
      </c>
      <c r="AT10" s="43">
        <f>SUMIF('Basis Options'!$X:$X,CONCATENATE($AK10,AT$4),'Basis Options'!$AD:$AD)</f>
        <v>0</v>
      </c>
      <c r="AU10" s="43">
        <f>SUMIF('Basis Options'!$X:$X,CONCATENATE($AK10,AU$4),'Basis Options'!$AD:$AD)</f>
        <v>293.85320269947795</v>
      </c>
      <c r="AV10" s="43">
        <f>SUMIF('Basis Options'!$X:$X,CONCATENATE($AK10,AV$4),'Basis Options'!$AD:$AD)</f>
        <v>132.67702064045724</v>
      </c>
      <c r="AW10" s="43">
        <f>SUMIF('Basis Options'!$X:$X,CONCATENATE($AK10,AW$4),'Basis Options'!$AD:$AD)</f>
        <v>115.21592323771618</v>
      </c>
      <c r="AX10" s="43">
        <f>SUMIF('Basis Options'!$X:$X,CONCATENATE($AK10,AX$4),'Basis Options'!$AD:$AD)</f>
        <v>-2486.1649746695825</v>
      </c>
      <c r="AY10" s="128">
        <f t="shared" si="7"/>
        <v>36892</v>
      </c>
      <c r="AZ10" s="44">
        <f t="shared" si="8"/>
        <v>1675.5992628904073</v>
      </c>
      <c r="BB10" s="128">
        <f t="shared" si="9"/>
        <v>36892</v>
      </c>
      <c r="BC10" s="43">
        <f>SUMIF('Basis Options'!$X:$X,CONCATENATE($AK10,BC$4),'Basis Options'!$AF:$AF)</f>
        <v>-18419.272835442436</v>
      </c>
      <c r="BD10" s="43">
        <f>SUMIF('Basis Options'!$X:$X,CONCATENATE($AK10,BD$4),'Basis Options'!$AF:$AF)</f>
        <v>12.180189922652744</v>
      </c>
      <c r="BE10" s="43">
        <f>SUMIF('Basis Options'!$X:$X,CONCATENATE($AK10,BE$4),'Basis Options'!$AF:$AF)</f>
        <v>1177.9724291303073</v>
      </c>
      <c r="BF10" s="43">
        <f>SUMIF('Basis Options'!$X:$X,CONCATENATE($AK10,BF$4),'Basis Options'!$AF:$AF)</f>
        <v>-4912.4213648255463</v>
      </c>
      <c r="BG10" s="43">
        <f>SUMIF('Basis Options'!$X:$X,CONCATENATE($AK10,BG$4),'Basis Options'!$AF:$AF)</f>
        <v>0</v>
      </c>
      <c r="BH10" s="43">
        <f>SUMIF('Basis Options'!$X:$X,CONCATENATE($AK10,BH$4),'Basis Options'!$AF:$AF)</f>
        <v>8544.6921316398366</v>
      </c>
      <c r="BI10" s="43">
        <f>SUMIF('Basis Options'!$X:$X,CONCATENATE($AK10,BI$4),'Basis Options'!$AF:$AF)</f>
        <v>-3671.9552436613121</v>
      </c>
      <c r="BJ10" s="43">
        <f>SUMIF('Basis Options'!$X:$X,CONCATENATE($AK10,BJ$4),'Basis Options'!$AF:$AF)</f>
        <v>0</v>
      </c>
      <c r="BK10" s="43">
        <f>SUMIF('Basis Options'!$X:$X,CONCATENATE($AK10,BK$4),'Basis Options'!$AF:$AF)</f>
        <v>0</v>
      </c>
      <c r="BL10" s="43">
        <f>SUMIF('Basis Options'!$X:$X,CONCATENATE($AK10,BL$4),'Basis Options'!$AF:$AF)</f>
        <v>-1200.3349577898098</v>
      </c>
      <c r="BM10" s="43">
        <f>SUMIF('Basis Options'!$X:$X,CONCATENATE($AK10,BM$4),'Basis Options'!$AF:$AF)</f>
        <v>-542.28595334639976</v>
      </c>
      <c r="BN10" s="43">
        <f>SUMIF('Basis Options'!$X:$X,CONCATENATE($AK10,BN$4),'Basis Options'!$AF:$AF)</f>
        <v>-477.80546171995593</v>
      </c>
      <c r="BO10" s="43">
        <f>SUMIF('Basis Options'!$X:$X,CONCATENATE($AK10,BO$4),'Basis Options'!$AF:$AF)</f>
        <v>10890.515661082949</v>
      </c>
      <c r="BP10" s="128">
        <f t="shared" si="10"/>
        <v>36892</v>
      </c>
      <c r="BQ10" s="44">
        <f t="shared" si="11"/>
        <v>-8598.7154050097142</v>
      </c>
      <c r="BS10" s="128">
        <f t="shared" si="12"/>
        <v>36892</v>
      </c>
      <c r="BT10" s="43">
        <f>SUMIF('Basis Options'!$X:$X,CONCATENATE($BS10,BT$4),'Basis Options'!$AI:$AI)</f>
        <v>0.54122716934305315</v>
      </c>
      <c r="BU10" s="43">
        <f>SUMIF('Basis Options'!$X:$X,CONCATENATE($BS10,BU$4),'Basis Options'!$AI:$AI)</f>
        <v>8.171552594370024E-3</v>
      </c>
      <c r="BV10" s="43">
        <f>SUMIF('Basis Options'!$X:$X,CONCATENATE($BS10,BV$4),'Basis Options'!$AI:$AI)</f>
        <v>-2.1509647539050075E-2</v>
      </c>
      <c r="BW10" s="43">
        <f>SUMIF('Basis Options'!$X:$X,CONCATENATE($BS10,BW$4),'Basis Options'!$AI:$AI)</f>
        <v>0.26000373741842409</v>
      </c>
      <c r="BX10" s="43">
        <f>SUMIF('Basis Options'!$X:$X,CONCATENATE($BS10,BX$4),'Basis Options'!$AI:$AI)</f>
        <v>0</v>
      </c>
      <c r="BY10" s="43">
        <f>SUMIF('Basis Options'!$X:$X,CONCATENATE($BS10,BY$4),'Basis Options'!$AI:$AI)</f>
        <v>0.14455830532519817</v>
      </c>
      <c r="BZ10" s="43">
        <f>SUMIF('Basis Options'!$X:$X,CONCATENATE($BS10,BZ$4),'Basis Options'!$AI:$AI)</f>
        <v>-0.13233846941905369</v>
      </c>
      <c r="CA10" s="43">
        <f>SUMIF('Basis Options'!$X:$X,CONCATENATE($BS10,CA$4),'Basis Options'!$AI:$AI)</f>
        <v>0</v>
      </c>
      <c r="CB10" s="43">
        <f>SUMIF('Basis Options'!$X:$X,CONCATENATE($BS10,CB$4),'Basis Options'!$AI:$AI)</f>
        <v>0</v>
      </c>
      <c r="CC10" s="43">
        <f>SUMIF('Basis Options'!$X:$X,CONCATENATE($BS10,CC$4),'Basis Options'!$AI:$AI)</f>
        <v>-7.9148077473673806E-2</v>
      </c>
      <c r="CD10" s="43">
        <f>SUMIF('Basis Options'!$X:$X,CONCATENATE($BS10,CD$4),'Basis Options'!$AI:$AI)</f>
        <v>2.6913045577866335E-2</v>
      </c>
      <c r="CE10" s="43">
        <f>SUMIF('Basis Options'!$X:$X,CONCATENATE($BS10,CE$4),'Basis Options'!$AI:$AI)</f>
        <v>6.5590106575086349E-4</v>
      </c>
      <c r="CF10" s="43">
        <f>SUMIF('Basis Options'!$X:$X,CONCATENATE($BS10,CF$4),'Basis Options'!$AI:$AI)</f>
        <v>0.22444658917160257</v>
      </c>
      <c r="CG10" s="128">
        <f t="shared" si="13"/>
        <v>36892</v>
      </c>
      <c r="CH10" s="480">
        <f t="shared" si="14"/>
        <v>0.9729801060644877</v>
      </c>
    </row>
    <row r="11" spans="1:86" x14ac:dyDescent="0.25">
      <c r="A11" s="128">
        <f t="shared" si="0"/>
        <v>36923</v>
      </c>
      <c r="B11" s="467">
        <f>SUMIF('Basis Options'!X:X,CONCATENATE($A11,B$4),'Basis Options'!AB:AB)</f>
        <v>-0.20029401450636902</v>
      </c>
      <c r="C11" s="43">
        <f>SUMIF('Basis Options'!$X:$X,CONCATENATE($A11,C$4),'Basis Options'!$AB:$AB)</f>
        <v>-1.4138311291911005</v>
      </c>
      <c r="D11" s="43">
        <f>SUMIF('Basis Options'!$X:$X,CONCATENATE($A11,D$4),'Basis Options'!$AB:$AB)</f>
        <v>0.18733578541825352</v>
      </c>
      <c r="E11" s="43">
        <f>SUMIF('Basis Options'!$X:$X,CONCATENATE($A11,E$4),'Basis Options'!$AB:$AB)</f>
        <v>-14.699596749351482</v>
      </c>
      <c r="F11" s="43">
        <f>SUMIF('Basis Options'!$X:$X,CONCATENATE($A11,F$4),'Basis Options'!$AB:$AB)</f>
        <v>0</v>
      </c>
      <c r="G11" s="43">
        <f>SUMIF('Basis Options'!$X:$X,CONCATENATE($A11,G$4),'Basis Options'!$AB:$AB)</f>
        <v>0.5258467168238834</v>
      </c>
      <c r="H11" s="43">
        <f>SUMIF('Basis Options'!$X:$X,CONCATENATE($A11,H$4),'Basis Options'!$AB:$AB)</f>
        <v>-9.8471485903890095</v>
      </c>
      <c r="I11" s="43">
        <f>SUMIF('Basis Options'!$X:$X,CONCATENATE($A11,I$4),'Basis Options'!$AB:$AB)</f>
        <v>0</v>
      </c>
      <c r="J11" s="43">
        <f>SUMIF('Basis Options'!$X:$X,CONCATENATE($A11,J$4),'Basis Options'!$AB:$AB)</f>
        <v>0</v>
      </c>
      <c r="K11" s="43">
        <f>SUMIF('Basis Options'!$X:$X,CONCATENATE($A11,K$4),'Basis Options'!$AB:$AB)</f>
        <v>-1.7234284763019021</v>
      </c>
      <c r="L11" s="43">
        <f>SUMIF('Basis Options'!$X:$X,CONCATENATE($A11,L$4),'Basis Options'!$AB:$AB)</f>
        <v>-0.82641419059457222</v>
      </c>
      <c r="M11" s="43">
        <f>SUMIF('Basis Options'!$X:$X,CONCATENATE($A11,M$4),'Basis Options'!$AB:$AB)</f>
        <v>-0.42426998677044431</v>
      </c>
      <c r="N11" s="43">
        <f>SUMIF('Basis Options'!$X:$X,CONCATENATE($A11,N$4),'Basis Options'!$AB:$AB)</f>
        <v>1.5653076993815453</v>
      </c>
      <c r="O11" s="128">
        <f t="shared" si="1"/>
        <v>36923</v>
      </c>
      <c r="P11" s="44">
        <f t="shared" si="2"/>
        <v>-26.856492935481196</v>
      </c>
      <c r="R11" s="43">
        <f t="shared" si="15"/>
        <v>866226.2547899863</v>
      </c>
      <c r="S11" s="128">
        <f t="shared" si="3"/>
        <v>36923</v>
      </c>
      <c r="T11" s="43">
        <f>SUMIF('Basis Options'!$X:$X,CONCATENATE($S11,T$4),'Basis Options'!$AC:$AC)</f>
        <v>-3014.6911817887749</v>
      </c>
      <c r="U11" s="43">
        <f>SUMIF('Basis Options'!$X:$X,CONCATENATE($S11,U$4),'Basis Options'!$AC:$AC)</f>
        <v>44047.844819204576</v>
      </c>
      <c r="V11" s="43">
        <f>SUMIF('Basis Options'!$X:$X,CONCATENATE($S11,V$4),'Basis Options'!$AC:$AC)</f>
        <v>-4604.9688028463515</v>
      </c>
      <c r="W11" s="43">
        <f>SUMIF('Basis Options'!$X:$X,CONCATENATE($S11,W$4),'Basis Options'!$AC:$AC)</f>
        <v>447094.81257488031</v>
      </c>
      <c r="X11" s="43">
        <f>SUMIF('Basis Options'!$X:$X,CONCATENATE($S11,X$4),'Basis Options'!$AC:$AC)</f>
        <v>0</v>
      </c>
      <c r="Y11" s="43">
        <f>SUMIF('Basis Options'!$X:$X,CONCATENATE($S11,Y$4),'Basis Options'!$AC:$AC)</f>
        <v>-19138.002998185511</v>
      </c>
      <c r="Z11" s="43">
        <f>SUMIF('Basis Options'!$X:$X,CONCATENATE($S11,Z$4),'Basis Options'!$AC:$AC)</f>
        <v>311914.20348653034</v>
      </c>
      <c r="AA11" s="43">
        <f>SUMIF('Basis Options'!$X:$X,CONCATENATE($S11,AA$4),'Basis Options'!$AC:$AC)</f>
        <v>0</v>
      </c>
      <c r="AB11" s="43">
        <f>SUMIF('Basis Options'!$X:$X,CONCATENATE($S11,AB$4),'Basis Options'!$AC:$AC)</f>
        <v>0</v>
      </c>
      <c r="AC11" s="43">
        <f>SUMIF('Basis Options'!$X:$X,CONCATENATE($S11,AC$4),'Basis Options'!$AC:$AC)</f>
        <v>50662.341114806681</v>
      </c>
      <c r="AD11" s="43">
        <f>SUMIF('Basis Options'!$X:$X,CONCATENATE($S11,AD$4),'Basis Options'!$AC:$AC)</f>
        <v>25544.965737544149</v>
      </c>
      <c r="AE11" s="43">
        <f>SUMIF('Basis Options'!$X:$X,CONCATENATE($S11,AE$4),'Basis Options'!$AC:$AC)</f>
        <v>13719.750039840814</v>
      </c>
      <c r="AF11" s="43">
        <f>SUMIF('Basis Options'!$X:$X,CONCATENATE($S11,AF$4),'Basis Options'!$AC:$AC)</f>
        <v>-53210.106689882945</v>
      </c>
      <c r="AG11" s="128">
        <f t="shared" si="4"/>
        <v>36923</v>
      </c>
      <c r="AH11" s="44">
        <f t="shared" si="5"/>
        <v>813016.14810010337</v>
      </c>
      <c r="AK11" s="128">
        <f t="shared" si="6"/>
        <v>36923</v>
      </c>
      <c r="AL11" s="43">
        <f>SUMIF('Basis Options'!$X:$X,CONCATENATE($AK11,AL$4),'Basis Options'!$AD:$AD)</f>
        <v>2535.6822388265673</v>
      </c>
      <c r="AM11" s="43">
        <f>SUMIF('Basis Options'!$X:$X,CONCATENATE($AK11,AM$4),'Basis Options'!$AD:$AD)</f>
        <v>376.305533718736</v>
      </c>
      <c r="AN11" s="43">
        <f>SUMIF('Basis Options'!$X:$X,CONCATENATE($AK11,AN$4),'Basis Options'!$AD:$AD)</f>
        <v>-194.42439088067147</v>
      </c>
      <c r="AO11" s="43">
        <f>SUMIF('Basis Options'!$X:$X,CONCATENATE($AK11,AO$4),'Basis Options'!$AD:$AD)</f>
        <v>1069.8411514317329</v>
      </c>
      <c r="AP11" s="43">
        <f>SUMIF('Basis Options'!$X:$X,CONCATENATE($AK11,AP$4),'Basis Options'!$AD:$AD)</f>
        <v>0</v>
      </c>
      <c r="AQ11" s="43">
        <f>SUMIF('Basis Options'!$X:$X,CONCATENATE($AK11,AQ$4),'Basis Options'!$AD:$AD)</f>
        <v>-1654.5149899915364</v>
      </c>
      <c r="AR11" s="43">
        <f>SUMIF('Basis Options'!$X:$X,CONCATENATE($AK11,AR$4),'Basis Options'!$AD:$AD)</f>
        <v>700.49518852667472</v>
      </c>
      <c r="AS11" s="43">
        <f>SUMIF('Basis Options'!$X:$X,CONCATENATE($AK11,AS$4),'Basis Options'!$AD:$AD)</f>
        <v>0</v>
      </c>
      <c r="AT11" s="43">
        <f>SUMIF('Basis Options'!$X:$X,CONCATENATE($AK11,AT$4),'Basis Options'!$AD:$AD)</f>
        <v>0</v>
      </c>
      <c r="AU11" s="43">
        <f>SUMIF('Basis Options'!$X:$X,CONCATENATE($AK11,AU$4),'Basis Options'!$AD:$AD)</f>
        <v>211.5761533274503</v>
      </c>
      <c r="AV11" s="43">
        <f>SUMIF('Basis Options'!$X:$X,CONCATENATE($AK11,AV$4),'Basis Options'!$AD:$AD)</f>
        <v>118.64842724180595</v>
      </c>
      <c r="AW11" s="43">
        <f>SUMIF('Basis Options'!$X:$X,CONCATENATE($AK11,AW$4),'Basis Options'!$AD:$AD)</f>
        <v>83.181926244090533</v>
      </c>
      <c r="AX11" s="43">
        <f>SUMIF('Basis Options'!$X:$X,CONCATENATE($AK11,AX$4),'Basis Options'!$AD:$AD)</f>
        <v>-2279.0582937753788</v>
      </c>
      <c r="AY11" s="128">
        <f t="shared" si="7"/>
        <v>36923</v>
      </c>
      <c r="AZ11" s="44">
        <f t="shared" si="8"/>
        <v>967.73294466947073</v>
      </c>
      <c r="BB11" s="128">
        <f t="shared" si="9"/>
        <v>36923</v>
      </c>
      <c r="BC11" s="43">
        <f>SUMIF('Basis Options'!$X:$X,CONCATENATE($AK11,BC$4),'Basis Options'!$AF:$AF)</f>
        <v>-17820.589337785328</v>
      </c>
      <c r="BD11" s="43">
        <f>SUMIF('Basis Options'!$X:$X,CONCATENATE($AK11,BD$4),'Basis Options'!$AF:$AF)</f>
        <v>-2025.2046482362841</v>
      </c>
      <c r="BE11" s="43">
        <f>SUMIF('Basis Options'!$X:$X,CONCATENATE($AK11,BE$4),'Basis Options'!$AF:$AF)</f>
        <v>1101.6768262401174</v>
      </c>
      <c r="BF11" s="43">
        <f>SUMIF('Basis Options'!$X:$X,CONCATENATE($AK11,BF$4),'Basis Options'!$AF:$AF)</f>
        <v>-5807.4254724948987</v>
      </c>
      <c r="BG11" s="43">
        <f>SUMIF('Basis Options'!$X:$X,CONCATENATE($AK11,BG$4),'Basis Options'!$AF:$AF)</f>
        <v>0</v>
      </c>
      <c r="BH11" s="43">
        <f>SUMIF('Basis Options'!$X:$X,CONCATENATE($AK11,BH$4),'Basis Options'!$AF:$AF)</f>
        <v>9716.8709134140699</v>
      </c>
      <c r="BI11" s="43">
        <f>SUMIF('Basis Options'!$X:$X,CONCATENATE($AK11,BI$4),'Basis Options'!$AF:$AF)</f>
        <v>-3875.3197627595582</v>
      </c>
      <c r="BJ11" s="43">
        <f>SUMIF('Basis Options'!$X:$X,CONCATENATE($AK11,BJ$4),'Basis Options'!$AF:$AF)</f>
        <v>0</v>
      </c>
      <c r="BK11" s="43">
        <f>SUMIF('Basis Options'!$X:$X,CONCATENATE($AK11,BK$4),'Basis Options'!$AF:$AF)</f>
        <v>0</v>
      </c>
      <c r="BL11" s="43">
        <f>SUMIF('Basis Options'!$X:$X,CONCATENATE($AK11,BL$4),'Basis Options'!$AF:$AF)</f>
        <v>-1128.6683229602613</v>
      </c>
      <c r="BM11" s="43">
        <f>SUMIF('Basis Options'!$X:$X,CONCATENATE($AK11,BM$4),'Basis Options'!$AF:$AF)</f>
        <v>-636.93024109441558</v>
      </c>
      <c r="BN11" s="43">
        <f>SUMIF('Basis Options'!$X:$X,CONCATENATE($AK11,BN$4),'Basis Options'!$AF:$AF)</f>
        <v>-449.72343293450263</v>
      </c>
      <c r="BO11" s="43">
        <f>SUMIF('Basis Options'!$X:$X,CONCATENATE($AK11,BO$4),'Basis Options'!$AF:$AF)</f>
        <v>12830.206980950035</v>
      </c>
      <c r="BP11" s="128">
        <f t="shared" si="10"/>
        <v>36923</v>
      </c>
      <c r="BQ11" s="44">
        <f t="shared" si="11"/>
        <v>-8095.1064976610251</v>
      </c>
      <c r="BS11" s="128">
        <f t="shared" si="12"/>
        <v>36923</v>
      </c>
      <c r="BT11" s="43">
        <f>SUMIF('Basis Options'!$X:$X,CONCATENATE($BS11,BT$4),'Basis Options'!$AI:$AI)</f>
        <v>0.58241329818546994</v>
      </c>
      <c r="BU11" s="43">
        <f>SUMIF('Basis Options'!$X:$X,CONCATENATE($BS11,BU$4),'Basis Options'!$AI:$AI)</f>
        <v>4.6509942876126087E-2</v>
      </c>
      <c r="BV11" s="43">
        <f>SUMIF('Basis Options'!$X:$X,CONCATENATE($BS11,BV$4),'Basis Options'!$AI:$AI)</f>
        <v>-2.1220075586360576E-2</v>
      </c>
      <c r="BW11" s="43">
        <f>SUMIF('Basis Options'!$X:$X,CONCATENATE($BS11,BW$4),'Basis Options'!$AI:$AI)</f>
        <v>0.21619179595354165</v>
      </c>
      <c r="BX11" s="43">
        <f>SUMIF('Basis Options'!$X:$X,CONCATENATE($BS11,BX$4),'Basis Options'!$AI:$AI)</f>
        <v>0</v>
      </c>
      <c r="BY11" s="43">
        <f>SUMIF('Basis Options'!$X:$X,CONCATENATE($BS11,BY$4),'Basis Options'!$AI:$AI)</f>
        <v>0.12194950675922514</v>
      </c>
      <c r="BZ11" s="43">
        <f>SUMIF('Basis Options'!$X:$X,CONCATENATE($BS11,BZ$4),'Basis Options'!$AI:$AI)</f>
        <v>-0.15446308689497101</v>
      </c>
      <c r="CA11" s="43">
        <f>SUMIF('Basis Options'!$X:$X,CONCATENATE($BS11,CA$4),'Basis Options'!$AI:$AI)</f>
        <v>0</v>
      </c>
      <c r="CB11" s="43">
        <f>SUMIF('Basis Options'!$X:$X,CONCATENATE($BS11,CB$4),'Basis Options'!$AI:$AI)</f>
        <v>0</v>
      </c>
      <c r="CC11" s="43">
        <f>SUMIF('Basis Options'!$X:$X,CONCATENATE($BS11,CC$4),'Basis Options'!$AI:$AI)</f>
        <v>-7.639722864538756E-2</v>
      </c>
      <c r="CD11" s="43">
        <f>SUMIF('Basis Options'!$X:$X,CONCATENATE($BS11,CD$4),'Basis Options'!$AI:$AI)</f>
        <v>2.1410981986196065E-2</v>
      </c>
      <c r="CE11" s="43">
        <f>SUMIF('Basis Options'!$X:$X,CONCATENATE($BS11,CE$4),'Basis Options'!$AI:$AI)</f>
        <v>3.626963331170352E-3</v>
      </c>
      <c r="CF11" s="43">
        <f>SUMIF('Basis Options'!$X:$X,CONCATENATE($BS11,CF$4),'Basis Options'!$AI:$AI)</f>
        <v>0.13528562917348752</v>
      </c>
      <c r="CG11" s="128">
        <f t="shared" si="13"/>
        <v>36923</v>
      </c>
      <c r="CH11" s="480">
        <f t="shared" si="14"/>
        <v>0.87530772713849758</v>
      </c>
    </row>
    <row r="12" spans="1:86" x14ac:dyDescent="0.25">
      <c r="A12" s="128">
        <f t="shared" si="0"/>
        <v>36951</v>
      </c>
      <c r="B12" s="467">
        <f>SUMIF('Basis Options'!X:X,CONCATENATE($A12,B$4),'Basis Options'!AB:AB)</f>
        <v>2.3094005666791588</v>
      </c>
      <c r="C12" s="43">
        <f>SUMIF('Basis Options'!$X:$X,CONCATENATE($A12,C$4),'Basis Options'!$AB:$AB)</f>
        <v>4.2866989909115694E-2</v>
      </c>
      <c r="D12" s="43">
        <f>SUMIF('Basis Options'!$X:$X,CONCATENATE($A12,D$4),'Basis Options'!$AB:$AB)</f>
        <v>0.22434783705265365</v>
      </c>
      <c r="E12" s="43">
        <f>SUMIF('Basis Options'!$X:$X,CONCATENATE($A12,E$4),'Basis Options'!$AB:$AB)</f>
        <v>-16.509290390836803</v>
      </c>
      <c r="F12" s="43">
        <f>SUMIF('Basis Options'!$X:$X,CONCATENATE($A12,F$4),'Basis Options'!$AB:$AB)</f>
        <v>0</v>
      </c>
      <c r="G12" s="43">
        <f>SUMIF('Basis Options'!$X:$X,CONCATENATE($A12,G$4),'Basis Options'!$AB:$AB)</f>
        <v>0.57048406295311604</v>
      </c>
      <c r="H12" s="43">
        <f>SUMIF('Basis Options'!$X:$X,CONCATENATE($A12,H$4),'Basis Options'!$AB:$AB)</f>
        <v>-10.657093184057626</v>
      </c>
      <c r="I12" s="43">
        <f>SUMIF('Basis Options'!$X:$X,CONCATENATE($A12,I$4),'Basis Options'!$AB:$AB)</f>
        <v>0</v>
      </c>
      <c r="J12" s="43">
        <f>SUMIF('Basis Options'!$X:$X,CONCATENATE($A12,J$4),'Basis Options'!$AB:$AB)</f>
        <v>0</v>
      </c>
      <c r="K12" s="43">
        <f>SUMIF('Basis Options'!$X:$X,CONCATENATE($A12,K$4),'Basis Options'!$AB:$AB)</f>
        <v>-1.909323747372182</v>
      </c>
      <c r="L12" s="43">
        <f>SUMIF('Basis Options'!$X:$X,CONCATENATE($A12,L$4),'Basis Options'!$AB:$AB)</f>
        <v>-0.84373973937730229</v>
      </c>
      <c r="M12" s="43">
        <f>SUMIF('Basis Options'!$X:$X,CONCATENATE($A12,M$4),'Basis Options'!$AB:$AB)</f>
        <v>-0.46459276536771332</v>
      </c>
      <c r="N12" s="43">
        <f>SUMIF('Basis Options'!$X:$X,CONCATENATE($A12,N$4),'Basis Options'!$AB:$AB)</f>
        <v>1.9094128167644997</v>
      </c>
      <c r="O12" s="128">
        <f t="shared" si="1"/>
        <v>36951</v>
      </c>
      <c r="P12" s="44">
        <f t="shared" si="2"/>
        <v>-25.327527553653077</v>
      </c>
      <c r="R12" s="43">
        <f t="shared" si="15"/>
        <v>674544.56962123374</v>
      </c>
      <c r="S12" s="128">
        <f t="shared" si="3"/>
        <v>36951</v>
      </c>
      <c r="T12" s="43">
        <f>SUMIF('Basis Options'!$X:$X,CONCATENATE($S12,T$4),'Basis Options'!$AC:$AC)</f>
        <v>-91346.59826691974</v>
      </c>
      <c r="U12" s="43">
        <f>SUMIF('Basis Options'!$X:$X,CONCATENATE($S12,U$4),'Basis Options'!$AC:$AC)</f>
        <v>-1247.3138728074318</v>
      </c>
      <c r="V12" s="43">
        <f>SUMIF('Basis Options'!$X:$X,CONCATENATE($S12,V$4),'Basis Options'!$AC:$AC)</f>
        <v>-4587.7165540825936</v>
      </c>
      <c r="W12" s="43">
        <f>SUMIF('Basis Options'!$X:$X,CONCATENATE($S12,W$4),'Basis Options'!$AC:$AC)</f>
        <v>422593.20170586783</v>
      </c>
      <c r="X12" s="43">
        <f>SUMIF('Basis Options'!$X:$X,CONCATENATE($S12,X$4),'Basis Options'!$AC:$AC)</f>
        <v>0</v>
      </c>
      <c r="Y12" s="43">
        <f>SUMIF('Basis Options'!$X:$X,CONCATENATE($S12,Y$4),'Basis Options'!$AC:$AC)</f>
        <v>-17740.427599514001</v>
      </c>
      <c r="Z12" s="43">
        <f>SUMIF('Basis Options'!$X:$X,CONCATENATE($S12,Z$4),'Basis Options'!$AC:$AC)</f>
        <v>284910.85551373404</v>
      </c>
      <c r="AA12" s="43">
        <f>SUMIF('Basis Options'!$X:$X,CONCATENATE($S12,AA$4),'Basis Options'!$AC:$AC)</f>
        <v>0</v>
      </c>
      <c r="AB12" s="43">
        <f>SUMIF('Basis Options'!$X:$X,CONCATENATE($S12,AB$4),'Basis Options'!$AC:$AC)</f>
        <v>0</v>
      </c>
      <c r="AC12" s="43">
        <f>SUMIF('Basis Options'!$X:$X,CONCATENATE($S12,AC$4),'Basis Options'!$AC:$AC)</f>
        <v>47473.09765132406</v>
      </c>
      <c r="AD12" s="43">
        <f>SUMIF('Basis Options'!$X:$X,CONCATENATE($S12,AD$4),'Basis Options'!$AC:$AC)</f>
        <v>21976.320177102367</v>
      </c>
      <c r="AE12" s="43">
        <f>SUMIF('Basis Options'!$X:$X,CONCATENATE($S12,AE$4),'Basis Options'!$AC:$AC)</f>
        <v>12513.150866529311</v>
      </c>
      <c r="AF12" s="43">
        <f>SUMIF('Basis Options'!$X:$X,CONCATENATE($S12,AF$4),'Basis Options'!$AC:$AC)</f>
        <v>-46472.156276537076</v>
      </c>
      <c r="AG12" s="128">
        <f t="shared" si="4"/>
        <v>36951</v>
      </c>
      <c r="AH12" s="44">
        <f t="shared" si="5"/>
        <v>628072.41334469663</v>
      </c>
      <c r="AK12" s="128">
        <f t="shared" si="6"/>
        <v>36951</v>
      </c>
      <c r="AL12" s="43">
        <f>SUMIF('Basis Options'!$X:$X,CONCATENATE($AK12,AL$4),'Basis Options'!$AD:$AD)</f>
        <v>-10350.156519149779</v>
      </c>
      <c r="AM12" s="43">
        <f>SUMIF('Basis Options'!$X:$X,CONCATENATE($AK12,AM$4),'Basis Options'!$AD:$AD)</f>
        <v>-2.6086464756130141</v>
      </c>
      <c r="AN12" s="43">
        <f>SUMIF('Basis Options'!$X:$X,CONCATENATE($AK12,AN$4),'Basis Options'!$AD:$AD)</f>
        <v>-161.46580582243178</v>
      </c>
      <c r="AO12" s="43">
        <f>SUMIF('Basis Options'!$X:$X,CONCATENATE($AK12,AO$4),'Basis Options'!$AD:$AD)</f>
        <v>854.2742707973656</v>
      </c>
      <c r="AP12" s="43">
        <f>SUMIF('Basis Options'!$X:$X,CONCATENATE($AK12,AP$4),'Basis Options'!$AD:$AD)</f>
        <v>0</v>
      </c>
      <c r="AQ12" s="43">
        <f>SUMIF('Basis Options'!$X:$X,CONCATENATE($AK12,AQ$4),'Basis Options'!$AD:$AD)</f>
        <v>-1253.4767615083522</v>
      </c>
      <c r="AR12" s="43">
        <f>SUMIF('Basis Options'!$X:$X,CONCATENATE($AK12,AR$4),'Basis Options'!$AD:$AD)</f>
        <v>534.66428657406391</v>
      </c>
      <c r="AS12" s="43">
        <f>SUMIF('Basis Options'!$X:$X,CONCATENATE($AK12,AS$4),'Basis Options'!$AD:$AD)</f>
        <v>0</v>
      </c>
      <c r="AT12" s="43">
        <f>SUMIF('Basis Options'!$X:$X,CONCATENATE($AK12,AT$4),'Basis Options'!$AD:$AD)</f>
        <v>0</v>
      </c>
      <c r="AU12" s="43">
        <f>SUMIF('Basis Options'!$X:$X,CONCATENATE($AK12,AU$4),'Basis Options'!$AD:$AD)</f>
        <v>170.6087748743293</v>
      </c>
      <c r="AV12" s="43">
        <f>SUMIF('Basis Options'!$X:$X,CONCATENATE($AK12,AV$4),'Basis Options'!$AD:$AD)</f>
        <v>88.40236312121408</v>
      </c>
      <c r="AW12" s="43">
        <f>SUMIF('Basis Options'!$X:$X,CONCATENATE($AK12,AW$4),'Basis Options'!$AD:$AD)</f>
        <v>64.608129450431349</v>
      </c>
      <c r="AX12" s="43">
        <f>SUMIF('Basis Options'!$X:$X,CONCATENATE($AK12,AX$4),'Basis Options'!$AD:$AD)</f>
        <v>-1724.5629173359432</v>
      </c>
      <c r="AY12" s="128">
        <f t="shared" si="7"/>
        <v>36951</v>
      </c>
      <c r="AZ12" s="44">
        <f t="shared" si="8"/>
        <v>-11779.712825474719</v>
      </c>
      <c r="BB12" s="128">
        <f t="shared" si="9"/>
        <v>36951</v>
      </c>
      <c r="BC12" s="43">
        <f>SUMIF('Basis Options'!$X:$X,CONCATENATE($AK12,BC$4),'Basis Options'!$AF:$AF)</f>
        <v>71711.024628902145</v>
      </c>
      <c r="BD12" s="43">
        <f>SUMIF('Basis Options'!$X:$X,CONCATENATE($AK12,BD$4),'Basis Options'!$AF:$AF)</f>
        <v>26.025061948198299</v>
      </c>
      <c r="BE12" s="43">
        <f>SUMIF('Basis Options'!$X:$X,CONCATENATE($AK12,BE$4),'Basis Options'!$AF:$AF)</f>
        <v>1223.30069484144</v>
      </c>
      <c r="BF12" s="43">
        <f>SUMIF('Basis Options'!$X:$X,CONCATENATE($AK12,BF$4),'Basis Options'!$AF:$AF)</f>
        <v>-6114.2118567103007</v>
      </c>
      <c r="BG12" s="43">
        <f>SUMIF('Basis Options'!$X:$X,CONCATENATE($AK12,BG$4),'Basis Options'!$AF:$AF)</f>
        <v>0</v>
      </c>
      <c r="BH12" s="43">
        <f>SUMIF('Basis Options'!$X:$X,CONCATENATE($AK12,BH$4),'Basis Options'!$AF:$AF)</f>
        <v>9952.550397865296</v>
      </c>
      <c r="BI12" s="43">
        <f>SUMIF('Basis Options'!$X:$X,CONCATENATE($AK12,BI$4),'Basis Options'!$AF:$AF)</f>
        <v>-3937.4939075465481</v>
      </c>
      <c r="BJ12" s="43">
        <f>SUMIF('Basis Options'!$X:$X,CONCATENATE($AK12,BJ$4),'Basis Options'!$AF:$AF)</f>
        <v>0</v>
      </c>
      <c r="BK12" s="43">
        <f>SUMIF('Basis Options'!$X:$X,CONCATENATE($AK12,BK$4),'Basis Options'!$AF:$AF)</f>
        <v>0</v>
      </c>
      <c r="BL12" s="43">
        <f>SUMIF('Basis Options'!$X:$X,CONCATENATE($AK12,BL$4),'Basis Options'!$AF:$AF)</f>
        <v>-1199.5636102032186</v>
      </c>
      <c r="BM12" s="43">
        <f>SUMIF('Basis Options'!$X:$X,CONCATENATE($AK12,BM$4),'Basis Options'!$AF:$AF)</f>
        <v>-625.59513262202609</v>
      </c>
      <c r="BN12" s="43">
        <f>SUMIF('Basis Options'!$X:$X,CONCATENATE($AK12,BN$4),'Basis Options'!$AF:$AF)</f>
        <v>-457.54212125165918</v>
      </c>
      <c r="BO12" s="43">
        <f>SUMIF('Basis Options'!$X:$X,CONCATENATE($AK12,BO$4),'Basis Options'!$AF:$AF)</f>
        <v>12493.862494744038</v>
      </c>
      <c r="BP12" s="128">
        <f t="shared" si="10"/>
        <v>36951</v>
      </c>
      <c r="BQ12" s="44">
        <f t="shared" si="11"/>
        <v>83072.356649967376</v>
      </c>
      <c r="BS12" s="128">
        <f t="shared" si="12"/>
        <v>36951</v>
      </c>
      <c r="BT12" s="43">
        <f>SUMIF('Basis Options'!$X:$X,CONCATENATE($BS12,BT$4),'Basis Options'!$AI:$AI)</f>
        <v>0.45392719708461832</v>
      </c>
      <c r="BU12" s="43">
        <f>SUMIF('Basis Options'!$X:$X,CONCATENATE($BS12,BU$4),'Basis Options'!$AI:$AI)</f>
        <v>7.5352571173118998E-3</v>
      </c>
      <c r="BV12" s="43">
        <f>SUMIF('Basis Options'!$X:$X,CONCATENATE($BS12,BV$4),'Basis Options'!$AI:$AI)</f>
        <v>-2.7567549915261363E-2</v>
      </c>
      <c r="BW12" s="43">
        <f>SUMIF('Basis Options'!$X:$X,CONCATENATE($BS12,BW$4),'Basis Options'!$AI:$AI)</f>
        <v>0.29523497273974053</v>
      </c>
      <c r="BX12" s="43">
        <f>SUMIF('Basis Options'!$X:$X,CONCATENATE($BS12,BX$4),'Basis Options'!$AI:$AI)</f>
        <v>0</v>
      </c>
      <c r="BY12" s="43">
        <f>SUMIF('Basis Options'!$X:$X,CONCATENATE($BS12,BY$4),'Basis Options'!$AI:$AI)</f>
        <v>0.14230765525900965</v>
      </c>
      <c r="BZ12" s="43">
        <f>SUMIF('Basis Options'!$X:$X,CONCATENATE($BS12,BZ$4),'Basis Options'!$AI:$AI)</f>
        <v>-0.16505687012434755</v>
      </c>
      <c r="CA12" s="43">
        <f>SUMIF('Basis Options'!$X:$X,CONCATENATE($BS12,CA$4),'Basis Options'!$AI:$AI)</f>
        <v>0</v>
      </c>
      <c r="CB12" s="43">
        <f>SUMIF('Basis Options'!$X:$X,CONCATENATE($BS12,CB$4),'Basis Options'!$AI:$AI)</f>
        <v>0</v>
      </c>
      <c r="CC12" s="43">
        <f>SUMIF('Basis Options'!$X:$X,CONCATENATE($BS12,CC$4),'Basis Options'!$AI:$AI)</f>
        <v>-9.3075887314161054E-2</v>
      </c>
      <c r="CD12" s="43">
        <f>SUMIF('Basis Options'!$X:$X,CONCATENATE($BS12,CD$4),'Basis Options'!$AI:$AI)</f>
        <v>2.5707913429933948E-2</v>
      </c>
      <c r="CE12" s="43">
        <f>SUMIF('Basis Options'!$X:$X,CONCATENATE($BS12,CE$4),'Basis Options'!$AI:$AI)</f>
        <v>1.0365318851845828E-2</v>
      </c>
      <c r="CF12" s="43">
        <f>SUMIF('Basis Options'!$X:$X,CONCATENATE($BS12,CF$4),'Basis Options'!$AI:$AI)</f>
        <v>-0.15469615667451431</v>
      </c>
      <c r="CG12" s="128">
        <f t="shared" si="13"/>
        <v>36951</v>
      </c>
      <c r="CH12" s="480">
        <f t="shared" si="14"/>
        <v>0.49468185045417601</v>
      </c>
    </row>
    <row r="13" spans="1:86" x14ac:dyDescent="0.25">
      <c r="A13" s="128">
        <f t="shared" si="0"/>
        <v>36982</v>
      </c>
      <c r="B13" s="467">
        <f>SUMIF('Basis Options'!X:X,CONCATENATE($A13,B$4),'Basis Options'!AB:AB)</f>
        <v>-2.1275385527025352</v>
      </c>
      <c r="C13" s="43">
        <f>SUMIF('Basis Options'!$X:$X,CONCATENATE($A13,C$4),'Basis Options'!$AB:$AB)</f>
        <v>0</v>
      </c>
      <c r="D13" s="43">
        <f>SUMIF('Basis Options'!$X:$X,CONCATENATE($A13,D$4),'Basis Options'!$AB:$AB)</f>
        <v>0</v>
      </c>
      <c r="E13" s="43">
        <f>SUMIF('Basis Options'!$X:$X,CONCATENATE($A13,E$4),'Basis Options'!$AB:$AB)</f>
        <v>0</v>
      </c>
      <c r="F13" s="43">
        <f>SUMIF('Basis Options'!$X:$X,CONCATENATE($A13,F$4),'Basis Options'!$AB:$AB)</f>
        <v>0</v>
      </c>
      <c r="G13" s="43">
        <f>SUMIF('Basis Options'!$X:$X,CONCATENATE($A13,G$4),'Basis Options'!$AB:$AB)</f>
        <v>-0.46145757077663174</v>
      </c>
      <c r="H13" s="43">
        <f>SUMIF('Basis Options'!$X:$X,CONCATENATE($A13,H$4),'Basis Options'!$AB:$AB)</f>
        <v>0</v>
      </c>
      <c r="I13" s="43">
        <f>SUMIF('Basis Options'!$X:$X,CONCATENATE($A13,I$4),'Basis Options'!$AB:$AB)</f>
        <v>0</v>
      </c>
      <c r="J13" s="43">
        <f>SUMIF('Basis Options'!$X:$X,CONCATENATE($A13,J$4),'Basis Options'!$AB:$AB)</f>
        <v>1.6091379851800973</v>
      </c>
      <c r="K13" s="43">
        <f>SUMIF('Basis Options'!$X:$X,CONCATENATE($A13,K$4),'Basis Options'!$AB:$AB)</f>
        <v>0</v>
      </c>
      <c r="L13" s="43">
        <f>SUMIF('Basis Options'!$X:$X,CONCATENATE($A13,L$4),'Basis Options'!$AB:$AB)</f>
        <v>0</v>
      </c>
      <c r="M13" s="43">
        <f>SUMIF('Basis Options'!$X:$X,CONCATENATE($A13,M$4),'Basis Options'!$AB:$AB)</f>
        <v>0</v>
      </c>
      <c r="N13" s="43">
        <f>SUMIF('Basis Options'!$X:$X,CONCATENATE($A13,N$4),'Basis Options'!$AB:$AB)</f>
        <v>0</v>
      </c>
      <c r="O13" s="128">
        <f t="shared" si="1"/>
        <v>36982</v>
      </c>
      <c r="P13" s="44">
        <f t="shared" si="2"/>
        <v>-0.97985813829906987</v>
      </c>
      <c r="R13" s="43">
        <f t="shared" si="15"/>
        <v>14630.050210106059</v>
      </c>
      <c r="S13" s="128">
        <f t="shared" si="3"/>
        <v>36982</v>
      </c>
      <c r="T13" s="43">
        <f>SUMIF('Basis Options'!$X:$X,CONCATENATE($S13,T$4),'Basis Options'!$AC:$AC)</f>
        <v>37715.668637177427</v>
      </c>
      <c r="U13" s="43">
        <f>SUMIF('Basis Options'!$X:$X,CONCATENATE($S13,U$4),'Basis Options'!$AC:$AC)</f>
        <v>0</v>
      </c>
      <c r="V13" s="43">
        <f>SUMIF('Basis Options'!$X:$X,CONCATENATE($S13,V$4),'Basis Options'!$AC:$AC)</f>
        <v>0</v>
      </c>
      <c r="W13" s="43">
        <f>SUMIF('Basis Options'!$X:$X,CONCATENATE($S13,W$4),'Basis Options'!$AC:$AC)</f>
        <v>0</v>
      </c>
      <c r="X13" s="43">
        <f>SUMIF('Basis Options'!$X:$X,CONCATENATE($S13,X$4),'Basis Options'!$AC:$AC)</f>
        <v>0</v>
      </c>
      <c r="Y13" s="43">
        <f>SUMIF('Basis Options'!$X:$X,CONCATENATE($S13,Y$4),'Basis Options'!$AC:$AC)</f>
        <v>8047.8554241547172</v>
      </c>
      <c r="Z13" s="43">
        <f>SUMIF('Basis Options'!$X:$X,CONCATENATE($S13,Z$4),'Basis Options'!$AC:$AC)</f>
        <v>0</v>
      </c>
      <c r="AA13" s="43">
        <f>SUMIF('Basis Options'!$X:$X,CONCATENATE($S13,AA$4),'Basis Options'!$AC:$AC)</f>
        <v>0</v>
      </c>
      <c r="AB13" s="43">
        <f>SUMIF('Basis Options'!$X:$X,CONCATENATE($S13,AB$4),'Basis Options'!$AC:$AC)</f>
        <v>-31133.473851226085</v>
      </c>
      <c r="AC13" s="43">
        <f>SUMIF('Basis Options'!$X:$X,CONCATENATE($S13,AC$4),'Basis Options'!$AC:$AC)</f>
        <v>0</v>
      </c>
      <c r="AD13" s="43">
        <f>SUMIF('Basis Options'!$X:$X,CONCATENATE($S13,AD$4),'Basis Options'!$AC:$AC)</f>
        <v>0</v>
      </c>
      <c r="AE13" s="43">
        <f>SUMIF('Basis Options'!$X:$X,CONCATENATE($S13,AE$4),'Basis Options'!$AC:$AC)</f>
        <v>0</v>
      </c>
      <c r="AF13" s="43">
        <f>SUMIF('Basis Options'!$X:$X,CONCATENATE($S13,AF$4),'Basis Options'!$AC:$AC)</f>
        <v>0</v>
      </c>
      <c r="AG13" s="128">
        <f t="shared" si="4"/>
        <v>36982</v>
      </c>
      <c r="AH13" s="44">
        <f t="shared" si="5"/>
        <v>14630.050210106059</v>
      </c>
      <c r="AK13" s="128">
        <f t="shared" si="6"/>
        <v>36982</v>
      </c>
      <c r="AL13" s="43">
        <f>SUMIF('Basis Options'!$X:$X,CONCATENATE($AK13,AL$4),'Basis Options'!$AD:$AD)</f>
        <v>777.1903998762217</v>
      </c>
      <c r="AM13" s="43">
        <f>SUMIF('Basis Options'!$X:$X,CONCATENATE($AK13,AM$4),'Basis Options'!$AD:$AD)</f>
        <v>0</v>
      </c>
      <c r="AN13" s="43">
        <f>SUMIF('Basis Options'!$X:$X,CONCATENATE($AK13,AN$4),'Basis Options'!$AD:$AD)</f>
        <v>0</v>
      </c>
      <c r="AO13" s="43">
        <f>SUMIF('Basis Options'!$X:$X,CONCATENATE($AK13,AO$4),'Basis Options'!$AD:$AD)</f>
        <v>0</v>
      </c>
      <c r="AP13" s="43">
        <f>SUMIF('Basis Options'!$X:$X,CONCATENATE($AK13,AP$4),'Basis Options'!$AD:$AD)</f>
        <v>0</v>
      </c>
      <c r="AQ13" s="43">
        <f>SUMIF('Basis Options'!$X:$X,CONCATENATE($AK13,AQ$4),'Basis Options'!$AD:$AD)</f>
        <v>611.16289270924733</v>
      </c>
      <c r="AR13" s="43">
        <f>SUMIF('Basis Options'!$X:$X,CONCATENATE($AK13,AR$4),'Basis Options'!$AD:$AD)</f>
        <v>0</v>
      </c>
      <c r="AS13" s="43">
        <f>SUMIF('Basis Options'!$X:$X,CONCATENATE($AK13,AS$4),'Basis Options'!$AD:$AD)</f>
        <v>0</v>
      </c>
      <c r="AT13" s="43">
        <f>SUMIF('Basis Options'!$X:$X,CONCATENATE($AK13,AT$4),'Basis Options'!$AD:$AD)</f>
        <v>-161.78825136093974</v>
      </c>
      <c r="AU13" s="43">
        <f>SUMIF('Basis Options'!$X:$X,CONCATENATE($AK13,AU$4),'Basis Options'!$AD:$AD)</f>
        <v>0</v>
      </c>
      <c r="AV13" s="43">
        <f>SUMIF('Basis Options'!$X:$X,CONCATENATE($AK13,AV$4),'Basis Options'!$AD:$AD)</f>
        <v>0</v>
      </c>
      <c r="AW13" s="43">
        <f>SUMIF('Basis Options'!$X:$X,CONCATENATE($AK13,AW$4),'Basis Options'!$AD:$AD)</f>
        <v>0</v>
      </c>
      <c r="AX13" s="43">
        <f>SUMIF('Basis Options'!$X:$X,CONCATENATE($AK13,AX$4),'Basis Options'!$AD:$AD)</f>
        <v>0</v>
      </c>
      <c r="AY13" s="128">
        <f t="shared" si="7"/>
        <v>36982</v>
      </c>
      <c r="AZ13" s="44">
        <f t="shared" si="8"/>
        <v>1226.5650412245293</v>
      </c>
      <c r="BB13" s="128">
        <f t="shared" si="9"/>
        <v>36982</v>
      </c>
      <c r="BC13" s="43">
        <f>SUMIF('Basis Options'!$X:$X,CONCATENATE($AK13,BC$4),'Basis Options'!$AF:$AF)</f>
        <v>-7429.3339328684106</v>
      </c>
      <c r="BD13" s="43">
        <f>SUMIF('Basis Options'!$X:$X,CONCATENATE($AK13,BD$4),'Basis Options'!$AF:$AF)</f>
        <v>0</v>
      </c>
      <c r="BE13" s="43">
        <f>SUMIF('Basis Options'!$X:$X,CONCATENATE($AK13,BE$4),'Basis Options'!$AF:$AF)</f>
        <v>0</v>
      </c>
      <c r="BF13" s="43">
        <f>SUMIF('Basis Options'!$X:$X,CONCATENATE($AK13,BF$4),'Basis Options'!$AF:$AF)</f>
        <v>0</v>
      </c>
      <c r="BG13" s="43">
        <f>SUMIF('Basis Options'!$X:$X,CONCATENATE($AK13,BG$4),'Basis Options'!$AF:$AF)</f>
        <v>0</v>
      </c>
      <c r="BH13" s="43">
        <f>SUMIF('Basis Options'!$X:$X,CONCATENATE($AK13,BH$4),'Basis Options'!$AF:$AF)</f>
        <v>-6004.6262176714054</v>
      </c>
      <c r="BI13" s="43">
        <f>SUMIF('Basis Options'!$X:$X,CONCATENATE($AK13,BI$4),'Basis Options'!$AF:$AF)</f>
        <v>0</v>
      </c>
      <c r="BJ13" s="43">
        <f>SUMIF('Basis Options'!$X:$X,CONCATENATE($AK13,BJ$4),'Basis Options'!$AF:$AF)</f>
        <v>0</v>
      </c>
      <c r="BK13" s="43">
        <f>SUMIF('Basis Options'!$X:$X,CONCATENATE($AK13,BK$4),'Basis Options'!$AF:$AF)</f>
        <v>1624.0872586201108</v>
      </c>
      <c r="BL13" s="43">
        <f>SUMIF('Basis Options'!$X:$X,CONCATENATE($AK13,BL$4),'Basis Options'!$AF:$AF)</f>
        <v>0</v>
      </c>
      <c r="BM13" s="43">
        <f>SUMIF('Basis Options'!$X:$X,CONCATENATE($AK13,BM$4),'Basis Options'!$AF:$AF)</f>
        <v>0</v>
      </c>
      <c r="BN13" s="43">
        <f>SUMIF('Basis Options'!$X:$X,CONCATENATE($AK13,BN$4),'Basis Options'!$AF:$AF)</f>
        <v>0</v>
      </c>
      <c r="BO13" s="43">
        <f>SUMIF('Basis Options'!$X:$X,CONCATENATE($AK13,BO$4),'Basis Options'!$AF:$AF)</f>
        <v>0</v>
      </c>
      <c r="BP13" s="128">
        <f t="shared" si="10"/>
        <v>36982</v>
      </c>
      <c r="BQ13" s="44">
        <f t="shared" si="11"/>
        <v>-11809.872891919706</v>
      </c>
      <c r="BS13" s="128">
        <f t="shared" si="12"/>
        <v>36982</v>
      </c>
      <c r="BT13" s="43">
        <f>SUMIF('Basis Options'!$X:$X,CONCATENATE($BS13,BT$4),'Basis Options'!$AI:$AI)</f>
        <v>0.39604839483790832</v>
      </c>
      <c r="BU13" s="43">
        <f>SUMIF('Basis Options'!$X:$X,CONCATENATE($BS13,BU$4),'Basis Options'!$AI:$AI)</f>
        <v>0</v>
      </c>
      <c r="BV13" s="43">
        <f>SUMIF('Basis Options'!$X:$X,CONCATENATE($BS13,BV$4),'Basis Options'!$AI:$AI)</f>
        <v>0</v>
      </c>
      <c r="BW13" s="43">
        <f>SUMIF('Basis Options'!$X:$X,CONCATENATE($BS13,BW$4),'Basis Options'!$AI:$AI)</f>
        <v>0</v>
      </c>
      <c r="BX13" s="43">
        <f>SUMIF('Basis Options'!$X:$X,CONCATENATE($BS13,BX$4),'Basis Options'!$AI:$AI)</f>
        <v>0</v>
      </c>
      <c r="BY13" s="43">
        <f>SUMIF('Basis Options'!$X:$X,CONCATENATE($BS13,BY$4),'Basis Options'!$AI:$AI)</f>
        <v>0.11851178570714636</v>
      </c>
      <c r="BZ13" s="43">
        <f>SUMIF('Basis Options'!$X:$X,CONCATENATE($BS13,BZ$4),'Basis Options'!$AI:$AI)</f>
        <v>0</v>
      </c>
      <c r="CA13" s="43">
        <f>SUMIF('Basis Options'!$X:$X,CONCATENATE($BS13,CA$4),'Basis Options'!$AI:$AI)</f>
        <v>0</v>
      </c>
      <c r="CB13" s="43">
        <f>SUMIF('Basis Options'!$X:$X,CONCATENATE($BS13,CB$4),'Basis Options'!$AI:$AI)</f>
        <v>7.0314171584396457E-2</v>
      </c>
      <c r="CC13" s="43">
        <f>SUMIF('Basis Options'!$X:$X,CONCATENATE($BS13,CC$4),'Basis Options'!$AI:$AI)</f>
        <v>0</v>
      </c>
      <c r="CD13" s="43">
        <f>SUMIF('Basis Options'!$X:$X,CONCATENATE($BS13,CD$4),'Basis Options'!$AI:$AI)</f>
        <v>0</v>
      </c>
      <c r="CE13" s="43">
        <f>SUMIF('Basis Options'!$X:$X,CONCATENATE($BS13,CE$4),'Basis Options'!$AI:$AI)</f>
        <v>0</v>
      </c>
      <c r="CF13" s="43">
        <f>SUMIF('Basis Options'!$X:$X,CONCATENATE($BS13,CF$4),'Basis Options'!$AI:$AI)</f>
        <v>0</v>
      </c>
      <c r="CG13" s="128">
        <f t="shared" si="13"/>
        <v>36982</v>
      </c>
      <c r="CH13" s="480">
        <f t="shared" si="14"/>
        <v>0.58487435212945116</v>
      </c>
    </row>
    <row r="14" spans="1:86" x14ac:dyDescent="0.25">
      <c r="A14" s="128">
        <f t="shared" si="0"/>
        <v>37012</v>
      </c>
      <c r="B14" s="43">
        <f>SUMIF('Basis Options'!X:X,CONCATENATE($A14,B$4),'Basis Options'!AB:AB)</f>
        <v>4.1556090358382898</v>
      </c>
      <c r="C14" s="43">
        <f>SUMIF('Basis Options'!$X:$X,CONCATENATE($A14,C$4),'Basis Options'!$AB:$AB)</f>
        <v>0</v>
      </c>
      <c r="D14" s="43">
        <f>SUMIF('Basis Options'!$X:$X,CONCATENATE($A14,D$4),'Basis Options'!$AB:$AB)</f>
        <v>0</v>
      </c>
      <c r="E14" s="43">
        <f>SUMIF('Basis Options'!$X:$X,CONCATENATE($A14,E$4),'Basis Options'!$AB:$AB)</f>
        <v>0</v>
      </c>
      <c r="F14" s="43">
        <f>SUMIF('Basis Options'!$X:$X,CONCATENATE($A14,F$4),'Basis Options'!$AB:$AB)</f>
        <v>0</v>
      </c>
      <c r="G14" s="43">
        <f>SUMIF('Basis Options'!$X:$X,CONCATENATE($A14,G$4),'Basis Options'!$AB:$AB)</f>
        <v>-0.46185539758372185</v>
      </c>
      <c r="H14" s="43">
        <f>SUMIF('Basis Options'!$X:$X,CONCATENATE($A14,H$4),'Basis Options'!$AB:$AB)</f>
        <v>0</v>
      </c>
      <c r="I14" s="43">
        <f>SUMIF('Basis Options'!$X:$X,CONCATENATE($A14,I$4),'Basis Options'!$AB:$AB)</f>
        <v>0</v>
      </c>
      <c r="J14" s="43">
        <f>SUMIF('Basis Options'!$X:$X,CONCATENATE($A14,J$4),'Basis Options'!$AB:$AB)</f>
        <v>1.8941051353945049</v>
      </c>
      <c r="K14" s="43">
        <f>SUMIF('Basis Options'!$X:$X,CONCATENATE($A14,K$4),'Basis Options'!$AB:$AB)</f>
        <v>0</v>
      </c>
      <c r="L14" s="43">
        <f>SUMIF('Basis Options'!$X:$X,CONCATENATE($A14,L$4),'Basis Options'!$AB:$AB)</f>
        <v>0</v>
      </c>
      <c r="M14" s="43">
        <f>SUMIF('Basis Options'!$X:$X,CONCATENATE($A14,M$4),'Basis Options'!$AB:$AB)</f>
        <v>0</v>
      </c>
      <c r="N14" s="43">
        <f>SUMIF('Basis Options'!$X:$X,CONCATENATE($A14,N$4),'Basis Options'!$AB:$AB)</f>
        <v>0</v>
      </c>
      <c r="O14" s="128">
        <f t="shared" si="1"/>
        <v>37012</v>
      </c>
      <c r="P14" s="44">
        <f t="shared" si="2"/>
        <v>5.5878587736490726</v>
      </c>
      <c r="R14" s="43">
        <f t="shared" si="15"/>
        <v>-97354.362151080873</v>
      </c>
      <c r="S14" s="128">
        <f t="shared" si="3"/>
        <v>37012</v>
      </c>
      <c r="T14" s="43">
        <f>SUMIF('Basis Options'!$X:$X,CONCATENATE($S14,T$4),'Basis Options'!$AC:$AC)</f>
        <v>-72366.611024984595</v>
      </c>
      <c r="U14" s="43">
        <f>SUMIF('Basis Options'!$X:$X,CONCATENATE($S14,U$4),'Basis Options'!$AC:$AC)</f>
        <v>0</v>
      </c>
      <c r="V14" s="43">
        <f>SUMIF('Basis Options'!$X:$X,CONCATENATE($S14,V$4),'Basis Options'!$AC:$AC)</f>
        <v>0</v>
      </c>
      <c r="W14" s="43">
        <f>SUMIF('Basis Options'!$X:$X,CONCATENATE($S14,W$4),'Basis Options'!$AC:$AC)</f>
        <v>0</v>
      </c>
      <c r="X14" s="43">
        <f>SUMIF('Basis Options'!$X:$X,CONCATENATE($S14,X$4),'Basis Options'!$AC:$AC)</f>
        <v>0</v>
      </c>
      <c r="Y14" s="43">
        <f>SUMIF('Basis Options'!$X:$X,CONCATENATE($S14,Y$4),'Basis Options'!$AC:$AC)</f>
        <v>7316.918569450314</v>
      </c>
      <c r="Z14" s="43">
        <f>SUMIF('Basis Options'!$X:$X,CONCATENATE($S14,Z$4),'Basis Options'!$AC:$AC)</f>
        <v>0</v>
      </c>
      <c r="AA14" s="43">
        <f>SUMIF('Basis Options'!$X:$X,CONCATENATE($S14,AA$4),'Basis Options'!$AC:$AC)</f>
        <v>0</v>
      </c>
      <c r="AB14" s="43">
        <f>SUMIF('Basis Options'!$X:$X,CONCATENATE($S14,AB$4),'Basis Options'!$AC:$AC)</f>
        <v>-32304.669695546589</v>
      </c>
      <c r="AC14" s="43">
        <f>SUMIF('Basis Options'!$X:$X,CONCATENATE($S14,AC$4),'Basis Options'!$AC:$AC)</f>
        <v>0</v>
      </c>
      <c r="AD14" s="43">
        <f>SUMIF('Basis Options'!$X:$X,CONCATENATE($S14,AD$4),'Basis Options'!$AC:$AC)</f>
        <v>0</v>
      </c>
      <c r="AE14" s="43">
        <f>SUMIF('Basis Options'!$X:$X,CONCATENATE($S14,AE$4),'Basis Options'!$AC:$AC)</f>
        <v>0</v>
      </c>
      <c r="AF14" s="43">
        <f>SUMIF('Basis Options'!$X:$X,CONCATENATE($S14,AF$4),'Basis Options'!$AC:$AC)</f>
        <v>0</v>
      </c>
      <c r="AG14" s="128">
        <f t="shared" si="4"/>
        <v>37012</v>
      </c>
      <c r="AH14" s="44">
        <f t="shared" si="5"/>
        <v>-97354.362151080873</v>
      </c>
      <c r="AK14" s="128">
        <f t="shared" si="6"/>
        <v>37012</v>
      </c>
      <c r="AL14" s="43">
        <f>SUMIF('Basis Options'!$X:$X,CONCATENATE($AK14,AL$4),'Basis Options'!$AD:$AD)</f>
        <v>-810.01171953669177</v>
      </c>
      <c r="AM14" s="43">
        <f>SUMIF('Basis Options'!$X:$X,CONCATENATE($AK14,AM$4),'Basis Options'!$AD:$AD)</f>
        <v>0</v>
      </c>
      <c r="AN14" s="43">
        <f>SUMIF('Basis Options'!$X:$X,CONCATENATE($AK14,AN$4),'Basis Options'!$AD:$AD)</f>
        <v>0</v>
      </c>
      <c r="AO14" s="43">
        <f>SUMIF('Basis Options'!$X:$X,CONCATENATE($AK14,AO$4),'Basis Options'!$AD:$AD)</f>
        <v>0</v>
      </c>
      <c r="AP14" s="43">
        <f>SUMIF('Basis Options'!$X:$X,CONCATENATE($AK14,AP$4),'Basis Options'!$AD:$AD)</f>
        <v>0</v>
      </c>
      <c r="AQ14" s="43">
        <f>SUMIF('Basis Options'!$X:$X,CONCATENATE($AK14,AQ$4),'Basis Options'!$AD:$AD)</f>
        <v>491.53593296757344</v>
      </c>
      <c r="AR14" s="43">
        <f>SUMIF('Basis Options'!$X:$X,CONCATENATE($AK14,AR$4),'Basis Options'!$AD:$AD)</f>
        <v>0</v>
      </c>
      <c r="AS14" s="43">
        <f>SUMIF('Basis Options'!$X:$X,CONCATENATE($AK14,AS$4),'Basis Options'!$AD:$AD)</f>
        <v>0</v>
      </c>
      <c r="AT14" s="43">
        <f>SUMIF('Basis Options'!$X:$X,CONCATENATE($AK14,AT$4),'Basis Options'!$AD:$AD)</f>
        <v>-142.87589344235954</v>
      </c>
      <c r="AU14" s="43">
        <f>SUMIF('Basis Options'!$X:$X,CONCATENATE($AK14,AU$4),'Basis Options'!$AD:$AD)</f>
        <v>0</v>
      </c>
      <c r="AV14" s="43">
        <f>SUMIF('Basis Options'!$X:$X,CONCATENATE($AK14,AV$4),'Basis Options'!$AD:$AD)</f>
        <v>0</v>
      </c>
      <c r="AW14" s="43">
        <f>SUMIF('Basis Options'!$X:$X,CONCATENATE($AK14,AW$4),'Basis Options'!$AD:$AD)</f>
        <v>0</v>
      </c>
      <c r="AX14" s="43">
        <f>SUMIF('Basis Options'!$X:$X,CONCATENATE($AK14,AX$4),'Basis Options'!$AD:$AD)</f>
        <v>0</v>
      </c>
      <c r="AY14" s="128">
        <f t="shared" si="7"/>
        <v>37012</v>
      </c>
      <c r="AZ14" s="44">
        <f t="shared" si="8"/>
        <v>-461.35168001147787</v>
      </c>
      <c r="BB14" s="128">
        <f t="shared" si="9"/>
        <v>37012</v>
      </c>
      <c r="BC14" s="43">
        <f>SUMIF('Basis Options'!$X:$X,CONCATENATE($AK14,BC$4),'Basis Options'!$AF:$AF)</f>
        <v>10483.758713246581</v>
      </c>
      <c r="BD14" s="43">
        <f>SUMIF('Basis Options'!$X:$X,CONCATENATE($AK14,BD$4),'Basis Options'!$AF:$AF)</f>
        <v>0</v>
      </c>
      <c r="BE14" s="43">
        <f>SUMIF('Basis Options'!$X:$X,CONCATENATE($AK14,BE$4),'Basis Options'!$AF:$AF)</f>
        <v>0</v>
      </c>
      <c r="BF14" s="43">
        <f>SUMIF('Basis Options'!$X:$X,CONCATENATE($AK14,BF$4),'Basis Options'!$AF:$AF)</f>
        <v>0</v>
      </c>
      <c r="BG14" s="43">
        <f>SUMIF('Basis Options'!$X:$X,CONCATENATE($AK14,BG$4),'Basis Options'!$AF:$AF)</f>
        <v>0</v>
      </c>
      <c r="BH14" s="43">
        <f>SUMIF('Basis Options'!$X:$X,CONCATENATE($AK14,BH$4),'Basis Options'!$AF:$AF)</f>
        <v>-6014.4320021259318</v>
      </c>
      <c r="BI14" s="43">
        <f>SUMIF('Basis Options'!$X:$X,CONCATENATE($AK14,BI$4),'Basis Options'!$AF:$AF)</f>
        <v>0</v>
      </c>
      <c r="BJ14" s="43">
        <f>SUMIF('Basis Options'!$X:$X,CONCATENATE($AK14,BJ$4),'Basis Options'!$AF:$AF)</f>
        <v>0</v>
      </c>
      <c r="BK14" s="43">
        <f>SUMIF('Basis Options'!$X:$X,CONCATENATE($AK14,BK$4),'Basis Options'!$AF:$AF)</f>
        <v>1832.7017057517496</v>
      </c>
      <c r="BL14" s="43">
        <f>SUMIF('Basis Options'!$X:$X,CONCATENATE($AK14,BL$4),'Basis Options'!$AF:$AF)</f>
        <v>0</v>
      </c>
      <c r="BM14" s="43">
        <f>SUMIF('Basis Options'!$X:$X,CONCATENATE($AK14,BM$4),'Basis Options'!$AF:$AF)</f>
        <v>0</v>
      </c>
      <c r="BN14" s="43">
        <f>SUMIF('Basis Options'!$X:$X,CONCATENATE($AK14,BN$4),'Basis Options'!$AF:$AF)</f>
        <v>0</v>
      </c>
      <c r="BO14" s="43">
        <f>SUMIF('Basis Options'!$X:$X,CONCATENATE($AK14,BO$4),'Basis Options'!$AF:$AF)</f>
        <v>0</v>
      </c>
      <c r="BP14" s="128">
        <f t="shared" si="10"/>
        <v>37012</v>
      </c>
      <c r="BQ14" s="44">
        <f t="shared" si="11"/>
        <v>6302.0284168723992</v>
      </c>
      <c r="BS14" s="128">
        <f t="shared" si="12"/>
        <v>37012</v>
      </c>
      <c r="BT14" s="43">
        <f>SUMIF('Basis Options'!$X:$X,CONCATENATE($BS14,BT$4),'Basis Options'!$AI:$AI)</f>
        <v>7.1277637811668126E-2</v>
      </c>
      <c r="BU14" s="43">
        <f>SUMIF('Basis Options'!$X:$X,CONCATENATE($BS14,BU$4),'Basis Options'!$AI:$AI)</f>
        <v>0</v>
      </c>
      <c r="BV14" s="43">
        <f>SUMIF('Basis Options'!$X:$X,CONCATENATE($BS14,BV$4),'Basis Options'!$AI:$AI)</f>
        <v>0</v>
      </c>
      <c r="BW14" s="43">
        <f>SUMIF('Basis Options'!$X:$X,CONCATENATE($BS14,BW$4),'Basis Options'!$AI:$AI)</f>
        <v>0</v>
      </c>
      <c r="BX14" s="43">
        <f>SUMIF('Basis Options'!$X:$X,CONCATENATE($BS14,BX$4),'Basis Options'!$AI:$AI)</f>
        <v>0</v>
      </c>
      <c r="BY14" s="43">
        <f>SUMIF('Basis Options'!$X:$X,CONCATENATE($BS14,BY$4),'Basis Options'!$AI:$AI)</f>
        <v>0.11882462597186332</v>
      </c>
      <c r="BZ14" s="43">
        <f>SUMIF('Basis Options'!$X:$X,CONCATENATE($BS14,BZ$4),'Basis Options'!$AI:$AI)</f>
        <v>0</v>
      </c>
      <c r="CA14" s="43">
        <f>SUMIF('Basis Options'!$X:$X,CONCATENATE($BS14,CA$4),'Basis Options'!$AI:$AI)</f>
        <v>0</v>
      </c>
      <c r="CB14" s="43">
        <f>SUMIF('Basis Options'!$X:$X,CONCATENATE($BS14,CB$4),'Basis Options'!$AI:$AI)</f>
        <v>3.3644966949413657E-2</v>
      </c>
      <c r="CC14" s="43">
        <f>SUMIF('Basis Options'!$X:$X,CONCATENATE($BS14,CC$4),'Basis Options'!$AI:$AI)</f>
        <v>0</v>
      </c>
      <c r="CD14" s="43">
        <f>SUMIF('Basis Options'!$X:$X,CONCATENATE($BS14,CD$4),'Basis Options'!$AI:$AI)</f>
        <v>0</v>
      </c>
      <c r="CE14" s="43">
        <f>SUMIF('Basis Options'!$X:$X,CONCATENATE($BS14,CE$4),'Basis Options'!$AI:$AI)</f>
        <v>0</v>
      </c>
      <c r="CF14" s="43">
        <f>SUMIF('Basis Options'!$X:$X,CONCATENATE($BS14,CF$4),'Basis Options'!$AI:$AI)</f>
        <v>0</v>
      </c>
      <c r="CG14" s="128">
        <f t="shared" si="13"/>
        <v>37012</v>
      </c>
      <c r="CH14" s="480">
        <f t="shared" si="14"/>
        <v>0.22374723073294511</v>
      </c>
    </row>
    <row r="15" spans="1:86" x14ac:dyDescent="0.25">
      <c r="A15" s="128">
        <f t="shared" si="0"/>
        <v>37043</v>
      </c>
      <c r="B15" s="43">
        <f>SUMIF('Basis Options'!X:X,CONCATENATE($A15,B$4),'Basis Options'!AB:AB)</f>
        <v>3.9548057567183759</v>
      </c>
      <c r="C15" s="43">
        <f>SUMIF('Basis Options'!$X:$X,CONCATENATE($A15,C$4),'Basis Options'!$AB:$AB)</f>
        <v>0</v>
      </c>
      <c r="D15" s="43">
        <f>SUMIF('Basis Options'!$X:$X,CONCATENATE($A15,D$4),'Basis Options'!$AB:$AB)</f>
        <v>0</v>
      </c>
      <c r="E15" s="43">
        <f>SUMIF('Basis Options'!$X:$X,CONCATENATE($A15,E$4),'Basis Options'!$AB:$AB)</f>
        <v>0</v>
      </c>
      <c r="F15" s="43">
        <f>SUMIF('Basis Options'!$X:$X,CONCATENATE($A15,F$4),'Basis Options'!$AB:$AB)</f>
        <v>0</v>
      </c>
      <c r="G15" s="43">
        <f>SUMIF('Basis Options'!$X:$X,CONCATENATE($A15,G$4),'Basis Options'!$AB:$AB)</f>
        <v>-0.47352290581501211</v>
      </c>
      <c r="H15" s="43">
        <f>SUMIF('Basis Options'!$X:$X,CONCATENATE($A15,H$4),'Basis Options'!$AB:$AB)</f>
        <v>0</v>
      </c>
      <c r="I15" s="43">
        <f>SUMIF('Basis Options'!$X:$X,CONCATENATE($A15,I$4),'Basis Options'!$AB:$AB)</f>
        <v>0</v>
      </c>
      <c r="J15" s="43">
        <f>SUMIF('Basis Options'!$X:$X,CONCATENATE($A15,J$4),'Basis Options'!$AB:$AB)</f>
        <v>1.7980719928330617</v>
      </c>
      <c r="K15" s="43">
        <f>SUMIF('Basis Options'!$X:$X,CONCATENATE($A15,K$4),'Basis Options'!$AB:$AB)</f>
        <v>0</v>
      </c>
      <c r="L15" s="43">
        <f>SUMIF('Basis Options'!$X:$X,CONCATENATE($A15,L$4),'Basis Options'!$AB:$AB)</f>
        <v>0</v>
      </c>
      <c r="M15" s="43">
        <f>SUMIF('Basis Options'!$X:$X,CONCATENATE($A15,M$4),'Basis Options'!$AB:$AB)</f>
        <v>0</v>
      </c>
      <c r="N15" s="43">
        <f>SUMIF('Basis Options'!$X:$X,CONCATENATE($A15,N$4),'Basis Options'!$AB:$AB)</f>
        <v>0</v>
      </c>
      <c r="O15" s="128">
        <f t="shared" si="1"/>
        <v>37043</v>
      </c>
      <c r="P15" s="44">
        <f t="shared" si="2"/>
        <v>5.2793548437364262</v>
      </c>
      <c r="R15" s="43">
        <f t="shared" si="15"/>
        <v>-100642.63005863177</v>
      </c>
      <c r="S15" s="128">
        <f t="shared" si="3"/>
        <v>37043</v>
      </c>
      <c r="T15" s="43">
        <f>SUMIF('Basis Options'!$X:$X,CONCATENATE($S15,T$4),'Basis Options'!$AC:$AC)</f>
        <v>-75285.102104249643</v>
      </c>
      <c r="U15" s="43">
        <f>SUMIF('Basis Options'!$X:$X,CONCATENATE($S15,U$4),'Basis Options'!$AC:$AC)</f>
        <v>0</v>
      </c>
      <c r="V15" s="43">
        <f>SUMIF('Basis Options'!$X:$X,CONCATENATE($S15,V$4),'Basis Options'!$AC:$AC)</f>
        <v>0</v>
      </c>
      <c r="W15" s="43">
        <f>SUMIF('Basis Options'!$X:$X,CONCATENATE($S15,W$4),'Basis Options'!$AC:$AC)</f>
        <v>0</v>
      </c>
      <c r="X15" s="43">
        <f>SUMIF('Basis Options'!$X:$X,CONCATENATE($S15,X$4),'Basis Options'!$AC:$AC)</f>
        <v>0</v>
      </c>
      <c r="Y15" s="43">
        <f>SUMIF('Basis Options'!$X:$X,CONCATENATE($S15,Y$4),'Basis Options'!$AC:$AC)</f>
        <v>8310.1490311365433</v>
      </c>
      <c r="Z15" s="43">
        <f>SUMIF('Basis Options'!$X:$X,CONCATENATE($S15,Z$4),'Basis Options'!$AC:$AC)</f>
        <v>0</v>
      </c>
      <c r="AA15" s="43">
        <f>SUMIF('Basis Options'!$X:$X,CONCATENATE($S15,AA$4),'Basis Options'!$AC:$AC)</f>
        <v>0</v>
      </c>
      <c r="AB15" s="43">
        <f>SUMIF('Basis Options'!$X:$X,CONCATENATE($S15,AB$4),'Basis Options'!$AC:$AC)</f>
        <v>-33667.676985518679</v>
      </c>
      <c r="AC15" s="43">
        <f>SUMIF('Basis Options'!$X:$X,CONCATENATE($S15,AC$4),'Basis Options'!$AC:$AC)</f>
        <v>0</v>
      </c>
      <c r="AD15" s="43">
        <f>SUMIF('Basis Options'!$X:$X,CONCATENATE($S15,AD$4),'Basis Options'!$AC:$AC)</f>
        <v>0</v>
      </c>
      <c r="AE15" s="43">
        <f>SUMIF('Basis Options'!$X:$X,CONCATENATE($S15,AE$4),'Basis Options'!$AC:$AC)</f>
        <v>0</v>
      </c>
      <c r="AF15" s="43">
        <f>SUMIF('Basis Options'!$X:$X,CONCATENATE($S15,AF$4),'Basis Options'!$AC:$AC)</f>
        <v>0</v>
      </c>
      <c r="AG15" s="128">
        <f t="shared" si="4"/>
        <v>37043</v>
      </c>
      <c r="AH15" s="44">
        <f t="shared" si="5"/>
        <v>-100642.63005863177</v>
      </c>
      <c r="AK15" s="128">
        <f t="shared" si="6"/>
        <v>37043</v>
      </c>
      <c r="AL15" s="43">
        <f>SUMIF('Basis Options'!$X:$X,CONCATENATE($AK15,AL$4),'Basis Options'!$AD:$AD)</f>
        <v>-732.75520236851753</v>
      </c>
      <c r="AM15" s="43">
        <f>SUMIF('Basis Options'!$X:$X,CONCATENATE($AK15,AM$4),'Basis Options'!$AD:$AD)</f>
        <v>0</v>
      </c>
      <c r="AN15" s="43">
        <f>SUMIF('Basis Options'!$X:$X,CONCATENATE($AK15,AN$4),'Basis Options'!$AD:$AD)</f>
        <v>0</v>
      </c>
      <c r="AO15" s="43">
        <f>SUMIF('Basis Options'!$X:$X,CONCATENATE($AK15,AO$4),'Basis Options'!$AD:$AD)</f>
        <v>0</v>
      </c>
      <c r="AP15" s="43">
        <f>SUMIF('Basis Options'!$X:$X,CONCATENATE($AK15,AP$4),'Basis Options'!$AD:$AD)</f>
        <v>0</v>
      </c>
      <c r="AQ15" s="43">
        <f>SUMIF('Basis Options'!$X:$X,CONCATENATE($AK15,AQ$4),'Basis Options'!$AD:$AD)</f>
        <v>489.61884092669823</v>
      </c>
      <c r="AR15" s="43">
        <f>SUMIF('Basis Options'!$X:$X,CONCATENATE($AK15,AR$4),'Basis Options'!$AD:$AD)</f>
        <v>0</v>
      </c>
      <c r="AS15" s="43">
        <f>SUMIF('Basis Options'!$X:$X,CONCATENATE($AK15,AS$4),'Basis Options'!$AD:$AD)</f>
        <v>0</v>
      </c>
      <c r="AT15" s="43">
        <f>SUMIF('Basis Options'!$X:$X,CONCATENATE($AK15,AT$4),'Basis Options'!$AD:$AD)</f>
        <v>-129.71308098661507</v>
      </c>
      <c r="AU15" s="43">
        <f>SUMIF('Basis Options'!$X:$X,CONCATENATE($AK15,AU$4),'Basis Options'!$AD:$AD)</f>
        <v>0</v>
      </c>
      <c r="AV15" s="43">
        <f>SUMIF('Basis Options'!$X:$X,CONCATENATE($AK15,AV$4),'Basis Options'!$AD:$AD)</f>
        <v>0</v>
      </c>
      <c r="AW15" s="43">
        <f>SUMIF('Basis Options'!$X:$X,CONCATENATE($AK15,AW$4),'Basis Options'!$AD:$AD)</f>
        <v>0</v>
      </c>
      <c r="AX15" s="43">
        <f>SUMIF('Basis Options'!$X:$X,CONCATENATE($AK15,AX$4),'Basis Options'!$AD:$AD)</f>
        <v>0</v>
      </c>
      <c r="AY15" s="128">
        <f t="shared" si="7"/>
        <v>37043</v>
      </c>
      <c r="AZ15" s="44">
        <f t="shared" si="8"/>
        <v>-372.84944242843437</v>
      </c>
      <c r="BB15" s="128">
        <f t="shared" si="9"/>
        <v>37043</v>
      </c>
      <c r="BC15" s="43">
        <f>SUMIF('Basis Options'!$X:$X,CONCATENATE($AK15,BC$4),'Basis Options'!$AF:$AF)</f>
        <v>11049.382191506545</v>
      </c>
      <c r="BD15" s="43">
        <f>SUMIF('Basis Options'!$X:$X,CONCATENATE($AK15,BD$4),'Basis Options'!$AF:$AF)</f>
        <v>0</v>
      </c>
      <c r="BE15" s="43">
        <f>SUMIF('Basis Options'!$X:$X,CONCATENATE($AK15,BE$4),'Basis Options'!$AF:$AF)</f>
        <v>0</v>
      </c>
      <c r="BF15" s="43">
        <f>SUMIF('Basis Options'!$X:$X,CONCATENATE($AK15,BF$4),'Basis Options'!$AF:$AF)</f>
        <v>0</v>
      </c>
      <c r="BG15" s="43">
        <f>SUMIF('Basis Options'!$X:$X,CONCATENATE($AK15,BG$4),'Basis Options'!$AF:$AF)</f>
        <v>0</v>
      </c>
      <c r="BH15" s="43">
        <f>SUMIF('Basis Options'!$X:$X,CONCATENATE($AK15,BH$4),'Basis Options'!$AF:$AF)</f>
        <v>-6940.4132329549338</v>
      </c>
      <c r="BI15" s="43">
        <f>SUMIF('Basis Options'!$X:$X,CONCATENATE($AK15,BI$4),'Basis Options'!$AF:$AF)</f>
        <v>0</v>
      </c>
      <c r="BJ15" s="43">
        <f>SUMIF('Basis Options'!$X:$X,CONCATENATE($AK15,BJ$4),'Basis Options'!$AF:$AF)</f>
        <v>0</v>
      </c>
      <c r="BK15" s="43">
        <f>SUMIF('Basis Options'!$X:$X,CONCATENATE($AK15,BK$4),'Basis Options'!$AF:$AF)</f>
        <v>1937.8213972614062</v>
      </c>
      <c r="BL15" s="43">
        <f>SUMIF('Basis Options'!$X:$X,CONCATENATE($AK15,BL$4),'Basis Options'!$AF:$AF)</f>
        <v>0</v>
      </c>
      <c r="BM15" s="43">
        <f>SUMIF('Basis Options'!$X:$X,CONCATENATE($AK15,BM$4),'Basis Options'!$AF:$AF)</f>
        <v>0</v>
      </c>
      <c r="BN15" s="43">
        <f>SUMIF('Basis Options'!$X:$X,CONCATENATE($AK15,BN$4),'Basis Options'!$AF:$AF)</f>
        <v>0</v>
      </c>
      <c r="BO15" s="43">
        <f>SUMIF('Basis Options'!$X:$X,CONCATENATE($AK15,BO$4),'Basis Options'!$AF:$AF)</f>
        <v>0</v>
      </c>
      <c r="BP15" s="128">
        <f t="shared" si="10"/>
        <v>37043</v>
      </c>
      <c r="BQ15" s="44">
        <f t="shared" si="11"/>
        <v>6046.7903558130183</v>
      </c>
      <c r="BS15" s="128">
        <f t="shared" si="12"/>
        <v>37043</v>
      </c>
      <c r="BT15" s="43">
        <f>SUMIF('Basis Options'!$X:$X,CONCATENATE($BS15,BT$4),'Basis Options'!$AI:$AI)</f>
        <v>5.3305198527143161E-2</v>
      </c>
      <c r="BU15" s="43">
        <f>SUMIF('Basis Options'!$X:$X,CONCATENATE($BS15,BU$4),'Basis Options'!$AI:$AI)</f>
        <v>0</v>
      </c>
      <c r="BV15" s="43">
        <f>SUMIF('Basis Options'!$X:$X,CONCATENATE($BS15,BV$4),'Basis Options'!$AI:$AI)</f>
        <v>0</v>
      </c>
      <c r="BW15" s="43">
        <f>SUMIF('Basis Options'!$X:$X,CONCATENATE($BS15,BW$4),'Basis Options'!$AI:$AI)</f>
        <v>0</v>
      </c>
      <c r="BX15" s="43">
        <f>SUMIF('Basis Options'!$X:$X,CONCATENATE($BS15,BX$4),'Basis Options'!$AI:$AI)</f>
        <v>0</v>
      </c>
      <c r="BY15" s="43">
        <f>SUMIF('Basis Options'!$X:$X,CONCATENATE($BS15,BY$4),'Basis Options'!$AI:$AI)</f>
        <v>0.11872111893317092</v>
      </c>
      <c r="BZ15" s="43">
        <f>SUMIF('Basis Options'!$X:$X,CONCATENATE($BS15,BZ$4),'Basis Options'!$AI:$AI)</f>
        <v>0</v>
      </c>
      <c r="CA15" s="43">
        <f>SUMIF('Basis Options'!$X:$X,CONCATENATE($BS15,CA$4),'Basis Options'!$AI:$AI)</f>
        <v>0</v>
      </c>
      <c r="CB15" s="43">
        <f>SUMIF('Basis Options'!$X:$X,CONCATENATE($BS15,CB$4),'Basis Options'!$AI:$AI)</f>
        <v>3.2677899504378827E-2</v>
      </c>
      <c r="CC15" s="43">
        <f>SUMIF('Basis Options'!$X:$X,CONCATENATE($BS15,CC$4),'Basis Options'!$AI:$AI)</f>
        <v>0</v>
      </c>
      <c r="CD15" s="43">
        <f>SUMIF('Basis Options'!$X:$X,CONCATENATE($BS15,CD$4),'Basis Options'!$AI:$AI)</f>
        <v>0</v>
      </c>
      <c r="CE15" s="43">
        <f>SUMIF('Basis Options'!$X:$X,CONCATENATE($BS15,CE$4),'Basis Options'!$AI:$AI)</f>
        <v>0</v>
      </c>
      <c r="CF15" s="43">
        <f>SUMIF('Basis Options'!$X:$X,CONCATENATE($BS15,CF$4),'Basis Options'!$AI:$AI)</f>
        <v>0</v>
      </c>
      <c r="CG15" s="128">
        <f t="shared" si="13"/>
        <v>37043</v>
      </c>
      <c r="CH15" s="480">
        <f t="shared" si="14"/>
        <v>0.2047042169646929</v>
      </c>
    </row>
    <row r="16" spans="1:86" x14ac:dyDescent="0.25">
      <c r="A16" s="128">
        <f t="shared" si="0"/>
        <v>37073</v>
      </c>
      <c r="B16" s="43">
        <f>SUMIF('Basis Options'!X:X,CONCATENATE($A16,B$4),'Basis Options'!AB:AB)</f>
        <v>3.5916896861634076</v>
      </c>
      <c r="C16" s="43">
        <f>SUMIF('Basis Options'!$X:$X,CONCATENATE($A16,C$4),'Basis Options'!$AB:$AB)</f>
        <v>0</v>
      </c>
      <c r="D16" s="43">
        <f>SUMIF('Basis Options'!$X:$X,CONCATENATE($A16,D$4),'Basis Options'!$AB:$AB)</f>
        <v>0</v>
      </c>
      <c r="E16" s="43">
        <f>SUMIF('Basis Options'!$X:$X,CONCATENATE($A16,E$4),'Basis Options'!$AB:$AB)</f>
        <v>0</v>
      </c>
      <c r="F16" s="43">
        <f>SUMIF('Basis Options'!$X:$X,CONCATENATE($A16,F$4),'Basis Options'!$AB:$AB)</f>
        <v>0</v>
      </c>
      <c r="G16" s="43">
        <f>SUMIF('Basis Options'!$X:$X,CONCATENATE($A16,G$4),'Basis Options'!$AB:$AB)</f>
        <v>-0.60526456559908615</v>
      </c>
      <c r="H16" s="43">
        <f>SUMIF('Basis Options'!$X:$X,CONCATENATE($A16,H$4),'Basis Options'!$AB:$AB)</f>
        <v>0</v>
      </c>
      <c r="I16" s="43">
        <f>SUMIF('Basis Options'!$X:$X,CONCATENATE($A16,I$4),'Basis Options'!$AB:$AB)</f>
        <v>0</v>
      </c>
      <c r="J16" s="43">
        <f>SUMIF('Basis Options'!$X:$X,CONCATENATE($A16,J$4),'Basis Options'!$AB:$AB)</f>
        <v>1.6791315962807616</v>
      </c>
      <c r="K16" s="43">
        <f>SUMIF('Basis Options'!$X:$X,CONCATENATE($A16,K$4),'Basis Options'!$AB:$AB)</f>
        <v>0</v>
      </c>
      <c r="L16" s="43">
        <f>SUMIF('Basis Options'!$X:$X,CONCATENATE($A16,L$4),'Basis Options'!$AB:$AB)</f>
        <v>0</v>
      </c>
      <c r="M16" s="43">
        <f>SUMIF('Basis Options'!$X:$X,CONCATENATE($A16,M$4),'Basis Options'!$AB:$AB)</f>
        <v>0</v>
      </c>
      <c r="N16" s="43">
        <f>SUMIF('Basis Options'!$X:$X,CONCATENATE($A16,N$4),'Basis Options'!$AB:$AB)</f>
        <v>0</v>
      </c>
      <c r="O16" s="128">
        <f t="shared" si="1"/>
        <v>37073</v>
      </c>
      <c r="P16" s="44">
        <f t="shared" si="2"/>
        <v>4.6655567168450833</v>
      </c>
      <c r="R16" s="43">
        <f t="shared" si="15"/>
        <v>-97148.580274308217</v>
      </c>
      <c r="S16" s="128">
        <f t="shared" si="3"/>
        <v>37073</v>
      </c>
      <c r="T16" s="43">
        <f>SUMIF('Basis Options'!$X:$X,CONCATENATE($S16,T$4),'Basis Options'!$AC:$AC)</f>
        <v>-77245.14776984042</v>
      </c>
      <c r="U16" s="43">
        <f>SUMIF('Basis Options'!$X:$X,CONCATENATE($S16,U$4),'Basis Options'!$AC:$AC)</f>
        <v>0</v>
      </c>
      <c r="V16" s="43">
        <f>SUMIF('Basis Options'!$X:$X,CONCATENATE($S16,V$4),'Basis Options'!$AC:$AC)</f>
        <v>0</v>
      </c>
      <c r="W16" s="43">
        <f>SUMIF('Basis Options'!$X:$X,CONCATENATE($S16,W$4),'Basis Options'!$AC:$AC)</f>
        <v>0</v>
      </c>
      <c r="X16" s="43">
        <f>SUMIF('Basis Options'!$X:$X,CONCATENATE($S16,X$4),'Basis Options'!$AC:$AC)</f>
        <v>0</v>
      </c>
      <c r="Y16" s="43">
        <f>SUMIF('Basis Options'!$X:$X,CONCATENATE($S16,Y$4),'Basis Options'!$AC:$AC)</f>
        <v>14804.785807625973</v>
      </c>
      <c r="Z16" s="43">
        <f>SUMIF('Basis Options'!$X:$X,CONCATENATE($S16,Z$4),'Basis Options'!$AC:$AC)</f>
        <v>0</v>
      </c>
      <c r="AA16" s="43">
        <f>SUMIF('Basis Options'!$X:$X,CONCATENATE($S16,AA$4),'Basis Options'!$AC:$AC)</f>
        <v>0</v>
      </c>
      <c r="AB16" s="43">
        <f>SUMIF('Basis Options'!$X:$X,CONCATENATE($S16,AB$4),'Basis Options'!$AC:$AC)</f>
        <v>-34708.21831209377</v>
      </c>
      <c r="AC16" s="43">
        <f>SUMIF('Basis Options'!$X:$X,CONCATENATE($S16,AC$4),'Basis Options'!$AC:$AC)</f>
        <v>0</v>
      </c>
      <c r="AD16" s="43">
        <f>SUMIF('Basis Options'!$X:$X,CONCATENATE($S16,AD$4),'Basis Options'!$AC:$AC)</f>
        <v>0</v>
      </c>
      <c r="AE16" s="43">
        <f>SUMIF('Basis Options'!$X:$X,CONCATENATE($S16,AE$4),'Basis Options'!$AC:$AC)</f>
        <v>0</v>
      </c>
      <c r="AF16" s="43">
        <f>SUMIF('Basis Options'!$X:$X,CONCATENATE($S16,AF$4),'Basis Options'!$AC:$AC)</f>
        <v>0</v>
      </c>
      <c r="AG16" s="128">
        <f t="shared" si="4"/>
        <v>37073</v>
      </c>
      <c r="AH16" s="44">
        <f t="shared" si="5"/>
        <v>-97148.580274308217</v>
      </c>
      <c r="AK16" s="128">
        <f t="shared" si="6"/>
        <v>37073</v>
      </c>
      <c r="AL16" s="43">
        <f>SUMIF('Basis Options'!$X:$X,CONCATENATE($AK16,AL$4),'Basis Options'!$AD:$AD)</f>
        <v>-673.52331473209756</v>
      </c>
      <c r="AM16" s="43">
        <f>SUMIF('Basis Options'!$X:$X,CONCATENATE($AK16,AM$4),'Basis Options'!$AD:$AD)</f>
        <v>0</v>
      </c>
      <c r="AN16" s="43">
        <f>SUMIF('Basis Options'!$X:$X,CONCATENATE($AK16,AN$4),'Basis Options'!$AD:$AD)</f>
        <v>0</v>
      </c>
      <c r="AO16" s="43">
        <f>SUMIF('Basis Options'!$X:$X,CONCATENATE($AK16,AO$4),'Basis Options'!$AD:$AD)</f>
        <v>0</v>
      </c>
      <c r="AP16" s="43">
        <f>SUMIF('Basis Options'!$X:$X,CONCATENATE($AK16,AP$4),'Basis Options'!$AD:$AD)</f>
        <v>0</v>
      </c>
      <c r="AQ16" s="43">
        <f>SUMIF('Basis Options'!$X:$X,CONCATENATE($AK16,AQ$4),'Basis Options'!$AD:$AD)</f>
        <v>779.10807701077431</v>
      </c>
      <c r="AR16" s="43">
        <f>SUMIF('Basis Options'!$X:$X,CONCATENATE($AK16,AR$4),'Basis Options'!$AD:$AD)</f>
        <v>0</v>
      </c>
      <c r="AS16" s="43">
        <f>SUMIF('Basis Options'!$X:$X,CONCATENATE($AK16,AS$4),'Basis Options'!$AD:$AD)</f>
        <v>0</v>
      </c>
      <c r="AT16" s="43">
        <f>SUMIF('Basis Options'!$X:$X,CONCATENATE($AK16,AT$4),'Basis Options'!$AD:$AD)</f>
        <v>-121.04357404280663</v>
      </c>
      <c r="AU16" s="43">
        <f>SUMIF('Basis Options'!$X:$X,CONCATENATE($AK16,AU$4),'Basis Options'!$AD:$AD)</f>
        <v>0</v>
      </c>
      <c r="AV16" s="43">
        <f>SUMIF('Basis Options'!$X:$X,CONCATENATE($AK16,AV$4),'Basis Options'!$AD:$AD)</f>
        <v>0</v>
      </c>
      <c r="AW16" s="43">
        <f>SUMIF('Basis Options'!$X:$X,CONCATENATE($AK16,AW$4),'Basis Options'!$AD:$AD)</f>
        <v>0</v>
      </c>
      <c r="AX16" s="43">
        <f>SUMIF('Basis Options'!$X:$X,CONCATENATE($AK16,AX$4),'Basis Options'!$AD:$AD)</f>
        <v>0</v>
      </c>
      <c r="AY16" s="128">
        <f t="shared" si="7"/>
        <v>37073</v>
      </c>
      <c r="AZ16" s="44">
        <f t="shared" si="8"/>
        <v>-15.458811764129877</v>
      </c>
      <c r="BB16" s="128">
        <f t="shared" si="9"/>
        <v>37073</v>
      </c>
      <c r="BC16" s="43">
        <f>SUMIF('Basis Options'!$X:$X,CONCATENATE($AK16,BC$4),'Basis Options'!$AF:$AF)</f>
        <v>11430.160209145826</v>
      </c>
      <c r="BD16" s="43">
        <f>SUMIF('Basis Options'!$X:$X,CONCATENATE($AK16,BD$4),'Basis Options'!$AF:$AF)</f>
        <v>0</v>
      </c>
      <c r="BE16" s="43">
        <f>SUMIF('Basis Options'!$X:$X,CONCATENATE($AK16,BE$4),'Basis Options'!$AF:$AF)</f>
        <v>0</v>
      </c>
      <c r="BF16" s="43">
        <f>SUMIF('Basis Options'!$X:$X,CONCATENATE($AK16,BF$4),'Basis Options'!$AF:$AF)</f>
        <v>0</v>
      </c>
      <c r="BG16" s="43">
        <f>SUMIF('Basis Options'!$X:$X,CONCATENATE($AK16,BG$4),'Basis Options'!$AF:$AF)</f>
        <v>0</v>
      </c>
      <c r="BH16" s="43">
        <f>SUMIF('Basis Options'!$X:$X,CONCATENATE($AK16,BH$4),'Basis Options'!$AF:$AF)</f>
        <v>-12832.397135020739</v>
      </c>
      <c r="BI16" s="43">
        <f>SUMIF('Basis Options'!$X:$X,CONCATENATE($AK16,BI$4),'Basis Options'!$AF:$AF)</f>
        <v>0</v>
      </c>
      <c r="BJ16" s="43">
        <f>SUMIF('Basis Options'!$X:$X,CONCATENATE($AK16,BJ$4),'Basis Options'!$AF:$AF)</f>
        <v>0</v>
      </c>
      <c r="BK16" s="43">
        <f>SUMIF('Basis Options'!$X:$X,CONCATENATE($AK16,BK$4),'Basis Options'!$AF:$AF)</f>
        <v>2007.5573304362078</v>
      </c>
      <c r="BL16" s="43">
        <f>SUMIF('Basis Options'!$X:$X,CONCATENATE($AK16,BL$4),'Basis Options'!$AF:$AF)</f>
        <v>0</v>
      </c>
      <c r="BM16" s="43">
        <f>SUMIF('Basis Options'!$X:$X,CONCATENATE($AK16,BM$4),'Basis Options'!$AF:$AF)</f>
        <v>0</v>
      </c>
      <c r="BN16" s="43">
        <f>SUMIF('Basis Options'!$X:$X,CONCATENATE($AK16,BN$4),'Basis Options'!$AF:$AF)</f>
        <v>0</v>
      </c>
      <c r="BO16" s="43">
        <f>SUMIF('Basis Options'!$X:$X,CONCATENATE($AK16,BO$4),'Basis Options'!$AF:$AF)</f>
        <v>0</v>
      </c>
      <c r="BP16" s="128">
        <f t="shared" si="10"/>
        <v>37073</v>
      </c>
      <c r="BQ16" s="44">
        <f t="shared" si="11"/>
        <v>605.32040456129471</v>
      </c>
      <c r="BS16" s="128">
        <f t="shared" si="12"/>
        <v>37073</v>
      </c>
      <c r="BT16" s="43">
        <f>SUMIF('Basis Options'!$X:$X,CONCATENATE($BS16,BT$4),'Basis Options'!$AI:$AI)</f>
        <v>0.14900720429412923</v>
      </c>
      <c r="BU16" s="43">
        <f>SUMIF('Basis Options'!$X:$X,CONCATENATE($BS16,BU$4),'Basis Options'!$AI:$AI)</f>
        <v>0</v>
      </c>
      <c r="BV16" s="43">
        <f>SUMIF('Basis Options'!$X:$X,CONCATENATE($BS16,BV$4),'Basis Options'!$AI:$AI)</f>
        <v>0</v>
      </c>
      <c r="BW16" s="43">
        <f>SUMIF('Basis Options'!$X:$X,CONCATENATE($BS16,BW$4),'Basis Options'!$AI:$AI)</f>
        <v>0</v>
      </c>
      <c r="BX16" s="43">
        <f>SUMIF('Basis Options'!$X:$X,CONCATENATE($BS16,BX$4),'Basis Options'!$AI:$AI)</f>
        <v>0</v>
      </c>
      <c r="BY16" s="43">
        <f>SUMIF('Basis Options'!$X:$X,CONCATENATE($BS16,BY$4),'Basis Options'!$AI:$AI)</f>
        <v>3.8530172849775945E-2</v>
      </c>
      <c r="BZ16" s="43">
        <f>SUMIF('Basis Options'!$X:$X,CONCATENATE($BS16,BZ$4),'Basis Options'!$AI:$AI)</f>
        <v>0</v>
      </c>
      <c r="CA16" s="43">
        <f>SUMIF('Basis Options'!$X:$X,CONCATENATE($BS16,CA$4),'Basis Options'!$AI:$AI)</f>
        <v>0</v>
      </c>
      <c r="CB16" s="43">
        <f>SUMIF('Basis Options'!$X:$X,CONCATENATE($BS16,CB$4),'Basis Options'!$AI:$AI)</f>
        <v>4.0270626636799811E-2</v>
      </c>
      <c r="CC16" s="43">
        <f>SUMIF('Basis Options'!$X:$X,CONCATENATE($BS16,CC$4),'Basis Options'!$AI:$AI)</f>
        <v>0</v>
      </c>
      <c r="CD16" s="43">
        <f>SUMIF('Basis Options'!$X:$X,CONCATENATE($BS16,CD$4),'Basis Options'!$AI:$AI)</f>
        <v>0</v>
      </c>
      <c r="CE16" s="43">
        <f>SUMIF('Basis Options'!$X:$X,CONCATENATE($BS16,CE$4),'Basis Options'!$AI:$AI)</f>
        <v>0</v>
      </c>
      <c r="CF16" s="43">
        <f>SUMIF('Basis Options'!$X:$X,CONCATENATE($BS16,CF$4),'Basis Options'!$AI:$AI)</f>
        <v>0</v>
      </c>
      <c r="CG16" s="128">
        <f t="shared" si="13"/>
        <v>37073</v>
      </c>
      <c r="CH16" s="480">
        <f t="shared" si="14"/>
        <v>0.22780800378070498</v>
      </c>
    </row>
    <row r="17" spans="1:86" x14ac:dyDescent="0.25">
      <c r="A17" s="128">
        <f t="shared" si="0"/>
        <v>37104</v>
      </c>
      <c r="B17" s="43">
        <f>SUMIF('Basis Options'!X:X,CONCATENATE($A17,B$4),'Basis Options'!AB:AB)</f>
        <v>3.4086634552191182</v>
      </c>
      <c r="C17" s="43">
        <f>SUMIF('Basis Options'!$X:$X,CONCATENATE($A17,C$4),'Basis Options'!$AB:$AB)</f>
        <v>0</v>
      </c>
      <c r="D17" s="43">
        <f>SUMIF('Basis Options'!$X:$X,CONCATENATE($A17,D$4),'Basis Options'!$AB:$AB)</f>
        <v>0</v>
      </c>
      <c r="E17" s="43">
        <f>SUMIF('Basis Options'!$X:$X,CONCATENATE($A17,E$4),'Basis Options'!$AB:$AB)</f>
        <v>0</v>
      </c>
      <c r="F17" s="43">
        <f>SUMIF('Basis Options'!$X:$X,CONCATENATE($A17,F$4),'Basis Options'!$AB:$AB)</f>
        <v>0</v>
      </c>
      <c r="G17" s="43">
        <f>SUMIF('Basis Options'!$X:$X,CONCATENATE($A17,G$4),'Basis Options'!$AB:$AB)</f>
        <v>-0.57191006797550281</v>
      </c>
      <c r="H17" s="43">
        <f>SUMIF('Basis Options'!$X:$X,CONCATENATE($A17,H$4),'Basis Options'!$AB:$AB)</f>
        <v>0</v>
      </c>
      <c r="I17" s="43">
        <f>SUMIF('Basis Options'!$X:$X,CONCATENATE($A17,I$4),'Basis Options'!$AB:$AB)</f>
        <v>0</v>
      </c>
      <c r="J17" s="43">
        <f>SUMIF('Basis Options'!$X:$X,CONCATENATE($A17,J$4),'Basis Options'!$AB:$AB)</f>
        <v>1.5888560947760695</v>
      </c>
      <c r="K17" s="43">
        <f>SUMIF('Basis Options'!$X:$X,CONCATENATE($A17,K$4),'Basis Options'!$AB:$AB)</f>
        <v>0</v>
      </c>
      <c r="L17" s="43">
        <f>SUMIF('Basis Options'!$X:$X,CONCATENATE($A17,L$4),'Basis Options'!$AB:$AB)</f>
        <v>0</v>
      </c>
      <c r="M17" s="43">
        <f>SUMIF('Basis Options'!$X:$X,CONCATENATE($A17,M$4),'Basis Options'!$AB:$AB)</f>
        <v>0</v>
      </c>
      <c r="N17" s="43">
        <f>SUMIF('Basis Options'!$X:$X,CONCATENATE($A17,N$4),'Basis Options'!$AB:$AB)</f>
        <v>0</v>
      </c>
      <c r="O17" s="128">
        <f t="shared" si="1"/>
        <v>37104</v>
      </c>
      <c r="P17" s="44">
        <f t="shared" si="2"/>
        <v>4.4256094820196843</v>
      </c>
      <c r="R17" s="43">
        <f t="shared" si="15"/>
        <v>-101879.5464350605</v>
      </c>
      <c r="S17" s="128">
        <f t="shared" si="3"/>
        <v>37104</v>
      </c>
      <c r="T17" s="43">
        <f>SUMIF('Basis Options'!$X:$X,CONCATENATE($S17,T$4),'Basis Options'!$AC:$AC)</f>
        <v>-81270.340338896873</v>
      </c>
      <c r="U17" s="43">
        <f>SUMIF('Basis Options'!$X:$X,CONCATENATE($S17,U$4),'Basis Options'!$AC:$AC)</f>
        <v>0</v>
      </c>
      <c r="V17" s="43">
        <f>SUMIF('Basis Options'!$X:$X,CONCATENATE($S17,V$4),'Basis Options'!$AC:$AC)</f>
        <v>0</v>
      </c>
      <c r="W17" s="43">
        <f>SUMIF('Basis Options'!$X:$X,CONCATENATE($S17,W$4),'Basis Options'!$AC:$AC)</f>
        <v>0</v>
      </c>
      <c r="X17" s="43">
        <f>SUMIF('Basis Options'!$X:$X,CONCATENATE($S17,X$4),'Basis Options'!$AC:$AC)</f>
        <v>0</v>
      </c>
      <c r="Y17" s="43">
        <f>SUMIF('Basis Options'!$X:$X,CONCATENATE($S17,Y$4),'Basis Options'!$AC:$AC)</f>
        <v>15798.732193895026</v>
      </c>
      <c r="Z17" s="43">
        <f>SUMIF('Basis Options'!$X:$X,CONCATENATE($S17,Z$4),'Basis Options'!$AC:$AC)</f>
        <v>0</v>
      </c>
      <c r="AA17" s="43">
        <f>SUMIF('Basis Options'!$X:$X,CONCATENATE($S17,AA$4),'Basis Options'!$AC:$AC)</f>
        <v>0</v>
      </c>
      <c r="AB17" s="43">
        <f>SUMIF('Basis Options'!$X:$X,CONCATENATE($S17,AB$4),'Basis Options'!$AC:$AC)</f>
        <v>-36407.938290058664</v>
      </c>
      <c r="AC17" s="43">
        <f>SUMIF('Basis Options'!$X:$X,CONCATENATE($S17,AC$4),'Basis Options'!$AC:$AC)</f>
        <v>0</v>
      </c>
      <c r="AD17" s="43">
        <f>SUMIF('Basis Options'!$X:$X,CONCATENATE($S17,AD$4),'Basis Options'!$AC:$AC)</f>
        <v>0</v>
      </c>
      <c r="AE17" s="43">
        <f>SUMIF('Basis Options'!$X:$X,CONCATENATE($S17,AE$4),'Basis Options'!$AC:$AC)</f>
        <v>0</v>
      </c>
      <c r="AF17" s="43">
        <f>SUMIF('Basis Options'!$X:$X,CONCATENATE($S17,AF$4),'Basis Options'!$AC:$AC)</f>
        <v>0</v>
      </c>
      <c r="AG17" s="128">
        <f t="shared" si="4"/>
        <v>37104</v>
      </c>
      <c r="AH17" s="44">
        <f t="shared" si="5"/>
        <v>-101879.5464350605</v>
      </c>
      <c r="AK17" s="128">
        <f t="shared" si="6"/>
        <v>37104</v>
      </c>
      <c r="AL17" s="43">
        <f>SUMIF('Basis Options'!$X:$X,CONCATENATE($AK17,AL$4),'Basis Options'!$AD:$AD)</f>
        <v>-633.33914364887653</v>
      </c>
      <c r="AM17" s="43">
        <f>SUMIF('Basis Options'!$X:$X,CONCATENATE($AK17,AM$4),'Basis Options'!$AD:$AD)</f>
        <v>0</v>
      </c>
      <c r="AN17" s="43">
        <f>SUMIF('Basis Options'!$X:$X,CONCATENATE($AK17,AN$4),'Basis Options'!$AD:$AD)</f>
        <v>0</v>
      </c>
      <c r="AO17" s="43">
        <f>SUMIF('Basis Options'!$X:$X,CONCATENATE($AK17,AO$4),'Basis Options'!$AD:$AD)</f>
        <v>0</v>
      </c>
      <c r="AP17" s="43">
        <f>SUMIF('Basis Options'!$X:$X,CONCATENATE($AK17,AP$4),'Basis Options'!$AD:$AD)</f>
        <v>0</v>
      </c>
      <c r="AQ17" s="43">
        <f>SUMIF('Basis Options'!$X:$X,CONCATENATE($AK17,AQ$4),'Basis Options'!$AD:$AD)</f>
        <v>741.2864223849507</v>
      </c>
      <c r="AR17" s="43">
        <f>SUMIF('Basis Options'!$X:$X,CONCATENATE($AK17,AR$4),'Basis Options'!$AD:$AD)</f>
        <v>0</v>
      </c>
      <c r="AS17" s="43">
        <f>SUMIF('Basis Options'!$X:$X,CONCATENATE($AK17,AS$4),'Basis Options'!$AD:$AD)</f>
        <v>0</v>
      </c>
      <c r="AT17" s="43">
        <f>SUMIF('Basis Options'!$X:$X,CONCATENATE($AK17,AT$4),'Basis Options'!$AD:$AD)</f>
        <v>-113.66221979798642</v>
      </c>
      <c r="AU17" s="43">
        <f>SUMIF('Basis Options'!$X:$X,CONCATENATE($AK17,AU$4),'Basis Options'!$AD:$AD)</f>
        <v>0</v>
      </c>
      <c r="AV17" s="43">
        <f>SUMIF('Basis Options'!$X:$X,CONCATENATE($AK17,AV$4),'Basis Options'!$AD:$AD)</f>
        <v>0</v>
      </c>
      <c r="AW17" s="43">
        <f>SUMIF('Basis Options'!$X:$X,CONCATENATE($AK17,AW$4),'Basis Options'!$AD:$AD)</f>
        <v>0</v>
      </c>
      <c r="AX17" s="43">
        <f>SUMIF('Basis Options'!$X:$X,CONCATENATE($AK17,AX$4),'Basis Options'!$AD:$AD)</f>
        <v>0</v>
      </c>
      <c r="AY17" s="128">
        <f t="shared" si="7"/>
        <v>37104</v>
      </c>
      <c r="AZ17" s="44">
        <f t="shared" si="8"/>
        <v>-5.7149410619122563</v>
      </c>
      <c r="BB17" s="128">
        <f t="shared" si="9"/>
        <v>37104</v>
      </c>
      <c r="BC17" s="43">
        <f>SUMIF('Basis Options'!$X:$X,CONCATENATE($AK17,BC$4),'Basis Options'!$AF:$AF)</f>
        <v>12033.333149240247</v>
      </c>
      <c r="BD17" s="43">
        <f>SUMIF('Basis Options'!$X:$X,CONCATENATE($AK17,BD$4),'Basis Options'!$AF:$AF)</f>
        <v>0</v>
      </c>
      <c r="BE17" s="43">
        <f>SUMIF('Basis Options'!$X:$X,CONCATENATE($AK17,BE$4),'Basis Options'!$AF:$AF)</f>
        <v>0</v>
      </c>
      <c r="BF17" s="43">
        <f>SUMIF('Basis Options'!$X:$X,CONCATENATE($AK17,BF$4),'Basis Options'!$AF:$AF)</f>
        <v>0</v>
      </c>
      <c r="BG17" s="43">
        <f>SUMIF('Basis Options'!$X:$X,CONCATENATE($AK17,BG$4),'Basis Options'!$AF:$AF)</f>
        <v>0</v>
      </c>
      <c r="BH17" s="43">
        <f>SUMIF('Basis Options'!$X:$X,CONCATENATE($AK17,BH$4),'Basis Options'!$AF:$AF)</f>
        <v>-13731.932202847449</v>
      </c>
      <c r="BI17" s="43">
        <f>SUMIF('Basis Options'!$X:$X,CONCATENATE($AK17,BI$4),'Basis Options'!$AF:$AF)</f>
        <v>0</v>
      </c>
      <c r="BJ17" s="43">
        <f>SUMIF('Basis Options'!$X:$X,CONCATENATE($AK17,BJ$4),'Basis Options'!$AF:$AF)</f>
        <v>0</v>
      </c>
      <c r="BK17" s="43">
        <f>SUMIF('Basis Options'!$X:$X,CONCATENATE($AK17,BK$4),'Basis Options'!$AF:$AF)</f>
        <v>2108.3076194087917</v>
      </c>
      <c r="BL17" s="43">
        <f>SUMIF('Basis Options'!$X:$X,CONCATENATE($AK17,BL$4),'Basis Options'!$AF:$AF)</f>
        <v>0</v>
      </c>
      <c r="BM17" s="43">
        <f>SUMIF('Basis Options'!$X:$X,CONCATENATE($AK17,BM$4),'Basis Options'!$AF:$AF)</f>
        <v>0</v>
      </c>
      <c r="BN17" s="43">
        <f>SUMIF('Basis Options'!$X:$X,CONCATENATE($AK17,BN$4),'Basis Options'!$AF:$AF)</f>
        <v>0</v>
      </c>
      <c r="BO17" s="43">
        <f>SUMIF('Basis Options'!$X:$X,CONCATENATE($AK17,BO$4),'Basis Options'!$AF:$AF)</f>
        <v>0</v>
      </c>
      <c r="BP17" s="128">
        <f t="shared" si="10"/>
        <v>37104</v>
      </c>
      <c r="BQ17" s="44">
        <f t="shared" si="11"/>
        <v>409.70856580158943</v>
      </c>
      <c r="BS17" s="128">
        <f t="shared" si="12"/>
        <v>37104</v>
      </c>
      <c r="BT17" s="43">
        <f>SUMIF('Basis Options'!$X:$X,CONCATENATE($BS17,BT$4),'Basis Options'!$AI:$AI)</f>
        <v>0.14329314606112992</v>
      </c>
      <c r="BU17" s="43">
        <f>SUMIF('Basis Options'!$X:$X,CONCATENATE($BS17,BU$4),'Basis Options'!$AI:$AI)</f>
        <v>0</v>
      </c>
      <c r="BV17" s="43">
        <f>SUMIF('Basis Options'!$X:$X,CONCATENATE($BS17,BV$4),'Basis Options'!$AI:$AI)</f>
        <v>0</v>
      </c>
      <c r="BW17" s="43">
        <f>SUMIF('Basis Options'!$X:$X,CONCATENATE($BS17,BW$4),'Basis Options'!$AI:$AI)</f>
        <v>0</v>
      </c>
      <c r="BX17" s="43">
        <f>SUMIF('Basis Options'!$X:$X,CONCATENATE($BS17,BX$4),'Basis Options'!$AI:$AI)</f>
        <v>0</v>
      </c>
      <c r="BY17" s="43">
        <f>SUMIF('Basis Options'!$X:$X,CONCATENATE($BS17,BY$4),'Basis Options'!$AI:$AI)</f>
        <v>2.6119561135662217E-2</v>
      </c>
      <c r="BZ17" s="43">
        <f>SUMIF('Basis Options'!$X:$X,CONCATENATE($BS17,BZ$4),'Basis Options'!$AI:$AI)</f>
        <v>0</v>
      </c>
      <c r="CA17" s="43">
        <f>SUMIF('Basis Options'!$X:$X,CONCATENATE($BS17,CA$4),'Basis Options'!$AI:$AI)</f>
        <v>0</v>
      </c>
      <c r="CB17" s="43">
        <f>SUMIF('Basis Options'!$X:$X,CONCATENATE($BS17,CB$4),'Basis Options'!$AI:$AI)</f>
        <v>3.8690561102149301E-2</v>
      </c>
      <c r="CC17" s="43">
        <f>SUMIF('Basis Options'!$X:$X,CONCATENATE($BS17,CC$4),'Basis Options'!$AI:$AI)</f>
        <v>0</v>
      </c>
      <c r="CD17" s="43">
        <f>SUMIF('Basis Options'!$X:$X,CONCATENATE($BS17,CD$4),'Basis Options'!$AI:$AI)</f>
        <v>0</v>
      </c>
      <c r="CE17" s="43">
        <f>SUMIF('Basis Options'!$X:$X,CONCATENATE($BS17,CE$4),'Basis Options'!$AI:$AI)</f>
        <v>0</v>
      </c>
      <c r="CF17" s="43">
        <f>SUMIF('Basis Options'!$X:$X,CONCATENATE($BS17,CF$4),'Basis Options'!$AI:$AI)</f>
        <v>0</v>
      </c>
      <c r="CG17" s="128">
        <f t="shared" si="13"/>
        <v>37104</v>
      </c>
      <c r="CH17" s="480">
        <f t="shared" si="14"/>
        <v>0.20810326829894144</v>
      </c>
    </row>
    <row r="18" spans="1:86" x14ac:dyDescent="0.25">
      <c r="A18" s="128">
        <f t="shared" si="0"/>
        <v>37135</v>
      </c>
      <c r="B18" s="43">
        <f>SUMIF('Basis Options'!X:X,CONCATENATE($A18,B$4),'Basis Options'!AB:AB)</f>
        <v>3.4077308774089139</v>
      </c>
      <c r="C18" s="43">
        <f>SUMIF('Basis Options'!$X:$X,CONCATENATE($A18,C$4),'Basis Options'!$AB:$AB)</f>
        <v>0</v>
      </c>
      <c r="D18" s="43">
        <f>SUMIF('Basis Options'!$X:$X,CONCATENATE($A18,D$4),'Basis Options'!$AB:$AB)</f>
        <v>0</v>
      </c>
      <c r="E18" s="43">
        <f>SUMIF('Basis Options'!$X:$X,CONCATENATE($A18,E$4),'Basis Options'!$AB:$AB)</f>
        <v>0</v>
      </c>
      <c r="F18" s="43">
        <f>SUMIF('Basis Options'!$X:$X,CONCATENATE($A18,F$4),'Basis Options'!$AB:$AB)</f>
        <v>0</v>
      </c>
      <c r="G18" s="43">
        <f>SUMIF('Basis Options'!$X:$X,CONCATENATE($A18,G$4),'Basis Options'!$AB:$AB)</f>
        <v>-0.54777972860905466</v>
      </c>
      <c r="H18" s="43">
        <f>SUMIF('Basis Options'!$X:$X,CONCATENATE($A18,H$4),'Basis Options'!$AB:$AB)</f>
        <v>0</v>
      </c>
      <c r="I18" s="43">
        <f>SUMIF('Basis Options'!$X:$X,CONCATENATE($A18,I$4),'Basis Options'!$AB:$AB)</f>
        <v>0</v>
      </c>
      <c r="J18" s="43">
        <f>SUMIF('Basis Options'!$X:$X,CONCATENATE($A18,J$4),'Basis Options'!$AB:$AB)</f>
        <v>1.5381006121474199</v>
      </c>
      <c r="K18" s="43">
        <f>SUMIF('Basis Options'!$X:$X,CONCATENATE($A18,K$4),'Basis Options'!$AB:$AB)</f>
        <v>0</v>
      </c>
      <c r="L18" s="43">
        <f>SUMIF('Basis Options'!$X:$X,CONCATENATE($A18,L$4),'Basis Options'!$AB:$AB)</f>
        <v>0</v>
      </c>
      <c r="M18" s="43">
        <f>SUMIF('Basis Options'!$X:$X,CONCATENATE($A18,M$4),'Basis Options'!$AB:$AB)</f>
        <v>0</v>
      </c>
      <c r="N18" s="43">
        <f>SUMIF('Basis Options'!$X:$X,CONCATENATE($A18,N$4),'Basis Options'!$AB:$AB)</f>
        <v>0</v>
      </c>
      <c r="O18" s="128">
        <f t="shared" si="1"/>
        <v>37135</v>
      </c>
      <c r="P18" s="44">
        <f t="shared" si="2"/>
        <v>4.3980517609472791</v>
      </c>
      <c r="R18" s="43">
        <f t="shared" si="15"/>
        <v>-107100.03623564992</v>
      </c>
      <c r="S18" s="128">
        <f t="shared" si="3"/>
        <v>37135</v>
      </c>
      <c r="T18" s="43">
        <f>SUMIF('Basis Options'!$X:$X,CONCATENATE($S18,T$4),'Basis Options'!$AC:$AC)</f>
        <v>-85404.037040672134</v>
      </c>
      <c r="U18" s="43">
        <f>SUMIF('Basis Options'!$X:$X,CONCATENATE($S18,U$4),'Basis Options'!$AC:$AC)</f>
        <v>0</v>
      </c>
      <c r="V18" s="43">
        <f>SUMIF('Basis Options'!$X:$X,CONCATENATE($S18,V$4),'Basis Options'!$AC:$AC)</f>
        <v>0</v>
      </c>
      <c r="W18" s="43">
        <f>SUMIF('Basis Options'!$X:$X,CONCATENATE($S18,W$4),'Basis Options'!$AC:$AC)</f>
        <v>0</v>
      </c>
      <c r="X18" s="43">
        <f>SUMIF('Basis Options'!$X:$X,CONCATENATE($S18,X$4),'Basis Options'!$AC:$AC)</f>
        <v>0</v>
      </c>
      <c r="Y18" s="43">
        <f>SUMIF('Basis Options'!$X:$X,CONCATENATE($S18,Y$4),'Basis Options'!$AC:$AC)</f>
        <v>16258.248336878725</v>
      </c>
      <c r="Z18" s="43">
        <f>SUMIF('Basis Options'!$X:$X,CONCATENATE($S18,Z$4),'Basis Options'!$AC:$AC)</f>
        <v>0</v>
      </c>
      <c r="AA18" s="43">
        <f>SUMIF('Basis Options'!$X:$X,CONCATENATE($S18,AA$4),'Basis Options'!$AC:$AC)</f>
        <v>0</v>
      </c>
      <c r="AB18" s="43">
        <f>SUMIF('Basis Options'!$X:$X,CONCATENATE($S18,AB$4),'Basis Options'!$AC:$AC)</f>
        <v>-37954.247531856505</v>
      </c>
      <c r="AC18" s="43">
        <f>SUMIF('Basis Options'!$X:$X,CONCATENATE($S18,AC$4),'Basis Options'!$AC:$AC)</f>
        <v>0</v>
      </c>
      <c r="AD18" s="43">
        <f>SUMIF('Basis Options'!$X:$X,CONCATENATE($S18,AD$4),'Basis Options'!$AC:$AC)</f>
        <v>0</v>
      </c>
      <c r="AE18" s="43">
        <f>SUMIF('Basis Options'!$X:$X,CONCATENATE($S18,AE$4),'Basis Options'!$AC:$AC)</f>
        <v>0</v>
      </c>
      <c r="AF18" s="43">
        <f>SUMIF('Basis Options'!$X:$X,CONCATENATE($S18,AF$4),'Basis Options'!$AC:$AC)</f>
        <v>0</v>
      </c>
      <c r="AG18" s="128">
        <f t="shared" si="4"/>
        <v>37135</v>
      </c>
      <c r="AH18" s="44">
        <f t="shared" si="5"/>
        <v>-107100.03623564992</v>
      </c>
      <c r="AK18" s="128">
        <f t="shared" si="6"/>
        <v>37135</v>
      </c>
      <c r="AL18" s="43">
        <f>SUMIF('Basis Options'!$X:$X,CONCATENATE($AK18,AL$4),'Basis Options'!$AD:$AD)</f>
        <v>-603.50390447384666</v>
      </c>
      <c r="AM18" s="43">
        <f>SUMIF('Basis Options'!$X:$X,CONCATENATE($AK18,AM$4),'Basis Options'!$AD:$AD)</f>
        <v>0</v>
      </c>
      <c r="AN18" s="43">
        <f>SUMIF('Basis Options'!$X:$X,CONCATENATE($AK18,AN$4),'Basis Options'!$AD:$AD)</f>
        <v>0</v>
      </c>
      <c r="AO18" s="43">
        <f>SUMIF('Basis Options'!$X:$X,CONCATENATE($AK18,AO$4),'Basis Options'!$AD:$AD)</f>
        <v>0</v>
      </c>
      <c r="AP18" s="43">
        <f>SUMIF('Basis Options'!$X:$X,CONCATENATE($AK18,AP$4),'Basis Options'!$AD:$AD)</f>
        <v>0</v>
      </c>
      <c r="AQ18" s="43">
        <f>SUMIF('Basis Options'!$X:$X,CONCATENATE($AK18,AQ$4),'Basis Options'!$AD:$AD)</f>
        <v>693.54850584108635</v>
      </c>
      <c r="AR18" s="43">
        <f>SUMIF('Basis Options'!$X:$X,CONCATENATE($AK18,AR$4),'Basis Options'!$AD:$AD)</f>
        <v>0</v>
      </c>
      <c r="AS18" s="43">
        <f>SUMIF('Basis Options'!$X:$X,CONCATENATE($AK18,AS$4),'Basis Options'!$AD:$AD)</f>
        <v>0</v>
      </c>
      <c r="AT18" s="43">
        <f>SUMIF('Basis Options'!$X:$X,CONCATENATE($AK18,AT$4),'Basis Options'!$AD:$AD)</f>
        <v>-106.75508818809368</v>
      </c>
      <c r="AU18" s="43">
        <f>SUMIF('Basis Options'!$X:$X,CONCATENATE($AK18,AU$4),'Basis Options'!$AD:$AD)</f>
        <v>0</v>
      </c>
      <c r="AV18" s="43">
        <f>SUMIF('Basis Options'!$X:$X,CONCATENATE($AK18,AV$4),'Basis Options'!$AD:$AD)</f>
        <v>0</v>
      </c>
      <c r="AW18" s="43">
        <f>SUMIF('Basis Options'!$X:$X,CONCATENATE($AK18,AW$4),'Basis Options'!$AD:$AD)</f>
        <v>0</v>
      </c>
      <c r="AX18" s="43">
        <f>SUMIF('Basis Options'!$X:$X,CONCATENATE($AK18,AX$4),'Basis Options'!$AD:$AD)</f>
        <v>0</v>
      </c>
      <c r="AY18" s="128">
        <f t="shared" si="7"/>
        <v>37135</v>
      </c>
      <c r="AZ18" s="44">
        <f t="shared" si="8"/>
        <v>-16.710486820853987</v>
      </c>
      <c r="BB18" s="128">
        <f t="shared" si="9"/>
        <v>37135</v>
      </c>
      <c r="BC18" s="43">
        <f>SUMIF('Basis Options'!$X:$X,CONCATENATE($AK18,BC$4),'Basis Options'!$AF:$AF)</f>
        <v>12599.124609014132</v>
      </c>
      <c r="BD18" s="43">
        <f>SUMIF('Basis Options'!$X:$X,CONCATENATE($AK18,BD$4),'Basis Options'!$AF:$AF)</f>
        <v>0</v>
      </c>
      <c r="BE18" s="43">
        <f>SUMIF('Basis Options'!$X:$X,CONCATENATE($AK18,BE$4),'Basis Options'!$AF:$AF)</f>
        <v>0</v>
      </c>
      <c r="BF18" s="43">
        <f>SUMIF('Basis Options'!$X:$X,CONCATENATE($AK18,BF$4),'Basis Options'!$AF:$AF)</f>
        <v>0</v>
      </c>
      <c r="BG18" s="43">
        <f>SUMIF('Basis Options'!$X:$X,CONCATENATE($AK18,BG$4),'Basis Options'!$AF:$AF)</f>
        <v>0</v>
      </c>
      <c r="BH18" s="43">
        <f>SUMIF('Basis Options'!$X:$X,CONCATENATE($AK18,BH$4),'Basis Options'!$AF:$AF)</f>
        <v>-14151.973359884836</v>
      </c>
      <c r="BI18" s="43">
        <f>SUMIF('Basis Options'!$X:$X,CONCATENATE($AK18,BI$4),'Basis Options'!$AF:$AF)</f>
        <v>0</v>
      </c>
      <c r="BJ18" s="43">
        <f>SUMIF('Basis Options'!$X:$X,CONCATENATE($AK18,BJ$4),'Basis Options'!$AF:$AF)</f>
        <v>0</v>
      </c>
      <c r="BK18" s="43">
        <f>SUMIF('Basis Options'!$X:$X,CONCATENATE($AK18,BK$4),'Basis Options'!$AF:$AF)</f>
        <v>2201.2364620060034</v>
      </c>
      <c r="BL18" s="43">
        <f>SUMIF('Basis Options'!$X:$X,CONCATENATE($AK18,BL$4),'Basis Options'!$AF:$AF)</f>
        <v>0</v>
      </c>
      <c r="BM18" s="43">
        <f>SUMIF('Basis Options'!$X:$X,CONCATENATE($AK18,BM$4),'Basis Options'!$AF:$AF)</f>
        <v>0</v>
      </c>
      <c r="BN18" s="43">
        <f>SUMIF('Basis Options'!$X:$X,CONCATENATE($AK18,BN$4),'Basis Options'!$AF:$AF)</f>
        <v>0</v>
      </c>
      <c r="BO18" s="43">
        <f>SUMIF('Basis Options'!$X:$X,CONCATENATE($AK18,BO$4),'Basis Options'!$AF:$AF)</f>
        <v>0</v>
      </c>
      <c r="BP18" s="128">
        <f t="shared" si="10"/>
        <v>37135</v>
      </c>
      <c r="BQ18" s="44">
        <f t="shared" si="11"/>
        <v>648.38771113529947</v>
      </c>
      <c r="BS18" s="128">
        <f t="shared" si="12"/>
        <v>37135</v>
      </c>
      <c r="BT18" s="43">
        <f>SUMIF('Basis Options'!$X:$X,CONCATENATE($BS18,BT$4),'Basis Options'!$AI:$AI)</f>
        <v>5.0574172738402756E-2</v>
      </c>
      <c r="BU18" s="43">
        <f>SUMIF('Basis Options'!$X:$X,CONCATENATE($BS18,BU$4),'Basis Options'!$AI:$AI)</f>
        <v>0</v>
      </c>
      <c r="BV18" s="43">
        <f>SUMIF('Basis Options'!$X:$X,CONCATENATE($BS18,BV$4),'Basis Options'!$AI:$AI)</f>
        <v>0</v>
      </c>
      <c r="BW18" s="43">
        <f>SUMIF('Basis Options'!$X:$X,CONCATENATE($BS18,BW$4),'Basis Options'!$AI:$AI)</f>
        <v>0</v>
      </c>
      <c r="BX18" s="43">
        <f>SUMIF('Basis Options'!$X:$X,CONCATENATE($BS18,BX$4),'Basis Options'!$AI:$AI)</f>
        <v>0</v>
      </c>
      <c r="BY18" s="43">
        <f>SUMIF('Basis Options'!$X:$X,CONCATENATE($BS18,BY$4),'Basis Options'!$AI:$AI)</f>
        <v>2.781970862796182E-2</v>
      </c>
      <c r="BZ18" s="43">
        <f>SUMIF('Basis Options'!$X:$X,CONCATENATE($BS18,BZ$4),'Basis Options'!$AI:$AI)</f>
        <v>0</v>
      </c>
      <c r="CA18" s="43">
        <f>SUMIF('Basis Options'!$X:$X,CONCATENATE($BS18,CA$4),'Basis Options'!$AI:$AI)</f>
        <v>0</v>
      </c>
      <c r="CB18" s="43">
        <f>SUMIF('Basis Options'!$X:$X,CONCATENATE($BS18,CB$4),'Basis Options'!$AI:$AI)</f>
        <v>3.1570827531754331E-2</v>
      </c>
      <c r="CC18" s="43">
        <f>SUMIF('Basis Options'!$X:$X,CONCATENATE($BS18,CC$4),'Basis Options'!$AI:$AI)</f>
        <v>0</v>
      </c>
      <c r="CD18" s="43">
        <f>SUMIF('Basis Options'!$X:$X,CONCATENATE($BS18,CD$4),'Basis Options'!$AI:$AI)</f>
        <v>0</v>
      </c>
      <c r="CE18" s="43">
        <f>SUMIF('Basis Options'!$X:$X,CONCATENATE($BS18,CE$4),'Basis Options'!$AI:$AI)</f>
        <v>0</v>
      </c>
      <c r="CF18" s="43">
        <f>SUMIF('Basis Options'!$X:$X,CONCATENATE($BS18,CF$4),'Basis Options'!$AI:$AI)</f>
        <v>0</v>
      </c>
      <c r="CG18" s="128">
        <f t="shared" si="13"/>
        <v>37135</v>
      </c>
      <c r="CH18" s="480">
        <f t="shared" si="14"/>
        <v>0.10996470889811891</v>
      </c>
    </row>
    <row r="19" spans="1:86" x14ac:dyDescent="0.25">
      <c r="A19" s="128">
        <f t="shared" si="0"/>
        <v>37165</v>
      </c>
      <c r="B19" s="43">
        <f>SUMIF('Basis Options'!X:X,CONCATENATE($A19,B$4),'Basis Options'!AB:AB)</f>
        <v>3.1354449735159866</v>
      </c>
      <c r="C19" s="43">
        <f>SUMIF('Basis Options'!$X:$X,CONCATENATE($A19,C$4),'Basis Options'!$AB:$AB)</f>
        <v>0</v>
      </c>
      <c r="D19" s="43">
        <f>SUMIF('Basis Options'!$X:$X,CONCATENATE($A19,D$4),'Basis Options'!$AB:$AB)</f>
        <v>0</v>
      </c>
      <c r="E19" s="43">
        <f>SUMIF('Basis Options'!$X:$X,CONCATENATE($A19,E$4),'Basis Options'!$AB:$AB)</f>
        <v>0</v>
      </c>
      <c r="F19" s="43">
        <f>SUMIF('Basis Options'!$X:$X,CONCATENATE($A19,F$4),'Basis Options'!$AB:$AB)</f>
        <v>0</v>
      </c>
      <c r="G19" s="43">
        <f>SUMIF('Basis Options'!$X:$X,CONCATENATE($A19,G$4),'Basis Options'!$AB:$AB)</f>
        <v>-0.48645136274504508</v>
      </c>
      <c r="H19" s="43">
        <f>SUMIF('Basis Options'!$X:$X,CONCATENATE($A19,H$4),'Basis Options'!$AB:$AB)</f>
        <v>0</v>
      </c>
      <c r="I19" s="43">
        <f>SUMIF('Basis Options'!$X:$X,CONCATENATE($A19,I$4),'Basis Options'!$AB:$AB)</f>
        <v>0</v>
      </c>
      <c r="J19" s="43">
        <f>SUMIF('Basis Options'!$X:$X,CONCATENATE($A19,J$4),'Basis Options'!$AB:$AB)</f>
        <v>1.4536494572375136</v>
      </c>
      <c r="K19" s="43">
        <f>SUMIF('Basis Options'!$X:$X,CONCATENATE($A19,K$4),'Basis Options'!$AB:$AB)</f>
        <v>0</v>
      </c>
      <c r="L19" s="43">
        <f>SUMIF('Basis Options'!$X:$X,CONCATENATE($A19,L$4),'Basis Options'!$AB:$AB)</f>
        <v>0</v>
      </c>
      <c r="M19" s="43">
        <f>SUMIF('Basis Options'!$X:$X,CONCATENATE($A19,M$4),'Basis Options'!$AB:$AB)</f>
        <v>0</v>
      </c>
      <c r="N19" s="43">
        <f>SUMIF('Basis Options'!$X:$X,CONCATENATE($A19,N$4),'Basis Options'!$AB:$AB)</f>
        <v>0</v>
      </c>
      <c r="O19" s="128">
        <f t="shared" si="1"/>
        <v>37165</v>
      </c>
      <c r="P19" s="44">
        <f t="shared" si="2"/>
        <v>4.1026430680084545</v>
      </c>
      <c r="R19" s="43">
        <f t="shared" si="15"/>
        <v>-113596.23790174472</v>
      </c>
      <c r="S19" s="128">
        <f t="shared" si="3"/>
        <v>37165</v>
      </c>
      <c r="T19" s="43">
        <f>SUMIF('Basis Options'!$X:$X,CONCATENATE($S19,T$4),'Basis Options'!$AC:$AC)</f>
        <v>-87474.456861364655</v>
      </c>
      <c r="U19" s="43">
        <f>SUMIF('Basis Options'!$X:$X,CONCATENATE($S19,U$4),'Basis Options'!$AC:$AC)</f>
        <v>0</v>
      </c>
      <c r="V19" s="43">
        <f>SUMIF('Basis Options'!$X:$X,CONCATENATE($S19,V$4),'Basis Options'!$AC:$AC)</f>
        <v>0</v>
      </c>
      <c r="W19" s="43">
        <f>SUMIF('Basis Options'!$X:$X,CONCATENATE($S19,W$4),'Basis Options'!$AC:$AC)</f>
        <v>0</v>
      </c>
      <c r="X19" s="43">
        <f>SUMIF('Basis Options'!$X:$X,CONCATENATE($S19,X$4),'Basis Options'!$AC:$AC)</f>
        <v>0</v>
      </c>
      <c r="Y19" s="43">
        <f>SUMIF('Basis Options'!$X:$X,CONCATENATE($S19,Y$4),'Basis Options'!$AC:$AC)</f>
        <v>12864.978214572089</v>
      </c>
      <c r="Z19" s="43">
        <f>SUMIF('Basis Options'!$X:$X,CONCATENATE($S19,Z$4),'Basis Options'!$AC:$AC)</f>
        <v>0</v>
      </c>
      <c r="AA19" s="43">
        <f>SUMIF('Basis Options'!$X:$X,CONCATENATE($S19,AA$4),'Basis Options'!$AC:$AC)</f>
        <v>0</v>
      </c>
      <c r="AB19" s="43">
        <f>SUMIF('Basis Options'!$X:$X,CONCATENATE($S19,AB$4),'Basis Options'!$AC:$AC)</f>
        <v>-38986.759254952172</v>
      </c>
      <c r="AC19" s="43">
        <f>SUMIF('Basis Options'!$X:$X,CONCATENATE($S19,AC$4),'Basis Options'!$AC:$AC)</f>
        <v>0</v>
      </c>
      <c r="AD19" s="43">
        <f>SUMIF('Basis Options'!$X:$X,CONCATENATE($S19,AD$4),'Basis Options'!$AC:$AC)</f>
        <v>0</v>
      </c>
      <c r="AE19" s="43">
        <f>SUMIF('Basis Options'!$X:$X,CONCATENATE($S19,AE$4),'Basis Options'!$AC:$AC)</f>
        <v>0</v>
      </c>
      <c r="AF19" s="43">
        <f>SUMIF('Basis Options'!$X:$X,CONCATENATE($S19,AF$4),'Basis Options'!$AC:$AC)</f>
        <v>0</v>
      </c>
      <c r="AG19" s="128">
        <f t="shared" si="4"/>
        <v>37165</v>
      </c>
      <c r="AH19" s="44">
        <f t="shared" si="5"/>
        <v>-113596.23790174472</v>
      </c>
      <c r="AK19" s="128">
        <f t="shared" si="6"/>
        <v>37165</v>
      </c>
      <c r="AL19" s="43">
        <f>SUMIF('Basis Options'!$X:$X,CONCATENATE($AK19,AL$4),'Basis Options'!$AD:$AD)</f>
        <v>-566.96444892107957</v>
      </c>
      <c r="AM19" s="43">
        <f>SUMIF('Basis Options'!$X:$X,CONCATENATE($AK19,AM$4),'Basis Options'!$AD:$AD)</f>
        <v>0</v>
      </c>
      <c r="AN19" s="43">
        <f>SUMIF('Basis Options'!$X:$X,CONCATENATE($AK19,AN$4),'Basis Options'!$AD:$AD)</f>
        <v>0</v>
      </c>
      <c r="AO19" s="43">
        <f>SUMIF('Basis Options'!$X:$X,CONCATENATE($AK19,AO$4),'Basis Options'!$AD:$AD)</f>
        <v>0</v>
      </c>
      <c r="AP19" s="43">
        <f>SUMIF('Basis Options'!$X:$X,CONCATENATE($AK19,AP$4),'Basis Options'!$AD:$AD)</f>
        <v>0</v>
      </c>
      <c r="AQ19" s="43">
        <f>SUMIF('Basis Options'!$X:$X,CONCATENATE($AK19,AQ$4),'Basis Options'!$AD:$AD)</f>
        <v>517.75908841429646</v>
      </c>
      <c r="AR19" s="43">
        <f>SUMIF('Basis Options'!$X:$X,CONCATENATE($AK19,AR$4),'Basis Options'!$AD:$AD)</f>
        <v>0</v>
      </c>
      <c r="AS19" s="43">
        <f>SUMIF('Basis Options'!$X:$X,CONCATENATE($AK19,AS$4),'Basis Options'!$AD:$AD)</f>
        <v>0</v>
      </c>
      <c r="AT19" s="43">
        <f>SUMIF('Basis Options'!$X:$X,CONCATENATE($AK19,AT$4),'Basis Options'!$AD:$AD)</f>
        <v>-101.64539432214339</v>
      </c>
      <c r="AU19" s="43">
        <f>SUMIF('Basis Options'!$X:$X,CONCATENATE($AK19,AU$4),'Basis Options'!$AD:$AD)</f>
        <v>0</v>
      </c>
      <c r="AV19" s="43">
        <f>SUMIF('Basis Options'!$X:$X,CONCATENATE($AK19,AV$4),'Basis Options'!$AD:$AD)</f>
        <v>0</v>
      </c>
      <c r="AW19" s="43">
        <f>SUMIF('Basis Options'!$X:$X,CONCATENATE($AK19,AW$4),'Basis Options'!$AD:$AD)</f>
        <v>0</v>
      </c>
      <c r="AX19" s="43">
        <f>SUMIF('Basis Options'!$X:$X,CONCATENATE($AK19,AX$4),'Basis Options'!$AD:$AD)</f>
        <v>0</v>
      </c>
      <c r="AY19" s="128">
        <f t="shared" si="7"/>
        <v>37165</v>
      </c>
      <c r="AZ19" s="44">
        <f t="shared" si="8"/>
        <v>-150.85075482892648</v>
      </c>
      <c r="BB19" s="128">
        <f t="shared" si="9"/>
        <v>37165</v>
      </c>
      <c r="BC19" s="43">
        <f>SUMIF('Basis Options'!$X:$X,CONCATENATE($AK19,BC$4),'Basis Options'!$AF:$AF)</f>
        <v>12894.373659210116</v>
      </c>
      <c r="BD19" s="43">
        <f>SUMIF('Basis Options'!$X:$X,CONCATENATE($AK19,BD$4),'Basis Options'!$AF:$AF)</f>
        <v>0</v>
      </c>
      <c r="BE19" s="43">
        <f>SUMIF('Basis Options'!$X:$X,CONCATENATE($AK19,BE$4),'Basis Options'!$AF:$AF)</f>
        <v>0</v>
      </c>
      <c r="BF19" s="43">
        <f>SUMIF('Basis Options'!$X:$X,CONCATENATE($AK19,BF$4),'Basis Options'!$AF:$AF)</f>
        <v>0</v>
      </c>
      <c r="BG19" s="43">
        <f>SUMIF('Basis Options'!$X:$X,CONCATENATE($AK19,BG$4),'Basis Options'!$AF:$AF)</f>
        <v>0</v>
      </c>
      <c r="BH19" s="43">
        <f>SUMIF('Basis Options'!$X:$X,CONCATENATE($AK19,BH$4),'Basis Options'!$AF:$AF)</f>
        <v>-10843.888347338008</v>
      </c>
      <c r="BI19" s="43">
        <f>SUMIF('Basis Options'!$X:$X,CONCATENATE($AK19,BI$4),'Basis Options'!$AF:$AF)</f>
        <v>0</v>
      </c>
      <c r="BJ19" s="43">
        <f>SUMIF('Basis Options'!$X:$X,CONCATENATE($AK19,BJ$4),'Basis Options'!$AF:$AF)</f>
        <v>0</v>
      </c>
      <c r="BK19" s="43">
        <f>SUMIF('Basis Options'!$X:$X,CONCATENATE($AK19,BK$4),'Basis Options'!$AF:$AF)</f>
        <v>2248.08202940397</v>
      </c>
      <c r="BL19" s="43">
        <f>SUMIF('Basis Options'!$X:$X,CONCATENATE($AK19,BL$4),'Basis Options'!$AF:$AF)</f>
        <v>0</v>
      </c>
      <c r="BM19" s="43">
        <f>SUMIF('Basis Options'!$X:$X,CONCATENATE($AK19,BM$4),'Basis Options'!$AF:$AF)</f>
        <v>0</v>
      </c>
      <c r="BN19" s="43">
        <f>SUMIF('Basis Options'!$X:$X,CONCATENATE($AK19,BN$4),'Basis Options'!$AF:$AF)</f>
        <v>0</v>
      </c>
      <c r="BO19" s="43">
        <f>SUMIF('Basis Options'!$X:$X,CONCATENATE($AK19,BO$4),'Basis Options'!$AF:$AF)</f>
        <v>0</v>
      </c>
      <c r="BP19" s="128">
        <f t="shared" si="10"/>
        <v>37165</v>
      </c>
      <c r="BQ19" s="44">
        <f t="shared" si="11"/>
        <v>4298.5673412760771</v>
      </c>
      <c r="BS19" s="128">
        <f t="shared" si="12"/>
        <v>37165</v>
      </c>
      <c r="BT19" s="43">
        <f>SUMIF('Basis Options'!$X:$X,CONCATENATE($BS19,BT$4),'Basis Options'!$AI:$AI)</f>
        <v>0.13782362493070371</v>
      </c>
      <c r="BU19" s="43">
        <f>SUMIF('Basis Options'!$X:$X,CONCATENATE($BS19,BU$4),'Basis Options'!$AI:$AI)</f>
        <v>0</v>
      </c>
      <c r="BV19" s="43">
        <f>SUMIF('Basis Options'!$X:$X,CONCATENATE($BS19,BV$4),'Basis Options'!$AI:$AI)</f>
        <v>0</v>
      </c>
      <c r="BW19" s="43">
        <f>SUMIF('Basis Options'!$X:$X,CONCATENATE($BS19,BW$4),'Basis Options'!$AI:$AI)</f>
        <v>0</v>
      </c>
      <c r="BX19" s="43">
        <f>SUMIF('Basis Options'!$X:$X,CONCATENATE($BS19,BX$4),'Basis Options'!$AI:$AI)</f>
        <v>0</v>
      </c>
      <c r="BY19" s="43">
        <f>SUMIF('Basis Options'!$X:$X,CONCATENATE($BS19,BY$4),'Basis Options'!$AI:$AI)</f>
        <v>0.10089613154835861</v>
      </c>
      <c r="BZ19" s="43">
        <f>SUMIF('Basis Options'!$X:$X,CONCATENATE($BS19,BZ$4),'Basis Options'!$AI:$AI)</f>
        <v>0</v>
      </c>
      <c r="CA19" s="43">
        <f>SUMIF('Basis Options'!$X:$X,CONCATENATE($BS19,CA$4),'Basis Options'!$AI:$AI)</f>
        <v>0</v>
      </c>
      <c r="CB19" s="43">
        <f>SUMIF('Basis Options'!$X:$X,CONCATENATE($BS19,CB$4),'Basis Options'!$AI:$AI)</f>
        <v>3.8438477967154716E-2</v>
      </c>
      <c r="CC19" s="43">
        <f>SUMIF('Basis Options'!$X:$X,CONCATENATE($BS19,CC$4),'Basis Options'!$AI:$AI)</f>
        <v>0</v>
      </c>
      <c r="CD19" s="43">
        <f>SUMIF('Basis Options'!$X:$X,CONCATENATE($BS19,CD$4),'Basis Options'!$AI:$AI)</f>
        <v>0</v>
      </c>
      <c r="CE19" s="43">
        <f>SUMIF('Basis Options'!$X:$X,CONCATENATE($BS19,CE$4),'Basis Options'!$AI:$AI)</f>
        <v>0</v>
      </c>
      <c r="CF19" s="43">
        <f>SUMIF('Basis Options'!$X:$X,CONCATENATE($BS19,CF$4),'Basis Options'!$AI:$AI)</f>
        <v>0</v>
      </c>
      <c r="CG19" s="128">
        <f t="shared" si="13"/>
        <v>37165</v>
      </c>
      <c r="CH19" s="480">
        <f t="shared" si="14"/>
        <v>0.27715823444621701</v>
      </c>
    </row>
    <row r="20" spans="1:86" x14ac:dyDescent="0.25">
      <c r="A20" s="128">
        <f t="shared" si="0"/>
        <v>37196</v>
      </c>
      <c r="B20" s="43">
        <f>SUMIF('Basis Options'!X:X,CONCATENATE($A20,B$4),'Basis Options'!AB:AB)</f>
        <v>-0.46778383403433349</v>
      </c>
      <c r="C20" s="43">
        <f>SUMIF('Basis Options'!$X:$X,CONCATENATE($A20,C$4),'Basis Options'!$AB:$AB)</f>
        <v>0</v>
      </c>
      <c r="D20" s="43">
        <f>SUMIF('Basis Options'!$X:$X,CONCATENATE($A20,D$4),'Basis Options'!$AB:$AB)</f>
        <v>0</v>
      </c>
      <c r="E20" s="43">
        <f>SUMIF('Basis Options'!$X:$X,CONCATENATE($A20,E$4),'Basis Options'!$AB:$AB)</f>
        <v>0</v>
      </c>
      <c r="F20" s="43">
        <f>SUMIF('Basis Options'!$X:$X,CONCATENATE($A20,F$4),'Basis Options'!$AB:$AB)</f>
        <v>0</v>
      </c>
      <c r="G20" s="43">
        <f>SUMIF('Basis Options'!$X:$X,CONCATENATE($A20,G$4),'Basis Options'!$AB:$AB)</f>
        <v>0</v>
      </c>
      <c r="H20" s="43">
        <f>SUMIF('Basis Options'!$X:$X,CONCATENATE($A20,H$4),'Basis Options'!$AB:$AB)</f>
        <v>0</v>
      </c>
      <c r="I20" s="43">
        <f>SUMIF('Basis Options'!$X:$X,CONCATENATE($A20,I$4),'Basis Options'!$AB:$AB)</f>
        <v>0</v>
      </c>
      <c r="J20" s="43">
        <f>SUMIF('Basis Options'!$X:$X,CONCATENATE($A20,J$4),'Basis Options'!$AB:$AB)</f>
        <v>0</v>
      </c>
      <c r="K20" s="43">
        <f>SUMIF('Basis Options'!$X:$X,CONCATENATE($A20,K$4),'Basis Options'!$AB:$AB)</f>
        <v>0</v>
      </c>
      <c r="L20" s="43">
        <f>SUMIF('Basis Options'!$X:$X,CONCATENATE($A20,L$4),'Basis Options'!$AB:$AB)</f>
        <v>0</v>
      </c>
      <c r="M20" s="43">
        <f>SUMIF('Basis Options'!$X:$X,CONCATENATE($A20,M$4),'Basis Options'!$AB:$AB)</f>
        <v>0</v>
      </c>
      <c r="N20" s="43">
        <f>SUMIF('Basis Options'!$X:$X,CONCATENATE($A20,N$4),'Basis Options'!$AB:$AB)</f>
        <v>0</v>
      </c>
      <c r="O20" s="128">
        <f t="shared" si="1"/>
        <v>37196</v>
      </c>
      <c r="P20" s="44">
        <f t="shared" si="2"/>
        <v>-0.46778383403433349</v>
      </c>
      <c r="R20" s="43">
        <f t="shared" si="15"/>
        <v>18745.054127209245</v>
      </c>
      <c r="S20" s="128">
        <f t="shared" si="3"/>
        <v>37196</v>
      </c>
      <c r="T20" s="43">
        <f>SUMIF('Basis Options'!$X:$X,CONCATENATE($S20,T$4),'Basis Options'!$AC:$AC)</f>
        <v>18745.054127209245</v>
      </c>
      <c r="U20" s="43">
        <f>SUMIF('Basis Options'!$X:$X,CONCATENATE($S20,U$4),'Basis Options'!$AC:$AC)</f>
        <v>0</v>
      </c>
      <c r="V20" s="43">
        <f>SUMIF('Basis Options'!$X:$X,CONCATENATE($S20,V$4),'Basis Options'!$AC:$AC)</f>
        <v>0</v>
      </c>
      <c r="W20" s="43">
        <f>SUMIF('Basis Options'!$X:$X,CONCATENATE($S20,W$4),'Basis Options'!$AC:$AC)</f>
        <v>0</v>
      </c>
      <c r="X20" s="43">
        <f>SUMIF('Basis Options'!$X:$X,CONCATENATE($S20,X$4),'Basis Options'!$AC:$AC)</f>
        <v>0</v>
      </c>
      <c r="Y20" s="43">
        <f>SUMIF('Basis Options'!$X:$X,CONCATENATE($S20,Y$4),'Basis Options'!$AC:$AC)</f>
        <v>0</v>
      </c>
      <c r="Z20" s="43">
        <f>SUMIF('Basis Options'!$X:$X,CONCATENATE($S20,Z$4),'Basis Options'!$AC:$AC)</f>
        <v>0</v>
      </c>
      <c r="AA20" s="43">
        <f>SUMIF('Basis Options'!$X:$X,CONCATENATE($S20,AA$4),'Basis Options'!$AC:$AC)</f>
        <v>0</v>
      </c>
      <c r="AB20" s="43">
        <f>SUMIF('Basis Options'!$X:$X,CONCATENATE($S20,AB$4),'Basis Options'!$AC:$AC)</f>
        <v>0</v>
      </c>
      <c r="AC20" s="43">
        <f>SUMIF('Basis Options'!$X:$X,CONCATENATE($S20,AC$4),'Basis Options'!$AC:$AC)</f>
        <v>0</v>
      </c>
      <c r="AD20" s="43">
        <f>SUMIF('Basis Options'!$X:$X,CONCATENATE($S20,AD$4),'Basis Options'!$AC:$AC)</f>
        <v>0</v>
      </c>
      <c r="AE20" s="43">
        <f>SUMIF('Basis Options'!$X:$X,CONCATENATE($S20,AE$4),'Basis Options'!$AC:$AC)</f>
        <v>0</v>
      </c>
      <c r="AF20" s="43">
        <f>SUMIF('Basis Options'!$X:$X,CONCATENATE($S20,AF$4),'Basis Options'!$AC:$AC)</f>
        <v>0</v>
      </c>
      <c r="AG20" s="128">
        <f t="shared" si="4"/>
        <v>37196</v>
      </c>
      <c r="AH20" s="44">
        <f t="shared" si="5"/>
        <v>18745.054127209245</v>
      </c>
      <c r="AK20" s="128">
        <f t="shared" si="6"/>
        <v>37196</v>
      </c>
      <c r="AL20" s="43">
        <f>SUMIF('Basis Options'!$X:$X,CONCATENATE($AK20,AL$4),'Basis Options'!$AD:$AD)</f>
        <v>326.27908993085646</v>
      </c>
      <c r="AM20" s="43">
        <f>SUMIF('Basis Options'!$X:$X,CONCATENATE($AK20,AM$4),'Basis Options'!$AD:$AD)</f>
        <v>0</v>
      </c>
      <c r="AN20" s="43">
        <f>SUMIF('Basis Options'!$X:$X,CONCATENATE($AK20,AN$4),'Basis Options'!$AD:$AD)</f>
        <v>0</v>
      </c>
      <c r="AO20" s="43">
        <f>SUMIF('Basis Options'!$X:$X,CONCATENATE($AK20,AO$4),'Basis Options'!$AD:$AD)</f>
        <v>0</v>
      </c>
      <c r="AP20" s="43">
        <f>SUMIF('Basis Options'!$X:$X,CONCATENATE($AK20,AP$4),'Basis Options'!$AD:$AD)</f>
        <v>0</v>
      </c>
      <c r="AQ20" s="43">
        <f>SUMIF('Basis Options'!$X:$X,CONCATENATE($AK20,AQ$4),'Basis Options'!$AD:$AD)</f>
        <v>0</v>
      </c>
      <c r="AR20" s="43">
        <f>SUMIF('Basis Options'!$X:$X,CONCATENATE($AK20,AR$4),'Basis Options'!$AD:$AD)</f>
        <v>0</v>
      </c>
      <c r="AS20" s="43">
        <f>SUMIF('Basis Options'!$X:$X,CONCATENATE($AK20,AS$4),'Basis Options'!$AD:$AD)</f>
        <v>0</v>
      </c>
      <c r="AT20" s="43">
        <f>SUMIF('Basis Options'!$X:$X,CONCATENATE($AK20,AT$4),'Basis Options'!$AD:$AD)</f>
        <v>0</v>
      </c>
      <c r="AU20" s="43">
        <f>SUMIF('Basis Options'!$X:$X,CONCATENATE($AK20,AU$4),'Basis Options'!$AD:$AD)</f>
        <v>0</v>
      </c>
      <c r="AV20" s="43">
        <f>SUMIF('Basis Options'!$X:$X,CONCATENATE($AK20,AV$4),'Basis Options'!$AD:$AD)</f>
        <v>0</v>
      </c>
      <c r="AW20" s="43">
        <f>SUMIF('Basis Options'!$X:$X,CONCATENATE($AK20,AW$4),'Basis Options'!$AD:$AD)</f>
        <v>0</v>
      </c>
      <c r="AX20" s="43">
        <f>SUMIF('Basis Options'!$X:$X,CONCATENATE($AK20,AX$4),'Basis Options'!$AD:$AD)</f>
        <v>0</v>
      </c>
      <c r="AY20" s="128">
        <f t="shared" si="7"/>
        <v>37196</v>
      </c>
      <c r="AZ20" s="44">
        <f t="shared" si="8"/>
        <v>326.27908993085646</v>
      </c>
      <c r="BB20" s="128">
        <f t="shared" si="9"/>
        <v>37196</v>
      </c>
      <c r="BC20" s="43">
        <f>SUMIF('Basis Options'!$X:$X,CONCATENATE($AK20,BC$4),'Basis Options'!$AF:$AF)</f>
        <v>-7932.1183447337007</v>
      </c>
      <c r="BD20" s="43">
        <f>SUMIF('Basis Options'!$X:$X,CONCATENATE($AK20,BD$4),'Basis Options'!$AF:$AF)</f>
        <v>0</v>
      </c>
      <c r="BE20" s="43">
        <f>SUMIF('Basis Options'!$X:$X,CONCATENATE($AK20,BE$4),'Basis Options'!$AF:$AF)</f>
        <v>0</v>
      </c>
      <c r="BF20" s="43">
        <f>SUMIF('Basis Options'!$X:$X,CONCATENATE($AK20,BF$4),'Basis Options'!$AF:$AF)</f>
        <v>0</v>
      </c>
      <c r="BG20" s="43">
        <f>SUMIF('Basis Options'!$X:$X,CONCATENATE($AK20,BG$4),'Basis Options'!$AF:$AF)</f>
        <v>0</v>
      </c>
      <c r="BH20" s="43">
        <f>SUMIF('Basis Options'!$X:$X,CONCATENATE($AK20,BH$4),'Basis Options'!$AF:$AF)</f>
        <v>0</v>
      </c>
      <c r="BI20" s="43">
        <f>SUMIF('Basis Options'!$X:$X,CONCATENATE($AK20,BI$4),'Basis Options'!$AF:$AF)</f>
        <v>0</v>
      </c>
      <c r="BJ20" s="43">
        <f>SUMIF('Basis Options'!$X:$X,CONCATENATE($AK20,BJ$4),'Basis Options'!$AF:$AF)</f>
        <v>0</v>
      </c>
      <c r="BK20" s="43">
        <f>SUMIF('Basis Options'!$X:$X,CONCATENATE($AK20,BK$4),'Basis Options'!$AF:$AF)</f>
        <v>0</v>
      </c>
      <c r="BL20" s="43">
        <f>SUMIF('Basis Options'!$X:$X,CONCATENATE($AK20,BL$4),'Basis Options'!$AF:$AF)</f>
        <v>0</v>
      </c>
      <c r="BM20" s="43">
        <f>SUMIF('Basis Options'!$X:$X,CONCATENATE($AK20,BM$4),'Basis Options'!$AF:$AF)</f>
        <v>0</v>
      </c>
      <c r="BN20" s="43">
        <f>SUMIF('Basis Options'!$X:$X,CONCATENATE($AK20,BN$4),'Basis Options'!$AF:$AF)</f>
        <v>0</v>
      </c>
      <c r="BO20" s="43">
        <f>SUMIF('Basis Options'!$X:$X,CONCATENATE($AK20,BO$4),'Basis Options'!$AF:$AF)</f>
        <v>0</v>
      </c>
      <c r="BP20" s="128">
        <f t="shared" si="10"/>
        <v>37196</v>
      </c>
      <c r="BQ20" s="44">
        <f t="shared" si="11"/>
        <v>-7932.1183447337007</v>
      </c>
      <c r="BS20" s="128">
        <f t="shared" si="12"/>
        <v>37196</v>
      </c>
      <c r="BT20" s="43">
        <f>SUMIF('Basis Options'!$X:$X,CONCATENATE($BS20,BT$4),'Basis Options'!$AI:$AI)</f>
        <v>-3.8123406090816936E-2</v>
      </c>
      <c r="BU20" s="43">
        <f>SUMIF('Basis Options'!$X:$X,CONCATENATE($BS20,BU$4),'Basis Options'!$AI:$AI)</f>
        <v>0</v>
      </c>
      <c r="BV20" s="43">
        <f>SUMIF('Basis Options'!$X:$X,CONCATENATE($BS20,BV$4),'Basis Options'!$AI:$AI)</f>
        <v>0</v>
      </c>
      <c r="BW20" s="43">
        <f>SUMIF('Basis Options'!$X:$X,CONCATENATE($BS20,BW$4),'Basis Options'!$AI:$AI)</f>
        <v>0</v>
      </c>
      <c r="BX20" s="43">
        <f>SUMIF('Basis Options'!$X:$X,CONCATENATE($BS20,BX$4),'Basis Options'!$AI:$AI)</f>
        <v>0</v>
      </c>
      <c r="BY20" s="43">
        <f>SUMIF('Basis Options'!$X:$X,CONCATENATE($BS20,BY$4),'Basis Options'!$AI:$AI)</f>
        <v>0</v>
      </c>
      <c r="BZ20" s="43">
        <f>SUMIF('Basis Options'!$X:$X,CONCATENATE($BS20,BZ$4),'Basis Options'!$AI:$AI)</f>
        <v>0</v>
      </c>
      <c r="CA20" s="43">
        <f>SUMIF('Basis Options'!$X:$X,CONCATENATE($BS20,CA$4),'Basis Options'!$AI:$AI)</f>
        <v>0</v>
      </c>
      <c r="CB20" s="43">
        <f>SUMIF('Basis Options'!$X:$X,CONCATENATE($BS20,CB$4),'Basis Options'!$AI:$AI)</f>
        <v>0</v>
      </c>
      <c r="CC20" s="43">
        <f>SUMIF('Basis Options'!$X:$X,CONCATENATE($BS20,CC$4),'Basis Options'!$AI:$AI)</f>
        <v>0</v>
      </c>
      <c r="CD20" s="43">
        <f>SUMIF('Basis Options'!$X:$X,CONCATENATE($BS20,CD$4),'Basis Options'!$AI:$AI)</f>
        <v>0</v>
      </c>
      <c r="CE20" s="43">
        <f>SUMIF('Basis Options'!$X:$X,CONCATENATE($BS20,CE$4),'Basis Options'!$AI:$AI)</f>
        <v>0</v>
      </c>
      <c r="CF20" s="43">
        <f>SUMIF('Basis Options'!$X:$X,CONCATENATE($BS20,CF$4),'Basis Options'!$AI:$AI)</f>
        <v>0</v>
      </c>
      <c r="CG20" s="128">
        <f t="shared" si="13"/>
        <v>37196</v>
      </c>
      <c r="CH20" s="480">
        <f t="shared" si="14"/>
        <v>-3.8123406090816936E-2</v>
      </c>
    </row>
    <row r="21" spans="1:86" x14ac:dyDescent="0.25">
      <c r="A21" s="128">
        <f t="shared" si="0"/>
        <v>37226</v>
      </c>
      <c r="B21" s="43">
        <f>SUMIF('Basis Options'!X:X,CONCATENATE($A21,B$4),'Basis Options'!AB:AB)</f>
        <v>-0.29990182451436687</v>
      </c>
      <c r="C21" s="43">
        <f>SUMIF('Basis Options'!$X:$X,CONCATENATE($A21,C$4),'Basis Options'!$AB:$AB)</f>
        <v>0</v>
      </c>
      <c r="D21" s="43">
        <f>SUMIF('Basis Options'!$X:$X,CONCATENATE($A21,D$4),'Basis Options'!$AB:$AB)</f>
        <v>0</v>
      </c>
      <c r="E21" s="43">
        <f>SUMIF('Basis Options'!$X:$X,CONCATENATE($A21,E$4),'Basis Options'!$AB:$AB)</f>
        <v>0</v>
      </c>
      <c r="F21" s="43">
        <f>SUMIF('Basis Options'!$X:$X,CONCATENATE($A21,F$4),'Basis Options'!$AB:$AB)</f>
        <v>0</v>
      </c>
      <c r="G21" s="43">
        <f>SUMIF('Basis Options'!$X:$X,CONCATENATE($A21,G$4),'Basis Options'!$AB:$AB)</f>
        <v>0</v>
      </c>
      <c r="H21" s="43">
        <f>SUMIF('Basis Options'!$X:$X,CONCATENATE($A21,H$4),'Basis Options'!$AB:$AB)</f>
        <v>0</v>
      </c>
      <c r="I21" s="43">
        <f>SUMIF('Basis Options'!$X:$X,CONCATENATE($A21,I$4),'Basis Options'!$AB:$AB)</f>
        <v>0</v>
      </c>
      <c r="J21" s="43">
        <f>SUMIF('Basis Options'!$X:$X,CONCATENATE($A21,J$4),'Basis Options'!$AB:$AB)</f>
        <v>0</v>
      </c>
      <c r="K21" s="43">
        <f>SUMIF('Basis Options'!$X:$X,CONCATENATE($A21,K$4),'Basis Options'!$AB:$AB)</f>
        <v>0</v>
      </c>
      <c r="L21" s="43">
        <f>SUMIF('Basis Options'!$X:$X,CONCATENATE($A21,L$4),'Basis Options'!$AB:$AB)</f>
        <v>0</v>
      </c>
      <c r="M21" s="43">
        <f>SUMIF('Basis Options'!$X:$X,CONCATENATE($A21,M$4),'Basis Options'!$AB:$AB)</f>
        <v>0</v>
      </c>
      <c r="N21" s="43">
        <f>SUMIF('Basis Options'!$X:$X,CONCATENATE($A21,N$4),'Basis Options'!$AB:$AB)</f>
        <v>0</v>
      </c>
      <c r="O21" s="128">
        <f t="shared" si="1"/>
        <v>37226</v>
      </c>
      <c r="P21" s="44">
        <f t="shared" si="2"/>
        <v>-0.29990182451436687</v>
      </c>
      <c r="R21" s="43">
        <f t="shared" si="15"/>
        <v>16157.308036518654</v>
      </c>
      <c r="S21" s="128">
        <f t="shared" si="3"/>
        <v>37226</v>
      </c>
      <c r="T21" s="43">
        <f>SUMIF('Basis Options'!$X:$X,CONCATENATE($S21,T$4),'Basis Options'!$AC:$AC)</f>
        <v>16157.308036518654</v>
      </c>
      <c r="U21" s="43">
        <f>SUMIF('Basis Options'!$X:$X,CONCATENATE($S21,U$4),'Basis Options'!$AC:$AC)</f>
        <v>0</v>
      </c>
      <c r="V21" s="43">
        <f>SUMIF('Basis Options'!$X:$X,CONCATENATE($S21,V$4),'Basis Options'!$AC:$AC)</f>
        <v>0</v>
      </c>
      <c r="W21" s="43">
        <f>SUMIF('Basis Options'!$X:$X,CONCATENATE($S21,W$4),'Basis Options'!$AC:$AC)</f>
        <v>0</v>
      </c>
      <c r="X21" s="43">
        <f>SUMIF('Basis Options'!$X:$X,CONCATENATE($S21,X$4),'Basis Options'!$AC:$AC)</f>
        <v>0</v>
      </c>
      <c r="Y21" s="43">
        <f>SUMIF('Basis Options'!$X:$X,CONCATENATE($S21,Y$4),'Basis Options'!$AC:$AC)</f>
        <v>0</v>
      </c>
      <c r="Z21" s="43">
        <f>SUMIF('Basis Options'!$X:$X,CONCATENATE($S21,Z$4),'Basis Options'!$AC:$AC)</f>
        <v>0</v>
      </c>
      <c r="AA21" s="43">
        <f>SUMIF('Basis Options'!$X:$X,CONCATENATE($S21,AA$4),'Basis Options'!$AC:$AC)</f>
        <v>0</v>
      </c>
      <c r="AB21" s="43">
        <f>SUMIF('Basis Options'!$X:$X,CONCATENATE($S21,AB$4),'Basis Options'!$AC:$AC)</f>
        <v>0</v>
      </c>
      <c r="AC21" s="43">
        <f>SUMIF('Basis Options'!$X:$X,CONCATENATE($S21,AC$4),'Basis Options'!$AC:$AC)</f>
        <v>0</v>
      </c>
      <c r="AD21" s="43">
        <f>SUMIF('Basis Options'!$X:$X,CONCATENATE($S21,AD$4),'Basis Options'!$AC:$AC)</f>
        <v>0</v>
      </c>
      <c r="AE21" s="43">
        <f>SUMIF('Basis Options'!$X:$X,CONCATENATE($S21,AE$4),'Basis Options'!$AC:$AC)</f>
        <v>0</v>
      </c>
      <c r="AF21" s="43">
        <f>SUMIF('Basis Options'!$X:$X,CONCATENATE($S21,AF$4),'Basis Options'!$AC:$AC)</f>
        <v>0</v>
      </c>
      <c r="AG21" s="128">
        <f t="shared" si="4"/>
        <v>37226</v>
      </c>
      <c r="AH21" s="44">
        <f t="shared" si="5"/>
        <v>16157.308036518654</v>
      </c>
      <c r="AK21" s="128">
        <f t="shared" si="6"/>
        <v>37226</v>
      </c>
      <c r="AL21" s="43">
        <f>SUMIF('Basis Options'!$X:$X,CONCATENATE($AK21,AL$4),'Basis Options'!$AD:$AD)</f>
        <v>227.29573348853717</v>
      </c>
      <c r="AM21" s="43">
        <f>SUMIF('Basis Options'!$X:$X,CONCATENATE($AK21,AM$4),'Basis Options'!$AD:$AD)</f>
        <v>0</v>
      </c>
      <c r="AN21" s="43">
        <f>SUMIF('Basis Options'!$X:$X,CONCATENATE($AK21,AN$4),'Basis Options'!$AD:$AD)</f>
        <v>0</v>
      </c>
      <c r="AO21" s="43">
        <f>SUMIF('Basis Options'!$X:$X,CONCATENATE($AK21,AO$4),'Basis Options'!$AD:$AD)</f>
        <v>0</v>
      </c>
      <c r="AP21" s="43">
        <f>SUMIF('Basis Options'!$X:$X,CONCATENATE($AK21,AP$4),'Basis Options'!$AD:$AD)</f>
        <v>0</v>
      </c>
      <c r="AQ21" s="43">
        <f>SUMIF('Basis Options'!$X:$X,CONCATENATE($AK21,AQ$4),'Basis Options'!$AD:$AD)</f>
        <v>0</v>
      </c>
      <c r="AR21" s="43">
        <f>SUMIF('Basis Options'!$X:$X,CONCATENATE($AK21,AR$4),'Basis Options'!$AD:$AD)</f>
        <v>0</v>
      </c>
      <c r="AS21" s="43">
        <f>SUMIF('Basis Options'!$X:$X,CONCATENATE($AK21,AS$4),'Basis Options'!$AD:$AD)</f>
        <v>0</v>
      </c>
      <c r="AT21" s="43">
        <f>SUMIF('Basis Options'!$X:$X,CONCATENATE($AK21,AT$4),'Basis Options'!$AD:$AD)</f>
        <v>0</v>
      </c>
      <c r="AU21" s="43">
        <f>SUMIF('Basis Options'!$X:$X,CONCATENATE($AK21,AU$4),'Basis Options'!$AD:$AD)</f>
        <v>0</v>
      </c>
      <c r="AV21" s="43">
        <f>SUMIF('Basis Options'!$X:$X,CONCATENATE($AK21,AV$4),'Basis Options'!$AD:$AD)</f>
        <v>0</v>
      </c>
      <c r="AW21" s="43">
        <f>SUMIF('Basis Options'!$X:$X,CONCATENATE($AK21,AW$4),'Basis Options'!$AD:$AD)</f>
        <v>0</v>
      </c>
      <c r="AX21" s="43">
        <f>SUMIF('Basis Options'!$X:$X,CONCATENATE($AK21,AX$4),'Basis Options'!$AD:$AD)</f>
        <v>0</v>
      </c>
      <c r="AY21" s="128">
        <f t="shared" si="7"/>
        <v>37226</v>
      </c>
      <c r="AZ21" s="44">
        <f t="shared" si="8"/>
        <v>227.29573348853717</v>
      </c>
      <c r="BB21" s="128">
        <f t="shared" si="9"/>
        <v>37226</v>
      </c>
      <c r="BC21" s="43">
        <f>SUMIF('Basis Options'!$X:$X,CONCATENATE($AK21,BC$4),'Basis Options'!$AF:$AF)</f>
        <v>-6652.82554827481</v>
      </c>
      <c r="BD21" s="43">
        <f>SUMIF('Basis Options'!$X:$X,CONCATENATE($AK21,BD$4),'Basis Options'!$AF:$AF)</f>
        <v>0</v>
      </c>
      <c r="BE21" s="43">
        <f>SUMIF('Basis Options'!$X:$X,CONCATENATE($AK21,BE$4),'Basis Options'!$AF:$AF)</f>
        <v>0</v>
      </c>
      <c r="BF21" s="43">
        <f>SUMIF('Basis Options'!$X:$X,CONCATENATE($AK21,BF$4),'Basis Options'!$AF:$AF)</f>
        <v>0</v>
      </c>
      <c r="BG21" s="43">
        <f>SUMIF('Basis Options'!$X:$X,CONCATENATE($AK21,BG$4),'Basis Options'!$AF:$AF)</f>
        <v>0</v>
      </c>
      <c r="BH21" s="43">
        <f>SUMIF('Basis Options'!$X:$X,CONCATENATE($AK21,BH$4),'Basis Options'!$AF:$AF)</f>
        <v>0</v>
      </c>
      <c r="BI21" s="43">
        <f>SUMIF('Basis Options'!$X:$X,CONCATENATE($AK21,BI$4),'Basis Options'!$AF:$AF)</f>
        <v>0</v>
      </c>
      <c r="BJ21" s="43">
        <f>SUMIF('Basis Options'!$X:$X,CONCATENATE($AK21,BJ$4),'Basis Options'!$AF:$AF)</f>
        <v>0</v>
      </c>
      <c r="BK21" s="43">
        <f>SUMIF('Basis Options'!$X:$X,CONCATENATE($AK21,BK$4),'Basis Options'!$AF:$AF)</f>
        <v>0</v>
      </c>
      <c r="BL21" s="43">
        <f>SUMIF('Basis Options'!$X:$X,CONCATENATE($AK21,BL$4),'Basis Options'!$AF:$AF)</f>
        <v>0</v>
      </c>
      <c r="BM21" s="43">
        <f>SUMIF('Basis Options'!$X:$X,CONCATENATE($AK21,BM$4),'Basis Options'!$AF:$AF)</f>
        <v>0</v>
      </c>
      <c r="BN21" s="43">
        <f>SUMIF('Basis Options'!$X:$X,CONCATENATE($AK21,BN$4),'Basis Options'!$AF:$AF)</f>
        <v>0</v>
      </c>
      <c r="BO21" s="43">
        <f>SUMIF('Basis Options'!$X:$X,CONCATENATE($AK21,BO$4),'Basis Options'!$AF:$AF)</f>
        <v>0</v>
      </c>
      <c r="BP21" s="128">
        <f t="shared" si="10"/>
        <v>37226</v>
      </c>
      <c r="BQ21" s="44">
        <f t="shared" si="11"/>
        <v>-6652.82554827481</v>
      </c>
      <c r="BS21" s="128">
        <f t="shared" si="12"/>
        <v>37226</v>
      </c>
      <c r="BT21" s="43">
        <f>SUMIF('Basis Options'!$X:$X,CONCATENATE($BS21,BT$4),'Basis Options'!$AI:$AI)</f>
        <v>-8.0072212776900131E-2</v>
      </c>
      <c r="BU21" s="43">
        <f>SUMIF('Basis Options'!$X:$X,CONCATENATE($BS21,BU$4),'Basis Options'!$AI:$AI)</f>
        <v>0</v>
      </c>
      <c r="BV21" s="43">
        <f>SUMIF('Basis Options'!$X:$X,CONCATENATE($BS21,BV$4),'Basis Options'!$AI:$AI)</f>
        <v>0</v>
      </c>
      <c r="BW21" s="43">
        <f>SUMIF('Basis Options'!$X:$X,CONCATENATE($BS21,BW$4),'Basis Options'!$AI:$AI)</f>
        <v>0</v>
      </c>
      <c r="BX21" s="43">
        <f>SUMIF('Basis Options'!$X:$X,CONCATENATE($BS21,BX$4),'Basis Options'!$AI:$AI)</f>
        <v>0</v>
      </c>
      <c r="BY21" s="43">
        <f>SUMIF('Basis Options'!$X:$X,CONCATENATE($BS21,BY$4),'Basis Options'!$AI:$AI)</f>
        <v>0</v>
      </c>
      <c r="BZ21" s="43">
        <f>SUMIF('Basis Options'!$X:$X,CONCATENATE($BS21,BZ$4),'Basis Options'!$AI:$AI)</f>
        <v>0</v>
      </c>
      <c r="CA21" s="43">
        <f>SUMIF('Basis Options'!$X:$X,CONCATENATE($BS21,CA$4),'Basis Options'!$AI:$AI)</f>
        <v>0</v>
      </c>
      <c r="CB21" s="43">
        <f>SUMIF('Basis Options'!$X:$X,CONCATENATE($BS21,CB$4),'Basis Options'!$AI:$AI)</f>
        <v>0</v>
      </c>
      <c r="CC21" s="43">
        <f>SUMIF('Basis Options'!$X:$X,CONCATENATE($BS21,CC$4),'Basis Options'!$AI:$AI)</f>
        <v>0</v>
      </c>
      <c r="CD21" s="43">
        <f>SUMIF('Basis Options'!$X:$X,CONCATENATE($BS21,CD$4),'Basis Options'!$AI:$AI)</f>
        <v>0</v>
      </c>
      <c r="CE21" s="43">
        <f>SUMIF('Basis Options'!$X:$X,CONCATENATE($BS21,CE$4),'Basis Options'!$AI:$AI)</f>
        <v>0</v>
      </c>
      <c r="CF21" s="43">
        <f>SUMIF('Basis Options'!$X:$X,CONCATENATE($BS21,CF$4),'Basis Options'!$AI:$AI)</f>
        <v>0</v>
      </c>
      <c r="CG21" s="128">
        <f t="shared" si="13"/>
        <v>37226</v>
      </c>
      <c r="CH21" s="480">
        <f t="shared" si="14"/>
        <v>-8.0072212776900131E-2</v>
      </c>
    </row>
    <row r="22" spans="1:86" x14ac:dyDescent="0.25">
      <c r="A22" s="128">
        <f t="shared" si="0"/>
        <v>37257</v>
      </c>
      <c r="B22" s="43">
        <f>SUMIF('Basis Options'!X:X,CONCATENATE($A22,B$4),'Basis Options'!AB:AB)</f>
        <v>-0.21409028654538709</v>
      </c>
      <c r="C22" s="43">
        <f>SUMIF('Basis Options'!$X:$X,CONCATENATE($A22,C$4),'Basis Options'!$AB:$AB)</f>
        <v>0</v>
      </c>
      <c r="D22" s="43">
        <f>SUMIF('Basis Options'!$X:$X,CONCATENATE($A22,D$4),'Basis Options'!$AB:$AB)</f>
        <v>0</v>
      </c>
      <c r="E22" s="43">
        <f>SUMIF('Basis Options'!$X:$X,CONCATENATE($A22,E$4),'Basis Options'!$AB:$AB)</f>
        <v>0</v>
      </c>
      <c r="F22" s="43">
        <f>SUMIF('Basis Options'!$X:$X,CONCATENATE($A22,F$4),'Basis Options'!$AB:$AB)</f>
        <v>0</v>
      </c>
      <c r="G22" s="43">
        <f>SUMIF('Basis Options'!$X:$X,CONCATENATE($A22,G$4),'Basis Options'!$AB:$AB)</f>
        <v>0</v>
      </c>
      <c r="H22" s="43">
        <f>SUMIF('Basis Options'!$X:$X,CONCATENATE($A22,H$4),'Basis Options'!$AB:$AB)</f>
        <v>0</v>
      </c>
      <c r="I22" s="43">
        <f>SUMIF('Basis Options'!$X:$X,CONCATENATE($A22,I$4),'Basis Options'!$AB:$AB)</f>
        <v>0</v>
      </c>
      <c r="J22" s="43">
        <f>SUMIF('Basis Options'!$X:$X,CONCATENATE($A22,J$4),'Basis Options'!$AB:$AB)</f>
        <v>0</v>
      </c>
      <c r="K22" s="43">
        <f>SUMIF('Basis Options'!$X:$X,CONCATENATE($A22,K$4),'Basis Options'!$AB:$AB)</f>
        <v>0</v>
      </c>
      <c r="L22" s="43">
        <f>SUMIF('Basis Options'!$X:$X,CONCATENATE($A22,L$4),'Basis Options'!$AB:$AB)</f>
        <v>0</v>
      </c>
      <c r="M22" s="43">
        <f>SUMIF('Basis Options'!$X:$X,CONCATENATE($A22,M$4),'Basis Options'!$AB:$AB)</f>
        <v>0</v>
      </c>
      <c r="N22" s="43">
        <f>SUMIF('Basis Options'!$X:$X,CONCATENATE($A22,N$4),'Basis Options'!$AB:$AB)</f>
        <v>0</v>
      </c>
      <c r="O22" s="128">
        <f t="shared" si="1"/>
        <v>37257</v>
      </c>
      <c r="P22" s="44">
        <f t="shared" si="2"/>
        <v>-0.21409028654538709</v>
      </c>
      <c r="R22" s="43">
        <f t="shared" si="15"/>
        <v>13655.377827509132</v>
      </c>
      <c r="S22" s="128">
        <f t="shared" si="3"/>
        <v>37257</v>
      </c>
      <c r="T22" s="43">
        <f>SUMIF('Basis Options'!$X:$X,CONCATENATE($S22,T$4),'Basis Options'!$AC:$AC)</f>
        <v>13655.377827509132</v>
      </c>
      <c r="U22" s="43">
        <f>SUMIF('Basis Options'!$X:$X,CONCATENATE($S22,U$4),'Basis Options'!$AC:$AC)</f>
        <v>0</v>
      </c>
      <c r="V22" s="43">
        <f>SUMIF('Basis Options'!$X:$X,CONCATENATE($S22,V$4),'Basis Options'!$AC:$AC)</f>
        <v>0</v>
      </c>
      <c r="W22" s="43">
        <f>SUMIF('Basis Options'!$X:$X,CONCATENATE($S22,W$4),'Basis Options'!$AC:$AC)</f>
        <v>0</v>
      </c>
      <c r="X22" s="43">
        <f>SUMIF('Basis Options'!$X:$X,CONCATENATE($S22,X$4),'Basis Options'!$AC:$AC)</f>
        <v>0</v>
      </c>
      <c r="Y22" s="43">
        <f>SUMIF('Basis Options'!$X:$X,CONCATENATE($S22,Y$4),'Basis Options'!$AC:$AC)</f>
        <v>0</v>
      </c>
      <c r="Z22" s="43">
        <f>SUMIF('Basis Options'!$X:$X,CONCATENATE($S22,Z$4),'Basis Options'!$AC:$AC)</f>
        <v>0</v>
      </c>
      <c r="AA22" s="43">
        <f>SUMIF('Basis Options'!$X:$X,CONCATENATE($S22,AA$4),'Basis Options'!$AC:$AC)</f>
        <v>0</v>
      </c>
      <c r="AB22" s="43">
        <f>SUMIF('Basis Options'!$X:$X,CONCATENATE($S22,AB$4),'Basis Options'!$AC:$AC)</f>
        <v>0</v>
      </c>
      <c r="AC22" s="43">
        <f>SUMIF('Basis Options'!$X:$X,CONCATENATE($S22,AC$4),'Basis Options'!$AC:$AC)</f>
        <v>0</v>
      </c>
      <c r="AD22" s="43">
        <f>SUMIF('Basis Options'!$X:$X,CONCATENATE($S22,AD$4),'Basis Options'!$AC:$AC)</f>
        <v>0</v>
      </c>
      <c r="AE22" s="43">
        <f>SUMIF('Basis Options'!$X:$X,CONCATENATE($S22,AE$4),'Basis Options'!$AC:$AC)</f>
        <v>0</v>
      </c>
      <c r="AF22" s="43">
        <f>SUMIF('Basis Options'!$X:$X,CONCATENATE($S22,AF$4),'Basis Options'!$AC:$AC)</f>
        <v>0</v>
      </c>
      <c r="AG22" s="128">
        <f t="shared" si="4"/>
        <v>37257</v>
      </c>
      <c r="AH22" s="44">
        <f t="shared" si="5"/>
        <v>13655.377827509132</v>
      </c>
      <c r="AK22" s="128">
        <f t="shared" si="6"/>
        <v>37257</v>
      </c>
      <c r="AL22" s="43">
        <f>SUMIF('Basis Options'!$X:$X,CONCATENATE($AK22,AL$4),'Basis Options'!$AD:$AD)</f>
        <v>148.88576919548404</v>
      </c>
      <c r="AM22" s="43">
        <f>SUMIF('Basis Options'!$X:$X,CONCATENATE($AK22,AM$4),'Basis Options'!$AD:$AD)</f>
        <v>0</v>
      </c>
      <c r="AN22" s="43">
        <f>SUMIF('Basis Options'!$X:$X,CONCATENATE($AK22,AN$4),'Basis Options'!$AD:$AD)</f>
        <v>0</v>
      </c>
      <c r="AO22" s="43">
        <f>SUMIF('Basis Options'!$X:$X,CONCATENATE($AK22,AO$4),'Basis Options'!$AD:$AD)</f>
        <v>0</v>
      </c>
      <c r="AP22" s="43">
        <f>SUMIF('Basis Options'!$X:$X,CONCATENATE($AK22,AP$4),'Basis Options'!$AD:$AD)</f>
        <v>0</v>
      </c>
      <c r="AQ22" s="43">
        <f>SUMIF('Basis Options'!$X:$X,CONCATENATE($AK22,AQ$4),'Basis Options'!$AD:$AD)</f>
        <v>0</v>
      </c>
      <c r="AR22" s="43">
        <f>SUMIF('Basis Options'!$X:$X,CONCATENATE($AK22,AR$4),'Basis Options'!$AD:$AD)</f>
        <v>0</v>
      </c>
      <c r="AS22" s="43">
        <f>SUMIF('Basis Options'!$X:$X,CONCATENATE($AK22,AS$4),'Basis Options'!$AD:$AD)</f>
        <v>0</v>
      </c>
      <c r="AT22" s="43">
        <f>SUMIF('Basis Options'!$X:$X,CONCATENATE($AK22,AT$4),'Basis Options'!$AD:$AD)</f>
        <v>0</v>
      </c>
      <c r="AU22" s="43">
        <f>SUMIF('Basis Options'!$X:$X,CONCATENATE($AK22,AU$4),'Basis Options'!$AD:$AD)</f>
        <v>0</v>
      </c>
      <c r="AV22" s="43">
        <f>SUMIF('Basis Options'!$X:$X,CONCATENATE($AK22,AV$4),'Basis Options'!$AD:$AD)</f>
        <v>0</v>
      </c>
      <c r="AW22" s="43">
        <f>SUMIF('Basis Options'!$X:$X,CONCATENATE($AK22,AW$4),'Basis Options'!$AD:$AD)</f>
        <v>0</v>
      </c>
      <c r="AX22" s="43">
        <f>SUMIF('Basis Options'!$X:$X,CONCATENATE($AK22,AX$4),'Basis Options'!$AD:$AD)</f>
        <v>0</v>
      </c>
      <c r="AY22" s="128">
        <f t="shared" si="7"/>
        <v>37257</v>
      </c>
      <c r="AZ22" s="44">
        <f t="shared" si="8"/>
        <v>148.88576919548404</v>
      </c>
      <c r="BB22" s="128">
        <f t="shared" si="9"/>
        <v>37257</v>
      </c>
      <c r="BC22" s="43">
        <f>SUMIF('Basis Options'!$X:$X,CONCATENATE($AK22,BC$4),'Basis Options'!$AF:$AF)</f>
        <v>-5548.7573638617341</v>
      </c>
      <c r="BD22" s="43">
        <f>SUMIF('Basis Options'!$X:$X,CONCATENATE($AK22,BD$4),'Basis Options'!$AF:$AF)</f>
        <v>0</v>
      </c>
      <c r="BE22" s="43">
        <f>SUMIF('Basis Options'!$X:$X,CONCATENATE($AK22,BE$4),'Basis Options'!$AF:$AF)</f>
        <v>0</v>
      </c>
      <c r="BF22" s="43">
        <f>SUMIF('Basis Options'!$X:$X,CONCATENATE($AK22,BF$4),'Basis Options'!$AF:$AF)</f>
        <v>0</v>
      </c>
      <c r="BG22" s="43">
        <f>SUMIF('Basis Options'!$X:$X,CONCATENATE($AK22,BG$4),'Basis Options'!$AF:$AF)</f>
        <v>0</v>
      </c>
      <c r="BH22" s="43">
        <f>SUMIF('Basis Options'!$X:$X,CONCATENATE($AK22,BH$4),'Basis Options'!$AF:$AF)</f>
        <v>0</v>
      </c>
      <c r="BI22" s="43">
        <f>SUMIF('Basis Options'!$X:$X,CONCATENATE($AK22,BI$4),'Basis Options'!$AF:$AF)</f>
        <v>0</v>
      </c>
      <c r="BJ22" s="43">
        <f>SUMIF('Basis Options'!$X:$X,CONCATENATE($AK22,BJ$4),'Basis Options'!$AF:$AF)</f>
        <v>0</v>
      </c>
      <c r="BK22" s="43">
        <f>SUMIF('Basis Options'!$X:$X,CONCATENATE($AK22,BK$4),'Basis Options'!$AF:$AF)</f>
        <v>0</v>
      </c>
      <c r="BL22" s="43">
        <f>SUMIF('Basis Options'!$X:$X,CONCATENATE($AK22,BL$4),'Basis Options'!$AF:$AF)</f>
        <v>0</v>
      </c>
      <c r="BM22" s="43">
        <f>SUMIF('Basis Options'!$X:$X,CONCATENATE($AK22,BM$4),'Basis Options'!$AF:$AF)</f>
        <v>0</v>
      </c>
      <c r="BN22" s="43">
        <f>SUMIF('Basis Options'!$X:$X,CONCATENATE($AK22,BN$4),'Basis Options'!$AF:$AF)</f>
        <v>0</v>
      </c>
      <c r="BO22" s="43">
        <f>SUMIF('Basis Options'!$X:$X,CONCATENATE($AK22,BO$4),'Basis Options'!$AF:$AF)</f>
        <v>0</v>
      </c>
      <c r="BP22" s="128">
        <f t="shared" si="10"/>
        <v>37257</v>
      </c>
      <c r="BQ22" s="44">
        <f t="shared" si="11"/>
        <v>-5548.7573638617341</v>
      </c>
      <c r="BS22" s="128">
        <f t="shared" si="12"/>
        <v>37257</v>
      </c>
      <c r="BT22" s="43">
        <f>SUMIF('Basis Options'!$X:$X,CONCATENATE($BS22,BT$4),'Basis Options'!$AI:$AI)</f>
        <v>-8.387363208364379E-2</v>
      </c>
      <c r="BU22" s="43">
        <f>SUMIF('Basis Options'!$X:$X,CONCATENATE($BS22,BU$4),'Basis Options'!$AI:$AI)</f>
        <v>0</v>
      </c>
      <c r="BV22" s="43">
        <f>SUMIF('Basis Options'!$X:$X,CONCATENATE($BS22,BV$4),'Basis Options'!$AI:$AI)</f>
        <v>0</v>
      </c>
      <c r="BW22" s="43">
        <f>SUMIF('Basis Options'!$X:$X,CONCATENATE($BS22,BW$4),'Basis Options'!$AI:$AI)</f>
        <v>0</v>
      </c>
      <c r="BX22" s="43">
        <f>SUMIF('Basis Options'!$X:$X,CONCATENATE($BS22,BX$4),'Basis Options'!$AI:$AI)</f>
        <v>0</v>
      </c>
      <c r="BY22" s="43">
        <f>SUMIF('Basis Options'!$X:$X,CONCATENATE($BS22,BY$4),'Basis Options'!$AI:$AI)</f>
        <v>0</v>
      </c>
      <c r="BZ22" s="43">
        <f>SUMIF('Basis Options'!$X:$X,CONCATENATE($BS22,BZ$4),'Basis Options'!$AI:$AI)</f>
        <v>0</v>
      </c>
      <c r="CA22" s="43">
        <f>SUMIF('Basis Options'!$X:$X,CONCATENATE($BS22,CA$4),'Basis Options'!$AI:$AI)</f>
        <v>0</v>
      </c>
      <c r="CB22" s="43">
        <f>SUMIF('Basis Options'!$X:$X,CONCATENATE($BS22,CB$4),'Basis Options'!$AI:$AI)</f>
        <v>0</v>
      </c>
      <c r="CC22" s="43">
        <f>SUMIF('Basis Options'!$X:$X,CONCATENATE($BS22,CC$4),'Basis Options'!$AI:$AI)</f>
        <v>0</v>
      </c>
      <c r="CD22" s="43">
        <f>SUMIF('Basis Options'!$X:$X,CONCATENATE($BS22,CD$4),'Basis Options'!$AI:$AI)</f>
        <v>0</v>
      </c>
      <c r="CE22" s="43">
        <f>SUMIF('Basis Options'!$X:$X,CONCATENATE($BS22,CE$4),'Basis Options'!$AI:$AI)</f>
        <v>0</v>
      </c>
      <c r="CF22" s="43">
        <f>SUMIF('Basis Options'!$X:$X,CONCATENATE($BS22,CF$4),'Basis Options'!$AI:$AI)</f>
        <v>0</v>
      </c>
      <c r="CG22" s="128">
        <f t="shared" si="13"/>
        <v>37257</v>
      </c>
      <c r="CH22" s="480">
        <f t="shared" si="14"/>
        <v>-8.387363208364379E-2</v>
      </c>
    </row>
    <row r="23" spans="1:86" x14ac:dyDescent="0.25">
      <c r="A23" s="128">
        <f t="shared" si="0"/>
        <v>37288</v>
      </c>
      <c r="B23" s="43">
        <f>SUMIF('Basis Options'!X:X,CONCATENATE($A23,B$4),'Basis Options'!AB:AB)</f>
        <v>-0.21236534418527242</v>
      </c>
      <c r="C23" s="43">
        <f>SUMIF('Basis Options'!$X:$X,CONCATENATE($A23,C$4),'Basis Options'!$AB:$AB)</f>
        <v>0</v>
      </c>
      <c r="D23" s="43">
        <f>SUMIF('Basis Options'!$X:$X,CONCATENATE($A23,D$4),'Basis Options'!$AB:$AB)</f>
        <v>0</v>
      </c>
      <c r="E23" s="43">
        <f>SUMIF('Basis Options'!$X:$X,CONCATENATE($A23,E$4),'Basis Options'!$AB:$AB)</f>
        <v>0</v>
      </c>
      <c r="F23" s="43">
        <f>SUMIF('Basis Options'!$X:$X,CONCATENATE($A23,F$4),'Basis Options'!$AB:$AB)</f>
        <v>0</v>
      </c>
      <c r="G23" s="43">
        <f>SUMIF('Basis Options'!$X:$X,CONCATENATE($A23,G$4),'Basis Options'!$AB:$AB)</f>
        <v>0</v>
      </c>
      <c r="H23" s="43">
        <f>SUMIF('Basis Options'!$X:$X,CONCATENATE($A23,H$4),'Basis Options'!$AB:$AB)</f>
        <v>0</v>
      </c>
      <c r="I23" s="43">
        <f>SUMIF('Basis Options'!$X:$X,CONCATENATE($A23,I$4),'Basis Options'!$AB:$AB)</f>
        <v>0</v>
      </c>
      <c r="J23" s="43">
        <f>SUMIF('Basis Options'!$X:$X,CONCATENATE($A23,J$4),'Basis Options'!$AB:$AB)</f>
        <v>0</v>
      </c>
      <c r="K23" s="43">
        <f>SUMIF('Basis Options'!$X:$X,CONCATENATE($A23,K$4),'Basis Options'!$AB:$AB)</f>
        <v>0</v>
      </c>
      <c r="L23" s="43">
        <f>SUMIF('Basis Options'!$X:$X,CONCATENATE($A23,L$4),'Basis Options'!$AB:$AB)</f>
        <v>0</v>
      </c>
      <c r="M23" s="43">
        <f>SUMIF('Basis Options'!$X:$X,CONCATENATE($A23,M$4),'Basis Options'!$AB:$AB)</f>
        <v>0</v>
      </c>
      <c r="N23" s="43">
        <f>SUMIF('Basis Options'!$X:$X,CONCATENATE($A23,N$4),'Basis Options'!$AB:$AB)</f>
        <v>0</v>
      </c>
      <c r="O23" s="128">
        <f t="shared" si="1"/>
        <v>37288</v>
      </c>
      <c r="P23" s="44">
        <f t="shared" si="2"/>
        <v>-0.21236534418527242</v>
      </c>
      <c r="R23" s="43">
        <f t="shared" si="15"/>
        <v>12364.849451340613</v>
      </c>
      <c r="S23" s="128">
        <f t="shared" si="3"/>
        <v>37288</v>
      </c>
      <c r="T23" s="43">
        <f>SUMIF('Basis Options'!$X:$X,CONCATENATE($S23,T$4),'Basis Options'!$AC:$AC)</f>
        <v>12364.849451340613</v>
      </c>
      <c r="U23" s="43">
        <f>SUMIF('Basis Options'!$X:$X,CONCATENATE($S23,U$4),'Basis Options'!$AC:$AC)</f>
        <v>0</v>
      </c>
      <c r="V23" s="43">
        <f>SUMIF('Basis Options'!$X:$X,CONCATENATE($S23,V$4),'Basis Options'!$AC:$AC)</f>
        <v>0</v>
      </c>
      <c r="W23" s="43">
        <f>SUMIF('Basis Options'!$X:$X,CONCATENATE($S23,W$4),'Basis Options'!$AC:$AC)</f>
        <v>0</v>
      </c>
      <c r="X23" s="43">
        <f>SUMIF('Basis Options'!$X:$X,CONCATENATE($S23,X$4),'Basis Options'!$AC:$AC)</f>
        <v>0</v>
      </c>
      <c r="Y23" s="43">
        <f>SUMIF('Basis Options'!$X:$X,CONCATENATE($S23,Y$4),'Basis Options'!$AC:$AC)</f>
        <v>0</v>
      </c>
      <c r="Z23" s="43">
        <f>SUMIF('Basis Options'!$X:$X,CONCATENATE($S23,Z$4),'Basis Options'!$AC:$AC)</f>
        <v>0</v>
      </c>
      <c r="AA23" s="43">
        <f>SUMIF('Basis Options'!$X:$X,CONCATENATE($S23,AA$4),'Basis Options'!$AC:$AC)</f>
        <v>0</v>
      </c>
      <c r="AB23" s="43">
        <f>SUMIF('Basis Options'!$X:$X,CONCATENATE($S23,AB$4),'Basis Options'!$AC:$AC)</f>
        <v>0</v>
      </c>
      <c r="AC23" s="43">
        <f>SUMIF('Basis Options'!$X:$X,CONCATENATE($S23,AC$4),'Basis Options'!$AC:$AC)</f>
        <v>0</v>
      </c>
      <c r="AD23" s="43">
        <f>SUMIF('Basis Options'!$X:$X,CONCATENATE($S23,AD$4),'Basis Options'!$AC:$AC)</f>
        <v>0</v>
      </c>
      <c r="AE23" s="43">
        <f>SUMIF('Basis Options'!$X:$X,CONCATENATE($S23,AE$4),'Basis Options'!$AC:$AC)</f>
        <v>0</v>
      </c>
      <c r="AF23" s="43">
        <f>SUMIF('Basis Options'!$X:$X,CONCATENATE($S23,AF$4),'Basis Options'!$AC:$AC)</f>
        <v>0</v>
      </c>
      <c r="AG23" s="128">
        <f t="shared" si="4"/>
        <v>37288</v>
      </c>
      <c r="AH23" s="44">
        <f t="shared" si="5"/>
        <v>12364.849451340613</v>
      </c>
      <c r="AK23" s="128">
        <f t="shared" si="6"/>
        <v>37288</v>
      </c>
      <c r="AL23" s="43">
        <f>SUMIF('Basis Options'!$X:$X,CONCATENATE($AK23,AL$4),'Basis Options'!$AD:$AD)</f>
        <v>120.35718104549036</v>
      </c>
      <c r="AM23" s="43">
        <f>SUMIF('Basis Options'!$X:$X,CONCATENATE($AK23,AM$4),'Basis Options'!$AD:$AD)</f>
        <v>0</v>
      </c>
      <c r="AN23" s="43">
        <f>SUMIF('Basis Options'!$X:$X,CONCATENATE($AK23,AN$4),'Basis Options'!$AD:$AD)</f>
        <v>0</v>
      </c>
      <c r="AO23" s="43">
        <f>SUMIF('Basis Options'!$X:$X,CONCATENATE($AK23,AO$4),'Basis Options'!$AD:$AD)</f>
        <v>0</v>
      </c>
      <c r="AP23" s="43">
        <f>SUMIF('Basis Options'!$X:$X,CONCATENATE($AK23,AP$4),'Basis Options'!$AD:$AD)</f>
        <v>0</v>
      </c>
      <c r="AQ23" s="43">
        <f>SUMIF('Basis Options'!$X:$X,CONCATENATE($AK23,AQ$4),'Basis Options'!$AD:$AD)</f>
        <v>0</v>
      </c>
      <c r="AR23" s="43">
        <f>SUMIF('Basis Options'!$X:$X,CONCATENATE($AK23,AR$4),'Basis Options'!$AD:$AD)</f>
        <v>0</v>
      </c>
      <c r="AS23" s="43">
        <f>SUMIF('Basis Options'!$X:$X,CONCATENATE($AK23,AS$4),'Basis Options'!$AD:$AD)</f>
        <v>0</v>
      </c>
      <c r="AT23" s="43">
        <f>SUMIF('Basis Options'!$X:$X,CONCATENATE($AK23,AT$4),'Basis Options'!$AD:$AD)</f>
        <v>0</v>
      </c>
      <c r="AU23" s="43">
        <f>SUMIF('Basis Options'!$X:$X,CONCATENATE($AK23,AU$4),'Basis Options'!$AD:$AD)</f>
        <v>0</v>
      </c>
      <c r="AV23" s="43">
        <f>SUMIF('Basis Options'!$X:$X,CONCATENATE($AK23,AV$4),'Basis Options'!$AD:$AD)</f>
        <v>0</v>
      </c>
      <c r="AW23" s="43">
        <f>SUMIF('Basis Options'!$X:$X,CONCATENATE($AK23,AW$4),'Basis Options'!$AD:$AD)</f>
        <v>0</v>
      </c>
      <c r="AX23" s="43">
        <f>SUMIF('Basis Options'!$X:$X,CONCATENATE($AK23,AX$4),'Basis Options'!$AD:$AD)</f>
        <v>0</v>
      </c>
      <c r="AY23" s="128">
        <f t="shared" si="7"/>
        <v>37288</v>
      </c>
      <c r="AZ23" s="44">
        <f t="shared" si="8"/>
        <v>120.35718104549036</v>
      </c>
      <c r="BB23" s="128">
        <f t="shared" si="9"/>
        <v>37288</v>
      </c>
      <c r="BC23" s="43">
        <f>SUMIF('Basis Options'!$X:$X,CONCATENATE($AK23,BC$4),'Basis Options'!$AF:$AF)</f>
        <v>-5385.4445261623096</v>
      </c>
      <c r="BD23" s="43">
        <f>SUMIF('Basis Options'!$X:$X,CONCATENATE($AK23,BD$4),'Basis Options'!$AF:$AF)</f>
        <v>0</v>
      </c>
      <c r="BE23" s="43">
        <f>SUMIF('Basis Options'!$X:$X,CONCATENATE($AK23,BE$4),'Basis Options'!$AF:$AF)</f>
        <v>0</v>
      </c>
      <c r="BF23" s="43">
        <f>SUMIF('Basis Options'!$X:$X,CONCATENATE($AK23,BF$4),'Basis Options'!$AF:$AF)</f>
        <v>0</v>
      </c>
      <c r="BG23" s="43">
        <f>SUMIF('Basis Options'!$X:$X,CONCATENATE($AK23,BG$4),'Basis Options'!$AF:$AF)</f>
        <v>0</v>
      </c>
      <c r="BH23" s="43">
        <f>SUMIF('Basis Options'!$X:$X,CONCATENATE($AK23,BH$4),'Basis Options'!$AF:$AF)</f>
        <v>0</v>
      </c>
      <c r="BI23" s="43">
        <f>SUMIF('Basis Options'!$X:$X,CONCATENATE($AK23,BI$4),'Basis Options'!$AF:$AF)</f>
        <v>0</v>
      </c>
      <c r="BJ23" s="43">
        <f>SUMIF('Basis Options'!$X:$X,CONCATENATE($AK23,BJ$4),'Basis Options'!$AF:$AF)</f>
        <v>0</v>
      </c>
      <c r="BK23" s="43">
        <f>SUMIF('Basis Options'!$X:$X,CONCATENATE($AK23,BK$4),'Basis Options'!$AF:$AF)</f>
        <v>0</v>
      </c>
      <c r="BL23" s="43">
        <f>SUMIF('Basis Options'!$X:$X,CONCATENATE($AK23,BL$4),'Basis Options'!$AF:$AF)</f>
        <v>0</v>
      </c>
      <c r="BM23" s="43">
        <f>SUMIF('Basis Options'!$X:$X,CONCATENATE($AK23,BM$4),'Basis Options'!$AF:$AF)</f>
        <v>0</v>
      </c>
      <c r="BN23" s="43">
        <f>SUMIF('Basis Options'!$X:$X,CONCATENATE($AK23,BN$4),'Basis Options'!$AF:$AF)</f>
        <v>0</v>
      </c>
      <c r="BO23" s="43">
        <f>SUMIF('Basis Options'!$X:$X,CONCATENATE($AK23,BO$4),'Basis Options'!$AF:$AF)</f>
        <v>0</v>
      </c>
      <c r="BP23" s="128">
        <f t="shared" si="10"/>
        <v>37288</v>
      </c>
      <c r="BQ23" s="44">
        <f t="shared" si="11"/>
        <v>-5385.4445261623096</v>
      </c>
      <c r="BS23" s="128">
        <f t="shared" si="12"/>
        <v>37288</v>
      </c>
      <c r="BT23" s="43">
        <f>SUMIF('Basis Options'!$X:$X,CONCATENATE($BS23,BT$4),'Basis Options'!$AI:$AI)</f>
        <v>-8.5910836144425629E-2</v>
      </c>
      <c r="BU23" s="43">
        <f>SUMIF('Basis Options'!$X:$X,CONCATENATE($BS23,BU$4),'Basis Options'!$AI:$AI)</f>
        <v>0</v>
      </c>
      <c r="BV23" s="43">
        <f>SUMIF('Basis Options'!$X:$X,CONCATENATE($BS23,BV$4),'Basis Options'!$AI:$AI)</f>
        <v>0</v>
      </c>
      <c r="BW23" s="43">
        <f>SUMIF('Basis Options'!$X:$X,CONCATENATE($BS23,BW$4),'Basis Options'!$AI:$AI)</f>
        <v>0</v>
      </c>
      <c r="BX23" s="43">
        <f>SUMIF('Basis Options'!$X:$X,CONCATENATE($BS23,BX$4),'Basis Options'!$AI:$AI)</f>
        <v>0</v>
      </c>
      <c r="BY23" s="43">
        <f>SUMIF('Basis Options'!$X:$X,CONCATENATE($BS23,BY$4),'Basis Options'!$AI:$AI)</f>
        <v>0</v>
      </c>
      <c r="BZ23" s="43">
        <f>SUMIF('Basis Options'!$X:$X,CONCATENATE($BS23,BZ$4),'Basis Options'!$AI:$AI)</f>
        <v>0</v>
      </c>
      <c r="CA23" s="43">
        <f>SUMIF('Basis Options'!$X:$X,CONCATENATE($BS23,CA$4),'Basis Options'!$AI:$AI)</f>
        <v>0</v>
      </c>
      <c r="CB23" s="43">
        <f>SUMIF('Basis Options'!$X:$X,CONCATENATE($BS23,CB$4),'Basis Options'!$AI:$AI)</f>
        <v>0</v>
      </c>
      <c r="CC23" s="43">
        <f>SUMIF('Basis Options'!$X:$X,CONCATENATE($BS23,CC$4),'Basis Options'!$AI:$AI)</f>
        <v>0</v>
      </c>
      <c r="CD23" s="43">
        <f>SUMIF('Basis Options'!$X:$X,CONCATENATE($BS23,CD$4),'Basis Options'!$AI:$AI)</f>
        <v>0</v>
      </c>
      <c r="CE23" s="43">
        <f>SUMIF('Basis Options'!$X:$X,CONCATENATE($BS23,CE$4),'Basis Options'!$AI:$AI)</f>
        <v>0</v>
      </c>
      <c r="CF23" s="43">
        <f>SUMIF('Basis Options'!$X:$X,CONCATENATE($BS23,CF$4),'Basis Options'!$AI:$AI)</f>
        <v>0</v>
      </c>
      <c r="CG23" s="128">
        <f t="shared" si="13"/>
        <v>37288</v>
      </c>
      <c r="CH23" s="480">
        <f t="shared" si="14"/>
        <v>-8.5910836144425629E-2</v>
      </c>
    </row>
    <row r="24" spans="1:86" x14ac:dyDescent="0.25">
      <c r="A24" s="128">
        <f t="shared" si="0"/>
        <v>37316</v>
      </c>
      <c r="B24" s="43">
        <f>SUMIF('Basis Options'!X:X,CONCATENATE($A24,B$4),'Basis Options'!AB:AB)</f>
        <v>-0.4306352554551432</v>
      </c>
      <c r="C24" s="43">
        <f>SUMIF('Basis Options'!$X:$X,CONCATENATE($A24,C$4),'Basis Options'!$AB:$AB)</f>
        <v>0</v>
      </c>
      <c r="D24" s="43">
        <f>SUMIF('Basis Options'!$X:$X,CONCATENATE($A24,D$4),'Basis Options'!$AB:$AB)</f>
        <v>0</v>
      </c>
      <c r="E24" s="43">
        <f>SUMIF('Basis Options'!$X:$X,CONCATENATE($A24,E$4),'Basis Options'!$AB:$AB)</f>
        <v>0</v>
      </c>
      <c r="F24" s="43">
        <f>SUMIF('Basis Options'!$X:$X,CONCATENATE($A24,F$4),'Basis Options'!$AB:$AB)</f>
        <v>0</v>
      </c>
      <c r="G24" s="43">
        <f>SUMIF('Basis Options'!$X:$X,CONCATENATE($A24,G$4),'Basis Options'!$AB:$AB)</f>
        <v>0</v>
      </c>
      <c r="H24" s="43">
        <f>SUMIF('Basis Options'!$X:$X,CONCATENATE($A24,H$4),'Basis Options'!$AB:$AB)</f>
        <v>0</v>
      </c>
      <c r="I24" s="43">
        <f>SUMIF('Basis Options'!$X:$X,CONCATENATE($A24,I$4),'Basis Options'!$AB:$AB)</f>
        <v>0</v>
      </c>
      <c r="J24" s="43">
        <f>SUMIF('Basis Options'!$X:$X,CONCATENATE($A24,J$4),'Basis Options'!$AB:$AB)</f>
        <v>0</v>
      </c>
      <c r="K24" s="43">
        <f>SUMIF('Basis Options'!$X:$X,CONCATENATE($A24,K$4),'Basis Options'!$AB:$AB)</f>
        <v>0</v>
      </c>
      <c r="L24" s="43">
        <f>SUMIF('Basis Options'!$X:$X,CONCATENATE($A24,L$4),'Basis Options'!$AB:$AB)</f>
        <v>0</v>
      </c>
      <c r="M24" s="43">
        <f>SUMIF('Basis Options'!$X:$X,CONCATENATE($A24,M$4),'Basis Options'!$AB:$AB)</f>
        <v>0</v>
      </c>
      <c r="N24" s="43">
        <f>SUMIF('Basis Options'!$X:$X,CONCATENATE($A24,N$4),'Basis Options'!$AB:$AB)</f>
        <v>0</v>
      </c>
      <c r="O24" s="128">
        <f t="shared" si="1"/>
        <v>37316</v>
      </c>
      <c r="P24" s="44">
        <f t="shared" si="2"/>
        <v>-0.4306352554551432</v>
      </c>
      <c r="R24" s="43">
        <f t="shared" si="15"/>
        <v>16663.827579771387</v>
      </c>
      <c r="S24" s="128">
        <f t="shared" si="3"/>
        <v>37316</v>
      </c>
      <c r="T24" s="43">
        <f>SUMIF('Basis Options'!$X:$X,CONCATENATE($S24,T$4),'Basis Options'!$AC:$AC)</f>
        <v>16663.827579771387</v>
      </c>
      <c r="U24" s="43">
        <f>SUMIF('Basis Options'!$X:$X,CONCATENATE($S24,U$4),'Basis Options'!$AC:$AC)</f>
        <v>0</v>
      </c>
      <c r="V24" s="43">
        <f>SUMIF('Basis Options'!$X:$X,CONCATENATE($S24,V$4),'Basis Options'!$AC:$AC)</f>
        <v>0</v>
      </c>
      <c r="W24" s="43">
        <f>SUMIF('Basis Options'!$X:$X,CONCATENATE($S24,W$4),'Basis Options'!$AC:$AC)</f>
        <v>0</v>
      </c>
      <c r="X24" s="43">
        <f>SUMIF('Basis Options'!$X:$X,CONCATENATE($S24,X$4),'Basis Options'!$AC:$AC)</f>
        <v>0</v>
      </c>
      <c r="Y24" s="43">
        <f>SUMIF('Basis Options'!$X:$X,CONCATENATE($S24,Y$4),'Basis Options'!$AC:$AC)</f>
        <v>0</v>
      </c>
      <c r="Z24" s="43">
        <f>SUMIF('Basis Options'!$X:$X,CONCATENATE($S24,Z$4),'Basis Options'!$AC:$AC)</f>
        <v>0</v>
      </c>
      <c r="AA24" s="43">
        <f>SUMIF('Basis Options'!$X:$X,CONCATENATE($S24,AA$4),'Basis Options'!$AC:$AC)</f>
        <v>0</v>
      </c>
      <c r="AB24" s="43">
        <f>SUMIF('Basis Options'!$X:$X,CONCATENATE($S24,AB$4),'Basis Options'!$AC:$AC)</f>
        <v>0</v>
      </c>
      <c r="AC24" s="43">
        <f>SUMIF('Basis Options'!$X:$X,CONCATENATE($S24,AC$4),'Basis Options'!$AC:$AC)</f>
        <v>0</v>
      </c>
      <c r="AD24" s="43">
        <f>SUMIF('Basis Options'!$X:$X,CONCATENATE($S24,AD$4),'Basis Options'!$AC:$AC)</f>
        <v>0</v>
      </c>
      <c r="AE24" s="43">
        <f>SUMIF('Basis Options'!$X:$X,CONCATENATE($S24,AE$4),'Basis Options'!$AC:$AC)</f>
        <v>0</v>
      </c>
      <c r="AF24" s="43">
        <f>SUMIF('Basis Options'!$X:$X,CONCATENATE($S24,AF$4),'Basis Options'!$AC:$AC)</f>
        <v>0</v>
      </c>
      <c r="AG24" s="128">
        <f t="shared" si="4"/>
        <v>37316</v>
      </c>
      <c r="AH24" s="44">
        <f t="shared" si="5"/>
        <v>16663.827579771387</v>
      </c>
      <c r="AK24" s="128">
        <f t="shared" si="6"/>
        <v>37316</v>
      </c>
      <c r="AL24" s="43">
        <f>SUMIF('Basis Options'!$X:$X,CONCATENATE($AK24,AL$4),'Basis Options'!$AD:$AD)</f>
        <v>222.7812351556228</v>
      </c>
      <c r="AM24" s="43">
        <f>SUMIF('Basis Options'!$X:$X,CONCATENATE($AK24,AM$4),'Basis Options'!$AD:$AD)</f>
        <v>0</v>
      </c>
      <c r="AN24" s="43">
        <f>SUMIF('Basis Options'!$X:$X,CONCATENATE($AK24,AN$4),'Basis Options'!$AD:$AD)</f>
        <v>0</v>
      </c>
      <c r="AO24" s="43">
        <f>SUMIF('Basis Options'!$X:$X,CONCATENATE($AK24,AO$4),'Basis Options'!$AD:$AD)</f>
        <v>0</v>
      </c>
      <c r="AP24" s="43">
        <f>SUMIF('Basis Options'!$X:$X,CONCATENATE($AK24,AP$4),'Basis Options'!$AD:$AD)</f>
        <v>0</v>
      </c>
      <c r="AQ24" s="43">
        <f>SUMIF('Basis Options'!$X:$X,CONCATENATE($AK24,AQ$4),'Basis Options'!$AD:$AD)</f>
        <v>0</v>
      </c>
      <c r="AR24" s="43">
        <f>SUMIF('Basis Options'!$X:$X,CONCATENATE($AK24,AR$4),'Basis Options'!$AD:$AD)</f>
        <v>0</v>
      </c>
      <c r="AS24" s="43">
        <f>SUMIF('Basis Options'!$X:$X,CONCATENATE($AK24,AS$4),'Basis Options'!$AD:$AD)</f>
        <v>0</v>
      </c>
      <c r="AT24" s="43">
        <f>SUMIF('Basis Options'!$X:$X,CONCATENATE($AK24,AT$4),'Basis Options'!$AD:$AD)</f>
        <v>0</v>
      </c>
      <c r="AU24" s="43">
        <f>SUMIF('Basis Options'!$X:$X,CONCATENATE($AK24,AU$4),'Basis Options'!$AD:$AD)</f>
        <v>0</v>
      </c>
      <c r="AV24" s="43">
        <f>SUMIF('Basis Options'!$X:$X,CONCATENATE($AK24,AV$4),'Basis Options'!$AD:$AD)</f>
        <v>0</v>
      </c>
      <c r="AW24" s="43">
        <f>SUMIF('Basis Options'!$X:$X,CONCATENATE($AK24,AW$4),'Basis Options'!$AD:$AD)</f>
        <v>0</v>
      </c>
      <c r="AX24" s="43">
        <f>SUMIF('Basis Options'!$X:$X,CONCATENATE($AK24,AX$4),'Basis Options'!$AD:$AD)</f>
        <v>0</v>
      </c>
      <c r="AY24" s="128">
        <f t="shared" si="7"/>
        <v>37316</v>
      </c>
      <c r="AZ24" s="44">
        <f t="shared" si="8"/>
        <v>222.7812351556228</v>
      </c>
      <c r="BB24" s="128">
        <f t="shared" si="9"/>
        <v>37316</v>
      </c>
      <c r="BC24" s="43">
        <f>SUMIF('Basis Options'!$X:$X,CONCATENATE($AK24,BC$4),'Basis Options'!$AF:$AF)</f>
        <v>-8139.5842655851484</v>
      </c>
      <c r="BD24" s="43">
        <f>SUMIF('Basis Options'!$X:$X,CONCATENATE($AK24,BD$4),'Basis Options'!$AF:$AF)</f>
        <v>0</v>
      </c>
      <c r="BE24" s="43">
        <f>SUMIF('Basis Options'!$X:$X,CONCATENATE($AK24,BE$4),'Basis Options'!$AF:$AF)</f>
        <v>0</v>
      </c>
      <c r="BF24" s="43">
        <f>SUMIF('Basis Options'!$X:$X,CONCATENATE($AK24,BF$4),'Basis Options'!$AF:$AF)</f>
        <v>0</v>
      </c>
      <c r="BG24" s="43">
        <f>SUMIF('Basis Options'!$X:$X,CONCATENATE($AK24,BG$4),'Basis Options'!$AF:$AF)</f>
        <v>0</v>
      </c>
      <c r="BH24" s="43">
        <f>SUMIF('Basis Options'!$X:$X,CONCATENATE($AK24,BH$4),'Basis Options'!$AF:$AF)</f>
        <v>0</v>
      </c>
      <c r="BI24" s="43">
        <f>SUMIF('Basis Options'!$X:$X,CONCATENATE($AK24,BI$4),'Basis Options'!$AF:$AF)</f>
        <v>0</v>
      </c>
      <c r="BJ24" s="43">
        <f>SUMIF('Basis Options'!$X:$X,CONCATENATE($AK24,BJ$4),'Basis Options'!$AF:$AF)</f>
        <v>0</v>
      </c>
      <c r="BK24" s="43">
        <f>SUMIF('Basis Options'!$X:$X,CONCATENATE($AK24,BK$4),'Basis Options'!$AF:$AF)</f>
        <v>0</v>
      </c>
      <c r="BL24" s="43">
        <f>SUMIF('Basis Options'!$X:$X,CONCATENATE($AK24,BL$4),'Basis Options'!$AF:$AF)</f>
        <v>0</v>
      </c>
      <c r="BM24" s="43">
        <f>SUMIF('Basis Options'!$X:$X,CONCATENATE($AK24,BM$4),'Basis Options'!$AF:$AF)</f>
        <v>0</v>
      </c>
      <c r="BN24" s="43">
        <f>SUMIF('Basis Options'!$X:$X,CONCATENATE($AK24,BN$4),'Basis Options'!$AF:$AF)</f>
        <v>0</v>
      </c>
      <c r="BO24" s="43">
        <f>SUMIF('Basis Options'!$X:$X,CONCATENATE($AK24,BO$4),'Basis Options'!$AF:$AF)</f>
        <v>0</v>
      </c>
      <c r="BP24" s="128">
        <f t="shared" si="10"/>
        <v>37316</v>
      </c>
      <c r="BQ24" s="44">
        <f t="shared" si="11"/>
        <v>-8139.5842655851484</v>
      </c>
      <c r="BS24" s="128">
        <f t="shared" si="12"/>
        <v>37316</v>
      </c>
      <c r="BT24" s="43">
        <f>SUMIF('Basis Options'!$X:$X,CONCATENATE($BS24,BT$4),'Basis Options'!$AI:$AI)</f>
        <v>-5.633320888677773E-2</v>
      </c>
      <c r="BU24" s="43">
        <f>SUMIF('Basis Options'!$X:$X,CONCATENATE($BS24,BU$4),'Basis Options'!$AI:$AI)</f>
        <v>0</v>
      </c>
      <c r="BV24" s="43">
        <f>SUMIF('Basis Options'!$X:$X,CONCATENATE($BS24,BV$4),'Basis Options'!$AI:$AI)</f>
        <v>0</v>
      </c>
      <c r="BW24" s="43">
        <f>SUMIF('Basis Options'!$X:$X,CONCATENATE($BS24,BW$4),'Basis Options'!$AI:$AI)</f>
        <v>0</v>
      </c>
      <c r="BX24" s="43">
        <f>SUMIF('Basis Options'!$X:$X,CONCATENATE($BS24,BX$4),'Basis Options'!$AI:$AI)</f>
        <v>0</v>
      </c>
      <c r="BY24" s="43">
        <f>SUMIF('Basis Options'!$X:$X,CONCATENATE($BS24,BY$4),'Basis Options'!$AI:$AI)</f>
        <v>0</v>
      </c>
      <c r="BZ24" s="43">
        <f>SUMIF('Basis Options'!$X:$X,CONCATENATE($BS24,BZ$4),'Basis Options'!$AI:$AI)</f>
        <v>0</v>
      </c>
      <c r="CA24" s="43">
        <f>SUMIF('Basis Options'!$X:$X,CONCATENATE($BS24,CA$4),'Basis Options'!$AI:$AI)</f>
        <v>0</v>
      </c>
      <c r="CB24" s="43">
        <f>SUMIF('Basis Options'!$X:$X,CONCATENATE($BS24,CB$4),'Basis Options'!$AI:$AI)</f>
        <v>0</v>
      </c>
      <c r="CC24" s="43">
        <f>SUMIF('Basis Options'!$X:$X,CONCATENATE($BS24,CC$4),'Basis Options'!$AI:$AI)</f>
        <v>0</v>
      </c>
      <c r="CD24" s="43">
        <f>SUMIF('Basis Options'!$X:$X,CONCATENATE($BS24,CD$4),'Basis Options'!$AI:$AI)</f>
        <v>0</v>
      </c>
      <c r="CE24" s="43">
        <f>SUMIF('Basis Options'!$X:$X,CONCATENATE($BS24,CE$4),'Basis Options'!$AI:$AI)</f>
        <v>0</v>
      </c>
      <c r="CF24" s="43">
        <f>SUMIF('Basis Options'!$X:$X,CONCATENATE($BS24,CF$4),'Basis Options'!$AI:$AI)</f>
        <v>0</v>
      </c>
      <c r="CG24" s="128">
        <f t="shared" si="13"/>
        <v>37316</v>
      </c>
      <c r="CH24" s="480">
        <f t="shared" si="14"/>
        <v>-5.633320888677773E-2</v>
      </c>
    </row>
    <row r="25" spans="1:86" x14ac:dyDescent="0.25">
      <c r="A25" s="128">
        <f t="shared" si="0"/>
        <v>37347</v>
      </c>
      <c r="B25" s="43">
        <f>SUMIF('Basis Options'!X:X,CONCATENATE($A25,B$4),'Basis Options'!AB:AB)</f>
        <v>0</v>
      </c>
      <c r="C25" s="43">
        <f>SUMIF('Basis Options'!$X:$X,CONCATENATE($A25,C$4),'Basis Options'!$AB:$AB)</f>
        <v>0</v>
      </c>
      <c r="D25" s="43">
        <f>SUMIF('Basis Options'!$X:$X,CONCATENATE($A25,D$4),'Basis Options'!$AB:$AB)</f>
        <v>0</v>
      </c>
      <c r="E25" s="43">
        <f>SUMIF('Basis Options'!$X:$X,CONCATENATE($A25,E$4),'Basis Options'!$AB:$AB)</f>
        <v>0</v>
      </c>
      <c r="F25" s="43">
        <f>SUMIF('Basis Options'!$X:$X,CONCATENATE($A25,F$4),'Basis Options'!$AB:$AB)</f>
        <v>0</v>
      </c>
      <c r="G25" s="43">
        <f>SUMIF('Basis Options'!$X:$X,CONCATENATE($A25,G$4),'Basis Options'!$AB:$AB)</f>
        <v>0</v>
      </c>
      <c r="H25" s="43">
        <f>SUMIF('Basis Options'!$X:$X,CONCATENATE($A25,H$4),'Basis Options'!$AB:$AB)</f>
        <v>0</v>
      </c>
      <c r="I25" s="43">
        <f>SUMIF('Basis Options'!$X:$X,CONCATENATE($A25,I$4),'Basis Options'!$AB:$AB)</f>
        <v>0</v>
      </c>
      <c r="J25" s="43">
        <f>SUMIF('Basis Options'!$X:$X,CONCATENATE($A25,J$4),'Basis Options'!$AB:$AB)</f>
        <v>0</v>
      </c>
      <c r="K25" s="43">
        <f>SUMIF('Basis Options'!$X:$X,CONCATENATE($A25,K$4),'Basis Options'!$AB:$AB)</f>
        <v>0</v>
      </c>
      <c r="L25" s="43">
        <f>SUMIF('Basis Options'!$X:$X,CONCATENATE($A25,L$4),'Basis Options'!$AB:$AB)</f>
        <v>0</v>
      </c>
      <c r="M25" s="43">
        <f>SUMIF('Basis Options'!$X:$X,CONCATENATE($A25,M$4),'Basis Options'!$AB:$AB)</f>
        <v>0</v>
      </c>
      <c r="N25" s="43">
        <f>SUMIF('Basis Options'!$X:$X,CONCATENATE($A25,N$4),'Basis Options'!$AB:$AB)</f>
        <v>0</v>
      </c>
      <c r="O25" s="128">
        <f t="shared" si="1"/>
        <v>37347</v>
      </c>
      <c r="P25" s="44">
        <f t="shared" si="2"/>
        <v>0</v>
      </c>
      <c r="R25" s="43">
        <f t="shared" si="15"/>
        <v>0</v>
      </c>
      <c r="S25" s="128">
        <f t="shared" si="3"/>
        <v>37347</v>
      </c>
      <c r="T25" s="43">
        <f>SUMIF('Basis Options'!$X:$X,CONCATENATE($S25,T$4),'Basis Options'!$AC:$AC)</f>
        <v>0</v>
      </c>
      <c r="U25" s="43">
        <f>SUMIF('Basis Options'!$X:$X,CONCATENATE($S25,U$4),'Basis Options'!$AC:$AC)</f>
        <v>0</v>
      </c>
      <c r="V25" s="43">
        <f>SUMIF('Basis Options'!$X:$X,CONCATENATE($S25,V$4),'Basis Options'!$AC:$AC)</f>
        <v>0</v>
      </c>
      <c r="W25" s="43">
        <f>SUMIF('Basis Options'!$X:$X,CONCATENATE($S25,W$4),'Basis Options'!$AC:$AC)</f>
        <v>0</v>
      </c>
      <c r="X25" s="43">
        <f>SUMIF('Basis Options'!$X:$X,CONCATENATE($S25,X$4),'Basis Options'!$AC:$AC)</f>
        <v>0</v>
      </c>
      <c r="Y25" s="43">
        <f>SUMIF('Basis Options'!$X:$X,CONCATENATE($S25,Y$4),'Basis Options'!$AC:$AC)</f>
        <v>0</v>
      </c>
      <c r="Z25" s="43">
        <f>SUMIF('Basis Options'!$X:$X,CONCATENATE($S25,Z$4),'Basis Options'!$AC:$AC)</f>
        <v>0</v>
      </c>
      <c r="AA25" s="43">
        <f>SUMIF('Basis Options'!$X:$X,CONCATENATE($S25,AA$4),'Basis Options'!$AC:$AC)</f>
        <v>0</v>
      </c>
      <c r="AB25" s="43">
        <f>SUMIF('Basis Options'!$X:$X,CONCATENATE($S25,AB$4),'Basis Options'!$AC:$AC)</f>
        <v>0</v>
      </c>
      <c r="AC25" s="43">
        <f>SUMIF('Basis Options'!$X:$X,CONCATENATE($S25,AC$4),'Basis Options'!$AC:$AC)</f>
        <v>0</v>
      </c>
      <c r="AD25" s="43">
        <f>SUMIF('Basis Options'!$X:$X,CONCATENATE($S25,AD$4),'Basis Options'!$AC:$AC)</f>
        <v>0</v>
      </c>
      <c r="AE25" s="43">
        <f>SUMIF('Basis Options'!$X:$X,CONCATENATE($S25,AE$4),'Basis Options'!$AC:$AC)</f>
        <v>0</v>
      </c>
      <c r="AF25" s="43">
        <f>SUMIF('Basis Options'!$X:$X,CONCATENATE($S25,AF$4),'Basis Options'!$AC:$AC)</f>
        <v>0</v>
      </c>
      <c r="AG25" s="128">
        <f t="shared" si="4"/>
        <v>37347</v>
      </c>
      <c r="AH25" s="44">
        <f t="shared" si="5"/>
        <v>0</v>
      </c>
      <c r="AK25" s="128">
        <f t="shared" si="6"/>
        <v>37347</v>
      </c>
      <c r="AL25" s="43">
        <f>SUMIF('Basis Options'!$X:$X,CONCATENATE($AK25,AL$4),'Basis Options'!$AD:$AD)</f>
        <v>0</v>
      </c>
      <c r="AM25" s="43">
        <f>SUMIF('Basis Options'!$X:$X,CONCATENATE($AK25,AM$4),'Basis Options'!$AD:$AD)</f>
        <v>0</v>
      </c>
      <c r="AN25" s="43">
        <f>SUMIF('Basis Options'!$X:$X,CONCATENATE($AK25,AN$4),'Basis Options'!$AD:$AD)</f>
        <v>0</v>
      </c>
      <c r="AO25" s="43">
        <f>SUMIF('Basis Options'!$X:$X,CONCATENATE($AK25,AO$4),'Basis Options'!$AD:$AD)</f>
        <v>0</v>
      </c>
      <c r="AP25" s="43">
        <f>SUMIF('Basis Options'!$X:$X,CONCATENATE($AK25,AP$4),'Basis Options'!$AD:$AD)</f>
        <v>0</v>
      </c>
      <c r="AQ25" s="43">
        <f>SUMIF('Basis Options'!$X:$X,CONCATENATE($AK25,AQ$4),'Basis Options'!$AD:$AD)</f>
        <v>0</v>
      </c>
      <c r="AR25" s="43">
        <f>SUMIF('Basis Options'!$X:$X,CONCATENATE($AK25,AR$4),'Basis Options'!$AD:$AD)</f>
        <v>0</v>
      </c>
      <c r="AS25" s="43">
        <f>SUMIF('Basis Options'!$X:$X,CONCATENATE($AK25,AS$4),'Basis Options'!$AD:$AD)</f>
        <v>0</v>
      </c>
      <c r="AT25" s="43">
        <f>SUMIF('Basis Options'!$X:$X,CONCATENATE($AK25,AT$4),'Basis Options'!$AD:$AD)</f>
        <v>0</v>
      </c>
      <c r="AU25" s="43">
        <f>SUMIF('Basis Options'!$X:$X,CONCATENATE($AK25,AU$4),'Basis Options'!$AD:$AD)</f>
        <v>0</v>
      </c>
      <c r="AV25" s="43">
        <f>SUMIF('Basis Options'!$X:$X,CONCATENATE($AK25,AV$4),'Basis Options'!$AD:$AD)</f>
        <v>0</v>
      </c>
      <c r="AW25" s="43">
        <f>SUMIF('Basis Options'!$X:$X,CONCATENATE($AK25,AW$4),'Basis Options'!$AD:$AD)</f>
        <v>0</v>
      </c>
      <c r="AX25" s="43">
        <f>SUMIF('Basis Options'!$X:$X,CONCATENATE($AK25,AX$4),'Basis Options'!$AD:$AD)</f>
        <v>0</v>
      </c>
      <c r="AY25" s="128">
        <f t="shared" si="7"/>
        <v>37347</v>
      </c>
      <c r="AZ25" s="44">
        <f t="shared" si="8"/>
        <v>0</v>
      </c>
      <c r="BB25" s="128">
        <f t="shared" si="9"/>
        <v>37347</v>
      </c>
      <c r="BC25" s="43">
        <f>SUMIF('Basis Options'!$X:$X,CONCATENATE($AK25,BC$4),'Basis Options'!$AF:$AF)</f>
        <v>0</v>
      </c>
      <c r="BD25" s="43">
        <f>SUMIF('Basis Options'!$X:$X,CONCATENATE($AK25,BD$4),'Basis Options'!$AF:$AF)</f>
        <v>0</v>
      </c>
      <c r="BE25" s="43">
        <f>SUMIF('Basis Options'!$X:$X,CONCATENATE($AK25,BE$4),'Basis Options'!$AF:$AF)</f>
        <v>0</v>
      </c>
      <c r="BF25" s="43">
        <f>SUMIF('Basis Options'!$X:$X,CONCATENATE($AK25,BF$4),'Basis Options'!$AF:$AF)</f>
        <v>0</v>
      </c>
      <c r="BG25" s="43">
        <f>SUMIF('Basis Options'!$X:$X,CONCATENATE($AK25,BG$4),'Basis Options'!$AF:$AF)</f>
        <v>0</v>
      </c>
      <c r="BH25" s="43">
        <f>SUMIF('Basis Options'!$X:$X,CONCATENATE($AK25,BH$4),'Basis Options'!$AF:$AF)</f>
        <v>0</v>
      </c>
      <c r="BI25" s="43">
        <f>SUMIF('Basis Options'!$X:$X,CONCATENATE($AK25,BI$4),'Basis Options'!$AF:$AF)</f>
        <v>0</v>
      </c>
      <c r="BJ25" s="43">
        <f>SUMIF('Basis Options'!$X:$X,CONCATENATE($AK25,BJ$4),'Basis Options'!$AF:$AF)</f>
        <v>0</v>
      </c>
      <c r="BK25" s="43">
        <f>SUMIF('Basis Options'!$X:$X,CONCATENATE($AK25,BK$4),'Basis Options'!$AF:$AF)</f>
        <v>0</v>
      </c>
      <c r="BL25" s="43">
        <f>SUMIF('Basis Options'!$X:$X,CONCATENATE($AK25,BL$4),'Basis Options'!$AF:$AF)</f>
        <v>0</v>
      </c>
      <c r="BM25" s="43">
        <f>SUMIF('Basis Options'!$X:$X,CONCATENATE($AK25,BM$4),'Basis Options'!$AF:$AF)</f>
        <v>0</v>
      </c>
      <c r="BN25" s="43">
        <f>SUMIF('Basis Options'!$X:$X,CONCATENATE($AK25,BN$4),'Basis Options'!$AF:$AF)</f>
        <v>0</v>
      </c>
      <c r="BO25" s="43">
        <f>SUMIF('Basis Options'!$X:$X,CONCATENATE($AK25,BO$4),'Basis Options'!$AF:$AF)</f>
        <v>0</v>
      </c>
      <c r="BP25" s="128">
        <f t="shared" si="10"/>
        <v>37347</v>
      </c>
      <c r="BQ25" s="44">
        <f t="shared" si="11"/>
        <v>0</v>
      </c>
      <c r="BS25" s="128">
        <f t="shared" si="12"/>
        <v>37347</v>
      </c>
      <c r="BT25" s="43">
        <f>SUMIF('Basis Options'!$X:$X,CONCATENATE($BS25,BT$4),'Basis Options'!$AI:$AI)</f>
        <v>0</v>
      </c>
      <c r="BU25" s="43">
        <f>SUMIF('Basis Options'!$X:$X,CONCATENATE($BS25,BU$4),'Basis Options'!$AI:$AI)</f>
        <v>0</v>
      </c>
      <c r="BV25" s="43">
        <f>SUMIF('Basis Options'!$X:$X,CONCATENATE($BS25,BV$4),'Basis Options'!$AI:$AI)</f>
        <v>0</v>
      </c>
      <c r="BW25" s="43">
        <f>SUMIF('Basis Options'!$X:$X,CONCATENATE($BS25,BW$4),'Basis Options'!$AI:$AI)</f>
        <v>0</v>
      </c>
      <c r="BX25" s="43">
        <f>SUMIF('Basis Options'!$X:$X,CONCATENATE($BS25,BX$4),'Basis Options'!$AI:$AI)</f>
        <v>0</v>
      </c>
      <c r="BY25" s="43">
        <f>SUMIF('Basis Options'!$X:$X,CONCATENATE($BS25,BY$4),'Basis Options'!$AI:$AI)</f>
        <v>0</v>
      </c>
      <c r="BZ25" s="43">
        <f>SUMIF('Basis Options'!$X:$X,CONCATENATE($BS25,BZ$4),'Basis Options'!$AI:$AI)</f>
        <v>0</v>
      </c>
      <c r="CA25" s="43">
        <f>SUMIF('Basis Options'!$X:$X,CONCATENATE($BS25,CA$4),'Basis Options'!$AI:$AI)</f>
        <v>0</v>
      </c>
      <c r="CB25" s="43">
        <f>SUMIF('Basis Options'!$X:$X,CONCATENATE($BS25,CB$4),'Basis Options'!$AI:$AI)</f>
        <v>0</v>
      </c>
      <c r="CC25" s="43">
        <f>SUMIF('Basis Options'!$X:$X,CONCATENATE($BS25,CC$4),'Basis Options'!$AI:$AI)</f>
        <v>0</v>
      </c>
      <c r="CD25" s="43">
        <f>SUMIF('Basis Options'!$X:$X,CONCATENATE($BS25,CD$4),'Basis Options'!$AI:$AI)</f>
        <v>0</v>
      </c>
      <c r="CE25" s="43">
        <f>SUMIF('Basis Options'!$X:$X,CONCATENATE($BS25,CE$4),'Basis Options'!$AI:$AI)</f>
        <v>0</v>
      </c>
      <c r="CF25" s="43">
        <f>SUMIF('Basis Options'!$X:$X,CONCATENATE($BS25,CF$4),'Basis Options'!$AI:$AI)</f>
        <v>0</v>
      </c>
      <c r="CG25" s="128">
        <f t="shared" si="13"/>
        <v>37347</v>
      </c>
      <c r="CH25" s="480">
        <f t="shared" si="14"/>
        <v>0</v>
      </c>
    </row>
    <row r="26" spans="1:86" x14ac:dyDescent="0.25">
      <c r="A26" s="128">
        <f t="shared" si="0"/>
        <v>37377</v>
      </c>
      <c r="B26" s="43">
        <f>SUMIF('Basis Options'!X:X,CONCATENATE($A26,B$4),'Basis Options'!AB:AB)</f>
        <v>0</v>
      </c>
      <c r="C26" s="43">
        <f>SUMIF('Basis Options'!$X:$X,CONCATENATE($A26,C$4),'Basis Options'!$AB:$AB)</f>
        <v>0</v>
      </c>
      <c r="D26" s="43">
        <f>SUMIF('Basis Options'!$X:$X,CONCATENATE($A26,D$4),'Basis Options'!$AB:$AB)</f>
        <v>0</v>
      </c>
      <c r="E26" s="43">
        <f>SUMIF('Basis Options'!$X:$X,CONCATENATE($A26,E$4),'Basis Options'!$AB:$AB)</f>
        <v>0</v>
      </c>
      <c r="F26" s="43">
        <f>SUMIF('Basis Options'!$X:$X,CONCATENATE($A26,F$4),'Basis Options'!$AB:$AB)</f>
        <v>0</v>
      </c>
      <c r="G26" s="43">
        <f>SUMIF('Basis Options'!$X:$X,CONCATENATE($A26,G$4),'Basis Options'!$AB:$AB)</f>
        <v>0</v>
      </c>
      <c r="H26" s="43">
        <f>SUMIF('Basis Options'!$X:$X,CONCATENATE($A26,H$4),'Basis Options'!$AB:$AB)</f>
        <v>0</v>
      </c>
      <c r="I26" s="43">
        <f>SUMIF('Basis Options'!$X:$X,CONCATENATE($A26,I$4),'Basis Options'!$AB:$AB)</f>
        <v>0</v>
      </c>
      <c r="J26" s="43">
        <f>SUMIF('Basis Options'!$X:$X,CONCATENATE($A26,J$4),'Basis Options'!$AB:$AB)</f>
        <v>0</v>
      </c>
      <c r="K26" s="43">
        <f>SUMIF('Basis Options'!$X:$X,CONCATENATE($A26,K$4),'Basis Options'!$AB:$AB)</f>
        <v>0</v>
      </c>
      <c r="L26" s="43">
        <f>SUMIF('Basis Options'!$X:$X,CONCATENATE($A26,L$4),'Basis Options'!$AB:$AB)</f>
        <v>0</v>
      </c>
      <c r="M26" s="43">
        <f>SUMIF('Basis Options'!$X:$X,CONCATENATE($A26,M$4),'Basis Options'!$AB:$AB)</f>
        <v>0</v>
      </c>
      <c r="N26" s="43">
        <f>SUMIF('Basis Options'!$X:$X,CONCATENATE($A26,N$4),'Basis Options'!$AB:$AB)</f>
        <v>0</v>
      </c>
      <c r="O26" s="128">
        <f t="shared" si="1"/>
        <v>37377</v>
      </c>
      <c r="P26" s="44">
        <f t="shared" si="2"/>
        <v>0</v>
      </c>
      <c r="S26" s="128">
        <f t="shared" si="3"/>
        <v>37377</v>
      </c>
      <c r="T26" s="43">
        <f>SUMIF('Basis Options'!$X:$X,CONCATENATE($S26,T$4),'Basis Options'!$AC:$AC)</f>
        <v>0</v>
      </c>
      <c r="U26" s="43">
        <f>SUMIF('Basis Options'!$X:$X,CONCATENATE($S26,U$4),'Basis Options'!$AC:$AC)</f>
        <v>0</v>
      </c>
      <c r="V26" s="43">
        <f>SUMIF('Basis Options'!$X:$X,CONCATENATE($S26,V$4),'Basis Options'!$AC:$AC)</f>
        <v>0</v>
      </c>
      <c r="W26" s="43">
        <f>SUMIF('Basis Options'!$X:$X,CONCATENATE($S26,W$4),'Basis Options'!$AC:$AC)</f>
        <v>0</v>
      </c>
      <c r="X26" s="43">
        <f>SUMIF('Basis Options'!$X:$X,CONCATENATE($S26,X$4),'Basis Options'!$AC:$AC)</f>
        <v>0</v>
      </c>
      <c r="Y26" s="43">
        <f>SUMIF('Basis Options'!$X:$X,CONCATENATE($S26,Y$4),'Basis Options'!$AC:$AC)</f>
        <v>0</v>
      </c>
      <c r="Z26" s="43">
        <f>SUMIF('Basis Options'!$X:$X,CONCATENATE($S26,Z$4),'Basis Options'!$AC:$AC)</f>
        <v>0</v>
      </c>
      <c r="AA26" s="43">
        <f>SUMIF('Basis Options'!$X:$X,CONCATENATE($S26,AA$4),'Basis Options'!$AC:$AC)</f>
        <v>0</v>
      </c>
      <c r="AB26" s="43">
        <f>SUMIF('Basis Options'!$X:$X,CONCATENATE($S26,AB$4),'Basis Options'!$AC:$AC)</f>
        <v>0</v>
      </c>
      <c r="AC26" s="43">
        <f>SUMIF('Basis Options'!$X:$X,CONCATENATE($S26,AC$4),'Basis Options'!$AC:$AC)</f>
        <v>0</v>
      </c>
      <c r="AD26" s="43">
        <f>SUMIF('Basis Options'!$X:$X,CONCATENATE($S26,AD$4),'Basis Options'!$AC:$AC)</f>
        <v>0</v>
      </c>
      <c r="AE26" s="43">
        <f>SUMIF('Basis Options'!$X:$X,CONCATENATE($S26,AE$4),'Basis Options'!$AC:$AC)</f>
        <v>0</v>
      </c>
      <c r="AF26" s="43">
        <f>SUMIF('Basis Options'!$X:$X,CONCATENATE($S26,AF$4),'Basis Options'!$AC:$AC)</f>
        <v>0</v>
      </c>
      <c r="AG26" s="128">
        <f t="shared" si="4"/>
        <v>37377</v>
      </c>
      <c r="AH26" s="44">
        <f t="shared" si="5"/>
        <v>0</v>
      </c>
      <c r="AK26" s="128">
        <f t="shared" si="6"/>
        <v>37377</v>
      </c>
      <c r="AL26" s="43">
        <f>SUMIF('Basis Options'!$X:$X,CONCATENATE($AK26,AL$4),'Basis Options'!$AD:$AD)</f>
        <v>0</v>
      </c>
      <c r="AM26" s="43">
        <f>SUMIF('Basis Options'!$X:$X,CONCATENATE($AK26,AM$4),'Basis Options'!$AD:$AD)</f>
        <v>0</v>
      </c>
      <c r="AN26" s="43">
        <f>SUMIF('Basis Options'!$X:$X,CONCATENATE($AK26,AN$4),'Basis Options'!$AD:$AD)</f>
        <v>0</v>
      </c>
      <c r="AO26" s="43">
        <f>SUMIF('Basis Options'!$X:$X,CONCATENATE($AK26,AO$4),'Basis Options'!$AD:$AD)</f>
        <v>0</v>
      </c>
      <c r="AP26" s="43">
        <f>SUMIF('Basis Options'!$X:$X,CONCATENATE($AK26,AP$4),'Basis Options'!$AD:$AD)</f>
        <v>0</v>
      </c>
      <c r="AQ26" s="43">
        <f>SUMIF('Basis Options'!$X:$X,CONCATENATE($AK26,AQ$4),'Basis Options'!$AD:$AD)</f>
        <v>0</v>
      </c>
      <c r="AR26" s="43">
        <f>SUMIF('Basis Options'!$X:$X,CONCATENATE($AK26,AR$4),'Basis Options'!$AD:$AD)</f>
        <v>0</v>
      </c>
      <c r="AS26" s="43">
        <f>SUMIF('Basis Options'!$X:$X,CONCATENATE($AK26,AS$4),'Basis Options'!$AD:$AD)</f>
        <v>0</v>
      </c>
      <c r="AT26" s="43">
        <f>SUMIF('Basis Options'!$X:$X,CONCATENATE($AK26,AT$4),'Basis Options'!$AD:$AD)</f>
        <v>0</v>
      </c>
      <c r="AU26" s="43">
        <f>SUMIF('Basis Options'!$X:$X,CONCATENATE($AK26,AU$4),'Basis Options'!$AD:$AD)</f>
        <v>0</v>
      </c>
      <c r="AV26" s="43">
        <f>SUMIF('Basis Options'!$X:$X,CONCATENATE($AK26,AV$4),'Basis Options'!$AD:$AD)</f>
        <v>0</v>
      </c>
      <c r="AW26" s="43">
        <f>SUMIF('Basis Options'!$X:$X,CONCATENATE($AK26,AW$4),'Basis Options'!$AD:$AD)</f>
        <v>0</v>
      </c>
      <c r="AX26" s="43">
        <f>SUMIF('Basis Options'!$X:$X,CONCATENATE($AK26,AX$4),'Basis Options'!$AD:$AD)</f>
        <v>0</v>
      </c>
      <c r="AY26" s="128">
        <f t="shared" si="7"/>
        <v>37377</v>
      </c>
      <c r="AZ26" s="44">
        <f t="shared" si="8"/>
        <v>0</v>
      </c>
      <c r="BB26" s="128">
        <f t="shared" si="9"/>
        <v>37377</v>
      </c>
      <c r="BC26" s="43">
        <f>SUMIF('Basis Options'!$X:$X,CONCATENATE($AK26,BC$4),'Basis Options'!$AF:$AF)</f>
        <v>0</v>
      </c>
      <c r="BD26" s="43">
        <f>SUMIF('Basis Options'!$X:$X,CONCATENATE($AK26,BD$4),'Basis Options'!$AF:$AF)</f>
        <v>0</v>
      </c>
      <c r="BE26" s="43">
        <f>SUMIF('Basis Options'!$X:$X,CONCATENATE($AK26,BE$4),'Basis Options'!$AF:$AF)</f>
        <v>0</v>
      </c>
      <c r="BF26" s="43">
        <f>SUMIF('Basis Options'!$X:$X,CONCATENATE($AK26,BF$4),'Basis Options'!$AF:$AF)</f>
        <v>0</v>
      </c>
      <c r="BG26" s="43">
        <f>SUMIF('Basis Options'!$X:$X,CONCATENATE($AK26,BG$4),'Basis Options'!$AF:$AF)</f>
        <v>0</v>
      </c>
      <c r="BH26" s="43">
        <f>SUMIF('Basis Options'!$X:$X,CONCATENATE($AK26,BH$4),'Basis Options'!$AF:$AF)</f>
        <v>0</v>
      </c>
      <c r="BI26" s="43">
        <f>SUMIF('Basis Options'!$X:$X,CONCATENATE($AK26,BI$4),'Basis Options'!$AF:$AF)</f>
        <v>0</v>
      </c>
      <c r="BJ26" s="43">
        <f>SUMIF('Basis Options'!$X:$X,CONCATENATE($AK26,BJ$4),'Basis Options'!$AF:$AF)</f>
        <v>0</v>
      </c>
      <c r="BK26" s="43">
        <f>SUMIF('Basis Options'!$X:$X,CONCATENATE($AK26,BK$4),'Basis Options'!$AF:$AF)</f>
        <v>0</v>
      </c>
      <c r="BL26" s="43">
        <f>SUMIF('Basis Options'!$X:$X,CONCATENATE($AK26,BL$4),'Basis Options'!$AF:$AF)</f>
        <v>0</v>
      </c>
      <c r="BM26" s="43">
        <f>SUMIF('Basis Options'!$X:$X,CONCATENATE($AK26,BM$4),'Basis Options'!$AF:$AF)</f>
        <v>0</v>
      </c>
      <c r="BN26" s="43">
        <f>SUMIF('Basis Options'!$X:$X,CONCATENATE($AK26,BN$4),'Basis Options'!$AF:$AF)</f>
        <v>0</v>
      </c>
      <c r="BO26" s="43">
        <f>SUMIF('Basis Options'!$X:$X,CONCATENATE($AK26,BO$4),'Basis Options'!$AF:$AF)</f>
        <v>0</v>
      </c>
      <c r="BP26" s="128">
        <f t="shared" si="10"/>
        <v>37377</v>
      </c>
      <c r="BQ26" s="44">
        <f t="shared" si="11"/>
        <v>0</v>
      </c>
      <c r="BS26" s="128">
        <f t="shared" si="12"/>
        <v>37377</v>
      </c>
      <c r="BT26" s="43">
        <f>SUMIF('Basis Options'!$X:$X,CONCATENATE($BS26,BT$4),'Basis Options'!$AI:$AI)</f>
        <v>0</v>
      </c>
      <c r="BU26" s="43">
        <f>SUMIF('Basis Options'!$X:$X,CONCATENATE($BS26,BU$4),'Basis Options'!$AI:$AI)</f>
        <v>0</v>
      </c>
      <c r="BV26" s="43">
        <f>SUMIF('Basis Options'!$X:$X,CONCATENATE($BS26,BV$4),'Basis Options'!$AI:$AI)</f>
        <v>0</v>
      </c>
      <c r="BW26" s="43">
        <f>SUMIF('Basis Options'!$X:$X,CONCATENATE($BS26,BW$4),'Basis Options'!$AI:$AI)</f>
        <v>0</v>
      </c>
      <c r="BX26" s="43">
        <f>SUMIF('Basis Options'!$X:$X,CONCATENATE($BS26,BX$4),'Basis Options'!$AI:$AI)</f>
        <v>0</v>
      </c>
      <c r="BY26" s="43">
        <f>SUMIF('Basis Options'!$X:$X,CONCATENATE($BS26,BY$4),'Basis Options'!$AI:$AI)</f>
        <v>0</v>
      </c>
      <c r="BZ26" s="43">
        <f>SUMIF('Basis Options'!$X:$X,CONCATENATE($BS26,BZ$4),'Basis Options'!$AI:$AI)</f>
        <v>0</v>
      </c>
      <c r="CA26" s="43">
        <f>SUMIF('Basis Options'!$X:$X,CONCATENATE($BS26,CA$4),'Basis Options'!$AI:$AI)</f>
        <v>0</v>
      </c>
      <c r="CB26" s="43">
        <f>SUMIF('Basis Options'!$X:$X,CONCATENATE($BS26,CB$4),'Basis Options'!$AI:$AI)</f>
        <v>0</v>
      </c>
      <c r="CC26" s="43">
        <f>SUMIF('Basis Options'!$X:$X,CONCATENATE($BS26,CC$4),'Basis Options'!$AI:$AI)</f>
        <v>0</v>
      </c>
      <c r="CD26" s="43">
        <f>SUMIF('Basis Options'!$X:$X,CONCATENATE($BS26,CD$4),'Basis Options'!$AI:$AI)</f>
        <v>0</v>
      </c>
      <c r="CE26" s="43">
        <f>SUMIF('Basis Options'!$X:$X,CONCATENATE($BS26,CE$4),'Basis Options'!$AI:$AI)</f>
        <v>0</v>
      </c>
      <c r="CF26" s="43">
        <f>SUMIF('Basis Options'!$X:$X,CONCATENATE($BS26,CF$4),'Basis Options'!$AI:$AI)</f>
        <v>0</v>
      </c>
      <c r="CG26" s="128">
        <f t="shared" si="13"/>
        <v>37377</v>
      </c>
      <c r="CH26" s="44">
        <f t="shared" si="14"/>
        <v>0</v>
      </c>
    </row>
    <row r="27" spans="1:86" x14ac:dyDescent="0.25">
      <c r="A27" s="128">
        <f t="shared" si="0"/>
        <v>37408</v>
      </c>
      <c r="B27" s="43">
        <f>SUMIF('Basis Options'!X:X,CONCATENATE($A27,B$4),'Basis Options'!AB:AB)</f>
        <v>0</v>
      </c>
      <c r="C27" s="43">
        <f>SUMIF('Basis Options'!$X:$X,CONCATENATE($A27,C$4),'Basis Options'!$AB:$AB)</f>
        <v>0</v>
      </c>
      <c r="D27" s="43">
        <f>SUMIF('Basis Options'!$X:$X,CONCATENATE($A27,D$4),'Basis Options'!$AB:$AB)</f>
        <v>0</v>
      </c>
      <c r="E27" s="43">
        <f>SUMIF('Basis Options'!$X:$X,CONCATENATE($A27,E$4),'Basis Options'!$AB:$AB)</f>
        <v>0</v>
      </c>
      <c r="F27" s="43">
        <f>SUMIF('Basis Options'!$X:$X,CONCATENATE($A27,F$4),'Basis Options'!$AB:$AB)</f>
        <v>0</v>
      </c>
      <c r="G27" s="43">
        <f>SUMIF('Basis Options'!$X:$X,CONCATENATE($A27,G$4),'Basis Options'!$AB:$AB)</f>
        <v>0</v>
      </c>
      <c r="H27" s="43">
        <f>SUMIF('Basis Options'!$X:$X,CONCATENATE($A27,H$4),'Basis Options'!$AB:$AB)</f>
        <v>0</v>
      </c>
      <c r="I27" s="43">
        <f>SUMIF('Basis Options'!$X:$X,CONCATENATE($A27,I$4),'Basis Options'!$AB:$AB)</f>
        <v>0</v>
      </c>
      <c r="J27" s="43">
        <f>SUMIF('Basis Options'!$X:$X,CONCATENATE($A27,J$4),'Basis Options'!$AB:$AB)</f>
        <v>0</v>
      </c>
      <c r="K27" s="43">
        <f>SUMIF('Basis Options'!$X:$X,CONCATENATE($A27,K$4),'Basis Options'!$AB:$AB)</f>
        <v>0</v>
      </c>
      <c r="L27" s="43">
        <f>SUMIF('Basis Options'!$X:$X,CONCATENATE($A27,L$4),'Basis Options'!$AB:$AB)</f>
        <v>0</v>
      </c>
      <c r="M27" s="43">
        <f>SUMIF('Basis Options'!$X:$X,CONCATENATE($A27,M$4),'Basis Options'!$AB:$AB)</f>
        <v>0</v>
      </c>
      <c r="N27" s="43">
        <f>SUMIF('Basis Options'!$X:$X,CONCATENATE($A27,N$4),'Basis Options'!$AB:$AB)</f>
        <v>0</v>
      </c>
      <c r="O27" s="128">
        <f t="shared" si="1"/>
        <v>37408</v>
      </c>
      <c r="P27" s="44">
        <f t="shared" si="2"/>
        <v>0</v>
      </c>
      <c r="S27" s="128">
        <f t="shared" si="3"/>
        <v>37408</v>
      </c>
      <c r="T27" s="43">
        <f>SUMIF('Basis Options'!$X:$X,CONCATENATE($S27,T$4),'Basis Options'!$AC:$AC)</f>
        <v>0</v>
      </c>
      <c r="U27" s="43">
        <f>SUMIF('Basis Options'!$X:$X,CONCATENATE($S27,U$4),'Basis Options'!$AC:$AC)</f>
        <v>0</v>
      </c>
      <c r="V27" s="43">
        <f>SUMIF('Basis Options'!$X:$X,CONCATENATE($S27,V$4),'Basis Options'!$AC:$AC)</f>
        <v>0</v>
      </c>
      <c r="W27" s="43">
        <f>SUMIF('Basis Options'!$X:$X,CONCATENATE($S27,W$4),'Basis Options'!$AC:$AC)</f>
        <v>0</v>
      </c>
      <c r="X27" s="43">
        <f>SUMIF('Basis Options'!$X:$X,CONCATENATE($S27,X$4),'Basis Options'!$AC:$AC)</f>
        <v>0</v>
      </c>
      <c r="Y27" s="43">
        <f>SUMIF('Basis Options'!$X:$X,CONCATENATE($S27,Y$4),'Basis Options'!$AC:$AC)</f>
        <v>0</v>
      </c>
      <c r="Z27" s="43">
        <f>SUMIF('Basis Options'!$X:$X,CONCATENATE($S27,Z$4),'Basis Options'!$AC:$AC)</f>
        <v>0</v>
      </c>
      <c r="AA27" s="43">
        <f>SUMIF('Basis Options'!$X:$X,CONCATENATE($S27,AA$4),'Basis Options'!$AC:$AC)</f>
        <v>0</v>
      </c>
      <c r="AB27" s="43">
        <f>SUMIF('Basis Options'!$X:$X,CONCATENATE($S27,AB$4),'Basis Options'!$AC:$AC)</f>
        <v>0</v>
      </c>
      <c r="AC27" s="43">
        <f>SUMIF('Basis Options'!$X:$X,CONCATENATE($S27,AC$4),'Basis Options'!$AC:$AC)</f>
        <v>0</v>
      </c>
      <c r="AD27" s="43">
        <f>SUMIF('Basis Options'!$X:$X,CONCATENATE($S27,AD$4),'Basis Options'!$AC:$AC)</f>
        <v>0</v>
      </c>
      <c r="AE27" s="43">
        <f>SUMIF('Basis Options'!$X:$X,CONCATENATE($S27,AE$4),'Basis Options'!$AC:$AC)</f>
        <v>0</v>
      </c>
      <c r="AF27" s="43">
        <f>SUMIF('Basis Options'!$X:$X,CONCATENATE($S27,AF$4),'Basis Options'!$AC:$AC)</f>
        <v>0</v>
      </c>
      <c r="AG27" s="128">
        <f t="shared" si="4"/>
        <v>37408</v>
      </c>
      <c r="AH27" s="44">
        <f t="shared" si="5"/>
        <v>0</v>
      </c>
      <c r="AK27" s="128">
        <f t="shared" si="6"/>
        <v>37408</v>
      </c>
      <c r="AL27" s="43">
        <f>SUMIF('Basis Options'!$X:$X,CONCATENATE($AK27,AL$4),'Basis Options'!$AD:$AD)</f>
        <v>0</v>
      </c>
      <c r="AM27" s="43">
        <f>SUMIF('Basis Options'!$X:$X,CONCATENATE($AK27,AM$4),'Basis Options'!$AD:$AD)</f>
        <v>0</v>
      </c>
      <c r="AN27" s="43">
        <f>SUMIF('Basis Options'!$X:$X,CONCATENATE($AK27,AN$4),'Basis Options'!$AD:$AD)</f>
        <v>0</v>
      </c>
      <c r="AO27" s="43">
        <f>SUMIF('Basis Options'!$X:$X,CONCATENATE($AK27,AO$4),'Basis Options'!$AD:$AD)</f>
        <v>0</v>
      </c>
      <c r="AP27" s="43">
        <f>SUMIF('Basis Options'!$X:$X,CONCATENATE($AK27,AP$4),'Basis Options'!$AD:$AD)</f>
        <v>0</v>
      </c>
      <c r="AQ27" s="43">
        <f>SUMIF('Basis Options'!$X:$X,CONCATENATE($AK27,AQ$4),'Basis Options'!$AD:$AD)</f>
        <v>0</v>
      </c>
      <c r="AR27" s="43">
        <f>SUMIF('Basis Options'!$X:$X,CONCATENATE($AK27,AR$4),'Basis Options'!$AD:$AD)</f>
        <v>0</v>
      </c>
      <c r="AS27" s="43">
        <f>SUMIF('Basis Options'!$X:$X,CONCATENATE($AK27,AS$4),'Basis Options'!$AD:$AD)</f>
        <v>0</v>
      </c>
      <c r="AT27" s="43">
        <f>SUMIF('Basis Options'!$X:$X,CONCATENATE($AK27,AT$4),'Basis Options'!$AD:$AD)</f>
        <v>0</v>
      </c>
      <c r="AU27" s="43">
        <f>SUMIF('Basis Options'!$X:$X,CONCATENATE($AK27,AU$4),'Basis Options'!$AD:$AD)</f>
        <v>0</v>
      </c>
      <c r="AV27" s="43">
        <f>SUMIF('Basis Options'!$X:$X,CONCATENATE($AK27,AV$4),'Basis Options'!$AD:$AD)</f>
        <v>0</v>
      </c>
      <c r="AW27" s="43">
        <f>SUMIF('Basis Options'!$X:$X,CONCATENATE($AK27,AW$4),'Basis Options'!$AD:$AD)</f>
        <v>0</v>
      </c>
      <c r="AX27" s="43">
        <f>SUMIF('Basis Options'!$X:$X,CONCATENATE($AK27,AX$4),'Basis Options'!$AD:$AD)</f>
        <v>0</v>
      </c>
      <c r="AY27" s="128">
        <f t="shared" si="7"/>
        <v>37408</v>
      </c>
      <c r="AZ27" s="44">
        <f t="shared" si="8"/>
        <v>0</v>
      </c>
      <c r="BB27" s="128">
        <f t="shared" si="9"/>
        <v>37408</v>
      </c>
      <c r="BC27" s="43">
        <f>SUMIF('Basis Options'!$X:$X,CONCATENATE($AK27,BC$4),'Basis Options'!$AF:$AF)</f>
        <v>0</v>
      </c>
      <c r="BD27" s="43">
        <f>SUMIF('Basis Options'!$X:$X,CONCATENATE($AK27,BD$4),'Basis Options'!$AF:$AF)</f>
        <v>0</v>
      </c>
      <c r="BE27" s="43">
        <f>SUMIF('Basis Options'!$X:$X,CONCATENATE($AK27,BE$4),'Basis Options'!$AF:$AF)</f>
        <v>0</v>
      </c>
      <c r="BF27" s="43">
        <f>SUMIF('Basis Options'!$X:$X,CONCATENATE($AK27,BF$4),'Basis Options'!$AF:$AF)</f>
        <v>0</v>
      </c>
      <c r="BG27" s="43">
        <f>SUMIF('Basis Options'!$X:$X,CONCATENATE($AK27,BG$4),'Basis Options'!$AF:$AF)</f>
        <v>0</v>
      </c>
      <c r="BH27" s="43">
        <f>SUMIF('Basis Options'!$X:$X,CONCATENATE($AK27,BH$4),'Basis Options'!$AF:$AF)</f>
        <v>0</v>
      </c>
      <c r="BI27" s="43">
        <f>SUMIF('Basis Options'!$X:$X,CONCATENATE($AK27,BI$4),'Basis Options'!$AF:$AF)</f>
        <v>0</v>
      </c>
      <c r="BJ27" s="43">
        <f>SUMIF('Basis Options'!$X:$X,CONCATENATE($AK27,BJ$4),'Basis Options'!$AF:$AF)</f>
        <v>0</v>
      </c>
      <c r="BK27" s="43">
        <f>SUMIF('Basis Options'!$X:$X,CONCATENATE($AK27,BK$4),'Basis Options'!$AF:$AF)</f>
        <v>0</v>
      </c>
      <c r="BL27" s="43">
        <f>SUMIF('Basis Options'!$X:$X,CONCATENATE($AK27,BL$4),'Basis Options'!$AF:$AF)</f>
        <v>0</v>
      </c>
      <c r="BM27" s="43">
        <f>SUMIF('Basis Options'!$X:$X,CONCATENATE($AK27,BM$4),'Basis Options'!$AF:$AF)</f>
        <v>0</v>
      </c>
      <c r="BN27" s="43">
        <f>SUMIF('Basis Options'!$X:$X,CONCATENATE($AK27,BN$4),'Basis Options'!$AF:$AF)</f>
        <v>0</v>
      </c>
      <c r="BO27" s="43">
        <f>SUMIF('Basis Options'!$X:$X,CONCATENATE($AK27,BO$4),'Basis Options'!$AF:$AF)</f>
        <v>0</v>
      </c>
      <c r="BP27" s="128">
        <f t="shared" si="10"/>
        <v>37408</v>
      </c>
      <c r="BQ27" s="44">
        <f t="shared" si="11"/>
        <v>0</v>
      </c>
      <c r="BS27" s="128">
        <f t="shared" si="12"/>
        <v>37408</v>
      </c>
      <c r="BT27" s="43">
        <f>SUMIF('Basis Options'!$X:$X,CONCATENATE($BS27,BT$4),'Basis Options'!$AI:$AI)</f>
        <v>0</v>
      </c>
      <c r="BU27" s="43">
        <f>SUMIF('Basis Options'!$X:$X,CONCATENATE($BS27,BU$4),'Basis Options'!$AI:$AI)</f>
        <v>0</v>
      </c>
      <c r="BV27" s="43">
        <f>SUMIF('Basis Options'!$X:$X,CONCATENATE($BS27,BV$4),'Basis Options'!$AI:$AI)</f>
        <v>0</v>
      </c>
      <c r="BW27" s="43">
        <f>SUMIF('Basis Options'!$X:$X,CONCATENATE($BS27,BW$4),'Basis Options'!$AI:$AI)</f>
        <v>0</v>
      </c>
      <c r="BX27" s="43">
        <f>SUMIF('Basis Options'!$X:$X,CONCATENATE($BS27,BX$4),'Basis Options'!$AI:$AI)</f>
        <v>0</v>
      </c>
      <c r="BY27" s="43">
        <f>SUMIF('Basis Options'!$X:$X,CONCATENATE($BS27,BY$4),'Basis Options'!$AI:$AI)</f>
        <v>0</v>
      </c>
      <c r="BZ27" s="43">
        <f>SUMIF('Basis Options'!$X:$X,CONCATENATE($BS27,BZ$4),'Basis Options'!$AI:$AI)</f>
        <v>0</v>
      </c>
      <c r="CA27" s="43">
        <f>SUMIF('Basis Options'!$X:$X,CONCATENATE($BS27,CA$4),'Basis Options'!$AI:$AI)</f>
        <v>0</v>
      </c>
      <c r="CB27" s="43">
        <f>SUMIF('Basis Options'!$X:$X,CONCATENATE($BS27,CB$4),'Basis Options'!$AI:$AI)</f>
        <v>0</v>
      </c>
      <c r="CC27" s="43">
        <f>SUMIF('Basis Options'!$X:$X,CONCATENATE($BS27,CC$4),'Basis Options'!$AI:$AI)</f>
        <v>0</v>
      </c>
      <c r="CD27" s="43">
        <f>SUMIF('Basis Options'!$X:$X,CONCATENATE($BS27,CD$4),'Basis Options'!$AI:$AI)</f>
        <v>0</v>
      </c>
      <c r="CE27" s="43">
        <f>SUMIF('Basis Options'!$X:$X,CONCATENATE($BS27,CE$4),'Basis Options'!$AI:$AI)</f>
        <v>0</v>
      </c>
      <c r="CF27" s="43">
        <f>SUMIF('Basis Options'!$X:$X,CONCATENATE($BS27,CF$4),'Basis Options'!$AI:$AI)</f>
        <v>0</v>
      </c>
      <c r="CG27" s="128">
        <f t="shared" si="13"/>
        <v>37408</v>
      </c>
      <c r="CH27" s="44">
        <f t="shared" si="14"/>
        <v>0</v>
      </c>
    </row>
    <row r="28" spans="1:86" x14ac:dyDescent="0.25">
      <c r="A28" s="128">
        <f t="shared" si="0"/>
        <v>37438</v>
      </c>
      <c r="B28" s="43">
        <f>SUMIF('Basis Options'!X:X,CONCATENATE($A28,B$4),'Basis Options'!AB:AB)</f>
        <v>0</v>
      </c>
      <c r="C28" s="43">
        <f>SUMIF('Basis Options'!$X:$X,CONCATENATE($A28,C$4),'Basis Options'!$AB:$AB)</f>
        <v>0</v>
      </c>
      <c r="D28" s="43">
        <f>SUMIF('Basis Options'!$X:$X,CONCATENATE($A28,D$4),'Basis Options'!$AB:$AB)</f>
        <v>0</v>
      </c>
      <c r="E28" s="43">
        <f>SUMIF('Basis Options'!$X:$X,CONCATENATE($A28,E$4),'Basis Options'!$AB:$AB)</f>
        <v>0</v>
      </c>
      <c r="F28" s="43">
        <f>SUMIF('Basis Options'!$X:$X,CONCATENATE($A28,F$4),'Basis Options'!$AB:$AB)</f>
        <v>0</v>
      </c>
      <c r="G28" s="43">
        <f>SUMIF('Basis Options'!$X:$X,CONCATENATE($A28,G$4),'Basis Options'!$AB:$AB)</f>
        <v>0</v>
      </c>
      <c r="H28" s="43">
        <f>SUMIF('Basis Options'!$X:$X,CONCATENATE($A28,H$4),'Basis Options'!$AB:$AB)</f>
        <v>0</v>
      </c>
      <c r="I28" s="43">
        <f>SUMIF('Basis Options'!$X:$X,CONCATENATE($A28,I$4),'Basis Options'!$AB:$AB)</f>
        <v>0</v>
      </c>
      <c r="J28" s="43">
        <f>SUMIF('Basis Options'!$X:$X,CONCATENATE($A28,J$4),'Basis Options'!$AB:$AB)</f>
        <v>0</v>
      </c>
      <c r="K28" s="43">
        <f>SUMIF('Basis Options'!$X:$X,CONCATENATE($A28,K$4),'Basis Options'!$AB:$AB)</f>
        <v>0</v>
      </c>
      <c r="L28" s="43">
        <f>SUMIF('Basis Options'!$X:$X,CONCATENATE($A28,L$4),'Basis Options'!$AB:$AB)</f>
        <v>0</v>
      </c>
      <c r="M28" s="43">
        <f>SUMIF('Basis Options'!$X:$X,CONCATENATE($A28,M$4),'Basis Options'!$AB:$AB)</f>
        <v>0</v>
      </c>
      <c r="N28" s="43">
        <f>SUMIF('Basis Options'!$X:$X,CONCATENATE($A28,N$4),'Basis Options'!$AB:$AB)</f>
        <v>0</v>
      </c>
      <c r="O28" s="128">
        <f t="shared" si="1"/>
        <v>37438</v>
      </c>
      <c r="P28" s="44">
        <f t="shared" si="2"/>
        <v>0</v>
      </c>
      <c r="S28" s="128">
        <f t="shared" si="3"/>
        <v>37438</v>
      </c>
      <c r="T28" s="43">
        <f>SUMIF('Basis Options'!$X:$X,CONCATENATE($S28,T$4),'Basis Options'!$AC:$AC)</f>
        <v>0</v>
      </c>
      <c r="U28" s="43">
        <f>SUMIF('Basis Options'!$X:$X,CONCATENATE($S28,U$4),'Basis Options'!$AC:$AC)</f>
        <v>0</v>
      </c>
      <c r="V28" s="43">
        <f>SUMIF('Basis Options'!$X:$X,CONCATENATE($S28,V$4),'Basis Options'!$AC:$AC)</f>
        <v>0</v>
      </c>
      <c r="W28" s="43">
        <f>SUMIF('Basis Options'!$X:$X,CONCATENATE($S28,W$4),'Basis Options'!$AC:$AC)</f>
        <v>0</v>
      </c>
      <c r="X28" s="43">
        <f>SUMIF('Basis Options'!$X:$X,CONCATENATE($S28,X$4),'Basis Options'!$AC:$AC)</f>
        <v>0</v>
      </c>
      <c r="Y28" s="43">
        <f>SUMIF('Basis Options'!$X:$X,CONCATENATE($S28,Y$4),'Basis Options'!$AC:$AC)</f>
        <v>0</v>
      </c>
      <c r="Z28" s="43">
        <f>SUMIF('Basis Options'!$X:$X,CONCATENATE($S28,Z$4),'Basis Options'!$AC:$AC)</f>
        <v>0</v>
      </c>
      <c r="AA28" s="43">
        <f>SUMIF('Basis Options'!$X:$X,CONCATENATE($S28,AA$4),'Basis Options'!$AC:$AC)</f>
        <v>0</v>
      </c>
      <c r="AB28" s="43">
        <f>SUMIF('Basis Options'!$X:$X,CONCATENATE($S28,AB$4),'Basis Options'!$AC:$AC)</f>
        <v>0</v>
      </c>
      <c r="AC28" s="43">
        <f>SUMIF('Basis Options'!$X:$X,CONCATENATE($S28,AC$4),'Basis Options'!$AC:$AC)</f>
        <v>0</v>
      </c>
      <c r="AD28" s="43">
        <f>SUMIF('Basis Options'!$X:$X,CONCATENATE($S28,AD$4),'Basis Options'!$AC:$AC)</f>
        <v>0</v>
      </c>
      <c r="AE28" s="43">
        <f>SUMIF('Basis Options'!$X:$X,CONCATENATE($S28,AE$4),'Basis Options'!$AC:$AC)</f>
        <v>0</v>
      </c>
      <c r="AF28" s="43">
        <f>SUMIF('Basis Options'!$X:$X,CONCATENATE($S28,AF$4),'Basis Options'!$AC:$AC)</f>
        <v>0</v>
      </c>
      <c r="AG28" s="128">
        <f t="shared" si="4"/>
        <v>37438</v>
      </c>
      <c r="AH28" s="44">
        <f t="shared" si="5"/>
        <v>0</v>
      </c>
      <c r="AK28" s="128">
        <f t="shared" si="6"/>
        <v>37438</v>
      </c>
      <c r="AL28" s="43">
        <f>SUMIF('Basis Options'!$X:$X,CONCATENATE($AK28,AL$4),'Basis Options'!$AD:$AD)</f>
        <v>0</v>
      </c>
      <c r="AM28" s="43">
        <f>SUMIF('Basis Options'!$X:$X,CONCATENATE($AK28,AM$4),'Basis Options'!$AD:$AD)</f>
        <v>0</v>
      </c>
      <c r="AN28" s="43">
        <f>SUMIF('Basis Options'!$X:$X,CONCATENATE($AK28,AN$4),'Basis Options'!$AD:$AD)</f>
        <v>0</v>
      </c>
      <c r="AO28" s="43">
        <f>SUMIF('Basis Options'!$X:$X,CONCATENATE($AK28,AO$4),'Basis Options'!$AD:$AD)</f>
        <v>0</v>
      </c>
      <c r="AP28" s="43">
        <f>SUMIF('Basis Options'!$X:$X,CONCATENATE($AK28,AP$4),'Basis Options'!$AD:$AD)</f>
        <v>0</v>
      </c>
      <c r="AQ28" s="43">
        <f>SUMIF('Basis Options'!$X:$X,CONCATENATE($AK28,AQ$4),'Basis Options'!$AD:$AD)</f>
        <v>0</v>
      </c>
      <c r="AR28" s="43">
        <f>SUMIF('Basis Options'!$X:$X,CONCATENATE($AK28,AR$4),'Basis Options'!$AD:$AD)</f>
        <v>0</v>
      </c>
      <c r="AS28" s="43">
        <f>SUMIF('Basis Options'!$X:$X,CONCATENATE($AK28,AS$4),'Basis Options'!$AD:$AD)</f>
        <v>0</v>
      </c>
      <c r="AT28" s="43">
        <f>SUMIF('Basis Options'!$X:$X,CONCATENATE($AK28,AT$4),'Basis Options'!$AD:$AD)</f>
        <v>0</v>
      </c>
      <c r="AU28" s="43">
        <f>SUMIF('Basis Options'!$X:$X,CONCATENATE($AK28,AU$4),'Basis Options'!$AD:$AD)</f>
        <v>0</v>
      </c>
      <c r="AV28" s="43">
        <f>SUMIF('Basis Options'!$X:$X,CONCATENATE($AK28,AV$4),'Basis Options'!$AD:$AD)</f>
        <v>0</v>
      </c>
      <c r="AW28" s="43">
        <f>SUMIF('Basis Options'!$X:$X,CONCATENATE($AK28,AW$4),'Basis Options'!$AD:$AD)</f>
        <v>0</v>
      </c>
      <c r="AX28" s="43">
        <f>SUMIF('Basis Options'!$X:$X,CONCATENATE($AK28,AX$4),'Basis Options'!$AD:$AD)</f>
        <v>0</v>
      </c>
      <c r="AY28" s="128">
        <f t="shared" si="7"/>
        <v>37438</v>
      </c>
      <c r="AZ28" s="44">
        <f t="shared" si="8"/>
        <v>0</v>
      </c>
      <c r="BB28" s="128">
        <f t="shared" si="9"/>
        <v>37438</v>
      </c>
      <c r="BC28" s="43">
        <f>SUMIF('Basis Options'!$X:$X,CONCATENATE($AK28,BC$4),'Basis Options'!$AF:$AF)</f>
        <v>0</v>
      </c>
      <c r="BD28" s="43">
        <f>SUMIF('Basis Options'!$X:$X,CONCATENATE($AK28,BD$4),'Basis Options'!$AF:$AF)</f>
        <v>0</v>
      </c>
      <c r="BE28" s="43">
        <f>SUMIF('Basis Options'!$X:$X,CONCATENATE($AK28,BE$4),'Basis Options'!$AF:$AF)</f>
        <v>0</v>
      </c>
      <c r="BF28" s="43">
        <f>SUMIF('Basis Options'!$X:$X,CONCATENATE($AK28,BF$4),'Basis Options'!$AF:$AF)</f>
        <v>0</v>
      </c>
      <c r="BG28" s="43">
        <f>SUMIF('Basis Options'!$X:$X,CONCATENATE($AK28,BG$4),'Basis Options'!$AF:$AF)</f>
        <v>0</v>
      </c>
      <c r="BH28" s="43">
        <f>SUMIF('Basis Options'!$X:$X,CONCATENATE($AK28,BH$4),'Basis Options'!$AF:$AF)</f>
        <v>0</v>
      </c>
      <c r="BI28" s="43">
        <f>SUMIF('Basis Options'!$X:$X,CONCATENATE($AK28,BI$4),'Basis Options'!$AF:$AF)</f>
        <v>0</v>
      </c>
      <c r="BJ28" s="43">
        <f>SUMIF('Basis Options'!$X:$X,CONCATENATE($AK28,BJ$4),'Basis Options'!$AF:$AF)</f>
        <v>0</v>
      </c>
      <c r="BK28" s="43">
        <f>SUMIF('Basis Options'!$X:$X,CONCATENATE($AK28,BK$4),'Basis Options'!$AF:$AF)</f>
        <v>0</v>
      </c>
      <c r="BL28" s="43">
        <f>SUMIF('Basis Options'!$X:$X,CONCATENATE($AK28,BL$4),'Basis Options'!$AF:$AF)</f>
        <v>0</v>
      </c>
      <c r="BM28" s="43">
        <f>SUMIF('Basis Options'!$X:$X,CONCATENATE($AK28,BM$4),'Basis Options'!$AF:$AF)</f>
        <v>0</v>
      </c>
      <c r="BN28" s="43">
        <f>SUMIF('Basis Options'!$X:$X,CONCATENATE($AK28,BN$4),'Basis Options'!$AF:$AF)</f>
        <v>0</v>
      </c>
      <c r="BO28" s="43">
        <f>SUMIF('Basis Options'!$X:$X,CONCATENATE($AK28,BO$4),'Basis Options'!$AF:$AF)</f>
        <v>0</v>
      </c>
      <c r="BP28" s="128">
        <f t="shared" si="10"/>
        <v>37438</v>
      </c>
      <c r="BQ28" s="44">
        <f t="shared" si="11"/>
        <v>0</v>
      </c>
      <c r="BS28" s="128">
        <f t="shared" si="12"/>
        <v>37438</v>
      </c>
      <c r="BT28" s="43">
        <f>SUMIF('Basis Options'!$X:$X,CONCATENATE($BS28,BT$4),'Basis Options'!$AI:$AI)</f>
        <v>0</v>
      </c>
      <c r="BU28" s="43">
        <f>SUMIF('Basis Options'!$X:$X,CONCATENATE($BS28,BU$4),'Basis Options'!$AI:$AI)</f>
        <v>0</v>
      </c>
      <c r="BV28" s="43">
        <f>SUMIF('Basis Options'!$X:$X,CONCATENATE($BS28,BV$4),'Basis Options'!$AI:$AI)</f>
        <v>0</v>
      </c>
      <c r="BW28" s="43">
        <f>SUMIF('Basis Options'!$X:$X,CONCATENATE($BS28,BW$4),'Basis Options'!$AI:$AI)</f>
        <v>0</v>
      </c>
      <c r="BX28" s="43">
        <f>SUMIF('Basis Options'!$X:$X,CONCATENATE($BS28,BX$4),'Basis Options'!$AI:$AI)</f>
        <v>0</v>
      </c>
      <c r="BY28" s="43">
        <f>SUMIF('Basis Options'!$X:$X,CONCATENATE($BS28,BY$4),'Basis Options'!$AI:$AI)</f>
        <v>0</v>
      </c>
      <c r="BZ28" s="43">
        <f>SUMIF('Basis Options'!$X:$X,CONCATENATE($BS28,BZ$4),'Basis Options'!$AI:$AI)</f>
        <v>0</v>
      </c>
      <c r="CA28" s="43">
        <f>SUMIF('Basis Options'!$X:$X,CONCATENATE($BS28,CA$4),'Basis Options'!$AI:$AI)</f>
        <v>0</v>
      </c>
      <c r="CB28" s="43">
        <f>SUMIF('Basis Options'!$X:$X,CONCATENATE($BS28,CB$4),'Basis Options'!$AI:$AI)</f>
        <v>0</v>
      </c>
      <c r="CC28" s="43">
        <f>SUMIF('Basis Options'!$X:$X,CONCATENATE($BS28,CC$4),'Basis Options'!$AI:$AI)</f>
        <v>0</v>
      </c>
      <c r="CD28" s="43">
        <f>SUMIF('Basis Options'!$X:$X,CONCATENATE($BS28,CD$4),'Basis Options'!$AI:$AI)</f>
        <v>0</v>
      </c>
      <c r="CE28" s="43">
        <f>SUMIF('Basis Options'!$X:$X,CONCATENATE($BS28,CE$4),'Basis Options'!$AI:$AI)</f>
        <v>0</v>
      </c>
      <c r="CF28" s="43">
        <f>SUMIF('Basis Options'!$X:$X,CONCATENATE($BS28,CF$4),'Basis Options'!$AI:$AI)</f>
        <v>0</v>
      </c>
      <c r="CG28" s="128">
        <f t="shared" si="13"/>
        <v>37438</v>
      </c>
      <c r="CH28" s="44">
        <f t="shared" si="14"/>
        <v>0</v>
      </c>
    </row>
    <row r="29" spans="1:86" x14ac:dyDescent="0.25">
      <c r="A29" s="128">
        <f t="shared" si="0"/>
        <v>37469</v>
      </c>
      <c r="B29" s="43">
        <f>SUMIF('Basis Options'!X:X,CONCATENATE($A29,B$4),'Basis Options'!AB:AB)</f>
        <v>0</v>
      </c>
      <c r="C29" s="43">
        <f>SUMIF('Basis Options'!$X:$X,CONCATENATE($A29,C$4),'Basis Options'!$AB:$AB)</f>
        <v>0</v>
      </c>
      <c r="D29" s="43">
        <f>SUMIF('Basis Options'!$X:$X,CONCATENATE($A29,D$4),'Basis Options'!$AB:$AB)</f>
        <v>0</v>
      </c>
      <c r="E29" s="43">
        <f>SUMIF('Basis Options'!$X:$X,CONCATENATE($A29,E$4),'Basis Options'!$AB:$AB)</f>
        <v>0</v>
      </c>
      <c r="F29" s="43">
        <f>SUMIF('Basis Options'!$X:$X,CONCATENATE($A29,F$4),'Basis Options'!$AB:$AB)</f>
        <v>0</v>
      </c>
      <c r="G29" s="43">
        <f>SUMIF('Basis Options'!$X:$X,CONCATENATE($A29,G$4),'Basis Options'!$AB:$AB)</f>
        <v>0</v>
      </c>
      <c r="H29" s="43">
        <f>SUMIF('Basis Options'!$X:$X,CONCATENATE($A29,H$4),'Basis Options'!$AB:$AB)</f>
        <v>0</v>
      </c>
      <c r="I29" s="43">
        <f>SUMIF('Basis Options'!$X:$X,CONCATENATE($A29,I$4),'Basis Options'!$AB:$AB)</f>
        <v>0</v>
      </c>
      <c r="J29" s="43">
        <f>SUMIF('Basis Options'!$X:$X,CONCATENATE($A29,J$4),'Basis Options'!$AB:$AB)</f>
        <v>0</v>
      </c>
      <c r="K29" s="43">
        <f>SUMIF('Basis Options'!$X:$X,CONCATENATE($A29,K$4),'Basis Options'!$AB:$AB)</f>
        <v>0</v>
      </c>
      <c r="L29" s="43">
        <f>SUMIF('Basis Options'!$X:$X,CONCATENATE($A29,L$4),'Basis Options'!$AB:$AB)</f>
        <v>0</v>
      </c>
      <c r="M29" s="43">
        <f>SUMIF('Basis Options'!$X:$X,CONCATENATE($A29,M$4),'Basis Options'!$AB:$AB)</f>
        <v>0</v>
      </c>
      <c r="N29" s="43">
        <f>SUMIF('Basis Options'!$X:$X,CONCATENATE($A29,N$4),'Basis Options'!$AB:$AB)</f>
        <v>0</v>
      </c>
      <c r="O29" s="128">
        <f t="shared" si="1"/>
        <v>37469</v>
      </c>
      <c r="P29" s="44">
        <f t="shared" si="2"/>
        <v>0</v>
      </c>
      <c r="S29" s="128">
        <f t="shared" si="3"/>
        <v>37469</v>
      </c>
      <c r="T29" s="43">
        <f>SUMIF('Basis Options'!$X:$X,CONCATENATE($S29,T$4),'Basis Options'!$AC:$AC)</f>
        <v>0</v>
      </c>
      <c r="U29" s="43">
        <f>SUMIF('Basis Options'!$X:$X,CONCATENATE($S29,U$4),'Basis Options'!$AC:$AC)</f>
        <v>0</v>
      </c>
      <c r="V29" s="43">
        <f>SUMIF('Basis Options'!$X:$X,CONCATENATE($S29,V$4),'Basis Options'!$AC:$AC)</f>
        <v>0</v>
      </c>
      <c r="W29" s="43">
        <f>SUMIF('Basis Options'!$X:$X,CONCATENATE($S29,W$4),'Basis Options'!$AC:$AC)</f>
        <v>0</v>
      </c>
      <c r="X29" s="43">
        <f>SUMIF('Basis Options'!$X:$X,CONCATENATE($S29,X$4),'Basis Options'!$AC:$AC)</f>
        <v>0</v>
      </c>
      <c r="Y29" s="43">
        <f>SUMIF('Basis Options'!$X:$X,CONCATENATE($S29,Y$4),'Basis Options'!$AC:$AC)</f>
        <v>0</v>
      </c>
      <c r="Z29" s="43">
        <f>SUMIF('Basis Options'!$X:$X,CONCATENATE($S29,Z$4),'Basis Options'!$AC:$AC)</f>
        <v>0</v>
      </c>
      <c r="AA29" s="43">
        <f>SUMIF('Basis Options'!$X:$X,CONCATENATE($S29,AA$4),'Basis Options'!$AC:$AC)</f>
        <v>0</v>
      </c>
      <c r="AB29" s="43">
        <f>SUMIF('Basis Options'!$X:$X,CONCATENATE($S29,AB$4),'Basis Options'!$AC:$AC)</f>
        <v>0</v>
      </c>
      <c r="AC29" s="43">
        <f>SUMIF('Basis Options'!$X:$X,CONCATENATE($S29,AC$4),'Basis Options'!$AC:$AC)</f>
        <v>0</v>
      </c>
      <c r="AD29" s="43">
        <f>SUMIF('Basis Options'!$X:$X,CONCATENATE($S29,AD$4),'Basis Options'!$AC:$AC)</f>
        <v>0</v>
      </c>
      <c r="AE29" s="43">
        <f>SUMIF('Basis Options'!$X:$X,CONCATENATE($S29,AE$4),'Basis Options'!$AC:$AC)</f>
        <v>0</v>
      </c>
      <c r="AF29" s="43">
        <f>SUMIF('Basis Options'!$X:$X,CONCATENATE($S29,AF$4),'Basis Options'!$AC:$AC)</f>
        <v>0</v>
      </c>
      <c r="AG29" s="128">
        <f t="shared" si="4"/>
        <v>37469</v>
      </c>
      <c r="AH29" s="44">
        <f t="shared" si="5"/>
        <v>0</v>
      </c>
      <c r="AK29" s="128">
        <f t="shared" si="6"/>
        <v>37469</v>
      </c>
      <c r="AL29" s="43">
        <f>SUMIF('Basis Options'!$X:$X,CONCATENATE($AK29,AL$4),'Basis Options'!$AD:$AD)</f>
        <v>0</v>
      </c>
      <c r="AM29" s="43">
        <f>SUMIF('Basis Options'!$X:$X,CONCATENATE($AK29,AM$4),'Basis Options'!$AD:$AD)</f>
        <v>0</v>
      </c>
      <c r="AN29" s="43">
        <f>SUMIF('Basis Options'!$X:$X,CONCATENATE($AK29,AN$4),'Basis Options'!$AD:$AD)</f>
        <v>0</v>
      </c>
      <c r="AO29" s="43">
        <f>SUMIF('Basis Options'!$X:$X,CONCATENATE($AK29,AO$4),'Basis Options'!$AD:$AD)</f>
        <v>0</v>
      </c>
      <c r="AP29" s="43">
        <f>SUMIF('Basis Options'!$X:$X,CONCATENATE($AK29,AP$4),'Basis Options'!$AD:$AD)</f>
        <v>0</v>
      </c>
      <c r="AQ29" s="43">
        <f>SUMIF('Basis Options'!$X:$X,CONCATENATE($AK29,AQ$4),'Basis Options'!$AD:$AD)</f>
        <v>0</v>
      </c>
      <c r="AR29" s="43">
        <f>SUMIF('Basis Options'!$X:$X,CONCATENATE($AK29,AR$4),'Basis Options'!$AD:$AD)</f>
        <v>0</v>
      </c>
      <c r="AS29" s="43">
        <f>SUMIF('Basis Options'!$X:$X,CONCATENATE($AK29,AS$4),'Basis Options'!$AD:$AD)</f>
        <v>0</v>
      </c>
      <c r="AT29" s="43">
        <f>SUMIF('Basis Options'!$X:$X,CONCATENATE($AK29,AT$4),'Basis Options'!$AD:$AD)</f>
        <v>0</v>
      </c>
      <c r="AU29" s="43">
        <f>SUMIF('Basis Options'!$X:$X,CONCATENATE($AK29,AU$4),'Basis Options'!$AD:$AD)</f>
        <v>0</v>
      </c>
      <c r="AV29" s="43">
        <f>SUMIF('Basis Options'!$X:$X,CONCATENATE($AK29,AV$4),'Basis Options'!$AD:$AD)</f>
        <v>0</v>
      </c>
      <c r="AW29" s="43">
        <f>SUMIF('Basis Options'!$X:$X,CONCATENATE($AK29,AW$4),'Basis Options'!$AD:$AD)</f>
        <v>0</v>
      </c>
      <c r="AX29" s="43">
        <f>SUMIF('Basis Options'!$X:$X,CONCATENATE($AK29,AX$4),'Basis Options'!$AD:$AD)</f>
        <v>0</v>
      </c>
      <c r="AY29" s="128">
        <f t="shared" si="7"/>
        <v>37469</v>
      </c>
      <c r="AZ29" s="44">
        <f t="shared" si="8"/>
        <v>0</v>
      </c>
      <c r="BB29" s="128">
        <f t="shared" si="9"/>
        <v>37469</v>
      </c>
      <c r="BC29" s="43">
        <f>SUMIF('Basis Options'!$X:$X,CONCATENATE($AK29,BC$4),'Basis Options'!$AF:$AF)</f>
        <v>0</v>
      </c>
      <c r="BD29" s="43">
        <f>SUMIF('Basis Options'!$X:$X,CONCATENATE($AK29,BD$4),'Basis Options'!$AF:$AF)</f>
        <v>0</v>
      </c>
      <c r="BE29" s="43">
        <f>SUMIF('Basis Options'!$X:$X,CONCATENATE($AK29,BE$4),'Basis Options'!$AF:$AF)</f>
        <v>0</v>
      </c>
      <c r="BF29" s="43">
        <f>SUMIF('Basis Options'!$X:$X,CONCATENATE($AK29,BF$4),'Basis Options'!$AF:$AF)</f>
        <v>0</v>
      </c>
      <c r="BG29" s="43">
        <f>SUMIF('Basis Options'!$X:$X,CONCATENATE($AK29,BG$4),'Basis Options'!$AF:$AF)</f>
        <v>0</v>
      </c>
      <c r="BH29" s="43">
        <f>SUMIF('Basis Options'!$X:$X,CONCATENATE($AK29,BH$4),'Basis Options'!$AF:$AF)</f>
        <v>0</v>
      </c>
      <c r="BI29" s="43">
        <f>SUMIF('Basis Options'!$X:$X,CONCATENATE($AK29,BI$4),'Basis Options'!$AF:$AF)</f>
        <v>0</v>
      </c>
      <c r="BJ29" s="43">
        <f>SUMIF('Basis Options'!$X:$X,CONCATENATE($AK29,BJ$4),'Basis Options'!$AF:$AF)</f>
        <v>0</v>
      </c>
      <c r="BK29" s="43">
        <f>SUMIF('Basis Options'!$X:$X,CONCATENATE($AK29,BK$4),'Basis Options'!$AF:$AF)</f>
        <v>0</v>
      </c>
      <c r="BL29" s="43">
        <f>SUMIF('Basis Options'!$X:$X,CONCATENATE($AK29,BL$4),'Basis Options'!$AF:$AF)</f>
        <v>0</v>
      </c>
      <c r="BM29" s="43">
        <f>SUMIF('Basis Options'!$X:$X,CONCATENATE($AK29,BM$4),'Basis Options'!$AF:$AF)</f>
        <v>0</v>
      </c>
      <c r="BN29" s="43">
        <f>SUMIF('Basis Options'!$X:$X,CONCATENATE($AK29,BN$4),'Basis Options'!$AF:$AF)</f>
        <v>0</v>
      </c>
      <c r="BO29" s="43">
        <f>SUMIF('Basis Options'!$X:$X,CONCATENATE($AK29,BO$4),'Basis Options'!$AF:$AF)</f>
        <v>0</v>
      </c>
      <c r="BP29" s="128">
        <f t="shared" si="10"/>
        <v>37469</v>
      </c>
      <c r="BQ29" s="44">
        <f t="shared" si="11"/>
        <v>0</v>
      </c>
      <c r="BS29" s="128">
        <f t="shared" si="12"/>
        <v>37469</v>
      </c>
      <c r="BT29" s="43">
        <f>SUMIF('Basis Options'!$X:$X,CONCATENATE($BS29,BT$4),'Basis Options'!$AI:$AI)</f>
        <v>0</v>
      </c>
      <c r="BU29" s="43">
        <f>SUMIF('Basis Options'!$X:$X,CONCATENATE($BS29,BU$4),'Basis Options'!$AI:$AI)</f>
        <v>0</v>
      </c>
      <c r="BV29" s="43">
        <f>SUMIF('Basis Options'!$X:$X,CONCATENATE($BS29,BV$4),'Basis Options'!$AI:$AI)</f>
        <v>0</v>
      </c>
      <c r="BW29" s="43">
        <f>SUMIF('Basis Options'!$X:$X,CONCATENATE($BS29,BW$4),'Basis Options'!$AI:$AI)</f>
        <v>0</v>
      </c>
      <c r="BX29" s="43">
        <f>SUMIF('Basis Options'!$X:$X,CONCATENATE($BS29,BX$4),'Basis Options'!$AI:$AI)</f>
        <v>0</v>
      </c>
      <c r="BY29" s="43">
        <f>SUMIF('Basis Options'!$X:$X,CONCATENATE($BS29,BY$4),'Basis Options'!$AI:$AI)</f>
        <v>0</v>
      </c>
      <c r="BZ29" s="43">
        <f>SUMIF('Basis Options'!$X:$X,CONCATENATE($BS29,BZ$4),'Basis Options'!$AI:$AI)</f>
        <v>0</v>
      </c>
      <c r="CA29" s="43">
        <f>SUMIF('Basis Options'!$X:$X,CONCATENATE($BS29,CA$4),'Basis Options'!$AI:$AI)</f>
        <v>0</v>
      </c>
      <c r="CB29" s="43">
        <f>SUMIF('Basis Options'!$X:$X,CONCATENATE($BS29,CB$4),'Basis Options'!$AI:$AI)</f>
        <v>0</v>
      </c>
      <c r="CC29" s="43">
        <f>SUMIF('Basis Options'!$X:$X,CONCATENATE($BS29,CC$4),'Basis Options'!$AI:$AI)</f>
        <v>0</v>
      </c>
      <c r="CD29" s="43">
        <f>SUMIF('Basis Options'!$X:$X,CONCATENATE($BS29,CD$4),'Basis Options'!$AI:$AI)</f>
        <v>0</v>
      </c>
      <c r="CE29" s="43">
        <f>SUMIF('Basis Options'!$X:$X,CONCATENATE($BS29,CE$4),'Basis Options'!$AI:$AI)</f>
        <v>0</v>
      </c>
      <c r="CF29" s="43">
        <f>SUMIF('Basis Options'!$X:$X,CONCATENATE($BS29,CF$4),'Basis Options'!$AI:$AI)</f>
        <v>0</v>
      </c>
      <c r="CG29" s="128">
        <f t="shared" si="13"/>
        <v>37469</v>
      </c>
      <c r="CH29" s="44">
        <f t="shared" si="14"/>
        <v>0</v>
      </c>
    </row>
    <row r="30" spans="1:86" x14ac:dyDescent="0.25">
      <c r="A30" s="128">
        <f t="shared" si="0"/>
        <v>37500</v>
      </c>
      <c r="B30" s="43">
        <f>SUMIF('Basis Options'!X:X,CONCATENATE($A30,B$4),'Basis Options'!AB:AB)</f>
        <v>0</v>
      </c>
      <c r="C30" s="43">
        <f>SUMIF('Basis Options'!$X:$X,CONCATENATE($A30,C$4),'Basis Options'!$AB:$AB)</f>
        <v>0</v>
      </c>
      <c r="D30" s="43">
        <f>SUMIF('Basis Options'!$X:$X,CONCATENATE($A30,D$4),'Basis Options'!$AB:$AB)</f>
        <v>0</v>
      </c>
      <c r="E30" s="43">
        <f>SUMIF('Basis Options'!$X:$X,CONCATENATE($A30,E$4),'Basis Options'!$AB:$AB)</f>
        <v>0</v>
      </c>
      <c r="F30" s="43">
        <f>SUMIF('Basis Options'!$X:$X,CONCATENATE($A30,F$4),'Basis Options'!$AB:$AB)</f>
        <v>0</v>
      </c>
      <c r="G30" s="43">
        <f>SUMIF('Basis Options'!$X:$X,CONCATENATE($A30,G$4),'Basis Options'!$AB:$AB)</f>
        <v>0</v>
      </c>
      <c r="H30" s="43">
        <f>SUMIF('Basis Options'!$X:$X,CONCATENATE($A30,H$4),'Basis Options'!$AB:$AB)</f>
        <v>0</v>
      </c>
      <c r="I30" s="43">
        <f>SUMIF('Basis Options'!$X:$X,CONCATENATE($A30,I$4),'Basis Options'!$AB:$AB)</f>
        <v>0</v>
      </c>
      <c r="J30" s="43">
        <f>SUMIF('Basis Options'!$X:$X,CONCATENATE($A30,J$4),'Basis Options'!$AB:$AB)</f>
        <v>0</v>
      </c>
      <c r="K30" s="43">
        <f>SUMIF('Basis Options'!$X:$X,CONCATENATE($A30,K$4),'Basis Options'!$AB:$AB)</f>
        <v>0</v>
      </c>
      <c r="L30" s="43">
        <f>SUMIF('Basis Options'!$X:$X,CONCATENATE($A30,L$4),'Basis Options'!$AB:$AB)</f>
        <v>0</v>
      </c>
      <c r="M30" s="43">
        <f>SUMIF('Basis Options'!$X:$X,CONCATENATE($A30,M$4),'Basis Options'!$AB:$AB)</f>
        <v>0</v>
      </c>
      <c r="N30" s="43">
        <f>SUMIF('Basis Options'!$X:$X,CONCATENATE($A30,N$4),'Basis Options'!$AB:$AB)</f>
        <v>0</v>
      </c>
      <c r="O30" s="128">
        <f t="shared" si="1"/>
        <v>37500</v>
      </c>
      <c r="P30" s="44">
        <f t="shared" si="2"/>
        <v>0</v>
      </c>
      <c r="S30" s="128">
        <f t="shared" si="3"/>
        <v>37500</v>
      </c>
      <c r="T30" s="43">
        <f>SUMIF('Basis Options'!$X:$X,CONCATENATE($S30,T$4),'Basis Options'!$AC:$AC)</f>
        <v>0</v>
      </c>
      <c r="U30" s="43">
        <f>SUMIF('Basis Options'!$X:$X,CONCATENATE($S30,U$4),'Basis Options'!$AC:$AC)</f>
        <v>0</v>
      </c>
      <c r="V30" s="43">
        <f>SUMIF('Basis Options'!$X:$X,CONCATENATE($S30,V$4),'Basis Options'!$AC:$AC)</f>
        <v>0</v>
      </c>
      <c r="W30" s="43">
        <f>SUMIF('Basis Options'!$X:$X,CONCATENATE($S30,W$4),'Basis Options'!$AC:$AC)</f>
        <v>0</v>
      </c>
      <c r="X30" s="43">
        <f>SUMIF('Basis Options'!$X:$X,CONCATENATE($S30,X$4),'Basis Options'!$AC:$AC)</f>
        <v>0</v>
      </c>
      <c r="Y30" s="43">
        <f>SUMIF('Basis Options'!$X:$X,CONCATENATE($S30,Y$4),'Basis Options'!$AC:$AC)</f>
        <v>0</v>
      </c>
      <c r="Z30" s="43">
        <f>SUMIF('Basis Options'!$X:$X,CONCATENATE($S30,Z$4),'Basis Options'!$AC:$AC)</f>
        <v>0</v>
      </c>
      <c r="AA30" s="43">
        <f>SUMIF('Basis Options'!$X:$X,CONCATENATE($S30,AA$4),'Basis Options'!$AC:$AC)</f>
        <v>0</v>
      </c>
      <c r="AB30" s="43">
        <f>SUMIF('Basis Options'!$X:$X,CONCATENATE($S30,AB$4),'Basis Options'!$AC:$AC)</f>
        <v>0</v>
      </c>
      <c r="AC30" s="43">
        <f>SUMIF('Basis Options'!$X:$X,CONCATENATE($S30,AC$4),'Basis Options'!$AC:$AC)</f>
        <v>0</v>
      </c>
      <c r="AD30" s="43">
        <f>SUMIF('Basis Options'!$X:$X,CONCATENATE($S30,AD$4),'Basis Options'!$AC:$AC)</f>
        <v>0</v>
      </c>
      <c r="AE30" s="43">
        <f>SUMIF('Basis Options'!$X:$X,CONCATENATE($S30,AE$4),'Basis Options'!$AC:$AC)</f>
        <v>0</v>
      </c>
      <c r="AF30" s="43">
        <f>SUMIF('Basis Options'!$X:$X,CONCATENATE($S30,AF$4),'Basis Options'!$AC:$AC)</f>
        <v>0</v>
      </c>
      <c r="AG30" s="128">
        <f t="shared" si="4"/>
        <v>37500</v>
      </c>
      <c r="AH30" s="44">
        <f t="shared" si="5"/>
        <v>0</v>
      </c>
      <c r="AK30" s="128">
        <f t="shared" si="6"/>
        <v>37500</v>
      </c>
      <c r="AL30" s="43">
        <f>SUMIF('Basis Options'!$X:$X,CONCATENATE($AK30,AL$4),'Basis Options'!$AD:$AD)</f>
        <v>0</v>
      </c>
      <c r="AM30" s="43">
        <f>SUMIF('Basis Options'!$X:$X,CONCATENATE($AK30,AM$4),'Basis Options'!$AD:$AD)</f>
        <v>0</v>
      </c>
      <c r="AN30" s="43">
        <f>SUMIF('Basis Options'!$X:$X,CONCATENATE($AK30,AN$4),'Basis Options'!$AD:$AD)</f>
        <v>0</v>
      </c>
      <c r="AO30" s="43">
        <f>SUMIF('Basis Options'!$X:$X,CONCATENATE($AK30,AO$4),'Basis Options'!$AD:$AD)</f>
        <v>0</v>
      </c>
      <c r="AP30" s="43">
        <f>SUMIF('Basis Options'!$X:$X,CONCATENATE($AK30,AP$4),'Basis Options'!$AD:$AD)</f>
        <v>0</v>
      </c>
      <c r="AQ30" s="43">
        <f>SUMIF('Basis Options'!$X:$X,CONCATENATE($AK30,AQ$4),'Basis Options'!$AD:$AD)</f>
        <v>0</v>
      </c>
      <c r="AR30" s="43">
        <f>SUMIF('Basis Options'!$X:$X,CONCATENATE($AK30,AR$4),'Basis Options'!$AD:$AD)</f>
        <v>0</v>
      </c>
      <c r="AS30" s="43">
        <f>SUMIF('Basis Options'!$X:$X,CONCATENATE($AK30,AS$4),'Basis Options'!$AD:$AD)</f>
        <v>0</v>
      </c>
      <c r="AT30" s="43">
        <f>SUMIF('Basis Options'!$X:$X,CONCATENATE($AK30,AT$4),'Basis Options'!$AD:$AD)</f>
        <v>0</v>
      </c>
      <c r="AU30" s="43">
        <f>SUMIF('Basis Options'!$X:$X,CONCATENATE($AK30,AU$4),'Basis Options'!$AD:$AD)</f>
        <v>0</v>
      </c>
      <c r="AV30" s="43">
        <f>SUMIF('Basis Options'!$X:$X,CONCATENATE($AK30,AV$4),'Basis Options'!$AD:$AD)</f>
        <v>0</v>
      </c>
      <c r="AW30" s="43">
        <f>SUMIF('Basis Options'!$X:$X,CONCATENATE($AK30,AW$4),'Basis Options'!$AD:$AD)</f>
        <v>0</v>
      </c>
      <c r="AX30" s="43">
        <f>SUMIF('Basis Options'!$X:$X,CONCATENATE($AK30,AX$4),'Basis Options'!$AD:$AD)</f>
        <v>0</v>
      </c>
      <c r="AY30" s="128">
        <f t="shared" si="7"/>
        <v>37500</v>
      </c>
      <c r="AZ30" s="44">
        <f t="shared" si="8"/>
        <v>0</v>
      </c>
      <c r="BB30" s="128">
        <f t="shared" si="9"/>
        <v>37500</v>
      </c>
      <c r="BC30" s="43">
        <f>SUMIF('Basis Options'!$X:$X,CONCATENATE($AK30,BC$4),'Basis Options'!$AF:$AF)</f>
        <v>0</v>
      </c>
      <c r="BD30" s="43">
        <f>SUMIF('Basis Options'!$X:$X,CONCATENATE($AK30,BD$4),'Basis Options'!$AF:$AF)</f>
        <v>0</v>
      </c>
      <c r="BE30" s="43">
        <f>SUMIF('Basis Options'!$X:$X,CONCATENATE($AK30,BE$4),'Basis Options'!$AF:$AF)</f>
        <v>0</v>
      </c>
      <c r="BF30" s="43">
        <f>SUMIF('Basis Options'!$X:$X,CONCATENATE($AK30,BF$4),'Basis Options'!$AF:$AF)</f>
        <v>0</v>
      </c>
      <c r="BG30" s="43">
        <f>SUMIF('Basis Options'!$X:$X,CONCATENATE($AK30,BG$4),'Basis Options'!$AF:$AF)</f>
        <v>0</v>
      </c>
      <c r="BH30" s="43">
        <f>SUMIF('Basis Options'!$X:$X,CONCATENATE($AK30,BH$4),'Basis Options'!$AF:$AF)</f>
        <v>0</v>
      </c>
      <c r="BI30" s="43">
        <f>SUMIF('Basis Options'!$X:$X,CONCATENATE($AK30,BI$4),'Basis Options'!$AF:$AF)</f>
        <v>0</v>
      </c>
      <c r="BJ30" s="43">
        <f>SUMIF('Basis Options'!$X:$X,CONCATENATE($AK30,BJ$4),'Basis Options'!$AF:$AF)</f>
        <v>0</v>
      </c>
      <c r="BK30" s="43">
        <f>SUMIF('Basis Options'!$X:$X,CONCATENATE($AK30,BK$4),'Basis Options'!$AF:$AF)</f>
        <v>0</v>
      </c>
      <c r="BL30" s="43">
        <f>SUMIF('Basis Options'!$X:$X,CONCATENATE($AK30,BL$4),'Basis Options'!$AF:$AF)</f>
        <v>0</v>
      </c>
      <c r="BM30" s="43">
        <f>SUMIF('Basis Options'!$X:$X,CONCATENATE($AK30,BM$4),'Basis Options'!$AF:$AF)</f>
        <v>0</v>
      </c>
      <c r="BN30" s="43">
        <f>SUMIF('Basis Options'!$X:$X,CONCATENATE($AK30,BN$4),'Basis Options'!$AF:$AF)</f>
        <v>0</v>
      </c>
      <c r="BO30" s="43">
        <f>SUMIF('Basis Options'!$X:$X,CONCATENATE($AK30,BO$4),'Basis Options'!$AF:$AF)</f>
        <v>0</v>
      </c>
      <c r="BP30" s="128">
        <f t="shared" si="10"/>
        <v>37500</v>
      </c>
      <c r="BQ30" s="44">
        <f t="shared" si="11"/>
        <v>0</v>
      </c>
      <c r="BS30" s="128">
        <f t="shared" si="12"/>
        <v>37500</v>
      </c>
      <c r="BT30" s="43">
        <f>SUMIF('Basis Options'!$X:$X,CONCATENATE($BS30,BT$4),'Basis Options'!$AI:$AI)</f>
        <v>0</v>
      </c>
      <c r="BU30" s="43">
        <f>SUMIF('Basis Options'!$X:$X,CONCATENATE($BS30,BU$4),'Basis Options'!$AI:$AI)</f>
        <v>0</v>
      </c>
      <c r="BV30" s="43">
        <f>SUMIF('Basis Options'!$X:$X,CONCATENATE($BS30,BV$4),'Basis Options'!$AI:$AI)</f>
        <v>0</v>
      </c>
      <c r="BW30" s="43">
        <f>SUMIF('Basis Options'!$X:$X,CONCATENATE($BS30,BW$4),'Basis Options'!$AI:$AI)</f>
        <v>0</v>
      </c>
      <c r="BX30" s="43">
        <f>SUMIF('Basis Options'!$X:$X,CONCATENATE($BS30,BX$4),'Basis Options'!$AI:$AI)</f>
        <v>0</v>
      </c>
      <c r="BY30" s="43">
        <f>SUMIF('Basis Options'!$X:$X,CONCATENATE($BS30,BY$4),'Basis Options'!$AI:$AI)</f>
        <v>0</v>
      </c>
      <c r="BZ30" s="43">
        <f>SUMIF('Basis Options'!$X:$X,CONCATENATE($BS30,BZ$4),'Basis Options'!$AI:$AI)</f>
        <v>0</v>
      </c>
      <c r="CA30" s="43">
        <f>SUMIF('Basis Options'!$X:$X,CONCATENATE($BS30,CA$4),'Basis Options'!$AI:$AI)</f>
        <v>0</v>
      </c>
      <c r="CB30" s="43">
        <f>SUMIF('Basis Options'!$X:$X,CONCATENATE($BS30,CB$4),'Basis Options'!$AI:$AI)</f>
        <v>0</v>
      </c>
      <c r="CC30" s="43">
        <f>SUMIF('Basis Options'!$X:$X,CONCATENATE($BS30,CC$4),'Basis Options'!$AI:$AI)</f>
        <v>0</v>
      </c>
      <c r="CD30" s="43">
        <f>SUMIF('Basis Options'!$X:$X,CONCATENATE($BS30,CD$4),'Basis Options'!$AI:$AI)</f>
        <v>0</v>
      </c>
      <c r="CE30" s="43">
        <f>SUMIF('Basis Options'!$X:$X,CONCATENATE($BS30,CE$4),'Basis Options'!$AI:$AI)</f>
        <v>0</v>
      </c>
      <c r="CF30" s="43">
        <f>SUMIF('Basis Options'!$X:$X,CONCATENATE($BS30,CF$4),'Basis Options'!$AI:$AI)</f>
        <v>0</v>
      </c>
      <c r="CG30" s="128">
        <f t="shared" si="13"/>
        <v>37500</v>
      </c>
      <c r="CH30" s="44">
        <f t="shared" si="14"/>
        <v>0</v>
      </c>
    </row>
    <row r="31" spans="1:86" x14ac:dyDescent="0.25">
      <c r="A31" s="128">
        <f t="shared" si="0"/>
        <v>37530</v>
      </c>
      <c r="B31" s="43">
        <f>SUMIF('Basis Options'!X:X,CONCATENATE($A31,B$4),'Basis Options'!AB:AB)</f>
        <v>0</v>
      </c>
      <c r="C31" s="43">
        <f>SUMIF('Basis Options'!$X:$X,CONCATENATE($A31,C$4),'Basis Options'!$AB:$AB)</f>
        <v>0</v>
      </c>
      <c r="D31" s="43">
        <f>SUMIF('Basis Options'!$X:$X,CONCATENATE($A31,D$4),'Basis Options'!$AB:$AB)</f>
        <v>0</v>
      </c>
      <c r="E31" s="43">
        <f>SUMIF('Basis Options'!$X:$X,CONCATENATE($A31,E$4),'Basis Options'!$AB:$AB)</f>
        <v>0</v>
      </c>
      <c r="F31" s="43">
        <f>SUMIF('Basis Options'!$X:$X,CONCATENATE($A31,F$4),'Basis Options'!$AB:$AB)</f>
        <v>0</v>
      </c>
      <c r="G31" s="43">
        <f>SUMIF('Basis Options'!$X:$X,CONCATENATE($A31,G$4),'Basis Options'!$AB:$AB)</f>
        <v>0</v>
      </c>
      <c r="H31" s="43">
        <f>SUMIF('Basis Options'!$X:$X,CONCATENATE($A31,H$4),'Basis Options'!$AB:$AB)</f>
        <v>0</v>
      </c>
      <c r="I31" s="43">
        <f>SUMIF('Basis Options'!$X:$X,CONCATENATE($A31,I$4),'Basis Options'!$AB:$AB)</f>
        <v>0</v>
      </c>
      <c r="J31" s="43">
        <f>SUMIF('Basis Options'!$X:$X,CONCATENATE($A31,J$4),'Basis Options'!$AB:$AB)</f>
        <v>0</v>
      </c>
      <c r="K31" s="43">
        <f>SUMIF('Basis Options'!$X:$X,CONCATENATE($A31,K$4),'Basis Options'!$AB:$AB)</f>
        <v>0</v>
      </c>
      <c r="L31" s="43">
        <f>SUMIF('Basis Options'!$X:$X,CONCATENATE($A31,L$4),'Basis Options'!$AB:$AB)</f>
        <v>0</v>
      </c>
      <c r="M31" s="43">
        <f>SUMIF('Basis Options'!$X:$X,CONCATENATE($A31,M$4),'Basis Options'!$AB:$AB)</f>
        <v>0</v>
      </c>
      <c r="N31" s="43">
        <f>SUMIF('Basis Options'!$X:$X,CONCATENATE($A31,N$4),'Basis Options'!$AB:$AB)</f>
        <v>0</v>
      </c>
      <c r="O31" s="128">
        <f t="shared" si="1"/>
        <v>37530</v>
      </c>
      <c r="P31" s="44">
        <f t="shared" si="2"/>
        <v>0</v>
      </c>
      <c r="S31" s="128">
        <f t="shared" si="3"/>
        <v>37530</v>
      </c>
      <c r="T31" s="43">
        <f>SUMIF('Basis Options'!$X:$X,CONCATENATE($S31,T$4),'Basis Options'!$AC:$AC)</f>
        <v>0</v>
      </c>
      <c r="U31" s="43">
        <f>SUMIF('Basis Options'!$X:$X,CONCATENATE($S31,U$4),'Basis Options'!$AC:$AC)</f>
        <v>0</v>
      </c>
      <c r="V31" s="43">
        <f>SUMIF('Basis Options'!$X:$X,CONCATENATE($S31,V$4),'Basis Options'!$AC:$AC)</f>
        <v>0</v>
      </c>
      <c r="W31" s="43">
        <f>SUMIF('Basis Options'!$X:$X,CONCATENATE($S31,W$4),'Basis Options'!$AC:$AC)</f>
        <v>0</v>
      </c>
      <c r="X31" s="43">
        <f>SUMIF('Basis Options'!$X:$X,CONCATENATE($S31,X$4),'Basis Options'!$AC:$AC)</f>
        <v>0</v>
      </c>
      <c r="Y31" s="43">
        <f>SUMIF('Basis Options'!$X:$X,CONCATENATE($S31,Y$4),'Basis Options'!$AC:$AC)</f>
        <v>0</v>
      </c>
      <c r="Z31" s="43">
        <f>SUMIF('Basis Options'!$X:$X,CONCATENATE($S31,Z$4),'Basis Options'!$AC:$AC)</f>
        <v>0</v>
      </c>
      <c r="AA31" s="43">
        <f>SUMIF('Basis Options'!$X:$X,CONCATENATE($S31,AA$4),'Basis Options'!$AC:$AC)</f>
        <v>0</v>
      </c>
      <c r="AB31" s="43">
        <f>SUMIF('Basis Options'!$X:$X,CONCATENATE($S31,AB$4),'Basis Options'!$AC:$AC)</f>
        <v>0</v>
      </c>
      <c r="AC31" s="43">
        <f>SUMIF('Basis Options'!$X:$X,CONCATENATE($S31,AC$4),'Basis Options'!$AC:$AC)</f>
        <v>0</v>
      </c>
      <c r="AD31" s="43">
        <f>SUMIF('Basis Options'!$X:$X,CONCATENATE($S31,AD$4),'Basis Options'!$AC:$AC)</f>
        <v>0</v>
      </c>
      <c r="AE31" s="43">
        <f>SUMIF('Basis Options'!$X:$X,CONCATENATE($S31,AE$4),'Basis Options'!$AC:$AC)</f>
        <v>0</v>
      </c>
      <c r="AF31" s="43">
        <f>SUMIF('Basis Options'!$X:$X,CONCATENATE($S31,AF$4),'Basis Options'!$AC:$AC)</f>
        <v>0</v>
      </c>
      <c r="AG31" s="128">
        <f t="shared" si="4"/>
        <v>37530</v>
      </c>
      <c r="AH31" s="44">
        <f t="shared" si="5"/>
        <v>0</v>
      </c>
      <c r="AK31" s="128">
        <f t="shared" si="6"/>
        <v>37530</v>
      </c>
      <c r="AL31" s="43">
        <f>SUMIF('Basis Options'!$X:$X,CONCATENATE($AK31,AL$4),'Basis Options'!$AD:$AD)</f>
        <v>0</v>
      </c>
      <c r="AM31" s="43">
        <f>SUMIF('Basis Options'!$X:$X,CONCATENATE($AK31,AM$4),'Basis Options'!$AD:$AD)</f>
        <v>0</v>
      </c>
      <c r="AN31" s="43">
        <f>SUMIF('Basis Options'!$X:$X,CONCATENATE($AK31,AN$4),'Basis Options'!$AD:$AD)</f>
        <v>0</v>
      </c>
      <c r="AO31" s="43">
        <f>SUMIF('Basis Options'!$X:$X,CONCATENATE($AK31,AO$4),'Basis Options'!$AD:$AD)</f>
        <v>0</v>
      </c>
      <c r="AP31" s="43">
        <f>SUMIF('Basis Options'!$X:$X,CONCATENATE($AK31,AP$4),'Basis Options'!$AD:$AD)</f>
        <v>0</v>
      </c>
      <c r="AQ31" s="43">
        <f>SUMIF('Basis Options'!$X:$X,CONCATENATE($AK31,AQ$4),'Basis Options'!$AD:$AD)</f>
        <v>0</v>
      </c>
      <c r="AR31" s="43">
        <f>SUMIF('Basis Options'!$X:$X,CONCATENATE($AK31,AR$4),'Basis Options'!$AD:$AD)</f>
        <v>0</v>
      </c>
      <c r="AS31" s="43">
        <f>SUMIF('Basis Options'!$X:$X,CONCATENATE($AK31,AS$4),'Basis Options'!$AD:$AD)</f>
        <v>0</v>
      </c>
      <c r="AT31" s="43">
        <f>SUMIF('Basis Options'!$X:$X,CONCATENATE($AK31,AT$4),'Basis Options'!$AD:$AD)</f>
        <v>0</v>
      </c>
      <c r="AU31" s="43">
        <f>SUMIF('Basis Options'!$X:$X,CONCATENATE($AK31,AU$4),'Basis Options'!$AD:$AD)</f>
        <v>0</v>
      </c>
      <c r="AV31" s="43">
        <f>SUMIF('Basis Options'!$X:$X,CONCATENATE($AK31,AV$4),'Basis Options'!$AD:$AD)</f>
        <v>0</v>
      </c>
      <c r="AW31" s="43">
        <f>SUMIF('Basis Options'!$X:$X,CONCATENATE($AK31,AW$4),'Basis Options'!$AD:$AD)</f>
        <v>0</v>
      </c>
      <c r="AX31" s="43">
        <f>SUMIF('Basis Options'!$X:$X,CONCATENATE($AK31,AX$4),'Basis Options'!$AD:$AD)</f>
        <v>0</v>
      </c>
      <c r="AY31" s="128">
        <f t="shared" si="7"/>
        <v>37530</v>
      </c>
      <c r="AZ31" s="44">
        <f t="shared" si="8"/>
        <v>0</v>
      </c>
      <c r="BB31" s="128">
        <f t="shared" si="9"/>
        <v>37530</v>
      </c>
      <c r="BC31" s="43">
        <f>SUMIF('Basis Options'!$X:$X,CONCATENATE($AK31,BC$4),'Basis Options'!$AF:$AF)</f>
        <v>0</v>
      </c>
      <c r="BD31" s="43">
        <f>SUMIF('Basis Options'!$X:$X,CONCATENATE($AK31,BD$4),'Basis Options'!$AF:$AF)</f>
        <v>0</v>
      </c>
      <c r="BE31" s="43">
        <f>SUMIF('Basis Options'!$X:$X,CONCATENATE($AK31,BE$4),'Basis Options'!$AF:$AF)</f>
        <v>0</v>
      </c>
      <c r="BF31" s="43">
        <f>SUMIF('Basis Options'!$X:$X,CONCATENATE($AK31,BF$4),'Basis Options'!$AF:$AF)</f>
        <v>0</v>
      </c>
      <c r="BG31" s="43">
        <f>SUMIF('Basis Options'!$X:$X,CONCATENATE($AK31,BG$4),'Basis Options'!$AF:$AF)</f>
        <v>0</v>
      </c>
      <c r="BH31" s="43">
        <f>SUMIF('Basis Options'!$X:$X,CONCATENATE($AK31,BH$4),'Basis Options'!$AF:$AF)</f>
        <v>0</v>
      </c>
      <c r="BI31" s="43">
        <f>SUMIF('Basis Options'!$X:$X,CONCATENATE($AK31,BI$4),'Basis Options'!$AF:$AF)</f>
        <v>0</v>
      </c>
      <c r="BJ31" s="43">
        <f>SUMIF('Basis Options'!$X:$X,CONCATENATE($AK31,BJ$4),'Basis Options'!$AF:$AF)</f>
        <v>0</v>
      </c>
      <c r="BK31" s="43">
        <f>SUMIF('Basis Options'!$X:$X,CONCATENATE($AK31,BK$4),'Basis Options'!$AF:$AF)</f>
        <v>0</v>
      </c>
      <c r="BL31" s="43">
        <f>SUMIF('Basis Options'!$X:$X,CONCATENATE($AK31,BL$4),'Basis Options'!$AF:$AF)</f>
        <v>0</v>
      </c>
      <c r="BM31" s="43">
        <f>SUMIF('Basis Options'!$X:$X,CONCATENATE($AK31,BM$4),'Basis Options'!$AF:$AF)</f>
        <v>0</v>
      </c>
      <c r="BN31" s="43">
        <f>SUMIF('Basis Options'!$X:$X,CONCATENATE($AK31,BN$4),'Basis Options'!$AF:$AF)</f>
        <v>0</v>
      </c>
      <c r="BO31" s="43">
        <f>SUMIF('Basis Options'!$X:$X,CONCATENATE($AK31,BO$4),'Basis Options'!$AF:$AF)</f>
        <v>0</v>
      </c>
      <c r="BP31" s="128">
        <f t="shared" si="10"/>
        <v>37530</v>
      </c>
      <c r="BQ31" s="44">
        <f t="shared" si="11"/>
        <v>0</v>
      </c>
      <c r="BS31" s="128">
        <f t="shared" si="12"/>
        <v>37530</v>
      </c>
      <c r="BT31" s="43">
        <f>SUMIF('Basis Options'!$X:$X,CONCATENATE($BS31,BT$4),'Basis Options'!$AI:$AI)</f>
        <v>0</v>
      </c>
      <c r="BU31" s="43">
        <f>SUMIF('Basis Options'!$X:$X,CONCATENATE($BS31,BU$4),'Basis Options'!$AI:$AI)</f>
        <v>0</v>
      </c>
      <c r="BV31" s="43">
        <f>SUMIF('Basis Options'!$X:$X,CONCATENATE($BS31,BV$4),'Basis Options'!$AI:$AI)</f>
        <v>0</v>
      </c>
      <c r="BW31" s="43">
        <f>SUMIF('Basis Options'!$X:$X,CONCATENATE($BS31,BW$4),'Basis Options'!$AI:$AI)</f>
        <v>0</v>
      </c>
      <c r="BX31" s="43">
        <f>SUMIF('Basis Options'!$X:$X,CONCATENATE($BS31,BX$4),'Basis Options'!$AI:$AI)</f>
        <v>0</v>
      </c>
      <c r="BY31" s="43">
        <f>SUMIF('Basis Options'!$X:$X,CONCATENATE($BS31,BY$4),'Basis Options'!$AI:$AI)</f>
        <v>0</v>
      </c>
      <c r="BZ31" s="43">
        <f>SUMIF('Basis Options'!$X:$X,CONCATENATE($BS31,BZ$4),'Basis Options'!$AI:$AI)</f>
        <v>0</v>
      </c>
      <c r="CA31" s="43">
        <f>SUMIF('Basis Options'!$X:$X,CONCATENATE($BS31,CA$4),'Basis Options'!$AI:$AI)</f>
        <v>0</v>
      </c>
      <c r="CB31" s="43">
        <f>SUMIF('Basis Options'!$X:$X,CONCATENATE($BS31,CB$4),'Basis Options'!$AI:$AI)</f>
        <v>0</v>
      </c>
      <c r="CC31" s="43">
        <f>SUMIF('Basis Options'!$X:$X,CONCATENATE($BS31,CC$4),'Basis Options'!$AI:$AI)</f>
        <v>0</v>
      </c>
      <c r="CD31" s="43">
        <f>SUMIF('Basis Options'!$X:$X,CONCATENATE($BS31,CD$4),'Basis Options'!$AI:$AI)</f>
        <v>0</v>
      </c>
      <c r="CE31" s="43">
        <f>SUMIF('Basis Options'!$X:$X,CONCATENATE($BS31,CE$4),'Basis Options'!$AI:$AI)</f>
        <v>0</v>
      </c>
      <c r="CF31" s="43">
        <f>SUMIF('Basis Options'!$X:$X,CONCATENATE($BS31,CF$4),'Basis Options'!$AI:$AI)</f>
        <v>0</v>
      </c>
      <c r="CG31" s="128">
        <f t="shared" si="13"/>
        <v>37530</v>
      </c>
      <c r="CH31" s="44">
        <f t="shared" si="14"/>
        <v>0</v>
      </c>
    </row>
    <row r="32" spans="1:86" x14ac:dyDescent="0.25">
      <c r="A32" s="128">
        <f t="shared" si="0"/>
        <v>37561</v>
      </c>
      <c r="B32" s="43">
        <f>SUMIF('Basis Options'!X:X,CONCATENATE($A32,B$4),'Basis Options'!AB:AB)</f>
        <v>0</v>
      </c>
      <c r="C32" s="43">
        <f>SUMIF('Basis Options'!$X:$X,CONCATENATE($A32,C$4),'Basis Options'!$AB:$AB)</f>
        <v>0</v>
      </c>
      <c r="D32" s="43">
        <f>SUMIF('Basis Options'!$X:$X,CONCATENATE($A32,D$4),'Basis Options'!$AB:$AB)</f>
        <v>0</v>
      </c>
      <c r="E32" s="43">
        <f>SUMIF('Basis Options'!$X:$X,CONCATENATE($A32,E$4),'Basis Options'!$AB:$AB)</f>
        <v>0.35215780939705121</v>
      </c>
      <c r="F32" s="43">
        <f>SUMIF('Basis Options'!$X:$X,CONCATENATE($A32,F$4),'Basis Options'!$AB:$AB)</f>
        <v>0</v>
      </c>
      <c r="G32" s="43">
        <f>SUMIF('Basis Options'!$X:$X,CONCATENATE($A32,G$4),'Basis Options'!$AB:$AB)</f>
        <v>0</v>
      </c>
      <c r="H32" s="43">
        <f>SUMIF('Basis Options'!$X:$X,CONCATENATE($A32,H$4),'Basis Options'!$AB:$AB)</f>
        <v>0</v>
      </c>
      <c r="I32" s="43">
        <f>SUMIF('Basis Options'!$X:$X,CONCATENATE($A32,I$4),'Basis Options'!$AB:$AB)</f>
        <v>0</v>
      </c>
      <c r="J32" s="43">
        <f>SUMIF('Basis Options'!$X:$X,CONCATENATE($A32,J$4),'Basis Options'!$AB:$AB)</f>
        <v>0</v>
      </c>
      <c r="K32" s="43">
        <f>SUMIF('Basis Options'!$X:$X,CONCATENATE($A32,K$4),'Basis Options'!$AB:$AB)</f>
        <v>0</v>
      </c>
      <c r="L32" s="43">
        <f>SUMIF('Basis Options'!$X:$X,CONCATENATE($A32,L$4),'Basis Options'!$AB:$AB)</f>
        <v>0</v>
      </c>
      <c r="M32" s="43">
        <f>SUMIF('Basis Options'!$X:$X,CONCATENATE($A32,M$4),'Basis Options'!$AB:$AB)</f>
        <v>0</v>
      </c>
      <c r="N32" s="43">
        <f>SUMIF('Basis Options'!$X:$X,CONCATENATE($A32,N$4),'Basis Options'!$AB:$AB)</f>
        <v>0</v>
      </c>
      <c r="O32" s="128">
        <f t="shared" si="1"/>
        <v>37561</v>
      </c>
      <c r="P32" s="44">
        <f t="shared" si="2"/>
        <v>0.35215780939705121</v>
      </c>
      <c r="S32" s="128">
        <f t="shared" si="3"/>
        <v>37561</v>
      </c>
      <c r="T32" s="43">
        <f>SUMIF('Basis Options'!$X:$X,CONCATENATE($S32,T$4),'Basis Options'!$AC:$AC)</f>
        <v>0</v>
      </c>
      <c r="U32" s="43">
        <f>SUMIF('Basis Options'!$X:$X,CONCATENATE($S32,U$4),'Basis Options'!$AC:$AC)</f>
        <v>0</v>
      </c>
      <c r="V32" s="43">
        <f>SUMIF('Basis Options'!$X:$X,CONCATENATE($S32,V$4),'Basis Options'!$AC:$AC)</f>
        <v>0</v>
      </c>
      <c r="W32" s="43">
        <f>SUMIF('Basis Options'!$X:$X,CONCATENATE($S32,W$4),'Basis Options'!$AC:$AC)</f>
        <v>-7642.4501208617885</v>
      </c>
      <c r="X32" s="43">
        <f>SUMIF('Basis Options'!$X:$X,CONCATENATE($S32,X$4),'Basis Options'!$AC:$AC)</f>
        <v>0</v>
      </c>
      <c r="Y32" s="43">
        <f>SUMIF('Basis Options'!$X:$X,CONCATENATE($S32,Y$4),'Basis Options'!$AC:$AC)</f>
        <v>0</v>
      </c>
      <c r="Z32" s="43">
        <f>SUMIF('Basis Options'!$X:$X,CONCATENATE($S32,Z$4),'Basis Options'!$AC:$AC)</f>
        <v>0</v>
      </c>
      <c r="AA32" s="43">
        <f>SUMIF('Basis Options'!$X:$X,CONCATENATE($S32,AA$4),'Basis Options'!$AC:$AC)</f>
        <v>0</v>
      </c>
      <c r="AB32" s="43">
        <f>SUMIF('Basis Options'!$X:$X,CONCATENATE($S32,AB$4),'Basis Options'!$AC:$AC)</f>
        <v>0</v>
      </c>
      <c r="AC32" s="43">
        <f>SUMIF('Basis Options'!$X:$X,CONCATENATE($S32,AC$4),'Basis Options'!$AC:$AC)</f>
        <v>0</v>
      </c>
      <c r="AD32" s="43">
        <f>SUMIF('Basis Options'!$X:$X,CONCATENATE($S32,AD$4),'Basis Options'!$AC:$AC)</f>
        <v>0</v>
      </c>
      <c r="AE32" s="43">
        <f>SUMIF('Basis Options'!$X:$X,CONCATENATE($S32,AE$4),'Basis Options'!$AC:$AC)</f>
        <v>0</v>
      </c>
      <c r="AF32" s="43">
        <f>SUMIF('Basis Options'!$X:$X,CONCATENATE($S32,AF$4),'Basis Options'!$AC:$AC)</f>
        <v>0</v>
      </c>
      <c r="AG32" s="128">
        <f t="shared" si="4"/>
        <v>37561</v>
      </c>
      <c r="AH32" s="44">
        <f t="shared" si="5"/>
        <v>-7642.4501208617885</v>
      </c>
      <c r="AK32" s="128">
        <f t="shared" si="6"/>
        <v>37561</v>
      </c>
      <c r="AL32" s="43">
        <f>SUMIF('Basis Options'!$X:$X,CONCATENATE($AK32,AL$4),'Basis Options'!$AD:$AD)</f>
        <v>0</v>
      </c>
      <c r="AM32" s="43">
        <f>SUMIF('Basis Options'!$X:$X,CONCATENATE($AK32,AM$4),'Basis Options'!$AD:$AD)</f>
        <v>0</v>
      </c>
      <c r="AN32" s="43">
        <f>SUMIF('Basis Options'!$X:$X,CONCATENATE($AK32,AN$4),'Basis Options'!$AD:$AD)</f>
        <v>0</v>
      </c>
      <c r="AO32" s="43">
        <f>SUMIF('Basis Options'!$X:$X,CONCATENATE($AK32,AO$4),'Basis Options'!$AD:$AD)</f>
        <v>-13.788726517219851</v>
      </c>
      <c r="AP32" s="43">
        <f>SUMIF('Basis Options'!$X:$X,CONCATENATE($AK32,AP$4),'Basis Options'!$AD:$AD)</f>
        <v>0</v>
      </c>
      <c r="AQ32" s="43">
        <f>SUMIF('Basis Options'!$X:$X,CONCATENATE($AK32,AQ$4),'Basis Options'!$AD:$AD)</f>
        <v>0</v>
      </c>
      <c r="AR32" s="43">
        <f>SUMIF('Basis Options'!$X:$X,CONCATENATE($AK32,AR$4),'Basis Options'!$AD:$AD)</f>
        <v>0</v>
      </c>
      <c r="AS32" s="43">
        <f>SUMIF('Basis Options'!$X:$X,CONCATENATE($AK32,AS$4),'Basis Options'!$AD:$AD)</f>
        <v>0</v>
      </c>
      <c r="AT32" s="43">
        <f>SUMIF('Basis Options'!$X:$X,CONCATENATE($AK32,AT$4),'Basis Options'!$AD:$AD)</f>
        <v>0</v>
      </c>
      <c r="AU32" s="43">
        <f>SUMIF('Basis Options'!$X:$X,CONCATENATE($AK32,AU$4),'Basis Options'!$AD:$AD)</f>
        <v>0</v>
      </c>
      <c r="AV32" s="43">
        <f>SUMIF('Basis Options'!$X:$X,CONCATENATE($AK32,AV$4),'Basis Options'!$AD:$AD)</f>
        <v>0</v>
      </c>
      <c r="AW32" s="43">
        <f>SUMIF('Basis Options'!$X:$X,CONCATENATE($AK32,AW$4),'Basis Options'!$AD:$AD)</f>
        <v>0</v>
      </c>
      <c r="AX32" s="43">
        <f>SUMIF('Basis Options'!$X:$X,CONCATENATE($AK32,AX$4),'Basis Options'!$AD:$AD)</f>
        <v>0</v>
      </c>
      <c r="AY32" s="128">
        <f t="shared" si="7"/>
        <v>37561</v>
      </c>
      <c r="AZ32" s="44">
        <f t="shared" si="8"/>
        <v>-13.788726517219851</v>
      </c>
      <c r="BB32" s="128">
        <f t="shared" si="9"/>
        <v>37561</v>
      </c>
      <c r="BC32" s="43">
        <f>SUMIF('Basis Options'!$X:$X,CONCATENATE($AK32,BC$4),'Basis Options'!$AF:$AF)</f>
        <v>0</v>
      </c>
      <c r="BD32" s="43">
        <f>SUMIF('Basis Options'!$X:$X,CONCATENATE($AK32,BD$4),'Basis Options'!$AF:$AF)</f>
        <v>0</v>
      </c>
      <c r="BE32" s="43">
        <f>SUMIF('Basis Options'!$X:$X,CONCATENATE($AK32,BE$4),'Basis Options'!$AF:$AF)</f>
        <v>0</v>
      </c>
      <c r="BF32" s="43">
        <f>SUMIF('Basis Options'!$X:$X,CONCATENATE($AK32,BF$4),'Basis Options'!$AF:$AF)</f>
        <v>922.59275487586331</v>
      </c>
      <c r="BG32" s="43">
        <f>SUMIF('Basis Options'!$X:$X,CONCATENATE($AK32,BG$4),'Basis Options'!$AF:$AF)</f>
        <v>0</v>
      </c>
      <c r="BH32" s="43">
        <f>SUMIF('Basis Options'!$X:$X,CONCATENATE($AK32,BH$4),'Basis Options'!$AF:$AF)</f>
        <v>0</v>
      </c>
      <c r="BI32" s="43">
        <f>SUMIF('Basis Options'!$X:$X,CONCATENATE($AK32,BI$4),'Basis Options'!$AF:$AF)</f>
        <v>0</v>
      </c>
      <c r="BJ32" s="43">
        <f>SUMIF('Basis Options'!$X:$X,CONCATENATE($AK32,BJ$4),'Basis Options'!$AF:$AF)</f>
        <v>0</v>
      </c>
      <c r="BK32" s="43">
        <f>SUMIF('Basis Options'!$X:$X,CONCATENATE($AK32,BK$4),'Basis Options'!$AF:$AF)</f>
        <v>0</v>
      </c>
      <c r="BL32" s="43">
        <f>SUMIF('Basis Options'!$X:$X,CONCATENATE($AK32,BL$4),'Basis Options'!$AF:$AF)</f>
        <v>0</v>
      </c>
      <c r="BM32" s="43">
        <f>SUMIF('Basis Options'!$X:$X,CONCATENATE($AK32,BM$4),'Basis Options'!$AF:$AF)</f>
        <v>0</v>
      </c>
      <c r="BN32" s="43">
        <f>SUMIF('Basis Options'!$X:$X,CONCATENATE($AK32,BN$4),'Basis Options'!$AF:$AF)</f>
        <v>0</v>
      </c>
      <c r="BO32" s="43">
        <f>SUMIF('Basis Options'!$X:$X,CONCATENATE($AK32,BO$4),'Basis Options'!$AF:$AF)</f>
        <v>0</v>
      </c>
      <c r="BP32" s="128">
        <f t="shared" si="10"/>
        <v>37561</v>
      </c>
      <c r="BQ32" s="44">
        <f t="shared" si="11"/>
        <v>922.59275487586331</v>
      </c>
      <c r="BS32" s="128">
        <f t="shared" si="12"/>
        <v>37561</v>
      </c>
      <c r="BT32" s="43">
        <f>SUMIF('Basis Options'!$X:$X,CONCATENATE($BS32,BT$4),'Basis Options'!$AI:$AI)</f>
        <v>0</v>
      </c>
      <c r="BU32" s="43">
        <f>SUMIF('Basis Options'!$X:$X,CONCATENATE($BS32,BU$4),'Basis Options'!$AI:$AI)</f>
        <v>0</v>
      </c>
      <c r="BV32" s="43">
        <f>SUMIF('Basis Options'!$X:$X,CONCATENATE($BS32,BV$4),'Basis Options'!$AI:$AI)</f>
        <v>0</v>
      </c>
      <c r="BW32" s="43">
        <f>SUMIF('Basis Options'!$X:$X,CONCATENATE($BS32,BW$4),'Basis Options'!$AI:$AI)</f>
        <v>-1.8429104847683619E-2</v>
      </c>
      <c r="BX32" s="43">
        <f>SUMIF('Basis Options'!$X:$X,CONCATENATE($BS32,BX$4),'Basis Options'!$AI:$AI)</f>
        <v>0</v>
      </c>
      <c r="BY32" s="43">
        <f>SUMIF('Basis Options'!$X:$X,CONCATENATE($BS32,BY$4),'Basis Options'!$AI:$AI)</f>
        <v>0</v>
      </c>
      <c r="BZ32" s="43">
        <f>SUMIF('Basis Options'!$X:$X,CONCATENATE($BS32,BZ$4),'Basis Options'!$AI:$AI)</f>
        <v>0</v>
      </c>
      <c r="CA32" s="43">
        <f>SUMIF('Basis Options'!$X:$X,CONCATENATE($BS32,CA$4),'Basis Options'!$AI:$AI)</f>
        <v>0</v>
      </c>
      <c r="CB32" s="43">
        <f>SUMIF('Basis Options'!$X:$X,CONCATENATE($BS32,CB$4),'Basis Options'!$AI:$AI)</f>
        <v>0</v>
      </c>
      <c r="CC32" s="43">
        <f>SUMIF('Basis Options'!$X:$X,CONCATENATE($BS32,CC$4),'Basis Options'!$AI:$AI)</f>
        <v>0</v>
      </c>
      <c r="CD32" s="43">
        <f>SUMIF('Basis Options'!$X:$X,CONCATENATE($BS32,CD$4),'Basis Options'!$AI:$AI)</f>
        <v>0</v>
      </c>
      <c r="CE32" s="43">
        <f>SUMIF('Basis Options'!$X:$X,CONCATENATE($BS32,CE$4),'Basis Options'!$AI:$AI)</f>
        <v>0</v>
      </c>
      <c r="CF32" s="43">
        <f>SUMIF('Basis Options'!$X:$X,CONCATENATE($BS32,CF$4),'Basis Options'!$AI:$AI)</f>
        <v>0</v>
      </c>
      <c r="CG32" s="128">
        <f t="shared" si="13"/>
        <v>37561</v>
      </c>
      <c r="CH32" s="44">
        <f t="shared" si="14"/>
        <v>-1.8429104847683619E-2</v>
      </c>
    </row>
    <row r="33" spans="1:86" x14ac:dyDescent="0.25">
      <c r="A33" s="128">
        <f t="shared" si="0"/>
        <v>37591</v>
      </c>
      <c r="B33" s="43">
        <f>SUMIF('Basis Options'!X:X,CONCATENATE($A33,B$4),'Basis Options'!AB:AB)</f>
        <v>0</v>
      </c>
      <c r="C33" s="43">
        <f>SUMIF('Basis Options'!$X:$X,CONCATENATE($A33,C$4),'Basis Options'!$AB:$AB)</f>
        <v>0</v>
      </c>
      <c r="D33" s="43">
        <f>SUMIF('Basis Options'!$X:$X,CONCATENATE($A33,D$4),'Basis Options'!$AB:$AB)</f>
        <v>0</v>
      </c>
      <c r="E33" s="43">
        <f>SUMIF('Basis Options'!$X:$X,CONCATENATE($A33,E$4),'Basis Options'!$AB:$AB)</f>
        <v>0.35574587691391102</v>
      </c>
      <c r="F33" s="43">
        <f>SUMIF('Basis Options'!$X:$X,CONCATENATE($A33,F$4),'Basis Options'!$AB:$AB)</f>
        <v>0</v>
      </c>
      <c r="G33" s="43">
        <f>SUMIF('Basis Options'!$X:$X,CONCATENATE($A33,G$4),'Basis Options'!$AB:$AB)</f>
        <v>0</v>
      </c>
      <c r="H33" s="43">
        <f>SUMIF('Basis Options'!$X:$X,CONCATENATE($A33,H$4),'Basis Options'!$AB:$AB)</f>
        <v>0</v>
      </c>
      <c r="I33" s="43">
        <f>SUMIF('Basis Options'!$X:$X,CONCATENATE($A33,I$4),'Basis Options'!$AB:$AB)</f>
        <v>0</v>
      </c>
      <c r="J33" s="43">
        <f>SUMIF('Basis Options'!$X:$X,CONCATENATE($A33,J$4),'Basis Options'!$AB:$AB)</f>
        <v>0</v>
      </c>
      <c r="K33" s="43">
        <f>SUMIF('Basis Options'!$X:$X,CONCATENATE($A33,K$4),'Basis Options'!$AB:$AB)</f>
        <v>0</v>
      </c>
      <c r="L33" s="43">
        <f>SUMIF('Basis Options'!$X:$X,CONCATENATE($A33,L$4),'Basis Options'!$AB:$AB)</f>
        <v>0</v>
      </c>
      <c r="M33" s="43">
        <f>SUMIF('Basis Options'!$X:$X,CONCATENATE($A33,M$4),'Basis Options'!$AB:$AB)</f>
        <v>0</v>
      </c>
      <c r="N33" s="43">
        <f>SUMIF('Basis Options'!$X:$X,CONCATENATE($A33,N$4),'Basis Options'!$AB:$AB)</f>
        <v>0</v>
      </c>
      <c r="O33" s="128">
        <f t="shared" si="1"/>
        <v>37591</v>
      </c>
      <c r="P33" s="44">
        <f t="shared" si="2"/>
        <v>0.35574587691391102</v>
      </c>
      <c r="S33" s="128">
        <f t="shared" si="3"/>
        <v>37591</v>
      </c>
      <c r="T33" s="43">
        <f>SUMIF('Basis Options'!$X:$X,CONCATENATE($S33,T$4),'Basis Options'!$AC:$AC)</f>
        <v>0</v>
      </c>
      <c r="U33" s="43">
        <f>SUMIF('Basis Options'!$X:$X,CONCATENATE($S33,U$4),'Basis Options'!$AC:$AC)</f>
        <v>0</v>
      </c>
      <c r="V33" s="43">
        <f>SUMIF('Basis Options'!$X:$X,CONCATENATE($S33,V$4),'Basis Options'!$AC:$AC)</f>
        <v>0</v>
      </c>
      <c r="W33" s="43">
        <f>SUMIF('Basis Options'!$X:$X,CONCATENATE($S33,W$4),'Basis Options'!$AC:$AC)</f>
        <v>-8724.7036837469786</v>
      </c>
      <c r="X33" s="43">
        <f>SUMIF('Basis Options'!$X:$X,CONCATENATE($S33,X$4),'Basis Options'!$AC:$AC)</f>
        <v>0</v>
      </c>
      <c r="Y33" s="43">
        <f>SUMIF('Basis Options'!$X:$X,CONCATENATE($S33,Y$4),'Basis Options'!$AC:$AC)</f>
        <v>0</v>
      </c>
      <c r="Z33" s="43">
        <f>SUMIF('Basis Options'!$X:$X,CONCATENATE($S33,Z$4),'Basis Options'!$AC:$AC)</f>
        <v>0</v>
      </c>
      <c r="AA33" s="43">
        <f>SUMIF('Basis Options'!$X:$X,CONCATENATE($S33,AA$4),'Basis Options'!$AC:$AC)</f>
        <v>0</v>
      </c>
      <c r="AB33" s="43">
        <f>SUMIF('Basis Options'!$X:$X,CONCATENATE($S33,AB$4),'Basis Options'!$AC:$AC)</f>
        <v>0</v>
      </c>
      <c r="AC33" s="43">
        <f>SUMIF('Basis Options'!$X:$X,CONCATENATE($S33,AC$4),'Basis Options'!$AC:$AC)</f>
        <v>0</v>
      </c>
      <c r="AD33" s="43">
        <f>SUMIF('Basis Options'!$X:$X,CONCATENATE($S33,AD$4),'Basis Options'!$AC:$AC)</f>
        <v>0</v>
      </c>
      <c r="AE33" s="43">
        <f>SUMIF('Basis Options'!$X:$X,CONCATENATE($S33,AE$4),'Basis Options'!$AC:$AC)</f>
        <v>0</v>
      </c>
      <c r="AF33" s="43">
        <f>SUMIF('Basis Options'!$X:$X,CONCATENATE($S33,AF$4),'Basis Options'!$AC:$AC)</f>
        <v>0</v>
      </c>
      <c r="AG33" s="128">
        <f t="shared" si="4"/>
        <v>37591</v>
      </c>
      <c r="AH33" s="44">
        <f t="shared" si="5"/>
        <v>-8724.7036837469786</v>
      </c>
      <c r="AK33" s="128">
        <f t="shared" si="6"/>
        <v>37591</v>
      </c>
      <c r="AL33" s="43">
        <f>SUMIF('Basis Options'!$X:$X,CONCATENATE($AK33,AL$4),'Basis Options'!$AD:$AD)</f>
        <v>0</v>
      </c>
      <c r="AM33" s="43">
        <f>SUMIF('Basis Options'!$X:$X,CONCATENATE($AK33,AM$4),'Basis Options'!$AD:$AD)</f>
        <v>0</v>
      </c>
      <c r="AN33" s="43">
        <f>SUMIF('Basis Options'!$X:$X,CONCATENATE($AK33,AN$4),'Basis Options'!$AD:$AD)</f>
        <v>0</v>
      </c>
      <c r="AO33" s="43">
        <f>SUMIF('Basis Options'!$X:$X,CONCATENATE($AK33,AO$4),'Basis Options'!$AD:$AD)</f>
        <v>-14.259300709632472</v>
      </c>
      <c r="AP33" s="43">
        <f>SUMIF('Basis Options'!$X:$X,CONCATENATE($AK33,AP$4),'Basis Options'!$AD:$AD)</f>
        <v>0</v>
      </c>
      <c r="AQ33" s="43">
        <f>SUMIF('Basis Options'!$X:$X,CONCATENATE($AK33,AQ$4),'Basis Options'!$AD:$AD)</f>
        <v>0</v>
      </c>
      <c r="AR33" s="43">
        <f>SUMIF('Basis Options'!$X:$X,CONCATENATE($AK33,AR$4),'Basis Options'!$AD:$AD)</f>
        <v>0</v>
      </c>
      <c r="AS33" s="43">
        <f>SUMIF('Basis Options'!$X:$X,CONCATENATE($AK33,AS$4),'Basis Options'!$AD:$AD)</f>
        <v>0</v>
      </c>
      <c r="AT33" s="43">
        <f>SUMIF('Basis Options'!$X:$X,CONCATENATE($AK33,AT$4),'Basis Options'!$AD:$AD)</f>
        <v>0</v>
      </c>
      <c r="AU33" s="43">
        <f>SUMIF('Basis Options'!$X:$X,CONCATENATE($AK33,AU$4),'Basis Options'!$AD:$AD)</f>
        <v>0</v>
      </c>
      <c r="AV33" s="43">
        <f>SUMIF('Basis Options'!$X:$X,CONCATENATE($AK33,AV$4),'Basis Options'!$AD:$AD)</f>
        <v>0</v>
      </c>
      <c r="AW33" s="43">
        <f>SUMIF('Basis Options'!$X:$X,CONCATENATE($AK33,AW$4),'Basis Options'!$AD:$AD)</f>
        <v>0</v>
      </c>
      <c r="AX33" s="43">
        <f>SUMIF('Basis Options'!$X:$X,CONCATENATE($AK33,AX$4),'Basis Options'!$AD:$AD)</f>
        <v>0</v>
      </c>
      <c r="AY33" s="128">
        <f t="shared" si="7"/>
        <v>37591</v>
      </c>
      <c r="AZ33" s="44">
        <f t="shared" si="8"/>
        <v>-14.259300709632472</v>
      </c>
      <c r="BB33" s="128">
        <f t="shared" si="9"/>
        <v>37591</v>
      </c>
      <c r="BC33" s="43">
        <f>SUMIF('Basis Options'!$X:$X,CONCATENATE($AK33,BC$4),'Basis Options'!$AF:$AF)</f>
        <v>0</v>
      </c>
      <c r="BD33" s="43">
        <f>SUMIF('Basis Options'!$X:$X,CONCATENATE($AK33,BD$4),'Basis Options'!$AF:$AF)</f>
        <v>0</v>
      </c>
      <c r="BE33" s="43">
        <f>SUMIF('Basis Options'!$X:$X,CONCATENATE($AK33,BE$4),'Basis Options'!$AF:$AF)</f>
        <v>0</v>
      </c>
      <c r="BF33" s="43">
        <f>SUMIF('Basis Options'!$X:$X,CONCATENATE($AK33,BF$4),'Basis Options'!$AF:$AF)</f>
        <v>1038.0132653473502</v>
      </c>
      <c r="BG33" s="43">
        <f>SUMIF('Basis Options'!$X:$X,CONCATENATE($AK33,BG$4),'Basis Options'!$AF:$AF)</f>
        <v>0</v>
      </c>
      <c r="BH33" s="43">
        <f>SUMIF('Basis Options'!$X:$X,CONCATENATE($AK33,BH$4),'Basis Options'!$AF:$AF)</f>
        <v>0</v>
      </c>
      <c r="BI33" s="43">
        <f>SUMIF('Basis Options'!$X:$X,CONCATENATE($AK33,BI$4),'Basis Options'!$AF:$AF)</f>
        <v>0</v>
      </c>
      <c r="BJ33" s="43">
        <f>SUMIF('Basis Options'!$X:$X,CONCATENATE($AK33,BJ$4),'Basis Options'!$AF:$AF)</f>
        <v>0</v>
      </c>
      <c r="BK33" s="43">
        <f>SUMIF('Basis Options'!$X:$X,CONCATENATE($AK33,BK$4),'Basis Options'!$AF:$AF)</f>
        <v>0</v>
      </c>
      <c r="BL33" s="43">
        <f>SUMIF('Basis Options'!$X:$X,CONCATENATE($AK33,BL$4),'Basis Options'!$AF:$AF)</f>
        <v>0</v>
      </c>
      <c r="BM33" s="43">
        <f>SUMIF('Basis Options'!$X:$X,CONCATENATE($AK33,BM$4),'Basis Options'!$AF:$AF)</f>
        <v>0</v>
      </c>
      <c r="BN33" s="43">
        <f>SUMIF('Basis Options'!$X:$X,CONCATENATE($AK33,BN$4),'Basis Options'!$AF:$AF)</f>
        <v>0</v>
      </c>
      <c r="BO33" s="43">
        <f>SUMIF('Basis Options'!$X:$X,CONCATENATE($AK33,BO$4),'Basis Options'!$AF:$AF)</f>
        <v>0</v>
      </c>
      <c r="BP33" s="128">
        <f t="shared" si="10"/>
        <v>37591</v>
      </c>
      <c r="BQ33" s="44">
        <f t="shared" si="11"/>
        <v>1038.0132653473502</v>
      </c>
      <c r="BS33" s="128">
        <f t="shared" si="12"/>
        <v>37591</v>
      </c>
      <c r="BT33" s="43">
        <f>SUMIF('Basis Options'!$X:$X,CONCATENATE($BS33,BT$4),'Basis Options'!$AI:$AI)</f>
        <v>0</v>
      </c>
      <c r="BU33" s="43">
        <f>SUMIF('Basis Options'!$X:$X,CONCATENATE($BS33,BU$4),'Basis Options'!$AI:$AI)</f>
        <v>0</v>
      </c>
      <c r="BV33" s="43">
        <f>SUMIF('Basis Options'!$X:$X,CONCATENATE($BS33,BV$4),'Basis Options'!$AI:$AI)</f>
        <v>0</v>
      </c>
      <c r="BW33" s="43">
        <f>SUMIF('Basis Options'!$X:$X,CONCATENATE($BS33,BW$4),'Basis Options'!$AI:$AI)</f>
        <v>-1.1167050688927871E-2</v>
      </c>
      <c r="BX33" s="43">
        <f>SUMIF('Basis Options'!$X:$X,CONCATENATE($BS33,BX$4),'Basis Options'!$AI:$AI)</f>
        <v>0</v>
      </c>
      <c r="BY33" s="43">
        <f>SUMIF('Basis Options'!$X:$X,CONCATENATE($BS33,BY$4),'Basis Options'!$AI:$AI)</f>
        <v>0</v>
      </c>
      <c r="BZ33" s="43">
        <f>SUMIF('Basis Options'!$X:$X,CONCATENATE($BS33,BZ$4),'Basis Options'!$AI:$AI)</f>
        <v>0</v>
      </c>
      <c r="CA33" s="43">
        <f>SUMIF('Basis Options'!$X:$X,CONCATENATE($BS33,CA$4),'Basis Options'!$AI:$AI)</f>
        <v>0</v>
      </c>
      <c r="CB33" s="43">
        <f>SUMIF('Basis Options'!$X:$X,CONCATENATE($BS33,CB$4),'Basis Options'!$AI:$AI)</f>
        <v>0</v>
      </c>
      <c r="CC33" s="43">
        <f>SUMIF('Basis Options'!$X:$X,CONCATENATE($BS33,CC$4),'Basis Options'!$AI:$AI)</f>
        <v>0</v>
      </c>
      <c r="CD33" s="43">
        <f>SUMIF('Basis Options'!$X:$X,CONCATENATE($BS33,CD$4),'Basis Options'!$AI:$AI)</f>
        <v>0</v>
      </c>
      <c r="CE33" s="43">
        <f>SUMIF('Basis Options'!$X:$X,CONCATENATE($BS33,CE$4),'Basis Options'!$AI:$AI)</f>
        <v>0</v>
      </c>
      <c r="CF33" s="43">
        <f>SUMIF('Basis Options'!$X:$X,CONCATENATE($BS33,CF$4),'Basis Options'!$AI:$AI)</f>
        <v>0</v>
      </c>
      <c r="CG33" s="128">
        <f t="shared" si="13"/>
        <v>37591</v>
      </c>
      <c r="CH33" s="44">
        <f t="shared" si="14"/>
        <v>-1.1167050688927871E-2</v>
      </c>
    </row>
    <row r="34" spans="1:86" x14ac:dyDescent="0.25">
      <c r="A34" s="128">
        <f t="shared" si="0"/>
        <v>37622</v>
      </c>
      <c r="B34" s="43">
        <f>SUMIF('Basis Options'!X:X,CONCATENATE($A34,B$4),'Basis Options'!AB:AB)</f>
        <v>0</v>
      </c>
      <c r="C34" s="43">
        <f>SUMIF('Basis Options'!$X:$X,CONCATENATE($A34,C$4),'Basis Options'!$AB:$AB)</f>
        <v>0</v>
      </c>
      <c r="D34" s="43">
        <f>SUMIF('Basis Options'!$X:$X,CONCATENATE($A34,D$4),'Basis Options'!$AB:$AB)</f>
        <v>0</v>
      </c>
      <c r="E34" s="43">
        <f>SUMIF('Basis Options'!$X:$X,CONCATENATE($A34,E$4),'Basis Options'!$AB:$AB)</f>
        <v>0.36258484479503444</v>
      </c>
      <c r="F34" s="43">
        <f>SUMIF('Basis Options'!$X:$X,CONCATENATE($A34,F$4),'Basis Options'!$AB:$AB)</f>
        <v>0</v>
      </c>
      <c r="G34" s="43">
        <f>SUMIF('Basis Options'!$X:$X,CONCATENATE($A34,G$4),'Basis Options'!$AB:$AB)</f>
        <v>0</v>
      </c>
      <c r="H34" s="43">
        <f>SUMIF('Basis Options'!$X:$X,CONCATENATE($A34,H$4),'Basis Options'!$AB:$AB)</f>
        <v>0</v>
      </c>
      <c r="I34" s="43">
        <f>SUMIF('Basis Options'!$X:$X,CONCATENATE($A34,I$4),'Basis Options'!$AB:$AB)</f>
        <v>0</v>
      </c>
      <c r="J34" s="43">
        <f>SUMIF('Basis Options'!$X:$X,CONCATENATE($A34,J$4),'Basis Options'!$AB:$AB)</f>
        <v>0</v>
      </c>
      <c r="K34" s="43">
        <f>SUMIF('Basis Options'!$X:$X,CONCATENATE($A34,K$4),'Basis Options'!$AB:$AB)</f>
        <v>0</v>
      </c>
      <c r="L34" s="43">
        <f>SUMIF('Basis Options'!$X:$X,CONCATENATE($A34,L$4),'Basis Options'!$AB:$AB)</f>
        <v>0</v>
      </c>
      <c r="M34" s="43">
        <f>SUMIF('Basis Options'!$X:$X,CONCATENATE($A34,M$4),'Basis Options'!$AB:$AB)</f>
        <v>0</v>
      </c>
      <c r="N34" s="43">
        <f>SUMIF('Basis Options'!$X:$X,CONCATENATE($A34,N$4),'Basis Options'!$AB:$AB)</f>
        <v>0</v>
      </c>
      <c r="O34" s="128">
        <f t="shared" si="1"/>
        <v>37622</v>
      </c>
      <c r="P34" s="44">
        <f t="shared" si="2"/>
        <v>0.36258484479503444</v>
      </c>
      <c r="S34" s="128">
        <f t="shared" si="3"/>
        <v>37622</v>
      </c>
      <c r="T34" s="43">
        <f>SUMIF('Basis Options'!$X:$X,CONCATENATE($S34,T$4),'Basis Options'!$AC:$AC)</f>
        <v>0</v>
      </c>
      <c r="U34" s="43">
        <f>SUMIF('Basis Options'!$X:$X,CONCATENATE($S34,U$4),'Basis Options'!$AC:$AC)</f>
        <v>0</v>
      </c>
      <c r="V34" s="43">
        <f>SUMIF('Basis Options'!$X:$X,CONCATENATE($S34,V$4),'Basis Options'!$AC:$AC)</f>
        <v>0</v>
      </c>
      <c r="W34" s="43">
        <f>SUMIF('Basis Options'!$X:$X,CONCATENATE($S34,W$4),'Basis Options'!$AC:$AC)</f>
        <v>-8510.9602906733016</v>
      </c>
      <c r="X34" s="43">
        <f>SUMIF('Basis Options'!$X:$X,CONCATENATE($S34,X$4),'Basis Options'!$AC:$AC)</f>
        <v>0</v>
      </c>
      <c r="Y34" s="43">
        <f>SUMIF('Basis Options'!$X:$X,CONCATENATE($S34,Y$4),'Basis Options'!$AC:$AC)</f>
        <v>0</v>
      </c>
      <c r="Z34" s="43">
        <f>SUMIF('Basis Options'!$X:$X,CONCATENATE($S34,Z$4),'Basis Options'!$AC:$AC)</f>
        <v>0</v>
      </c>
      <c r="AA34" s="43">
        <f>SUMIF('Basis Options'!$X:$X,CONCATENATE($S34,AA$4),'Basis Options'!$AC:$AC)</f>
        <v>0</v>
      </c>
      <c r="AB34" s="43">
        <f>SUMIF('Basis Options'!$X:$X,CONCATENATE($S34,AB$4),'Basis Options'!$AC:$AC)</f>
        <v>0</v>
      </c>
      <c r="AC34" s="43">
        <f>SUMIF('Basis Options'!$X:$X,CONCATENATE($S34,AC$4),'Basis Options'!$AC:$AC)</f>
        <v>0</v>
      </c>
      <c r="AD34" s="43">
        <f>SUMIF('Basis Options'!$X:$X,CONCATENATE($S34,AD$4),'Basis Options'!$AC:$AC)</f>
        <v>0</v>
      </c>
      <c r="AE34" s="43">
        <f>SUMIF('Basis Options'!$X:$X,CONCATENATE($S34,AE$4),'Basis Options'!$AC:$AC)</f>
        <v>0</v>
      </c>
      <c r="AF34" s="43">
        <f>SUMIF('Basis Options'!$X:$X,CONCATENATE($S34,AF$4),'Basis Options'!$AC:$AC)</f>
        <v>0</v>
      </c>
      <c r="AG34" s="128">
        <f t="shared" si="4"/>
        <v>37622</v>
      </c>
      <c r="AH34" s="44">
        <f t="shared" si="5"/>
        <v>-8510.9602906733016</v>
      </c>
      <c r="AK34" s="128">
        <f t="shared" si="6"/>
        <v>37622</v>
      </c>
      <c r="AL34" s="43">
        <f>SUMIF('Basis Options'!$X:$X,CONCATENATE($AK34,AL$4),'Basis Options'!$AD:$AD)</f>
        <v>0</v>
      </c>
      <c r="AM34" s="43">
        <f>SUMIF('Basis Options'!$X:$X,CONCATENATE($AK34,AM$4),'Basis Options'!$AD:$AD)</f>
        <v>0</v>
      </c>
      <c r="AN34" s="43">
        <f>SUMIF('Basis Options'!$X:$X,CONCATENATE($AK34,AN$4),'Basis Options'!$AD:$AD)</f>
        <v>0</v>
      </c>
      <c r="AO34" s="43">
        <f>SUMIF('Basis Options'!$X:$X,CONCATENATE($AK34,AO$4),'Basis Options'!$AD:$AD)</f>
        <v>-13.104325442712645</v>
      </c>
      <c r="AP34" s="43">
        <f>SUMIF('Basis Options'!$X:$X,CONCATENATE($AK34,AP$4),'Basis Options'!$AD:$AD)</f>
        <v>0</v>
      </c>
      <c r="AQ34" s="43">
        <f>SUMIF('Basis Options'!$X:$X,CONCATENATE($AK34,AQ$4),'Basis Options'!$AD:$AD)</f>
        <v>0</v>
      </c>
      <c r="AR34" s="43">
        <f>SUMIF('Basis Options'!$X:$X,CONCATENATE($AK34,AR$4),'Basis Options'!$AD:$AD)</f>
        <v>0</v>
      </c>
      <c r="AS34" s="43">
        <f>SUMIF('Basis Options'!$X:$X,CONCATENATE($AK34,AS$4),'Basis Options'!$AD:$AD)</f>
        <v>0</v>
      </c>
      <c r="AT34" s="43">
        <f>SUMIF('Basis Options'!$X:$X,CONCATENATE($AK34,AT$4),'Basis Options'!$AD:$AD)</f>
        <v>0</v>
      </c>
      <c r="AU34" s="43">
        <f>SUMIF('Basis Options'!$X:$X,CONCATENATE($AK34,AU$4),'Basis Options'!$AD:$AD)</f>
        <v>0</v>
      </c>
      <c r="AV34" s="43">
        <f>SUMIF('Basis Options'!$X:$X,CONCATENATE($AK34,AV$4),'Basis Options'!$AD:$AD)</f>
        <v>0</v>
      </c>
      <c r="AW34" s="43">
        <f>SUMIF('Basis Options'!$X:$X,CONCATENATE($AK34,AW$4),'Basis Options'!$AD:$AD)</f>
        <v>0</v>
      </c>
      <c r="AX34" s="43">
        <f>SUMIF('Basis Options'!$X:$X,CONCATENATE($AK34,AX$4),'Basis Options'!$AD:$AD)</f>
        <v>0</v>
      </c>
      <c r="AY34" s="128">
        <f t="shared" si="7"/>
        <v>37622</v>
      </c>
      <c r="AZ34" s="44">
        <f t="shared" si="8"/>
        <v>-13.104325442712645</v>
      </c>
      <c r="BB34" s="128">
        <f t="shared" si="9"/>
        <v>37622</v>
      </c>
      <c r="BC34" s="43">
        <f>SUMIF('Basis Options'!$X:$X,CONCATENATE($AK34,BC$4),'Basis Options'!$AF:$AF)</f>
        <v>0</v>
      </c>
      <c r="BD34" s="43">
        <f>SUMIF('Basis Options'!$X:$X,CONCATENATE($AK34,BD$4),'Basis Options'!$AF:$AF)</f>
        <v>0</v>
      </c>
      <c r="BE34" s="43">
        <f>SUMIF('Basis Options'!$X:$X,CONCATENATE($AK34,BE$4),'Basis Options'!$AF:$AF)</f>
        <v>0</v>
      </c>
      <c r="BF34" s="43">
        <f>SUMIF('Basis Options'!$X:$X,CONCATENATE($AK34,BF$4),'Basis Options'!$AF:$AF)</f>
        <v>1063.5393868370377</v>
      </c>
      <c r="BG34" s="43">
        <f>SUMIF('Basis Options'!$X:$X,CONCATENATE($AK34,BG$4),'Basis Options'!$AF:$AF)</f>
        <v>0</v>
      </c>
      <c r="BH34" s="43">
        <f>SUMIF('Basis Options'!$X:$X,CONCATENATE($AK34,BH$4),'Basis Options'!$AF:$AF)</f>
        <v>0</v>
      </c>
      <c r="BI34" s="43">
        <f>SUMIF('Basis Options'!$X:$X,CONCATENATE($AK34,BI$4),'Basis Options'!$AF:$AF)</f>
        <v>0</v>
      </c>
      <c r="BJ34" s="43">
        <f>SUMIF('Basis Options'!$X:$X,CONCATENATE($AK34,BJ$4),'Basis Options'!$AF:$AF)</f>
        <v>0</v>
      </c>
      <c r="BK34" s="43">
        <f>SUMIF('Basis Options'!$X:$X,CONCATENATE($AK34,BK$4),'Basis Options'!$AF:$AF)</f>
        <v>0</v>
      </c>
      <c r="BL34" s="43">
        <f>SUMIF('Basis Options'!$X:$X,CONCATENATE($AK34,BL$4),'Basis Options'!$AF:$AF)</f>
        <v>0</v>
      </c>
      <c r="BM34" s="43">
        <f>SUMIF('Basis Options'!$X:$X,CONCATENATE($AK34,BM$4),'Basis Options'!$AF:$AF)</f>
        <v>0</v>
      </c>
      <c r="BN34" s="43">
        <f>SUMIF('Basis Options'!$X:$X,CONCATENATE($AK34,BN$4),'Basis Options'!$AF:$AF)</f>
        <v>0</v>
      </c>
      <c r="BO34" s="43">
        <f>SUMIF('Basis Options'!$X:$X,CONCATENATE($AK34,BO$4),'Basis Options'!$AF:$AF)</f>
        <v>0</v>
      </c>
      <c r="BP34" s="128">
        <f t="shared" si="10"/>
        <v>37622</v>
      </c>
      <c r="BQ34" s="44">
        <f t="shared" si="11"/>
        <v>1063.5393868370377</v>
      </c>
      <c r="BS34" s="128">
        <f t="shared" si="12"/>
        <v>37622</v>
      </c>
      <c r="BT34" s="43">
        <f>SUMIF('Basis Options'!$X:$X,CONCATENATE($BS34,BT$4),'Basis Options'!$AI:$AI)</f>
        <v>0</v>
      </c>
      <c r="BU34" s="43">
        <f>SUMIF('Basis Options'!$X:$X,CONCATENATE($BS34,BU$4),'Basis Options'!$AI:$AI)</f>
        <v>0</v>
      </c>
      <c r="BV34" s="43">
        <f>SUMIF('Basis Options'!$X:$X,CONCATENATE($BS34,BV$4),'Basis Options'!$AI:$AI)</f>
        <v>0</v>
      </c>
      <c r="BW34" s="43">
        <f>SUMIF('Basis Options'!$X:$X,CONCATENATE($BS34,BW$4),'Basis Options'!$AI:$AI)</f>
        <v>-9.1136143876236475E-3</v>
      </c>
      <c r="BX34" s="43">
        <f>SUMIF('Basis Options'!$X:$X,CONCATENATE($BS34,BX$4),'Basis Options'!$AI:$AI)</f>
        <v>0</v>
      </c>
      <c r="BY34" s="43">
        <f>SUMIF('Basis Options'!$X:$X,CONCATENATE($BS34,BY$4),'Basis Options'!$AI:$AI)</f>
        <v>0</v>
      </c>
      <c r="BZ34" s="43">
        <f>SUMIF('Basis Options'!$X:$X,CONCATENATE($BS34,BZ$4),'Basis Options'!$AI:$AI)</f>
        <v>0</v>
      </c>
      <c r="CA34" s="43">
        <f>SUMIF('Basis Options'!$X:$X,CONCATENATE($BS34,CA$4),'Basis Options'!$AI:$AI)</f>
        <v>0</v>
      </c>
      <c r="CB34" s="43">
        <f>SUMIF('Basis Options'!$X:$X,CONCATENATE($BS34,CB$4),'Basis Options'!$AI:$AI)</f>
        <v>0</v>
      </c>
      <c r="CC34" s="43">
        <f>SUMIF('Basis Options'!$X:$X,CONCATENATE($BS34,CC$4),'Basis Options'!$AI:$AI)</f>
        <v>0</v>
      </c>
      <c r="CD34" s="43">
        <f>SUMIF('Basis Options'!$X:$X,CONCATENATE($BS34,CD$4),'Basis Options'!$AI:$AI)</f>
        <v>0</v>
      </c>
      <c r="CE34" s="43">
        <f>SUMIF('Basis Options'!$X:$X,CONCATENATE($BS34,CE$4),'Basis Options'!$AI:$AI)</f>
        <v>0</v>
      </c>
      <c r="CF34" s="43">
        <f>SUMIF('Basis Options'!$X:$X,CONCATENATE($BS34,CF$4),'Basis Options'!$AI:$AI)</f>
        <v>0</v>
      </c>
      <c r="CG34" s="128">
        <f t="shared" si="13"/>
        <v>37622</v>
      </c>
      <c r="CH34" s="44">
        <f t="shared" si="14"/>
        <v>-9.1136143876236475E-3</v>
      </c>
    </row>
    <row r="35" spans="1:86" x14ac:dyDescent="0.25">
      <c r="A35" s="128">
        <f t="shared" si="0"/>
        <v>37653</v>
      </c>
      <c r="B35" s="43">
        <f>SUMIF('Basis Options'!X:X,CONCATENATE($A35,B$4),'Basis Options'!AB:AB)</f>
        <v>0</v>
      </c>
      <c r="C35" s="43">
        <f>SUMIF('Basis Options'!$X:$X,CONCATENATE($A35,C$4),'Basis Options'!$AB:$AB)</f>
        <v>0</v>
      </c>
      <c r="D35" s="43">
        <f>SUMIF('Basis Options'!$X:$X,CONCATENATE($A35,D$4),'Basis Options'!$AB:$AB)</f>
        <v>0</v>
      </c>
      <c r="E35" s="43">
        <f>SUMIF('Basis Options'!$X:$X,CONCATENATE($A35,E$4),'Basis Options'!$AB:$AB)</f>
        <v>0.32912195611904116</v>
      </c>
      <c r="F35" s="43">
        <f>SUMIF('Basis Options'!$X:$X,CONCATENATE($A35,F$4),'Basis Options'!$AB:$AB)</f>
        <v>0</v>
      </c>
      <c r="G35" s="43">
        <f>SUMIF('Basis Options'!$X:$X,CONCATENATE($A35,G$4),'Basis Options'!$AB:$AB)</f>
        <v>0</v>
      </c>
      <c r="H35" s="43">
        <f>SUMIF('Basis Options'!$X:$X,CONCATENATE($A35,H$4),'Basis Options'!$AB:$AB)</f>
        <v>0</v>
      </c>
      <c r="I35" s="43">
        <f>SUMIF('Basis Options'!$X:$X,CONCATENATE($A35,I$4),'Basis Options'!$AB:$AB)</f>
        <v>0</v>
      </c>
      <c r="J35" s="43">
        <f>SUMIF('Basis Options'!$X:$X,CONCATENATE($A35,J$4),'Basis Options'!$AB:$AB)</f>
        <v>0</v>
      </c>
      <c r="K35" s="43">
        <f>SUMIF('Basis Options'!$X:$X,CONCATENATE($A35,K$4),'Basis Options'!$AB:$AB)</f>
        <v>0</v>
      </c>
      <c r="L35" s="43">
        <f>SUMIF('Basis Options'!$X:$X,CONCATENATE($A35,L$4),'Basis Options'!$AB:$AB)</f>
        <v>0</v>
      </c>
      <c r="M35" s="43">
        <f>SUMIF('Basis Options'!$X:$X,CONCATENATE($A35,M$4),'Basis Options'!$AB:$AB)</f>
        <v>0</v>
      </c>
      <c r="N35" s="43">
        <f>SUMIF('Basis Options'!$X:$X,CONCATENATE($A35,N$4),'Basis Options'!$AB:$AB)</f>
        <v>0</v>
      </c>
      <c r="O35" s="128">
        <f t="shared" si="1"/>
        <v>37653</v>
      </c>
      <c r="P35" s="44">
        <f t="shared" si="2"/>
        <v>0.32912195611904116</v>
      </c>
      <c r="S35" s="128">
        <f t="shared" si="3"/>
        <v>37653</v>
      </c>
      <c r="T35" s="43">
        <f>SUMIF('Basis Options'!$X:$X,CONCATENATE($S35,T$4),'Basis Options'!$AC:$AC)</f>
        <v>0</v>
      </c>
      <c r="U35" s="43">
        <f>SUMIF('Basis Options'!$X:$X,CONCATENATE($S35,U$4),'Basis Options'!$AC:$AC)</f>
        <v>0</v>
      </c>
      <c r="V35" s="43">
        <f>SUMIF('Basis Options'!$X:$X,CONCATENATE($S35,V$4),'Basis Options'!$AC:$AC)</f>
        <v>0</v>
      </c>
      <c r="W35" s="43">
        <f>SUMIF('Basis Options'!$X:$X,CONCATENATE($S35,W$4),'Basis Options'!$AC:$AC)</f>
        <v>-7287.7076250373948</v>
      </c>
      <c r="X35" s="43">
        <f>SUMIF('Basis Options'!$X:$X,CONCATENATE($S35,X$4),'Basis Options'!$AC:$AC)</f>
        <v>0</v>
      </c>
      <c r="Y35" s="43">
        <f>SUMIF('Basis Options'!$X:$X,CONCATENATE($S35,Y$4),'Basis Options'!$AC:$AC)</f>
        <v>0</v>
      </c>
      <c r="Z35" s="43">
        <f>SUMIF('Basis Options'!$X:$X,CONCATENATE($S35,Z$4),'Basis Options'!$AC:$AC)</f>
        <v>0</v>
      </c>
      <c r="AA35" s="43">
        <f>SUMIF('Basis Options'!$X:$X,CONCATENATE($S35,AA$4),'Basis Options'!$AC:$AC)</f>
        <v>0</v>
      </c>
      <c r="AB35" s="43">
        <f>SUMIF('Basis Options'!$X:$X,CONCATENATE($S35,AB$4),'Basis Options'!$AC:$AC)</f>
        <v>0</v>
      </c>
      <c r="AC35" s="43">
        <f>SUMIF('Basis Options'!$X:$X,CONCATENATE($S35,AC$4),'Basis Options'!$AC:$AC)</f>
        <v>0</v>
      </c>
      <c r="AD35" s="43">
        <f>SUMIF('Basis Options'!$X:$X,CONCATENATE($S35,AD$4),'Basis Options'!$AC:$AC)</f>
        <v>0</v>
      </c>
      <c r="AE35" s="43">
        <f>SUMIF('Basis Options'!$X:$X,CONCATENATE($S35,AE$4),'Basis Options'!$AC:$AC)</f>
        <v>0</v>
      </c>
      <c r="AF35" s="43">
        <f>SUMIF('Basis Options'!$X:$X,CONCATENATE($S35,AF$4),'Basis Options'!$AC:$AC)</f>
        <v>0</v>
      </c>
      <c r="AG35" s="128">
        <f t="shared" si="4"/>
        <v>37653</v>
      </c>
      <c r="AH35" s="44">
        <f t="shared" si="5"/>
        <v>-7287.7076250373948</v>
      </c>
      <c r="AK35" s="128">
        <f t="shared" si="6"/>
        <v>37653</v>
      </c>
      <c r="AL35" s="43">
        <f>SUMIF('Basis Options'!$X:$X,CONCATENATE($AK35,AL$4),'Basis Options'!$AD:$AD)</f>
        <v>0</v>
      </c>
      <c r="AM35" s="43">
        <f>SUMIF('Basis Options'!$X:$X,CONCATENATE($AK35,AM$4),'Basis Options'!$AD:$AD)</f>
        <v>0</v>
      </c>
      <c r="AN35" s="43">
        <f>SUMIF('Basis Options'!$X:$X,CONCATENATE($AK35,AN$4),'Basis Options'!$AD:$AD)</f>
        <v>0</v>
      </c>
      <c r="AO35" s="43">
        <f>SUMIF('Basis Options'!$X:$X,CONCATENATE($AK35,AO$4),'Basis Options'!$AD:$AD)</f>
        <v>-11.117192144641256</v>
      </c>
      <c r="AP35" s="43">
        <f>SUMIF('Basis Options'!$X:$X,CONCATENATE($AK35,AP$4),'Basis Options'!$AD:$AD)</f>
        <v>0</v>
      </c>
      <c r="AQ35" s="43">
        <f>SUMIF('Basis Options'!$X:$X,CONCATENATE($AK35,AQ$4),'Basis Options'!$AD:$AD)</f>
        <v>0</v>
      </c>
      <c r="AR35" s="43">
        <f>SUMIF('Basis Options'!$X:$X,CONCATENATE($AK35,AR$4),'Basis Options'!$AD:$AD)</f>
        <v>0</v>
      </c>
      <c r="AS35" s="43">
        <f>SUMIF('Basis Options'!$X:$X,CONCATENATE($AK35,AS$4),'Basis Options'!$AD:$AD)</f>
        <v>0</v>
      </c>
      <c r="AT35" s="43">
        <f>SUMIF('Basis Options'!$X:$X,CONCATENATE($AK35,AT$4),'Basis Options'!$AD:$AD)</f>
        <v>0</v>
      </c>
      <c r="AU35" s="43">
        <f>SUMIF('Basis Options'!$X:$X,CONCATENATE($AK35,AU$4),'Basis Options'!$AD:$AD)</f>
        <v>0</v>
      </c>
      <c r="AV35" s="43">
        <f>SUMIF('Basis Options'!$X:$X,CONCATENATE($AK35,AV$4),'Basis Options'!$AD:$AD)</f>
        <v>0</v>
      </c>
      <c r="AW35" s="43">
        <f>SUMIF('Basis Options'!$X:$X,CONCATENATE($AK35,AW$4),'Basis Options'!$AD:$AD)</f>
        <v>0</v>
      </c>
      <c r="AX35" s="43">
        <f>SUMIF('Basis Options'!$X:$X,CONCATENATE($AK35,AX$4),'Basis Options'!$AD:$AD)</f>
        <v>0</v>
      </c>
      <c r="AY35" s="128">
        <f t="shared" si="7"/>
        <v>37653</v>
      </c>
      <c r="AZ35" s="44">
        <f t="shared" si="8"/>
        <v>-11.117192144641256</v>
      </c>
      <c r="BB35" s="128">
        <f t="shared" si="9"/>
        <v>37653</v>
      </c>
      <c r="BC35" s="43">
        <f>SUMIF('Basis Options'!$X:$X,CONCATENATE($AK35,BC$4),'Basis Options'!$AF:$AF)</f>
        <v>0</v>
      </c>
      <c r="BD35" s="43">
        <f>SUMIF('Basis Options'!$X:$X,CONCATENATE($AK35,BD$4),'Basis Options'!$AF:$AF)</f>
        <v>0</v>
      </c>
      <c r="BE35" s="43">
        <f>SUMIF('Basis Options'!$X:$X,CONCATENATE($AK35,BE$4),'Basis Options'!$AF:$AF)</f>
        <v>0</v>
      </c>
      <c r="BF35" s="43">
        <f>SUMIF('Basis Options'!$X:$X,CONCATENATE($AK35,BF$4),'Basis Options'!$AF:$AF)</f>
        <v>916.18632253928979</v>
      </c>
      <c r="BG35" s="43">
        <f>SUMIF('Basis Options'!$X:$X,CONCATENATE($AK35,BG$4),'Basis Options'!$AF:$AF)</f>
        <v>0</v>
      </c>
      <c r="BH35" s="43">
        <f>SUMIF('Basis Options'!$X:$X,CONCATENATE($AK35,BH$4),'Basis Options'!$AF:$AF)</f>
        <v>0</v>
      </c>
      <c r="BI35" s="43">
        <f>SUMIF('Basis Options'!$X:$X,CONCATENATE($AK35,BI$4),'Basis Options'!$AF:$AF)</f>
        <v>0</v>
      </c>
      <c r="BJ35" s="43">
        <f>SUMIF('Basis Options'!$X:$X,CONCATENATE($AK35,BJ$4),'Basis Options'!$AF:$AF)</f>
        <v>0</v>
      </c>
      <c r="BK35" s="43">
        <f>SUMIF('Basis Options'!$X:$X,CONCATENATE($AK35,BK$4),'Basis Options'!$AF:$AF)</f>
        <v>0</v>
      </c>
      <c r="BL35" s="43">
        <f>SUMIF('Basis Options'!$X:$X,CONCATENATE($AK35,BL$4),'Basis Options'!$AF:$AF)</f>
        <v>0</v>
      </c>
      <c r="BM35" s="43">
        <f>SUMIF('Basis Options'!$X:$X,CONCATENATE($AK35,BM$4),'Basis Options'!$AF:$AF)</f>
        <v>0</v>
      </c>
      <c r="BN35" s="43">
        <f>SUMIF('Basis Options'!$X:$X,CONCATENATE($AK35,BN$4),'Basis Options'!$AF:$AF)</f>
        <v>0</v>
      </c>
      <c r="BO35" s="43">
        <f>SUMIF('Basis Options'!$X:$X,CONCATENATE($AK35,BO$4),'Basis Options'!$AF:$AF)</f>
        <v>0</v>
      </c>
      <c r="BP35" s="128">
        <f t="shared" si="10"/>
        <v>37653</v>
      </c>
      <c r="BQ35" s="44">
        <f t="shared" si="11"/>
        <v>916.18632253928979</v>
      </c>
      <c r="BS35" s="128">
        <f t="shared" si="12"/>
        <v>37653</v>
      </c>
      <c r="BT35" s="43">
        <f>SUMIF('Basis Options'!$X:$X,CONCATENATE($BS35,BT$4),'Basis Options'!$AI:$AI)</f>
        <v>0</v>
      </c>
      <c r="BU35" s="43">
        <f>SUMIF('Basis Options'!$X:$X,CONCATENATE($BS35,BU$4),'Basis Options'!$AI:$AI)</f>
        <v>0</v>
      </c>
      <c r="BV35" s="43">
        <f>SUMIF('Basis Options'!$X:$X,CONCATENATE($BS35,BV$4),'Basis Options'!$AI:$AI)</f>
        <v>0</v>
      </c>
      <c r="BW35" s="43">
        <f>SUMIF('Basis Options'!$X:$X,CONCATENATE($BS35,BW$4),'Basis Options'!$AI:$AI)</f>
        <v>-1.2313341853266269E-2</v>
      </c>
      <c r="BX35" s="43">
        <f>SUMIF('Basis Options'!$X:$X,CONCATENATE($BS35,BX$4),'Basis Options'!$AI:$AI)</f>
        <v>0</v>
      </c>
      <c r="BY35" s="43">
        <f>SUMIF('Basis Options'!$X:$X,CONCATENATE($BS35,BY$4),'Basis Options'!$AI:$AI)</f>
        <v>0</v>
      </c>
      <c r="BZ35" s="43">
        <f>SUMIF('Basis Options'!$X:$X,CONCATENATE($BS35,BZ$4),'Basis Options'!$AI:$AI)</f>
        <v>0</v>
      </c>
      <c r="CA35" s="43">
        <f>SUMIF('Basis Options'!$X:$X,CONCATENATE($BS35,CA$4),'Basis Options'!$AI:$AI)</f>
        <v>0</v>
      </c>
      <c r="CB35" s="43">
        <f>SUMIF('Basis Options'!$X:$X,CONCATENATE($BS35,CB$4),'Basis Options'!$AI:$AI)</f>
        <v>0</v>
      </c>
      <c r="CC35" s="43">
        <f>SUMIF('Basis Options'!$X:$X,CONCATENATE($BS35,CC$4),'Basis Options'!$AI:$AI)</f>
        <v>0</v>
      </c>
      <c r="CD35" s="43">
        <f>SUMIF('Basis Options'!$X:$X,CONCATENATE($BS35,CD$4),'Basis Options'!$AI:$AI)</f>
        <v>0</v>
      </c>
      <c r="CE35" s="43">
        <f>SUMIF('Basis Options'!$X:$X,CONCATENATE($BS35,CE$4),'Basis Options'!$AI:$AI)</f>
        <v>0</v>
      </c>
      <c r="CF35" s="43">
        <f>SUMIF('Basis Options'!$X:$X,CONCATENATE($BS35,CF$4),'Basis Options'!$AI:$AI)</f>
        <v>0</v>
      </c>
      <c r="CG35" s="128">
        <f t="shared" si="13"/>
        <v>37653</v>
      </c>
      <c r="CH35" s="44">
        <f t="shared" si="14"/>
        <v>-1.2313341853266269E-2</v>
      </c>
    </row>
    <row r="36" spans="1:86" x14ac:dyDescent="0.25">
      <c r="A36" s="128">
        <f t="shared" si="0"/>
        <v>37681</v>
      </c>
      <c r="B36" s="43">
        <f>SUMIF('Basis Options'!X:X,CONCATENATE($A36,B$4),'Basis Options'!AB:AB)</f>
        <v>0</v>
      </c>
      <c r="C36" s="43">
        <f>SUMIF('Basis Options'!$X:$X,CONCATENATE($A36,C$4),'Basis Options'!$AB:$AB)</f>
        <v>0</v>
      </c>
      <c r="D36" s="43">
        <f>SUMIF('Basis Options'!$X:$X,CONCATENATE($A36,D$4),'Basis Options'!$AB:$AB)</f>
        <v>0</v>
      </c>
      <c r="E36" s="43">
        <f>SUMIF('Basis Options'!$X:$X,CONCATENATE($A36,E$4),'Basis Options'!$AB:$AB)</f>
        <v>0.38529711791869525</v>
      </c>
      <c r="F36" s="43">
        <f>SUMIF('Basis Options'!$X:$X,CONCATENATE($A36,F$4),'Basis Options'!$AB:$AB)</f>
        <v>0</v>
      </c>
      <c r="G36" s="43">
        <f>SUMIF('Basis Options'!$X:$X,CONCATENATE($A36,G$4),'Basis Options'!$AB:$AB)</f>
        <v>0</v>
      </c>
      <c r="H36" s="43">
        <f>SUMIF('Basis Options'!$X:$X,CONCATENATE($A36,H$4),'Basis Options'!$AB:$AB)</f>
        <v>0</v>
      </c>
      <c r="I36" s="43">
        <f>SUMIF('Basis Options'!$X:$X,CONCATENATE($A36,I$4),'Basis Options'!$AB:$AB)</f>
        <v>0</v>
      </c>
      <c r="J36" s="43">
        <f>SUMIF('Basis Options'!$X:$X,CONCATENATE($A36,J$4),'Basis Options'!$AB:$AB)</f>
        <v>0</v>
      </c>
      <c r="K36" s="43">
        <f>SUMIF('Basis Options'!$X:$X,CONCATENATE($A36,K$4),'Basis Options'!$AB:$AB)</f>
        <v>0</v>
      </c>
      <c r="L36" s="43">
        <f>SUMIF('Basis Options'!$X:$X,CONCATENATE($A36,L$4),'Basis Options'!$AB:$AB)</f>
        <v>0</v>
      </c>
      <c r="M36" s="43">
        <f>SUMIF('Basis Options'!$X:$X,CONCATENATE($A36,M$4),'Basis Options'!$AB:$AB)</f>
        <v>0</v>
      </c>
      <c r="N36" s="43">
        <f>SUMIF('Basis Options'!$X:$X,CONCATENATE($A36,N$4),'Basis Options'!$AB:$AB)</f>
        <v>0</v>
      </c>
      <c r="O36" s="128">
        <f t="shared" si="1"/>
        <v>37681</v>
      </c>
      <c r="P36" s="44">
        <f t="shared" si="2"/>
        <v>0.38529711791869525</v>
      </c>
      <c r="S36" s="128">
        <f t="shared" si="3"/>
        <v>37681</v>
      </c>
      <c r="T36" s="43">
        <f>SUMIF('Basis Options'!$X:$X,CONCATENATE($S36,T$4),'Basis Options'!$AC:$AC)</f>
        <v>0</v>
      </c>
      <c r="U36" s="43">
        <f>SUMIF('Basis Options'!$X:$X,CONCATENATE($S36,U$4),'Basis Options'!$AC:$AC)</f>
        <v>0</v>
      </c>
      <c r="V36" s="43">
        <f>SUMIF('Basis Options'!$X:$X,CONCATENATE($S36,V$4),'Basis Options'!$AC:$AC)</f>
        <v>0</v>
      </c>
      <c r="W36" s="43">
        <f>SUMIF('Basis Options'!$X:$X,CONCATENATE($S36,W$4),'Basis Options'!$AC:$AC)</f>
        <v>-7378.6150316032863</v>
      </c>
      <c r="X36" s="43">
        <f>SUMIF('Basis Options'!$X:$X,CONCATENATE($S36,X$4),'Basis Options'!$AC:$AC)</f>
        <v>0</v>
      </c>
      <c r="Y36" s="43">
        <f>SUMIF('Basis Options'!$X:$X,CONCATENATE($S36,Y$4),'Basis Options'!$AC:$AC)</f>
        <v>0</v>
      </c>
      <c r="Z36" s="43">
        <f>SUMIF('Basis Options'!$X:$X,CONCATENATE($S36,Z$4),'Basis Options'!$AC:$AC)</f>
        <v>0</v>
      </c>
      <c r="AA36" s="43">
        <f>SUMIF('Basis Options'!$X:$X,CONCATENATE($S36,AA$4),'Basis Options'!$AC:$AC)</f>
        <v>0</v>
      </c>
      <c r="AB36" s="43">
        <f>SUMIF('Basis Options'!$X:$X,CONCATENATE($S36,AB$4),'Basis Options'!$AC:$AC)</f>
        <v>0</v>
      </c>
      <c r="AC36" s="43">
        <f>SUMIF('Basis Options'!$X:$X,CONCATENATE($S36,AC$4),'Basis Options'!$AC:$AC)</f>
        <v>0</v>
      </c>
      <c r="AD36" s="43">
        <f>SUMIF('Basis Options'!$X:$X,CONCATENATE($S36,AD$4),'Basis Options'!$AC:$AC)</f>
        <v>0</v>
      </c>
      <c r="AE36" s="43">
        <f>SUMIF('Basis Options'!$X:$X,CONCATENATE($S36,AE$4),'Basis Options'!$AC:$AC)</f>
        <v>0</v>
      </c>
      <c r="AF36" s="43">
        <f>SUMIF('Basis Options'!$X:$X,CONCATENATE($S36,AF$4),'Basis Options'!$AC:$AC)</f>
        <v>0</v>
      </c>
      <c r="AG36" s="128">
        <f t="shared" si="4"/>
        <v>37681</v>
      </c>
      <c r="AH36" s="44">
        <f t="shared" si="5"/>
        <v>-7378.6150316032863</v>
      </c>
      <c r="AK36" s="128">
        <f t="shared" si="6"/>
        <v>37681</v>
      </c>
      <c r="AL36" s="43">
        <f>SUMIF('Basis Options'!$X:$X,CONCATENATE($AK36,AL$4),'Basis Options'!$AD:$AD)</f>
        <v>0</v>
      </c>
      <c r="AM36" s="43">
        <f>SUMIF('Basis Options'!$X:$X,CONCATENATE($AK36,AM$4),'Basis Options'!$AD:$AD)</f>
        <v>0</v>
      </c>
      <c r="AN36" s="43">
        <f>SUMIF('Basis Options'!$X:$X,CONCATENATE($AK36,AN$4),'Basis Options'!$AD:$AD)</f>
        <v>0</v>
      </c>
      <c r="AO36" s="43">
        <f>SUMIF('Basis Options'!$X:$X,CONCATENATE($AK36,AO$4),'Basis Options'!$AD:$AD)</f>
        <v>-11.014232131412117</v>
      </c>
      <c r="AP36" s="43">
        <f>SUMIF('Basis Options'!$X:$X,CONCATENATE($AK36,AP$4),'Basis Options'!$AD:$AD)</f>
        <v>0</v>
      </c>
      <c r="AQ36" s="43">
        <f>SUMIF('Basis Options'!$X:$X,CONCATENATE($AK36,AQ$4),'Basis Options'!$AD:$AD)</f>
        <v>0</v>
      </c>
      <c r="AR36" s="43">
        <f>SUMIF('Basis Options'!$X:$X,CONCATENATE($AK36,AR$4),'Basis Options'!$AD:$AD)</f>
        <v>0</v>
      </c>
      <c r="AS36" s="43">
        <f>SUMIF('Basis Options'!$X:$X,CONCATENATE($AK36,AS$4),'Basis Options'!$AD:$AD)</f>
        <v>0</v>
      </c>
      <c r="AT36" s="43">
        <f>SUMIF('Basis Options'!$X:$X,CONCATENATE($AK36,AT$4),'Basis Options'!$AD:$AD)</f>
        <v>0</v>
      </c>
      <c r="AU36" s="43">
        <f>SUMIF('Basis Options'!$X:$X,CONCATENATE($AK36,AU$4),'Basis Options'!$AD:$AD)</f>
        <v>0</v>
      </c>
      <c r="AV36" s="43">
        <f>SUMIF('Basis Options'!$X:$X,CONCATENATE($AK36,AV$4),'Basis Options'!$AD:$AD)</f>
        <v>0</v>
      </c>
      <c r="AW36" s="43">
        <f>SUMIF('Basis Options'!$X:$X,CONCATENATE($AK36,AW$4),'Basis Options'!$AD:$AD)</f>
        <v>0</v>
      </c>
      <c r="AX36" s="43">
        <f>SUMIF('Basis Options'!$X:$X,CONCATENATE($AK36,AX$4),'Basis Options'!$AD:$AD)</f>
        <v>0</v>
      </c>
      <c r="AY36" s="128">
        <f t="shared" si="7"/>
        <v>37681</v>
      </c>
      <c r="AZ36" s="44">
        <f t="shared" si="8"/>
        <v>-11.014232131412117</v>
      </c>
      <c r="BB36" s="128">
        <f t="shared" si="9"/>
        <v>37681</v>
      </c>
      <c r="BC36" s="43">
        <f>SUMIF('Basis Options'!$X:$X,CONCATENATE($AK36,BC$4),'Basis Options'!$AF:$AF)</f>
        <v>0</v>
      </c>
      <c r="BD36" s="43">
        <f>SUMIF('Basis Options'!$X:$X,CONCATENATE($AK36,BD$4),'Basis Options'!$AF:$AF)</f>
        <v>0</v>
      </c>
      <c r="BE36" s="43">
        <f>SUMIF('Basis Options'!$X:$X,CONCATENATE($AK36,BE$4),'Basis Options'!$AF:$AF)</f>
        <v>0</v>
      </c>
      <c r="BF36" s="43">
        <f>SUMIF('Basis Options'!$X:$X,CONCATENATE($AK36,BF$4),'Basis Options'!$AF:$AF)</f>
        <v>970.50978562147407</v>
      </c>
      <c r="BG36" s="43">
        <f>SUMIF('Basis Options'!$X:$X,CONCATENATE($AK36,BG$4),'Basis Options'!$AF:$AF)</f>
        <v>0</v>
      </c>
      <c r="BH36" s="43">
        <f>SUMIF('Basis Options'!$X:$X,CONCATENATE($AK36,BH$4),'Basis Options'!$AF:$AF)</f>
        <v>0</v>
      </c>
      <c r="BI36" s="43">
        <f>SUMIF('Basis Options'!$X:$X,CONCATENATE($AK36,BI$4),'Basis Options'!$AF:$AF)</f>
        <v>0</v>
      </c>
      <c r="BJ36" s="43">
        <f>SUMIF('Basis Options'!$X:$X,CONCATENATE($AK36,BJ$4),'Basis Options'!$AF:$AF)</f>
        <v>0</v>
      </c>
      <c r="BK36" s="43">
        <f>SUMIF('Basis Options'!$X:$X,CONCATENATE($AK36,BK$4),'Basis Options'!$AF:$AF)</f>
        <v>0</v>
      </c>
      <c r="BL36" s="43">
        <f>SUMIF('Basis Options'!$X:$X,CONCATENATE($AK36,BL$4),'Basis Options'!$AF:$AF)</f>
        <v>0</v>
      </c>
      <c r="BM36" s="43">
        <f>SUMIF('Basis Options'!$X:$X,CONCATENATE($AK36,BM$4),'Basis Options'!$AF:$AF)</f>
        <v>0</v>
      </c>
      <c r="BN36" s="43">
        <f>SUMIF('Basis Options'!$X:$X,CONCATENATE($AK36,BN$4),'Basis Options'!$AF:$AF)</f>
        <v>0</v>
      </c>
      <c r="BO36" s="43">
        <f>SUMIF('Basis Options'!$X:$X,CONCATENATE($AK36,BO$4),'Basis Options'!$AF:$AF)</f>
        <v>0</v>
      </c>
      <c r="BP36" s="128">
        <f t="shared" si="10"/>
        <v>37681</v>
      </c>
      <c r="BQ36" s="44">
        <f t="shared" si="11"/>
        <v>970.50978562147407</v>
      </c>
      <c r="BS36" s="128">
        <f t="shared" si="12"/>
        <v>37681</v>
      </c>
      <c r="BT36" s="43">
        <f>SUMIF('Basis Options'!$X:$X,CONCATENATE($BS36,BT$4),'Basis Options'!$AI:$AI)</f>
        <v>0</v>
      </c>
      <c r="BU36" s="43">
        <f>SUMIF('Basis Options'!$X:$X,CONCATENATE($BS36,BU$4),'Basis Options'!$AI:$AI)</f>
        <v>0</v>
      </c>
      <c r="BV36" s="43">
        <f>SUMIF('Basis Options'!$X:$X,CONCATENATE($BS36,BV$4),'Basis Options'!$AI:$AI)</f>
        <v>0</v>
      </c>
      <c r="BW36" s="43">
        <f>SUMIF('Basis Options'!$X:$X,CONCATENATE($BS36,BW$4),'Basis Options'!$AI:$AI)</f>
        <v>-1.5505134910593799E-2</v>
      </c>
      <c r="BX36" s="43">
        <f>SUMIF('Basis Options'!$X:$X,CONCATENATE($BS36,BX$4),'Basis Options'!$AI:$AI)</f>
        <v>0</v>
      </c>
      <c r="BY36" s="43">
        <f>SUMIF('Basis Options'!$X:$X,CONCATENATE($BS36,BY$4),'Basis Options'!$AI:$AI)</f>
        <v>0</v>
      </c>
      <c r="BZ36" s="43">
        <f>SUMIF('Basis Options'!$X:$X,CONCATENATE($BS36,BZ$4),'Basis Options'!$AI:$AI)</f>
        <v>0</v>
      </c>
      <c r="CA36" s="43">
        <f>SUMIF('Basis Options'!$X:$X,CONCATENATE($BS36,CA$4),'Basis Options'!$AI:$AI)</f>
        <v>0</v>
      </c>
      <c r="CB36" s="43">
        <f>SUMIF('Basis Options'!$X:$X,CONCATENATE($BS36,CB$4),'Basis Options'!$AI:$AI)</f>
        <v>0</v>
      </c>
      <c r="CC36" s="43">
        <f>SUMIF('Basis Options'!$X:$X,CONCATENATE($BS36,CC$4),'Basis Options'!$AI:$AI)</f>
        <v>0</v>
      </c>
      <c r="CD36" s="43">
        <f>SUMIF('Basis Options'!$X:$X,CONCATENATE($BS36,CD$4),'Basis Options'!$AI:$AI)</f>
        <v>0</v>
      </c>
      <c r="CE36" s="43">
        <f>SUMIF('Basis Options'!$X:$X,CONCATENATE($BS36,CE$4),'Basis Options'!$AI:$AI)</f>
        <v>0</v>
      </c>
      <c r="CF36" s="43">
        <f>SUMIF('Basis Options'!$X:$X,CONCATENATE($BS36,CF$4),'Basis Options'!$AI:$AI)</f>
        <v>0</v>
      </c>
      <c r="CG36" s="128">
        <f t="shared" si="13"/>
        <v>37681</v>
      </c>
      <c r="CH36" s="44">
        <f t="shared" si="14"/>
        <v>-1.5505134910593799E-2</v>
      </c>
    </row>
    <row r="37" spans="1:86" x14ac:dyDescent="0.25">
      <c r="A37" s="128">
        <f t="shared" si="0"/>
        <v>37712</v>
      </c>
      <c r="B37" s="43">
        <f>SUMIF('Basis Options'!X:X,CONCATENATE($A37,B$4),'Basis Options'!AB:AB)</f>
        <v>0</v>
      </c>
      <c r="C37" s="43">
        <f>SUMIF('Basis Options'!$X:$X,CONCATENATE($A37,C$4),'Basis Options'!$AB:$AB)</f>
        <v>0</v>
      </c>
      <c r="D37" s="43">
        <f>SUMIF('Basis Options'!$X:$X,CONCATENATE($A37,D$4),'Basis Options'!$AB:$AB)</f>
        <v>0</v>
      </c>
      <c r="E37" s="43">
        <f>SUMIF('Basis Options'!$X:$X,CONCATENATE($A37,E$4),'Basis Options'!$AB:$AB)</f>
        <v>0</v>
      </c>
      <c r="F37" s="43">
        <f>SUMIF('Basis Options'!$X:$X,CONCATENATE($A37,F$4),'Basis Options'!$AB:$AB)</f>
        <v>0</v>
      </c>
      <c r="G37" s="43">
        <f>SUMIF('Basis Options'!$X:$X,CONCATENATE($A37,G$4),'Basis Options'!$AB:$AB)</f>
        <v>0</v>
      </c>
      <c r="H37" s="43">
        <f>SUMIF('Basis Options'!$X:$X,CONCATENATE($A37,H$4),'Basis Options'!$AB:$AB)</f>
        <v>0</v>
      </c>
      <c r="I37" s="43">
        <f>SUMIF('Basis Options'!$X:$X,CONCATENATE($A37,I$4),'Basis Options'!$AB:$AB)</f>
        <v>0</v>
      </c>
      <c r="J37" s="43">
        <f>SUMIF('Basis Options'!$X:$X,CONCATENATE($A37,J$4),'Basis Options'!$AB:$AB)</f>
        <v>0</v>
      </c>
      <c r="K37" s="43">
        <f>SUMIF('Basis Options'!$X:$X,CONCATENATE($A37,K$4),'Basis Options'!$AB:$AB)</f>
        <v>0</v>
      </c>
      <c r="L37" s="43">
        <f>SUMIF('Basis Options'!$X:$X,CONCATENATE($A37,L$4),'Basis Options'!$AB:$AB)</f>
        <v>0</v>
      </c>
      <c r="M37" s="43">
        <f>SUMIF('Basis Options'!$X:$X,CONCATENATE($A37,M$4),'Basis Options'!$AB:$AB)</f>
        <v>0</v>
      </c>
      <c r="N37" s="43">
        <f>SUMIF('Basis Options'!$X:$X,CONCATENATE($A37,N$4),'Basis Options'!$AB:$AB)</f>
        <v>0</v>
      </c>
      <c r="O37" s="128">
        <f t="shared" si="1"/>
        <v>37712</v>
      </c>
      <c r="P37" s="44">
        <f t="shared" si="2"/>
        <v>0</v>
      </c>
      <c r="S37" s="128">
        <f t="shared" si="3"/>
        <v>37712</v>
      </c>
      <c r="T37" s="43">
        <f>SUMIF('Basis Options'!$X:$X,CONCATENATE($S37,T$4),'Basis Options'!$AC:$AC)</f>
        <v>0</v>
      </c>
      <c r="U37" s="43">
        <f>SUMIF('Basis Options'!$X:$X,CONCATENATE($S37,U$4),'Basis Options'!$AC:$AC)</f>
        <v>0</v>
      </c>
      <c r="V37" s="43">
        <f>SUMIF('Basis Options'!$X:$X,CONCATENATE($S37,V$4),'Basis Options'!$AC:$AC)</f>
        <v>0</v>
      </c>
      <c r="W37" s="43">
        <f>SUMIF('Basis Options'!$X:$X,CONCATENATE($S37,W$4),'Basis Options'!$AC:$AC)</f>
        <v>0</v>
      </c>
      <c r="X37" s="43">
        <f>SUMIF('Basis Options'!$X:$X,CONCATENATE($S37,X$4),'Basis Options'!$AC:$AC)</f>
        <v>0</v>
      </c>
      <c r="Y37" s="43">
        <f>SUMIF('Basis Options'!$X:$X,CONCATENATE($S37,Y$4),'Basis Options'!$AC:$AC)</f>
        <v>0</v>
      </c>
      <c r="Z37" s="43">
        <f>SUMIF('Basis Options'!$X:$X,CONCATENATE($S37,Z$4),'Basis Options'!$AC:$AC)</f>
        <v>0</v>
      </c>
      <c r="AA37" s="43">
        <f>SUMIF('Basis Options'!$X:$X,CONCATENATE($S37,AA$4),'Basis Options'!$AC:$AC)</f>
        <v>0</v>
      </c>
      <c r="AB37" s="43">
        <f>SUMIF('Basis Options'!$X:$X,CONCATENATE($S37,AB$4),'Basis Options'!$AC:$AC)</f>
        <v>0</v>
      </c>
      <c r="AC37" s="43">
        <f>SUMIF('Basis Options'!$X:$X,CONCATENATE($S37,AC$4),'Basis Options'!$AC:$AC)</f>
        <v>0</v>
      </c>
      <c r="AD37" s="43">
        <f>SUMIF('Basis Options'!$X:$X,CONCATENATE($S37,AD$4),'Basis Options'!$AC:$AC)</f>
        <v>0</v>
      </c>
      <c r="AE37" s="43">
        <f>SUMIF('Basis Options'!$X:$X,CONCATENATE($S37,AE$4),'Basis Options'!$AC:$AC)</f>
        <v>0</v>
      </c>
      <c r="AF37" s="43">
        <f>SUMIF('Basis Options'!$X:$X,CONCATENATE($S37,AF$4),'Basis Options'!$AC:$AC)</f>
        <v>0</v>
      </c>
      <c r="AG37" s="128">
        <f t="shared" si="4"/>
        <v>37712</v>
      </c>
      <c r="AH37" s="44">
        <f t="shared" si="5"/>
        <v>0</v>
      </c>
      <c r="AK37" s="128">
        <f t="shared" si="6"/>
        <v>37712</v>
      </c>
      <c r="AL37" s="43">
        <f>SUMIF('Basis Options'!$X:$X,CONCATENATE($AK37,AL$4),'Basis Options'!$AD:$AD)</f>
        <v>0</v>
      </c>
      <c r="AM37" s="43">
        <f>SUMIF('Basis Options'!$X:$X,CONCATENATE($AK37,AM$4),'Basis Options'!$AD:$AD)</f>
        <v>0</v>
      </c>
      <c r="AN37" s="43">
        <f>SUMIF('Basis Options'!$X:$X,CONCATENATE($AK37,AN$4),'Basis Options'!$AD:$AD)</f>
        <v>0</v>
      </c>
      <c r="AO37" s="43">
        <f>SUMIF('Basis Options'!$X:$X,CONCATENATE($AK37,AO$4),'Basis Options'!$AD:$AD)</f>
        <v>0</v>
      </c>
      <c r="AP37" s="43">
        <f>SUMIF('Basis Options'!$X:$X,CONCATENATE($AK37,AP$4),'Basis Options'!$AD:$AD)</f>
        <v>0</v>
      </c>
      <c r="AQ37" s="43">
        <f>SUMIF('Basis Options'!$X:$X,CONCATENATE($AK37,AQ$4),'Basis Options'!$AD:$AD)</f>
        <v>0</v>
      </c>
      <c r="AR37" s="43">
        <f>SUMIF('Basis Options'!$X:$X,CONCATENATE($AK37,AR$4),'Basis Options'!$AD:$AD)</f>
        <v>0</v>
      </c>
      <c r="AS37" s="43">
        <f>SUMIF('Basis Options'!$X:$X,CONCATENATE($AK37,AS$4),'Basis Options'!$AD:$AD)</f>
        <v>0</v>
      </c>
      <c r="AT37" s="43">
        <f>SUMIF('Basis Options'!$X:$X,CONCATENATE($AK37,AT$4),'Basis Options'!$AD:$AD)</f>
        <v>0</v>
      </c>
      <c r="AU37" s="43">
        <f>SUMIF('Basis Options'!$X:$X,CONCATENATE($AK37,AU$4),'Basis Options'!$AD:$AD)</f>
        <v>0</v>
      </c>
      <c r="AV37" s="43">
        <f>SUMIF('Basis Options'!$X:$X,CONCATENATE($AK37,AV$4),'Basis Options'!$AD:$AD)</f>
        <v>0</v>
      </c>
      <c r="AW37" s="43">
        <f>SUMIF('Basis Options'!$X:$X,CONCATENATE($AK37,AW$4),'Basis Options'!$AD:$AD)</f>
        <v>0</v>
      </c>
      <c r="AX37" s="43">
        <f>SUMIF('Basis Options'!$X:$X,CONCATENATE($AK37,AX$4),'Basis Options'!$AD:$AD)</f>
        <v>0</v>
      </c>
      <c r="AY37" s="128">
        <f t="shared" si="7"/>
        <v>37712</v>
      </c>
      <c r="AZ37" s="44">
        <f t="shared" si="8"/>
        <v>0</v>
      </c>
      <c r="BB37" s="128">
        <f t="shared" si="9"/>
        <v>37712</v>
      </c>
      <c r="BC37" s="43">
        <f>SUMIF('Basis Options'!$X:$X,CONCATENATE($AK37,BC$4),'Basis Options'!$AF:$AF)</f>
        <v>0</v>
      </c>
      <c r="BD37" s="43">
        <f>SUMIF('Basis Options'!$X:$X,CONCATENATE($AK37,BD$4),'Basis Options'!$AF:$AF)</f>
        <v>0</v>
      </c>
      <c r="BE37" s="43">
        <f>SUMIF('Basis Options'!$X:$X,CONCATENATE($AK37,BE$4),'Basis Options'!$AF:$AF)</f>
        <v>0</v>
      </c>
      <c r="BF37" s="43">
        <f>SUMIF('Basis Options'!$X:$X,CONCATENATE($AK37,BF$4),'Basis Options'!$AF:$AF)</f>
        <v>0</v>
      </c>
      <c r="BG37" s="43">
        <f>SUMIF('Basis Options'!$X:$X,CONCATENATE($AK37,BG$4),'Basis Options'!$AF:$AF)</f>
        <v>0</v>
      </c>
      <c r="BH37" s="43">
        <f>SUMIF('Basis Options'!$X:$X,CONCATENATE($AK37,BH$4),'Basis Options'!$AF:$AF)</f>
        <v>0</v>
      </c>
      <c r="BI37" s="43">
        <f>SUMIF('Basis Options'!$X:$X,CONCATENATE($AK37,BI$4),'Basis Options'!$AF:$AF)</f>
        <v>0</v>
      </c>
      <c r="BJ37" s="43">
        <f>SUMIF('Basis Options'!$X:$X,CONCATENATE($AK37,BJ$4),'Basis Options'!$AF:$AF)</f>
        <v>0</v>
      </c>
      <c r="BK37" s="43">
        <f>SUMIF('Basis Options'!$X:$X,CONCATENATE($AK37,BK$4),'Basis Options'!$AF:$AF)</f>
        <v>0</v>
      </c>
      <c r="BL37" s="43">
        <f>SUMIF('Basis Options'!$X:$X,CONCATENATE($AK37,BL$4),'Basis Options'!$AF:$AF)</f>
        <v>0</v>
      </c>
      <c r="BM37" s="43">
        <f>SUMIF('Basis Options'!$X:$X,CONCATENATE($AK37,BM$4),'Basis Options'!$AF:$AF)</f>
        <v>0</v>
      </c>
      <c r="BN37" s="43">
        <f>SUMIF('Basis Options'!$X:$X,CONCATENATE($AK37,BN$4),'Basis Options'!$AF:$AF)</f>
        <v>0</v>
      </c>
      <c r="BO37" s="43">
        <f>SUMIF('Basis Options'!$X:$X,CONCATENATE($AK37,BO$4),'Basis Options'!$AF:$AF)</f>
        <v>0</v>
      </c>
      <c r="BP37" s="128">
        <f t="shared" si="10"/>
        <v>37712</v>
      </c>
      <c r="BQ37" s="44">
        <f t="shared" si="11"/>
        <v>0</v>
      </c>
      <c r="BS37" s="128">
        <f t="shared" si="12"/>
        <v>37712</v>
      </c>
      <c r="BT37" s="43">
        <f>SUMIF('Basis Options'!$X:$X,CONCATENATE($BS37,BT$4),'Basis Options'!$AI:$AI)</f>
        <v>0</v>
      </c>
      <c r="BU37" s="43">
        <f>SUMIF('Basis Options'!$X:$X,CONCATENATE($BS37,BU$4),'Basis Options'!$AI:$AI)</f>
        <v>0</v>
      </c>
      <c r="BV37" s="43">
        <f>SUMIF('Basis Options'!$X:$X,CONCATENATE($BS37,BV$4),'Basis Options'!$AI:$AI)</f>
        <v>0</v>
      </c>
      <c r="BW37" s="43">
        <f>SUMIF('Basis Options'!$X:$X,CONCATENATE($BS37,BW$4),'Basis Options'!$AI:$AI)</f>
        <v>0</v>
      </c>
      <c r="BX37" s="43">
        <f>SUMIF('Basis Options'!$X:$X,CONCATENATE($BS37,BX$4),'Basis Options'!$AI:$AI)</f>
        <v>0</v>
      </c>
      <c r="BY37" s="43">
        <f>SUMIF('Basis Options'!$X:$X,CONCATENATE($BS37,BY$4),'Basis Options'!$AI:$AI)</f>
        <v>0</v>
      </c>
      <c r="BZ37" s="43">
        <f>SUMIF('Basis Options'!$X:$X,CONCATENATE($BS37,BZ$4),'Basis Options'!$AI:$AI)</f>
        <v>0</v>
      </c>
      <c r="CA37" s="43">
        <f>SUMIF('Basis Options'!$X:$X,CONCATENATE($BS37,CA$4),'Basis Options'!$AI:$AI)</f>
        <v>0</v>
      </c>
      <c r="CB37" s="43">
        <f>SUMIF('Basis Options'!$X:$X,CONCATENATE($BS37,CB$4),'Basis Options'!$AI:$AI)</f>
        <v>0</v>
      </c>
      <c r="CC37" s="43">
        <f>SUMIF('Basis Options'!$X:$X,CONCATENATE($BS37,CC$4),'Basis Options'!$AI:$AI)</f>
        <v>0</v>
      </c>
      <c r="CD37" s="43">
        <f>SUMIF('Basis Options'!$X:$X,CONCATENATE($BS37,CD$4),'Basis Options'!$AI:$AI)</f>
        <v>0</v>
      </c>
      <c r="CE37" s="43">
        <f>SUMIF('Basis Options'!$X:$X,CONCATENATE($BS37,CE$4),'Basis Options'!$AI:$AI)</f>
        <v>0</v>
      </c>
      <c r="CF37" s="43">
        <f>SUMIF('Basis Options'!$X:$X,CONCATENATE($BS37,CF$4),'Basis Options'!$AI:$AI)</f>
        <v>0</v>
      </c>
      <c r="CG37" s="128">
        <f t="shared" si="13"/>
        <v>37712</v>
      </c>
      <c r="CH37" s="44">
        <f t="shared" si="14"/>
        <v>0</v>
      </c>
    </row>
    <row r="38" spans="1:86" x14ac:dyDescent="0.25">
      <c r="A38" s="128">
        <f t="shared" ref="A38:A69" si="16">EOMONTH(A37,0)+1</f>
        <v>37742</v>
      </c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128">
        <f t="shared" ref="O38:O69" si="17">EOMONTH(O37,0)+1</f>
        <v>37742</v>
      </c>
      <c r="P38" s="44">
        <f t="shared" si="2"/>
        <v>0</v>
      </c>
      <c r="S38" s="128">
        <f t="shared" ref="S38:S69" si="18">EOMONTH(S37,0)+1</f>
        <v>37742</v>
      </c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128">
        <f t="shared" ref="AG38:AG69" si="19">EOMONTH(AG37,0)+1</f>
        <v>37742</v>
      </c>
      <c r="AH38" s="44">
        <f t="shared" si="5"/>
        <v>0</v>
      </c>
      <c r="AK38" s="128">
        <f t="shared" ref="AK38:AK69" si="20">EOMONTH(AK37,0)+1</f>
        <v>37742</v>
      </c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128">
        <f t="shared" ref="AY38:AY69" si="21">EOMONTH(AY37,0)+1</f>
        <v>37742</v>
      </c>
      <c r="AZ38" s="44">
        <f t="shared" si="8"/>
        <v>0</v>
      </c>
      <c r="BB38" s="128">
        <f t="shared" ref="BB38:BB69" si="22">EOMONTH(BB37,0)+1</f>
        <v>37742</v>
      </c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128">
        <f t="shared" ref="BP38:BP69" si="23">EOMONTH(BP37,0)+1</f>
        <v>37742</v>
      </c>
      <c r="BQ38" s="44">
        <f t="shared" si="11"/>
        <v>0</v>
      </c>
      <c r="BS38" s="128">
        <f t="shared" ref="BS38:BS69" si="24">EOMONTH(BS37,0)+1</f>
        <v>37742</v>
      </c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128">
        <f t="shared" ref="CG38:CG69" si="25">EOMONTH(CG37,0)+1</f>
        <v>37742</v>
      </c>
      <c r="CH38" s="44">
        <f t="shared" si="14"/>
        <v>0</v>
      </c>
    </row>
    <row r="39" spans="1:86" x14ac:dyDescent="0.25">
      <c r="A39" s="128">
        <f t="shared" si="16"/>
        <v>37773</v>
      </c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128">
        <f t="shared" si="17"/>
        <v>37773</v>
      </c>
      <c r="P39" s="44">
        <f t="shared" si="2"/>
        <v>0</v>
      </c>
      <c r="S39" s="128">
        <f t="shared" si="18"/>
        <v>37773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128">
        <f t="shared" si="19"/>
        <v>37773</v>
      </c>
      <c r="AH39" s="44">
        <f t="shared" si="5"/>
        <v>0</v>
      </c>
      <c r="AK39" s="128">
        <f t="shared" si="20"/>
        <v>37773</v>
      </c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128">
        <f t="shared" si="21"/>
        <v>37773</v>
      </c>
      <c r="AZ39" s="44">
        <f t="shared" si="8"/>
        <v>0</v>
      </c>
      <c r="BB39" s="128">
        <f t="shared" si="22"/>
        <v>37773</v>
      </c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128">
        <f t="shared" si="23"/>
        <v>37773</v>
      </c>
      <c r="BQ39" s="44">
        <f t="shared" si="11"/>
        <v>0</v>
      </c>
      <c r="BS39" s="128">
        <f t="shared" si="24"/>
        <v>37773</v>
      </c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128">
        <f t="shared" si="25"/>
        <v>37773</v>
      </c>
      <c r="CH39" s="44">
        <f t="shared" si="14"/>
        <v>0</v>
      </c>
    </row>
    <row r="40" spans="1:86" x14ac:dyDescent="0.25">
      <c r="A40" s="128">
        <f t="shared" si="16"/>
        <v>37803</v>
      </c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128">
        <f t="shared" si="17"/>
        <v>37803</v>
      </c>
      <c r="P40" s="44">
        <f t="shared" si="2"/>
        <v>0</v>
      </c>
      <c r="S40" s="128">
        <f t="shared" si="18"/>
        <v>37803</v>
      </c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128">
        <f t="shared" si="19"/>
        <v>37803</v>
      </c>
      <c r="AH40" s="44">
        <f t="shared" si="5"/>
        <v>0</v>
      </c>
      <c r="AK40" s="128">
        <f t="shared" si="20"/>
        <v>37803</v>
      </c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128">
        <f t="shared" si="21"/>
        <v>37803</v>
      </c>
      <c r="AZ40" s="44">
        <f t="shared" si="8"/>
        <v>0</v>
      </c>
      <c r="BB40" s="128">
        <f t="shared" si="22"/>
        <v>37803</v>
      </c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128">
        <f t="shared" si="23"/>
        <v>37803</v>
      </c>
      <c r="BQ40" s="44">
        <f t="shared" si="11"/>
        <v>0</v>
      </c>
      <c r="BS40" s="128">
        <f t="shared" si="24"/>
        <v>37803</v>
      </c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128">
        <f t="shared" si="25"/>
        <v>37803</v>
      </c>
      <c r="CH40" s="44">
        <f t="shared" si="14"/>
        <v>0</v>
      </c>
    </row>
    <row r="41" spans="1:86" x14ac:dyDescent="0.25">
      <c r="A41" s="128">
        <f t="shared" si="16"/>
        <v>37834</v>
      </c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128">
        <f t="shared" si="17"/>
        <v>37834</v>
      </c>
      <c r="P41" s="44">
        <f t="shared" si="2"/>
        <v>0</v>
      </c>
      <c r="S41" s="128">
        <f t="shared" si="18"/>
        <v>37834</v>
      </c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128">
        <f t="shared" si="19"/>
        <v>37834</v>
      </c>
      <c r="AH41" s="44">
        <f t="shared" si="5"/>
        <v>0</v>
      </c>
      <c r="AK41" s="128">
        <f t="shared" si="20"/>
        <v>37834</v>
      </c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128">
        <f t="shared" si="21"/>
        <v>37834</v>
      </c>
      <c r="AZ41" s="44">
        <f t="shared" si="8"/>
        <v>0</v>
      </c>
      <c r="BB41" s="128">
        <f t="shared" si="22"/>
        <v>37834</v>
      </c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128">
        <f t="shared" si="23"/>
        <v>37834</v>
      </c>
      <c r="BQ41" s="44">
        <f t="shared" si="11"/>
        <v>0</v>
      </c>
      <c r="BS41" s="128">
        <f t="shared" si="24"/>
        <v>37834</v>
      </c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128">
        <f t="shared" si="25"/>
        <v>37834</v>
      </c>
      <c r="CH41" s="44">
        <f t="shared" si="14"/>
        <v>0</v>
      </c>
    </row>
    <row r="42" spans="1:86" x14ac:dyDescent="0.25">
      <c r="A42" s="128">
        <f t="shared" si="16"/>
        <v>37865</v>
      </c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128">
        <f t="shared" si="17"/>
        <v>37865</v>
      </c>
      <c r="P42" s="44">
        <f t="shared" si="2"/>
        <v>0</v>
      </c>
      <c r="S42" s="128">
        <f t="shared" si="18"/>
        <v>37865</v>
      </c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128">
        <f t="shared" si="19"/>
        <v>37865</v>
      </c>
      <c r="AH42" s="44">
        <f t="shared" si="5"/>
        <v>0</v>
      </c>
      <c r="AK42" s="128">
        <f t="shared" si="20"/>
        <v>37865</v>
      </c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128">
        <f t="shared" si="21"/>
        <v>37865</v>
      </c>
      <c r="AZ42" s="44">
        <f t="shared" si="8"/>
        <v>0</v>
      </c>
      <c r="BB42" s="128">
        <f t="shared" si="22"/>
        <v>37865</v>
      </c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128">
        <f t="shared" si="23"/>
        <v>37865</v>
      </c>
      <c r="BQ42" s="44">
        <f t="shared" si="11"/>
        <v>0</v>
      </c>
      <c r="BS42" s="128">
        <f t="shared" si="24"/>
        <v>37865</v>
      </c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128">
        <f t="shared" si="25"/>
        <v>37865</v>
      </c>
      <c r="CH42" s="44">
        <f t="shared" si="14"/>
        <v>0</v>
      </c>
    </row>
    <row r="43" spans="1:86" x14ac:dyDescent="0.25">
      <c r="A43" s="128">
        <f t="shared" si="16"/>
        <v>37895</v>
      </c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128">
        <f t="shared" si="17"/>
        <v>37895</v>
      </c>
      <c r="P43" s="44">
        <f t="shared" si="2"/>
        <v>0</v>
      </c>
      <c r="S43" s="128">
        <f t="shared" si="18"/>
        <v>37895</v>
      </c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128">
        <f t="shared" si="19"/>
        <v>37895</v>
      </c>
      <c r="AH43" s="44">
        <f t="shared" si="5"/>
        <v>0</v>
      </c>
      <c r="AK43" s="128">
        <f t="shared" si="20"/>
        <v>37895</v>
      </c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128">
        <f t="shared" si="21"/>
        <v>37895</v>
      </c>
      <c r="AZ43" s="44">
        <f t="shared" si="8"/>
        <v>0</v>
      </c>
      <c r="BB43" s="128">
        <f t="shared" si="22"/>
        <v>37895</v>
      </c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128">
        <f t="shared" si="23"/>
        <v>37895</v>
      </c>
      <c r="BQ43" s="44">
        <f t="shared" si="11"/>
        <v>0</v>
      </c>
      <c r="BS43" s="128">
        <f t="shared" si="24"/>
        <v>37895</v>
      </c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128">
        <f t="shared" si="25"/>
        <v>37895</v>
      </c>
      <c r="CH43" s="44">
        <f t="shared" si="14"/>
        <v>0</v>
      </c>
    </row>
    <row r="44" spans="1:86" x14ac:dyDescent="0.25">
      <c r="A44" s="128">
        <f t="shared" si="16"/>
        <v>37926</v>
      </c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128">
        <f t="shared" si="17"/>
        <v>37926</v>
      </c>
      <c r="P44" s="44">
        <f t="shared" si="2"/>
        <v>0</v>
      </c>
      <c r="S44" s="128">
        <f t="shared" si="18"/>
        <v>37926</v>
      </c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128">
        <f t="shared" si="19"/>
        <v>37926</v>
      </c>
      <c r="AH44" s="44">
        <f t="shared" si="5"/>
        <v>0</v>
      </c>
      <c r="AK44" s="128">
        <f t="shared" si="20"/>
        <v>37926</v>
      </c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128">
        <f t="shared" si="21"/>
        <v>37926</v>
      </c>
      <c r="AZ44" s="44">
        <f t="shared" si="8"/>
        <v>0</v>
      </c>
      <c r="BB44" s="128">
        <f t="shared" si="22"/>
        <v>37926</v>
      </c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128">
        <f t="shared" si="23"/>
        <v>37926</v>
      </c>
      <c r="BQ44" s="44">
        <f t="shared" si="11"/>
        <v>0</v>
      </c>
      <c r="BS44" s="128">
        <f t="shared" si="24"/>
        <v>37926</v>
      </c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128">
        <f t="shared" si="25"/>
        <v>37926</v>
      </c>
      <c r="CH44" s="44">
        <f t="shared" si="14"/>
        <v>0</v>
      </c>
    </row>
    <row r="45" spans="1:86" x14ac:dyDescent="0.25">
      <c r="A45" s="128">
        <f t="shared" si="16"/>
        <v>37956</v>
      </c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128">
        <f t="shared" si="17"/>
        <v>37956</v>
      </c>
      <c r="P45" s="44">
        <f t="shared" si="2"/>
        <v>0</v>
      </c>
      <c r="S45" s="128">
        <f t="shared" si="18"/>
        <v>37956</v>
      </c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128">
        <f t="shared" si="19"/>
        <v>37956</v>
      </c>
      <c r="AH45" s="44">
        <f t="shared" si="5"/>
        <v>0</v>
      </c>
      <c r="AK45" s="128">
        <f t="shared" si="20"/>
        <v>37956</v>
      </c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128">
        <f t="shared" si="21"/>
        <v>37956</v>
      </c>
      <c r="AZ45" s="44">
        <f t="shared" si="8"/>
        <v>0</v>
      </c>
      <c r="BB45" s="128">
        <f t="shared" si="22"/>
        <v>37956</v>
      </c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128">
        <f t="shared" si="23"/>
        <v>37956</v>
      </c>
      <c r="BQ45" s="44">
        <f t="shared" si="11"/>
        <v>0</v>
      </c>
      <c r="BS45" s="128">
        <f t="shared" si="24"/>
        <v>37956</v>
      </c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128">
        <f t="shared" si="25"/>
        <v>37956</v>
      </c>
      <c r="CH45" s="44">
        <f t="shared" si="14"/>
        <v>0</v>
      </c>
    </row>
    <row r="46" spans="1:86" x14ac:dyDescent="0.25">
      <c r="A46" s="128">
        <f t="shared" si="16"/>
        <v>37987</v>
      </c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128">
        <f t="shared" si="17"/>
        <v>37987</v>
      </c>
      <c r="P46" s="44">
        <f t="shared" si="2"/>
        <v>0</v>
      </c>
      <c r="S46" s="128">
        <f t="shared" si="18"/>
        <v>37987</v>
      </c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128">
        <f t="shared" si="19"/>
        <v>37987</v>
      </c>
      <c r="AH46" s="44">
        <f t="shared" si="5"/>
        <v>0</v>
      </c>
      <c r="AK46" s="128">
        <f t="shared" si="20"/>
        <v>37987</v>
      </c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128">
        <f t="shared" si="21"/>
        <v>37987</v>
      </c>
      <c r="AZ46" s="44">
        <f t="shared" si="8"/>
        <v>0</v>
      </c>
      <c r="BB46" s="128">
        <f t="shared" si="22"/>
        <v>37987</v>
      </c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128">
        <f t="shared" si="23"/>
        <v>37987</v>
      </c>
      <c r="BQ46" s="44">
        <f t="shared" si="11"/>
        <v>0</v>
      </c>
      <c r="BS46" s="128">
        <f t="shared" si="24"/>
        <v>37987</v>
      </c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128">
        <f t="shared" si="25"/>
        <v>37987</v>
      </c>
      <c r="CH46" s="44">
        <f t="shared" si="14"/>
        <v>0</v>
      </c>
    </row>
    <row r="47" spans="1:86" x14ac:dyDescent="0.25">
      <c r="A47" s="128">
        <f t="shared" si="16"/>
        <v>38018</v>
      </c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128">
        <f t="shared" si="17"/>
        <v>38018</v>
      </c>
      <c r="P47" s="44">
        <f t="shared" si="2"/>
        <v>0</v>
      </c>
      <c r="S47" s="128">
        <f t="shared" si="18"/>
        <v>38018</v>
      </c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128">
        <f t="shared" si="19"/>
        <v>38018</v>
      </c>
      <c r="AH47" s="44">
        <f t="shared" si="5"/>
        <v>0</v>
      </c>
      <c r="AK47" s="128">
        <f t="shared" si="20"/>
        <v>38018</v>
      </c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128">
        <f t="shared" si="21"/>
        <v>38018</v>
      </c>
      <c r="AZ47" s="44">
        <f t="shared" si="8"/>
        <v>0</v>
      </c>
      <c r="BB47" s="128">
        <f t="shared" si="22"/>
        <v>38018</v>
      </c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128">
        <f t="shared" si="23"/>
        <v>38018</v>
      </c>
      <c r="BQ47" s="44">
        <f t="shared" si="11"/>
        <v>0</v>
      </c>
      <c r="BS47" s="128">
        <f t="shared" si="24"/>
        <v>38018</v>
      </c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128">
        <f t="shared" si="25"/>
        <v>38018</v>
      </c>
      <c r="CH47" s="44">
        <f t="shared" si="14"/>
        <v>0</v>
      </c>
    </row>
    <row r="48" spans="1:86" x14ac:dyDescent="0.25">
      <c r="A48" s="128">
        <f t="shared" si="16"/>
        <v>38047</v>
      </c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128">
        <f t="shared" si="17"/>
        <v>38047</v>
      </c>
      <c r="P48" s="44">
        <f t="shared" si="2"/>
        <v>0</v>
      </c>
      <c r="S48" s="128">
        <f t="shared" si="18"/>
        <v>38047</v>
      </c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128">
        <f t="shared" si="19"/>
        <v>38047</v>
      </c>
      <c r="AH48" s="44">
        <f t="shared" si="5"/>
        <v>0</v>
      </c>
      <c r="AK48" s="128">
        <f t="shared" si="20"/>
        <v>38047</v>
      </c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128">
        <f t="shared" si="21"/>
        <v>38047</v>
      </c>
      <c r="AZ48" s="44">
        <f t="shared" si="8"/>
        <v>0</v>
      </c>
      <c r="BB48" s="128">
        <f t="shared" si="22"/>
        <v>38047</v>
      </c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128">
        <f t="shared" si="23"/>
        <v>38047</v>
      </c>
      <c r="BQ48" s="44">
        <f t="shared" si="11"/>
        <v>0</v>
      </c>
      <c r="BS48" s="128">
        <f t="shared" si="24"/>
        <v>38047</v>
      </c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128">
        <f t="shared" si="25"/>
        <v>38047</v>
      </c>
      <c r="CH48" s="44">
        <f t="shared" si="14"/>
        <v>0</v>
      </c>
    </row>
    <row r="49" spans="1:86" x14ac:dyDescent="0.25">
      <c r="A49" s="128">
        <f t="shared" si="16"/>
        <v>38078</v>
      </c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128">
        <f t="shared" si="17"/>
        <v>38078</v>
      </c>
      <c r="P49" s="44">
        <f t="shared" si="2"/>
        <v>0</v>
      </c>
      <c r="S49" s="128">
        <f t="shared" si="18"/>
        <v>38078</v>
      </c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128">
        <f t="shared" si="19"/>
        <v>38078</v>
      </c>
      <c r="AH49" s="44">
        <f t="shared" si="5"/>
        <v>0</v>
      </c>
      <c r="AK49" s="128">
        <f t="shared" si="20"/>
        <v>38078</v>
      </c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128">
        <f t="shared" si="21"/>
        <v>38078</v>
      </c>
      <c r="AZ49" s="44">
        <f t="shared" si="8"/>
        <v>0</v>
      </c>
      <c r="BB49" s="128">
        <f t="shared" si="22"/>
        <v>38078</v>
      </c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128">
        <f t="shared" si="23"/>
        <v>38078</v>
      </c>
      <c r="BQ49" s="44">
        <f t="shared" si="11"/>
        <v>0</v>
      </c>
      <c r="BS49" s="128">
        <f t="shared" si="24"/>
        <v>38078</v>
      </c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128">
        <f t="shared" si="25"/>
        <v>38078</v>
      </c>
      <c r="CH49" s="44">
        <f t="shared" si="14"/>
        <v>0</v>
      </c>
    </row>
    <row r="50" spans="1:86" x14ac:dyDescent="0.25">
      <c r="A50" s="128">
        <f t="shared" si="16"/>
        <v>38108</v>
      </c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128">
        <f t="shared" si="17"/>
        <v>38108</v>
      </c>
      <c r="P50" s="44">
        <f t="shared" si="2"/>
        <v>0</v>
      </c>
      <c r="S50" s="128">
        <f t="shared" si="18"/>
        <v>38108</v>
      </c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128">
        <f t="shared" si="19"/>
        <v>38108</v>
      </c>
      <c r="AH50" s="44">
        <f t="shared" si="5"/>
        <v>0</v>
      </c>
      <c r="AK50" s="128">
        <f t="shared" si="20"/>
        <v>38108</v>
      </c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128">
        <f t="shared" si="21"/>
        <v>38108</v>
      </c>
      <c r="AZ50" s="44">
        <f t="shared" si="8"/>
        <v>0</v>
      </c>
      <c r="BB50" s="128">
        <f t="shared" si="22"/>
        <v>38108</v>
      </c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128">
        <f t="shared" si="23"/>
        <v>38108</v>
      </c>
      <c r="BQ50" s="44">
        <f t="shared" si="11"/>
        <v>0</v>
      </c>
      <c r="BS50" s="128">
        <f t="shared" si="24"/>
        <v>38108</v>
      </c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128">
        <f t="shared" si="25"/>
        <v>38108</v>
      </c>
      <c r="CH50" s="44">
        <f t="shared" si="14"/>
        <v>0</v>
      </c>
    </row>
    <row r="51" spans="1:86" x14ac:dyDescent="0.25">
      <c r="A51" s="128">
        <f t="shared" si="16"/>
        <v>38139</v>
      </c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128">
        <f t="shared" si="17"/>
        <v>38139</v>
      </c>
      <c r="P51" s="44">
        <f t="shared" si="2"/>
        <v>0</v>
      </c>
      <c r="S51" s="128">
        <f t="shared" si="18"/>
        <v>38139</v>
      </c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128">
        <f t="shared" si="19"/>
        <v>38139</v>
      </c>
      <c r="AH51" s="44">
        <f t="shared" si="5"/>
        <v>0</v>
      </c>
      <c r="AK51" s="128">
        <f t="shared" si="20"/>
        <v>38139</v>
      </c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128">
        <f t="shared" si="21"/>
        <v>38139</v>
      </c>
      <c r="AZ51" s="44">
        <f t="shared" si="8"/>
        <v>0</v>
      </c>
      <c r="BB51" s="128">
        <f t="shared" si="22"/>
        <v>38139</v>
      </c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128">
        <f t="shared" si="23"/>
        <v>38139</v>
      </c>
      <c r="BQ51" s="44">
        <f t="shared" si="11"/>
        <v>0</v>
      </c>
      <c r="BS51" s="128">
        <f t="shared" si="24"/>
        <v>38139</v>
      </c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128">
        <f t="shared" si="25"/>
        <v>38139</v>
      </c>
      <c r="CH51" s="44">
        <f t="shared" si="14"/>
        <v>0</v>
      </c>
    </row>
    <row r="52" spans="1:86" x14ac:dyDescent="0.25">
      <c r="A52" s="128">
        <f t="shared" si="16"/>
        <v>38169</v>
      </c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128">
        <f t="shared" si="17"/>
        <v>38169</v>
      </c>
      <c r="P52" s="44">
        <f t="shared" si="2"/>
        <v>0</v>
      </c>
      <c r="S52" s="128">
        <f t="shared" si="18"/>
        <v>38169</v>
      </c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128">
        <f t="shared" si="19"/>
        <v>38169</v>
      </c>
      <c r="AH52" s="44">
        <f t="shared" si="5"/>
        <v>0</v>
      </c>
      <c r="AK52" s="128">
        <f t="shared" si="20"/>
        <v>38169</v>
      </c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128">
        <f t="shared" si="21"/>
        <v>38169</v>
      </c>
      <c r="AZ52" s="44">
        <f t="shared" si="8"/>
        <v>0</v>
      </c>
      <c r="BB52" s="128">
        <f t="shared" si="22"/>
        <v>38169</v>
      </c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128">
        <f t="shared" si="23"/>
        <v>38169</v>
      </c>
      <c r="BQ52" s="44">
        <f t="shared" si="11"/>
        <v>0</v>
      </c>
      <c r="BS52" s="128">
        <f t="shared" si="24"/>
        <v>38169</v>
      </c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128">
        <f t="shared" si="25"/>
        <v>38169</v>
      </c>
      <c r="CH52" s="44">
        <f t="shared" si="14"/>
        <v>0</v>
      </c>
    </row>
    <row r="53" spans="1:86" x14ac:dyDescent="0.25">
      <c r="A53" s="128">
        <f t="shared" si="16"/>
        <v>38200</v>
      </c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128">
        <f t="shared" si="17"/>
        <v>38200</v>
      </c>
      <c r="P53" s="44">
        <f t="shared" si="2"/>
        <v>0</v>
      </c>
      <c r="S53" s="128">
        <f t="shared" si="18"/>
        <v>38200</v>
      </c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128">
        <f t="shared" si="19"/>
        <v>38200</v>
      </c>
      <c r="AH53" s="44">
        <f t="shared" si="5"/>
        <v>0</v>
      </c>
      <c r="AK53" s="128">
        <f t="shared" si="20"/>
        <v>38200</v>
      </c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128">
        <f t="shared" si="21"/>
        <v>38200</v>
      </c>
      <c r="AZ53" s="44">
        <f t="shared" si="8"/>
        <v>0</v>
      </c>
      <c r="BB53" s="128">
        <f t="shared" si="22"/>
        <v>38200</v>
      </c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128">
        <f t="shared" si="23"/>
        <v>38200</v>
      </c>
      <c r="BQ53" s="44">
        <f t="shared" si="11"/>
        <v>0</v>
      </c>
      <c r="BS53" s="128">
        <f t="shared" si="24"/>
        <v>38200</v>
      </c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128">
        <f t="shared" si="25"/>
        <v>38200</v>
      </c>
      <c r="CH53" s="44">
        <f t="shared" si="14"/>
        <v>0</v>
      </c>
    </row>
    <row r="54" spans="1:86" x14ac:dyDescent="0.25">
      <c r="A54" s="128">
        <f t="shared" si="16"/>
        <v>38231</v>
      </c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128">
        <f t="shared" si="17"/>
        <v>38231</v>
      </c>
      <c r="P54" s="44">
        <f t="shared" si="2"/>
        <v>0</v>
      </c>
      <c r="S54" s="128">
        <f t="shared" si="18"/>
        <v>38231</v>
      </c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128">
        <f t="shared" si="19"/>
        <v>38231</v>
      </c>
      <c r="AH54" s="44">
        <f t="shared" si="5"/>
        <v>0</v>
      </c>
      <c r="AK54" s="128">
        <f t="shared" si="20"/>
        <v>38231</v>
      </c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128">
        <f t="shared" si="21"/>
        <v>38231</v>
      </c>
      <c r="AZ54" s="44">
        <f t="shared" si="8"/>
        <v>0</v>
      </c>
      <c r="BB54" s="128">
        <f t="shared" si="22"/>
        <v>38231</v>
      </c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128">
        <f t="shared" si="23"/>
        <v>38231</v>
      </c>
      <c r="BQ54" s="44">
        <f t="shared" si="11"/>
        <v>0</v>
      </c>
      <c r="BS54" s="128">
        <f t="shared" si="24"/>
        <v>38231</v>
      </c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128">
        <f t="shared" si="25"/>
        <v>38231</v>
      </c>
      <c r="CH54" s="44">
        <f t="shared" si="14"/>
        <v>0</v>
      </c>
    </row>
    <row r="55" spans="1:86" x14ac:dyDescent="0.25">
      <c r="A55" s="128">
        <f t="shared" si="16"/>
        <v>38261</v>
      </c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128">
        <f t="shared" si="17"/>
        <v>38261</v>
      </c>
      <c r="P55" s="44">
        <f t="shared" si="2"/>
        <v>0</v>
      </c>
      <c r="S55" s="128">
        <f t="shared" si="18"/>
        <v>38261</v>
      </c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128">
        <f t="shared" si="19"/>
        <v>38261</v>
      </c>
      <c r="AH55" s="44">
        <f t="shared" si="5"/>
        <v>0</v>
      </c>
      <c r="AK55" s="128">
        <f t="shared" si="20"/>
        <v>38261</v>
      </c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128">
        <f t="shared" si="21"/>
        <v>38261</v>
      </c>
      <c r="AZ55" s="44">
        <f t="shared" si="8"/>
        <v>0</v>
      </c>
      <c r="BB55" s="128">
        <f t="shared" si="22"/>
        <v>38261</v>
      </c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128">
        <f t="shared" si="23"/>
        <v>38261</v>
      </c>
      <c r="BQ55" s="44">
        <f t="shared" si="11"/>
        <v>0</v>
      </c>
      <c r="BS55" s="128">
        <f t="shared" si="24"/>
        <v>38261</v>
      </c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128">
        <f t="shared" si="25"/>
        <v>38261</v>
      </c>
      <c r="CH55" s="44">
        <f t="shared" si="14"/>
        <v>0</v>
      </c>
    </row>
    <row r="56" spans="1:86" x14ac:dyDescent="0.25">
      <c r="A56" s="128">
        <f t="shared" si="16"/>
        <v>38292</v>
      </c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128">
        <f t="shared" si="17"/>
        <v>38292</v>
      </c>
      <c r="P56" s="44">
        <f t="shared" si="2"/>
        <v>0</v>
      </c>
      <c r="S56" s="128">
        <f t="shared" si="18"/>
        <v>38292</v>
      </c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128">
        <f t="shared" si="19"/>
        <v>38292</v>
      </c>
      <c r="AH56" s="44">
        <f t="shared" si="5"/>
        <v>0</v>
      </c>
      <c r="AK56" s="128">
        <f t="shared" si="20"/>
        <v>38292</v>
      </c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128">
        <f t="shared" si="21"/>
        <v>38292</v>
      </c>
      <c r="AZ56" s="44">
        <f t="shared" si="8"/>
        <v>0</v>
      </c>
      <c r="BB56" s="128">
        <f t="shared" si="22"/>
        <v>38292</v>
      </c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128">
        <f t="shared" si="23"/>
        <v>38292</v>
      </c>
      <c r="BQ56" s="44">
        <f t="shared" si="11"/>
        <v>0</v>
      </c>
      <c r="BS56" s="128">
        <f t="shared" si="24"/>
        <v>38292</v>
      </c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128">
        <f t="shared" si="25"/>
        <v>38292</v>
      </c>
      <c r="CH56" s="44">
        <f t="shared" si="14"/>
        <v>0</v>
      </c>
    </row>
    <row r="57" spans="1:86" x14ac:dyDescent="0.25">
      <c r="A57" s="128">
        <f t="shared" si="16"/>
        <v>38322</v>
      </c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128">
        <f t="shared" si="17"/>
        <v>38322</v>
      </c>
      <c r="P57" s="44">
        <f t="shared" si="2"/>
        <v>0</v>
      </c>
      <c r="S57" s="128">
        <f t="shared" si="18"/>
        <v>38322</v>
      </c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128">
        <f t="shared" si="19"/>
        <v>38322</v>
      </c>
      <c r="AH57" s="44">
        <f t="shared" si="5"/>
        <v>0</v>
      </c>
      <c r="AK57" s="128">
        <f t="shared" si="20"/>
        <v>38322</v>
      </c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128">
        <f t="shared" si="21"/>
        <v>38322</v>
      </c>
      <c r="AZ57" s="44">
        <f t="shared" si="8"/>
        <v>0</v>
      </c>
      <c r="BB57" s="128">
        <f t="shared" si="22"/>
        <v>38322</v>
      </c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128">
        <f t="shared" si="23"/>
        <v>38322</v>
      </c>
      <c r="BQ57" s="44">
        <f t="shared" si="11"/>
        <v>0</v>
      </c>
      <c r="BS57" s="128">
        <f t="shared" si="24"/>
        <v>38322</v>
      </c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128">
        <f t="shared" si="25"/>
        <v>38322</v>
      </c>
      <c r="CH57" s="44">
        <f t="shared" si="14"/>
        <v>0</v>
      </c>
    </row>
    <row r="58" spans="1:86" x14ac:dyDescent="0.25">
      <c r="A58" s="128">
        <f t="shared" si="16"/>
        <v>38353</v>
      </c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128">
        <f t="shared" si="17"/>
        <v>38353</v>
      </c>
      <c r="P58" s="44">
        <f t="shared" si="2"/>
        <v>0</v>
      </c>
      <c r="S58" s="128">
        <f t="shared" si="18"/>
        <v>38353</v>
      </c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128">
        <f t="shared" si="19"/>
        <v>38353</v>
      </c>
      <c r="AH58" s="44">
        <f t="shared" si="5"/>
        <v>0</v>
      </c>
      <c r="AK58" s="128">
        <f t="shared" si="20"/>
        <v>38353</v>
      </c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128">
        <f t="shared" si="21"/>
        <v>38353</v>
      </c>
      <c r="AZ58" s="44">
        <f t="shared" si="8"/>
        <v>0</v>
      </c>
      <c r="BB58" s="128">
        <f t="shared" si="22"/>
        <v>38353</v>
      </c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128">
        <f t="shared" si="23"/>
        <v>38353</v>
      </c>
      <c r="BQ58" s="44">
        <f t="shared" si="11"/>
        <v>0</v>
      </c>
      <c r="BS58" s="128">
        <f t="shared" si="24"/>
        <v>38353</v>
      </c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128">
        <f t="shared" si="25"/>
        <v>38353</v>
      </c>
      <c r="CH58" s="44">
        <f t="shared" si="14"/>
        <v>0</v>
      </c>
    </row>
    <row r="59" spans="1:86" x14ac:dyDescent="0.25">
      <c r="A59" s="128">
        <f t="shared" si="16"/>
        <v>38384</v>
      </c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128">
        <f t="shared" si="17"/>
        <v>38384</v>
      </c>
      <c r="P59" s="44">
        <f t="shared" si="2"/>
        <v>0</v>
      </c>
      <c r="S59" s="128">
        <f t="shared" si="18"/>
        <v>38384</v>
      </c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128">
        <f t="shared" si="19"/>
        <v>38384</v>
      </c>
      <c r="AH59" s="44">
        <f t="shared" si="5"/>
        <v>0</v>
      </c>
      <c r="AK59" s="128">
        <f t="shared" si="20"/>
        <v>38384</v>
      </c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128">
        <f t="shared" si="21"/>
        <v>38384</v>
      </c>
      <c r="AZ59" s="44">
        <f t="shared" si="8"/>
        <v>0</v>
      </c>
      <c r="BB59" s="128">
        <f t="shared" si="22"/>
        <v>38384</v>
      </c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128">
        <f t="shared" si="23"/>
        <v>38384</v>
      </c>
      <c r="BQ59" s="44">
        <f t="shared" si="11"/>
        <v>0</v>
      </c>
      <c r="BS59" s="128">
        <f t="shared" si="24"/>
        <v>38384</v>
      </c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128">
        <f t="shared" si="25"/>
        <v>38384</v>
      </c>
      <c r="CH59" s="44">
        <f t="shared" si="14"/>
        <v>0</v>
      </c>
    </row>
    <row r="60" spans="1:86" x14ac:dyDescent="0.25">
      <c r="A60" s="128">
        <f t="shared" si="16"/>
        <v>38412</v>
      </c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128">
        <f t="shared" si="17"/>
        <v>38412</v>
      </c>
      <c r="P60" s="44">
        <f t="shared" si="2"/>
        <v>0</v>
      </c>
      <c r="S60" s="128">
        <f t="shared" si="18"/>
        <v>38412</v>
      </c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128">
        <f t="shared" si="19"/>
        <v>38412</v>
      </c>
      <c r="AH60" s="44">
        <f t="shared" si="5"/>
        <v>0</v>
      </c>
      <c r="AK60" s="128">
        <f t="shared" si="20"/>
        <v>38412</v>
      </c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128">
        <f t="shared" si="21"/>
        <v>38412</v>
      </c>
      <c r="AZ60" s="44">
        <f t="shared" si="8"/>
        <v>0</v>
      </c>
      <c r="BB60" s="128">
        <f t="shared" si="22"/>
        <v>38412</v>
      </c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128">
        <f t="shared" si="23"/>
        <v>38412</v>
      </c>
      <c r="BQ60" s="44">
        <f t="shared" si="11"/>
        <v>0</v>
      </c>
      <c r="BS60" s="128">
        <f t="shared" si="24"/>
        <v>38412</v>
      </c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128">
        <f t="shared" si="25"/>
        <v>38412</v>
      </c>
      <c r="CH60" s="44">
        <f t="shared" si="14"/>
        <v>0</v>
      </c>
    </row>
    <row r="61" spans="1:86" x14ac:dyDescent="0.25">
      <c r="A61" s="128">
        <f t="shared" si="16"/>
        <v>38443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128">
        <f t="shared" si="17"/>
        <v>38443</v>
      </c>
      <c r="P61" s="44">
        <f t="shared" si="2"/>
        <v>0</v>
      </c>
      <c r="S61" s="128">
        <f t="shared" si="18"/>
        <v>38443</v>
      </c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128">
        <f t="shared" si="19"/>
        <v>38443</v>
      </c>
      <c r="AH61" s="44">
        <f t="shared" si="5"/>
        <v>0</v>
      </c>
      <c r="AK61" s="128">
        <f t="shared" si="20"/>
        <v>38443</v>
      </c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128">
        <f t="shared" si="21"/>
        <v>38443</v>
      </c>
      <c r="AZ61" s="44">
        <f t="shared" si="8"/>
        <v>0</v>
      </c>
      <c r="BB61" s="128">
        <f t="shared" si="22"/>
        <v>38443</v>
      </c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128">
        <f t="shared" si="23"/>
        <v>38443</v>
      </c>
      <c r="BQ61" s="44">
        <f t="shared" si="11"/>
        <v>0</v>
      </c>
      <c r="BS61" s="128">
        <f t="shared" si="24"/>
        <v>38443</v>
      </c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128">
        <f t="shared" si="25"/>
        <v>38443</v>
      </c>
      <c r="CH61" s="44">
        <f t="shared" si="14"/>
        <v>0</v>
      </c>
    </row>
    <row r="62" spans="1:86" x14ac:dyDescent="0.25">
      <c r="A62" s="128">
        <f t="shared" si="16"/>
        <v>38473</v>
      </c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128">
        <f t="shared" si="17"/>
        <v>38473</v>
      </c>
      <c r="P62" s="44">
        <f t="shared" si="2"/>
        <v>0</v>
      </c>
      <c r="S62" s="128">
        <f t="shared" si="18"/>
        <v>38473</v>
      </c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128">
        <f t="shared" si="19"/>
        <v>38473</v>
      </c>
      <c r="AH62" s="44">
        <f t="shared" si="5"/>
        <v>0</v>
      </c>
      <c r="AK62" s="128">
        <f t="shared" si="20"/>
        <v>38473</v>
      </c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128">
        <f t="shared" si="21"/>
        <v>38473</v>
      </c>
      <c r="AZ62" s="44">
        <f t="shared" si="8"/>
        <v>0</v>
      </c>
      <c r="BB62" s="128">
        <f t="shared" si="22"/>
        <v>38473</v>
      </c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128">
        <f t="shared" si="23"/>
        <v>38473</v>
      </c>
      <c r="BQ62" s="44">
        <f t="shared" si="11"/>
        <v>0</v>
      </c>
      <c r="BS62" s="128">
        <f t="shared" si="24"/>
        <v>38473</v>
      </c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128">
        <f t="shared" si="25"/>
        <v>38473</v>
      </c>
      <c r="CH62" s="44">
        <f t="shared" si="14"/>
        <v>0</v>
      </c>
    </row>
    <row r="63" spans="1:86" x14ac:dyDescent="0.25">
      <c r="A63" s="128">
        <f t="shared" si="16"/>
        <v>38504</v>
      </c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128">
        <f t="shared" si="17"/>
        <v>38504</v>
      </c>
      <c r="P63" s="44">
        <f t="shared" si="2"/>
        <v>0</v>
      </c>
      <c r="S63" s="128">
        <f t="shared" si="18"/>
        <v>38504</v>
      </c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128">
        <f t="shared" si="19"/>
        <v>38504</v>
      </c>
      <c r="AH63" s="44">
        <f t="shared" si="5"/>
        <v>0</v>
      </c>
      <c r="AK63" s="128">
        <f t="shared" si="20"/>
        <v>38504</v>
      </c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128">
        <f t="shared" si="21"/>
        <v>38504</v>
      </c>
      <c r="AZ63" s="44">
        <f t="shared" si="8"/>
        <v>0</v>
      </c>
      <c r="BB63" s="128">
        <f t="shared" si="22"/>
        <v>38504</v>
      </c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128">
        <f t="shared" si="23"/>
        <v>38504</v>
      </c>
      <c r="BQ63" s="44">
        <f t="shared" si="11"/>
        <v>0</v>
      </c>
      <c r="BS63" s="128">
        <f t="shared" si="24"/>
        <v>38504</v>
      </c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128">
        <f t="shared" si="25"/>
        <v>38504</v>
      </c>
      <c r="CH63" s="44">
        <f t="shared" si="14"/>
        <v>0</v>
      </c>
    </row>
    <row r="64" spans="1:86" x14ac:dyDescent="0.25">
      <c r="A64" s="128">
        <f t="shared" si="16"/>
        <v>38534</v>
      </c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128">
        <f t="shared" si="17"/>
        <v>38534</v>
      </c>
      <c r="P64" s="44">
        <f t="shared" si="2"/>
        <v>0</v>
      </c>
      <c r="S64" s="128">
        <f t="shared" si="18"/>
        <v>38534</v>
      </c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128">
        <f t="shared" si="19"/>
        <v>38534</v>
      </c>
      <c r="AH64" s="44">
        <f t="shared" si="5"/>
        <v>0</v>
      </c>
      <c r="AK64" s="128">
        <f t="shared" si="20"/>
        <v>38534</v>
      </c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128">
        <f t="shared" si="21"/>
        <v>38534</v>
      </c>
      <c r="AZ64" s="44">
        <f t="shared" si="8"/>
        <v>0</v>
      </c>
      <c r="BB64" s="128">
        <f t="shared" si="22"/>
        <v>38534</v>
      </c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128">
        <f t="shared" si="23"/>
        <v>38534</v>
      </c>
      <c r="BQ64" s="44">
        <f t="shared" si="11"/>
        <v>0</v>
      </c>
      <c r="BS64" s="128">
        <f t="shared" si="24"/>
        <v>38534</v>
      </c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128">
        <f t="shared" si="25"/>
        <v>38534</v>
      </c>
      <c r="CH64" s="44">
        <f t="shared" si="14"/>
        <v>0</v>
      </c>
    </row>
    <row r="65" spans="1:86" x14ac:dyDescent="0.25">
      <c r="A65" s="128">
        <f t="shared" si="16"/>
        <v>38565</v>
      </c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128">
        <f t="shared" si="17"/>
        <v>38565</v>
      </c>
      <c r="P65" s="44">
        <f t="shared" si="2"/>
        <v>0</v>
      </c>
      <c r="S65" s="128">
        <f t="shared" si="18"/>
        <v>38565</v>
      </c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128">
        <f t="shared" si="19"/>
        <v>38565</v>
      </c>
      <c r="AH65" s="44">
        <f t="shared" si="5"/>
        <v>0</v>
      </c>
      <c r="AK65" s="128">
        <f t="shared" si="20"/>
        <v>38565</v>
      </c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128">
        <f t="shared" si="21"/>
        <v>38565</v>
      </c>
      <c r="AZ65" s="44">
        <f t="shared" si="8"/>
        <v>0</v>
      </c>
      <c r="BB65" s="128">
        <f t="shared" si="22"/>
        <v>38565</v>
      </c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128">
        <f t="shared" si="23"/>
        <v>38565</v>
      </c>
      <c r="BQ65" s="44">
        <f t="shared" si="11"/>
        <v>0</v>
      </c>
      <c r="BS65" s="128">
        <f t="shared" si="24"/>
        <v>38565</v>
      </c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128">
        <f t="shared" si="25"/>
        <v>38565</v>
      </c>
      <c r="CH65" s="44">
        <f t="shared" si="14"/>
        <v>0</v>
      </c>
    </row>
    <row r="66" spans="1:86" x14ac:dyDescent="0.25">
      <c r="A66" s="128">
        <f t="shared" si="16"/>
        <v>38596</v>
      </c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128">
        <f t="shared" si="17"/>
        <v>38596</v>
      </c>
      <c r="P66" s="44">
        <f t="shared" si="2"/>
        <v>0</v>
      </c>
      <c r="S66" s="128">
        <f t="shared" si="18"/>
        <v>38596</v>
      </c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128">
        <f t="shared" si="19"/>
        <v>38596</v>
      </c>
      <c r="AH66" s="44">
        <f t="shared" si="5"/>
        <v>0</v>
      </c>
      <c r="AK66" s="128">
        <f t="shared" si="20"/>
        <v>38596</v>
      </c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128">
        <f t="shared" si="21"/>
        <v>38596</v>
      </c>
      <c r="AZ66" s="44">
        <f t="shared" si="8"/>
        <v>0</v>
      </c>
      <c r="BB66" s="128">
        <f t="shared" si="22"/>
        <v>38596</v>
      </c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128">
        <f t="shared" si="23"/>
        <v>38596</v>
      </c>
      <c r="BQ66" s="44">
        <f t="shared" si="11"/>
        <v>0</v>
      </c>
      <c r="BS66" s="128">
        <f t="shared" si="24"/>
        <v>38596</v>
      </c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128">
        <f t="shared" si="25"/>
        <v>38596</v>
      </c>
      <c r="CH66" s="44">
        <f t="shared" si="14"/>
        <v>0</v>
      </c>
    </row>
    <row r="67" spans="1:86" x14ac:dyDescent="0.25">
      <c r="A67" s="128">
        <f t="shared" si="16"/>
        <v>38626</v>
      </c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128">
        <f t="shared" si="17"/>
        <v>38626</v>
      </c>
      <c r="P67" s="44">
        <f t="shared" si="2"/>
        <v>0</v>
      </c>
      <c r="S67" s="128">
        <f t="shared" si="18"/>
        <v>38626</v>
      </c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128">
        <f t="shared" si="19"/>
        <v>38626</v>
      </c>
      <c r="AH67" s="44">
        <f t="shared" si="5"/>
        <v>0</v>
      </c>
      <c r="AK67" s="128">
        <f t="shared" si="20"/>
        <v>38626</v>
      </c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128">
        <f t="shared" si="21"/>
        <v>38626</v>
      </c>
      <c r="AZ67" s="44">
        <f t="shared" si="8"/>
        <v>0</v>
      </c>
      <c r="BB67" s="128">
        <f t="shared" si="22"/>
        <v>38626</v>
      </c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128">
        <f t="shared" si="23"/>
        <v>38626</v>
      </c>
      <c r="BQ67" s="44">
        <f t="shared" si="11"/>
        <v>0</v>
      </c>
      <c r="BS67" s="128">
        <f t="shared" si="24"/>
        <v>38626</v>
      </c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128">
        <f t="shared" si="25"/>
        <v>38626</v>
      </c>
      <c r="CH67" s="44">
        <f t="shared" si="14"/>
        <v>0</v>
      </c>
    </row>
    <row r="68" spans="1:86" x14ac:dyDescent="0.25">
      <c r="A68" s="128">
        <f t="shared" si="16"/>
        <v>38657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128">
        <f t="shared" si="17"/>
        <v>38657</v>
      </c>
      <c r="P68" s="44">
        <f t="shared" si="2"/>
        <v>0</v>
      </c>
      <c r="S68" s="128">
        <f t="shared" si="18"/>
        <v>38657</v>
      </c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128">
        <f t="shared" si="19"/>
        <v>38657</v>
      </c>
      <c r="AH68" s="44">
        <f t="shared" si="5"/>
        <v>0</v>
      </c>
      <c r="AK68" s="128">
        <f t="shared" si="20"/>
        <v>38657</v>
      </c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128">
        <f t="shared" si="21"/>
        <v>38657</v>
      </c>
      <c r="AZ68" s="44">
        <f t="shared" si="8"/>
        <v>0</v>
      </c>
      <c r="BB68" s="128">
        <f t="shared" si="22"/>
        <v>38657</v>
      </c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128">
        <f t="shared" si="23"/>
        <v>38657</v>
      </c>
      <c r="BQ68" s="44">
        <f t="shared" si="11"/>
        <v>0</v>
      </c>
      <c r="BS68" s="128">
        <f t="shared" si="24"/>
        <v>38657</v>
      </c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128">
        <f t="shared" si="25"/>
        <v>38657</v>
      </c>
      <c r="CH68" s="44">
        <f t="shared" si="14"/>
        <v>0</v>
      </c>
    </row>
    <row r="69" spans="1:86" x14ac:dyDescent="0.25">
      <c r="A69" s="128">
        <f t="shared" si="16"/>
        <v>38687</v>
      </c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128">
        <f t="shared" si="17"/>
        <v>38687</v>
      </c>
      <c r="P69" s="44">
        <f t="shared" si="2"/>
        <v>0</v>
      </c>
      <c r="S69" s="128">
        <f t="shared" si="18"/>
        <v>38687</v>
      </c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128">
        <f t="shared" si="19"/>
        <v>38687</v>
      </c>
      <c r="AH69" s="44">
        <f t="shared" si="5"/>
        <v>0</v>
      </c>
      <c r="AK69" s="128">
        <f t="shared" si="20"/>
        <v>38687</v>
      </c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128">
        <f t="shared" si="21"/>
        <v>38687</v>
      </c>
      <c r="AZ69" s="44">
        <f t="shared" si="8"/>
        <v>0</v>
      </c>
      <c r="BB69" s="128">
        <f t="shared" si="22"/>
        <v>38687</v>
      </c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128">
        <f t="shared" si="23"/>
        <v>38687</v>
      </c>
      <c r="BQ69" s="44">
        <f t="shared" si="11"/>
        <v>0</v>
      </c>
      <c r="BS69" s="128">
        <f t="shared" si="24"/>
        <v>38687</v>
      </c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128">
        <f t="shared" si="25"/>
        <v>38687</v>
      </c>
      <c r="CH69" s="44">
        <f t="shared" si="14"/>
        <v>0</v>
      </c>
    </row>
    <row r="70" spans="1:86" x14ac:dyDescent="0.25">
      <c r="A70" s="128">
        <f t="shared" ref="A70:A101" si="26">EOMONTH(A69,0)+1</f>
        <v>38718</v>
      </c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128">
        <f t="shared" ref="O70:O101" si="27">EOMONTH(O69,0)+1</f>
        <v>38718</v>
      </c>
      <c r="P70" s="44">
        <f t="shared" ref="P70:P133" si="28">SUM(B70:N70)</f>
        <v>0</v>
      </c>
      <c r="S70" s="128">
        <f t="shared" ref="S70:S101" si="29">EOMONTH(S69,0)+1</f>
        <v>38718</v>
      </c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128">
        <f t="shared" ref="AG70:AG101" si="30">EOMONTH(AG69,0)+1</f>
        <v>38718</v>
      </c>
      <c r="AH70" s="44">
        <f t="shared" ref="AH70:AH133" si="31">SUM(T70:AF70)</f>
        <v>0</v>
      </c>
      <c r="AK70" s="128">
        <f t="shared" ref="AK70:AK101" si="32">EOMONTH(AK69,0)+1</f>
        <v>38718</v>
      </c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128">
        <f t="shared" ref="AY70:AY101" si="33">EOMONTH(AY69,0)+1</f>
        <v>38718</v>
      </c>
      <c r="AZ70" s="44">
        <f t="shared" ref="AZ70:AZ133" si="34">SUM(AL70:AX70)</f>
        <v>0</v>
      </c>
      <c r="BB70" s="128">
        <f t="shared" ref="BB70:BB101" si="35">EOMONTH(BB69,0)+1</f>
        <v>38718</v>
      </c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128">
        <f t="shared" ref="BP70:BP101" si="36">EOMONTH(BP69,0)+1</f>
        <v>38718</v>
      </c>
      <c r="BQ70" s="44">
        <f t="shared" ref="BQ70:BQ133" si="37">SUM(BC70:BO70)</f>
        <v>0</v>
      </c>
      <c r="BS70" s="128">
        <f t="shared" ref="BS70:BS101" si="38">EOMONTH(BS69,0)+1</f>
        <v>38718</v>
      </c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128">
        <f t="shared" ref="CG70:CG101" si="39">EOMONTH(CG69,0)+1</f>
        <v>38718</v>
      </c>
      <c r="CH70" s="44">
        <f t="shared" ref="CH70:CH133" si="40">SUM(BT70:CF70)</f>
        <v>0</v>
      </c>
    </row>
    <row r="71" spans="1:86" x14ac:dyDescent="0.25">
      <c r="A71" s="128">
        <f t="shared" si="26"/>
        <v>38749</v>
      </c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128">
        <f t="shared" si="27"/>
        <v>38749</v>
      </c>
      <c r="P71" s="44">
        <f t="shared" si="28"/>
        <v>0</v>
      </c>
      <c r="S71" s="128">
        <f t="shared" si="29"/>
        <v>38749</v>
      </c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128">
        <f t="shared" si="30"/>
        <v>38749</v>
      </c>
      <c r="AH71" s="44">
        <f t="shared" si="31"/>
        <v>0</v>
      </c>
      <c r="AK71" s="128">
        <f t="shared" si="32"/>
        <v>38749</v>
      </c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128">
        <f t="shared" si="33"/>
        <v>38749</v>
      </c>
      <c r="AZ71" s="44">
        <f t="shared" si="34"/>
        <v>0</v>
      </c>
      <c r="BB71" s="128">
        <f t="shared" si="35"/>
        <v>38749</v>
      </c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128">
        <f t="shared" si="36"/>
        <v>38749</v>
      </c>
      <c r="BQ71" s="44">
        <f t="shared" si="37"/>
        <v>0</v>
      </c>
      <c r="BS71" s="128">
        <f t="shared" si="38"/>
        <v>38749</v>
      </c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128">
        <f t="shared" si="39"/>
        <v>38749</v>
      </c>
      <c r="CH71" s="44">
        <f t="shared" si="40"/>
        <v>0</v>
      </c>
    </row>
    <row r="72" spans="1:86" x14ac:dyDescent="0.25">
      <c r="A72" s="128">
        <f t="shared" si="26"/>
        <v>38777</v>
      </c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128">
        <f t="shared" si="27"/>
        <v>38777</v>
      </c>
      <c r="P72" s="44">
        <f t="shared" si="28"/>
        <v>0</v>
      </c>
      <c r="S72" s="128">
        <f t="shared" si="29"/>
        <v>38777</v>
      </c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128">
        <f t="shared" si="30"/>
        <v>38777</v>
      </c>
      <c r="AH72" s="44">
        <f t="shared" si="31"/>
        <v>0</v>
      </c>
      <c r="AK72" s="128">
        <f t="shared" si="32"/>
        <v>38777</v>
      </c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128">
        <f t="shared" si="33"/>
        <v>38777</v>
      </c>
      <c r="AZ72" s="44">
        <f t="shared" si="34"/>
        <v>0</v>
      </c>
      <c r="BB72" s="128">
        <f t="shared" si="35"/>
        <v>38777</v>
      </c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128">
        <f t="shared" si="36"/>
        <v>38777</v>
      </c>
      <c r="BQ72" s="44">
        <f t="shared" si="37"/>
        <v>0</v>
      </c>
      <c r="BS72" s="128">
        <f t="shared" si="38"/>
        <v>38777</v>
      </c>
      <c r="BT72" s="43">
        <f>SUMIF('Basis Options'!$X:$X,CONCATENATE($AK72,BT$4),'Basis Options'!$AF:$AF)</f>
        <v>0</v>
      </c>
      <c r="BU72" s="43">
        <f>SUMIF('Basis Options'!$X:$X,CONCATENATE($AK72,BU$4),'Basis Options'!$AF:$AF)</f>
        <v>0</v>
      </c>
      <c r="BV72" s="43">
        <f>SUMIF('Basis Options'!$X:$X,CONCATENATE($AK72,BV$4),'Basis Options'!$AF:$AF)</f>
        <v>0</v>
      </c>
      <c r="BW72" s="43">
        <f>SUMIF('Basis Options'!$X:$X,CONCATENATE($AK72,BW$4),'Basis Options'!$AF:$AF)</f>
        <v>0</v>
      </c>
      <c r="BX72" s="43">
        <f>SUMIF('Basis Options'!$X:$X,CONCATENATE($AK72,BX$4),'Basis Options'!$AF:$AF)</f>
        <v>0</v>
      </c>
      <c r="BY72" s="43">
        <f>SUMIF('Basis Options'!$X:$X,CONCATENATE($AK72,BY$4),'Basis Options'!$AF:$AF)</f>
        <v>0</v>
      </c>
      <c r="BZ72" s="43">
        <f>SUMIF('Basis Options'!$X:$X,CONCATENATE($AK72,BZ$4),'Basis Options'!$AF:$AF)</f>
        <v>0</v>
      </c>
      <c r="CA72" s="43">
        <f>SUMIF('Basis Options'!$X:$X,CONCATENATE($AK72,CA$4),'Basis Options'!$AF:$AF)</f>
        <v>0</v>
      </c>
      <c r="CB72" s="43">
        <f>SUMIF('Basis Options'!$X:$X,CONCATENATE($AK72,CB$4),'Basis Options'!$AF:$AF)</f>
        <v>0</v>
      </c>
      <c r="CC72" s="43">
        <f>SUMIF('Basis Options'!$X:$X,CONCATENATE($AK72,CC$4),'Basis Options'!$AF:$AF)</f>
        <v>0</v>
      </c>
      <c r="CD72" s="43"/>
      <c r="CE72" s="43">
        <f>SUMIF('Basis Options'!$X:$X,CONCATENATE($AK72,CE$4),'Basis Options'!$AF:$AF)</f>
        <v>0</v>
      </c>
      <c r="CF72" s="43"/>
      <c r="CG72" s="128">
        <f t="shared" si="39"/>
        <v>38777</v>
      </c>
      <c r="CH72" s="44">
        <f t="shared" si="40"/>
        <v>0</v>
      </c>
    </row>
    <row r="73" spans="1:86" x14ac:dyDescent="0.25">
      <c r="A73" s="128">
        <f t="shared" si="26"/>
        <v>38808</v>
      </c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128">
        <f t="shared" si="27"/>
        <v>38808</v>
      </c>
      <c r="P73" s="44">
        <f t="shared" si="28"/>
        <v>0</v>
      </c>
      <c r="S73" s="128">
        <f t="shared" si="29"/>
        <v>38808</v>
      </c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128">
        <f t="shared" si="30"/>
        <v>38808</v>
      </c>
      <c r="AH73" s="44">
        <f t="shared" si="31"/>
        <v>0</v>
      </c>
      <c r="AK73" s="128">
        <f t="shared" si="32"/>
        <v>38808</v>
      </c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128">
        <f t="shared" si="33"/>
        <v>38808</v>
      </c>
      <c r="AZ73" s="44">
        <f t="shared" si="34"/>
        <v>0</v>
      </c>
      <c r="BB73" s="128">
        <f t="shared" si="35"/>
        <v>38808</v>
      </c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128">
        <f t="shared" si="36"/>
        <v>38808</v>
      </c>
      <c r="BQ73" s="44">
        <f t="shared" si="37"/>
        <v>0</v>
      </c>
      <c r="BS73" s="128">
        <f t="shared" si="38"/>
        <v>38808</v>
      </c>
      <c r="BT73" s="43">
        <f>SUMIF('Basis Options'!$X:$X,CONCATENATE($AK73,BT$4),'Basis Options'!$AF:$AF)</f>
        <v>0</v>
      </c>
      <c r="BU73" s="43">
        <f>SUMIF('Basis Options'!$X:$X,CONCATENATE($AK73,BU$4),'Basis Options'!$AF:$AF)</f>
        <v>0</v>
      </c>
      <c r="BV73" s="43">
        <f>SUMIF('Basis Options'!$X:$X,CONCATENATE($AK73,BV$4),'Basis Options'!$AF:$AF)</f>
        <v>0</v>
      </c>
      <c r="BW73" s="43">
        <f>SUMIF('Basis Options'!$X:$X,CONCATENATE($AK73,BW$4),'Basis Options'!$AF:$AF)</f>
        <v>0</v>
      </c>
      <c r="BX73" s="43">
        <f>SUMIF('Basis Options'!$X:$X,CONCATENATE($AK73,BX$4),'Basis Options'!$AF:$AF)</f>
        <v>0</v>
      </c>
      <c r="BY73" s="43">
        <f>SUMIF('Basis Options'!$X:$X,CONCATENATE($AK73,BY$4),'Basis Options'!$AF:$AF)</f>
        <v>0</v>
      </c>
      <c r="BZ73" s="43">
        <f>SUMIF('Basis Options'!$X:$X,CONCATENATE($AK73,BZ$4),'Basis Options'!$AF:$AF)</f>
        <v>0</v>
      </c>
      <c r="CA73" s="43">
        <f>SUMIF('Basis Options'!$X:$X,CONCATENATE($AK73,CA$4),'Basis Options'!$AF:$AF)</f>
        <v>0</v>
      </c>
      <c r="CB73" s="43">
        <f>SUMIF('Basis Options'!$X:$X,CONCATENATE($AK73,CB$4),'Basis Options'!$AF:$AF)</f>
        <v>0</v>
      </c>
      <c r="CC73" s="43">
        <f>SUMIF('Basis Options'!$X:$X,CONCATENATE($AK73,CC$4),'Basis Options'!$AF:$AF)</f>
        <v>0</v>
      </c>
      <c r="CD73" s="43"/>
      <c r="CE73" s="43">
        <f>SUMIF('Basis Options'!$X:$X,CONCATENATE($AK73,CE$4),'Basis Options'!$AF:$AF)</f>
        <v>0</v>
      </c>
      <c r="CF73" s="43"/>
      <c r="CG73" s="128">
        <f t="shared" si="39"/>
        <v>38808</v>
      </c>
      <c r="CH73" s="44">
        <f t="shared" si="40"/>
        <v>0</v>
      </c>
    </row>
    <row r="74" spans="1:86" x14ac:dyDescent="0.25">
      <c r="A74" s="128">
        <f t="shared" si="26"/>
        <v>38838</v>
      </c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128">
        <f t="shared" si="27"/>
        <v>38838</v>
      </c>
      <c r="P74" s="44">
        <f t="shared" si="28"/>
        <v>0</v>
      </c>
      <c r="S74" s="128">
        <f t="shared" si="29"/>
        <v>38838</v>
      </c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128">
        <f t="shared" si="30"/>
        <v>38838</v>
      </c>
      <c r="AH74" s="44">
        <f t="shared" si="31"/>
        <v>0</v>
      </c>
      <c r="AK74" s="128">
        <f t="shared" si="32"/>
        <v>38838</v>
      </c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128">
        <f t="shared" si="33"/>
        <v>38838</v>
      </c>
      <c r="AZ74" s="44">
        <f t="shared" si="34"/>
        <v>0</v>
      </c>
      <c r="BB74" s="128">
        <f t="shared" si="35"/>
        <v>38838</v>
      </c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128">
        <f t="shared" si="36"/>
        <v>38838</v>
      </c>
      <c r="BQ74" s="44">
        <f t="shared" si="37"/>
        <v>0</v>
      </c>
      <c r="BS74" s="128">
        <f t="shared" si="38"/>
        <v>38838</v>
      </c>
      <c r="BT74" s="43">
        <f>SUMIF('Basis Options'!$X:$X,CONCATENATE($AK74,BT$4),'Basis Options'!$AF:$AF)</f>
        <v>0</v>
      </c>
      <c r="BU74" s="43">
        <f>SUMIF('Basis Options'!$X:$X,CONCATENATE($AK74,BU$4),'Basis Options'!$AF:$AF)</f>
        <v>0</v>
      </c>
      <c r="BV74" s="43">
        <f>SUMIF('Basis Options'!$X:$X,CONCATENATE($AK74,BV$4),'Basis Options'!$AF:$AF)</f>
        <v>0</v>
      </c>
      <c r="BW74" s="43">
        <f>SUMIF('Basis Options'!$X:$X,CONCATENATE($AK74,BW$4),'Basis Options'!$AF:$AF)</f>
        <v>0</v>
      </c>
      <c r="BX74" s="43">
        <f>SUMIF('Basis Options'!$X:$X,CONCATENATE($AK74,BX$4),'Basis Options'!$AF:$AF)</f>
        <v>0</v>
      </c>
      <c r="BY74" s="43">
        <f>SUMIF('Basis Options'!$X:$X,CONCATENATE($AK74,BY$4),'Basis Options'!$AF:$AF)</f>
        <v>0</v>
      </c>
      <c r="BZ74" s="43">
        <f>SUMIF('Basis Options'!$X:$X,CONCATENATE($AK74,BZ$4),'Basis Options'!$AF:$AF)</f>
        <v>0</v>
      </c>
      <c r="CA74" s="43">
        <f>SUMIF('Basis Options'!$X:$X,CONCATENATE($AK74,CA$4),'Basis Options'!$AF:$AF)</f>
        <v>0</v>
      </c>
      <c r="CB74" s="43">
        <f>SUMIF('Basis Options'!$X:$X,CONCATENATE($AK74,CB$4),'Basis Options'!$AF:$AF)</f>
        <v>0</v>
      </c>
      <c r="CC74" s="43">
        <f>SUMIF('Basis Options'!$X:$X,CONCATENATE($AK74,CC$4),'Basis Options'!$AF:$AF)</f>
        <v>0</v>
      </c>
      <c r="CD74" s="43"/>
      <c r="CE74" s="43">
        <f>SUMIF('Basis Options'!$X:$X,CONCATENATE($AK74,CE$4),'Basis Options'!$AF:$AF)</f>
        <v>0</v>
      </c>
      <c r="CF74" s="43"/>
      <c r="CG74" s="128">
        <f t="shared" si="39"/>
        <v>38838</v>
      </c>
      <c r="CH74" s="44">
        <f t="shared" si="40"/>
        <v>0</v>
      </c>
    </row>
    <row r="75" spans="1:86" x14ac:dyDescent="0.25">
      <c r="A75" s="128">
        <f t="shared" si="26"/>
        <v>38869</v>
      </c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128">
        <f t="shared" si="27"/>
        <v>38869</v>
      </c>
      <c r="P75" s="44">
        <f t="shared" si="28"/>
        <v>0</v>
      </c>
      <c r="S75" s="128">
        <f t="shared" si="29"/>
        <v>38869</v>
      </c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128">
        <f t="shared" si="30"/>
        <v>38869</v>
      </c>
      <c r="AH75" s="44">
        <f t="shared" si="31"/>
        <v>0</v>
      </c>
      <c r="AK75" s="128">
        <f t="shared" si="32"/>
        <v>38869</v>
      </c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128">
        <f t="shared" si="33"/>
        <v>38869</v>
      </c>
      <c r="AZ75" s="44">
        <f t="shared" si="34"/>
        <v>0</v>
      </c>
      <c r="BB75" s="128">
        <f t="shared" si="35"/>
        <v>38869</v>
      </c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128">
        <f t="shared" si="36"/>
        <v>38869</v>
      </c>
      <c r="BQ75" s="44">
        <f t="shared" si="37"/>
        <v>0</v>
      </c>
      <c r="BS75" s="128">
        <f t="shared" si="38"/>
        <v>38869</v>
      </c>
      <c r="BT75" s="43">
        <f>SUMIF('Basis Options'!$X:$X,CONCATENATE($AK75,BT$4),'Basis Options'!$AF:$AF)</f>
        <v>0</v>
      </c>
      <c r="BU75" s="43">
        <f>SUMIF('Basis Options'!$X:$X,CONCATENATE($AK75,BU$4),'Basis Options'!$AF:$AF)</f>
        <v>0</v>
      </c>
      <c r="BV75" s="43">
        <f>SUMIF('Basis Options'!$X:$X,CONCATENATE($AK75,BV$4),'Basis Options'!$AF:$AF)</f>
        <v>0</v>
      </c>
      <c r="BW75" s="43">
        <f>SUMIF('Basis Options'!$X:$X,CONCATENATE($AK75,BW$4),'Basis Options'!$AF:$AF)</f>
        <v>0</v>
      </c>
      <c r="BX75" s="43">
        <f>SUMIF('Basis Options'!$X:$X,CONCATENATE($AK75,BX$4),'Basis Options'!$AF:$AF)</f>
        <v>0</v>
      </c>
      <c r="BY75" s="43">
        <f>SUMIF('Basis Options'!$X:$X,CONCATENATE($AK75,BY$4),'Basis Options'!$AF:$AF)</f>
        <v>0</v>
      </c>
      <c r="BZ75" s="43">
        <f>SUMIF('Basis Options'!$X:$X,CONCATENATE($AK75,BZ$4),'Basis Options'!$AF:$AF)</f>
        <v>0</v>
      </c>
      <c r="CA75" s="43">
        <f>SUMIF('Basis Options'!$X:$X,CONCATENATE($AK75,CA$4),'Basis Options'!$AF:$AF)</f>
        <v>0</v>
      </c>
      <c r="CB75" s="43">
        <f>SUMIF('Basis Options'!$X:$X,CONCATENATE($AK75,CB$4),'Basis Options'!$AF:$AF)</f>
        <v>0</v>
      </c>
      <c r="CC75" s="43">
        <f>SUMIF('Basis Options'!$X:$X,CONCATENATE($AK75,CC$4),'Basis Options'!$AF:$AF)</f>
        <v>0</v>
      </c>
      <c r="CD75" s="43"/>
      <c r="CE75" s="43">
        <f>SUMIF('Basis Options'!$X:$X,CONCATENATE($AK75,CE$4),'Basis Options'!$AF:$AF)</f>
        <v>0</v>
      </c>
      <c r="CF75" s="43"/>
      <c r="CG75" s="128">
        <f t="shared" si="39"/>
        <v>38869</v>
      </c>
      <c r="CH75" s="44">
        <f t="shared" si="40"/>
        <v>0</v>
      </c>
    </row>
    <row r="76" spans="1:86" x14ac:dyDescent="0.25">
      <c r="A76" s="128">
        <f t="shared" si="26"/>
        <v>38899</v>
      </c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128">
        <f t="shared" si="27"/>
        <v>38899</v>
      </c>
      <c r="P76" s="44">
        <f t="shared" si="28"/>
        <v>0</v>
      </c>
      <c r="S76" s="128">
        <f t="shared" si="29"/>
        <v>38899</v>
      </c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128">
        <f t="shared" si="30"/>
        <v>38899</v>
      </c>
      <c r="AH76" s="44">
        <f t="shared" si="31"/>
        <v>0</v>
      </c>
      <c r="AK76" s="128">
        <f t="shared" si="32"/>
        <v>38899</v>
      </c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128">
        <f t="shared" si="33"/>
        <v>38899</v>
      </c>
      <c r="AZ76" s="44">
        <f t="shared" si="34"/>
        <v>0</v>
      </c>
      <c r="BB76" s="128">
        <f t="shared" si="35"/>
        <v>38899</v>
      </c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128">
        <f t="shared" si="36"/>
        <v>38899</v>
      </c>
      <c r="BQ76" s="44">
        <f t="shared" si="37"/>
        <v>0</v>
      </c>
      <c r="BS76" s="128">
        <f t="shared" si="38"/>
        <v>38899</v>
      </c>
      <c r="BT76" s="43">
        <f>SUMIF('Basis Options'!$X:$X,CONCATENATE($AK76,BT$4),'Basis Options'!$AF:$AF)</f>
        <v>0</v>
      </c>
      <c r="BU76" s="43">
        <f>SUMIF('Basis Options'!$X:$X,CONCATENATE($AK76,BU$4),'Basis Options'!$AF:$AF)</f>
        <v>0</v>
      </c>
      <c r="BV76" s="43">
        <f>SUMIF('Basis Options'!$X:$X,CONCATENATE($AK76,BV$4),'Basis Options'!$AF:$AF)</f>
        <v>0</v>
      </c>
      <c r="BW76" s="43">
        <f>SUMIF('Basis Options'!$X:$X,CONCATENATE($AK76,BW$4),'Basis Options'!$AF:$AF)</f>
        <v>0</v>
      </c>
      <c r="BX76" s="43">
        <f>SUMIF('Basis Options'!$X:$X,CONCATENATE($AK76,BX$4),'Basis Options'!$AF:$AF)</f>
        <v>0</v>
      </c>
      <c r="BY76" s="43">
        <f>SUMIF('Basis Options'!$X:$X,CONCATENATE($AK76,BY$4),'Basis Options'!$AF:$AF)</f>
        <v>0</v>
      </c>
      <c r="BZ76" s="43">
        <f>SUMIF('Basis Options'!$X:$X,CONCATENATE($AK76,BZ$4),'Basis Options'!$AF:$AF)</f>
        <v>0</v>
      </c>
      <c r="CA76" s="43">
        <f>SUMIF('Basis Options'!$X:$X,CONCATENATE($AK76,CA$4),'Basis Options'!$AF:$AF)</f>
        <v>0</v>
      </c>
      <c r="CB76" s="43">
        <f>SUMIF('Basis Options'!$X:$X,CONCATENATE($AK76,CB$4),'Basis Options'!$AF:$AF)</f>
        <v>0</v>
      </c>
      <c r="CC76" s="43">
        <f>SUMIF('Basis Options'!$X:$X,CONCATENATE($AK76,CC$4),'Basis Options'!$AF:$AF)</f>
        <v>0</v>
      </c>
      <c r="CD76" s="43"/>
      <c r="CE76" s="43">
        <f>SUMIF('Basis Options'!$X:$X,CONCATENATE($AK76,CE$4),'Basis Options'!$AF:$AF)</f>
        <v>0</v>
      </c>
      <c r="CF76" s="43"/>
      <c r="CG76" s="128">
        <f t="shared" si="39"/>
        <v>38899</v>
      </c>
      <c r="CH76" s="44">
        <f t="shared" si="40"/>
        <v>0</v>
      </c>
    </row>
    <row r="77" spans="1:86" x14ac:dyDescent="0.25">
      <c r="A77" s="128">
        <f t="shared" si="26"/>
        <v>38930</v>
      </c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128">
        <f t="shared" si="27"/>
        <v>38930</v>
      </c>
      <c r="P77" s="44">
        <f t="shared" si="28"/>
        <v>0</v>
      </c>
      <c r="S77" s="128">
        <f t="shared" si="29"/>
        <v>38930</v>
      </c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128">
        <f t="shared" si="30"/>
        <v>38930</v>
      </c>
      <c r="AH77" s="44">
        <f t="shared" si="31"/>
        <v>0</v>
      </c>
      <c r="AK77" s="128">
        <f t="shared" si="32"/>
        <v>38930</v>
      </c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128">
        <f t="shared" si="33"/>
        <v>38930</v>
      </c>
      <c r="AZ77" s="44">
        <f t="shared" si="34"/>
        <v>0</v>
      </c>
      <c r="BB77" s="128">
        <f t="shared" si="35"/>
        <v>38930</v>
      </c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128">
        <f t="shared" si="36"/>
        <v>38930</v>
      </c>
      <c r="BQ77" s="44">
        <f t="shared" si="37"/>
        <v>0</v>
      </c>
      <c r="BS77" s="128">
        <f t="shared" si="38"/>
        <v>38930</v>
      </c>
      <c r="BT77" s="43">
        <f>SUMIF('Basis Options'!$X:$X,CONCATENATE($AK77,BT$4),'Basis Options'!$AF:$AF)</f>
        <v>0</v>
      </c>
      <c r="BU77" s="43">
        <f>SUMIF('Basis Options'!$X:$X,CONCATENATE($AK77,BU$4),'Basis Options'!$AF:$AF)</f>
        <v>0</v>
      </c>
      <c r="BV77" s="43">
        <f>SUMIF('Basis Options'!$X:$X,CONCATENATE($AK77,BV$4),'Basis Options'!$AF:$AF)</f>
        <v>0</v>
      </c>
      <c r="BW77" s="43">
        <f>SUMIF('Basis Options'!$X:$X,CONCATENATE($AK77,BW$4),'Basis Options'!$AF:$AF)</f>
        <v>0</v>
      </c>
      <c r="BX77" s="43">
        <f>SUMIF('Basis Options'!$X:$X,CONCATENATE($AK77,BX$4),'Basis Options'!$AF:$AF)</f>
        <v>0</v>
      </c>
      <c r="BY77" s="43">
        <f>SUMIF('Basis Options'!$X:$X,CONCATENATE($AK77,BY$4),'Basis Options'!$AF:$AF)</f>
        <v>0</v>
      </c>
      <c r="BZ77" s="43">
        <f>SUMIF('Basis Options'!$X:$X,CONCATENATE($AK77,BZ$4),'Basis Options'!$AF:$AF)</f>
        <v>0</v>
      </c>
      <c r="CA77" s="43">
        <f>SUMIF('Basis Options'!$X:$X,CONCATENATE($AK77,CA$4),'Basis Options'!$AF:$AF)</f>
        <v>0</v>
      </c>
      <c r="CB77" s="43">
        <f>SUMIF('Basis Options'!$X:$X,CONCATENATE($AK77,CB$4),'Basis Options'!$AF:$AF)</f>
        <v>0</v>
      </c>
      <c r="CC77" s="43">
        <f>SUMIF('Basis Options'!$X:$X,CONCATENATE($AK77,CC$4),'Basis Options'!$AF:$AF)</f>
        <v>0</v>
      </c>
      <c r="CD77" s="43"/>
      <c r="CE77" s="43">
        <f>SUMIF('Basis Options'!$X:$X,CONCATENATE($AK77,CE$4),'Basis Options'!$AF:$AF)</f>
        <v>0</v>
      </c>
      <c r="CF77" s="43"/>
      <c r="CG77" s="128">
        <f t="shared" si="39"/>
        <v>38930</v>
      </c>
      <c r="CH77" s="44">
        <f t="shared" si="40"/>
        <v>0</v>
      </c>
    </row>
    <row r="78" spans="1:86" x14ac:dyDescent="0.25">
      <c r="A78" s="128">
        <f t="shared" si="26"/>
        <v>38961</v>
      </c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128">
        <f t="shared" si="27"/>
        <v>38961</v>
      </c>
      <c r="P78" s="44">
        <f t="shared" si="28"/>
        <v>0</v>
      </c>
      <c r="S78" s="128">
        <f t="shared" si="29"/>
        <v>38961</v>
      </c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128">
        <f t="shared" si="30"/>
        <v>38961</v>
      </c>
      <c r="AH78" s="44">
        <f t="shared" si="31"/>
        <v>0</v>
      </c>
      <c r="AK78" s="128">
        <f t="shared" si="32"/>
        <v>38961</v>
      </c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128">
        <f t="shared" si="33"/>
        <v>38961</v>
      </c>
      <c r="AZ78" s="44">
        <f t="shared" si="34"/>
        <v>0</v>
      </c>
      <c r="BB78" s="128">
        <f t="shared" si="35"/>
        <v>38961</v>
      </c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128">
        <f t="shared" si="36"/>
        <v>38961</v>
      </c>
      <c r="BQ78" s="44">
        <f t="shared" si="37"/>
        <v>0</v>
      </c>
      <c r="BS78" s="128">
        <f t="shared" si="38"/>
        <v>38961</v>
      </c>
      <c r="BT78" s="43">
        <f>SUMIF('Basis Options'!$X:$X,CONCATENATE($AK78,BT$4),'Basis Options'!$AF:$AF)</f>
        <v>0</v>
      </c>
      <c r="BU78" s="43">
        <f>SUMIF('Basis Options'!$X:$X,CONCATENATE($AK78,BU$4),'Basis Options'!$AF:$AF)</f>
        <v>0</v>
      </c>
      <c r="BV78" s="43">
        <f>SUMIF('Basis Options'!$X:$X,CONCATENATE($AK78,BV$4),'Basis Options'!$AF:$AF)</f>
        <v>0</v>
      </c>
      <c r="BW78" s="43">
        <f>SUMIF('Basis Options'!$X:$X,CONCATENATE($AK78,BW$4),'Basis Options'!$AF:$AF)</f>
        <v>0</v>
      </c>
      <c r="BX78" s="43">
        <f>SUMIF('Basis Options'!$X:$X,CONCATENATE($AK78,BX$4),'Basis Options'!$AF:$AF)</f>
        <v>0</v>
      </c>
      <c r="BY78" s="43">
        <f>SUMIF('Basis Options'!$X:$X,CONCATENATE($AK78,BY$4),'Basis Options'!$AF:$AF)</f>
        <v>0</v>
      </c>
      <c r="BZ78" s="43">
        <f>SUMIF('Basis Options'!$X:$X,CONCATENATE($AK78,BZ$4),'Basis Options'!$AF:$AF)</f>
        <v>0</v>
      </c>
      <c r="CA78" s="43">
        <f>SUMIF('Basis Options'!$X:$X,CONCATENATE($AK78,CA$4),'Basis Options'!$AF:$AF)</f>
        <v>0</v>
      </c>
      <c r="CB78" s="43">
        <f>SUMIF('Basis Options'!$X:$X,CONCATENATE($AK78,CB$4),'Basis Options'!$AF:$AF)</f>
        <v>0</v>
      </c>
      <c r="CC78" s="43">
        <f>SUMIF('Basis Options'!$X:$X,CONCATENATE($AK78,CC$4),'Basis Options'!$AF:$AF)</f>
        <v>0</v>
      </c>
      <c r="CD78" s="43"/>
      <c r="CE78" s="43">
        <f>SUMIF('Basis Options'!$X:$X,CONCATENATE($AK78,CE$4),'Basis Options'!$AF:$AF)</f>
        <v>0</v>
      </c>
      <c r="CF78" s="43"/>
      <c r="CG78" s="128">
        <f t="shared" si="39"/>
        <v>38961</v>
      </c>
      <c r="CH78" s="44">
        <f t="shared" si="40"/>
        <v>0</v>
      </c>
    </row>
    <row r="79" spans="1:86" x14ac:dyDescent="0.25">
      <c r="A79" s="128">
        <f t="shared" si="26"/>
        <v>38991</v>
      </c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128">
        <f t="shared" si="27"/>
        <v>38991</v>
      </c>
      <c r="P79" s="44">
        <f t="shared" si="28"/>
        <v>0</v>
      </c>
      <c r="S79" s="128">
        <f t="shared" si="29"/>
        <v>38991</v>
      </c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128">
        <f t="shared" si="30"/>
        <v>38991</v>
      </c>
      <c r="AH79" s="44">
        <f t="shared" si="31"/>
        <v>0</v>
      </c>
      <c r="AK79" s="128">
        <f t="shared" si="32"/>
        <v>38991</v>
      </c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128">
        <f t="shared" si="33"/>
        <v>38991</v>
      </c>
      <c r="AZ79" s="44">
        <f t="shared" si="34"/>
        <v>0</v>
      </c>
      <c r="BB79" s="128">
        <f t="shared" si="35"/>
        <v>38991</v>
      </c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128">
        <f t="shared" si="36"/>
        <v>38991</v>
      </c>
      <c r="BQ79" s="44">
        <f t="shared" si="37"/>
        <v>0</v>
      </c>
      <c r="BS79" s="128">
        <f t="shared" si="38"/>
        <v>38991</v>
      </c>
      <c r="BT79" s="43">
        <f>SUMIF('Basis Options'!$X:$X,CONCATENATE($AK79,BT$4),'Basis Options'!$AF:$AF)</f>
        <v>0</v>
      </c>
      <c r="BU79" s="43">
        <f>SUMIF('Basis Options'!$X:$X,CONCATENATE($AK79,BU$4),'Basis Options'!$AF:$AF)</f>
        <v>0</v>
      </c>
      <c r="BV79" s="43">
        <f>SUMIF('Basis Options'!$X:$X,CONCATENATE($AK79,BV$4),'Basis Options'!$AF:$AF)</f>
        <v>0</v>
      </c>
      <c r="BW79" s="43">
        <f>SUMIF('Basis Options'!$X:$X,CONCATENATE($AK79,BW$4),'Basis Options'!$AF:$AF)</f>
        <v>0</v>
      </c>
      <c r="BX79" s="43">
        <f>SUMIF('Basis Options'!$X:$X,CONCATENATE($AK79,BX$4),'Basis Options'!$AF:$AF)</f>
        <v>0</v>
      </c>
      <c r="BY79" s="43">
        <f>SUMIF('Basis Options'!$X:$X,CONCATENATE($AK79,BY$4),'Basis Options'!$AF:$AF)</f>
        <v>0</v>
      </c>
      <c r="BZ79" s="43">
        <f>SUMIF('Basis Options'!$X:$X,CONCATENATE($AK79,BZ$4),'Basis Options'!$AF:$AF)</f>
        <v>0</v>
      </c>
      <c r="CA79" s="43">
        <f>SUMIF('Basis Options'!$X:$X,CONCATENATE($AK79,CA$4),'Basis Options'!$AF:$AF)</f>
        <v>0</v>
      </c>
      <c r="CB79" s="43">
        <f>SUMIF('Basis Options'!$X:$X,CONCATENATE($AK79,CB$4),'Basis Options'!$AF:$AF)</f>
        <v>0</v>
      </c>
      <c r="CC79" s="43">
        <f>SUMIF('Basis Options'!$X:$X,CONCATENATE($AK79,CC$4),'Basis Options'!$AF:$AF)</f>
        <v>0</v>
      </c>
      <c r="CD79" s="43"/>
      <c r="CE79" s="43">
        <f>SUMIF('Basis Options'!$X:$X,CONCATENATE($AK79,CE$4),'Basis Options'!$AF:$AF)</f>
        <v>0</v>
      </c>
      <c r="CF79" s="43"/>
      <c r="CG79" s="128">
        <f t="shared" si="39"/>
        <v>38991</v>
      </c>
      <c r="CH79" s="44">
        <f t="shared" si="40"/>
        <v>0</v>
      </c>
    </row>
    <row r="80" spans="1:86" x14ac:dyDescent="0.25">
      <c r="A80" s="128">
        <f t="shared" si="26"/>
        <v>39022</v>
      </c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128">
        <f t="shared" si="27"/>
        <v>39022</v>
      </c>
      <c r="P80" s="44">
        <f t="shared" si="28"/>
        <v>0</v>
      </c>
      <c r="S80" s="128">
        <f t="shared" si="29"/>
        <v>39022</v>
      </c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128">
        <f t="shared" si="30"/>
        <v>39022</v>
      </c>
      <c r="AH80" s="44">
        <f t="shared" si="31"/>
        <v>0</v>
      </c>
      <c r="AK80" s="128">
        <f t="shared" si="32"/>
        <v>39022</v>
      </c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128">
        <f t="shared" si="33"/>
        <v>39022</v>
      </c>
      <c r="AZ80" s="44">
        <f t="shared" si="34"/>
        <v>0</v>
      </c>
      <c r="BB80" s="128">
        <f t="shared" si="35"/>
        <v>39022</v>
      </c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128">
        <f t="shared" si="36"/>
        <v>39022</v>
      </c>
      <c r="BQ80" s="44">
        <f t="shared" si="37"/>
        <v>0</v>
      </c>
      <c r="BS80" s="128">
        <f t="shared" si="38"/>
        <v>39022</v>
      </c>
      <c r="BT80" s="43">
        <f>SUMIF('Basis Options'!$X:$X,CONCATENATE($AK80,BT$4),'Basis Options'!$AF:$AF)</f>
        <v>0</v>
      </c>
      <c r="BU80" s="43">
        <f>SUMIF('Basis Options'!$X:$X,CONCATENATE($AK80,BU$4),'Basis Options'!$AF:$AF)</f>
        <v>0</v>
      </c>
      <c r="BV80" s="43">
        <f>SUMIF('Basis Options'!$X:$X,CONCATENATE($AK80,BV$4),'Basis Options'!$AF:$AF)</f>
        <v>0</v>
      </c>
      <c r="BW80" s="43">
        <f>SUMIF('Basis Options'!$X:$X,CONCATENATE($AK80,BW$4),'Basis Options'!$AF:$AF)</f>
        <v>0</v>
      </c>
      <c r="BX80" s="43">
        <f>SUMIF('Basis Options'!$X:$X,CONCATENATE($AK80,BX$4),'Basis Options'!$AF:$AF)</f>
        <v>0</v>
      </c>
      <c r="BY80" s="43">
        <f>SUMIF('Basis Options'!$X:$X,CONCATENATE($AK80,BY$4),'Basis Options'!$AF:$AF)</f>
        <v>0</v>
      </c>
      <c r="BZ80" s="43">
        <f>SUMIF('Basis Options'!$X:$X,CONCATENATE($AK80,BZ$4),'Basis Options'!$AF:$AF)</f>
        <v>0</v>
      </c>
      <c r="CA80" s="43">
        <f>SUMIF('Basis Options'!$X:$X,CONCATENATE($AK80,CA$4),'Basis Options'!$AF:$AF)</f>
        <v>0</v>
      </c>
      <c r="CB80" s="43">
        <f>SUMIF('Basis Options'!$X:$X,CONCATENATE($AK80,CB$4),'Basis Options'!$AF:$AF)</f>
        <v>0</v>
      </c>
      <c r="CC80" s="43">
        <f>SUMIF('Basis Options'!$X:$X,CONCATENATE($AK80,CC$4),'Basis Options'!$AF:$AF)</f>
        <v>0</v>
      </c>
      <c r="CD80" s="43"/>
      <c r="CE80" s="43">
        <f>SUMIF('Basis Options'!$X:$X,CONCATENATE($AK80,CE$4),'Basis Options'!$AF:$AF)</f>
        <v>0</v>
      </c>
      <c r="CF80" s="43"/>
      <c r="CG80" s="128">
        <f t="shared" si="39"/>
        <v>39022</v>
      </c>
      <c r="CH80" s="44">
        <f t="shared" si="40"/>
        <v>0</v>
      </c>
    </row>
    <row r="81" spans="1:86" x14ac:dyDescent="0.25">
      <c r="A81" s="128">
        <f t="shared" si="26"/>
        <v>39052</v>
      </c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128">
        <f t="shared" si="27"/>
        <v>39052</v>
      </c>
      <c r="P81" s="44">
        <f t="shared" si="28"/>
        <v>0</v>
      </c>
      <c r="S81" s="128">
        <f t="shared" si="29"/>
        <v>39052</v>
      </c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128">
        <f t="shared" si="30"/>
        <v>39052</v>
      </c>
      <c r="AH81" s="44">
        <f t="shared" si="31"/>
        <v>0</v>
      </c>
      <c r="AK81" s="128">
        <f t="shared" si="32"/>
        <v>39052</v>
      </c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128">
        <f t="shared" si="33"/>
        <v>39052</v>
      </c>
      <c r="AZ81" s="44">
        <f t="shared" si="34"/>
        <v>0</v>
      </c>
      <c r="BB81" s="128">
        <f t="shared" si="35"/>
        <v>39052</v>
      </c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128">
        <f t="shared" si="36"/>
        <v>39052</v>
      </c>
      <c r="BQ81" s="44">
        <f t="shared" si="37"/>
        <v>0</v>
      </c>
      <c r="BS81" s="128">
        <f t="shared" si="38"/>
        <v>39052</v>
      </c>
      <c r="BT81" s="43">
        <f>SUMIF('Basis Options'!$X:$X,CONCATENATE($AK81,BT$4),'Basis Options'!$AF:$AF)</f>
        <v>0</v>
      </c>
      <c r="BU81" s="43">
        <f>SUMIF('Basis Options'!$X:$X,CONCATENATE($AK81,BU$4),'Basis Options'!$AF:$AF)</f>
        <v>0</v>
      </c>
      <c r="BV81" s="43">
        <f>SUMIF('Basis Options'!$X:$X,CONCATENATE($AK81,BV$4),'Basis Options'!$AF:$AF)</f>
        <v>0</v>
      </c>
      <c r="BW81" s="43">
        <f>SUMIF('Basis Options'!$X:$X,CONCATENATE($AK81,BW$4),'Basis Options'!$AF:$AF)</f>
        <v>0</v>
      </c>
      <c r="BX81" s="43">
        <f>SUMIF('Basis Options'!$X:$X,CONCATENATE($AK81,BX$4),'Basis Options'!$AF:$AF)</f>
        <v>0</v>
      </c>
      <c r="BY81" s="43">
        <f>SUMIF('Basis Options'!$X:$X,CONCATENATE($AK81,BY$4),'Basis Options'!$AF:$AF)</f>
        <v>0</v>
      </c>
      <c r="BZ81" s="43">
        <f>SUMIF('Basis Options'!$X:$X,CONCATENATE($AK81,BZ$4),'Basis Options'!$AF:$AF)</f>
        <v>0</v>
      </c>
      <c r="CA81" s="43">
        <f>SUMIF('Basis Options'!$X:$X,CONCATENATE($AK81,CA$4),'Basis Options'!$AF:$AF)</f>
        <v>0</v>
      </c>
      <c r="CB81" s="43">
        <f>SUMIF('Basis Options'!$X:$X,CONCATENATE($AK81,CB$4),'Basis Options'!$AF:$AF)</f>
        <v>0</v>
      </c>
      <c r="CC81" s="43">
        <f>SUMIF('Basis Options'!$X:$X,CONCATENATE($AK81,CC$4),'Basis Options'!$AF:$AF)</f>
        <v>0</v>
      </c>
      <c r="CD81" s="43"/>
      <c r="CE81" s="43">
        <f>SUMIF('Basis Options'!$X:$X,CONCATENATE($AK81,CE$4),'Basis Options'!$AF:$AF)</f>
        <v>0</v>
      </c>
      <c r="CF81" s="43"/>
      <c r="CG81" s="128">
        <f t="shared" si="39"/>
        <v>39052</v>
      </c>
      <c r="CH81" s="44">
        <f t="shared" si="40"/>
        <v>0</v>
      </c>
    </row>
    <row r="82" spans="1:86" x14ac:dyDescent="0.25">
      <c r="A82" s="128">
        <f t="shared" si="26"/>
        <v>39083</v>
      </c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128">
        <f t="shared" si="27"/>
        <v>39083</v>
      </c>
      <c r="P82" s="44">
        <f t="shared" si="28"/>
        <v>0</v>
      </c>
      <c r="S82" s="128">
        <f t="shared" si="29"/>
        <v>39083</v>
      </c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128">
        <f t="shared" si="30"/>
        <v>39083</v>
      </c>
      <c r="AH82" s="44">
        <f t="shared" si="31"/>
        <v>0</v>
      </c>
      <c r="AK82" s="128">
        <f t="shared" si="32"/>
        <v>39083</v>
      </c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128">
        <f t="shared" si="33"/>
        <v>39083</v>
      </c>
      <c r="AZ82" s="44">
        <f t="shared" si="34"/>
        <v>0</v>
      </c>
      <c r="BB82" s="128">
        <f t="shared" si="35"/>
        <v>39083</v>
      </c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128">
        <f t="shared" si="36"/>
        <v>39083</v>
      </c>
      <c r="BQ82" s="44">
        <f t="shared" si="37"/>
        <v>0</v>
      </c>
      <c r="BS82" s="128">
        <f t="shared" si="38"/>
        <v>39083</v>
      </c>
      <c r="BT82" s="43">
        <f>SUMIF('Basis Options'!$X:$X,CONCATENATE($AK82,BT$4),'Basis Options'!$AF:$AF)</f>
        <v>0</v>
      </c>
      <c r="BU82" s="43">
        <f>SUMIF('Basis Options'!$X:$X,CONCATENATE($AK82,BU$4),'Basis Options'!$AF:$AF)</f>
        <v>0</v>
      </c>
      <c r="BV82" s="43">
        <f>SUMIF('Basis Options'!$X:$X,CONCATENATE($AK82,BV$4),'Basis Options'!$AF:$AF)</f>
        <v>0</v>
      </c>
      <c r="BW82" s="43">
        <f>SUMIF('Basis Options'!$X:$X,CONCATENATE($AK82,BW$4),'Basis Options'!$AF:$AF)</f>
        <v>0</v>
      </c>
      <c r="BX82" s="43">
        <f>SUMIF('Basis Options'!$X:$X,CONCATENATE($AK82,BX$4),'Basis Options'!$AF:$AF)</f>
        <v>0</v>
      </c>
      <c r="BY82" s="43">
        <f>SUMIF('Basis Options'!$X:$X,CONCATENATE($AK82,BY$4),'Basis Options'!$AF:$AF)</f>
        <v>0</v>
      </c>
      <c r="BZ82" s="43">
        <f>SUMIF('Basis Options'!$X:$X,CONCATENATE($AK82,BZ$4),'Basis Options'!$AF:$AF)</f>
        <v>0</v>
      </c>
      <c r="CA82" s="43">
        <f>SUMIF('Basis Options'!$X:$X,CONCATENATE($AK82,CA$4),'Basis Options'!$AF:$AF)</f>
        <v>0</v>
      </c>
      <c r="CB82" s="43">
        <f>SUMIF('Basis Options'!$X:$X,CONCATENATE($AK82,CB$4),'Basis Options'!$AF:$AF)</f>
        <v>0</v>
      </c>
      <c r="CC82" s="43">
        <f>SUMIF('Basis Options'!$X:$X,CONCATENATE($AK82,CC$4),'Basis Options'!$AF:$AF)</f>
        <v>0</v>
      </c>
      <c r="CD82" s="43"/>
      <c r="CE82" s="43">
        <f>SUMIF('Basis Options'!$X:$X,CONCATENATE($AK82,CE$4),'Basis Options'!$AF:$AF)</f>
        <v>0</v>
      </c>
      <c r="CF82" s="43"/>
      <c r="CG82" s="128">
        <f t="shared" si="39"/>
        <v>39083</v>
      </c>
      <c r="CH82" s="44">
        <f t="shared" si="40"/>
        <v>0</v>
      </c>
    </row>
    <row r="83" spans="1:86" x14ac:dyDescent="0.25">
      <c r="A83" s="128">
        <f t="shared" si="26"/>
        <v>39114</v>
      </c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128">
        <f t="shared" si="27"/>
        <v>39114</v>
      </c>
      <c r="P83" s="44">
        <f t="shared" si="28"/>
        <v>0</v>
      </c>
      <c r="S83" s="128">
        <f t="shared" si="29"/>
        <v>39114</v>
      </c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128">
        <f t="shared" si="30"/>
        <v>39114</v>
      </c>
      <c r="AH83" s="44">
        <f t="shared" si="31"/>
        <v>0</v>
      </c>
      <c r="AK83" s="128">
        <f t="shared" si="32"/>
        <v>39114</v>
      </c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128">
        <f t="shared" si="33"/>
        <v>39114</v>
      </c>
      <c r="AZ83" s="44">
        <f t="shared" si="34"/>
        <v>0</v>
      </c>
      <c r="BB83" s="128">
        <f t="shared" si="35"/>
        <v>39114</v>
      </c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128">
        <f t="shared" si="36"/>
        <v>39114</v>
      </c>
      <c r="BQ83" s="44">
        <f t="shared" si="37"/>
        <v>0</v>
      </c>
      <c r="BS83" s="128">
        <f t="shared" si="38"/>
        <v>39114</v>
      </c>
      <c r="BT83" s="43">
        <f>SUMIF('Basis Options'!$X:$X,CONCATENATE($AK83,BT$4),'Basis Options'!$AF:$AF)</f>
        <v>0</v>
      </c>
      <c r="BU83" s="43">
        <f>SUMIF('Basis Options'!$X:$X,CONCATENATE($AK83,BU$4),'Basis Options'!$AF:$AF)</f>
        <v>0</v>
      </c>
      <c r="BV83" s="43">
        <f>SUMIF('Basis Options'!$X:$X,CONCATENATE($AK83,BV$4),'Basis Options'!$AF:$AF)</f>
        <v>0</v>
      </c>
      <c r="BW83" s="43">
        <f>SUMIF('Basis Options'!$X:$X,CONCATENATE($AK83,BW$4),'Basis Options'!$AF:$AF)</f>
        <v>0</v>
      </c>
      <c r="BX83" s="43">
        <f>SUMIF('Basis Options'!$X:$X,CONCATENATE($AK83,BX$4),'Basis Options'!$AF:$AF)</f>
        <v>0</v>
      </c>
      <c r="BY83" s="43">
        <f>SUMIF('Basis Options'!$X:$X,CONCATENATE($AK83,BY$4),'Basis Options'!$AF:$AF)</f>
        <v>0</v>
      </c>
      <c r="BZ83" s="43">
        <f>SUMIF('Basis Options'!$X:$X,CONCATENATE($AK83,BZ$4),'Basis Options'!$AF:$AF)</f>
        <v>0</v>
      </c>
      <c r="CA83" s="43">
        <f>SUMIF('Basis Options'!$X:$X,CONCATENATE($AK83,CA$4),'Basis Options'!$AF:$AF)</f>
        <v>0</v>
      </c>
      <c r="CB83" s="43">
        <f>SUMIF('Basis Options'!$X:$X,CONCATENATE($AK83,CB$4),'Basis Options'!$AF:$AF)</f>
        <v>0</v>
      </c>
      <c r="CC83" s="43">
        <f>SUMIF('Basis Options'!$X:$X,CONCATENATE($AK83,CC$4),'Basis Options'!$AF:$AF)</f>
        <v>0</v>
      </c>
      <c r="CD83" s="43"/>
      <c r="CE83" s="43">
        <f>SUMIF('Basis Options'!$X:$X,CONCATENATE($AK83,CE$4),'Basis Options'!$AF:$AF)</f>
        <v>0</v>
      </c>
      <c r="CF83" s="43"/>
      <c r="CG83" s="128">
        <f t="shared" si="39"/>
        <v>39114</v>
      </c>
      <c r="CH83" s="44">
        <f t="shared" si="40"/>
        <v>0</v>
      </c>
    </row>
    <row r="84" spans="1:86" x14ac:dyDescent="0.25">
      <c r="A84" s="128">
        <f t="shared" si="26"/>
        <v>39142</v>
      </c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128">
        <f t="shared" si="27"/>
        <v>39142</v>
      </c>
      <c r="P84" s="44">
        <f t="shared" si="28"/>
        <v>0</v>
      </c>
      <c r="S84" s="128">
        <f t="shared" si="29"/>
        <v>39142</v>
      </c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128">
        <f t="shared" si="30"/>
        <v>39142</v>
      </c>
      <c r="AH84" s="44">
        <f t="shared" si="31"/>
        <v>0</v>
      </c>
      <c r="AK84" s="128">
        <f t="shared" si="32"/>
        <v>39142</v>
      </c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128">
        <f t="shared" si="33"/>
        <v>39142</v>
      </c>
      <c r="AZ84" s="44">
        <f t="shared" si="34"/>
        <v>0</v>
      </c>
      <c r="BB84" s="128">
        <f t="shared" si="35"/>
        <v>39142</v>
      </c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128">
        <f t="shared" si="36"/>
        <v>39142</v>
      </c>
      <c r="BQ84" s="44">
        <f t="shared" si="37"/>
        <v>0</v>
      </c>
      <c r="BS84" s="128">
        <f t="shared" si="38"/>
        <v>39142</v>
      </c>
      <c r="BT84" s="43">
        <f>SUMIF('Basis Options'!$X:$X,CONCATENATE($AK84,BT$4),'Basis Options'!$AF:$AF)</f>
        <v>0</v>
      </c>
      <c r="BU84" s="43">
        <f>SUMIF('Basis Options'!$X:$X,CONCATENATE($AK84,BU$4),'Basis Options'!$AF:$AF)</f>
        <v>0</v>
      </c>
      <c r="BV84" s="43">
        <f>SUMIF('Basis Options'!$X:$X,CONCATENATE($AK84,BV$4),'Basis Options'!$AF:$AF)</f>
        <v>0</v>
      </c>
      <c r="BW84" s="43">
        <f>SUMIF('Basis Options'!$X:$X,CONCATENATE($AK84,BW$4),'Basis Options'!$AF:$AF)</f>
        <v>0</v>
      </c>
      <c r="BX84" s="43">
        <f>SUMIF('Basis Options'!$X:$X,CONCATENATE($AK84,BX$4),'Basis Options'!$AF:$AF)</f>
        <v>0</v>
      </c>
      <c r="BY84" s="43">
        <f>SUMIF('Basis Options'!$X:$X,CONCATENATE($AK84,BY$4),'Basis Options'!$AF:$AF)</f>
        <v>0</v>
      </c>
      <c r="BZ84" s="43">
        <f>SUMIF('Basis Options'!$X:$X,CONCATENATE($AK84,BZ$4),'Basis Options'!$AF:$AF)</f>
        <v>0</v>
      </c>
      <c r="CA84" s="43">
        <f>SUMIF('Basis Options'!$X:$X,CONCATENATE($AK84,CA$4),'Basis Options'!$AF:$AF)</f>
        <v>0</v>
      </c>
      <c r="CB84" s="43">
        <f>SUMIF('Basis Options'!$X:$X,CONCATENATE($AK84,CB$4),'Basis Options'!$AF:$AF)</f>
        <v>0</v>
      </c>
      <c r="CC84" s="43">
        <f>SUMIF('Basis Options'!$X:$X,CONCATENATE($AK84,CC$4),'Basis Options'!$AF:$AF)</f>
        <v>0</v>
      </c>
      <c r="CD84" s="43"/>
      <c r="CE84" s="43">
        <f>SUMIF('Basis Options'!$X:$X,CONCATENATE($AK84,CE$4),'Basis Options'!$AF:$AF)</f>
        <v>0</v>
      </c>
      <c r="CF84" s="43"/>
      <c r="CG84" s="128">
        <f t="shared" si="39"/>
        <v>39142</v>
      </c>
      <c r="CH84" s="44">
        <f t="shared" si="40"/>
        <v>0</v>
      </c>
    </row>
    <row r="85" spans="1:86" x14ac:dyDescent="0.25">
      <c r="A85" s="128">
        <f t="shared" si="26"/>
        <v>39173</v>
      </c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128">
        <f t="shared" si="27"/>
        <v>39173</v>
      </c>
      <c r="P85" s="44">
        <f t="shared" si="28"/>
        <v>0</v>
      </c>
      <c r="S85" s="128">
        <f t="shared" si="29"/>
        <v>39173</v>
      </c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128">
        <f t="shared" si="30"/>
        <v>39173</v>
      </c>
      <c r="AH85" s="44">
        <f t="shared" si="31"/>
        <v>0</v>
      </c>
      <c r="AK85" s="128">
        <f t="shared" si="32"/>
        <v>39173</v>
      </c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128">
        <f t="shared" si="33"/>
        <v>39173</v>
      </c>
      <c r="AZ85" s="44">
        <f t="shared" si="34"/>
        <v>0</v>
      </c>
      <c r="BB85" s="128">
        <f t="shared" si="35"/>
        <v>39173</v>
      </c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128">
        <f t="shared" si="36"/>
        <v>39173</v>
      </c>
      <c r="BQ85" s="44">
        <f t="shared" si="37"/>
        <v>0</v>
      </c>
      <c r="BS85" s="128">
        <f t="shared" si="38"/>
        <v>39173</v>
      </c>
      <c r="BT85" s="43">
        <f>SUMIF('Basis Options'!$X:$X,CONCATENATE($AK85,BT$4),'Basis Options'!$AF:$AF)</f>
        <v>0</v>
      </c>
      <c r="BU85" s="43">
        <f>SUMIF('Basis Options'!$X:$X,CONCATENATE($AK85,BU$4),'Basis Options'!$AF:$AF)</f>
        <v>0</v>
      </c>
      <c r="BV85" s="43">
        <f>SUMIF('Basis Options'!$X:$X,CONCATENATE($AK85,BV$4),'Basis Options'!$AF:$AF)</f>
        <v>0</v>
      </c>
      <c r="BW85" s="43">
        <f>SUMIF('Basis Options'!$X:$X,CONCATENATE($AK85,BW$4),'Basis Options'!$AF:$AF)</f>
        <v>0</v>
      </c>
      <c r="BX85" s="43">
        <f>SUMIF('Basis Options'!$X:$X,CONCATENATE($AK85,BX$4),'Basis Options'!$AF:$AF)</f>
        <v>0</v>
      </c>
      <c r="BY85" s="43">
        <f>SUMIF('Basis Options'!$X:$X,CONCATENATE($AK85,BY$4),'Basis Options'!$AF:$AF)</f>
        <v>0</v>
      </c>
      <c r="BZ85" s="43">
        <f>SUMIF('Basis Options'!$X:$X,CONCATENATE($AK85,BZ$4),'Basis Options'!$AF:$AF)</f>
        <v>0</v>
      </c>
      <c r="CA85" s="43">
        <f>SUMIF('Basis Options'!$X:$X,CONCATENATE($AK85,CA$4),'Basis Options'!$AF:$AF)</f>
        <v>0</v>
      </c>
      <c r="CB85" s="43">
        <f>SUMIF('Basis Options'!$X:$X,CONCATENATE($AK85,CB$4),'Basis Options'!$AF:$AF)</f>
        <v>0</v>
      </c>
      <c r="CC85" s="43">
        <f>SUMIF('Basis Options'!$X:$X,CONCATENATE($AK85,CC$4),'Basis Options'!$AF:$AF)</f>
        <v>0</v>
      </c>
      <c r="CD85" s="43"/>
      <c r="CE85" s="43">
        <f>SUMIF('Basis Options'!$X:$X,CONCATENATE($AK85,CE$4),'Basis Options'!$AF:$AF)</f>
        <v>0</v>
      </c>
      <c r="CF85" s="43"/>
      <c r="CG85" s="128">
        <f t="shared" si="39"/>
        <v>39173</v>
      </c>
      <c r="CH85" s="44">
        <f t="shared" si="40"/>
        <v>0</v>
      </c>
    </row>
    <row r="86" spans="1:86" x14ac:dyDescent="0.25">
      <c r="A86" s="128">
        <f t="shared" si="26"/>
        <v>39203</v>
      </c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128">
        <f t="shared" si="27"/>
        <v>39203</v>
      </c>
      <c r="P86" s="44">
        <f t="shared" si="28"/>
        <v>0</v>
      </c>
      <c r="S86" s="128">
        <f t="shared" si="29"/>
        <v>39203</v>
      </c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128">
        <f t="shared" si="30"/>
        <v>39203</v>
      </c>
      <c r="AH86" s="44">
        <f t="shared" si="31"/>
        <v>0</v>
      </c>
      <c r="AK86" s="128">
        <f t="shared" si="32"/>
        <v>39203</v>
      </c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128">
        <f t="shared" si="33"/>
        <v>39203</v>
      </c>
      <c r="AZ86" s="44">
        <f t="shared" si="34"/>
        <v>0</v>
      </c>
      <c r="BB86" s="128">
        <f t="shared" si="35"/>
        <v>39203</v>
      </c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128">
        <f t="shared" si="36"/>
        <v>39203</v>
      </c>
      <c r="BQ86" s="44">
        <f t="shared" si="37"/>
        <v>0</v>
      </c>
      <c r="BS86" s="128">
        <f t="shared" si="38"/>
        <v>39203</v>
      </c>
      <c r="BT86" s="43">
        <f>SUMIF('Basis Options'!$X:$X,CONCATENATE($AK86,BT$4),'Basis Options'!$AF:$AF)</f>
        <v>0</v>
      </c>
      <c r="BU86" s="43">
        <f>SUMIF('Basis Options'!$X:$X,CONCATENATE($AK86,BU$4),'Basis Options'!$AF:$AF)</f>
        <v>0</v>
      </c>
      <c r="BV86" s="43">
        <f>SUMIF('Basis Options'!$X:$X,CONCATENATE($AK86,BV$4),'Basis Options'!$AF:$AF)</f>
        <v>0</v>
      </c>
      <c r="BW86" s="43">
        <f>SUMIF('Basis Options'!$X:$X,CONCATENATE($AK86,BW$4),'Basis Options'!$AF:$AF)</f>
        <v>0</v>
      </c>
      <c r="BX86" s="43">
        <f>SUMIF('Basis Options'!$X:$X,CONCATENATE($AK86,BX$4),'Basis Options'!$AF:$AF)</f>
        <v>0</v>
      </c>
      <c r="BY86" s="43">
        <f>SUMIF('Basis Options'!$X:$X,CONCATENATE($AK86,BY$4),'Basis Options'!$AF:$AF)</f>
        <v>0</v>
      </c>
      <c r="BZ86" s="43">
        <f>SUMIF('Basis Options'!$X:$X,CONCATENATE($AK86,BZ$4),'Basis Options'!$AF:$AF)</f>
        <v>0</v>
      </c>
      <c r="CA86" s="43">
        <f>SUMIF('Basis Options'!$X:$X,CONCATENATE($AK86,CA$4),'Basis Options'!$AF:$AF)</f>
        <v>0</v>
      </c>
      <c r="CB86" s="43">
        <f>SUMIF('Basis Options'!$X:$X,CONCATENATE($AK86,CB$4),'Basis Options'!$AF:$AF)</f>
        <v>0</v>
      </c>
      <c r="CC86" s="43">
        <f>SUMIF('Basis Options'!$X:$X,CONCATENATE($AK86,CC$4),'Basis Options'!$AF:$AF)</f>
        <v>0</v>
      </c>
      <c r="CD86" s="43"/>
      <c r="CE86" s="43">
        <f>SUMIF('Basis Options'!$X:$X,CONCATENATE($AK86,CE$4),'Basis Options'!$AF:$AF)</f>
        <v>0</v>
      </c>
      <c r="CF86" s="43"/>
      <c r="CG86" s="128">
        <f t="shared" si="39"/>
        <v>39203</v>
      </c>
      <c r="CH86" s="44">
        <f t="shared" si="40"/>
        <v>0</v>
      </c>
    </row>
    <row r="87" spans="1:86" x14ac:dyDescent="0.25">
      <c r="A87" s="128">
        <f t="shared" si="26"/>
        <v>39234</v>
      </c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128">
        <f t="shared" si="27"/>
        <v>39234</v>
      </c>
      <c r="P87" s="44">
        <f t="shared" si="28"/>
        <v>0</v>
      </c>
      <c r="S87" s="128">
        <f t="shared" si="29"/>
        <v>39234</v>
      </c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128">
        <f t="shared" si="30"/>
        <v>39234</v>
      </c>
      <c r="AH87" s="44">
        <f t="shared" si="31"/>
        <v>0</v>
      </c>
      <c r="AK87" s="128">
        <f t="shared" si="32"/>
        <v>39234</v>
      </c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128">
        <f t="shared" si="33"/>
        <v>39234</v>
      </c>
      <c r="AZ87" s="44">
        <f t="shared" si="34"/>
        <v>0</v>
      </c>
      <c r="BB87" s="128">
        <f t="shared" si="35"/>
        <v>39234</v>
      </c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128">
        <f t="shared" si="36"/>
        <v>39234</v>
      </c>
      <c r="BQ87" s="44">
        <f t="shared" si="37"/>
        <v>0</v>
      </c>
      <c r="BS87" s="128">
        <f t="shared" si="38"/>
        <v>39234</v>
      </c>
      <c r="BT87" s="43">
        <f>SUMIF('Basis Options'!$X:$X,CONCATENATE($AK87,BT$4),'Basis Options'!$AF:$AF)</f>
        <v>0</v>
      </c>
      <c r="BU87" s="43">
        <f>SUMIF('Basis Options'!$X:$X,CONCATENATE($AK87,BU$4),'Basis Options'!$AF:$AF)</f>
        <v>0</v>
      </c>
      <c r="BV87" s="43">
        <f>SUMIF('Basis Options'!$X:$X,CONCATENATE($AK87,BV$4),'Basis Options'!$AF:$AF)</f>
        <v>0</v>
      </c>
      <c r="BW87" s="43">
        <f>SUMIF('Basis Options'!$X:$X,CONCATENATE($AK87,BW$4),'Basis Options'!$AF:$AF)</f>
        <v>0</v>
      </c>
      <c r="BX87" s="43">
        <f>SUMIF('Basis Options'!$X:$X,CONCATENATE($AK87,BX$4),'Basis Options'!$AF:$AF)</f>
        <v>0</v>
      </c>
      <c r="BY87" s="43">
        <f>SUMIF('Basis Options'!$X:$X,CONCATENATE($AK87,BY$4),'Basis Options'!$AF:$AF)</f>
        <v>0</v>
      </c>
      <c r="BZ87" s="43">
        <f>SUMIF('Basis Options'!$X:$X,CONCATENATE($AK87,BZ$4),'Basis Options'!$AF:$AF)</f>
        <v>0</v>
      </c>
      <c r="CA87" s="43">
        <f>SUMIF('Basis Options'!$X:$X,CONCATENATE($AK87,CA$4),'Basis Options'!$AF:$AF)</f>
        <v>0</v>
      </c>
      <c r="CB87" s="43">
        <f>SUMIF('Basis Options'!$X:$X,CONCATENATE($AK87,CB$4),'Basis Options'!$AF:$AF)</f>
        <v>0</v>
      </c>
      <c r="CC87" s="43">
        <f>SUMIF('Basis Options'!$X:$X,CONCATENATE($AK87,CC$4),'Basis Options'!$AF:$AF)</f>
        <v>0</v>
      </c>
      <c r="CD87" s="43"/>
      <c r="CE87" s="43">
        <f>SUMIF('Basis Options'!$X:$X,CONCATENATE($AK87,CE$4),'Basis Options'!$AF:$AF)</f>
        <v>0</v>
      </c>
      <c r="CF87" s="43"/>
      <c r="CG87" s="128">
        <f t="shared" si="39"/>
        <v>39234</v>
      </c>
      <c r="CH87" s="44">
        <f t="shared" si="40"/>
        <v>0</v>
      </c>
    </row>
    <row r="88" spans="1:86" x14ac:dyDescent="0.25">
      <c r="A88" s="128">
        <f t="shared" si="26"/>
        <v>39264</v>
      </c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128">
        <f t="shared" si="27"/>
        <v>39264</v>
      </c>
      <c r="P88" s="44">
        <f t="shared" si="28"/>
        <v>0</v>
      </c>
      <c r="S88" s="128">
        <f t="shared" si="29"/>
        <v>39264</v>
      </c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128">
        <f t="shared" si="30"/>
        <v>39264</v>
      </c>
      <c r="AH88" s="44">
        <f t="shared" si="31"/>
        <v>0</v>
      </c>
      <c r="AK88" s="128">
        <f t="shared" si="32"/>
        <v>39264</v>
      </c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128">
        <f t="shared" si="33"/>
        <v>39264</v>
      </c>
      <c r="AZ88" s="44">
        <f t="shared" si="34"/>
        <v>0</v>
      </c>
      <c r="BB88" s="128">
        <f t="shared" si="35"/>
        <v>39264</v>
      </c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128">
        <f t="shared" si="36"/>
        <v>39264</v>
      </c>
      <c r="BQ88" s="44">
        <f t="shared" si="37"/>
        <v>0</v>
      </c>
      <c r="BS88" s="128">
        <f t="shared" si="38"/>
        <v>39264</v>
      </c>
      <c r="BT88" s="43">
        <f>SUMIF('Basis Options'!$X:$X,CONCATENATE($AK88,BT$4),'Basis Options'!$AF:$AF)</f>
        <v>0</v>
      </c>
      <c r="BU88" s="43">
        <f>SUMIF('Basis Options'!$X:$X,CONCATENATE($AK88,BU$4),'Basis Options'!$AF:$AF)</f>
        <v>0</v>
      </c>
      <c r="BV88" s="43">
        <f>SUMIF('Basis Options'!$X:$X,CONCATENATE($AK88,BV$4),'Basis Options'!$AF:$AF)</f>
        <v>0</v>
      </c>
      <c r="BW88" s="43">
        <f>SUMIF('Basis Options'!$X:$X,CONCATENATE($AK88,BW$4),'Basis Options'!$AF:$AF)</f>
        <v>0</v>
      </c>
      <c r="BX88" s="43">
        <f>SUMIF('Basis Options'!$X:$X,CONCATENATE($AK88,BX$4),'Basis Options'!$AF:$AF)</f>
        <v>0</v>
      </c>
      <c r="BY88" s="43">
        <f>SUMIF('Basis Options'!$X:$X,CONCATENATE($AK88,BY$4),'Basis Options'!$AF:$AF)</f>
        <v>0</v>
      </c>
      <c r="BZ88" s="43">
        <f>SUMIF('Basis Options'!$X:$X,CONCATENATE($AK88,BZ$4),'Basis Options'!$AF:$AF)</f>
        <v>0</v>
      </c>
      <c r="CA88" s="43">
        <f>SUMIF('Basis Options'!$X:$X,CONCATENATE($AK88,CA$4),'Basis Options'!$AF:$AF)</f>
        <v>0</v>
      </c>
      <c r="CB88" s="43">
        <f>SUMIF('Basis Options'!$X:$X,CONCATENATE($AK88,CB$4),'Basis Options'!$AF:$AF)</f>
        <v>0</v>
      </c>
      <c r="CC88" s="43">
        <f>SUMIF('Basis Options'!$X:$X,CONCATENATE($AK88,CC$4),'Basis Options'!$AF:$AF)</f>
        <v>0</v>
      </c>
      <c r="CD88" s="43"/>
      <c r="CE88" s="43">
        <f>SUMIF('Basis Options'!$X:$X,CONCATENATE($AK88,CE$4),'Basis Options'!$AF:$AF)</f>
        <v>0</v>
      </c>
      <c r="CF88" s="43"/>
      <c r="CG88" s="128">
        <f t="shared" si="39"/>
        <v>39264</v>
      </c>
      <c r="CH88" s="44">
        <f t="shared" si="40"/>
        <v>0</v>
      </c>
    </row>
    <row r="89" spans="1:86" x14ac:dyDescent="0.25">
      <c r="A89" s="128">
        <f t="shared" si="26"/>
        <v>39295</v>
      </c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128">
        <f t="shared" si="27"/>
        <v>39295</v>
      </c>
      <c r="P89" s="44">
        <f t="shared" si="28"/>
        <v>0</v>
      </c>
      <c r="S89" s="128">
        <f t="shared" si="29"/>
        <v>39295</v>
      </c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128">
        <f t="shared" si="30"/>
        <v>39295</v>
      </c>
      <c r="AH89" s="44">
        <f t="shared" si="31"/>
        <v>0</v>
      </c>
      <c r="AK89" s="128">
        <f t="shared" si="32"/>
        <v>39295</v>
      </c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128">
        <f t="shared" si="33"/>
        <v>39295</v>
      </c>
      <c r="AZ89" s="44">
        <f t="shared" si="34"/>
        <v>0</v>
      </c>
      <c r="BB89" s="128">
        <f t="shared" si="35"/>
        <v>39295</v>
      </c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128">
        <f t="shared" si="36"/>
        <v>39295</v>
      </c>
      <c r="BQ89" s="44">
        <f t="shared" si="37"/>
        <v>0</v>
      </c>
      <c r="BS89" s="128">
        <f t="shared" si="38"/>
        <v>39295</v>
      </c>
      <c r="BT89" s="43">
        <f>SUMIF('Basis Options'!$X:$X,CONCATENATE($AK89,BT$4),'Basis Options'!$AF:$AF)</f>
        <v>0</v>
      </c>
      <c r="BU89" s="43">
        <f>SUMIF('Basis Options'!$X:$X,CONCATENATE($AK89,BU$4),'Basis Options'!$AF:$AF)</f>
        <v>0</v>
      </c>
      <c r="BV89" s="43">
        <f>SUMIF('Basis Options'!$X:$X,CONCATENATE($AK89,BV$4),'Basis Options'!$AF:$AF)</f>
        <v>0</v>
      </c>
      <c r="BW89" s="43">
        <f>SUMIF('Basis Options'!$X:$X,CONCATENATE($AK89,BW$4),'Basis Options'!$AF:$AF)</f>
        <v>0</v>
      </c>
      <c r="BX89" s="43">
        <f>SUMIF('Basis Options'!$X:$X,CONCATENATE($AK89,BX$4),'Basis Options'!$AF:$AF)</f>
        <v>0</v>
      </c>
      <c r="BY89" s="43">
        <f>SUMIF('Basis Options'!$X:$X,CONCATENATE($AK89,BY$4),'Basis Options'!$AF:$AF)</f>
        <v>0</v>
      </c>
      <c r="BZ89" s="43">
        <f>SUMIF('Basis Options'!$X:$X,CONCATENATE($AK89,BZ$4),'Basis Options'!$AF:$AF)</f>
        <v>0</v>
      </c>
      <c r="CA89" s="43">
        <f>SUMIF('Basis Options'!$X:$X,CONCATENATE($AK89,CA$4),'Basis Options'!$AF:$AF)</f>
        <v>0</v>
      </c>
      <c r="CB89" s="43">
        <f>SUMIF('Basis Options'!$X:$X,CONCATENATE($AK89,CB$4),'Basis Options'!$AF:$AF)</f>
        <v>0</v>
      </c>
      <c r="CC89" s="43">
        <f>SUMIF('Basis Options'!$X:$X,CONCATENATE($AK89,CC$4),'Basis Options'!$AF:$AF)</f>
        <v>0</v>
      </c>
      <c r="CD89" s="43"/>
      <c r="CE89" s="43">
        <f>SUMIF('Basis Options'!$X:$X,CONCATENATE($AK89,CE$4),'Basis Options'!$AF:$AF)</f>
        <v>0</v>
      </c>
      <c r="CF89" s="43"/>
      <c r="CG89" s="128">
        <f t="shared" si="39"/>
        <v>39295</v>
      </c>
      <c r="CH89" s="44">
        <f t="shared" si="40"/>
        <v>0</v>
      </c>
    </row>
    <row r="90" spans="1:86" x14ac:dyDescent="0.25">
      <c r="A90" s="128">
        <f t="shared" si="26"/>
        <v>39326</v>
      </c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128">
        <f t="shared" si="27"/>
        <v>39326</v>
      </c>
      <c r="P90" s="44">
        <f t="shared" si="28"/>
        <v>0</v>
      </c>
      <c r="S90" s="128">
        <f t="shared" si="29"/>
        <v>39326</v>
      </c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128">
        <f t="shared" si="30"/>
        <v>39326</v>
      </c>
      <c r="AH90" s="44">
        <f t="shared" si="31"/>
        <v>0</v>
      </c>
      <c r="AK90" s="128">
        <f t="shared" si="32"/>
        <v>39326</v>
      </c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128">
        <f t="shared" si="33"/>
        <v>39326</v>
      </c>
      <c r="AZ90" s="44">
        <f t="shared" si="34"/>
        <v>0</v>
      </c>
      <c r="BB90" s="128">
        <f t="shared" si="35"/>
        <v>39326</v>
      </c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128">
        <f t="shared" si="36"/>
        <v>39326</v>
      </c>
      <c r="BQ90" s="44">
        <f t="shared" si="37"/>
        <v>0</v>
      </c>
      <c r="BS90" s="128">
        <f t="shared" si="38"/>
        <v>39326</v>
      </c>
      <c r="BT90" s="43">
        <f>SUMIF('Basis Options'!$X:$X,CONCATENATE($AK90,BT$4),'Basis Options'!$AF:$AF)</f>
        <v>0</v>
      </c>
      <c r="BU90" s="43">
        <f>SUMIF('Basis Options'!$X:$X,CONCATENATE($AK90,BU$4),'Basis Options'!$AF:$AF)</f>
        <v>0</v>
      </c>
      <c r="BV90" s="43">
        <f>SUMIF('Basis Options'!$X:$X,CONCATENATE($AK90,BV$4),'Basis Options'!$AF:$AF)</f>
        <v>0</v>
      </c>
      <c r="BW90" s="43">
        <f>SUMIF('Basis Options'!$X:$X,CONCATENATE($AK90,BW$4),'Basis Options'!$AF:$AF)</f>
        <v>0</v>
      </c>
      <c r="BX90" s="43">
        <f>SUMIF('Basis Options'!$X:$X,CONCATENATE($AK90,BX$4),'Basis Options'!$AF:$AF)</f>
        <v>0</v>
      </c>
      <c r="BY90" s="43">
        <f>SUMIF('Basis Options'!$X:$X,CONCATENATE($AK90,BY$4),'Basis Options'!$AF:$AF)</f>
        <v>0</v>
      </c>
      <c r="BZ90" s="43">
        <f>SUMIF('Basis Options'!$X:$X,CONCATENATE($AK90,BZ$4),'Basis Options'!$AF:$AF)</f>
        <v>0</v>
      </c>
      <c r="CA90" s="43">
        <f>SUMIF('Basis Options'!$X:$X,CONCATENATE($AK90,CA$4),'Basis Options'!$AF:$AF)</f>
        <v>0</v>
      </c>
      <c r="CB90" s="43">
        <f>SUMIF('Basis Options'!$X:$X,CONCATENATE($AK90,CB$4),'Basis Options'!$AF:$AF)</f>
        <v>0</v>
      </c>
      <c r="CC90" s="43">
        <f>SUMIF('Basis Options'!$X:$X,CONCATENATE($AK90,CC$4),'Basis Options'!$AF:$AF)</f>
        <v>0</v>
      </c>
      <c r="CD90" s="43"/>
      <c r="CE90" s="43">
        <f>SUMIF('Basis Options'!$X:$X,CONCATENATE($AK90,CE$4),'Basis Options'!$AF:$AF)</f>
        <v>0</v>
      </c>
      <c r="CF90" s="43"/>
      <c r="CG90" s="128">
        <f t="shared" si="39"/>
        <v>39326</v>
      </c>
      <c r="CH90" s="44">
        <f t="shared" si="40"/>
        <v>0</v>
      </c>
    </row>
    <row r="91" spans="1:86" x14ac:dyDescent="0.25">
      <c r="A91" s="128">
        <f t="shared" si="26"/>
        <v>39356</v>
      </c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128">
        <f t="shared" si="27"/>
        <v>39356</v>
      </c>
      <c r="P91" s="44">
        <f t="shared" si="28"/>
        <v>0</v>
      </c>
      <c r="S91" s="128">
        <f t="shared" si="29"/>
        <v>39356</v>
      </c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128">
        <f t="shared" si="30"/>
        <v>39356</v>
      </c>
      <c r="AH91" s="44">
        <f t="shared" si="31"/>
        <v>0</v>
      </c>
      <c r="AK91" s="128">
        <f t="shared" si="32"/>
        <v>39356</v>
      </c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128">
        <f t="shared" si="33"/>
        <v>39356</v>
      </c>
      <c r="AZ91" s="44">
        <f t="shared" si="34"/>
        <v>0</v>
      </c>
      <c r="BB91" s="128">
        <f t="shared" si="35"/>
        <v>39356</v>
      </c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128">
        <f t="shared" si="36"/>
        <v>39356</v>
      </c>
      <c r="BQ91" s="44">
        <f t="shared" si="37"/>
        <v>0</v>
      </c>
      <c r="BS91" s="128">
        <f t="shared" si="38"/>
        <v>39356</v>
      </c>
      <c r="BT91" s="43">
        <f>SUMIF('Basis Options'!$X:$X,CONCATENATE($AK91,BT$4),'Basis Options'!$AF:$AF)</f>
        <v>0</v>
      </c>
      <c r="BU91" s="43">
        <f>SUMIF('Basis Options'!$X:$X,CONCATENATE($AK91,BU$4),'Basis Options'!$AF:$AF)</f>
        <v>0</v>
      </c>
      <c r="BV91" s="43">
        <f>SUMIF('Basis Options'!$X:$X,CONCATENATE($AK91,BV$4),'Basis Options'!$AF:$AF)</f>
        <v>0</v>
      </c>
      <c r="BW91" s="43">
        <f>SUMIF('Basis Options'!$X:$X,CONCATENATE($AK91,BW$4),'Basis Options'!$AF:$AF)</f>
        <v>0</v>
      </c>
      <c r="BX91" s="43">
        <f>SUMIF('Basis Options'!$X:$X,CONCATENATE($AK91,BX$4),'Basis Options'!$AF:$AF)</f>
        <v>0</v>
      </c>
      <c r="BY91" s="43">
        <f>SUMIF('Basis Options'!$X:$X,CONCATENATE($AK91,BY$4),'Basis Options'!$AF:$AF)</f>
        <v>0</v>
      </c>
      <c r="BZ91" s="43">
        <f>SUMIF('Basis Options'!$X:$X,CONCATENATE($AK91,BZ$4),'Basis Options'!$AF:$AF)</f>
        <v>0</v>
      </c>
      <c r="CA91" s="43">
        <f>SUMIF('Basis Options'!$X:$X,CONCATENATE($AK91,CA$4),'Basis Options'!$AF:$AF)</f>
        <v>0</v>
      </c>
      <c r="CB91" s="43">
        <f>SUMIF('Basis Options'!$X:$X,CONCATENATE($AK91,CB$4),'Basis Options'!$AF:$AF)</f>
        <v>0</v>
      </c>
      <c r="CC91" s="43">
        <f>SUMIF('Basis Options'!$X:$X,CONCATENATE($AK91,CC$4),'Basis Options'!$AF:$AF)</f>
        <v>0</v>
      </c>
      <c r="CD91" s="43"/>
      <c r="CE91" s="43">
        <f>SUMIF('Basis Options'!$X:$X,CONCATENATE($AK91,CE$4),'Basis Options'!$AF:$AF)</f>
        <v>0</v>
      </c>
      <c r="CF91" s="43"/>
      <c r="CG91" s="128">
        <f t="shared" si="39"/>
        <v>39356</v>
      </c>
      <c r="CH91" s="44">
        <f t="shared" si="40"/>
        <v>0</v>
      </c>
    </row>
    <row r="92" spans="1:86" x14ac:dyDescent="0.25">
      <c r="A92" s="128">
        <f t="shared" si="26"/>
        <v>39387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128">
        <f t="shared" si="27"/>
        <v>39387</v>
      </c>
      <c r="P92" s="44">
        <f t="shared" si="28"/>
        <v>0</v>
      </c>
      <c r="S92" s="128">
        <f t="shared" si="29"/>
        <v>39387</v>
      </c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128">
        <f t="shared" si="30"/>
        <v>39387</v>
      </c>
      <c r="AH92" s="44">
        <f t="shared" si="31"/>
        <v>0</v>
      </c>
      <c r="AK92" s="128">
        <f t="shared" si="32"/>
        <v>39387</v>
      </c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128">
        <f t="shared" si="33"/>
        <v>39387</v>
      </c>
      <c r="AZ92" s="44">
        <f t="shared" si="34"/>
        <v>0</v>
      </c>
      <c r="BB92" s="128">
        <f t="shared" si="35"/>
        <v>39387</v>
      </c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128">
        <f t="shared" si="36"/>
        <v>39387</v>
      </c>
      <c r="BQ92" s="44">
        <f t="shared" si="37"/>
        <v>0</v>
      </c>
      <c r="BS92" s="128">
        <f t="shared" si="38"/>
        <v>39387</v>
      </c>
      <c r="BT92" s="43">
        <f>SUMIF('Basis Options'!$X:$X,CONCATENATE($AK92,BT$4),'Basis Options'!$AF:$AF)</f>
        <v>0</v>
      </c>
      <c r="BU92" s="43">
        <f>SUMIF('Basis Options'!$X:$X,CONCATENATE($AK92,BU$4),'Basis Options'!$AF:$AF)</f>
        <v>0</v>
      </c>
      <c r="BV92" s="43">
        <f>SUMIF('Basis Options'!$X:$X,CONCATENATE($AK92,BV$4),'Basis Options'!$AF:$AF)</f>
        <v>0</v>
      </c>
      <c r="BW92" s="43">
        <f>SUMIF('Basis Options'!$X:$X,CONCATENATE($AK92,BW$4),'Basis Options'!$AF:$AF)</f>
        <v>0</v>
      </c>
      <c r="BX92" s="43">
        <f>SUMIF('Basis Options'!$X:$X,CONCATENATE($AK92,BX$4),'Basis Options'!$AF:$AF)</f>
        <v>0</v>
      </c>
      <c r="BY92" s="43">
        <f>SUMIF('Basis Options'!$X:$X,CONCATENATE($AK92,BY$4),'Basis Options'!$AF:$AF)</f>
        <v>0</v>
      </c>
      <c r="BZ92" s="43">
        <f>SUMIF('Basis Options'!$X:$X,CONCATENATE($AK92,BZ$4),'Basis Options'!$AF:$AF)</f>
        <v>0</v>
      </c>
      <c r="CA92" s="43">
        <f>SUMIF('Basis Options'!$X:$X,CONCATENATE($AK92,CA$4),'Basis Options'!$AF:$AF)</f>
        <v>0</v>
      </c>
      <c r="CB92" s="43">
        <f>SUMIF('Basis Options'!$X:$X,CONCATENATE($AK92,CB$4),'Basis Options'!$AF:$AF)</f>
        <v>0</v>
      </c>
      <c r="CC92" s="43">
        <f>SUMIF('Basis Options'!$X:$X,CONCATENATE($AK92,CC$4),'Basis Options'!$AF:$AF)</f>
        <v>0</v>
      </c>
      <c r="CD92" s="43"/>
      <c r="CE92" s="43">
        <f>SUMIF('Basis Options'!$X:$X,CONCATENATE($AK92,CE$4),'Basis Options'!$AF:$AF)</f>
        <v>0</v>
      </c>
      <c r="CF92" s="43"/>
      <c r="CG92" s="128">
        <f t="shared" si="39"/>
        <v>39387</v>
      </c>
      <c r="CH92" s="44">
        <f t="shared" si="40"/>
        <v>0</v>
      </c>
    </row>
    <row r="93" spans="1:86" x14ac:dyDescent="0.25">
      <c r="A93" s="128">
        <f t="shared" si="26"/>
        <v>39417</v>
      </c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128">
        <f t="shared" si="27"/>
        <v>39417</v>
      </c>
      <c r="P93" s="44">
        <f t="shared" si="28"/>
        <v>0</v>
      </c>
      <c r="S93" s="128">
        <f t="shared" si="29"/>
        <v>39417</v>
      </c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128">
        <f t="shared" si="30"/>
        <v>39417</v>
      </c>
      <c r="AH93" s="44">
        <f t="shared" si="31"/>
        <v>0</v>
      </c>
      <c r="AK93" s="128">
        <f t="shared" si="32"/>
        <v>39417</v>
      </c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128">
        <f t="shared" si="33"/>
        <v>39417</v>
      </c>
      <c r="AZ93" s="44">
        <f t="shared" si="34"/>
        <v>0</v>
      </c>
      <c r="BB93" s="128">
        <f t="shared" si="35"/>
        <v>39417</v>
      </c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128">
        <f t="shared" si="36"/>
        <v>39417</v>
      </c>
      <c r="BQ93" s="44">
        <f t="shared" si="37"/>
        <v>0</v>
      </c>
      <c r="BS93" s="128">
        <f t="shared" si="38"/>
        <v>39417</v>
      </c>
      <c r="BT93" s="43">
        <f>SUMIF('Basis Options'!$X:$X,CONCATENATE($AK93,BT$4),'Basis Options'!$AF:$AF)</f>
        <v>0</v>
      </c>
      <c r="BU93" s="43">
        <f>SUMIF('Basis Options'!$X:$X,CONCATENATE($AK93,BU$4),'Basis Options'!$AF:$AF)</f>
        <v>0</v>
      </c>
      <c r="BV93" s="43">
        <f>SUMIF('Basis Options'!$X:$X,CONCATENATE($AK93,BV$4),'Basis Options'!$AF:$AF)</f>
        <v>0</v>
      </c>
      <c r="BW93" s="43">
        <f>SUMIF('Basis Options'!$X:$X,CONCATENATE($AK93,BW$4),'Basis Options'!$AF:$AF)</f>
        <v>0</v>
      </c>
      <c r="BX93" s="43">
        <f>SUMIF('Basis Options'!$X:$X,CONCATENATE($AK93,BX$4),'Basis Options'!$AF:$AF)</f>
        <v>0</v>
      </c>
      <c r="BY93" s="43">
        <f>SUMIF('Basis Options'!$X:$X,CONCATENATE($AK93,BY$4),'Basis Options'!$AF:$AF)</f>
        <v>0</v>
      </c>
      <c r="BZ93" s="43">
        <f>SUMIF('Basis Options'!$X:$X,CONCATENATE($AK93,BZ$4),'Basis Options'!$AF:$AF)</f>
        <v>0</v>
      </c>
      <c r="CA93" s="43">
        <f>SUMIF('Basis Options'!$X:$X,CONCATENATE($AK93,CA$4),'Basis Options'!$AF:$AF)</f>
        <v>0</v>
      </c>
      <c r="CB93" s="43">
        <f>SUMIF('Basis Options'!$X:$X,CONCATENATE($AK93,CB$4),'Basis Options'!$AF:$AF)</f>
        <v>0</v>
      </c>
      <c r="CC93" s="43">
        <f>SUMIF('Basis Options'!$X:$X,CONCATENATE($AK93,CC$4),'Basis Options'!$AF:$AF)</f>
        <v>0</v>
      </c>
      <c r="CD93" s="43"/>
      <c r="CE93" s="43">
        <f>SUMIF('Basis Options'!$X:$X,CONCATENATE($AK93,CE$4),'Basis Options'!$AF:$AF)</f>
        <v>0</v>
      </c>
      <c r="CF93" s="43"/>
      <c r="CG93" s="128">
        <f t="shared" si="39"/>
        <v>39417</v>
      </c>
      <c r="CH93" s="44">
        <f t="shared" si="40"/>
        <v>0</v>
      </c>
    </row>
    <row r="94" spans="1:86" x14ac:dyDescent="0.25">
      <c r="A94" s="128">
        <f t="shared" si="26"/>
        <v>39448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128">
        <f t="shared" si="27"/>
        <v>39448</v>
      </c>
      <c r="P94" s="44">
        <f t="shared" si="28"/>
        <v>0</v>
      </c>
      <c r="S94" s="128">
        <f t="shared" si="29"/>
        <v>39448</v>
      </c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128">
        <f t="shared" si="30"/>
        <v>39448</v>
      </c>
      <c r="AH94" s="44">
        <f t="shared" si="31"/>
        <v>0</v>
      </c>
      <c r="AK94" s="128">
        <f t="shared" si="32"/>
        <v>39448</v>
      </c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128">
        <f t="shared" si="33"/>
        <v>39448</v>
      </c>
      <c r="AZ94" s="44">
        <f t="shared" si="34"/>
        <v>0</v>
      </c>
      <c r="BB94" s="128">
        <f t="shared" si="35"/>
        <v>39448</v>
      </c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128">
        <f t="shared" si="36"/>
        <v>39448</v>
      </c>
      <c r="BQ94" s="44">
        <f t="shared" si="37"/>
        <v>0</v>
      </c>
      <c r="BS94" s="128">
        <f t="shared" si="38"/>
        <v>39448</v>
      </c>
      <c r="BT94" s="43">
        <f>SUMIF('Basis Options'!$X:$X,CONCATENATE($AK94,BT$4),'Basis Options'!$AF:$AF)</f>
        <v>0</v>
      </c>
      <c r="BU94" s="43">
        <f>SUMIF('Basis Options'!$X:$X,CONCATENATE($AK94,BU$4),'Basis Options'!$AF:$AF)</f>
        <v>0</v>
      </c>
      <c r="BV94" s="43">
        <f>SUMIF('Basis Options'!$X:$X,CONCATENATE($AK94,BV$4),'Basis Options'!$AF:$AF)</f>
        <v>0</v>
      </c>
      <c r="BW94" s="43">
        <f>SUMIF('Basis Options'!$X:$X,CONCATENATE($AK94,BW$4),'Basis Options'!$AF:$AF)</f>
        <v>0</v>
      </c>
      <c r="BX94" s="43">
        <f>SUMIF('Basis Options'!$X:$X,CONCATENATE($AK94,BX$4),'Basis Options'!$AF:$AF)</f>
        <v>0</v>
      </c>
      <c r="BY94" s="43">
        <f>SUMIF('Basis Options'!$X:$X,CONCATENATE($AK94,BY$4),'Basis Options'!$AF:$AF)</f>
        <v>0</v>
      </c>
      <c r="BZ94" s="43">
        <f>SUMIF('Basis Options'!$X:$X,CONCATENATE($AK94,BZ$4),'Basis Options'!$AF:$AF)</f>
        <v>0</v>
      </c>
      <c r="CA94" s="43">
        <f>SUMIF('Basis Options'!$X:$X,CONCATENATE($AK94,CA$4),'Basis Options'!$AF:$AF)</f>
        <v>0</v>
      </c>
      <c r="CB94" s="43">
        <f>SUMIF('Basis Options'!$X:$X,CONCATENATE($AK94,CB$4),'Basis Options'!$AF:$AF)</f>
        <v>0</v>
      </c>
      <c r="CC94" s="43">
        <f>SUMIF('Basis Options'!$X:$X,CONCATENATE($AK94,CC$4),'Basis Options'!$AF:$AF)</f>
        <v>0</v>
      </c>
      <c r="CD94" s="43"/>
      <c r="CE94" s="43">
        <f>SUMIF('Basis Options'!$X:$X,CONCATENATE($AK94,CE$4),'Basis Options'!$AF:$AF)</f>
        <v>0</v>
      </c>
      <c r="CF94" s="43"/>
      <c r="CG94" s="128">
        <f t="shared" si="39"/>
        <v>39448</v>
      </c>
      <c r="CH94" s="44">
        <f t="shared" si="40"/>
        <v>0</v>
      </c>
    </row>
    <row r="95" spans="1:86" x14ac:dyDescent="0.25">
      <c r="A95" s="128">
        <f t="shared" si="26"/>
        <v>39479</v>
      </c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128">
        <f t="shared" si="27"/>
        <v>39479</v>
      </c>
      <c r="P95" s="44">
        <f t="shared" si="28"/>
        <v>0</v>
      </c>
      <c r="S95" s="128">
        <f t="shared" si="29"/>
        <v>39479</v>
      </c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128">
        <f t="shared" si="30"/>
        <v>39479</v>
      </c>
      <c r="AH95" s="44">
        <f t="shared" si="31"/>
        <v>0</v>
      </c>
      <c r="AK95" s="128">
        <f t="shared" si="32"/>
        <v>39479</v>
      </c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128">
        <f t="shared" si="33"/>
        <v>39479</v>
      </c>
      <c r="AZ95" s="44">
        <f t="shared" si="34"/>
        <v>0</v>
      </c>
      <c r="BB95" s="128">
        <f t="shared" si="35"/>
        <v>39479</v>
      </c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128">
        <f t="shared" si="36"/>
        <v>39479</v>
      </c>
      <c r="BQ95" s="44">
        <f t="shared" si="37"/>
        <v>0</v>
      </c>
      <c r="BS95" s="128">
        <f t="shared" si="38"/>
        <v>39479</v>
      </c>
      <c r="BT95" s="43">
        <f>SUMIF('Basis Options'!$X:$X,CONCATENATE($AK95,BT$4),'Basis Options'!$AF:$AF)</f>
        <v>0</v>
      </c>
      <c r="BU95" s="43">
        <f>SUMIF('Basis Options'!$X:$X,CONCATENATE($AK95,BU$4),'Basis Options'!$AF:$AF)</f>
        <v>0</v>
      </c>
      <c r="BV95" s="43">
        <f>SUMIF('Basis Options'!$X:$X,CONCATENATE($AK95,BV$4),'Basis Options'!$AF:$AF)</f>
        <v>0</v>
      </c>
      <c r="BW95" s="43">
        <f>SUMIF('Basis Options'!$X:$X,CONCATENATE($AK95,BW$4),'Basis Options'!$AF:$AF)</f>
        <v>0</v>
      </c>
      <c r="BX95" s="43">
        <f>SUMIF('Basis Options'!$X:$X,CONCATENATE($AK95,BX$4),'Basis Options'!$AF:$AF)</f>
        <v>0</v>
      </c>
      <c r="BY95" s="43">
        <f>SUMIF('Basis Options'!$X:$X,CONCATENATE($AK95,BY$4),'Basis Options'!$AF:$AF)</f>
        <v>0</v>
      </c>
      <c r="BZ95" s="43">
        <f>SUMIF('Basis Options'!$X:$X,CONCATENATE($AK95,BZ$4),'Basis Options'!$AF:$AF)</f>
        <v>0</v>
      </c>
      <c r="CA95" s="43">
        <f>SUMIF('Basis Options'!$X:$X,CONCATENATE($AK95,CA$4),'Basis Options'!$AF:$AF)</f>
        <v>0</v>
      </c>
      <c r="CB95" s="43">
        <f>SUMIF('Basis Options'!$X:$X,CONCATENATE($AK95,CB$4),'Basis Options'!$AF:$AF)</f>
        <v>0</v>
      </c>
      <c r="CC95" s="43">
        <f>SUMIF('Basis Options'!$X:$X,CONCATENATE($AK95,CC$4),'Basis Options'!$AF:$AF)</f>
        <v>0</v>
      </c>
      <c r="CD95" s="43"/>
      <c r="CE95" s="43">
        <f>SUMIF('Basis Options'!$X:$X,CONCATENATE($AK95,CE$4),'Basis Options'!$AF:$AF)</f>
        <v>0</v>
      </c>
      <c r="CF95" s="43"/>
      <c r="CG95" s="128">
        <f t="shared" si="39"/>
        <v>39479</v>
      </c>
      <c r="CH95" s="44">
        <f t="shared" si="40"/>
        <v>0</v>
      </c>
    </row>
    <row r="96" spans="1:86" x14ac:dyDescent="0.25">
      <c r="A96" s="128">
        <f t="shared" si="26"/>
        <v>39508</v>
      </c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128">
        <f t="shared" si="27"/>
        <v>39508</v>
      </c>
      <c r="P96" s="44">
        <f t="shared" si="28"/>
        <v>0</v>
      </c>
      <c r="S96" s="128">
        <f t="shared" si="29"/>
        <v>39508</v>
      </c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128">
        <f t="shared" si="30"/>
        <v>39508</v>
      </c>
      <c r="AH96" s="44">
        <f t="shared" si="31"/>
        <v>0</v>
      </c>
      <c r="AK96" s="128">
        <f t="shared" si="32"/>
        <v>39508</v>
      </c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128">
        <f t="shared" si="33"/>
        <v>39508</v>
      </c>
      <c r="AZ96" s="44">
        <f t="shared" si="34"/>
        <v>0</v>
      </c>
      <c r="BB96" s="128">
        <f t="shared" si="35"/>
        <v>39508</v>
      </c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128">
        <f t="shared" si="36"/>
        <v>39508</v>
      </c>
      <c r="BQ96" s="44">
        <f t="shared" si="37"/>
        <v>0</v>
      </c>
      <c r="BS96" s="128">
        <f t="shared" si="38"/>
        <v>39508</v>
      </c>
      <c r="BT96" s="43">
        <f>SUMIF('Basis Options'!$X:$X,CONCATENATE($AK96,BT$4),'Basis Options'!$AF:$AF)</f>
        <v>0</v>
      </c>
      <c r="BU96" s="43">
        <f>SUMIF('Basis Options'!$X:$X,CONCATENATE($AK96,BU$4),'Basis Options'!$AF:$AF)</f>
        <v>0</v>
      </c>
      <c r="BV96" s="43">
        <f>SUMIF('Basis Options'!$X:$X,CONCATENATE($AK96,BV$4),'Basis Options'!$AF:$AF)</f>
        <v>0</v>
      </c>
      <c r="BW96" s="43">
        <f>SUMIF('Basis Options'!$X:$X,CONCATENATE($AK96,BW$4),'Basis Options'!$AF:$AF)</f>
        <v>0</v>
      </c>
      <c r="BX96" s="43">
        <f>SUMIF('Basis Options'!$X:$X,CONCATENATE($AK96,BX$4),'Basis Options'!$AF:$AF)</f>
        <v>0</v>
      </c>
      <c r="BY96" s="43">
        <f>SUMIF('Basis Options'!$X:$X,CONCATENATE($AK96,BY$4),'Basis Options'!$AF:$AF)</f>
        <v>0</v>
      </c>
      <c r="BZ96" s="43">
        <f>SUMIF('Basis Options'!$X:$X,CONCATENATE($AK96,BZ$4),'Basis Options'!$AF:$AF)</f>
        <v>0</v>
      </c>
      <c r="CA96" s="43">
        <f>SUMIF('Basis Options'!$X:$X,CONCATENATE($AK96,CA$4),'Basis Options'!$AF:$AF)</f>
        <v>0</v>
      </c>
      <c r="CB96" s="43">
        <f>SUMIF('Basis Options'!$X:$X,CONCATENATE($AK96,CB$4),'Basis Options'!$AF:$AF)</f>
        <v>0</v>
      </c>
      <c r="CC96" s="43">
        <f>SUMIF('Basis Options'!$X:$X,CONCATENATE($AK96,CC$4),'Basis Options'!$AF:$AF)</f>
        <v>0</v>
      </c>
      <c r="CD96" s="43"/>
      <c r="CE96" s="43">
        <f>SUMIF('Basis Options'!$X:$X,CONCATENATE($AK96,CE$4),'Basis Options'!$AF:$AF)</f>
        <v>0</v>
      </c>
      <c r="CF96" s="43"/>
      <c r="CG96" s="128">
        <f t="shared" si="39"/>
        <v>39508</v>
      </c>
      <c r="CH96" s="44">
        <f t="shared" si="40"/>
        <v>0</v>
      </c>
    </row>
    <row r="97" spans="1:86" x14ac:dyDescent="0.25">
      <c r="A97" s="128">
        <f t="shared" si="26"/>
        <v>39539</v>
      </c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128">
        <f t="shared" si="27"/>
        <v>39539</v>
      </c>
      <c r="P97" s="44">
        <f t="shared" si="28"/>
        <v>0</v>
      </c>
      <c r="S97" s="128">
        <f t="shared" si="29"/>
        <v>39539</v>
      </c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128">
        <f t="shared" si="30"/>
        <v>39539</v>
      </c>
      <c r="AH97" s="44">
        <f t="shared" si="31"/>
        <v>0</v>
      </c>
      <c r="AK97" s="128">
        <f t="shared" si="32"/>
        <v>39539</v>
      </c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128">
        <f t="shared" si="33"/>
        <v>39539</v>
      </c>
      <c r="AZ97" s="44">
        <f t="shared" si="34"/>
        <v>0</v>
      </c>
      <c r="BB97" s="128">
        <f t="shared" si="35"/>
        <v>39539</v>
      </c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128">
        <f t="shared" si="36"/>
        <v>39539</v>
      </c>
      <c r="BQ97" s="44">
        <f t="shared" si="37"/>
        <v>0</v>
      </c>
      <c r="BS97" s="128">
        <f t="shared" si="38"/>
        <v>39539</v>
      </c>
      <c r="BT97" s="43">
        <f>SUMIF('Basis Options'!$X:$X,CONCATENATE($AK97,BT$4),'Basis Options'!$AF:$AF)</f>
        <v>0</v>
      </c>
      <c r="BU97" s="43">
        <f>SUMIF('Basis Options'!$X:$X,CONCATENATE($AK97,BU$4),'Basis Options'!$AF:$AF)</f>
        <v>0</v>
      </c>
      <c r="BV97" s="43">
        <f>SUMIF('Basis Options'!$X:$X,CONCATENATE($AK97,BV$4),'Basis Options'!$AF:$AF)</f>
        <v>0</v>
      </c>
      <c r="BW97" s="43">
        <f>SUMIF('Basis Options'!$X:$X,CONCATENATE($AK97,BW$4),'Basis Options'!$AF:$AF)</f>
        <v>0</v>
      </c>
      <c r="BX97" s="43">
        <f>SUMIF('Basis Options'!$X:$X,CONCATENATE($AK97,BX$4),'Basis Options'!$AF:$AF)</f>
        <v>0</v>
      </c>
      <c r="BY97" s="43">
        <f>SUMIF('Basis Options'!$X:$X,CONCATENATE($AK97,BY$4),'Basis Options'!$AF:$AF)</f>
        <v>0</v>
      </c>
      <c r="BZ97" s="43">
        <f>SUMIF('Basis Options'!$X:$X,CONCATENATE($AK97,BZ$4),'Basis Options'!$AF:$AF)</f>
        <v>0</v>
      </c>
      <c r="CA97" s="43">
        <f>SUMIF('Basis Options'!$X:$X,CONCATENATE($AK97,CA$4),'Basis Options'!$AF:$AF)</f>
        <v>0</v>
      </c>
      <c r="CB97" s="43">
        <f>SUMIF('Basis Options'!$X:$X,CONCATENATE($AK97,CB$4),'Basis Options'!$AF:$AF)</f>
        <v>0</v>
      </c>
      <c r="CC97" s="43">
        <f>SUMIF('Basis Options'!$X:$X,CONCATENATE($AK97,CC$4),'Basis Options'!$AF:$AF)</f>
        <v>0</v>
      </c>
      <c r="CD97" s="43"/>
      <c r="CE97" s="43">
        <f>SUMIF('Basis Options'!$X:$X,CONCATENATE($AK97,CE$4),'Basis Options'!$AF:$AF)</f>
        <v>0</v>
      </c>
      <c r="CF97" s="43"/>
      <c r="CG97" s="128">
        <f t="shared" si="39"/>
        <v>39539</v>
      </c>
      <c r="CH97" s="44">
        <f t="shared" si="40"/>
        <v>0</v>
      </c>
    </row>
    <row r="98" spans="1:86" x14ac:dyDescent="0.25">
      <c r="A98" s="128">
        <f t="shared" si="26"/>
        <v>39569</v>
      </c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128">
        <f t="shared" si="27"/>
        <v>39569</v>
      </c>
      <c r="P98" s="44">
        <f t="shared" si="28"/>
        <v>0</v>
      </c>
      <c r="S98" s="128">
        <f t="shared" si="29"/>
        <v>39569</v>
      </c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128">
        <f t="shared" si="30"/>
        <v>39569</v>
      </c>
      <c r="AH98" s="44">
        <f t="shared" si="31"/>
        <v>0</v>
      </c>
      <c r="AK98" s="128">
        <f t="shared" si="32"/>
        <v>39569</v>
      </c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128">
        <f t="shared" si="33"/>
        <v>39569</v>
      </c>
      <c r="AZ98" s="44">
        <f t="shared" si="34"/>
        <v>0</v>
      </c>
      <c r="BB98" s="128">
        <f t="shared" si="35"/>
        <v>39569</v>
      </c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128">
        <f t="shared" si="36"/>
        <v>39569</v>
      </c>
      <c r="BQ98" s="44">
        <f t="shared" si="37"/>
        <v>0</v>
      </c>
      <c r="BS98" s="128">
        <f t="shared" si="38"/>
        <v>39569</v>
      </c>
      <c r="BT98" s="43">
        <f>SUMIF('Basis Options'!$X:$X,CONCATENATE($AK98,BT$4),'Basis Options'!$AF:$AF)</f>
        <v>0</v>
      </c>
      <c r="BU98" s="43">
        <f>SUMIF('Basis Options'!$X:$X,CONCATENATE($AK98,BU$4),'Basis Options'!$AF:$AF)</f>
        <v>0</v>
      </c>
      <c r="BV98" s="43">
        <f>SUMIF('Basis Options'!$X:$X,CONCATENATE($AK98,BV$4),'Basis Options'!$AF:$AF)</f>
        <v>0</v>
      </c>
      <c r="BW98" s="43">
        <f>SUMIF('Basis Options'!$X:$X,CONCATENATE($AK98,BW$4),'Basis Options'!$AF:$AF)</f>
        <v>0</v>
      </c>
      <c r="BX98" s="43">
        <f>SUMIF('Basis Options'!$X:$X,CONCATENATE($AK98,BX$4),'Basis Options'!$AF:$AF)</f>
        <v>0</v>
      </c>
      <c r="BY98" s="43">
        <f>SUMIF('Basis Options'!$X:$X,CONCATENATE($AK98,BY$4),'Basis Options'!$AF:$AF)</f>
        <v>0</v>
      </c>
      <c r="BZ98" s="43">
        <f>SUMIF('Basis Options'!$X:$X,CONCATENATE($AK98,BZ$4),'Basis Options'!$AF:$AF)</f>
        <v>0</v>
      </c>
      <c r="CA98" s="43">
        <f>SUMIF('Basis Options'!$X:$X,CONCATENATE($AK98,CA$4),'Basis Options'!$AF:$AF)</f>
        <v>0</v>
      </c>
      <c r="CB98" s="43">
        <f>SUMIF('Basis Options'!$X:$X,CONCATENATE($AK98,CB$4),'Basis Options'!$AF:$AF)</f>
        <v>0</v>
      </c>
      <c r="CC98" s="43">
        <f>SUMIF('Basis Options'!$X:$X,CONCATENATE($AK98,CC$4),'Basis Options'!$AF:$AF)</f>
        <v>0</v>
      </c>
      <c r="CD98" s="43"/>
      <c r="CE98" s="43">
        <f>SUMIF('Basis Options'!$X:$X,CONCATENATE($AK98,CE$4),'Basis Options'!$AF:$AF)</f>
        <v>0</v>
      </c>
      <c r="CF98" s="43"/>
      <c r="CG98" s="128">
        <f t="shared" si="39"/>
        <v>39569</v>
      </c>
      <c r="CH98" s="44">
        <f t="shared" si="40"/>
        <v>0</v>
      </c>
    </row>
    <row r="99" spans="1:86" x14ac:dyDescent="0.25">
      <c r="A99" s="128">
        <f t="shared" si="26"/>
        <v>39600</v>
      </c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128">
        <f t="shared" si="27"/>
        <v>39600</v>
      </c>
      <c r="P99" s="44">
        <f t="shared" si="28"/>
        <v>0</v>
      </c>
      <c r="S99" s="128">
        <f t="shared" si="29"/>
        <v>39600</v>
      </c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128">
        <f t="shared" si="30"/>
        <v>39600</v>
      </c>
      <c r="AH99" s="44">
        <f t="shared" si="31"/>
        <v>0</v>
      </c>
      <c r="AK99" s="128">
        <f t="shared" si="32"/>
        <v>39600</v>
      </c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128">
        <f t="shared" si="33"/>
        <v>39600</v>
      </c>
      <c r="AZ99" s="44">
        <f t="shared" si="34"/>
        <v>0</v>
      </c>
      <c r="BB99" s="128">
        <f t="shared" si="35"/>
        <v>39600</v>
      </c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128">
        <f t="shared" si="36"/>
        <v>39600</v>
      </c>
      <c r="BQ99" s="44">
        <f t="shared" si="37"/>
        <v>0</v>
      </c>
      <c r="BS99" s="128">
        <f t="shared" si="38"/>
        <v>39600</v>
      </c>
      <c r="BT99" s="43">
        <f>SUMIF('Basis Options'!$X:$X,CONCATENATE($AK99,BT$4),'Basis Options'!$AF:$AF)</f>
        <v>0</v>
      </c>
      <c r="BU99" s="43">
        <f>SUMIF('Basis Options'!$X:$X,CONCATENATE($AK99,BU$4),'Basis Options'!$AF:$AF)</f>
        <v>0</v>
      </c>
      <c r="BV99" s="43">
        <f>SUMIF('Basis Options'!$X:$X,CONCATENATE($AK99,BV$4),'Basis Options'!$AF:$AF)</f>
        <v>0</v>
      </c>
      <c r="BW99" s="43">
        <f>SUMIF('Basis Options'!$X:$X,CONCATENATE($AK99,BW$4),'Basis Options'!$AF:$AF)</f>
        <v>0</v>
      </c>
      <c r="BX99" s="43">
        <f>SUMIF('Basis Options'!$X:$X,CONCATENATE($AK99,BX$4),'Basis Options'!$AF:$AF)</f>
        <v>0</v>
      </c>
      <c r="BY99" s="43">
        <f>SUMIF('Basis Options'!$X:$X,CONCATENATE($AK99,BY$4),'Basis Options'!$AF:$AF)</f>
        <v>0</v>
      </c>
      <c r="BZ99" s="43">
        <f>SUMIF('Basis Options'!$X:$X,CONCATENATE($AK99,BZ$4),'Basis Options'!$AF:$AF)</f>
        <v>0</v>
      </c>
      <c r="CA99" s="43">
        <f>SUMIF('Basis Options'!$X:$X,CONCATENATE($AK99,CA$4),'Basis Options'!$AF:$AF)</f>
        <v>0</v>
      </c>
      <c r="CB99" s="43">
        <f>SUMIF('Basis Options'!$X:$X,CONCATENATE($AK99,CB$4),'Basis Options'!$AF:$AF)</f>
        <v>0</v>
      </c>
      <c r="CC99" s="43">
        <f>SUMIF('Basis Options'!$X:$X,CONCATENATE($AK99,CC$4),'Basis Options'!$AF:$AF)</f>
        <v>0</v>
      </c>
      <c r="CD99" s="43"/>
      <c r="CE99" s="43">
        <f>SUMIF('Basis Options'!$X:$X,CONCATENATE($AK99,CE$4),'Basis Options'!$AF:$AF)</f>
        <v>0</v>
      </c>
      <c r="CF99" s="43"/>
      <c r="CG99" s="128">
        <f t="shared" si="39"/>
        <v>39600</v>
      </c>
      <c r="CH99" s="44">
        <f t="shared" si="40"/>
        <v>0</v>
      </c>
    </row>
    <row r="100" spans="1:86" x14ac:dyDescent="0.25">
      <c r="A100" s="128">
        <f t="shared" si="26"/>
        <v>39630</v>
      </c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128">
        <f t="shared" si="27"/>
        <v>39630</v>
      </c>
      <c r="P100" s="44">
        <f t="shared" si="28"/>
        <v>0</v>
      </c>
      <c r="S100" s="128">
        <f t="shared" si="29"/>
        <v>39630</v>
      </c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128">
        <f t="shared" si="30"/>
        <v>39630</v>
      </c>
      <c r="AH100" s="44">
        <f t="shared" si="31"/>
        <v>0</v>
      </c>
      <c r="AK100" s="128">
        <f t="shared" si="32"/>
        <v>39630</v>
      </c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128">
        <f t="shared" si="33"/>
        <v>39630</v>
      </c>
      <c r="AZ100" s="44">
        <f t="shared" si="34"/>
        <v>0</v>
      </c>
      <c r="BB100" s="128">
        <f t="shared" si="35"/>
        <v>39630</v>
      </c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128">
        <f t="shared" si="36"/>
        <v>39630</v>
      </c>
      <c r="BQ100" s="44">
        <f t="shared" si="37"/>
        <v>0</v>
      </c>
      <c r="BS100" s="128">
        <f t="shared" si="38"/>
        <v>39630</v>
      </c>
      <c r="BT100" s="43">
        <f>SUMIF('Basis Options'!$X:$X,CONCATENATE($AK100,BT$4),'Basis Options'!$AF:$AF)</f>
        <v>0</v>
      </c>
      <c r="BU100" s="43">
        <f>SUMIF('Basis Options'!$X:$X,CONCATENATE($AK100,BU$4),'Basis Options'!$AF:$AF)</f>
        <v>0</v>
      </c>
      <c r="BV100" s="43">
        <f>SUMIF('Basis Options'!$X:$X,CONCATENATE($AK100,BV$4),'Basis Options'!$AF:$AF)</f>
        <v>0</v>
      </c>
      <c r="BW100" s="43">
        <f>SUMIF('Basis Options'!$X:$X,CONCATENATE($AK100,BW$4),'Basis Options'!$AF:$AF)</f>
        <v>0</v>
      </c>
      <c r="BX100" s="43">
        <f>SUMIF('Basis Options'!$X:$X,CONCATENATE($AK100,BX$4),'Basis Options'!$AF:$AF)</f>
        <v>0</v>
      </c>
      <c r="BY100" s="43">
        <f>SUMIF('Basis Options'!$X:$X,CONCATENATE($AK100,BY$4),'Basis Options'!$AF:$AF)</f>
        <v>0</v>
      </c>
      <c r="BZ100" s="43">
        <f>SUMIF('Basis Options'!$X:$X,CONCATENATE($AK100,BZ$4),'Basis Options'!$AF:$AF)</f>
        <v>0</v>
      </c>
      <c r="CA100" s="43">
        <f>SUMIF('Basis Options'!$X:$X,CONCATENATE($AK100,CA$4),'Basis Options'!$AF:$AF)</f>
        <v>0</v>
      </c>
      <c r="CB100" s="43">
        <f>SUMIF('Basis Options'!$X:$X,CONCATENATE($AK100,CB$4),'Basis Options'!$AF:$AF)</f>
        <v>0</v>
      </c>
      <c r="CC100" s="43">
        <f>SUMIF('Basis Options'!$X:$X,CONCATENATE($AK100,CC$4),'Basis Options'!$AF:$AF)</f>
        <v>0</v>
      </c>
      <c r="CD100" s="43"/>
      <c r="CE100" s="43">
        <f>SUMIF('Basis Options'!$X:$X,CONCATENATE($AK100,CE$4),'Basis Options'!$AF:$AF)</f>
        <v>0</v>
      </c>
      <c r="CF100" s="43"/>
      <c r="CG100" s="128">
        <f t="shared" si="39"/>
        <v>39630</v>
      </c>
      <c r="CH100" s="44">
        <f t="shared" si="40"/>
        <v>0</v>
      </c>
    </row>
    <row r="101" spans="1:86" x14ac:dyDescent="0.25">
      <c r="A101" s="128">
        <f t="shared" si="26"/>
        <v>39661</v>
      </c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128">
        <f t="shared" si="27"/>
        <v>39661</v>
      </c>
      <c r="P101" s="44">
        <f t="shared" si="28"/>
        <v>0</v>
      </c>
      <c r="S101" s="128">
        <f t="shared" si="29"/>
        <v>39661</v>
      </c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128">
        <f t="shared" si="30"/>
        <v>39661</v>
      </c>
      <c r="AH101" s="44">
        <f t="shared" si="31"/>
        <v>0</v>
      </c>
      <c r="AK101" s="128">
        <f t="shared" si="32"/>
        <v>39661</v>
      </c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128">
        <f t="shared" si="33"/>
        <v>39661</v>
      </c>
      <c r="AZ101" s="44">
        <f t="shared" si="34"/>
        <v>0</v>
      </c>
      <c r="BB101" s="128">
        <f t="shared" si="35"/>
        <v>39661</v>
      </c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128">
        <f t="shared" si="36"/>
        <v>39661</v>
      </c>
      <c r="BQ101" s="44">
        <f t="shared" si="37"/>
        <v>0</v>
      </c>
      <c r="BS101" s="128">
        <f t="shared" si="38"/>
        <v>39661</v>
      </c>
      <c r="BT101" s="43">
        <f>SUMIF('Basis Options'!$X:$X,CONCATENATE($AK101,BT$4),'Basis Options'!$AF:$AF)</f>
        <v>0</v>
      </c>
      <c r="BU101" s="43">
        <f>SUMIF('Basis Options'!$X:$X,CONCATENATE($AK101,BU$4),'Basis Options'!$AF:$AF)</f>
        <v>0</v>
      </c>
      <c r="BV101" s="43">
        <f>SUMIF('Basis Options'!$X:$X,CONCATENATE($AK101,BV$4),'Basis Options'!$AF:$AF)</f>
        <v>0</v>
      </c>
      <c r="BW101" s="43">
        <f>SUMIF('Basis Options'!$X:$X,CONCATENATE($AK101,BW$4),'Basis Options'!$AF:$AF)</f>
        <v>0</v>
      </c>
      <c r="BX101" s="43">
        <f>SUMIF('Basis Options'!$X:$X,CONCATENATE($AK101,BX$4),'Basis Options'!$AF:$AF)</f>
        <v>0</v>
      </c>
      <c r="BY101" s="43">
        <f>SUMIF('Basis Options'!$X:$X,CONCATENATE($AK101,BY$4),'Basis Options'!$AF:$AF)</f>
        <v>0</v>
      </c>
      <c r="BZ101" s="43">
        <f>SUMIF('Basis Options'!$X:$X,CONCATENATE($AK101,BZ$4),'Basis Options'!$AF:$AF)</f>
        <v>0</v>
      </c>
      <c r="CA101" s="43">
        <f>SUMIF('Basis Options'!$X:$X,CONCATENATE($AK101,CA$4),'Basis Options'!$AF:$AF)</f>
        <v>0</v>
      </c>
      <c r="CB101" s="43">
        <f>SUMIF('Basis Options'!$X:$X,CONCATENATE($AK101,CB$4),'Basis Options'!$AF:$AF)</f>
        <v>0</v>
      </c>
      <c r="CC101" s="43">
        <f>SUMIF('Basis Options'!$X:$X,CONCATENATE($AK101,CC$4),'Basis Options'!$AF:$AF)</f>
        <v>0</v>
      </c>
      <c r="CD101" s="43"/>
      <c r="CE101" s="43">
        <f>SUMIF('Basis Options'!$X:$X,CONCATENATE($AK101,CE$4),'Basis Options'!$AF:$AF)</f>
        <v>0</v>
      </c>
      <c r="CF101" s="43"/>
      <c r="CG101" s="128">
        <f t="shared" si="39"/>
        <v>39661</v>
      </c>
      <c r="CH101" s="44">
        <f t="shared" si="40"/>
        <v>0</v>
      </c>
    </row>
    <row r="102" spans="1:86" x14ac:dyDescent="0.25">
      <c r="A102" s="128">
        <f t="shared" ref="A102:A133" si="41">EOMONTH(A101,0)+1</f>
        <v>39692</v>
      </c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128">
        <f t="shared" ref="O102:O133" si="42">EOMONTH(O101,0)+1</f>
        <v>39692</v>
      </c>
      <c r="P102" s="44">
        <f t="shared" si="28"/>
        <v>0</v>
      </c>
      <c r="S102" s="128">
        <f t="shared" ref="S102:S133" si="43">EOMONTH(S101,0)+1</f>
        <v>39692</v>
      </c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128">
        <f t="shared" ref="AG102:AG133" si="44">EOMONTH(AG101,0)+1</f>
        <v>39692</v>
      </c>
      <c r="AH102" s="44">
        <f t="shared" si="31"/>
        <v>0</v>
      </c>
      <c r="AK102" s="128">
        <f t="shared" ref="AK102:AK133" si="45">EOMONTH(AK101,0)+1</f>
        <v>39692</v>
      </c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128">
        <f t="shared" ref="AY102:AY133" si="46">EOMONTH(AY101,0)+1</f>
        <v>39692</v>
      </c>
      <c r="AZ102" s="44">
        <f t="shared" si="34"/>
        <v>0</v>
      </c>
      <c r="BB102" s="128">
        <f t="shared" ref="BB102:BB133" si="47">EOMONTH(BB101,0)+1</f>
        <v>39692</v>
      </c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128">
        <f t="shared" ref="BP102:BP133" si="48">EOMONTH(BP101,0)+1</f>
        <v>39692</v>
      </c>
      <c r="BQ102" s="44">
        <f t="shared" si="37"/>
        <v>0</v>
      </c>
      <c r="BS102" s="128">
        <f t="shared" ref="BS102:BS133" si="49">EOMONTH(BS101,0)+1</f>
        <v>39692</v>
      </c>
      <c r="BT102" s="43">
        <f>SUMIF('Basis Options'!$X:$X,CONCATENATE($AK102,BT$4),'Basis Options'!$AF:$AF)</f>
        <v>0</v>
      </c>
      <c r="BU102" s="43">
        <f>SUMIF('Basis Options'!$X:$X,CONCATENATE($AK102,BU$4),'Basis Options'!$AF:$AF)</f>
        <v>0</v>
      </c>
      <c r="BV102" s="43">
        <f>SUMIF('Basis Options'!$X:$X,CONCATENATE($AK102,BV$4),'Basis Options'!$AF:$AF)</f>
        <v>0</v>
      </c>
      <c r="BW102" s="43">
        <f>SUMIF('Basis Options'!$X:$X,CONCATENATE($AK102,BW$4),'Basis Options'!$AF:$AF)</f>
        <v>0</v>
      </c>
      <c r="BX102" s="43">
        <f>SUMIF('Basis Options'!$X:$X,CONCATENATE($AK102,BX$4),'Basis Options'!$AF:$AF)</f>
        <v>0</v>
      </c>
      <c r="BY102" s="43">
        <f>SUMIF('Basis Options'!$X:$X,CONCATENATE($AK102,BY$4),'Basis Options'!$AF:$AF)</f>
        <v>0</v>
      </c>
      <c r="BZ102" s="43">
        <f>SUMIF('Basis Options'!$X:$X,CONCATENATE($AK102,BZ$4),'Basis Options'!$AF:$AF)</f>
        <v>0</v>
      </c>
      <c r="CA102" s="43">
        <f>SUMIF('Basis Options'!$X:$X,CONCATENATE($AK102,CA$4),'Basis Options'!$AF:$AF)</f>
        <v>0</v>
      </c>
      <c r="CB102" s="43">
        <f>SUMIF('Basis Options'!$X:$X,CONCATENATE($AK102,CB$4),'Basis Options'!$AF:$AF)</f>
        <v>0</v>
      </c>
      <c r="CC102" s="43">
        <f>SUMIF('Basis Options'!$X:$X,CONCATENATE($AK102,CC$4),'Basis Options'!$AF:$AF)</f>
        <v>0</v>
      </c>
      <c r="CD102" s="43"/>
      <c r="CE102" s="43">
        <f>SUMIF('Basis Options'!$X:$X,CONCATENATE($AK102,CE$4),'Basis Options'!$AF:$AF)</f>
        <v>0</v>
      </c>
      <c r="CF102" s="43"/>
      <c r="CG102" s="128">
        <f t="shared" ref="CG102:CG133" si="50">EOMONTH(CG101,0)+1</f>
        <v>39692</v>
      </c>
      <c r="CH102" s="44">
        <f t="shared" si="40"/>
        <v>0</v>
      </c>
    </row>
    <row r="103" spans="1:86" x14ac:dyDescent="0.25">
      <c r="A103" s="128">
        <f t="shared" si="41"/>
        <v>39722</v>
      </c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128">
        <f t="shared" si="42"/>
        <v>39722</v>
      </c>
      <c r="P103" s="44">
        <f t="shared" si="28"/>
        <v>0</v>
      </c>
      <c r="S103" s="128">
        <f t="shared" si="43"/>
        <v>39722</v>
      </c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128">
        <f t="shared" si="44"/>
        <v>39722</v>
      </c>
      <c r="AH103" s="44">
        <f t="shared" si="31"/>
        <v>0</v>
      </c>
      <c r="AK103" s="128">
        <f t="shared" si="45"/>
        <v>39722</v>
      </c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128">
        <f t="shared" si="46"/>
        <v>39722</v>
      </c>
      <c r="AZ103" s="44">
        <f t="shared" si="34"/>
        <v>0</v>
      </c>
      <c r="BB103" s="128">
        <f t="shared" si="47"/>
        <v>39722</v>
      </c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128">
        <f t="shared" si="48"/>
        <v>39722</v>
      </c>
      <c r="BQ103" s="44">
        <f t="shared" si="37"/>
        <v>0</v>
      </c>
      <c r="BS103" s="128">
        <f t="shared" si="49"/>
        <v>39722</v>
      </c>
      <c r="BT103" s="43">
        <f>SUMIF('Basis Options'!$X:$X,CONCATENATE($AK103,BT$4),'Basis Options'!$AF:$AF)</f>
        <v>0</v>
      </c>
      <c r="BU103" s="43">
        <f>SUMIF('Basis Options'!$X:$X,CONCATENATE($AK103,BU$4),'Basis Options'!$AF:$AF)</f>
        <v>0</v>
      </c>
      <c r="BV103" s="43">
        <f>SUMIF('Basis Options'!$X:$X,CONCATENATE($AK103,BV$4),'Basis Options'!$AF:$AF)</f>
        <v>0</v>
      </c>
      <c r="BW103" s="43">
        <f>SUMIF('Basis Options'!$X:$X,CONCATENATE($AK103,BW$4),'Basis Options'!$AF:$AF)</f>
        <v>0</v>
      </c>
      <c r="BX103" s="43">
        <f>SUMIF('Basis Options'!$X:$X,CONCATENATE($AK103,BX$4),'Basis Options'!$AF:$AF)</f>
        <v>0</v>
      </c>
      <c r="BY103" s="43">
        <f>SUMIF('Basis Options'!$X:$X,CONCATENATE($AK103,BY$4),'Basis Options'!$AF:$AF)</f>
        <v>0</v>
      </c>
      <c r="BZ103" s="43">
        <f>SUMIF('Basis Options'!$X:$X,CONCATENATE($AK103,BZ$4),'Basis Options'!$AF:$AF)</f>
        <v>0</v>
      </c>
      <c r="CA103" s="43">
        <f>SUMIF('Basis Options'!$X:$X,CONCATENATE($AK103,CA$4),'Basis Options'!$AF:$AF)</f>
        <v>0</v>
      </c>
      <c r="CB103" s="43">
        <f>SUMIF('Basis Options'!$X:$X,CONCATENATE($AK103,CB$4),'Basis Options'!$AF:$AF)</f>
        <v>0</v>
      </c>
      <c r="CC103" s="43">
        <f>SUMIF('Basis Options'!$X:$X,CONCATENATE($AK103,CC$4),'Basis Options'!$AF:$AF)</f>
        <v>0</v>
      </c>
      <c r="CD103" s="43"/>
      <c r="CE103" s="43">
        <f>SUMIF('Basis Options'!$X:$X,CONCATENATE($AK103,CE$4),'Basis Options'!$AF:$AF)</f>
        <v>0</v>
      </c>
      <c r="CF103" s="43"/>
      <c r="CG103" s="128">
        <f t="shared" si="50"/>
        <v>39722</v>
      </c>
      <c r="CH103" s="44">
        <f t="shared" si="40"/>
        <v>0</v>
      </c>
    </row>
    <row r="104" spans="1:86" x14ac:dyDescent="0.25">
      <c r="A104" s="128">
        <f t="shared" si="41"/>
        <v>39753</v>
      </c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128">
        <f t="shared" si="42"/>
        <v>39753</v>
      </c>
      <c r="P104" s="44">
        <f t="shared" si="28"/>
        <v>0</v>
      </c>
      <c r="S104" s="128">
        <f t="shared" si="43"/>
        <v>39753</v>
      </c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128">
        <f t="shared" si="44"/>
        <v>39753</v>
      </c>
      <c r="AH104" s="44">
        <f t="shared" si="31"/>
        <v>0</v>
      </c>
      <c r="AK104" s="128">
        <f t="shared" si="45"/>
        <v>39753</v>
      </c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128">
        <f t="shared" si="46"/>
        <v>39753</v>
      </c>
      <c r="AZ104" s="44">
        <f t="shared" si="34"/>
        <v>0</v>
      </c>
      <c r="BB104" s="128">
        <f t="shared" si="47"/>
        <v>39753</v>
      </c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128">
        <f t="shared" si="48"/>
        <v>39753</v>
      </c>
      <c r="BQ104" s="44">
        <f t="shared" si="37"/>
        <v>0</v>
      </c>
      <c r="BS104" s="128">
        <f t="shared" si="49"/>
        <v>39753</v>
      </c>
      <c r="BT104" s="43">
        <f>SUMIF('Basis Options'!$X:$X,CONCATENATE($AK104,BT$4),'Basis Options'!$AF:$AF)</f>
        <v>0</v>
      </c>
      <c r="BU104" s="43">
        <f>SUMIF('Basis Options'!$X:$X,CONCATENATE($AK104,BU$4),'Basis Options'!$AF:$AF)</f>
        <v>0</v>
      </c>
      <c r="BV104" s="43">
        <f>SUMIF('Basis Options'!$X:$X,CONCATENATE($AK104,BV$4),'Basis Options'!$AF:$AF)</f>
        <v>0</v>
      </c>
      <c r="BW104" s="43">
        <f>SUMIF('Basis Options'!$X:$X,CONCATENATE($AK104,BW$4),'Basis Options'!$AF:$AF)</f>
        <v>0</v>
      </c>
      <c r="BX104" s="43">
        <f>SUMIF('Basis Options'!$X:$X,CONCATENATE($AK104,BX$4),'Basis Options'!$AF:$AF)</f>
        <v>0</v>
      </c>
      <c r="BY104" s="43">
        <f>SUMIF('Basis Options'!$X:$X,CONCATENATE($AK104,BY$4),'Basis Options'!$AF:$AF)</f>
        <v>0</v>
      </c>
      <c r="BZ104" s="43">
        <f>SUMIF('Basis Options'!$X:$X,CONCATENATE($AK104,BZ$4),'Basis Options'!$AF:$AF)</f>
        <v>0</v>
      </c>
      <c r="CA104" s="43">
        <f>SUMIF('Basis Options'!$X:$X,CONCATENATE($AK104,CA$4),'Basis Options'!$AF:$AF)</f>
        <v>0</v>
      </c>
      <c r="CB104" s="43">
        <f>SUMIF('Basis Options'!$X:$X,CONCATENATE($AK104,CB$4),'Basis Options'!$AF:$AF)</f>
        <v>0</v>
      </c>
      <c r="CC104" s="43">
        <f>SUMIF('Basis Options'!$X:$X,CONCATENATE($AK104,CC$4),'Basis Options'!$AF:$AF)</f>
        <v>0</v>
      </c>
      <c r="CD104" s="43"/>
      <c r="CE104" s="43">
        <f>SUMIF('Basis Options'!$X:$X,CONCATENATE($AK104,CE$4),'Basis Options'!$AF:$AF)</f>
        <v>0</v>
      </c>
      <c r="CF104" s="43"/>
      <c r="CG104" s="128">
        <f t="shared" si="50"/>
        <v>39753</v>
      </c>
      <c r="CH104" s="44">
        <f t="shared" si="40"/>
        <v>0</v>
      </c>
    </row>
    <row r="105" spans="1:86" x14ac:dyDescent="0.25">
      <c r="A105" s="128">
        <f t="shared" si="41"/>
        <v>39783</v>
      </c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128">
        <f t="shared" si="42"/>
        <v>39783</v>
      </c>
      <c r="P105" s="44">
        <f t="shared" si="28"/>
        <v>0</v>
      </c>
      <c r="S105" s="128">
        <f t="shared" si="43"/>
        <v>39783</v>
      </c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128">
        <f t="shared" si="44"/>
        <v>39783</v>
      </c>
      <c r="AH105" s="44">
        <f t="shared" si="31"/>
        <v>0</v>
      </c>
      <c r="AK105" s="128">
        <f t="shared" si="45"/>
        <v>39783</v>
      </c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128">
        <f t="shared" si="46"/>
        <v>39783</v>
      </c>
      <c r="AZ105" s="44">
        <f t="shared" si="34"/>
        <v>0</v>
      </c>
      <c r="BB105" s="128">
        <f t="shared" si="47"/>
        <v>39783</v>
      </c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128">
        <f t="shared" si="48"/>
        <v>39783</v>
      </c>
      <c r="BQ105" s="44">
        <f t="shared" si="37"/>
        <v>0</v>
      </c>
      <c r="BS105" s="128">
        <f t="shared" si="49"/>
        <v>39783</v>
      </c>
      <c r="BT105" s="43">
        <f>SUMIF('Basis Options'!$X:$X,CONCATENATE($AK105,BT$4),'Basis Options'!$AF:$AF)</f>
        <v>0</v>
      </c>
      <c r="BU105" s="43">
        <f>SUMIF('Basis Options'!$X:$X,CONCATENATE($AK105,BU$4),'Basis Options'!$AF:$AF)</f>
        <v>0</v>
      </c>
      <c r="BV105" s="43">
        <f>SUMIF('Basis Options'!$X:$X,CONCATENATE($AK105,BV$4),'Basis Options'!$AF:$AF)</f>
        <v>0</v>
      </c>
      <c r="BW105" s="43">
        <f>SUMIF('Basis Options'!$X:$X,CONCATENATE($AK105,BW$4),'Basis Options'!$AF:$AF)</f>
        <v>0</v>
      </c>
      <c r="BX105" s="43">
        <f>SUMIF('Basis Options'!$X:$X,CONCATENATE($AK105,BX$4),'Basis Options'!$AF:$AF)</f>
        <v>0</v>
      </c>
      <c r="BY105" s="43">
        <f>SUMIF('Basis Options'!$X:$X,CONCATENATE($AK105,BY$4),'Basis Options'!$AF:$AF)</f>
        <v>0</v>
      </c>
      <c r="BZ105" s="43">
        <f>SUMIF('Basis Options'!$X:$X,CONCATENATE($AK105,BZ$4),'Basis Options'!$AF:$AF)</f>
        <v>0</v>
      </c>
      <c r="CA105" s="43">
        <f>SUMIF('Basis Options'!$X:$X,CONCATENATE($AK105,CA$4),'Basis Options'!$AF:$AF)</f>
        <v>0</v>
      </c>
      <c r="CB105" s="43">
        <f>SUMIF('Basis Options'!$X:$X,CONCATENATE($AK105,CB$4),'Basis Options'!$AF:$AF)</f>
        <v>0</v>
      </c>
      <c r="CC105" s="43">
        <f>SUMIF('Basis Options'!$X:$X,CONCATENATE($AK105,CC$4),'Basis Options'!$AF:$AF)</f>
        <v>0</v>
      </c>
      <c r="CD105" s="43"/>
      <c r="CE105" s="43">
        <f>SUMIF('Basis Options'!$X:$X,CONCATENATE($AK105,CE$4),'Basis Options'!$AF:$AF)</f>
        <v>0</v>
      </c>
      <c r="CF105" s="43"/>
      <c r="CG105" s="128">
        <f t="shared" si="50"/>
        <v>39783</v>
      </c>
      <c r="CH105" s="44">
        <f t="shared" si="40"/>
        <v>0</v>
      </c>
    </row>
    <row r="106" spans="1:86" x14ac:dyDescent="0.25">
      <c r="A106" s="128">
        <f t="shared" si="41"/>
        <v>39814</v>
      </c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128">
        <f t="shared" si="42"/>
        <v>39814</v>
      </c>
      <c r="P106" s="44">
        <f t="shared" si="28"/>
        <v>0</v>
      </c>
      <c r="S106" s="128">
        <f t="shared" si="43"/>
        <v>39814</v>
      </c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128">
        <f t="shared" si="44"/>
        <v>39814</v>
      </c>
      <c r="AH106" s="44">
        <f t="shared" si="31"/>
        <v>0</v>
      </c>
      <c r="AK106" s="128">
        <f t="shared" si="45"/>
        <v>39814</v>
      </c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128">
        <f t="shared" si="46"/>
        <v>39814</v>
      </c>
      <c r="AZ106" s="44">
        <f t="shared" si="34"/>
        <v>0</v>
      </c>
      <c r="BB106" s="128">
        <f t="shared" si="47"/>
        <v>39814</v>
      </c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128">
        <f t="shared" si="48"/>
        <v>39814</v>
      </c>
      <c r="BQ106" s="44">
        <f t="shared" si="37"/>
        <v>0</v>
      </c>
      <c r="BS106" s="128">
        <f t="shared" si="49"/>
        <v>39814</v>
      </c>
      <c r="BT106" s="43">
        <f>SUMIF('Basis Options'!$X:$X,CONCATENATE($AK106,BT$4),'Basis Options'!$AF:$AF)</f>
        <v>0</v>
      </c>
      <c r="BU106" s="43">
        <f>SUMIF('Basis Options'!$X:$X,CONCATENATE($AK106,BU$4),'Basis Options'!$AF:$AF)</f>
        <v>0</v>
      </c>
      <c r="BV106" s="43">
        <f>SUMIF('Basis Options'!$X:$X,CONCATENATE($AK106,BV$4),'Basis Options'!$AF:$AF)</f>
        <v>0</v>
      </c>
      <c r="BW106" s="43">
        <f>SUMIF('Basis Options'!$X:$X,CONCATENATE($AK106,BW$4),'Basis Options'!$AF:$AF)</f>
        <v>0</v>
      </c>
      <c r="BX106" s="43">
        <f>SUMIF('Basis Options'!$X:$X,CONCATENATE($AK106,BX$4),'Basis Options'!$AF:$AF)</f>
        <v>0</v>
      </c>
      <c r="BY106" s="43">
        <f>SUMIF('Basis Options'!$X:$X,CONCATENATE($AK106,BY$4),'Basis Options'!$AF:$AF)</f>
        <v>0</v>
      </c>
      <c r="BZ106" s="43">
        <f>SUMIF('Basis Options'!$X:$X,CONCATENATE($AK106,BZ$4),'Basis Options'!$AF:$AF)</f>
        <v>0</v>
      </c>
      <c r="CA106" s="43">
        <f>SUMIF('Basis Options'!$X:$X,CONCATENATE($AK106,CA$4),'Basis Options'!$AF:$AF)</f>
        <v>0</v>
      </c>
      <c r="CB106" s="43">
        <f>SUMIF('Basis Options'!$X:$X,CONCATENATE($AK106,CB$4),'Basis Options'!$AF:$AF)</f>
        <v>0</v>
      </c>
      <c r="CC106" s="43">
        <f>SUMIF('Basis Options'!$X:$X,CONCATENATE($AK106,CC$4),'Basis Options'!$AF:$AF)</f>
        <v>0</v>
      </c>
      <c r="CD106" s="43"/>
      <c r="CE106" s="43">
        <f>SUMIF('Basis Options'!$X:$X,CONCATENATE($AK106,CE$4),'Basis Options'!$AF:$AF)</f>
        <v>0</v>
      </c>
      <c r="CF106" s="43"/>
      <c r="CG106" s="128">
        <f t="shared" si="50"/>
        <v>39814</v>
      </c>
      <c r="CH106" s="44">
        <f t="shared" si="40"/>
        <v>0</v>
      </c>
    </row>
    <row r="107" spans="1:86" x14ac:dyDescent="0.25">
      <c r="A107" s="128">
        <f t="shared" si="41"/>
        <v>39845</v>
      </c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128">
        <f t="shared" si="42"/>
        <v>39845</v>
      </c>
      <c r="P107" s="44">
        <f t="shared" si="28"/>
        <v>0</v>
      </c>
      <c r="S107" s="128">
        <f t="shared" si="43"/>
        <v>39845</v>
      </c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128">
        <f t="shared" si="44"/>
        <v>39845</v>
      </c>
      <c r="AH107" s="44">
        <f t="shared" si="31"/>
        <v>0</v>
      </c>
      <c r="AK107" s="128">
        <f t="shared" si="45"/>
        <v>39845</v>
      </c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128">
        <f t="shared" si="46"/>
        <v>39845</v>
      </c>
      <c r="AZ107" s="44">
        <f t="shared" si="34"/>
        <v>0</v>
      </c>
      <c r="BB107" s="128">
        <f t="shared" si="47"/>
        <v>39845</v>
      </c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128">
        <f t="shared" si="48"/>
        <v>39845</v>
      </c>
      <c r="BQ107" s="44">
        <f t="shared" si="37"/>
        <v>0</v>
      </c>
      <c r="BS107" s="128">
        <f t="shared" si="49"/>
        <v>39845</v>
      </c>
      <c r="BT107" s="43">
        <f>SUMIF('Basis Options'!$X:$X,CONCATENATE($AK107,BT$4),'Basis Options'!$AF:$AF)</f>
        <v>0</v>
      </c>
      <c r="BU107" s="43">
        <f>SUMIF('Basis Options'!$X:$X,CONCATENATE($AK107,BU$4),'Basis Options'!$AF:$AF)</f>
        <v>0</v>
      </c>
      <c r="BV107" s="43">
        <f>SUMIF('Basis Options'!$X:$X,CONCATENATE($AK107,BV$4),'Basis Options'!$AF:$AF)</f>
        <v>0</v>
      </c>
      <c r="BW107" s="43">
        <f>SUMIF('Basis Options'!$X:$X,CONCATENATE($AK107,BW$4),'Basis Options'!$AF:$AF)</f>
        <v>0</v>
      </c>
      <c r="BX107" s="43">
        <f>SUMIF('Basis Options'!$X:$X,CONCATENATE($AK107,BX$4),'Basis Options'!$AF:$AF)</f>
        <v>0</v>
      </c>
      <c r="BY107" s="43">
        <f>SUMIF('Basis Options'!$X:$X,CONCATENATE($AK107,BY$4),'Basis Options'!$AF:$AF)</f>
        <v>0</v>
      </c>
      <c r="BZ107" s="43">
        <f>SUMIF('Basis Options'!$X:$X,CONCATENATE($AK107,BZ$4),'Basis Options'!$AF:$AF)</f>
        <v>0</v>
      </c>
      <c r="CA107" s="43">
        <f>SUMIF('Basis Options'!$X:$X,CONCATENATE($AK107,CA$4),'Basis Options'!$AF:$AF)</f>
        <v>0</v>
      </c>
      <c r="CB107" s="43">
        <f>SUMIF('Basis Options'!$X:$X,CONCATENATE($AK107,CB$4),'Basis Options'!$AF:$AF)</f>
        <v>0</v>
      </c>
      <c r="CC107" s="43">
        <f>SUMIF('Basis Options'!$X:$X,CONCATENATE($AK107,CC$4),'Basis Options'!$AF:$AF)</f>
        <v>0</v>
      </c>
      <c r="CD107" s="43"/>
      <c r="CE107" s="43">
        <f>SUMIF('Basis Options'!$X:$X,CONCATENATE($AK107,CE$4),'Basis Options'!$AF:$AF)</f>
        <v>0</v>
      </c>
      <c r="CF107" s="43"/>
      <c r="CG107" s="128">
        <f t="shared" si="50"/>
        <v>39845</v>
      </c>
      <c r="CH107" s="44">
        <f t="shared" si="40"/>
        <v>0</v>
      </c>
    </row>
    <row r="108" spans="1:86" x14ac:dyDescent="0.25">
      <c r="A108" s="128">
        <f t="shared" si="41"/>
        <v>39873</v>
      </c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128">
        <f t="shared" si="42"/>
        <v>39873</v>
      </c>
      <c r="P108" s="44">
        <f t="shared" si="28"/>
        <v>0</v>
      </c>
      <c r="S108" s="128">
        <f t="shared" si="43"/>
        <v>39873</v>
      </c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128">
        <f t="shared" si="44"/>
        <v>39873</v>
      </c>
      <c r="AH108" s="44">
        <f t="shared" si="31"/>
        <v>0</v>
      </c>
      <c r="AK108" s="128">
        <f t="shared" si="45"/>
        <v>39873</v>
      </c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128">
        <f t="shared" si="46"/>
        <v>39873</v>
      </c>
      <c r="AZ108" s="44">
        <f t="shared" si="34"/>
        <v>0</v>
      </c>
      <c r="BB108" s="128">
        <f t="shared" si="47"/>
        <v>39873</v>
      </c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128">
        <f t="shared" si="48"/>
        <v>39873</v>
      </c>
      <c r="BQ108" s="44">
        <f t="shared" si="37"/>
        <v>0</v>
      </c>
      <c r="BS108" s="128">
        <f t="shared" si="49"/>
        <v>39873</v>
      </c>
      <c r="BT108" s="43">
        <f>SUMIF('Basis Options'!$X:$X,CONCATENATE($AK108,BT$4),'Basis Options'!$AF:$AF)</f>
        <v>0</v>
      </c>
      <c r="BU108" s="43">
        <f>SUMIF('Basis Options'!$X:$X,CONCATENATE($AK108,BU$4),'Basis Options'!$AF:$AF)</f>
        <v>0</v>
      </c>
      <c r="BV108" s="43">
        <f>SUMIF('Basis Options'!$X:$X,CONCATENATE($AK108,BV$4),'Basis Options'!$AF:$AF)</f>
        <v>0</v>
      </c>
      <c r="BW108" s="43">
        <f>SUMIF('Basis Options'!$X:$X,CONCATENATE($AK108,BW$4),'Basis Options'!$AF:$AF)</f>
        <v>0</v>
      </c>
      <c r="BX108" s="43">
        <f>SUMIF('Basis Options'!$X:$X,CONCATENATE($AK108,BX$4),'Basis Options'!$AF:$AF)</f>
        <v>0</v>
      </c>
      <c r="BY108" s="43">
        <f>SUMIF('Basis Options'!$X:$X,CONCATENATE($AK108,BY$4),'Basis Options'!$AF:$AF)</f>
        <v>0</v>
      </c>
      <c r="BZ108" s="43">
        <f>SUMIF('Basis Options'!$X:$X,CONCATENATE($AK108,BZ$4),'Basis Options'!$AF:$AF)</f>
        <v>0</v>
      </c>
      <c r="CA108" s="43">
        <f>SUMIF('Basis Options'!$X:$X,CONCATENATE($AK108,CA$4),'Basis Options'!$AF:$AF)</f>
        <v>0</v>
      </c>
      <c r="CB108" s="43">
        <f>SUMIF('Basis Options'!$X:$X,CONCATENATE($AK108,CB$4),'Basis Options'!$AF:$AF)</f>
        <v>0</v>
      </c>
      <c r="CC108" s="43">
        <f>SUMIF('Basis Options'!$X:$X,CONCATENATE($AK108,CC$4),'Basis Options'!$AF:$AF)</f>
        <v>0</v>
      </c>
      <c r="CD108" s="43"/>
      <c r="CE108" s="43">
        <f>SUMIF('Basis Options'!$X:$X,CONCATENATE($AK108,CE$4),'Basis Options'!$AF:$AF)</f>
        <v>0</v>
      </c>
      <c r="CF108" s="43"/>
      <c r="CG108" s="128">
        <f t="shared" si="50"/>
        <v>39873</v>
      </c>
      <c r="CH108" s="44">
        <f t="shared" si="40"/>
        <v>0</v>
      </c>
    </row>
    <row r="109" spans="1:86" x14ac:dyDescent="0.25">
      <c r="A109" s="128">
        <f t="shared" si="41"/>
        <v>39904</v>
      </c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128">
        <f t="shared" si="42"/>
        <v>39904</v>
      </c>
      <c r="P109" s="44">
        <f t="shared" si="28"/>
        <v>0</v>
      </c>
      <c r="S109" s="128">
        <f t="shared" si="43"/>
        <v>39904</v>
      </c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128">
        <f t="shared" si="44"/>
        <v>39904</v>
      </c>
      <c r="AH109" s="44">
        <f t="shared" si="31"/>
        <v>0</v>
      </c>
      <c r="AK109" s="128">
        <f t="shared" si="45"/>
        <v>39904</v>
      </c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128">
        <f t="shared" si="46"/>
        <v>39904</v>
      </c>
      <c r="AZ109" s="44">
        <f t="shared" si="34"/>
        <v>0</v>
      </c>
      <c r="BB109" s="128">
        <f t="shared" si="47"/>
        <v>39904</v>
      </c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128">
        <f t="shared" si="48"/>
        <v>39904</v>
      </c>
      <c r="BQ109" s="44">
        <f t="shared" si="37"/>
        <v>0</v>
      </c>
      <c r="BS109" s="128">
        <f t="shared" si="49"/>
        <v>39904</v>
      </c>
      <c r="BT109" s="43">
        <f>SUMIF('Basis Options'!$X:$X,CONCATENATE($AK109,BT$4),'Basis Options'!$AF:$AF)</f>
        <v>0</v>
      </c>
      <c r="BU109" s="43">
        <f>SUMIF('Basis Options'!$X:$X,CONCATENATE($AK109,BU$4),'Basis Options'!$AF:$AF)</f>
        <v>0</v>
      </c>
      <c r="BV109" s="43">
        <f>SUMIF('Basis Options'!$X:$X,CONCATENATE($AK109,BV$4),'Basis Options'!$AF:$AF)</f>
        <v>0</v>
      </c>
      <c r="BW109" s="43">
        <f>SUMIF('Basis Options'!$X:$X,CONCATENATE($AK109,BW$4),'Basis Options'!$AF:$AF)</f>
        <v>0</v>
      </c>
      <c r="BX109" s="43">
        <f>SUMIF('Basis Options'!$X:$X,CONCATENATE($AK109,BX$4),'Basis Options'!$AF:$AF)</f>
        <v>0</v>
      </c>
      <c r="BY109" s="43">
        <f>SUMIF('Basis Options'!$X:$X,CONCATENATE($AK109,BY$4),'Basis Options'!$AF:$AF)</f>
        <v>0</v>
      </c>
      <c r="BZ109" s="43">
        <f>SUMIF('Basis Options'!$X:$X,CONCATENATE($AK109,BZ$4),'Basis Options'!$AF:$AF)</f>
        <v>0</v>
      </c>
      <c r="CA109" s="43">
        <f>SUMIF('Basis Options'!$X:$X,CONCATENATE($AK109,CA$4),'Basis Options'!$AF:$AF)</f>
        <v>0</v>
      </c>
      <c r="CB109" s="43">
        <f>SUMIF('Basis Options'!$X:$X,CONCATENATE($AK109,CB$4),'Basis Options'!$AF:$AF)</f>
        <v>0</v>
      </c>
      <c r="CC109" s="43">
        <f>SUMIF('Basis Options'!$X:$X,CONCATENATE($AK109,CC$4),'Basis Options'!$AF:$AF)</f>
        <v>0</v>
      </c>
      <c r="CD109" s="43"/>
      <c r="CE109" s="43">
        <f>SUMIF('Basis Options'!$X:$X,CONCATENATE($AK109,CE$4),'Basis Options'!$AF:$AF)</f>
        <v>0</v>
      </c>
      <c r="CF109" s="43"/>
      <c r="CG109" s="128">
        <f t="shared" si="50"/>
        <v>39904</v>
      </c>
      <c r="CH109" s="44">
        <f t="shared" si="40"/>
        <v>0</v>
      </c>
    </row>
    <row r="110" spans="1:86" x14ac:dyDescent="0.25">
      <c r="A110" s="128">
        <f t="shared" si="41"/>
        <v>39934</v>
      </c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128">
        <f t="shared" si="42"/>
        <v>39934</v>
      </c>
      <c r="P110" s="44">
        <f t="shared" si="28"/>
        <v>0</v>
      </c>
      <c r="S110" s="128">
        <f t="shared" si="43"/>
        <v>39934</v>
      </c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128">
        <f t="shared" si="44"/>
        <v>39934</v>
      </c>
      <c r="AH110" s="44">
        <f t="shared" si="31"/>
        <v>0</v>
      </c>
      <c r="AK110" s="128">
        <f t="shared" si="45"/>
        <v>39934</v>
      </c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128">
        <f t="shared" si="46"/>
        <v>39934</v>
      </c>
      <c r="AZ110" s="44">
        <f t="shared" si="34"/>
        <v>0</v>
      </c>
      <c r="BB110" s="128">
        <f t="shared" si="47"/>
        <v>39934</v>
      </c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128">
        <f t="shared" si="48"/>
        <v>39934</v>
      </c>
      <c r="BQ110" s="44">
        <f t="shared" si="37"/>
        <v>0</v>
      </c>
      <c r="BS110" s="128">
        <f t="shared" si="49"/>
        <v>39934</v>
      </c>
      <c r="BT110" s="43">
        <f>SUMIF('Basis Options'!$X:$X,CONCATENATE($AK110,BT$4),'Basis Options'!$AF:$AF)</f>
        <v>0</v>
      </c>
      <c r="BU110" s="43">
        <f>SUMIF('Basis Options'!$X:$X,CONCATENATE($AK110,BU$4),'Basis Options'!$AF:$AF)</f>
        <v>0</v>
      </c>
      <c r="BV110" s="43">
        <f>SUMIF('Basis Options'!$X:$X,CONCATENATE($AK110,BV$4),'Basis Options'!$AF:$AF)</f>
        <v>0</v>
      </c>
      <c r="BW110" s="43">
        <f>SUMIF('Basis Options'!$X:$X,CONCATENATE($AK110,BW$4),'Basis Options'!$AF:$AF)</f>
        <v>0</v>
      </c>
      <c r="BX110" s="43">
        <f>SUMIF('Basis Options'!$X:$X,CONCATENATE($AK110,BX$4),'Basis Options'!$AF:$AF)</f>
        <v>0</v>
      </c>
      <c r="BY110" s="43">
        <f>SUMIF('Basis Options'!$X:$X,CONCATENATE($AK110,BY$4),'Basis Options'!$AF:$AF)</f>
        <v>0</v>
      </c>
      <c r="BZ110" s="43">
        <f>SUMIF('Basis Options'!$X:$X,CONCATENATE($AK110,BZ$4),'Basis Options'!$AF:$AF)</f>
        <v>0</v>
      </c>
      <c r="CA110" s="43">
        <f>SUMIF('Basis Options'!$X:$X,CONCATENATE($AK110,CA$4),'Basis Options'!$AF:$AF)</f>
        <v>0</v>
      </c>
      <c r="CB110" s="43">
        <f>SUMIF('Basis Options'!$X:$X,CONCATENATE($AK110,CB$4),'Basis Options'!$AF:$AF)</f>
        <v>0</v>
      </c>
      <c r="CC110" s="43">
        <f>SUMIF('Basis Options'!$X:$X,CONCATENATE($AK110,CC$4),'Basis Options'!$AF:$AF)</f>
        <v>0</v>
      </c>
      <c r="CD110" s="43"/>
      <c r="CE110" s="43">
        <f>SUMIF('Basis Options'!$X:$X,CONCATENATE($AK110,CE$4),'Basis Options'!$AF:$AF)</f>
        <v>0</v>
      </c>
      <c r="CF110" s="43"/>
      <c r="CG110" s="128">
        <f t="shared" si="50"/>
        <v>39934</v>
      </c>
      <c r="CH110" s="44">
        <f t="shared" si="40"/>
        <v>0</v>
      </c>
    </row>
    <row r="111" spans="1:86" x14ac:dyDescent="0.25">
      <c r="A111" s="128">
        <f t="shared" si="41"/>
        <v>39965</v>
      </c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128">
        <f t="shared" si="42"/>
        <v>39965</v>
      </c>
      <c r="P111" s="44">
        <f t="shared" si="28"/>
        <v>0</v>
      </c>
      <c r="S111" s="128">
        <f t="shared" si="43"/>
        <v>39965</v>
      </c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128">
        <f t="shared" si="44"/>
        <v>39965</v>
      </c>
      <c r="AH111" s="44">
        <f t="shared" si="31"/>
        <v>0</v>
      </c>
      <c r="AK111" s="128">
        <f t="shared" si="45"/>
        <v>39965</v>
      </c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128">
        <f t="shared" si="46"/>
        <v>39965</v>
      </c>
      <c r="AZ111" s="44">
        <f t="shared" si="34"/>
        <v>0</v>
      </c>
      <c r="BB111" s="128">
        <f t="shared" si="47"/>
        <v>39965</v>
      </c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128">
        <f t="shared" si="48"/>
        <v>39965</v>
      </c>
      <c r="BQ111" s="44">
        <f t="shared" si="37"/>
        <v>0</v>
      </c>
      <c r="BS111" s="128">
        <f t="shared" si="49"/>
        <v>39965</v>
      </c>
      <c r="BT111" s="43">
        <f>SUMIF('Basis Options'!$X:$X,CONCATENATE($AK111,BT$4),'Basis Options'!$AF:$AF)</f>
        <v>0</v>
      </c>
      <c r="BU111" s="43">
        <f>SUMIF('Basis Options'!$X:$X,CONCATENATE($AK111,BU$4),'Basis Options'!$AF:$AF)</f>
        <v>0</v>
      </c>
      <c r="BV111" s="43">
        <f>SUMIF('Basis Options'!$X:$X,CONCATENATE($AK111,BV$4),'Basis Options'!$AF:$AF)</f>
        <v>0</v>
      </c>
      <c r="BW111" s="43">
        <f>SUMIF('Basis Options'!$X:$X,CONCATENATE($AK111,BW$4),'Basis Options'!$AF:$AF)</f>
        <v>0</v>
      </c>
      <c r="BX111" s="43">
        <f>SUMIF('Basis Options'!$X:$X,CONCATENATE($AK111,BX$4),'Basis Options'!$AF:$AF)</f>
        <v>0</v>
      </c>
      <c r="BY111" s="43">
        <f>SUMIF('Basis Options'!$X:$X,CONCATENATE($AK111,BY$4),'Basis Options'!$AF:$AF)</f>
        <v>0</v>
      </c>
      <c r="BZ111" s="43">
        <f>SUMIF('Basis Options'!$X:$X,CONCATENATE($AK111,BZ$4),'Basis Options'!$AF:$AF)</f>
        <v>0</v>
      </c>
      <c r="CA111" s="43">
        <f>SUMIF('Basis Options'!$X:$X,CONCATENATE($AK111,CA$4),'Basis Options'!$AF:$AF)</f>
        <v>0</v>
      </c>
      <c r="CB111" s="43">
        <f>SUMIF('Basis Options'!$X:$X,CONCATENATE($AK111,CB$4),'Basis Options'!$AF:$AF)</f>
        <v>0</v>
      </c>
      <c r="CC111" s="43">
        <f>SUMIF('Basis Options'!$X:$X,CONCATENATE($AK111,CC$4),'Basis Options'!$AF:$AF)</f>
        <v>0</v>
      </c>
      <c r="CD111" s="43"/>
      <c r="CE111" s="43">
        <f>SUMIF('Basis Options'!$X:$X,CONCATENATE($AK111,CE$4),'Basis Options'!$AF:$AF)</f>
        <v>0</v>
      </c>
      <c r="CF111" s="43"/>
      <c r="CG111" s="128">
        <f t="shared" si="50"/>
        <v>39965</v>
      </c>
      <c r="CH111" s="44">
        <f t="shared" si="40"/>
        <v>0</v>
      </c>
    </row>
    <row r="112" spans="1:86" x14ac:dyDescent="0.25">
      <c r="A112" s="128">
        <f t="shared" si="41"/>
        <v>39995</v>
      </c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128">
        <f t="shared" si="42"/>
        <v>39995</v>
      </c>
      <c r="P112" s="44">
        <f t="shared" si="28"/>
        <v>0</v>
      </c>
      <c r="S112" s="128">
        <f t="shared" si="43"/>
        <v>39995</v>
      </c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128">
        <f t="shared" si="44"/>
        <v>39995</v>
      </c>
      <c r="AH112" s="44">
        <f t="shared" si="31"/>
        <v>0</v>
      </c>
      <c r="AK112" s="128">
        <f t="shared" si="45"/>
        <v>39995</v>
      </c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128">
        <f t="shared" si="46"/>
        <v>39995</v>
      </c>
      <c r="AZ112" s="44">
        <f t="shared" si="34"/>
        <v>0</v>
      </c>
      <c r="BB112" s="128">
        <f t="shared" si="47"/>
        <v>39995</v>
      </c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128">
        <f t="shared" si="48"/>
        <v>39995</v>
      </c>
      <c r="BQ112" s="44">
        <f t="shared" si="37"/>
        <v>0</v>
      </c>
      <c r="BS112" s="128">
        <f t="shared" si="49"/>
        <v>39995</v>
      </c>
      <c r="BT112" s="43">
        <f>SUMIF('Basis Options'!$X:$X,CONCATENATE($AK112,BT$4),'Basis Options'!$AF:$AF)</f>
        <v>0</v>
      </c>
      <c r="BU112" s="43">
        <f>SUMIF('Basis Options'!$X:$X,CONCATENATE($AK112,BU$4),'Basis Options'!$AF:$AF)</f>
        <v>0</v>
      </c>
      <c r="BV112" s="43">
        <f>SUMIF('Basis Options'!$X:$X,CONCATENATE($AK112,BV$4),'Basis Options'!$AF:$AF)</f>
        <v>0</v>
      </c>
      <c r="BW112" s="43">
        <f>SUMIF('Basis Options'!$X:$X,CONCATENATE($AK112,BW$4),'Basis Options'!$AF:$AF)</f>
        <v>0</v>
      </c>
      <c r="BX112" s="43">
        <f>SUMIF('Basis Options'!$X:$X,CONCATENATE($AK112,BX$4),'Basis Options'!$AF:$AF)</f>
        <v>0</v>
      </c>
      <c r="BY112" s="43">
        <f>SUMIF('Basis Options'!$X:$X,CONCATENATE($AK112,BY$4),'Basis Options'!$AF:$AF)</f>
        <v>0</v>
      </c>
      <c r="BZ112" s="43">
        <f>SUMIF('Basis Options'!$X:$X,CONCATENATE($AK112,BZ$4),'Basis Options'!$AF:$AF)</f>
        <v>0</v>
      </c>
      <c r="CA112" s="43">
        <f>SUMIF('Basis Options'!$X:$X,CONCATENATE($AK112,CA$4),'Basis Options'!$AF:$AF)</f>
        <v>0</v>
      </c>
      <c r="CB112" s="43">
        <f>SUMIF('Basis Options'!$X:$X,CONCATENATE($AK112,CB$4),'Basis Options'!$AF:$AF)</f>
        <v>0</v>
      </c>
      <c r="CC112" s="43">
        <f>SUMIF('Basis Options'!$X:$X,CONCATENATE($AK112,CC$4),'Basis Options'!$AF:$AF)</f>
        <v>0</v>
      </c>
      <c r="CD112" s="43"/>
      <c r="CE112" s="43">
        <f>SUMIF('Basis Options'!$X:$X,CONCATENATE($AK112,CE$4),'Basis Options'!$AF:$AF)</f>
        <v>0</v>
      </c>
      <c r="CF112" s="43"/>
      <c r="CG112" s="128">
        <f t="shared" si="50"/>
        <v>39995</v>
      </c>
      <c r="CH112" s="44">
        <f t="shared" si="40"/>
        <v>0</v>
      </c>
    </row>
    <row r="113" spans="1:86" x14ac:dyDescent="0.25">
      <c r="A113" s="128">
        <f t="shared" si="41"/>
        <v>40026</v>
      </c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128">
        <f t="shared" si="42"/>
        <v>40026</v>
      </c>
      <c r="P113" s="44">
        <f t="shared" si="28"/>
        <v>0</v>
      </c>
      <c r="S113" s="128">
        <f t="shared" si="43"/>
        <v>40026</v>
      </c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128">
        <f t="shared" si="44"/>
        <v>40026</v>
      </c>
      <c r="AH113" s="44">
        <f t="shared" si="31"/>
        <v>0</v>
      </c>
      <c r="AK113" s="128">
        <f t="shared" si="45"/>
        <v>40026</v>
      </c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128">
        <f t="shared" si="46"/>
        <v>40026</v>
      </c>
      <c r="AZ113" s="44">
        <f t="shared" si="34"/>
        <v>0</v>
      </c>
      <c r="BB113" s="128">
        <f t="shared" si="47"/>
        <v>40026</v>
      </c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128">
        <f t="shared" si="48"/>
        <v>40026</v>
      </c>
      <c r="BQ113" s="44">
        <f t="shared" si="37"/>
        <v>0</v>
      </c>
      <c r="BS113" s="128">
        <f t="shared" si="49"/>
        <v>40026</v>
      </c>
      <c r="BT113" s="43">
        <f>SUMIF('Basis Options'!$X:$X,CONCATENATE($AK113,BT$4),'Basis Options'!$AF:$AF)</f>
        <v>0</v>
      </c>
      <c r="BU113" s="43">
        <f>SUMIF('Basis Options'!$X:$X,CONCATENATE($AK113,BU$4),'Basis Options'!$AF:$AF)</f>
        <v>0</v>
      </c>
      <c r="BV113" s="43">
        <f>SUMIF('Basis Options'!$X:$X,CONCATENATE($AK113,BV$4),'Basis Options'!$AF:$AF)</f>
        <v>0</v>
      </c>
      <c r="BW113" s="43">
        <f>SUMIF('Basis Options'!$X:$X,CONCATENATE($AK113,BW$4),'Basis Options'!$AF:$AF)</f>
        <v>0</v>
      </c>
      <c r="BX113" s="43">
        <f>SUMIF('Basis Options'!$X:$X,CONCATENATE($AK113,BX$4),'Basis Options'!$AF:$AF)</f>
        <v>0</v>
      </c>
      <c r="BY113" s="43">
        <f>SUMIF('Basis Options'!$X:$X,CONCATENATE($AK113,BY$4),'Basis Options'!$AF:$AF)</f>
        <v>0</v>
      </c>
      <c r="BZ113" s="43">
        <f>SUMIF('Basis Options'!$X:$X,CONCATENATE($AK113,BZ$4),'Basis Options'!$AF:$AF)</f>
        <v>0</v>
      </c>
      <c r="CA113" s="43">
        <f>SUMIF('Basis Options'!$X:$X,CONCATENATE($AK113,CA$4),'Basis Options'!$AF:$AF)</f>
        <v>0</v>
      </c>
      <c r="CB113" s="43">
        <f>SUMIF('Basis Options'!$X:$X,CONCATENATE($AK113,CB$4),'Basis Options'!$AF:$AF)</f>
        <v>0</v>
      </c>
      <c r="CC113" s="43">
        <f>SUMIF('Basis Options'!$X:$X,CONCATENATE($AK113,CC$4),'Basis Options'!$AF:$AF)</f>
        <v>0</v>
      </c>
      <c r="CD113" s="43"/>
      <c r="CE113" s="43">
        <f>SUMIF('Basis Options'!$X:$X,CONCATENATE($AK113,CE$4),'Basis Options'!$AF:$AF)</f>
        <v>0</v>
      </c>
      <c r="CF113" s="43"/>
      <c r="CG113" s="128">
        <f t="shared" si="50"/>
        <v>40026</v>
      </c>
      <c r="CH113" s="44">
        <f t="shared" si="40"/>
        <v>0</v>
      </c>
    </row>
    <row r="114" spans="1:86" x14ac:dyDescent="0.25">
      <c r="A114" s="128">
        <f t="shared" si="41"/>
        <v>40057</v>
      </c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128">
        <f t="shared" si="42"/>
        <v>40057</v>
      </c>
      <c r="P114" s="44">
        <f t="shared" si="28"/>
        <v>0</v>
      </c>
      <c r="S114" s="128">
        <f t="shared" si="43"/>
        <v>40057</v>
      </c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128">
        <f t="shared" si="44"/>
        <v>40057</v>
      </c>
      <c r="AH114" s="44">
        <f t="shared" si="31"/>
        <v>0</v>
      </c>
      <c r="AK114" s="128">
        <f t="shared" si="45"/>
        <v>40057</v>
      </c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128">
        <f t="shared" si="46"/>
        <v>40057</v>
      </c>
      <c r="AZ114" s="44">
        <f t="shared" si="34"/>
        <v>0</v>
      </c>
      <c r="BB114" s="128">
        <f t="shared" si="47"/>
        <v>40057</v>
      </c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128">
        <f t="shared" si="48"/>
        <v>40057</v>
      </c>
      <c r="BQ114" s="44">
        <f t="shared" si="37"/>
        <v>0</v>
      </c>
      <c r="BS114" s="128">
        <f t="shared" si="49"/>
        <v>40057</v>
      </c>
      <c r="BT114" s="43">
        <f>SUMIF('Basis Options'!$X:$X,CONCATENATE($AK114,BT$4),'Basis Options'!$AF:$AF)</f>
        <v>0</v>
      </c>
      <c r="BU114" s="43">
        <f>SUMIF('Basis Options'!$X:$X,CONCATENATE($AK114,BU$4),'Basis Options'!$AF:$AF)</f>
        <v>0</v>
      </c>
      <c r="BV114" s="43">
        <f>SUMIF('Basis Options'!$X:$X,CONCATENATE($AK114,BV$4),'Basis Options'!$AF:$AF)</f>
        <v>0</v>
      </c>
      <c r="BW114" s="43">
        <f>SUMIF('Basis Options'!$X:$X,CONCATENATE($AK114,BW$4),'Basis Options'!$AF:$AF)</f>
        <v>0</v>
      </c>
      <c r="BX114" s="43">
        <f>SUMIF('Basis Options'!$X:$X,CONCATENATE($AK114,BX$4),'Basis Options'!$AF:$AF)</f>
        <v>0</v>
      </c>
      <c r="BY114" s="43">
        <f>SUMIF('Basis Options'!$X:$X,CONCATENATE($AK114,BY$4),'Basis Options'!$AF:$AF)</f>
        <v>0</v>
      </c>
      <c r="BZ114" s="43">
        <f>SUMIF('Basis Options'!$X:$X,CONCATENATE($AK114,BZ$4),'Basis Options'!$AF:$AF)</f>
        <v>0</v>
      </c>
      <c r="CA114" s="43">
        <f>SUMIF('Basis Options'!$X:$X,CONCATENATE($AK114,CA$4),'Basis Options'!$AF:$AF)</f>
        <v>0</v>
      </c>
      <c r="CB114" s="43">
        <f>SUMIF('Basis Options'!$X:$X,CONCATENATE($AK114,CB$4),'Basis Options'!$AF:$AF)</f>
        <v>0</v>
      </c>
      <c r="CC114" s="43">
        <f>SUMIF('Basis Options'!$X:$X,CONCATENATE($AK114,CC$4),'Basis Options'!$AF:$AF)</f>
        <v>0</v>
      </c>
      <c r="CD114" s="43"/>
      <c r="CE114" s="43">
        <f>SUMIF('Basis Options'!$X:$X,CONCATENATE($AK114,CE$4),'Basis Options'!$AF:$AF)</f>
        <v>0</v>
      </c>
      <c r="CF114" s="43"/>
      <c r="CG114" s="128">
        <f t="shared" si="50"/>
        <v>40057</v>
      </c>
      <c r="CH114" s="44">
        <f t="shared" si="40"/>
        <v>0</v>
      </c>
    </row>
    <row r="115" spans="1:86" x14ac:dyDescent="0.25">
      <c r="A115" s="128">
        <f t="shared" si="41"/>
        <v>40087</v>
      </c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128">
        <f t="shared" si="42"/>
        <v>40087</v>
      </c>
      <c r="P115" s="44">
        <f t="shared" si="28"/>
        <v>0</v>
      </c>
      <c r="S115" s="128">
        <f t="shared" si="43"/>
        <v>40087</v>
      </c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128">
        <f t="shared" si="44"/>
        <v>40087</v>
      </c>
      <c r="AH115" s="44">
        <f t="shared" si="31"/>
        <v>0</v>
      </c>
      <c r="AK115" s="128">
        <f t="shared" si="45"/>
        <v>40087</v>
      </c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128">
        <f t="shared" si="46"/>
        <v>40087</v>
      </c>
      <c r="AZ115" s="44">
        <f t="shared" si="34"/>
        <v>0</v>
      </c>
      <c r="BB115" s="128">
        <f t="shared" si="47"/>
        <v>40087</v>
      </c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128">
        <f t="shared" si="48"/>
        <v>40087</v>
      </c>
      <c r="BQ115" s="44">
        <f t="shared" si="37"/>
        <v>0</v>
      </c>
      <c r="BS115" s="128">
        <f t="shared" si="49"/>
        <v>40087</v>
      </c>
      <c r="BT115" s="43">
        <f>SUMIF('Basis Options'!$X:$X,CONCATENATE($AK115,BT$4),'Basis Options'!$AF:$AF)</f>
        <v>0</v>
      </c>
      <c r="BU115" s="43">
        <f>SUMIF('Basis Options'!$X:$X,CONCATENATE($AK115,BU$4),'Basis Options'!$AF:$AF)</f>
        <v>0</v>
      </c>
      <c r="BV115" s="43">
        <f>SUMIF('Basis Options'!$X:$X,CONCATENATE($AK115,BV$4),'Basis Options'!$AF:$AF)</f>
        <v>0</v>
      </c>
      <c r="BW115" s="43">
        <f>SUMIF('Basis Options'!$X:$X,CONCATENATE($AK115,BW$4),'Basis Options'!$AF:$AF)</f>
        <v>0</v>
      </c>
      <c r="BX115" s="43">
        <f>SUMIF('Basis Options'!$X:$X,CONCATENATE($AK115,BX$4),'Basis Options'!$AF:$AF)</f>
        <v>0</v>
      </c>
      <c r="BY115" s="43">
        <f>SUMIF('Basis Options'!$X:$X,CONCATENATE($AK115,BY$4),'Basis Options'!$AF:$AF)</f>
        <v>0</v>
      </c>
      <c r="BZ115" s="43">
        <f>SUMIF('Basis Options'!$X:$X,CONCATENATE($AK115,BZ$4),'Basis Options'!$AF:$AF)</f>
        <v>0</v>
      </c>
      <c r="CA115" s="43">
        <f>SUMIF('Basis Options'!$X:$X,CONCATENATE($AK115,CA$4),'Basis Options'!$AF:$AF)</f>
        <v>0</v>
      </c>
      <c r="CB115" s="43">
        <f>SUMIF('Basis Options'!$X:$X,CONCATENATE($AK115,CB$4),'Basis Options'!$AF:$AF)</f>
        <v>0</v>
      </c>
      <c r="CC115" s="43">
        <f>SUMIF('Basis Options'!$X:$X,CONCATENATE($AK115,CC$4),'Basis Options'!$AF:$AF)</f>
        <v>0</v>
      </c>
      <c r="CD115" s="43"/>
      <c r="CE115" s="43">
        <f>SUMIF('Basis Options'!$X:$X,CONCATENATE($AK115,CE$4),'Basis Options'!$AF:$AF)</f>
        <v>0</v>
      </c>
      <c r="CF115" s="43"/>
      <c r="CG115" s="128">
        <f t="shared" si="50"/>
        <v>40087</v>
      </c>
      <c r="CH115" s="44">
        <f t="shared" si="40"/>
        <v>0</v>
      </c>
    </row>
    <row r="116" spans="1:86" x14ac:dyDescent="0.25">
      <c r="A116" s="128">
        <f t="shared" si="41"/>
        <v>40118</v>
      </c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128">
        <f t="shared" si="42"/>
        <v>40118</v>
      </c>
      <c r="P116" s="44">
        <f t="shared" si="28"/>
        <v>0</v>
      </c>
      <c r="S116" s="128">
        <f t="shared" si="43"/>
        <v>40118</v>
      </c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128">
        <f t="shared" si="44"/>
        <v>40118</v>
      </c>
      <c r="AH116" s="44">
        <f t="shared" si="31"/>
        <v>0</v>
      </c>
      <c r="AK116" s="128">
        <f t="shared" si="45"/>
        <v>40118</v>
      </c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128">
        <f t="shared" si="46"/>
        <v>40118</v>
      </c>
      <c r="AZ116" s="44">
        <f t="shared" si="34"/>
        <v>0</v>
      </c>
      <c r="BB116" s="128">
        <f t="shared" si="47"/>
        <v>40118</v>
      </c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128">
        <f t="shared" si="48"/>
        <v>40118</v>
      </c>
      <c r="BQ116" s="44">
        <f t="shared" si="37"/>
        <v>0</v>
      </c>
      <c r="BS116" s="128">
        <f t="shared" si="49"/>
        <v>40118</v>
      </c>
      <c r="BT116" s="43">
        <f>SUMIF('Basis Options'!$X:$X,CONCATENATE($AK116,BT$4),'Basis Options'!$AF:$AF)</f>
        <v>0</v>
      </c>
      <c r="BU116" s="43">
        <f>SUMIF('Basis Options'!$X:$X,CONCATENATE($AK116,BU$4),'Basis Options'!$AF:$AF)</f>
        <v>0</v>
      </c>
      <c r="BV116" s="43">
        <f>SUMIF('Basis Options'!$X:$X,CONCATENATE($AK116,BV$4),'Basis Options'!$AF:$AF)</f>
        <v>0</v>
      </c>
      <c r="BW116" s="43">
        <f>SUMIF('Basis Options'!$X:$X,CONCATENATE($AK116,BW$4),'Basis Options'!$AF:$AF)</f>
        <v>0</v>
      </c>
      <c r="BX116" s="43">
        <f>SUMIF('Basis Options'!$X:$X,CONCATENATE($AK116,BX$4),'Basis Options'!$AF:$AF)</f>
        <v>0</v>
      </c>
      <c r="BY116" s="43">
        <f>SUMIF('Basis Options'!$X:$X,CONCATENATE($AK116,BY$4),'Basis Options'!$AF:$AF)</f>
        <v>0</v>
      </c>
      <c r="BZ116" s="43">
        <f>SUMIF('Basis Options'!$X:$X,CONCATENATE($AK116,BZ$4),'Basis Options'!$AF:$AF)</f>
        <v>0</v>
      </c>
      <c r="CA116" s="43">
        <f>SUMIF('Basis Options'!$X:$X,CONCATENATE($AK116,CA$4),'Basis Options'!$AF:$AF)</f>
        <v>0</v>
      </c>
      <c r="CB116" s="43">
        <f>SUMIF('Basis Options'!$X:$X,CONCATENATE($AK116,CB$4),'Basis Options'!$AF:$AF)</f>
        <v>0</v>
      </c>
      <c r="CC116" s="43">
        <f>SUMIF('Basis Options'!$X:$X,CONCATENATE($AK116,CC$4),'Basis Options'!$AF:$AF)</f>
        <v>0</v>
      </c>
      <c r="CD116" s="43"/>
      <c r="CE116" s="43">
        <f>SUMIF('Basis Options'!$X:$X,CONCATENATE($AK116,CE$4),'Basis Options'!$AF:$AF)</f>
        <v>0</v>
      </c>
      <c r="CF116" s="43"/>
      <c r="CG116" s="128">
        <f t="shared" si="50"/>
        <v>40118</v>
      </c>
      <c r="CH116" s="44">
        <f t="shared" si="40"/>
        <v>0</v>
      </c>
    </row>
    <row r="117" spans="1:86" x14ac:dyDescent="0.25">
      <c r="A117" s="128">
        <f t="shared" si="41"/>
        <v>40148</v>
      </c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128">
        <f t="shared" si="42"/>
        <v>40148</v>
      </c>
      <c r="P117" s="44">
        <f t="shared" si="28"/>
        <v>0</v>
      </c>
      <c r="S117" s="128">
        <f t="shared" si="43"/>
        <v>40148</v>
      </c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128">
        <f t="shared" si="44"/>
        <v>40148</v>
      </c>
      <c r="AH117" s="44">
        <f t="shared" si="31"/>
        <v>0</v>
      </c>
      <c r="AK117" s="128">
        <f t="shared" si="45"/>
        <v>40148</v>
      </c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128">
        <f t="shared" si="46"/>
        <v>40148</v>
      </c>
      <c r="AZ117" s="44">
        <f t="shared" si="34"/>
        <v>0</v>
      </c>
      <c r="BB117" s="128">
        <f t="shared" si="47"/>
        <v>40148</v>
      </c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128">
        <f t="shared" si="48"/>
        <v>40148</v>
      </c>
      <c r="BQ117" s="44">
        <f t="shared" si="37"/>
        <v>0</v>
      </c>
      <c r="BS117" s="128">
        <f t="shared" si="49"/>
        <v>40148</v>
      </c>
      <c r="BT117" s="43">
        <f>SUMIF('Basis Options'!$X:$X,CONCATENATE($AK117,BT$4),'Basis Options'!$AF:$AF)</f>
        <v>0</v>
      </c>
      <c r="BU117" s="43">
        <f>SUMIF('Basis Options'!$X:$X,CONCATENATE($AK117,BU$4),'Basis Options'!$AF:$AF)</f>
        <v>0</v>
      </c>
      <c r="BV117" s="43">
        <f>SUMIF('Basis Options'!$X:$X,CONCATENATE($AK117,BV$4),'Basis Options'!$AF:$AF)</f>
        <v>0</v>
      </c>
      <c r="BW117" s="43">
        <f>SUMIF('Basis Options'!$X:$X,CONCATENATE($AK117,BW$4),'Basis Options'!$AF:$AF)</f>
        <v>0</v>
      </c>
      <c r="BX117" s="43">
        <f>SUMIF('Basis Options'!$X:$X,CONCATENATE($AK117,BX$4),'Basis Options'!$AF:$AF)</f>
        <v>0</v>
      </c>
      <c r="BY117" s="43">
        <f>SUMIF('Basis Options'!$X:$X,CONCATENATE($AK117,BY$4),'Basis Options'!$AF:$AF)</f>
        <v>0</v>
      </c>
      <c r="BZ117" s="43">
        <f>SUMIF('Basis Options'!$X:$X,CONCATENATE($AK117,BZ$4),'Basis Options'!$AF:$AF)</f>
        <v>0</v>
      </c>
      <c r="CA117" s="43">
        <f>SUMIF('Basis Options'!$X:$X,CONCATENATE($AK117,CA$4),'Basis Options'!$AF:$AF)</f>
        <v>0</v>
      </c>
      <c r="CB117" s="43">
        <f>SUMIF('Basis Options'!$X:$X,CONCATENATE($AK117,CB$4),'Basis Options'!$AF:$AF)</f>
        <v>0</v>
      </c>
      <c r="CC117" s="43">
        <f>SUMIF('Basis Options'!$X:$X,CONCATENATE($AK117,CC$4),'Basis Options'!$AF:$AF)</f>
        <v>0</v>
      </c>
      <c r="CD117" s="43"/>
      <c r="CE117" s="43">
        <f>SUMIF('Basis Options'!$X:$X,CONCATENATE($AK117,CE$4),'Basis Options'!$AF:$AF)</f>
        <v>0</v>
      </c>
      <c r="CF117" s="43"/>
      <c r="CG117" s="128">
        <f t="shared" si="50"/>
        <v>40148</v>
      </c>
      <c r="CH117" s="44">
        <f t="shared" si="40"/>
        <v>0</v>
      </c>
    </row>
    <row r="118" spans="1:86" x14ac:dyDescent="0.25">
      <c r="A118" s="128">
        <f t="shared" si="41"/>
        <v>40179</v>
      </c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128">
        <f t="shared" si="42"/>
        <v>40179</v>
      </c>
      <c r="P118" s="44">
        <f t="shared" si="28"/>
        <v>0</v>
      </c>
      <c r="S118" s="128">
        <f t="shared" si="43"/>
        <v>40179</v>
      </c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128">
        <f t="shared" si="44"/>
        <v>40179</v>
      </c>
      <c r="AH118" s="44">
        <f t="shared" si="31"/>
        <v>0</v>
      </c>
      <c r="AK118" s="128">
        <f t="shared" si="45"/>
        <v>40179</v>
      </c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128">
        <f t="shared" si="46"/>
        <v>40179</v>
      </c>
      <c r="AZ118" s="44">
        <f t="shared" si="34"/>
        <v>0</v>
      </c>
      <c r="BB118" s="128">
        <f t="shared" si="47"/>
        <v>40179</v>
      </c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128">
        <f t="shared" si="48"/>
        <v>40179</v>
      </c>
      <c r="BQ118" s="44">
        <f t="shared" si="37"/>
        <v>0</v>
      </c>
      <c r="BS118" s="128">
        <f t="shared" si="49"/>
        <v>40179</v>
      </c>
      <c r="BT118" s="43">
        <f>SUMIF('Basis Options'!$X:$X,CONCATENATE($AK118,BT$4),'Basis Options'!$AF:$AF)</f>
        <v>0</v>
      </c>
      <c r="BU118" s="43">
        <f>SUMIF('Basis Options'!$X:$X,CONCATENATE($AK118,BU$4),'Basis Options'!$AF:$AF)</f>
        <v>0</v>
      </c>
      <c r="BV118" s="43">
        <f>SUMIF('Basis Options'!$X:$X,CONCATENATE($AK118,BV$4),'Basis Options'!$AF:$AF)</f>
        <v>0</v>
      </c>
      <c r="BW118" s="43">
        <f>SUMIF('Basis Options'!$X:$X,CONCATENATE($AK118,BW$4),'Basis Options'!$AF:$AF)</f>
        <v>0</v>
      </c>
      <c r="BX118" s="43">
        <f>SUMIF('Basis Options'!$X:$X,CONCATENATE($AK118,BX$4),'Basis Options'!$AF:$AF)</f>
        <v>0</v>
      </c>
      <c r="BY118" s="43">
        <f>SUMIF('Basis Options'!$X:$X,CONCATENATE($AK118,BY$4),'Basis Options'!$AF:$AF)</f>
        <v>0</v>
      </c>
      <c r="BZ118" s="43">
        <f>SUMIF('Basis Options'!$X:$X,CONCATENATE($AK118,BZ$4),'Basis Options'!$AF:$AF)</f>
        <v>0</v>
      </c>
      <c r="CA118" s="43">
        <f>SUMIF('Basis Options'!$X:$X,CONCATENATE($AK118,CA$4),'Basis Options'!$AF:$AF)</f>
        <v>0</v>
      </c>
      <c r="CB118" s="43">
        <f>SUMIF('Basis Options'!$X:$X,CONCATENATE($AK118,CB$4),'Basis Options'!$AF:$AF)</f>
        <v>0</v>
      </c>
      <c r="CC118" s="43">
        <f>SUMIF('Basis Options'!$X:$X,CONCATENATE($AK118,CC$4),'Basis Options'!$AF:$AF)</f>
        <v>0</v>
      </c>
      <c r="CD118" s="43"/>
      <c r="CE118" s="43">
        <f>SUMIF('Basis Options'!$X:$X,CONCATENATE($AK118,CE$4),'Basis Options'!$AF:$AF)</f>
        <v>0</v>
      </c>
      <c r="CF118" s="43"/>
      <c r="CG118" s="128">
        <f t="shared" si="50"/>
        <v>40179</v>
      </c>
      <c r="CH118" s="44">
        <f t="shared" si="40"/>
        <v>0</v>
      </c>
    </row>
    <row r="119" spans="1:86" x14ac:dyDescent="0.25">
      <c r="A119" s="128">
        <f t="shared" si="41"/>
        <v>40210</v>
      </c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128">
        <f t="shared" si="42"/>
        <v>40210</v>
      </c>
      <c r="P119" s="44">
        <f t="shared" si="28"/>
        <v>0</v>
      </c>
      <c r="S119" s="128">
        <f t="shared" si="43"/>
        <v>40210</v>
      </c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128">
        <f t="shared" si="44"/>
        <v>40210</v>
      </c>
      <c r="AH119" s="44">
        <f t="shared" si="31"/>
        <v>0</v>
      </c>
      <c r="AK119" s="128">
        <f t="shared" si="45"/>
        <v>40210</v>
      </c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128">
        <f t="shared" si="46"/>
        <v>40210</v>
      </c>
      <c r="AZ119" s="44">
        <f t="shared" si="34"/>
        <v>0</v>
      </c>
      <c r="BB119" s="128">
        <f t="shared" si="47"/>
        <v>40210</v>
      </c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128">
        <f t="shared" si="48"/>
        <v>40210</v>
      </c>
      <c r="BQ119" s="44">
        <f t="shared" si="37"/>
        <v>0</v>
      </c>
      <c r="BS119" s="128">
        <f t="shared" si="49"/>
        <v>40210</v>
      </c>
      <c r="BT119" s="43">
        <f>SUMIF('Basis Options'!$X:$X,CONCATENATE($AK119,BT$4),'Basis Options'!$AF:$AF)</f>
        <v>0</v>
      </c>
      <c r="BU119" s="43">
        <f>SUMIF('Basis Options'!$X:$X,CONCATENATE($AK119,BU$4),'Basis Options'!$AF:$AF)</f>
        <v>0</v>
      </c>
      <c r="BV119" s="43">
        <f>SUMIF('Basis Options'!$X:$X,CONCATENATE($AK119,BV$4),'Basis Options'!$AF:$AF)</f>
        <v>0</v>
      </c>
      <c r="BW119" s="43">
        <f>SUMIF('Basis Options'!$X:$X,CONCATENATE($AK119,BW$4),'Basis Options'!$AF:$AF)</f>
        <v>0</v>
      </c>
      <c r="BX119" s="43">
        <f>SUMIF('Basis Options'!$X:$X,CONCATENATE($AK119,BX$4),'Basis Options'!$AF:$AF)</f>
        <v>0</v>
      </c>
      <c r="BY119" s="43">
        <f>SUMIF('Basis Options'!$X:$X,CONCATENATE($AK119,BY$4),'Basis Options'!$AF:$AF)</f>
        <v>0</v>
      </c>
      <c r="BZ119" s="43">
        <f>SUMIF('Basis Options'!$X:$X,CONCATENATE($AK119,BZ$4),'Basis Options'!$AF:$AF)</f>
        <v>0</v>
      </c>
      <c r="CA119" s="43">
        <f>SUMIF('Basis Options'!$X:$X,CONCATENATE($AK119,CA$4),'Basis Options'!$AF:$AF)</f>
        <v>0</v>
      </c>
      <c r="CB119" s="43">
        <f>SUMIF('Basis Options'!$X:$X,CONCATENATE($AK119,CB$4),'Basis Options'!$AF:$AF)</f>
        <v>0</v>
      </c>
      <c r="CC119" s="43">
        <f>SUMIF('Basis Options'!$X:$X,CONCATENATE($AK119,CC$4),'Basis Options'!$AF:$AF)</f>
        <v>0</v>
      </c>
      <c r="CD119" s="43"/>
      <c r="CE119" s="43">
        <f>SUMIF('Basis Options'!$X:$X,CONCATENATE($AK119,CE$4),'Basis Options'!$AF:$AF)</f>
        <v>0</v>
      </c>
      <c r="CF119" s="43"/>
      <c r="CG119" s="128">
        <f t="shared" si="50"/>
        <v>40210</v>
      </c>
      <c r="CH119" s="44">
        <f t="shared" si="40"/>
        <v>0</v>
      </c>
    </row>
    <row r="120" spans="1:86" x14ac:dyDescent="0.25">
      <c r="A120" s="128">
        <f t="shared" si="41"/>
        <v>40238</v>
      </c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128">
        <f t="shared" si="42"/>
        <v>40238</v>
      </c>
      <c r="P120" s="44">
        <f t="shared" si="28"/>
        <v>0</v>
      </c>
      <c r="S120" s="128">
        <f t="shared" si="43"/>
        <v>40238</v>
      </c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128">
        <f t="shared" si="44"/>
        <v>40238</v>
      </c>
      <c r="AH120" s="44">
        <f t="shared" si="31"/>
        <v>0</v>
      </c>
      <c r="AK120" s="128">
        <f t="shared" si="45"/>
        <v>40238</v>
      </c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128">
        <f t="shared" si="46"/>
        <v>40238</v>
      </c>
      <c r="AZ120" s="44">
        <f t="shared" si="34"/>
        <v>0</v>
      </c>
      <c r="BB120" s="128">
        <f t="shared" si="47"/>
        <v>40238</v>
      </c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128">
        <f t="shared" si="48"/>
        <v>40238</v>
      </c>
      <c r="BQ120" s="44">
        <f t="shared" si="37"/>
        <v>0</v>
      </c>
      <c r="BS120" s="128">
        <f t="shared" si="49"/>
        <v>40238</v>
      </c>
      <c r="BT120" s="43">
        <f>SUMIF('Basis Options'!$X:$X,CONCATENATE($AK120,BT$4),'Basis Options'!$AF:$AF)</f>
        <v>0</v>
      </c>
      <c r="BU120" s="43">
        <f>SUMIF('Basis Options'!$X:$X,CONCATENATE($AK120,BU$4),'Basis Options'!$AF:$AF)</f>
        <v>0</v>
      </c>
      <c r="BV120" s="43">
        <f>SUMIF('Basis Options'!$X:$X,CONCATENATE($AK120,BV$4),'Basis Options'!$AF:$AF)</f>
        <v>0</v>
      </c>
      <c r="BW120" s="43">
        <f>SUMIF('Basis Options'!$X:$X,CONCATENATE($AK120,BW$4),'Basis Options'!$AF:$AF)</f>
        <v>0</v>
      </c>
      <c r="BX120" s="43">
        <f>SUMIF('Basis Options'!$X:$X,CONCATENATE($AK120,BX$4),'Basis Options'!$AF:$AF)</f>
        <v>0</v>
      </c>
      <c r="BY120" s="43">
        <f>SUMIF('Basis Options'!$X:$X,CONCATENATE($AK120,BY$4),'Basis Options'!$AF:$AF)</f>
        <v>0</v>
      </c>
      <c r="BZ120" s="43">
        <f>SUMIF('Basis Options'!$X:$X,CONCATENATE($AK120,BZ$4),'Basis Options'!$AF:$AF)</f>
        <v>0</v>
      </c>
      <c r="CA120" s="43">
        <f>SUMIF('Basis Options'!$X:$X,CONCATENATE($AK120,CA$4),'Basis Options'!$AF:$AF)</f>
        <v>0</v>
      </c>
      <c r="CB120" s="43">
        <f>SUMIF('Basis Options'!$X:$X,CONCATENATE($AK120,CB$4),'Basis Options'!$AF:$AF)</f>
        <v>0</v>
      </c>
      <c r="CC120" s="43">
        <f>SUMIF('Basis Options'!$X:$X,CONCATENATE($AK120,CC$4),'Basis Options'!$AF:$AF)</f>
        <v>0</v>
      </c>
      <c r="CD120" s="43"/>
      <c r="CE120" s="43">
        <f>SUMIF('Basis Options'!$X:$X,CONCATENATE($AK120,CE$4),'Basis Options'!$AF:$AF)</f>
        <v>0</v>
      </c>
      <c r="CF120" s="43"/>
      <c r="CG120" s="128">
        <f t="shared" si="50"/>
        <v>40238</v>
      </c>
      <c r="CH120" s="44">
        <f t="shared" si="40"/>
        <v>0</v>
      </c>
    </row>
    <row r="121" spans="1:86" x14ac:dyDescent="0.25">
      <c r="A121" s="128">
        <f t="shared" si="41"/>
        <v>40269</v>
      </c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128">
        <f t="shared" si="42"/>
        <v>40269</v>
      </c>
      <c r="P121" s="44">
        <f t="shared" si="28"/>
        <v>0</v>
      </c>
      <c r="S121" s="128">
        <f t="shared" si="43"/>
        <v>40269</v>
      </c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128">
        <f t="shared" si="44"/>
        <v>40269</v>
      </c>
      <c r="AH121" s="44">
        <f t="shared" si="31"/>
        <v>0</v>
      </c>
      <c r="AK121" s="128">
        <f t="shared" si="45"/>
        <v>40269</v>
      </c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128">
        <f t="shared" si="46"/>
        <v>40269</v>
      </c>
      <c r="AZ121" s="44">
        <f t="shared" si="34"/>
        <v>0</v>
      </c>
      <c r="BB121" s="128">
        <f t="shared" si="47"/>
        <v>40269</v>
      </c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128">
        <f t="shared" si="48"/>
        <v>40269</v>
      </c>
      <c r="BQ121" s="44">
        <f t="shared" si="37"/>
        <v>0</v>
      </c>
      <c r="BS121" s="128">
        <f t="shared" si="49"/>
        <v>40269</v>
      </c>
      <c r="BT121" s="43">
        <f>SUMIF('Basis Options'!$X:$X,CONCATENATE($AK121,BT$4),'Basis Options'!$AF:$AF)</f>
        <v>0</v>
      </c>
      <c r="BU121" s="43">
        <f>SUMIF('Basis Options'!$X:$X,CONCATENATE($AK121,BU$4),'Basis Options'!$AF:$AF)</f>
        <v>0</v>
      </c>
      <c r="BV121" s="43">
        <f>SUMIF('Basis Options'!$X:$X,CONCATENATE($AK121,BV$4),'Basis Options'!$AF:$AF)</f>
        <v>0</v>
      </c>
      <c r="BW121" s="43">
        <f>SUMIF('Basis Options'!$X:$X,CONCATENATE($AK121,BW$4),'Basis Options'!$AF:$AF)</f>
        <v>0</v>
      </c>
      <c r="BX121" s="43">
        <f>SUMIF('Basis Options'!$X:$X,CONCATENATE($AK121,BX$4),'Basis Options'!$AF:$AF)</f>
        <v>0</v>
      </c>
      <c r="BY121" s="43">
        <f>SUMIF('Basis Options'!$X:$X,CONCATENATE($AK121,BY$4),'Basis Options'!$AF:$AF)</f>
        <v>0</v>
      </c>
      <c r="BZ121" s="43">
        <f>SUMIF('Basis Options'!$X:$X,CONCATENATE($AK121,BZ$4),'Basis Options'!$AF:$AF)</f>
        <v>0</v>
      </c>
      <c r="CA121" s="43">
        <f>SUMIF('Basis Options'!$X:$X,CONCATENATE($AK121,CA$4),'Basis Options'!$AF:$AF)</f>
        <v>0</v>
      </c>
      <c r="CB121" s="43">
        <f>SUMIF('Basis Options'!$X:$X,CONCATENATE($AK121,CB$4),'Basis Options'!$AF:$AF)</f>
        <v>0</v>
      </c>
      <c r="CC121" s="43">
        <f>SUMIF('Basis Options'!$X:$X,CONCATENATE($AK121,CC$4),'Basis Options'!$AF:$AF)</f>
        <v>0</v>
      </c>
      <c r="CD121" s="43"/>
      <c r="CE121" s="43">
        <f>SUMIF('Basis Options'!$X:$X,CONCATENATE($AK121,CE$4),'Basis Options'!$AF:$AF)</f>
        <v>0</v>
      </c>
      <c r="CF121" s="43"/>
      <c r="CG121" s="128">
        <f t="shared" si="50"/>
        <v>40269</v>
      </c>
      <c r="CH121" s="44">
        <f t="shared" si="40"/>
        <v>0</v>
      </c>
    </row>
    <row r="122" spans="1:86" x14ac:dyDescent="0.25">
      <c r="A122" s="128">
        <f t="shared" si="41"/>
        <v>40299</v>
      </c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128">
        <f t="shared" si="42"/>
        <v>40299</v>
      </c>
      <c r="P122" s="44">
        <f t="shared" si="28"/>
        <v>0</v>
      </c>
      <c r="S122" s="128">
        <f t="shared" si="43"/>
        <v>40299</v>
      </c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128">
        <f t="shared" si="44"/>
        <v>40299</v>
      </c>
      <c r="AH122" s="44">
        <f t="shared" si="31"/>
        <v>0</v>
      </c>
      <c r="AK122" s="128">
        <f t="shared" si="45"/>
        <v>40299</v>
      </c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128">
        <f t="shared" si="46"/>
        <v>40299</v>
      </c>
      <c r="AZ122" s="44">
        <f t="shared" si="34"/>
        <v>0</v>
      </c>
      <c r="BB122" s="128">
        <f t="shared" si="47"/>
        <v>40299</v>
      </c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128">
        <f t="shared" si="48"/>
        <v>40299</v>
      </c>
      <c r="BQ122" s="44">
        <f t="shared" si="37"/>
        <v>0</v>
      </c>
      <c r="BS122" s="128">
        <f t="shared" si="49"/>
        <v>40299</v>
      </c>
      <c r="BT122" s="43">
        <f>SUMIF('Basis Options'!$X:$X,CONCATENATE($AK122,BT$4),'Basis Options'!$AF:$AF)</f>
        <v>0</v>
      </c>
      <c r="BU122" s="43">
        <f>SUMIF('Basis Options'!$X:$X,CONCATENATE($AK122,BU$4),'Basis Options'!$AF:$AF)</f>
        <v>0</v>
      </c>
      <c r="BV122" s="43">
        <f>SUMIF('Basis Options'!$X:$X,CONCATENATE($AK122,BV$4),'Basis Options'!$AF:$AF)</f>
        <v>0</v>
      </c>
      <c r="BW122" s="43">
        <f>SUMIF('Basis Options'!$X:$X,CONCATENATE($AK122,BW$4),'Basis Options'!$AF:$AF)</f>
        <v>0</v>
      </c>
      <c r="BX122" s="43">
        <f>SUMIF('Basis Options'!$X:$X,CONCATENATE($AK122,BX$4),'Basis Options'!$AF:$AF)</f>
        <v>0</v>
      </c>
      <c r="BY122" s="43">
        <f>SUMIF('Basis Options'!$X:$X,CONCATENATE($AK122,BY$4),'Basis Options'!$AF:$AF)</f>
        <v>0</v>
      </c>
      <c r="BZ122" s="43">
        <f>SUMIF('Basis Options'!$X:$X,CONCATENATE($AK122,BZ$4),'Basis Options'!$AF:$AF)</f>
        <v>0</v>
      </c>
      <c r="CA122" s="43">
        <f>SUMIF('Basis Options'!$X:$X,CONCATENATE($AK122,CA$4),'Basis Options'!$AF:$AF)</f>
        <v>0</v>
      </c>
      <c r="CB122" s="43">
        <f>SUMIF('Basis Options'!$X:$X,CONCATENATE($AK122,CB$4),'Basis Options'!$AF:$AF)</f>
        <v>0</v>
      </c>
      <c r="CC122" s="43">
        <f>SUMIF('Basis Options'!$X:$X,CONCATENATE($AK122,CC$4),'Basis Options'!$AF:$AF)</f>
        <v>0</v>
      </c>
      <c r="CD122" s="43"/>
      <c r="CE122" s="43">
        <f>SUMIF('Basis Options'!$X:$X,CONCATENATE($AK122,CE$4),'Basis Options'!$AF:$AF)</f>
        <v>0</v>
      </c>
      <c r="CF122" s="43"/>
      <c r="CG122" s="128">
        <f t="shared" si="50"/>
        <v>40299</v>
      </c>
      <c r="CH122" s="44">
        <f t="shared" si="40"/>
        <v>0</v>
      </c>
    </row>
    <row r="123" spans="1:86" x14ac:dyDescent="0.25">
      <c r="A123" s="128">
        <f t="shared" si="41"/>
        <v>40330</v>
      </c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128">
        <f t="shared" si="42"/>
        <v>40330</v>
      </c>
      <c r="P123" s="44">
        <f t="shared" si="28"/>
        <v>0</v>
      </c>
      <c r="S123" s="128">
        <f t="shared" si="43"/>
        <v>40330</v>
      </c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128">
        <f t="shared" si="44"/>
        <v>40330</v>
      </c>
      <c r="AH123" s="44">
        <f t="shared" si="31"/>
        <v>0</v>
      </c>
      <c r="AK123" s="128">
        <f t="shared" si="45"/>
        <v>40330</v>
      </c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128">
        <f t="shared" si="46"/>
        <v>40330</v>
      </c>
      <c r="AZ123" s="44">
        <f t="shared" si="34"/>
        <v>0</v>
      </c>
      <c r="BB123" s="128">
        <f t="shared" si="47"/>
        <v>40330</v>
      </c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128">
        <f t="shared" si="48"/>
        <v>40330</v>
      </c>
      <c r="BQ123" s="44">
        <f t="shared" si="37"/>
        <v>0</v>
      </c>
      <c r="BS123" s="128">
        <f t="shared" si="49"/>
        <v>40330</v>
      </c>
      <c r="BT123" s="43">
        <f>SUMIF('Basis Options'!$X:$X,CONCATENATE($AK123,BT$4),'Basis Options'!$AF:$AF)</f>
        <v>0</v>
      </c>
      <c r="BU123" s="43">
        <f>SUMIF('Basis Options'!$X:$X,CONCATENATE($AK123,BU$4),'Basis Options'!$AF:$AF)</f>
        <v>0</v>
      </c>
      <c r="BV123" s="43">
        <f>SUMIF('Basis Options'!$X:$X,CONCATENATE($AK123,BV$4),'Basis Options'!$AF:$AF)</f>
        <v>0</v>
      </c>
      <c r="BW123" s="43">
        <f>SUMIF('Basis Options'!$X:$X,CONCATENATE($AK123,BW$4),'Basis Options'!$AF:$AF)</f>
        <v>0</v>
      </c>
      <c r="BX123" s="43">
        <f>SUMIF('Basis Options'!$X:$X,CONCATENATE($AK123,BX$4),'Basis Options'!$AF:$AF)</f>
        <v>0</v>
      </c>
      <c r="BY123" s="43">
        <f>SUMIF('Basis Options'!$X:$X,CONCATENATE($AK123,BY$4),'Basis Options'!$AF:$AF)</f>
        <v>0</v>
      </c>
      <c r="BZ123" s="43">
        <f>SUMIF('Basis Options'!$X:$X,CONCATENATE($AK123,BZ$4),'Basis Options'!$AF:$AF)</f>
        <v>0</v>
      </c>
      <c r="CA123" s="43">
        <f>SUMIF('Basis Options'!$X:$X,CONCATENATE($AK123,CA$4),'Basis Options'!$AF:$AF)</f>
        <v>0</v>
      </c>
      <c r="CB123" s="43">
        <f>SUMIF('Basis Options'!$X:$X,CONCATENATE($AK123,CB$4),'Basis Options'!$AF:$AF)</f>
        <v>0</v>
      </c>
      <c r="CC123" s="43">
        <f>SUMIF('Basis Options'!$X:$X,CONCATENATE($AK123,CC$4),'Basis Options'!$AF:$AF)</f>
        <v>0</v>
      </c>
      <c r="CD123" s="43"/>
      <c r="CE123" s="43">
        <f>SUMIF('Basis Options'!$X:$X,CONCATENATE($AK123,CE$4),'Basis Options'!$AF:$AF)</f>
        <v>0</v>
      </c>
      <c r="CF123" s="43"/>
      <c r="CG123" s="128">
        <f t="shared" si="50"/>
        <v>40330</v>
      </c>
      <c r="CH123" s="44">
        <f t="shared" si="40"/>
        <v>0</v>
      </c>
    </row>
    <row r="124" spans="1:86" x14ac:dyDescent="0.25">
      <c r="A124" s="128">
        <f t="shared" si="41"/>
        <v>40360</v>
      </c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128">
        <f t="shared" si="42"/>
        <v>40360</v>
      </c>
      <c r="P124" s="44">
        <f t="shared" si="28"/>
        <v>0</v>
      </c>
      <c r="S124" s="128">
        <f t="shared" si="43"/>
        <v>40360</v>
      </c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128">
        <f t="shared" si="44"/>
        <v>40360</v>
      </c>
      <c r="AH124" s="44">
        <f t="shared" si="31"/>
        <v>0</v>
      </c>
      <c r="AK124" s="128">
        <f t="shared" si="45"/>
        <v>40360</v>
      </c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128">
        <f t="shared" si="46"/>
        <v>40360</v>
      </c>
      <c r="AZ124" s="44">
        <f t="shared" si="34"/>
        <v>0</v>
      </c>
      <c r="BB124" s="128">
        <f t="shared" si="47"/>
        <v>40360</v>
      </c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128">
        <f t="shared" si="48"/>
        <v>40360</v>
      </c>
      <c r="BQ124" s="44">
        <f t="shared" si="37"/>
        <v>0</v>
      </c>
      <c r="BS124" s="128">
        <f t="shared" si="49"/>
        <v>40360</v>
      </c>
      <c r="BT124" s="43">
        <f>SUMIF('Basis Options'!$X:$X,CONCATENATE($AK124,BT$4),'Basis Options'!$AF:$AF)</f>
        <v>0</v>
      </c>
      <c r="BU124" s="43">
        <f>SUMIF('Basis Options'!$X:$X,CONCATENATE($AK124,BU$4),'Basis Options'!$AF:$AF)</f>
        <v>0</v>
      </c>
      <c r="BV124" s="43">
        <f>SUMIF('Basis Options'!$X:$X,CONCATENATE($AK124,BV$4),'Basis Options'!$AF:$AF)</f>
        <v>0</v>
      </c>
      <c r="BW124" s="43">
        <f>SUMIF('Basis Options'!$X:$X,CONCATENATE($AK124,BW$4),'Basis Options'!$AF:$AF)</f>
        <v>0</v>
      </c>
      <c r="BX124" s="43">
        <f>SUMIF('Basis Options'!$X:$X,CONCATENATE($AK124,BX$4),'Basis Options'!$AF:$AF)</f>
        <v>0</v>
      </c>
      <c r="BY124" s="43">
        <f>SUMIF('Basis Options'!$X:$X,CONCATENATE($AK124,BY$4),'Basis Options'!$AF:$AF)</f>
        <v>0</v>
      </c>
      <c r="BZ124" s="43">
        <f>SUMIF('Basis Options'!$X:$X,CONCATENATE($AK124,BZ$4),'Basis Options'!$AF:$AF)</f>
        <v>0</v>
      </c>
      <c r="CA124" s="43">
        <f>SUMIF('Basis Options'!$X:$X,CONCATENATE($AK124,CA$4),'Basis Options'!$AF:$AF)</f>
        <v>0</v>
      </c>
      <c r="CB124" s="43">
        <f>SUMIF('Basis Options'!$X:$X,CONCATENATE($AK124,CB$4),'Basis Options'!$AF:$AF)</f>
        <v>0</v>
      </c>
      <c r="CC124" s="43">
        <f>SUMIF('Basis Options'!$X:$X,CONCATENATE($AK124,CC$4),'Basis Options'!$AF:$AF)</f>
        <v>0</v>
      </c>
      <c r="CD124" s="43"/>
      <c r="CE124" s="43">
        <f>SUMIF('Basis Options'!$X:$X,CONCATENATE($AK124,CE$4),'Basis Options'!$AF:$AF)</f>
        <v>0</v>
      </c>
      <c r="CF124" s="43"/>
      <c r="CG124" s="128">
        <f t="shared" si="50"/>
        <v>40360</v>
      </c>
      <c r="CH124" s="44">
        <f t="shared" si="40"/>
        <v>0</v>
      </c>
    </row>
    <row r="125" spans="1:86" x14ac:dyDescent="0.25">
      <c r="A125" s="128">
        <f t="shared" si="41"/>
        <v>40391</v>
      </c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128">
        <f t="shared" si="42"/>
        <v>40391</v>
      </c>
      <c r="P125" s="44">
        <f t="shared" si="28"/>
        <v>0</v>
      </c>
      <c r="S125" s="128">
        <f t="shared" si="43"/>
        <v>40391</v>
      </c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128">
        <f t="shared" si="44"/>
        <v>40391</v>
      </c>
      <c r="AH125" s="44">
        <f t="shared" si="31"/>
        <v>0</v>
      </c>
      <c r="AK125" s="128">
        <f t="shared" si="45"/>
        <v>40391</v>
      </c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128">
        <f t="shared" si="46"/>
        <v>40391</v>
      </c>
      <c r="AZ125" s="44">
        <f t="shared" si="34"/>
        <v>0</v>
      </c>
      <c r="BB125" s="128">
        <f t="shared" si="47"/>
        <v>40391</v>
      </c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128">
        <f t="shared" si="48"/>
        <v>40391</v>
      </c>
      <c r="BQ125" s="44">
        <f t="shared" si="37"/>
        <v>0</v>
      </c>
      <c r="BS125" s="128">
        <f t="shared" si="49"/>
        <v>40391</v>
      </c>
      <c r="BT125" s="43">
        <f>SUMIF('Basis Options'!$X:$X,CONCATENATE($AK125,BT$4),'Basis Options'!$AF:$AF)</f>
        <v>0</v>
      </c>
      <c r="BU125" s="43">
        <f>SUMIF('Basis Options'!$X:$X,CONCATENATE($AK125,BU$4),'Basis Options'!$AF:$AF)</f>
        <v>0</v>
      </c>
      <c r="BV125" s="43">
        <f>SUMIF('Basis Options'!$X:$X,CONCATENATE($AK125,BV$4),'Basis Options'!$AF:$AF)</f>
        <v>0</v>
      </c>
      <c r="BW125" s="43">
        <f>SUMIF('Basis Options'!$X:$X,CONCATENATE($AK125,BW$4),'Basis Options'!$AF:$AF)</f>
        <v>0</v>
      </c>
      <c r="BX125" s="43">
        <f>SUMIF('Basis Options'!$X:$X,CONCATENATE($AK125,BX$4),'Basis Options'!$AF:$AF)</f>
        <v>0</v>
      </c>
      <c r="BY125" s="43">
        <f>SUMIF('Basis Options'!$X:$X,CONCATENATE($AK125,BY$4),'Basis Options'!$AF:$AF)</f>
        <v>0</v>
      </c>
      <c r="BZ125" s="43">
        <f>SUMIF('Basis Options'!$X:$X,CONCATENATE($AK125,BZ$4),'Basis Options'!$AF:$AF)</f>
        <v>0</v>
      </c>
      <c r="CA125" s="43">
        <f>SUMIF('Basis Options'!$X:$X,CONCATENATE($AK125,CA$4),'Basis Options'!$AF:$AF)</f>
        <v>0</v>
      </c>
      <c r="CB125" s="43">
        <f>SUMIF('Basis Options'!$X:$X,CONCATENATE($AK125,CB$4),'Basis Options'!$AF:$AF)</f>
        <v>0</v>
      </c>
      <c r="CC125" s="43">
        <f>SUMIF('Basis Options'!$X:$X,CONCATENATE($AK125,CC$4),'Basis Options'!$AF:$AF)</f>
        <v>0</v>
      </c>
      <c r="CD125" s="43"/>
      <c r="CE125" s="43">
        <f>SUMIF('Basis Options'!$X:$X,CONCATENATE($AK125,CE$4),'Basis Options'!$AF:$AF)</f>
        <v>0</v>
      </c>
      <c r="CF125" s="43"/>
      <c r="CG125" s="128">
        <f t="shared" si="50"/>
        <v>40391</v>
      </c>
      <c r="CH125" s="44">
        <f t="shared" si="40"/>
        <v>0</v>
      </c>
    </row>
    <row r="126" spans="1:86" x14ac:dyDescent="0.25">
      <c r="A126" s="128">
        <f t="shared" si="41"/>
        <v>40422</v>
      </c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128">
        <f t="shared" si="42"/>
        <v>40422</v>
      </c>
      <c r="P126" s="44">
        <f t="shared" si="28"/>
        <v>0</v>
      </c>
      <c r="S126" s="128">
        <f t="shared" si="43"/>
        <v>40422</v>
      </c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128">
        <f t="shared" si="44"/>
        <v>40422</v>
      </c>
      <c r="AH126" s="44">
        <f t="shared" si="31"/>
        <v>0</v>
      </c>
      <c r="AK126" s="128">
        <f t="shared" si="45"/>
        <v>40422</v>
      </c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128">
        <f t="shared" si="46"/>
        <v>40422</v>
      </c>
      <c r="AZ126" s="44">
        <f t="shared" si="34"/>
        <v>0</v>
      </c>
      <c r="BB126" s="128">
        <f t="shared" si="47"/>
        <v>40422</v>
      </c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128">
        <f t="shared" si="48"/>
        <v>40422</v>
      </c>
      <c r="BQ126" s="44">
        <f t="shared" si="37"/>
        <v>0</v>
      </c>
      <c r="BS126" s="128">
        <f t="shared" si="49"/>
        <v>40422</v>
      </c>
      <c r="BT126" s="43">
        <f>SUMIF('Basis Options'!$X:$X,CONCATENATE($AK126,BT$4),'Basis Options'!$AF:$AF)</f>
        <v>0</v>
      </c>
      <c r="BU126" s="43">
        <f>SUMIF('Basis Options'!$X:$X,CONCATENATE($AK126,BU$4),'Basis Options'!$AF:$AF)</f>
        <v>0</v>
      </c>
      <c r="BV126" s="43">
        <f>SUMIF('Basis Options'!$X:$X,CONCATENATE($AK126,BV$4),'Basis Options'!$AF:$AF)</f>
        <v>0</v>
      </c>
      <c r="BW126" s="43">
        <f>SUMIF('Basis Options'!$X:$X,CONCATENATE($AK126,BW$4),'Basis Options'!$AF:$AF)</f>
        <v>0</v>
      </c>
      <c r="BX126" s="43">
        <f>SUMIF('Basis Options'!$X:$X,CONCATENATE($AK126,BX$4),'Basis Options'!$AF:$AF)</f>
        <v>0</v>
      </c>
      <c r="BY126" s="43">
        <f>SUMIF('Basis Options'!$X:$X,CONCATENATE($AK126,BY$4),'Basis Options'!$AF:$AF)</f>
        <v>0</v>
      </c>
      <c r="BZ126" s="43">
        <f>SUMIF('Basis Options'!$X:$X,CONCATENATE($AK126,BZ$4),'Basis Options'!$AF:$AF)</f>
        <v>0</v>
      </c>
      <c r="CA126" s="43">
        <f>SUMIF('Basis Options'!$X:$X,CONCATENATE($AK126,CA$4),'Basis Options'!$AF:$AF)</f>
        <v>0</v>
      </c>
      <c r="CB126" s="43">
        <f>SUMIF('Basis Options'!$X:$X,CONCATENATE($AK126,CB$4),'Basis Options'!$AF:$AF)</f>
        <v>0</v>
      </c>
      <c r="CC126" s="43">
        <f>SUMIF('Basis Options'!$X:$X,CONCATENATE($AK126,CC$4),'Basis Options'!$AF:$AF)</f>
        <v>0</v>
      </c>
      <c r="CD126" s="43"/>
      <c r="CE126" s="43">
        <f>SUMIF('Basis Options'!$X:$X,CONCATENATE($AK126,CE$4),'Basis Options'!$AF:$AF)</f>
        <v>0</v>
      </c>
      <c r="CF126" s="43"/>
      <c r="CG126" s="128">
        <f t="shared" si="50"/>
        <v>40422</v>
      </c>
      <c r="CH126" s="44">
        <f t="shared" si="40"/>
        <v>0</v>
      </c>
    </row>
    <row r="127" spans="1:86" x14ac:dyDescent="0.25">
      <c r="A127" s="128">
        <f t="shared" si="41"/>
        <v>40452</v>
      </c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128">
        <f t="shared" si="42"/>
        <v>40452</v>
      </c>
      <c r="P127" s="44">
        <f t="shared" si="28"/>
        <v>0</v>
      </c>
      <c r="S127" s="128">
        <f t="shared" si="43"/>
        <v>40452</v>
      </c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128">
        <f t="shared" si="44"/>
        <v>40452</v>
      </c>
      <c r="AH127" s="44">
        <f t="shared" si="31"/>
        <v>0</v>
      </c>
      <c r="AK127" s="128">
        <f t="shared" si="45"/>
        <v>40452</v>
      </c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128">
        <f t="shared" si="46"/>
        <v>40452</v>
      </c>
      <c r="AZ127" s="44">
        <f t="shared" si="34"/>
        <v>0</v>
      </c>
      <c r="BB127" s="128">
        <f t="shared" si="47"/>
        <v>40452</v>
      </c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128">
        <f t="shared" si="48"/>
        <v>40452</v>
      </c>
      <c r="BQ127" s="44">
        <f t="shared" si="37"/>
        <v>0</v>
      </c>
      <c r="BS127" s="128">
        <f t="shared" si="49"/>
        <v>40452</v>
      </c>
      <c r="BT127" s="43">
        <f>SUMIF('Basis Options'!$X:$X,CONCATENATE($AK127,BT$4),'Basis Options'!$AF:$AF)</f>
        <v>0</v>
      </c>
      <c r="BU127" s="43">
        <f>SUMIF('Basis Options'!$X:$X,CONCATENATE($AK127,BU$4),'Basis Options'!$AF:$AF)</f>
        <v>0</v>
      </c>
      <c r="BV127" s="43">
        <f>SUMIF('Basis Options'!$X:$X,CONCATENATE($AK127,BV$4),'Basis Options'!$AF:$AF)</f>
        <v>0</v>
      </c>
      <c r="BW127" s="43">
        <f>SUMIF('Basis Options'!$X:$X,CONCATENATE($AK127,BW$4),'Basis Options'!$AF:$AF)</f>
        <v>0</v>
      </c>
      <c r="BX127" s="43">
        <f>SUMIF('Basis Options'!$X:$X,CONCATENATE($AK127,BX$4),'Basis Options'!$AF:$AF)</f>
        <v>0</v>
      </c>
      <c r="BY127" s="43">
        <f>SUMIF('Basis Options'!$X:$X,CONCATENATE($AK127,BY$4),'Basis Options'!$AF:$AF)</f>
        <v>0</v>
      </c>
      <c r="BZ127" s="43">
        <f>SUMIF('Basis Options'!$X:$X,CONCATENATE($AK127,BZ$4),'Basis Options'!$AF:$AF)</f>
        <v>0</v>
      </c>
      <c r="CA127" s="43">
        <f>SUMIF('Basis Options'!$X:$X,CONCATENATE($AK127,CA$4),'Basis Options'!$AF:$AF)</f>
        <v>0</v>
      </c>
      <c r="CB127" s="43">
        <f>SUMIF('Basis Options'!$X:$X,CONCATENATE($AK127,CB$4),'Basis Options'!$AF:$AF)</f>
        <v>0</v>
      </c>
      <c r="CC127" s="43">
        <f>SUMIF('Basis Options'!$X:$X,CONCATENATE($AK127,CC$4),'Basis Options'!$AF:$AF)</f>
        <v>0</v>
      </c>
      <c r="CD127" s="43"/>
      <c r="CE127" s="43">
        <f>SUMIF('Basis Options'!$X:$X,CONCATENATE($AK127,CE$4),'Basis Options'!$AF:$AF)</f>
        <v>0</v>
      </c>
      <c r="CF127" s="43"/>
      <c r="CG127" s="128">
        <f t="shared" si="50"/>
        <v>40452</v>
      </c>
      <c r="CH127" s="44">
        <f t="shared" si="40"/>
        <v>0</v>
      </c>
    </row>
    <row r="128" spans="1:86" x14ac:dyDescent="0.25">
      <c r="A128" s="128">
        <f t="shared" si="41"/>
        <v>40483</v>
      </c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128">
        <f t="shared" si="42"/>
        <v>40483</v>
      </c>
      <c r="P128" s="44">
        <f t="shared" si="28"/>
        <v>0</v>
      </c>
      <c r="S128" s="128">
        <f t="shared" si="43"/>
        <v>40483</v>
      </c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128">
        <f t="shared" si="44"/>
        <v>40483</v>
      </c>
      <c r="AH128" s="44">
        <f t="shared" si="31"/>
        <v>0</v>
      </c>
      <c r="AK128" s="128">
        <f t="shared" si="45"/>
        <v>40483</v>
      </c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128">
        <f t="shared" si="46"/>
        <v>40483</v>
      </c>
      <c r="AZ128" s="44">
        <f t="shared" si="34"/>
        <v>0</v>
      </c>
      <c r="BB128" s="128">
        <f t="shared" si="47"/>
        <v>40483</v>
      </c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128">
        <f t="shared" si="48"/>
        <v>40483</v>
      </c>
      <c r="BQ128" s="44">
        <f t="shared" si="37"/>
        <v>0</v>
      </c>
      <c r="BS128" s="128">
        <f t="shared" si="49"/>
        <v>40483</v>
      </c>
      <c r="BT128" s="43">
        <f>SUMIF('Basis Options'!$X:$X,CONCATENATE($AK128,BT$4),'Basis Options'!$AF:$AF)</f>
        <v>0</v>
      </c>
      <c r="BU128" s="43">
        <f>SUMIF('Basis Options'!$X:$X,CONCATENATE($AK128,BU$4),'Basis Options'!$AF:$AF)</f>
        <v>0</v>
      </c>
      <c r="BV128" s="43">
        <f>SUMIF('Basis Options'!$X:$X,CONCATENATE($AK128,BV$4),'Basis Options'!$AF:$AF)</f>
        <v>0</v>
      </c>
      <c r="BW128" s="43">
        <f>SUMIF('Basis Options'!$X:$X,CONCATENATE($AK128,BW$4),'Basis Options'!$AF:$AF)</f>
        <v>0</v>
      </c>
      <c r="BX128" s="43">
        <f>SUMIF('Basis Options'!$X:$X,CONCATENATE($AK128,BX$4),'Basis Options'!$AF:$AF)</f>
        <v>0</v>
      </c>
      <c r="BY128" s="43">
        <f>SUMIF('Basis Options'!$X:$X,CONCATENATE($AK128,BY$4),'Basis Options'!$AF:$AF)</f>
        <v>0</v>
      </c>
      <c r="BZ128" s="43">
        <f>SUMIF('Basis Options'!$X:$X,CONCATENATE($AK128,BZ$4),'Basis Options'!$AF:$AF)</f>
        <v>0</v>
      </c>
      <c r="CA128" s="43">
        <f>SUMIF('Basis Options'!$X:$X,CONCATENATE($AK128,CA$4),'Basis Options'!$AF:$AF)</f>
        <v>0</v>
      </c>
      <c r="CB128" s="43">
        <f>SUMIF('Basis Options'!$X:$X,CONCATENATE($AK128,CB$4),'Basis Options'!$AF:$AF)</f>
        <v>0</v>
      </c>
      <c r="CC128" s="43">
        <f>SUMIF('Basis Options'!$X:$X,CONCATENATE($AK128,CC$4),'Basis Options'!$AF:$AF)</f>
        <v>0</v>
      </c>
      <c r="CD128" s="43"/>
      <c r="CE128" s="43">
        <f>SUMIF('Basis Options'!$X:$X,CONCATENATE($AK128,CE$4),'Basis Options'!$AF:$AF)</f>
        <v>0</v>
      </c>
      <c r="CF128" s="43"/>
      <c r="CG128" s="128">
        <f t="shared" si="50"/>
        <v>40483</v>
      </c>
      <c r="CH128" s="44">
        <f t="shared" si="40"/>
        <v>0</v>
      </c>
    </row>
    <row r="129" spans="1:86" x14ac:dyDescent="0.25">
      <c r="A129" s="128">
        <f t="shared" si="41"/>
        <v>40513</v>
      </c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128">
        <f t="shared" si="42"/>
        <v>40513</v>
      </c>
      <c r="P129" s="44">
        <f t="shared" si="28"/>
        <v>0</v>
      </c>
      <c r="S129" s="128">
        <f t="shared" si="43"/>
        <v>40513</v>
      </c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128">
        <f t="shared" si="44"/>
        <v>40513</v>
      </c>
      <c r="AH129" s="44">
        <f t="shared" si="31"/>
        <v>0</v>
      </c>
      <c r="AK129" s="128">
        <f t="shared" si="45"/>
        <v>40513</v>
      </c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128">
        <f t="shared" si="46"/>
        <v>40513</v>
      </c>
      <c r="AZ129" s="44">
        <f t="shared" si="34"/>
        <v>0</v>
      </c>
      <c r="BB129" s="128">
        <f t="shared" si="47"/>
        <v>40513</v>
      </c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128">
        <f t="shared" si="48"/>
        <v>40513</v>
      </c>
      <c r="BQ129" s="44">
        <f t="shared" si="37"/>
        <v>0</v>
      </c>
      <c r="BS129" s="128">
        <f t="shared" si="49"/>
        <v>40513</v>
      </c>
      <c r="BT129" s="43">
        <f>SUMIF('Basis Options'!$X:$X,CONCATENATE($AK129,BT$4),'Basis Options'!$AF:$AF)</f>
        <v>0</v>
      </c>
      <c r="BU129" s="43">
        <f>SUMIF('Basis Options'!$X:$X,CONCATENATE($AK129,BU$4),'Basis Options'!$AF:$AF)</f>
        <v>0</v>
      </c>
      <c r="BV129" s="43">
        <f>SUMIF('Basis Options'!$X:$X,CONCATENATE($AK129,BV$4),'Basis Options'!$AF:$AF)</f>
        <v>0</v>
      </c>
      <c r="BW129" s="43">
        <f>SUMIF('Basis Options'!$X:$X,CONCATENATE($AK129,BW$4),'Basis Options'!$AF:$AF)</f>
        <v>0</v>
      </c>
      <c r="BX129" s="43">
        <f>SUMIF('Basis Options'!$X:$X,CONCATENATE($AK129,BX$4),'Basis Options'!$AF:$AF)</f>
        <v>0</v>
      </c>
      <c r="BY129" s="43">
        <f>SUMIF('Basis Options'!$X:$X,CONCATENATE($AK129,BY$4),'Basis Options'!$AF:$AF)</f>
        <v>0</v>
      </c>
      <c r="BZ129" s="43">
        <f>SUMIF('Basis Options'!$X:$X,CONCATENATE($AK129,BZ$4),'Basis Options'!$AF:$AF)</f>
        <v>0</v>
      </c>
      <c r="CA129" s="43">
        <f>SUMIF('Basis Options'!$X:$X,CONCATENATE($AK129,CA$4),'Basis Options'!$AF:$AF)</f>
        <v>0</v>
      </c>
      <c r="CB129" s="43">
        <f>SUMIF('Basis Options'!$X:$X,CONCATENATE($AK129,CB$4),'Basis Options'!$AF:$AF)</f>
        <v>0</v>
      </c>
      <c r="CC129" s="43">
        <f>SUMIF('Basis Options'!$X:$X,CONCATENATE($AK129,CC$4),'Basis Options'!$AF:$AF)</f>
        <v>0</v>
      </c>
      <c r="CD129" s="43"/>
      <c r="CE129" s="43">
        <f>SUMIF('Basis Options'!$X:$X,CONCATENATE($AK129,CE$4),'Basis Options'!$AF:$AF)</f>
        <v>0</v>
      </c>
      <c r="CF129" s="43"/>
      <c r="CG129" s="128">
        <f t="shared" si="50"/>
        <v>40513</v>
      </c>
      <c r="CH129" s="44">
        <f t="shared" si="40"/>
        <v>0</v>
      </c>
    </row>
    <row r="130" spans="1:86" x14ac:dyDescent="0.25">
      <c r="A130" s="128">
        <f t="shared" si="41"/>
        <v>40544</v>
      </c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128">
        <f t="shared" si="42"/>
        <v>40544</v>
      </c>
      <c r="P130" s="44">
        <f t="shared" si="28"/>
        <v>0</v>
      </c>
      <c r="S130" s="128">
        <f t="shared" si="43"/>
        <v>40544</v>
      </c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128">
        <f t="shared" si="44"/>
        <v>40544</v>
      </c>
      <c r="AH130" s="44">
        <f t="shared" si="31"/>
        <v>0</v>
      </c>
      <c r="AK130" s="128">
        <f t="shared" si="45"/>
        <v>40544</v>
      </c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128">
        <f t="shared" si="46"/>
        <v>40544</v>
      </c>
      <c r="AZ130" s="44">
        <f t="shared" si="34"/>
        <v>0</v>
      </c>
      <c r="BB130" s="128">
        <f t="shared" si="47"/>
        <v>40544</v>
      </c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128">
        <f t="shared" si="48"/>
        <v>40544</v>
      </c>
      <c r="BQ130" s="44">
        <f t="shared" si="37"/>
        <v>0</v>
      </c>
      <c r="BS130" s="128">
        <f t="shared" si="49"/>
        <v>40544</v>
      </c>
      <c r="BT130" s="43">
        <f>SUMIF('Basis Options'!$X:$X,CONCATENATE($AK130,BT$4),'Basis Options'!$AF:$AF)</f>
        <v>0</v>
      </c>
      <c r="BU130" s="43">
        <f>SUMIF('Basis Options'!$X:$X,CONCATENATE($AK130,BU$4),'Basis Options'!$AF:$AF)</f>
        <v>0</v>
      </c>
      <c r="BV130" s="43">
        <f>SUMIF('Basis Options'!$X:$X,CONCATENATE($AK130,BV$4),'Basis Options'!$AF:$AF)</f>
        <v>0</v>
      </c>
      <c r="BW130" s="43">
        <f>SUMIF('Basis Options'!$X:$X,CONCATENATE($AK130,BW$4),'Basis Options'!$AF:$AF)</f>
        <v>0</v>
      </c>
      <c r="BX130" s="43">
        <f>SUMIF('Basis Options'!$X:$X,CONCATENATE($AK130,BX$4),'Basis Options'!$AF:$AF)</f>
        <v>0</v>
      </c>
      <c r="BY130" s="43">
        <f>SUMIF('Basis Options'!$X:$X,CONCATENATE($AK130,BY$4),'Basis Options'!$AF:$AF)</f>
        <v>0</v>
      </c>
      <c r="BZ130" s="43">
        <f>SUMIF('Basis Options'!$X:$X,CONCATENATE($AK130,BZ$4),'Basis Options'!$AF:$AF)</f>
        <v>0</v>
      </c>
      <c r="CA130" s="43">
        <f>SUMIF('Basis Options'!$X:$X,CONCATENATE($AK130,CA$4),'Basis Options'!$AF:$AF)</f>
        <v>0</v>
      </c>
      <c r="CB130" s="43">
        <f>SUMIF('Basis Options'!$X:$X,CONCATENATE($AK130,CB$4),'Basis Options'!$AF:$AF)</f>
        <v>0</v>
      </c>
      <c r="CC130" s="43">
        <f>SUMIF('Basis Options'!$X:$X,CONCATENATE($AK130,CC$4),'Basis Options'!$AF:$AF)</f>
        <v>0</v>
      </c>
      <c r="CD130" s="43"/>
      <c r="CE130" s="43">
        <f>SUMIF('Basis Options'!$X:$X,CONCATENATE($AK130,CE$4),'Basis Options'!$AF:$AF)</f>
        <v>0</v>
      </c>
      <c r="CF130" s="43"/>
      <c r="CG130" s="128">
        <f t="shared" si="50"/>
        <v>40544</v>
      </c>
      <c r="CH130" s="44">
        <f t="shared" si="40"/>
        <v>0</v>
      </c>
    </row>
    <row r="131" spans="1:86" x14ac:dyDescent="0.25">
      <c r="A131" s="128">
        <f t="shared" si="41"/>
        <v>40575</v>
      </c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128">
        <f t="shared" si="42"/>
        <v>40575</v>
      </c>
      <c r="P131" s="44">
        <f t="shared" si="28"/>
        <v>0</v>
      </c>
      <c r="S131" s="128">
        <f t="shared" si="43"/>
        <v>40575</v>
      </c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128">
        <f t="shared" si="44"/>
        <v>40575</v>
      </c>
      <c r="AH131" s="44">
        <f t="shared" si="31"/>
        <v>0</v>
      </c>
      <c r="AK131" s="128">
        <f t="shared" si="45"/>
        <v>40575</v>
      </c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128">
        <f t="shared" si="46"/>
        <v>40575</v>
      </c>
      <c r="AZ131" s="44">
        <f t="shared" si="34"/>
        <v>0</v>
      </c>
      <c r="BB131" s="128">
        <f t="shared" si="47"/>
        <v>40575</v>
      </c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128">
        <f t="shared" si="48"/>
        <v>40575</v>
      </c>
      <c r="BQ131" s="44">
        <f t="shared" si="37"/>
        <v>0</v>
      </c>
      <c r="BS131" s="128">
        <f t="shared" si="49"/>
        <v>40575</v>
      </c>
      <c r="BT131" s="43">
        <f>SUMIF('Basis Options'!$X:$X,CONCATENATE($AK131,BT$4),'Basis Options'!$AF:$AF)</f>
        <v>0</v>
      </c>
      <c r="BU131" s="43">
        <f>SUMIF('Basis Options'!$X:$X,CONCATENATE($AK131,BU$4),'Basis Options'!$AF:$AF)</f>
        <v>0</v>
      </c>
      <c r="BV131" s="43">
        <f>SUMIF('Basis Options'!$X:$X,CONCATENATE($AK131,BV$4),'Basis Options'!$AF:$AF)</f>
        <v>0</v>
      </c>
      <c r="BW131" s="43">
        <f>SUMIF('Basis Options'!$X:$X,CONCATENATE($AK131,BW$4),'Basis Options'!$AF:$AF)</f>
        <v>0</v>
      </c>
      <c r="BX131" s="43">
        <f>SUMIF('Basis Options'!$X:$X,CONCATENATE($AK131,BX$4),'Basis Options'!$AF:$AF)</f>
        <v>0</v>
      </c>
      <c r="BY131" s="43">
        <f>SUMIF('Basis Options'!$X:$X,CONCATENATE($AK131,BY$4),'Basis Options'!$AF:$AF)</f>
        <v>0</v>
      </c>
      <c r="BZ131" s="43">
        <f>SUMIF('Basis Options'!$X:$X,CONCATENATE($AK131,BZ$4),'Basis Options'!$AF:$AF)</f>
        <v>0</v>
      </c>
      <c r="CA131" s="43">
        <f>SUMIF('Basis Options'!$X:$X,CONCATENATE($AK131,CA$4),'Basis Options'!$AF:$AF)</f>
        <v>0</v>
      </c>
      <c r="CB131" s="43">
        <f>SUMIF('Basis Options'!$X:$X,CONCATENATE($AK131,CB$4),'Basis Options'!$AF:$AF)</f>
        <v>0</v>
      </c>
      <c r="CC131" s="43">
        <f>SUMIF('Basis Options'!$X:$X,CONCATENATE($AK131,CC$4),'Basis Options'!$AF:$AF)</f>
        <v>0</v>
      </c>
      <c r="CD131" s="43"/>
      <c r="CE131" s="43">
        <f>SUMIF('Basis Options'!$X:$X,CONCATENATE($AK131,CE$4),'Basis Options'!$AF:$AF)</f>
        <v>0</v>
      </c>
      <c r="CF131" s="43"/>
      <c r="CG131" s="128">
        <f t="shared" si="50"/>
        <v>40575</v>
      </c>
      <c r="CH131" s="44">
        <f t="shared" si="40"/>
        <v>0</v>
      </c>
    </row>
    <row r="132" spans="1:86" x14ac:dyDescent="0.25">
      <c r="A132" s="128">
        <f t="shared" si="41"/>
        <v>40603</v>
      </c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128">
        <f t="shared" si="42"/>
        <v>40603</v>
      </c>
      <c r="P132" s="44">
        <f t="shared" si="28"/>
        <v>0</v>
      </c>
      <c r="S132" s="128">
        <f t="shared" si="43"/>
        <v>40603</v>
      </c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128">
        <f t="shared" si="44"/>
        <v>40603</v>
      </c>
      <c r="AH132" s="44">
        <f t="shared" si="31"/>
        <v>0</v>
      </c>
      <c r="AK132" s="128">
        <f t="shared" si="45"/>
        <v>40603</v>
      </c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128">
        <f t="shared" si="46"/>
        <v>40603</v>
      </c>
      <c r="AZ132" s="44">
        <f t="shared" si="34"/>
        <v>0</v>
      </c>
      <c r="BB132" s="128">
        <f t="shared" si="47"/>
        <v>40603</v>
      </c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128">
        <f t="shared" si="48"/>
        <v>40603</v>
      </c>
      <c r="BQ132" s="44">
        <f t="shared" si="37"/>
        <v>0</v>
      </c>
      <c r="BS132" s="128">
        <f t="shared" si="49"/>
        <v>40603</v>
      </c>
      <c r="BT132" s="43">
        <f>SUMIF('Basis Options'!$X:$X,CONCATENATE($AK132,BT$4),'Basis Options'!$AF:$AF)</f>
        <v>0</v>
      </c>
      <c r="BU132" s="43">
        <f>SUMIF('Basis Options'!$X:$X,CONCATENATE($AK132,BU$4),'Basis Options'!$AF:$AF)</f>
        <v>0</v>
      </c>
      <c r="BV132" s="43">
        <f>SUMIF('Basis Options'!$X:$X,CONCATENATE($AK132,BV$4),'Basis Options'!$AF:$AF)</f>
        <v>0</v>
      </c>
      <c r="BW132" s="43">
        <f>SUMIF('Basis Options'!$X:$X,CONCATENATE($AK132,BW$4),'Basis Options'!$AF:$AF)</f>
        <v>0</v>
      </c>
      <c r="BX132" s="43">
        <f>SUMIF('Basis Options'!$X:$X,CONCATENATE($AK132,BX$4),'Basis Options'!$AF:$AF)</f>
        <v>0</v>
      </c>
      <c r="BY132" s="43">
        <f>SUMIF('Basis Options'!$X:$X,CONCATENATE($AK132,BY$4),'Basis Options'!$AF:$AF)</f>
        <v>0</v>
      </c>
      <c r="BZ132" s="43">
        <f>SUMIF('Basis Options'!$X:$X,CONCATENATE($AK132,BZ$4),'Basis Options'!$AF:$AF)</f>
        <v>0</v>
      </c>
      <c r="CA132" s="43">
        <f>SUMIF('Basis Options'!$X:$X,CONCATENATE($AK132,CA$4),'Basis Options'!$AF:$AF)</f>
        <v>0</v>
      </c>
      <c r="CB132" s="43">
        <f>SUMIF('Basis Options'!$X:$X,CONCATENATE($AK132,CB$4),'Basis Options'!$AF:$AF)</f>
        <v>0</v>
      </c>
      <c r="CC132" s="43">
        <f>SUMIF('Basis Options'!$X:$X,CONCATENATE($AK132,CC$4),'Basis Options'!$AF:$AF)</f>
        <v>0</v>
      </c>
      <c r="CD132" s="43"/>
      <c r="CE132" s="43">
        <f>SUMIF('Basis Options'!$X:$X,CONCATENATE($AK132,CE$4),'Basis Options'!$AF:$AF)</f>
        <v>0</v>
      </c>
      <c r="CF132" s="43"/>
      <c r="CG132" s="128">
        <f t="shared" si="50"/>
        <v>40603</v>
      </c>
      <c r="CH132" s="44">
        <f t="shared" si="40"/>
        <v>0</v>
      </c>
    </row>
    <row r="133" spans="1:86" x14ac:dyDescent="0.25">
      <c r="A133" s="128">
        <f t="shared" si="41"/>
        <v>40634</v>
      </c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128">
        <f t="shared" si="42"/>
        <v>40634</v>
      </c>
      <c r="P133" s="44">
        <f t="shared" si="28"/>
        <v>0</v>
      </c>
      <c r="S133" s="128">
        <f t="shared" si="43"/>
        <v>40634</v>
      </c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128">
        <f t="shared" si="44"/>
        <v>40634</v>
      </c>
      <c r="AH133" s="44">
        <f t="shared" si="31"/>
        <v>0</v>
      </c>
      <c r="AK133" s="128">
        <f t="shared" si="45"/>
        <v>40634</v>
      </c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128">
        <f t="shared" si="46"/>
        <v>40634</v>
      </c>
      <c r="AZ133" s="44">
        <f t="shared" si="34"/>
        <v>0</v>
      </c>
      <c r="BB133" s="128">
        <f t="shared" si="47"/>
        <v>40634</v>
      </c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128">
        <f t="shared" si="48"/>
        <v>40634</v>
      </c>
      <c r="BQ133" s="44">
        <f t="shared" si="37"/>
        <v>0</v>
      </c>
      <c r="BS133" s="128">
        <f t="shared" si="49"/>
        <v>40634</v>
      </c>
      <c r="BT133" s="43">
        <f>SUMIF('Basis Options'!$X:$X,CONCATENATE($AK133,BT$4),'Basis Options'!$AF:$AF)</f>
        <v>0</v>
      </c>
      <c r="BU133" s="43">
        <f>SUMIF('Basis Options'!$X:$X,CONCATENATE($AK133,BU$4),'Basis Options'!$AF:$AF)</f>
        <v>0</v>
      </c>
      <c r="BV133" s="43">
        <f>SUMIF('Basis Options'!$X:$X,CONCATENATE($AK133,BV$4),'Basis Options'!$AF:$AF)</f>
        <v>0</v>
      </c>
      <c r="BW133" s="43">
        <f>SUMIF('Basis Options'!$X:$X,CONCATENATE($AK133,BW$4),'Basis Options'!$AF:$AF)</f>
        <v>0</v>
      </c>
      <c r="BX133" s="43">
        <f>SUMIF('Basis Options'!$X:$X,CONCATENATE($AK133,BX$4),'Basis Options'!$AF:$AF)</f>
        <v>0</v>
      </c>
      <c r="BY133" s="43">
        <f>SUMIF('Basis Options'!$X:$X,CONCATENATE($AK133,BY$4),'Basis Options'!$AF:$AF)</f>
        <v>0</v>
      </c>
      <c r="BZ133" s="43">
        <f>SUMIF('Basis Options'!$X:$X,CONCATENATE($AK133,BZ$4),'Basis Options'!$AF:$AF)</f>
        <v>0</v>
      </c>
      <c r="CA133" s="43">
        <f>SUMIF('Basis Options'!$X:$X,CONCATENATE($AK133,CA$4),'Basis Options'!$AF:$AF)</f>
        <v>0</v>
      </c>
      <c r="CB133" s="43">
        <f>SUMIF('Basis Options'!$X:$X,CONCATENATE($AK133,CB$4),'Basis Options'!$AF:$AF)</f>
        <v>0</v>
      </c>
      <c r="CC133" s="43">
        <f>SUMIF('Basis Options'!$X:$X,CONCATENATE($AK133,CC$4),'Basis Options'!$AF:$AF)</f>
        <v>0</v>
      </c>
      <c r="CD133" s="43"/>
      <c r="CE133" s="43">
        <f>SUMIF('Basis Options'!$X:$X,CONCATENATE($AK133,CE$4),'Basis Options'!$AF:$AF)</f>
        <v>0</v>
      </c>
      <c r="CF133" s="43"/>
      <c r="CG133" s="128">
        <f t="shared" si="50"/>
        <v>40634</v>
      </c>
      <c r="CH133" s="44">
        <f t="shared" si="40"/>
        <v>0</v>
      </c>
    </row>
    <row r="134" spans="1:86" x14ac:dyDescent="0.25">
      <c r="A134" s="128">
        <f t="shared" ref="A134:A165" si="51">EOMONTH(A133,0)+1</f>
        <v>40664</v>
      </c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128">
        <f t="shared" ref="O134:O165" si="52">EOMONTH(O133,0)+1</f>
        <v>40664</v>
      </c>
      <c r="P134" s="44">
        <f t="shared" ref="P134:P165" si="53">SUM(B134:N134)</f>
        <v>0</v>
      </c>
      <c r="S134" s="128">
        <f t="shared" ref="S134:S165" si="54">EOMONTH(S133,0)+1</f>
        <v>40664</v>
      </c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128">
        <f t="shared" ref="AG134:AG165" si="55">EOMONTH(AG133,0)+1</f>
        <v>40664</v>
      </c>
      <c r="AH134" s="44">
        <f t="shared" ref="AH134:AH165" si="56">SUM(T134:AF134)</f>
        <v>0</v>
      </c>
      <c r="AK134" s="128">
        <f t="shared" ref="AK134:AK165" si="57">EOMONTH(AK133,0)+1</f>
        <v>40664</v>
      </c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128">
        <f t="shared" ref="AY134:AY165" si="58">EOMONTH(AY133,0)+1</f>
        <v>40664</v>
      </c>
      <c r="AZ134" s="44">
        <f t="shared" ref="AZ134:AZ165" si="59">SUM(AL134:AX134)</f>
        <v>0</v>
      </c>
      <c r="BB134" s="128">
        <f t="shared" ref="BB134:BB165" si="60">EOMONTH(BB133,0)+1</f>
        <v>40664</v>
      </c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128">
        <f t="shared" ref="BP134:BP165" si="61">EOMONTH(BP133,0)+1</f>
        <v>40664</v>
      </c>
      <c r="BQ134" s="44">
        <f t="shared" ref="BQ134:BQ165" si="62">SUM(BC134:BO134)</f>
        <v>0</v>
      </c>
      <c r="BS134" s="128">
        <f t="shared" ref="BS134:BS165" si="63">EOMONTH(BS133,0)+1</f>
        <v>40664</v>
      </c>
      <c r="BT134" s="43">
        <f>SUMIF('Basis Options'!$X:$X,CONCATENATE($AK134,BT$4),'Basis Options'!$AF:$AF)</f>
        <v>0</v>
      </c>
      <c r="BU134" s="43">
        <f>SUMIF('Basis Options'!$X:$X,CONCATENATE($AK134,BU$4),'Basis Options'!$AF:$AF)</f>
        <v>0</v>
      </c>
      <c r="BV134" s="43">
        <f>SUMIF('Basis Options'!$X:$X,CONCATENATE($AK134,BV$4),'Basis Options'!$AF:$AF)</f>
        <v>0</v>
      </c>
      <c r="BW134" s="43">
        <f>SUMIF('Basis Options'!$X:$X,CONCATENATE($AK134,BW$4),'Basis Options'!$AF:$AF)</f>
        <v>0</v>
      </c>
      <c r="BX134" s="43">
        <f>SUMIF('Basis Options'!$X:$X,CONCATENATE($AK134,BX$4),'Basis Options'!$AF:$AF)</f>
        <v>0</v>
      </c>
      <c r="BY134" s="43">
        <f>SUMIF('Basis Options'!$X:$X,CONCATENATE($AK134,BY$4),'Basis Options'!$AF:$AF)</f>
        <v>0</v>
      </c>
      <c r="BZ134" s="43">
        <f>SUMIF('Basis Options'!$X:$X,CONCATENATE($AK134,BZ$4),'Basis Options'!$AF:$AF)</f>
        <v>0</v>
      </c>
      <c r="CA134" s="43">
        <f>SUMIF('Basis Options'!$X:$X,CONCATENATE($AK134,CA$4),'Basis Options'!$AF:$AF)</f>
        <v>0</v>
      </c>
      <c r="CB134" s="43">
        <f>SUMIF('Basis Options'!$X:$X,CONCATENATE($AK134,CB$4),'Basis Options'!$AF:$AF)</f>
        <v>0</v>
      </c>
      <c r="CC134" s="43">
        <f>SUMIF('Basis Options'!$X:$X,CONCATENATE($AK134,CC$4),'Basis Options'!$AF:$AF)</f>
        <v>0</v>
      </c>
      <c r="CD134" s="43"/>
      <c r="CE134" s="43">
        <f>SUMIF('Basis Options'!$X:$X,CONCATENATE($AK134,CE$4),'Basis Options'!$AF:$AF)</f>
        <v>0</v>
      </c>
      <c r="CF134" s="43"/>
      <c r="CG134" s="128">
        <f t="shared" ref="CG134:CG165" si="64">EOMONTH(CG133,0)+1</f>
        <v>40664</v>
      </c>
      <c r="CH134" s="44">
        <f t="shared" ref="CH134:CH165" si="65">SUM(BT134:CF134)</f>
        <v>0</v>
      </c>
    </row>
    <row r="135" spans="1:86" x14ac:dyDescent="0.25">
      <c r="A135" s="128">
        <f t="shared" si="51"/>
        <v>40695</v>
      </c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128">
        <f t="shared" si="52"/>
        <v>40695</v>
      </c>
      <c r="P135" s="44">
        <f t="shared" si="53"/>
        <v>0</v>
      </c>
      <c r="S135" s="128">
        <f t="shared" si="54"/>
        <v>40695</v>
      </c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128">
        <f t="shared" si="55"/>
        <v>40695</v>
      </c>
      <c r="AH135" s="44">
        <f t="shared" si="56"/>
        <v>0</v>
      </c>
      <c r="AK135" s="128">
        <f t="shared" si="57"/>
        <v>40695</v>
      </c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128">
        <f t="shared" si="58"/>
        <v>40695</v>
      </c>
      <c r="AZ135" s="44">
        <f t="shared" si="59"/>
        <v>0</v>
      </c>
      <c r="BB135" s="128">
        <f t="shared" si="60"/>
        <v>40695</v>
      </c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128">
        <f t="shared" si="61"/>
        <v>40695</v>
      </c>
      <c r="BQ135" s="44">
        <f t="shared" si="62"/>
        <v>0</v>
      </c>
      <c r="BS135" s="128">
        <f t="shared" si="63"/>
        <v>40695</v>
      </c>
      <c r="BT135" s="43">
        <f>SUMIF('Basis Options'!$X:$X,CONCATENATE($AK135,BT$4),'Basis Options'!$AF:$AF)</f>
        <v>0</v>
      </c>
      <c r="BU135" s="43">
        <f>SUMIF('Basis Options'!$X:$X,CONCATENATE($AK135,BU$4),'Basis Options'!$AF:$AF)</f>
        <v>0</v>
      </c>
      <c r="BV135" s="43">
        <f>SUMIF('Basis Options'!$X:$X,CONCATENATE($AK135,BV$4),'Basis Options'!$AF:$AF)</f>
        <v>0</v>
      </c>
      <c r="BW135" s="43">
        <f>SUMIF('Basis Options'!$X:$X,CONCATENATE($AK135,BW$4),'Basis Options'!$AF:$AF)</f>
        <v>0</v>
      </c>
      <c r="BX135" s="43">
        <f>SUMIF('Basis Options'!$X:$X,CONCATENATE($AK135,BX$4),'Basis Options'!$AF:$AF)</f>
        <v>0</v>
      </c>
      <c r="BY135" s="43">
        <f>SUMIF('Basis Options'!$X:$X,CONCATENATE($AK135,BY$4),'Basis Options'!$AF:$AF)</f>
        <v>0</v>
      </c>
      <c r="BZ135" s="43">
        <f>SUMIF('Basis Options'!$X:$X,CONCATENATE($AK135,BZ$4),'Basis Options'!$AF:$AF)</f>
        <v>0</v>
      </c>
      <c r="CA135" s="43">
        <f>SUMIF('Basis Options'!$X:$X,CONCATENATE($AK135,CA$4),'Basis Options'!$AF:$AF)</f>
        <v>0</v>
      </c>
      <c r="CB135" s="43">
        <f>SUMIF('Basis Options'!$X:$X,CONCATENATE($AK135,CB$4),'Basis Options'!$AF:$AF)</f>
        <v>0</v>
      </c>
      <c r="CC135" s="43">
        <f>SUMIF('Basis Options'!$X:$X,CONCATENATE($AK135,CC$4),'Basis Options'!$AF:$AF)</f>
        <v>0</v>
      </c>
      <c r="CD135" s="43"/>
      <c r="CE135" s="43">
        <f>SUMIF('Basis Options'!$X:$X,CONCATENATE($AK135,CE$4),'Basis Options'!$AF:$AF)</f>
        <v>0</v>
      </c>
      <c r="CF135" s="43"/>
      <c r="CG135" s="128">
        <f t="shared" si="64"/>
        <v>40695</v>
      </c>
      <c r="CH135" s="44">
        <f t="shared" si="65"/>
        <v>0</v>
      </c>
    </row>
    <row r="136" spans="1:86" x14ac:dyDescent="0.25">
      <c r="A136" s="128">
        <f t="shared" si="51"/>
        <v>40725</v>
      </c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128">
        <f t="shared" si="52"/>
        <v>40725</v>
      </c>
      <c r="P136" s="44">
        <f t="shared" si="53"/>
        <v>0</v>
      </c>
      <c r="S136" s="128">
        <f t="shared" si="54"/>
        <v>40725</v>
      </c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128">
        <f t="shared" si="55"/>
        <v>40725</v>
      </c>
      <c r="AH136" s="44">
        <f t="shared" si="56"/>
        <v>0</v>
      </c>
      <c r="AK136" s="128">
        <f t="shared" si="57"/>
        <v>40725</v>
      </c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128">
        <f t="shared" si="58"/>
        <v>40725</v>
      </c>
      <c r="AZ136" s="44">
        <f t="shared" si="59"/>
        <v>0</v>
      </c>
      <c r="BB136" s="128">
        <f t="shared" si="60"/>
        <v>40725</v>
      </c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128">
        <f t="shared" si="61"/>
        <v>40725</v>
      </c>
      <c r="BQ136" s="44">
        <f t="shared" si="62"/>
        <v>0</v>
      </c>
      <c r="BS136" s="128">
        <f t="shared" si="63"/>
        <v>40725</v>
      </c>
      <c r="BT136" s="43">
        <f>SUMIF('Basis Options'!$X:$X,CONCATENATE($AK136,BT$4),'Basis Options'!$AF:$AF)</f>
        <v>0</v>
      </c>
      <c r="BU136" s="43">
        <f>SUMIF('Basis Options'!$X:$X,CONCATENATE($AK136,BU$4),'Basis Options'!$AF:$AF)</f>
        <v>0</v>
      </c>
      <c r="BV136" s="43">
        <f>SUMIF('Basis Options'!$X:$X,CONCATENATE($AK136,BV$4),'Basis Options'!$AF:$AF)</f>
        <v>0</v>
      </c>
      <c r="BW136" s="43">
        <f>SUMIF('Basis Options'!$X:$X,CONCATENATE($AK136,BW$4),'Basis Options'!$AF:$AF)</f>
        <v>0</v>
      </c>
      <c r="BX136" s="43">
        <f>SUMIF('Basis Options'!$X:$X,CONCATENATE($AK136,BX$4),'Basis Options'!$AF:$AF)</f>
        <v>0</v>
      </c>
      <c r="BY136" s="43">
        <f>SUMIF('Basis Options'!$X:$X,CONCATENATE($AK136,BY$4),'Basis Options'!$AF:$AF)</f>
        <v>0</v>
      </c>
      <c r="BZ136" s="43">
        <f>SUMIF('Basis Options'!$X:$X,CONCATENATE($AK136,BZ$4),'Basis Options'!$AF:$AF)</f>
        <v>0</v>
      </c>
      <c r="CA136" s="43">
        <f>SUMIF('Basis Options'!$X:$X,CONCATENATE($AK136,CA$4),'Basis Options'!$AF:$AF)</f>
        <v>0</v>
      </c>
      <c r="CB136" s="43">
        <f>SUMIF('Basis Options'!$X:$X,CONCATENATE($AK136,CB$4),'Basis Options'!$AF:$AF)</f>
        <v>0</v>
      </c>
      <c r="CC136" s="43">
        <f>SUMIF('Basis Options'!$X:$X,CONCATENATE($AK136,CC$4),'Basis Options'!$AF:$AF)</f>
        <v>0</v>
      </c>
      <c r="CD136" s="43"/>
      <c r="CE136" s="43">
        <f>SUMIF('Basis Options'!$X:$X,CONCATENATE($AK136,CE$4),'Basis Options'!$AF:$AF)</f>
        <v>0</v>
      </c>
      <c r="CF136" s="43"/>
      <c r="CG136" s="128">
        <f t="shared" si="64"/>
        <v>40725</v>
      </c>
      <c r="CH136" s="44">
        <f t="shared" si="65"/>
        <v>0</v>
      </c>
    </row>
    <row r="137" spans="1:86" x14ac:dyDescent="0.25">
      <c r="A137" s="41">
        <f t="shared" si="51"/>
        <v>40756</v>
      </c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1">
        <f t="shared" si="52"/>
        <v>40756</v>
      </c>
      <c r="P137" s="44">
        <f t="shared" si="53"/>
        <v>0</v>
      </c>
      <c r="S137" s="41">
        <f t="shared" si="54"/>
        <v>40756</v>
      </c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1">
        <f t="shared" si="55"/>
        <v>40756</v>
      </c>
      <c r="AH137" s="44">
        <f t="shared" si="56"/>
        <v>0</v>
      </c>
      <c r="AK137" s="41">
        <f t="shared" si="57"/>
        <v>40756</v>
      </c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1">
        <f t="shared" si="58"/>
        <v>40756</v>
      </c>
      <c r="AZ137" s="44">
        <f t="shared" si="59"/>
        <v>0</v>
      </c>
      <c r="BB137" s="41">
        <f t="shared" si="60"/>
        <v>40756</v>
      </c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1">
        <f t="shared" si="61"/>
        <v>40756</v>
      </c>
      <c r="BQ137" s="44">
        <f t="shared" si="62"/>
        <v>0</v>
      </c>
      <c r="BS137" s="41">
        <f t="shared" si="63"/>
        <v>40756</v>
      </c>
      <c r="BT137" s="43">
        <f>SUMIF('Basis Options'!$X:$X,CONCATENATE($AK137,BT$4),'Basis Options'!$AF:$AF)</f>
        <v>0</v>
      </c>
      <c r="BU137" s="43">
        <f>SUMIF('Basis Options'!$X:$X,CONCATENATE($AK137,BU$4),'Basis Options'!$AF:$AF)</f>
        <v>0</v>
      </c>
      <c r="BV137" s="43">
        <f>SUMIF('Basis Options'!$X:$X,CONCATENATE($AK137,BV$4),'Basis Options'!$AF:$AF)</f>
        <v>0</v>
      </c>
      <c r="BW137" s="43">
        <f>SUMIF('Basis Options'!$X:$X,CONCATENATE($AK137,BW$4),'Basis Options'!$AF:$AF)</f>
        <v>0</v>
      </c>
      <c r="BX137" s="43">
        <f>SUMIF('Basis Options'!$X:$X,CONCATENATE($AK137,BX$4),'Basis Options'!$AF:$AF)</f>
        <v>0</v>
      </c>
      <c r="BY137" s="43">
        <f>SUMIF('Basis Options'!$X:$X,CONCATENATE($AK137,BY$4),'Basis Options'!$AF:$AF)</f>
        <v>0</v>
      </c>
      <c r="BZ137" s="43">
        <f>SUMIF('Basis Options'!$X:$X,CONCATENATE($AK137,BZ$4),'Basis Options'!$AF:$AF)</f>
        <v>0</v>
      </c>
      <c r="CA137" s="43">
        <f>SUMIF('Basis Options'!$X:$X,CONCATENATE($AK137,CA$4),'Basis Options'!$AF:$AF)</f>
        <v>0</v>
      </c>
      <c r="CB137" s="43">
        <f>SUMIF('Basis Options'!$X:$X,CONCATENATE($AK137,CB$4),'Basis Options'!$AF:$AF)</f>
        <v>0</v>
      </c>
      <c r="CC137" s="43">
        <f>SUMIF('Basis Options'!$X:$X,CONCATENATE($AK137,CC$4),'Basis Options'!$AF:$AF)</f>
        <v>0</v>
      </c>
      <c r="CD137" s="43"/>
      <c r="CE137" s="43">
        <f>SUMIF('Basis Options'!$X:$X,CONCATENATE($AK137,CE$4),'Basis Options'!$AF:$AF)</f>
        <v>0</v>
      </c>
      <c r="CF137" s="43"/>
      <c r="CG137" s="41">
        <f t="shared" si="64"/>
        <v>40756</v>
      </c>
      <c r="CH137" s="44">
        <f t="shared" si="65"/>
        <v>0</v>
      </c>
    </row>
    <row r="138" spans="1:86" x14ac:dyDescent="0.25">
      <c r="A138" s="41">
        <f t="shared" si="51"/>
        <v>40787</v>
      </c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1">
        <f t="shared" si="52"/>
        <v>40787</v>
      </c>
      <c r="P138" s="44">
        <f t="shared" si="53"/>
        <v>0</v>
      </c>
      <c r="S138" s="41">
        <f t="shared" si="54"/>
        <v>40787</v>
      </c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1">
        <f t="shared" si="55"/>
        <v>40787</v>
      </c>
      <c r="AH138" s="44">
        <f t="shared" si="56"/>
        <v>0</v>
      </c>
      <c r="AK138" s="41">
        <f t="shared" si="57"/>
        <v>40787</v>
      </c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1">
        <f t="shared" si="58"/>
        <v>40787</v>
      </c>
      <c r="AZ138" s="44">
        <f t="shared" si="59"/>
        <v>0</v>
      </c>
      <c r="BB138" s="41">
        <f t="shared" si="60"/>
        <v>40787</v>
      </c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1">
        <f t="shared" si="61"/>
        <v>40787</v>
      </c>
      <c r="BQ138" s="44">
        <f t="shared" si="62"/>
        <v>0</v>
      </c>
      <c r="BS138" s="41">
        <f t="shared" si="63"/>
        <v>40787</v>
      </c>
      <c r="BT138" s="43">
        <f>SUMIF('Basis Options'!$X:$X,CONCATENATE($AK138,BT$4),'Basis Options'!$AF:$AF)</f>
        <v>0</v>
      </c>
      <c r="BU138" s="43">
        <f>SUMIF('Basis Options'!$X:$X,CONCATENATE($AK138,BU$4),'Basis Options'!$AF:$AF)</f>
        <v>0</v>
      </c>
      <c r="BV138" s="43">
        <f>SUMIF('Basis Options'!$X:$X,CONCATENATE($AK138,BV$4),'Basis Options'!$AF:$AF)</f>
        <v>0</v>
      </c>
      <c r="BW138" s="43">
        <f>SUMIF('Basis Options'!$X:$X,CONCATENATE($AK138,BW$4),'Basis Options'!$AF:$AF)</f>
        <v>0</v>
      </c>
      <c r="BX138" s="43">
        <f>SUMIF('Basis Options'!$X:$X,CONCATENATE($AK138,BX$4),'Basis Options'!$AF:$AF)</f>
        <v>0</v>
      </c>
      <c r="BY138" s="43">
        <f>SUMIF('Basis Options'!$X:$X,CONCATENATE($AK138,BY$4),'Basis Options'!$AF:$AF)</f>
        <v>0</v>
      </c>
      <c r="BZ138" s="43">
        <f>SUMIF('Basis Options'!$X:$X,CONCATENATE($AK138,BZ$4),'Basis Options'!$AF:$AF)</f>
        <v>0</v>
      </c>
      <c r="CA138" s="43">
        <f>SUMIF('Basis Options'!$X:$X,CONCATENATE($AK138,CA$4),'Basis Options'!$AF:$AF)</f>
        <v>0</v>
      </c>
      <c r="CB138" s="43">
        <f>SUMIF('Basis Options'!$X:$X,CONCATENATE($AK138,CB$4),'Basis Options'!$AF:$AF)</f>
        <v>0</v>
      </c>
      <c r="CC138" s="43">
        <f>SUMIF('Basis Options'!$X:$X,CONCATENATE($AK138,CC$4),'Basis Options'!$AF:$AF)</f>
        <v>0</v>
      </c>
      <c r="CD138" s="43"/>
      <c r="CE138" s="43">
        <f>SUMIF('Basis Options'!$X:$X,CONCATENATE($AK138,CE$4),'Basis Options'!$AF:$AF)</f>
        <v>0</v>
      </c>
      <c r="CF138" s="43"/>
      <c r="CG138" s="41">
        <f t="shared" si="64"/>
        <v>40787</v>
      </c>
      <c r="CH138" s="44">
        <f t="shared" si="65"/>
        <v>0</v>
      </c>
    </row>
    <row r="139" spans="1:86" x14ac:dyDescent="0.25">
      <c r="A139" s="41">
        <f t="shared" si="51"/>
        <v>40817</v>
      </c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1">
        <f t="shared" si="52"/>
        <v>40817</v>
      </c>
      <c r="P139" s="44">
        <f t="shared" si="53"/>
        <v>0</v>
      </c>
      <c r="S139" s="41">
        <f t="shared" si="54"/>
        <v>40817</v>
      </c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1">
        <f t="shared" si="55"/>
        <v>40817</v>
      </c>
      <c r="AH139" s="44">
        <f t="shared" si="56"/>
        <v>0</v>
      </c>
      <c r="AK139" s="41">
        <f t="shared" si="57"/>
        <v>40817</v>
      </c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1">
        <f t="shared" si="58"/>
        <v>40817</v>
      </c>
      <c r="AZ139" s="44">
        <f t="shared" si="59"/>
        <v>0</v>
      </c>
      <c r="BB139" s="41">
        <f t="shared" si="60"/>
        <v>40817</v>
      </c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1">
        <f t="shared" si="61"/>
        <v>40817</v>
      </c>
      <c r="BQ139" s="44">
        <f t="shared" si="62"/>
        <v>0</v>
      </c>
      <c r="BS139" s="41">
        <f t="shared" si="63"/>
        <v>40817</v>
      </c>
      <c r="BT139" s="43">
        <f>SUMIF('Basis Options'!$X:$X,CONCATENATE($AK139,BT$4),'Basis Options'!$AF:$AF)</f>
        <v>0</v>
      </c>
      <c r="BU139" s="43">
        <f>SUMIF('Basis Options'!$X:$X,CONCATENATE($AK139,BU$4),'Basis Options'!$AF:$AF)</f>
        <v>0</v>
      </c>
      <c r="BV139" s="43">
        <f>SUMIF('Basis Options'!$X:$X,CONCATENATE($AK139,BV$4),'Basis Options'!$AF:$AF)</f>
        <v>0</v>
      </c>
      <c r="BW139" s="43">
        <f>SUMIF('Basis Options'!$X:$X,CONCATENATE($AK139,BW$4),'Basis Options'!$AF:$AF)</f>
        <v>0</v>
      </c>
      <c r="BX139" s="43">
        <f>SUMIF('Basis Options'!$X:$X,CONCATENATE($AK139,BX$4),'Basis Options'!$AF:$AF)</f>
        <v>0</v>
      </c>
      <c r="BY139" s="43">
        <f>SUMIF('Basis Options'!$X:$X,CONCATENATE($AK139,BY$4),'Basis Options'!$AF:$AF)</f>
        <v>0</v>
      </c>
      <c r="BZ139" s="43">
        <f>SUMIF('Basis Options'!$X:$X,CONCATENATE($AK139,BZ$4),'Basis Options'!$AF:$AF)</f>
        <v>0</v>
      </c>
      <c r="CA139" s="43">
        <f>SUMIF('Basis Options'!$X:$X,CONCATENATE($AK139,CA$4),'Basis Options'!$AF:$AF)</f>
        <v>0</v>
      </c>
      <c r="CB139" s="43">
        <f>SUMIF('Basis Options'!$X:$X,CONCATENATE($AK139,CB$4),'Basis Options'!$AF:$AF)</f>
        <v>0</v>
      </c>
      <c r="CC139" s="43">
        <f>SUMIF('Basis Options'!$X:$X,CONCATENATE($AK139,CC$4),'Basis Options'!$AF:$AF)</f>
        <v>0</v>
      </c>
      <c r="CD139" s="43"/>
      <c r="CE139" s="43">
        <f>SUMIF('Basis Options'!$X:$X,CONCATENATE($AK139,CE$4),'Basis Options'!$AF:$AF)</f>
        <v>0</v>
      </c>
      <c r="CF139" s="43"/>
      <c r="CG139" s="41">
        <f t="shared" si="64"/>
        <v>40817</v>
      </c>
      <c r="CH139" s="44">
        <f t="shared" si="65"/>
        <v>0</v>
      </c>
    </row>
    <row r="140" spans="1:86" x14ac:dyDescent="0.25">
      <c r="A140" s="41">
        <f t="shared" si="51"/>
        <v>40848</v>
      </c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1">
        <f t="shared" si="52"/>
        <v>40848</v>
      </c>
      <c r="P140" s="44">
        <f t="shared" si="53"/>
        <v>0</v>
      </c>
      <c r="S140" s="41">
        <f t="shared" si="54"/>
        <v>40848</v>
      </c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1">
        <f t="shared" si="55"/>
        <v>40848</v>
      </c>
      <c r="AH140" s="44">
        <f t="shared" si="56"/>
        <v>0</v>
      </c>
      <c r="AK140" s="41">
        <f t="shared" si="57"/>
        <v>40848</v>
      </c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1">
        <f t="shared" si="58"/>
        <v>40848</v>
      </c>
      <c r="AZ140" s="44">
        <f t="shared" si="59"/>
        <v>0</v>
      </c>
      <c r="BB140" s="41">
        <f t="shared" si="60"/>
        <v>40848</v>
      </c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1">
        <f t="shared" si="61"/>
        <v>40848</v>
      </c>
      <c r="BQ140" s="44">
        <f t="shared" si="62"/>
        <v>0</v>
      </c>
      <c r="BS140" s="41">
        <f t="shared" si="63"/>
        <v>40848</v>
      </c>
      <c r="BT140" s="43">
        <f>SUMIF('Basis Options'!$X:$X,CONCATENATE($AK140,BT$4),'Basis Options'!$AF:$AF)</f>
        <v>0</v>
      </c>
      <c r="BU140" s="43">
        <f>SUMIF('Basis Options'!$X:$X,CONCATENATE($AK140,BU$4),'Basis Options'!$AF:$AF)</f>
        <v>0</v>
      </c>
      <c r="BV140" s="43">
        <f>SUMIF('Basis Options'!$X:$X,CONCATENATE($AK140,BV$4),'Basis Options'!$AF:$AF)</f>
        <v>0</v>
      </c>
      <c r="BW140" s="43">
        <f>SUMIF('Basis Options'!$X:$X,CONCATENATE($AK140,BW$4),'Basis Options'!$AF:$AF)</f>
        <v>0</v>
      </c>
      <c r="BX140" s="43">
        <f>SUMIF('Basis Options'!$X:$X,CONCATENATE($AK140,BX$4),'Basis Options'!$AF:$AF)</f>
        <v>0</v>
      </c>
      <c r="BY140" s="43">
        <f>SUMIF('Basis Options'!$X:$X,CONCATENATE($AK140,BY$4),'Basis Options'!$AF:$AF)</f>
        <v>0</v>
      </c>
      <c r="BZ140" s="43">
        <f>SUMIF('Basis Options'!$X:$X,CONCATENATE($AK140,BZ$4),'Basis Options'!$AF:$AF)</f>
        <v>0</v>
      </c>
      <c r="CA140" s="43">
        <f>SUMIF('Basis Options'!$X:$X,CONCATENATE($AK140,CA$4),'Basis Options'!$AF:$AF)</f>
        <v>0</v>
      </c>
      <c r="CB140" s="43">
        <f>SUMIF('Basis Options'!$X:$X,CONCATENATE($AK140,CB$4),'Basis Options'!$AF:$AF)</f>
        <v>0</v>
      </c>
      <c r="CC140" s="43">
        <f>SUMIF('Basis Options'!$X:$X,CONCATENATE($AK140,CC$4),'Basis Options'!$AF:$AF)</f>
        <v>0</v>
      </c>
      <c r="CD140" s="43"/>
      <c r="CE140" s="43">
        <f>SUMIF('Basis Options'!$X:$X,CONCATENATE($AK140,CE$4),'Basis Options'!$AF:$AF)</f>
        <v>0</v>
      </c>
      <c r="CF140" s="43"/>
      <c r="CG140" s="41">
        <f t="shared" si="64"/>
        <v>40848</v>
      </c>
      <c r="CH140" s="44">
        <f t="shared" si="65"/>
        <v>0</v>
      </c>
    </row>
    <row r="141" spans="1:86" x14ac:dyDescent="0.25">
      <c r="A141" s="41">
        <f t="shared" si="51"/>
        <v>40878</v>
      </c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1">
        <f t="shared" si="52"/>
        <v>40878</v>
      </c>
      <c r="P141" s="44">
        <f t="shared" si="53"/>
        <v>0</v>
      </c>
      <c r="S141" s="41">
        <f t="shared" si="54"/>
        <v>40878</v>
      </c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1">
        <f t="shared" si="55"/>
        <v>40878</v>
      </c>
      <c r="AH141" s="44">
        <f t="shared" si="56"/>
        <v>0</v>
      </c>
      <c r="AK141" s="41">
        <f t="shared" si="57"/>
        <v>40878</v>
      </c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1">
        <f t="shared" si="58"/>
        <v>40878</v>
      </c>
      <c r="AZ141" s="44">
        <f t="shared" si="59"/>
        <v>0</v>
      </c>
      <c r="BB141" s="41">
        <f t="shared" si="60"/>
        <v>40878</v>
      </c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1">
        <f t="shared" si="61"/>
        <v>40878</v>
      </c>
      <c r="BQ141" s="44">
        <f t="shared" si="62"/>
        <v>0</v>
      </c>
      <c r="BS141" s="41">
        <f t="shared" si="63"/>
        <v>40878</v>
      </c>
      <c r="BT141" s="43">
        <f>SUMIF('Basis Options'!$X:$X,CONCATENATE($AK141,BT$4),'Basis Options'!$AF:$AF)</f>
        <v>0</v>
      </c>
      <c r="BU141" s="43">
        <f>SUMIF('Basis Options'!$X:$X,CONCATENATE($AK141,BU$4),'Basis Options'!$AF:$AF)</f>
        <v>0</v>
      </c>
      <c r="BV141" s="43">
        <f>SUMIF('Basis Options'!$X:$X,CONCATENATE($AK141,BV$4),'Basis Options'!$AF:$AF)</f>
        <v>0</v>
      </c>
      <c r="BW141" s="43">
        <f>SUMIF('Basis Options'!$X:$X,CONCATENATE($AK141,BW$4),'Basis Options'!$AF:$AF)</f>
        <v>0</v>
      </c>
      <c r="BX141" s="43">
        <f>SUMIF('Basis Options'!$X:$X,CONCATENATE($AK141,BX$4),'Basis Options'!$AF:$AF)</f>
        <v>0</v>
      </c>
      <c r="BY141" s="43">
        <f>SUMIF('Basis Options'!$X:$X,CONCATENATE($AK141,BY$4),'Basis Options'!$AF:$AF)</f>
        <v>0</v>
      </c>
      <c r="BZ141" s="43">
        <f>SUMIF('Basis Options'!$X:$X,CONCATENATE($AK141,BZ$4),'Basis Options'!$AF:$AF)</f>
        <v>0</v>
      </c>
      <c r="CA141" s="43">
        <f>SUMIF('Basis Options'!$X:$X,CONCATENATE($AK141,CA$4),'Basis Options'!$AF:$AF)</f>
        <v>0</v>
      </c>
      <c r="CB141" s="43">
        <f>SUMIF('Basis Options'!$X:$X,CONCATENATE($AK141,CB$4),'Basis Options'!$AF:$AF)</f>
        <v>0</v>
      </c>
      <c r="CC141" s="43">
        <f>SUMIF('Basis Options'!$X:$X,CONCATENATE($AK141,CC$4),'Basis Options'!$AF:$AF)</f>
        <v>0</v>
      </c>
      <c r="CD141" s="43"/>
      <c r="CE141" s="43">
        <f>SUMIF('Basis Options'!$X:$X,CONCATENATE($AK141,CE$4),'Basis Options'!$AF:$AF)</f>
        <v>0</v>
      </c>
      <c r="CF141" s="43"/>
      <c r="CG141" s="41">
        <f t="shared" si="64"/>
        <v>40878</v>
      </c>
      <c r="CH141" s="44">
        <f t="shared" si="65"/>
        <v>0</v>
      </c>
    </row>
    <row r="142" spans="1:86" x14ac:dyDescent="0.25">
      <c r="A142" s="41">
        <f t="shared" si="51"/>
        <v>40909</v>
      </c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1">
        <f t="shared" si="52"/>
        <v>40909</v>
      </c>
      <c r="P142" s="44">
        <f t="shared" si="53"/>
        <v>0</v>
      </c>
      <c r="S142" s="41">
        <f t="shared" si="54"/>
        <v>40909</v>
      </c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1">
        <f t="shared" si="55"/>
        <v>40909</v>
      </c>
      <c r="AH142" s="44">
        <f t="shared" si="56"/>
        <v>0</v>
      </c>
      <c r="AK142" s="41">
        <f t="shared" si="57"/>
        <v>40909</v>
      </c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1">
        <f t="shared" si="58"/>
        <v>40909</v>
      </c>
      <c r="AZ142" s="44">
        <f t="shared" si="59"/>
        <v>0</v>
      </c>
      <c r="BB142" s="41">
        <f t="shared" si="60"/>
        <v>40909</v>
      </c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1">
        <f t="shared" si="61"/>
        <v>40909</v>
      </c>
      <c r="BQ142" s="44">
        <f t="shared" si="62"/>
        <v>0</v>
      </c>
      <c r="BS142" s="41">
        <f t="shared" si="63"/>
        <v>40909</v>
      </c>
      <c r="BT142" s="43">
        <f>SUMIF('Basis Options'!$X:$X,CONCATENATE($AK142,BT$4),'Basis Options'!$AF:$AF)</f>
        <v>0</v>
      </c>
      <c r="BU142" s="43">
        <f>SUMIF('Basis Options'!$X:$X,CONCATENATE($AK142,BU$4),'Basis Options'!$AF:$AF)</f>
        <v>0</v>
      </c>
      <c r="BV142" s="43">
        <f>SUMIF('Basis Options'!$X:$X,CONCATENATE($AK142,BV$4),'Basis Options'!$AF:$AF)</f>
        <v>0</v>
      </c>
      <c r="BW142" s="43">
        <f>SUMIF('Basis Options'!$X:$X,CONCATENATE($AK142,BW$4),'Basis Options'!$AF:$AF)</f>
        <v>0</v>
      </c>
      <c r="BX142" s="43">
        <f>SUMIF('Basis Options'!$X:$X,CONCATENATE($AK142,BX$4),'Basis Options'!$AF:$AF)</f>
        <v>0</v>
      </c>
      <c r="BY142" s="43">
        <f>SUMIF('Basis Options'!$X:$X,CONCATENATE($AK142,BY$4),'Basis Options'!$AF:$AF)</f>
        <v>0</v>
      </c>
      <c r="BZ142" s="43">
        <f>SUMIF('Basis Options'!$X:$X,CONCATENATE($AK142,BZ$4),'Basis Options'!$AF:$AF)</f>
        <v>0</v>
      </c>
      <c r="CA142" s="43">
        <f>SUMIF('Basis Options'!$X:$X,CONCATENATE($AK142,CA$4),'Basis Options'!$AF:$AF)</f>
        <v>0</v>
      </c>
      <c r="CB142" s="43">
        <f>SUMIF('Basis Options'!$X:$X,CONCATENATE($AK142,CB$4),'Basis Options'!$AF:$AF)</f>
        <v>0</v>
      </c>
      <c r="CC142" s="43">
        <f>SUMIF('Basis Options'!$X:$X,CONCATENATE($AK142,CC$4),'Basis Options'!$AF:$AF)</f>
        <v>0</v>
      </c>
      <c r="CD142" s="43"/>
      <c r="CE142" s="43">
        <f>SUMIF('Basis Options'!$X:$X,CONCATENATE($AK142,CE$4),'Basis Options'!$AF:$AF)</f>
        <v>0</v>
      </c>
      <c r="CF142" s="43"/>
      <c r="CG142" s="41">
        <f t="shared" si="64"/>
        <v>40909</v>
      </c>
      <c r="CH142" s="44">
        <f t="shared" si="65"/>
        <v>0</v>
      </c>
    </row>
    <row r="143" spans="1:86" x14ac:dyDescent="0.25">
      <c r="A143" s="41">
        <f t="shared" si="51"/>
        <v>40940</v>
      </c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1">
        <f t="shared" si="52"/>
        <v>40940</v>
      </c>
      <c r="P143" s="44">
        <f t="shared" si="53"/>
        <v>0</v>
      </c>
      <c r="S143" s="41">
        <f t="shared" si="54"/>
        <v>40940</v>
      </c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1">
        <f t="shared" si="55"/>
        <v>40940</v>
      </c>
      <c r="AH143" s="44">
        <f t="shared" si="56"/>
        <v>0</v>
      </c>
      <c r="AK143" s="41">
        <f t="shared" si="57"/>
        <v>40940</v>
      </c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1">
        <f t="shared" si="58"/>
        <v>40940</v>
      </c>
      <c r="AZ143" s="44">
        <f t="shared" si="59"/>
        <v>0</v>
      </c>
      <c r="BB143" s="41">
        <f t="shared" si="60"/>
        <v>40940</v>
      </c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1">
        <f t="shared" si="61"/>
        <v>40940</v>
      </c>
      <c r="BQ143" s="44">
        <f t="shared" si="62"/>
        <v>0</v>
      </c>
      <c r="BS143" s="41">
        <f t="shared" si="63"/>
        <v>40940</v>
      </c>
      <c r="BT143" s="43">
        <f>SUMIF('Basis Options'!$X:$X,CONCATENATE($AK143,BT$4),'Basis Options'!$AF:$AF)</f>
        <v>0</v>
      </c>
      <c r="BU143" s="43">
        <f>SUMIF('Basis Options'!$X:$X,CONCATENATE($AK143,BU$4),'Basis Options'!$AF:$AF)</f>
        <v>0</v>
      </c>
      <c r="BV143" s="43">
        <f>SUMIF('Basis Options'!$X:$X,CONCATENATE($AK143,BV$4),'Basis Options'!$AF:$AF)</f>
        <v>0</v>
      </c>
      <c r="BW143" s="43">
        <f>SUMIF('Basis Options'!$X:$X,CONCATENATE($AK143,BW$4),'Basis Options'!$AF:$AF)</f>
        <v>0</v>
      </c>
      <c r="BX143" s="43">
        <f>SUMIF('Basis Options'!$X:$X,CONCATENATE($AK143,BX$4),'Basis Options'!$AF:$AF)</f>
        <v>0</v>
      </c>
      <c r="BY143" s="43">
        <f>SUMIF('Basis Options'!$X:$X,CONCATENATE($AK143,BY$4),'Basis Options'!$AF:$AF)</f>
        <v>0</v>
      </c>
      <c r="BZ143" s="43">
        <f>SUMIF('Basis Options'!$X:$X,CONCATENATE($AK143,BZ$4),'Basis Options'!$AF:$AF)</f>
        <v>0</v>
      </c>
      <c r="CA143" s="43">
        <f>SUMIF('Basis Options'!$X:$X,CONCATENATE($AK143,CA$4),'Basis Options'!$AF:$AF)</f>
        <v>0</v>
      </c>
      <c r="CB143" s="43">
        <f>SUMIF('Basis Options'!$X:$X,CONCATENATE($AK143,CB$4),'Basis Options'!$AF:$AF)</f>
        <v>0</v>
      </c>
      <c r="CC143" s="43">
        <f>SUMIF('Basis Options'!$X:$X,CONCATENATE($AK143,CC$4),'Basis Options'!$AF:$AF)</f>
        <v>0</v>
      </c>
      <c r="CD143" s="43"/>
      <c r="CE143" s="43">
        <f>SUMIF('Basis Options'!$X:$X,CONCATENATE($AK143,CE$4),'Basis Options'!$AF:$AF)</f>
        <v>0</v>
      </c>
      <c r="CF143" s="43"/>
      <c r="CG143" s="41">
        <f t="shared" si="64"/>
        <v>40940</v>
      </c>
      <c r="CH143" s="44">
        <f t="shared" si="65"/>
        <v>0</v>
      </c>
    </row>
    <row r="144" spans="1:86" x14ac:dyDescent="0.25">
      <c r="A144" s="41">
        <f t="shared" si="51"/>
        <v>40969</v>
      </c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1">
        <f t="shared" si="52"/>
        <v>40969</v>
      </c>
      <c r="P144" s="44">
        <f t="shared" si="53"/>
        <v>0</v>
      </c>
      <c r="S144" s="41">
        <f t="shared" si="54"/>
        <v>40969</v>
      </c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1">
        <f t="shared" si="55"/>
        <v>40969</v>
      </c>
      <c r="AH144" s="44">
        <f t="shared" si="56"/>
        <v>0</v>
      </c>
      <c r="AK144" s="41">
        <f t="shared" si="57"/>
        <v>40969</v>
      </c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1">
        <f t="shared" si="58"/>
        <v>40969</v>
      </c>
      <c r="AZ144" s="44">
        <f t="shared" si="59"/>
        <v>0</v>
      </c>
      <c r="BB144" s="41">
        <f t="shared" si="60"/>
        <v>40969</v>
      </c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1">
        <f t="shared" si="61"/>
        <v>40969</v>
      </c>
      <c r="BQ144" s="44">
        <f t="shared" si="62"/>
        <v>0</v>
      </c>
      <c r="BS144" s="41">
        <f t="shared" si="63"/>
        <v>40969</v>
      </c>
      <c r="BT144" s="43">
        <f>SUMIF('Basis Options'!$X:$X,CONCATENATE($AK144,BT$4),'Basis Options'!$AF:$AF)</f>
        <v>0</v>
      </c>
      <c r="BU144" s="43">
        <f>SUMIF('Basis Options'!$X:$X,CONCATENATE($AK144,BU$4),'Basis Options'!$AF:$AF)</f>
        <v>0</v>
      </c>
      <c r="BV144" s="43">
        <f>SUMIF('Basis Options'!$X:$X,CONCATENATE($AK144,BV$4),'Basis Options'!$AF:$AF)</f>
        <v>0</v>
      </c>
      <c r="BW144" s="43">
        <f>SUMIF('Basis Options'!$X:$X,CONCATENATE($AK144,BW$4),'Basis Options'!$AF:$AF)</f>
        <v>0</v>
      </c>
      <c r="BX144" s="43">
        <f>SUMIF('Basis Options'!$X:$X,CONCATENATE($AK144,BX$4),'Basis Options'!$AF:$AF)</f>
        <v>0</v>
      </c>
      <c r="BY144" s="43">
        <f>SUMIF('Basis Options'!$X:$X,CONCATENATE($AK144,BY$4),'Basis Options'!$AF:$AF)</f>
        <v>0</v>
      </c>
      <c r="BZ144" s="43">
        <f>SUMIF('Basis Options'!$X:$X,CONCATENATE($AK144,BZ$4),'Basis Options'!$AF:$AF)</f>
        <v>0</v>
      </c>
      <c r="CA144" s="43">
        <f>SUMIF('Basis Options'!$X:$X,CONCATENATE($AK144,CA$4),'Basis Options'!$AF:$AF)</f>
        <v>0</v>
      </c>
      <c r="CB144" s="43">
        <f>SUMIF('Basis Options'!$X:$X,CONCATENATE($AK144,CB$4),'Basis Options'!$AF:$AF)</f>
        <v>0</v>
      </c>
      <c r="CC144" s="43">
        <f>SUMIF('Basis Options'!$X:$X,CONCATENATE($AK144,CC$4),'Basis Options'!$AF:$AF)</f>
        <v>0</v>
      </c>
      <c r="CD144" s="43"/>
      <c r="CE144" s="43">
        <f>SUMIF('Basis Options'!$X:$X,CONCATENATE($AK144,CE$4),'Basis Options'!$AF:$AF)</f>
        <v>0</v>
      </c>
      <c r="CF144" s="43"/>
      <c r="CG144" s="41">
        <f t="shared" si="64"/>
        <v>40969</v>
      </c>
      <c r="CH144" s="44">
        <f t="shared" si="65"/>
        <v>0</v>
      </c>
    </row>
    <row r="145" spans="1:86" x14ac:dyDescent="0.25">
      <c r="A145" s="41">
        <f t="shared" si="51"/>
        <v>41000</v>
      </c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1">
        <f t="shared" si="52"/>
        <v>41000</v>
      </c>
      <c r="P145" s="44">
        <f t="shared" si="53"/>
        <v>0</v>
      </c>
      <c r="S145" s="41">
        <f t="shared" si="54"/>
        <v>41000</v>
      </c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1">
        <f t="shared" si="55"/>
        <v>41000</v>
      </c>
      <c r="AH145" s="44">
        <f t="shared" si="56"/>
        <v>0</v>
      </c>
      <c r="AK145" s="41">
        <f t="shared" si="57"/>
        <v>41000</v>
      </c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1">
        <f t="shared" si="58"/>
        <v>41000</v>
      </c>
      <c r="AZ145" s="44">
        <f t="shared" si="59"/>
        <v>0</v>
      </c>
      <c r="BB145" s="41">
        <f t="shared" si="60"/>
        <v>41000</v>
      </c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1">
        <f t="shared" si="61"/>
        <v>41000</v>
      </c>
      <c r="BQ145" s="44">
        <f t="shared" si="62"/>
        <v>0</v>
      </c>
      <c r="BS145" s="41">
        <f t="shared" si="63"/>
        <v>41000</v>
      </c>
      <c r="BT145" s="43">
        <f>SUMIF('Basis Options'!$X:$X,CONCATENATE($AK145,BT$4),'Basis Options'!$AF:$AF)</f>
        <v>0</v>
      </c>
      <c r="BU145" s="43">
        <f>SUMIF('Basis Options'!$X:$X,CONCATENATE($AK145,BU$4),'Basis Options'!$AF:$AF)</f>
        <v>0</v>
      </c>
      <c r="BV145" s="43">
        <f>SUMIF('Basis Options'!$X:$X,CONCATENATE($AK145,BV$4),'Basis Options'!$AF:$AF)</f>
        <v>0</v>
      </c>
      <c r="BW145" s="43">
        <f>SUMIF('Basis Options'!$X:$X,CONCATENATE($AK145,BW$4),'Basis Options'!$AF:$AF)</f>
        <v>0</v>
      </c>
      <c r="BX145" s="43">
        <f>SUMIF('Basis Options'!$X:$X,CONCATENATE($AK145,BX$4),'Basis Options'!$AF:$AF)</f>
        <v>0</v>
      </c>
      <c r="BY145" s="43">
        <f>SUMIF('Basis Options'!$X:$X,CONCATENATE($AK145,BY$4),'Basis Options'!$AF:$AF)</f>
        <v>0</v>
      </c>
      <c r="BZ145" s="43">
        <f>SUMIF('Basis Options'!$X:$X,CONCATENATE($AK145,BZ$4),'Basis Options'!$AF:$AF)</f>
        <v>0</v>
      </c>
      <c r="CA145" s="43">
        <f>SUMIF('Basis Options'!$X:$X,CONCATENATE($AK145,CA$4),'Basis Options'!$AF:$AF)</f>
        <v>0</v>
      </c>
      <c r="CB145" s="43">
        <f>SUMIF('Basis Options'!$X:$X,CONCATENATE($AK145,CB$4),'Basis Options'!$AF:$AF)</f>
        <v>0</v>
      </c>
      <c r="CC145" s="43">
        <f>SUMIF('Basis Options'!$X:$X,CONCATENATE($AK145,CC$4),'Basis Options'!$AF:$AF)</f>
        <v>0</v>
      </c>
      <c r="CD145" s="43"/>
      <c r="CE145" s="43">
        <f>SUMIF('Basis Options'!$X:$X,CONCATENATE($AK145,CE$4),'Basis Options'!$AF:$AF)</f>
        <v>0</v>
      </c>
      <c r="CF145" s="43"/>
      <c r="CG145" s="41">
        <f t="shared" si="64"/>
        <v>41000</v>
      </c>
      <c r="CH145" s="44">
        <f t="shared" si="65"/>
        <v>0</v>
      </c>
    </row>
    <row r="146" spans="1:86" x14ac:dyDescent="0.25">
      <c r="A146" s="41">
        <f t="shared" si="51"/>
        <v>41030</v>
      </c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1">
        <f t="shared" si="52"/>
        <v>41030</v>
      </c>
      <c r="P146" s="44">
        <f t="shared" si="53"/>
        <v>0</v>
      </c>
      <c r="S146" s="41">
        <f t="shared" si="54"/>
        <v>41030</v>
      </c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1">
        <f t="shared" si="55"/>
        <v>41030</v>
      </c>
      <c r="AH146" s="44">
        <f t="shared" si="56"/>
        <v>0</v>
      </c>
      <c r="AK146" s="41">
        <f t="shared" si="57"/>
        <v>41030</v>
      </c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1">
        <f t="shared" si="58"/>
        <v>41030</v>
      </c>
      <c r="AZ146" s="44">
        <f t="shared" si="59"/>
        <v>0</v>
      </c>
      <c r="BB146" s="41">
        <f t="shared" si="60"/>
        <v>41030</v>
      </c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1">
        <f t="shared" si="61"/>
        <v>41030</v>
      </c>
      <c r="BQ146" s="44">
        <f t="shared" si="62"/>
        <v>0</v>
      </c>
      <c r="BS146" s="41">
        <f t="shared" si="63"/>
        <v>41030</v>
      </c>
      <c r="BT146" s="43">
        <f>SUMIF('Basis Options'!$X:$X,CONCATENATE($AK146,BT$4),'Basis Options'!$AF:$AF)</f>
        <v>0</v>
      </c>
      <c r="BU146" s="43">
        <f>SUMIF('Basis Options'!$X:$X,CONCATENATE($AK146,BU$4),'Basis Options'!$AF:$AF)</f>
        <v>0</v>
      </c>
      <c r="BV146" s="43">
        <f>SUMIF('Basis Options'!$X:$X,CONCATENATE($AK146,BV$4),'Basis Options'!$AF:$AF)</f>
        <v>0</v>
      </c>
      <c r="BW146" s="43">
        <f>SUMIF('Basis Options'!$X:$X,CONCATENATE($AK146,BW$4),'Basis Options'!$AF:$AF)</f>
        <v>0</v>
      </c>
      <c r="BX146" s="43">
        <f>SUMIF('Basis Options'!$X:$X,CONCATENATE($AK146,BX$4),'Basis Options'!$AF:$AF)</f>
        <v>0</v>
      </c>
      <c r="BY146" s="43">
        <f>SUMIF('Basis Options'!$X:$X,CONCATENATE($AK146,BY$4),'Basis Options'!$AF:$AF)</f>
        <v>0</v>
      </c>
      <c r="BZ146" s="43">
        <f>SUMIF('Basis Options'!$X:$X,CONCATENATE($AK146,BZ$4),'Basis Options'!$AF:$AF)</f>
        <v>0</v>
      </c>
      <c r="CA146" s="43">
        <f>SUMIF('Basis Options'!$X:$X,CONCATENATE($AK146,CA$4),'Basis Options'!$AF:$AF)</f>
        <v>0</v>
      </c>
      <c r="CB146" s="43">
        <f>SUMIF('Basis Options'!$X:$X,CONCATENATE($AK146,CB$4),'Basis Options'!$AF:$AF)</f>
        <v>0</v>
      </c>
      <c r="CC146" s="43">
        <f>SUMIF('Basis Options'!$X:$X,CONCATENATE($AK146,CC$4),'Basis Options'!$AF:$AF)</f>
        <v>0</v>
      </c>
      <c r="CD146" s="43"/>
      <c r="CE146" s="43">
        <f>SUMIF('Basis Options'!$X:$X,CONCATENATE($AK146,CE$4),'Basis Options'!$AF:$AF)</f>
        <v>0</v>
      </c>
      <c r="CF146" s="43"/>
      <c r="CG146" s="41">
        <f t="shared" si="64"/>
        <v>41030</v>
      </c>
      <c r="CH146" s="44">
        <f t="shared" si="65"/>
        <v>0</v>
      </c>
    </row>
    <row r="147" spans="1:86" x14ac:dyDescent="0.25">
      <c r="A147" s="41">
        <f t="shared" si="51"/>
        <v>41061</v>
      </c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1">
        <f t="shared" si="52"/>
        <v>41061</v>
      </c>
      <c r="P147" s="44">
        <f t="shared" si="53"/>
        <v>0</v>
      </c>
      <c r="S147" s="41">
        <f t="shared" si="54"/>
        <v>41061</v>
      </c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1">
        <f t="shared" si="55"/>
        <v>41061</v>
      </c>
      <c r="AH147" s="44">
        <f t="shared" si="56"/>
        <v>0</v>
      </c>
      <c r="AK147" s="41">
        <f t="shared" si="57"/>
        <v>41061</v>
      </c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1">
        <f t="shared" si="58"/>
        <v>41061</v>
      </c>
      <c r="AZ147" s="44">
        <f t="shared" si="59"/>
        <v>0</v>
      </c>
      <c r="BB147" s="41">
        <f t="shared" si="60"/>
        <v>41061</v>
      </c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1">
        <f t="shared" si="61"/>
        <v>41061</v>
      </c>
      <c r="BQ147" s="44">
        <f t="shared" si="62"/>
        <v>0</v>
      </c>
      <c r="BS147" s="41">
        <f t="shared" si="63"/>
        <v>41061</v>
      </c>
      <c r="BT147" s="43">
        <f>SUMIF('Basis Options'!$X:$X,CONCATENATE($AK147,BT$4),'Basis Options'!$AF:$AF)</f>
        <v>0</v>
      </c>
      <c r="BU147" s="43">
        <f>SUMIF('Basis Options'!$X:$X,CONCATENATE($AK147,BU$4),'Basis Options'!$AF:$AF)</f>
        <v>0</v>
      </c>
      <c r="BV147" s="43">
        <f>SUMIF('Basis Options'!$X:$X,CONCATENATE($AK147,BV$4),'Basis Options'!$AF:$AF)</f>
        <v>0</v>
      </c>
      <c r="BW147" s="43">
        <f>SUMIF('Basis Options'!$X:$X,CONCATENATE($AK147,BW$4),'Basis Options'!$AF:$AF)</f>
        <v>0</v>
      </c>
      <c r="BX147" s="43">
        <f>SUMIF('Basis Options'!$X:$X,CONCATENATE($AK147,BX$4),'Basis Options'!$AF:$AF)</f>
        <v>0</v>
      </c>
      <c r="BY147" s="43">
        <f>SUMIF('Basis Options'!$X:$X,CONCATENATE($AK147,BY$4),'Basis Options'!$AF:$AF)</f>
        <v>0</v>
      </c>
      <c r="BZ147" s="43">
        <f>SUMIF('Basis Options'!$X:$X,CONCATENATE($AK147,BZ$4),'Basis Options'!$AF:$AF)</f>
        <v>0</v>
      </c>
      <c r="CA147" s="43">
        <f>SUMIF('Basis Options'!$X:$X,CONCATENATE($AK147,CA$4),'Basis Options'!$AF:$AF)</f>
        <v>0</v>
      </c>
      <c r="CB147" s="43">
        <f>SUMIF('Basis Options'!$X:$X,CONCATENATE($AK147,CB$4),'Basis Options'!$AF:$AF)</f>
        <v>0</v>
      </c>
      <c r="CC147" s="43">
        <f>SUMIF('Basis Options'!$X:$X,CONCATENATE($AK147,CC$4),'Basis Options'!$AF:$AF)</f>
        <v>0</v>
      </c>
      <c r="CD147" s="43"/>
      <c r="CE147" s="43">
        <f>SUMIF('Basis Options'!$X:$X,CONCATENATE($AK147,CE$4),'Basis Options'!$AF:$AF)</f>
        <v>0</v>
      </c>
      <c r="CF147" s="43"/>
      <c r="CG147" s="41">
        <f t="shared" si="64"/>
        <v>41061</v>
      </c>
      <c r="CH147" s="44">
        <f t="shared" si="65"/>
        <v>0</v>
      </c>
    </row>
    <row r="148" spans="1:86" x14ac:dyDescent="0.25">
      <c r="A148" s="41">
        <f t="shared" si="51"/>
        <v>41091</v>
      </c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1">
        <f t="shared" si="52"/>
        <v>41091</v>
      </c>
      <c r="P148" s="44">
        <f t="shared" si="53"/>
        <v>0</v>
      </c>
      <c r="S148" s="41">
        <f t="shared" si="54"/>
        <v>41091</v>
      </c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1">
        <f t="shared" si="55"/>
        <v>41091</v>
      </c>
      <c r="AH148" s="44">
        <f t="shared" si="56"/>
        <v>0</v>
      </c>
      <c r="AK148" s="41">
        <f t="shared" si="57"/>
        <v>41091</v>
      </c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1">
        <f t="shared" si="58"/>
        <v>41091</v>
      </c>
      <c r="AZ148" s="44">
        <f t="shared" si="59"/>
        <v>0</v>
      </c>
      <c r="BB148" s="41">
        <f t="shared" si="60"/>
        <v>41091</v>
      </c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1">
        <f t="shared" si="61"/>
        <v>41091</v>
      </c>
      <c r="BQ148" s="44">
        <f t="shared" si="62"/>
        <v>0</v>
      </c>
      <c r="BS148" s="41">
        <f t="shared" si="63"/>
        <v>41091</v>
      </c>
      <c r="BT148" s="43">
        <f>SUMIF('Basis Options'!$X:$X,CONCATENATE($AK148,BT$4),'Basis Options'!$AF:$AF)</f>
        <v>0</v>
      </c>
      <c r="BU148" s="43">
        <f>SUMIF('Basis Options'!$X:$X,CONCATENATE($AK148,BU$4),'Basis Options'!$AF:$AF)</f>
        <v>0</v>
      </c>
      <c r="BV148" s="43">
        <f>SUMIF('Basis Options'!$X:$X,CONCATENATE($AK148,BV$4),'Basis Options'!$AF:$AF)</f>
        <v>0</v>
      </c>
      <c r="BW148" s="43">
        <f>SUMIF('Basis Options'!$X:$X,CONCATENATE($AK148,BW$4),'Basis Options'!$AF:$AF)</f>
        <v>0</v>
      </c>
      <c r="BX148" s="43">
        <f>SUMIF('Basis Options'!$X:$X,CONCATENATE($AK148,BX$4),'Basis Options'!$AF:$AF)</f>
        <v>0</v>
      </c>
      <c r="BY148" s="43">
        <f>SUMIF('Basis Options'!$X:$X,CONCATENATE($AK148,BY$4),'Basis Options'!$AF:$AF)</f>
        <v>0</v>
      </c>
      <c r="BZ148" s="43">
        <f>SUMIF('Basis Options'!$X:$X,CONCATENATE($AK148,BZ$4),'Basis Options'!$AF:$AF)</f>
        <v>0</v>
      </c>
      <c r="CA148" s="43">
        <f>SUMIF('Basis Options'!$X:$X,CONCATENATE($AK148,CA$4),'Basis Options'!$AF:$AF)</f>
        <v>0</v>
      </c>
      <c r="CB148" s="43">
        <f>SUMIF('Basis Options'!$X:$X,CONCATENATE($AK148,CB$4),'Basis Options'!$AF:$AF)</f>
        <v>0</v>
      </c>
      <c r="CC148" s="43">
        <f>SUMIF('Basis Options'!$X:$X,CONCATENATE($AK148,CC$4),'Basis Options'!$AF:$AF)</f>
        <v>0</v>
      </c>
      <c r="CD148" s="43"/>
      <c r="CE148" s="43">
        <f>SUMIF('Basis Options'!$X:$X,CONCATENATE($AK148,CE$4),'Basis Options'!$AF:$AF)</f>
        <v>0</v>
      </c>
      <c r="CF148" s="43"/>
      <c r="CG148" s="41">
        <f t="shared" si="64"/>
        <v>41091</v>
      </c>
      <c r="CH148" s="44">
        <f t="shared" si="65"/>
        <v>0</v>
      </c>
    </row>
    <row r="149" spans="1:86" x14ac:dyDescent="0.25">
      <c r="A149" s="41">
        <f t="shared" si="51"/>
        <v>41122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1">
        <f t="shared" si="52"/>
        <v>41122</v>
      </c>
      <c r="P149" s="44">
        <f t="shared" si="53"/>
        <v>0</v>
      </c>
      <c r="S149" s="41">
        <f t="shared" si="54"/>
        <v>41122</v>
      </c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1">
        <f t="shared" si="55"/>
        <v>41122</v>
      </c>
      <c r="AH149" s="44">
        <f t="shared" si="56"/>
        <v>0</v>
      </c>
      <c r="AK149" s="41">
        <f t="shared" si="57"/>
        <v>41122</v>
      </c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1">
        <f t="shared" si="58"/>
        <v>41122</v>
      </c>
      <c r="AZ149" s="44">
        <f t="shared" si="59"/>
        <v>0</v>
      </c>
      <c r="BB149" s="41">
        <f t="shared" si="60"/>
        <v>41122</v>
      </c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1">
        <f t="shared" si="61"/>
        <v>41122</v>
      </c>
      <c r="BQ149" s="44">
        <f t="shared" si="62"/>
        <v>0</v>
      </c>
      <c r="BS149" s="41">
        <f t="shared" si="63"/>
        <v>41122</v>
      </c>
      <c r="BT149" s="43">
        <f>SUMIF('Basis Options'!$X:$X,CONCATENATE($AK149,BT$4),'Basis Options'!$AF:$AF)</f>
        <v>0</v>
      </c>
      <c r="BU149" s="43">
        <f>SUMIF('Basis Options'!$X:$X,CONCATENATE($AK149,BU$4),'Basis Options'!$AF:$AF)</f>
        <v>0</v>
      </c>
      <c r="BV149" s="43">
        <f>SUMIF('Basis Options'!$X:$X,CONCATENATE($AK149,BV$4),'Basis Options'!$AF:$AF)</f>
        <v>0</v>
      </c>
      <c r="BW149" s="43">
        <f>SUMIF('Basis Options'!$X:$X,CONCATENATE($AK149,BW$4),'Basis Options'!$AF:$AF)</f>
        <v>0</v>
      </c>
      <c r="BX149" s="43">
        <f>SUMIF('Basis Options'!$X:$X,CONCATENATE($AK149,BX$4),'Basis Options'!$AF:$AF)</f>
        <v>0</v>
      </c>
      <c r="BY149" s="43">
        <f>SUMIF('Basis Options'!$X:$X,CONCATENATE($AK149,BY$4),'Basis Options'!$AF:$AF)</f>
        <v>0</v>
      </c>
      <c r="BZ149" s="43">
        <f>SUMIF('Basis Options'!$X:$X,CONCATENATE($AK149,BZ$4),'Basis Options'!$AF:$AF)</f>
        <v>0</v>
      </c>
      <c r="CA149" s="43">
        <f>SUMIF('Basis Options'!$X:$X,CONCATENATE($AK149,CA$4),'Basis Options'!$AF:$AF)</f>
        <v>0</v>
      </c>
      <c r="CB149" s="43">
        <f>SUMIF('Basis Options'!$X:$X,CONCATENATE($AK149,CB$4),'Basis Options'!$AF:$AF)</f>
        <v>0</v>
      </c>
      <c r="CC149" s="43">
        <f>SUMIF('Basis Options'!$X:$X,CONCATENATE($AK149,CC$4),'Basis Options'!$AF:$AF)</f>
        <v>0</v>
      </c>
      <c r="CD149" s="43"/>
      <c r="CE149" s="43">
        <f>SUMIF('Basis Options'!$X:$X,CONCATENATE($AK149,CE$4),'Basis Options'!$AF:$AF)</f>
        <v>0</v>
      </c>
      <c r="CF149" s="43"/>
      <c r="CG149" s="41">
        <f t="shared" si="64"/>
        <v>41122</v>
      </c>
      <c r="CH149" s="44">
        <f t="shared" si="65"/>
        <v>0</v>
      </c>
    </row>
    <row r="150" spans="1:86" x14ac:dyDescent="0.25">
      <c r="A150" s="41">
        <f t="shared" si="51"/>
        <v>41153</v>
      </c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1">
        <f t="shared" si="52"/>
        <v>41153</v>
      </c>
      <c r="P150" s="44">
        <f t="shared" si="53"/>
        <v>0</v>
      </c>
      <c r="S150" s="41">
        <f t="shared" si="54"/>
        <v>41153</v>
      </c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1">
        <f t="shared" si="55"/>
        <v>41153</v>
      </c>
      <c r="AH150" s="44">
        <f t="shared" si="56"/>
        <v>0</v>
      </c>
      <c r="AK150" s="41">
        <f t="shared" si="57"/>
        <v>41153</v>
      </c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1">
        <f t="shared" si="58"/>
        <v>41153</v>
      </c>
      <c r="AZ150" s="44">
        <f t="shared" si="59"/>
        <v>0</v>
      </c>
      <c r="BB150" s="41">
        <f t="shared" si="60"/>
        <v>41153</v>
      </c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1">
        <f t="shared" si="61"/>
        <v>41153</v>
      </c>
      <c r="BQ150" s="44">
        <f t="shared" si="62"/>
        <v>0</v>
      </c>
      <c r="BS150" s="41">
        <f t="shared" si="63"/>
        <v>41153</v>
      </c>
      <c r="BT150" s="43">
        <f>SUMIF('Basis Options'!$X:$X,CONCATENATE($AK150,BT$4),'Basis Options'!$AF:$AF)</f>
        <v>0</v>
      </c>
      <c r="BU150" s="43">
        <f>SUMIF('Basis Options'!$X:$X,CONCATENATE($AK150,BU$4),'Basis Options'!$AF:$AF)</f>
        <v>0</v>
      </c>
      <c r="BV150" s="43">
        <f>SUMIF('Basis Options'!$X:$X,CONCATENATE($AK150,BV$4),'Basis Options'!$AF:$AF)</f>
        <v>0</v>
      </c>
      <c r="BW150" s="43">
        <f>SUMIF('Basis Options'!$X:$X,CONCATENATE($AK150,BW$4),'Basis Options'!$AF:$AF)</f>
        <v>0</v>
      </c>
      <c r="BX150" s="43">
        <f>SUMIF('Basis Options'!$X:$X,CONCATENATE($AK150,BX$4),'Basis Options'!$AF:$AF)</f>
        <v>0</v>
      </c>
      <c r="BY150" s="43">
        <f>SUMIF('Basis Options'!$X:$X,CONCATENATE($AK150,BY$4),'Basis Options'!$AF:$AF)</f>
        <v>0</v>
      </c>
      <c r="BZ150" s="43">
        <f>SUMIF('Basis Options'!$X:$X,CONCATENATE($AK150,BZ$4),'Basis Options'!$AF:$AF)</f>
        <v>0</v>
      </c>
      <c r="CA150" s="43">
        <f>SUMIF('Basis Options'!$X:$X,CONCATENATE($AK150,CA$4),'Basis Options'!$AF:$AF)</f>
        <v>0</v>
      </c>
      <c r="CB150" s="43">
        <f>SUMIF('Basis Options'!$X:$X,CONCATENATE($AK150,CB$4),'Basis Options'!$AF:$AF)</f>
        <v>0</v>
      </c>
      <c r="CC150" s="43">
        <f>SUMIF('Basis Options'!$X:$X,CONCATENATE($AK150,CC$4),'Basis Options'!$AF:$AF)</f>
        <v>0</v>
      </c>
      <c r="CD150" s="43"/>
      <c r="CE150" s="43">
        <f>SUMIF('Basis Options'!$X:$X,CONCATENATE($AK150,CE$4),'Basis Options'!$AF:$AF)</f>
        <v>0</v>
      </c>
      <c r="CF150" s="43"/>
      <c r="CG150" s="41">
        <f t="shared" si="64"/>
        <v>41153</v>
      </c>
      <c r="CH150" s="44">
        <f t="shared" si="65"/>
        <v>0</v>
      </c>
    </row>
    <row r="151" spans="1:86" x14ac:dyDescent="0.25">
      <c r="A151" s="41">
        <f t="shared" si="51"/>
        <v>41183</v>
      </c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1">
        <f t="shared" si="52"/>
        <v>41183</v>
      </c>
      <c r="P151" s="44">
        <f t="shared" si="53"/>
        <v>0</v>
      </c>
      <c r="S151" s="41">
        <f t="shared" si="54"/>
        <v>41183</v>
      </c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1">
        <f t="shared" si="55"/>
        <v>41183</v>
      </c>
      <c r="AH151" s="44">
        <f t="shared" si="56"/>
        <v>0</v>
      </c>
      <c r="AK151" s="41">
        <f t="shared" si="57"/>
        <v>41183</v>
      </c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1">
        <f t="shared" si="58"/>
        <v>41183</v>
      </c>
      <c r="AZ151" s="44">
        <f t="shared" si="59"/>
        <v>0</v>
      </c>
      <c r="BB151" s="41">
        <f t="shared" si="60"/>
        <v>41183</v>
      </c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1">
        <f t="shared" si="61"/>
        <v>41183</v>
      </c>
      <c r="BQ151" s="44">
        <f t="shared" si="62"/>
        <v>0</v>
      </c>
      <c r="BS151" s="41">
        <f t="shared" si="63"/>
        <v>41183</v>
      </c>
      <c r="BT151" s="43">
        <f>SUMIF('Basis Options'!$X:$X,CONCATENATE($AK151,BT$4),'Basis Options'!$AF:$AF)</f>
        <v>0</v>
      </c>
      <c r="BU151" s="43">
        <f>SUMIF('Basis Options'!$X:$X,CONCATENATE($AK151,BU$4),'Basis Options'!$AF:$AF)</f>
        <v>0</v>
      </c>
      <c r="BV151" s="43">
        <f>SUMIF('Basis Options'!$X:$X,CONCATENATE($AK151,BV$4),'Basis Options'!$AF:$AF)</f>
        <v>0</v>
      </c>
      <c r="BW151" s="43">
        <f>SUMIF('Basis Options'!$X:$X,CONCATENATE($AK151,BW$4),'Basis Options'!$AF:$AF)</f>
        <v>0</v>
      </c>
      <c r="BX151" s="43">
        <f>SUMIF('Basis Options'!$X:$X,CONCATENATE($AK151,BX$4),'Basis Options'!$AF:$AF)</f>
        <v>0</v>
      </c>
      <c r="BY151" s="43">
        <f>SUMIF('Basis Options'!$X:$X,CONCATENATE($AK151,BY$4),'Basis Options'!$AF:$AF)</f>
        <v>0</v>
      </c>
      <c r="BZ151" s="43">
        <f>SUMIF('Basis Options'!$X:$X,CONCATENATE($AK151,BZ$4),'Basis Options'!$AF:$AF)</f>
        <v>0</v>
      </c>
      <c r="CA151" s="43">
        <f>SUMIF('Basis Options'!$X:$X,CONCATENATE($AK151,CA$4),'Basis Options'!$AF:$AF)</f>
        <v>0</v>
      </c>
      <c r="CB151" s="43">
        <f>SUMIF('Basis Options'!$X:$X,CONCATENATE($AK151,CB$4),'Basis Options'!$AF:$AF)</f>
        <v>0</v>
      </c>
      <c r="CC151" s="43">
        <f>SUMIF('Basis Options'!$X:$X,CONCATENATE($AK151,CC$4),'Basis Options'!$AF:$AF)</f>
        <v>0</v>
      </c>
      <c r="CD151" s="43"/>
      <c r="CE151" s="43">
        <f>SUMIF('Basis Options'!$X:$X,CONCATENATE($AK151,CE$4),'Basis Options'!$AF:$AF)</f>
        <v>0</v>
      </c>
      <c r="CF151" s="43"/>
      <c r="CG151" s="41">
        <f t="shared" si="64"/>
        <v>41183</v>
      </c>
      <c r="CH151" s="44">
        <f t="shared" si="65"/>
        <v>0</v>
      </c>
    </row>
    <row r="152" spans="1:86" x14ac:dyDescent="0.25">
      <c r="A152" s="41">
        <f t="shared" si="51"/>
        <v>41214</v>
      </c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1">
        <f t="shared" si="52"/>
        <v>41214</v>
      </c>
      <c r="P152" s="44">
        <f t="shared" si="53"/>
        <v>0</v>
      </c>
      <c r="S152" s="41">
        <f t="shared" si="54"/>
        <v>41214</v>
      </c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1">
        <f t="shared" si="55"/>
        <v>41214</v>
      </c>
      <c r="AH152" s="44">
        <f t="shared" si="56"/>
        <v>0</v>
      </c>
      <c r="AK152" s="41">
        <f t="shared" si="57"/>
        <v>41214</v>
      </c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1">
        <f t="shared" si="58"/>
        <v>41214</v>
      </c>
      <c r="AZ152" s="44">
        <f t="shared" si="59"/>
        <v>0</v>
      </c>
      <c r="BB152" s="41">
        <f t="shared" si="60"/>
        <v>41214</v>
      </c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1">
        <f t="shared" si="61"/>
        <v>41214</v>
      </c>
      <c r="BQ152" s="44">
        <f t="shared" si="62"/>
        <v>0</v>
      </c>
      <c r="BS152" s="41">
        <f t="shared" si="63"/>
        <v>41214</v>
      </c>
      <c r="BT152" s="43">
        <f>SUMIF('Basis Options'!$X:$X,CONCATENATE($AK152,BT$4),'Basis Options'!$AF:$AF)</f>
        <v>0</v>
      </c>
      <c r="BU152" s="43">
        <f>SUMIF('Basis Options'!$X:$X,CONCATENATE($AK152,BU$4),'Basis Options'!$AF:$AF)</f>
        <v>0</v>
      </c>
      <c r="BV152" s="43">
        <f>SUMIF('Basis Options'!$X:$X,CONCATENATE($AK152,BV$4),'Basis Options'!$AF:$AF)</f>
        <v>0</v>
      </c>
      <c r="BW152" s="43">
        <f>SUMIF('Basis Options'!$X:$X,CONCATENATE($AK152,BW$4),'Basis Options'!$AF:$AF)</f>
        <v>0</v>
      </c>
      <c r="BX152" s="43">
        <f>SUMIF('Basis Options'!$X:$X,CONCATENATE($AK152,BX$4),'Basis Options'!$AF:$AF)</f>
        <v>0</v>
      </c>
      <c r="BY152" s="43">
        <f>SUMIF('Basis Options'!$X:$X,CONCATENATE($AK152,BY$4),'Basis Options'!$AF:$AF)</f>
        <v>0</v>
      </c>
      <c r="BZ152" s="43">
        <f>SUMIF('Basis Options'!$X:$X,CONCATENATE($AK152,BZ$4),'Basis Options'!$AF:$AF)</f>
        <v>0</v>
      </c>
      <c r="CA152" s="43">
        <f>SUMIF('Basis Options'!$X:$X,CONCATENATE($AK152,CA$4),'Basis Options'!$AF:$AF)</f>
        <v>0</v>
      </c>
      <c r="CB152" s="43">
        <f>SUMIF('Basis Options'!$X:$X,CONCATENATE($AK152,CB$4),'Basis Options'!$AF:$AF)</f>
        <v>0</v>
      </c>
      <c r="CC152" s="43">
        <f>SUMIF('Basis Options'!$X:$X,CONCATENATE($AK152,CC$4),'Basis Options'!$AF:$AF)</f>
        <v>0</v>
      </c>
      <c r="CD152" s="43"/>
      <c r="CE152" s="43">
        <f>SUMIF('Basis Options'!$X:$X,CONCATENATE($AK152,CE$4),'Basis Options'!$AF:$AF)</f>
        <v>0</v>
      </c>
      <c r="CF152" s="43"/>
      <c r="CG152" s="41">
        <f t="shared" si="64"/>
        <v>41214</v>
      </c>
      <c r="CH152" s="44">
        <f t="shared" si="65"/>
        <v>0</v>
      </c>
    </row>
    <row r="153" spans="1:86" x14ac:dyDescent="0.25">
      <c r="A153" s="41">
        <f t="shared" si="51"/>
        <v>41244</v>
      </c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1">
        <f t="shared" si="52"/>
        <v>41244</v>
      </c>
      <c r="P153" s="44">
        <f t="shared" si="53"/>
        <v>0</v>
      </c>
      <c r="S153" s="41">
        <f t="shared" si="54"/>
        <v>41244</v>
      </c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1">
        <f t="shared" si="55"/>
        <v>41244</v>
      </c>
      <c r="AH153" s="44">
        <f t="shared" si="56"/>
        <v>0</v>
      </c>
      <c r="AK153" s="41">
        <f t="shared" si="57"/>
        <v>41244</v>
      </c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1">
        <f t="shared" si="58"/>
        <v>41244</v>
      </c>
      <c r="AZ153" s="44">
        <f t="shared" si="59"/>
        <v>0</v>
      </c>
      <c r="BB153" s="41">
        <f t="shared" si="60"/>
        <v>41244</v>
      </c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1">
        <f t="shared" si="61"/>
        <v>41244</v>
      </c>
      <c r="BQ153" s="44">
        <f t="shared" si="62"/>
        <v>0</v>
      </c>
      <c r="BS153" s="41">
        <f t="shared" si="63"/>
        <v>41244</v>
      </c>
      <c r="BT153" s="43">
        <f>SUMIF('Basis Options'!$X:$X,CONCATENATE($AK153,BT$4),'Basis Options'!$AF:$AF)</f>
        <v>0</v>
      </c>
      <c r="BU153" s="43">
        <f>SUMIF('Basis Options'!$X:$X,CONCATENATE($AK153,BU$4),'Basis Options'!$AF:$AF)</f>
        <v>0</v>
      </c>
      <c r="BV153" s="43">
        <f>SUMIF('Basis Options'!$X:$X,CONCATENATE($AK153,BV$4),'Basis Options'!$AF:$AF)</f>
        <v>0</v>
      </c>
      <c r="BW153" s="43">
        <f>SUMIF('Basis Options'!$X:$X,CONCATENATE($AK153,BW$4),'Basis Options'!$AF:$AF)</f>
        <v>0</v>
      </c>
      <c r="BX153" s="43">
        <f>SUMIF('Basis Options'!$X:$X,CONCATENATE($AK153,BX$4),'Basis Options'!$AF:$AF)</f>
        <v>0</v>
      </c>
      <c r="BY153" s="43">
        <f>SUMIF('Basis Options'!$X:$X,CONCATENATE($AK153,BY$4),'Basis Options'!$AF:$AF)</f>
        <v>0</v>
      </c>
      <c r="BZ153" s="43">
        <f>SUMIF('Basis Options'!$X:$X,CONCATENATE($AK153,BZ$4),'Basis Options'!$AF:$AF)</f>
        <v>0</v>
      </c>
      <c r="CA153" s="43">
        <f>SUMIF('Basis Options'!$X:$X,CONCATENATE($AK153,CA$4),'Basis Options'!$AF:$AF)</f>
        <v>0</v>
      </c>
      <c r="CB153" s="43">
        <f>SUMIF('Basis Options'!$X:$X,CONCATENATE($AK153,CB$4),'Basis Options'!$AF:$AF)</f>
        <v>0</v>
      </c>
      <c r="CC153" s="43">
        <f>SUMIF('Basis Options'!$X:$X,CONCATENATE($AK153,CC$4),'Basis Options'!$AF:$AF)</f>
        <v>0</v>
      </c>
      <c r="CD153" s="43"/>
      <c r="CE153" s="43">
        <f>SUMIF('Basis Options'!$X:$X,CONCATENATE($AK153,CE$4),'Basis Options'!$AF:$AF)</f>
        <v>0</v>
      </c>
      <c r="CF153" s="43"/>
      <c r="CG153" s="41">
        <f t="shared" si="64"/>
        <v>41244</v>
      </c>
      <c r="CH153" s="44">
        <f t="shared" si="65"/>
        <v>0</v>
      </c>
    </row>
    <row r="154" spans="1:86" x14ac:dyDescent="0.25">
      <c r="A154" s="41">
        <f t="shared" si="51"/>
        <v>41275</v>
      </c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1">
        <f t="shared" si="52"/>
        <v>41275</v>
      </c>
      <c r="P154" s="44">
        <f t="shared" si="53"/>
        <v>0</v>
      </c>
      <c r="S154" s="41">
        <f t="shared" si="54"/>
        <v>41275</v>
      </c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1">
        <f t="shared" si="55"/>
        <v>41275</v>
      </c>
      <c r="AH154" s="44">
        <f t="shared" si="56"/>
        <v>0</v>
      </c>
      <c r="AK154" s="41">
        <f t="shared" si="57"/>
        <v>41275</v>
      </c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1">
        <f t="shared" si="58"/>
        <v>41275</v>
      </c>
      <c r="AZ154" s="44">
        <f t="shared" si="59"/>
        <v>0</v>
      </c>
      <c r="BB154" s="41">
        <f t="shared" si="60"/>
        <v>41275</v>
      </c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1">
        <f t="shared" si="61"/>
        <v>41275</v>
      </c>
      <c r="BQ154" s="44">
        <f t="shared" si="62"/>
        <v>0</v>
      </c>
      <c r="BS154" s="41">
        <f t="shared" si="63"/>
        <v>41275</v>
      </c>
      <c r="BT154" s="43">
        <f>SUMIF('Basis Options'!$X:$X,CONCATENATE($AK154,BT$4),'Basis Options'!$AF:$AF)</f>
        <v>0</v>
      </c>
      <c r="BU154" s="43">
        <f>SUMIF('Basis Options'!$X:$X,CONCATENATE($AK154,BU$4),'Basis Options'!$AF:$AF)</f>
        <v>0</v>
      </c>
      <c r="BV154" s="43">
        <f>SUMIF('Basis Options'!$X:$X,CONCATENATE($AK154,BV$4),'Basis Options'!$AF:$AF)</f>
        <v>0</v>
      </c>
      <c r="BW154" s="43">
        <f>SUMIF('Basis Options'!$X:$X,CONCATENATE($AK154,BW$4),'Basis Options'!$AF:$AF)</f>
        <v>0</v>
      </c>
      <c r="BX154" s="43">
        <f>SUMIF('Basis Options'!$X:$X,CONCATENATE($AK154,BX$4),'Basis Options'!$AF:$AF)</f>
        <v>0</v>
      </c>
      <c r="BY154" s="43">
        <f>SUMIF('Basis Options'!$X:$X,CONCATENATE($AK154,BY$4),'Basis Options'!$AF:$AF)</f>
        <v>0</v>
      </c>
      <c r="BZ154" s="43">
        <f>SUMIF('Basis Options'!$X:$X,CONCATENATE($AK154,BZ$4),'Basis Options'!$AF:$AF)</f>
        <v>0</v>
      </c>
      <c r="CA154" s="43">
        <f>SUMIF('Basis Options'!$X:$X,CONCATENATE($AK154,CA$4),'Basis Options'!$AF:$AF)</f>
        <v>0</v>
      </c>
      <c r="CB154" s="43">
        <f>SUMIF('Basis Options'!$X:$X,CONCATENATE($AK154,CB$4),'Basis Options'!$AF:$AF)</f>
        <v>0</v>
      </c>
      <c r="CC154" s="43">
        <f>SUMIF('Basis Options'!$X:$X,CONCATENATE($AK154,CC$4),'Basis Options'!$AF:$AF)</f>
        <v>0</v>
      </c>
      <c r="CD154" s="43"/>
      <c r="CE154" s="43">
        <f>SUMIF('Basis Options'!$X:$X,CONCATENATE($AK154,CE$4),'Basis Options'!$AF:$AF)</f>
        <v>0</v>
      </c>
      <c r="CF154" s="43"/>
      <c r="CG154" s="41">
        <f t="shared" si="64"/>
        <v>41275</v>
      </c>
      <c r="CH154" s="44">
        <f t="shared" si="65"/>
        <v>0</v>
      </c>
    </row>
    <row r="155" spans="1:86" x14ac:dyDescent="0.25">
      <c r="A155" s="41">
        <f t="shared" si="51"/>
        <v>41306</v>
      </c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1">
        <f t="shared" si="52"/>
        <v>41306</v>
      </c>
      <c r="P155" s="44">
        <f t="shared" si="53"/>
        <v>0</v>
      </c>
      <c r="S155" s="41">
        <f t="shared" si="54"/>
        <v>41306</v>
      </c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1">
        <f t="shared" si="55"/>
        <v>41306</v>
      </c>
      <c r="AH155" s="44">
        <f t="shared" si="56"/>
        <v>0</v>
      </c>
      <c r="AK155" s="41">
        <f t="shared" si="57"/>
        <v>41306</v>
      </c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1">
        <f t="shared" si="58"/>
        <v>41306</v>
      </c>
      <c r="AZ155" s="44">
        <f t="shared" si="59"/>
        <v>0</v>
      </c>
      <c r="BB155" s="41">
        <f t="shared" si="60"/>
        <v>41306</v>
      </c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1">
        <f t="shared" si="61"/>
        <v>41306</v>
      </c>
      <c r="BQ155" s="44">
        <f t="shared" si="62"/>
        <v>0</v>
      </c>
      <c r="BS155" s="41">
        <f t="shared" si="63"/>
        <v>41306</v>
      </c>
      <c r="BT155" s="43">
        <f>SUMIF('Basis Options'!$X:$X,CONCATENATE($AK155,BT$4),'Basis Options'!$AF:$AF)</f>
        <v>0</v>
      </c>
      <c r="BU155" s="43">
        <f>SUMIF('Basis Options'!$X:$X,CONCATENATE($AK155,BU$4),'Basis Options'!$AF:$AF)</f>
        <v>0</v>
      </c>
      <c r="BV155" s="43">
        <f>SUMIF('Basis Options'!$X:$X,CONCATENATE($AK155,BV$4),'Basis Options'!$AF:$AF)</f>
        <v>0</v>
      </c>
      <c r="BW155" s="43">
        <f>SUMIF('Basis Options'!$X:$X,CONCATENATE($AK155,BW$4),'Basis Options'!$AF:$AF)</f>
        <v>0</v>
      </c>
      <c r="BX155" s="43">
        <f>SUMIF('Basis Options'!$X:$X,CONCATENATE($AK155,BX$4),'Basis Options'!$AF:$AF)</f>
        <v>0</v>
      </c>
      <c r="BY155" s="43">
        <f>SUMIF('Basis Options'!$X:$X,CONCATENATE($AK155,BY$4),'Basis Options'!$AF:$AF)</f>
        <v>0</v>
      </c>
      <c r="BZ155" s="43">
        <f>SUMIF('Basis Options'!$X:$X,CONCATENATE($AK155,BZ$4),'Basis Options'!$AF:$AF)</f>
        <v>0</v>
      </c>
      <c r="CA155" s="43">
        <f>SUMIF('Basis Options'!$X:$X,CONCATENATE($AK155,CA$4),'Basis Options'!$AF:$AF)</f>
        <v>0</v>
      </c>
      <c r="CB155" s="43">
        <f>SUMIF('Basis Options'!$X:$X,CONCATENATE($AK155,CB$4),'Basis Options'!$AF:$AF)</f>
        <v>0</v>
      </c>
      <c r="CC155" s="43">
        <f>SUMIF('Basis Options'!$X:$X,CONCATENATE($AK155,CC$4),'Basis Options'!$AF:$AF)</f>
        <v>0</v>
      </c>
      <c r="CD155" s="43"/>
      <c r="CE155" s="43">
        <f>SUMIF('Basis Options'!$X:$X,CONCATENATE($AK155,CE$4),'Basis Options'!$AF:$AF)</f>
        <v>0</v>
      </c>
      <c r="CF155" s="43"/>
      <c r="CG155" s="41">
        <f t="shared" si="64"/>
        <v>41306</v>
      </c>
      <c r="CH155" s="44">
        <f t="shared" si="65"/>
        <v>0</v>
      </c>
    </row>
    <row r="156" spans="1:86" x14ac:dyDescent="0.25">
      <c r="A156" s="41">
        <f t="shared" si="51"/>
        <v>41334</v>
      </c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1">
        <f t="shared" si="52"/>
        <v>41334</v>
      </c>
      <c r="P156" s="44">
        <f t="shared" si="53"/>
        <v>0</v>
      </c>
      <c r="S156" s="41">
        <f t="shared" si="54"/>
        <v>41334</v>
      </c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1">
        <f t="shared" si="55"/>
        <v>41334</v>
      </c>
      <c r="AH156" s="44">
        <f t="shared" si="56"/>
        <v>0</v>
      </c>
      <c r="AK156" s="41">
        <f t="shared" si="57"/>
        <v>41334</v>
      </c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1">
        <f t="shared" si="58"/>
        <v>41334</v>
      </c>
      <c r="AZ156" s="44">
        <f t="shared" si="59"/>
        <v>0</v>
      </c>
      <c r="BB156" s="41">
        <f t="shared" si="60"/>
        <v>41334</v>
      </c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1">
        <f t="shared" si="61"/>
        <v>41334</v>
      </c>
      <c r="BQ156" s="44">
        <f t="shared" si="62"/>
        <v>0</v>
      </c>
      <c r="BS156" s="41">
        <f t="shared" si="63"/>
        <v>41334</v>
      </c>
      <c r="BT156" s="43">
        <f>SUMIF('Basis Options'!$X:$X,CONCATENATE($AK156,BT$4),'Basis Options'!$AF:$AF)</f>
        <v>0</v>
      </c>
      <c r="BU156" s="43">
        <f>SUMIF('Basis Options'!$X:$X,CONCATENATE($AK156,BU$4),'Basis Options'!$AF:$AF)</f>
        <v>0</v>
      </c>
      <c r="BV156" s="43">
        <f>SUMIF('Basis Options'!$X:$X,CONCATENATE($AK156,BV$4),'Basis Options'!$AF:$AF)</f>
        <v>0</v>
      </c>
      <c r="BW156" s="43">
        <f>SUMIF('Basis Options'!$X:$X,CONCATENATE($AK156,BW$4),'Basis Options'!$AF:$AF)</f>
        <v>0</v>
      </c>
      <c r="BX156" s="43">
        <f>SUMIF('Basis Options'!$X:$X,CONCATENATE($AK156,BX$4),'Basis Options'!$AF:$AF)</f>
        <v>0</v>
      </c>
      <c r="BY156" s="43">
        <f>SUMIF('Basis Options'!$X:$X,CONCATENATE($AK156,BY$4),'Basis Options'!$AF:$AF)</f>
        <v>0</v>
      </c>
      <c r="BZ156" s="43">
        <f>SUMIF('Basis Options'!$X:$X,CONCATENATE($AK156,BZ$4),'Basis Options'!$AF:$AF)</f>
        <v>0</v>
      </c>
      <c r="CA156" s="43">
        <f>SUMIF('Basis Options'!$X:$X,CONCATENATE($AK156,CA$4),'Basis Options'!$AF:$AF)</f>
        <v>0</v>
      </c>
      <c r="CB156" s="43">
        <f>SUMIF('Basis Options'!$X:$X,CONCATENATE($AK156,CB$4),'Basis Options'!$AF:$AF)</f>
        <v>0</v>
      </c>
      <c r="CC156" s="43">
        <f>SUMIF('Basis Options'!$X:$X,CONCATENATE($AK156,CC$4),'Basis Options'!$AF:$AF)</f>
        <v>0</v>
      </c>
      <c r="CD156" s="43"/>
      <c r="CE156" s="43">
        <f>SUMIF('Basis Options'!$X:$X,CONCATENATE($AK156,CE$4),'Basis Options'!$AF:$AF)</f>
        <v>0</v>
      </c>
      <c r="CF156" s="43"/>
      <c r="CG156" s="41">
        <f t="shared" si="64"/>
        <v>41334</v>
      </c>
      <c r="CH156" s="44">
        <f t="shared" si="65"/>
        <v>0</v>
      </c>
    </row>
    <row r="157" spans="1:86" x14ac:dyDescent="0.25">
      <c r="A157" s="41">
        <f t="shared" si="51"/>
        <v>41365</v>
      </c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1">
        <f t="shared" si="52"/>
        <v>41365</v>
      </c>
      <c r="P157" s="44">
        <f t="shared" si="53"/>
        <v>0</v>
      </c>
      <c r="S157" s="41">
        <f t="shared" si="54"/>
        <v>41365</v>
      </c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1">
        <f t="shared" si="55"/>
        <v>41365</v>
      </c>
      <c r="AH157" s="44">
        <f t="shared" si="56"/>
        <v>0</v>
      </c>
      <c r="AK157" s="41">
        <f t="shared" si="57"/>
        <v>41365</v>
      </c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1">
        <f t="shared" si="58"/>
        <v>41365</v>
      </c>
      <c r="AZ157" s="44">
        <f t="shared" si="59"/>
        <v>0</v>
      </c>
      <c r="BB157" s="41">
        <f t="shared" si="60"/>
        <v>41365</v>
      </c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1">
        <f t="shared" si="61"/>
        <v>41365</v>
      </c>
      <c r="BQ157" s="44">
        <f t="shared" si="62"/>
        <v>0</v>
      </c>
      <c r="BS157" s="41">
        <f t="shared" si="63"/>
        <v>41365</v>
      </c>
      <c r="BT157" s="43">
        <f>SUMIF('Basis Options'!$X:$X,CONCATENATE($AK157,BT$4),'Basis Options'!$AF:$AF)</f>
        <v>0</v>
      </c>
      <c r="BU157" s="43">
        <f>SUMIF('Basis Options'!$X:$X,CONCATENATE($AK157,BU$4),'Basis Options'!$AF:$AF)</f>
        <v>0</v>
      </c>
      <c r="BV157" s="43">
        <f>SUMIF('Basis Options'!$X:$X,CONCATENATE($AK157,BV$4),'Basis Options'!$AF:$AF)</f>
        <v>0</v>
      </c>
      <c r="BW157" s="43">
        <f>SUMIF('Basis Options'!$X:$X,CONCATENATE($AK157,BW$4),'Basis Options'!$AF:$AF)</f>
        <v>0</v>
      </c>
      <c r="BX157" s="43">
        <f>SUMIF('Basis Options'!$X:$X,CONCATENATE($AK157,BX$4),'Basis Options'!$AF:$AF)</f>
        <v>0</v>
      </c>
      <c r="BY157" s="43">
        <f>SUMIF('Basis Options'!$X:$X,CONCATENATE($AK157,BY$4),'Basis Options'!$AF:$AF)</f>
        <v>0</v>
      </c>
      <c r="BZ157" s="43">
        <f>SUMIF('Basis Options'!$X:$X,CONCATENATE($AK157,BZ$4),'Basis Options'!$AF:$AF)</f>
        <v>0</v>
      </c>
      <c r="CA157" s="43">
        <f>SUMIF('Basis Options'!$X:$X,CONCATENATE($AK157,CA$4),'Basis Options'!$AF:$AF)</f>
        <v>0</v>
      </c>
      <c r="CB157" s="43">
        <f>SUMIF('Basis Options'!$X:$X,CONCATENATE($AK157,CB$4),'Basis Options'!$AF:$AF)</f>
        <v>0</v>
      </c>
      <c r="CC157" s="43">
        <f>SUMIF('Basis Options'!$X:$X,CONCATENATE($AK157,CC$4),'Basis Options'!$AF:$AF)</f>
        <v>0</v>
      </c>
      <c r="CD157" s="43"/>
      <c r="CE157" s="43">
        <f>SUMIF('Basis Options'!$X:$X,CONCATENATE($AK157,CE$4),'Basis Options'!$AF:$AF)</f>
        <v>0</v>
      </c>
      <c r="CF157" s="43"/>
      <c r="CG157" s="41">
        <f t="shared" si="64"/>
        <v>41365</v>
      </c>
      <c r="CH157" s="44">
        <f t="shared" si="65"/>
        <v>0</v>
      </c>
    </row>
    <row r="158" spans="1:86" x14ac:dyDescent="0.25">
      <c r="A158" s="41">
        <f t="shared" si="51"/>
        <v>41395</v>
      </c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1">
        <f t="shared" si="52"/>
        <v>41395</v>
      </c>
      <c r="P158" s="44">
        <f t="shared" si="53"/>
        <v>0</v>
      </c>
      <c r="S158" s="41">
        <f t="shared" si="54"/>
        <v>41395</v>
      </c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1">
        <f t="shared" si="55"/>
        <v>41395</v>
      </c>
      <c r="AH158" s="44">
        <f t="shared" si="56"/>
        <v>0</v>
      </c>
      <c r="AK158" s="41">
        <f t="shared" si="57"/>
        <v>41395</v>
      </c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1">
        <f t="shared" si="58"/>
        <v>41395</v>
      </c>
      <c r="AZ158" s="44">
        <f t="shared" si="59"/>
        <v>0</v>
      </c>
      <c r="BB158" s="41">
        <f t="shared" si="60"/>
        <v>41395</v>
      </c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1">
        <f t="shared" si="61"/>
        <v>41395</v>
      </c>
      <c r="BQ158" s="44">
        <f t="shared" si="62"/>
        <v>0</v>
      </c>
      <c r="BS158" s="41">
        <f t="shared" si="63"/>
        <v>41395</v>
      </c>
      <c r="BT158" s="43">
        <f>SUMIF('Basis Options'!$X:$X,CONCATENATE($AK158,BT$4),'Basis Options'!$AF:$AF)</f>
        <v>0</v>
      </c>
      <c r="BU158" s="43">
        <f>SUMIF('Basis Options'!$X:$X,CONCATENATE($AK158,BU$4),'Basis Options'!$AF:$AF)</f>
        <v>0</v>
      </c>
      <c r="BV158" s="43">
        <f>SUMIF('Basis Options'!$X:$X,CONCATENATE($AK158,BV$4),'Basis Options'!$AF:$AF)</f>
        <v>0</v>
      </c>
      <c r="BW158" s="43">
        <f>SUMIF('Basis Options'!$X:$X,CONCATENATE($AK158,BW$4),'Basis Options'!$AF:$AF)</f>
        <v>0</v>
      </c>
      <c r="BX158" s="43">
        <f>SUMIF('Basis Options'!$X:$X,CONCATENATE($AK158,BX$4),'Basis Options'!$AF:$AF)</f>
        <v>0</v>
      </c>
      <c r="BY158" s="43">
        <f>SUMIF('Basis Options'!$X:$X,CONCATENATE($AK158,BY$4),'Basis Options'!$AF:$AF)</f>
        <v>0</v>
      </c>
      <c r="BZ158" s="43">
        <f>SUMIF('Basis Options'!$X:$X,CONCATENATE($AK158,BZ$4),'Basis Options'!$AF:$AF)</f>
        <v>0</v>
      </c>
      <c r="CA158" s="43">
        <f>SUMIF('Basis Options'!$X:$X,CONCATENATE($AK158,CA$4),'Basis Options'!$AF:$AF)</f>
        <v>0</v>
      </c>
      <c r="CB158" s="43">
        <f>SUMIF('Basis Options'!$X:$X,CONCATENATE($AK158,CB$4),'Basis Options'!$AF:$AF)</f>
        <v>0</v>
      </c>
      <c r="CC158" s="43">
        <f>SUMIF('Basis Options'!$X:$X,CONCATENATE($AK158,CC$4),'Basis Options'!$AF:$AF)</f>
        <v>0</v>
      </c>
      <c r="CD158" s="43"/>
      <c r="CE158" s="43">
        <f>SUMIF('Basis Options'!$X:$X,CONCATENATE($AK158,CE$4),'Basis Options'!$AF:$AF)</f>
        <v>0</v>
      </c>
      <c r="CF158" s="43"/>
      <c r="CG158" s="41">
        <f t="shared" si="64"/>
        <v>41395</v>
      </c>
      <c r="CH158" s="44">
        <f t="shared" si="65"/>
        <v>0</v>
      </c>
    </row>
    <row r="159" spans="1:86" x14ac:dyDescent="0.25">
      <c r="A159" s="41">
        <f t="shared" si="51"/>
        <v>41426</v>
      </c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1">
        <f t="shared" si="52"/>
        <v>41426</v>
      </c>
      <c r="P159" s="44">
        <f t="shared" si="53"/>
        <v>0</v>
      </c>
      <c r="S159" s="41">
        <f t="shared" si="54"/>
        <v>41426</v>
      </c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1">
        <f t="shared" si="55"/>
        <v>41426</v>
      </c>
      <c r="AH159" s="44">
        <f t="shared" si="56"/>
        <v>0</v>
      </c>
      <c r="AK159" s="41">
        <f t="shared" si="57"/>
        <v>41426</v>
      </c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1">
        <f t="shared" si="58"/>
        <v>41426</v>
      </c>
      <c r="AZ159" s="44">
        <f t="shared" si="59"/>
        <v>0</v>
      </c>
      <c r="BB159" s="41">
        <f t="shared" si="60"/>
        <v>41426</v>
      </c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1">
        <f t="shared" si="61"/>
        <v>41426</v>
      </c>
      <c r="BQ159" s="44">
        <f t="shared" si="62"/>
        <v>0</v>
      </c>
      <c r="BS159" s="41">
        <f t="shared" si="63"/>
        <v>41426</v>
      </c>
      <c r="BT159" s="43">
        <f>SUMIF('Basis Options'!$X:$X,CONCATENATE($AK159,BT$4),'Basis Options'!$AF:$AF)</f>
        <v>0</v>
      </c>
      <c r="BU159" s="43">
        <f>SUMIF('Basis Options'!$X:$X,CONCATENATE($AK159,BU$4),'Basis Options'!$AF:$AF)</f>
        <v>0</v>
      </c>
      <c r="BV159" s="43">
        <f>SUMIF('Basis Options'!$X:$X,CONCATENATE($AK159,BV$4),'Basis Options'!$AF:$AF)</f>
        <v>0</v>
      </c>
      <c r="BW159" s="43">
        <f>SUMIF('Basis Options'!$X:$X,CONCATENATE($AK159,BW$4),'Basis Options'!$AF:$AF)</f>
        <v>0</v>
      </c>
      <c r="BX159" s="43">
        <f>SUMIF('Basis Options'!$X:$X,CONCATENATE($AK159,BX$4),'Basis Options'!$AF:$AF)</f>
        <v>0</v>
      </c>
      <c r="BY159" s="43">
        <f>SUMIF('Basis Options'!$X:$X,CONCATENATE($AK159,BY$4),'Basis Options'!$AF:$AF)</f>
        <v>0</v>
      </c>
      <c r="BZ159" s="43">
        <f>SUMIF('Basis Options'!$X:$X,CONCATENATE($AK159,BZ$4),'Basis Options'!$AF:$AF)</f>
        <v>0</v>
      </c>
      <c r="CA159" s="43">
        <f>SUMIF('Basis Options'!$X:$X,CONCATENATE($AK159,CA$4),'Basis Options'!$AF:$AF)</f>
        <v>0</v>
      </c>
      <c r="CB159" s="43">
        <f>SUMIF('Basis Options'!$X:$X,CONCATENATE($AK159,CB$4),'Basis Options'!$AF:$AF)</f>
        <v>0</v>
      </c>
      <c r="CC159" s="43">
        <f>SUMIF('Basis Options'!$X:$X,CONCATENATE($AK159,CC$4),'Basis Options'!$AF:$AF)</f>
        <v>0</v>
      </c>
      <c r="CD159" s="43"/>
      <c r="CE159" s="43">
        <f>SUMIF('Basis Options'!$X:$X,CONCATENATE($AK159,CE$4),'Basis Options'!$AF:$AF)</f>
        <v>0</v>
      </c>
      <c r="CF159" s="43"/>
      <c r="CG159" s="41">
        <f t="shared" si="64"/>
        <v>41426</v>
      </c>
      <c r="CH159" s="44">
        <f t="shared" si="65"/>
        <v>0</v>
      </c>
    </row>
    <row r="160" spans="1:86" x14ac:dyDescent="0.25">
      <c r="A160" s="41">
        <f t="shared" si="51"/>
        <v>41456</v>
      </c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1">
        <f t="shared" si="52"/>
        <v>41456</v>
      </c>
      <c r="P160" s="44">
        <f t="shared" si="53"/>
        <v>0</v>
      </c>
      <c r="S160" s="41">
        <f t="shared" si="54"/>
        <v>41456</v>
      </c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1">
        <f t="shared" si="55"/>
        <v>41456</v>
      </c>
      <c r="AH160" s="44">
        <f t="shared" si="56"/>
        <v>0</v>
      </c>
      <c r="AK160" s="41">
        <f t="shared" si="57"/>
        <v>41456</v>
      </c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1">
        <f t="shared" si="58"/>
        <v>41456</v>
      </c>
      <c r="AZ160" s="44">
        <f t="shared" si="59"/>
        <v>0</v>
      </c>
      <c r="BB160" s="41">
        <f t="shared" si="60"/>
        <v>41456</v>
      </c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1">
        <f t="shared" si="61"/>
        <v>41456</v>
      </c>
      <c r="BQ160" s="44">
        <f t="shared" si="62"/>
        <v>0</v>
      </c>
      <c r="BS160" s="41">
        <f t="shared" si="63"/>
        <v>41456</v>
      </c>
      <c r="BT160" s="43">
        <f>SUMIF('Basis Options'!$X:$X,CONCATENATE($AK160,BT$4),'Basis Options'!$AF:$AF)</f>
        <v>0</v>
      </c>
      <c r="BU160" s="43">
        <f>SUMIF('Basis Options'!$X:$X,CONCATENATE($AK160,BU$4),'Basis Options'!$AF:$AF)</f>
        <v>0</v>
      </c>
      <c r="BV160" s="43">
        <f>SUMIF('Basis Options'!$X:$X,CONCATENATE($AK160,BV$4),'Basis Options'!$AF:$AF)</f>
        <v>0</v>
      </c>
      <c r="BW160" s="43">
        <f>SUMIF('Basis Options'!$X:$X,CONCATENATE($AK160,BW$4),'Basis Options'!$AF:$AF)</f>
        <v>0</v>
      </c>
      <c r="BX160" s="43">
        <f>SUMIF('Basis Options'!$X:$X,CONCATENATE($AK160,BX$4),'Basis Options'!$AF:$AF)</f>
        <v>0</v>
      </c>
      <c r="BY160" s="43">
        <f>SUMIF('Basis Options'!$X:$X,CONCATENATE($AK160,BY$4),'Basis Options'!$AF:$AF)</f>
        <v>0</v>
      </c>
      <c r="BZ160" s="43">
        <f>SUMIF('Basis Options'!$X:$X,CONCATENATE($AK160,BZ$4),'Basis Options'!$AF:$AF)</f>
        <v>0</v>
      </c>
      <c r="CA160" s="43">
        <f>SUMIF('Basis Options'!$X:$X,CONCATENATE($AK160,CA$4),'Basis Options'!$AF:$AF)</f>
        <v>0</v>
      </c>
      <c r="CB160" s="43">
        <f>SUMIF('Basis Options'!$X:$X,CONCATENATE($AK160,CB$4),'Basis Options'!$AF:$AF)</f>
        <v>0</v>
      </c>
      <c r="CC160" s="43">
        <f>SUMIF('Basis Options'!$X:$X,CONCATENATE($AK160,CC$4),'Basis Options'!$AF:$AF)</f>
        <v>0</v>
      </c>
      <c r="CD160" s="43"/>
      <c r="CE160" s="43">
        <f>SUMIF('Basis Options'!$X:$X,CONCATENATE($AK160,CE$4),'Basis Options'!$AF:$AF)</f>
        <v>0</v>
      </c>
      <c r="CF160" s="43"/>
      <c r="CG160" s="41">
        <f t="shared" si="64"/>
        <v>41456</v>
      </c>
      <c r="CH160" s="44">
        <f t="shared" si="65"/>
        <v>0</v>
      </c>
    </row>
    <row r="161" spans="1:86" x14ac:dyDescent="0.25">
      <c r="A161" s="41">
        <f t="shared" si="51"/>
        <v>41487</v>
      </c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1">
        <f t="shared" si="52"/>
        <v>41487</v>
      </c>
      <c r="P161" s="44">
        <f t="shared" si="53"/>
        <v>0</v>
      </c>
      <c r="S161" s="41">
        <f t="shared" si="54"/>
        <v>41487</v>
      </c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1">
        <f t="shared" si="55"/>
        <v>41487</v>
      </c>
      <c r="AH161" s="44">
        <f t="shared" si="56"/>
        <v>0</v>
      </c>
      <c r="AK161" s="41">
        <f t="shared" si="57"/>
        <v>41487</v>
      </c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1">
        <f t="shared" si="58"/>
        <v>41487</v>
      </c>
      <c r="AZ161" s="44">
        <f t="shared" si="59"/>
        <v>0</v>
      </c>
      <c r="BB161" s="41">
        <f t="shared" si="60"/>
        <v>41487</v>
      </c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1">
        <f t="shared" si="61"/>
        <v>41487</v>
      </c>
      <c r="BQ161" s="44">
        <f t="shared" si="62"/>
        <v>0</v>
      </c>
      <c r="BS161" s="41">
        <f t="shared" si="63"/>
        <v>41487</v>
      </c>
      <c r="BT161" s="43">
        <f>SUMIF('Basis Options'!$X:$X,CONCATENATE($AK161,BT$4),'Basis Options'!$AF:$AF)</f>
        <v>0</v>
      </c>
      <c r="BU161" s="43">
        <f>SUMIF('Basis Options'!$X:$X,CONCATENATE($AK161,BU$4),'Basis Options'!$AF:$AF)</f>
        <v>0</v>
      </c>
      <c r="BV161" s="43">
        <f>SUMIF('Basis Options'!$X:$X,CONCATENATE($AK161,BV$4),'Basis Options'!$AF:$AF)</f>
        <v>0</v>
      </c>
      <c r="BW161" s="43">
        <f>SUMIF('Basis Options'!$X:$X,CONCATENATE($AK161,BW$4),'Basis Options'!$AF:$AF)</f>
        <v>0</v>
      </c>
      <c r="BX161" s="43">
        <f>SUMIF('Basis Options'!$X:$X,CONCATENATE($AK161,BX$4),'Basis Options'!$AF:$AF)</f>
        <v>0</v>
      </c>
      <c r="BY161" s="43">
        <f>SUMIF('Basis Options'!$X:$X,CONCATENATE($AK161,BY$4),'Basis Options'!$AF:$AF)</f>
        <v>0</v>
      </c>
      <c r="BZ161" s="43">
        <f>SUMIF('Basis Options'!$X:$X,CONCATENATE($AK161,BZ$4),'Basis Options'!$AF:$AF)</f>
        <v>0</v>
      </c>
      <c r="CA161" s="43">
        <f>SUMIF('Basis Options'!$X:$X,CONCATENATE($AK161,CA$4),'Basis Options'!$AF:$AF)</f>
        <v>0</v>
      </c>
      <c r="CB161" s="43">
        <f>SUMIF('Basis Options'!$X:$X,CONCATENATE($AK161,CB$4),'Basis Options'!$AF:$AF)</f>
        <v>0</v>
      </c>
      <c r="CC161" s="43">
        <f>SUMIF('Basis Options'!$X:$X,CONCATENATE($AK161,CC$4),'Basis Options'!$AF:$AF)</f>
        <v>0</v>
      </c>
      <c r="CD161" s="43"/>
      <c r="CE161" s="43">
        <f>SUMIF('Basis Options'!$X:$X,CONCATENATE($AK161,CE$4),'Basis Options'!$AF:$AF)</f>
        <v>0</v>
      </c>
      <c r="CF161" s="43"/>
      <c r="CG161" s="41">
        <f t="shared" si="64"/>
        <v>41487</v>
      </c>
      <c r="CH161" s="44">
        <f t="shared" si="65"/>
        <v>0</v>
      </c>
    </row>
    <row r="162" spans="1:86" x14ac:dyDescent="0.25">
      <c r="A162" s="41">
        <f t="shared" si="51"/>
        <v>41518</v>
      </c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1">
        <f t="shared" si="52"/>
        <v>41518</v>
      </c>
      <c r="P162" s="44">
        <f t="shared" si="53"/>
        <v>0</v>
      </c>
      <c r="S162" s="41">
        <f t="shared" si="54"/>
        <v>41518</v>
      </c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1">
        <f t="shared" si="55"/>
        <v>41518</v>
      </c>
      <c r="AH162" s="44">
        <f t="shared" si="56"/>
        <v>0</v>
      </c>
      <c r="AK162" s="41">
        <f t="shared" si="57"/>
        <v>41518</v>
      </c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1">
        <f t="shared" si="58"/>
        <v>41518</v>
      </c>
      <c r="AZ162" s="44">
        <f t="shared" si="59"/>
        <v>0</v>
      </c>
      <c r="BB162" s="41">
        <f t="shared" si="60"/>
        <v>41518</v>
      </c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1">
        <f t="shared" si="61"/>
        <v>41518</v>
      </c>
      <c r="BQ162" s="44">
        <f t="shared" si="62"/>
        <v>0</v>
      </c>
      <c r="BS162" s="41">
        <f t="shared" si="63"/>
        <v>41518</v>
      </c>
      <c r="BT162" s="43">
        <f>SUMIF('Basis Options'!$X:$X,CONCATENATE($AK162,BT$4),'Basis Options'!$AF:$AF)</f>
        <v>0</v>
      </c>
      <c r="BU162" s="43">
        <f>SUMIF('Basis Options'!$X:$X,CONCATENATE($AK162,BU$4),'Basis Options'!$AF:$AF)</f>
        <v>0</v>
      </c>
      <c r="BV162" s="43">
        <f>SUMIF('Basis Options'!$X:$X,CONCATENATE($AK162,BV$4),'Basis Options'!$AF:$AF)</f>
        <v>0</v>
      </c>
      <c r="BW162" s="43">
        <f>SUMIF('Basis Options'!$X:$X,CONCATENATE($AK162,BW$4),'Basis Options'!$AF:$AF)</f>
        <v>0</v>
      </c>
      <c r="BX162" s="43">
        <f>SUMIF('Basis Options'!$X:$X,CONCATENATE($AK162,BX$4),'Basis Options'!$AF:$AF)</f>
        <v>0</v>
      </c>
      <c r="BY162" s="43">
        <f>SUMIF('Basis Options'!$X:$X,CONCATENATE($AK162,BY$4),'Basis Options'!$AF:$AF)</f>
        <v>0</v>
      </c>
      <c r="BZ162" s="43">
        <f>SUMIF('Basis Options'!$X:$X,CONCATENATE($AK162,BZ$4),'Basis Options'!$AF:$AF)</f>
        <v>0</v>
      </c>
      <c r="CA162" s="43">
        <f>SUMIF('Basis Options'!$X:$X,CONCATENATE($AK162,CA$4),'Basis Options'!$AF:$AF)</f>
        <v>0</v>
      </c>
      <c r="CB162" s="43">
        <f>SUMIF('Basis Options'!$X:$X,CONCATENATE($AK162,CB$4),'Basis Options'!$AF:$AF)</f>
        <v>0</v>
      </c>
      <c r="CC162" s="43">
        <f>SUMIF('Basis Options'!$X:$X,CONCATENATE($AK162,CC$4),'Basis Options'!$AF:$AF)</f>
        <v>0</v>
      </c>
      <c r="CD162" s="43"/>
      <c r="CE162" s="43">
        <f>SUMIF('Basis Options'!$X:$X,CONCATENATE($AK162,CE$4),'Basis Options'!$AF:$AF)</f>
        <v>0</v>
      </c>
      <c r="CF162" s="43"/>
      <c r="CG162" s="41">
        <f t="shared" si="64"/>
        <v>41518</v>
      </c>
      <c r="CH162" s="44">
        <f t="shared" si="65"/>
        <v>0</v>
      </c>
    </row>
    <row r="163" spans="1:86" x14ac:dyDescent="0.25">
      <c r="A163" s="41">
        <f t="shared" si="51"/>
        <v>41548</v>
      </c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1">
        <f t="shared" si="52"/>
        <v>41548</v>
      </c>
      <c r="P163" s="44">
        <f t="shared" si="53"/>
        <v>0</v>
      </c>
      <c r="S163" s="41">
        <f t="shared" si="54"/>
        <v>41548</v>
      </c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1">
        <f t="shared" si="55"/>
        <v>41548</v>
      </c>
      <c r="AH163" s="44">
        <f t="shared" si="56"/>
        <v>0</v>
      </c>
      <c r="AK163" s="41">
        <f t="shared" si="57"/>
        <v>41548</v>
      </c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1">
        <f t="shared" si="58"/>
        <v>41548</v>
      </c>
      <c r="AZ163" s="44">
        <f t="shared" si="59"/>
        <v>0</v>
      </c>
      <c r="BB163" s="41">
        <f t="shared" si="60"/>
        <v>41548</v>
      </c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1">
        <f t="shared" si="61"/>
        <v>41548</v>
      </c>
      <c r="BQ163" s="44">
        <f t="shared" si="62"/>
        <v>0</v>
      </c>
      <c r="BS163" s="41">
        <f t="shared" si="63"/>
        <v>41548</v>
      </c>
      <c r="BT163" s="43">
        <f>SUMIF('Basis Options'!$X:$X,CONCATENATE($AK163,BT$4),'Basis Options'!$AF:$AF)</f>
        <v>0</v>
      </c>
      <c r="BU163" s="43">
        <f>SUMIF('Basis Options'!$X:$X,CONCATENATE($AK163,BU$4),'Basis Options'!$AF:$AF)</f>
        <v>0</v>
      </c>
      <c r="BV163" s="43">
        <f>SUMIF('Basis Options'!$X:$X,CONCATENATE($AK163,BV$4),'Basis Options'!$AF:$AF)</f>
        <v>0</v>
      </c>
      <c r="BW163" s="43">
        <f>SUMIF('Basis Options'!$X:$X,CONCATENATE($AK163,BW$4),'Basis Options'!$AF:$AF)</f>
        <v>0</v>
      </c>
      <c r="BX163" s="43">
        <f>SUMIF('Basis Options'!$X:$X,CONCATENATE($AK163,BX$4),'Basis Options'!$AF:$AF)</f>
        <v>0</v>
      </c>
      <c r="BY163" s="43">
        <f>SUMIF('Basis Options'!$X:$X,CONCATENATE($AK163,BY$4),'Basis Options'!$AF:$AF)</f>
        <v>0</v>
      </c>
      <c r="BZ163" s="43">
        <f>SUMIF('Basis Options'!$X:$X,CONCATENATE($AK163,BZ$4),'Basis Options'!$AF:$AF)</f>
        <v>0</v>
      </c>
      <c r="CA163" s="43">
        <f>SUMIF('Basis Options'!$X:$X,CONCATENATE($AK163,CA$4),'Basis Options'!$AF:$AF)</f>
        <v>0</v>
      </c>
      <c r="CB163" s="43">
        <f>SUMIF('Basis Options'!$X:$X,CONCATENATE($AK163,CB$4),'Basis Options'!$AF:$AF)</f>
        <v>0</v>
      </c>
      <c r="CC163" s="43">
        <f>SUMIF('Basis Options'!$X:$X,CONCATENATE($AK163,CC$4),'Basis Options'!$AF:$AF)</f>
        <v>0</v>
      </c>
      <c r="CD163" s="43"/>
      <c r="CE163" s="43">
        <f>SUMIF('Basis Options'!$X:$X,CONCATENATE($AK163,CE$4),'Basis Options'!$AF:$AF)</f>
        <v>0</v>
      </c>
      <c r="CF163" s="43"/>
      <c r="CG163" s="41">
        <f t="shared" si="64"/>
        <v>41548</v>
      </c>
      <c r="CH163" s="44">
        <f t="shared" si="65"/>
        <v>0</v>
      </c>
    </row>
    <row r="164" spans="1:86" x14ac:dyDescent="0.25">
      <c r="A164" s="41">
        <f t="shared" si="51"/>
        <v>41579</v>
      </c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1">
        <f t="shared" si="52"/>
        <v>41579</v>
      </c>
      <c r="P164" s="44">
        <f t="shared" si="53"/>
        <v>0</v>
      </c>
      <c r="S164" s="41">
        <f t="shared" si="54"/>
        <v>41579</v>
      </c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1">
        <f t="shared" si="55"/>
        <v>41579</v>
      </c>
      <c r="AH164" s="44">
        <f t="shared" si="56"/>
        <v>0</v>
      </c>
      <c r="AK164" s="41">
        <f t="shared" si="57"/>
        <v>41579</v>
      </c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1">
        <f t="shared" si="58"/>
        <v>41579</v>
      </c>
      <c r="AZ164" s="44">
        <f t="shared" si="59"/>
        <v>0</v>
      </c>
      <c r="BB164" s="41">
        <f t="shared" si="60"/>
        <v>41579</v>
      </c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1">
        <f t="shared" si="61"/>
        <v>41579</v>
      </c>
      <c r="BQ164" s="44">
        <f t="shared" si="62"/>
        <v>0</v>
      </c>
      <c r="BS164" s="41">
        <f t="shared" si="63"/>
        <v>41579</v>
      </c>
      <c r="BT164" s="43">
        <f>SUMIF('Basis Options'!$X:$X,CONCATENATE($AK164,BT$4),'Basis Options'!$AF:$AF)</f>
        <v>0</v>
      </c>
      <c r="BU164" s="43">
        <f>SUMIF('Basis Options'!$X:$X,CONCATENATE($AK164,BU$4),'Basis Options'!$AF:$AF)</f>
        <v>0</v>
      </c>
      <c r="BV164" s="43">
        <f>SUMIF('Basis Options'!$X:$X,CONCATENATE($AK164,BV$4),'Basis Options'!$AF:$AF)</f>
        <v>0</v>
      </c>
      <c r="BW164" s="43">
        <f>SUMIF('Basis Options'!$X:$X,CONCATENATE($AK164,BW$4),'Basis Options'!$AF:$AF)</f>
        <v>0</v>
      </c>
      <c r="BX164" s="43">
        <f>SUMIF('Basis Options'!$X:$X,CONCATENATE($AK164,BX$4),'Basis Options'!$AF:$AF)</f>
        <v>0</v>
      </c>
      <c r="BY164" s="43">
        <f>SUMIF('Basis Options'!$X:$X,CONCATENATE($AK164,BY$4),'Basis Options'!$AF:$AF)</f>
        <v>0</v>
      </c>
      <c r="BZ164" s="43">
        <f>SUMIF('Basis Options'!$X:$X,CONCATENATE($AK164,BZ$4),'Basis Options'!$AF:$AF)</f>
        <v>0</v>
      </c>
      <c r="CA164" s="43">
        <f>SUMIF('Basis Options'!$X:$X,CONCATENATE($AK164,CA$4),'Basis Options'!$AF:$AF)</f>
        <v>0</v>
      </c>
      <c r="CB164" s="43">
        <f>SUMIF('Basis Options'!$X:$X,CONCATENATE($AK164,CB$4),'Basis Options'!$AF:$AF)</f>
        <v>0</v>
      </c>
      <c r="CC164" s="43">
        <f>SUMIF('Basis Options'!$X:$X,CONCATENATE($AK164,CC$4),'Basis Options'!$AF:$AF)</f>
        <v>0</v>
      </c>
      <c r="CD164" s="43"/>
      <c r="CE164" s="43">
        <f>SUMIF('Basis Options'!$X:$X,CONCATENATE($AK164,CE$4),'Basis Options'!$AF:$AF)</f>
        <v>0</v>
      </c>
      <c r="CF164" s="43"/>
      <c r="CG164" s="41">
        <f t="shared" si="64"/>
        <v>41579</v>
      </c>
      <c r="CH164" s="44">
        <f t="shared" si="65"/>
        <v>0</v>
      </c>
    </row>
    <row r="165" spans="1:86" ht="13.8" thickBot="1" x14ac:dyDescent="0.3">
      <c r="A165" s="42">
        <f t="shared" si="51"/>
        <v>41609</v>
      </c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2">
        <f t="shared" si="52"/>
        <v>41609</v>
      </c>
      <c r="P165" s="44">
        <f t="shared" si="53"/>
        <v>0</v>
      </c>
      <c r="S165" s="42">
        <f t="shared" si="54"/>
        <v>41609</v>
      </c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2">
        <f t="shared" si="55"/>
        <v>41609</v>
      </c>
      <c r="AH165" s="44">
        <f t="shared" si="56"/>
        <v>0</v>
      </c>
      <c r="AK165" s="42">
        <f t="shared" si="57"/>
        <v>41609</v>
      </c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2">
        <f t="shared" si="58"/>
        <v>41609</v>
      </c>
      <c r="AZ165" s="44">
        <f t="shared" si="59"/>
        <v>0</v>
      </c>
      <c r="BB165" s="42">
        <f t="shared" si="60"/>
        <v>41609</v>
      </c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2">
        <f t="shared" si="61"/>
        <v>41609</v>
      </c>
      <c r="BQ165" s="44">
        <f t="shared" si="62"/>
        <v>0</v>
      </c>
      <c r="BS165" s="42">
        <f t="shared" si="63"/>
        <v>41609</v>
      </c>
      <c r="BT165" s="43">
        <f>SUMIF('Basis Options'!$X:$X,CONCATENATE($AK165,BT$4),'Basis Options'!$AF:$AF)</f>
        <v>0</v>
      </c>
      <c r="BU165" s="43">
        <f>SUMIF('Basis Options'!$X:$X,CONCATENATE($AK165,BU$4),'Basis Options'!$AF:$AF)</f>
        <v>0</v>
      </c>
      <c r="BV165" s="43">
        <f>SUMIF('Basis Options'!$X:$X,CONCATENATE($AK165,BV$4),'Basis Options'!$AF:$AF)</f>
        <v>0</v>
      </c>
      <c r="BW165" s="43">
        <f>SUMIF('Basis Options'!$X:$X,CONCATENATE($AK165,BW$4),'Basis Options'!$AF:$AF)</f>
        <v>0</v>
      </c>
      <c r="BX165" s="43">
        <f>SUMIF('Basis Options'!$X:$X,CONCATENATE($AK165,BX$4),'Basis Options'!$AF:$AF)</f>
        <v>0</v>
      </c>
      <c r="BY165" s="43">
        <f>SUMIF('Basis Options'!$X:$X,CONCATENATE($AK165,BY$4),'Basis Options'!$AF:$AF)</f>
        <v>0</v>
      </c>
      <c r="BZ165" s="43">
        <f>SUMIF('Basis Options'!$X:$X,CONCATENATE($AK165,BZ$4),'Basis Options'!$AF:$AF)</f>
        <v>0</v>
      </c>
      <c r="CA165" s="43">
        <f>SUMIF('Basis Options'!$X:$X,CONCATENATE($AK165,CA$4),'Basis Options'!$AF:$AF)</f>
        <v>0</v>
      </c>
      <c r="CB165" s="43">
        <f>SUMIF('Basis Options'!$X:$X,CONCATENATE($AK165,CB$4),'Basis Options'!$AF:$AF)</f>
        <v>0</v>
      </c>
      <c r="CC165" s="43">
        <f>SUMIF('Basis Options'!$X:$X,CONCATENATE($AK165,CC$4),'Basis Options'!$AF:$AF)</f>
        <v>0</v>
      </c>
      <c r="CD165" s="43"/>
      <c r="CE165" s="43">
        <f>SUMIF('Basis Options'!$X:$X,CONCATENATE($AK165,CE$4),'Basis Options'!$AF:$AF)</f>
        <v>0</v>
      </c>
      <c r="CF165" s="43"/>
      <c r="CG165" s="42">
        <f t="shared" si="64"/>
        <v>41609</v>
      </c>
      <c r="CH165" s="44">
        <f t="shared" si="65"/>
        <v>0</v>
      </c>
    </row>
  </sheetData>
  <sheetCalcPr fullCalcOnLoad="1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"/>
  <sheetViews>
    <sheetView workbookViewId="0">
      <selection activeCell="A18" sqref="A18:M18"/>
      <pivotSelection pane="bottomRight" showHeader="1" extendable="1" axis="axisRow" start="15" max="25" activeRow="17" previousRow="17" click="1" r:id="rId1">
        <pivotArea dataOnly="0" outline="0" fieldPosition="0">
          <references count="1">
            <reference field="6" count="1">
              <x v="15"/>
            </reference>
          </references>
        </pivotArea>
      </pivotSelection>
    </sheetView>
  </sheetViews>
  <sheetFormatPr defaultRowHeight="13.2" x14ac:dyDescent="0.25"/>
  <cols>
    <col min="1" max="1" width="23.44140625" bestFit="1" customWidth="1"/>
    <col min="2" max="12" width="18.6640625" bestFit="1" customWidth="1"/>
    <col min="13" max="13" width="10.5546875" customWidth="1"/>
  </cols>
  <sheetData>
    <row r="1" spans="1:13" x14ac:dyDescent="0.25">
      <c r="A1" s="514" t="s">
        <v>625</v>
      </c>
      <c r="B1" s="285" t="s">
        <v>2</v>
      </c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7"/>
    </row>
    <row r="2" spans="1:13" x14ac:dyDescent="0.25">
      <c r="A2" s="285" t="s">
        <v>3</v>
      </c>
      <c r="B2" s="265" t="s">
        <v>10</v>
      </c>
      <c r="C2" s="266" t="s">
        <v>526</v>
      </c>
      <c r="D2" s="266" t="s">
        <v>325</v>
      </c>
      <c r="E2" s="266" t="s">
        <v>617</v>
      </c>
      <c r="F2" s="266" t="s">
        <v>9</v>
      </c>
      <c r="G2" s="266" t="s">
        <v>6</v>
      </c>
      <c r="H2" s="266" t="s">
        <v>384</v>
      </c>
      <c r="I2" s="266" t="s">
        <v>7</v>
      </c>
      <c r="J2" s="266" t="s">
        <v>487</v>
      </c>
      <c r="K2" s="266" t="s">
        <v>74</v>
      </c>
      <c r="L2" s="266" t="s">
        <v>190</v>
      </c>
      <c r="M2" s="270" t="s">
        <v>166</v>
      </c>
    </row>
    <row r="3" spans="1:13" x14ac:dyDescent="0.25">
      <c r="A3" s="502">
        <v>36770</v>
      </c>
      <c r="B3" s="503">
        <v>0</v>
      </c>
      <c r="C3" s="504"/>
      <c r="D3" s="504">
        <v>0</v>
      </c>
      <c r="E3" s="504"/>
      <c r="F3" s="504">
        <v>0</v>
      </c>
      <c r="G3" s="504"/>
      <c r="H3" s="504">
        <v>0</v>
      </c>
      <c r="I3" s="504">
        <v>0</v>
      </c>
      <c r="J3" s="504"/>
      <c r="K3" s="504"/>
      <c r="L3" s="504">
        <v>0</v>
      </c>
      <c r="M3" s="505">
        <v>0</v>
      </c>
    </row>
    <row r="4" spans="1:13" x14ac:dyDescent="0.25">
      <c r="A4" s="506">
        <v>36800</v>
      </c>
      <c r="B4" s="507">
        <v>0</v>
      </c>
      <c r="C4" s="508"/>
      <c r="D4" s="508">
        <v>0</v>
      </c>
      <c r="E4" s="508"/>
      <c r="F4" s="508">
        <v>0</v>
      </c>
      <c r="G4" s="508"/>
      <c r="H4" s="508">
        <v>0</v>
      </c>
      <c r="I4" s="508">
        <v>0</v>
      </c>
      <c r="J4" s="508"/>
      <c r="K4" s="508"/>
      <c r="L4" s="508">
        <v>0</v>
      </c>
      <c r="M4" s="509">
        <v>0</v>
      </c>
    </row>
    <row r="5" spans="1:13" x14ac:dyDescent="0.25">
      <c r="A5" s="506">
        <v>36831</v>
      </c>
      <c r="B5" s="507">
        <v>0</v>
      </c>
      <c r="C5" s="508">
        <v>0</v>
      </c>
      <c r="D5" s="508">
        <v>0</v>
      </c>
      <c r="E5" s="508">
        <v>0</v>
      </c>
      <c r="F5" s="508">
        <v>0</v>
      </c>
      <c r="G5" s="508">
        <v>0</v>
      </c>
      <c r="H5" s="508"/>
      <c r="I5" s="508">
        <v>0</v>
      </c>
      <c r="J5" s="508">
        <v>0</v>
      </c>
      <c r="K5" s="508">
        <v>0</v>
      </c>
      <c r="L5" s="508">
        <v>0</v>
      </c>
      <c r="M5" s="509">
        <v>0</v>
      </c>
    </row>
    <row r="6" spans="1:13" x14ac:dyDescent="0.25">
      <c r="A6" s="506">
        <v>36861</v>
      </c>
      <c r="B6" s="507">
        <v>0</v>
      </c>
      <c r="C6" s="508">
        <v>0</v>
      </c>
      <c r="D6" s="508">
        <v>0</v>
      </c>
      <c r="E6" s="508">
        <v>0</v>
      </c>
      <c r="F6" s="508">
        <v>0</v>
      </c>
      <c r="G6" s="508">
        <v>0</v>
      </c>
      <c r="H6" s="508"/>
      <c r="I6" s="508">
        <v>0</v>
      </c>
      <c r="J6" s="508">
        <v>0</v>
      </c>
      <c r="K6" s="508">
        <v>0</v>
      </c>
      <c r="L6" s="508">
        <v>0</v>
      </c>
      <c r="M6" s="509">
        <v>0</v>
      </c>
    </row>
    <row r="7" spans="1:13" x14ac:dyDescent="0.25">
      <c r="A7" s="506">
        <v>36892</v>
      </c>
      <c r="B7" s="507">
        <v>0</v>
      </c>
      <c r="C7" s="508">
        <v>0</v>
      </c>
      <c r="D7" s="508">
        <v>0</v>
      </c>
      <c r="E7" s="508">
        <v>0</v>
      </c>
      <c r="F7" s="508">
        <v>0</v>
      </c>
      <c r="G7" s="508">
        <v>0</v>
      </c>
      <c r="H7" s="508"/>
      <c r="I7" s="508">
        <v>0</v>
      </c>
      <c r="J7" s="508">
        <v>0</v>
      </c>
      <c r="K7" s="508">
        <v>0</v>
      </c>
      <c r="L7" s="508">
        <v>0</v>
      </c>
      <c r="M7" s="509">
        <v>0</v>
      </c>
    </row>
    <row r="8" spans="1:13" x14ac:dyDescent="0.25">
      <c r="A8" s="506">
        <v>36923</v>
      </c>
      <c r="B8" s="507">
        <v>0</v>
      </c>
      <c r="C8" s="508">
        <v>0</v>
      </c>
      <c r="D8" s="508">
        <v>0</v>
      </c>
      <c r="E8" s="508">
        <v>0</v>
      </c>
      <c r="F8" s="508">
        <v>0</v>
      </c>
      <c r="G8" s="508">
        <v>0</v>
      </c>
      <c r="H8" s="508"/>
      <c r="I8" s="508">
        <v>0</v>
      </c>
      <c r="J8" s="508">
        <v>0</v>
      </c>
      <c r="K8" s="508">
        <v>0</v>
      </c>
      <c r="L8" s="508">
        <v>0</v>
      </c>
      <c r="M8" s="509">
        <v>0</v>
      </c>
    </row>
    <row r="9" spans="1:13" x14ac:dyDescent="0.25">
      <c r="A9" s="506">
        <v>36951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/>
      <c r="I9" s="508">
        <v>0</v>
      </c>
      <c r="J9" s="508">
        <v>0</v>
      </c>
      <c r="K9" s="508">
        <v>0</v>
      </c>
      <c r="L9" s="508">
        <v>0</v>
      </c>
      <c r="M9" s="509">
        <v>0</v>
      </c>
    </row>
    <row r="10" spans="1:13" x14ac:dyDescent="0.25">
      <c r="A10" s="506">
        <v>36982</v>
      </c>
      <c r="B10" s="507"/>
      <c r="C10" s="508"/>
      <c r="D10" s="508"/>
      <c r="E10" s="508"/>
      <c r="F10" s="508"/>
      <c r="G10" s="508"/>
      <c r="H10" s="508">
        <v>0</v>
      </c>
      <c r="I10" s="508">
        <v>0</v>
      </c>
      <c r="J10" s="508"/>
      <c r="K10" s="508"/>
      <c r="L10" s="508"/>
      <c r="M10" s="509">
        <v>0</v>
      </c>
    </row>
    <row r="11" spans="1:13" x14ac:dyDescent="0.25">
      <c r="A11" s="506">
        <v>37012</v>
      </c>
      <c r="B11" s="507"/>
      <c r="C11" s="508"/>
      <c r="D11" s="508"/>
      <c r="E11" s="508"/>
      <c r="F11" s="508"/>
      <c r="G11" s="508"/>
      <c r="H11" s="508">
        <v>0</v>
      </c>
      <c r="I11" s="508">
        <v>0</v>
      </c>
      <c r="J11" s="508"/>
      <c r="K11" s="508"/>
      <c r="L11" s="508"/>
      <c r="M11" s="509">
        <v>0</v>
      </c>
    </row>
    <row r="12" spans="1:13" x14ac:dyDescent="0.25">
      <c r="A12" s="506">
        <v>37043</v>
      </c>
      <c r="B12" s="507"/>
      <c r="C12" s="508"/>
      <c r="D12" s="508"/>
      <c r="E12" s="508"/>
      <c r="F12" s="508"/>
      <c r="G12" s="508"/>
      <c r="H12" s="508">
        <v>0</v>
      </c>
      <c r="I12" s="508">
        <v>0</v>
      </c>
      <c r="J12" s="508"/>
      <c r="K12" s="508"/>
      <c r="L12" s="508"/>
      <c r="M12" s="509">
        <v>0</v>
      </c>
    </row>
    <row r="13" spans="1:13" x14ac:dyDescent="0.25">
      <c r="A13" s="506">
        <v>37073</v>
      </c>
      <c r="B13" s="507"/>
      <c r="C13" s="508"/>
      <c r="D13" s="508"/>
      <c r="E13" s="508"/>
      <c r="F13" s="508"/>
      <c r="G13" s="508"/>
      <c r="H13" s="508">
        <v>0</v>
      </c>
      <c r="I13" s="508">
        <v>0</v>
      </c>
      <c r="J13" s="508"/>
      <c r="K13" s="508"/>
      <c r="L13" s="508"/>
      <c r="M13" s="509">
        <v>0</v>
      </c>
    </row>
    <row r="14" spans="1:13" x14ac:dyDescent="0.25">
      <c r="A14" s="506">
        <v>37104</v>
      </c>
      <c r="B14" s="507"/>
      <c r="C14" s="508"/>
      <c r="D14" s="508"/>
      <c r="E14" s="508"/>
      <c r="F14" s="508"/>
      <c r="G14" s="508"/>
      <c r="H14" s="508">
        <v>0</v>
      </c>
      <c r="I14" s="508">
        <v>0</v>
      </c>
      <c r="J14" s="508"/>
      <c r="K14" s="508"/>
      <c r="L14" s="508"/>
      <c r="M14" s="509">
        <v>0</v>
      </c>
    </row>
    <row r="15" spans="1:13" x14ac:dyDescent="0.25">
      <c r="A15" s="506">
        <v>37135</v>
      </c>
      <c r="B15" s="507"/>
      <c r="C15" s="508"/>
      <c r="D15" s="508"/>
      <c r="E15" s="508"/>
      <c r="F15" s="508"/>
      <c r="G15" s="508"/>
      <c r="H15" s="508">
        <v>0</v>
      </c>
      <c r="I15" s="508">
        <v>0</v>
      </c>
      <c r="J15" s="508"/>
      <c r="K15" s="508"/>
      <c r="L15" s="508"/>
      <c r="M15" s="509">
        <v>0</v>
      </c>
    </row>
    <row r="16" spans="1:13" x14ac:dyDescent="0.25">
      <c r="A16" s="506">
        <v>37165</v>
      </c>
      <c r="B16" s="507"/>
      <c r="C16" s="508"/>
      <c r="D16" s="508"/>
      <c r="E16" s="508"/>
      <c r="F16" s="508"/>
      <c r="G16" s="508"/>
      <c r="H16" s="508">
        <v>0</v>
      </c>
      <c r="I16" s="508">
        <v>0</v>
      </c>
      <c r="J16" s="508"/>
      <c r="K16" s="508"/>
      <c r="L16" s="508"/>
      <c r="M16" s="509">
        <v>0</v>
      </c>
    </row>
    <row r="17" spans="1:13" x14ac:dyDescent="0.25">
      <c r="A17" s="506">
        <v>37196</v>
      </c>
      <c r="B17" s="507"/>
      <c r="C17" s="508"/>
      <c r="D17" s="508"/>
      <c r="E17" s="508"/>
      <c r="F17" s="508"/>
      <c r="G17" s="508"/>
      <c r="H17" s="508"/>
      <c r="I17" s="508">
        <v>0</v>
      </c>
      <c r="J17" s="508"/>
      <c r="K17" s="508"/>
      <c r="L17" s="508"/>
      <c r="M17" s="509">
        <v>0</v>
      </c>
    </row>
    <row r="18" spans="1:13" x14ac:dyDescent="0.25">
      <c r="A18" s="506">
        <v>37226</v>
      </c>
      <c r="B18" s="507"/>
      <c r="C18" s="508"/>
      <c r="D18" s="508"/>
      <c r="E18" s="508"/>
      <c r="F18" s="508"/>
      <c r="G18" s="508"/>
      <c r="H18" s="508"/>
      <c r="I18" s="508">
        <v>0</v>
      </c>
      <c r="J18" s="508"/>
      <c r="K18" s="508"/>
      <c r="L18" s="508"/>
      <c r="M18" s="509">
        <v>0</v>
      </c>
    </row>
    <row r="19" spans="1:13" x14ac:dyDescent="0.25">
      <c r="A19" s="506">
        <v>37257</v>
      </c>
      <c r="B19" s="507"/>
      <c r="C19" s="508"/>
      <c r="D19" s="508"/>
      <c r="E19" s="508"/>
      <c r="F19" s="508"/>
      <c r="G19" s="508"/>
      <c r="H19" s="508"/>
      <c r="I19" s="508">
        <v>0</v>
      </c>
      <c r="J19" s="508"/>
      <c r="K19" s="508"/>
      <c r="L19" s="508"/>
      <c r="M19" s="509">
        <v>0</v>
      </c>
    </row>
    <row r="20" spans="1:13" x14ac:dyDescent="0.25">
      <c r="A20" s="506">
        <v>37288</v>
      </c>
      <c r="B20" s="507"/>
      <c r="C20" s="508"/>
      <c r="D20" s="508"/>
      <c r="E20" s="508"/>
      <c r="F20" s="508"/>
      <c r="G20" s="508"/>
      <c r="H20" s="508"/>
      <c r="I20" s="508">
        <v>0</v>
      </c>
      <c r="J20" s="508"/>
      <c r="K20" s="508"/>
      <c r="L20" s="508"/>
      <c r="M20" s="509">
        <v>0</v>
      </c>
    </row>
    <row r="21" spans="1:13" x14ac:dyDescent="0.25">
      <c r="A21" s="506">
        <v>37316</v>
      </c>
      <c r="B21" s="507"/>
      <c r="C21" s="508"/>
      <c r="D21" s="508"/>
      <c r="E21" s="508"/>
      <c r="F21" s="508"/>
      <c r="G21" s="508"/>
      <c r="H21" s="508"/>
      <c r="I21" s="508">
        <v>0</v>
      </c>
      <c r="J21" s="508"/>
      <c r="K21" s="508"/>
      <c r="L21" s="508"/>
      <c r="M21" s="509">
        <v>0</v>
      </c>
    </row>
    <row r="22" spans="1:13" x14ac:dyDescent="0.25">
      <c r="A22" s="506">
        <v>37561</v>
      </c>
      <c r="B22" s="507"/>
      <c r="C22" s="508"/>
      <c r="D22" s="508"/>
      <c r="E22" s="508"/>
      <c r="F22" s="508"/>
      <c r="G22" s="508"/>
      <c r="H22" s="508"/>
      <c r="I22" s="508"/>
      <c r="J22" s="508"/>
      <c r="K22" s="508">
        <v>0</v>
      </c>
      <c r="L22" s="508"/>
      <c r="M22" s="509">
        <v>0</v>
      </c>
    </row>
    <row r="23" spans="1:13" x14ac:dyDescent="0.25">
      <c r="A23" s="506">
        <v>37591</v>
      </c>
      <c r="B23" s="507"/>
      <c r="C23" s="508"/>
      <c r="D23" s="508"/>
      <c r="E23" s="508"/>
      <c r="F23" s="508"/>
      <c r="G23" s="508"/>
      <c r="H23" s="508"/>
      <c r="I23" s="508"/>
      <c r="J23" s="508"/>
      <c r="K23" s="508">
        <v>0</v>
      </c>
      <c r="L23" s="508"/>
      <c r="M23" s="509">
        <v>0</v>
      </c>
    </row>
    <row r="24" spans="1:13" x14ac:dyDescent="0.25">
      <c r="A24" s="506">
        <v>37622</v>
      </c>
      <c r="B24" s="507"/>
      <c r="C24" s="508"/>
      <c r="D24" s="508"/>
      <c r="E24" s="508"/>
      <c r="F24" s="508"/>
      <c r="G24" s="508"/>
      <c r="H24" s="508"/>
      <c r="I24" s="508"/>
      <c r="J24" s="508"/>
      <c r="K24" s="508">
        <v>0</v>
      </c>
      <c r="L24" s="508"/>
      <c r="M24" s="509">
        <v>0</v>
      </c>
    </row>
    <row r="25" spans="1:13" x14ac:dyDescent="0.25">
      <c r="A25" s="506">
        <v>37653</v>
      </c>
      <c r="B25" s="507"/>
      <c r="C25" s="508"/>
      <c r="D25" s="508"/>
      <c r="E25" s="508"/>
      <c r="F25" s="508"/>
      <c r="G25" s="508"/>
      <c r="H25" s="508"/>
      <c r="I25" s="508"/>
      <c r="J25" s="508"/>
      <c r="K25" s="508">
        <v>0</v>
      </c>
      <c r="L25" s="508"/>
      <c r="M25" s="509">
        <v>0</v>
      </c>
    </row>
    <row r="26" spans="1:13" x14ac:dyDescent="0.25">
      <c r="A26" s="506">
        <v>37681</v>
      </c>
      <c r="B26" s="507"/>
      <c r="C26" s="508"/>
      <c r="D26" s="508"/>
      <c r="E26" s="508"/>
      <c r="F26" s="508"/>
      <c r="G26" s="508"/>
      <c r="H26" s="508"/>
      <c r="I26" s="508"/>
      <c r="J26" s="508"/>
      <c r="K26" s="508">
        <v>0</v>
      </c>
      <c r="L26" s="508"/>
      <c r="M26" s="509">
        <v>0</v>
      </c>
    </row>
    <row r="27" spans="1:13" x14ac:dyDescent="0.25">
      <c r="A27" s="510" t="s">
        <v>166</v>
      </c>
      <c r="B27" s="511">
        <v>0</v>
      </c>
      <c r="C27" s="512">
        <v>0</v>
      </c>
      <c r="D27" s="512">
        <v>0</v>
      </c>
      <c r="E27" s="512">
        <v>0</v>
      </c>
      <c r="F27" s="512">
        <v>0</v>
      </c>
      <c r="G27" s="512">
        <v>0</v>
      </c>
      <c r="H27" s="512">
        <v>0</v>
      </c>
      <c r="I27" s="512">
        <v>0</v>
      </c>
      <c r="J27" s="512">
        <v>0</v>
      </c>
      <c r="K27" s="512">
        <v>0</v>
      </c>
      <c r="L27" s="512">
        <v>0</v>
      </c>
      <c r="M27" s="513">
        <v>0</v>
      </c>
    </row>
    <row r="29" spans="1:13" x14ac:dyDescent="0.25">
      <c r="B29" s="328">
        <f>B27</f>
        <v>0</v>
      </c>
      <c r="C29" s="328">
        <f t="shared" ref="C29:M29" si="0">C27</f>
        <v>0</v>
      </c>
      <c r="D29" s="328">
        <f t="shared" si="0"/>
        <v>0</v>
      </c>
      <c r="E29" s="328">
        <f t="shared" si="0"/>
        <v>0</v>
      </c>
      <c r="F29" s="328">
        <f t="shared" si="0"/>
        <v>0</v>
      </c>
      <c r="G29" s="328">
        <f t="shared" si="0"/>
        <v>0</v>
      </c>
      <c r="H29" s="328">
        <f t="shared" si="0"/>
        <v>0</v>
      </c>
      <c r="I29" s="328">
        <f t="shared" si="0"/>
        <v>0</v>
      </c>
      <c r="J29" s="328">
        <f t="shared" si="0"/>
        <v>0</v>
      </c>
      <c r="K29" s="328">
        <f t="shared" si="0"/>
        <v>0</v>
      </c>
      <c r="L29" s="328">
        <f t="shared" si="0"/>
        <v>0</v>
      </c>
      <c r="M29" s="328">
        <f t="shared" si="0"/>
        <v>0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DF868"/>
  <sheetViews>
    <sheetView showGridLines="0" topLeftCell="BJ134" zoomScaleNormal="100" workbookViewId="0">
      <selection activeCell="BT7" sqref="BT7:BT167"/>
    </sheetView>
  </sheetViews>
  <sheetFormatPr defaultRowHeight="13.2" x14ac:dyDescent="0.25"/>
  <cols>
    <col min="1" max="1" width="15.5546875" bestFit="1" customWidth="1"/>
    <col min="2" max="2" width="8.109375" customWidth="1"/>
    <col min="3" max="3" width="12" customWidth="1"/>
    <col min="4" max="4" width="18" bestFit="1" customWidth="1"/>
    <col min="5" max="5" width="6.33203125" customWidth="1"/>
    <col min="6" max="6" width="6" bestFit="1" customWidth="1"/>
    <col min="7" max="7" width="12.6640625" customWidth="1"/>
    <col min="8" max="8" width="13.44140625" bestFit="1" customWidth="1"/>
    <col min="9" max="9" width="12.44140625" customWidth="1"/>
    <col min="11" max="11" width="11.33203125" customWidth="1"/>
    <col min="13" max="16" width="10.44140625" customWidth="1"/>
    <col min="17" max="17" width="11.109375" customWidth="1"/>
    <col min="18" max="18" width="8.88671875" customWidth="1"/>
    <col min="19" max="19" width="12.109375" customWidth="1"/>
    <col min="20" max="20" width="13" customWidth="1"/>
    <col min="21" max="21" width="13.33203125" customWidth="1"/>
    <col min="22" max="22" width="15.33203125" customWidth="1"/>
    <col min="23" max="23" width="13.33203125" customWidth="1"/>
    <col min="24" max="24" width="3.88671875" customWidth="1"/>
    <col min="26" max="26" width="11" bestFit="1" customWidth="1"/>
    <col min="28" max="29" width="13.109375" bestFit="1" customWidth="1"/>
    <col min="30" max="30" width="11.33203125" bestFit="1" customWidth="1"/>
    <col min="31" max="39" width="11.33203125" customWidth="1"/>
    <col min="40" max="40" width="13.5546875" customWidth="1"/>
    <col min="41" max="41" width="16.5546875" customWidth="1"/>
    <col min="42" max="42" width="17.88671875" customWidth="1"/>
    <col min="43" max="43" width="19.44140625" customWidth="1"/>
    <col min="44" max="44" width="16.44140625" customWidth="1"/>
    <col min="45" max="47" width="17.44140625" customWidth="1"/>
    <col min="54" max="54" width="13.5546875" customWidth="1"/>
    <col min="55" max="55" width="10.5546875" customWidth="1"/>
    <col min="57" max="57" width="13.5546875" customWidth="1"/>
    <col min="58" max="58" width="14.6640625" customWidth="1"/>
    <col min="59" max="59" width="16" customWidth="1"/>
    <col min="60" max="60" width="18.5546875" customWidth="1"/>
    <col min="61" max="61" width="13.44140625" customWidth="1"/>
    <col min="62" max="64" width="16" customWidth="1"/>
    <col min="71" max="71" width="13.5546875" customWidth="1"/>
    <col min="72" max="72" width="10" customWidth="1"/>
    <col min="82" max="82" width="14.109375" customWidth="1"/>
    <col min="83" max="83" width="10.5546875" customWidth="1"/>
    <col min="84" max="84" width="10.33203125" customWidth="1"/>
    <col min="85" max="85" width="14" customWidth="1"/>
    <col min="86" max="86" width="12" customWidth="1"/>
    <col min="87" max="87" width="13.33203125" customWidth="1"/>
    <col min="88" max="88" width="14.44140625" bestFit="1" customWidth="1"/>
    <col min="90" max="90" width="17.33203125" customWidth="1"/>
    <col min="91" max="91" width="22" bestFit="1" customWidth="1"/>
    <col min="96" max="96" width="12.44140625" customWidth="1"/>
    <col min="97" max="97" width="16.44140625" customWidth="1"/>
    <col min="98" max="98" width="11.33203125" customWidth="1"/>
    <col min="99" max="99" width="9.6640625" bestFit="1" customWidth="1"/>
    <col min="100" max="100" width="13.33203125" bestFit="1" customWidth="1"/>
    <col min="101" max="101" width="14.109375" customWidth="1"/>
    <col min="102" max="102" width="13.88671875" customWidth="1"/>
    <col min="104" max="104" width="12.5546875" bestFit="1" customWidth="1"/>
    <col min="105" max="105" width="18.33203125" customWidth="1"/>
    <col min="106" max="108" width="12.44140625" customWidth="1"/>
    <col min="109" max="109" width="17.109375" customWidth="1"/>
    <col min="110" max="110" width="16.109375" customWidth="1"/>
  </cols>
  <sheetData>
    <row r="1" spans="1:110" ht="20.399999999999999" x14ac:dyDescent="0.35">
      <c r="A1" s="90" t="s">
        <v>65</v>
      </c>
      <c r="B1" s="90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>
        <v>-364260.76689163188</v>
      </c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143" t="s">
        <v>134</v>
      </c>
      <c r="CD1" s="143" t="s">
        <v>135</v>
      </c>
      <c r="CE1" s="143" t="s">
        <v>136</v>
      </c>
      <c r="CF1" s="143" t="s">
        <v>146</v>
      </c>
      <c r="CG1" s="143" t="s">
        <v>137</v>
      </c>
      <c r="CH1" s="143" t="s">
        <v>138</v>
      </c>
      <c r="CI1" s="143" t="s">
        <v>139</v>
      </c>
      <c r="CS1" s="210" t="s">
        <v>140</v>
      </c>
      <c r="CT1" s="211"/>
      <c r="CU1" s="212"/>
      <c r="CV1" s="212"/>
      <c r="CW1" s="244">
        <f>U3</f>
        <v>6309362.0144322943</v>
      </c>
      <c r="DA1" s="210" t="s">
        <v>140</v>
      </c>
      <c r="DB1" s="211"/>
      <c r="DC1" s="212"/>
      <c r="DD1" s="212"/>
      <c r="DE1" s="244">
        <f>CW1</f>
        <v>6309362.0144322943</v>
      </c>
    </row>
    <row r="2" spans="1:110" ht="13.8" x14ac:dyDescent="0.25">
      <c r="A2" s="51"/>
      <c r="B2" s="51"/>
      <c r="C2" s="51"/>
      <c r="D2" s="51"/>
      <c r="E2" s="51"/>
      <c r="F2" s="51"/>
      <c r="G2" s="51"/>
      <c r="H2" s="57">
        <v>-10811202.55839657</v>
      </c>
      <c r="I2" s="51"/>
      <c r="J2" s="51"/>
      <c r="K2" s="51">
        <v>-0.05</v>
      </c>
      <c r="L2" s="51"/>
      <c r="M2" s="51"/>
      <c r="N2" s="51"/>
      <c r="O2" s="51"/>
      <c r="P2" s="51"/>
      <c r="Q2" s="51"/>
      <c r="R2" s="51"/>
      <c r="S2" s="54" t="s">
        <v>43</v>
      </c>
      <c r="T2" s="59" t="s">
        <v>41</v>
      </c>
      <c r="U2" s="58" t="s">
        <v>24</v>
      </c>
      <c r="V2" s="58"/>
      <c r="W2" s="58" t="s">
        <v>42</v>
      </c>
      <c r="X2" s="51"/>
      <c r="Y2" s="51"/>
      <c r="Z2" s="456">
        <v>-355693.32878574304</v>
      </c>
      <c r="AA2" s="51">
        <v>-7920.7476244786467</v>
      </c>
      <c r="AB2" s="473">
        <f>Z2+AA2</f>
        <v>-363614.07641022169</v>
      </c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D2" s="213" t="e">
        <f>SUM(CD7:CD631)</f>
        <v>#REF!</v>
      </c>
      <c r="CE2" s="213" t="e">
        <f t="shared" ref="CE2:CJ2" si="0">SUM(CE7:CE631)</f>
        <v>#REF!</v>
      </c>
      <c r="CF2" s="213" t="e">
        <f t="shared" si="0"/>
        <v>#REF!</v>
      </c>
      <c r="CG2" s="213" t="e">
        <f t="shared" si="0"/>
        <v>#REF!</v>
      </c>
      <c r="CH2" s="213" t="e">
        <f t="shared" si="0"/>
        <v>#REF!</v>
      </c>
      <c r="CI2" s="213" t="e">
        <f t="shared" si="0"/>
        <v>#REF!</v>
      </c>
      <c r="CJ2" s="214" t="e">
        <f t="shared" si="0"/>
        <v>#REF!</v>
      </c>
      <c r="CL2" s="215" t="e">
        <f>U3-CJ2</f>
        <v>#REF!</v>
      </c>
      <c r="CS2" s="216" t="s">
        <v>141</v>
      </c>
      <c r="CT2" s="217"/>
      <c r="CU2" s="218"/>
      <c r="CV2" s="218"/>
      <c r="CW2" s="450" t="e">
        <f>CJ2</f>
        <v>#REF!</v>
      </c>
      <c r="DA2" s="216" t="s">
        <v>141</v>
      </c>
      <c r="DB2" s="217"/>
      <c r="DC2" s="218"/>
      <c r="DD2" s="218"/>
      <c r="DE2" s="219" t="e">
        <f>CW2</f>
        <v>#REF!</v>
      </c>
    </row>
    <row r="3" spans="1:110" ht="14.4" thickBot="1" x14ac:dyDescent="0.3">
      <c r="A3" s="11" t="s">
        <v>35</v>
      </c>
      <c r="B3" s="11"/>
      <c r="C3" s="12">
        <f>Summary!P1</f>
        <v>36767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6"/>
      <c r="T3" s="60">
        <f>SUM(T7:T5006)</f>
        <v>-8277762.9634644082</v>
      </c>
      <c r="U3" s="57">
        <f>SUM(U7:U5006)</f>
        <v>6309362.0144322943</v>
      </c>
      <c r="V3" s="57"/>
      <c r="W3" s="60">
        <f>SUM(W7:W5006)</f>
        <v>2131750.506538901</v>
      </c>
      <c r="X3" s="51"/>
      <c r="Y3" s="51"/>
      <c r="Z3" s="51"/>
      <c r="AA3" s="51" t="s">
        <v>492</v>
      </c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D3" s="220">
        <f>WORKDAY(C3,-1)</f>
        <v>36766</v>
      </c>
      <c r="CS3" s="221" t="s">
        <v>142</v>
      </c>
      <c r="CT3" s="222"/>
      <c r="CU3" s="223"/>
      <c r="CV3" s="223"/>
      <c r="CW3" s="224" t="e">
        <f>CW1-CW2</f>
        <v>#REF!</v>
      </c>
      <c r="DA3" s="221" t="s">
        <v>142</v>
      </c>
      <c r="DB3" s="222"/>
      <c r="DC3" s="223"/>
      <c r="DD3" s="223"/>
      <c r="DE3" s="224" t="e">
        <f>DE1-DE2</f>
        <v>#REF!</v>
      </c>
    </row>
    <row r="4" spans="1:110" ht="16.2" thickBot="1" x14ac:dyDescent="0.35">
      <c r="A4" s="515" t="s">
        <v>36</v>
      </c>
      <c r="B4" s="516"/>
      <c r="C4" s="516"/>
      <c r="D4" s="516"/>
      <c r="E4" s="516"/>
      <c r="F4" s="516"/>
      <c r="G4" s="516"/>
      <c r="H4" s="516"/>
      <c r="I4" s="517"/>
      <c r="J4" s="47" t="s">
        <v>37</v>
      </c>
      <c r="K4" s="47"/>
      <c r="L4" s="47"/>
      <c r="M4" s="115"/>
      <c r="N4" s="115"/>
      <c r="O4" s="115"/>
      <c r="P4" s="115"/>
      <c r="Q4" s="115"/>
      <c r="R4" s="115"/>
      <c r="S4" s="116"/>
      <c r="T4" s="116"/>
      <c r="U4" s="117"/>
      <c r="V4" s="51"/>
      <c r="W4" s="51"/>
      <c r="X4" s="51"/>
      <c r="Y4" s="51"/>
      <c r="Z4" s="51"/>
      <c r="AA4" s="51" t="s">
        <v>477</v>
      </c>
      <c r="AB4" s="468">
        <v>36697</v>
      </c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35" t="s">
        <v>73</v>
      </c>
      <c r="AO4" s="36"/>
      <c r="AP4" s="36"/>
      <c r="AQ4" s="36"/>
      <c r="AR4" s="36"/>
      <c r="AS4" s="37"/>
      <c r="AT4" s="37"/>
      <c r="AU4" s="37"/>
      <c r="AV4" s="37"/>
      <c r="AW4" s="37"/>
      <c r="AX4" s="37"/>
      <c r="AY4" s="37"/>
      <c r="AZ4" s="37"/>
      <c r="BA4" s="37"/>
      <c r="BB4" s="35" t="s">
        <v>49</v>
      </c>
      <c r="BC4" s="37"/>
      <c r="BD4" s="51"/>
      <c r="BE4" s="35" t="s">
        <v>385</v>
      </c>
      <c r="BF4" s="36"/>
      <c r="BG4" s="36"/>
      <c r="BH4" s="36"/>
      <c r="BI4" s="36"/>
      <c r="BJ4" s="37"/>
      <c r="BK4" s="37"/>
      <c r="BL4" s="37"/>
      <c r="BM4" s="37"/>
      <c r="BN4" s="37"/>
      <c r="BO4" s="37"/>
      <c r="BP4" s="37"/>
      <c r="BQ4" s="37"/>
      <c r="BR4" s="37"/>
      <c r="BS4" s="35" t="s">
        <v>49</v>
      </c>
      <c r="BT4" s="37"/>
      <c r="BU4" s="51"/>
      <c r="BV4" s="51"/>
      <c r="BW4" s="51"/>
      <c r="BX4" s="51"/>
      <c r="BY4" s="51"/>
      <c r="BZ4" s="51"/>
      <c r="CA4" s="51"/>
      <c r="CB4" s="51"/>
      <c r="CS4" s="225"/>
      <c r="CT4" s="226" t="s">
        <v>143</v>
      </c>
      <c r="CU4" s="225"/>
      <c r="CV4" s="225"/>
      <c r="CW4" s="225"/>
      <c r="DA4" s="225"/>
      <c r="DB4" s="226" t="s">
        <v>143</v>
      </c>
      <c r="DC4" s="225"/>
      <c r="DD4" s="225"/>
      <c r="DE4" s="225"/>
    </row>
    <row r="5" spans="1:110" ht="15.75" customHeight="1" x14ac:dyDescent="0.25">
      <c r="A5" s="1"/>
      <c r="B5" s="1" t="s">
        <v>251</v>
      </c>
      <c r="C5" s="1"/>
      <c r="D5" s="1"/>
      <c r="E5" s="1" t="s">
        <v>11</v>
      </c>
      <c r="F5" s="1" t="s">
        <v>12</v>
      </c>
      <c r="G5" s="1"/>
      <c r="H5" s="1" t="s">
        <v>13</v>
      </c>
      <c r="I5" s="2" t="s">
        <v>14</v>
      </c>
      <c r="J5" s="48" t="s">
        <v>25</v>
      </c>
      <c r="K5" s="48"/>
      <c r="L5" s="8" t="s">
        <v>27</v>
      </c>
      <c r="M5" s="8" t="s">
        <v>28</v>
      </c>
      <c r="N5" s="8" t="s">
        <v>25</v>
      </c>
      <c r="O5" s="8" t="s">
        <v>31</v>
      </c>
      <c r="P5" s="2"/>
      <c r="Q5" s="1"/>
      <c r="R5" s="8" t="s">
        <v>33</v>
      </c>
      <c r="S5" s="8"/>
      <c r="T5" s="8"/>
      <c r="U5" s="8"/>
      <c r="V5" s="8" t="s">
        <v>85</v>
      </c>
      <c r="W5" s="8" t="s">
        <v>86</v>
      </c>
      <c r="X5" s="51"/>
      <c r="Y5" s="51"/>
      <c r="Z5" s="51"/>
      <c r="AA5" s="51" t="s">
        <v>478</v>
      </c>
      <c r="AB5" s="51">
        <v>0</v>
      </c>
      <c r="AC5" s="51"/>
      <c r="AD5" s="51">
        <v>0.1</v>
      </c>
      <c r="AE5" s="51"/>
      <c r="AF5" s="51"/>
      <c r="AG5" s="51"/>
      <c r="AH5" s="51"/>
      <c r="AI5" s="473">
        <f>SUM(AI7:AI558)</f>
        <v>3.4731060840343271</v>
      </c>
      <c r="AJ5" s="51"/>
      <c r="AK5" s="51"/>
      <c r="AL5" s="51"/>
      <c r="AM5" s="51"/>
      <c r="AN5" s="38" t="s">
        <v>3</v>
      </c>
      <c r="AO5" s="118" t="s">
        <v>41</v>
      </c>
      <c r="AP5" s="119"/>
      <c r="AQ5" s="119"/>
      <c r="AR5" s="119"/>
      <c r="AS5" s="120"/>
      <c r="AT5" s="120"/>
      <c r="AU5" s="120"/>
      <c r="AV5" s="120"/>
      <c r="AW5" s="120"/>
      <c r="AX5" s="120"/>
      <c r="AY5" s="120"/>
      <c r="AZ5" s="120"/>
      <c r="BA5" s="120"/>
      <c r="BB5" s="38" t="s">
        <v>3</v>
      </c>
      <c r="BC5" s="121" t="s">
        <v>41</v>
      </c>
      <c r="BD5" s="51"/>
      <c r="BE5" s="38" t="s">
        <v>3</v>
      </c>
      <c r="BF5" s="118" t="s">
        <v>41</v>
      </c>
      <c r="BG5" s="119"/>
      <c r="BH5" s="119"/>
      <c r="BI5" s="119"/>
      <c r="BJ5" s="120"/>
      <c r="BK5" s="120"/>
      <c r="BL5" s="120"/>
      <c r="BM5" s="120"/>
      <c r="BN5" s="120"/>
      <c r="BO5" s="120"/>
      <c r="BP5" s="120"/>
      <c r="BQ5" s="120"/>
      <c r="BR5" s="120"/>
      <c r="BS5" s="38" t="s">
        <v>3</v>
      </c>
      <c r="BT5" s="121" t="s">
        <v>41</v>
      </c>
      <c r="BU5" s="51"/>
      <c r="BV5" s="51"/>
      <c r="BW5" s="51"/>
      <c r="BX5" s="51"/>
      <c r="BY5" s="51"/>
      <c r="BZ5" s="51"/>
      <c r="CA5" s="51"/>
      <c r="CB5" s="51"/>
      <c r="CD5">
        <v>0</v>
      </c>
      <c r="CJ5">
        <v>0</v>
      </c>
      <c r="CR5" s="227"/>
      <c r="CS5" s="228"/>
      <c r="CT5" s="228"/>
      <c r="CU5" s="228"/>
      <c r="CV5" s="228"/>
      <c r="CW5" s="228"/>
      <c r="CX5" s="229"/>
      <c r="CZ5" s="227"/>
      <c r="DA5" s="228"/>
      <c r="DB5" s="228"/>
      <c r="DC5" s="228"/>
      <c r="DD5" s="228"/>
      <c r="DE5" s="228"/>
      <c r="DF5" s="229"/>
    </row>
    <row r="6" spans="1:110" ht="18" customHeight="1" thickBot="1" x14ac:dyDescent="0.35">
      <c r="A6" s="3" t="s">
        <v>15</v>
      </c>
      <c r="B6" s="3" t="s">
        <v>252</v>
      </c>
      <c r="C6" s="3" t="s">
        <v>16</v>
      </c>
      <c r="D6" s="3" t="s">
        <v>2</v>
      </c>
      <c r="E6" s="3" t="s">
        <v>17</v>
      </c>
      <c r="F6" s="3" t="s">
        <v>18</v>
      </c>
      <c r="G6" s="3" t="s">
        <v>3</v>
      </c>
      <c r="H6" s="3" t="s">
        <v>19</v>
      </c>
      <c r="I6" s="3" t="s">
        <v>5</v>
      </c>
      <c r="J6" s="3" t="s">
        <v>5</v>
      </c>
      <c r="K6" s="3" t="s">
        <v>26</v>
      </c>
      <c r="L6" s="3" t="s">
        <v>5</v>
      </c>
      <c r="M6" s="3" t="s">
        <v>29</v>
      </c>
      <c r="N6" s="3" t="s">
        <v>30</v>
      </c>
      <c r="O6" s="3" t="s">
        <v>30</v>
      </c>
      <c r="P6" s="3" t="s">
        <v>8</v>
      </c>
      <c r="Q6" s="3" t="s">
        <v>32</v>
      </c>
      <c r="R6" s="3" t="s">
        <v>34</v>
      </c>
      <c r="S6" s="3" t="s">
        <v>23</v>
      </c>
      <c r="T6" s="3" t="s">
        <v>22</v>
      </c>
      <c r="U6" s="3" t="s">
        <v>24</v>
      </c>
      <c r="V6" s="3" t="s">
        <v>84</v>
      </c>
      <c r="W6" s="3" t="s">
        <v>87</v>
      </c>
      <c r="X6" s="51" t="s">
        <v>291</v>
      </c>
      <c r="Y6" s="51" t="s">
        <v>292</v>
      </c>
      <c r="Z6" s="51" t="s">
        <v>401</v>
      </c>
      <c r="AA6" s="51" t="s">
        <v>446</v>
      </c>
      <c r="AB6" t="s">
        <v>446</v>
      </c>
      <c r="AC6" t="s">
        <v>493</v>
      </c>
      <c r="AD6" s="469" t="s">
        <v>465</v>
      </c>
      <c r="AE6" t="str">
        <f>CD6</f>
        <v>Curve Shift/Gamma</v>
      </c>
      <c r="AF6" t="s">
        <v>497</v>
      </c>
      <c r="AG6" t="s">
        <v>496</v>
      </c>
      <c r="AH6" t="s">
        <v>495</v>
      </c>
      <c r="AI6" t="s">
        <v>518</v>
      </c>
      <c r="AN6" s="39"/>
      <c r="AO6" s="122" t="s">
        <v>7</v>
      </c>
      <c r="AP6" s="123" t="s">
        <v>10</v>
      </c>
      <c r="AQ6" s="123" t="s">
        <v>9</v>
      </c>
      <c r="AR6" s="123" t="s">
        <v>74</v>
      </c>
      <c r="AS6" s="123" t="s">
        <v>0</v>
      </c>
      <c r="AT6" s="123" t="s">
        <v>190</v>
      </c>
      <c r="AU6" s="123" t="s">
        <v>325</v>
      </c>
      <c r="AV6" s="123" t="s">
        <v>119</v>
      </c>
      <c r="AW6" s="123" t="s">
        <v>384</v>
      </c>
      <c r="AX6" s="123" t="s">
        <v>6</v>
      </c>
      <c r="AY6" s="123" t="s">
        <v>487</v>
      </c>
      <c r="AZ6" s="123" t="s">
        <v>526</v>
      </c>
      <c r="BA6" s="124" t="s">
        <v>617</v>
      </c>
      <c r="BB6" s="39"/>
      <c r="BC6" s="125"/>
      <c r="BD6" s="51"/>
      <c r="BE6" s="39"/>
      <c r="BF6" s="122" t="s">
        <v>7</v>
      </c>
      <c r="BG6" s="123" t="s">
        <v>10</v>
      </c>
      <c r="BH6" s="123" t="s">
        <v>9</v>
      </c>
      <c r="BI6" s="123" t="s">
        <v>74</v>
      </c>
      <c r="BJ6" s="123" t="s">
        <v>0</v>
      </c>
      <c r="BK6" s="123" t="s">
        <v>190</v>
      </c>
      <c r="BL6" s="123" t="s">
        <v>325</v>
      </c>
      <c r="BM6" s="123" t="s">
        <v>119</v>
      </c>
      <c r="BN6" s="123" t="s">
        <v>384</v>
      </c>
      <c r="BO6" s="123" t="s">
        <v>6</v>
      </c>
      <c r="BP6" s="123" t="s">
        <v>487</v>
      </c>
      <c r="BQ6" s="123" t="s">
        <v>526</v>
      </c>
      <c r="BR6" s="124" t="s">
        <v>617</v>
      </c>
      <c r="BS6" s="39"/>
      <c r="BT6" s="125"/>
      <c r="BU6" s="51"/>
      <c r="BV6" s="51"/>
      <c r="BW6" s="51"/>
      <c r="BX6" s="51"/>
      <c r="BY6" s="51"/>
      <c r="BZ6" s="51"/>
      <c r="CA6" s="51"/>
      <c r="CB6" s="51"/>
      <c r="CC6" t="s">
        <v>144</v>
      </c>
      <c r="CD6" s="230" t="s">
        <v>145</v>
      </c>
      <c r="CE6" s="230" t="s">
        <v>136</v>
      </c>
      <c r="CF6" s="230" t="s">
        <v>146</v>
      </c>
      <c r="CG6" s="230" t="s">
        <v>137</v>
      </c>
      <c r="CH6" s="230" t="s">
        <v>138</v>
      </c>
      <c r="CI6" s="230" t="s">
        <v>139</v>
      </c>
      <c r="CJ6" s="230" t="s">
        <v>147</v>
      </c>
      <c r="CK6" t="s">
        <v>148</v>
      </c>
      <c r="CR6" s="231"/>
      <c r="CS6" s="245" t="s">
        <v>145</v>
      </c>
      <c r="CT6" s="245" t="s">
        <v>136</v>
      </c>
      <c r="CU6" s="245" t="s">
        <v>146</v>
      </c>
      <c r="CV6" s="245" t="s">
        <v>137</v>
      </c>
      <c r="CW6" s="245" t="s">
        <v>138</v>
      </c>
      <c r="CX6" s="233" t="s">
        <v>139</v>
      </c>
      <c r="CZ6" s="231"/>
      <c r="DA6" s="245" t="s">
        <v>145</v>
      </c>
      <c r="DB6" s="245" t="s">
        <v>136</v>
      </c>
      <c r="DC6" s="245" t="s">
        <v>146</v>
      </c>
      <c r="DD6" s="245" t="s">
        <v>137</v>
      </c>
      <c r="DE6" s="245" t="s">
        <v>138</v>
      </c>
      <c r="DF6" s="233" t="s">
        <v>139</v>
      </c>
    </row>
    <row r="7" spans="1:110" ht="12" customHeight="1" x14ac:dyDescent="0.25">
      <c r="A7" s="140" t="s">
        <v>276</v>
      </c>
      <c r="B7" t="s">
        <v>250</v>
      </c>
      <c r="C7" s="7" t="s">
        <v>265</v>
      </c>
      <c r="D7" s="4" t="s">
        <v>7</v>
      </c>
      <c r="E7" s="4" t="s">
        <v>20</v>
      </c>
      <c r="F7" s="5" t="s">
        <v>21</v>
      </c>
      <c r="G7" s="5">
        <v>37316</v>
      </c>
      <c r="H7" s="130">
        <v>-1000000</v>
      </c>
      <c r="I7" s="4">
        <v>0.95</v>
      </c>
      <c r="J7" s="53">
        <f t="shared" ref="J7:J38" si="1">VLOOKUP(G7,NGPrices,2,FALSE)</f>
        <v>3.605</v>
      </c>
      <c r="K7" s="7">
        <f t="shared" ref="K7:K38" si="2">HLOOKUP(D7,Prices,VLOOKUP(G7,move_down,2,FALSE),FALSE)+VLOOKUP(G7,CHANGE,HLOOKUP(D7,CHANGE,2,FALSE),FALSE)</f>
        <v>0.99</v>
      </c>
      <c r="L7" s="53">
        <f t="shared" ref="L7:L38" si="3">K7+J7</f>
        <v>4.5949999999999998</v>
      </c>
      <c r="M7" s="157">
        <f t="shared" ref="M7:M48" si="4">VLOOKUP(G7,NGPrices,4,FALSE)</f>
        <v>6.9499863695118999E-2</v>
      </c>
      <c r="N7" s="4">
        <f t="shared" ref="N7:N48" si="5">VLOOKUP(G7,NGPrices,3,FALSE)</f>
        <v>0.36499999999999999</v>
      </c>
      <c r="O7" s="4">
        <f t="shared" ref="O7:O48" si="6">HLOOKUP(D7,VOLS,VLOOKUP(G7,move_down,2,FALSE),FALSE)</f>
        <v>0.40200000000000002</v>
      </c>
      <c r="P7" s="9">
        <f t="shared" ref="P7:P48" si="7">HLOOKUP(D7,Correllate,VLOOKUP(G7,CorMove,2,FALSE),FALSE)</f>
        <v>0.95</v>
      </c>
      <c r="Q7" s="5">
        <f t="shared" ref="Q7:Q70" si="8">WORKDAY(G7,-2)</f>
        <v>37314</v>
      </c>
      <c r="R7" s="4">
        <f t="shared" ref="R7:R48" si="9">IF(F7="P",0,1)</f>
        <v>1</v>
      </c>
      <c r="S7" s="158">
        <f>_xll.xSPRDOPT($L7,$J7,$I7,$M7,$O7,$N7,$P7,$Q7-$C$3,$R7,0)</f>
        <v>0.33245950950180658</v>
      </c>
      <c r="T7" s="159">
        <f>_xll.xSPRDOPT($L7,$J7,$I7,$M7,$O7,$N7,$P7,$Q7-$C$3,$R7,1)*H7</f>
        <v>-511842.77263793</v>
      </c>
      <c r="U7" s="160">
        <f t="shared" ref="U7:U48" si="10">S7*H7</f>
        <v>-332459.50950180658</v>
      </c>
      <c r="V7" s="159">
        <f>_xll.xSPRDOPT($L7,$J7,$I7,$M7,$O7,$N7,$P7,$Q7-$C$3,$R7,2)*H7</f>
        <v>462949.15422612999</v>
      </c>
      <c r="W7" s="159">
        <f t="shared" ref="W7:W48" si="11">+V7+T7</f>
        <v>-48893.618411800009</v>
      </c>
      <c r="X7" s="51" t="str">
        <f t="shared" ref="X7:X38" si="12">CONCATENATE(G7,D7)</f>
        <v>37316IF-TRANSCO/Z6</v>
      </c>
      <c r="Y7" s="418">
        <f t="shared" ref="Y7:Y38" si="13">H7/10000</f>
        <v>-100</v>
      </c>
      <c r="Z7" s="456">
        <f t="shared" ref="Z7:Z38" si="14">T7/H7</f>
        <v>0.51184277263792999</v>
      </c>
      <c r="AA7" s="456">
        <f>_xll.xSPRDOPT($L7,$J7,$I7,$M7,$O7,$N7,$P7,$Q7-$C$3,$R7,3)</f>
        <v>0.40692116771061981</v>
      </c>
      <c r="AB7" s="456">
        <f>((_xll.xSPRDOPT($L7+AB$5,$J7,$I7,$M7,$O7,$N7,$P7,$Q7-$C$3,$R7,3)*$H7)/10000)/100</f>
        <v>-0.40692116771061981</v>
      </c>
      <c r="AC7" s="456">
        <f>((_xll.xSPRDOPT($L7+$AB$5,$J7,$I7,$M7,$O7,$N7,$P7,$Q7-$C$3,$R7,7)*$H7)/100)</f>
        <v>15105.856895288547</v>
      </c>
      <c r="AD7" s="456">
        <f>(_xll.xSPRDOPT($L7+$AB$5,$J7,$I7,$M7,$O7,$N7,$P7,$Q7-$C$3,$R7,9)/365)*$H7</f>
        <v>222.2218487509177</v>
      </c>
      <c r="AE7">
        <f t="shared" ref="AE7:AE70" si="15">CD7</f>
        <v>0</v>
      </c>
      <c r="AF7" s="456">
        <f t="shared" ref="AF7:AF38" si="16">((O7/N7)*AH7)+AG7</f>
        <v>-8552.0895056386489</v>
      </c>
      <c r="AG7" s="456">
        <f>((_xll.xSPRDOPT($L7,$J7,$I7,$M7,$O7,$N7,$P7,$Q7-$C$3,$R7,6)*$H7)/100)</f>
        <v>9100.1711453777189</v>
      </c>
      <c r="AH7" s="456">
        <f>((_xll.xSPRDOPT($L7,$J7,$I7,$M7,$O7,$N7,$P7,$Q7-$C$3,$R7,5)*$H7)/100)</f>
        <v>-16027.550093584512</v>
      </c>
      <c r="AI7" s="456">
        <f>(((_xll.xSPRDOPT($L7,$J7,$I7,$M7,$O7,$N7,$P7,$Q7-$C$3,$R7,4)*$H7)/10000)/100)-AB7</f>
        <v>-1.8425364214728401E-2</v>
      </c>
      <c r="AJ7" s="456"/>
      <c r="AK7" s="456"/>
      <c r="AL7" s="456"/>
      <c r="AM7" s="472"/>
      <c r="AN7" s="127">
        <v>36739</v>
      </c>
      <c r="AO7" s="43">
        <f t="shared" ref="AO7:BA16" si="17">SUMIF($X:$X,CONCATENATE($AN7,AO$6),$T:$T)/10000</f>
        <v>0</v>
      </c>
      <c r="AP7" s="43">
        <f t="shared" si="17"/>
        <v>0</v>
      </c>
      <c r="AQ7" s="43">
        <f t="shared" si="17"/>
        <v>0</v>
      </c>
      <c r="AR7" s="43">
        <f t="shared" si="17"/>
        <v>0</v>
      </c>
      <c r="AS7" s="43">
        <f t="shared" si="17"/>
        <v>0</v>
      </c>
      <c r="AT7" s="43">
        <f t="shared" si="17"/>
        <v>0</v>
      </c>
      <c r="AU7" s="43">
        <f t="shared" si="17"/>
        <v>0</v>
      </c>
      <c r="AV7" s="43">
        <f t="shared" si="17"/>
        <v>0</v>
      </c>
      <c r="AW7" s="43">
        <f t="shared" si="17"/>
        <v>0</v>
      </c>
      <c r="AX7" s="43">
        <f t="shared" si="17"/>
        <v>0</v>
      </c>
      <c r="AY7" s="43">
        <f t="shared" si="17"/>
        <v>0</v>
      </c>
      <c r="AZ7" s="43">
        <f t="shared" si="17"/>
        <v>0</v>
      </c>
      <c r="BA7" s="44">
        <f t="shared" si="17"/>
        <v>0</v>
      </c>
      <c r="BB7" s="127">
        <f>AN7</f>
        <v>36739</v>
      </c>
      <c r="BC7" s="44">
        <f>SUM(AO7:BA7)</f>
        <v>0</v>
      </c>
      <c r="BD7" s="51"/>
      <c r="BE7" s="127">
        <f>AN7</f>
        <v>36739</v>
      </c>
      <c r="BF7" s="43">
        <f t="shared" ref="BF7:BR16" si="18">SUMIF($X:$X,CONCATENATE($AN7,BF$6),$W:$W)</f>
        <v>0</v>
      </c>
      <c r="BG7" s="43">
        <f t="shared" si="18"/>
        <v>0</v>
      </c>
      <c r="BH7" s="43">
        <f t="shared" si="18"/>
        <v>0</v>
      </c>
      <c r="BI7" s="43">
        <f t="shared" si="18"/>
        <v>0</v>
      </c>
      <c r="BJ7" s="43">
        <f t="shared" si="18"/>
        <v>0</v>
      </c>
      <c r="BK7" s="43">
        <f t="shared" si="18"/>
        <v>0</v>
      </c>
      <c r="BL7" s="43">
        <f t="shared" si="18"/>
        <v>0</v>
      </c>
      <c r="BM7" s="43">
        <f t="shared" si="18"/>
        <v>0</v>
      </c>
      <c r="BN7" s="43">
        <f t="shared" si="18"/>
        <v>0</v>
      </c>
      <c r="BO7" s="43">
        <f t="shared" si="18"/>
        <v>0</v>
      </c>
      <c r="BP7" s="43">
        <f t="shared" si="18"/>
        <v>0</v>
      </c>
      <c r="BQ7" s="43">
        <f t="shared" si="18"/>
        <v>0</v>
      </c>
      <c r="BR7" s="44">
        <f t="shared" si="18"/>
        <v>0</v>
      </c>
      <c r="BS7" s="127">
        <f>AN7</f>
        <v>36739</v>
      </c>
      <c r="BT7" s="44">
        <f>SUM(BF7:BR7)</f>
        <v>0</v>
      </c>
      <c r="BU7" s="51"/>
      <c r="BV7" s="51"/>
      <c r="BW7" s="51"/>
      <c r="BX7" s="51"/>
      <c r="BY7" s="51"/>
      <c r="BZ7" s="51"/>
      <c r="CA7" s="51"/>
      <c r="CB7" s="51"/>
      <c r="CC7" s="141">
        <f>G7</f>
        <v>37316</v>
      </c>
      <c r="CD7" s="234">
        <f>_xll.xSPRDOPT((VLOOKUP(G7,NGPrices,2,FALSE)+HLOOKUP(D7,Prices,VLOOKUP(G7,move_down,2,FALSE),FALSE)),VLOOKUP(G7,NGPrices,2,FALSE),I7,VLOOKUP(G7,NGPREVPRICES,4,FALSE),HLOOKUP(D7,PREVVOLS,VLOOKUP(G7,MOVE_DOWN2,2,FALSE),FALSE),VLOOKUP(G7,NGPREVPRICES,3,FALSE),HLOOKUP(D7,Correllate,VLOOKUP(G7,CorMove,2,FALSE),FALSE),Q7-$CD$3,R7,$CD$5)*H7-CJ7</f>
        <v>0</v>
      </c>
      <c r="CE7" s="234">
        <f>_xll.xSPRDOPT((VLOOKUP(G7,NGPREVPRICES,2,FALSE)+HLOOKUP(D7,PREVCURVES,VLOOKUP(G7,MOVE_DOWN2,2,FALSE),FALSE)),VLOOKUP(G7,NGPREVPRICES,2,FALSE),CK7,VLOOKUP(G7,NGPrices,4,FALSE),HLOOKUP(D7,PREVVOLS,VLOOKUP(G7,MOVE_DOWN2,2,FALSE),FALSE),VLOOKUP(G7,NGPREVPRICES,3,FALSE),HLOOKUP(D7,Correllate,VLOOKUP(G7,CorMove,2,FALSE),FALSE),Q7-$CD$3,R7,$CJ$5)*H7-CJ7</f>
        <v>0</v>
      </c>
      <c r="CF7" s="10">
        <f>(CJ7/VLOOKUP(CC7,discount,3,FALSE))-(CJ7/VLOOKUP(CC7,discount,2,FALSE))</f>
        <v>68.76036715315422</v>
      </c>
      <c r="CG7" s="234">
        <f>_xll.xSPRDOPT((VLOOKUP(G7,NGPREVPRICES,2,FALSE)+HLOOKUP(D7,PREVCURVES,VLOOKUP(G7,MOVE_DOWN2,2,FALSE),FALSE)),VLOOKUP(G7,NGPREVPRICES,2,FALSE),CK7,VLOOKUP(G7,NGPREVPRICES,4,FALSE),HLOOKUP(D7,VOLS,VLOOKUP(G7,move_down,2,FALSE),FALSE),VLOOKUP(G7,NGPrices,3,FALSE),HLOOKUP(D7,Correllate,VLOOKUP(G7,CorMove,2,FALSE),FALSE),Q7-$CD$3,R7,$CJ$5)*H7-CJ7</f>
        <v>0</v>
      </c>
      <c r="CH7" s="234">
        <f>_xll.xSPRDOPT((VLOOKUP(G7,NGPREVPRICES,2,FALSE)+HLOOKUP(D7,PREVCURVES,VLOOKUP(G7,MOVE_DOWN2,2,FALSE),FALSE)),VLOOKUP(G7,NGPREVPRICES,2,FALSE),CK7,VLOOKUP(G7,NGPREVPRICES,4,FALSE),HLOOKUP(D7,PREVVOLS,VLOOKUP(G7,MOVE_DOWN2,2,FALSE),FALSE),VLOOKUP(G7,NGPREVPRICES,3,FALSE),HLOOKUP(D7,Correllate,VLOOKUP(G7,CorMove,2,FALSE),FALSE),Q7-$C$3,R7,$CJ$5)*H7-CJ7</f>
        <v>221.88941461080685</v>
      </c>
      <c r="CI7" s="234">
        <f>SUM(CD7:CH7)</f>
        <v>290.64978176396107</v>
      </c>
      <c r="CJ7" s="234">
        <f>_xll.xSPRDOPT((VLOOKUP(G7,NGPREVPRICES,2,FALSE)+HLOOKUP(D7,PREVCURVES,VLOOKUP(G7,MOVE_DOWN2,2,FALSE),FALSE)),VLOOKUP(G7,NGPREVPRICES,2,FALSE),CK7,VLOOKUP(G7,NGPREVPRICES,4,FALSE),HLOOKUP(D7,PREVVOLS,VLOOKUP(G7,MOVE_DOWN2,2,FALSE),FALSE),VLOOKUP(G7,NGPREVPRICES,3,FALSE),HLOOKUP(D7,Correllate,VLOOKUP(G7,CorMove,2,FALSE),FALSE),Q7-$CD$3,R7,$CJ$5)*H7</f>
        <v>-332681.39891641738</v>
      </c>
      <c r="CK7" s="235">
        <f>I7</f>
        <v>0.95</v>
      </c>
      <c r="CM7" t="str">
        <f>CONCATENATE(CC7,$CD$6)</f>
        <v>37316Curve Shift/Gamma</v>
      </c>
      <c r="CN7" t="str">
        <f t="shared" ref="CN7:CN63" si="19">CONCATENATE($CC7,$CE$6)</f>
        <v>37316Rho</v>
      </c>
      <c r="CO7" t="str">
        <f t="shared" ref="CO7:CO63" si="20">CONCATENATE($CC7,$CF$6)</f>
        <v>37316Drift</v>
      </c>
      <c r="CP7" t="str">
        <f t="shared" ref="CP7:CP63" si="21">CONCATENATE($CC7,$CG$6)</f>
        <v>37316Vega</v>
      </c>
      <c r="CQ7" t="str">
        <f t="shared" ref="CQ7:CQ63" si="22">CONCATENATE($CC7,$CH$6)</f>
        <v>37316Theta</v>
      </c>
      <c r="CR7" s="385">
        <v>36739</v>
      </c>
      <c r="CS7" s="236">
        <f t="shared" ref="CS7:CS47" si="23">SUMIF($CM$7:$CM$631,CONCATENATE($CR7,$CS$6),$CD$7:$CD$631)</f>
        <v>0</v>
      </c>
      <c r="CT7" s="237">
        <f t="shared" ref="CT7:CT47" si="24">SUMIF($CN$7:$CN$636,CONCATENATE($CR7,$CT$6),$CE$7:$CE$631)</f>
        <v>0</v>
      </c>
      <c r="CU7" s="237">
        <f t="shared" ref="CU7:CU47" si="25">SUMIF($CO$7:$CO$636,CONCATENATE($CR7,$CU$6),$CF$7:$CF$631)</f>
        <v>0</v>
      </c>
      <c r="CV7" s="237">
        <f t="shared" ref="CV7:CV47" si="26">SUMIF($CP$7:$CP$636,CONCATENATE($CR7,$CV$6),$CG$7:$CG$631)</f>
        <v>0</v>
      </c>
      <c r="CW7" s="248">
        <f t="shared" ref="CW7:CW47" si="27">SUMIF($CQ$7:$CQ$636,CONCATENATE($CR7,$CW$6),$CH$7:$CH$631)</f>
        <v>0</v>
      </c>
      <c r="CX7" s="238">
        <f>SUM(CS7:CW7)</f>
        <v>0</v>
      </c>
      <c r="CZ7" s="385">
        <f>CR7</f>
        <v>36739</v>
      </c>
      <c r="DA7" s="236">
        <f t="shared" ref="DA7:DA47" si="28">SUMIF($CC$7:$CC$1008,$CR7,$CD$7:$CD$1008)</f>
        <v>0</v>
      </c>
      <c r="DB7" s="237">
        <f t="shared" ref="DB7:DB47" si="29">SUMIF($CC$7:$CC$1008,$CR7,$CE$7:$CE$1008)</f>
        <v>0</v>
      </c>
      <c r="DC7" s="237">
        <f t="shared" ref="DC7:DC47" si="30">SUMIF($CC$7:$CC$1008,$CR7,$CF$7:$CF$1008)</f>
        <v>0</v>
      </c>
      <c r="DD7" s="237">
        <f t="shared" ref="DD7:DD47" si="31">SUMIF($CC$7:$CC$1008,$CR7,$CG$7:$CG$1008)</f>
        <v>0</v>
      </c>
      <c r="DE7" s="248">
        <f t="shared" ref="DE7:DE47" si="32">SUMIF($CC$7:$CC$1008,$CR7,$CH$7:$CH$1008)</f>
        <v>0</v>
      </c>
      <c r="DF7" s="238"/>
    </row>
    <row r="8" spans="1:110" ht="12" customHeight="1" x14ac:dyDescent="0.25">
      <c r="A8" s="383" t="s">
        <v>276</v>
      </c>
      <c r="B8" t="s">
        <v>250</v>
      </c>
      <c r="C8" s="7" t="s">
        <v>265</v>
      </c>
      <c r="D8" s="4" t="s">
        <v>7</v>
      </c>
      <c r="E8" s="4" t="s">
        <v>20</v>
      </c>
      <c r="F8" s="5" t="s">
        <v>21</v>
      </c>
      <c r="G8" s="5">
        <v>37288</v>
      </c>
      <c r="H8" s="130">
        <v>-1000000</v>
      </c>
      <c r="I8" s="4">
        <v>0.95</v>
      </c>
      <c r="J8" s="53">
        <f t="shared" si="1"/>
        <v>3.77</v>
      </c>
      <c r="K8" s="7">
        <f t="shared" si="2"/>
        <v>1.56</v>
      </c>
      <c r="L8" s="53">
        <f t="shared" si="3"/>
        <v>5.33</v>
      </c>
      <c r="M8" s="157">
        <f t="shared" si="4"/>
        <v>6.9453688628792004E-2</v>
      </c>
      <c r="N8" s="4">
        <f t="shared" si="5"/>
        <v>0.39500000000000002</v>
      </c>
      <c r="O8" s="4">
        <f t="shared" si="6"/>
        <v>0.435</v>
      </c>
      <c r="P8" s="9">
        <f t="shared" si="7"/>
        <v>0.95</v>
      </c>
      <c r="Q8" s="5">
        <f t="shared" si="8"/>
        <v>37286</v>
      </c>
      <c r="R8" s="4">
        <f t="shared" si="9"/>
        <v>1</v>
      </c>
      <c r="S8" s="158">
        <f>_xll.xSPRDOPT($L8,$J8,$I8,$M8,$O8,$N8,$P8,$Q8-$C$3,$R8,0)</f>
        <v>0.70845457801566636</v>
      </c>
      <c r="T8" s="159">
        <f>_xll.xSPRDOPT($L8,$J8,$I8,$M8,$O8,$N8,$P8,$Q8-$C$3,$R8,1)*H8</f>
        <v>-696507.01843145501</v>
      </c>
      <c r="U8" s="160">
        <f t="shared" si="10"/>
        <v>-708454.57801566634</v>
      </c>
      <c r="V8" s="159">
        <f>_xll.xSPRDOPT($L8,$J8,$I8,$M8,$O8,$N8,$P8,$Q8-$C$3,$R8,2)*H8</f>
        <v>655448.42059067218</v>
      </c>
      <c r="W8" s="159">
        <f t="shared" si="11"/>
        <v>-41058.597840782837</v>
      </c>
      <c r="X8" s="51" t="str">
        <f t="shared" si="12"/>
        <v>37288IF-TRANSCO/Z6</v>
      </c>
      <c r="Y8" s="418">
        <f t="shared" si="13"/>
        <v>-100</v>
      </c>
      <c r="Z8" s="456">
        <f t="shared" si="14"/>
        <v>0.69650701843145502</v>
      </c>
      <c r="AA8" s="456">
        <f>_xll.xSPRDOPT($L8,$J8,$I8,$M8,$O8,$N8,$P8,$Q8-$C$3,$R8,3)</f>
        <v>0.2529648690916495</v>
      </c>
      <c r="AB8" s="456">
        <f>((_xll.xSPRDOPT($L8+AB$5,$J8,$I8,$M8,$O8,$N8,$P8,$Q8-$C$3,$R8,3)*$H8)/10000)/100</f>
        <v>-0.2529648690916495</v>
      </c>
      <c r="AC8" s="456">
        <f>((_xll.xSPRDOPT($L8+$AB$5,$J8,$I8,$M8,$O8,$N8,$P8,$Q8-$C$3,$R8,7)*$H8)/100)</f>
        <v>13734.815460609112</v>
      </c>
      <c r="AD8" s="456">
        <f>(_xll.xSPRDOPT($L8+$AB$5,$J8,$I8,$M8,$O8,$N8,$P8,$Q8-$C$3,$R8,9)/365)*$H8</f>
        <v>159.6455608558885</v>
      </c>
      <c r="AE8">
        <f t="shared" si="15"/>
        <v>0</v>
      </c>
      <c r="AF8" s="456">
        <f t="shared" si="16"/>
        <v>-7732.4862139637507</v>
      </c>
      <c r="AG8" s="456">
        <f>((_xll.xSPRDOPT($L8,$J8,$I8,$M8,$O8,$N8,$P8,$Q8-$C$3,$R8,6)*$H8)/100)</f>
        <v>8152.8987579439681</v>
      </c>
      <c r="AH8" s="456">
        <f>((_xll.xSPRDOPT($L8,$J8,$I8,$M8,$O8,$N8,$P8,$Q8-$C$3,$R8,5)*$H8)/100)</f>
        <v>-14424.659917019655</v>
      </c>
      <c r="AI8" s="456">
        <f>(((_xll.xSPRDOPT($L8,$J8,$I8,$M8,$O8,$N8,$P8,$Q8-$C$3,$R8,4)*$H8)/10000)/100)-AB8</f>
        <v>-5.8921393055342219E-2</v>
      </c>
      <c r="AJ8" s="456"/>
      <c r="AK8" s="456"/>
      <c r="AL8" s="456"/>
      <c r="AM8" s="472"/>
      <c r="AN8" s="128">
        <f t="shared" ref="AN8:AN39" si="33">EOMONTH(AN7,0)+1</f>
        <v>36770</v>
      </c>
      <c r="AO8" s="43">
        <f t="shared" si="17"/>
        <v>176.09230749207589</v>
      </c>
      <c r="AP8" s="43">
        <f t="shared" si="17"/>
        <v>63.773616445980096</v>
      </c>
      <c r="AQ8" s="43">
        <f t="shared" si="17"/>
        <v>-129.64741237490693</v>
      </c>
      <c r="AR8" s="43">
        <f t="shared" si="17"/>
        <v>0</v>
      </c>
      <c r="AS8" s="43">
        <f t="shared" si="17"/>
        <v>0</v>
      </c>
      <c r="AT8" s="43">
        <f t="shared" si="17"/>
        <v>59.988953442738449</v>
      </c>
      <c r="AU8" s="43">
        <f t="shared" si="17"/>
        <v>199.96319780327812</v>
      </c>
      <c r="AV8" s="43">
        <f t="shared" si="17"/>
        <v>0</v>
      </c>
      <c r="AW8" s="43">
        <f t="shared" si="17"/>
        <v>17.306409617921634</v>
      </c>
      <c r="AX8" s="43">
        <f t="shared" si="17"/>
        <v>0</v>
      </c>
      <c r="AY8" s="43">
        <f t="shared" si="17"/>
        <v>0</v>
      </c>
      <c r="AZ8" s="43">
        <f t="shared" si="17"/>
        <v>0</v>
      </c>
      <c r="BA8" s="44">
        <f t="shared" si="17"/>
        <v>0</v>
      </c>
      <c r="BB8" s="128">
        <f t="shared" ref="BB8:BB39" si="34">EOMONTH(BB7,0)+1</f>
        <v>36770</v>
      </c>
      <c r="BC8" s="44">
        <f>SUM(AO8:BA8)</f>
        <v>387.47707242708725</v>
      </c>
      <c r="BD8" s="51"/>
      <c r="BE8" s="128">
        <f t="shared" ref="BE8:BE39" si="35">EOMONTH(BE7,0)+1</f>
        <v>36770</v>
      </c>
      <c r="BF8" s="43">
        <f t="shared" si="18"/>
        <v>-4107.3382898757245</v>
      </c>
      <c r="BG8" s="43">
        <f t="shared" si="18"/>
        <v>664.21435472150915</v>
      </c>
      <c r="BH8" s="43">
        <f t="shared" si="18"/>
        <v>-5450.1767642040077</v>
      </c>
      <c r="BI8" s="43">
        <f t="shared" si="18"/>
        <v>0</v>
      </c>
      <c r="BJ8" s="43">
        <f t="shared" si="18"/>
        <v>0</v>
      </c>
      <c r="BK8" s="43">
        <f t="shared" si="18"/>
        <v>1.7966479046513939E-2</v>
      </c>
      <c r="BL8" s="43">
        <f t="shared" si="18"/>
        <v>-1.3630715507204778E-53</v>
      </c>
      <c r="BM8" s="43">
        <f t="shared" si="18"/>
        <v>0</v>
      </c>
      <c r="BN8" s="43">
        <f t="shared" si="18"/>
        <v>265.66202000074554</v>
      </c>
      <c r="BO8" s="43">
        <f t="shared" si="18"/>
        <v>0</v>
      </c>
      <c r="BP8" s="43">
        <f t="shared" si="18"/>
        <v>0</v>
      </c>
      <c r="BQ8" s="43">
        <f t="shared" si="18"/>
        <v>0</v>
      </c>
      <c r="BR8" s="44">
        <f t="shared" si="18"/>
        <v>0</v>
      </c>
      <c r="BS8" s="128">
        <f t="shared" ref="BS8:BS39" si="36">EOMONTH(BS7,0)+1</f>
        <v>36770</v>
      </c>
      <c r="BT8" s="44">
        <f t="shared" ref="BT8:BT71" si="37">SUM(BF8:BR8)</f>
        <v>-8627.6207128784317</v>
      </c>
      <c r="BU8" s="474">
        <f>BT8/10000</f>
        <v>-0.86276207128784321</v>
      </c>
      <c r="BV8" s="51"/>
      <c r="BW8" s="51"/>
      <c r="BX8" s="51"/>
      <c r="BY8" s="51"/>
      <c r="BZ8" s="51"/>
      <c r="CA8" s="51"/>
      <c r="CB8" s="51"/>
      <c r="CC8" s="141">
        <f>G8</f>
        <v>37288</v>
      </c>
      <c r="CD8" s="234">
        <f>_xll.xSPRDOPT((VLOOKUP(G8,NGPrices,2,FALSE)+HLOOKUP(D8,Prices,VLOOKUP(G8,move_down,2,FALSE),FALSE)),VLOOKUP(G8,NGPrices,2,FALSE),I8,VLOOKUP(G8,NGPREVPRICES,4,FALSE),HLOOKUP(D8,PREVVOLS,VLOOKUP(G8,MOVE_DOWN2,2,FALSE),FALSE),VLOOKUP(G8,NGPREVPRICES,3,FALSE),HLOOKUP(D8,Correllate,VLOOKUP(G8,CorMove,2,FALSE),FALSE),Q8-$CD$3,R8,$CD$5)*H8-CJ8</f>
        <v>0</v>
      </c>
      <c r="CE8" s="234">
        <f>_xll.xSPRDOPT((VLOOKUP(G8,NGPREVPRICES,2,FALSE)+HLOOKUP(D8,PREVCURVES,VLOOKUP(G8,MOVE_DOWN2,2,FALSE),FALSE)),VLOOKUP(G8,NGPREVPRICES,2,FALSE),CK8,VLOOKUP(G8,NGPrices,4,FALSE),HLOOKUP(D8,PREVVOLS,VLOOKUP(G8,MOVE_DOWN2,2,FALSE),FALSE),VLOOKUP(G8,NGPREVPRICES,3,FALSE),HLOOKUP(D8,Correllate,VLOOKUP(G8,CorMove,2,FALSE),FALSE),Q8-$CD$3,R8,$CJ$5)*H8-CJ8</f>
        <v>0</v>
      </c>
      <c r="CF8" s="10">
        <f>(CJ8/VLOOKUP(CC8,discount,3,FALSE))-(CJ8/VLOOKUP(CC8,discount,2,FALSE))</f>
        <v>145.62832677457482</v>
      </c>
      <c r="CG8" s="234">
        <f>_xll.xSPRDOPT((VLOOKUP(G8,NGPREVPRICES,2,FALSE)+HLOOKUP(D8,PREVCURVES,VLOOKUP(G8,MOVE_DOWN2,2,FALSE),FALSE)),VLOOKUP(G8,NGPREVPRICES,2,FALSE),CK8,VLOOKUP(G8,NGPREVPRICES,4,FALSE),HLOOKUP(D8,VOLS,VLOOKUP(G8,move_down,2,FALSE),FALSE),VLOOKUP(G8,NGPrices,3,FALSE),HLOOKUP(D8,Correllate,VLOOKUP(G8,CorMove,2,FALSE),FALSE),Q8-$CD$3,R8,$CJ$5)*H8-CJ8</f>
        <v>0</v>
      </c>
      <c r="CH8" s="234">
        <f>_xll.xSPRDOPT((VLOOKUP(G8,NGPREVPRICES,2,FALSE)+HLOOKUP(D8,PREVCURVES,VLOOKUP(G8,MOVE_DOWN2,2,FALSE),FALSE)),VLOOKUP(G8,NGPREVPRICES,2,FALSE),CK8,VLOOKUP(G8,NGPREVPRICES,4,FALSE),HLOOKUP(D8,PREVVOLS,VLOOKUP(G8,MOVE_DOWN2,2,FALSE),FALSE),VLOOKUP(G8,NGPREVPRICES,3,FALSE),HLOOKUP(D8,Correllate,VLOOKUP(G8,CorMove,2,FALSE),FALSE),Q8-$C$3,R8,$CJ$5)*H8-CJ8</f>
        <v>159.39914014388341</v>
      </c>
      <c r="CI8" s="234">
        <f>SUM(CD8:CH8)</f>
        <v>305.02746691845823</v>
      </c>
      <c r="CJ8" s="234">
        <f>_xll.xSPRDOPT((VLOOKUP(G8,NGPREVPRICES,2,FALSE)+HLOOKUP(D8,PREVCURVES,VLOOKUP(G8,MOVE_DOWN2,2,FALSE),FALSE)),VLOOKUP(G8,NGPREVPRICES,2,FALSE),CK8,VLOOKUP(G8,NGPREVPRICES,4,FALSE),HLOOKUP(D8,PREVVOLS,VLOOKUP(G8,MOVE_DOWN2,2,FALSE),FALSE),VLOOKUP(G8,NGPREVPRICES,3,FALSE),HLOOKUP(D8,Correllate,VLOOKUP(G8,CorMove,2,FALSE),FALSE),Q8-$CD$3,R8,$CJ$5)*H8</f>
        <v>-708613.97715581022</v>
      </c>
      <c r="CK8" s="235">
        <f>I8</f>
        <v>0.95</v>
      </c>
      <c r="CM8" t="str">
        <f>CONCATENATE(CC8,$CD$6)</f>
        <v>37288Curve Shift/Gamma</v>
      </c>
      <c r="CN8" t="str">
        <f t="shared" si="19"/>
        <v>37288Rho</v>
      </c>
      <c r="CO8" t="str">
        <f t="shared" si="20"/>
        <v>37288Drift</v>
      </c>
      <c r="CP8" t="str">
        <f t="shared" si="21"/>
        <v>37288Vega</v>
      </c>
      <c r="CQ8" t="str">
        <f t="shared" si="22"/>
        <v>37288Theta</v>
      </c>
      <c r="CR8" s="385">
        <f t="shared" ref="CR8:CR47" si="38">EOMONTH(CR7,0)+1</f>
        <v>36770</v>
      </c>
      <c r="CS8" s="386">
        <f>SUMIF($CM$7:$CM$631,CONCATENATE($CR8,$CS$6),$CD$7:$CD$631)</f>
        <v>0</v>
      </c>
      <c r="CT8" s="239">
        <f t="shared" si="24"/>
        <v>0</v>
      </c>
      <c r="CU8" s="239">
        <f t="shared" si="25"/>
        <v>-422.37291631088499</v>
      </c>
      <c r="CV8" s="239">
        <f t="shared" si="26"/>
        <v>0</v>
      </c>
      <c r="CW8" s="249">
        <f t="shared" si="27"/>
        <v>5236.5921016668799</v>
      </c>
      <c r="CX8" s="240">
        <f t="shared" ref="CX8:CX47" si="39">SUM(CS8:CW8)</f>
        <v>4814.2191853559953</v>
      </c>
      <c r="CZ8" s="385">
        <f t="shared" ref="CZ8:CZ47" si="40">CR8</f>
        <v>36770</v>
      </c>
      <c r="DA8" s="386">
        <f t="shared" si="28"/>
        <v>0</v>
      </c>
      <c r="DB8" s="239">
        <f t="shared" si="29"/>
        <v>0</v>
      </c>
      <c r="DC8" s="239">
        <f t="shared" si="30"/>
        <v>-388.21807930677892</v>
      </c>
      <c r="DD8" s="239">
        <f t="shared" si="31"/>
        <v>0</v>
      </c>
      <c r="DE8" s="249">
        <f t="shared" si="32"/>
        <v>20180.51870899849</v>
      </c>
      <c r="DF8" s="240">
        <f>SUM(DA8:DE8)</f>
        <v>19792.300629691712</v>
      </c>
    </row>
    <row r="9" spans="1:110" ht="12" customHeight="1" x14ac:dyDescent="0.25">
      <c r="A9" s="140" t="s">
        <v>276</v>
      </c>
      <c r="B9" t="s">
        <v>250</v>
      </c>
      <c r="C9" s="7" t="s">
        <v>265</v>
      </c>
      <c r="D9" s="4" t="s">
        <v>7</v>
      </c>
      <c r="E9" s="4" t="s">
        <v>20</v>
      </c>
      <c r="F9" s="5" t="s">
        <v>21</v>
      </c>
      <c r="G9" s="5">
        <v>37257</v>
      </c>
      <c r="H9" s="130">
        <v>-1000000</v>
      </c>
      <c r="I9" s="4">
        <v>0.95</v>
      </c>
      <c r="J9" s="53">
        <f t="shared" si="1"/>
        <v>3.94</v>
      </c>
      <c r="K9" s="7">
        <f t="shared" si="2"/>
        <v>1.56</v>
      </c>
      <c r="L9" s="53">
        <f t="shared" si="3"/>
        <v>5.5</v>
      </c>
      <c r="M9" s="157">
        <f t="shared" si="4"/>
        <v>6.9402566234750995E-2</v>
      </c>
      <c r="N9" s="4">
        <f t="shared" si="5"/>
        <v>0.41249999999999998</v>
      </c>
      <c r="O9" s="4">
        <f t="shared" si="6"/>
        <v>0.45400000000000001</v>
      </c>
      <c r="P9" s="9">
        <f t="shared" si="7"/>
        <v>0.95</v>
      </c>
      <c r="Q9" s="5">
        <f t="shared" si="8"/>
        <v>37253</v>
      </c>
      <c r="R9" s="4">
        <f t="shared" si="9"/>
        <v>1</v>
      </c>
      <c r="S9" s="158">
        <f>_xll.xSPRDOPT($L9,$J9,$I9,$M9,$O9,$N9,$P9,$Q9-$C$3,$R9,0)</f>
        <v>0.72301533077679803</v>
      </c>
      <c r="T9" s="159">
        <f>_xll.xSPRDOPT($L9,$J9,$I9,$M9,$O9,$N9,$P9,$Q9-$C$3,$R9,1)*H9</f>
        <v>-695216.65708173451</v>
      </c>
      <c r="U9" s="160">
        <f t="shared" si="10"/>
        <v>-723015.33077679807</v>
      </c>
      <c r="V9" s="159">
        <f>_xll.xSPRDOPT($L9,$J9,$I9,$M9,$O9,$N9,$P9,$Q9-$C$3,$R9,2)*H9</f>
        <v>652543.23213405441</v>
      </c>
      <c r="W9" s="159">
        <f t="shared" si="11"/>
        <v>-42673.424947680091</v>
      </c>
      <c r="X9" s="51" t="str">
        <f t="shared" si="12"/>
        <v>37257IF-TRANSCO/Z6</v>
      </c>
      <c r="Y9" s="418">
        <f t="shared" si="13"/>
        <v>-100</v>
      </c>
      <c r="Z9" s="456">
        <f t="shared" si="14"/>
        <v>0.69521665708173452</v>
      </c>
      <c r="AA9" s="456">
        <f>_xll.xSPRDOPT($L9,$J9,$I9,$M9,$O9,$N9,$P9,$Q9-$C$3,$R9,3)</f>
        <v>0.25108709576968602</v>
      </c>
      <c r="AB9" s="456">
        <f>((_xll.xSPRDOPT($L9+AB$5,$J9,$I9,$M9,$O9,$N9,$P9,$Q9-$C$3,$R9,3)*$H9)/10000)/100</f>
        <v>-0.25108709576968602</v>
      </c>
      <c r="AC9" s="456">
        <f>((_xll.xSPRDOPT($L9+$AB$5,$J9,$I9,$M9,$O9,$N9,$P9,$Q9-$C$3,$R9,7)*$H9)/100)</f>
        <v>14980.076908111763</v>
      </c>
      <c r="AD9" s="456">
        <f>(_xll.xSPRDOPT($L9+$AB$5,$J9,$I9,$M9,$O9,$N9,$P9,$Q9-$C$3,$R9,9)/365)*$H9</f>
        <v>193.0172855514013</v>
      </c>
      <c r="AE9">
        <f t="shared" si="15"/>
        <v>0</v>
      </c>
      <c r="AF9" s="456">
        <f t="shared" si="16"/>
        <v>-7782.3176871792548</v>
      </c>
      <c r="AG9" s="456">
        <f>((_xll.xSPRDOPT($L9,$J9,$I9,$M9,$O9,$N9,$P9,$Q9-$C$3,$R9,6)*$H9)/100)</f>
        <v>8217.1904710350573</v>
      </c>
      <c r="AH9" s="456">
        <f>((_xll.xSPRDOPT($L9,$J9,$I9,$M9,$O9,$N9,$P9,$Q9-$C$3,$R9,5)*$H9)/100)</f>
        <v>-14536.998051240975</v>
      </c>
      <c r="AI9" s="456">
        <f>(((_xll.xSPRDOPT($L9,$J9,$I9,$M9,$O9,$N9,$P9,$Q9-$C$3,$R9,4)*$H9)/10000)/100)-AB9</f>
        <v>-5.7374821566052392E-2</v>
      </c>
      <c r="AJ9" s="456"/>
      <c r="AK9" s="456"/>
      <c r="AL9" s="456"/>
      <c r="AM9" s="472"/>
      <c r="AN9" s="128">
        <f t="shared" si="33"/>
        <v>36800</v>
      </c>
      <c r="AO9" s="43">
        <f t="shared" si="17"/>
        <v>326.84751230458272</v>
      </c>
      <c r="AP9" s="43">
        <f t="shared" si="17"/>
        <v>45.416722008855388</v>
      </c>
      <c r="AQ9" s="43">
        <f t="shared" si="17"/>
        <v>-467.18430779235166</v>
      </c>
      <c r="AR9" s="43">
        <f t="shared" si="17"/>
        <v>0</v>
      </c>
      <c r="AS9" s="43">
        <f t="shared" si="17"/>
        <v>0</v>
      </c>
      <c r="AT9" s="43">
        <f t="shared" si="17"/>
        <v>243.88327627825751</v>
      </c>
      <c r="AU9" s="43">
        <f t="shared" si="17"/>
        <v>179.46205936787882</v>
      </c>
      <c r="AV9" s="43">
        <f t="shared" si="17"/>
        <v>0</v>
      </c>
      <c r="AW9" s="43">
        <f t="shared" si="17"/>
        <v>22.053040580030878</v>
      </c>
      <c r="AX9" s="43">
        <f t="shared" si="17"/>
        <v>0</v>
      </c>
      <c r="AY9" s="43">
        <f t="shared" si="17"/>
        <v>0</v>
      </c>
      <c r="AZ9" s="43">
        <f t="shared" si="17"/>
        <v>0</v>
      </c>
      <c r="BA9" s="44">
        <f t="shared" si="17"/>
        <v>0</v>
      </c>
      <c r="BB9" s="128">
        <f t="shared" si="34"/>
        <v>36800</v>
      </c>
      <c r="BC9" s="44">
        <f t="shared" ref="BC9:BC71" si="41">SUM(AO9:BA9)</f>
        <v>350.47830274725368</v>
      </c>
      <c r="BD9" s="51"/>
      <c r="BE9" s="128">
        <f t="shared" si="35"/>
        <v>36800</v>
      </c>
      <c r="BF9" s="43">
        <f t="shared" si="18"/>
        <v>-24134.080886749234</v>
      </c>
      <c r="BG9" s="43">
        <f t="shared" si="18"/>
        <v>7381.7860018368956</v>
      </c>
      <c r="BH9" s="43">
        <f t="shared" si="18"/>
        <v>181349.07694504107</v>
      </c>
      <c r="BI9" s="43">
        <f t="shared" si="18"/>
        <v>0</v>
      </c>
      <c r="BJ9" s="43">
        <f t="shared" si="18"/>
        <v>0</v>
      </c>
      <c r="BK9" s="43">
        <f t="shared" si="18"/>
        <v>7261.4507630889138</v>
      </c>
      <c r="BL9" s="43">
        <f t="shared" si="18"/>
        <v>-4645.7829797116428</v>
      </c>
      <c r="BM9" s="43">
        <f t="shared" si="18"/>
        <v>0</v>
      </c>
      <c r="BN9" s="43">
        <f t="shared" si="18"/>
        <v>1860.7683706591197</v>
      </c>
      <c r="BO9" s="43">
        <f t="shared" si="18"/>
        <v>0</v>
      </c>
      <c r="BP9" s="43">
        <f t="shared" si="18"/>
        <v>0</v>
      </c>
      <c r="BQ9" s="43">
        <f t="shared" si="18"/>
        <v>0</v>
      </c>
      <c r="BR9" s="44">
        <f t="shared" si="18"/>
        <v>0</v>
      </c>
      <c r="BS9" s="128">
        <f t="shared" si="36"/>
        <v>36800</v>
      </c>
      <c r="BT9" s="44">
        <f>SUM(BF9:BR9)</f>
        <v>169073.2182141651</v>
      </c>
      <c r="BU9" s="474">
        <f t="shared" ref="BU9:BU27" si="42">BT9/10000</f>
        <v>16.90732182141651</v>
      </c>
      <c r="BV9" s="51"/>
      <c r="BW9" s="51"/>
      <c r="BX9" s="51"/>
      <c r="BY9" s="51"/>
      <c r="BZ9" s="51"/>
      <c r="CA9" s="51"/>
      <c r="CB9" s="51"/>
      <c r="CC9" s="141">
        <f t="shared" ref="CC9:CC36" si="43">G9</f>
        <v>37257</v>
      </c>
      <c r="CD9" s="234">
        <f>_xll.xSPRDOPT((VLOOKUP(G9,NGPrices,2,FALSE)+HLOOKUP(D9,Prices,VLOOKUP(G9,move_down,2,FALSE),FALSE)),VLOOKUP(G9,NGPrices,2,FALSE),I9,VLOOKUP(G9,NGPREVPRICES,4,FALSE),HLOOKUP(D9,PREVVOLS,VLOOKUP(G9,MOVE_DOWN2,2,FALSE),FALSE),VLOOKUP(G9,NGPREVPRICES,3,FALSE),HLOOKUP(D9,Correllate,VLOOKUP(G9,CorMove,2,FALSE),FALSE),Q9-$CD$3,R9,$CD$5)*H9-CJ9</f>
        <v>0</v>
      </c>
      <c r="CE9" s="234">
        <f>_xll.xSPRDOPT((VLOOKUP(G9,NGPREVPRICES,2,FALSE)+HLOOKUP(D9,PREVCURVES,VLOOKUP(G9,MOVE_DOWN2,2,FALSE),FALSE)),VLOOKUP(G9,NGPREVPRICES,2,FALSE),CK9,VLOOKUP(G9,NGPrices,4,FALSE),HLOOKUP(D9,PREVVOLS,VLOOKUP(G9,MOVE_DOWN2,2,FALSE),FALSE),VLOOKUP(G9,NGPREVPRICES,3,FALSE),HLOOKUP(D9,Correllate,VLOOKUP(G9,CorMove,2,FALSE),FALSE),Q9-$CD$3,R9,$CJ$5)*H9-CJ9</f>
        <v>0</v>
      </c>
      <c r="CF9" s="10">
        <f t="shared" ref="CF9:CF36" si="44">(CJ9/VLOOKUP(CC9,discount,3,FALSE))-(CJ9/VLOOKUP(CC9,discount,2,FALSE))</f>
        <v>147.69406143343076</v>
      </c>
      <c r="CG9" s="234">
        <f>_xll.xSPRDOPT((VLOOKUP(G9,NGPREVPRICES,2,FALSE)+HLOOKUP(D9,PREVCURVES,VLOOKUP(G9,MOVE_DOWN2,2,FALSE),FALSE)),VLOOKUP(G9,NGPREVPRICES,2,FALSE),CK9,VLOOKUP(G9,NGPREVPRICES,4,FALSE),HLOOKUP(D9,VOLS,VLOOKUP(G9,move_down,2,FALSE),FALSE),VLOOKUP(G9,NGPrices,3,FALSE),HLOOKUP(D9,Correllate,VLOOKUP(G9,CorMove,2,FALSE),FALSE),Q9-$CD$3,R9,$CJ$5)*H9-CJ9</f>
        <v>0</v>
      </c>
      <c r="CH9" s="234">
        <f>_xll.xSPRDOPT((VLOOKUP(G9,NGPREVPRICES,2,FALSE)+HLOOKUP(D9,PREVCURVES,VLOOKUP(G9,MOVE_DOWN2,2,FALSE),FALSE)),VLOOKUP(G9,NGPREVPRICES,2,FALSE),CK9,VLOOKUP(G9,NGPREVPRICES,4,FALSE),HLOOKUP(D9,PREVVOLS,VLOOKUP(G9,MOVE_DOWN2,2,FALSE),FALSE),VLOOKUP(G9,NGPREVPRICES,3,FALSE),HLOOKUP(D9,Correllate,VLOOKUP(G9,CorMove,2,FALSE),FALSE),Q9-$C$3,R9,$CJ$5)*H9-CJ9</f>
        <v>192.71938555222005</v>
      </c>
      <c r="CI9" s="234">
        <f t="shared" ref="CI9:CI36" si="45">SUM(CD9:CH9)</f>
        <v>340.41344698565081</v>
      </c>
      <c r="CJ9" s="234">
        <f>_xll.xSPRDOPT((VLOOKUP(G9,NGPREVPRICES,2,FALSE)+HLOOKUP(D9,PREVCURVES,VLOOKUP(G9,MOVE_DOWN2,2,FALSE),FALSE)),VLOOKUP(G9,NGPREVPRICES,2,FALSE),CK9,VLOOKUP(G9,NGPREVPRICES,4,FALSE),HLOOKUP(D9,PREVVOLS,VLOOKUP(G9,MOVE_DOWN2,2,FALSE),FALSE),VLOOKUP(G9,NGPREVPRICES,3,FALSE),HLOOKUP(D9,Correllate,VLOOKUP(G9,CorMove,2,FALSE),FALSE),Q9-$CD$3,R9,$CJ$5)*H9</f>
        <v>-723208.05016235029</v>
      </c>
      <c r="CK9" s="235">
        <f t="shared" ref="CK9:CK36" si="46">I9</f>
        <v>0.95</v>
      </c>
      <c r="CM9" t="str">
        <f t="shared" ref="CM9:CM36" si="47">CONCATENATE(CC9,$CD$6)</f>
        <v>37257Curve Shift/Gamma</v>
      </c>
      <c r="CN9" t="str">
        <f t="shared" si="19"/>
        <v>37257Rho</v>
      </c>
      <c r="CO9" t="str">
        <f t="shared" si="20"/>
        <v>37257Drift</v>
      </c>
      <c r="CP9" t="str">
        <f t="shared" si="21"/>
        <v>37257Vega</v>
      </c>
      <c r="CQ9" t="str">
        <f t="shared" si="22"/>
        <v>37257Theta</v>
      </c>
      <c r="CR9" s="385">
        <f t="shared" si="38"/>
        <v>36800</v>
      </c>
      <c r="CS9" s="386">
        <f>SUMIF($CM$7:$CM$631,CONCATENATE($CR9,$CS$6),$CD$7:$CD$631)</f>
        <v>0</v>
      </c>
      <c r="CT9" s="239">
        <f t="shared" si="24"/>
        <v>0</v>
      </c>
      <c r="CU9" s="239">
        <f t="shared" si="25"/>
        <v>33.428535229431475</v>
      </c>
      <c r="CV9" s="239">
        <f t="shared" si="26"/>
        <v>0</v>
      </c>
      <c r="CW9" s="249">
        <f t="shared" si="27"/>
        <v>-689.78959070321457</v>
      </c>
      <c r="CX9" s="240">
        <f t="shared" si="39"/>
        <v>-656.36105547378315</v>
      </c>
      <c r="CZ9" s="385">
        <f t="shared" si="40"/>
        <v>36800</v>
      </c>
      <c r="DA9" s="386">
        <f t="shared" si="28"/>
        <v>0</v>
      </c>
      <c r="DB9" s="239">
        <f t="shared" si="29"/>
        <v>0</v>
      </c>
      <c r="DC9" s="239">
        <f t="shared" si="30"/>
        <v>-633.98060058209489</v>
      </c>
      <c r="DD9" s="239">
        <f t="shared" si="31"/>
        <v>0</v>
      </c>
      <c r="DE9" s="249">
        <f t="shared" si="32"/>
        <v>-11316.549586828187</v>
      </c>
      <c r="DF9" s="240">
        <f>SUM(DA9:DE9)</f>
        <v>-11950.530187410282</v>
      </c>
    </row>
    <row r="10" spans="1:110" ht="12" customHeight="1" x14ac:dyDescent="0.25">
      <c r="A10" s="140" t="s">
        <v>276</v>
      </c>
      <c r="B10" t="s">
        <v>250</v>
      </c>
      <c r="C10" s="7" t="s">
        <v>265</v>
      </c>
      <c r="D10" s="4" t="s">
        <v>7</v>
      </c>
      <c r="E10" s="4" t="s">
        <v>20</v>
      </c>
      <c r="F10" s="5" t="s">
        <v>21</v>
      </c>
      <c r="G10" s="5">
        <v>37226</v>
      </c>
      <c r="H10" s="130">
        <v>-1000000</v>
      </c>
      <c r="I10" s="4">
        <v>0.95</v>
      </c>
      <c r="J10" s="53">
        <f t="shared" si="1"/>
        <v>3.968</v>
      </c>
      <c r="K10" s="7">
        <f t="shared" si="2"/>
        <v>1.31</v>
      </c>
      <c r="L10" s="53">
        <f t="shared" si="3"/>
        <v>5.2780000000000005</v>
      </c>
      <c r="M10" s="157">
        <f t="shared" si="4"/>
        <v>6.9362858204931002E-2</v>
      </c>
      <c r="N10" s="4">
        <f t="shared" si="5"/>
        <v>0.40749999999999997</v>
      </c>
      <c r="O10" s="4">
        <f t="shared" si="6"/>
        <v>0.44800000000000001</v>
      </c>
      <c r="P10" s="9">
        <f t="shared" si="7"/>
        <v>0.95</v>
      </c>
      <c r="Q10" s="5">
        <f t="shared" si="8"/>
        <v>37224</v>
      </c>
      <c r="R10" s="4">
        <f t="shared" si="9"/>
        <v>1</v>
      </c>
      <c r="S10" s="158">
        <f>_xll.xSPRDOPT($L10,$J10,$I10,$M10,$O10,$N10,$P10,$Q10-$C$3,$R10,0)</f>
        <v>0.54668304233818055</v>
      </c>
      <c r="T10" s="159">
        <f>_xll.xSPRDOPT($L10,$J10,$I10,$M10,$O10,$N10,$P10,$Q10-$C$3,$R10,1)*H10</f>
        <v>-631832.32768760226</v>
      </c>
      <c r="U10" s="160">
        <f t="shared" si="10"/>
        <v>-546683.04233818059</v>
      </c>
      <c r="V10" s="159">
        <f>_xll.xSPRDOPT($L10,$J10,$I10,$M10,$O10,$N10,$P10,$Q10-$C$3,$R10,2)*H10</f>
        <v>585251.54134038882</v>
      </c>
      <c r="W10" s="159">
        <f t="shared" si="11"/>
        <v>-46580.786347213434</v>
      </c>
      <c r="X10" s="51" t="str">
        <f t="shared" si="12"/>
        <v>37226IF-TRANSCO/Z6</v>
      </c>
      <c r="Y10" s="418">
        <f t="shared" si="13"/>
        <v>-100</v>
      </c>
      <c r="Z10" s="456">
        <f t="shared" si="14"/>
        <v>0.63183232768760222</v>
      </c>
      <c r="AA10" s="456">
        <f>_xll.xSPRDOPT($L10,$J10,$I10,$M10,$O10,$N10,$P10,$Q10-$C$3,$R10,3)</f>
        <v>0.31941649058578103</v>
      </c>
      <c r="AB10" s="456">
        <f>((_xll.xSPRDOPT($L10+AB$5,$J10,$I10,$M10,$O10,$N10,$P10,$Q10-$C$3,$R10,3)*$H10)/10000)/100</f>
        <v>-0.31941649058578103</v>
      </c>
      <c r="AC10" s="456">
        <f>((_xll.xSPRDOPT($L10+$AB$5,$J10,$I10,$M10,$O10,$N10,$P10,$Q10-$C$3,$R10,7)*$H10)/100)</f>
        <v>16305.96165634813</v>
      </c>
      <c r="AD10" s="456">
        <f>(_xll.xSPRDOPT($L10+$AB$5,$J10,$I10,$M10,$O10,$N10,$P10,$Q10-$C$3,$R10,9)/365)*$H10</f>
        <v>260.27309312054939</v>
      </c>
      <c r="AE10">
        <f t="shared" si="15"/>
        <v>0</v>
      </c>
      <c r="AF10" s="456">
        <f t="shared" si="16"/>
        <v>-8162.3647943535998</v>
      </c>
      <c r="AG10" s="456">
        <f>((_xll.xSPRDOPT($L10,$J10,$I10,$M10,$O10,$N10,$P10,$Q10-$C$3,$R10,6)*$H10)/100)</f>
        <v>8657.8241672577078</v>
      </c>
      <c r="AH10" s="456">
        <f>((_xll.xSPRDOPT($L10,$J10,$I10,$M10,$O10,$N10,$P10,$Q10-$C$3,$R10,5)*$H10)/100)</f>
        <v>-15299.613843429928</v>
      </c>
      <c r="AI10" s="456">
        <f>(((_xll.xSPRDOPT($L10,$J10,$I10,$M10,$O10,$N10,$P10,$Q10-$C$3,$R10,4)*$H10)/10000)/100)-AB10</f>
        <v>-4.6263958779086733E-2</v>
      </c>
      <c r="AJ10" s="456"/>
      <c r="AK10" s="456"/>
      <c r="AL10" s="456"/>
      <c r="AM10" s="472"/>
      <c r="AN10" s="128">
        <f t="shared" si="33"/>
        <v>36831</v>
      </c>
      <c r="AO10" s="43">
        <f t="shared" si="17"/>
        <v>-305.33079673591021</v>
      </c>
      <c r="AP10" s="43">
        <f t="shared" si="17"/>
        <v>3.607814823048463</v>
      </c>
      <c r="AQ10" s="43">
        <f t="shared" si="17"/>
        <v>34.437018138786648</v>
      </c>
      <c r="AR10" s="43">
        <f t="shared" si="17"/>
        <v>-142.93550693664247</v>
      </c>
      <c r="AS10" s="43">
        <f t="shared" si="17"/>
        <v>0</v>
      </c>
      <c r="AT10" s="43">
        <f t="shared" si="17"/>
        <v>246.69756228489331</v>
      </c>
      <c r="AU10" s="43">
        <f t="shared" si="17"/>
        <v>2.1413996115621297</v>
      </c>
      <c r="AV10" s="43">
        <f t="shared" si="17"/>
        <v>0</v>
      </c>
      <c r="AW10" s="43">
        <f t="shared" si="17"/>
        <v>0</v>
      </c>
      <c r="AX10" s="43">
        <f t="shared" si="17"/>
        <v>16.630005475800392</v>
      </c>
      <c r="AY10" s="43">
        <f t="shared" si="17"/>
        <v>-5.3492288446081915</v>
      </c>
      <c r="AZ10" s="43">
        <f t="shared" si="17"/>
        <v>-4.4132541469836335</v>
      </c>
      <c r="BA10" s="44">
        <f t="shared" si="17"/>
        <v>22.183493727999522</v>
      </c>
      <c r="BB10" s="128">
        <f t="shared" si="34"/>
        <v>36831</v>
      </c>
      <c r="BC10" s="44">
        <f t="shared" si="41"/>
        <v>-132.33149260205406</v>
      </c>
      <c r="BD10" s="51"/>
      <c r="BE10" s="128">
        <f t="shared" si="35"/>
        <v>36831</v>
      </c>
      <c r="BF10" s="43">
        <f t="shared" si="18"/>
        <v>619016.17510026868</v>
      </c>
      <c r="BG10" s="43">
        <f t="shared" si="18"/>
        <v>652.97676307387883</v>
      </c>
      <c r="BH10" s="43">
        <f t="shared" si="18"/>
        <v>9319.4885003597883</v>
      </c>
      <c r="BI10" s="43">
        <f t="shared" si="18"/>
        <v>-18425.8316560444</v>
      </c>
      <c r="BJ10" s="43">
        <f t="shared" si="18"/>
        <v>0</v>
      </c>
      <c r="BK10" s="43">
        <f t="shared" si="18"/>
        <v>14010.21223476898</v>
      </c>
      <c r="BL10" s="43">
        <f t="shared" si="18"/>
        <v>-34128.506333262427</v>
      </c>
      <c r="BM10" s="43">
        <f t="shared" si="18"/>
        <v>0</v>
      </c>
      <c r="BN10" s="43">
        <f t="shared" si="18"/>
        <v>0</v>
      </c>
      <c r="BO10" s="43">
        <f t="shared" si="18"/>
        <v>-5714.8947448467225</v>
      </c>
      <c r="BP10" s="43">
        <f t="shared" si="18"/>
        <v>-1897.45258664016</v>
      </c>
      <c r="BQ10" s="43">
        <f t="shared" si="18"/>
        <v>-1275.4891442729277</v>
      </c>
      <c r="BR10" s="44">
        <f t="shared" si="18"/>
        <v>82689.122202159371</v>
      </c>
      <c r="BS10" s="128">
        <f t="shared" si="36"/>
        <v>36831</v>
      </c>
      <c r="BT10" s="44">
        <f t="shared" si="37"/>
        <v>664245.80033556418</v>
      </c>
      <c r="BU10" s="474">
        <f t="shared" si="42"/>
        <v>66.424580033556424</v>
      </c>
      <c r="BV10" s="51"/>
      <c r="BW10" s="51"/>
      <c r="BX10" s="51"/>
      <c r="BY10" s="51"/>
      <c r="BZ10" s="51"/>
      <c r="CA10" s="51"/>
      <c r="CB10" s="51"/>
      <c r="CC10" s="141">
        <f t="shared" si="43"/>
        <v>37226</v>
      </c>
      <c r="CD10" s="234">
        <f>_xll.xSPRDOPT((VLOOKUP(G10,NGPrices,2,FALSE)+HLOOKUP(D10,Prices,VLOOKUP(G10,move_down,2,FALSE),FALSE)),VLOOKUP(G10,NGPrices,2,FALSE),I10,VLOOKUP(G10,NGPREVPRICES,4,FALSE),HLOOKUP(D10,PREVVOLS,VLOOKUP(G10,MOVE_DOWN2,2,FALSE),FALSE),VLOOKUP(G10,NGPREVPRICES,3,FALSE),HLOOKUP(D10,Correllate,VLOOKUP(G10,CorMove,2,FALSE),FALSE),Q10-$CD$3,R10,$CD$5)*H10-CJ10</f>
        <v>0</v>
      </c>
      <c r="CE10" s="234">
        <f>_xll.xSPRDOPT((VLOOKUP(G10,NGPREVPRICES,2,FALSE)+HLOOKUP(D10,PREVCURVES,VLOOKUP(G10,MOVE_DOWN2,2,FALSE),FALSE)),VLOOKUP(G10,NGPREVPRICES,2,FALSE),CK10,VLOOKUP(G10,NGPrices,4,FALSE),HLOOKUP(D10,PREVVOLS,VLOOKUP(G10,MOVE_DOWN2,2,FALSE),FALSE),VLOOKUP(G10,NGPREVPRICES,3,FALSE),HLOOKUP(D10,Correllate,VLOOKUP(G10,CorMove,2,FALSE),FALSE),Q10-$CD$3,R10,$CJ$5)*H10-CJ10</f>
        <v>0</v>
      </c>
      <c r="CF10" s="10">
        <f t="shared" si="44"/>
        <v>111.0112495921785</v>
      </c>
      <c r="CG10" s="234">
        <f>_xll.xSPRDOPT((VLOOKUP(G10,NGPREVPRICES,2,FALSE)+HLOOKUP(D10,PREVCURVES,VLOOKUP(G10,MOVE_DOWN2,2,FALSE),FALSE)),VLOOKUP(G10,NGPREVPRICES,2,FALSE),CK10,VLOOKUP(G10,NGPREVPRICES,4,FALSE),HLOOKUP(D10,VOLS,VLOOKUP(G10,move_down,2,FALSE),FALSE),VLOOKUP(G10,NGPrices,3,FALSE),HLOOKUP(D10,Correllate,VLOOKUP(G10,CorMove,2,FALSE),FALSE),Q10-$CD$3,R10,$CJ$5)*H10-CJ10</f>
        <v>0</v>
      </c>
      <c r="CH10" s="234">
        <f>_xll.xSPRDOPT((VLOOKUP(G10,NGPREVPRICES,2,FALSE)+HLOOKUP(D10,PREVCURVES,VLOOKUP(G10,MOVE_DOWN2,2,FALSE),FALSE)),VLOOKUP(G10,NGPREVPRICES,2,FALSE),CK10,VLOOKUP(G10,NGPREVPRICES,4,FALSE),HLOOKUP(D10,PREVVOLS,VLOOKUP(G10,MOVE_DOWN2,2,FALSE),FALSE),VLOOKUP(G10,NGPREVPRICES,3,FALSE),HLOOKUP(D10,Correllate,VLOOKUP(G10,CorMove,2,FALSE),FALSE),Q10-$C$3,R10,$CJ$5)*H10-CJ10</f>
        <v>259.86067469406407</v>
      </c>
      <c r="CI10" s="234">
        <f t="shared" si="45"/>
        <v>370.87192428624257</v>
      </c>
      <c r="CJ10" s="234">
        <f>_xll.xSPRDOPT((VLOOKUP(G10,NGPREVPRICES,2,FALSE)+HLOOKUP(D10,PREVCURVES,VLOOKUP(G10,MOVE_DOWN2,2,FALSE),FALSE)),VLOOKUP(G10,NGPREVPRICES,2,FALSE),CK10,VLOOKUP(G10,NGPREVPRICES,4,FALSE),HLOOKUP(D10,PREVVOLS,VLOOKUP(G10,MOVE_DOWN2,2,FALSE),FALSE),VLOOKUP(G10,NGPREVPRICES,3,FALSE),HLOOKUP(D10,Correllate,VLOOKUP(G10,CorMove,2,FALSE),FALSE),Q10-$CD$3,R10,$CJ$5)*H10</f>
        <v>-546942.90301287465</v>
      </c>
      <c r="CK10" s="235">
        <f t="shared" si="46"/>
        <v>0.95</v>
      </c>
      <c r="CM10" t="str">
        <f t="shared" si="47"/>
        <v>37226Curve Shift/Gamma</v>
      </c>
      <c r="CN10" t="str">
        <f t="shared" si="19"/>
        <v>37226Rho</v>
      </c>
      <c r="CO10" t="str">
        <f t="shared" si="20"/>
        <v>37226Drift</v>
      </c>
      <c r="CP10" t="str">
        <f t="shared" si="21"/>
        <v>37226Vega</v>
      </c>
      <c r="CQ10" t="str">
        <f t="shared" si="22"/>
        <v>37226Theta</v>
      </c>
      <c r="CR10" s="385">
        <f t="shared" si="38"/>
        <v>36831</v>
      </c>
      <c r="CS10" s="386">
        <f>SUMIF($CM$7:$CM$631,CONCATENATE($CR10,$CS$6),$CD$7:$CD$631)</f>
        <v>0</v>
      </c>
      <c r="CT10" s="239">
        <f t="shared" si="24"/>
        <v>0</v>
      </c>
      <c r="CU10" s="239">
        <f t="shared" si="25"/>
        <v>-757.41601055136152</v>
      </c>
      <c r="CV10" s="239">
        <f t="shared" si="26"/>
        <v>0</v>
      </c>
      <c r="CW10" s="249">
        <f t="shared" si="27"/>
        <v>-18013.467744997983</v>
      </c>
      <c r="CX10" s="240">
        <f t="shared" si="39"/>
        <v>-18770.883755549345</v>
      </c>
      <c r="CZ10" s="385">
        <f t="shared" si="40"/>
        <v>36831</v>
      </c>
      <c r="DA10" s="386">
        <f t="shared" si="28"/>
        <v>0</v>
      </c>
      <c r="DB10" s="239">
        <f t="shared" si="29"/>
        <v>0</v>
      </c>
      <c r="DC10" s="239">
        <f t="shared" si="30"/>
        <v>-756.67968365138813</v>
      </c>
      <c r="DD10" s="239">
        <f t="shared" si="31"/>
        <v>0</v>
      </c>
      <c r="DE10" s="249">
        <f t="shared" si="32"/>
        <v>-25345.472253886775</v>
      </c>
      <c r="DF10" s="240">
        <f>SUM(DA10:DE10)</f>
        <v>-26102.151937538165</v>
      </c>
    </row>
    <row r="11" spans="1:110" ht="12" customHeight="1" x14ac:dyDescent="0.25">
      <c r="A11" s="140" t="s">
        <v>276</v>
      </c>
      <c r="B11" t="s">
        <v>250</v>
      </c>
      <c r="C11" s="7" t="s">
        <v>265</v>
      </c>
      <c r="D11" s="4" t="s">
        <v>7</v>
      </c>
      <c r="E11" s="4" t="s">
        <v>20</v>
      </c>
      <c r="F11" s="5" t="s">
        <v>21</v>
      </c>
      <c r="G11" s="5">
        <v>37196</v>
      </c>
      <c r="H11" s="130">
        <v>-1000000</v>
      </c>
      <c r="I11" s="4">
        <v>0.95</v>
      </c>
      <c r="J11" s="53">
        <f t="shared" si="1"/>
        <v>3.8780000000000001</v>
      </c>
      <c r="K11" s="7">
        <f t="shared" si="2"/>
        <v>0.89</v>
      </c>
      <c r="L11" s="53">
        <f t="shared" si="3"/>
        <v>4.7679999999999998</v>
      </c>
      <c r="M11" s="157">
        <f t="shared" si="4"/>
        <v>6.9332408860558997E-2</v>
      </c>
      <c r="N11" s="4">
        <f t="shared" si="5"/>
        <v>0.40250000000000002</v>
      </c>
      <c r="O11" s="4">
        <f t="shared" si="6"/>
        <v>0.443</v>
      </c>
      <c r="P11" s="9">
        <f t="shared" si="7"/>
        <v>0.95</v>
      </c>
      <c r="Q11" s="5">
        <f t="shared" si="8"/>
        <v>37194</v>
      </c>
      <c r="R11" s="4">
        <f t="shared" si="9"/>
        <v>1</v>
      </c>
      <c r="S11" s="158">
        <f>_xll.xSPRDOPT($L11,$J11,$I11,$M11,$O11,$N11,$P11,$Q11-$C$3,$R11,0)</f>
        <v>0.29491513591550261</v>
      </c>
      <c r="T11" s="159">
        <f>_xll.xSPRDOPT($L11,$J11,$I11,$M11,$O11,$N11,$P11,$Q11-$C$3,$R11,1)*H11</f>
        <v>-478986.19846441207</v>
      </c>
      <c r="U11" s="160">
        <f t="shared" si="10"/>
        <v>-294915.13591550261</v>
      </c>
      <c r="V11" s="159">
        <f>_xll.xSPRDOPT($L11,$J11,$I11,$M11,$O11,$N11,$P11,$Q11-$C$3,$R11,2)*H11</f>
        <v>429323.53865136387</v>
      </c>
      <c r="W11" s="159">
        <f t="shared" si="11"/>
        <v>-49662.659813048202</v>
      </c>
      <c r="X11" s="51" t="str">
        <f t="shared" si="12"/>
        <v>37196IF-TRANSCO/Z6</v>
      </c>
      <c r="Y11" s="418">
        <f t="shared" si="13"/>
        <v>-100</v>
      </c>
      <c r="Z11" s="456">
        <f t="shared" si="14"/>
        <v>0.47898619846441209</v>
      </c>
      <c r="AA11" s="456">
        <f>_xll.xSPRDOPT($L11,$J11,$I11,$M11,$O11,$N11,$P11,$Q11-$C$3,$R11,3)</f>
        <v>0.42673730702636242</v>
      </c>
      <c r="AB11" s="456">
        <f>((_xll.xSPRDOPT($L11+AB$5,$J11,$I11,$M11,$O11,$N11,$P11,$Q11-$C$3,$R11,3)*$H11)/10000)/100</f>
        <v>-0.42673730702636242</v>
      </c>
      <c r="AC11" s="456">
        <f>((_xll.xSPRDOPT($L11+$AB$5,$J11,$I11,$M11,$O11,$N11,$P11,$Q11-$C$3,$R11,7)*$H11)/100)</f>
        <v>16482.9162399427</v>
      </c>
      <c r="AD11" s="456">
        <f>(_xll.xSPRDOPT($L11+$AB$5,$J11,$I11,$M11,$O11,$N11,$P11,$Q11-$C$3,$R11,9)/365)*$H11</f>
        <v>318.71212681515232</v>
      </c>
      <c r="AE11">
        <f t="shared" si="15"/>
        <v>0</v>
      </c>
      <c r="AF11" s="456">
        <f t="shared" si="16"/>
        <v>-7945.3889237365547</v>
      </c>
      <c r="AG11" s="456">
        <f>((_xll.xSPRDOPT($L11,$J11,$I11,$M11,$O11,$N11,$P11,$Q11-$C$3,$R11,6)*$H11)/100)</f>
        <v>8449.2321263130725</v>
      </c>
      <c r="AH11" s="456">
        <f>((_xll.xSPRDOPT($L11,$J11,$I11,$M11,$O11,$N11,$P11,$Q11-$C$3,$R11,5)*$H11)/100)</f>
        <v>-14895.790005970597</v>
      </c>
      <c r="AI11" s="456">
        <f>(((_xll.xSPRDOPT($L11,$J11,$I11,$M11,$O11,$N11,$P11,$Q11-$C$3,$R11,4)*$H11)/10000)/100)-AB11</f>
        <v>-3.6231104200132314E-3</v>
      </c>
      <c r="AJ11" s="456"/>
      <c r="AK11" s="456"/>
      <c r="AL11" s="456"/>
      <c r="AM11" s="472"/>
      <c r="AN11" s="128">
        <f t="shared" si="33"/>
        <v>36861</v>
      </c>
      <c r="AO11" s="43">
        <f t="shared" si="17"/>
        <v>-341.13181659156407</v>
      </c>
      <c r="AP11" s="43">
        <f t="shared" si="17"/>
        <v>3.2872671973852499</v>
      </c>
      <c r="AQ11" s="43">
        <f t="shared" si="17"/>
        <v>40.208205653496528</v>
      </c>
      <c r="AR11" s="43">
        <f t="shared" si="17"/>
        <v>-162.00702174924913</v>
      </c>
      <c r="AS11" s="43">
        <f t="shared" si="17"/>
        <v>0</v>
      </c>
      <c r="AT11" s="43">
        <f t="shared" si="17"/>
        <v>228.90394488031313</v>
      </c>
      <c r="AU11" s="43">
        <f t="shared" si="17"/>
        <v>-23.523112843790329</v>
      </c>
      <c r="AV11" s="43">
        <f t="shared" si="17"/>
        <v>0</v>
      </c>
      <c r="AW11" s="43">
        <f t="shared" si="17"/>
        <v>0</v>
      </c>
      <c r="AX11" s="43">
        <f t="shared" si="17"/>
        <v>25.449207094015762</v>
      </c>
      <c r="AY11" s="43">
        <f t="shared" si="17"/>
        <v>-9.6858800143928026</v>
      </c>
      <c r="AZ11" s="43">
        <f t="shared" si="17"/>
        <v>-8.878199206979426</v>
      </c>
      <c r="BA11" s="44">
        <f t="shared" si="17"/>
        <v>175.35587785592881</v>
      </c>
      <c r="BB11" s="128">
        <f t="shared" si="34"/>
        <v>36861</v>
      </c>
      <c r="BC11" s="44">
        <f>SUM(AO11:BA11)</f>
        <v>-72.02152772483629</v>
      </c>
      <c r="BD11" s="51"/>
      <c r="BE11" s="128">
        <f t="shared" si="35"/>
        <v>36861</v>
      </c>
      <c r="BF11" s="43">
        <f t="shared" si="18"/>
        <v>67456.299504875438</v>
      </c>
      <c r="BG11" s="43">
        <f t="shared" si="18"/>
        <v>470.29919787302788</v>
      </c>
      <c r="BH11" s="43">
        <f t="shared" si="18"/>
        <v>13881.823468684888</v>
      </c>
      <c r="BI11" s="43">
        <f t="shared" si="18"/>
        <v>-24637.647437750318</v>
      </c>
      <c r="BJ11" s="43">
        <f t="shared" si="18"/>
        <v>0</v>
      </c>
      <c r="BK11" s="43">
        <f t="shared" si="18"/>
        <v>63056.448416401807</v>
      </c>
      <c r="BL11" s="43">
        <f t="shared" si="18"/>
        <v>-41190.108483929187</v>
      </c>
      <c r="BM11" s="43">
        <f t="shared" si="18"/>
        <v>0</v>
      </c>
      <c r="BN11" s="43">
        <f t="shared" si="18"/>
        <v>0</v>
      </c>
      <c r="BO11" s="43">
        <f t="shared" si="18"/>
        <v>-9337.8989974115684</v>
      </c>
      <c r="BP11" s="43">
        <f t="shared" si="18"/>
        <v>-3465.9754075245437</v>
      </c>
      <c r="BQ11" s="43">
        <f t="shared" si="18"/>
        <v>-2364.0826233524567</v>
      </c>
      <c r="BR11" s="44">
        <f t="shared" si="18"/>
        <v>107870.18349098972</v>
      </c>
      <c r="BS11" s="128">
        <f t="shared" si="36"/>
        <v>36861</v>
      </c>
      <c r="BT11" s="44">
        <f t="shared" si="37"/>
        <v>171739.34112885682</v>
      </c>
      <c r="BU11" s="474">
        <f t="shared" si="42"/>
        <v>17.173934112885682</v>
      </c>
      <c r="BV11" s="51"/>
      <c r="BW11" s="51"/>
      <c r="BX11" s="51"/>
      <c r="BY11" s="51"/>
      <c r="BZ11" s="51"/>
      <c r="CA11" s="51"/>
      <c r="CB11" s="51"/>
      <c r="CC11" s="141">
        <f t="shared" si="43"/>
        <v>37196</v>
      </c>
      <c r="CD11" s="234">
        <f>_xll.xSPRDOPT((VLOOKUP(G11,NGPrices,2,FALSE)+HLOOKUP(D11,Prices,VLOOKUP(G11,move_down,2,FALSE),FALSE)),VLOOKUP(G11,NGPrices,2,FALSE),I11,VLOOKUP(G11,NGPREVPRICES,4,FALSE),HLOOKUP(D11,PREVVOLS,VLOOKUP(G11,MOVE_DOWN2,2,FALSE),FALSE),VLOOKUP(G11,NGPREVPRICES,3,FALSE),HLOOKUP(D11,Correllate,VLOOKUP(G11,CorMove,2,FALSE),FALSE),Q11-$CD$3,R11,$CD$5)*H11-CJ11</f>
        <v>0</v>
      </c>
      <c r="CE11" s="234">
        <f>_xll.xSPRDOPT((VLOOKUP(G11,NGPREVPRICES,2,FALSE)+HLOOKUP(D11,PREVCURVES,VLOOKUP(G11,MOVE_DOWN2,2,FALSE),FALSE)),VLOOKUP(G11,NGPREVPRICES,2,FALSE),CK11,VLOOKUP(G11,NGPrices,4,FALSE),HLOOKUP(D11,PREVVOLS,VLOOKUP(G11,MOVE_DOWN2,2,FALSE),FALSE),VLOOKUP(G11,NGPREVPRICES,3,FALSE),HLOOKUP(D11,Correllate,VLOOKUP(G11,CorMove,2,FALSE),FALSE),Q11-$CD$3,R11,$CJ$5)*H11-CJ11</f>
        <v>0</v>
      </c>
      <c r="CF11" s="10">
        <f t="shared" si="44"/>
        <v>59.572354776202701</v>
      </c>
      <c r="CG11" s="234">
        <f>_xll.xSPRDOPT((VLOOKUP(G11,NGPREVPRICES,2,FALSE)+HLOOKUP(D11,PREVCURVES,VLOOKUP(G11,MOVE_DOWN2,2,FALSE),FALSE)),VLOOKUP(G11,NGPREVPRICES,2,FALSE),CK11,VLOOKUP(G11,NGPREVPRICES,4,FALSE),HLOOKUP(D11,VOLS,VLOOKUP(G11,move_down,2,FALSE),FALSE),VLOOKUP(G11,NGPrices,3,FALSE),HLOOKUP(D11,Correllate,VLOOKUP(G11,CorMove,2,FALSE),FALSE),Q11-$CD$3,R11,$CJ$5)*H11-CJ11</f>
        <v>0</v>
      </c>
      <c r="CH11" s="234">
        <f>_xll.xSPRDOPT((VLOOKUP(G11,NGPREVPRICES,2,FALSE)+HLOOKUP(D11,PREVCURVES,VLOOKUP(G11,MOVE_DOWN2,2,FALSE),FALSE)),VLOOKUP(G11,NGPREVPRICES,2,FALSE),CK11,VLOOKUP(G11,NGPREVPRICES,4,FALSE),HLOOKUP(D11,PREVVOLS,VLOOKUP(G11,MOVE_DOWN2,2,FALSE),FALSE),VLOOKUP(G11,NGPREVPRICES,3,FALSE),HLOOKUP(D11,Correllate,VLOOKUP(G11,CorMove,2,FALSE),FALSE),Q11-$C$3,R11,$CJ$5)*H11-CJ11</f>
        <v>318.20759838231606</v>
      </c>
      <c r="CI11" s="234">
        <f t="shared" si="45"/>
        <v>377.77995315851877</v>
      </c>
      <c r="CJ11" s="234">
        <f>_xll.xSPRDOPT((VLOOKUP(G11,NGPREVPRICES,2,FALSE)+HLOOKUP(D11,PREVCURVES,VLOOKUP(G11,MOVE_DOWN2,2,FALSE),FALSE)),VLOOKUP(G11,NGPREVPRICES,2,FALSE),CK11,VLOOKUP(G11,NGPREVPRICES,4,FALSE),HLOOKUP(D11,PREVVOLS,VLOOKUP(G11,MOVE_DOWN2,2,FALSE),FALSE),VLOOKUP(G11,NGPREVPRICES,3,FALSE),HLOOKUP(D11,Correllate,VLOOKUP(G11,CorMove,2,FALSE),FALSE),Q11-$CD$3,R11,$CJ$5)*H11</f>
        <v>-295233.34351388493</v>
      </c>
      <c r="CK11" s="235">
        <f t="shared" si="46"/>
        <v>0.95</v>
      </c>
      <c r="CM11" t="str">
        <f t="shared" si="47"/>
        <v>37196Curve Shift/Gamma</v>
      </c>
      <c r="CN11" t="str">
        <f t="shared" si="19"/>
        <v>37196Rho</v>
      </c>
      <c r="CO11" t="str">
        <f t="shared" si="20"/>
        <v>37196Drift</v>
      </c>
      <c r="CP11" t="str">
        <f t="shared" si="21"/>
        <v>37196Vega</v>
      </c>
      <c r="CQ11" t="str">
        <f t="shared" si="22"/>
        <v>37196Theta</v>
      </c>
      <c r="CR11" s="385">
        <f t="shared" si="38"/>
        <v>36861</v>
      </c>
      <c r="CS11" s="386">
        <f>SUMIF($CM$7:$CM$631,CONCATENATE($CR11,$CS$6),$CD$7:$CD$631)</f>
        <v>0</v>
      </c>
      <c r="CT11" s="239">
        <f t="shared" si="24"/>
        <v>0</v>
      </c>
      <c r="CU11" s="239">
        <f t="shared" si="25"/>
        <v>67.738895926360783</v>
      </c>
      <c r="CV11" s="239">
        <f t="shared" si="26"/>
        <v>0</v>
      </c>
      <c r="CW11" s="249">
        <f t="shared" si="27"/>
        <v>-1614.094909746882</v>
      </c>
      <c r="CX11" s="240">
        <f t="shared" si="39"/>
        <v>-1546.3560138205212</v>
      </c>
      <c r="CZ11" s="385">
        <f t="shared" si="40"/>
        <v>36861</v>
      </c>
      <c r="DA11" s="386">
        <f t="shared" si="28"/>
        <v>0</v>
      </c>
      <c r="DB11" s="239">
        <f t="shared" si="29"/>
        <v>0</v>
      </c>
      <c r="DC11" s="239">
        <f t="shared" si="30"/>
        <v>-9.6133850963979057</v>
      </c>
      <c r="DD11" s="239">
        <f t="shared" si="31"/>
        <v>0</v>
      </c>
      <c r="DE11" s="249">
        <f t="shared" si="32"/>
        <v>-509.34561410125571</v>
      </c>
      <c r="DF11" s="240">
        <f>SUM(DA11:DE11)</f>
        <v>-518.95899919765361</v>
      </c>
    </row>
    <row r="12" spans="1:110" ht="12" customHeight="1" x14ac:dyDescent="0.25">
      <c r="A12" s="382" t="s">
        <v>267</v>
      </c>
      <c r="B12" s="7" t="s">
        <v>250</v>
      </c>
      <c r="C12" s="7" t="s">
        <v>402</v>
      </c>
      <c r="D12" s="4" t="s">
        <v>7</v>
      </c>
      <c r="E12" s="4" t="s">
        <v>20</v>
      </c>
      <c r="F12" s="5" t="s">
        <v>21</v>
      </c>
      <c r="G12" s="5">
        <v>37165</v>
      </c>
      <c r="H12" s="130">
        <v>500000</v>
      </c>
      <c r="I12" s="4">
        <v>0.3</v>
      </c>
      <c r="J12" s="53">
        <f t="shared" si="1"/>
        <v>3.7730000000000001</v>
      </c>
      <c r="K12" s="7">
        <f t="shared" si="2"/>
        <v>0.46100000000000002</v>
      </c>
      <c r="L12" s="53">
        <f t="shared" si="3"/>
        <v>4.234</v>
      </c>
      <c r="M12" s="157">
        <f t="shared" si="4"/>
        <v>6.9300944538363995E-2</v>
      </c>
      <c r="N12" s="4">
        <f t="shared" si="5"/>
        <v>0.40250000000000002</v>
      </c>
      <c r="O12" s="4">
        <f t="shared" si="6"/>
        <v>0.39400000000000002</v>
      </c>
      <c r="P12" s="9">
        <f t="shared" si="7"/>
        <v>0.9738</v>
      </c>
      <c r="Q12" s="5">
        <f t="shared" si="8"/>
        <v>37161</v>
      </c>
      <c r="R12" s="4">
        <f t="shared" si="9"/>
        <v>1</v>
      </c>
      <c r="S12" s="158">
        <f>_xll.xSPRDOPT($L12,$J12,$I12,$M12,$O12,$N12,$P12,$Q12-$C$3,$R12,0)</f>
        <v>0.23151413279648075</v>
      </c>
      <c r="T12" s="159">
        <f>_xll.xSPRDOPT($L12,$J12,$I12,$M12,$O12,$N12,$P12,$Q12-$C$3,$R12,1)*H12</f>
        <v>314320.21289095015</v>
      </c>
      <c r="U12" s="160">
        <f t="shared" si="10"/>
        <v>115757.06639824038</v>
      </c>
      <c r="V12" s="159">
        <f>_xll.xSPRDOPT($L12,$J12,$I12,$M12,$O12,$N12,$P12,$Q12-$C$3,$R12,2)*H12</f>
        <v>-299106.60054182005</v>
      </c>
      <c r="W12" s="159">
        <f t="shared" si="11"/>
        <v>15213.612349130097</v>
      </c>
      <c r="X12" s="51" t="str">
        <f t="shared" si="12"/>
        <v>37165IF-TRANSCO/Z6</v>
      </c>
      <c r="Y12" s="418">
        <f t="shared" si="13"/>
        <v>50</v>
      </c>
      <c r="Z12" s="456">
        <f t="shared" si="14"/>
        <v>0.62864042578190027</v>
      </c>
      <c r="AA12" s="456">
        <f>_xll.xSPRDOPT($L12,$J12,$I12,$M12,$O12,$N12,$P12,$Q12-$C$3,$R12,3)</f>
        <v>0.83514426539601483</v>
      </c>
      <c r="AB12" s="456">
        <f>((_xll.xSPRDOPT($L12+AB$5,$J12,$I12,$M12,$O12,$N12,$P12,$Q12-$C$3,$R12,3)*$H12)/10000)/100</f>
        <v>0.41757213269800736</v>
      </c>
      <c r="AC12" s="456">
        <f>((_xll.xSPRDOPT($L12+$AB$5,$J12,$I12,$M12,$O12,$N12,$P12,$Q12-$C$3,$R12,7)*$H12)/100)</f>
        <v>-11852.223365871536</v>
      </c>
      <c r="AD12" s="456">
        <f>(_xll.xSPRDOPT($L12+$AB$5,$J12,$I12,$M12,$O12,$N12,$P12,$Q12-$C$3,$R12,9)/365)*$H12</f>
        <v>-63.048252840136819</v>
      </c>
      <c r="AE12">
        <f t="shared" si="15"/>
        <v>0</v>
      </c>
      <c r="AF12" s="456">
        <f t="shared" si="16"/>
        <v>1663.4794806626833</v>
      </c>
      <c r="AG12" s="456">
        <f>((_xll.xSPRDOPT($L12,$J12,$I12,$M12,$O12,$N12,$P12,$Q12-$C$3,$R12,6)*$H12)/100)</f>
        <v>-804.88444091646397</v>
      </c>
      <c r="AH12" s="456">
        <f>((_xll.xSPRDOPT($L12,$J12,$I12,$M12,$O12,$N12,$P12,$Q12-$C$3,$R12,5)*$H12)/100)</f>
        <v>2521.6154275015401</v>
      </c>
      <c r="AI12" s="456">
        <f>(((_xll.xSPRDOPT($L12,$J12,$I12,$M12,$O12,$N12,$P12,$Q12-$C$3,$R12,4)*$H12)/10000)/100)-AB12</f>
        <v>3.3341091015018476E-2</v>
      </c>
      <c r="AJ12" s="456"/>
      <c r="AK12" s="456"/>
      <c r="AL12" s="456"/>
      <c r="AM12" s="472"/>
      <c r="AN12" s="128">
        <f t="shared" si="33"/>
        <v>36892</v>
      </c>
      <c r="AO12" s="43">
        <f t="shared" si="17"/>
        <v>-353.64841912827978</v>
      </c>
      <c r="AP12" s="43">
        <f t="shared" si="17"/>
        <v>2.8818803421051604</v>
      </c>
      <c r="AQ12" s="43">
        <f t="shared" si="17"/>
        <v>40.616155881798548</v>
      </c>
      <c r="AR12" s="43">
        <f t="shared" si="17"/>
        <v>-259.23936851149011</v>
      </c>
      <c r="AS12" s="43">
        <f t="shared" si="17"/>
        <v>0</v>
      </c>
      <c r="AT12" s="43">
        <f t="shared" si="17"/>
        <v>213.18658913949005</v>
      </c>
      <c r="AU12" s="43">
        <f t="shared" si="17"/>
        <v>-34.273954087625498</v>
      </c>
      <c r="AV12" s="43">
        <f t="shared" si="17"/>
        <v>0</v>
      </c>
      <c r="AW12" s="43">
        <f t="shared" si="17"/>
        <v>0</v>
      </c>
      <c r="AX12" s="43">
        <f t="shared" si="17"/>
        <v>30.60952815138311</v>
      </c>
      <c r="AY12" s="43">
        <f t="shared" si="17"/>
        <v>-13.533492969241252</v>
      </c>
      <c r="AZ12" s="43">
        <f t="shared" si="17"/>
        <v>-13.758274787440049</v>
      </c>
      <c r="BA12" s="44">
        <f t="shared" si="17"/>
        <v>167.57135521503125</v>
      </c>
      <c r="BB12" s="128">
        <f t="shared" si="34"/>
        <v>36892</v>
      </c>
      <c r="BC12" s="44">
        <f t="shared" si="41"/>
        <v>-219.58800075426853</v>
      </c>
      <c r="BD12" s="51"/>
      <c r="BE12" s="128">
        <f t="shared" si="35"/>
        <v>36892</v>
      </c>
      <c r="BF12" s="43">
        <f t="shared" si="18"/>
        <v>-45468.297456056331</v>
      </c>
      <c r="BG12" s="43">
        <f t="shared" si="18"/>
        <v>422.30507723428309</v>
      </c>
      <c r="BH12" s="43">
        <f t="shared" si="18"/>
        <v>15756.620997740189</v>
      </c>
      <c r="BI12" s="43">
        <f t="shared" si="18"/>
        <v>-49826.924146484613</v>
      </c>
      <c r="BJ12" s="43">
        <f t="shared" si="18"/>
        <v>0</v>
      </c>
      <c r="BK12" s="43">
        <f t="shared" si="18"/>
        <v>101076.97302186195</v>
      </c>
      <c r="BL12" s="43">
        <f t="shared" si="18"/>
        <v>-46684.398989370675</v>
      </c>
      <c r="BM12" s="43">
        <f t="shared" si="18"/>
        <v>0</v>
      </c>
      <c r="BN12" s="43">
        <f t="shared" si="18"/>
        <v>0</v>
      </c>
      <c r="BO12" s="43">
        <f t="shared" si="18"/>
        <v>-11923.544548228529</v>
      </c>
      <c r="BP12" s="43">
        <f t="shared" si="18"/>
        <v>-4787.3872720614745</v>
      </c>
      <c r="BQ12" s="43">
        <f t="shared" si="18"/>
        <v>-3060.5768832999747</v>
      </c>
      <c r="BR12" s="44">
        <f t="shared" si="18"/>
        <v>130414.47952082538</v>
      </c>
      <c r="BS12" s="128">
        <f t="shared" si="36"/>
        <v>36892</v>
      </c>
      <c r="BT12" s="44">
        <f t="shared" si="37"/>
        <v>85919.249322160205</v>
      </c>
      <c r="BU12" s="474">
        <f t="shared" si="42"/>
        <v>8.5919249322160205</v>
      </c>
      <c r="BV12" s="51"/>
      <c r="BW12" s="51"/>
      <c r="BX12" s="51"/>
      <c r="BY12" s="51"/>
      <c r="BZ12" s="51"/>
      <c r="CA12" s="51"/>
      <c r="CB12" s="51"/>
      <c r="CC12" s="141">
        <f t="shared" si="43"/>
        <v>37165</v>
      </c>
      <c r="CD12" s="234">
        <f>_xll.xSPRDOPT((VLOOKUP(G12,NGPrices,2,FALSE)+HLOOKUP(D12,Prices,VLOOKUP(G12,move_down,2,FALSE),FALSE)),VLOOKUP(G12,NGPrices,2,FALSE),I12,VLOOKUP(G12,NGPREVPRICES,4,FALSE),HLOOKUP(D12,PREVVOLS,VLOOKUP(G12,MOVE_DOWN2,2,FALSE),FALSE),VLOOKUP(G12,NGPREVPRICES,3,FALSE),HLOOKUP(D12,Correllate,VLOOKUP(G12,CorMove,2,FALSE),FALSE),Q12-$CD$3,R12,$CD$5)*H12-CJ12</f>
        <v>0</v>
      </c>
      <c r="CE12" s="234">
        <f>_xll.xSPRDOPT((VLOOKUP(G12,NGPREVPRICES,2,FALSE)+HLOOKUP(D12,PREVCURVES,VLOOKUP(G12,MOVE_DOWN2,2,FALSE),FALSE)),VLOOKUP(G12,NGPREVPRICES,2,FALSE),CK12,VLOOKUP(G12,NGPrices,4,FALSE),HLOOKUP(D12,PREVVOLS,VLOOKUP(G12,MOVE_DOWN2,2,FALSE),FALSE),VLOOKUP(G12,NGPREVPRICES,3,FALSE),HLOOKUP(D12,Correllate,VLOOKUP(G12,CorMove,2,FALSE),FALSE),Q12-$CD$3,R12,$CJ$5)*H12-CJ12</f>
        <v>0</v>
      </c>
      <c r="CF12" s="10">
        <f t="shared" si="44"/>
        <v>-23.229172443621792</v>
      </c>
      <c r="CG12" s="234">
        <f>_xll.xSPRDOPT((VLOOKUP(G12,NGPREVPRICES,2,FALSE)+HLOOKUP(D12,PREVCURVES,VLOOKUP(G12,MOVE_DOWN2,2,FALSE),FALSE)),VLOOKUP(G12,NGPREVPRICES,2,FALSE),CK12,VLOOKUP(G12,NGPREVPRICES,4,FALSE),HLOOKUP(D12,VOLS,VLOOKUP(G12,move_down,2,FALSE),FALSE),VLOOKUP(G12,NGPrices,3,FALSE),HLOOKUP(D12,Correllate,VLOOKUP(G12,CorMove,2,FALSE),FALSE),Q12-$CD$3,R12,$CJ$5)*H12-CJ12</f>
        <v>0</v>
      </c>
      <c r="CH12" s="234">
        <f>_xll.xSPRDOPT((VLOOKUP(G12,NGPREVPRICES,2,FALSE)+HLOOKUP(D12,PREVCURVES,VLOOKUP(G12,MOVE_DOWN2,2,FALSE),FALSE)),VLOOKUP(G12,NGPREVPRICES,2,FALSE),CK12,VLOOKUP(G12,NGPREVPRICES,4,FALSE),HLOOKUP(D12,PREVVOLS,VLOOKUP(G12,MOVE_DOWN2,2,FALSE),FALSE),VLOOKUP(G12,NGPREVPRICES,3,FALSE),HLOOKUP(D12,Correllate,VLOOKUP(G12,CorMove,2,FALSE),FALSE),Q12-$C$3,R12,$CJ$5)*H12-CJ12</f>
        <v>-62.947552475670818</v>
      </c>
      <c r="CI12" s="234">
        <f t="shared" si="45"/>
        <v>-86.17672491929261</v>
      </c>
      <c r="CJ12" s="234">
        <f>_xll.xSPRDOPT((VLOOKUP(G12,NGPREVPRICES,2,FALSE)+HLOOKUP(D12,PREVCURVES,VLOOKUP(G12,MOVE_DOWN2,2,FALSE),FALSE)),VLOOKUP(G12,NGPREVPRICES,2,FALSE),CK12,VLOOKUP(G12,NGPREVPRICES,4,FALSE),HLOOKUP(D12,PREVVOLS,VLOOKUP(G12,MOVE_DOWN2,2,FALSE),FALSE),VLOOKUP(G12,NGPREVPRICES,3,FALSE),HLOOKUP(D12,Correllate,VLOOKUP(G12,CorMove,2,FALSE),FALSE),Q12-$CD$3,R12,$CJ$5)*H12</f>
        <v>115820.01395071605</v>
      </c>
      <c r="CK12" s="235">
        <f t="shared" si="46"/>
        <v>0.3</v>
      </c>
      <c r="CM12" t="str">
        <f>CONCATENATE(CC12,$CD$6)</f>
        <v>37165Curve Shift/Gamma</v>
      </c>
      <c r="CN12" t="str">
        <f t="shared" si="19"/>
        <v>37165Rho</v>
      </c>
      <c r="CO12" t="str">
        <f t="shared" si="20"/>
        <v>37165Drift</v>
      </c>
      <c r="CP12" t="str">
        <f t="shared" si="21"/>
        <v>37165Vega</v>
      </c>
      <c r="CQ12" t="str">
        <f t="shared" si="22"/>
        <v>37165Theta</v>
      </c>
      <c r="CR12" s="385">
        <f t="shared" si="38"/>
        <v>36892</v>
      </c>
      <c r="CS12" s="386">
        <f t="shared" si="23"/>
        <v>0</v>
      </c>
      <c r="CT12" s="239">
        <f t="shared" si="24"/>
        <v>0</v>
      </c>
      <c r="CU12" s="239">
        <f t="shared" si="25"/>
        <v>535.02644940359005</v>
      </c>
      <c r="CV12" s="239">
        <f t="shared" si="26"/>
        <v>0</v>
      </c>
      <c r="CW12" s="249">
        <f t="shared" si="27"/>
        <v>980.386951177431</v>
      </c>
      <c r="CX12" s="240">
        <f t="shared" si="39"/>
        <v>1515.4134005810211</v>
      </c>
      <c r="CZ12" s="385">
        <f t="shared" si="40"/>
        <v>36892</v>
      </c>
      <c r="DA12" s="386">
        <f t="shared" si="28"/>
        <v>0</v>
      </c>
      <c r="DB12" s="239">
        <f t="shared" si="29"/>
        <v>0</v>
      </c>
      <c r="DC12" s="239">
        <f t="shared" si="30"/>
        <v>509.09878561018832</v>
      </c>
      <c r="DD12" s="239">
        <f t="shared" si="31"/>
        <v>0</v>
      </c>
      <c r="DE12" s="249">
        <f t="shared" si="32"/>
        <v>2995.0533957076868</v>
      </c>
      <c r="DF12" s="240">
        <f t="shared" ref="DF12:DF47" si="48">SUM(DA12:DE12)</f>
        <v>3504.1521813178751</v>
      </c>
    </row>
    <row r="13" spans="1:110" ht="12" customHeight="1" x14ac:dyDescent="0.25">
      <c r="A13" s="381" t="s">
        <v>267</v>
      </c>
      <c r="B13" s="7" t="s">
        <v>250</v>
      </c>
      <c r="C13" s="7" t="s">
        <v>402</v>
      </c>
      <c r="D13" s="4" t="s">
        <v>7</v>
      </c>
      <c r="E13" s="4" t="s">
        <v>20</v>
      </c>
      <c r="F13" s="5" t="s">
        <v>21</v>
      </c>
      <c r="G13" s="5">
        <v>37135</v>
      </c>
      <c r="H13" s="130">
        <v>500000</v>
      </c>
      <c r="I13" s="4">
        <v>0.3</v>
      </c>
      <c r="J13" s="53">
        <f t="shared" si="1"/>
        <v>3.7879999999999998</v>
      </c>
      <c r="K13" s="7">
        <f t="shared" si="2"/>
        <v>0.39500000000000002</v>
      </c>
      <c r="L13" s="53">
        <f t="shared" si="3"/>
        <v>4.1829999999999998</v>
      </c>
      <c r="M13" s="157">
        <f t="shared" si="4"/>
        <v>6.9264550207512002E-2</v>
      </c>
      <c r="N13" s="4">
        <f t="shared" si="5"/>
        <v>0.4</v>
      </c>
      <c r="O13" s="4">
        <f t="shared" si="6"/>
        <v>0.39200000000000002</v>
      </c>
      <c r="P13" s="9">
        <f t="shared" si="7"/>
        <v>0.9738</v>
      </c>
      <c r="Q13" s="5">
        <f t="shared" si="8"/>
        <v>37133</v>
      </c>
      <c r="R13" s="4">
        <f t="shared" si="9"/>
        <v>1</v>
      </c>
      <c r="S13" s="158">
        <f>_xll.xSPRDOPT($L13,$J13,$I13,$M13,$O13,$N13,$P13,$Q13-$C$3,$R13,0)</f>
        <v>0.18768052466153798</v>
      </c>
      <c r="T13" s="159">
        <f>_xll.xSPRDOPT($L13,$J13,$I13,$M13,$O13,$N13,$P13,$Q13-$C$3,$R13,1)*H13</f>
        <v>288451.30041550781</v>
      </c>
      <c r="U13" s="160">
        <f t="shared" si="10"/>
        <v>93840.262330768994</v>
      </c>
      <c r="V13" s="159">
        <f>_xll.xSPRDOPT($L13,$J13,$I13,$M13,$O13,$N13,$P13,$Q13-$C$3,$R13,2)*H13</f>
        <v>-272972.76742331934</v>
      </c>
      <c r="W13" s="159">
        <f t="shared" si="11"/>
        <v>15478.53299218847</v>
      </c>
      <c r="X13" s="51" t="str">
        <f t="shared" si="12"/>
        <v>37135IF-TRANSCO/Z6</v>
      </c>
      <c r="Y13" s="418">
        <f t="shared" si="13"/>
        <v>50</v>
      </c>
      <c r="Z13" s="456">
        <f t="shared" si="14"/>
        <v>0.57690260083101563</v>
      </c>
      <c r="AA13" s="456">
        <f>_xll.xSPRDOPT($L13,$J13,$I13,$M13,$O13,$N13,$P13,$Q13-$C$3,$R13,3)</f>
        <v>0.94211922754250732</v>
      </c>
      <c r="AB13" s="456">
        <f>((_xll.xSPRDOPT($L13+AB$5,$J13,$I13,$M13,$O13,$N13,$P13,$Q13-$C$3,$R13,3)*$H13)/10000)/100</f>
        <v>0.47105961377125366</v>
      </c>
      <c r="AC13" s="456">
        <f>((_xll.xSPRDOPT($L13+$AB$5,$J13,$I13,$M13,$O13,$N13,$P13,$Q13-$C$3,$R13,7)*$H13)/100)</f>
        <v>-11997.591861418014</v>
      </c>
      <c r="AD13" s="456">
        <f>(_xll.xSPRDOPT($L13+$AB$5,$J13,$I13,$M13,$O13,$N13,$P13,$Q13-$C$3,$R13,9)/365)*$H13</f>
        <v>-74.690331029933802</v>
      </c>
      <c r="AE13">
        <f t="shared" si="15"/>
        <v>0</v>
      </c>
      <c r="AF13" s="456">
        <f t="shared" si="16"/>
        <v>1691.5549351413124</v>
      </c>
      <c r="AG13" s="456">
        <f>((_xll.xSPRDOPT($L13,$J13,$I13,$M13,$O13,$N13,$P13,$Q13-$C$3,$R13,6)*$H13)/100)</f>
        <v>-829.06742455661288</v>
      </c>
      <c r="AH13" s="456">
        <f>((_xll.xSPRDOPT($L13,$J13,$I13,$M13,$O13,$N13,$P13,$Q13-$C$3,$R13,5)*$H13)/100)</f>
        <v>2572.0636323448216</v>
      </c>
      <c r="AI13" s="456">
        <f>(((_xll.xSPRDOPT($L13,$J13,$I13,$M13,$O13,$N13,$P13,$Q13-$C$3,$R13,4)*$H13)/10000)/100)-AB13</f>
        <v>2.2375661149765691E-2</v>
      </c>
      <c r="AJ13" s="456"/>
      <c r="AK13" s="456"/>
      <c r="AL13" s="456"/>
      <c r="AM13" s="472"/>
      <c r="AN13" s="128">
        <f t="shared" si="33"/>
        <v>36923</v>
      </c>
      <c r="AO13" s="43">
        <f t="shared" si="17"/>
        <v>-364.46197007753875</v>
      </c>
      <c r="AP13" s="43">
        <f t="shared" si="17"/>
        <v>-38.777015646968024</v>
      </c>
      <c r="AQ13" s="43">
        <f t="shared" si="17"/>
        <v>36.374962359570098</v>
      </c>
      <c r="AR13" s="43">
        <f t="shared" si="17"/>
        <v>-283.43175563275099</v>
      </c>
      <c r="AS13" s="43">
        <f t="shared" si="17"/>
        <v>0</v>
      </c>
      <c r="AT13" s="43">
        <f t="shared" si="17"/>
        <v>201.75350769067222</v>
      </c>
      <c r="AU13" s="43">
        <f t="shared" si="17"/>
        <v>-37.906773621501699</v>
      </c>
      <c r="AV13" s="43">
        <f t="shared" si="17"/>
        <v>0</v>
      </c>
      <c r="AW13" s="43">
        <f t="shared" si="17"/>
        <v>0</v>
      </c>
      <c r="AX13" s="43">
        <f t="shared" si="17"/>
        <v>26.130218299784509</v>
      </c>
      <c r="AY13" s="43">
        <f t="shared" si="17"/>
        <v>-15.860902774092089</v>
      </c>
      <c r="AZ13" s="43">
        <f t="shared" si="17"/>
        <v>-10.923659330013926</v>
      </c>
      <c r="BA13" s="44">
        <f t="shared" si="17"/>
        <v>137.89339651998125</v>
      </c>
      <c r="BB13" s="128">
        <f t="shared" si="34"/>
        <v>36923</v>
      </c>
      <c r="BC13" s="44">
        <f t="shared" si="41"/>
        <v>-349.2099922128574</v>
      </c>
      <c r="BD13" s="51"/>
      <c r="BE13" s="128">
        <f t="shared" si="35"/>
        <v>36923</v>
      </c>
      <c r="BF13" s="43">
        <f t="shared" si="18"/>
        <v>-20042.641708076189</v>
      </c>
      <c r="BG13" s="43">
        <f t="shared" si="18"/>
        <v>-19134.786061540421</v>
      </c>
      <c r="BH13" s="43">
        <f t="shared" si="18"/>
        <v>15386.26782288363</v>
      </c>
      <c r="BI13" s="43">
        <f t="shared" si="18"/>
        <v>-59316.716307831011</v>
      </c>
      <c r="BJ13" s="43">
        <f t="shared" si="18"/>
        <v>0</v>
      </c>
      <c r="BK13" s="43">
        <f t="shared" si="18"/>
        <v>120720.11991074398</v>
      </c>
      <c r="BL13" s="43">
        <f t="shared" si="18"/>
        <v>-51058.556471969117</v>
      </c>
      <c r="BM13" s="43">
        <f t="shared" si="18"/>
        <v>0</v>
      </c>
      <c r="BN13" s="43">
        <f t="shared" si="18"/>
        <v>0</v>
      </c>
      <c r="BO13" s="43">
        <f t="shared" si="18"/>
        <v>-11450.514496245043</v>
      </c>
      <c r="BP13" s="43">
        <f t="shared" si="18"/>
        <v>-5590.2095972437528</v>
      </c>
      <c r="BQ13" s="43">
        <f t="shared" si="18"/>
        <v>-2956.7578958685626</v>
      </c>
      <c r="BR13" s="44">
        <f t="shared" si="18"/>
        <v>161692.66225286361</v>
      </c>
      <c r="BS13" s="128">
        <f t="shared" si="36"/>
        <v>36923</v>
      </c>
      <c r="BT13" s="44">
        <f t="shared" si="37"/>
        <v>128248.86744771712</v>
      </c>
      <c r="BU13" s="474">
        <f t="shared" si="42"/>
        <v>12.824886744771712</v>
      </c>
      <c r="BV13" s="51"/>
      <c r="BW13" s="51"/>
      <c r="BX13" s="51"/>
      <c r="BY13" s="51"/>
      <c r="BZ13" s="51"/>
      <c r="CA13" s="51"/>
      <c r="CB13" s="51"/>
      <c r="CC13" s="141">
        <f t="shared" si="43"/>
        <v>37135</v>
      </c>
      <c r="CD13" s="234">
        <f>_xll.xSPRDOPT((VLOOKUP(G13,NGPrices,2,FALSE)+HLOOKUP(D13,Prices,VLOOKUP(G13,move_down,2,FALSE),FALSE)),VLOOKUP(G13,NGPrices,2,FALSE),I13,VLOOKUP(G13,NGPREVPRICES,4,FALSE),HLOOKUP(D13,PREVVOLS,VLOOKUP(G13,MOVE_DOWN2,2,FALSE),FALSE),VLOOKUP(G13,NGPREVPRICES,3,FALSE),HLOOKUP(D13,Correllate,VLOOKUP(G13,CorMove,2,FALSE),FALSE),Q13-$CD$3,R13,$CD$5)*H13-CJ13</f>
        <v>0</v>
      </c>
      <c r="CE13" s="234">
        <f>_xll.xSPRDOPT((VLOOKUP(G13,NGPREVPRICES,2,FALSE)+HLOOKUP(D13,PREVCURVES,VLOOKUP(G13,MOVE_DOWN2,2,FALSE),FALSE)),VLOOKUP(G13,NGPREVPRICES,2,FALSE),CK13,VLOOKUP(G13,NGPrices,4,FALSE),HLOOKUP(D13,PREVVOLS,VLOOKUP(G13,MOVE_DOWN2,2,FALSE),FALSE),VLOOKUP(G13,NGPREVPRICES,3,FALSE),HLOOKUP(D13,Correllate,VLOOKUP(G13,CorMove,2,FALSE),FALSE),Q13-$CD$3,R13,$CJ$5)*H13-CJ13</f>
        <v>0</v>
      </c>
      <c r="CF13" s="10">
        <f t="shared" si="44"/>
        <v>-18.724613465674338</v>
      </c>
      <c r="CG13" s="234">
        <f>_xll.xSPRDOPT((VLOOKUP(G13,NGPREVPRICES,2,FALSE)+HLOOKUP(D13,PREVCURVES,VLOOKUP(G13,MOVE_DOWN2,2,FALSE),FALSE)),VLOOKUP(G13,NGPREVPRICES,2,FALSE),CK13,VLOOKUP(G13,NGPREVPRICES,4,FALSE),HLOOKUP(D13,VOLS,VLOOKUP(G13,move_down,2,FALSE),FALSE),VLOOKUP(G13,NGPrices,3,FALSE),HLOOKUP(D13,Correllate,VLOOKUP(G13,CorMove,2,FALSE),FALSE),Q13-$CD$3,R13,$CJ$5)*H13-CJ13</f>
        <v>0</v>
      </c>
      <c r="CH13" s="234">
        <f>_xll.xSPRDOPT((VLOOKUP(G13,NGPREVPRICES,2,FALSE)+HLOOKUP(D13,PREVCURVES,VLOOKUP(G13,MOVE_DOWN2,2,FALSE),FALSE)),VLOOKUP(G13,NGPREVPRICES,2,FALSE),CK13,VLOOKUP(G13,NGPREVPRICES,4,FALSE),HLOOKUP(D13,PREVVOLS,VLOOKUP(G13,MOVE_DOWN2,2,FALSE),FALSE),VLOOKUP(G13,NGPREVPRICES,3,FALSE),HLOOKUP(D13,Correllate,VLOOKUP(G13,CorMove,2,FALSE),FALSE),Q13-$C$3,R13,$CJ$5)*H13-CJ13</f>
        <v>-74.565611418380286</v>
      </c>
      <c r="CI13" s="234">
        <f t="shared" si="45"/>
        <v>-93.290224884054624</v>
      </c>
      <c r="CJ13" s="234">
        <f>_xll.xSPRDOPT((VLOOKUP(G13,NGPREVPRICES,2,FALSE)+HLOOKUP(D13,PREVCURVES,VLOOKUP(G13,MOVE_DOWN2,2,FALSE),FALSE)),VLOOKUP(G13,NGPREVPRICES,2,FALSE),CK13,VLOOKUP(G13,NGPREVPRICES,4,FALSE),HLOOKUP(D13,PREVVOLS,VLOOKUP(G13,MOVE_DOWN2,2,FALSE),FALSE),VLOOKUP(G13,NGPREVPRICES,3,FALSE),HLOOKUP(D13,Correllate,VLOOKUP(G13,CorMove,2,FALSE),FALSE),Q13-$CD$3,R13,$CJ$5)*H13</f>
        <v>93914.827942187374</v>
      </c>
      <c r="CK13" s="235">
        <f t="shared" si="46"/>
        <v>0.3</v>
      </c>
      <c r="CM13" t="str">
        <f>CONCATENATE(CC13,$CD$6)</f>
        <v>37135Curve Shift/Gamma</v>
      </c>
      <c r="CN13" t="str">
        <f t="shared" si="19"/>
        <v>37135Rho</v>
      </c>
      <c r="CO13" t="str">
        <f t="shared" si="20"/>
        <v>37135Drift</v>
      </c>
      <c r="CP13" t="str">
        <f t="shared" si="21"/>
        <v>37135Vega</v>
      </c>
      <c r="CQ13" t="str">
        <f t="shared" si="22"/>
        <v>37135Theta</v>
      </c>
      <c r="CR13" s="385">
        <f t="shared" si="38"/>
        <v>36923</v>
      </c>
      <c r="CS13" s="386">
        <f>SUMIF($CM$7:$CM$631,CONCATENATE($CR13,$CS$6),$CD$7:$CD$631)</f>
        <v>0</v>
      </c>
      <c r="CT13" s="239">
        <f t="shared" si="24"/>
        <v>0</v>
      </c>
      <c r="CU13" s="239">
        <f t="shared" si="25"/>
        <v>580.18043883895916</v>
      </c>
      <c r="CV13" s="239">
        <f t="shared" si="26"/>
        <v>0</v>
      </c>
      <c r="CW13" s="249">
        <f t="shared" si="27"/>
        <v>312.38784453148764</v>
      </c>
      <c r="CX13" s="240">
        <f t="shared" si="39"/>
        <v>892.56828337044681</v>
      </c>
      <c r="CZ13" s="385">
        <f t="shared" si="40"/>
        <v>36923</v>
      </c>
      <c r="DA13" s="386">
        <f t="shared" si="28"/>
        <v>0</v>
      </c>
      <c r="DB13" s="239">
        <f t="shared" si="29"/>
        <v>0</v>
      </c>
      <c r="DC13" s="239">
        <f t="shared" si="30"/>
        <v>632.35658246841558</v>
      </c>
      <c r="DD13" s="239">
        <f t="shared" si="31"/>
        <v>0</v>
      </c>
      <c r="DE13" s="249">
        <f t="shared" si="32"/>
        <v>2054.8201270002246</v>
      </c>
      <c r="DF13" s="240">
        <f t="shared" si="48"/>
        <v>2687.1767094686402</v>
      </c>
    </row>
    <row r="14" spans="1:110" ht="12" customHeight="1" x14ac:dyDescent="0.25">
      <c r="A14" s="382" t="s">
        <v>267</v>
      </c>
      <c r="B14" s="7" t="s">
        <v>250</v>
      </c>
      <c r="C14" s="7" t="s">
        <v>402</v>
      </c>
      <c r="D14" s="4" t="s">
        <v>7</v>
      </c>
      <c r="E14" s="4" t="s">
        <v>20</v>
      </c>
      <c r="F14" s="5" t="s">
        <v>21</v>
      </c>
      <c r="G14" s="5">
        <v>37104</v>
      </c>
      <c r="H14" s="130">
        <v>500000</v>
      </c>
      <c r="I14" s="4">
        <v>0.3</v>
      </c>
      <c r="J14" s="53">
        <f t="shared" si="1"/>
        <v>3.8079999999999998</v>
      </c>
      <c r="K14" s="7">
        <f t="shared" si="2"/>
        <v>0.46</v>
      </c>
      <c r="L14" s="53">
        <f t="shared" si="3"/>
        <v>4.2679999999999998</v>
      </c>
      <c r="M14" s="157">
        <f t="shared" si="4"/>
        <v>6.9223060737754999E-2</v>
      </c>
      <c r="N14" s="4">
        <f t="shared" si="5"/>
        <v>0.4</v>
      </c>
      <c r="O14" s="4">
        <f t="shared" si="6"/>
        <v>0.39200000000000002</v>
      </c>
      <c r="P14" s="9">
        <f t="shared" si="7"/>
        <v>0.9738</v>
      </c>
      <c r="Q14" s="5">
        <f t="shared" si="8"/>
        <v>37102</v>
      </c>
      <c r="R14" s="4">
        <f t="shared" si="9"/>
        <v>1</v>
      </c>
      <c r="S14" s="158">
        <f>_xll.xSPRDOPT($L14,$J14,$I14,$M14,$O14,$N14,$P14,$Q14-$C$3,$R14,0)</f>
        <v>0.22344493159501255</v>
      </c>
      <c r="T14" s="159">
        <f>_xll.xSPRDOPT($L14,$J14,$I14,$M14,$O14,$N14,$P14,$Q14-$C$3,$R14,1)*H14</f>
        <v>322343.70897390635</v>
      </c>
      <c r="U14" s="160">
        <f t="shared" si="10"/>
        <v>111722.46579750627</v>
      </c>
      <c r="V14" s="159">
        <f>_xll.xSPRDOPT($L14,$J14,$I14,$M14,$O14,$N14,$P14,$Q14-$C$3,$R14,2)*H14</f>
        <v>-308405.86221215018</v>
      </c>
      <c r="W14" s="159">
        <f t="shared" si="11"/>
        <v>13937.846761756169</v>
      </c>
      <c r="X14" s="51" t="str">
        <f t="shared" si="12"/>
        <v>37104IF-TRANSCO/Z6</v>
      </c>
      <c r="Y14" s="418">
        <f t="shared" si="13"/>
        <v>50</v>
      </c>
      <c r="Z14" s="456">
        <f t="shared" si="14"/>
        <v>0.6446874179478127</v>
      </c>
      <c r="AA14" s="456">
        <f>_xll.xSPRDOPT($L14,$J14,$I14,$M14,$O14,$N14,$P14,$Q14-$C$3,$R14,3)</f>
        <v>0.90219036827034238</v>
      </c>
      <c r="AB14" s="456">
        <f>((_xll.xSPRDOPT($L14+AB$5,$J14,$I14,$M14,$O14,$N14,$P14,$Q14-$C$3,$R14,3)*$H14)/10000)/100</f>
        <v>0.45109518413517113</v>
      </c>
      <c r="AC14" s="456">
        <f>((_xll.xSPRDOPT($L14+$AB$5,$J14,$I14,$M14,$O14,$N14,$P14,$Q14-$C$3,$R14,7)*$H14)/100)</f>
        <v>-10943.471315944591</v>
      </c>
      <c r="AD14" s="456">
        <f>(_xll.xSPRDOPT($L14+$AB$5,$J14,$I14,$M14,$O14,$N14,$P14,$Q14-$C$3,$R14,9)/365)*$H14</f>
        <v>-70.986064732486753</v>
      </c>
      <c r="AE14">
        <f t="shared" si="15"/>
        <v>0</v>
      </c>
      <c r="AF14" s="456">
        <f t="shared" si="16"/>
        <v>1542.8656870314994</v>
      </c>
      <c r="AG14" s="456">
        <f>((_xll.xSPRDOPT($L14,$J14,$I14,$M14,$O14,$N14,$P14,$Q14-$C$3,$R14,6)*$H14)/100)</f>
        <v>-767.62293853845904</v>
      </c>
      <c r="AH14" s="456">
        <f>((_xll.xSPRDOPT($L14,$J14,$I14,$M14,$O14,$N14,$P14,$Q14-$C$3,$R14,5)*$H14)/100)</f>
        <v>2357.6414546632232</v>
      </c>
      <c r="AI14" s="456">
        <f>(((_xll.xSPRDOPT($L14,$J14,$I14,$M14,$O14,$N14,$P14,$Q14-$C$3,$R14,4)*$H14)/10000)/100)-AB14</f>
        <v>3.5265242781687856E-2</v>
      </c>
      <c r="AJ14" s="456"/>
      <c r="AK14" s="456"/>
      <c r="AL14" s="456"/>
      <c r="AM14" s="472"/>
      <c r="AN14" s="128">
        <f t="shared" si="33"/>
        <v>36951</v>
      </c>
      <c r="AO14" s="43">
        <f t="shared" si="17"/>
        <v>-269.40661429382033</v>
      </c>
      <c r="AP14" s="43">
        <f t="shared" si="17"/>
        <v>2.7339649432637132</v>
      </c>
      <c r="AQ14" s="43">
        <f t="shared" si="17"/>
        <v>39.344648877296777</v>
      </c>
      <c r="AR14" s="43">
        <f t="shared" si="17"/>
        <v>-255.74627297735057</v>
      </c>
      <c r="AS14" s="43">
        <f t="shared" si="17"/>
        <v>0</v>
      </c>
      <c r="AT14" s="43">
        <f t="shared" si="17"/>
        <v>203.40193277049033</v>
      </c>
      <c r="AU14" s="43">
        <f t="shared" si="17"/>
        <v>-38.018108088507162</v>
      </c>
      <c r="AV14" s="43">
        <f t="shared" si="17"/>
        <v>0</v>
      </c>
      <c r="AW14" s="43">
        <f t="shared" si="17"/>
        <v>0</v>
      </c>
      <c r="AX14" s="43">
        <f t="shared" si="17"/>
        <v>25.532916413117196</v>
      </c>
      <c r="AY14" s="43">
        <f t="shared" si="17"/>
        <v>-14.180475238436895</v>
      </c>
      <c r="AZ14" s="43">
        <f t="shared" si="17"/>
        <v>-9.2182380573346538</v>
      </c>
      <c r="BA14" s="44">
        <f t="shared" si="17"/>
        <v>70.477327510240215</v>
      </c>
      <c r="BB14" s="128">
        <f t="shared" si="34"/>
        <v>36951</v>
      </c>
      <c r="BC14" s="44">
        <f t="shared" si="41"/>
        <v>-245.07891814104136</v>
      </c>
      <c r="BD14" s="51"/>
      <c r="BE14" s="128">
        <f t="shared" si="35"/>
        <v>36951</v>
      </c>
      <c r="BF14" s="43">
        <f t="shared" si="18"/>
        <v>738328.60870325868</v>
      </c>
      <c r="BG14" s="43">
        <f t="shared" si="18"/>
        <v>572.98108822249924</v>
      </c>
      <c r="BH14" s="43">
        <f t="shared" si="18"/>
        <v>16394.21109120117</v>
      </c>
      <c r="BI14" s="43">
        <f t="shared" si="18"/>
        <v>-59703.31710084618</v>
      </c>
      <c r="BJ14" s="43">
        <f t="shared" si="18"/>
        <v>0</v>
      </c>
      <c r="BK14" s="43">
        <f t="shared" si="18"/>
        <v>118767.03395361015</v>
      </c>
      <c r="BL14" s="43">
        <f t="shared" si="18"/>
        <v>-49581.34229314432</v>
      </c>
      <c r="BM14" s="43">
        <f t="shared" si="18"/>
        <v>0</v>
      </c>
      <c r="BN14" s="43">
        <f t="shared" si="18"/>
        <v>0</v>
      </c>
      <c r="BO14" s="43">
        <f t="shared" si="18"/>
        <v>-11403.336750366216</v>
      </c>
      <c r="BP14" s="43">
        <f t="shared" si="18"/>
        <v>-5117.775470751978</v>
      </c>
      <c r="BQ14" s="43">
        <f t="shared" si="18"/>
        <v>-2879.7729698531184</v>
      </c>
      <c r="BR14" s="44">
        <f t="shared" si="18"/>
        <v>156467.54598444275</v>
      </c>
      <c r="BS14" s="128">
        <f t="shared" si="36"/>
        <v>36951</v>
      </c>
      <c r="BT14" s="44">
        <f>SUM(BF14:BR14)</f>
        <v>901844.83623577328</v>
      </c>
      <c r="BU14" s="474">
        <f t="shared" si="42"/>
        <v>90.184483623577322</v>
      </c>
      <c r="BV14" s="51"/>
      <c r="BW14" s="51"/>
      <c r="BX14" s="51"/>
      <c r="BY14" s="51"/>
      <c r="BZ14" s="51"/>
      <c r="CA14" s="51"/>
      <c r="CB14" s="51"/>
      <c r="CC14" s="141">
        <f t="shared" si="43"/>
        <v>37104</v>
      </c>
      <c r="CD14" s="234">
        <f>_xll.xSPRDOPT((VLOOKUP(G14,NGPrices,2,FALSE)+HLOOKUP(D14,Prices,VLOOKUP(G14,move_down,2,FALSE),FALSE)),VLOOKUP(G14,NGPrices,2,FALSE),I14,VLOOKUP(G14,NGPREVPRICES,4,FALSE),HLOOKUP(D14,PREVVOLS,VLOOKUP(G14,MOVE_DOWN2,2,FALSE),FALSE),VLOOKUP(G14,NGPREVPRICES,3,FALSE),HLOOKUP(D14,Correllate,VLOOKUP(G14,CorMove,2,FALSE),FALSE),Q14-$CD$3,R14,$CD$5)*H14-CJ14</f>
        <v>0</v>
      </c>
      <c r="CE14" s="234">
        <f>_xll.xSPRDOPT((VLOOKUP(G14,NGPREVPRICES,2,FALSE)+HLOOKUP(D14,PREVCURVES,VLOOKUP(G14,MOVE_DOWN2,2,FALSE),FALSE)),VLOOKUP(G14,NGPREVPRICES,2,FALSE),CK14,VLOOKUP(G14,NGPrices,4,FALSE),HLOOKUP(D14,PREVVOLS,VLOOKUP(G14,MOVE_DOWN2,2,FALSE),FALSE),VLOOKUP(G14,NGPREVPRICES,3,FALSE),HLOOKUP(D14,Correllate,VLOOKUP(G14,CorMove,2,FALSE),FALSE),Q14-$CD$3,R14,$CJ$5)*H14-CJ14</f>
        <v>0</v>
      </c>
      <c r="CF14" s="10">
        <f t="shared" si="44"/>
        <v>-22.15239430606016</v>
      </c>
      <c r="CG14" s="234">
        <f>_xll.xSPRDOPT((VLOOKUP(G14,NGPREVPRICES,2,FALSE)+HLOOKUP(D14,PREVCURVES,VLOOKUP(G14,MOVE_DOWN2,2,FALSE),FALSE)),VLOOKUP(G14,NGPREVPRICES,2,FALSE),CK14,VLOOKUP(G14,NGPREVPRICES,4,FALSE),HLOOKUP(D14,VOLS,VLOOKUP(G14,move_down,2,FALSE),FALSE),VLOOKUP(G14,NGPrices,3,FALSE),HLOOKUP(D14,Correllate,VLOOKUP(G14,CorMove,2,FALSE),FALSE),Q14-$CD$3,R14,$CJ$5)*H14-CJ14</f>
        <v>0</v>
      </c>
      <c r="CH14" s="234">
        <f>_xll.xSPRDOPT((VLOOKUP(G14,NGPREVPRICES,2,FALSE)+HLOOKUP(D14,PREVCURVES,VLOOKUP(G14,MOVE_DOWN2,2,FALSE),FALSE)),VLOOKUP(G14,NGPREVPRICES,2,FALSE),CK14,VLOOKUP(G14,NGPREVPRICES,4,FALSE),HLOOKUP(D14,PREVVOLS,VLOOKUP(G14,MOVE_DOWN2,2,FALSE),FALSE),VLOOKUP(G14,NGPREVPRICES,3,FALSE),HLOOKUP(D14,Correllate,VLOOKUP(G14,CorMove,2,FALSE),FALSE),Q14-$C$3,R14,$CJ$5)*H14-CJ14</f>
        <v>-70.868121269770199</v>
      </c>
      <c r="CI14" s="234">
        <f t="shared" si="45"/>
        <v>-93.020515575830359</v>
      </c>
      <c r="CJ14" s="234">
        <f>_xll.xSPRDOPT((VLOOKUP(G14,NGPREVPRICES,2,FALSE)+HLOOKUP(D14,PREVCURVES,VLOOKUP(G14,MOVE_DOWN2,2,FALSE),FALSE)),VLOOKUP(G14,NGPREVPRICES,2,FALSE),CK14,VLOOKUP(G14,NGPREVPRICES,4,FALSE),HLOOKUP(D14,PREVVOLS,VLOOKUP(G14,MOVE_DOWN2,2,FALSE),FALSE),VLOOKUP(G14,NGPREVPRICES,3,FALSE),HLOOKUP(D14,Correllate,VLOOKUP(G14,CorMove,2,FALSE),FALSE),Q14-$CD$3,R14,$CJ$5)*H14</f>
        <v>111793.33391877604</v>
      </c>
      <c r="CK14" s="235">
        <f t="shared" si="46"/>
        <v>0.3</v>
      </c>
      <c r="CM14" t="str">
        <f>CONCATENATE(CC14,$CD$6)</f>
        <v>37104Curve Shift/Gamma</v>
      </c>
      <c r="CN14" t="str">
        <f t="shared" si="19"/>
        <v>37104Rho</v>
      </c>
      <c r="CO14" t="str">
        <f t="shared" si="20"/>
        <v>37104Drift</v>
      </c>
      <c r="CP14" t="str">
        <f t="shared" si="21"/>
        <v>37104Vega</v>
      </c>
      <c r="CQ14" t="str">
        <f t="shared" si="22"/>
        <v>37104Theta</v>
      </c>
      <c r="CR14" s="385">
        <f t="shared" si="38"/>
        <v>36951</v>
      </c>
      <c r="CS14" s="386">
        <f t="shared" si="23"/>
        <v>0</v>
      </c>
      <c r="CT14" s="239">
        <f t="shared" si="24"/>
        <v>0</v>
      </c>
      <c r="CU14" s="239">
        <f t="shared" si="25"/>
        <v>-314.84065840046878</v>
      </c>
      <c r="CV14" s="239">
        <f t="shared" si="26"/>
        <v>0</v>
      </c>
      <c r="CW14" s="249">
        <f t="shared" si="27"/>
        <v>-9216.7636299376791</v>
      </c>
      <c r="CX14" s="240">
        <f t="shared" si="39"/>
        <v>-9531.6042883381488</v>
      </c>
      <c r="CZ14" s="385">
        <f t="shared" si="40"/>
        <v>36951</v>
      </c>
      <c r="DA14" s="386">
        <f t="shared" si="28"/>
        <v>0</v>
      </c>
      <c r="DB14" s="239">
        <f t="shared" si="29"/>
        <v>0</v>
      </c>
      <c r="DC14" s="239">
        <f t="shared" si="30"/>
        <v>-344.47179982246507</v>
      </c>
      <c r="DD14" s="239">
        <f t="shared" si="31"/>
        <v>0</v>
      </c>
      <c r="DE14" s="249">
        <f t="shared" si="32"/>
        <v>-10984.550792180338</v>
      </c>
      <c r="DF14" s="240">
        <f t="shared" si="48"/>
        <v>-11329.022592002802</v>
      </c>
    </row>
    <row r="15" spans="1:110" ht="12" customHeight="1" x14ac:dyDescent="0.25">
      <c r="A15" s="382" t="s">
        <v>267</v>
      </c>
      <c r="B15" s="7" t="s">
        <v>250</v>
      </c>
      <c r="C15" s="7" t="s">
        <v>402</v>
      </c>
      <c r="D15" s="4" t="s">
        <v>7</v>
      </c>
      <c r="E15" s="4" t="s">
        <v>20</v>
      </c>
      <c r="F15" s="5" t="s">
        <v>21</v>
      </c>
      <c r="G15" s="5">
        <v>37073</v>
      </c>
      <c r="H15" s="130">
        <v>500000</v>
      </c>
      <c r="I15" s="4">
        <v>0.3</v>
      </c>
      <c r="J15" s="53">
        <f t="shared" si="1"/>
        <v>3.8029999999999999</v>
      </c>
      <c r="K15" s="7">
        <f t="shared" si="2"/>
        <v>0.46</v>
      </c>
      <c r="L15" s="53">
        <f t="shared" si="3"/>
        <v>4.2629999999999999</v>
      </c>
      <c r="M15" s="157">
        <f t="shared" si="4"/>
        <v>6.9181571268567998E-2</v>
      </c>
      <c r="N15" s="4">
        <f t="shared" si="5"/>
        <v>0.4</v>
      </c>
      <c r="O15" s="4">
        <f t="shared" si="6"/>
        <v>0.39200000000000002</v>
      </c>
      <c r="P15" s="9">
        <f t="shared" si="7"/>
        <v>0.9738</v>
      </c>
      <c r="Q15" s="5">
        <f t="shared" si="8"/>
        <v>37070</v>
      </c>
      <c r="R15" s="4">
        <f t="shared" si="9"/>
        <v>1</v>
      </c>
      <c r="S15" s="158">
        <f>_xll.xSPRDOPT($L15,$J15,$I15,$M15,$O15,$N15,$P15,$Q15-$C$3,$R15,0)</f>
        <v>0.2186332100193365</v>
      </c>
      <c r="T15" s="159">
        <f>_xll.xSPRDOPT($L15,$J15,$I15,$M15,$O15,$N15,$P15,$Q15-$C$3,$R15,1)*H15</f>
        <v>327847.37607445847</v>
      </c>
      <c r="U15" s="160">
        <f t="shared" si="10"/>
        <v>109316.60500966824</v>
      </c>
      <c r="V15" s="159">
        <f>_xll.xSPRDOPT($L15,$J15,$I15,$M15,$O15,$N15,$P15,$Q15-$C$3,$R15,2)*H15</f>
        <v>-314651.52877945313</v>
      </c>
      <c r="W15" s="159">
        <f t="shared" si="11"/>
        <v>13195.84729500534</v>
      </c>
      <c r="X15" s="51" t="str">
        <f t="shared" si="12"/>
        <v>37073IF-TRANSCO/Z6</v>
      </c>
      <c r="Y15" s="418">
        <f t="shared" si="13"/>
        <v>50</v>
      </c>
      <c r="Z15" s="456">
        <f t="shared" si="14"/>
        <v>0.65569475214891693</v>
      </c>
      <c r="AA15" s="456">
        <f>_xll.xSPRDOPT($L15,$J15,$I15,$M15,$O15,$N15,$P15,$Q15-$C$3,$R15,3)</f>
        <v>0.94571843122483801</v>
      </c>
      <c r="AB15" s="456">
        <f>((_xll.xSPRDOPT($L15+AB$5,$J15,$I15,$M15,$O15,$N15,$P15,$Q15-$C$3,$R15,3)*$H15)/10000)/100</f>
        <v>0.472859215612419</v>
      </c>
      <c r="AC15" s="456">
        <f>((_xll.xSPRDOPT($L15+$AB$5,$J15,$I15,$M15,$O15,$N15,$P15,$Q15-$C$3,$R15,7)*$H15)/100)</f>
        <v>-10349.60238097719</v>
      </c>
      <c r="AD15" s="456">
        <f>(_xll.xSPRDOPT($L15+$AB$5,$J15,$I15,$M15,$O15,$N15,$P15,$Q15-$C$3,$R15,9)/365)*$H15</f>
        <v>-75.569329921706967</v>
      </c>
      <c r="AE15">
        <f t="shared" si="15"/>
        <v>0</v>
      </c>
      <c r="AF15" s="456">
        <f t="shared" si="16"/>
        <v>1457.7804230228348</v>
      </c>
      <c r="AG15" s="456">
        <f>((_xll.xSPRDOPT($L15,$J15,$I15,$M15,$O15,$N15,$P15,$Q15-$C$3,$R15,6)*$H15)/100)</f>
        <v>-732.06103119930447</v>
      </c>
      <c r="AH15" s="456">
        <f>((_xll.xSPRDOPT($L15,$J15,$I15,$M15,$O15,$N15,$P15,$Q15-$C$3,$R15,5)*$H15)/100)</f>
        <v>2234.5320961450402</v>
      </c>
      <c r="AI15" s="456">
        <f>(((_xll.xSPRDOPT($L15,$J15,$I15,$M15,$O15,$N15,$P15,$Q15-$C$3,$R15,4)*$H15)/10000)/100)-AB15</f>
        <v>3.6895800503373544E-2</v>
      </c>
      <c r="AJ15" s="456"/>
      <c r="AK15" s="456"/>
      <c r="AL15" s="456"/>
      <c r="AM15" s="472"/>
      <c r="AN15" s="128">
        <f t="shared" si="33"/>
        <v>36982</v>
      </c>
      <c r="AO15" s="43">
        <f t="shared" si="17"/>
        <v>-61.298380970124065</v>
      </c>
      <c r="AP15" s="43">
        <f t="shared" si="17"/>
        <v>0</v>
      </c>
      <c r="AQ15" s="43">
        <f t="shared" si="17"/>
        <v>0</v>
      </c>
      <c r="AR15" s="43">
        <f t="shared" si="17"/>
        <v>0</v>
      </c>
      <c r="AS15" s="43">
        <f t="shared" si="17"/>
        <v>0</v>
      </c>
      <c r="AT15" s="43">
        <f t="shared" si="17"/>
        <v>-22.882420186944078</v>
      </c>
      <c r="AU15" s="43">
        <f t="shared" si="17"/>
        <v>0</v>
      </c>
      <c r="AV15" s="43">
        <f t="shared" si="17"/>
        <v>0</v>
      </c>
      <c r="AW15" s="43">
        <f t="shared" si="17"/>
        <v>-29.621940668172133</v>
      </c>
      <c r="AX15" s="43">
        <f t="shared" si="17"/>
        <v>0</v>
      </c>
      <c r="AY15" s="43">
        <f t="shared" si="17"/>
        <v>0</v>
      </c>
      <c r="AZ15" s="43">
        <f t="shared" si="17"/>
        <v>0</v>
      </c>
      <c r="BA15" s="44">
        <f t="shared" si="17"/>
        <v>0</v>
      </c>
      <c r="BB15" s="128">
        <f t="shared" si="34"/>
        <v>36982</v>
      </c>
      <c r="BC15" s="44">
        <f t="shared" si="41"/>
        <v>-113.80274182524028</v>
      </c>
      <c r="BD15" s="51"/>
      <c r="BE15" s="128">
        <f t="shared" si="35"/>
        <v>36982</v>
      </c>
      <c r="BF15" s="43">
        <f t="shared" si="18"/>
        <v>-43824.371041495426</v>
      </c>
      <c r="BG15" s="43">
        <f t="shared" si="18"/>
        <v>0</v>
      </c>
      <c r="BH15" s="43">
        <f t="shared" si="18"/>
        <v>0</v>
      </c>
      <c r="BI15" s="43">
        <f t="shared" si="18"/>
        <v>0</v>
      </c>
      <c r="BJ15" s="43">
        <f t="shared" si="18"/>
        <v>0</v>
      </c>
      <c r="BK15" s="43">
        <f t="shared" si="18"/>
        <v>-46470.516367155011</v>
      </c>
      <c r="BL15" s="43">
        <f t="shared" si="18"/>
        <v>0</v>
      </c>
      <c r="BM15" s="43">
        <f t="shared" si="18"/>
        <v>0</v>
      </c>
      <c r="BN15" s="43">
        <f t="shared" si="18"/>
        <v>14374.256326476694</v>
      </c>
      <c r="BO15" s="43">
        <f t="shared" si="18"/>
        <v>0</v>
      </c>
      <c r="BP15" s="43">
        <f t="shared" si="18"/>
        <v>0</v>
      </c>
      <c r="BQ15" s="43">
        <f t="shared" si="18"/>
        <v>0</v>
      </c>
      <c r="BR15" s="44">
        <f t="shared" si="18"/>
        <v>0</v>
      </c>
      <c r="BS15" s="128">
        <f t="shared" si="36"/>
        <v>36982</v>
      </c>
      <c r="BT15" s="44">
        <f t="shared" si="37"/>
        <v>-75920.631082173742</v>
      </c>
      <c r="BU15" s="474">
        <f t="shared" si="42"/>
        <v>-7.5920631082173742</v>
      </c>
      <c r="BV15" s="51"/>
      <c r="BW15" s="51"/>
      <c r="BX15" s="51"/>
      <c r="BY15" s="51"/>
      <c r="BZ15" s="51"/>
      <c r="CA15" s="51"/>
      <c r="CB15" s="51"/>
      <c r="CC15" s="141">
        <f t="shared" si="43"/>
        <v>37073</v>
      </c>
      <c r="CD15" s="234">
        <f>_xll.xSPRDOPT((VLOOKUP(G15,NGPrices,2,FALSE)+HLOOKUP(D15,Prices,VLOOKUP(G15,move_down,2,FALSE),FALSE)),VLOOKUP(G15,NGPrices,2,FALSE),I15,VLOOKUP(G15,NGPREVPRICES,4,FALSE),HLOOKUP(D15,PREVVOLS,VLOOKUP(G15,MOVE_DOWN2,2,FALSE),FALSE),VLOOKUP(G15,NGPREVPRICES,3,FALSE),HLOOKUP(D15,Correllate,VLOOKUP(G15,CorMove,2,FALSE),FALSE),Q15-$CD$3,R15,$CD$5)*H15-CJ15</f>
        <v>0</v>
      </c>
      <c r="CE15" s="234">
        <f>_xll.xSPRDOPT((VLOOKUP(G15,NGPREVPRICES,2,FALSE)+HLOOKUP(D15,PREVCURVES,VLOOKUP(G15,MOVE_DOWN2,2,FALSE),FALSE)),VLOOKUP(G15,NGPREVPRICES,2,FALSE),CK15,VLOOKUP(G15,NGPrices,4,FALSE),HLOOKUP(D15,PREVVOLS,VLOOKUP(G15,MOVE_DOWN2,2,FALSE),FALSE),VLOOKUP(G15,NGPREVPRICES,3,FALSE),HLOOKUP(D15,Correllate,VLOOKUP(G15,CorMove,2,FALSE),FALSE),Q15-$CD$3,R15,$CJ$5)*H15-CJ15</f>
        <v>0</v>
      </c>
      <c r="CF15" s="10">
        <f t="shared" si="44"/>
        <v>-21.543603172583971</v>
      </c>
      <c r="CG15" s="234">
        <f>_xll.xSPRDOPT((VLOOKUP(G15,NGPREVPRICES,2,FALSE)+HLOOKUP(D15,PREVCURVES,VLOOKUP(G15,MOVE_DOWN2,2,FALSE),FALSE)),VLOOKUP(G15,NGPREVPRICES,2,FALSE),CK15,VLOOKUP(G15,NGPREVPRICES,4,FALSE),HLOOKUP(D15,VOLS,VLOOKUP(G15,move_down,2,FALSE),FALSE),VLOOKUP(G15,NGPrices,3,FALSE),HLOOKUP(D15,Correllate,VLOOKUP(G15,CorMove,2,FALSE),FALSE),Q15-$CD$3,R15,$CJ$5)*H15-CJ15</f>
        <v>0</v>
      </c>
      <c r="CH15" s="234">
        <f>_xll.xSPRDOPT((VLOOKUP(G15,NGPREVPRICES,2,FALSE)+HLOOKUP(D15,PREVCURVES,VLOOKUP(G15,MOVE_DOWN2,2,FALSE),FALSE)),VLOOKUP(G15,NGPREVPRICES,2,FALSE),CK15,VLOOKUP(G15,NGPREVPRICES,4,FALSE),HLOOKUP(D15,PREVVOLS,VLOOKUP(G15,MOVE_DOWN2,2,FALSE),FALSE),VLOOKUP(G15,NGPREVPRICES,3,FALSE),HLOOKUP(D15,Correllate,VLOOKUP(G15,CorMove,2,FALSE),FALSE),Q15-$C$3,R15,$CJ$5)*H15-CJ15</f>
        <v>-75.440657610481139</v>
      </c>
      <c r="CI15" s="234">
        <f t="shared" si="45"/>
        <v>-96.98426078306511</v>
      </c>
      <c r="CJ15" s="234">
        <f>_xll.xSPRDOPT((VLOOKUP(G15,NGPREVPRICES,2,FALSE)+HLOOKUP(D15,PREVCURVES,VLOOKUP(G15,MOVE_DOWN2,2,FALSE),FALSE)),VLOOKUP(G15,NGPREVPRICES,2,FALSE),CK15,VLOOKUP(G15,NGPREVPRICES,4,FALSE),HLOOKUP(D15,PREVVOLS,VLOOKUP(G15,MOVE_DOWN2,2,FALSE),FALSE),VLOOKUP(G15,NGPREVPRICES,3,FALSE),HLOOKUP(D15,Correllate,VLOOKUP(G15,CorMove,2,FALSE),FALSE),Q15-$CD$3,R15,$CJ$5)*H15</f>
        <v>109392.04566727873</v>
      </c>
      <c r="CK15" s="235">
        <f t="shared" si="46"/>
        <v>0.3</v>
      </c>
      <c r="CM15" t="str">
        <f t="shared" si="47"/>
        <v>37073Curve Shift/Gamma</v>
      </c>
      <c r="CN15" t="str">
        <f t="shared" si="19"/>
        <v>37073Rho</v>
      </c>
      <c r="CO15" t="str">
        <f t="shared" si="20"/>
        <v>37073Drift</v>
      </c>
      <c r="CP15" t="str">
        <f t="shared" si="21"/>
        <v>37073Vega</v>
      </c>
      <c r="CQ15" t="str">
        <f t="shared" si="22"/>
        <v>37073Theta</v>
      </c>
      <c r="CR15" s="385">
        <f t="shared" si="38"/>
        <v>36982</v>
      </c>
      <c r="CS15" s="386">
        <f>SUMIF($CM$7:$CM$631,CONCATENATE($CR15,$CS$6),$CD$7:$CD$631)</f>
        <v>0</v>
      </c>
      <c r="CT15" s="239">
        <f t="shared" si="24"/>
        <v>0</v>
      </c>
      <c r="CU15" s="239">
        <f t="shared" si="25"/>
        <v>58.542963159277861</v>
      </c>
      <c r="CV15" s="239">
        <f t="shared" si="26"/>
        <v>0</v>
      </c>
      <c r="CW15" s="249">
        <f t="shared" si="27"/>
        <v>1638.7547761680544</v>
      </c>
      <c r="CX15" s="240">
        <f t="shared" si="39"/>
        <v>1697.2977393273322</v>
      </c>
      <c r="CZ15" s="385">
        <f t="shared" si="40"/>
        <v>36982</v>
      </c>
      <c r="DA15" s="386">
        <f t="shared" si="28"/>
        <v>0</v>
      </c>
      <c r="DB15" s="239">
        <f t="shared" si="29"/>
        <v>0</v>
      </c>
      <c r="DC15" s="239">
        <f t="shared" si="30"/>
        <v>-9.2143555050479335</v>
      </c>
      <c r="DD15" s="239">
        <f t="shared" si="31"/>
        <v>0</v>
      </c>
      <c r="DE15" s="249">
        <f t="shared" si="32"/>
        <v>614.30321863280915</v>
      </c>
      <c r="DF15" s="240">
        <f t="shared" si="48"/>
        <v>605.08886312776121</v>
      </c>
    </row>
    <row r="16" spans="1:110" ht="12" customHeight="1" x14ac:dyDescent="0.25">
      <c r="A16" s="382" t="s">
        <v>267</v>
      </c>
      <c r="B16" s="7" t="s">
        <v>250</v>
      </c>
      <c r="C16" s="7" t="s">
        <v>402</v>
      </c>
      <c r="D16" s="4" t="s">
        <v>7</v>
      </c>
      <c r="E16" s="4" t="s">
        <v>20</v>
      </c>
      <c r="F16" s="5" t="s">
        <v>21</v>
      </c>
      <c r="G16" s="5">
        <v>37043</v>
      </c>
      <c r="H16" s="130">
        <v>500000</v>
      </c>
      <c r="I16" s="4">
        <v>0.3</v>
      </c>
      <c r="J16" s="53">
        <f t="shared" si="1"/>
        <v>3.8180000000000001</v>
      </c>
      <c r="K16" s="7">
        <f t="shared" si="2"/>
        <v>0.39500000000000002</v>
      </c>
      <c r="L16" s="53">
        <f t="shared" si="3"/>
        <v>4.2130000000000001</v>
      </c>
      <c r="M16" s="157">
        <f t="shared" si="4"/>
        <v>6.9141890053328006E-2</v>
      </c>
      <c r="N16" s="4">
        <f t="shared" si="5"/>
        <v>0.4</v>
      </c>
      <c r="O16" s="4">
        <f t="shared" si="6"/>
        <v>0.39200000000000002</v>
      </c>
      <c r="P16" s="9">
        <f t="shared" si="7"/>
        <v>0.9738</v>
      </c>
      <c r="Q16" s="5">
        <f t="shared" si="8"/>
        <v>37041</v>
      </c>
      <c r="R16" s="4">
        <f t="shared" si="9"/>
        <v>1</v>
      </c>
      <c r="S16" s="158">
        <f>_xll.xSPRDOPT($L16,$J16,$I16,$M16,$O16,$N16,$P16,$Q16-$C$3,$R16,0)</f>
        <v>0.17336782444829799</v>
      </c>
      <c r="T16" s="159">
        <f>_xll.xSPRDOPT($L16,$J16,$I16,$M16,$O16,$N16,$P16,$Q16-$C$3,$R16,1)*H16</f>
        <v>299204.88709817734</v>
      </c>
      <c r="U16" s="160">
        <f t="shared" si="10"/>
        <v>86683.912224148997</v>
      </c>
      <c r="V16" s="159">
        <f>_xll.xSPRDOPT($L16,$J16,$I16,$M16,$O16,$N16,$P16,$Q16-$C$3,$R16,2)*H16</f>
        <v>-285696.92514457123</v>
      </c>
      <c r="W16" s="159">
        <f t="shared" si="11"/>
        <v>13507.961953606107</v>
      </c>
      <c r="X16" s="51" t="str">
        <f t="shared" si="12"/>
        <v>37043IF-TRANSCO/Z6</v>
      </c>
      <c r="Y16" s="418">
        <f t="shared" si="13"/>
        <v>50</v>
      </c>
      <c r="Z16" s="456">
        <f t="shared" si="14"/>
        <v>0.59840977419635466</v>
      </c>
      <c r="AA16" s="456">
        <f>_xll.xSPRDOPT($L16,$J16,$I16,$M16,$O16,$N16,$P16,$Q16-$C$3,$R16,3)</f>
        <v>1.0905369348515652</v>
      </c>
      <c r="AB16" s="456">
        <f>((_xll.xSPRDOPT($L16+AB$5,$J16,$I16,$M16,$O16,$N16,$P16,$Q16-$C$3,$R16,3)*$H16)/10000)/100</f>
        <v>0.54526846742578261</v>
      </c>
      <c r="AC16" s="456">
        <f>((_xll.xSPRDOPT($L16+$AB$5,$J16,$I16,$M16,$O16,$N16,$P16,$Q16-$C$3,$R16,7)*$H16)/100)</f>
        <v>-10550.397181929482</v>
      </c>
      <c r="AD16" s="456">
        <f>(_xll.xSPRDOPT($L16+$AB$5,$J16,$I16,$M16,$O16,$N16,$P16,$Q16-$C$3,$R16,9)/365)*$H16</f>
        <v>-91.737202132533412</v>
      </c>
      <c r="AE16">
        <f t="shared" si="15"/>
        <v>0</v>
      </c>
      <c r="AF16" s="456">
        <f t="shared" si="16"/>
        <v>1480.7464989039208</v>
      </c>
      <c r="AG16" s="456">
        <f>((_xll.xSPRDOPT($L16,$J16,$I16,$M16,$O16,$N16,$P16,$Q16-$C$3,$R16,6)*$H16)/100)</f>
        <v>-725.33764714341248</v>
      </c>
      <c r="AH16" s="456">
        <f>((_xll.xSPRDOPT($L16,$J16,$I16,$M16,$O16,$N16,$P16,$Q16-$C$3,$R16,5)*$H16)/100)</f>
        <v>2251.1062714768709</v>
      </c>
      <c r="AI16" s="456">
        <f>(((_xll.xSPRDOPT($L16,$J16,$I16,$M16,$O16,$N16,$P16,$Q16-$C$3,$R16,4)*$H16)/10000)/100)-AB16</f>
        <v>2.5352297013875869E-2</v>
      </c>
      <c r="AJ16" s="456"/>
      <c r="AK16" s="456"/>
      <c r="AL16" s="456"/>
      <c r="AM16" s="472"/>
      <c r="AN16" s="128">
        <f t="shared" si="33"/>
        <v>37012</v>
      </c>
      <c r="AO16" s="43">
        <f t="shared" si="17"/>
        <v>17.75909854314903</v>
      </c>
      <c r="AP16" s="43">
        <f t="shared" si="17"/>
        <v>0</v>
      </c>
      <c r="AQ16" s="43">
        <f t="shared" si="17"/>
        <v>0</v>
      </c>
      <c r="AR16" s="43">
        <f t="shared" si="17"/>
        <v>0</v>
      </c>
      <c r="AS16" s="43">
        <f t="shared" si="17"/>
        <v>0</v>
      </c>
      <c r="AT16" s="43">
        <f t="shared" si="17"/>
        <v>-21.504620677248472</v>
      </c>
      <c r="AU16" s="43">
        <f t="shared" si="17"/>
        <v>0</v>
      </c>
      <c r="AV16" s="43">
        <f t="shared" si="17"/>
        <v>0</v>
      </c>
      <c r="AW16" s="43">
        <f t="shared" si="17"/>
        <v>-39.889842044975396</v>
      </c>
      <c r="AX16" s="43">
        <f t="shared" si="17"/>
        <v>0</v>
      </c>
      <c r="AY16" s="43">
        <f t="shared" si="17"/>
        <v>0</v>
      </c>
      <c r="AZ16" s="43">
        <f t="shared" si="17"/>
        <v>0</v>
      </c>
      <c r="BA16" s="44">
        <f t="shared" si="17"/>
        <v>0</v>
      </c>
      <c r="BB16" s="128">
        <f t="shared" si="34"/>
        <v>37012</v>
      </c>
      <c r="BC16" s="44">
        <f t="shared" si="41"/>
        <v>-43.635364179074841</v>
      </c>
      <c r="BD16" s="51"/>
      <c r="BE16" s="128">
        <f t="shared" si="35"/>
        <v>37012</v>
      </c>
      <c r="BF16" s="43">
        <f t="shared" si="18"/>
        <v>91555.47275974373</v>
      </c>
      <c r="BG16" s="43">
        <f t="shared" si="18"/>
        <v>0</v>
      </c>
      <c r="BH16" s="43">
        <f t="shared" si="18"/>
        <v>0</v>
      </c>
      <c r="BI16" s="43">
        <f t="shared" si="18"/>
        <v>0</v>
      </c>
      <c r="BJ16" s="43">
        <f t="shared" si="18"/>
        <v>0</v>
      </c>
      <c r="BK16" s="43">
        <f t="shared" si="18"/>
        <v>-43183.352843413457</v>
      </c>
      <c r="BL16" s="43">
        <f t="shared" si="18"/>
        <v>0</v>
      </c>
      <c r="BM16" s="43">
        <f t="shared" si="18"/>
        <v>0</v>
      </c>
      <c r="BN16" s="43">
        <f t="shared" si="18"/>
        <v>15387.832093565725</v>
      </c>
      <c r="BO16" s="43">
        <f t="shared" si="18"/>
        <v>0</v>
      </c>
      <c r="BP16" s="43">
        <f t="shared" si="18"/>
        <v>0</v>
      </c>
      <c r="BQ16" s="43">
        <f t="shared" si="18"/>
        <v>0</v>
      </c>
      <c r="BR16" s="44">
        <f t="shared" si="18"/>
        <v>0</v>
      </c>
      <c r="BS16" s="128">
        <f t="shared" si="36"/>
        <v>37012</v>
      </c>
      <c r="BT16" s="44">
        <f t="shared" si="37"/>
        <v>63759.952009895998</v>
      </c>
      <c r="BU16" s="474">
        <f t="shared" si="42"/>
        <v>6.3759952009895997</v>
      </c>
      <c r="BV16" s="51"/>
      <c r="BW16" s="51"/>
      <c r="BX16" s="51"/>
      <c r="BY16" s="51"/>
      <c r="BZ16" s="51"/>
      <c r="CA16" s="51"/>
      <c r="CB16" s="51"/>
      <c r="CC16" s="141">
        <f t="shared" si="43"/>
        <v>37043</v>
      </c>
      <c r="CD16" s="234">
        <f>_xll.xSPRDOPT((VLOOKUP(G16,NGPrices,2,FALSE)+HLOOKUP(D16,Prices,VLOOKUP(G16,move_down,2,FALSE),FALSE)),VLOOKUP(G16,NGPrices,2,FALSE),I16,VLOOKUP(G16,NGPREVPRICES,4,FALSE),HLOOKUP(D16,PREVVOLS,VLOOKUP(G16,MOVE_DOWN2,2,FALSE),FALSE),VLOOKUP(G16,NGPREVPRICES,3,FALSE),HLOOKUP(D16,Correllate,VLOOKUP(G16,CorMove,2,FALSE),FALSE),Q16-$CD$3,R16,$CD$5)*H16-CJ16</f>
        <v>0</v>
      </c>
      <c r="CE16" s="234">
        <f>_xll.xSPRDOPT((VLOOKUP(G16,NGPREVPRICES,2,FALSE)+HLOOKUP(D16,PREVCURVES,VLOOKUP(G16,MOVE_DOWN2,2,FALSE),FALSE)),VLOOKUP(G16,NGPREVPRICES,2,FALSE),CK16,VLOOKUP(G16,NGPrices,4,FALSE),HLOOKUP(D16,PREVVOLS,VLOOKUP(G16,MOVE_DOWN2,2,FALSE),FALSE),VLOOKUP(G16,NGPREVPRICES,3,FALSE),HLOOKUP(D16,Correllate,VLOOKUP(G16,CorMove,2,FALSE),FALSE),Q16-$CD$3,R16,$CJ$5)*H16-CJ16</f>
        <v>0</v>
      </c>
      <c r="CF16" s="10">
        <f t="shared" si="44"/>
        <v>-16.986780876104604</v>
      </c>
      <c r="CG16" s="234">
        <f>_xll.xSPRDOPT((VLOOKUP(G16,NGPREVPRICES,2,FALSE)+HLOOKUP(D16,PREVCURVES,VLOOKUP(G16,MOVE_DOWN2,2,FALSE),FALSE)),VLOOKUP(G16,NGPREVPRICES,2,FALSE),CK16,VLOOKUP(G16,NGPREVPRICES,4,FALSE),HLOOKUP(D16,VOLS,VLOOKUP(G16,move_down,2,FALSE),FALSE),VLOOKUP(G16,NGPrices,3,FALSE),HLOOKUP(D16,Correllate,VLOOKUP(G16,CorMove,2,FALSE),FALSE),Q16-$CD$3,R16,$CJ$5)*H16-CJ16</f>
        <v>0</v>
      </c>
      <c r="CH16" s="234">
        <f>_xll.xSPRDOPT((VLOOKUP(G16,NGPREVPRICES,2,FALSE)+HLOOKUP(D16,PREVCURVES,VLOOKUP(G16,MOVE_DOWN2,2,FALSE),FALSE)),VLOOKUP(G16,NGPREVPRICES,2,FALSE),CK16,VLOOKUP(G16,NGPREVPRICES,4,FALSE),HLOOKUP(D16,PREVVOLS,VLOOKUP(G16,MOVE_DOWN2,2,FALSE),FALSE),VLOOKUP(G16,NGPREVPRICES,3,FALSE),HLOOKUP(D16,Correllate,VLOOKUP(G16,CorMove,2,FALSE),FALSE),Q16-$C$3,R16,$CJ$5)*H16-CJ16</f>
        <v>-91.566920478726388</v>
      </c>
      <c r="CI16" s="234">
        <f t="shared" si="45"/>
        <v>-108.55370135483099</v>
      </c>
      <c r="CJ16" s="234">
        <f>_xll.xSPRDOPT((VLOOKUP(G16,NGPREVPRICES,2,FALSE)+HLOOKUP(D16,PREVCURVES,VLOOKUP(G16,MOVE_DOWN2,2,FALSE),FALSE)),VLOOKUP(G16,NGPREVPRICES,2,FALSE),CK16,VLOOKUP(G16,NGPREVPRICES,4,FALSE),HLOOKUP(D16,PREVVOLS,VLOOKUP(G16,MOVE_DOWN2,2,FALSE),FALSE),VLOOKUP(G16,NGPREVPRICES,3,FALSE),HLOOKUP(D16,Correllate,VLOOKUP(G16,CorMove,2,FALSE),FALSE),Q16-$CD$3,R16,$CJ$5)*H16</f>
        <v>86775.479144627723</v>
      </c>
      <c r="CK16" s="235">
        <f t="shared" si="46"/>
        <v>0.3</v>
      </c>
      <c r="CM16" t="str">
        <f t="shared" si="47"/>
        <v>37043Curve Shift/Gamma</v>
      </c>
      <c r="CN16" t="str">
        <f t="shared" si="19"/>
        <v>37043Rho</v>
      </c>
      <c r="CO16" t="str">
        <f t="shared" si="20"/>
        <v>37043Drift</v>
      </c>
      <c r="CP16" t="str">
        <f t="shared" si="21"/>
        <v>37043Vega</v>
      </c>
      <c r="CQ16" t="str">
        <f t="shared" si="22"/>
        <v>37043Theta</v>
      </c>
      <c r="CR16" s="385">
        <f t="shared" si="38"/>
        <v>37012</v>
      </c>
      <c r="CS16" s="386">
        <f>SUMIF($CM$7:$CM$631,CONCATENATE($CR16,$CS$6),$CD$7:$CD$631)</f>
        <v>0</v>
      </c>
      <c r="CT16" s="239">
        <f t="shared" si="24"/>
        <v>0</v>
      </c>
      <c r="CU16" s="239">
        <f t="shared" si="25"/>
        <v>-22.234545884406543</v>
      </c>
      <c r="CV16" s="239">
        <f t="shared" si="26"/>
        <v>0</v>
      </c>
      <c r="CW16" s="249">
        <f t="shared" si="27"/>
        <v>-172.7317264296471</v>
      </c>
      <c r="CX16" s="240">
        <f t="shared" si="39"/>
        <v>-194.96627231405364</v>
      </c>
      <c r="CZ16" s="385">
        <f t="shared" si="40"/>
        <v>37012</v>
      </c>
      <c r="DA16" s="386">
        <f t="shared" si="28"/>
        <v>0</v>
      </c>
      <c r="DB16" s="239">
        <f t="shared" si="29"/>
        <v>0</v>
      </c>
      <c r="DC16" s="239">
        <f t="shared" si="30"/>
        <v>-85.173402790271211</v>
      </c>
      <c r="DD16" s="239">
        <f t="shared" si="31"/>
        <v>0</v>
      </c>
      <c r="DE16" s="249">
        <f t="shared" si="32"/>
        <v>-951.067202588285</v>
      </c>
      <c r="DF16" s="240">
        <f t="shared" si="48"/>
        <v>-1036.2406053785562</v>
      </c>
    </row>
    <row r="17" spans="1:110" ht="12" customHeight="1" x14ac:dyDescent="0.25">
      <c r="A17" s="382" t="s">
        <v>267</v>
      </c>
      <c r="B17" s="7" t="s">
        <v>250</v>
      </c>
      <c r="C17" s="7" t="s">
        <v>402</v>
      </c>
      <c r="D17" s="4" t="s">
        <v>7</v>
      </c>
      <c r="E17" s="4" t="s">
        <v>20</v>
      </c>
      <c r="F17" s="5" t="s">
        <v>21</v>
      </c>
      <c r="G17" s="5">
        <v>37012</v>
      </c>
      <c r="H17" s="130">
        <v>500000</v>
      </c>
      <c r="I17" s="51">
        <v>0.3</v>
      </c>
      <c r="J17" s="53">
        <f t="shared" si="1"/>
        <v>3.8380000000000001</v>
      </c>
      <c r="K17" s="7">
        <f t="shared" si="2"/>
        <v>0.40500000000000003</v>
      </c>
      <c r="L17" s="53">
        <f t="shared" si="3"/>
        <v>4.2430000000000003</v>
      </c>
      <c r="M17" s="52">
        <f t="shared" si="4"/>
        <v>6.9101151218999998E-2</v>
      </c>
      <c r="N17" s="51">
        <f t="shared" si="5"/>
        <v>0.40500000000000003</v>
      </c>
      <c r="O17" s="51">
        <f t="shared" si="6"/>
        <v>0.39700000000000002</v>
      </c>
      <c r="P17" s="9">
        <f t="shared" si="7"/>
        <v>0.9738</v>
      </c>
      <c r="Q17" s="5">
        <f t="shared" si="8"/>
        <v>37008</v>
      </c>
      <c r="R17" s="51">
        <f t="shared" si="9"/>
        <v>1</v>
      </c>
      <c r="S17" s="77">
        <f>_xll.xSPRDOPT($L17,$J17,$I17,$M17,$O17,$N17,$P17,$Q17-$C$3,$R17,0)</f>
        <v>0.17514220874689124</v>
      </c>
      <c r="T17" s="126">
        <f>_xll.xSPRDOPT($L17,$J17,$I17,$M17,$O17,$N17,$P17,$Q17-$C$3,$R17,1)*H17</f>
        <v>308937.66687396273</v>
      </c>
      <c r="U17" s="160">
        <f t="shared" si="10"/>
        <v>87571.104373445618</v>
      </c>
      <c r="V17" s="126">
        <f>_xll.xSPRDOPT($L17,$J17,$I17,$M17,$O17,$N17,$P17,$Q17-$C$3,$R17,2)*H17</f>
        <v>-296208.97018262208</v>
      </c>
      <c r="W17" s="126">
        <f t="shared" si="11"/>
        <v>12728.69669134065</v>
      </c>
      <c r="X17" s="51" t="str">
        <f t="shared" si="12"/>
        <v>37012IF-TRANSCO/Z6</v>
      </c>
      <c r="Y17" s="418">
        <f t="shared" si="13"/>
        <v>50</v>
      </c>
      <c r="Z17" s="456">
        <f t="shared" si="14"/>
        <v>0.61787533374792547</v>
      </c>
      <c r="AA17" s="456">
        <f>_xll.xSPRDOPT($L17,$J17,$I17,$M17,$O17,$N17,$P17,$Q17-$C$3,$R17,3)</f>
        <v>1.1297989794907344</v>
      </c>
      <c r="AB17" s="456">
        <f>((_xll.xSPRDOPT($L17+AB$5,$J17,$I17,$M17,$O17,$N17,$P17,$Q17-$C$3,$R17,3)*$H17)/10000)/100</f>
        <v>0.56489948974536719</v>
      </c>
      <c r="AC17" s="456">
        <f>((_xll.xSPRDOPT($L17+$AB$5,$J17,$I17,$M17,$O17,$N17,$P17,$Q17-$C$3,$R17,7)*$H17)/100)</f>
        <v>-10001.312552715064</v>
      </c>
      <c r="AD17" s="456">
        <f>(_xll.xSPRDOPT($L17+$AB$5,$J17,$I17,$M17,$O17,$N17,$P17,$Q17-$C$3,$R17,9)/365)*$H17</f>
        <v>-99.866034197680207</v>
      </c>
      <c r="AE17">
        <f t="shared" si="15"/>
        <v>0</v>
      </c>
      <c r="AF17" s="456">
        <f t="shared" si="16"/>
        <v>1384.888735022899</v>
      </c>
      <c r="AG17" s="456">
        <f>((_xll.xSPRDOPT($L17,$J17,$I17,$M17,$O17,$N17,$P17,$Q17-$C$3,$R17,6)*$H17)/100)</f>
        <v>-681.25493259162818</v>
      </c>
      <c r="AH17" s="456">
        <f>((_xll.xSPRDOPT($L17,$J17,$I17,$M17,$O17,$N17,$P17,$Q17-$C$3,$R17,5)*$H17)/100)</f>
        <v>2107.7788044934096</v>
      </c>
      <c r="AI17" s="456">
        <f>(((_xll.xSPRDOPT($L17,$J17,$I17,$M17,$O17,$N17,$P17,$Q17-$C$3,$R17,4)*$H17)/10000)/100)-AB17</f>
        <v>2.8709046122228132E-2</v>
      </c>
      <c r="AJ17" s="456"/>
      <c r="AK17" s="456"/>
      <c r="AL17" s="456"/>
      <c r="AM17" s="472"/>
      <c r="AN17" s="128">
        <f t="shared" si="33"/>
        <v>37043</v>
      </c>
      <c r="AO17" s="43">
        <f t="shared" ref="AO17:BA26" si="49">SUMIF($X:$X,CONCATENATE($AN17,AO$6),$T:$T)/10000</f>
        <v>13.437488334514835</v>
      </c>
      <c r="AP17" s="43">
        <f t="shared" si="49"/>
        <v>0</v>
      </c>
      <c r="AQ17" s="43">
        <f t="shared" si="49"/>
        <v>0</v>
      </c>
      <c r="AR17" s="43">
        <f t="shared" si="49"/>
        <v>0</v>
      </c>
      <c r="AS17" s="43">
        <f t="shared" si="49"/>
        <v>0</v>
      </c>
      <c r="AT17" s="43">
        <f t="shared" si="49"/>
        <v>-24.290439631790946</v>
      </c>
      <c r="AU17" s="43">
        <f t="shared" si="49"/>
        <v>0</v>
      </c>
      <c r="AV17" s="43">
        <f t="shared" si="49"/>
        <v>0</v>
      </c>
      <c r="AW17" s="43">
        <f t="shared" si="49"/>
        <v>-39.881550486878169</v>
      </c>
      <c r="AX17" s="43">
        <f t="shared" si="49"/>
        <v>0</v>
      </c>
      <c r="AY17" s="43">
        <f t="shared" si="49"/>
        <v>0</v>
      </c>
      <c r="AZ17" s="43">
        <f t="shared" si="49"/>
        <v>0</v>
      </c>
      <c r="BA17" s="44">
        <f t="shared" si="49"/>
        <v>0</v>
      </c>
      <c r="BB17" s="128">
        <f t="shared" si="34"/>
        <v>37043</v>
      </c>
      <c r="BC17" s="44">
        <f t="shared" si="41"/>
        <v>-50.734501784154276</v>
      </c>
      <c r="BD17" s="51"/>
      <c r="BE17" s="128">
        <f t="shared" si="35"/>
        <v>37043</v>
      </c>
      <c r="BF17" s="43">
        <f t="shared" ref="BF17:BR26" si="50">SUMIF($X:$X,CONCATENATE($AN17,BF$6),$W:$W)</f>
        <v>95820.211785420586</v>
      </c>
      <c r="BG17" s="43">
        <f t="shared" si="50"/>
        <v>0</v>
      </c>
      <c r="BH17" s="43">
        <f t="shared" si="50"/>
        <v>0</v>
      </c>
      <c r="BI17" s="43">
        <f t="shared" si="50"/>
        <v>0</v>
      </c>
      <c r="BJ17" s="43">
        <f t="shared" si="50"/>
        <v>0</v>
      </c>
      <c r="BK17" s="43">
        <f t="shared" si="50"/>
        <v>-49190.739316374194</v>
      </c>
      <c r="BL17" s="43">
        <f t="shared" si="50"/>
        <v>0</v>
      </c>
      <c r="BM17" s="43">
        <f t="shared" si="50"/>
        <v>0</v>
      </c>
      <c r="BN17" s="43">
        <f t="shared" si="50"/>
        <v>16108.663564226357</v>
      </c>
      <c r="BO17" s="43">
        <f t="shared" si="50"/>
        <v>0</v>
      </c>
      <c r="BP17" s="43">
        <f t="shared" si="50"/>
        <v>0</v>
      </c>
      <c r="BQ17" s="43">
        <f t="shared" si="50"/>
        <v>0</v>
      </c>
      <c r="BR17" s="44">
        <f t="shared" si="50"/>
        <v>0</v>
      </c>
      <c r="BS17" s="128">
        <f t="shared" si="36"/>
        <v>37043</v>
      </c>
      <c r="BT17" s="44">
        <f t="shared" si="37"/>
        <v>62738.136033272749</v>
      </c>
      <c r="BU17" s="474">
        <f t="shared" si="42"/>
        <v>6.2738136033272749</v>
      </c>
      <c r="BV17" s="51"/>
      <c r="BW17" s="51"/>
      <c r="BX17" s="51"/>
      <c r="BY17" s="51"/>
      <c r="BZ17" s="51"/>
      <c r="CA17" s="51"/>
      <c r="CB17" s="51"/>
      <c r="CC17" s="141">
        <f t="shared" si="43"/>
        <v>37012</v>
      </c>
      <c r="CD17" s="234">
        <f>_xll.xSPRDOPT((VLOOKUP(G17,NGPrices,2,FALSE)+HLOOKUP(D17,Prices,VLOOKUP(G17,move_down,2,FALSE),FALSE)),VLOOKUP(G17,NGPrices,2,FALSE),I17,VLOOKUP(G17,NGPREVPRICES,4,FALSE),HLOOKUP(D17,PREVVOLS,VLOOKUP(G17,MOVE_DOWN2,2,FALSE),FALSE),VLOOKUP(G17,NGPREVPRICES,3,FALSE),HLOOKUP(D17,Correllate,VLOOKUP(G17,CorMove,2,FALSE),FALSE),Q17-$CD$3,R17,$CD$5)*H17-CJ17</f>
        <v>0</v>
      </c>
      <c r="CE17" s="234">
        <f>_xll.xSPRDOPT((VLOOKUP(G17,NGPREVPRICES,2,FALSE)+HLOOKUP(D17,PREVCURVES,VLOOKUP(G17,MOVE_DOWN2,2,FALSE),FALSE)),VLOOKUP(G17,NGPREVPRICES,2,FALSE),CK17,VLOOKUP(G17,NGPrices,4,FALSE),HLOOKUP(D17,PREVVOLS,VLOOKUP(G17,MOVE_DOWN2,2,FALSE),FALSE),VLOOKUP(G17,NGPREVPRICES,3,FALSE),HLOOKUP(D17,Correllate,VLOOKUP(G17,CorMove,2,FALSE),FALSE),Q17-$CD$3,R17,$CJ$5)*H17-CJ17</f>
        <v>0</v>
      </c>
      <c r="CF17" s="10">
        <f t="shared" si="44"/>
        <v>-17.05476716576959</v>
      </c>
      <c r="CG17" s="234">
        <f>_xll.xSPRDOPT((VLOOKUP(G17,NGPREVPRICES,2,FALSE)+HLOOKUP(D17,PREVCURVES,VLOOKUP(G17,MOVE_DOWN2,2,FALSE),FALSE)),VLOOKUP(G17,NGPREVPRICES,2,FALSE),CK17,VLOOKUP(G17,NGPREVPRICES,4,FALSE),HLOOKUP(D17,VOLS,VLOOKUP(G17,move_down,2,FALSE),FALSE),VLOOKUP(G17,NGPrices,3,FALSE),HLOOKUP(D17,Correllate,VLOOKUP(G17,CorMove,2,FALSE),FALSE),Q17-$CD$3,R17,$CJ$5)*H17-CJ17</f>
        <v>0</v>
      </c>
      <c r="CH17" s="234">
        <f>_xll.xSPRDOPT((VLOOKUP(G17,NGPREVPRICES,2,FALSE)+HLOOKUP(D17,PREVCURVES,VLOOKUP(G17,MOVE_DOWN2,2,FALSE),FALSE)),VLOOKUP(G17,NGPREVPRICES,2,FALSE),CK17,VLOOKUP(G17,NGPREVPRICES,4,FALSE),HLOOKUP(D17,PREVVOLS,VLOOKUP(G17,MOVE_DOWN2,2,FALSE),FALSE),VLOOKUP(G17,NGPREVPRICES,3,FALSE),HLOOKUP(D17,Correllate,VLOOKUP(G17,CorMove,2,FALSE),FALSE),Q17-$C$3,R17,$CJ$5)*H17-CJ17</f>
        <v>-99.672151365273749</v>
      </c>
      <c r="CI17" s="234">
        <f t="shared" si="45"/>
        <v>-116.72691853104334</v>
      </c>
      <c r="CJ17" s="234">
        <f>_xll.xSPRDOPT((VLOOKUP(G17,NGPREVPRICES,2,FALSE)+HLOOKUP(D17,PREVCURVES,VLOOKUP(G17,MOVE_DOWN2,2,FALSE),FALSE)),VLOOKUP(G17,NGPREVPRICES,2,FALSE),CK17,VLOOKUP(G17,NGPREVPRICES,4,FALSE),HLOOKUP(D17,PREVVOLS,VLOOKUP(G17,MOVE_DOWN2,2,FALSE),FALSE),VLOOKUP(G17,NGPREVPRICES,3,FALSE),HLOOKUP(D17,Correllate,VLOOKUP(G17,CorMove,2,FALSE),FALSE),Q17-$CD$3,R17,$CJ$5)*H17</f>
        <v>87670.776524810892</v>
      </c>
      <c r="CK17" s="235">
        <f t="shared" si="46"/>
        <v>0.3</v>
      </c>
      <c r="CM17" t="str">
        <f t="shared" si="47"/>
        <v>37012Curve Shift/Gamma</v>
      </c>
      <c r="CN17" t="str">
        <f t="shared" si="19"/>
        <v>37012Rho</v>
      </c>
      <c r="CO17" t="str">
        <f t="shared" si="20"/>
        <v>37012Drift</v>
      </c>
      <c r="CP17" t="str">
        <f t="shared" si="21"/>
        <v>37012Vega</v>
      </c>
      <c r="CQ17" t="str">
        <f t="shared" si="22"/>
        <v>37012Theta</v>
      </c>
      <c r="CR17" s="385">
        <f t="shared" si="38"/>
        <v>37043</v>
      </c>
      <c r="CS17" s="386">
        <f>SUMIF($CM$7:$CM$631,CONCATENATE($CR17,$CS$6),$CD$7:$CD$631)</f>
        <v>0</v>
      </c>
      <c r="CT17" s="239">
        <f t="shared" si="24"/>
        <v>0</v>
      </c>
      <c r="CU17" s="239">
        <f t="shared" si="25"/>
        <v>-22.116566819913714</v>
      </c>
      <c r="CV17" s="239">
        <f t="shared" si="26"/>
        <v>0</v>
      </c>
      <c r="CW17" s="249">
        <f t="shared" si="27"/>
        <v>-155.51581788740077</v>
      </c>
      <c r="CX17" s="240">
        <f t="shared" si="39"/>
        <v>-177.63238470731449</v>
      </c>
      <c r="CZ17" s="385">
        <f t="shared" si="40"/>
        <v>37043</v>
      </c>
      <c r="DA17" s="386">
        <f t="shared" si="28"/>
        <v>0</v>
      </c>
      <c r="DB17" s="239">
        <f t="shared" si="29"/>
        <v>0</v>
      </c>
      <c r="DC17" s="239">
        <f t="shared" si="30"/>
        <v>-89.197571588669234</v>
      </c>
      <c r="DD17" s="239">
        <f t="shared" si="31"/>
        <v>0</v>
      </c>
      <c r="DE17" s="249">
        <f t="shared" si="32"/>
        <v>-860.90991612727521</v>
      </c>
      <c r="DF17" s="240">
        <f t="shared" si="48"/>
        <v>-950.10748771594444</v>
      </c>
    </row>
    <row r="18" spans="1:110" ht="12" customHeight="1" x14ac:dyDescent="0.25">
      <c r="A18" s="382" t="s">
        <v>267</v>
      </c>
      <c r="B18" s="7" t="s">
        <v>250</v>
      </c>
      <c r="C18" s="7" t="s">
        <v>402</v>
      </c>
      <c r="D18" s="4" t="s">
        <v>7</v>
      </c>
      <c r="E18" s="4" t="s">
        <v>20</v>
      </c>
      <c r="F18" s="5" t="s">
        <v>21</v>
      </c>
      <c r="G18" s="5">
        <v>36982</v>
      </c>
      <c r="H18" s="130">
        <v>500000</v>
      </c>
      <c r="I18" s="4">
        <v>0.3</v>
      </c>
      <c r="J18" s="53">
        <f t="shared" si="1"/>
        <v>3.9380000000000002</v>
      </c>
      <c r="K18" s="7">
        <f t="shared" si="2"/>
        <v>0.52</v>
      </c>
      <c r="L18" s="53">
        <f t="shared" si="3"/>
        <v>4.4580000000000002</v>
      </c>
      <c r="M18" s="157">
        <f t="shared" si="4"/>
        <v>6.9061726541120999E-2</v>
      </c>
      <c r="N18" s="4">
        <f t="shared" si="5"/>
        <v>0.4425</v>
      </c>
      <c r="O18" s="4">
        <f t="shared" si="6"/>
        <v>0.434</v>
      </c>
      <c r="P18" s="9">
        <f t="shared" si="7"/>
        <v>0.9738</v>
      </c>
      <c r="Q18" s="5">
        <f t="shared" si="8"/>
        <v>36979</v>
      </c>
      <c r="R18" s="4">
        <f t="shared" si="9"/>
        <v>1</v>
      </c>
      <c r="S18" s="158">
        <f>_xll.xSPRDOPT($L18,$J18,$I18,$M18,$O18,$N18,$P18,$Q18-$C$3,$R18,0)</f>
        <v>0.25925584810545693</v>
      </c>
      <c r="T18" s="159">
        <f>_xll.xSPRDOPT($L18,$J18,$I18,$M18,$O18,$N18,$P18,$Q18-$C$3,$R18,1)*H18</f>
        <v>364971.28064033535</v>
      </c>
      <c r="U18" s="160">
        <f t="shared" si="10"/>
        <v>129627.92405272847</v>
      </c>
      <c r="V18" s="159">
        <f>_xll.xSPRDOPT($L18,$J18,$I18,$M18,$O18,$N18,$P18,$Q18-$C$3,$R18,2)*H18</f>
        <v>-353848.00976006425</v>
      </c>
      <c r="W18" s="159">
        <f t="shared" si="11"/>
        <v>11123.270880271099</v>
      </c>
      <c r="X18" s="51" t="str">
        <f t="shared" si="12"/>
        <v>36982IF-TRANSCO/Z6</v>
      </c>
      <c r="Y18" s="418">
        <f t="shared" si="13"/>
        <v>50</v>
      </c>
      <c r="Z18" s="456">
        <f t="shared" si="14"/>
        <v>0.7299425612806707</v>
      </c>
      <c r="AA18" s="456">
        <f>_xll.xSPRDOPT($L18,$J18,$I18,$M18,$O18,$N18,$P18,$Q18-$C$3,$R18,3)</f>
        <v>0.88242485183694386</v>
      </c>
      <c r="AB18" s="456">
        <f>((_xll.xSPRDOPT($L18+AB$5,$J18,$I18,$M18,$O18,$N18,$P18,$Q18-$C$3,$R18,3)*$H18)/10000)/100</f>
        <v>0.44121242591847193</v>
      </c>
      <c r="AC18" s="456">
        <f>((_xll.xSPRDOPT($L18+$AB$5,$J18,$I18,$M18,$O18,$N18,$P18,$Q18-$C$3,$R18,7)*$H18)/100)</f>
        <v>-9067.5258406992325</v>
      </c>
      <c r="AD18" s="456">
        <f>(_xll.xSPRDOPT($L18+$AB$5,$J18,$I18,$M18,$O18,$N18,$P18,$Q18-$C$3,$R18,9)/365)*$H18</f>
        <v>-95.513211308164017</v>
      </c>
      <c r="AE18">
        <f t="shared" si="15"/>
        <v>0</v>
      </c>
      <c r="AF18" s="456">
        <f t="shared" si="16"/>
        <v>1149.4277946059303</v>
      </c>
      <c r="AG18" s="456">
        <f>((_xll.xSPRDOPT($L18,$J18,$I18,$M18,$O18,$N18,$P18,$Q18-$C$3,$R18,6)*$H18)/100)</f>
        <v>-560.03597513925411</v>
      </c>
      <c r="AH18" s="456">
        <f>((_xll.xSPRDOPT($L18,$J18,$I18,$M18,$O18,$N18,$P18,$Q18-$C$3,$R18,5)*$H18)/100)</f>
        <v>1742.9440509498713</v>
      </c>
      <c r="AI18" s="456">
        <f>(((_xll.xSPRDOPT($L18,$J18,$I18,$M18,$O18,$N18,$P18,$Q18-$C$3,$R18,4)*$H18)/10000)/100)-AB18</f>
        <v>4.5720233568642188E-2</v>
      </c>
      <c r="AJ18" s="456"/>
      <c r="AK18" s="456"/>
      <c r="AL18" s="456"/>
      <c r="AM18" s="472"/>
      <c r="AN18" s="128">
        <f t="shared" si="33"/>
        <v>37073</v>
      </c>
      <c r="AO18" s="43">
        <f t="shared" si="49"/>
        <v>37.401260314473781</v>
      </c>
      <c r="AP18" s="43">
        <f t="shared" si="49"/>
        <v>0</v>
      </c>
      <c r="AQ18" s="43">
        <f t="shared" si="49"/>
        <v>0</v>
      </c>
      <c r="AR18" s="43">
        <f t="shared" si="49"/>
        <v>0</v>
      </c>
      <c r="AS18" s="43">
        <f t="shared" si="49"/>
        <v>0</v>
      </c>
      <c r="AT18" s="43">
        <f t="shared" si="49"/>
        <v>-60.042568343095795</v>
      </c>
      <c r="AU18" s="43">
        <f t="shared" si="49"/>
        <v>0</v>
      </c>
      <c r="AV18" s="43">
        <f t="shared" si="49"/>
        <v>0</v>
      </c>
      <c r="AW18" s="43">
        <f t="shared" si="49"/>
        <v>-37.768942393595005</v>
      </c>
      <c r="AX18" s="43">
        <f t="shared" si="49"/>
        <v>0</v>
      </c>
      <c r="AY18" s="43">
        <f t="shared" si="49"/>
        <v>0</v>
      </c>
      <c r="AZ18" s="43">
        <f t="shared" si="49"/>
        <v>0</v>
      </c>
      <c r="BA18" s="44">
        <f t="shared" si="49"/>
        <v>0</v>
      </c>
      <c r="BB18" s="128">
        <f t="shared" si="34"/>
        <v>37073</v>
      </c>
      <c r="BC18" s="44">
        <f t="shared" si="41"/>
        <v>-60.410250422217018</v>
      </c>
      <c r="BD18" s="51"/>
      <c r="BE18" s="128">
        <f t="shared" si="35"/>
        <v>37073</v>
      </c>
      <c r="BF18" s="43">
        <f t="shared" si="50"/>
        <v>97862.074208627004</v>
      </c>
      <c r="BG18" s="43">
        <f t="shared" si="50"/>
        <v>0</v>
      </c>
      <c r="BH18" s="43">
        <f t="shared" si="50"/>
        <v>0</v>
      </c>
      <c r="BI18" s="43">
        <f t="shared" si="50"/>
        <v>0</v>
      </c>
      <c r="BJ18" s="43">
        <f t="shared" si="50"/>
        <v>0</v>
      </c>
      <c r="BK18" s="43">
        <f t="shared" si="50"/>
        <v>-82580.175475074066</v>
      </c>
      <c r="BL18" s="43">
        <f t="shared" si="50"/>
        <v>0</v>
      </c>
      <c r="BM18" s="43">
        <f t="shared" si="50"/>
        <v>0</v>
      </c>
      <c r="BN18" s="43">
        <f t="shared" si="50"/>
        <v>16636.380765418115</v>
      </c>
      <c r="BO18" s="43">
        <f t="shared" si="50"/>
        <v>0</v>
      </c>
      <c r="BP18" s="43">
        <f t="shared" si="50"/>
        <v>0</v>
      </c>
      <c r="BQ18" s="43">
        <f t="shared" si="50"/>
        <v>0</v>
      </c>
      <c r="BR18" s="44">
        <f t="shared" si="50"/>
        <v>0</v>
      </c>
      <c r="BS18" s="128">
        <f t="shared" si="36"/>
        <v>37073</v>
      </c>
      <c r="BT18" s="44">
        <f t="shared" si="37"/>
        <v>31918.279498971053</v>
      </c>
      <c r="BU18" s="474">
        <f t="shared" si="42"/>
        <v>3.1918279498971054</v>
      </c>
      <c r="BV18" s="51"/>
      <c r="BW18" s="51"/>
      <c r="BX18" s="51"/>
      <c r="BY18" s="51"/>
      <c r="BZ18" s="51"/>
      <c r="CA18" s="51"/>
      <c r="CB18" s="51"/>
      <c r="CC18" s="141">
        <f t="shared" si="43"/>
        <v>36982</v>
      </c>
      <c r="CD18" s="234">
        <f>_xll.xSPRDOPT((VLOOKUP(G18,NGPrices,2,FALSE)+HLOOKUP(D18,Prices,VLOOKUP(G18,move_down,2,FALSE),FALSE)),VLOOKUP(G18,NGPrices,2,FALSE),I18,VLOOKUP(G18,NGPREVPRICES,4,FALSE),HLOOKUP(D18,PREVVOLS,VLOOKUP(G18,MOVE_DOWN2,2,FALSE),FALSE),VLOOKUP(G18,NGPREVPRICES,3,FALSE),HLOOKUP(D18,Correllate,VLOOKUP(G18,CorMove,2,FALSE),FALSE),Q18-$CD$3,R18,$CD$5)*H18-CJ18</f>
        <v>0</v>
      </c>
      <c r="CE18" s="234">
        <f>_xll.xSPRDOPT((VLOOKUP(G18,NGPREVPRICES,2,FALSE)+HLOOKUP(D18,PREVCURVES,VLOOKUP(G18,MOVE_DOWN2,2,FALSE),FALSE)),VLOOKUP(G18,NGPREVPRICES,2,FALSE),CK18,VLOOKUP(G18,NGPrices,4,FALSE),HLOOKUP(D18,PREVVOLS,VLOOKUP(G18,MOVE_DOWN2,2,FALSE),FALSE),VLOOKUP(G18,NGPREVPRICES,3,FALSE),HLOOKUP(D18,Correllate,VLOOKUP(G18,CorMove,2,FALSE),FALSE),Q18-$CD$3,R18,$CJ$5)*H18-CJ18</f>
        <v>0</v>
      </c>
      <c r="CF18" s="10">
        <f t="shared" si="44"/>
        <v>-25.082785961712943</v>
      </c>
      <c r="CG18" s="234">
        <f>_xll.xSPRDOPT((VLOOKUP(G18,NGPREVPRICES,2,FALSE)+HLOOKUP(D18,PREVCURVES,VLOOKUP(G18,MOVE_DOWN2,2,FALSE),FALSE)),VLOOKUP(G18,NGPREVPRICES,2,FALSE),CK18,VLOOKUP(G18,NGPREVPRICES,4,FALSE),HLOOKUP(D18,VOLS,VLOOKUP(G18,move_down,2,FALSE),FALSE),VLOOKUP(G18,NGPrices,3,FALSE),HLOOKUP(D18,Correllate,VLOOKUP(G18,CorMove,2,FALSE),FALSE),Q18-$CD$3,R18,$CJ$5)*H18-CJ18</f>
        <v>0</v>
      </c>
      <c r="CH18" s="234">
        <f>_xll.xSPRDOPT((VLOOKUP(G18,NGPREVPRICES,2,FALSE)+HLOOKUP(D18,PREVCURVES,VLOOKUP(G18,MOVE_DOWN2,2,FALSE),FALSE)),VLOOKUP(G18,NGPREVPRICES,2,FALSE),CK18,VLOOKUP(G18,NGPREVPRICES,4,FALSE),HLOOKUP(D18,PREVVOLS,VLOOKUP(G18,MOVE_DOWN2,2,FALSE),FALSE),VLOOKUP(G18,NGPREVPRICES,3,FALSE),HLOOKUP(D18,Correllate,VLOOKUP(G18,CorMove,2,FALSE),FALSE),Q18-$C$3,R18,$CJ$5)*H18-CJ18</f>
        <v>-95.351157897603116</v>
      </c>
      <c r="CI18" s="234">
        <f t="shared" si="45"/>
        <v>-120.43394385931606</v>
      </c>
      <c r="CJ18" s="234">
        <f>_xll.xSPRDOPT((VLOOKUP(G18,NGPREVPRICES,2,FALSE)+HLOOKUP(D18,PREVCURVES,VLOOKUP(G18,MOVE_DOWN2,2,FALSE),FALSE)),VLOOKUP(G18,NGPREVPRICES,2,FALSE),CK18,VLOOKUP(G18,NGPREVPRICES,4,FALSE),HLOOKUP(D18,PREVVOLS,VLOOKUP(G18,MOVE_DOWN2,2,FALSE),FALSE),VLOOKUP(G18,NGPREVPRICES,3,FALSE),HLOOKUP(D18,Correllate,VLOOKUP(G18,CorMove,2,FALSE),FALSE),Q18-$CD$3,R18,$CJ$5)*H18</f>
        <v>129723.27521062607</v>
      </c>
      <c r="CK18" s="235">
        <f t="shared" si="46"/>
        <v>0.3</v>
      </c>
      <c r="CM18" t="str">
        <f t="shared" si="47"/>
        <v>36982Curve Shift/Gamma</v>
      </c>
      <c r="CN18" t="str">
        <f t="shared" si="19"/>
        <v>36982Rho</v>
      </c>
      <c r="CO18" t="str">
        <f t="shared" si="20"/>
        <v>36982Drift</v>
      </c>
      <c r="CP18" t="str">
        <f t="shared" si="21"/>
        <v>36982Vega</v>
      </c>
      <c r="CQ18" t="str">
        <f t="shared" si="22"/>
        <v>36982Theta</v>
      </c>
      <c r="CR18" s="385">
        <f t="shared" si="38"/>
        <v>37073</v>
      </c>
      <c r="CS18" s="386">
        <f t="shared" si="23"/>
        <v>0</v>
      </c>
      <c r="CT18" s="239">
        <f t="shared" si="24"/>
        <v>0</v>
      </c>
      <c r="CU18" s="239">
        <f t="shared" si="25"/>
        <v>-28.870162892337248</v>
      </c>
      <c r="CV18" s="239">
        <f t="shared" si="26"/>
        <v>0</v>
      </c>
      <c r="CW18" s="249">
        <f t="shared" si="27"/>
        <v>-139.00080755335512</v>
      </c>
      <c r="CX18" s="240">
        <f t="shared" si="39"/>
        <v>-167.87097044569236</v>
      </c>
      <c r="CZ18" s="385">
        <f t="shared" si="40"/>
        <v>37073</v>
      </c>
      <c r="DA18" s="386">
        <f t="shared" si="28"/>
        <v>0</v>
      </c>
      <c r="DB18" s="239">
        <f t="shared" si="29"/>
        <v>0</v>
      </c>
      <c r="DC18" s="239">
        <f t="shared" si="30"/>
        <v>-96.807020560903766</v>
      </c>
      <c r="DD18" s="239">
        <f t="shared" si="31"/>
        <v>0</v>
      </c>
      <c r="DE18" s="249">
        <f t="shared" si="32"/>
        <v>-793.22029224249127</v>
      </c>
      <c r="DF18" s="240">
        <f t="shared" si="48"/>
        <v>-890.02731280339503</v>
      </c>
    </row>
    <row r="19" spans="1:110" ht="12" customHeight="1" x14ac:dyDescent="0.25">
      <c r="A19" s="382" t="s">
        <v>267</v>
      </c>
      <c r="B19" s="7" t="s">
        <v>250</v>
      </c>
      <c r="C19" s="7" t="s">
        <v>402</v>
      </c>
      <c r="D19" s="4" t="s">
        <v>7</v>
      </c>
      <c r="E19" s="4" t="s">
        <v>20</v>
      </c>
      <c r="F19" s="5" t="s">
        <v>21</v>
      </c>
      <c r="G19" s="5">
        <v>36800</v>
      </c>
      <c r="H19" s="130">
        <v>500000</v>
      </c>
      <c r="I19" s="4">
        <v>0.3</v>
      </c>
      <c r="J19" s="53">
        <f t="shared" si="1"/>
        <v>4.6920000000000002</v>
      </c>
      <c r="K19" s="7">
        <f t="shared" si="2"/>
        <v>0.41499999999999998</v>
      </c>
      <c r="L19" s="53">
        <f t="shared" si="3"/>
        <v>5.1070000000000002</v>
      </c>
      <c r="M19" s="157">
        <f t="shared" si="4"/>
        <v>6.8050789414654006E-2</v>
      </c>
      <c r="N19" s="4">
        <f t="shared" si="5"/>
        <v>0.57499999999999996</v>
      </c>
      <c r="O19" s="4">
        <f t="shared" si="6"/>
        <v>0.56399999999999995</v>
      </c>
      <c r="P19" s="9">
        <f t="shared" si="7"/>
        <v>0.99250000000000005</v>
      </c>
      <c r="Q19" s="5">
        <f t="shared" si="8"/>
        <v>36797</v>
      </c>
      <c r="R19" s="4">
        <f t="shared" si="9"/>
        <v>1</v>
      </c>
      <c r="S19" s="158">
        <f>_xll.xSPRDOPT($L19,$J19,$I19,$M19,$O19,$N19,$P19,$Q19-$C$3,$R19,0)</f>
        <v>0.12139395717149579</v>
      </c>
      <c r="T19" s="159">
        <f>_xll.xSPRDOPT($L19,$J19,$I19,$M19,$O19,$N19,$P19,$Q19-$C$3,$R19,1)*H19</f>
        <v>431744.94557348191</v>
      </c>
      <c r="U19" s="160">
        <f t="shared" si="10"/>
        <v>60696.978585747893</v>
      </c>
      <c r="V19" s="159">
        <f>_xll.xSPRDOPT($L19,$J19,$I19,$M19,$O19,$N19,$P19,$Q19-$C$3,$R19,2)*H19</f>
        <v>-429856.97420136532</v>
      </c>
      <c r="W19" s="159">
        <f t="shared" si="11"/>
        <v>1887.9713721165899</v>
      </c>
      <c r="X19" s="51" t="str">
        <f t="shared" si="12"/>
        <v>36800IF-TRANSCO/Z6</v>
      </c>
      <c r="Y19" s="418">
        <f t="shared" si="13"/>
        <v>50</v>
      </c>
      <c r="Z19" s="456">
        <f t="shared" si="14"/>
        <v>0.86348989114696384</v>
      </c>
      <c r="AA19" s="456">
        <f>_xll.xSPRDOPT($L19,$J19,$I19,$M19,$O19,$N19,$P19,$Q19-$C$3,$R19,3)</f>
        <v>2.0096109927708925</v>
      </c>
      <c r="AB19" s="456">
        <f>((_xll.xSPRDOPT($L19+AB$5,$J19,$I19,$M19,$O19,$N19,$P19,$Q19-$C$3,$R19,3)*$H19)/10000)/100</f>
        <v>1.0048054963854463</v>
      </c>
      <c r="AC19" s="456">
        <f>((_xll.xSPRDOPT($L19+$AB$5,$J19,$I19,$M19,$O19,$N19,$P19,$Q19-$C$3,$R19,7)*$H19)/100)</f>
        <v>-6541.4528276173305</v>
      </c>
      <c r="AD19" s="456">
        <f>(_xll.xSPRDOPT($L19+$AB$5,$J19,$I19,$M19,$O19,$N19,$P19,$Q19-$C$3,$R19,9)/365)*$H19</f>
        <v>-176.17699302540339</v>
      </c>
      <c r="AE19">
        <f t="shared" si="15"/>
        <v>0</v>
      </c>
      <c r="AF19" s="456">
        <f t="shared" si="16"/>
        <v>195.51134504354189</v>
      </c>
      <c r="AG19" s="456">
        <f>((_xll.xSPRDOPT($L19,$J19,$I19,$M19,$O19,$N19,$P19,$Q19-$C$3,$R19,6)*$H19)/100)</f>
        <v>-421.21434066142166</v>
      </c>
      <c r="AH19" s="456">
        <f>((_xll.xSPRDOPT($L19,$J19,$I19,$M19,$O19,$N19,$P19,$Q19-$C$3,$R19,5)*$H19)/100)</f>
        <v>628.75402354672701</v>
      </c>
      <c r="AI19" s="456">
        <f>(((_xll.xSPRDOPT($L19,$J19,$I19,$M19,$O19,$N19,$P19,$Q19-$C$3,$R19,4)*$H19)/10000)/100)-AB19</f>
        <v>4.0668676914924706E-2</v>
      </c>
      <c r="AJ19" s="456"/>
      <c r="AK19" s="456"/>
      <c r="AL19" s="456"/>
      <c r="AM19" s="472"/>
      <c r="AN19" s="128">
        <f t="shared" si="33"/>
        <v>37104</v>
      </c>
      <c r="AO19" s="43">
        <f t="shared" si="49"/>
        <v>36.031664818137187</v>
      </c>
      <c r="AP19" s="43">
        <f t="shared" si="49"/>
        <v>0</v>
      </c>
      <c r="AQ19" s="43">
        <f t="shared" si="49"/>
        <v>0</v>
      </c>
      <c r="AR19" s="43">
        <f t="shared" si="49"/>
        <v>0</v>
      </c>
      <c r="AS19" s="43">
        <f t="shared" si="49"/>
        <v>0</v>
      </c>
      <c r="AT19" s="43">
        <f t="shared" si="49"/>
        <v>-63.627657299640219</v>
      </c>
      <c r="AU19" s="43">
        <f t="shared" si="49"/>
        <v>0</v>
      </c>
      <c r="AV19" s="43">
        <f t="shared" si="49"/>
        <v>0</v>
      </c>
      <c r="AW19" s="43">
        <f t="shared" si="49"/>
        <v>-37.876077526752063</v>
      </c>
      <c r="AX19" s="43">
        <f t="shared" si="49"/>
        <v>0</v>
      </c>
      <c r="AY19" s="43">
        <f t="shared" si="49"/>
        <v>0</v>
      </c>
      <c r="AZ19" s="43">
        <f t="shared" si="49"/>
        <v>0</v>
      </c>
      <c r="BA19" s="44">
        <f t="shared" si="49"/>
        <v>0</v>
      </c>
      <c r="BB19" s="128">
        <f t="shared" si="34"/>
        <v>37104</v>
      </c>
      <c r="BC19" s="44">
        <f t="shared" si="41"/>
        <v>-65.472070008255088</v>
      </c>
      <c r="BD19" s="51"/>
      <c r="BE19" s="128">
        <f t="shared" si="35"/>
        <v>37104</v>
      </c>
      <c r="BF19" s="43">
        <f t="shared" si="50"/>
        <v>102857.27352384116</v>
      </c>
      <c r="BG19" s="43">
        <f t="shared" si="50"/>
        <v>0</v>
      </c>
      <c r="BH19" s="43">
        <f t="shared" si="50"/>
        <v>0</v>
      </c>
      <c r="BI19" s="43">
        <f t="shared" si="50"/>
        <v>0</v>
      </c>
      <c r="BJ19" s="43">
        <f t="shared" si="50"/>
        <v>0</v>
      </c>
      <c r="BK19" s="43">
        <f t="shared" si="50"/>
        <v>-87624.50073685823</v>
      </c>
      <c r="BL19" s="43">
        <f t="shared" si="50"/>
        <v>0</v>
      </c>
      <c r="BM19" s="43">
        <f t="shared" si="50"/>
        <v>0</v>
      </c>
      <c r="BN19" s="43">
        <f t="shared" si="50"/>
        <v>17434.844472358644</v>
      </c>
      <c r="BO19" s="43">
        <f t="shared" si="50"/>
        <v>0</v>
      </c>
      <c r="BP19" s="43">
        <f t="shared" si="50"/>
        <v>0</v>
      </c>
      <c r="BQ19" s="43">
        <f t="shared" si="50"/>
        <v>0</v>
      </c>
      <c r="BR19" s="44">
        <f t="shared" si="50"/>
        <v>0</v>
      </c>
      <c r="BS19" s="128">
        <f t="shared" si="36"/>
        <v>37104</v>
      </c>
      <c r="BT19" s="44">
        <f t="shared" si="37"/>
        <v>32667.617259341569</v>
      </c>
      <c r="BU19" s="474">
        <f t="shared" si="42"/>
        <v>3.266761725934157</v>
      </c>
      <c r="BV19" s="51"/>
      <c r="BW19" s="51"/>
      <c r="BX19" s="51"/>
      <c r="BY19" s="51"/>
      <c r="BZ19" s="51"/>
      <c r="CA19" s="51"/>
      <c r="CB19" s="51"/>
      <c r="CC19" s="141">
        <f t="shared" si="43"/>
        <v>36800</v>
      </c>
      <c r="CD19" s="234">
        <f>_xll.xSPRDOPT((VLOOKUP(G19,NGPrices,2,FALSE)+HLOOKUP(D19,Prices,VLOOKUP(G19,move_down,2,FALSE),FALSE)),VLOOKUP(G19,NGPrices,2,FALSE),I19,VLOOKUP(G19,NGPREVPRICES,4,FALSE),HLOOKUP(D19,PREVVOLS,VLOOKUP(G19,MOVE_DOWN2,2,FALSE),FALSE),VLOOKUP(G19,NGPREVPRICES,3,FALSE),HLOOKUP(D19,Correllate,VLOOKUP(G19,CorMove,2,FALSE),FALSE),Q19-$CD$3,R19,$CD$5)*H19-CJ19</f>
        <v>0</v>
      </c>
      <c r="CE19" s="234">
        <f>_xll.xSPRDOPT((VLOOKUP(G19,NGPREVPRICES,2,FALSE)+HLOOKUP(D19,PREVCURVES,VLOOKUP(G19,MOVE_DOWN2,2,FALSE),FALSE)),VLOOKUP(G19,NGPREVPRICES,2,FALSE),CK19,VLOOKUP(G19,NGPrices,4,FALSE),HLOOKUP(D19,PREVVOLS,VLOOKUP(G19,MOVE_DOWN2,2,FALSE),FALSE),VLOOKUP(G19,NGPREVPRICES,3,FALSE),HLOOKUP(D19,Correllate,VLOOKUP(G19,CorMove,2,FALSE),FALSE),Q19-$CD$3,R19,$CJ$5)*H19-CJ19</f>
        <v>0</v>
      </c>
      <c r="CF19" s="10">
        <f t="shared" si="44"/>
        <v>-11.222349121664593</v>
      </c>
      <c r="CG19" s="234">
        <f>_xll.xSPRDOPT((VLOOKUP(G19,NGPREVPRICES,2,FALSE)+HLOOKUP(D19,PREVCURVES,VLOOKUP(G19,MOVE_DOWN2,2,FALSE),FALSE)),VLOOKUP(G19,NGPREVPRICES,2,FALSE),CK19,VLOOKUP(G19,NGPREVPRICES,4,FALSE),HLOOKUP(D19,VOLS,VLOOKUP(G19,move_down,2,FALSE),FALSE),VLOOKUP(G19,NGPrices,3,FALSE),HLOOKUP(D19,Correllate,VLOOKUP(G19,CorMove,2,FALSE),FALSE),Q19-$CD$3,R19,$CJ$5)*H19-CJ19</f>
        <v>0</v>
      </c>
      <c r="CH19" s="234">
        <f>_xll.xSPRDOPT((VLOOKUP(G19,NGPREVPRICES,2,FALSE)+HLOOKUP(D19,PREVCURVES,VLOOKUP(G19,MOVE_DOWN2,2,FALSE),FALSE)),VLOOKUP(G19,NGPREVPRICES,2,FALSE),CK19,VLOOKUP(G19,NGPREVPRICES,4,FALSE),HLOOKUP(D19,PREVVOLS,VLOOKUP(G19,MOVE_DOWN2,2,FALSE),FALSE),VLOOKUP(G19,NGPREVPRICES,3,FALSE),HLOOKUP(D19,Correllate,VLOOKUP(G19,CorMove,2,FALSE),FALSE),Q19-$C$3,R19,$CJ$5)*H19-CJ19</f>
        <v>-176.3589589076073</v>
      </c>
      <c r="CI19" s="234">
        <f t="shared" si="45"/>
        <v>-187.5813080292719</v>
      </c>
      <c r="CJ19" s="234">
        <f>_xll.xSPRDOPT((VLOOKUP(G19,NGPREVPRICES,2,FALSE)+HLOOKUP(D19,PREVCURVES,VLOOKUP(G19,MOVE_DOWN2,2,FALSE),FALSE)),VLOOKUP(G19,NGPREVPRICES,2,FALSE),CK19,VLOOKUP(G19,NGPREVPRICES,4,FALSE),HLOOKUP(D19,PREVVOLS,VLOOKUP(G19,MOVE_DOWN2,2,FALSE),FALSE),VLOOKUP(G19,NGPREVPRICES,3,FALSE),HLOOKUP(D19,Correllate,VLOOKUP(G19,CorMove,2,FALSE),FALSE),Q19-$CD$3,R19,$CJ$5)*H19</f>
        <v>60873.3375446555</v>
      </c>
      <c r="CK19" s="235">
        <f t="shared" si="46"/>
        <v>0.3</v>
      </c>
      <c r="CM19" t="str">
        <f t="shared" si="47"/>
        <v>36800Curve Shift/Gamma</v>
      </c>
      <c r="CN19" t="str">
        <f t="shared" si="19"/>
        <v>36800Rho</v>
      </c>
      <c r="CO19" t="str">
        <f t="shared" si="20"/>
        <v>36800Drift</v>
      </c>
      <c r="CP19" t="str">
        <f t="shared" si="21"/>
        <v>36800Vega</v>
      </c>
      <c r="CQ19" t="str">
        <f t="shared" si="22"/>
        <v>36800Theta</v>
      </c>
      <c r="CR19" s="385">
        <f t="shared" si="38"/>
        <v>37104</v>
      </c>
      <c r="CS19" s="386">
        <f t="shared" si="23"/>
        <v>0</v>
      </c>
      <c r="CT19" s="239">
        <f t="shared" si="24"/>
        <v>0</v>
      </c>
      <c r="CU19" s="239">
        <f t="shared" si="25"/>
        <v>-29.921935720340116</v>
      </c>
      <c r="CV19" s="239">
        <f t="shared" si="26"/>
        <v>0</v>
      </c>
      <c r="CW19" s="249">
        <f t="shared" si="27"/>
        <v>-130.36665462402016</v>
      </c>
      <c r="CX19" s="240">
        <f t="shared" si="39"/>
        <v>-160.28859034436027</v>
      </c>
      <c r="CZ19" s="385">
        <f t="shared" si="40"/>
        <v>37104</v>
      </c>
      <c r="DA19" s="386">
        <f t="shared" si="28"/>
        <v>0</v>
      </c>
      <c r="DB19" s="239">
        <f t="shared" si="29"/>
        <v>0</v>
      </c>
      <c r="DC19" s="239">
        <f t="shared" si="30"/>
        <v>-102.38887429377428</v>
      </c>
      <c r="DD19" s="239">
        <f t="shared" si="31"/>
        <v>0</v>
      </c>
      <c r="DE19" s="249">
        <f t="shared" si="32"/>
        <v>-745.78053029722651</v>
      </c>
      <c r="DF19" s="240">
        <f t="shared" si="48"/>
        <v>-848.16940459100078</v>
      </c>
    </row>
    <row r="20" spans="1:110" ht="12" customHeight="1" x14ac:dyDescent="0.25">
      <c r="A20" s="382" t="s">
        <v>267</v>
      </c>
      <c r="B20" s="7" t="s">
        <v>250</v>
      </c>
      <c r="C20" s="7" t="s">
        <v>402</v>
      </c>
      <c r="D20" s="4" t="s">
        <v>7</v>
      </c>
      <c r="E20" s="4" t="s">
        <v>20</v>
      </c>
      <c r="F20" s="5" t="s">
        <v>21</v>
      </c>
      <c r="G20" s="5">
        <v>36770</v>
      </c>
      <c r="H20" s="130">
        <v>500000</v>
      </c>
      <c r="I20" s="4">
        <v>0.3</v>
      </c>
      <c r="J20" s="53">
        <f t="shared" si="1"/>
        <v>4.6849999999999996</v>
      </c>
      <c r="K20" s="7">
        <f t="shared" si="2"/>
        <v>0.315</v>
      </c>
      <c r="L20" s="53">
        <f t="shared" si="3"/>
        <v>5</v>
      </c>
      <c r="M20" s="157">
        <f t="shared" si="4"/>
        <v>6.7216196212184998E-2</v>
      </c>
      <c r="N20" s="4">
        <f t="shared" si="5"/>
        <v>0.4</v>
      </c>
      <c r="O20" s="4">
        <f t="shared" si="6"/>
        <v>0.39200000000000002</v>
      </c>
      <c r="P20" s="9">
        <f t="shared" si="7"/>
        <v>0.99250000000000005</v>
      </c>
      <c r="Q20" s="5">
        <f t="shared" si="8"/>
        <v>36768</v>
      </c>
      <c r="R20" s="4">
        <f t="shared" si="9"/>
        <v>1</v>
      </c>
      <c r="S20" s="158">
        <f>_xll.xSPRDOPT($L20,$J20,$I20,$M20,$O20,$N20,$P20,$Q20-$C$3,$R20,0)</f>
        <v>1.5795122529349635E-2</v>
      </c>
      <c r="T20" s="159">
        <f>_xll.xSPRDOPT($L20,$J20,$I20,$M20,$O20,$N20,$P20,$Q20-$C$3,$R20,1)*H20</f>
        <v>438083.44577005197</v>
      </c>
      <c r="U20" s="160">
        <f t="shared" si="10"/>
        <v>7897.5612646748177</v>
      </c>
      <c r="V20" s="159">
        <f>_xll.xSPRDOPT($L20,$J20,$I20,$M20,$O20,$N20,$P20,$Q20-$C$3,$R20,2)*H20</f>
        <v>-437851.94212498743</v>
      </c>
      <c r="W20" s="159">
        <f t="shared" si="11"/>
        <v>231.50364506454207</v>
      </c>
      <c r="X20" s="51" t="str">
        <f t="shared" si="12"/>
        <v>36770IF-TRANSCO/Z6</v>
      </c>
      <c r="Y20" s="418">
        <f t="shared" si="13"/>
        <v>50</v>
      </c>
      <c r="Z20" s="456">
        <f t="shared" si="14"/>
        <v>0.87616689154010396</v>
      </c>
      <c r="AA20" s="456">
        <f>_xll.xSPRDOPT($L20,$J20,$I20,$M20,$O20,$N20,$P20,$Q20-$C$3,$R20,3)</f>
        <v>15.702680426473698</v>
      </c>
      <c r="AB20" s="456">
        <f>((_xll.xSPRDOPT($L20+AB$5,$J20,$I20,$M20,$O20,$N20,$P20,$Q20-$C$3,$R20,3)*$H20)/10000)/100</f>
        <v>7.8513402132368491</v>
      </c>
      <c r="AC20" s="456">
        <f>((_xll.xSPRDOPT($L20+$AB$5,$J20,$I20,$M20,$O20,$N20,$P20,$Q20-$C$3,$R20,7)*$H20)/100)</f>
        <v>-791.62007185750281</v>
      </c>
      <c r="AD20" s="456">
        <f>(_xll.xSPRDOPT($L20+$AB$5,$J20,$I20,$M20,$O20,$N20,$P20,$Q20-$C$3,$R20,9)/365)*$H20</f>
        <v>-663.4255964468615</v>
      </c>
      <c r="AE20">
        <f t="shared" si="15"/>
        <v>0</v>
      </c>
      <c r="AF20" s="456">
        <f t="shared" si="16"/>
        <v>33.221793307226378</v>
      </c>
      <c r="AG20" s="456">
        <f>((_xll.xSPRDOPT($L20,$J20,$I20,$M20,$O20,$N20,$P20,$Q20-$C$3,$R20,6)*$H20)/100)</f>
        <v>-67.028860913867845</v>
      </c>
      <c r="AH20" s="456">
        <f>((_xll.xSPRDOPT($L20,$J20,$I20,$M20,$O20,$N20,$P20,$Q20-$C$3,$R20,5)*$H20)/100)</f>
        <v>102.29658593989207</v>
      </c>
      <c r="AI20" s="456">
        <f>(((_xll.xSPRDOPT($L20,$J20,$I20,$M20,$O20,$N20,$P20,$Q20-$C$3,$R20,4)*$H20)/10000)/100)-AB20</f>
        <v>4.1244010285253374E-2</v>
      </c>
      <c r="AJ20" s="456"/>
      <c r="AK20" s="456"/>
      <c r="AL20" s="456"/>
      <c r="AM20" s="472"/>
      <c r="AN20" s="128">
        <f t="shared" si="33"/>
        <v>37135</v>
      </c>
      <c r="AO20" s="43">
        <f t="shared" si="49"/>
        <v>13.212148110809034</v>
      </c>
      <c r="AP20" s="43">
        <f t="shared" si="49"/>
        <v>0</v>
      </c>
      <c r="AQ20" s="43">
        <f t="shared" si="49"/>
        <v>0</v>
      </c>
      <c r="AR20" s="43">
        <f t="shared" si="49"/>
        <v>0</v>
      </c>
      <c r="AS20" s="43">
        <f t="shared" si="49"/>
        <v>0</v>
      </c>
      <c r="AT20" s="43">
        <f t="shared" si="49"/>
        <v>-62.799615611991378</v>
      </c>
      <c r="AU20" s="43">
        <f t="shared" si="49"/>
        <v>0</v>
      </c>
      <c r="AV20" s="43">
        <f t="shared" si="49"/>
        <v>0</v>
      </c>
      <c r="AW20" s="43">
        <f t="shared" si="49"/>
        <v>-39.413423486412547</v>
      </c>
      <c r="AX20" s="43">
        <f t="shared" si="49"/>
        <v>0</v>
      </c>
      <c r="AY20" s="43">
        <f t="shared" si="49"/>
        <v>0</v>
      </c>
      <c r="AZ20" s="43">
        <f t="shared" si="49"/>
        <v>0</v>
      </c>
      <c r="BA20" s="44">
        <f t="shared" si="49"/>
        <v>0</v>
      </c>
      <c r="BB20" s="128">
        <f t="shared" si="34"/>
        <v>37135</v>
      </c>
      <c r="BC20" s="44">
        <f t="shared" si="41"/>
        <v>-89.000890987594886</v>
      </c>
      <c r="BD20" s="51"/>
      <c r="BE20" s="128">
        <f t="shared" si="35"/>
        <v>37135</v>
      </c>
      <c r="BF20" s="43">
        <f t="shared" si="50"/>
        <v>109541.02335092505</v>
      </c>
      <c r="BG20" s="43">
        <f t="shared" si="50"/>
        <v>0</v>
      </c>
      <c r="BH20" s="43">
        <f t="shared" si="50"/>
        <v>0</v>
      </c>
      <c r="BI20" s="43">
        <f t="shared" si="50"/>
        <v>0</v>
      </c>
      <c r="BJ20" s="43">
        <f t="shared" si="50"/>
        <v>0</v>
      </c>
      <c r="BK20" s="43">
        <f t="shared" si="50"/>
        <v>-90824.528698192793</v>
      </c>
      <c r="BL20" s="43">
        <f t="shared" si="50"/>
        <v>0</v>
      </c>
      <c r="BM20" s="43">
        <f t="shared" si="50"/>
        <v>0</v>
      </c>
      <c r="BN20" s="43">
        <f t="shared" si="50"/>
        <v>18292.987693309726</v>
      </c>
      <c r="BO20" s="43">
        <f t="shared" si="50"/>
        <v>0</v>
      </c>
      <c r="BP20" s="43">
        <f t="shared" si="50"/>
        <v>0</v>
      </c>
      <c r="BQ20" s="43">
        <f t="shared" si="50"/>
        <v>0</v>
      </c>
      <c r="BR20" s="44">
        <f t="shared" si="50"/>
        <v>0</v>
      </c>
      <c r="BS20" s="128">
        <f t="shared" si="36"/>
        <v>37135</v>
      </c>
      <c r="BT20" s="44">
        <f t="shared" si="37"/>
        <v>37009.482346041987</v>
      </c>
      <c r="BU20" s="474">
        <f t="shared" si="42"/>
        <v>3.7009482346041986</v>
      </c>
      <c r="BV20" s="51"/>
      <c r="BW20" s="51"/>
      <c r="BX20" s="51"/>
      <c r="BY20" s="51"/>
      <c r="BZ20" s="51"/>
      <c r="CA20" s="51"/>
      <c r="CB20" s="51"/>
      <c r="CC20" s="141">
        <f t="shared" si="43"/>
        <v>36770</v>
      </c>
      <c r="CD20" s="234">
        <f>_xll.xSPRDOPT((VLOOKUP(G20,NGPrices,2,FALSE)+HLOOKUP(D20,Prices,VLOOKUP(G20,move_down,2,FALSE),FALSE)),VLOOKUP(G20,NGPrices,2,FALSE),I20,VLOOKUP(G20,NGPREVPRICES,4,FALSE),HLOOKUP(D20,PREVVOLS,VLOOKUP(G20,MOVE_DOWN2,2,FALSE),FALSE),VLOOKUP(G20,NGPREVPRICES,3,FALSE),HLOOKUP(D20,Correllate,VLOOKUP(G20,CorMove,2,FALSE),FALSE),Q20-$CD$3,R20,$CD$5)*H20-CJ20</f>
        <v>0</v>
      </c>
      <c r="CE20" s="234">
        <f>_xll.xSPRDOPT((VLOOKUP(G20,NGPREVPRICES,2,FALSE)+HLOOKUP(D20,PREVCURVES,VLOOKUP(G20,MOVE_DOWN2,2,FALSE),FALSE)),VLOOKUP(G20,NGPREVPRICES,2,FALSE),CK20,VLOOKUP(G20,NGPrices,4,FALSE),HLOOKUP(D20,PREVVOLS,VLOOKUP(G20,MOVE_DOWN2,2,FALSE),FALSE),VLOOKUP(G20,NGPREVPRICES,3,FALSE),HLOOKUP(D20,Correllate,VLOOKUP(G20,CorMove,2,FALSE),FALSE),Q20-$CD$3,R20,$CJ$5)*H20-CJ20</f>
        <v>0</v>
      </c>
      <c r="CF20" s="10">
        <f t="shared" si="44"/>
        <v>-1.5613518452610151</v>
      </c>
      <c r="CG20" s="234">
        <f>_xll.xSPRDOPT((VLOOKUP(G20,NGPREVPRICES,2,FALSE)+HLOOKUP(D20,PREVCURVES,VLOOKUP(G20,MOVE_DOWN2,2,FALSE),FALSE)),VLOOKUP(G20,NGPREVPRICES,2,FALSE),CK20,VLOOKUP(G20,NGPREVPRICES,4,FALSE),HLOOKUP(D20,VOLS,VLOOKUP(G20,move_down,2,FALSE),FALSE),VLOOKUP(G20,NGPrices,3,FALSE),HLOOKUP(D20,Correllate,VLOOKUP(G20,CorMove,2,FALSE),FALSE),Q20-$CD$3,R20,$CJ$5)*H20-CJ20</f>
        <v>0</v>
      </c>
      <c r="CH20" s="234">
        <f>_xll.xSPRDOPT((VLOOKUP(G20,NGPREVPRICES,2,FALSE)+HLOOKUP(D20,PREVCURVES,VLOOKUP(G20,MOVE_DOWN2,2,FALSE),FALSE)),VLOOKUP(G20,NGPREVPRICES,2,FALSE),CK20,VLOOKUP(G20,NGPREVPRICES,4,FALSE),HLOOKUP(D20,PREVVOLS,VLOOKUP(G20,MOVE_DOWN2,2,FALSE),FALSE),VLOOKUP(G20,NGPREVPRICES,3,FALSE),HLOOKUP(D20,Correllate,VLOOKUP(G20,CorMove,2,FALSE),FALSE),Q20-$C$3,R20,$CJ$5)*H20-CJ20</f>
        <v>-670.66769961864156</v>
      </c>
      <c r="CI20" s="234">
        <f t="shared" si="45"/>
        <v>-672.22905146390258</v>
      </c>
      <c r="CJ20" s="234">
        <f>_xll.xSPRDOPT((VLOOKUP(G20,NGPREVPRICES,2,FALSE)+HLOOKUP(D20,PREVCURVES,VLOOKUP(G20,MOVE_DOWN2,2,FALSE),FALSE)),VLOOKUP(G20,NGPREVPRICES,2,FALSE),CK20,VLOOKUP(G20,NGPREVPRICES,4,FALSE),HLOOKUP(D20,PREVVOLS,VLOOKUP(G20,MOVE_DOWN2,2,FALSE),FALSE),VLOOKUP(G20,NGPREVPRICES,3,FALSE),HLOOKUP(D20,Correllate,VLOOKUP(G20,CorMove,2,FALSE),FALSE),Q20-$CD$3,R20,$CJ$5)*H20</f>
        <v>8568.2289642934593</v>
      </c>
      <c r="CK20" s="235">
        <f t="shared" si="46"/>
        <v>0.3</v>
      </c>
      <c r="CM20" t="str">
        <f t="shared" si="47"/>
        <v>36770Curve Shift/Gamma</v>
      </c>
      <c r="CN20" t="str">
        <f t="shared" si="19"/>
        <v>36770Rho</v>
      </c>
      <c r="CO20" t="str">
        <f t="shared" si="20"/>
        <v>36770Drift</v>
      </c>
      <c r="CP20" t="str">
        <f t="shared" si="21"/>
        <v>36770Vega</v>
      </c>
      <c r="CQ20" t="str">
        <f t="shared" si="22"/>
        <v>36770Theta</v>
      </c>
      <c r="CR20" s="385">
        <f t="shared" si="38"/>
        <v>37135</v>
      </c>
      <c r="CS20" s="386">
        <f t="shared" si="23"/>
        <v>0</v>
      </c>
      <c r="CT20" s="239">
        <f t="shared" si="24"/>
        <v>0</v>
      </c>
      <c r="CU20" s="239">
        <f t="shared" si="25"/>
        <v>-24.966916524150292</v>
      </c>
      <c r="CV20" s="239">
        <f t="shared" si="26"/>
        <v>0</v>
      </c>
      <c r="CW20" s="249">
        <f t="shared" si="27"/>
        <v>-127.72484533811439</v>
      </c>
      <c r="CX20" s="240">
        <f t="shared" si="39"/>
        <v>-152.69176186226468</v>
      </c>
      <c r="CZ20" s="385">
        <f t="shared" si="40"/>
        <v>37135</v>
      </c>
      <c r="DA20" s="386">
        <f t="shared" si="28"/>
        <v>0</v>
      </c>
      <c r="DB20" s="239">
        <f t="shared" si="29"/>
        <v>0</v>
      </c>
      <c r="DC20" s="239">
        <f t="shared" si="30"/>
        <v>-104.21715949840655</v>
      </c>
      <c r="DD20" s="239">
        <f t="shared" si="31"/>
        <v>0</v>
      </c>
      <c r="DE20" s="249">
        <f t="shared" si="32"/>
        <v>-709.11519044602028</v>
      </c>
      <c r="DF20" s="240">
        <f t="shared" si="48"/>
        <v>-813.33234994442682</v>
      </c>
    </row>
    <row r="21" spans="1:110" ht="12" customHeight="1" x14ac:dyDescent="0.25">
      <c r="A21" s="384" t="s">
        <v>268</v>
      </c>
      <c r="B21" s="4" t="s">
        <v>250</v>
      </c>
      <c r="C21" s="4" t="s">
        <v>403</v>
      </c>
      <c r="D21" s="4" t="s">
        <v>9</v>
      </c>
      <c r="E21" s="4" t="s">
        <v>20</v>
      </c>
      <c r="F21" s="51" t="s">
        <v>1</v>
      </c>
      <c r="G21" s="5">
        <v>36800</v>
      </c>
      <c r="H21" s="129">
        <f>10000*(EOMONTH(G21,0)-G21)+10000</f>
        <v>310000</v>
      </c>
      <c r="I21" s="51">
        <v>-0.4</v>
      </c>
      <c r="J21" s="53">
        <f t="shared" si="1"/>
        <v>4.6920000000000002</v>
      </c>
      <c r="K21" s="7">
        <f t="shared" si="2"/>
        <v>-0.80500000000000005</v>
      </c>
      <c r="L21" s="53">
        <f t="shared" si="3"/>
        <v>3.887</v>
      </c>
      <c r="M21" s="52">
        <f t="shared" si="4"/>
        <v>6.8050789414654006E-2</v>
      </c>
      <c r="N21" s="51">
        <f t="shared" si="5"/>
        <v>0.57499999999999996</v>
      </c>
      <c r="O21" s="51">
        <f t="shared" si="6"/>
        <v>0.55200000000000005</v>
      </c>
      <c r="P21" s="9">
        <f t="shared" si="7"/>
        <v>0.84</v>
      </c>
      <c r="Q21" s="5">
        <f t="shared" si="8"/>
        <v>36797</v>
      </c>
      <c r="R21" s="51">
        <f t="shared" si="9"/>
        <v>0</v>
      </c>
      <c r="S21" s="77">
        <f>_xll.xSPRDOPT($L21,$J21,$I21,$M21,$O21,$N21,$P21,$Q21-$C$3,$R21,0)</f>
        <v>0.43551011206983281</v>
      </c>
      <c r="T21" s="126">
        <f>_xll.xSPRDOPT($L21,$J21,$I21,$M21,$O21,$N21,$P21,$Q21-$C$3,$R21,1)*H21</f>
        <v>-256496.05898280613</v>
      </c>
      <c r="U21" s="160">
        <f t="shared" si="10"/>
        <v>135008.13474164816</v>
      </c>
      <c r="V21" s="126">
        <f>_xll.xSPRDOPT($L21,$J21,$I21,$M21,$O21,$N21,$P21,$Q21-$C$3,$R21,2)*H21</f>
        <v>263188.03623608901</v>
      </c>
      <c r="W21" s="126">
        <f t="shared" si="11"/>
        <v>6691.9772532828792</v>
      </c>
      <c r="X21" s="51" t="str">
        <f t="shared" si="12"/>
        <v>36800IF-NWPL_ROCKY_M</v>
      </c>
      <c r="Y21" s="418">
        <f t="shared" si="13"/>
        <v>31</v>
      </c>
      <c r="Z21" s="456">
        <f t="shared" si="14"/>
        <v>-0.82740664188001978</v>
      </c>
      <c r="AA21" s="456">
        <f>_xll.xSPRDOPT($L21,$J21,$I21,$M21,$O21,$N21,$P21,$Q21-$C$3,$R21,3)</f>
        <v>0.65088362517321363</v>
      </c>
      <c r="AB21" s="456">
        <f>((_xll.xSPRDOPT($L21+AB$5,$J21,$I21,$M21,$O21,$N21,$P21,$Q21-$C$3,$R21,3)*$H21)/10000)/100</f>
        <v>0.20177392380369624</v>
      </c>
      <c r="AC21" s="456">
        <f>((_xll.xSPRDOPT($L21+$AB$5,$J21,$I21,$M21,$O21,$N21,$P21,$Q21-$C$3,$R21,7)*$H21)/100)</f>
        <v>-875.66842369463495</v>
      </c>
      <c r="AD21" s="456">
        <f>(_xll.xSPRDOPT($L21+$AB$5,$J21,$I21,$M21,$O21,$N21,$P21,$Q21-$C$3,$R21,9)/365)*$H21</f>
        <v>-470.3083181805377</v>
      </c>
      <c r="AE21">
        <f t="shared" si="15"/>
        <v>0</v>
      </c>
      <c r="AF21" s="456">
        <f t="shared" si="16"/>
        <v>516.66800692833465</v>
      </c>
      <c r="AG21" s="456">
        <f>((_xll.xSPRDOPT($L21,$J21,$I21,$M21,$O21,$N21,$P21,$Q21-$C$3,$R21,6)*$H21)/100)</f>
        <v>469.01221473548634</v>
      </c>
      <c r="AH21" s="456">
        <f>((_xll.xSPRDOPT($L21,$J21,$I21,$M21,$O21,$N21,$P21,$Q21-$C$3,$R21,5)*$H21)/100)</f>
        <v>49.641450200883682</v>
      </c>
      <c r="AI21" s="456">
        <f>(((_xll.xSPRDOPT($L21,$J21,$I21,$M21,$O21,$N21,$P21,$Q21-$C$3,$R21,4)*$H21)/10000)/100)-AB21</f>
        <v>-3.3626711509903318E-2</v>
      </c>
      <c r="AJ21" s="456"/>
      <c r="AK21" s="456"/>
      <c r="AL21" s="456"/>
      <c r="AM21" s="472"/>
      <c r="AN21" s="128">
        <f t="shared" si="33"/>
        <v>37165</v>
      </c>
      <c r="AO21" s="43">
        <f t="shared" si="49"/>
        <v>34.454544264919065</v>
      </c>
      <c r="AP21" s="43">
        <f t="shared" si="49"/>
        <v>0</v>
      </c>
      <c r="AQ21" s="43">
        <f t="shared" si="49"/>
        <v>0</v>
      </c>
      <c r="AR21" s="43">
        <f t="shared" si="49"/>
        <v>0</v>
      </c>
      <c r="AS21" s="43">
        <f t="shared" si="49"/>
        <v>0</v>
      </c>
      <c r="AT21" s="43">
        <f t="shared" si="49"/>
        <v>-37.244174957909898</v>
      </c>
      <c r="AU21" s="43">
        <f t="shared" si="49"/>
        <v>0</v>
      </c>
      <c r="AV21" s="43">
        <f t="shared" si="49"/>
        <v>0</v>
      </c>
      <c r="AW21" s="43">
        <f t="shared" si="49"/>
        <v>-37.529527984959572</v>
      </c>
      <c r="AX21" s="43">
        <f t="shared" si="49"/>
        <v>0</v>
      </c>
      <c r="AY21" s="43">
        <f t="shared" si="49"/>
        <v>0</v>
      </c>
      <c r="AZ21" s="43">
        <f t="shared" si="49"/>
        <v>0</v>
      </c>
      <c r="BA21" s="44">
        <f t="shared" si="49"/>
        <v>0</v>
      </c>
      <c r="BB21" s="128">
        <f t="shared" si="34"/>
        <v>37165</v>
      </c>
      <c r="BC21" s="44">
        <f t="shared" si="41"/>
        <v>-40.319158677950405</v>
      </c>
      <c r="BD21" s="51"/>
      <c r="BE21" s="128">
        <f t="shared" si="35"/>
        <v>37165</v>
      </c>
      <c r="BF21" s="43">
        <f t="shared" si="50"/>
        <v>111541.56768444748</v>
      </c>
      <c r="BG21" s="43">
        <f t="shared" si="50"/>
        <v>0</v>
      </c>
      <c r="BH21" s="43">
        <f t="shared" si="50"/>
        <v>0</v>
      </c>
      <c r="BI21" s="43">
        <f t="shared" si="50"/>
        <v>0</v>
      </c>
      <c r="BJ21" s="43">
        <f t="shared" si="50"/>
        <v>0</v>
      </c>
      <c r="BK21" s="43">
        <f t="shared" si="50"/>
        <v>-76129.417874723295</v>
      </c>
      <c r="BL21" s="43">
        <f t="shared" si="50"/>
        <v>0</v>
      </c>
      <c r="BM21" s="43">
        <f t="shared" si="50"/>
        <v>0</v>
      </c>
      <c r="BN21" s="43">
        <f t="shared" si="50"/>
        <v>18792.155640619283</v>
      </c>
      <c r="BO21" s="43">
        <f t="shared" si="50"/>
        <v>0</v>
      </c>
      <c r="BP21" s="43">
        <f t="shared" si="50"/>
        <v>0</v>
      </c>
      <c r="BQ21" s="43">
        <f t="shared" si="50"/>
        <v>0</v>
      </c>
      <c r="BR21" s="44">
        <f t="shared" si="50"/>
        <v>0</v>
      </c>
      <c r="BS21" s="128">
        <f t="shared" si="36"/>
        <v>37165</v>
      </c>
      <c r="BT21" s="44">
        <f t="shared" si="37"/>
        <v>54204.305450343469</v>
      </c>
      <c r="BU21" s="474">
        <f t="shared" si="42"/>
        <v>5.4204305450343471</v>
      </c>
      <c r="BV21" s="51"/>
      <c r="BW21" s="51"/>
      <c r="BX21" s="51"/>
      <c r="BY21" s="51"/>
      <c r="BZ21" s="51"/>
      <c r="CA21" s="51"/>
      <c r="CB21" s="51"/>
      <c r="CC21" s="141">
        <f t="shared" si="43"/>
        <v>36800</v>
      </c>
      <c r="CD21" s="234">
        <f>_xll.xSPRDOPT((VLOOKUP(G21,NGPrices,2,FALSE)+HLOOKUP(D21,Prices,VLOOKUP(G21,move_down,2,FALSE),FALSE)),VLOOKUP(G21,NGPrices,2,FALSE),I21,VLOOKUP(G21,NGPREVPRICES,4,FALSE),HLOOKUP(D21,PREVVOLS,VLOOKUP(G21,MOVE_DOWN2,2,FALSE),FALSE),VLOOKUP(G21,NGPREVPRICES,3,FALSE),HLOOKUP(D21,Correllate,VLOOKUP(G21,CorMove,2,FALSE),FALSE),Q21-$CD$3,R21,$CD$5)*H21-CJ21</f>
        <v>0</v>
      </c>
      <c r="CE21" s="234">
        <f>_xll.xSPRDOPT((VLOOKUP(G21,NGPREVPRICES,2,FALSE)+HLOOKUP(D21,PREVCURVES,VLOOKUP(G21,MOVE_DOWN2,2,FALSE),FALSE)),VLOOKUP(G21,NGPREVPRICES,2,FALSE),CK21,VLOOKUP(G21,NGPrices,4,FALSE),HLOOKUP(D21,PREVVOLS,VLOOKUP(G21,MOVE_DOWN2,2,FALSE),FALSE),VLOOKUP(G21,NGPREVPRICES,3,FALSE),HLOOKUP(D21,Correllate,VLOOKUP(G21,CorMove,2,FALSE),FALSE),Q21-$CD$3,R21,$CJ$5)*H21-CJ21</f>
        <v>0</v>
      </c>
      <c r="CF21" s="10">
        <f t="shared" si="44"/>
        <v>-24.976155445765471</v>
      </c>
      <c r="CG21" s="234">
        <f>_xll.xSPRDOPT((VLOOKUP(G21,NGPREVPRICES,2,FALSE)+HLOOKUP(D21,PREVCURVES,VLOOKUP(G21,MOVE_DOWN2,2,FALSE),FALSE)),VLOOKUP(G21,NGPREVPRICES,2,FALSE),CK21,VLOOKUP(G21,NGPREVPRICES,4,FALSE),HLOOKUP(D21,VOLS,VLOOKUP(G21,move_down,2,FALSE),FALSE),VLOOKUP(G21,NGPrices,3,FALSE),HLOOKUP(D21,Correllate,VLOOKUP(G21,CorMove,2,FALSE),FALSE),Q21-$CD$3,R21,$CJ$5)*H21-CJ21</f>
        <v>0</v>
      </c>
      <c r="CH21" s="234">
        <f>_xll.xSPRDOPT((VLOOKUP(G21,NGPREVPRICES,2,FALSE)+HLOOKUP(D21,PREVCURVES,VLOOKUP(G21,MOVE_DOWN2,2,FALSE),FALSE)),VLOOKUP(G21,NGPREVPRICES,2,FALSE),CK21,VLOOKUP(G21,NGPREVPRICES,4,FALSE),HLOOKUP(D21,PREVVOLS,VLOOKUP(G21,MOVE_DOWN2,2,FALSE),FALSE),VLOOKUP(G21,NGPREVPRICES,3,FALSE),HLOOKUP(D21,Correllate,VLOOKUP(G21,CorMove,2,FALSE),FALSE),Q21-$C$3,R21,$CJ$5)*H21-CJ21</f>
        <v>-469.91219254260068</v>
      </c>
      <c r="CI21" s="234">
        <f t="shared" si="45"/>
        <v>-494.88834798836615</v>
      </c>
      <c r="CJ21" s="234">
        <f>_xll.xSPRDOPT((VLOOKUP(G21,NGPREVPRICES,2,FALSE)+HLOOKUP(D21,PREVCURVES,VLOOKUP(G21,MOVE_DOWN2,2,FALSE),FALSE)),VLOOKUP(G21,NGPREVPRICES,2,FALSE),CK21,VLOOKUP(G21,NGPREVPRICES,4,FALSE),HLOOKUP(D21,PREVVOLS,VLOOKUP(G21,MOVE_DOWN2,2,FALSE),FALSE),VLOOKUP(G21,NGPREVPRICES,3,FALSE),HLOOKUP(D21,Correllate,VLOOKUP(G21,CorMove,2,FALSE),FALSE),Q21-$CD$3,R21,$CJ$5)*H21</f>
        <v>135478.04693419076</v>
      </c>
      <c r="CK21" s="235">
        <f t="shared" si="46"/>
        <v>-0.4</v>
      </c>
      <c r="CM21" t="str">
        <f t="shared" si="47"/>
        <v>36800Curve Shift/Gamma</v>
      </c>
      <c r="CN21" t="str">
        <f t="shared" si="19"/>
        <v>36800Rho</v>
      </c>
      <c r="CO21" t="str">
        <f t="shared" si="20"/>
        <v>36800Drift</v>
      </c>
      <c r="CP21" t="str">
        <f t="shared" si="21"/>
        <v>36800Vega</v>
      </c>
      <c r="CQ21" t="str">
        <f t="shared" si="22"/>
        <v>36800Theta</v>
      </c>
      <c r="CR21" s="385">
        <f t="shared" si="38"/>
        <v>37165</v>
      </c>
      <c r="CS21" s="386">
        <f t="shared" si="23"/>
        <v>0</v>
      </c>
      <c r="CT21" s="239">
        <f t="shared" si="24"/>
        <v>0</v>
      </c>
      <c r="CU21" s="239">
        <f t="shared" si="25"/>
        <v>-31.755933142711001</v>
      </c>
      <c r="CV21" s="239">
        <f t="shared" si="26"/>
        <v>0</v>
      </c>
      <c r="CW21" s="249">
        <f t="shared" si="27"/>
        <v>-115.94365023708815</v>
      </c>
      <c r="CX21" s="240">
        <f t="shared" si="39"/>
        <v>-147.69958337979915</v>
      </c>
      <c r="CZ21" s="385">
        <f t="shared" si="40"/>
        <v>37165</v>
      </c>
      <c r="DA21" s="386">
        <f t="shared" si="28"/>
        <v>0</v>
      </c>
      <c r="DB21" s="239">
        <f t="shared" si="29"/>
        <v>0</v>
      </c>
      <c r="DC21" s="239">
        <f t="shared" si="30"/>
        <v>-111.44745436780795</v>
      </c>
      <c r="DD21" s="239">
        <f t="shared" si="31"/>
        <v>0</v>
      </c>
      <c r="DE21" s="249">
        <f t="shared" si="32"/>
        <v>-667.57671434033546</v>
      </c>
      <c r="DF21" s="240">
        <f t="shared" si="48"/>
        <v>-779.02416870814341</v>
      </c>
    </row>
    <row r="22" spans="1:110" ht="12" customHeight="1" x14ac:dyDescent="0.25">
      <c r="A22" s="384" t="s">
        <v>268</v>
      </c>
      <c r="B22" s="4" t="s">
        <v>250</v>
      </c>
      <c r="C22" s="4" t="s">
        <v>403</v>
      </c>
      <c r="D22" s="4" t="s">
        <v>9</v>
      </c>
      <c r="E22" s="4" t="s">
        <v>20</v>
      </c>
      <c r="F22" s="4" t="s">
        <v>1</v>
      </c>
      <c r="G22" s="5">
        <v>36770</v>
      </c>
      <c r="H22" s="130">
        <f>10000*(EOMONTH(G22,0)-G22)+10000</f>
        <v>300000</v>
      </c>
      <c r="I22" s="4">
        <v>-0.4</v>
      </c>
      <c r="J22" s="53">
        <f t="shared" si="1"/>
        <v>4.6849999999999996</v>
      </c>
      <c r="K22" s="7">
        <f t="shared" si="2"/>
        <v>-1.24</v>
      </c>
      <c r="L22" s="53">
        <f t="shared" si="3"/>
        <v>3.4449999999999994</v>
      </c>
      <c r="M22" s="157">
        <f t="shared" si="4"/>
        <v>6.7216196212184998E-2</v>
      </c>
      <c r="N22" s="4">
        <f t="shared" si="5"/>
        <v>0.4</v>
      </c>
      <c r="O22" s="4">
        <f t="shared" si="6"/>
        <v>0.38400000000000001</v>
      </c>
      <c r="P22" s="9">
        <f t="shared" si="7"/>
        <v>0.84</v>
      </c>
      <c r="Q22" s="5">
        <f t="shared" si="8"/>
        <v>36768</v>
      </c>
      <c r="R22" s="4">
        <f t="shared" si="9"/>
        <v>0</v>
      </c>
      <c r="S22" s="158">
        <f>_xll.xSPRDOPT($L22,$J22,$I22,$M22,$O22,$N22,$P22,$Q22-$C$3,$R22,0)</f>
        <v>0.83984554089127716</v>
      </c>
      <c r="T22" s="159">
        <f>_xll.xSPRDOPT($L22,$J22,$I22,$M22,$O22,$N22,$P22,$Q22-$C$3,$R22,1)*H22</f>
        <v>-299944.84760363982</v>
      </c>
      <c r="U22" s="160">
        <f t="shared" si="10"/>
        <v>251953.66226738316</v>
      </c>
      <c r="V22" s="159">
        <f>_xll.xSPRDOPT($L22,$J22,$I22,$M22,$O22,$N22,$P22,$Q22-$C$3,$R22,2)*H22</f>
        <v>299944.83602525649</v>
      </c>
      <c r="W22" s="159">
        <f t="shared" si="11"/>
        <v>-1.1578383331652731E-2</v>
      </c>
      <c r="X22" s="51" t="str">
        <f t="shared" si="12"/>
        <v>36770IF-NWPL_ROCKY_M</v>
      </c>
      <c r="Y22" s="418">
        <f t="shared" si="13"/>
        <v>30</v>
      </c>
      <c r="Z22" s="456">
        <f t="shared" si="14"/>
        <v>-0.99981615867879936</v>
      </c>
      <c r="AA22" s="456">
        <f>_xll.xSPRDOPT($L22,$J22,$I22,$M22,$O22,$N22,$P22,$Q22-$C$3,$R22,3)</f>
        <v>-3.5500395084824186E-5</v>
      </c>
      <c r="AB22" s="456">
        <f>((_xll.xSPRDOPT($L22+AB$5,$J22,$I22,$M22,$O22,$N22,$P22,$Q22-$C$3,$R22,3)*$H22)/10000)/100</f>
        <v>-1.0650118525447255E-5</v>
      </c>
      <c r="AC22" s="456">
        <f>((_xll.xSPRDOPT($L22+$AB$5,$J22,$I22,$M22,$O22,$N22,$P22,$Q22-$C$3,$R22,7)*$H22)/100)</f>
        <v>0</v>
      </c>
      <c r="AD22" s="456">
        <f>(_xll.xSPRDOPT($L22+$AB$5,$J22,$I22,$M22,$O22,$N22,$P22,$Q22-$C$3,$R22,9)/365)*$H22</f>
        <v>46.398266942650586</v>
      </c>
      <c r="AE22">
        <f t="shared" si="15"/>
        <v>0</v>
      </c>
      <c r="AF22" s="456">
        <f t="shared" si="16"/>
        <v>-2.8324634524183381E-8</v>
      </c>
      <c r="AG22" s="456">
        <f>((_xll.xSPRDOPT($L22,$J22,$I22,$M22,$O22,$N22,$P22,$Q22-$C$3,$R22,6)*$H22)/100)</f>
        <v>-2.1859228817576345E-6</v>
      </c>
      <c r="AH22" s="456">
        <f>((_xll.xSPRDOPT($L22,$J22,$I22,$M22,$O22,$N22,$P22,$Q22-$C$3,$R22,5)*$H22)/100)</f>
        <v>2.2474981742015117E-6</v>
      </c>
      <c r="AI22" s="456">
        <f>(((_xll.xSPRDOPT($L22,$J22,$I22,$M22,$O22,$N22,$P22,$Q22-$C$3,$R22,4)*$H22)/10000)/100)-AB22</f>
        <v>1.0650118525447255E-5</v>
      </c>
      <c r="AJ22" s="456"/>
      <c r="AK22" s="456"/>
      <c r="AL22" s="456"/>
      <c r="AM22" s="472"/>
      <c r="AN22" s="128">
        <f t="shared" si="33"/>
        <v>37196</v>
      </c>
      <c r="AO22" s="43">
        <f t="shared" si="49"/>
        <v>-15.176694281283673</v>
      </c>
      <c r="AP22" s="43">
        <f t="shared" si="49"/>
        <v>0</v>
      </c>
      <c r="AQ22" s="43">
        <f t="shared" si="49"/>
        <v>0</v>
      </c>
      <c r="AR22" s="43">
        <f t="shared" si="49"/>
        <v>0</v>
      </c>
      <c r="AS22" s="43">
        <f t="shared" si="49"/>
        <v>0</v>
      </c>
      <c r="AT22" s="43">
        <f t="shared" si="49"/>
        <v>0</v>
      </c>
      <c r="AU22" s="43">
        <f t="shared" si="49"/>
        <v>0</v>
      </c>
      <c r="AV22" s="43">
        <f t="shared" si="49"/>
        <v>0</v>
      </c>
      <c r="AW22" s="43">
        <f t="shared" si="49"/>
        <v>0</v>
      </c>
      <c r="AX22" s="43">
        <f t="shared" si="49"/>
        <v>0</v>
      </c>
      <c r="AY22" s="43">
        <f t="shared" si="49"/>
        <v>0</v>
      </c>
      <c r="AZ22" s="43">
        <f t="shared" si="49"/>
        <v>0</v>
      </c>
      <c r="BA22" s="44">
        <f t="shared" si="49"/>
        <v>0</v>
      </c>
      <c r="BB22" s="128">
        <f t="shared" si="34"/>
        <v>37196</v>
      </c>
      <c r="BC22" s="44">
        <f t="shared" si="41"/>
        <v>-15.176694281283673</v>
      </c>
      <c r="BD22" s="51"/>
      <c r="BE22" s="128">
        <f t="shared" si="35"/>
        <v>37196</v>
      </c>
      <c r="BF22" s="43">
        <f t="shared" si="50"/>
        <v>-54900.440800240205</v>
      </c>
      <c r="BG22" s="43">
        <f t="shared" si="50"/>
        <v>0</v>
      </c>
      <c r="BH22" s="43">
        <f t="shared" si="50"/>
        <v>0</v>
      </c>
      <c r="BI22" s="43">
        <f t="shared" si="50"/>
        <v>0</v>
      </c>
      <c r="BJ22" s="43">
        <f t="shared" si="50"/>
        <v>0</v>
      </c>
      <c r="BK22" s="43">
        <f t="shared" si="50"/>
        <v>0</v>
      </c>
      <c r="BL22" s="43">
        <f t="shared" si="50"/>
        <v>0</v>
      </c>
      <c r="BM22" s="43">
        <f t="shared" si="50"/>
        <v>0</v>
      </c>
      <c r="BN22" s="43">
        <f t="shared" si="50"/>
        <v>0</v>
      </c>
      <c r="BO22" s="43">
        <f t="shared" si="50"/>
        <v>0</v>
      </c>
      <c r="BP22" s="43">
        <f t="shared" si="50"/>
        <v>0</v>
      </c>
      <c r="BQ22" s="43">
        <f t="shared" si="50"/>
        <v>0</v>
      </c>
      <c r="BR22" s="44">
        <f t="shared" si="50"/>
        <v>0</v>
      </c>
      <c r="BS22" s="128">
        <f t="shared" si="36"/>
        <v>37196</v>
      </c>
      <c r="BT22" s="44">
        <f t="shared" si="37"/>
        <v>-54900.440800240205</v>
      </c>
      <c r="BU22" s="474">
        <f t="shared" si="42"/>
        <v>-5.4900440800240204</v>
      </c>
      <c r="BV22" s="51"/>
      <c r="BW22" s="51"/>
      <c r="BX22" s="51"/>
      <c r="BY22" s="51"/>
      <c r="BZ22" s="51"/>
      <c r="CA22" s="51"/>
      <c r="CB22" s="51"/>
      <c r="CC22" s="141">
        <f t="shared" si="43"/>
        <v>36770</v>
      </c>
      <c r="CD22" s="234">
        <f>_xll.xSPRDOPT((VLOOKUP(G22,NGPrices,2,FALSE)+HLOOKUP(D22,Prices,VLOOKUP(G22,move_down,2,FALSE),FALSE)),VLOOKUP(G22,NGPrices,2,FALSE),I22,VLOOKUP(G22,NGPREVPRICES,4,FALSE),HLOOKUP(D22,PREVVOLS,VLOOKUP(G22,MOVE_DOWN2,2,FALSE),FALSE),VLOOKUP(G22,NGPREVPRICES,3,FALSE),HLOOKUP(D22,Correllate,VLOOKUP(G22,CorMove,2,FALSE),FALSE),Q22-$CD$3,R22,$CD$5)*H22-CJ22</f>
        <v>0</v>
      </c>
      <c r="CE22" s="234">
        <f>_xll.xSPRDOPT((VLOOKUP(G22,NGPREVPRICES,2,FALSE)+HLOOKUP(D22,PREVCURVES,VLOOKUP(G22,MOVE_DOWN2,2,FALSE),FALSE)),VLOOKUP(G22,NGPREVPRICES,2,FALSE),CK22,VLOOKUP(G22,NGPrices,4,FALSE),HLOOKUP(D22,PREVVOLS,VLOOKUP(G22,MOVE_DOWN2,2,FALSE),FALSE),VLOOKUP(G22,NGPREVPRICES,3,FALSE),HLOOKUP(D22,Correllate,VLOOKUP(G22,CorMove,2,FALSE),FALSE),Q22-$CD$3,R22,$CJ$5)*H22-CJ22</f>
        <v>0</v>
      </c>
      <c r="CF22" s="10">
        <f t="shared" si="44"/>
        <v>-45.903993621875998</v>
      </c>
      <c r="CG22" s="234">
        <f>_xll.xSPRDOPT((VLOOKUP(G22,NGPREVPRICES,2,FALSE)+HLOOKUP(D22,PREVCURVES,VLOOKUP(G22,MOVE_DOWN2,2,FALSE),FALSE)),VLOOKUP(G22,NGPREVPRICES,2,FALSE),CK22,VLOOKUP(G22,NGPREVPRICES,4,FALSE),HLOOKUP(D22,VOLS,VLOOKUP(G22,move_down,2,FALSE),FALSE),VLOOKUP(G22,NGPrices,3,FALSE),HLOOKUP(D22,Correllate,VLOOKUP(G22,CorMove,2,FALSE),FALSE),Q22-$CD$3,R22,$CJ$5)*H22-CJ22</f>
        <v>0</v>
      </c>
      <c r="CH22" s="234">
        <f>_xll.xSPRDOPT((VLOOKUP(G22,NGPREVPRICES,2,FALSE)+HLOOKUP(D22,PREVCURVES,VLOOKUP(G22,MOVE_DOWN2,2,FALSE),FALSE)),VLOOKUP(G22,NGPREVPRICES,2,FALSE),CK22,VLOOKUP(G22,NGPREVPRICES,4,FALSE),HLOOKUP(D22,PREVVOLS,VLOOKUP(G22,MOVE_DOWN2,2,FALSE),FALSE),VLOOKUP(G22,NGPREVPRICES,3,FALSE),HLOOKUP(D22,Correllate,VLOOKUP(G22,CorMove,2,FALSE),FALSE),Q22-$C$3,R22,$CJ$5)*H22-CJ22</f>
        <v>46.362242964882171</v>
      </c>
      <c r="CI22" s="234">
        <f t="shared" si="45"/>
        <v>0.45824934300617315</v>
      </c>
      <c r="CJ22" s="234">
        <f>_xll.xSPRDOPT((VLOOKUP(G22,NGPREVPRICES,2,FALSE)+HLOOKUP(D22,PREVCURVES,VLOOKUP(G22,MOVE_DOWN2,2,FALSE),FALSE)),VLOOKUP(G22,NGPREVPRICES,2,FALSE),CK22,VLOOKUP(G22,NGPREVPRICES,4,FALSE),HLOOKUP(D22,PREVVOLS,VLOOKUP(G22,MOVE_DOWN2,2,FALSE),FALSE),VLOOKUP(G22,NGPREVPRICES,3,FALSE),HLOOKUP(D22,Correllate,VLOOKUP(G22,CorMove,2,FALSE),FALSE),Q22-$CD$3,R22,$CJ$5)*H22</f>
        <v>251907.30002441828</v>
      </c>
      <c r="CK22" s="235">
        <f t="shared" si="46"/>
        <v>-0.4</v>
      </c>
      <c r="CM22" t="str">
        <f t="shared" si="47"/>
        <v>36770Curve Shift/Gamma</v>
      </c>
      <c r="CN22" t="str">
        <f t="shared" si="19"/>
        <v>36770Rho</v>
      </c>
      <c r="CO22" t="str">
        <f t="shared" si="20"/>
        <v>36770Drift</v>
      </c>
      <c r="CP22" t="str">
        <f t="shared" si="21"/>
        <v>36770Vega</v>
      </c>
      <c r="CQ22" t="str">
        <f t="shared" si="22"/>
        <v>36770Theta</v>
      </c>
      <c r="CR22" s="385">
        <f t="shared" si="38"/>
        <v>37196</v>
      </c>
      <c r="CS22" s="386">
        <f t="shared" si="23"/>
        <v>0</v>
      </c>
      <c r="CT22" s="239">
        <f t="shared" si="24"/>
        <v>0</v>
      </c>
      <c r="CU22" s="239">
        <f t="shared" si="25"/>
        <v>50.870833276640042</v>
      </c>
      <c r="CV22" s="239">
        <f t="shared" si="26"/>
        <v>0</v>
      </c>
      <c r="CW22" s="249">
        <f t="shared" si="27"/>
        <v>325.72715326737671</v>
      </c>
      <c r="CX22" s="240">
        <f t="shared" si="39"/>
        <v>376.59798654401675</v>
      </c>
      <c r="CZ22" s="385">
        <f t="shared" si="40"/>
        <v>37196</v>
      </c>
      <c r="DA22" s="386">
        <f t="shared" si="28"/>
        <v>0</v>
      </c>
      <c r="DB22" s="239">
        <f t="shared" si="29"/>
        <v>0</v>
      </c>
      <c r="DC22" s="239">
        <f t="shared" si="30"/>
        <v>50.870833276640042</v>
      </c>
      <c r="DD22" s="239">
        <f t="shared" si="31"/>
        <v>0</v>
      </c>
      <c r="DE22" s="249">
        <f t="shared" si="32"/>
        <v>325.72715326737671</v>
      </c>
      <c r="DF22" s="240">
        <f t="shared" si="48"/>
        <v>376.59798654401675</v>
      </c>
    </row>
    <row r="23" spans="1:110" ht="12" customHeight="1" x14ac:dyDescent="0.25">
      <c r="A23" s="381" t="s">
        <v>279</v>
      </c>
      <c r="B23" s="140" t="s">
        <v>250</v>
      </c>
      <c r="C23" s="140" t="s">
        <v>109</v>
      </c>
      <c r="D23" s="4" t="s">
        <v>7</v>
      </c>
      <c r="E23" s="140" t="s">
        <v>20</v>
      </c>
      <c r="F23" s="140" t="s">
        <v>21</v>
      </c>
      <c r="G23" s="352">
        <v>36800</v>
      </c>
      <c r="H23" s="129">
        <v>310000</v>
      </c>
      <c r="I23" s="140">
        <v>0.25</v>
      </c>
      <c r="J23" s="53">
        <f t="shared" si="1"/>
        <v>4.6920000000000002</v>
      </c>
      <c r="K23" s="7">
        <f t="shared" si="2"/>
        <v>0.41499999999999998</v>
      </c>
      <c r="L23" s="53">
        <f t="shared" si="3"/>
        <v>5.1070000000000002</v>
      </c>
      <c r="M23" s="157">
        <f t="shared" si="4"/>
        <v>6.8050789414654006E-2</v>
      </c>
      <c r="N23" s="4">
        <f t="shared" si="5"/>
        <v>0.57499999999999996</v>
      </c>
      <c r="O23" s="4">
        <f t="shared" si="6"/>
        <v>0.56399999999999995</v>
      </c>
      <c r="P23" s="9">
        <f t="shared" si="7"/>
        <v>0.99250000000000005</v>
      </c>
      <c r="Q23" s="5">
        <f t="shared" si="8"/>
        <v>36797</v>
      </c>
      <c r="R23" s="4">
        <f t="shared" si="9"/>
        <v>1</v>
      </c>
      <c r="S23" s="158">
        <f>_xll.xSPRDOPT($L23,$J23,$I23,$M23,$O23,$N23,$P23,$Q23-$C$3,$R23,0)</f>
        <v>0.16629886471468663</v>
      </c>
      <c r="T23" s="159">
        <f>_xll.xSPRDOPT($L23,$J23,$I23,$M23,$O23,$N23,$P23,$Q23-$C$3,$R23,1)*H23</f>
        <v>292568.8633486238</v>
      </c>
      <c r="U23" s="160">
        <f t="shared" si="10"/>
        <v>51552.648061552856</v>
      </c>
      <c r="V23" s="159">
        <f>_xll.xSPRDOPT($L23,$J23,$I23,$M23,$O23,$N23,$P23,$Q23-$C$3,$R23,2)*H23</f>
        <v>-291969.18358207721</v>
      </c>
      <c r="W23" s="159">
        <f t="shared" si="11"/>
        <v>599.6797665465856</v>
      </c>
      <c r="X23" s="51" t="str">
        <f t="shared" si="12"/>
        <v>36800IF-TRANSCO/Z6</v>
      </c>
      <c r="Y23" s="418">
        <f t="shared" si="13"/>
        <v>31</v>
      </c>
      <c r="Z23" s="456">
        <f t="shared" si="14"/>
        <v>0.94377052693104446</v>
      </c>
      <c r="AA23" s="456">
        <f>_xll.xSPRDOPT($L23,$J23,$I23,$M23,$O23,$N23,$P23,$Q23-$C$3,$R23,3)</f>
        <v>1.0053817526823228</v>
      </c>
      <c r="AB23" s="456">
        <f>((_xll.xSPRDOPT($L23+AB$5,$J23,$I23,$M23,$O23,$N23,$P23,$Q23-$C$3,$R23,3)*$H23)/10000)/100</f>
        <v>0.31166834333152005</v>
      </c>
      <c r="AC23" s="456">
        <f>((_xll.xSPRDOPT($L23+$AB$5,$J23,$I23,$M23,$O23,$N23,$P23,$Q23-$C$3,$R23,7)*$H23)/100)</f>
        <v>-2049.7056809750488</v>
      </c>
      <c r="AD23" s="456">
        <f>(_xll.xSPRDOPT($L23+$AB$5,$J23,$I23,$M23,$O23,$N23,$P23,$Q23-$C$3,$R23,9)/365)*$H23</f>
        <v>-46.248578012719186</v>
      </c>
      <c r="AE23">
        <f t="shared" si="15"/>
        <v>0</v>
      </c>
      <c r="AF23" s="456">
        <f t="shared" si="16"/>
        <v>58.248893646795793</v>
      </c>
      <c r="AG23" s="456">
        <f>((_xll.xSPRDOPT($L23,$J23,$I23,$M23,$O23,$N23,$P23,$Q23-$C$3,$R23,6)*$H23)/100)</f>
        <v>-97.356645855021483</v>
      </c>
      <c r="AH23" s="456">
        <f>((_xll.xSPRDOPT($L23,$J23,$I23,$M23,$O23,$N23,$P23,$Q23-$C$3,$R23,5)*$H23)/100)</f>
        <v>158.64039931479599</v>
      </c>
      <c r="AI23" s="456">
        <f>(((_xll.xSPRDOPT($L23,$J23,$I23,$M23,$O23,$N23,$P23,$Q23-$C$3,$R23,4)*$H23)/10000)/100)-AB23</f>
        <v>1.9248545327727906E-2</v>
      </c>
      <c r="AJ23" s="456"/>
      <c r="AK23" s="456"/>
      <c r="AL23" s="456"/>
      <c r="AM23" s="472"/>
      <c r="AN23" s="128">
        <f t="shared" si="33"/>
        <v>37226</v>
      </c>
      <c r="AO23" s="43">
        <f t="shared" si="49"/>
        <v>-30.187611376121641</v>
      </c>
      <c r="AP23" s="43">
        <f t="shared" si="49"/>
        <v>0</v>
      </c>
      <c r="AQ23" s="43">
        <f t="shared" si="49"/>
        <v>0</v>
      </c>
      <c r="AR23" s="43">
        <f t="shared" si="49"/>
        <v>0</v>
      </c>
      <c r="AS23" s="43">
        <f t="shared" si="49"/>
        <v>0</v>
      </c>
      <c r="AT23" s="43">
        <f t="shared" si="49"/>
        <v>0</v>
      </c>
      <c r="AU23" s="43">
        <f t="shared" si="49"/>
        <v>0</v>
      </c>
      <c r="AV23" s="43">
        <f t="shared" si="49"/>
        <v>0</v>
      </c>
      <c r="AW23" s="43">
        <f t="shared" si="49"/>
        <v>0</v>
      </c>
      <c r="AX23" s="43">
        <f t="shared" si="49"/>
        <v>0</v>
      </c>
      <c r="AY23" s="43">
        <f t="shared" si="49"/>
        <v>0</v>
      </c>
      <c r="AZ23" s="43">
        <f t="shared" si="49"/>
        <v>0</v>
      </c>
      <c r="BA23" s="44">
        <f t="shared" si="49"/>
        <v>0</v>
      </c>
      <c r="BB23" s="128">
        <f t="shared" si="34"/>
        <v>37226</v>
      </c>
      <c r="BC23" s="44">
        <f t="shared" si="41"/>
        <v>-30.187611376121641</v>
      </c>
      <c r="BD23" s="51"/>
      <c r="BE23" s="128">
        <f t="shared" si="35"/>
        <v>37226</v>
      </c>
      <c r="BF23" s="43">
        <f t="shared" si="50"/>
        <v>-44325.5580471867</v>
      </c>
      <c r="BG23" s="43">
        <f t="shared" si="50"/>
        <v>0</v>
      </c>
      <c r="BH23" s="43">
        <f t="shared" si="50"/>
        <v>0</v>
      </c>
      <c r="BI23" s="43">
        <f t="shared" si="50"/>
        <v>0</v>
      </c>
      <c r="BJ23" s="43">
        <f t="shared" si="50"/>
        <v>0</v>
      </c>
      <c r="BK23" s="43">
        <f t="shared" si="50"/>
        <v>0</v>
      </c>
      <c r="BL23" s="43">
        <f t="shared" si="50"/>
        <v>0</v>
      </c>
      <c r="BM23" s="43">
        <f t="shared" si="50"/>
        <v>0</v>
      </c>
      <c r="BN23" s="43">
        <f t="shared" si="50"/>
        <v>0</v>
      </c>
      <c r="BO23" s="43">
        <f t="shared" si="50"/>
        <v>0</v>
      </c>
      <c r="BP23" s="43">
        <f t="shared" si="50"/>
        <v>0</v>
      </c>
      <c r="BQ23" s="43">
        <f t="shared" si="50"/>
        <v>0</v>
      </c>
      <c r="BR23" s="44">
        <f t="shared" si="50"/>
        <v>0</v>
      </c>
      <c r="BS23" s="128">
        <f t="shared" si="36"/>
        <v>37226</v>
      </c>
      <c r="BT23" s="44">
        <f t="shared" si="37"/>
        <v>-44325.5580471867</v>
      </c>
      <c r="BU23" s="474">
        <f t="shared" si="42"/>
        <v>-4.4325558047186702</v>
      </c>
      <c r="BV23" s="51"/>
      <c r="BW23" s="51"/>
      <c r="BX23" s="51"/>
      <c r="BY23" s="51"/>
      <c r="BZ23" s="51"/>
      <c r="CA23" s="51"/>
      <c r="CB23" s="51"/>
      <c r="CC23" s="141">
        <f t="shared" si="43"/>
        <v>36800</v>
      </c>
      <c r="CD23" s="234">
        <f>_xll.xSPRDOPT((VLOOKUP(G23,NGPrices,2,FALSE)+HLOOKUP(D23,Prices,VLOOKUP(G23,move_down,2,FALSE),FALSE)),VLOOKUP(G23,NGPrices,2,FALSE),I23,VLOOKUP(G23,NGPREVPRICES,4,FALSE),HLOOKUP(D23,PREVVOLS,VLOOKUP(G23,MOVE_DOWN2,2,FALSE),FALSE),VLOOKUP(G23,NGPREVPRICES,3,FALSE),HLOOKUP(D23,Correllate,VLOOKUP(G23,CorMove,2,FALSE),FALSE),Q23-$CD$3,R23,$CD$5)*H23-CJ23</f>
        <v>0</v>
      </c>
      <c r="CE23" s="234">
        <f>_xll.xSPRDOPT((VLOOKUP(G23,NGPREVPRICES,2,FALSE)+HLOOKUP(D23,PREVCURVES,VLOOKUP(G23,MOVE_DOWN2,2,FALSE),FALSE)),VLOOKUP(G23,NGPREVPRICES,2,FALSE),CK23,VLOOKUP(G23,NGPrices,4,FALSE),HLOOKUP(D23,PREVVOLS,VLOOKUP(G23,MOVE_DOWN2,2,FALSE),FALSE),VLOOKUP(G23,NGPREVPRICES,3,FALSE),HLOOKUP(D23,Correllate,VLOOKUP(G23,CorMove,2,FALSE),FALSE),Q23-$CD$3,R23,$CJ$5)*H23-CJ23</f>
        <v>0</v>
      </c>
      <c r="CF23" s="10">
        <f t="shared" si="44"/>
        <v>-9.5126837824936956</v>
      </c>
      <c r="CG23" s="234">
        <f>_xll.xSPRDOPT((VLOOKUP(G23,NGPREVPRICES,2,FALSE)+HLOOKUP(D23,PREVCURVES,VLOOKUP(G23,MOVE_DOWN2,2,FALSE),FALSE)),VLOOKUP(G23,NGPREVPRICES,2,FALSE),CK23,VLOOKUP(G23,NGPREVPRICES,4,FALSE),HLOOKUP(D23,VOLS,VLOOKUP(G23,move_down,2,FALSE),FALSE),VLOOKUP(G23,NGPrices,3,FALSE),HLOOKUP(D23,Correllate,VLOOKUP(G23,CorMove,2,FALSE),FALSE),Q23-$CD$3,R23,$CJ$5)*H23-CJ23</f>
        <v>0</v>
      </c>
      <c r="CH23" s="234">
        <f>_xll.xSPRDOPT((VLOOKUP(G23,NGPREVPRICES,2,FALSE)+HLOOKUP(D23,PREVCURVES,VLOOKUP(G23,MOVE_DOWN2,2,FALSE),FALSE)),VLOOKUP(G23,NGPREVPRICES,2,FALSE),CK23,VLOOKUP(G23,NGPREVPRICES,4,FALSE),HLOOKUP(D23,PREVVOLS,VLOOKUP(G23,MOVE_DOWN2,2,FALSE),FALSE),VLOOKUP(G23,NGPREVPRICES,3,FALSE),HLOOKUP(D23,Correllate,VLOOKUP(G23,CorMove,2,FALSE),FALSE),Q23-$C$3,R23,$CJ$5)*H23-CJ23</f>
        <v>-46.959522361772542</v>
      </c>
      <c r="CI23" s="234">
        <f t="shared" si="45"/>
        <v>-56.472206144266238</v>
      </c>
      <c r="CJ23" s="234">
        <f>_xll.xSPRDOPT((VLOOKUP(G23,NGPREVPRICES,2,FALSE)+HLOOKUP(D23,PREVCURVES,VLOOKUP(G23,MOVE_DOWN2,2,FALSE),FALSE)),VLOOKUP(G23,NGPREVPRICES,2,FALSE),CK23,VLOOKUP(G23,NGPREVPRICES,4,FALSE),HLOOKUP(D23,PREVVOLS,VLOOKUP(G23,MOVE_DOWN2,2,FALSE),FALSE),VLOOKUP(G23,NGPREVPRICES,3,FALSE),HLOOKUP(D23,Correllate,VLOOKUP(G23,CorMove,2,FALSE),FALSE),Q23-$CD$3,R23,$CJ$5)*H23</f>
        <v>51599.607583914629</v>
      </c>
      <c r="CK23" s="235">
        <f t="shared" si="46"/>
        <v>0.25</v>
      </c>
      <c r="CM23" t="str">
        <f t="shared" si="47"/>
        <v>36800Curve Shift/Gamma</v>
      </c>
      <c r="CN23" t="str">
        <f t="shared" si="19"/>
        <v>36800Rho</v>
      </c>
      <c r="CO23" t="str">
        <f t="shared" si="20"/>
        <v>36800Drift</v>
      </c>
      <c r="CP23" t="str">
        <f t="shared" si="21"/>
        <v>36800Vega</v>
      </c>
      <c r="CQ23" t="str">
        <f t="shared" si="22"/>
        <v>36800Theta</v>
      </c>
      <c r="CR23" s="385">
        <f t="shared" si="38"/>
        <v>37226</v>
      </c>
      <c r="CS23" s="386">
        <f t="shared" si="23"/>
        <v>0</v>
      </c>
      <c r="CT23" s="239">
        <f t="shared" si="24"/>
        <v>0</v>
      </c>
      <c r="CU23" s="239">
        <f t="shared" si="25"/>
        <v>74.295325179555221</v>
      </c>
      <c r="CV23" s="239">
        <f t="shared" si="26"/>
        <v>0</v>
      </c>
      <c r="CW23" s="249">
        <f t="shared" si="27"/>
        <v>226.98156531032873</v>
      </c>
      <c r="CX23" s="240">
        <f t="shared" si="39"/>
        <v>301.27689048988395</v>
      </c>
      <c r="CZ23" s="385">
        <f t="shared" si="40"/>
        <v>37226</v>
      </c>
      <c r="DA23" s="386">
        <f t="shared" si="28"/>
        <v>0</v>
      </c>
      <c r="DB23" s="239">
        <f t="shared" si="29"/>
        <v>0</v>
      </c>
      <c r="DC23" s="239">
        <f t="shared" si="30"/>
        <v>74.295325179555221</v>
      </c>
      <c r="DD23" s="239">
        <f t="shared" si="31"/>
        <v>0</v>
      </c>
      <c r="DE23" s="249">
        <f t="shared" si="32"/>
        <v>226.98156531032873</v>
      </c>
      <c r="DF23" s="240">
        <f t="shared" si="48"/>
        <v>301.27689048988395</v>
      </c>
    </row>
    <row r="24" spans="1:110" ht="12" customHeight="1" x14ac:dyDescent="0.25">
      <c r="A24" s="382" t="s">
        <v>279</v>
      </c>
      <c r="B24" s="155" t="s">
        <v>250</v>
      </c>
      <c r="C24" s="153" t="s">
        <v>109</v>
      </c>
      <c r="D24" s="4" t="s">
        <v>7</v>
      </c>
      <c r="E24" s="153" t="s">
        <v>20</v>
      </c>
      <c r="F24" s="153" t="s">
        <v>21</v>
      </c>
      <c r="G24" s="353">
        <v>36770</v>
      </c>
      <c r="H24" s="154">
        <v>300000</v>
      </c>
      <c r="I24">
        <v>0.25</v>
      </c>
      <c r="J24" s="53">
        <f t="shared" si="1"/>
        <v>4.6849999999999996</v>
      </c>
      <c r="K24" s="7">
        <f t="shared" si="2"/>
        <v>0.315</v>
      </c>
      <c r="L24" s="53">
        <f t="shared" si="3"/>
        <v>5</v>
      </c>
      <c r="M24" s="52">
        <f t="shared" si="4"/>
        <v>6.7216196212184998E-2</v>
      </c>
      <c r="N24" s="51">
        <f t="shared" si="5"/>
        <v>0.4</v>
      </c>
      <c r="O24" s="51">
        <f t="shared" si="6"/>
        <v>0.39200000000000002</v>
      </c>
      <c r="P24" s="9">
        <f t="shared" si="7"/>
        <v>0.99250000000000005</v>
      </c>
      <c r="Q24" s="5">
        <f t="shared" si="8"/>
        <v>36768</v>
      </c>
      <c r="R24" s="51">
        <f t="shared" si="9"/>
        <v>1</v>
      </c>
      <c r="S24" s="77">
        <f>_xll.xSPRDOPT($L24,$J24,$I24,$M24,$O24,$N24,$P24,$Q24-$C$3,$R24,0)</f>
        <v>6.4988048160495304E-2</v>
      </c>
      <c r="T24" s="126">
        <f>_xll.xSPRDOPT($L24,$J24,$I24,$M24,$O24,$N24,$P24,$Q24-$C$3,$R24,1)*H24</f>
        <v>299944.79009001068</v>
      </c>
      <c r="U24" s="160">
        <f t="shared" si="10"/>
        <v>19496.414448148593</v>
      </c>
      <c r="V24" s="126">
        <f>_xll.xSPRDOPT($L24,$J24,$I24,$M24,$O24,$N24,$P24,$Q24-$C$3,$R24,2)*H24</f>
        <v>-299944.7918262016</v>
      </c>
      <c r="W24" s="126">
        <f t="shared" si="11"/>
        <v>-1.7361909267492592E-3</v>
      </c>
      <c r="X24" s="51" t="str">
        <f t="shared" si="12"/>
        <v>36770IF-TRANSCO/Z6</v>
      </c>
      <c r="Y24" s="418">
        <f t="shared" si="13"/>
        <v>30</v>
      </c>
      <c r="Z24" s="456">
        <f t="shared" si="14"/>
        <v>0.99981596696670227</v>
      </c>
      <c r="AA24" s="456">
        <f>_xll.xSPRDOPT($L24,$J24,$I24,$M24,$O24,$N24,$P24,$Q24-$C$3,$R24,3)</f>
        <v>6.3356565849384609E-5</v>
      </c>
      <c r="AB24" s="456">
        <f>((_xll.xSPRDOPT($L24+AB$5,$J24,$I24,$M24,$O24,$N24,$P24,$Q24-$C$3,$R24,3)*$H24)/10000)/100</f>
        <v>1.9006969754815384E-5</v>
      </c>
      <c r="AC24" s="456">
        <f>((_xll.xSPRDOPT($L24+$AB$5,$J24,$I24,$M24,$O24,$N24,$P24,$Q24-$C$3,$R24,7)*$H24)/100)</f>
        <v>-2.0118422690651198E-3</v>
      </c>
      <c r="AD24" s="456">
        <f>(_xll.xSPRDOPT($L24+$AB$5,$J24,$I24,$M24,$O24,$N24,$P24,$Q24-$C$3,$R24,9)/365)*$H24</f>
        <v>3.5887909349441269</v>
      </c>
      <c r="AE24">
        <f t="shared" si="15"/>
        <v>0</v>
      </c>
      <c r="AF24" s="456">
        <f t="shared" si="16"/>
        <v>7.7281086774013194E-5</v>
      </c>
      <c r="AG24" s="456">
        <f>((_xll.xSPRDOPT($L24,$J24,$I24,$M24,$O24,$N24,$P24,$Q24-$C$3,$R24,6)*$H24)/100)</f>
        <v>-1.1641039943861617E-4</v>
      </c>
      <c r="AH24" s="456">
        <f>((_xll.xSPRDOPT($L24,$J24,$I24,$M24,$O24,$N24,$P24,$Q24-$C$3,$R24,5)*$H24)/100)</f>
        <v>1.9764437368635648E-4</v>
      </c>
      <c r="AI24" s="456">
        <f>(((_xll.xSPRDOPT($L24,$J24,$I24,$M24,$O24,$N24,$P24,$Q24-$C$3,$R24,4)*$H24)/10000)/100)-AB24</f>
        <v>7.4509816436916447E-8</v>
      </c>
      <c r="AJ24" s="456"/>
      <c r="AK24" s="456"/>
      <c r="AL24" s="456"/>
      <c r="AM24" s="472"/>
      <c r="AN24" s="128">
        <f t="shared" si="33"/>
        <v>37257</v>
      </c>
      <c r="AO24" s="43">
        <f t="shared" si="49"/>
        <v>-35.463029112855331</v>
      </c>
      <c r="AP24" s="43">
        <f t="shared" si="49"/>
        <v>0</v>
      </c>
      <c r="AQ24" s="43">
        <f t="shared" si="49"/>
        <v>0</v>
      </c>
      <c r="AR24" s="43">
        <f t="shared" si="49"/>
        <v>0</v>
      </c>
      <c r="AS24" s="43">
        <f t="shared" si="49"/>
        <v>0</v>
      </c>
      <c r="AT24" s="43">
        <f t="shared" si="49"/>
        <v>0</v>
      </c>
      <c r="AU24" s="43">
        <f t="shared" si="49"/>
        <v>0</v>
      </c>
      <c r="AV24" s="43">
        <f t="shared" si="49"/>
        <v>0</v>
      </c>
      <c r="AW24" s="43">
        <f t="shared" si="49"/>
        <v>0</v>
      </c>
      <c r="AX24" s="43">
        <f t="shared" si="49"/>
        <v>0</v>
      </c>
      <c r="AY24" s="43">
        <f t="shared" si="49"/>
        <v>0</v>
      </c>
      <c r="AZ24" s="43">
        <f t="shared" si="49"/>
        <v>0</v>
      </c>
      <c r="BA24" s="44">
        <f t="shared" si="49"/>
        <v>0</v>
      </c>
      <c r="BB24" s="128">
        <f t="shared" si="34"/>
        <v>37257</v>
      </c>
      <c r="BC24" s="44">
        <f t="shared" si="41"/>
        <v>-35.463029112855331</v>
      </c>
      <c r="BD24" s="51"/>
      <c r="BE24" s="128">
        <f t="shared" si="35"/>
        <v>37257</v>
      </c>
      <c r="BF24" s="43">
        <f t="shared" si="50"/>
        <v>-37005.597425922897</v>
      </c>
      <c r="BG24" s="43">
        <f t="shared" si="50"/>
        <v>0</v>
      </c>
      <c r="BH24" s="43">
        <f t="shared" si="50"/>
        <v>0</v>
      </c>
      <c r="BI24" s="43">
        <f t="shared" si="50"/>
        <v>0</v>
      </c>
      <c r="BJ24" s="43">
        <f t="shared" si="50"/>
        <v>0</v>
      </c>
      <c r="BK24" s="43">
        <f t="shared" si="50"/>
        <v>0</v>
      </c>
      <c r="BL24" s="43">
        <f t="shared" si="50"/>
        <v>0</v>
      </c>
      <c r="BM24" s="43">
        <f t="shared" si="50"/>
        <v>0</v>
      </c>
      <c r="BN24" s="43">
        <f t="shared" si="50"/>
        <v>0</v>
      </c>
      <c r="BO24" s="43">
        <f t="shared" si="50"/>
        <v>0</v>
      </c>
      <c r="BP24" s="43">
        <f t="shared" si="50"/>
        <v>0</v>
      </c>
      <c r="BQ24" s="43">
        <f t="shared" si="50"/>
        <v>0</v>
      </c>
      <c r="BR24" s="44">
        <f t="shared" si="50"/>
        <v>0</v>
      </c>
      <c r="BS24" s="128">
        <f t="shared" si="36"/>
        <v>37257</v>
      </c>
      <c r="BT24" s="44">
        <f t="shared" si="37"/>
        <v>-37005.597425922897</v>
      </c>
      <c r="BU24" s="474">
        <f t="shared" si="42"/>
        <v>-3.7005597425922896</v>
      </c>
      <c r="BV24" s="51"/>
      <c r="BW24" s="51"/>
      <c r="BX24" s="51"/>
      <c r="BY24" s="51"/>
      <c r="BZ24" s="51"/>
      <c r="CA24" s="51"/>
      <c r="CB24" s="51"/>
      <c r="CC24" s="141">
        <f t="shared" si="43"/>
        <v>36770</v>
      </c>
      <c r="CD24" s="234">
        <f>_xll.xSPRDOPT((VLOOKUP(G24,NGPrices,2,FALSE)+HLOOKUP(D24,Prices,VLOOKUP(G24,move_down,2,FALSE),FALSE)),VLOOKUP(G24,NGPrices,2,FALSE),I24,VLOOKUP(G24,NGPREVPRICES,4,FALSE),HLOOKUP(D24,PREVVOLS,VLOOKUP(G24,MOVE_DOWN2,2,FALSE),FALSE),VLOOKUP(G24,NGPREVPRICES,3,FALSE),HLOOKUP(D24,Correllate,VLOOKUP(G24,CorMove,2,FALSE),FALSE),Q24-$CD$3,R24,$CD$5)*H24-CJ24</f>
        <v>0</v>
      </c>
      <c r="CE24" s="234">
        <f>_xll.xSPRDOPT((VLOOKUP(G24,NGPREVPRICES,2,FALSE)+HLOOKUP(D24,PREVCURVES,VLOOKUP(G24,MOVE_DOWN2,2,FALSE),FALSE)),VLOOKUP(G24,NGPREVPRICES,2,FALSE),CK24,VLOOKUP(G24,NGPrices,4,FALSE),HLOOKUP(D24,PREVVOLS,VLOOKUP(G24,MOVE_DOWN2,2,FALSE),FALSE),VLOOKUP(G24,NGPREVPRICES,3,FALSE),HLOOKUP(D24,Correllate,VLOOKUP(G24,CorMove,2,FALSE),FALSE),Q24-$CD$3,R24,$CJ$5)*H24-CJ24</f>
        <v>0</v>
      </c>
      <c r="CF24" s="10">
        <f t="shared" si="44"/>
        <v>-3.5521301861554093</v>
      </c>
      <c r="CG24" s="234">
        <f>_xll.xSPRDOPT((VLOOKUP(G24,NGPREVPRICES,2,FALSE)+HLOOKUP(D24,PREVCURVES,VLOOKUP(G24,MOVE_DOWN2,2,FALSE),FALSE)),VLOOKUP(G24,NGPREVPRICES,2,FALSE),CK24,VLOOKUP(G24,NGPREVPRICES,4,FALSE),HLOOKUP(D24,VOLS,VLOOKUP(G24,move_down,2,FALSE),FALSE),VLOOKUP(G24,NGPrices,3,FALSE),HLOOKUP(D24,Correllate,VLOOKUP(G24,CorMove,2,FALSE),FALSE),Q24-$CD$3,R24,$CJ$5)*H24-CJ24</f>
        <v>0</v>
      </c>
      <c r="CH24" s="234">
        <f>_xll.xSPRDOPT((VLOOKUP(G24,NGPREVPRICES,2,FALSE)+HLOOKUP(D24,PREVCURVES,VLOOKUP(G24,MOVE_DOWN2,2,FALSE),FALSE)),VLOOKUP(G24,NGPREVPRICES,2,FALSE),CK24,VLOOKUP(G24,NGPREVPRICES,4,FALSE),HLOOKUP(D24,PREVVOLS,VLOOKUP(G24,MOVE_DOWN2,2,FALSE),FALSE),VLOOKUP(G24,NGPREVPRICES,3,FALSE),HLOOKUP(D24,Correllate,VLOOKUP(G24,CorMove,2,FALSE),FALSE),Q24-$C$3,R24,$CJ$5)*H24-CJ24</f>
        <v>3.3931676845859329</v>
      </c>
      <c r="CI24" s="234">
        <f t="shared" si="45"/>
        <v>-0.15896250156947644</v>
      </c>
      <c r="CJ24" s="234">
        <f>_xll.xSPRDOPT((VLOOKUP(G24,NGPREVPRICES,2,FALSE)+HLOOKUP(D24,PREVCURVES,VLOOKUP(G24,MOVE_DOWN2,2,FALSE),FALSE)),VLOOKUP(G24,NGPREVPRICES,2,FALSE),CK24,VLOOKUP(G24,NGPREVPRICES,4,FALSE),HLOOKUP(D24,PREVVOLS,VLOOKUP(G24,MOVE_DOWN2,2,FALSE),FALSE),VLOOKUP(G24,NGPREVPRICES,3,FALSE),HLOOKUP(D24,Correllate,VLOOKUP(G24,CorMove,2,FALSE),FALSE),Q24-$CD$3,R24,$CJ$5)*H24</f>
        <v>19493.021280464007</v>
      </c>
      <c r="CK24" s="235">
        <f t="shared" si="46"/>
        <v>0.25</v>
      </c>
      <c r="CM24" t="str">
        <f t="shared" si="47"/>
        <v>36770Curve Shift/Gamma</v>
      </c>
      <c r="CN24" t="str">
        <f t="shared" si="19"/>
        <v>36770Rho</v>
      </c>
      <c r="CO24" t="str">
        <f t="shared" si="20"/>
        <v>36770Drift</v>
      </c>
      <c r="CP24" t="str">
        <f t="shared" si="21"/>
        <v>36770Vega</v>
      </c>
      <c r="CQ24" t="str">
        <f t="shared" si="22"/>
        <v>36770Theta</v>
      </c>
      <c r="CR24" s="385">
        <f t="shared" si="38"/>
        <v>37257</v>
      </c>
      <c r="CS24" s="386">
        <f t="shared" si="23"/>
        <v>0</v>
      </c>
      <c r="CT24" s="239">
        <f t="shared" si="24"/>
        <v>0</v>
      </c>
      <c r="CU24" s="239">
        <f t="shared" si="25"/>
        <v>93.208205869101221</v>
      </c>
      <c r="CV24" s="239">
        <f t="shared" si="26"/>
        <v>0</v>
      </c>
      <c r="CW24" s="249">
        <f t="shared" si="27"/>
        <v>148.73153154953616</v>
      </c>
      <c r="CX24" s="240">
        <f t="shared" si="39"/>
        <v>241.93973741863738</v>
      </c>
      <c r="CZ24" s="385">
        <f t="shared" si="40"/>
        <v>37257</v>
      </c>
      <c r="DA24" s="386">
        <f t="shared" si="28"/>
        <v>0</v>
      </c>
      <c r="DB24" s="239">
        <f t="shared" si="29"/>
        <v>0</v>
      </c>
      <c r="DC24" s="239">
        <f t="shared" si="30"/>
        <v>93.208205869101221</v>
      </c>
      <c r="DD24" s="239">
        <f t="shared" si="31"/>
        <v>0</v>
      </c>
      <c r="DE24" s="249">
        <f t="shared" si="32"/>
        <v>148.73153154953616</v>
      </c>
      <c r="DF24" s="240">
        <f t="shared" si="48"/>
        <v>241.93973741863738</v>
      </c>
    </row>
    <row r="25" spans="1:110" ht="12" customHeight="1" x14ac:dyDescent="0.25">
      <c r="A25" s="382" t="s">
        <v>267</v>
      </c>
      <c r="B25" t="s">
        <v>250</v>
      </c>
      <c r="C25" s="7" t="s">
        <v>266</v>
      </c>
      <c r="D25" s="4" t="s">
        <v>10</v>
      </c>
      <c r="E25" s="4" t="s">
        <v>20</v>
      </c>
      <c r="F25" s="5" t="s">
        <v>21</v>
      </c>
      <c r="G25" s="5">
        <v>36800</v>
      </c>
      <c r="H25" s="130">
        <v>620000</v>
      </c>
      <c r="I25" s="4">
        <v>0.16</v>
      </c>
      <c r="J25" s="53">
        <f t="shared" si="1"/>
        <v>4.6920000000000002</v>
      </c>
      <c r="K25" s="7">
        <f t="shared" si="2"/>
        <v>0.185</v>
      </c>
      <c r="L25" s="53">
        <f t="shared" si="3"/>
        <v>4.8769999999999998</v>
      </c>
      <c r="M25" s="157">
        <f t="shared" si="4"/>
        <v>6.8050789414654006E-2</v>
      </c>
      <c r="N25" s="4">
        <f t="shared" si="5"/>
        <v>0.57499999999999996</v>
      </c>
      <c r="O25" s="4">
        <f t="shared" si="6"/>
        <v>0.56399999999999995</v>
      </c>
      <c r="P25" s="9">
        <f t="shared" si="7"/>
        <v>0.995</v>
      </c>
      <c r="Q25" s="5">
        <f t="shared" si="8"/>
        <v>36797</v>
      </c>
      <c r="R25" s="4">
        <f t="shared" si="9"/>
        <v>1</v>
      </c>
      <c r="S25" s="158">
        <f>_xll.xSPRDOPT($L25,$J25,$I25,$M25,$O25,$N25,$P25,$Q25-$C$3,$R25,0)</f>
        <v>4.5296492531647144E-2</v>
      </c>
      <c r="T25" s="159">
        <f>_xll.xSPRDOPT($L25,$J25,$I25,$M25,$O25,$N25,$P25,$Q25-$C$3,$R25,1)*H25</f>
        <v>386864.60749590828</v>
      </c>
      <c r="U25" s="160">
        <f t="shared" si="10"/>
        <v>28083.82536962123</v>
      </c>
      <c r="V25" s="159">
        <f>_xll.xSPRDOPT($L25,$J25,$I25,$M25,$O25,$N25,$P25,$Q25-$C$3,$R25,2)*H25</f>
        <v>-383192.68634745613</v>
      </c>
      <c r="W25" s="159">
        <f t="shared" si="11"/>
        <v>3671.9211484521511</v>
      </c>
      <c r="X25" s="51" t="str">
        <f t="shared" si="12"/>
        <v>36800IF-CGT/APPALAC</v>
      </c>
      <c r="Y25" s="418">
        <f t="shared" si="13"/>
        <v>62</v>
      </c>
      <c r="Z25" s="456">
        <f t="shared" si="14"/>
        <v>0.62397517338049724</v>
      </c>
      <c r="AA25" s="456">
        <f>_xll.xSPRDOPT($L25,$J25,$I25,$M25,$O25,$N25,$P25,$Q25-$C$3,$R25,3)</f>
        <v>4.7555926889035209</v>
      </c>
      <c r="AB25" s="456">
        <f>((_xll.xSPRDOPT($L25+AB$5,$J25,$I25,$M25,$O25,$N25,$P25,$Q25-$C$3,$R25,3)*$H25)/10000)/100</f>
        <v>2.9484674671201834</v>
      </c>
      <c r="AC25" s="456">
        <f>((_xll.xSPRDOPT($L25+$AB$5,$J25,$I25,$M25,$O25,$N25,$P25,$Q25-$C$3,$R25,7)*$H25)/100)</f>
        <v>-18061.750962873586</v>
      </c>
      <c r="AD25" s="456">
        <f>(_xll.xSPRDOPT($L25+$AB$5,$J25,$I25,$M25,$O25,$N25,$P25,$Q25-$C$3,$R25,9)/365)*$H25</f>
        <v>-303.09323120719819</v>
      </c>
      <c r="AE25">
        <f t="shared" si="15"/>
        <v>0</v>
      </c>
      <c r="AF25" s="456">
        <f t="shared" si="16"/>
        <v>321.51454749269152</v>
      </c>
      <c r="AG25" s="456">
        <f>((_xll.xSPRDOPT($L25,$J25,$I25,$M25,$O25,$N25,$P25,$Q25-$C$3,$R25,6)*$H25)/100)</f>
        <v>-289.38445851095065</v>
      </c>
      <c r="AH25" s="456">
        <f>((_xll.xSPRDOPT($L25,$J25,$I25,$M25,$O25,$N25,$P25,$Q25-$C$3,$R25,5)*$H25)/100)</f>
        <v>622.8137029292451</v>
      </c>
      <c r="AI25" s="456">
        <f>(((_xll.xSPRDOPT($L25,$J25,$I25,$M25,$O25,$N25,$P25,$Q25-$C$3,$R25,4)*$H25)/10000)/100)-AB25</f>
        <v>2.9787279387426313E-2</v>
      </c>
      <c r="AJ25" s="456"/>
      <c r="AK25" s="456"/>
      <c r="AL25" s="456"/>
      <c r="AM25" s="472"/>
      <c r="AN25" s="128">
        <f t="shared" si="33"/>
        <v>37288</v>
      </c>
      <c r="AO25" s="43">
        <f t="shared" si="49"/>
        <v>-36.1227753389974</v>
      </c>
      <c r="AP25" s="43">
        <f t="shared" si="49"/>
        <v>0</v>
      </c>
      <c r="AQ25" s="43">
        <f t="shared" si="49"/>
        <v>0</v>
      </c>
      <c r="AR25" s="43">
        <f t="shared" si="49"/>
        <v>0</v>
      </c>
      <c r="AS25" s="43">
        <f t="shared" si="49"/>
        <v>0</v>
      </c>
      <c r="AT25" s="43">
        <f t="shared" si="49"/>
        <v>0</v>
      </c>
      <c r="AU25" s="43">
        <f t="shared" si="49"/>
        <v>0</v>
      </c>
      <c r="AV25" s="43">
        <f t="shared" si="49"/>
        <v>0</v>
      </c>
      <c r="AW25" s="43">
        <f t="shared" si="49"/>
        <v>0</v>
      </c>
      <c r="AX25" s="43">
        <f t="shared" si="49"/>
        <v>0</v>
      </c>
      <c r="AY25" s="43">
        <f t="shared" si="49"/>
        <v>0</v>
      </c>
      <c r="AZ25" s="43">
        <f t="shared" si="49"/>
        <v>0</v>
      </c>
      <c r="BA25" s="44">
        <f t="shared" si="49"/>
        <v>0</v>
      </c>
      <c r="BB25" s="128">
        <f t="shared" si="34"/>
        <v>37288</v>
      </c>
      <c r="BC25" s="44">
        <f t="shared" si="41"/>
        <v>-36.1227753389974</v>
      </c>
      <c r="BD25" s="51"/>
      <c r="BE25" s="128">
        <f t="shared" si="35"/>
        <v>37288</v>
      </c>
      <c r="BF25" s="43">
        <f t="shared" si="50"/>
        <v>-35086.060442525748</v>
      </c>
      <c r="BG25" s="43">
        <f t="shared" si="50"/>
        <v>0</v>
      </c>
      <c r="BH25" s="43">
        <f t="shared" si="50"/>
        <v>0</v>
      </c>
      <c r="BI25" s="43">
        <f t="shared" si="50"/>
        <v>0</v>
      </c>
      <c r="BJ25" s="43">
        <f t="shared" si="50"/>
        <v>0</v>
      </c>
      <c r="BK25" s="43">
        <f t="shared" si="50"/>
        <v>0</v>
      </c>
      <c r="BL25" s="43">
        <f t="shared" si="50"/>
        <v>0</v>
      </c>
      <c r="BM25" s="43">
        <f t="shared" si="50"/>
        <v>0</v>
      </c>
      <c r="BN25" s="43">
        <f t="shared" si="50"/>
        <v>0</v>
      </c>
      <c r="BO25" s="43">
        <f t="shared" si="50"/>
        <v>0</v>
      </c>
      <c r="BP25" s="43">
        <f t="shared" si="50"/>
        <v>0</v>
      </c>
      <c r="BQ25" s="43">
        <f t="shared" si="50"/>
        <v>0</v>
      </c>
      <c r="BR25" s="44">
        <f t="shared" si="50"/>
        <v>0</v>
      </c>
      <c r="BS25" s="128">
        <f t="shared" si="36"/>
        <v>37288</v>
      </c>
      <c r="BT25" s="44">
        <f t="shared" si="37"/>
        <v>-35086.060442525748</v>
      </c>
      <c r="BU25" s="474">
        <f t="shared" si="42"/>
        <v>-3.5086060442525748</v>
      </c>
      <c r="BV25" s="51"/>
      <c r="BW25" s="51"/>
      <c r="BX25" s="51"/>
      <c r="BY25" s="51"/>
      <c r="BZ25" s="51"/>
      <c r="CA25" s="51"/>
      <c r="CB25" s="51"/>
      <c r="CC25" s="141">
        <f t="shared" si="43"/>
        <v>36800</v>
      </c>
      <c r="CD25" s="234">
        <f>_xll.xSPRDOPT((VLOOKUP(G25,NGPrices,2,FALSE)+HLOOKUP(D25,Prices,VLOOKUP(G25,move_down,2,FALSE),FALSE)),VLOOKUP(G25,NGPrices,2,FALSE),I25,VLOOKUP(G25,NGPREVPRICES,4,FALSE),HLOOKUP(D25,PREVVOLS,VLOOKUP(G25,MOVE_DOWN2,2,FALSE),FALSE),VLOOKUP(G25,NGPREVPRICES,3,FALSE),HLOOKUP(D25,Correllate,VLOOKUP(G25,CorMove,2,FALSE),FALSE),Q25-$CD$3,R25,$CD$5)*H25-CJ25</f>
        <v>0</v>
      </c>
      <c r="CE25" s="234">
        <f>_xll.xSPRDOPT((VLOOKUP(G25,NGPREVPRICES,2,FALSE)+HLOOKUP(D25,PREVCURVES,VLOOKUP(G25,MOVE_DOWN2,2,FALSE),FALSE)),VLOOKUP(G25,NGPREVPRICES,2,FALSE),CK25,VLOOKUP(G25,NGPrices,4,FALSE),HLOOKUP(D25,PREVVOLS,VLOOKUP(G25,MOVE_DOWN2,2,FALSE),FALSE),VLOOKUP(G25,NGPREVPRICES,3,FALSE),HLOOKUP(D25,Correllate,VLOOKUP(G25,CorMove,2,FALSE),FALSE),Q25-$CD$3,R25,$CJ$5)*H25-CJ25</f>
        <v>0</v>
      </c>
      <c r="CF25" s="10">
        <f t="shared" si="44"/>
        <v>-5.2328251014587295</v>
      </c>
      <c r="CG25" s="234">
        <f>_xll.xSPRDOPT((VLOOKUP(G25,NGPREVPRICES,2,FALSE)+HLOOKUP(D25,PREVCURVES,VLOOKUP(G25,MOVE_DOWN2,2,FALSE),FALSE)),VLOOKUP(G25,NGPREVPRICES,2,FALSE),CK25,VLOOKUP(G25,NGPREVPRICES,4,FALSE),HLOOKUP(D25,VOLS,VLOOKUP(G25,move_down,2,FALSE),FALSE),VLOOKUP(G25,NGPrices,3,FALSE),HLOOKUP(D25,Correllate,VLOOKUP(G25,CorMove,2,FALSE),FALSE),Q25-$CD$3,R25,$CJ$5)*H25-CJ25</f>
        <v>0</v>
      </c>
      <c r="CH25" s="234">
        <f>_xll.xSPRDOPT((VLOOKUP(G25,NGPREVPRICES,2,FALSE)+HLOOKUP(D25,PREVCURVES,VLOOKUP(G25,MOVE_DOWN2,2,FALSE),FALSE)),VLOOKUP(G25,NGPREVPRICES,2,FALSE),CK25,VLOOKUP(G25,NGPREVPRICES,4,FALSE),HLOOKUP(D25,PREVVOLS,VLOOKUP(G25,MOVE_DOWN2,2,FALSE),FALSE),VLOOKUP(G25,NGPREVPRICES,3,FALSE),HLOOKUP(D25,Correllate,VLOOKUP(G25,CorMove,2,FALSE),FALSE),Q25-$C$3,R25,$CJ$5)*H25-CJ25</f>
        <v>-300.56414276115538</v>
      </c>
      <c r="CI25" s="234">
        <f t="shared" si="45"/>
        <v>-305.79696786261411</v>
      </c>
      <c r="CJ25" s="234">
        <f>_xll.xSPRDOPT((VLOOKUP(G25,NGPREVPRICES,2,FALSE)+HLOOKUP(D25,PREVCURVES,VLOOKUP(G25,MOVE_DOWN2,2,FALSE),FALSE)),VLOOKUP(G25,NGPREVPRICES,2,FALSE),CK25,VLOOKUP(G25,NGPREVPRICES,4,FALSE),HLOOKUP(D25,PREVVOLS,VLOOKUP(G25,MOVE_DOWN2,2,FALSE),FALSE),VLOOKUP(G25,NGPREVPRICES,3,FALSE),HLOOKUP(D25,Correllate,VLOOKUP(G25,CorMove,2,FALSE),FALSE),Q25-$CD$3,R25,$CJ$5)*H25</f>
        <v>28384.389512382386</v>
      </c>
      <c r="CK25" s="235">
        <f t="shared" si="46"/>
        <v>0.16</v>
      </c>
      <c r="CM25" t="str">
        <f t="shared" si="47"/>
        <v>36800Curve Shift/Gamma</v>
      </c>
      <c r="CN25" t="str">
        <f t="shared" si="19"/>
        <v>36800Rho</v>
      </c>
      <c r="CO25" t="str">
        <f t="shared" si="20"/>
        <v>36800Drift</v>
      </c>
      <c r="CP25" t="str">
        <f t="shared" si="21"/>
        <v>36800Vega</v>
      </c>
      <c r="CQ25" t="str">
        <f t="shared" si="22"/>
        <v>36800Theta</v>
      </c>
      <c r="CR25" s="385">
        <f t="shared" si="38"/>
        <v>37288</v>
      </c>
      <c r="CS25" s="386">
        <f t="shared" si="23"/>
        <v>0</v>
      </c>
      <c r="CT25" s="239">
        <f t="shared" si="24"/>
        <v>0</v>
      </c>
      <c r="CU25" s="239">
        <f t="shared" si="25"/>
        <v>91.525080952444114</v>
      </c>
      <c r="CV25" s="239">
        <f t="shared" si="26"/>
        <v>0</v>
      </c>
      <c r="CW25" s="249">
        <f t="shared" si="27"/>
        <v>120.2385566313169</v>
      </c>
      <c r="CX25" s="240">
        <f t="shared" si="39"/>
        <v>211.76363758376101</v>
      </c>
      <c r="CZ25" s="385">
        <f t="shared" si="40"/>
        <v>37288</v>
      </c>
      <c r="DA25" s="386">
        <f t="shared" si="28"/>
        <v>0</v>
      </c>
      <c r="DB25" s="239">
        <f t="shared" si="29"/>
        <v>0</v>
      </c>
      <c r="DC25" s="239">
        <f t="shared" si="30"/>
        <v>91.525080952444114</v>
      </c>
      <c r="DD25" s="239">
        <f t="shared" si="31"/>
        <v>0</v>
      </c>
      <c r="DE25" s="249">
        <f t="shared" si="32"/>
        <v>120.2385566313169</v>
      </c>
      <c r="DF25" s="240">
        <f t="shared" si="48"/>
        <v>211.76363758376101</v>
      </c>
    </row>
    <row r="26" spans="1:110" ht="12" customHeight="1" x14ac:dyDescent="0.25">
      <c r="A26" s="382" t="s">
        <v>267</v>
      </c>
      <c r="B26" t="s">
        <v>250</v>
      </c>
      <c r="C26" s="7" t="s">
        <v>266</v>
      </c>
      <c r="D26" s="4" t="s">
        <v>10</v>
      </c>
      <c r="E26" s="4" t="s">
        <v>20</v>
      </c>
      <c r="F26" s="5" t="s">
        <v>21</v>
      </c>
      <c r="G26" s="5">
        <v>36770</v>
      </c>
      <c r="H26" s="130">
        <v>600000</v>
      </c>
      <c r="I26" s="4">
        <v>0.16</v>
      </c>
      <c r="J26" s="53">
        <f t="shared" si="1"/>
        <v>4.6849999999999996</v>
      </c>
      <c r="K26" s="7">
        <f t="shared" si="2"/>
        <v>0.17</v>
      </c>
      <c r="L26" s="53">
        <f t="shared" si="3"/>
        <v>4.8549999999999995</v>
      </c>
      <c r="M26" s="157">
        <f t="shared" si="4"/>
        <v>6.7216196212184998E-2</v>
      </c>
      <c r="N26" s="4">
        <f t="shared" si="5"/>
        <v>0.4</v>
      </c>
      <c r="O26" s="4">
        <f t="shared" si="6"/>
        <v>0.39200000000000002</v>
      </c>
      <c r="P26" s="9">
        <f t="shared" si="7"/>
        <v>0.995</v>
      </c>
      <c r="Q26" s="5">
        <f t="shared" si="8"/>
        <v>36768</v>
      </c>
      <c r="R26" s="4">
        <f t="shared" si="9"/>
        <v>1</v>
      </c>
      <c r="S26" s="158">
        <f>_xll.xSPRDOPT($L26,$J26,$I26,$M26,$O26,$N26,$P26,$Q26-$C$3,$R26,0)</f>
        <v>1.0823910720772181E-2</v>
      </c>
      <c r="T26" s="159">
        <f>_xll.xSPRDOPT($L26,$J26,$I26,$M26,$O26,$N26,$P26,$Q26-$C$3,$R26,1)*H26</f>
        <v>505302.30687718804</v>
      </c>
      <c r="U26" s="160">
        <f t="shared" si="10"/>
        <v>6494.3464324633087</v>
      </c>
      <c r="V26" s="159">
        <f>_xll.xSPRDOPT($L26,$J26,$I26,$M26,$O26,$N26,$P26,$Q26-$C$3,$R26,2)*H26</f>
        <v>-505013.17259984167</v>
      </c>
      <c r="W26" s="159">
        <f t="shared" si="11"/>
        <v>289.13427734636934</v>
      </c>
      <c r="X26" s="51" t="str">
        <f t="shared" si="12"/>
        <v>36770IF-CGT/APPALAC</v>
      </c>
      <c r="Y26" s="418">
        <f t="shared" si="13"/>
        <v>60</v>
      </c>
      <c r="Z26" s="456">
        <f t="shared" si="14"/>
        <v>0.84217051146198008</v>
      </c>
      <c r="AA26" s="456">
        <f>_xll.xSPRDOPT($L26,$J26,$I26,$M26,$O26,$N26,$P26,$Q26-$C$3,$R26,3)</f>
        <v>24.141426010500172</v>
      </c>
      <c r="AB26" s="456">
        <f>((_xll.xSPRDOPT($L26+AB$5,$J26,$I26,$M26,$O26,$N26,$P26,$Q26-$C$3,$R26,3)*$H26)/10000)/100</f>
        <v>14.484855606300103</v>
      </c>
      <c r="AC26" s="456">
        <f>((_xll.xSPRDOPT($L26+$AB$5,$J26,$I26,$M26,$O26,$N26,$P26,$Q26-$C$3,$R26,7)*$H26)/100)</f>
        <v>-1417.2506761657776</v>
      </c>
      <c r="AD26" s="456">
        <f>(_xll.xSPRDOPT($L26+$AB$5,$J26,$I26,$M26,$O26,$N26,$P26,$Q26-$C$3,$R26,9)/365)*$H26</f>
        <v>-720.72866212747215</v>
      </c>
      <c r="AE26">
        <f t="shared" si="15"/>
        <v>0</v>
      </c>
      <c r="AF26" s="456">
        <f t="shared" si="16"/>
        <v>36.071900590412355</v>
      </c>
      <c r="AG26" s="456">
        <f>((_xll.xSPRDOPT($L26,$J26,$I26,$M26,$O26,$N26,$P26,$Q26-$C$3,$R26,6)*$H26)/100)</f>
        <v>-29.570361148173905</v>
      </c>
      <c r="AH26" s="456">
        <f>((_xll.xSPRDOPT($L26,$J26,$I26,$M26,$O26,$N26,$P26,$Q26-$C$3,$R26,5)*$H26)/100)</f>
        <v>66.981899733251282</v>
      </c>
      <c r="AI26" s="456">
        <f>(((_xll.xSPRDOPT($L26,$J26,$I26,$M26,$O26,$N26,$P26,$Q26-$C$3,$R26,4)*$H26)/10000)/100)-AB26</f>
        <v>5.8194531879211198E-2</v>
      </c>
      <c r="AJ26" s="456"/>
      <c r="AK26" s="456"/>
      <c r="AL26" s="456"/>
      <c r="AM26" s="472"/>
      <c r="AN26" s="128">
        <f t="shared" si="33"/>
        <v>37316</v>
      </c>
      <c r="AO26" s="43">
        <f t="shared" si="49"/>
        <v>-19.647935670388907</v>
      </c>
      <c r="AP26" s="43">
        <f t="shared" si="49"/>
        <v>0</v>
      </c>
      <c r="AQ26" s="43">
        <f t="shared" si="49"/>
        <v>0</v>
      </c>
      <c r="AR26" s="43">
        <f t="shared" si="49"/>
        <v>0</v>
      </c>
      <c r="AS26" s="43">
        <f t="shared" si="49"/>
        <v>0</v>
      </c>
      <c r="AT26" s="43">
        <f t="shared" si="49"/>
        <v>0</v>
      </c>
      <c r="AU26" s="43">
        <f t="shared" si="49"/>
        <v>0</v>
      </c>
      <c r="AV26" s="43">
        <f t="shared" si="49"/>
        <v>0</v>
      </c>
      <c r="AW26" s="43">
        <f t="shared" si="49"/>
        <v>0</v>
      </c>
      <c r="AX26" s="43">
        <f t="shared" si="49"/>
        <v>0</v>
      </c>
      <c r="AY26" s="43">
        <f t="shared" si="49"/>
        <v>0</v>
      </c>
      <c r="AZ26" s="43">
        <f t="shared" si="49"/>
        <v>0</v>
      </c>
      <c r="BA26" s="44">
        <f t="shared" si="49"/>
        <v>0</v>
      </c>
      <c r="BB26" s="128">
        <f t="shared" si="34"/>
        <v>37316</v>
      </c>
      <c r="BC26" s="44">
        <f t="shared" si="41"/>
        <v>-19.647935670388907</v>
      </c>
      <c r="BD26" s="51"/>
      <c r="BE26" s="128">
        <f t="shared" si="35"/>
        <v>37316</v>
      </c>
      <c r="BF26" s="43">
        <f t="shared" si="50"/>
        <v>-52249.916281309037</v>
      </c>
      <c r="BG26" s="43">
        <f t="shared" si="50"/>
        <v>0</v>
      </c>
      <c r="BH26" s="43">
        <f t="shared" si="50"/>
        <v>0</v>
      </c>
      <c r="BI26" s="43">
        <f t="shared" si="50"/>
        <v>0</v>
      </c>
      <c r="BJ26" s="43">
        <f t="shared" si="50"/>
        <v>0</v>
      </c>
      <c r="BK26" s="43">
        <f t="shared" si="50"/>
        <v>0</v>
      </c>
      <c r="BL26" s="43">
        <f t="shared" si="50"/>
        <v>0</v>
      </c>
      <c r="BM26" s="43">
        <f t="shared" si="50"/>
        <v>0</v>
      </c>
      <c r="BN26" s="43">
        <f t="shared" si="50"/>
        <v>0</v>
      </c>
      <c r="BO26" s="43">
        <f t="shared" si="50"/>
        <v>0</v>
      </c>
      <c r="BP26" s="43">
        <f t="shared" si="50"/>
        <v>0</v>
      </c>
      <c r="BQ26" s="43">
        <f t="shared" si="50"/>
        <v>0</v>
      </c>
      <c r="BR26" s="44">
        <f t="shared" si="50"/>
        <v>0</v>
      </c>
      <c r="BS26" s="128">
        <f t="shared" si="36"/>
        <v>37316</v>
      </c>
      <c r="BT26" s="44">
        <f t="shared" si="37"/>
        <v>-52249.916281309037</v>
      </c>
      <c r="BU26" s="474">
        <f t="shared" si="42"/>
        <v>-5.2249916281309039</v>
      </c>
      <c r="BV26" s="51"/>
      <c r="BW26" s="51"/>
      <c r="BX26" s="51"/>
      <c r="BY26" s="51"/>
      <c r="BZ26" s="51"/>
      <c r="CA26" s="51"/>
      <c r="CB26" s="51"/>
      <c r="CC26" s="141">
        <f t="shared" si="43"/>
        <v>36770</v>
      </c>
      <c r="CD26" s="234">
        <f>_xll.xSPRDOPT((VLOOKUP(G26,NGPrices,2,FALSE)+HLOOKUP(D26,Prices,VLOOKUP(G26,move_down,2,FALSE),FALSE)),VLOOKUP(G26,NGPrices,2,FALSE),I26,VLOOKUP(G26,NGPREVPRICES,4,FALSE),HLOOKUP(D26,PREVVOLS,VLOOKUP(G26,MOVE_DOWN2,2,FALSE),FALSE),VLOOKUP(G26,NGPREVPRICES,3,FALSE),HLOOKUP(D26,Correllate,VLOOKUP(G26,CorMove,2,FALSE),FALSE),Q26-$CD$3,R26,$CD$5)*H26-CJ26</f>
        <v>0</v>
      </c>
      <c r="CE26" s="234">
        <f>_xll.xSPRDOPT((VLOOKUP(G26,NGPREVPRICES,2,FALSE)+HLOOKUP(D26,PREVCURVES,VLOOKUP(G26,MOVE_DOWN2,2,FALSE),FALSE)),VLOOKUP(G26,NGPREVPRICES,2,FALSE),CK26,VLOOKUP(G26,NGPrices,4,FALSE),HLOOKUP(D26,PREVVOLS,VLOOKUP(G26,MOVE_DOWN2,2,FALSE),FALSE),VLOOKUP(G26,NGPREVPRICES,3,FALSE),HLOOKUP(D26,Correllate,VLOOKUP(G26,CorMove,2,FALSE),FALSE),Q26-$CD$3,R26,$CJ$5)*H26-CJ26</f>
        <v>0</v>
      </c>
      <c r="CF26" s="10">
        <f t="shared" si="44"/>
        <v>-1.3097161381674596</v>
      </c>
      <c r="CG26" s="234">
        <f>_xll.xSPRDOPT((VLOOKUP(G26,NGPREVPRICES,2,FALSE)+HLOOKUP(D26,PREVCURVES,VLOOKUP(G26,MOVE_DOWN2,2,FALSE),FALSE)),VLOOKUP(G26,NGPREVPRICES,2,FALSE),CK26,VLOOKUP(G26,NGPREVPRICES,4,FALSE),HLOOKUP(D26,VOLS,VLOOKUP(G26,move_down,2,FALSE),FALSE),VLOOKUP(G26,NGPrices,3,FALSE),HLOOKUP(D26,Correllate,VLOOKUP(G26,CorMove,2,FALSE),FALSE),Q26-$CD$3,R26,$CJ$5)*H26-CJ26</f>
        <v>0</v>
      </c>
      <c r="CH26" s="234">
        <f>_xll.xSPRDOPT((VLOOKUP(G26,NGPREVPRICES,2,FALSE)+HLOOKUP(D26,PREVCURVES,VLOOKUP(G26,MOVE_DOWN2,2,FALSE),FALSE)),VLOOKUP(G26,NGPREVPRICES,2,FALSE),CK26,VLOOKUP(G26,NGPREVPRICES,4,FALSE),HLOOKUP(D26,PREVVOLS,VLOOKUP(G26,MOVE_DOWN2,2,FALSE),FALSE),VLOOKUP(G26,NGPREVPRICES,3,FALSE),HLOOKUP(D26,Correllate,VLOOKUP(G26,CorMove,2,FALSE),FALSE),Q26-$C$3,R26,$CJ$5)*H26-CJ26</f>
        <v>-692.98151294281433</v>
      </c>
      <c r="CI26" s="234">
        <f t="shared" si="45"/>
        <v>-694.29122908098179</v>
      </c>
      <c r="CJ26" s="234">
        <f>_xll.xSPRDOPT((VLOOKUP(G26,NGPREVPRICES,2,FALSE)+HLOOKUP(D26,PREVCURVES,VLOOKUP(G26,MOVE_DOWN2,2,FALSE),FALSE)),VLOOKUP(G26,NGPREVPRICES,2,FALSE),CK26,VLOOKUP(G26,NGPREVPRICES,4,FALSE),HLOOKUP(D26,PREVVOLS,VLOOKUP(G26,MOVE_DOWN2,2,FALSE),FALSE),VLOOKUP(G26,NGPREVPRICES,3,FALSE),HLOOKUP(D26,Correllate,VLOOKUP(G26,CorMove,2,FALSE),FALSE),Q26-$CD$3,R26,$CJ$5)*H26</f>
        <v>7187.327945406123</v>
      </c>
      <c r="CK26" s="235">
        <f t="shared" si="46"/>
        <v>0.16</v>
      </c>
      <c r="CM26" t="str">
        <f t="shared" si="47"/>
        <v>36770Curve Shift/Gamma</v>
      </c>
      <c r="CN26" t="str">
        <f t="shared" si="19"/>
        <v>36770Rho</v>
      </c>
      <c r="CO26" t="str">
        <f t="shared" si="20"/>
        <v>36770Drift</v>
      </c>
      <c r="CP26" t="str">
        <f t="shared" si="21"/>
        <v>36770Vega</v>
      </c>
      <c r="CQ26" t="str">
        <f t="shared" si="22"/>
        <v>36770Theta</v>
      </c>
      <c r="CR26" s="385">
        <f t="shared" si="38"/>
        <v>37316</v>
      </c>
      <c r="CS26" s="386">
        <f t="shared" si="23"/>
        <v>0</v>
      </c>
      <c r="CT26" s="239">
        <f t="shared" si="24"/>
        <v>0</v>
      </c>
      <c r="CU26" s="239">
        <f t="shared" si="25"/>
        <v>53.203979396945215</v>
      </c>
      <c r="CV26" s="239">
        <f t="shared" si="26"/>
        <v>0</v>
      </c>
      <c r="CW26" s="249">
        <f t="shared" si="27"/>
        <v>222.441047673914</v>
      </c>
      <c r="CX26" s="240">
        <f t="shared" si="39"/>
        <v>275.64502707085921</v>
      </c>
      <c r="CZ26" s="385">
        <f t="shared" si="40"/>
        <v>37316</v>
      </c>
      <c r="DA26" s="386">
        <f t="shared" si="28"/>
        <v>0</v>
      </c>
      <c r="DB26" s="239">
        <f t="shared" si="29"/>
        <v>0</v>
      </c>
      <c r="DC26" s="239">
        <f t="shared" si="30"/>
        <v>53.203979396945215</v>
      </c>
      <c r="DD26" s="239">
        <f t="shared" si="31"/>
        <v>0</v>
      </c>
      <c r="DE26" s="249">
        <f t="shared" si="32"/>
        <v>222.441047673914</v>
      </c>
      <c r="DF26" s="240">
        <f t="shared" si="48"/>
        <v>275.64502707085921</v>
      </c>
    </row>
    <row r="27" spans="1:110" ht="12" customHeight="1" x14ac:dyDescent="0.25">
      <c r="A27" s="140" t="s">
        <v>270</v>
      </c>
      <c r="B27" t="s">
        <v>129</v>
      </c>
      <c r="C27" t="s">
        <v>271</v>
      </c>
      <c r="D27" s="4" t="s">
        <v>10</v>
      </c>
      <c r="E27" s="4" t="s">
        <v>20</v>
      </c>
      <c r="F27" s="5" t="s">
        <v>21</v>
      </c>
      <c r="G27" s="5">
        <v>36800</v>
      </c>
      <c r="H27" s="130">
        <v>310000</v>
      </c>
      <c r="I27">
        <v>0.16</v>
      </c>
      <c r="J27" s="53">
        <f t="shared" si="1"/>
        <v>4.6920000000000002</v>
      </c>
      <c r="K27" s="7">
        <f t="shared" si="2"/>
        <v>0.185</v>
      </c>
      <c r="L27" s="53">
        <f t="shared" si="3"/>
        <v>4.8769999999999998</v>
      </c>
      <c r="M27" s="157">
        <f t="shared" si="4"/>
        <v>6.8050789414654006E-2</v>
      </c>
      <c r="N27" s="4">
        <f t="shared" si="5"/>
        <v>0.57499999999999996</v>
      </c>
      <c r="O27" s="4">
        <f t="shared" si="6"/>
        <v>0.56399999999999995</v>
      </c>
      <c r="P27" s="9">
        <f t="shared" si="7"/>
        <v>0.995</v>
      </c>
      <c r="Q27" s="5">
        <f t="shared" si="8"/>
        <v>36797</v>
      </c>
      <c r="R27" s="4">
        <f t="shared" si="9"/>
        <v>1</v>
      </c>
      <c r="S27" s="158">
        <f>_xll.xSPRDOPT($L27,$J27,$I27,$M27,$O27,$N27,$P27,$Q27-$C$3,$R27,0)</f>
        <v>4.5296492531647144E-2</v>
      </c>
      <c r="T27" s="159">
        <f>_xll.xSPRDOPT($L27,$J27,$I27,$M27,$O27,$N27,$P27,$Q27-$C$3,$R27,1)*H27</f>
        <v>193432.30374795414</v>
      </c>
      <c r="U27" s="160">
        <f t="shared" si="10"/>
        <v>14041.912684810615</v>
      </c>
      <c r="V27" s="159">
        <f>_xll.xSPRDOPT($L27,$J27,$I27,$M27,$O27,$N27,$P27,$Q27-$C$3,$R27,2)*H27</f>
        <v>-191596.34317372806</v>
      </c>
      <c r="W27" s="159">
        <f t="shared" si="11"/>
        <v>1835.9605742260756</v>
      </c>
      <c r="X27" s="51" t="str">
        <f t="shared" si="12"/>
        <v>36800IF-CGT/APPALAC</v>
      </c>
      <c r="Y27" s="418">
        <f t="shared" si="13"/>
        <v>31</v>
      </c>
      <c r="Z27" s="456">
        <f t="shared" si="14"/>
        <v>0.62397517338049724</v>
      </c>
      <c r="AA27" s="456">
        <f>_xll.xSPRDOPT($L27,$J27,$I27,$M27,$O27,$N27,$P27,$Q27-$C$3,$R27,3)</f>
        <v>4.7555926889035209</v>
      </c>
      <c r="AB27" s="456">
        <f>((_xll.xSPRDOPT($L27+AB$5,$J27,$I27,$M27,$O27,$N27,$P27,$Q27-$C$3,$R27,3)*$H27)/10000)/100</f>
        <v>1.4742337335600917</v>
      </c>
      <c r="AC27" s="456">
        <f>((_xll.xSPRDOPT($L27+$AB$5,$J27,$I27,$M27,$O27,$N27,$P27,$Q27-$C$3,$R27,7)*$H27)/100)</f>
        <v>-9030.8754814367931</v>
      </c>
      <c r="AD27" s="456">
        <f>(_xll.xSPRDOPT($L27+$AB$5,$J27,$I27,$M27,$O27,$N27,$P27,$Q27-$C$3,$R27,9)/365)*$H27</f>
        <v>-151.54661560359909</v>
      </c>
      <c r="AE27">
        <f t="shared" si="15"/>
        <v>0</v>
      </c>
      <c r="AF27" s="456">
        <f t="shared" si="16"/>
        <v>160.75727374634576</v>
      </c>
      <c r="AG27" s="456">
        <f>((_xll.xSPRDOPT($L27,$J27,$I27,$M27,$O27,$N27,$P27,$Q27-$C$3,$R27,6)*$H27)/100)</f>
        <v>-144.69222925547533</v>
      </c>
      <c r="AH27" s="456">
        <f>((_xll.xSPRDOPT($L27,$J27,$I27,$M27,$O27,$N27,$P27,$Q27-$C$3,$R27,5)*$H27)/100)</f>
        <v>311.40685146462255</v>
      </c>
      <c r="AI27" s="456">
        <f>(((_xll.xSPRDOPT($L27,$J27,$I27,$M27,$O27,$N27,$P27,$Q27-$C$3,$R27,4)*$H27)/10000)/100)-AB27</f>
        <v>1.4893639693713157E-2</v>
      </c>
      <c r="AJ27" s="456"/>
      <c r="AK27" s="456"/>
      <c r="AL27" s="456"/>
      <c r="AM27" s="472"/>
      <c r="AN27" s="128">
        <f t="shared" si="33"/>
        <v>37347</v>
      </c>
      <c r="AO27" s="43">
        <f t="shared" ref="AO27:BA36" si="51">SUMIF($X:$X,CONCATENATE($AN27,AO$6),$T:$T)/10000</f>
        <v>0</v>
      </c>
      <c r="AP27" s="43">
        <f t="shared" si="51"/>
        <v>0</v>
      </c>
      <c r="AQ27" s="43">
        <f t="shared" si="51"/>
        <v>0</v>
      </c>
      <c r="AR27" s="43">
        <f t="shared" si="51"/>
        <v>0</v>
      </c>
      <c r="AS27" s="43">
        <f t="shared" si="51"/>
        <v>0</v>
      </c>
      <c r="AT27" s="43">
        <f t="shared" si="51"/>
        <v>0</v>
      </c>
      <c r="AU27" s="43">
        <f t="shared" si="51"/>
        <v>0</v>
      </c>
      <c r="AV27" s="43">
        <f t="shared" si="51"/>
        <v>0</v>
      </c>
      <c r="AW27" s="43">
        <f t="shared" si="51"/>
        <v>0</v>
      </c>
      <c r="AX27" s="43">
        <f t="shared" si="51"/>
        <v>0</v>
      </c>
      <c r="AY27" s="43">
        <f t="shared" si="51"/>
        <v>0</v>
      </c>
      <c r="AZ27" s="43">
        <f t="shared" si="51"/>
        <v>0</v>
      </c>
      <c r="BA27" s="44">
        <f t="shared" si="51"/>
        <v>0</v>
      </c>
      <c r="BB27" s="128">
        <f t="shared" si="34"/>
        <v>37347</v>
      </c>
      <c r="BC27" s="44">
        <f t="shared" si="41"/>
        <v>0</v>
      </c>
      <c r="BD27" s="51"/>
      <c r="BE27" s="128">
        <f t="shared" si="35"/>
        <v>37347</v>
      </c>
      <c r="BF27" s="43">
        <f t="shared" ref="BF27:BR36" si="52">SUMIF($X:$X,CONCATENATE($AN27,BF$6),$W:$W)</f>
        <v>0</v>
      </c>
      <c r="BG27" s="43">
        <f t="shared" si="52"/>
        <v>0</v>
      </c>
      <c r="BH27" s="43">
        <f t="shared" si="52"/>
        <v>0</v>
      </c>
      <c r="BI27" s="43">
        <f t="shared" si="52"/>
        <v>0</v>
      </c>
      <c r="BJ27" s="43">
        <f t="shared" si="52"/>
        <v>0</v>
      </c>
      <c r="BK27" s="43">
        <f t="shared" si="52"/>
        <v>0</v>
      </c>
      <c r="BL27" s="43">
        <f t="shared" si="52"/>
        <v>0</v>
      </c>
      <c r="BM27" s="43">
        <f t="shared" si="52"/>
        <v>0</v>
      </c>
      <c r="BN27" s="43">
        <f t="shared" si="52"/>
        <v>0</v>
      </c>
      <c r="BO27" s="43">
        <f t="shared" si="52"/>
        <v>0</v>
      </c>
      <c r="BP27" s="43">
        <f t="shared" si="52"/>
        <v>0</v>
      </c>
      <c r="BQ27" s="43">
        <f t="shared" si="52"/>
        <v>0</v>
      </c>
      <c r="BR27" s="44">
        <f t="shared" si="52"/>
        <v>0</v>
      </c>
      <c r="BS27" s="128">
        <f t="shared" si="36"/>
        <v>37347</v>
      </c>
      <c r="BT27" s="44">
        <f t="shared" si="37"/>
        <v>0</v>
      </c>
      <c r="BU27" s="474">
        <f t="shared" si="42"/>
        <v>0</v>
      </c>
      <c r="BV27" s="51"/>
      <c r="BW27" s="51"/>
      <c r="BX27" s="51"/>
      <c r="BY27" s="51"/>
      <c r="BZ27" s="51"/>
      <c r="CA27" s="51"/>
      <c r="CB27" s="51"/>
      <c r="CC27" s="141">
        <f t="shared" si="43"/>
        <v>36800</v>
      </c>
      <c r="CD27" s="234">
        <f>_xll.xSPRDOPT((VLOOKUP(G27,NGPrices,2,FALSE)+HLOOKUP(D27,Prices,VLOOKUP(G27,move_down,2,FALSE),FALSE)),VLOOKUP(G27,NGPrices,2,FALSE),I27,VLOOKUP(G27,NGPREVPRICES,4,FALSE),HLOOKUP(D27,PREVVOLS,VLOOKUP(G27,MOVE_DOWN2,2,FALSE),FALSE),VLOOKUP(G27,NGPREVPRICES,3,FALSE),HLOOKUP(D27,Correllate,VLOOKUP(G27,CorMove,2,FALSE),FALSE),Q27-$CD$3,R27,$CD$5)*H27-CJ27</f>
        <v>0</v>
      </c>
      <c r="CE27" s="234">
        <f>_xll.xSPRDOPT((VLOOKUP(G27,NGPREVPRICES,2,FALSE)+HLOOKUP(D27,PREVCURVES,VLOOKUP(G27,MOVE_DOWN2,2,FALSE),FALSE)),VLOOKUP(G27,NGPREVPRICES,2,FALSE),CK27,VLOOKUP(G27,NGPrices,4,FALSE),HLOOKUP(D27,PREVVOLS,VLOOKUP(G27,MOVE_DOWN2,2,FALSE),FALSE),VLOOKUP(G27,NGPREVPRICES,3,FALSE),HLOOKUP(D27,Correllate,VLOOKUP(G27,CorMove,2,FALSE),FALSE),Q27-$CD$3,R27,$CJ$5)*H27-CJ27</f>
        <v>0</v>
      </c>
      <c r="CF27" s="10">
        <f t="shared" si="44"/>
        <v>-2.6164125507293647</v>
      </c>
      <c r="CG27" s="234">
        <f>_xll.xSPRDOPT((VLOOKUP(G27,NGPREVPRICES,2,FALSE)+HLOOKUP(D27,PREVCURVES,VLOOKUP(G27,MOVE_DOWN2,2,FALSE),FALSE)),VLOOKUP(G27,NGPREVPRICES,2,FALSE),CK27,VLOOKUP(G27,NGPREVPRICES,4,FALSE),HLOOKUP(D27,VOLS,VLOOKUP(G27,move_down,2,FALSE),FALSE),VLOOKUP(G27,NGPrices,3,FALSE),HLOOKUP(D27,Correllate,VLOOKUP(G27,CorMove,2,FALSE),FALSE),Q27-$CD$3,R27,$CJ$5)*H27-CJ27</f>
        <v>0</v>
      </c>
      <c r="CH27" s="234">
        <f>_xll.xSPRDOPT((VLOOKUP(G27,NGPREVPRICES,2,FALSE)+HLOOKUP(D27,PREVCURVES,VLOOKUP(G27,MOVE_DOWN2,2,FALSE),FALSE)),VLOOKUP(G27,NGPREVPRICES,2,FALSE),CK27,VLOOKUP(G27,NGPREVPRICES,4,FALSE),HLOOKUP(D27,PREVVOLS,VLOOKUP(G27,MOVE_DOWN2,2,FALSE),FALSE),VLOOKUP(G27,NGPREVPRICES,3,FALSE),HLOOKUP(D27,Correllate,VLOOKUP(G27,CorMove,2,FALSE),FALSE),Q27-$C$3,R27,$CJ$5)*H27-CJ27</f>
        <v>-150.28207138057769</v>
      </c>
      <c r="CI27" s="234">
        <f t="shared" si="45"/>
        <v>-152.89848393130706</v>
      </c>
      <c r="CJ27" s="234">
        <f>_xll.xSPRDOPT((VLOOKUP(G27,NGPREVPRICES,2,FALSE)+HLOOKUP(D27,PREVCURVES,VLOOKUP(G27,MOVE_DOWN2,2,FALSE),FALSE)),VLOOKUP(G27,NGPREVPRICES,2,FALSE),CK27,VLOOKUP(G27,NGPREVPRICES,4,FALSE),HLOOKUP(D27,PREVVOLS,VLOOKUP(G27,MOVE_DOWN2,2,FALSE),FALSE),VLOOKUP(G27,NGPREVPRICES,3,FALSE),HLOOKUP(D27,Correllate,VLOOKUP(G27,CorMove,2,FALSE),FALSE),Q27-$CD$3,R27,$CJ$5)*H27</f>
        <v>14192.194756191193</v>
      </c>
      <c r="CK27" s="235">
        <f t="shared" si="46"/>
        <v>0.16</v>
      </c>
      <c r="CM27" t="str">
        <f t="shared" si="47"/>
        <v>36800Curve Shift/Gamma</v>
      </c>
      <c r="CN27" t="str">
        <f t="shared" si="19"/>
        <v>36800Rho</v>
      </c>
      <c r="CO27" t="str">
        <f t="shared" si="20"/>
        <v>36800Drift</v>
      </c>
      <c r="CP27" t="str">
        <f t="shared" si="21"/>
        <v>36800Vega</v>
      </c>
      <c r="CQ27" t="str">
        <f t="shared" si="22"/>
        <v>36800Theta</v>
      </c>
      <c r="CR27" s="385">
        <f t="shared" si="38"/>
        <v>37347</v>
      </c>
      <c r="CS27" s="386">
        <f t="shared" si="23"/>
        <v>0</v>
      </c>
      <c r="CT27" s="239">
        <f t="shared" si="24"/>
        <v>0</v>
      </c>
      <c r="CU27" s="239">
        <f t="shared" si="25"/>
        <v>0</v>
      </c>
      <c r="CV27" s="239">
        <f t="shared" si="26"/>
        <v>0</v>
      </c>
      <c r="CW27" s="249">
        <f t="shared" si="27"/>
        <v>0</v>
      </c>
      <c r="CX27" s="240">
        <f t="shared" si="39"/>
        <v>0</v>
      </c>
      <c r="CZ27" s="385">
        <f t="shared" si="40"/>
        <v>37347</v>
      </c>
      <c r="DA27" s="386">
        <f t="shared" si="28"/>
        <v>0</v>
      </c>
      <c r="DB27" s="239">
        <f t="shared" si="29"/>
        <v>0</v>
      </c>
      <c r="DC27" s="239">
        <f t="shared" si="30"/>
        <v>0</v>
      </c>
      <c r="DD27" s="239">
        <f t="shared" si="31"/>
        <v>0</v>
      </c>
      <c r="DE27" s="249">
        <f t="shared" si="32"/>
        <v>0</v>
      </c>
      <c r="DF27" s="240">
        <f t="shared" si="48"/>
        <v>0</v>
      </c>
    </row>
    <row r="28" spans="1:110" ht="12" customHeight="1" x14ac:dyDescent="0.25">
      <c r="A28" s="383" t="s">
        <v>270</v>
      </c>
      <c r="B28" t="s">
        <v>129</v>
      </c>
      <c r="C28" t="s">
        <v>271</v>
      </c>
      <c r="D28" s="4" t="s">
        <v>10</v>
      </c>
      <c r="E28" s="4" t="s">
        <v>20</v>
      </c>
      <c r="F28" s="5" t="s">
        <v>21</v>
      </c>
      <c r="G28" s="5">
        <v>36770</v>
      </c>
      <c r="H28" s="130">
        <v>300000</v>
      </c>
      <c r="I28">
        <v>0.16</v>
      </c>
      <c r="J28" s="53">
        <f t="shared" si="1"/>
        <v>4.6849999999999996</v>
      </c>
      <c r="K28" s="7">
        <f t="shared" si="2"/>
        <v>0.17</v>
      </c>
      <c r="L28" s="53">
        <f t="shared" si="3"/>
        <v>4.8549999999999995</v>
      </c>
      <c r="M28" s="157">
        <f t="shared" si="4"/>
        <v>6.7216196212184998E-2</v>
      </c>
      <c r="N28" s="4">
        <f t="shared" si="5"/>
        <v>0.4</v>
      </c>
      <c r="O28" s="4">
        <f t="shared" si="6"/>
        <v>0.39200000000000002</v>
      </c>
      <c r="P28" s="9">
        <f t="shared" si="7"/>
        <v>0.995</v>
      </c>
      <c r="Q28" s="5">
        <f t="shared" si="8"/>
        <v>36768</v>
      </c>
      <c r="R28" s="4">
        <f t="shared" si="9"/>
        <v>1</v>
      </c>
      <c r="S28" s="158">
        <f>_xll.xSPRDOPT($L28,$J28,$I28,$M28,$O28,$N28,$P28,$Q28-$C$3,$R28,0)</f>
        <v>1.0823910720772181E-2</v>
      </c>
      <c r="T28" s="159">
        <f>_xll.xSPRDOPT($L28,$J28,$I28,$M28,$O28,$N28,$P28,$Q28-$C$3,$R28,1)*H28</f>
        <v>252651.15343859402</v>
      </c>
      <c r="U28" s="160">
        <f t="shared" si="10"/>
        <v>3247.1732162316544</v>
      </c>
      <c r="V28" s="159">
        <f>_xll.xSPRDOPT($L28,$J28,$I28,$M28,$O28,$N28,$P28,$Q28-$C$3,$R28,2)*H28</f>
        <v>-252506.58629992083</v>
      </c>
      <c r="W28" s="159">
        <f t="shared" si="11"/>
        <v>144.56713867318467</v>
      </c>
      <c r="X28" s="51" t="str">
        <f t="shared" si="12"/>
        <v>36770IF-CGT/APPALAC</v>
      </c>
      <c r="Y28" s="418">
        <f t="shared" si="13"/>
        <v>30</v>
      </c>
      <c r="Z28" s="456">
        <f t="shared" si="14"/>
        <v>0.84217051146198008</v>
      </c>
      <c r="AA28" s="456">
        <f>_xll.xSPRDOPT($L28,$J28,$I28,$M28,$O28,$N28,$P28,$Q28-$C$3,$R28,3)</f>
        <v>24.141426010500172</v>
      </c>
      <c r="AB28" s="456">
        <f>((_xll.xSPRDOPT($L28+AB$5,$J28,$I28,$M28,$O28,$N28,$P28,$Q28-$C$3,$R28,3)*$H28)/10000)/100</f>
        <v>7.2424278031500515</v>
      </c>
      <c r="AC28" s="456">
        <f>((_xll.xSPRDOPT($L28+$AB$5,$J28,$I28,$M28,$O28,$N28,$P28,$Q28-$C$3,$R28,7)*$H28)/100)</f>
        <v>-708.62533808288879</v>
      </c>
      <c r="AD28" s="456">
        <f>(_xll.xSPRDOPT($L28+$AB$5,$J28,$I28,$M28,$O28,$N28,$P28,$Q28-$C$3,$R28,9)/365)*$H28</f>
        <v>-360.36433106373607</v>
      </c>
      <c r="AE28">
        <f t="shared" si="15"/>
        <v>0</v>
      </c>
      <c r="AF28" s="456">
        <f t="shared" si="16"/>
        <v>18.035950295206177</v>
      </c>
      <c r="AG28" s="456">
        <f>((_xll.xSPRDOPT($L28,$J28,$I28,$M28,$O28,$N28,$P28,$Q28-$C$3,$R28,6)*$H28)/100)</f>
        <v>-14.785180574086953</v>
      </c>
      <c r="AH28" s="456">
        <f>((_xll.xSPRDOPT($L28,$J28,$I28,$M28,$O28,$N28,$P28,$Q28-$C$3,$R28,5)*$H28)/100)</f>
        <v>33.490949866625641</v>
      </c>
      <c r="AI28" s="456">
        <f>(((_xll.xSPRDOPT($L28,$J28,$I28,$M28,$O28,$N28,$P28,$Q28-$C$3,$R28,4)*$H28)/10000)/100)-AB28</f>
        <v>2.9097265939605599E-2</v>
      </c>
      <c r="AJ28" s="456"/>
      <c r="AK28" s="456"/>
      <c r="AL28" s="456"/>
      <c r="AM28" s="472"/>
      <c r="AN28" s="128">
        <f t="shared" si="33"/>
        <v>37377</v>
      </c>
      <c r="AO28" s="43">
        <f t="shared" si="51"/>
        <v>0</v>
      </c>
      <c r="AP28" s="43">
        <f t="shared" si="51"/>
        <v>0</v>
      </c>
      <c r="AQ28" s="43">
        <f t="shared" si="51"/>
        <v>0</v>
      </c>
      <c r="AR28" s="43">
        <f t="shared" si="51"/>
        <v>0</v>
      </c>
      <c r="AS28" s="43">
        <f t="shared" si="51"/>
        <v>0</v>
      </c>
      <c r="AT28" s="43">
        <f t="shared" si="51"/>
        <v>0</v>
      </c>
      <c r="AU28" s="43">
        <f t="shared" si="51"/>
        <v>0</v>
      </c>
      <c r="AV28" s="43">
        <f t="shared" si="51"/>
        <v>0</v>
      </c>
      <c r="AW28" s="43">
        <f t="shared" si="51"/>
        <v>0</v>
      </c>
      <c r="AX28" s="43">
        <f t="shared" si="51"/>
        <v>0</v>
      </c>
      <c r="AY28" s="43">
        <f t="shared" si="51"/>
        <v>0</v>
      </c>
      <c r="AZ28" s="43">
        <f t="shared" si="51"/>
        <v>0</v>
      </c>
      <c r="BA28" s="44">
        <f t="shared" si="51"/>
        <v>0</v>
      </c>
      <c r="BB28" s="128">
        <f t="shared" si="34"/>
        <v>37377</v>
      </c>
      <c r="BC28" s="44">
        <f t="shared" si="41"/>
        <v>0</v>
      </c>
      <c r="BD28" s="51"/>
      <c r="BE28" s="128">
        <f t="shared" si="35"/>
        <v>37377</v>
      </c>
      <c r="BF28" s="43">
        <f t="shared" si="52"/>
        <v>0</v>
      </c>
      <c r="BG28" s="43">
        <f t="shared" si="52"/>
        <v>0</v>
      </c>
      <c r="BH28" s="43">
        <f t="shared" si="52"/>
        <v>0</v>
      </c>
      <c r="BI28" s="43">
        <f t="shared" si="52"/>
        <v>0</v>
      </c>
      <c r="BJ28" s="43">
        <f t="shared" si="52"/>
        <v>0</v>
      </c>
      <c r="BK28" s="43">
        <f t="shared" si="52"/>
        <v>0</v>
      </c>
      <c r="BL28" s="43">
        <f t="shared" si="52"/>
        <v>0</v>
      </c>
      <c r="BM28" s="43">
        <f t="shared" si="52"/>
        <v>0</v>
      </c>
      <c r="BN28" s="43">
        <f t="shared" si="52"/>
        <v>0</v>
      </c>
      <c r="BO28" s="43">
        <f t="shared" si="52"/>
        <v>0</v>
      </c>
      <c r="BP28" s="43">
        <f t="shared" si="52"/>
        <v>0</v>
      </c>
      <c r="BQ28" s="43">
        <f t="shared" si="52"/>
        <v>0</v>
      </c>
      <c r="BR28" s="44">
        <f t="shared" si="52"/>
        <v>0</v>
      </c>
      <c r="BS28" s="128">
        <f t="shared" si="36"/>
        <v>37377</v>
      </c>
      <c r="BT28" s="44">
        <f t="shared" si="37"/>
        <v>0</v>
      </c>
      <c r="BU28" s="51"/>
      <c r="BV28" s="51"/>
      <c r="BW28" s="51"/>
      <c r="BX28" s="51"/>
      <c r="BY28" s="51"/>
      <c r="BZ28" s="51"/>
      <c r="CA28" s="51"/>
      <c r="CB28" s="51"/>
      <c r="CC28" s="141">
        <f t="shared" si="43"/>
        <v>36770</v>
      </c>
      <c r="CD28" s="234">
        <f>_xll.xSPRDOPT((VLOOKUP(G28,NGPrices,2,FALSE)+HLOOKUP(D28,Prices,VLOOKUP(G28,move_down,2,FALSE),FALSE)),VLOOKUP(G28,NGPrices,2,FALSE),I28,VLOOKUP(G28,NGPREVPRICES,4,FALSE),HLOOKUP(D28,PREVVOLS,VLOOKUP(G28,MOVE_DOWN2,2,FALSE),FALSE),VLOOKUP(G28,NGPREVPRICES,3,FALSE),HLOOKUP(D28,Correllate,VLOOKUP(G28,CorMove,2,FALSE),FALSE),Q28-$CD$3,R28,$CD$5)*H28-CJ28</f>
        <v>0</v>
      </c>
      <c r="CE28" s="234">
        <f>_xll.xSPRDOPT((VLOOKUP(G28,NGPREVPRICES,2,FALSE)+HLOOKUP(D28,PREVCURVES,VLOOKUP(G28,MOVE_DOWN2,2,FALSE),FALSE)),VLOOKUP(G28,NGPREVPRICES,2,FALSE),CK28,VLOOKUP(G28,NGPrices,4,FALSE),HLOOKUP(D28,PREVVOLS,VLOOKUP(G28,MOVE_DOWN2,2,FALSE),FALSE),VLOOKUP(G28,NGPREVPRICES,3,FALSE),HLOOKUP(D28,Correllate,VLOOKUP(G28,CorMove,2,FALSE),FALSE),Q28-$CD$3,R28,$CJ$5)*H28-CJ28</f>
        <v>0</v>
      </c>
      <c r="CF28" s="10">
        <f t="shared" si="44"/>
        <v>-0.65485806908372979</v>
      </c>
      <c r="CG28" s="234">
        <f>_xll.xSPRDOPT((VLOOKUP(G28,NGPREVPRICES,2,FALSE)+HLOOKUP(D28,PREVCURVES,VLOOKUP(G28,MOVE_DOWN2,2,FALSE),FALSE)),VLOOKUP(G28,NGPREVPRICES,2,FALSE),CK28,VLOOKUP(G28,NGPREVPRICES,4,FALSE),HLOOKUP(D28,VOLS,VLOOKUP(G28,move_down,2,FALSE),FALSE),VLOOKUP(G28,NGPrices,3,FALSE),HLOOKUP(D28,Correllate,VLOOKUP(G28,CorMove,2,FALSE),FALSE),Q28-$CD$3,R28,$CJ$5)*H28-CJ28</f>
        <v>0</v>
      </c>
      <c r="CH28" s="234">
        <f>_xll.xSPRDOPT((VLOOKUP(G28,NGPREVPRICES,2,FALSE)+HLOOKUP(D28,PREVCURVES,VLOOKUP(G28,MOVE_DOWN2,2,FALSE),FALSE)),VLOOKUP(G28,NGPREVPRICES,2,FALSE),CK28,VLOOKUP(G28,NGPREVPRICES,4,FALSE),HLOOKUP(D28,PREVVOLS,VLOOKUP(G28,MOVE_DOWN2,2,FALSE),FALSE),VLOOKUP(G28,NGPREVPRICES,3,FALSE),HLOOKUP(D28,Correllate,VLOOKUP(G28,CorMove,2,FALSE),FALSE),Q28-$C$3,R28,$CJ$5)*H28-CJ28</f>
        <v>-346.49075647140717</v>
      </c>
      <c r="CI28" s="234">
        <f t="shared" si="45"/>
        <v>-347.1456145404909</v>
      </c>
      <c r="CJ28" s="234">
        <f>_xll.xSPRDOPT((VLOOKUP(G28,NGPREVPRICES,2,FALSE)+HLOOKUP(D28,PREVCURVES,VLOOKUP(G28,MOVE_DOWN2,2,FALSE),FALSE)),VLOOKUP(G28,NGPREVPRICES,2,FALSE),CK28,VLOOKUP(G28,NGPREVPRICES,4,FALSE),HLOOKUP(D28,PREVVOLS,VLOOKUP(G28,MOVE_DOWN2,2,FALSE),FALSE),VLOOKUP(G28,NGPREVPRICES,3,FALSE),HLOOKUP(D28,Correllate,VLOOKUP(G28,CorMove,2,FALSE),FALSE),Q28-$CD$3,R28,$CJ$5)*H28</f>
        <v>3593.6639727030615</v>
      </c>
      <c r="CK28" s="235">
        <f t="shared" si="46"/>
        <v>0.16</v>
      </c>
      <c r="CM28" t="str">
        <f t="shared" si="47"/>
        <v>36770Curve Shift/Gamma</v>
      </c>
      <c r="CN28" t="str">
        <f t="shared" si="19"/>
        <v>36770Rho</v>
      </c>
      <c r="CO28" t="str">
        <f t="shared" si="20"/>
        <v>36770Drift</v>
      </c>
      <c r="CP28" t="str">
        <f t="shared" si="21"/>
        <v>36770Vega</v>
      </c>
      <c r="CQ28" t="str">
        <f t="shared" si="22"/>
        <v>36770Theta</v>
      </c>
      <c r="CR28" s="385">
        <f t="shared" si="38"/>
        <v>37377</v>
      </c>
      <c r="CS28" s="386">
        <f t="shared" si="23"/>
        <v>0</v>
      </c>
      <c r="CT28" s="239">
        <f t="shared" si="24"/>
        <v>0</v>
      </c>
      <c r="CU28" s="239">
        <f t="shared" si="25"/>
        <v>0</v>
      </c>
      <c r="CV28" s="239">
        <f t="shared" si="26"/>
        <v>0</v>
      </c>
      <c r="CW28" s="249">
        <f t="shared" si="27"/>
        <v>0</v>
      </c>
      <c r="CX28" s="240">
        <f t="shared" si="39"/>
        <v>0</v>
      </c>
      <c r="CZ28" s="385">
        <f t="shared" si="40"/>
        <v>37377</v>
      </c>
      <c r="DA28" s="386">
        <f t="shared" si="28"/>
        <v>0</v>
      </c>
      <c r="DB28" s="239">
        <f t="shared" si="29"/>
        <v>0</v>
      </c>
      <c r="DC28" s="239">
        <f t="shared" si="30"/>
        <v>0</v>
      </c>
      <c r="DD28" s="239">
        <f t="shared" si="31"/>
        <v>0</v>
      </c>
      <c r="DE28" s="249">
        <f t="shared" si="32"/>
        <v>0</v>
      </c>
      <c r="DF28" s="240">
        <f t="shared" si="48"/>
        <v>0</v>
      </c>
    </row>
    <row r="29" spans="1:110" ht="12" customHeight="1" x14ac:dyDescent="0.25">
      <c r="A29" s="140" t="s">
        <v>277</v>
      </c>
      <c r="B29" t="s">
        <v>250</v>
      </c>
      <c r="C29" t="s">
        <v>278</v>
      </c>
      <c r="D29" s="4" t="s">
        <v>10</v>
      </c>
      <c r="E29" t="s">
        <v>20</v>
      </c>
      <c r="F29" t="s">
        <v>21</v>
      </c>
      <c r="G29" s="5">
        <v>36951</v>
      </c>
      <c r="H29" s="130">
        <v>310000</v>
      </c>
      <c r="I29">
        <v>0.33</v>
      </c>
      <c r="J29" s="53">
        <f t="shared" si="1"/>
        <v>4.2130000000000001</v>
      </c>
      <c r="K29" s="7">
        <f t="shared" si="2"/>
        <v>0.27</v>
      </c>
      <c r="L29" s="53">
        <f t="shared" si="3"/>
        <v>4.4830000000000005</v>
      </c>
      <c r="M29" s="157">
        <f t="shared" si="4"/>
        <v>6.8879814952706994E-2</v>
      </c>
      <c r="N29" s="4">
        <f t="shared" si="5"/>
        <v>0.53249999999999997</v>
      </c>
      <c r="O29" s="4">
        <f t="shared" si="6"/>
        <v>0.53300000000000003</v>
      </c>
      <c r="P29" s="9">
        <f t="shared" si="7"/>
        <v>0.99</v>
      </c>
      <c r="Q29" s="5">
        <f t="shared" si="8"/>
        <v>36949</v>
      </c>
      <c r="R29" s="4">
        <f t="shared" si="9"/>
        <v>1</v>
      </c>
      <c r="S29" s="158">
        <f>_xll.xSPRDOPT($L29,$J29,$I29,$M29,$O29,$N29,$P29,$Q29-$C$3,$R29,0)</f>
        <v>7.4923126543867666E-2</v>
      </c>
      <c r="T29" s="159">
        <f>_xll.xSPRDOPT($L29,$J29,$I29,$M29,$O29,$N29,$P29,$Q29-$C$3,$R29,1)*H29</f>
        <v>127675.60587550924</v>
      </c>
      <c r="U29" s="160">
        <f t="shared" si="10"/>
        <v>23226.169228598977</v>
      </c>
      <c r="V29" s="159">
        <f>_xll.xSPRDOPT($L29,$J29,$I29,$M29,$O29,$N29,$P29,$Q29-$C$3,$R29,2)*H29</f>
        <v>-122127.01248725243</v>
      </c>
      <c r="W29" s="159">
        <f t="shared" si="11"/>
        <v>5548.5933882568061</v>
      </c>
      <c r="X29" s="51" t="str">
        <f t="shared" si="12"/>
        <v>36951IF-CGT/APPALAC</v>
      </c>
      <c r="Y29" s="418">
        <f t="shared" si="13"/>
        <v>31</v>
      </c>
      <c r="Z29" s="456">
        <f t="shared" si="14"/>
        <v>0.41185679314680401</v>
      </c>
      <c r="AA29" s="456">
        <f>_xll.xSPRDOPT($L29,$J29,$I29,$M29,$O29,$N29,$P29,$Q29-$C$3,$R29,3)</f>
        <v>1.4624527245782313</v>
      </c>
      <c r="AB29" s="456">
        <f>((_xll.xSPRDOPT($L29+AB$5,$J29,$I29,$M29,$O29,$N29,$P29,$Q29-$C$3,$R29,3)*$H29)/10000)/100</f>
        <v>0.45336034461925168</v>
      </c>
      <c r="AC29" s="456">
        <f>((_xll.xSPRDOPT($L29+$AB$5,$J29,$I29,$M29,$O29,$N29,$P29,$Q29-$C$3,$R29,7)*$H29)/100)</f>
        <v>-12005.165189640909</v>
      </c>
      <c r="AD29" s="456">
        <f>(_xll.xSPRDOPT($L29+$AB$5,$J29,$I29,$M29,$O29,$N29,$P29,$Q29-$C$3,$R29,9)/365)*$H29</f>
        <v>-80.228810568725962</v>
      </c>
      <c r="AE29">
        <f t="shared" si="15"/>
        <v>0</v>
      </c>
      <c r="AF29" s="456">
        <f t="shared" si="16"/>
        <v>577.98377790394875</v>
      </c>
      <c r="AG29" s="456">
        <f>((_xll.xSPRDOPT($L29,$J29,$I29,$M29,$O29,$N29,$P29,$Q29-$C$3,$R29,6)*$H29)/100)</f>
        <v>-1323.8245767677311</v>
      </c>
      <c r="AH29" s="456">
        <f>((_xll.xSPRDOPT($L29,$J29,$I29,$M29,$O29,$N29,$P29,$Q29-$C$3,$R29,5)*$H29)/100)</f>
        <v>1900.0242943014434</v>
      </c>
      <c r="AI29" s="456">
        <f>(((_xll.xSPRDOPT($L29,$J29,$I29,$M29,$O29,$N29,$P29,$Q29-$C$3,$R29,4)*$H29)/10000)/100)-AB29</f>
        <v>-7.5544154230520189E-3</v>
      </c>
      <c r="AJ29" s="456"/>
      <c r="AK29" s="456"/>
      <c r="AL29" s="456"/>
      <c r="AM29" s="472"/>
      <c r="AN29" s="128">
        <f t="shared" si="33"/>
        <v>37408</v>
      </c>
      <c r="AO29" s="43">
        <f t="shared" si="51"/>
        <v>0</v>
      </c>
      <c r="AP29" s="43">
        <f t="shared" si="51"/>
        <v>0</v>
      </c>
      <c r="AQ29" s="43">
        <f t="shared" si="51"/>
        <v>0</v>
      </c>
      <c r="AR29" s="43">
        <f t="shared" si="51"/>
        <v>0</v>
      </c>
      <c r="AS29" s="43">
        <f t="shared" si="51"/>
        <v>0</v>
      </c>
      <c r="AT29" s="43">
        <f t="shared" si="51"/>
        <v>0</v>
      </c>
      <c r="AU29" s="43">
        <f t="shared" si="51"/>
        <v>0</v>
      </c>
      <c r="AV29" s="43">
        <f t="shared" si="51"/>
        <v>0</v>
      </c>
      <c r="AW29" s="43">
        <f t="shared" si="51"/>
        <v>0</v>
      </c>
      <c r="AX29" s="43">
        <f t="shared" si="51"/>
        <v>0</v>
      </c>
      <c r="AY29" s="43">
        <f t="shared" si="51"/>
        <v>0</v>
      </c>
      <c r="AZ29" s="43">
        <f t="shared" si="51"/>
        <v>0</v>
      </c>
      <c r="BA29" s="44">
        <f t="shared" si="51"/>
        <v>0</v>
      </c>
      <c r="BB29" s="128">
        <f t="shared" si="34"/>
        <v>37408</v>
      </c>
      <c r="BC29" s="44">
        <f t="shared" si="41"/>
        <v>0</v>
      </c>
      <c r="BD29" s="51"/>
      <c r="BE29" s="128">
        <f t="shared" si="35"/>
        <v>37408</v>
      </c>
      <c r="BF29" s="43">
        <f t="shared" si="52"/>
        <v>0</v>
      </c>
      <c r="BG29" s="43">
        <f t="shared" si="52"/>
        <v>0</v>
      </c>
      <c r="BH29" s="43">
        <f t="shared" si="52"/>
        <v>0</v>
      </c>
      <c r="BI29" s="43">
        <f t="shared" si="52"/>
        <v>0</v>
      </c>
      <c r="BJ29" s="43">
        <f t="shared" si="52"/>
        <v>0</v>
      </c>
      <c r="BK29" s="43">
        <f t="shared" si="52"/>
        <v>0</v>
      </c>
      <c r="BL29" s="43">
        <f t="shared" si="52"/>
        <v>0</v>
      </c>
      <c r="BM29" s="43">
        <f t="shared" si="52"/>
        <v>0</v>
      </c>
      <c r="BN29" s="43">
        <f t="shared" si="52"/>
        <v>0</v>
      </c>
      <c r="BO29" s="43">
        <f t="shared" si="52"/>
        <v>0</v>
      </c>
      <c r="BP29" s="43">
        <f t="shared" si="52"/>
        <v>0</v>
      </c>
      <c r="BQ29" s="43">
        <f t="shared" si="52"/>
        <v>0</v>
      </c>
      <c r="BR29" s="44">
        <f t="shared" si="52"/>
        <v>0</v>
      </c>
      <c r="BS29" s="128">
        <f t="shared" si="36"/>
        <v>37408</v>
      </c>
      <c r="BT29" s="44">
        <f t="shared" si="37"/>
        <v>0</v>
      </c>
      <c r="BU29" s="51"/>
      <c r="BV29" s="51"/>
      <c r="BW29" s="51"/>
      <c r="BX29" s="51"/>
      <c r="BY29" s="51"/>
      <c r="BZ29" s="51"/>
      <c r="CA29" s="51"/>
      <c r="CB29" s="51"/>
      <c r="CC29" s="141">
        <f t="shared" si="43"/>
        <v>36951</v>
      </c>
      <c r="CD29" s="234">
        <f>_xll.xSPRDOPT((VLOOKUP(G29,NGPrices,2,FALSE)+HLOOKUP(D29,Prices,VLOOKUP(G29,move_down,2,FALSE),FALSE)),VLOOKUP(G29,NGPrices,2,FALSE),I29,VLOOKUP(G29,NGPREVPRICES,4,FALSE),HLOOKUP(D29,PREVVOLS,VLOOKUP(G29,MOVE_DOWN2,2,FALSE),FALSE),VLOOKUP(G29,NGPREVPRICES,3,FALSE),HLOOKUP(D29,Correllate,VLOOKUP(G29,CorMove,2,FALSE),FALSE),Q29-$CD$3,R29,$CD$5)*H29-CJ29</f>
        <v>0</v>
      </c>
      <c r="CE29" s="234">
        <f>_xll.xSPRDOPT((VLOOKUP(G29,NGPREVPRICES,2,FALSE)+HLOOKUP(D29,PREVCURVES,VLOOKUP(G29,MOVE_DOWN2,2,FALSE),FALSE)),VLOOKUP(G29,NGPREVPRICES,2,FALSE),CK29,VLOOKUP(G29,NGPrices,4,FALSE),HLOOKUP(D29,PREVVOLS,VLOOKUP(G29,MOVE_DOWN2,2,FALSE),FALSE),VLOOKUP(G29,NGPREVPRICES,3,FALSE),HLOOKUP(D29,Correllate,VLOOKUP(G29,CorMove,2,FALSE),FALSE),Q29-$CD$3,R29,$CJ$5)*H29-CJ29</f>
        <v>0</v>
      </c>
      <c r="CF29" s="10">
        <f t="shared" si="44"/>
        <v>-4.4697846715098422</v>
      </c>
      <c r="CG29" s="234">
        <f>_xll.xSPRDOPT((VLOOKUP(G29,NGPREVPRICES,2,FALSE)+HLOOKUP(D29,PREVCURVES,VLOOKUP(G29,MOVE_DOWN2,2,FALSE),FALSE)),VLOOKUP(G29,NGPREVPRICES,2,FALSE),CK29,VLOOKUP(G29,NGPREVPRICES,4,FALSE),HLOOKUP(D29,VOLS,VLOOKUP(G29,move_down,2,FALSE),FALSE),VLOOKUP(G29,NGPrices,3,FALSE),HLOOKUP(D29,Correllate,VLOOKUP(G29,CorMove,2,FALSE),FALSE),Q29-$CD$3,R29,$CJ$5)*H29-CJ29</f>
        <v>0</v>
      </c>
      <c r="CH29" s="234">
        <f>_xll.xSPRDOPT((VLOOKUP(G29,NGPREVPRICES,2,FALSE)+HLOOKUP(D29,PREVCURVES,VLOOKUP(G29,MOVE_DOWN2,2,FALSE),FALSE)),VLOOKUP(G29,NGPREVPRICES,2,FALSE),CK29,VLOOKUP(G29,NGPREVPRICES,4,FALSE),HLOOKUP(D29,PREVVOLS,VLOOKUP(G29,MOVE_DOWN2,2,FALSE),FALSE),VLOOKUP(G29,NGPREVPRICES,3,FALSE),HLOOKUP(D29,Correllate,VLOOKUP(G29,CorMove,2,FALSE),FALSE),Q29-$C$3,R29,$CJ$5)*H29-CJ29</f>
        <v>-80.050598291305505</v>
      </c>
      <c r="CI29" s="234">
        <f t="shared" si="45"/>
        <v>-84.520382962815347</v>
      </c>
      <c r="CJ29" s="234">
        <f>_xll.xSPRDOPT((VLOOKUP(G29,NGPREVPRICES,2,FALSE)+HLOOKUP(D29,PREVCURVES,VLOOKUP(G29,MOVE_DOWN2,2,FALSE),FALSE)),VLOOKUP(G29,NGPREVPRICES,2,FALSE),CK29,VLOOKUP(G29,NGPREVPRICES,4,FALSE),HLOOKUP(D29,PREVVOLS,VLOOKUP(G29,MOVE_DOWN2,2,FALSE),FALSE),VLOOKUP(G29,NGPREVPRICES,3,FALSE),HLOOKUP(D29,Correllate,VLOOKUP(G29,CorMove,2,FALSE),FALSE),Q29-$CD$3,R29,$CJ$5)*H29</f>
        <v>23306.219826890283</v>
      </c>
      <c r="CK29" s="235">
        <f t="shared" si="46"/>
        <v>0.33</v>
      </c>
      <c r="CM29" t="str">
        <f t="shared" si="47"/>
        <v>36951Curve Shift/Gamma</v>
      </c>
      <c r="CN29" t="str">
        <f t="shared" si="19"/>
        <v>36951Rho</v>
      </c>
      <c r="CO29" t="str">
        <f t="shared" si="20"/>
        <v>36951Drift</v>
      </c>
      <c r="CP29" t="str">
        <f t="shared" si="21"/>
        <v>36951Vega</v>
      </c>
      <c r="CQ29" t="str">
        <f t="shared" si="22"/>
        <v>36951Theta</v>
      </c>
      <c r="CR29" s="385">
        <f t="shared" si="38"/>
        <v>37408</v>
      </c>
      <c r="CS29" s="386">
        <f t="shared" si="23"/>
        <v>0</v>
      </c>
      <c r="CT29" s="239">
        <f t="shared" si="24"/>
        <v>0</v>
      </c>
      <c r="CU29" s="239">
        <f t="shared" si="25"/>
        <v>0</v>
      </c>
      <c r="CV29" s="239">
        <f t="shared" si="26"/>
        <v>0</v>
      </c>
      <c r="CW29" s="249">
        <f t="shared" si="27"/>
        <v>0</v>
      </c>
      <c r="CX29" s="240">
        <f t="shared" si="39"/>
        <v>0</v>
      </c>
      <c r="CZ29" s="385">
        <f t="shared" si="40"/>
        <v>37408</v>
      </c>
      <c r="DA29" s="386">
        <f t="shared" si="28"/>
        <v>0</v>
      </c>
      <c r="DB29" s="239">
        <f t="shared" si="29"/>
        <v>0</v>
      </c>
      <c r="DC29" s="239">
        <f t="shared" si="30"/>
        <v>0</v>
      </c>
      <c r="DD29" s="239">
        <f t="shared" si="31"/>
        <v>0</v>
      </c>
      <c r="DE29" s="249">
        <f t="shared" si="32"/>
        <v>0</v>
      </c>
      <c r="DF29" s="240">
        <f t="shared" si="48"/>
        <v>0</v>
      </c>
    </row>
    <row r="30" spans="1:110" ht="12" customHeight="1" x14ac:dyDescent="0.25">
      <c r="A30" s="140" t="s">
        <v>277</v>
      </c>
      <c r="B30" t="s">
        <v>250</v>
      </c>
      <c r="C30" t="s">
        <v>278</v>
      </c>
      <c r="D30" s="4" t="s">
        <v>10</v>
      </c>
      <c r="E30" t="s">
        <v>20</v>
      </c>
      <c r="F30" t="s">
        <v>21</v>
      </c>
      <c r="G30" s="5">
        <v>36923</v>
      </c>
      <c r="H30" s="130">
        <v>280000</v>
      </c>
      <c r="I30">
        <v>0.33</v>
      </c>
      <c r="J30" s="53">
        <f t="shared" si="1"/>
        <v>4.4800000000000004</v>
      </c>
      <c r="K30" s="7">
        <f t="shared" si="2"/>
        <v>0.29499999999999998</v>
      </c>
      <c r="L30" s="53">
        <f t="shared" si="3"/>
        <v>4.7750000000000004</v>
      </c>
      <c r="M30" s="157">
        <f t="shared" si="4"/>
        <v>6.8640161611372E-2</v>
      </c>
      <c r="N30" s="4">
        <f t="shared" si="5"/>
        <v>0.59250000000000003</v>
      </c>
      <c r="O30" s="4">
        <f t="shared" si="6"/>
        <v>0.59299999999999997</v>
      </c>
      <c r="P30" s="9">
        <f t="shared" si="7"/>
        <v>0.99</v>
      </c>
      <c r="Q30" s="5">
        <f t="shared" si="8"/>
        <v>36921</v>
      </c>
      <c r="R30" s="4">
        <f t="shared" si="9"/>
        <v>1</v>
      </c>
      <c r="S30" s="158">
        <f>_xll.xSPRDOPT($L30,$J30,$I30,$M30,$O30,$N30,$P30,$Q30-$C$3,$R30,0)</f>
        <v>9.351807403609641E-2</v>
      </c>
      <c r="T30" s="159">
        <f>_xll.xSPRDOPT($L30,$J30,$I30,$M30,$O30,$N30,$P30,$Q30-$C$3,$R30,1)*H30</f>
        <v>127121.71120178906</v>
      </c>
      <c r="U30" s="160">
        <f t="shared" si="10"/>
        <v>26185.060730106994</v>
      </c>
      <c r="V30" s="159">
        <f>_xll.xSPRDOPT($L30,$J30,$I30,$M30,$O30,$N30,$P30,$Q30-$C$3,$R30,2)*H30</f>
        <v>-121836.97657243688</v>
      </c>
      <c r="W30" s="159">
        <f t="shared" si="11"/>
        <v>5284.7346293521841</v>
      </c>
      <c r="X30" s="51" t="str">
        <f t="shared" si="12"/>
        <v>36923IF-CGT/APPALAC</v>
      </c>
      <c r="Y30" s="418">
        <f t="shared" si="13"/>
        <v>28</v>
      </c>
      <c r="Z30" s="456">
        <f t="shared" si="14"/>
        <v>0.45400611143496095</v>
      </c>
      <c r="AA30" s="456">
        <f>_xll.xSPRDOPT($L30,$J30,$I30,$M30,$O30,$N30,$P30,$Q30-$C$3,$R30,3)</f>
        <v>1.3775880505454996</v>
      </c>
      <c r="AB30" s="456">
        <f>((_xll.xSPRDOPT($L30+AB$5,$J30,$I30,$M30,$O30,$N30,$P30,$Q30-$C$3,$R30,3)*$H30)/10000)/100</f>
        <v>0.38572465415273988</v>
      </c>
      <c r="AC30" s="456">
        <f>((_xll.xSPRDOPT($L30+$AB$5,$J30,$I30,$M30,$O30,$N30,$P30,$Q30-$C$3,$R30,7)*$H30)/100)</f>
        <v>-12175.223882532124</v>
      </c>
      <c r="AD30" s="456">
        <f>(_xll.xSPRDOPT($L30+$AB$5,$J30,$I30,$M30,$O30,$N30,$P30,$Q30-$C$3,$R30,9)/365)*$H30</f>
        <v>-94.733920649064743</v>
      </c>
      <c r="AE30">
        <f t="shared" si="15"/>
        <v>0</v>
      </c>
      <c r="AF30" s="456">
        <f t="shared" si="16"/>
        <v>517.69961441613236</v>
      </c>
      <c r="AG30" s="456">
        <f>((_xll.xSPRDOPT($L30,$J30,$I30,$M30,$O30,$N30,$P30,$Q30-$C$3,$R30,6)*$H30)/100)</f>
        <v>-1146.6240487520324</v>
      </c>
      <c r="AH30" s="456">
        <f>((_xll.xSPRDOPT($L30,$J30,$I30,$M30,$O30,$N30,$P30,$Q30-$C$3,$R30,5)*$H30)/100)</f>
        <v>1662.9203548518344</v>
      </c>
      <c r="AI30" s="456">
        <f>(((_xll.xSPRDOPT($L30,$J30,$I30,$M30,$O30,$N30,$P30,$Q30-$C$3,$R30,4)*$H30)/10000)/100)-AB30</f>
        <v>-2.8519793884516642E-3</v>
      </c>
      <c r="AJ30" s="456"/>
      <c r="AK30" s="456"/>
      <c r="AL30" s="456"/>
      <c r="AM30" s="472"/>
      <c r="AN30" s="128">
        <f t="shared" si="33"/>
        <v>37438</v>
      </c>
      <c r="AO30" s="43">
        <f t="shared" si="51"/>
        <v>0</v>
      </c>
      <c r="AP30" s="43">
        <f t="shared" si="51"/>
        <v>0</v>
      </c>
      <c r="AQ30" s="43">
        <f t="shared" si="51"/>
        <v>0</v>
      </c>
      <c r="AR30" s="43">
        <f t="shared" si="51"/>
        <v>0</v>
      </c>
      <c r="AS30" s="43">
        <f t="shared" si="51"/>
        <v>0</v>
      </c>
      <c r="AT30" s="43">
        <f t="shared" si="51"/>
        <v>0</v>
      </c>
      <c r="AU30" s="43">
        <f t="shared" si="51"/>
        <v>0</v>
      </c>
      <c r="AV30" s="43">
        <f t="shared" si="51"/>
        <v>0</v>
      </c>
      <c r="AW30" s="43">
        <f t="shared" si="51"/>
        <v>0</v>
      </c>
      <c r="AX30" s="43">
        <f t="shared" si="51"/>
        <v>0</v>
      </c>
      <c r="AY30" s="43">
        <f t="shared" si="51"/>
        <v>0</v>
      </c>
      <c r="AZ30" s="43">
        <f t="shared" si="51"/>
        <v>0</v>
      </c>
      <c r="BA30" s="44">
        <f t="shared" si="51"/>
        <v>0</v>
      </c>
      <c r="BB30" s="128">
        <f t="shared" si="34"/>
        <v>37438</v>
      </c>
      <c r="BC30" s="44">
        <f t="shared" si="41"/>
        <v>0</v>
      </c>
      <c r="BD30" s="51"/>
      <c r="BE30" s="128">
        <f t="shared" si="35"/>
        <v>37438</v>
      </c>
      <c r="BF30" s="43">
        <f t="shared" si="52"/>
        <v>0</v>
      </c>
      <c r="BG30" s="43">
        <f t="shared" si="52"/>
        <v>0</v>
      </c>
      <c r="BH30" s="43">
        <f t="shared" si="52"/>
        <v>0</v>
      </c>
      <c r="BI30" s="43">
        <f t="shared" si="52"/>
        <v>0</v>
      </c>
      <c r="BJ30" s="43">
        <f t="shared" si="52"/>
        <v>0</v>
      </c>
      <c r="BK30" s="43">
        <f t="shared" si="52"/>
        <v>0</v>
      </c>
      <c r="BL30" s="43">
        <f t="shared" si="52"/>
        <v>0</v>
      </c>
      <c r="BM30" s="43">
        <f t="shared" si="52"/>
        <v>0</v>
      </c>
      <c r="BN30" s="43">
        <f t="shared" si="52"/>
        <v>0</v>
      </c>
      <c r="BO30" s="43">
        <f t="shared" si="52"/>
        <v>0</v>
      </c>
      <c r="BP30" s="43">
        <f t="shared" si="52"/>
        <v>0</v>
      </c>
      <c r="BQ30" s="43">
        <f t="shared" si="52"/>
        <v>0</v>
      </c>
      <c r="BR30" s="44">
        <f t="shared" si="52"/>
        <v>0</v>
      </c>
      <c r="BS30" s="128">
        <f t="shared" si="36"/>
        <v>37438</v>
      </c>
      <c r="BT30" s="44">
        <f t="shared" si="37"/>
        <v>0</v>
      </c>
      <c r="BU30" s="51"/>
      <c r="BV30" s="51"/>
      <c r="BW30" s="51"/>
      <c r="BX30" s="51"/>
      <c r="BY30" s="51"/>
      <c r="BZ30" s="51"/>
      <c r="CA30" s="51"/>
      <c r="CB30" s="51"/>
      <c r="CC30" s="141">
        <f t="shared" si="43"/>
        <v>36923</v>
      </c>
      <c r="CD30" s="234">
        <f>_xll.xSPRDOPT((VLOOKUP(G30,NGPrices,2,FALSE)+HLOOKUP(D30,Prices,VLOOKUP(G30,move_down,2,FALSE),FALSE)),VLOOKUP(G30,NGPrices,2,FALSE),I30,VLOOKUP(G30,NGPREVPRICES,4,FALSE),HLOOKUP(D30,PREVVOLS,VLOOKUP(G30,MOVE_DOWN2,2,FALSE),FALSE),VLOOKUP(G30,NGPREVPRICES,3,FALSE),HLOOKUP(D30,Correllate,VLOOKUP(G30,CorMove,2,FALSE),FALSE),Q30-$CD$3,R30,$CD$5)*H30-CJ30</f>
        <v>0</v>
      </c>
      <c r="CE30" s="234">
        <f>_xll.xSPRDOPT((VLOOKUP(G30,NGPREVPRICES,2,FALSE)+HLOOKUP(D30,PREVCURVES,VLOOKUP(G30,MOVE_DOWN2,2,FALSE),FALSE)),VLOOKUP(G30,NGPREVPRICES,2,FALSE),CK30,VLOOKUP(G30,NGPrices,4,FALSE),HLOOKUP(D30,PREVVOLS,VLOOKUP(G30,MOVE_DOWN2,2,FALSE),FALSE),VLOOKUP(G30,NGPREVPRICES,3,FALSE),HLOOKUP(D30,Correllate,VLOOKUP(G30,CorMove,2,FALSE),FALSE),Q30-$CD$3,R30,$CJ$5)*H30-CJ30</f>
        <v>0</v>
      </c>
      <c r="CF30" s="10">
        <f t="shared" si="44"/>
        <v>-4.998068402222998</v>
      </c>
      <c r="CG30" s="234">
        <f>_xll.xSPRDOPT((VLOOKUP(G30,NGPREVPRICES,2,FALSE)+HLOOKUP(D30,PREVCURVES,VLOOKUP(G30,MOVE_DOWN2,2,FALSE),FALSE)),VLOOKUP(G30,NGPREVPRICES,2,FALSE),CK30,VLOOKUP(G30,NGPREVPRICES,4,FALSE),HLOOKUP(D30,VOLS,VLOOKUP(G30,move_down,2,FALSE),FALSE),VLOOKUP(G30,NGPrices,3,FALSE),HLOOKUP(D30,Correllate,VLOOKUP(G30,CorMove,2,FALSE),FALSE),Q30-$CD$3,R30,$CJ$5)*H30-CJ30</f>
        <v>0</v>
      </c>
      <c r="CH30" s="234">
        <f>_xll.xSPRDOPT((VLOOKUP(G30,NGPREVPRICES,2,FALSE)+HLOOKUP(D30,PREVCURVES,VLOOKUP(G30,MOVE_DOWN2,2,FALSE),FALSE)),VLOOKUP(G30,NGPREVPRICES,2,FALSE),CK30,VLOOKUP(G30,NGPREVPRICES,4,FALSE),HLOOKUP(D30,PREVVOLS,VLOOKUP(G30,MOVE_DOWN2,2,FALSE),FALSE),VLOOKUP(G30,NGPREVPRICES,3,FALSE),HLOOKUP(D30,Correllate,VLOOKUP(G30,CorMove,2,FALSE),FALSE),Q30-$C$3,R30,$CJ$5)*H30-CJ30</f>
        <v>-94.495065874139982</v>
      </c>
      <c r="CI30" s="234">
        <f t="shared" si="45"/>
        <v>-99.49313427636298</v>
      </c>
      <c r="CJ30" s="234">
        <f>_xll.xSPRDOPT((VLOOKUP(G30,NGPREVPRICES,2,FALSE)+HLOOKUP(D30,PREVCURVES,VLOOKUP(G30,MOVE_DOWN2,2,FALSE),FALSE)),VLOOKUP(G30,NGPREVPRICES,2,FALSE),CK30,VLOOKUP(G30,NGPREVPRICES,4,FALSE),HLOOKUP(D30,PREVVOLS,VLOOKUP(G30,MOVE_DOWN2,2,FALSE),FALSE),VLOOKUP(G30,NGPREVPRICES,3,FALSE),HLOOKUP(D30,Correllate,VLOOKUP(G30,CorMove,2,FALSE),FALSE),Q30-$CD$3,R30,$CJ$5)*H30</f>
        <v>26279.555795981134</v>
      </c>
      <c r="CK30" s="235">
        <f t="shared" si="46"/>
        <v>0.33</v>
      </c>
      <c r="CM30" t="str">
        <f t="shared" si="47"/>
        <v>36923Curve Shift/Gamma</v>
      </c>
      <c r="CN30" t="str">
        <f t="shared" si="19"/>
        <v>36923Rho</v>
      </c>
      <c r="CO30" t="str">
        <f t="shared" si="20"/>
        <v>36923Drift</v>
      </c>
      <c r="CP30" t="str">
        <f t="shared" si="21"/>
        <v>36923Vega</v>
      </c>
      <c r="CQ30" t="str">
        <f t="shared" si="22"/>
        <v>36923Theta</v>
      </c>
      <c r="CR30" s="385">
        <f t="shared" si="38"/>
        <v>37438</v>
      </c>
      <c r="CS30" s="386">
        <f t="shared" si="23"/>
        <v>0</v>
      </c>
      <c r="CT30" s="239">
        <f t="shared" si="24"/>
        <v>0</v>
      </c>
      <c r="CU30" s="239">
        <f t="shared" si="25"/>
        <v>0</v>
      </c>
      <c r="CV30" s="239">
        <f t="shared" si="26"/>
        <v>0</v>
      </c>
      <c r="CW30" s="249">
        <f t="shared" si="27"/>
        <v>0</v>
      </c>
      <c r="CX30" s="240">
        <f t="shared" si="39"/>
        <v>0</v>
      </c>
      <c r="CZ30" s="385">
        <f t="shared" si="40"/>
        <v>37438</v>
      </c>
      <c r="DA30" s="386">
        <f t="shared" si="28"/>
        <v>0</v>
      </c>
      <c r="DB30" s="239">
        <f t="shared" si="29"/>
        <v>0</v>
      </c>
      <c r="DC30" s="239">
        <f t="shared" si="30"/>
        <v>0</v>
      </c>
      <c r="DD30" s="239">
        <f t="shared" si="31"/>
        <v>0</v>
      </c>
      <c r="DE30" s="249">
        <f t="shared" si="32"/>
        <v>0</v>
      </c>
      <c r="DF30" s="240">
        <f t="shared" si="48"/>
        <v>0</v>
      </c>
    </row>
    <row r="31" spans="1:110" ht="12" customHeight="1" x14ac:dyDescent="0.25">
      <c r="A31" s="383" t="s">
        <v>277</v>
      </c>
      <c r="B31" t="s">
        <v>250</v>
      </c>
      <c r="C31" t="s">
        <v>278</v>
      </c>
      <c r="D31" s="4" t="s">
        <v>10</v>
      </c>
      <c r="E31" t="s">
        <v>20</v>
      </c>
      <c r="F31" t="s">
        <v>21</v>
      </c>
      <c r="G31" s="5">
        <v>36892</v>
      </c>
      <c r="H31" s="130">
        <v>310000</v>
      </c>
      <c r="I31">
        <v>0.33</v>
      </c>
      <c r="J31" s="53">
        <f t="shared" si="1"/>
        <v>4.7439999999999998</v>
      </c>
      <c r="K31" s="7">
        <f t="shared" si="2"/>
        <v>0.3</v>
      </c>
      <c r="L31" s="53">
        <f t="shared" si="3"/>
        <v>5.0439999999999996</v>
      </c>
      <c r="M31" s="157">
        <f t="shared" si="4"/>
        <v>6.8374831148490994E-2</v>
      </c>
      <c r="N31" s="4">
        <f t="shared" si="5"/>
        <v>0.60499999999999998</v>
      </c>
      <c r="O31" s="4">
        <f t="shared" si="6"/>
        <v>0.60499999999999998</v>
      </c>
      <c r="P31" s="9">
        <f t="shared" si="7"/>
        <v>0.99</v>
      </c>
      <c r="Q31" s="5">
        <f t="shared" si="8"/>
        <v>36888</v>
      </c>
      <c r="R31" s="4">
        <f t="shared" si="9"/>
        <v>1</v>
      </c>
      <c r="S31" s="158">
        <f>_xll.xSPRDOPT($L31,$J31,$I31,$M31,$O31,$N31,$P31,$Q31-$C$3,$R31,0)</f>
        <v>9.0217360388516535E-2</v>
      </c>
      <c r="T31" s="159">
        <f>_xll.xSPRDOPT($L31,$J31,$I31,$M31,$O31,$N31,$P31,$Q31-$C$3,$R31,1)*H31</f>
        <v>142297.21270314362</v>
      </c>
      <c r="U31" s="160">
        <f t="shared" si="10"/>
        <v>27967.381720440128</v>
      </c>
      <c r="V31" s="159">
        <f>_xll.xSPRDOPT($L31,$J31,$I31,$M31,$O31,$N31,$P31,$Q31-$C$3,$R31,2)*H31</f>
        <v>-136923.48856253209</v>
      </c>
      <c r="W31" s="159">
        <f t="shared" si="11"/>
        <v>5373.7241406115354</v>
      </c>
      <c r="X31" s="51" t="str">
        <f t="shared" si="12"/>
        <v>36892IF-CGT/APPALAC</v>
      </c>
      <c r="Y31" s="418">
        <f t="shared" si="13"/>
        <v>31</v>
      </c>
      <c r="Z31" s="456">
        <f t="shared" si="14"/>
        <v>0.45902326678433425</v>
      </c>
      <c r="AA31" s="456">
        <f>_xll.xSPRDOPT($L31,$J31,$I31,$M31,$O31,$N31,$P31,$Q31-$C$3,$R31,3)</f>
        <v>1.4651825948595354</v>
      </c>
      <c r="AB31" s="456">
        <f>((_xll.xSPRDOPT($L31+AB$5,$J31,$I31,$M31,$O31,$N31,$P31,$Q31-$C$3,$R31,3)*$H31)/10000)/100</f>
        <v>0.45420660440645599</v>
      </c>
      <c r="AC31" s="456">
        <f>((_xll.xSPRDOPT($L31+$AB$5,$J31,$I31,$M31,$O31,$N31,$P31,$Q31-$C$3,$R31,7)*$H31)/100)</f>
        <v>-13132.919395643867</v>
      </c>
      <c r="AD31" s="456">
        <f>(_xll.xSPRDOPT($L31+$AB$5,$J31,$I31,$M31,$O31,$N31,$P31,$Q31-$C$3,$R31,9)/365)*$H31</f>
        <v>-128.24750962866665</v>
      </c>
      <c r="AE31">
        <f t="shared" si="15"/>
        <v>0</v>
      </c>
      <c r="AF31" s="456">
        <f t="shared" si="16"/>
        <v>533.58087817085061</v>
      </c>
      <c r="AG31" s="456">
        <f>((_xll.xSPRDOPT($L31,$J31,$I31,$M31,$O31,$N31,$P31,$Q31-$C$3,$R31,6)*$H31)/100)</f>
        <v>-1137.0008122907682</v>
      </c>
      <c r="AH31" s="456">
        <f>((_xll.xSPRDOPT($L31,$J31,$I31,$M31,$O31,$N31,$P31,$Q31-$C$3,$R31,5)*$H31)/100)</f>
        <v>1670.5816904616188</v>
      </c>
      <c r="AI31" s="456">
        <f>(((_xll.xSPRDOPT($L31,$J31,$I31,$M31,$O31,$N31,$P31,$Q31-$C$3,$R31,4)*$H31)/10000)/100)-AB31</f>
        <v>-2.9806010818284046E-3</v>
      </c>
      <c r="AJ31" s="456"/>
      <c r="AK31" s="456"/>
      <c r="AL31" s="456"/>
      <c r="AM31" s="472"/>
      <c r="AN31" s="128">
        <f t="shared" si="33"/>
        <v>37469</v>
      </c>
      <c r="AO31" s="43">
        <f t="shared" si="51"/>
        <v>0</v>
      </c>
      <c r="AP31" s="43">
        <f t="shared" si="51"/>
        <v>0</v>
      </c>
      <c r="AQ31" s="43">
        <f t="shared" si="51"/>
        <v>0</v>
      </c>
      <c r="AR31" s="43">
        <f t="shared" si="51"/>
        <v>0</v>
      </c>
      <c r="AS31" s="43">
        <f t="shared" si="51"/>
        <v>0</v>
      </c>
      <c r="AT31" s="43">
        <f t="shared" si="51"/>
        <v>0</v>
      </c>
      <c r="AU31" s="43">
        <f t="shared" si="51"/>
        <v>0</v>
      </c>
      <c r="AV31" s="43">
        <f t="shared" si="51"/>
        <v>0</v>
      </c>
      <c r="AW31" s="43">
        <f t="shared" si="51"/>
        <v>0</v>
      </c>
      <c r="AX31" s="43">
        <f t="shared" si="51"/>
        <v>0</v>
      </c>
      <c r="AY31" s="43">
        <f t="shared" si="51"/>
        <v>0</v>
      </c>
      <c r="AZ31" s="43">
        <f t="shared" si="51"/>
        <v>0</v>
      </c>
      <c r="BA31" s="44">
        <f t="shared" si="51"/>
        <v>0</v>
      </c>
      <c r="BB31" s="128">
        <f t="shared" si="34"/>
        <v>37469</v>
      </c>
      <c r="BC31" s="44">
        <f t="shared" si="41"/>
        <v>0</v>
      </c>
      <c r="BD31" s="51"/>
      <c r="BE31" s="128">
        <f t="shared" si="35"/>
        <v>37469</v>
      </c>
      <c r="BF31" s="43">
        <f t="shared" si="52"/>
        <v>0</v>
      </c>
      <c r="BG31" s="43">
        <f t="shared" si="52"/>
        <v>0</v>
      </c>
      <c r="BH31" s="43">
        <f t="shared" si="52"/>
        <v>0</v>
      </c>
      <c r="BI31" s="43">
        <f t="shared" si="52"/>
        <v>0</v>
      </c>
      <c r="BJ31" s="43">
        <f t="shared" si="52"/>
        <v>0</v>
      </c>
      <c r="BK31" s="43">
        <f t="shared" si="52"/>
        <v>0</v>
      </c>
      <c r="BL31" s="43">
        <f t="shared" si="52"/>
        <v>0</v>
      </c>
      <c r="BM31" s="43">
        <f t="shared" si="52"/>
        <v>0</v>
      </c>
      <c r="BN31" s="43">
        <f t="shared" si="52"/>
        <v>0</v>
      </c>
      <c r="BO31" s="43">
        <f t="shared" si="52"/>
        <v>0</v>
      </c>
      <c r="BP31" s="43">
        <f t="shared" si="52"/>
        <v>0</v>
      </c>
      <c r="BQ31" s="43">
        <f t="shared" si="52"/>
        <v>0</v>
      </c>
      <c r="BR31" s="44">
        <f t="shared" si="52"/>
        <v>0</v>
      </c>
      <c r="BS31" s="128">
        <f t="shared" si="36"/>
        <v>37469</v>
      </c>
      <c r="BT31" s="44">
        <f t="shared" si="37"/>
        <v>0</v>
      </c>
      <c r="BU31" s="51"/>
      <c r="BV31" s="51"/>
      <c r="BW31" s="51"/>
      <c r="BX31" s="51"/>
      <c r="BY31" s="51"/>
      <c r="BZ31" s="51"/>
      <c r="CA31" s="51"/>
      <c r="CB31" s="51"/>
      <c r="CC31" s="141">
        <f t="shared" si="43"/>
        <v>36892</v>
      </c>
      <c r="CD31" s="234">
        <f>_xll.xSPRDOPT((VLOOKUP(G31,NGPrices,2,FALSE)+HLOOKUP(D31,Prices,VLOOKUP(G31,move_down,2,FALSE),FALSE)),VLOOKUP(G31,NGPrices,2,FALSE),I31,VLOOKUP(G31,NGPREVPRICES,4,FALSE),HLOOKUP(D31,PREVVOLS,VLOOKUP(G31,MOVE_DOWN2,2,FALSE),FALSE),VLOOKUP(G31,NGPREVPRICES,3,FALSE),HLOOKUP(D31,Correllate,VLOOKUP(G31,CorMove,2,FALSE),FALSE),Q31-$CD$3,R31,$CD$5)*H31-CJ31</f>
        <v>0</v>
      </c>
      <c r="CE31" s="234">
        <f>_xll.xSPRDOPT((VLOOKUP(G31,NGPREVPRICES,2,FALSE)+HLOOKUP(D31,PREVCURVES,VLOOKUP(G31,MOVE_DOWN2,2,FALSE),FALSE)),VLOOKUP(G31,NGPREVPRICES,2,FALSE),CK31,VLOOKUP(G31,NGPrices,4,FALSE),HLOOKUP(D31,PREVVOLS,VLOOKUP(G31,MOVE_DOWN2,2,FALSE),FALSE),VLOOKUP(G31,NGPREVPRICES,3,FALSE),HLOOKUP(D31,Correllate,VLOOKUP(G31,CorMove,2,FALSE),FALSE),Q31-$CD$3,R31,$CJ$5)*H31-CJ31</f>
        <v>0</v>
      </c>
      <c r="CF31" s="10">
        <f t="shared" si="44"/>
        <v>-5.294301659665507</v>
      </c>
      <c r="CG31" s="234">
        <f>_xll.xSPRDOPT((VLOOKUP(G31,NGPREVPRICES,2,FALSE)+HLOOKUP(D31,PREVCURVES,VLOOKUP(G31,MOVE_DOWN2,2,FALSE),FALSE)),VLOOKUP(G31,NGPREVPRICES,2,FALSE),CK31,VLOOKUP(G31,NGPREVPRICES,4,FALSE),HLOOKUP(D31,VOLS,VLOOKUP(G31,move_down,2,FALSE),FALSE),VLOOKUP(G31,NGPrices,3,FALSE),HLOOKUP(D31,Correllate,VLOOKUP(G31,CorMove,2,FALSE),FALSE),Q31-$CD$3,R31,$CJ$5)*H31-CJ31</f>
        <v>0</v>
      </c>
      <c r="CH31" s="234">
        <f>_xll.xSPRDOPT((VLOOKUP(G31,NGPREVPRICES,2,FALSE)+HLOOKUP(D31,PREVCURVES,VLOOKUP(G31,MOVE_DOWN2,2,FALSE),FALSE)),VLOOKUP(G31,NGPREVPRICES,2,FALSE),CK31,VLOOKUP(G31,NGPREVPRICES,4,FALSE),HLOOKUP(D31,PREVVOLS,VLOOKUP(G31,MOVE_DOWN2,2,FALSE),FALSE),VLOOKUP(G31,NGPREVPRICES,3,FALSE),HLOOKUP(D31,Correllate,VLOOKUP(G31,CorMove,2,FALSE),FALSE),Q31-$C$3,R31,$CJ$5)*H31-CJ31</f>
        <v>-127.86850206259987</v>
      </c>
      <c r="CI31" s="234">
        <f t="shared" si="45"/>
        <v>-133.16280372226538</v>
      </c>
      <c r="CJ31" s="234">
        <f>_xll.xSPRDOPT((VLOOKUP(G31,NGPREVPRICES,2,FALSE)+HLOOKUP(D31,PREVCURVES,VLOOKUP(G31,MOVE_DOWN2,2,FALSE),FALSE)),VLOOKUP(G31,NGPREVPRICES,2,FALSE),CK31,VLOOKUP(G31,NGPREVPRICES,4,FALSE),HLOOKUP(D31,PREVVOLS,VLOOKUP(G31,MOVE_DOWN2,2,FALSE),FALSE),VLOOKUP(G31,NGPREVPRICES,3,FALSE),HLOOKUP(D31,Correllate,VLOOKUP(G31,CorMove,2,FALSE),FALSE),Q31-$CD$3,R31,$CJ$5)*H31</f>
        <v>28095.250222502727</v>
      </c>
      <c r="CK31" s="235">
        <f t="shared" si="46"/>
        <v>0.33</v>
      </c>
      <c r="CM31" t="str">
        <f t="shared" si="47"/>
        <v>36892Curve Shift/Gamma</v>
      </c>
      <c r="CN31" t="str">
        <f t="shared" si="19"/>
        <v>36892Rho</v>
      </c>
      <c r="CO31" t="str">
        <f t="shared" si="20"/>
        <v>36892Drift</v>
      </c>
      <c r="CP31" t="str">
        <f t="shared" si="21"/>
        <v>36892Vega</v>
      </c>
      <c r="CQ31" t="str">
        <f t="shared" si="22"/>
        <v>36892Theta</v>
      </c>
      <c r="CR31" s="385">
        <f t="shared" si="38"/>
        <v>37469</v>
      </c>
      <c r="CS31" s="386">
        <f t="shared" si="23"/>
        <v>0</v>
      </c>
      <c r="CT31" s="239">
        <f t="shared" si="24"/>
        <v>0</v>
      </c>
      <c r="CU31" s="239">
        <f t="shared" si="25"/>
        <v>0</v>
      </c>
      <c r="CV31" s="239">
        <f t="shared" si="26"/>
        <v>0</v>
      </c>
      <c r="CW31" s="249">
        <f t="shared" si="27"/>
        <v>0</v>
      </c>
      <c r="CX31" s="240">
        <f t="shared" si="39"/>
        <v>0</v>
      </c>
      <c r="CZ31" s="385">
        <f t="shared" si="40"/>
        <v>37469</v>
      </c>
      <c r="DA31" s="386">
        <f t="shared" si="28"/>
        <v>0</v>
      </c>
      <c r="DB31" s="239">
        <f t="shared" si="29"/>
        <v>0</v>
      </c>
      <c r="DC31" s="239">
        <f t="shared" si="30"/>
        <v>0</v>
      </c>
      <c r="DD31" s="239">
        <f t="shared" si="31"/>
        <v>0</v>
      </c>
      <c r="DE31" s="249">
        <f t="shared" si="32"/>
        <v>0</v>
      </c>
      <c r="DF31" s="240">
        <f t="shared" si="48"/>
        <v>0</v>
      </c>
    </row>
    <row r="32" spans="1:110" ht="12" customHeight="1" x14ac:dyDescent="0.25">
      <c r="A32" s="140" t="s">
        <v>277</v>
      </c>
      <c r="B32" t="s">
        <v>250</v>
      </c>
      <c r="C32" t="s">
        <v>278</v>
      </c>
      <c r="D32" s="4" t="s">
        <v>10</v>
      </c>
      <c r="E32" t="s">
        <v>20</v>
      </c>
      <c r="F32" t="s">
        <v>21</v>
      </c>
      <c r="G32" s="5">
        <v>36861</v>
      </c>
      <c r="H32" s="130">
        <v>310000</v>
      </c>
      <c r="I32">
        <v>0.33</v>
      </c>
      <c r="J32" s="53">
        <f t="shared" si="1"/>
        <v>4.8</v>
      </c>
      <c r="K32" s="7">
        <f t="shared" si="2"/>
        <v>0.29499999999999998</v>
      </c>
      <c r="L32" s="53">
        <f t="shared" si="3"/>
        <v>5.0949999999999998</v>
      </c>
      <c r="M32" s="157">
        <f t="shared" si="4"/>
        <v>6.8314027999354002E-2</v>
      </c>
      <c r="N32" s="4">
        <f t="shared" si="5"/>
        <v>0.6</v>
      </c>
      <c r="O32" s="4">
        <f t="shared" si="6"/>
        <v>0.6</v>
      </c>
      <c r="P32" s="9">
        <f t="shared" si="7"/>
        <v>0.99</v>
      </c>
      <c r="Q32" s="5">
        <f t="shared" si="8"/>
        <v>36859</v>
      </c>
      <c r="R32" s="4">
        <f t="shared" si="9"/>
        <v>1</v>
      </c>
      <c r="S32" s="158">
        <f>_xll.xSPRDOPT($L32,$J32,$I32,$M32,$O32,$N32,$P32,$Q32-$C$3,$R32,0)</f>
        <v>7.5176857761464128E-2</v>
      </c>
      <c r="T32" s="159">
        <f>_xll.xSPRDOPT($L32,$J32,$I32,$M32,$O32,$N32,$P32,$Q32-$C$3,$R32,1)*H32</f>
        <v>137841.26470912583</v>
      </c>
      <c r="U32" s="160">
        <f t="shared" si="10"/>
        <v>23304.82590605388</v>
      </c>
      <c r="V32" s="159">
        <f>_xll.xSPRDOPT($L32,$J32,$I32,$M32,$O32,$N32,$P32,$Q32-$C$3,$R32,2)*H32</f>
        <v>-133182.32567538205</v>
      </c>
      <c r="W32" s="159">
        <f t="shared" si="11"/>
        <v>4658.9390337437799</v>
      </c>
      <c r="X32" s="51" t="str">
        <f t="shared" si="12"/>
        <v>36861IF-CGT/APPALAC</v>
      </c>
      <c r="Y32" s="418">
        <f t="shared" si="13"/>
        <v>31</v>
      </c>
      <c r="Z32" s="456">
        <f t="shared" si="14"/>
        <v>0.44464924099718006</v>
      </c>
      <c r="AA32" s="456">
        <f>_xll.xSPRDOPT($L32,$J32,$I32,$M32,$O32,$N32,$P32,$Q32-$C$3,$R32,3)</f>
        <v>1.6824294409339933</v>
      </c>
      <c r="AB32" s="456">
        <f>((_xll.xSPRDOPT($L32+AB$5,$J32,$I32,$M32,$O32,$N32,$P32,$Q32-$C$3,$R32,3)*$H32)/10000)/100</f>
        <v>0.5215531266895379</v>
      </c>
      <c r="AC32" s="456">
        <f>((_xll.xSPRDOPT($L32+$AB$5,$J32,$I32,$M32,$O32,$N32,$P32,$Q32-$C$3,$R32,7)*$H32)/100)</f>
        <v>-11511.674692312874</v>
      </c>
      <c r="AD32" s="456">
        <f>(_xll.xSPRDOPT($L32+$AB$5,$J32,$I32,$M32,$O32,$N32,$P32,$Q32-$C$3,$R32,9)/365)*$H32</f>
        <v>-148.54705786070426</v>
      </c>
      <c r="AE32">
        <f t="shared" si="15"/>
        <v>0</v>
      </c>
      <c r="AF32" s="456">
        <f t="shared" si="16"/>
        <v>468.59943067790755</v>
      </c>
      <c r="AG32" s="456">
        <f>((_xll.xSPRDOPT($L32,$J32,$I32,$M32,$O32,$N32,$P32,$Q32-$C$3,$R32,6)*$H32)/100)</f>
        <v>-998.55177415643993</v>
      </c>
      <c r="AH32" s="456">
        <f>((_xll.xSPRDOPT($L32,$J32,$I32,$M32,$O32,$N32,$P32,$Q32-$C$3,$R32,5)*$H32)/100)</f>
        <v>1467.1512048343475</v>
      </c>
      <c r="AI32" s="456">
        <f>(((_xll.xSPRDOPT($L32,$J32,$I32,$M32,$O32,$N32,$P32,$Q32-$C$3,$R32,4)*$H32)/10000)/100)-AB32</f>
        <v>-4.734611461298055E-3</v>
      </c>
      <c r="AJ32" s="456"/>
      <c r="AK32" s="456"/>
      <c r="AL32" s="456"/>
      <c r="AM32" s="472"/>
      <c r="AN32" s="128">
        <f t="shared" si="33"/>
        <v>37500</v>
      </c>
      <c r="AO32" s="43">
        <f t="shared" si="51"/>
        <v>0</v>
      </c>
      <c r="AP32" s="43">
        <f t="shared" si="51"/>
        <v>0</v>
      </c>
      <c r="AQ32" s="43">
        <f t="shared" si="51"/>
        <v>0</v>
      </c>
      <c r="AR32" s="43">
        <f t="shared" si="51"/>
        <v>0</v>
      </c>
      <c r="AS32" s="43">
        <f t="shared" si="51"/>
        <v>0</v>
      </c>
      <c r="AT32" s="43">
        <f t="shared" si="51"/>
        <v>0</v>
      </c>
      <c r="AU32" s="43">
        <f t="shared" si="51"/>
        <v>0</v>
      </c>
      <c r="AV32" s="43">
        <f t="shared" si="51"/>
        <v>0</v>
      </c>
      <c r="AW32" s="43">
        <f t="shared" si="51"/>
        <v>0</v>
      </c>
      <c r="AX32" s="43">
        <f t="shared" si="51"/>
        <v>0</v>
      </c>
      <c r="AY32" s="43">
        <f t="shared" si="51"/>
        <v>0</v>
      </c>
      <c r="AZ32" s="43">
        <f t="shared" si="51"/>
        <v>0</v>
      </c>
      <c r="BA32" s="44">
        <f t="shared" si="51"/>
        <v>0</v>
      </c>
      <c r="BB32" s="128">
        <f t="shared" si="34"/>
        <v>37500</v>
      </c>
      <c r="BC32" s="44">
        <f t="shared" si="41"/>
        <v>0</v>
      </c>
      <c r="BD32" s="51"/>
      <c r="BE32" s="128">
        <f t="shared" si="35"/>
        <v>37500</v>
      </c>
      <c r="BF32" s="43">
        <f t="shared" si="52"/>
        <v>0</v>
      </c>
      <c r="BG32" s="43">
        <f t="shared" si="52"/>
        <v>0</v>
      </c>
      <c r="BH32" s="43">
        <f t="shared" si="52"/>
        <v>0</v>
      </c>
      <c r="BI32" s="43">
        <f t="shared" si="52"/>
        <v>0</v>
      </c>
      <c r="BJ32" s="43">
        <f t="shared" si="52"/>
        <v>0</v>
      </c>
      <c r="BK32" s="43">
        <f t="shared" si="52"/>
        <v>0</v>
      </c>
      <c r="BL32" s="43">
        <f t="shared" si="52"/>
        <v>0</v>
      </c>
      <c r="BM32" s="43">
        <f t="shared" si="52"/>
        <v>0</v>
      </c>
      <c r="BN32" s="43">
        <f t="shared" si="52"/>
        <v>0</v>
      </c>
      <c r="BO32" s="43">
        <f t="shared" si="52"/>
        <v>0</v>
      </c>
      <c r="BP32" s="43">
        <f t="shared" si="52"/>
        <v>0</v>
      </c>
      <c r="BQ32" s="43">
        <f t="shared" si="52"/>
        <v>0</v>
      </c>
      <c r="BR32" s="44">
        <f t="shared" si="52"/>
        <v>0</v>
      </c>
      <c r="BS32" s="128">
        <f t="shared" si="36"/>
        <v>37500</v>
      </c>
      <c r="BT32" s="44">
        <f t="shared" si="37"/>
        <v>0</v>
      </c>
      <c r="BU32" s="51"/>
      <c r="BV32" s="51"/>
      <c r="BW32" s="51"/>
      <c r="BX32" s="51"/>
      <c r="BY32" s="51"/>
      <c r="BZ32" s="51"/>
      <c r="CA32" s="51"/>
      <c r="CB32" s="51"/>
      <c r="CC32" s="141">
        <f t="shared" si="43"/>
        <v>36861</v>
      </c>
      <c r="CD32" s="234">
        <f>_xll.xSPRDOPT((VLOOKUP(G32,NGPrices,2,FALSE)+HLOOKUP(D32,Prices,VLOOKUP(G32,move_down,2,FALSE),FALSE)),VLOOKUP(G32,NGPrices,2,FALSE),I32,VLOOKUP(G32,NGPREVPRICES,4,FALSE),HLOOKUP(D32,PREVVOLS,VLOOKUP(G32,MOVE_DOWN2,2,FALSE),FALSE),VLOOKUP(G32,NGPREVPRICES,3,FALSE),HLOOKUP(D32,Correllate,VLOOKUP(G32,CorMove,2,FALSE),FALSE),Q32-$CD$3,R32,$CD$5)*H32-CJ32</f>
        <v>0</v>
      </c>
      <c r="CE32" s="234">
        <f>_xll.xSPRDOPT((VLOOKUP(G32,NGPREVPRICES,2,FALSE)+HLOOKUP(D32,PREVCURVES,VLOOKUP(G32,MOVE_DOWN2,2,FALSE),FALSE)),VLOOKUP(G32,NGPREVPRICES,2,FALSE),CK32,VLOOKUP(G32,NGPrices,4,FALSE),HLOOKUP(D32,PREVVOLS,VLOOKUP(G32,MOVE_DOWN2,2,FALSE),FALSE),VLOOKUP(G32,NGPREVPRICES,3,FALSE),HLOOKUP(D32,Correllate,VLOOKUP(G32,CorMove,2,FALSE),FALSE),Q32-$CD$3,R32,$CJ$5)*H32-CJ32</f>
        <v>0</v>
      </c>
      <c r="CF32" s="10">
        <f t="shared" si="44"/>
        <v>-4.3936074452685716</v>
      </c>
      <c r="CG32" s="234">
        <f>_xll.xSPRDOPT((VLOOKUP(G32,NGPREVPRICES,2,FALSE)+HLOOKUP(D32,PREVCURVES,VLOOKUP(G32,MOVE_DOWN2,2,FALSE),FALSE)),VLOOKUP(G32,NGPREVPRICES,2,FALSE),CK32,VLOOKUP(G32,NGPREVPRICES,4,FALSE),HLOOKUP(D32,VOLS,VLOOKUP(G32,move_down,2,FALSE),FALSE),VLOOKUP(G32,NGPrices,3,FALSE),HLOOKUP(D32,Correllate,VLOOKUP(G32,CorMove,2,FALSE),FALSE),Q32-$CD$3,R32,$CJ$5)*H32-CJ32</f>
        <v>0</v>
      </c>
      <c r="CH32" s="234">
        <f>_xll.xSPRDOPT((VLOOKUP(G32,NGPREVPRICES,2,FALSE)+HLOOKUP(D32,PREVCURVES,VLOOKUP(G32,MOVE_DOWN2,2,FALSE),FALSE)),VLOOKUP(G32,NGPREVPRICES,2,FALSE),CK32,VLOOKUP(G32,NGPREVPRICES,4,FALSE),HLOOKUP(D32,PREVVOLS,VLOOKUP(G32,MOVE_DOWN2,2,FALSE),FALSE),VLOOKUP(G32,NGPREVPRICES,3,FALSE),HLOOKUP(D32,Correllate,VLOOKUP(G32,CorMove,2,FALSE),FALSE),Q32-$C$3,R32,$CJ$5)*H32-CJ32</f>
        <v>-148.01850376347284</v>
      </c>
      <c r="CI32" s="234">
        <f t="shared" si="45"/>
        <v>-152.41211120874141</v>
      </c>
      <c r="CJ32" s="234">
        <f>_xll.xSPRDOPT((VLOOKUP(G32,NGPREVPRICES,2,FALSE)+HLOOKUP(D32,PREVCURVES,VLOOKUP(G32,MOVE_DOWN2,2,FALSE),FALSE)),VLOOKUP(G32,NGPREVPRICES,2,FALSE),CK32,VLOOKUP(G32,NGPREVPRICES,4,FALSE),HLOOKUP(D32,PREVVOLS,VLOOKUP(G32,MOVE_DOWN2,2,FALSE),FALSE),VLOOKUP(G32,NGPREVPRICES,3,FALSE),HLOOKUP(D32,Correllate,VLOOKUP(G32,CorMove,2,FALSE),FALSE),Q32-$CD$3,R32,$CJ$5)*H32</f>
        <v>23452.844409817353</v>
      </c>
      <c r="CK32" s="235">
        <f t="shared" si="46"/>
        <v>0.33</v>
      </c>
      <c r="CM32" t="str">
        <f t="shared" si="47"/>
        <v>36861Curve Shift/Gamma</v>
      </c>
      <c r="CN32" t="str">
        <f t="shared" si="19"/>
        <v>36861Rho</v>
      </c>
      <c r="CO32" t="str">
        <f t="shared" si="20"/>
        <v>36861Drift</v>
      </c>
      <c r="CP32" t="str">
        <f t="shared" si="21"/>
        <v>36861Vega</v>
      </c>
      <c r="CQ32" t="str">
        <f t="shared" si="22"/>
        <v>36861Theta</v>
      </c>
      <c r="CR32" s="385">
        <f t="shared" si="38"/>
        <v>37500</v>
      </c>
      <c r="CS32" s="386">
        <f t="shared" si="23"/>
        <v>0</v>
      </c>
      <c r="CT32" s="239">
        <f t="shared" si="24"/>
        <v>0</v>
      </c>
      <c r="CU32" s="239">
        <f t="shared" si="25"/>
        <v>0</v>
      </c>
      <c r="CV32" s="239">
        <f t="shared" si="26"/>
        <v>0</v>
      </c>
      <c r="CW32" s="249">
        <f t="shared" si="27"/>
        <v>0</v>
      </c>
      <c r="CX32" s="240">
        <f t="shared" si="39"/>
        <v>0</v>
      </c>
      <c r="CZ32" s="385">
        <f t="shared" si="40"/>
        <v>37500</v>
      </c>
      <c r="DA32" s="386">
        <f t="shared" si="28"/>
        <v>0</v>
      </c>
      <c r="DB32" s="239">
        <f t="shared" si="29"/>
        <v>0</v>
      </c>
      <c r="DC32" s="239">
        <f t="shared" si="30"/>
        <v>0</v>
      </c>
      <c r="DD32" s="239">
        <f t="shared" si="31"/>
        <v>0</v>
      </c>
      <c r="DE32" s="249">
        <f t="shared" si="32"/>
        <v>0</v>
      </c>
      <c r="DF32" s="240">
        <f t="shared" si="48"/>
        <v>0</v>
      </c>
    </row>
    <row r="33" spans="1:110" ht="12" customHeight="1" x14ac:dyDescent="0.25">
      <c r="A33" s="383" t="s">
        <v>277</v>
      </c>
      <c r="B33" t="s">
        <v>250</v>
      </c>
      <c r="C33" t="s">
        <v>278</v>
      </c>
      <c r="D33" s="4" t="s">
        <v>10</v>
      </c>
      <c r="E33" t="s">
        <v>20</v>
      </c>
      <c r="F33" t="s">
        <v>21</v>
      </c>
      <c r="G33" s="5">
        <v>36831</v>
      </c>
      <c r="H33" s="130">
        <v>300000</v>
      </c>
      <c r="I33">
        <v>0.33</v>
      </c>
      <c r="J33" s="53">
        <f t="shared" si="1"/>
        <v>4.7359999999999998</v>
      </c>
      <c r="K33" s="7">
        <f t="shared" si="2"/>
        <v>0.26500000000000001</v>
      </c>
      <c r="L33" s="53">
        <f t="shared" si="3"/>
        <v>5.0009999999999994</v>
      </c>
      <c r="M33" s="157">
        <f t="shared" si="4"/>
        <v>6.810675983792E-2</v>
      </c>
      <c r="N33" s="4">
        <f t="shared" si="5"/>
        <v>0.59499999999999997</v>
      </c>
      <c r="O33" s="4">
        <f t="shared" si="6"/>
        <v>0.59499999999999997</v>
      </c>
      <c r="P33" s="9">
        <f t="shared" si="7"/>
        <v>0.99</v>
      </c>
      <c r="Q33" s="5">
        <f t="shared" si="8"/>
        <v>36829</v>
      </c>
      <c r="R33" s="4">
        <f t="shared" si="9"/>
        <v>1</v>
      </c>
      <c r="S33" s="158">
        <f>_xll.xSPRDOPT($L33,$J33,$I33,$M33,$O33,$N33,$P33,$Q33-$C$3,$R33,0)</f>
        <v>4.593320294844154E-2</v>
      </c>
      <c r="T33" s="159">
        <f>_xll.xSPRDOPT($L33,$J33,$I33,$M33,$O33,$N33,$P33,$Q33-$C$3,$R33,1)*H33</f>
        <v>110687.80748592348</v>
      </c>
      <c r="U33" s="160">
        <f t="shared" si="10"/>
        <v>13779.960884532462</v>
      </c>
      <c r="V33" s="159">
        <f>_xll.xSPRDOPT($L33,$J33,$I33,$M33,$O33,$N33,$P33,$Q33-$C$3,$R33,2)*H33</f>
        <v>-107169.43906879782</v>
      </c>
      <c r="W33" s="159">
        <f t="shared" si="11"/>
        <v>3518.3684171256609</v>
      </c>
      <c r="X33" s="51" t="str">
        <f t="shared" si="12"/>
        <v>36831IF-CGT/APPALAC</v>
      </c>
      <c r="Y33" s="418">
        <f t="shared" si="13"/>
        <v>30</v>
      </c>
      <c r="Z33" s="456">
        <f t="shared" si="14"/>
        <v>0.36895935828641158</v>
      </c>
      <c r="AA33" s="456">
        <f>_xll.xSPRDOPT($L33,$J33,$I33,$M33,$O33,$N33,$P33,$Q33-$C$3,$R33,3)</f>
        <v>2.0243248796483604</v>
      </c>
      <c r="AB33" s="456">
        <f>((_xll.xSPRDOPT($L33+AB$5,$J33,$I33,$M33,$O33,$N33,$P33,$Q33-$C$3,$R33,3)*$H33)/10000)/100</f>
        <v>0.60729746389450812</v>
      </c>
      <c r="AC33" s="456">
        <f>((_xll.xSPRDOPT($L33+$AB$5,$J33,$I33,$M33,$O33,$N33,$P33,$Q33-$C$3,$R33,7)*$H33)/100)</f>
        <v>-8555.7824360514023</v>
      </c>
      <c r="AD33" s="456">
        <f>(_xll.xSPRDOPT($L33+$AB$5,$J33,$I33,$M33,$O33,$N33,$P33,$Q33-$C$3,$R33,9)/365)*$H33</f>
        <v>-165.70312506425472</v>
      </c>
      <c r="AE33">
        <f t="shared" si="15"/>
        <v>0</v>
      </c>
      <c r="AF33" s="456">
        <f t="shared" si="16"/>
        <v>350.44941716064284</v>
      </c>
      <c r="AG33" s="456">
        <f>((_xll.xSPRDOPT($L33,$J33,$I33,$M33,$O33,$N33,$P33,$Q33-$C$3,$R33,6)*$H33)/100)</f>
        <v>-754.1702011123183</v>
      </c>
      <c r="AH33" s="456">
        <f>((_xll.xSPRDOPT($L33,$J33,$I33,$M33,$O33,$N33,$P33,$Q33-$C$3,$R33,5)*$H33)/100)</f>
        <v>1104.6196182729611</v>
      </c>
      <c r="AI33" s="456">
        <f>(((_xll.xSPRDOPT($L33,$J33,$I33,$M33,$O33,$N33,$P33,$Q33-$C$3,$R33,4)*$H33)/10000)/100)-AB33</f>
        <v>-1.2188414630579625E-2</v>
      </c>
      <c r="AJ33" s="456"/>
      <c r="AK33" s="456"/>
      <c r="AL33" s="456"/>
      <c r="AM33" s="472"/>
      <c r="AN33" s="128">
        <f t="shared" si="33"/>
        <v>37530</v>
      </c>
      <c r="AO33" s="43">
        <f t="shared" si="51"/>
        <v>0</v>
      </c>
      <c r="AP33" s="43">
        <f t="shared" si="51"/>
        <v>0</v>
      </c>
      <c r="AQ33" s="43">
        <f t="shared" si="51"/>
        <v>0</v>
      </c>
      <c r="AR33" s="43">
        <f t="shared" si="51"/>
        <v>0</v>
      </c>
      <c r="AS33" s="43">
        <f t="shared" si="51"/>
        <v>0</v>
      </c>
      <c r="AT33" s="43">
        <f t="shared" si="51"/>
        <v>0</v>
      </c>
      <c r="AU33" s="43">
        <f t="shared" si="51"/>
        <v>0</v>
      </c>
      <c r="AV33" s="43">
        <f t="shared" si="51"/>
        <v>0</v>
      </c>
      <c r="AW33" s="43">
        <f t="shared" si="51"/>
        <v>0</v>
      </c>
      <c r="AX33" s="43">
        <f t="shared" si="51"/>
        <v>0</v>
      </c>
      <c r="AY33" s="43">
        <f t="shared" si="51"/>
        <v>0</v>
      </c>
      <c r="AZ33" s="43">
        <f t="shared" si="51"/>
        <v>0</v>
      </c>
      <c r="BA33" s="44">
        <f t="shared" si="51"/>
        <v>0</v>
      </c>
      <c r="BB33" s="128">
        <f t="shared" si="34"/>
        <v>37530</v>
      </c>
      <c r="BC33" s="44">
        <f t="shared" si="41"/>
        <v>0</v>
      </c>
      <c r="BD33" s="51"/>
      <c r="BE33" s="128">
        <f t="shared" si="35"/>
        <v>37530</v>
      </c>
      <c r="BF33" s="43">
        <f t="shared" si="52"/>
        <v>0</v>
      </c>
      <c r="BG33" s="43">
        <f t="shared" si="52"/>
        <v>0</v>
      </c>
      <c r="BH33" s="43">
        <f t="shared" si="52"/>
        <v>0</v>
      </c>
      <c r="BI33" s="43">
        <f t="shared" si="52"/>
        <v>0</v>
      </c>
      <c r="BJ33" s="43">
        <f t="shared" si="52"/>
        <v>0</v>
      </c>
      <c r="BK33" s="43">
        <f t="shared" si="52"/>
        <v>0</v>
      </c>
      <c r="BL33" s="43">
        <f t="shared" si="52"/>
        <v>0</v>
      </c>
      <c r="BM33" s="43">
        <f t="shared" si="52"/>
        <v>0</v>
      </c>
      <c r="BN33" s="43">
        <f t="shared" si="52"/>
        <v>0</v>
      </c>
      <c r="BO33" s="43">
        <f t="shared" si="52"/>
        <v>0</v>
      </c>
      <c r="BP33" s="43">
        <f t="shared" si="52"/>
        <v>0</v>
      </c>
      <c r="BQ33" s="43">
        <f t="shared" si="52"/>
        <v>0</v>
      </c>
      <c r="BR33" s="44">
        <f t="shared" si="52"/>
        <v>0</v>
      </c>
      <c r="BS33" s="128">
        <f t="shared" si="36"/>
        <v>37530</v>
      </c>
      <c r="BT33" s="44">
        <f t="shared" si="37"/>
        <v>0</v>
      </c>
      <c r="BU33" s="51"/>
      <c r="BV33" s="51"/>
      <c r="BW33" s="51"/>
      <c r="BX33" s="51"/>
      <c r="BY33" s="51"/>
      <c r="BZ33" s="51"/>
      <c r="CA33" s="51"/>
      <c r="CB33" s="51"/>
      <c r="CC33" s="141">
        <f t="shared" si="43"/>
        <v>36831</v>
      </c>
      <c r="CD33" s="234">
        <f>_xll.xSPRDOPT((VLOOKUP(G33,NGPrices,2,FALSE)+HLOOKUP(D33,Prices,VLOOKUP(G33,move_down,2,FALSE),FALSE)),VLOOKUP(G33,NGPrices,2,FALSE),I33,VLOOKUP(G33,NGPREVPRICES,4,FALSE),HLOOKUP(D33,PREVVOLS,VLOOKUP(G33,MOVE_DOWN2,2,FALSE),FALSE),VLOOKUP(G33,NGPREVPRICES,3,FALSE),HLOOKUP(D33,Correllate,VLOOKUP(G33,CorMove,2,FALSE),FALSE),Q33-$CD$3,R33,$CD$5)*H33-CJ33</f>
        <v>0</v>
      </c>
      <c r="CE33" s="234">
        <f>_xll.xSPRDOPT((VLOOKUP(G33,NGPREVPRICES,2,FALSE)+HLOOKUP(D33,PREVCURVES,VLOOKUP(G33,MOVE_DOWN2,2,FALSE),FALSE)),VLOOKUP(G33,NGPREVPRICES,2,FALSE),CK33,VLOOKUP(G33,NGPrices,4,FALSE),HLOOKUP(D33,PREVVOLS,VLOOKUP(G33,MOVE_DOWN2,2,FALSE),FALSE),VLOOKUP(G33,NGPREVPRICES,3,FALSE),HLOOKUP(D33,Correllate,VLOOKUP(G33,CorMove,2,FALSE),FALSE),Q33-$CD$3,R33,$CJ$5)*H33-CJ33</f>
        <v>0</v>
      </c>
      <c r="CF33" s="10">
        <f t="shared" si="44"/>
        <v>-2.5897225920107303</v>
      </c>
      <c r="CG33" s="234">
        <f>_xll.xSPRDOPT((VLOOKUP(G33,NGPREVPRICES,2,FALSE)+HLOOKUP(D33,PREVCURVES,VLOOKUP(G33,MOVE_DOWN2,2,FALSE),FALSE)),VLOOKUP(G33,NGPREVPRICES,2,FALSE),CK33,VLOOKUP(G33,NGPREVPRICES,4,FALSE),HLOOKUP(D33,VOLS,VLOOKUP(G33,move_down,2,FALSE),FALSE),VLOOKUP(G33,NGPrices,3,FALSE),HLOOKUP(D33,Correllate,VLOOKUP(G33,CorMove,2,FALSE),FALSE),Q33-$CD$3,R33,$CJ$5)*H33-CJ33</f>
        <v>0</v>
      </c>
      <c r="CH33" s="234">
        <f>_xll.xSPRDOPT((VLOOKUP(G33,NGPREVPRICES,2,FALSE)+HLOOKUP(D33,PREVCURVES,VLOOKUP(G33,MOVE_DOWN2,2,FALSE),FALSE)),VLOOKUP(G33,NGPREVPRICES,2,FALSE),CK33,VLOOKUP(G33,NGPREVPRICES,4,FALSE),HLOOKUP(D33,PREVVOLS,VLOOKUP(G33,MOVE_DOWN2,2,FALSE),FALSE),VLOOKUP(G33,NGPREVPRICES,3,FALSE),HLOOKUP(D33,Correllate,VLOOKUP(G33,CorMove,2,FALSE),FALSE),Q33-$C$3,R33,$CJ$5)*H33-CJ33</f>
        <v>-164.97255836849399</v>
      </c>
      <c r="CI33" s="234">
        <f t="shared" si="45"/>
        <v>-167.56228096050472</v>
      </c>
      <c r="CJ33" s="234">
        <f>_xll.xSPRDOPT((VLOOKUP(G33,NGPREVPRICES,2,FALSE)+HLOOKUP(D33,PREVCURVES,VLOOKUP(G33,MOVE_DOWN2,2,FALSE),FALSE)),VLOOKUP(G33,NGPREVPRICES,2,FALSE),CK33,VLOOKUP(G33,NGPREVPRICES,4,FALSE),HLOOKUP(D33,PREVVOLS,VLOOKUP(G33,MOVE_DOWN2,2,FALSE),FALSE),VLOOKUP(G33,NGPREVPRICES,3,FALSE),HLOOKUP(D33,Correllate,VLOOKUP(G33,CorMove,2,FALSE),FALSE),Q33-$CD$3,R33,$CJ$5)*H33</f>
        <v>13944.933442900956</v>
      </c>
      <c r="CK33" s="235">
        <f t="shared" si="46"/>
        <v>0.33</v>
      </c>
      <c r="CM33" t="str">
        <f t="shared" si="47"/>
        <v>36831Curve Shift/Gamma</v>
      </c>
      <c r="CN33" t="str">
        <f t="shared" si="19"/>
        <v>36831Rho</v>
      </c>
      <c r="CO33" t="str">
        <f t="shared" si="20"/>
        <v>36831Drift</v>
      </c>
      <c r="CP33" t="str">
        <f t="shared" si="21"/>
        <v>36831Vega</v>
      </c>
      <c r="CQ33" t="str">
        <f t="shared" si="22"/>
        <v>36831Theta</v>
      </c>
      <c r="CR33" s="385">
        <f t="shared" si="38"/>
        <v>37530</v>
      </c>
      <c r="CS33" s="386">
        <f t="shared" si="23"/>
        <v>0</v>
      </c>
      <c r="CT33" s="239">
        <f t="shared" si="24"/>
        <v>0</v>
      </c>
      <c r="CU33" s="239">
        <f t="shared" si="25"/>
        <v>0</v>
      </c>
      <c r="CV33" s="239">
        <f t="shared" si="26"/>
        <v>0</v>
      </c>
      <c r="CW33" s="249">
        <f t="shared" si="27"/>
        <v>0</v>
      </c>
      <c r="CX33" s="240">
        <f t="shared" si="39"/>
        <v>0</v>
      </c>
      <c r="CZ33" s="385">
        <f t="shared" si="40"/>
        <v>37530</v>
      </c>
      <c r="DA33" s="386">
        <f t="shared" si="28"/>
        <v>0</v>
      </c>
      <c r="DB33" s="239">
        <f t="shared" si="29"/>
        <v>0</v>
      </c>
      <c r="DC33" s="239">
        <f t="shared" si="30"/>
        <v>0</v>
      </c>
      <c r="DD33" s="239">
        <f t="shared" si="31"/>
        <v>0</v>
      </c>
      <c r="DE33" s="249">
        <f t="shared" si="32"/>
        <v>0</v>
      </c>
      <c r="DF33" s="240">
        <f t="shared" si="48"/>
        <v>0</v>
      </c>
    </row>
    <row r="34" spans="1:110" ht="12" customHeight="1" x14ac:dyDescent="0.25">
      <c r="A34" s="383" t="s">
        <v>281</v>
      </c>
      <c r="B34" t="s">
        <v>250</v>
      </c>
      <c r="C34" t="s">
        <v>282</v>
      </c>
      <c r="D34" s="4" t="s">
        <v>7</v>
      </c>
      <c r="E34" t="s">
        <v>20</v>
      </c>
      <c r="F34" t="s">
        <v>21</v>
      </c>
      <c r="G34" s="141">
        <v>36831</v>
      </c>
      <c r="H34" s="130">
        <v>900000</v>
      </c>
      <c r="I34">
        <v>1</v>
      </c>
      <c r="J34" s="53">
        <f t="shared" si="1"/>
        <v>4.7359999999999998</v>
      </c>
      <c r="K34" s="7">
        <f t="shared" si="2"/>
        <v>0.77</v>
      </c>
      <c r="L34" s="53">
        <f t="shared" si="3"/>
        <v>5.5060000000000002</v>
      </c>
      <c r="M34" s="157">
        <f t="shared" si="4"/>
        <v>6.810675983792E-2</v>
      </c>
      <c r="N34" s="4">
        <f t="shared" si="5"/>
        <v>0.59499999999999997</v>
      </c>
      <c r="O34" s="4">
        <f t="shared" si="6"/>
        <v>0.625</v>
      </c>
      <c r="P34" s="9">
        <f t="shared" si="7"/>
        <v>0.89</v>
      </c>
      <c r="Q34" s="5">
        <f t="shared" si="8"/>
        <v>36829</v>
      </c>
      <c r="R34" s="4">
        <f t="shared" si="9"/>
        <v>1</v>
      </c>
      <c r="S34" s="158">
        <f>_xll.xSPRDOPT($L34,$J34,$I34,$M34,$O34,$N34,$P34,$Q34-$C$3,$R34,0)</f>
        <v>0.16844177648588188</v>
      </c>
      <c r="T34" s="159">
        <f>_xll.xSPRDOPT($L34,$J34,$I34,$M34,$O34,$N34,$P34,$Q34-$C$3,$R34,1)*H34</f>
        <v>347522.81017198146</v>
      </c>
      <c r="U34" s="160">
        <f t="shared" si="10"/>
        <v>151597.59883729368</v>
      </c>
      <c r="V34" s="159">
        <f>_xll.xSPRDOPT($L34,$J34,$I34,$M34,$O34,$N34,$P34,$Q34-$C$3,$R34,2)*H34</f>
        <v>-310217.30429657403</v>
      </c>
      <c r="W34" s="159">
        <f t="shared" si="11"/>
        <v>37305.505875407427</v>
      </c>
      <c r="X34" s="51" t="str">
        <f t="shared" si="12"/>
        <v>36831IF-TRANSCO/Z6</v>
      </c>
      <c r="Y34" s="418">
        <f t="shared" si="13"/>
        <v>90</v>
      </c>
      <c r="Z34" s="456">
        <f t="shared" si="14"/>
        <v>0.38613645574664607</v>
      </c>
      <c r="AA34" s="456">
        <f>_xll.xSPRDOPT($L34,$J34,$I34,$M34,$O34,$N34,$P34,$Q34-$C$3,$R34,3)</f>
        <v>0.57258794695311976</v>
      </c>
      <c r="AB34" s="456">
        <f>((_xll.xSPRDOPT($L34+AB$5,$J34,$I34,$M34,$O34,$N34,$P34,$Q34-$C$3,$R34,3)*$H34)/10000)/100</f>
        <v>0.51532915225780773</v>
      </c>
      <c r="AC34" s="456">
        <f>((_xll.xSPRDOPT($L34+$AB$5,$J34,$I34,$M34,$O34,$N34,$P34,$Q34-$C$3,$R34,7)*$H34)/100)</f>
        <v>-8179.031489791606</v>
      </c>
      <c r="AD34" s="456">
        <f>(_xll.xSPRDOPT($L34+$AB$5,$J34,$I34,$M34,$O34,$N34,$P34,$Q34-$C$3,$R34,9)/365)*$H34</f>
        <v>-1802.4426281334643</v>
      </c>
      <c r="AE34">
        <f t="shared" si="15"/>
        <v>0</v>
      </c>
      <c r="AF34" s="456">
        <f t="shared" si="16"/>
        <v>3812.6910048650111</v>
      </c>
      <c r="AG34" s="456">
        <f>((_xll.xSPRDOPT($L34,$J34,$I34,$M34,$O34,$N34,$P34,$Q34-$C$3,$R34,6)*$H34)/100)</f>
        <v>-1363.2315507019462</v>
      </c>
      <c r="AH34" s="456">
        <f>((_xll.xSPRDOPT($L34,$J34,$I34,$M34,$O34,$N34,$P34,$Q34-$C$3,$R34,5)*$H34)/100)</f>
        <v>4927.4782728997434</v>
      </c>
      <c r="AI34" s="456">
        <f>(((_xll.xSPRDOPT($L34,$J34,$I34,$M34,$O34,$N34,$P34,$Q34-$C$3,$R34,4)*$H34)/10000)/100)-AB34</f>
        <v>-3.5453629053784519E-2</v>
      </c>
      <c r="AJ34" s="456"/>
      <c r="AK34" s="456"/>
      <c r="AL34" s="456"/>
      <c r="AM34" s="472"/>
      <c r="AN34" s="128">
        <f t="shared" si="33"/>
        <v>37561</v>
      </c>
      <c r="AO34" s="43">
        <f t="shared" si="51"/>
        <v>0</v>
      </c>
      <c r="AP34" s="43">
        <f t="shared" si="51"/>
        <v>0</v>
      </c>
      <c r="AQ34" s="43">
        <f t="shared" si="51"/>
        <v>0</v>
      </c>
      <c r="AR34" s="43">
        <f t="shared" si="51"/>
        <v>9.4659118724246589</v>
      </c>
      <c r="AS34" s="43">
        <f t="shared" si="51"/>
        <v>0</v>
      </c>
      <c r="AT34" s="43">
        <f t="shared" si="51"/>
        <v>0</v>
      </c>
      <c r="AU34" s="43">
        <f t="shared" si="51"/>
        <v>0</v>
      </c>
      <c r="AV34" s="43">
        <f t="shared" si="51"/>
        <v>0</v>
      </c>
      <c r="AW34" s="43">
        <f t="shared" si="51"/>
        <v>0</v>
      </c>
      <c r="AX34" s="43">
        <f t="shared" si="51"/>
        <v>0</v>
      </c>
      <c r="AY34" s="43">
        <f t="shared" si="51"/>
        <v>0</v>
      </c>
      <c r="AZ34" s="43">
        <f t="shared" si="51"/>
        <v>0</v>
      </c>
      <c r="BA34" s="44">
        <f t="shared" si="51"/>
        <v>0</v>
      </c>
      <c r="BB34" s="128">
        <f t="shared" si="34"/>
        <v>37561</v>
      </c>
      <c r="BC34" s="44">
        <f t="shared" si="41"/>
        <v>9.4659118724246589</v>
      </c>
      <c r="BD34" s="51"/>
      <c r="BE34" s="128">
        <f t="shared" si="35"/>
        <v>37561</v>
      </c>
      <c r="BF34" s="43">
        <f t="shared" si="52"/>
        <v>0</v>
      </c>
      <c r="BG34" s="43">
        <f t="shared" si="52"/>
        <v>0</v>
      </c>
      <c r="BH34" s="43">
        <f t="shared" si="52"/>
        <v>0</v>
      </c>
      <c r="BI34" s="43">
        <f t="shared" si="52"/>
        <v>7040.1903702535783</v>
      </c>
      <c r="BJ34" s="43">
        <f t="shared" si="52"/>
        <v>0</v>
      </c>
      <c r="BK34" s="43">
        <f t="shared" si="52"/>
        <v>0</v>
      </c>
      <c r="BL34" s="43">
        <f t="shared" si="52"/>
        <v>0</v>
      </c>
      <c r="BM34" s="43">
        <f t="shared" si="52"/>
        <v>0</v>
      </c>
      <c r="BN34" s="43">
        <f t="shared" si="52"/>
        <v>0</v>
      </c>
      <c r="BO34" s="43">
        <f t="shared" si="52"/>
        <v>0</v>
      </c>
      <c r="BP34" s="43">
        <f t="shared" si="52"/>
        <v>0</v>
      </c>
      <c r="BQ34" s="43">
        <f t="shared" si="52"/>
        <v>0</v>
      </c>
      <c r="BR34" s="44">
        <f t="shared" si="52"/>
        <v>0</v>
      </c>
      <c r="BS34" s="128">
        <f t="shared" si="36"/>
        <v>37561</v>
      </c>
      <c r="BT34" s="44">
        <f t="shared" si="37"/>
        <v>7040.1903702535783</v>
      </c>
      <c r="BU34" s="51"/>
      <c r="BV34" s="51"/>
      <c r="BW34" s="51"/>
      <c r="BX34" s="51"/>
      <c r="BY34" s="51"/>
      <c r="BZ34" s="51"/>
      <c r="CA34" s="51"/>
      <c r="CB34" s="51"/>
      <c r="CC34" s="141">
        <f t="shared" si="43"/>
        <v>36831</v>
      </c>
      <c r="CD34" s="234">
        <f>_xll.xSPRDOPT((VLOOKUP(G34,NGPrices,2,FALSE)+HLOOKUP(D34,Prices,VLOOKUP(G34,move_down,2,FALSE),FALSE)),VLOOKUP(G34,NGPrices,2,FALSE),I34,VLOOKUP(G34,NGPREVPRICES,4,FALSE),HLOOKUP(D34,PREVVOLS,VLOOKUP(G34,MOVE_DOWN2,2,FALSE),FALSE),VLOOKUP(G34,NGPREVPRICES,3,FALSE),HLOOKUP(D34,Correllate,VLOOKUP(G34,CorMove,2,FALSE),FALSE),Q34-$CD$3,R34,$CD$5)*H34-CJ34</f>
        <v>0</v>
      </c>
      <c r="CE34" s="234">
        <f>_xll.xSPRDOPT((VLOOKUP(G34,NGPREVPRICES,2,FALSE)+HLOOKUP(D34,PREVCURVES,VLOOKUP(G34,MOVE_DOWN2,2,FALSE),FALSE)),VLOOKUP(G34,NGPREVPRICES,2,FALSE),CK34,VLOOKUP(G34,NGPrices,4,FALSE),HLOOKUP(D34,PREVVOLS,VLOOKUP(G34,MOVE_DOWN2,2,FALSE),FALSE),VLOOKUP(G34,NGPREVPRICES,3,FALSE),HLOOKUP(D34,Correllate,VLOOKUP(G34,CorMove,2,FALSE),FALSE),Q34-$CD$3,R34,$CJ$5)*H34-CJ34</f>
        <v>0</v>
      </c>
      <c r="CF34" s="10">
        <f t="shared" si="44"/>
        <v>-28.486528732348233</v>
      </c>
      <c r="CG34" s="234">
        <f>_xll.xSPRDOPT((VLOOKUP(G34,NGPREVPRICES,2,FALSE)+HLOOKUP(D34,PREVCURVES,VLOOKUP(G34,MOVE_DOWN2,2,FALSE),FALSE)),VLOOKUP(G34,NGPREVPRICES,2,FALSE),CK34,VLOOKUP(G34,NGPREVPRICES,4,FALSE),HLOOKUP(D34,VOLS,VLOOKUP(G34,move_down,2,FALSE),FALSE),VLOOKUP(G34,NGPrices,3,FALSE),HLOOKUP(D34,Correllate,VLOOKUP(G34,CorMove,2,FALSE),FALSE),Q34-$CD$3,R34,$CJ$5)*H34-CJ34</f>
        <v>0</v>
      </c>
      <c r="CH34" s="234">
        <f>_xll.xSPRDOPT((VLOOKUP(G34,NGPREVPRICES,2,FALSE)+HLOOKUP(D34,PREVCURVES,VLOOKUP(G34,MOVE_DOWN2,2,FALSE),FALSE)),VLOOKUP(G34,NGPREVPRICES,2,FALSE),CK34,VLOOKUP(G34,NGPREVPRICES,4,FALSE),HLOOKUP(D34,PREVVOLS,VLOOKUP(G34,MOVE_DOWN2,2,FALSE),FALSE),VLOOKUP(G34,NGPREVPRICES,3,FALSE),HLOOKUP(D34,Correllate,VLOOKUP(G34,CorMove,2,FALSE),FALSE),Q34-$C$3,R34,$CJ$5)*H34-CJ34</f>
        <v>-1794.4086377602362</v>
      </c>
      <c r="CI34" s="234">
        <f t="shared" si="45"/>
        <v>-1822.8951664925844</v>
      </c>
      <c r="CJ34" s="234">
        <f>_xll.xSPRDOPT((VLOOKUP(G34,NGPREVPRICES,2,FALSE)+HLOOKUP(D34,PREVCURVES,VLOOKUP(G34,MOVE_DOWN2,2,FALSE),FALSE)),VLOOKUP(G34,NGPREVPRICES,2,FALSE),CK34,VLOOKUP(G34,NGPREVPRICES,4,FALSE),HLOOKUP(D34,PREVVOLS,VLOOKUP(G34,MOVE_DOWN2,2,FALSE),FALSE),VLOOKUP(G34,NGPREVPRICES,3,FALSE),HLOOKUP(D34,Correllate,VLOOKUP(G34,CorMove,2,FALSE),FALSE),Q34-$CD$3,R34,$CJ$5)*H34</f>
        <v>153392.00747505392</v>
      </c>
      <c r="CK34" s="235">
        <f t="shared" si="46"/>
        <v>1</v>
      </c>
      <c r="CM34" t="str">
        <f t="shared" si="47"/>
        <v>36831Curve Shift/Gamma</v>
      </c>
      <c r="CN34" t="str">
        <f t="shared" si="19"/>
        <v>36831Rho</v>
      </c>
      <c r="CO34" t="str">
        <f t="shared" si="20"/>
        <v>36831Drift</v>
      </c>
      <c r="CP34" t="str">
        <f t="shared" si="21"/>
        <v>36831Vega</v>
      </c>
      <c r="CQ34" t="str">
        <f t="shared" si="22"/>
        <v>36831Theta</v>
      </c>
      <c r="CR34" s="385">
        <f t="shared" si="38"/>
        <v>37561</v>
      </c>
      <c r="CS34" s="386">
        <f t="shared" si="23"/>
        <v>0</v>
      </c>
      <c r="CT34" s="239">
        <f t="shared" si="24"/>
        <v>0</v>
      </c>
      <c r="CU34" s="239">
        <f t="shared" si="25"/>
        <v>-3.7019712102664926</v>
      </c>
      <c r="CV34" s="239">
        <f t="shared" si="26"/>
        <v>0</v>
      </c>
      <c r="CW34" s="249">
        <f t="shared" si="27"/>
        <v>-13.771854906670342</v>
      </c>
      <c r="CX34" s="240">
        <f t="shared" si="39"/>
        <v>-17.473826116936834</v>
      </c>
      <c r="CZ34" s="385">
        <f t="shared" si="40"/>
        <v>37561</v>
      </c>
      <c r="DA34" s="386">
        <f t="shared" si="28"/>
        <v>0</v>
      </c>
      <c r="DB34" s="239">
        <f t="shared" si="29"/>
        <v>0</v>
      </c>
      <c r="DC34" s="239">
        <f t="shared" si="30"/>
        <v>-3.7019712102664926</v>
      </c>
      <c r="DD34" s="239">
        <f t="shared" si="31"/>
        <v>0</v>
      </c>
      <c r="DE34" s="249">
        <f t="shared" si="32"/>
        <v>-13.771854906670342</v>
      </c>
      <c r="DF34" s="240">
        <f t="shared" si="48"/>
        <v>-17.473826116936834</v>
      </c>
    </row>
    <row r="35" spans="1:110" ht="12" customHeight="1" x14ac:dyDescent="0.25">
      <c r="A35" s="140" t="s">
        <v>324</v>
      </c>
      <c r="B35" t="s">
        <v>250</v>
      </c>
      <c r="C35" t="s">
        <v>283</v>
      </c>
      <c r="D35" s="4" t="s">
        <v>7</v>
      </c>
      <c r="E35" t="s">
        <v>20</v>
      </c>
      <c r="F35" t="s">
        <v>1</v>
      </c>
      <c r="G35" s="141">
        <v>36831</v>
      </c>
      <c r="H35" s="130">
        <v>300000</v>
      </c>
      <c r="I35">
        <v>0.45</v>
      </c>
      <c r="J35" s="53">
        <f t="shared" si="1"/>
        <v>4.7359999999999998</v>
      </c>
      <c r="K35" s="7">
        <f t="shared" si="2"/>
        <v>0.77</v>
      </c>
      <c r="L35" s="53">
        <f t="shared" si="3"/>
        <v>5.5060000000000002</v>
      </c>
      <c r="M35" s="157">
        <f t="shared" si="4"/>
        <v>6.810675983792E-2</v>
      </c>
      <c r="N35" s="4">
        <f t="shared" si="5"/>
        <v>0.59499999999999997</v>
      </c>
      <c r="O35" s="4">
        <f t="shared" si="6"/>
        <v>0.625</v>
      </c>
      <c r="P35" s="9">
        <f t="shared" si="7"/>
        <v>0.89</v>
      </c>
      <c r="Q35" s="5">
        <f t="shared" si="8"/>
        <v>36829</v>
      </c>
      <c r="R35" s="4">
        <f t="shared" si="9"/>
        <v>0</v>
      </c>
      <c r="S35" s="158">
        <f>_xll.xSPRDOPT($L35,$J35,$I35,$M35,$O35,$N35,$P35,$Q35-$C$3,$R35,0)</f>
        <v>0.12098453588159536</v>
      </c>
      <c r="T35" s="159">
        <f>_xll.xSPRDOPT($L35,$J35,$I35,$M35,$O35,$N35,$P35,$Q35-$C$3,$R35,1)*H35</f>
        <v>-84514.518480459941</v>
      </c>
      <c r="U35" s="160">
        <f t="shared" si="10"/>
        <v>36295.36076447861</v>
      </c>
      <c r="V35" s="159">
        <f>_xll.xSPRDOPT($L35,$J35,$I35,$M35,$O35,$N35,$P35,$Q35-$C$3,$R35,2)*H35</f>
        <v>96613.942399216074</v>
      </c>
      <c r="W35" s="159">
        <f t="shared" si="11"/>
        <v>12099.423918756132</v>
      </c>
      <c r="X35" s="51" t="str">
        <f t="shared" si="12"/>
        <v>36831IF-TRANSCO/Z6</v>
      </c>
      <c r="Y35" s="418">
        <f t="shared" si="13"/>
        <v>30</v>
      </c>
      <c r="Z35" s="456">
        <f t="shared" si="14"/>
        <v>-0.28171506160153315</v>
      </c>
      <c r="AA35" s="456">
        <f>_xll.xSPRDOPT($L35,$J35,$I35,$M35,$O35,$N35,$P35,$Q35-$C$3,$R35,3)</f>
        <v>0.51835266088152065</v>
      </c>
      <c r="AB35" s="456">
        <f>((_xll.xSPRDOPT($L35+AB$5,$J35,$I35,$M35,$O35,$N35,$P35,$Q35-$C$3,$R35,3)*$H35)/10000)/100</f>
        <v>0.15550579826445618</v>
      </c>
      <c r="AC35" s="456">
        <f>((_xll.xSPRDOPT($L35+$AB$5,$J35,$I35,$M35,$O35,$N35,$P35,$Q35-$C$3,$R35,7)*$H35)/100)</f>
        <v>-2716.5188003138041</v>
      </c>
      <c r="AD35" s="456">
        <f>(_xll.xSPRDOPT($L35+$AB$5,$J35,$I35,$M35,$O35,$N35,$P35,$Q35-$C$3,$R35,9)/365)*$H35</f>
        <v>-519.69194860251389</v>
      </c>
      <c r="AE35">
        <f t="shared" si="15"/>
        <v>0</v>
      </c>
      <c r="AF35" s="456">
        <f t="shared" si="16"/>
        <v>1096.4186117971988</v>
      </c>
      <c r="AG35" s="456">
        <f>((_xll.xSPRDOPT($L35,$J35,$I35,$M35,$O35,$N35,$P35,$Q35-$C$3,$R35,6)*$H35)/100)</f>
        <v>-93.907045852300143</v>
      </c>
      <c r="AH35" s="456">
        <f>((_xll.xSPRDOPT($L35,$J35,$I35,$M35,$O35,$N35,$P35,$Q35-$C$3,$R35,5)*$H35)/100)</f>
        <v>1133.1900260823229</v>
      </c>
      <c r="AI35" s="456">
        <f>(((_xll.xSPRDOPT($L35,$J35,$I35,$M35,$O35,$N35,$P35,$Q35-$C$3,$R35,4)*$H35)/10000)/100)-AB35</f>
        <v>1.9715382553221195E-2</v>
      </c>
      <c r="AJ35" s="456"/>
      <c r="AK35" s="456"/>
      <c r="AL35" s="456"/>
      <c r="AM35" s="472"/>
      <c r="AN35" s="128">
        <f t="shared" si="33"/>
        <v>37591</v>
      </c>
      <c r="AO35" s="43">
        <f t="shared" si="51"/>
        <v>0</v>
      </c>
      <c r="AP35" s="43">
        <f t="shared" si="51"/>
        <v>0</v>
      </c>
      <c r="AQ35" s="43">
        <f t="shared" si="51"/>
        <v>0</v>
      </c>
      <c r="AR35" s="43">
        <f t="shared" si="51"/>
        <v>11.312826036778318</v>
      </c>
      <c r="AS35" s="43">
        <f t="shared" si="51"/>
        <v>0</v>
      </c>
      <c r="AT35" s="43">
        <f t="shared" si="51"/>
        <v>0</v>
      </c>
      <c r="AU35" s="43">
        <f t="shared" si="51"/>
        <v>0</v>
      </c>
      <c r="AV35" s="43">
        <f t="shared" si="51"/>
        <v>0</v>
      </c>
      <c r="AW35" s="43">
        <f t="shared" si="51"/>
        <v>0</v>
      </c>
      <c r="AX35" s="43">
        <f t="shared" si="51"/>
        <v>0</v>
      </c>
      <c r="AY35" s="43">
        <f t="shared" si="51"/>
        <v>0</v>
      </c>
      <c r="AZ35" s="43">
        <f t="shared" si="51"/>
        <v>0</v>
      </c>
      <c r="BA35" s="44">
        <f t="shared" si="51"/>
        <v>0</v>
      </c>
      <c r="BB35" s="128">
        <f t="shared" si="34"/>
        <v>37591</v>
      </c>
      <c r="BC35" s="44">
        <f t="shared" si="41"/>
        <v>11.312826036778318</v>
      </c>
      <c r="BD35" s="51"/>
      <c r="BE35" s="128">
        <f t="shared" si="35"/>
        <v>37591</v>
      </c>
      <c r="BF35" s="43">
        <f t="shared" si="52"/>
        <v>0</v>
      </c>
      <c r="BG35" s="43">
        <f t="shared" si="52"/>
        <v>0</v>
      </c>
      <c r="BH35" s="43">
        <f t="shared" si="52"/>
        <v>0</v>
      </c>
      <c r="BI35" s="43">
        <f t="shared" si="52"/>
        <v>7776.1519463270379</v>
      </c>
      <c r="BJ35" s="43">
        <f t="shared" si="52"/>
        <v>0</v>
      </c>
      <c r="BK35" s="43">
        <f t="shared" si="52"/>
        <v>0</v>
      </c>
      <c r="BL35" s="43">
        <f t="shared" si="52"/>
        <v>0</v>
      </c>
      <c r="BM35" s="43">
        <f t="shared" si="52"/>
        <v>0</v>
      </c>
      <c r="BN35" s="43">
        <f t="shared" si="52"/>
        <v>0</v>
      </c>
      <c r="BO35" s="43">
        <f t="shared" si="52"/>
        <v>0</v>
      </c>
      <c r="BP35" s="43">
        <f t="shared" si="52"/>
        <v>0</v>
      </c>
      <c r="BQ35" s="43">
        <f t="shared" si="52"/>
        <v>0</v>
      </c>
      <c r="BR35" s="44">
        <f t="shared" si="52"/>
        <v>0</v>
      </c>
      <c r="BS35" s="128">
        <f t="shared" si="36"/>
        <v>37591</v>
      </c>
      <c r="BT35" s="44">
        <f t="shared" si="37"/>
        <v>7776.1519463270379</v>
      </c>
      <c r="BU35" s="51"/>
      <c r="BV35" s="51"/>
      <c r="BW35" s="51"/>
      <c r="BX35" s="51"/>
      <c r="BY35" s="51"/>
      <c r="BZ35" s="51"/>
      <c r="CA35" s="51"/>
      <c r="CB35" s="51"/>
      <c r="CC35" s="141">
        <f t="shared" si="43"/>
        <v>36831</v>
      </c>
      <c r="CD35" s="234">
        <f>_xll.xSPRDOPT((VLOOKUP(G35,NGPrices,2,FALSE)+HLOOKUP(D35,Prices,VLOOKUP(G35,move_down,2,FALSE),FALSE)),VLOOKUP(G35,NGPrices,2,FALSE),I35,VLOOKUP(G35,NGPREVPRICES,4,FALSE),HLOOKUP(D35,PREVVOLS,VLOOKUP(G35,MOVE_DOWN2,2,FALSE),FALSE),VLOOKUP(G35,NGPREVPRICES,3,FALSE),HLOOKUP(D35,Correllate,VLOOKUP(G35,CorMove,2,FALSE),FALSE),Q35-$CD$3,R35,$CD$5)*H35-CJ35</f>
        <v>0</v>
      </c>
      <c r="CE35" s="234">
        <f>_xll.xSPRDOPT((VLOOKUP(G35,NGPREVPRICES,2,FALSE)+HLOOKUP(D35,PREVCURVES,VLOOKUP(G35,MOVE_DOWN2,2,FALSE),FALSE)),VLOOKUP(G35,NGPREVPRICES,2,FALSE),CK35,VLOOKUP(G35,NGPrices,4,FALSE),HLOOKUP(D35,PREVVOLS,VLOOKUP(G35,MOVE_DOWN2,2,FALSE),FALSE),VLOOKUP(G35,NGPREVPRICES,3,FALSE),HLOOKUP(D35,Correllate,VLOOKUP(G35,CorMove,2,FALSE),FALSE),Q35-$CD$3,R35,$CJ$5)*H35-CJ35</f>
        <v>0</v>
      </c>
      <c r="CF35" s="10">
        <f t="shared" si="44"/>
        <v>-6.8365726000920404</v>
      </c>
      <c r="CG35" s="234">
        <f>_xll.xSPRDOPT((VLOOKUP(G35,NGPREVPRICES,2,FALSE)+HLOOKUP(D35,PREVCURVES,VLOOKUP(G35,MOVE_DOWN2,2,FALSE),FALSE)),VLOOKUP(G35,NGPREVPRICES,2,FALSE),CK35,VLOOKUP(G35,NGPREVPRICES,4,FALSE),HLOOKUP(D35,VOLS,VLOOKUP(G35,move_down,2,FALSE),FALSE),VLOOKUP(G35,NGPrices,3,FALSE),HLOOKUP(D35,Correllate,VLOOKUP(G35,CorMove,2,FALSE),FALSE),Q35-$CD$3,R35,$CJ$5)*H35-CJ35</f>
        <v>0</v>
      </c>
      <c r="CH35" s="234">
        <f>_xll.xSPRDOPT((VLOOKUP(G35,NGPREVPRICES,2,FALSE)+HLOOKUP(D35,PREVCURVES,VLOOKUP(G35,MOVE_DOWN2,2,FALSE),FALSE)),VLOOKUP(G35,NGPREVPRICES,2,FALSE),CK35,VLOOKUP(G35,NGPREVPRICES,4,FALSE),HLOOKUP(D35,PREVVOLS,VLOOKUP(G35,MOVE_DOWN2,2,FALSE),FALSE),VLOOKUP(G35,NGPREVPRICES,3,FALSE),HLOOKUP(D35,Correllate,VLOOKUP(G35,CorMove,2,FALSE),FALSE),Q35-$C$3,R35,$CJ$5)*H35-CJ35</f>
        <v>-517.67480156384408</v>
      </c>
      <c r="CI35" s="234">
        <f t="shared" si="45"/>
        <v>-524.51137416393613</v>
      </c>
      <c r="CJ35" s="234">
        <f>_xll.xSPRDOPT((VLOOKUP(G35,NGPREVPRICES,2,FALSE)+HLOOKUP(D35,PREVCURVES,VLOOKUP(G35,MOVE_DOWN2,2,FALSE),FALSE)),VLOOKUP(G35,NGPREVPRICES,2,FALSE),CK35,VLOOKUP(G35,NGPREVPRICES,4,FALSE),HLOOKUP(D35,PREVVOLS,VLOOKUP(G35,MOVE_DOWN2,2,FALSE),FALSE),VLOOKUP(G35,NGPREVPRICES,3,FALSE),HLOOKUP(D35,Correllate,VLOOKUP(G35,CorMove,2,FALSE),FALSE),Q35-$CD$3,R35,$CJ$5)*H35</f>
        <v>36813.035566042454</v>
      </c>
      <c r="CK35" s="235">
        <f t="shared" si="46"/>
        <v>0.45</v>
      </c>
      <c r="CM35" t="str">
        <f t="shared" si="47"/>
        <v>36831Curve Shift/Gamma</v>
      </c>
      <c r="CN35" t="str">
        <f t="shared" si="19"/>
        <v>36831Rho</v>
      </c>
      <c r="CO35" t="str">
        <f t="shared" si="20"/>
        <v>36831Drift</v>
      </c>
      <c r="CP35" t="str">
        <f t="shared" si="21"/>
        <v>36831Vega</v>
      </c>
      <c r="CQ35" t="str">
        <f t="shared" si="22"/>
        <v>36831Theta</v>
      </c>
      <c r="CR35" s="385">
        <f t="shared" si="38"/>
        <v>37591</v>
      </c>
      <c r="CS35" s="386">
        <f t="shared" si="23"/>
        <v>0</v>
      </c>
      <c r="CT35" s="239">
        <f t="shared" si="24"/>
        <v>0</v>
      </c>
      <c r="CU35" s="239">
        <f t="shared" si="25"/>
        <v>-5.0265408318446134</v>
      </c>
      <c r="CV35" s="239">
        <f t="shared" si="26"/>
        <v>0</v>
      </c>
      <c r="CW35" s="249">
        <f t="shared" si="27"/>
        <v>-14.241125353044481</v>
      </c>
      <c r="CX35" s="240">
        <f t="shared" si="39"/>
        <v>-19.267666184889094</v>
      </c>
      <c r="CZ35" s="385">
        <f t="shared" si="40"/>
        <v>37591</v>
      </c>
      <c r="DA35" s="386">
        <f t="shared" si="28"/>
        <v>0</v>
      </c>
      <c r="DB35" s="239">
        <f t="shared" si="29"/>
        <v>0</v>
      </c>
      <c r="DC35" s="239">
        <f t="shared" si="30"/>
        <v>-5.0265408318446134</v>
      </c>
      <c r="DD35" s="239">
        <f t="shared" si="31"/>
        <v>0</v>
      </c>
      <c r="DE35" s="249">
        <f t="shared" si="32"/>
        <v>-14.241125353044481</v>
      </c>
      <c r="DF35" s="240">
        <f t="shared" si="48"/>
        <v>-19.267666184889094</v>
      </c>
    </row>
    <row r="36" spans="1:110" ht="12" customHeight="1" x14ac:dyDescent="0.25">
      <c r="A36" s="140" t="s">
        <v>284</v>
      </c>
      <c r="B36" t="s">
        <v>250</v>
      </c>
      <c r="C36" t="s">
        <v>285</v>
      </c>
      <c r="D36" s="4" t="s">
        <v>7</v>
      </c>
      <c r="E36" t="s">
        <v>20</v>
      </c>
      <c r="F36" t="s">
        <v>1</v>
      </c>
      <c r="G36" s="141">
        <v>36831</v>
      </c>
      <c r="H36" s="130">
        <v>900000</v>
      </c>
      <c r="I36">
        <v>0.45</v>
      </c>
      <c r="J36" s="53">
        <f t="shared" si="1"/>
        <v>4.7359999999999998</v>
      </c>
      <c r="K36" s="7">
        <f t="shared" si="2"/>
        <v>0.77</v>
      </c>
      <c r="L36" s="53">
        <f t="shared" si="3"/>
        <v>5.5060000000000002</v>
      </c>
      <c r="M36" s="157">
        <f t="shared" si="4"/>
        <v>6.810675983792E-2</v>
      </c>
      <c r="N36" s="4">
        <f t="shared" si="5"/>
        <v>0.59499999999999997</v>
      </c>
      <c r="O36" s="4">
        <f t="shared" si="6"/>
        <v>0.625</v>
      </c>
      <c r="P36" s="9">
        <f t="shared" si="7"/>
        <v>0.89</v>
      </c>
      <c r="Q36" s="5">
        <f t="shared" si="8"/>
        <v>36829</v>
      </c>
      <c r="R36" s="4">
        <f t="shared" si="9"/>
        <v>0</v>
      </c>
      <c r="S36" s="158">
        <f>_xll.xSPRDOPT($L36,$J36,$I36,$M36,$O36,$N36,$P36,$Q36-$C$3,$R36,0)</f>
        <v>0.12098453588159536</v>
      </c>
      <c r="T36" s="159">
        <f>_xll.xSPRDOPT($L36,$J36,$I36,$M36,$O36,$N36,$P36,$Q36-$C$3,$R36,1)*H36</f>
        <v>-253543.55544137984</v>
      </c>
      <c r="U36" s="160">
        <f t="shared" si="10"/>
        <v>108886.08229343581</v>
      </c>
      <c r="V36" s="159">
        <f>_xll.xSPRDOPT($L36,$J36,$I36,$M36,$O36,$N36,$P36,$Q36-$C$3,$R36,2)*H36</f>
        <v>289841.82719764818</v>
      </c>
      <c r="W36" s="159">
        <f t="shared" si="11"/>
        <v>36298.271756268339</v>
      </c>
      <c r="X36" s="51" t="str">
        <f t="shared" si="12"/>
        <v>36831IF-TRANSCO/Z6</v>
      </c>
      <c r="Y36" s="418">
        <f t="shared" si="13"/>
        <v>90</v>
      </c>
      <c r="Z36" s="456">
        <f t="shared" si="14"/>
        <v>-0.28171506160153315</v>
      </c>
      <c r="AA36" s="456">
        <f>_xll.xSPRDOPT($L36,$J36,$I36,$M36,$O36,$N36,$P36,$Q36-$C$3,$R36,3)</f>
        <v>0.51835266088152065</v>
      </c>
      <c r="AB36" s="456">
        <f>((_xll.xSPRDOPT($L36+AB$5,$J36,$I36,$M36,$O36,$N36,$P36,$Q36-$C$3,$R36,3)*$H36)/10000)/100</f>
        <v>0.46651739479336862</v>
      </c>
      <c r="AC36" s="456">
        <f>((_xll.xSPRDOPT($L36+$AB$5,$J36,$I36,$M36,$O36,$N36,$P36,$Q36-$C$3,$R36,7)*$H36)/100)</f>
        <v>-8149.556400941412</v>
      </c>
      <c r="AD36" s="456">
        <f>(_xll.xSPRDOPT($L36+$AB$5,$J36,$I36,$M36,$O36,$N36,$P36,$Q36-$C$3,$R36,9)/365)*$H36</f>
        <v>-1559.0758458075418</v>
      </c>
      <c r="AE36">
        <f t="shared" si="15"/>
        <v>0</v>
      </c>
      <c r="AF36" s="456">
        <f t="shared" si="16"/>
        <v>3289.2558353915961</v>
      </c>
      <c r="AG36" s="456">
        <f>((_xll.xSPRDOPT($L36,$J36,$I36,$M36,$O36,$N36,$P36,$Q36-$C$3,$R36,6)*$H36)/100)</f>
        <v>-281.72113755690043</v>
      </c>
      <c r="AH36" s="456">
        <f>((_xll.xSPRDOPT($L36,$J36,$I36,$M36,$O36,$N36,$P36,$Q36-$C$3,$R36,5)*$H36)/100)</f>
        <v>3399.5700782469685</v>
      </c>
      <c r="AI36" s="456">
        <f>(((_xll.xSPRDOPT($L36,$J36,$I36,$M36,$O36,$N36,$P36,$Q36-$C$3,$R36,4)*$H36)/10000)/100)-AB36</f>
        <v>5.9146147659663639E-2</v>
      </c>
      <c r="AJ36" s="456"/>
      <c r="AK36" s="456"/>
      <c r="AL36" s="456"/>
      <c r="AM36" s="472"/>
      <c r="AN36" s="128">
        <f t="shared" si="33"/>
        <v>37622</v>
      </c>
      <c r="AO36" s="43">
        <f t="shared" si="51"/>
        <v>0</v>
      </c>
      <c r="AP36" s="43">
        <f t="shared" si="51"/>
        <v>0</v>
      </c>
      <c r="AQ36" s="43">
        <f t="shared" si="51"/>
        <v>0</v>
      </c>
      <c r="AR36" s="43">
        <f t="shared" si="51"/>
        <v>11.635691557526393</v>
      </c>
      <c r="AS36" s="43">
        <f t="shared" si="51"/>
        <v>0</v>
      </c>
      <c r="AT36" s="43">
        <f t="shared" si="51"/>
        <v>0</v>
      </c>
      <c r="AU36" s="43">
        <f t="shared" si="51"/>
        <v>0</v>
      </c>
      <c r="AV36" s="43">
        <f t="shared" si="51"/>
        <v>0</v>
      </c>
      <c r="AW36" s="43">
        <f t="shared" si="51"/>
        <v>0</v>
      </c>
      <c r="AX36" s="43">
        <f t="shared" si="51"/>
        <v>0</v>
      </c>
      <c r="AY36" s="43">
        <f t="shared" si="51"/>
        <v>0</v>
      </c>
      <c r="AZ36" s="43">
        <f t="shared" si="51"/>
        <v>0</v>
      </c>
      <c r="BA36" s="44">
        <f t="shared" si="51"/>
        <v>0</v>
      </c>
      <c r="BB36" s="128">
        <f t="shared" si="34"/>
        <v>37622</v>
      </c>
      <c r="BC36" s="44">
        <f t="shared" si="41"/>
        <v>11.635691557526393</v>
      </c>
      <c r="BD36" s="51"/>
      <c r="BE36" s="128">
        <f t="shared" si="35"/>
        <v>37622</v>
      </c>
      <c r="BF36" s="43">
        <f t="shared" si="52"/>
        <v>0</v>
      </c>
      <c r="BG36" s="43">
        <f t="shared" si="52"/>
        <v>0</v>
      </c>
      <c r="BH36" s="43">
        <f t="shared" si="52"/>
        <v>0</v>
      </c>
      <c r="BI36" s="43">
        <f t="shared" si="52"/>
        <v>7610.5299685399805</v>
      </c>
      <c r="BJ36" s="43">
        <f t="shared" si="52"/>
        <v>0</v>
      </c>
      <c r="BK36" s="43">
        <f t="shared" si="52"/>
        <v>0</v>
      </c>
      <c r="BL36" s="43">
        <f t="shared" si="52"/>
        <v>0</v>
      </c>
      <c r="BM36" s="43">
        <f t="shared" si="52"/>
        <v>0</v>
      </c>
      <c r="BN36" s="43">
        <f t="shared" si="52"/>
        <v>0</v>
      </c>
      <c r="BO36" s="43">
        <f t="shared" si="52"/>
        <v>0</v>
      </c>
      <c r="BP36" s="43">
        <f t="shared" si="52"/>
        <v>0</v>
      </c>
      <c r="BQ36" s="43">
        <f t="shared" si="52"/>
        <v>0</v>
      </c>
      <c r="BR36" s="44">
        <f t="shared" si="52"/>
        <v>0</v>
      </c>
      <c r="BS36" s="128">
        <f t="shared" si="36"/>
        <v>37622</v>
      </c>
      <c r="BT36" s="44">
        <f t="shared" si="37"/>
        <v>7610.5299685399805</v>
      </c>
      <c r="BU36" s="51"/>
      <c r="BV36" s="51"/>
      <c r="BW36" s="51"/>
      <c r="BX36" s="51"/>
      <c r="BY36" s="51"/>
      <c r="BZ36" s="51"/>
      <c r="CA36" s="51"/>
      <c r="CB36" s="51"/>
      <c r="CC36" s="141">
        <f t="shared" si="43"/>
        <v>36831</v>
      </c>
      <c r="CD36" s="234">
        <f>_xll.xSPRDOPT((VLOOKUP(G36,NGPrices,2,FALSE)+HLOOKUP(D36,Prices,VLOOKUP(G36,move_down,2,FALSE),FALSE)),VLOOKUP(G36,NGPrices,2,FALSE),I36,VLOOKUP(G36,NGPREVPRICES,4,FALSE),HLOOKUP(D36,PREVVOLS,VLOOKUP(G36,MOVE_DOWN2,2,FALSE),FALSE),VLOOKUP(G36,NGPREVPRICES,3,FALSE),HLOOKUP(D36,Correllate,VLOOKUP(G36,CorMove,2,FALSE),FALSE),Q36-$CD$3,R36,$CD$5)*H36-CJ36</f>
        <v>0</v>
      </c>
      <c r="CE36" s="234">
        <f>_xll.xSPRDOPT((VLOOKUP(G36,NGPREVPRICES,2,FALSE)+HLOOKUP(D36,PREVCURVES,VLOOKUP(G36,MOVE_DOWN2,2,FALSE),FALSE)),VLOOKUP(G36,NGPREVPRICES,2,FALSE),CK36,VLOOKUP(G36,NGPrices,4,FALSE),HLOOKUP(D36,PREVVOLS,VLOOKUP(G36,MOVE_DOWN2,2,FALSE),FALSE),VLOOKUP(G36,NGPREVPRICES,3,FALSE),HLOOKUP(D36,Correllate,VLOOKUP(G36,CorMove,2,FALSE),FALSE),Q36-$CD$3,R36,$CJ$5)*H36-CJ36</f>
        <v>0</v>
      </c>
      <c r="CF36" s="10">
        <f t="shared" si="44"/>
        <v>-20.509717800276121</v>
      </c>
      <c r="CG36" s="234">
        <f>_xll.xSPRDOPT((VLOOKUP(G36,NGPREVPRICES,2,FALSE)+HLOOKUP(D36,PREVCURVES,VLOOKUP(G36,MOVE_DOWN2,2,FALSE),FALSE)),VLOOKUP(G36,NGPREVPRICES,2,FALSE),CK36,VLOOKUP(G36,NGPREVPRICES,4,FALSE),HLOOKUP(D36,VOLS,VLOOKUP(G36,move_down,2,FALSE),FALSE),VLOOKUP(G36,NGPrices,3,FALSE),HLOOKUP(D36,Correllate,VLOOKUP(G36,CorMove,2,FALSE),FALSE),Q36-$CD$3,R36,$CJ$5)*H36-CJ36</f>
        <v>0</v>
      </c>
      <c r="CH36" s="234">
        <f>_xll.xSPRDOPT((VLOOKUP(G36,NGPREVPRICES,2,FALSE)+HLOOKUP(D36,PREVCURVES,VLOOKUP(G36,MOVE_DOWN2,2,FALSE),FALSE)),VLOOKUP(G36,NGPREVPRICES,2,FALSE),CK36,VLOOKUP(G36,NGPREVPRICES,4,FALSE),HLOOKUP(D36,PREVVOLS,VLOOKUP(G36,MOVE_DOWN2,2,FALSE),FALSE),VLOOKUP(G36,NGPREVPRICES,3,FALSE),HLOOKUP(D36,Correllate,VLOOKUP(G36,CorMove,2,FALSE),FALSE),Q36-$C$3,R36,$CJ$5)*H36-CJ36</f>
        <v>-1553.0244046915614</v>
      </c>
      <c r="CI36" s="234">
        <f t="shared" si="45"/>
        <v>-1573.5341224918375</v>
      </c>
      <c r="CJ36" s="234">
        <f>_xll.xSPRDOPT((VLOOKUP(G36,NGPREVPRICES,2,FALSE)+HLOOKUP(D36,PREVCURVES,VLOOKUP(G36,MOVE_DOWN2,2,FALSE),FALSE)),VLOOKUP(G36,NGPREVPRICES,2,FALSE),CK36,VLOOKUP(G36,NGPREVPRICES,4,FALSE),HLOOKUP(D36,PREVVOLS,VLOOKUP(G36,MOVE_DOWN2,2,FALSE),FALSE),VLOOKUP(G36,NGPREVPRICES,3,FALSE),HLOOKUP(D36,Correllate,VLOOKUP(G36,CorMove,2,FALSE),FALSE),Q36-$CD$3,R36,$CJ$5)*H36</f>
        <v>110439.10669812738</v>
      </c>
      <c r="CK36" s="235">
        <f t="shared" si="46"/>
        <v>0.45</v>
      </c>
      <c r="CM36" t="str">
        <f t="shared" si="47"/>
        <v>36831Curve Shift/Gamma</v>
      </c>
      <c r="CN36" t="str">
        <f t="shared" si="19"/>
        <v>36831Rho</v>
      </c>
      <c r="CO36" t="str">
        <f t="shared" si="20"/>
        <v>36831Drift</v>
      </c>
      <c r="CP36" t="str">
        <f t="shared" si="21"/>
        <v>36831Vega</v>
      </c>
      <c r="CQ36" t="str">
        <f t="shared" si="22"/>
        <v>36831Theta</v>
      </c>
      <c r="CR36" s="385">
        <f t="shared" si="38"/>
        <v>37622</v>
      </c>
      <c r="CS36" s="386">
        <f t="shared" si="23"/>
        <v>0</v>
      </c>
      <c r="CT36" s="239">
        <f t="shared" si="24"/>
        <v>0</v>
      </c>
      <c r="CU36" s="239">
        <f t="shared" si="25"/>
        <v>-5.1890677474839322</v>
      </c>
      <c r="CV36" s="239">
        <f t="shared" si="26"/>
        <v>0</v>
      </c>
      <c r="CW36" s="249">
        <f t="shared" si="27"/>
        <v>-13.08754195052461</v>
      </c>
      <c r="CX36" s="240">
        <f t="shared" si="39"/>
        <v>-18.276609698008542</v>
      </c>
      <c r="CZ36" s="385">
        <f t="shared" si="40"/>
        <v>37622</v>
      </c>
      <c r="DA36" s="386">
        <f t="shared" si="28"/>
        <v>0</v>
      </c>
      <c r="DB36" s="239">
        <f t="shared" si="29"/>
        <v>0</v>
      </c>
      <c r="DC36" s="239">
        <f t="shared" si="30"/>
        <v>-5.1890677474839322</v>
      </c>
      <c r="DD36" s="239">
        <f t="shared" si="31"/>
        <v>0</v>
      </c>
      <c r="DE36" s="249">
        <f t="shared" si="32"/>
        <v>-13.08754195052461</v>
      </c>
      <c r="DF36" s="240">
        <f t="shared" si="48"/>
        <v>-18.276609698008542</v>
      </c>
    </row>
    <row r="37" spans="1:110" ht="12" customHeight="1" x14ac:dyDescent="0.25">
      <c r="A37" s="140" t="s">
        <v>286</v>
      </c>
      <c r="B37" t="s">
        <v>250</v>
      </c>
      <c r="C37" t="s">
        <v>287</v>
      </c>
      <c r="D37" s="4" t="s">
        <v>7</v>
      </c>
      <c r="E37" t="s">
        <v>20</v>
      </c>
      <c r="F37" t="s">
        <v>1</v>
      </c>
      <c r="G37" s="141">
        <v>36831</v>
      </c>
      <c r="H37" s="130">
        <v>1500000</v>
      </c>
      <c r="I37">
        <v>0.45</v>
      </c>
      <c r="J37" s="53">
        <f t="shared" si="1"/>
        <v>4.7359999999999998</v>
      </c>
      <c r="K37" s="7">
        <f t="shared" si="2"/>
        <v>0.77</v>
      </c>
      <c r="L37" s="53">
        <f t="shared" si="3"/>
        <v>5.5060000000000002</v>
      </c>
      <c r="M37" s="157">
        <f t="shared" si="4"/>
        <v>6.810675983792E-2</v>
      </c>
      <c r="N37" s="4">
        <f t="shared" si="5"/>
        <v>0.59499999999999997</v>
      </c>
      <c r="O37" s="4">
        <f t="shared" si="6"/>
        <v>0.625</v>
      </c>
      <c r="P37" s="9">
        <f t="shared" si="7"/>
        <v>0.89</v>
      </c>
      <c r="Q37" s="5">
        <f t="shared" si="8"/>
        <v>36829</v>
      </c>
      <c r="R37" s="4">
        <f t="shared" si="9"/>
        <v>0</v>
      </c>
      <c r="S37" s="158">
        <f>_xll.xSPRDOPT($L37,$J37,$I37,$M37,$O37,$N37,$P37,$Q37-$C$3,$R37,0)</f>
        <v>0.12098453588159536</v>
      </c>
      <c r="T37" s="159">
        <f>_xll.xSPRDOPT($L37,$J37,$I37,$M37,$O37,$N37,$P37,$Q37-$C$3,$R37,1)*H37</f>
        <v>-422572.59240229969</v>
      </c>
      <c r="U37" s="160">
        <f t="shared" si="10"/>
        <v>181476.80382239303</v>
      </c>
      <c r="V37" s="159">
        <f>_xll.xSPRDOPT($L37,$J37,$I37,$M37,$O37,$N37,$P37,$Q37-$C$3,$R37,2)*H37</f>
        <v>483069.71199608035</v>
      </c>
      <c r="W37" s="159">
        <f t="shared" si="11"/>
        <v>60497.119593780662</v>
      </c>
      <c r="X37" s="51" t="str">
        <f t="shared" si="12"/>
        <v>36831IF-TRANSCO/Z6</v>
      </c>
      <c r="Y37" s="418">
        <f t="shared" si="13"/>
        <v>150</v>
      </c>
      <c r="Z37" s="456">
        <f t="shared" si="14"/>
        <v>-0.28171506160153315</v>
      </c>
      <c r="AA37" s="456">
        <f>_xll.xSPRDOPT($L37,$J37,$I37,$M37,$O37,$N37,$P37,$Q37-$C$3,$R37,3)</f>
        <v>0.51835266088152065</v>
      </c>
      <c r="AB37" s="456">
        <f>((_xll.xSPRDOPT($L37+AB$5,$J37,$I37,$M37,$O37,$N37,$P37,$Q37-$C$3,$R37,3)*$H37)/10000)/100</f>
        <v>0.77752899132228093</v>
      </c>
      <c r="AC37" s="456">
        <f>((_xll.xSPRDOPT($L37+$AB$5,$J37,$I37,$M37,$O37,$N37,$P37,$Q37-$C$3,$R37,7)*$H37)/100)</f>
        <v>-13582.594001569019</v>
      </c>
      <c r="AD37" s="456">
        <f>(_xll.xSPRDOPT($L37+$AB$5,$J37,$I37,$M37,$O37,$N37,$P37,$Q37-$C$3,$R37,9)/365)*$H37</f>
        <v>-2598.4597430125696</v>
      </c>
      <c r="AE37">
        <f t="shared" si="15"/>
        <v>0</v>
      </c>
      <c r="AF37" s="456">
        <f t="shared" si="16"/>
        <v>5482.0930589859936</v>
      </c>
      <c r="AG37" s="456">
        <f>((_xll.xSPRDOPT($L37,$J37,$I37,$M37,$O37,$N37,$P37,$Q37-$C$3,$R37,6)*$H37)/100)</f>
        <v>-469.53522926150072</v>
      </c>
      <c r="AH37" s="456">
        <f>((_xll.xSPRDOPT($L37,$J37,$I37,$M37,$O37,$N37,$P37,$Q37-$C$3,$R37,5)*$H37)/100)</f>
        <v>5665.9501304116147</v>
      </c>
      <c r="AI37" s="456">
        <f>(((_xll.xSPRDOPT($L37,$J37,$I37,$M37,$O37,$N37,$P37,$Q37-$C$3,$R37,4)*$H37)/10000)/100)-AB37</f>
        <v>9.8576912766105917E-2</v>
      </c>
      <c r="AJ37" s="456"/>
      <c r="AK37" s="456"/>
      <c r="AL37" s="456"/>
      <c r="AM37" s="472"/>
      <c r="AN37" s="128">
        <f t="shared" si="33"/>
        <v>37653</v>
      </c>
      <c r="AO37" s="43">
        <f t="shared" ref="AO37:BA46" si="53">SUMIF($X:$X,CONCATENATE($AN37,AO$6),$T:$T)/10000</f>
        <v>0</v>
      </c>
      <c r="AP37" s="43">
        <f t="shared" si="53"/>
        <v>0</v>
      </c>
      <c r="AQ37" s="43">
        <f t="shared" si="53"/>
        <v>0</v>
      </c>
      <c r="AR37" s="43">
        <f t="shared" si="53"/>
        <v>9.6823922111504412</v>
      </c>
      <c r="AS37" s="43">
        <f t="shared" si="53"/>
        <v>0</v>
      </c>
      <c r="AT37" s="43">
        <f t="shared" si="53"/>
        <v>0</v>
      </c>
      <c r="AU37" s="43">
        <f t="shared" si="53"/>
        <v>0</v>
      </c>
      <c r="AV37" s="43">
        <f t="shared" si="53"/>
        <v>0</v>
      </c>
      <c r="AW37" s="43">
        <f t="shared" si="53"/>
        <v>0</v>
      </c>
      <c r="AX37" s="43">
        <f t="shared" si="53"/>
        <v>0</v>
      </c>
      <c r="AY37" s="43">
        <f t="shared" si="53"/>
        <v>0</v>
      </c>
      <c r="AZ37" s="43">
        <f t="shared" si="53"/>
        <v>0</v>
      </c>
      <c r="BA37" s="44">
        <f t="shared" si="53"/>
        <v>0</v>
      </c>
      <c r="BB37" s="128">
        <f t="shared" si="34"/>
        <v>37653</v>
      </c>
      <c r="BC37" s="44">
        <f t="shared" si="41"/>
        <v>9.6823922111504412</v>
      </c>
      <c r="BD37" s="51"/>
      <c r="BE37" s="128">
        <f t="shared" si="35"/>
        <v>37653</v>
      </c>
      <c r="BF37" s="43">
        <f t="shared" ref="BF37:BR46" si="54">SUMIF($X:$X,CONCATENATE($AN37,BF$6),$W:$W)</f>
        <v>0</v>
      </c>
      <c r="BG37" s="43">
        <f t="shared" si="54"/>
        <v>0</v>
      </c>
      <c r="BH37" s="43">
        <f t="shared" si="54"/>
        <v>0</v>
      </c>
      <c r="BI37" s="43">
        <f t="shared" si="54"/>
        <v>6809.7018070475169</v>
      </c>
      <c r="BJ37" s="43">
        <f t="shared" si="54"/>
        <v>0</v>
      </c>
      <c r="BK37" s="43">
        <f t="shared" si="54"/>
        <v>0</v>
      </c>
      <c r="BL37" s="43">
        <f t="shared" si="54"/>
        <v>0</v>
      </c>
      <c r="BM37" s="43">
        <f t="shared" si="54"/>
        <v>0</v>
      </c>
      <c r="BN37" s="43">
        <f t="shared" si="54"/>
        <v>0</v>
      </c>
      <c r="BO37" s="43">
        <f t="shared" si="54"/>
        <v>0</v>
      </c>
      <c r="BP37" s="43">
        <f t="shared" si="54"/>
        <v>0</v>
      </c>
      <c r="BQ37" s="43">
        <f t="shared" si="54"/>
        <v>0</v>
      </c>
      <c r="BR37" s="44">
        <f t="shared" si="54"/>
        <v>0</v>
      </c>
      <c r="BS37" s="128">
        <f t="shared" si="36"/>
        <v>37653</v>
      </c>
      <c r="BT37" s="44">
        <f t="shared" si="37"/>
        <v>6809.7018070475169</v>
      </c>
      <c r="BU37" s="51"/>
      <c r="BV37" s="51"/>
      <c r="BW37" s="51"/>
      <c r="BX37" s="51"/>
      <c r="BY37" s="51"/>
      <c r="BZ37" s="51"/>
      <c r="CA37" s="51"/>
      <c r="CB37" s="51"/>
      <c r="CC37" s="141">
        <f t="shared" ref="CC37:CC43" si="55">G37</f>
        <v>36831</v>
      </c>
      <c r="CD37" s="234">
        <f>_xll.xSPRDOPT((VLOOKUP(G37,NGPrices,2,FALSE)+HLOOKUP(D37,Prices,VLOOKUP(G37,move_down,2,FALSE),FALSE)),VLOOKUP(G37,NGPrices,2,FALSE),I37,VLOOKUP(G37,NGPREVPRICES,4,FALSE),HLOOKUP(D37,PREVVOLS,VLOOKUP(G37,MOVE_DOWN2,2,FALSE),FALSE),VLOOKUP(G37,NGPREVPRICES,3,FALSE),HLOOKUP(D37,Correllate,VLOOKUP(G37,CorMove,2,FALSE),FALSE),Q37-$CD$3,R37,$CD$5)*H37-CJ37</f>
        <v>0</v>
      </c>
      <c r="CE37" s="234">
        <f>_xll.xSPRDOPT((VLOOKUP(G37,NGPREVPRICES,2,FALSE)+HLOOKUP(D37,PREVCURVES,VLOOKUP(G37,MOVE_DOWN2,2,FALSE),FALSE)),VLOOKUP(G37,NGPREVPRICES,2,FALSE),CK37,VLOOKUP(G37,NGPrices,4,FALSE),HLOOKUP(D37,PREVVOLS,VLOOKUP(G37,MOVE_DOWN2,2,FALSE),FALSE),VLOOKUP(G37,NGPREVPRICES,3,FALSE),HLOOKUP(D37,Correllate,VLOOKUP(G37,CorMove,2,FALSE),FALSE),Q37-$CD$3,R37,$CJ$5)*H37-CJ37</f>
        <v>0</v>
      </c>
      <c r="CF37" s="10">
        <f t="shared" ref="CF37:CF43" si="56">(CJ37/VLOOKUP(CC37,discount,3,FALSE))-(CJ37/VLOOKUP(CC37,discount,2,FALSE))</f>
        <v>-34.182863000460202</v>
      </c>
      <c r="CG37" s="234">
        <f>_xll.xSPRDOPT((VLOOKUP(G37,NGPREVPRICES,2,FALSE)+HLOOKUP(D37,PREVCURVES,VLOOKUP(G37,MOVE_DOWN2,2,FALSE),FALSE)),VLOOKUP(G37,NGPREVPRICES,2,FALSE),CK37,VLOOKUP(G37,NGPREVPRICES,4,FALSE),HLOOKUP(D37,VOLS,VLOOKUP(G37,move_down,2,FALSE),FALSE),VLOOKUP(G37,NGPrices,3,FALSE),HLOOKUP(D37,Correllate,VLOOKUP(G37,CorMove,2,FALSE),FALSE),Q37-$CD$3,R37,$CJ$5)*H37-CJ37</f>
        <v>0</v>
      </c>
      <c r="CH37" s="234">
        <f>_xll.xSPRDOPT((VLOOKUP(G37,NGPREVPRICES,2,FALSE)+HLOOKUP(D37,PREVCURVES,VLOOKUP(G37,MOVE_DOWN2,2,FALSE),FALSE)),VLOOKUP(G37,NGPREVPRICES,2,FALSE),CK37,VLOOKUP(G37,NGPREVPRICES,4,FALSE),HLOOKUP(D37,PREVVOLS,VLOOKUP(G37,MOVE_DOWN2,2,FALSE),FALSE),VLOOKUP(G37,NGPREVPRICES,3,FALSE),HLOOKUP(D37,Correllate,VLOOKUP(G37,CorMove,2,FALSE),FALSE),Q37-$C$3,R37,$CJ$5)*H37-CJ37</f>
        <v>-2588.3740078192495</v>
      </c>
      <c r="CI37" s="234">
        <f t="shared" ref="CI37:CI43" si="57">SUM(CD37:CH37)</f>
        <v>-2622.5568708197097</v>
      </c>
      <c r="CJ37" s="234">
        <f>_xll.xSPRDOPT((VLOOKUP(G37,NGPREVPRICES,2,FALSE)+HLOOKUP(D37,PREVCURVES,VLOOKUP(G37,MOVE_DOWN2,2,FALSE),FALSE)),VLOOKUP(G37,NGPREVPRICES,2,FALSE),CK37,VLOOKUP(G37,NGPREVPRICES,4,FALSE),HLOOKUP(D37,PREVVOLS,VLOOKUP(G37,MOVE_DOWN2,2,FALSE),FALSE),VLOOKUP(G37,NGPREVPRICES,3,FALSE),HLOOKUP(D37,Correllate,VLOOKUP(G37,CorMove,2,FALSE),FALSE),Q37-$CD$3,R37,$CJ$5)*H37</f>
        <v>184065.17783021228</v>
      </c>
      <c r="CK37" s="235">
        <f t="shared" ref="CK37:CK43" si="58">I37</f>
        <v>0.45</v>
      </c>
      <c r="CM37" t="str">
        <f t="shared" ref="CM37:CM43" si="59">CONCATENATE(CC37,$CD$6)</f>
        <v>36831Curve Shift/Gamma</v>
      </c>
      <c r="CN37" t="str">
        <f t="shared" si="19"/>
        <v>36831Rho</v>
      </c>
      <c r="CO37" t="str">
        <f t="shared" si="20"/>
        <v>36831Drift</v>
      </c>
      <c r="CP37" t="str">
        <f t="shared" si="21"/>
        <v>36831Vega</v>
      </c>
      <c r="CQ37" t="str">
        <f t="shared" si="22"/>
        <v>36831Theta</v>
      </c>
      <c r="CR37" s="385">
        <f t="shared" si="38"/>
        <v>37653</v>
      </c>
      <c r="CS37" s="386">
        <f t="shared" si="23"/>
        <v>0</v>
      </c>
      <c r="CT37" s="239">
        <f t="shared" si="24"/>
        <v>0</v>
      </c>
      <c r="CU37" s="239">
        <f t="shared" si="25"/>
        <v>-4.079333876426972</v>
      </c>
      <c r="CV37" s="239">
        <f t="shared" si="26"/>
        <v>0</v>
      </c>
      <c r="CW37" s="249">
        <f t="shared" si="27"/>
        <v>-11.103373603797081</v>
      </c>
      <c r="CX37" s="240">
        <f t="shared" si="39"/>
        <v>-15.182707480224053</v>
      </c>
      <c r="CZ37" s="385">
        <f t="shared" si="40"/>
        <v>37653</v>
      </c>
      <c r="DA37" s="386">
        <f t="shared" si="28"/>
        <v>0</v>
      </c>
      <c r="DB37" s="239">
        <f t="shared" si="29"/>
        <v>0</v>
      </c>
      <c r="DC37" s="239">
        <f t="shared" si="30"/>
        <v>-4.079333876426972</v>
      </c>
      <c r="DD37" s="239">
        <f t="shared" si="31"/>
        <v>0</v>
      </c>
      <c r="DE37" s="249">
        <f t="shared" si="32"/>
        <v>-11.103373603797081</v>
      </c>
      <c r="DF37" s="240">
        <f t="shared" si="48"/>
        <v>-15.182707480224053</v>
      </c>
    </row>
    <row r="38" spans="1:110" ht="12" customHeight="1" x14ac:dyDescent="0.25">
      <c r="A38" s="140" t="s">
        <v>281</v>
      </c>
      <c r="B38" t="s">
        <v>250</v>
      </c>
      <c r="C38" t="s">
        <v>288</v>
      </c>
      <c r="D38" s="4" t="s">
        <v>7</v>
      </c>
      <c r="E38" t="s">
        <v>20</v>
      </c>
      <c r="F38" t="s">
        <v>494</v>
      </c>
      <c r="G38" s="5">
        <v>36951</v>
      </c>
      <c r="H38" s="130">
        <v>1240000</v>
      </c>
      <c r="I38">
        <v>1.25</v>
      </c>
      <c r="J38" s="53">
        <f t="shared" si="1"/>
        <v>4.2130000000000001</v>
      </c>
      <c r="K38" s="7">
        <f t="shared" si="2"/>
        <v>1.075</v>
      </c>
      <c r="L38" s="53">
        <f t="shared" si="3"/>
        <v>5.2880000000000003</v>
      </c>
      <c r="M38" s="157">
        <f t="shared" si="4"/>
        <v>6.8879814952706994E-2</v>
      </c>
      <c r="N38" s="4">
        <f t="shared" si="5"/>
        <v>0.53249999999999997</v>
      </c>
      <c r="O38" s="4">
        <f t="shared" si="6"/>
        <v>0.61199999999999999</v>
      </c>
      <c r="P38" s="9">
        <f t="shared" si="7"/>
        <v>0.83</v>
      </c>
      <c r="Q38" s="5">
        <f t="shared" si="8"/>
        <v>36949</v>
      </c>
      <c r="R38" s="4">
        <f t="shared" si="9"/>
        <v>1</v>
      </c>
      <c r="S38" s="158">
        <f>_xll.xSPRDOPT($L38,$J38,$I38,$M38,$O38,$N38,$P38,$Q38-$C$3,$R38,0)</f>
        <v>0.43814915386147019</v>
      </c>
      <c r="T38" s="159">
        <f>_xll.xSPRDOPT($L38,$J38,$I38,$M38,$O38,$N38,$P38,$Q38-$C$3,$R38,1)*H38</f>
        <v>598779.14292807016</v>
      </c>
      <c r="U38" s="160">
        <f t="shared" si="10"/>
        <v>543304.95078822307</v>
      </c>
      <c r="V38" s="159">
        <f>_xll.xSPRDOPT($L38,$J38,$I38,$M38,$O38,$N38,$P38,$Q38-$C$3,$R38,2)*H38</f>
        <v>-490923.5376394554</v>
      </c>
      <c r="W38" s="159">
        <f t="shared" si="11"/>
        <v>107855.60528861475</v>
      </c>
      <c r="X38" s="51" t="str">
        <f t="shared" si="12"/>
        <v>36951IF-TRANSCO/Z6</v>
      </c>
      <c r="Y38" s="418">
        <f t="shared" si="13"/>
        <v>124</v>
      </c>
      <c r="Z38" s="456">
        <f t="shared" si="14"/>
        <v>0.48288640558715334</v>
      </c>
      <c r="AA38" s="456">
        <f>_xll.xSPRDOPT($L38,$J38,$I38,$M38,$O38,$N38,$P38,$Q38-$C$3,$R38,3)</f>
        <v>0.29115516129835944</v>
      </c>
      <c r="AB38" s="456">
        <f>((_xll.xSPRDOPT($L38+AB$5,$J38,$I38,$M38,$O38,$N38,$P38,$Q38-$C$3,$R38,3)*$H38)/10000)/100</f>
        <v>0.36103240000996573</v>
      </c>
      <c r="AC38" s="456">
        <f>((_xll.xSPRDOPT($L38+$AB$5,$J38,$I38,$M38,$O38,$N38,$P38,$Q38-$C$3,$R38,7)*$H38)/100)</f>
        <v>-12750.522738998397</v>
      </c>
      <c r="AD38" s="456">
        <f>(_xll.xSPRDOPT($L38+$AB$5,$J38,$I38,$M38,$O38,$N38,$P38,$Q38-$C$3,$R38,9)/365)*$H38</f>
        <v>-1645.2353914777739</v>
      </c>
      <c r="AE38">
        <f t="shared" si="15"/>
        <v>0</v>
      </c>
      <c r="AF38" s="456">
        <f t="shared" si="16"/>
        <v>11938.975627811065</v>
      </c>
      <c r="AG38" s="456">
        <f>((_xll.xSPRDOPT($L38,$J38,$I38,$M38,$O38,$N38,$P38,$Q38-$C$3,$R38,6)*$H38)/100)</f>
        <v>-3569.8733962312335</v>
      </c>
      <c r="AH38" s="456">
        <f>((_xll.xSPRDOPT($L38,$J38,$I38,$M38,$O38,$N38,$P38,$Q38-$C$3,$R38,5)*$H38)/100)</f>
        <v>13494.219126311315</v>
      </c>
      <c r="AI38" s="456">
        <f>(((_xll.xSPRDOPT($L38,$J38,$I38,$M38,$O38,$N38,$P38,$Q38-$C$3,$R38,4)*$H38)/10000)/100)-AB38</f>
        <v>-1.4842026547395581E-2</v>
      </c>
      <c r="AJ38" s="456"/>
      <c r="AK38" s="456"/>
      <c r="AL38" s="456"/>
      <c r="AM38" s="472"/>
      <c r="AN38" s="128">
        <f t="shared" si="33"/>
        <v>37681</v>
      </c>
      <c r="AO38" s="43">
        <f t="shared" si="53"/>
        <v>0</v>
      </c>
      <c r="AP38" s="43">
        <f t="shared" si="53"/>
        <v>0</v>
      </c>
      <c r="AQ38" s="43">
        <f t="shared" si="53"/>
        <v>0</v>
      </c>
      <c r="AR38" s="43">
        <f t="shared" si="53"/>
        <v>10.374461900530667</v>
      </c>
      <c r="AS38" s="43">
        <f t="shared" si="53"/>
        <v>0</v>
      </c>
      <c r="AT38" s="43">
        <f t="shared" si="53"/>
        <v>0</v>
      </c>
      <c r="AU38" s="43">
        <f t="shared" si="53"/>
        <v>0</v>
      </c>
      <c r="AV38" s="43">
        <f t="shared" si="53"/>
        <v>0</v>
      </c>
      <c r="AW38" s="43">
        <f t="shared" si="53"/>
        <v>0</v>
      </c>
      <c r="AX38" s="43">
        <f t="shared" si="53"/>
        <v>0</v>
      </c>
      <c r="AY38" s="43">
        <f t="shared" si="53"/>
        <v>0</v>
      </c>
      <c r="AZ38" s="43">
        <f t="shared" si="53"/>
        <v>0</v>
      </c>
      <c r="BA38" s="44">
        <f t="shared" si="53"/>
        <v>0</v>
      </c>
      <c r="BB38" s="128">
        <f t="shared" si="34"/>
        <v>37681</v>
      </c>
      <c r="BC38" s="44">
        <f t="shared" si="41"/>
        <v>10.374461900530667</v>
      </c>
      <c r="BD38" s="51"/>
      <c r="BE38" s="128">
        <f t="shared" si="35"/>
        <v>37681</v>
      </c>
      <c r="BF38" s="43">
        <f t="shared" si="54"/>
        <v>0</v>
      </c>
      <c r="BG38" s="43">
        <f t="shared" si="54"/>
        <v>0</v>
      </c>
      <c r="BH38" s="43">
        <f t="shared" si="54"/>
        <v>0</v>
      </c>
      <c r="BI38" s="43">
        <f t="shared" si="54"/>
        <v>7260.6719568657136</v>
      </c>
      <c r="BJ38" s="43">
        <f t="shared" si="54"/>
        <v>0</v>
      </c>
      <c r="BK38" s="43">
        <f t="shared" si="54"/>
        <v>0</v>
      </c>
      <c r="BL38" s="43">
        <f t="shared" si="54"/>
        <v>0</v>
      </c>
      <c r="BM38" s="43">
        <f t="shared" si="54"/>
        <v>0</v>
      </c>
      <c r="BN38" s="43">
        <f t="shared" si="54"/>
        <v>0</v>
      </c>
      <c r="BO38" s="43">
        <f t="shared" si="54"/>
        <v>0</v>
      </c>
      <c r="BP38" s="43">
        <f t="shared" si="54"/>
        <v>0</v>
      </c>
      <c r="BQ38" s="43">
        <f t="shared" si="54"/>
        <v>0</v>
      </c>
      <c r="BR38" s="44">
        <f t="shared" si="54"/>
        <v>0</v>
      </c>
      <c r="BS38" s="128">
        <f t="shared" si="36"/>
        <v>37681</v>
      </c>
      <c r="BT38" s="44">
        <f t="shared" si="37"/>
        <v>7260.6719568657136</v>
      </c>
      <c r="BU38" s="51"/>
      <c r="BV38" s="51"/>
      <c r="BW38" s="51"/>
      <c r="BX38" s="51"/>
      <c r="BY38" s="51"/>
      <c r="BZ38" s="51"/>
      <c r="CA38" s="51"/>
      <c r="CB38" s="51"/>
      <c r="CC38" s="141">
        <f t="shared" si="55"/>
        <v>36951</v>
      </c>
      <c r="CD38" s="234">
        <f>_xll.xSPRDOPT((VLOOKUP(G38,NGPrices,2,FALSE)+HLOOKUP(D38,Prices,VLOOKUP(G38,move_down,2,FALSE),FALSE)),VLOOKUP(G38,NGPrices,2,FALSE),I38,VLOOKUP(G38,NGPREVPRICES,4,FALSE),HLOOKUP(D38,PREVVOLS,VLOOKUP(G38,MOVE_DOWN2,2,FALSE),FALSE),VLOOKUP(G38,NGPREVPRICES,3,FALSE),HLOOKUP(D38,Correllate,VLOOKUP(G38,CorMove,2,FALSE),FALSE),Q38-$CD$3,R38,$CD$5)*H38-CJ38</f>
        <v>0</v>
      </c>
      <c r="CE38" s="234">
        <f>_xll.xSPRDOPT((VLOOKUP(G38,NGPREVPRICES,2,FALSE)+HLOOKUP(D38,PREVCURVES,VLOOKUP(G38,MOVE_DOWN2,2,FALSE),FALSE)),VLOOKUP(G38,NGPREVPRICES,2,FALSE),CK38,VLOOKUP(G38,NGPrices,4,FALSE),HLOOKUP(D38,PREVVOLS,VLOOKUP(G38,MOVE_DOWN2,2,FALSE),FALSE),VLOOKUP(G38,NGPREVPRICES,3,FALSE),HLOOKUP(D38,Correllate,VLOOKUP(G38,CorMove,2,FALSE),FALSE),Q38-$CD$3,R38,$CJ$5)*H38-CJ38</f>
        <v>0</v>
      </c>
      <c r="CF38" s="10">
        <f t="shared" si="56"/>
        <v>-104.51256998174358</v>
      </c>
      <c r="CG38" s="234">
        <f>_xll.xSPRDOPT((VLOOKUP(G38,NGPREVPRICES,2,FALSE)+HLOOKUP(D38,PREVCURVES,VLOOKUP(G38,MOVE_DOWN2,2,FALSE),FALSE)),VLOOKUP(G38,NGPREVPRICES,2,FALSE),CK38,VLOOKUP(G38,NGPREVPRICES,4,FALSE),HLOOKUP(D38,VOLS,VLOOKUP(G38,move_down,2,FALSE),FALSE),VLOOKUP(G38,NGPrices,3,FALSE),HLOOKUP(D38,Correllate,VLOOKUP(G38,CorMove,2,FALSE),FALSE),Q38-$CD$3,R38,$CJ$5)*H38-CJ38</f>
        <v>0</v>
      </c>
      <c r="CH38" s="234">
        <f>_xll.xSPRDOPT((VLOOKUP(G38,NGPREVPRICES,2,FALSE)+HLOOKUP(D38,PREVCURVES,VLOOKUP(G38,MOVE_DOWN2,2,FALSE),FALSE)),VLOOKUP(G38,NGPREVPRICES,2,FALSE),CK38,VLOOKUP(G38,NGPREVPRICES,4,FALSE),HLOOKUP(D38,PREVVOLS,VLOOKUP(G38,MOVE_DOWN2,2,FALSE),FALSE),VLOOKUP(G38,NGPREVPRICES,3,FALSE),HLOOKUP(D38,Correllate,VLOOKUP(G38,CorMove,2,FALSE),FALSE),Q38-$C$3,R38,$CJ$5)*H38-CJ38</f>
        <v>-1641.4190426392015</v>
      </c>
      <c r="CI38" s="234">
        <f t="shared" si="57"/>
        <v>-1745.9316126209451</v>
      </c>
      <c r="CJ38" s="234">
        <f>_xll.xSPRDOPT((VLOOKUP(G38,NGPREVPRICES,2,FALSE)+HLOOKUP(D38,PREVCURVES,VLOOKUP(G38,MOVE_DOWN2,2,FALSE),FALSE)),VLOOKUP(G38,NGPREVPRICES,2,FALSE),CK38,VLOOKUP(G38,NGPREVPRICES,4,FALSE),HLOOKUP(D38,PREVVOLS,VLOOKUP(G38,MOVE_DOWN2,2,FALSE),FALSE),VLOOKUP(G38,NGPREVPRICES,3,FALSE),HLOOKUP(D38,Correllate,VLOOKUP(G38,CorMove,2,FALSE),FALSE),Q38-$CD$3,R38,$CJ$5)*H38</f>
        <v>544946.36983086227</v>
      </c>
      <c r="CK38" s="235">
        <f t="shared" si="58"/>
        <v>1.25</v>
      </c>
      <c r="CM38" t="str">
        <f t="shared" si="59"/>
        <v>36951Curve Shift/Gamma</v>
      </c>
      <c r="CN38" t="str">
        <f t="shared" si="19"/>
        <v>36951Rho</v>
      </c>
      <c r="CO38" t="str">
        <f t="shared" si="20"/>
        <v>36951Drift</v>
      </c>
      <c r="CP38" t="str">
        <f t="shared" si="21"/>
        <v>36951Vega</v>
      </c>
      <c r="CQ38" t="str">
        <f t="shared" si="22"/>
        <v>36951Theta</v>
      </c>
      <c r="CR38" s="385">
        <f t="shared" si="38"/>
        <v>37681</v>
      </c>
      <c r="CS38" s="386">
        <f t="shared" si="23"/>
        <v>0</v>
      </c>
      <c r="CT38" s="239">
        <f t="shared" si="24"/>
        <v>0</v>
      </c>
      <c r="CU38" s="239">
        <f t="shared" si="25"/>
        <v>-4.0572573039135023</v>
      </c>
      <c r="CV38" s="239">
        <f t="shared" si="26"/>
        <v>0</v>
      </c>
      <c r="CW38" s="249">
        <f t="shared" si="27"/>
        <v>-11.000722908021999</v>
      </c>
      <c r="CX38" s="240">
        <f t="shared" si="39"/>
        <v>-15.057980211935501</v>
      </c>
      <c r="CZ38" s="385">
        <f t="shared" si="40"/>
        <v>37681</v>
      </c>
      <c r="DA38" s="386">
        <f t="shared" si="28"/>
        <v>0</v>
      </c>
      <c r="DB38" s="239">
        <f t="shared" si="29"/>
        <v>0</v>
      </c>
      <c r="DC38" s="239">
        <f t="shared" si="30"/>
        <v>-4.0572573039135023</v>
      </c>
      <c r="DD38" s="239">
        <f t="shared" si="31"/>
        <v>0</v>
      </c>
      <c r="DE38" s="249">
        <f t="shared" si="32"/>
        <v>-11.000722908021999</v>
      </c>
      <c r="DF38" s="240">
        <f t="shared" si="48"/>
        <v>-15.057980211935501</v>
      </c>
    </row>
    <row r="39" spans="1:110" ht="12" customHeight="1" x14ac:dyDescent="0.25">
      <c r="A39" s="140" t="s">
        <v>290</v>
      </c>
      <c r="B39" t="s">
        <v>129</v>
      </c>
      <c r="C39" t="s">
        <v>289</v>
      </c>
      <c r="D39" s="4" t="s">
        <v>7</v>
      </c>
      <c r="E39" t="s">
        <v>20</v>
      </c>
      <c r="F39" t="s">
        <v>21</v>
      </c>
      <c r="G39" s="5">
        <v>36951</v>
      </c>
      <c r="H39" s="130">
        <v>-310000</v>
      </c>
      <c r="I39">
        <v>1.25</v>
      </c>
      <c r="J39" s="53">
        <f t="shared" ref="J39:J70" si="60">VLOOKUP(G39,NGPrices,2,FALSE)</f>
        <v>4.2130000000000001</v>
      </c>
      <c r="K39" s="7">
        <f t="shared" ref="K39:K70" si="61">HLOOKUP(D39,Prices,VLOOKUP(G39,move_down,2,FALSE),FALSE)+VLOOKUP(G39,CHANGE,HLOOKUP(D39,CHANGE,2,FALSE),FALSE)</f>
        <v>1.075</v>
      </c>
      <c r="L39" s="53">
        <f t="shared" ref="L39:L70" si="62">K39+J39</f>
        <v>5.2880000000000003</v>
      </c>
      <c r="M39" s="157">
        <f t="shared" si="4"/>
        <v>6.8879814952706994E-2</v>
      </c>
      <c r="N39" s="4">
        <f t="shared" si="5"/>
        <v>0.53249999999999997</v>
      </c>
      <c r="O39" s="4">
        <f t="shared" si="6"/>
        <v>0.61199999999999999</v>
      </c>
      <c r="P39" s="9">
        <f t="shared" si="7"/>
        <v>0.83</v>
      </c>
      <c r="Q39" s="5">
        <f t="shared" si="8"/>
        <v>36949</v>
      </c>
      <c r="R39" s="4">
        <f t="shared" si="9"/>
        <v>1</v>
      </c>
      <c r="S39" s="158">
        <f>_xll.xSPRDOPT($L39,$J39,$I39,$M39,$O39,$N39,$P39,$Q39-$C$3,$R39,0)</f>
        <v>0.43814915386147019</v>
      </c>
      <c r="T39" s="159">
        <f>_xll.xSPRDOPT($L39,$J39,$I39,$M39,$O39,$N39,$P39,$Q39-$C$3,$R39,1)*H39</f>
        <v>-149694.78573201754</v>
      </c>
      <c r="U39" s="160">
        <f t="shared" si="10"/>
        <v>-135826.23769705577</v>
      </c>
      <c r="V39" s="159">
        <f>_xll.xSPRDOPT($L39,$J39,$I39,$M39,$O39,$N39,$P39,$Q39-$C$3,$R39,2)*H39</f>
        <v>122730.88440986385</v>
      </c>
      <c r="W39" s="159">
        <f t="shared" si="11"/>
        <v>-26963.901322153688</v>
      </c>
      <c r="X39" s="51" t="str">
        <f t="shared" ref="X39:X70" si="63">CONCATENATE(G39,D39)</f>
        <v>36951IF-TRANSCO/Z6</v>
      </c>
      <c r="Y39" s="418">
        <f t="shared" ref="Y39:Y70" si="64">H39/10000</f>
        <v>-31</v>
      </c>
      <c r="Z39" s="456">
        <f t="shared" ref="Z39:Z70" si="65">T39/H39</f>
        <v>0.48288640558715334</v>
      </c>
      <c r="AA39" s="456">
        <f>_xll.xSPRDOPT($L39,$J39,$I39,$M39,$O39,$N39,$P39,$Q39-$C$3,$R39,3)</f>
        <v>0.29115516129835944</v>
      </c>
      <c r="AB39" s="456">
        <f>((_xll.xSPRDOPT($L39+AB$5,$J39,$I39,$M39,$O39,$N39,$P39,$Q39-$C$3,$R39,3)*$H39)/10000)/100</f>
        <v>-9.0258100002491432E-2</v>
      </c>
      <c r="AC39" s="456">
        <f>((_xll.xSPRDOPT($L39+$AB$5,$J39,$I39,$M39,$O39,$N39,$P39,$Q39-$C$3,$R39,7)*$H39)/100)</f>
        <v>3187.6306847495994</v>
      </c>
      <c r="AD39" s="456">
        <f>(_xll.xSPRDOPT($L39+$AB$5,$J39,$I39,$M39,$O39,$N39,$P39,$Q39-$C$3,$R39,9)/365)*$H39</f>
        <v>411.30884786944347</v>
      </c>
      <c r="AE39">
        <f t="shared" si="15"/>
        <v>0</v>
      </c>
      <c r="AF39" s="456">
        <f t="shared" ref="AF39:AF70" si="66">((O39/N39)*AH39)+AG39</f>
        <v>-2984.7439069527663</v>
      </c>
      <c r="AG39" s="456">
        <f>((_xll.xSPRDOPT($L39,$J39,$I39,$M39,$O39,$N39,$P39,$Q39-$C$3,$R39,6)*$H39)/100)</f>
        <v>892.46834905780838</v>
      </c>
      <c r="AH39" s="456">
        <f>((_xll.xSPRDOPT($L39,$J39,$I39,$M39,$O39,$N39,$P39,$Q39-$C$3,$R39,5)*$H39)/100)</f>
        <v>-3373.5547815778286</v>
      </c>
      <c r="AI39" s="456">
        <f>(((_xll.xSPRDOPT($L39,$J39,$I39,$M39,$O39,$N39,$P39,$Q39-$C$3,$R39,4)*$H39)/10000)/100)-AB39</f>
        <v>3.7105066368488954E-3</v>
      </c>
      <c r="AJ39" s="456"/>
      <c r="AK39" s="456"/>
      <c r="AL39" s="456"/>
      <c r="AM39" s="472"/>
      <c r="AN39" s="128">
        <f t="shared" si="33"/>
        <v>37712</v>
      </c>
      <c r="AO39" s="43">
        <f t="shared" si="53"/>
        <v>0</v>
      </c>
      <c r="AP39" s="43">
        <f t="shared" si="53"/>
        <v>0</v>
      </c>
      <c r="AQ39" s="43">
        <f t="shared" si="53"/>
        <v>0</v>
      </c>
      <c r="AR39" s="43">
        <f t="shared" si="53"/>
        <v>0</v>
      </c>
      <c r="AS39" s="43">
        <f t="shared" si="53"/>
        <v>0</v>
      </c>
      <c r="AT39" s="43">
        <f t="shared" si="53"/>
        <v>0</v>
      </c>
      <c r="AU39" s="43">
        <f t="shared" si="53"/>
        <v>0</v>
      </c>
      <c r="AV39" s="43">
        <f t="shared" si="53"/>
        <v>0</v>
      </c>
      <c r="AW39" s="43">
        <f t="shared" si="53"/>
        <v>0</v>
      </c>
      <c r="AX39" s="43">
        <f t="shared" si="53"/>
        <v>0</v>
      </c>
      <c r="AY39" s="43">
        <f t="shared" si="53"/>
        <v>0</v>
      </c>
      <c r="AZ39" s="43">
        <f t="shared" si="53"/>
        <v>0</v>
      </c>
      <c r="BA39" s="44">
        <f t="shared" si="53"/>
        <v>0</v>
      </c>
      <c r="BB39" s="128">
        <f t="shared" si="34"/>
        <v>37712</v>
      </c>
      <c r="BC39" s="44">
        <f t="shared" si="41"/>
        <v>0</v>
      </c>
      <c r="BD39" s="51"/>
      <c r="BE39" s="128">
        <f t="shared" si="35"/>
        <v>37712</v>
      </c>
      <c r="BF39" s="43">
        <f t="shared" si="54"/>
        <v>0</v>
      </c>
      <c r="BG39" s="43">
        <f t="shared" si="54"/>
        <v>0</v>
      </c>
      <c r="BH39" s="43">
        <f t="shared" si="54"/>
        <v>0</v>
      </c>
      <c r="BI39" s="43">
        <f t="shared" si="54"/>
        <v>0</v>
      </c>
      <c r="BJ39" s="43">
        <f t="shared" si="54"/>
        <v>0</v>
      </c>
      <c r="BK39" s="43">
        <f t="shared" si="54"/>
        <v>0</v>
      </c>
      <c r="BL39" s="43">
        <f t="shared" si="54"/>
        <v>0</v>
      </c>
      <c r="BM39" s="43">
        <f t="shared" si="54"/>
        <v>0</v>
      </c>
      <c r="BN39" s="43">
        <f t="shared" si="54"/>
        <v>0</v>
      </c>
      <c r="BO39" s="43">
        <f t="shared" si="54"/>
        <v>0</v>
      </c>
      <c r="BP39" s="43">
        <f t="shared" si="54"/>
        <v>0</v>
      </c>
      <c r="BQ39" s="43">
        <f t="shared" si="54"/>
        <v>0</v>
      </c>
      <c r="BR39" s="44">
        <f t="shared" si="54"/>
        <v>0</v>
      </c>
      <c r="BS39" s="128">
        <f t="shared" si="36"/>
        <v>37712</v>
      </c>
      <c r="BT39" s="44">
        <f t="shared" si="37"/>
        <v>0</v>
      </c>
      <c r="BU39" s="51"/>
      <c r="BV39" s="51"/>
      <c r="BW39" s="51"/>
      <c r="BX39" s="51"/>
      <c r="BY39" s="51"/>
      <c r="BZ39" s="51"/>
      <c r="CA39" s="51"/>
      <c r="CB39" s="51"/>
      <c r="CC39" s="141">
        <f t="shared" si="55"/>
        <v>36951</v>
      </c>
      <c r="CD39" s="234">
        <f>_xll.xSPRDOPT((VLOOKUP(G39,NGPrices,2,FALSE)+HLOOKUP(D39,Prices,VLOOKUP(G39,move_down,2,FALSE),FALSE)),VLOOKUP(G39,NGPrices,2,FALSE),I39,VLOOKUP(G39,NGPREVPRICES,4,FALSE),HLOOKUP(D39,PREVVOLS,VLOOKUP(G39,MOVE_DOWN2,2,FALSE),FALSE),VLOOKUP(G39,NGPREVPRICES,3,FALSE),HLOOKUP(D39,Correllate,VLOOKUP(G39,CorMove,2,FALSE),FALSE),Q39-$CD$3,R39,$CD$5)*H39-CJ39</f>
        <v>0</v>
      </c>
      <c r="CE39" s="234">
        <f>_xll.xSPRDOPT((VLOOKUP(G39,NGPREVPRICES,2,FALSE)+HLOOKUP(D39,PREVCURVES,VLOOKUP(G39,MOVE_DOWN2,2,FALSE),FALSE)),VLOOKUP(G39,NGPREVPRICES,2,FALSE),CK39,VLOOKUP(G39,NGPrices,4,FALSE),HLOOKUP(D39,PREVVOLS,VLOOKUP(G39,MOVE_DOWN2,2,FALSE),FALSE),VLOOKUP(G39,NGPREVPRICES,3,FALSE),HLOOKUP(D39,Correllate,VLOOKUP(G39,CorMove,2,FALSE),FALSE),Q39-$CD$3,R39,$CJ$5)*H39-CJ39</f>
        <v>0</v>
      </c>
      <c r="CF39" s="10">
        <f t="shared" si="56"/>
        <v>26.128142495435895</v>
      </c>
      <c r="CG39" s="234">
        <f>_xll.xSPRDOPT((VLOOKUP(G39,NGPREVPRICES,2,FALSE)+HLOOKUP(D39,PREVCURVES,VLOOKUP(G39,MOVE_DOWN2,2,FALSE),FALSE)),VLOOKUP(G39,NGPREVPRICES,2,FALSE),CK39,VLOOKUP(G39,NGPREVPRICES,4,FALSE),HLOOKUP(D39,VOLS,VLOOKUP(G39,move_down,2,FALSE),FALSE),VLOOKUP(G39,NGPrices,3,FALSE),HLOOKUP(D39,Correllate,VLOOKUP(G39,CorMove,2,FALSE),FALSE),Q39-$CD$3,R39,$CJ$5)*H39-CJ39</f>
        <v>0</v>
      </c>
      <c r="CH39" s="234">
        <f>_xll.xSPRDOPT((VLOOKUP(G39,NGPREVPRICES,2,FALSE)+HLOOKUP(D39,PREVCURVES,VLOOKUP(G39,MOVE_DOWN2,2,FALSE),FALSE)),VLOOKUP(G39,NGPREVPRICES,2,FALSE),CK39,VLOOKUP(G39,NGPREVPRICES,4,FALSE),HLOOKUP(D39,PREVVOLS,VLOOKUP(G39,MOVE_DOWN2,2,FALSE),FALSE),VLOOKUP(G39,NGPREVPRICES,3,FALSE),HLOOKUP(D39,Correllate,VLOOKUP(G39,CorMove,2,FALSE),FALSE),Q39-$C$3,R39,$CJ$5)*H39-CJ39</f>
        <v>410.35476065980038</v>
      </c>
      <c r="CI39" s="234">
        <f t="shared" si="57"/>
        <v>436.48290315523627</v>
      </c>
      <c r="CJ39" s="234">
        <f>_xll.xSPRDOPT((VLOOKUP(G39,NGPREVPRICES,2,FALSE)+HLOOKUP(D39,PREVCURVES,VLOOKUP(G39,MOVE_DOWN2,2,FALSE),FALSE)),VLOOKUP(G39,NGPREVPRICES,2,FALSE),CK39,VLOOKUP(G39,NGPREVPRICES,4,FALSE),HLOOKUP(D39,PREVVOLS,VLOOKUP(G39,MOVE_DOWN2,2,FALSE),FALSE),VLOOKUP(G39,NGPREVPRICES,3,FALSE),HLOOKUP(D39,Correllate,VLOOKUP(G39,CorMove,2,FALSE),FALSE),Q39-$CD$3,R39,$CJ$5)*H39</f>
        <v>-136236.59245771557</v>
      </c>
      <c r="CK39" s="235">
        <f t="shared" si="58"/>
        <v>1.25</v>
      </c>
      <c r="CM39" t="str">
        <f t="shared" si="59"/>
        <v>36951Curve Shift/Gamma</v>
      </c>
      <c r="CN39" t="str">
        <f t="shared" si="19"/>
        <v>36951Rho</v>
      </c>
      <c r="CO39" t="str">
        <f t="shared" si="20"/>
        <v>36951Drift</v>
      </c>
      <c r="CP39" t="str">
        <f t="shared" si="21"/>
        <v>36951Vega</v>
      </c>
      <c r="CQ39" t="str">
        <f t="shared" si="22"/>
        <v>36951Theta</v>
      </c>
      <c r="CR39" s="385">
        <f t="shared" si="38"/>
        <v>37712</v>
      </c>
      <c r="CS39" s="386">
        <f t="shared" si="23"/>
        <v>0</v>
      </c>
      <c r="CT39" s="239">
        <f t="shared" si="24"/>
        <v>0</v>
      </c>
      <c r="CU39" s="239">
        <f t="shared" si="25"/>
        <v>0</v>
      </c>
      <c r="CV39" s="239">
        <f t="shared" si="26"/>
        <v>0</v>
      </c>
      <c r="CW39" s="249">
        <f t="shared" si="27"/>
        <v>0</v>
      </c>
      <c r="CX39" s="240">
        <f t="shared" si="39"/>
        <v>0</v>
      </c>
      <c r="CZ39" s="385">
        <f t="shared" si="40"/>
        <v>37712</v>
      </c>
      <c r="DA39" s="386">
        <f t="shared" si="28"/>
        <v>0</v>
      </c>
      <c r="DB39" s="239">
        <f t="shared" si="29"/>
        <v>0</v>
      </c>
      <c r="DC39" s="239">
        <f t="shared" si="30"/>
        <v>0</v>
      </c>
      <c r="DD39" s="239">
        <f t="shared" si="31"/>
        <v>0</v>
      </c>
      <c r="DE39" s="249">
        <f t="shared" si="32"/>
        <v>0</v>
      </c>
      <c r="DF39" s="240">
        <f t="shared" si="48"/>
        <v>0</v>
      </c>
    </row>
    <row r="40" spans="1:110" ht="12" customHeight="1" x14ac:dyDescent="0.25">
      <c r="A40" s="140" t="s">
        <v>294</v>
      </c>
      <c r="B40" t="s">
        <v>250</v>
      </c>
      <c r="C40" t="s">
        <v>295</v>
      </c>
      <c r="D40" s="4" t="s">
        <v>9</v>
      </c>
      <c r="E40" t="s">
        <v>20</v>
      </c>
      <c r="F40" t="s">
        <v>21</v>
      </c>
      <c r="G40" s="5">
        <v>36800</v>
      </c>
      <c r="H40" s="130">
        <v>310000</v>
      </c>
      <c r="I40">
        <v>-0.32</v>
      </c>
      <c r="J40" s="53">
        <f t="shared" si="60"/>
        <v>4.6920000000000002</v>
      </c>
      <c r="K40" s="7">
        <f t="shared" si="61"/>
        <v>-0.80500000000000005</v>
      </c>
      <c r="L40" s="53">
        <f t="shared" si="62"/>
        <v>3.887</v>
      </c>
      <c r="M40" s="157">
        <f t="shared" si="4"/>
        <v>6.8050789414654006E-2</v>
      </c>
      <c r="N40" s="4">
        <f t="shared" si="5"/>
        <v>0.57499999999999996</v>
      </c>
      <c r="O40" s="4">
        <f t="shared" si="6"/>
        <v>0.55200000000000005</v>
      </c>
      <c r="P40" s="9">
        <f t="shared" si="7"/>
        <v>0.84</v>
      </c>
      <c r="Q40" s="5">
        <f t="shared" si="8"/>
        <v>36797</v>
      </c>
      <c r="R40" s="4">
        <f t="shared" si="9"/>
        <v>1</v>
      </c>
      <c r="S40" s="158">
        <f>_xll.xSPRDOPT($L40,$J40,$I40,$M40,$O40,$N40,$P40,$Q40-$C$3,$R40,0)</f>
        <v>2.1536356939657997E-2</v>
      </c>
      <c r="T40" s="159">
        <f>_xll.xSPRDOPT($L40,$J40,$I40,$M40,$O40,$N40,$P40,$Q40-$C$3,$R40,1)*H40</f>
        <v>37321.853648720557</v>
      </c>
      <c r="U40" s="160">
        <f t="shared" si="10"/>
        <v>6676.2706512939794</v>
      </c>
      <c r="V40" s="159">
        <f>_xll.xSPRDOPT($L40,$J40,$I40,$M40,$O40,$N40,$P40,$Q40-$C$3,$R40,2)*H40</f>
        <v>-31983.410843646023</v>
      </c>
      <c r="W40" s="159">
        <f t="shared" si="11"/>
        <v>5338.4428050745337</v>
      </c>
      <c r="X40" s="51" t="str">
        <f t="shared" si="63"/>
        <v>36800IF-NWPL_ROCKY_M</v>
      </c>
      <c r="Y40" s="418">
        <f t="shared" si="64"/>
        <v>31</v>
      </c>
      <c r="Z40" s="456">
        <f t="shared" si="65"/>
        <v>0.12039307628619535</v>
      </c>
      <c r="AA40" s="456">
        <f>_xll.xSPRDOPT($L40,$J40,$I40,$M40,$O40,$N40,$P40,$Q40-$C$3,$R40,3)</f>
        <v>0.53071735645549822</v>
      </c>
      <c r="AB40" s="456">
        <f>((_xll.xSPRDOPT($L40+AB$5,$J40,$I40,$M40,$O40,$N40,$P40,$Q40-$C$3,$R40,3)*$H40)/10000)/100</f>
        <v>0.16452238050120446</v>
      </c>
      <c r="AC40" s="456">
        <f>((_xll.xSPRDOPT($L40+$AB$5,$J40,$I40,$M40,$O40,$N40,$P40,$Q40-$C$3,$R40,7)*$H40)/100)</f>
        <v>-700.42593595765413</v>
      </c>
      <c r="AD40" s="456">
        <f>(_xll.xSPRDOPT($L40+$AB$5,$J40,$I40,$M40,$O40,$N40,$P40,$Q40-$C$3,$R40,9)/365)*$H40</f>
        <v>-389.20838817187717</v>
      </c>
      <c r="AE40">
        <f t="shared" si="15"/>
        <v>0</v>
      </c>
      <c r="AF40" s="456">
        <f t="shared" si="66"/>
        <v>407.15047683229437</v>
      </c>
      <c r="AG40" s="456">
        <f>((_xll.xSPRDOPT($L40,$J40,$I40,$M40,$O40,$N40,$P40,$Q40-$C$3,$R40,6)*$H40)/100)</f>
        <v>348.46865859306769</v>
      </c>
      <c r="AH40" s="456">
        <f>((_xll.xSPRDOPT($L40,$J40,$I40,$M40,$O40,$N40,$P40,$Q40-$C$3,$R40,5)*$H40)/100)</f>
        <v>61.126893999194436</v>
      </c>
      <c r="AI40" s="456">
        <f>(((_xll.xSPRDOPT($L40,$J40,$I40,$M40,$O40,$N40,$P40,$Q40-$C$3,$R40,4)*$H40)/10000)/100)-AB40</f>
        <v>-3.2590823166575494E-2</v>
      </c>
      <c r="AJ40" s="456"/>
      <c r="AK40" s="456"/>
      <c r="AL40" s="456"/>
      <c r="AM40" s="472"/>
      <c r="AN40" s="128">
        <f t="shared" ref="AN40:AN71" si="67">EOMONTH(AN39,0)+1</f>
        <v>37742</v>
      </c>
      <c r="AO40" s="43">
        <f t="shared" si="53"/>
        <v>0</v>
      </c>
      <c r="AP40" s="43">
        <f t="shared" si="53"/>
        <v>0</v>
      </c>
      <c r="AQ40" s="43">
        <f t="shared" si="53"/>
        <v>0</v>
      </c>
      <c r="AR40" s="43">
        <f t="shared" si="53"/>
        <v>0</v>
      </c>
      <c r="AS40" s="43">
        <f t="shared" si="53"/>
        <v>0</v>
      </c>
      <c r="AT40" s="43">
        <f t="shared" si="53"/>
        <v>0</v>
      </c>
      <c r="AU40" s="43">
        <f t="shared" si="53"/>
        <v>0</v>
      </c>
      <c r="AV40" s="43">
        <f t="shared" si="53"/>
        <v>0</v>
      </c>
      <c r="AW40" s="43">
        <f t="shared" si="53"/>
        <v>0</v>
      </c>
      <c r="AX40" s="43">
        <f t="shared" si="53"/>
        <v>0</v>
      </c>
      <c r="AY40" s="43">
        <f t="shared" si="53"/>
        <v>0</v>
      </c>
      <c r="AZ40" s="43">
        <f t="shared" si="53"/>
        <v>0</v>
      </c>
      <c r="BA40" s="44">
        <f t="shared" si="53"/>
        <v>0</v>
      </c>
      <c r="BB40" s="128">
        <f t="shared" ref="BB40:BB71" si="68">EOMONTH(BB39,0)+1</f>
        <v>37742</v>
      </c>
      <c r="BC40" s="44">
        <f t="shared" si="41"/>
        <v>0</v>
      </c>
      <c r="BD40" s="51"/>
      <c r="BE40" s="128">
        <f t="shared" ref="BE40:BE71" si="69">EOMONTH(BE39,0)+1</f>
        <v>37742</v>
      </c>
      <c r="BF40" s="43">
        <f t="shared" si="54"/>
        <v>0</v>
      </c>
      <c r="BG40" s="43">
        <f t="shared" si="54"/>
        <v>0</v>
      </c>
      <c r="BH40" s="43">
        <f t="shared" si="54"/>
        <v>0</v>
      </c>
      <c r="BI40" s="43">
        <f t="shared" si="54"/>
        <v>0</v>
      </c>
      <c r="BJ40" s="43">
        <f t="shared" si="54"/>
        <v>0</v>
      </c>
      <c r="BK40" s="43">
        <f t="shared" si="54"/>
        <v>0</v>
      </c>
      <c r="BL40" s="43">
        <f t="shared" si="54"/>
        <v>0</v>
      </c>
      <c r="BM40" s="43">
        <f t="shared" si="54"/>
        <v>0</v>
      </c>
      <c r="BN40" s="43">
        <f t="shared" si="54"/>
        <v>0</v>
      </c>
      <c r="BO40" s="43">
        <f t="shared" si="54"/>
        <v>0</v>
      </c>
      <c r="BP40" s="43">
        <f t="shared" si="54"/>
        <v>0</v>
      </c>
      <c r="BQ40" s="43">
        <f t="shared" si="54"/>
        <v>0</v>
      </c>
      <c r="BR40" s="44">
        <f t="shared" si="54"/>
        <v>0</v>
      </c>
      <c r="BS40" s="128">
        <f t="shared" ref="BS40:BS71" si="70">EOMONTH(BS39,0)+1</f>
        <v>37742</v>
      </c>
      <c r="BT40" s="44">
        <f t="shared" si="37"/>
        <v>0</v>
      </c>
      <c r="BU40" s="51"/>
      <c r="BV40" s="51"/>
      <c r="BW40" s="51"/>
      <c r="BX40" s="51"/>
      <c r="BY40" s="51"/>
      <c r="BZ40" s="51"/>
      <c r="CA40" s="51"/>
      <c r="CB40" s="51"/>
      <c r="CC40" s="141">
        <f t="shared" si="55"/>
        <v>36800</v>
      </c>
      <c r="CD40" s="234">
        <f>_xll.xSPRDOPT((VLOOKUP(G40,NGPrices,2,FALSE)+HLOOKUP(D40,Prices,VLOOKUP(G40,move_down,2,FALSE),FALSE)),VLOOKUP(G40,NGPrices,2,FALSE),I40,VLOOKUP(G40,NGPREVPRICES,4,FALSE),HLOOKUP(D40,PREVVOLS,VLOOKUP(G40,MOVE_DOWN2,2,FALSE),FALSE),VLOOKUP(G40,NGPREVPRICES,3,FALSE),HLOOKUP(D40,Correllate,VLOOKUP(G40,CorMove,2,FALSE),FALSE),Q40-$CD$3,R40,$CD$5)*H40-CJ40</f>
        <v>0</v>
      </c>
      <c r="CE40" s="234">
        <f>_xll.xSPRDOPT((VLOOKUP(G40,NGPREVPRICES,2,FALSE)+HLOOKUP(D40,PREVCURVES,VLOOKUP(G40,MOVE_DOWN2,2,FALSE),FALSE)),VLOOKUP(G40,NGPREVPRICES,2,FALSE),CK40,VLOOKUP(G40,NGPrices,4,FALSE),HLOOKUP(D40,PREVVOLS,VLOOKUP(G40,MOVE_DOWN2,2,FALSE),FALSE),VLOOKUP(G40,NGPREVPRICES,3,FALSE),HLOOKUP(D40,Correllate,VLOOKUP(G40,CorMove,2,FALSE),FALSE),Q40-$CD$3,R40,$CJ$5)*H40-CJ40</f>
        <v>0</v>
      </c>
      <c r="CF40" s="10">
        <f t="shared" si="56"/>
        <v>-1.3027726146456189</v>
      </c>
      <c r="CG40" s="234">
        <f>_xll.xSPRDOPT((VLOOKUP(G40,NGPREVPRICES,2,FALSE)+HLOOKUP(D40,PREVCURVES,VLOOKUP(G40,MOVE_DOWN2,2,FALSE),FALSE)),VLOOKUP(G40,NGPREVPRICES,2,FALSE),CK40,VLOOKUP(G40,NGPREVPRICES,4,FALSE),HLOOKUP(D40,VOLS,VLOOKUP(G40,move_down,2,FALSE),FALSE),VLOOKUP(G40,NGPrices,3,FALSE),HLOOKUP(D40,Correllate,VLOOKUP(G40,CorMove,2,FALSE),FALSE),Q40-$CD$3,R40,$CJ$5)*H40-CJ40</f>
        <v>0</v>
      </c>
      <c r="CH40" s="234">
        <f>_xll.xSPRDOPT((VLOOKUP(G40,NGPREVPRICES,2,FALSE)+HLOOKUP(D40,PREVCURVES,VLOOKUP(G40,MOVE_DOWN2,2,FALSE),FALSE)),VLOOKUP(G40,NGPREVPRICES,2,FALSE),CK40,VLOOKUP(G40,NGPREVPRICES,4,FALSE),HLOOKUP(D40,PREVVOLS,VLOOKUP(G40,MOVE_DOWN2,2,FALSE),FALSE),VLOOKUP(G40,NGPREVPRICES,3,FALSE),HLOOKUP(D40,Correllate,VLOOKUP(G40,CorMove,2,FALSE),FALSE),Q40-$C$3,R40,$CJ$5)*H40-CJ40</f>
        <v>-390.35294556122426</v>
      </c>
      <c r="CI40" s="234">
        <f t="shared" si="57"/>
        <v>-391.65571817586988</v>
      </c>
      <c r="CJ40" s="234">
        <f>_xll.xSPRDOPT((VLOOKUP(G40,NGPREVPRICES,2,FALSE)+HLOOKUP(D40,PREVCURVES,VLOOKUP(G40,MOVE_DOWN2,2,FALSE),FALSE)),VLOOKUP(G40,NGPREVPRICES,2,FALSE),CK40,VLOOKUP(G40,NGPREVPRICES,4,FALSE),HLOOKUP(D40,PREVVOLS,VLOOKUP(G40,MOVE_DOWN2,2,FALSE),FALSE),VLOOKUP(G40,NGPREVPRICES,3,FALSE),HLOOKUP(D40,Correllate,VLOOKUP(G40,CorMove,2,FALSE),FALSE),Q40-$CD$3,R40,$CJ$5)*H40</f>
        <v>7066.6235968552037</v>
      </c>
      <c r="CK40" s="235">
        <f t="shared" si="58"/>
        <v>-0.32</v>
      </c>
      <c r="CM40" t="str">
        <f t="shared" si="59"/>
        <v>36800Curve Shift/Gamma</v>
      </c>
      <c r="CN40" t="str">
        <f t="shared" si="19"/>
        <v>36800Rho</v>
      </c>
      <c r="CO40" t="str">
        <f t="shared" si="20"/>
        <v>36800Drift</v>
      </c>
      <c r="CP40" t="str">
        <f t="shared" si="21"/>
        <v>36800Vega</v>
      </c>
      <c r="CQ40" t="str">
        <f t="shared" si="22"/>
        <v>36800Theta</v>
      </c>
      <c r="CR40" s="385">
        <f t="shared" si="38"/>
        <v>37742</v>
      </c>
      <c r="CS40" s="386">
        <f t="shared" si="23"/>
        <v>0</v>
      </c>
      <c r="CT40" s="239">
        <f t="shared" si="24"/>
        <v>0</v>
      </c>
      <c r="CU40" s="239">
        <f t="shared" si="25"/>
        <v>0</v>
      </c>
      <c r="CV40" s="239">
        <f t="shared" si="26"/>
        <v>0</v>
      </c>
      <c r="CW40" s="249">
        <f t="shared" si="27"/>
        <v>0</v>
      </c>
      <c r="CX40" s="240">
        <f t="shared" si="39"/>
        <v>0</v>
      </c>
      <c r="CZ40" s="385">
        <f t="shared" si="40"/>
        <v>37742</v>
      </c>
      <c r="DA40" s="386">
        <f t="shared" si="28"/>
        <v>0</v>
      </c>
      <c r="DB40" s="239">
        <f t="shared" si="29"/>
        <v>0</v>
      </c>
      <c r="DC40" s="239">
        <f t="shared" si="30"/>
        <v>0</v>
      </c>
      <c r="DD40" s="239">
        <f t="shared" si="31"/>
        <v>0</v>
      </c>
      <c r="DE40" s="249">
        <f t="shared" si="32"/>
        <v>0</v>
      </c>
      <c r="DF40" s="240">
        <f t="shared" si="48"/>
        <v>0</v>
      </c>
    </row>
    <row r="41" spans="1:110" ht="12" customHeight="1" x14ac:dyDescent="0.25">
      <c r="A41" s="140" t="s">
        <v>294</v>
      </c>
      <c r="B41" t="s">
        <v>250</v>
      </c>
      <c r="C41" t="s">
        <v>295</v>
      </c>
      <c r="D41" s="4" t="s">
        <v>9</v>
      </c>
      <c r="E41" t="s">
        <v>20</v>
      </c>
      <c r="F41" t="s">
        <v>21</v>
      </c>
      <c r="G41" s="5">
        <v>36770</v>
      </c>
      <c r="H41" s="130">
        <v>300000</v>
      </c>
      <c r="I41">
        <v>-0.32</v>
      </c>
      <c r="J41" s="53">
        <f t="shared" si="60"/>
        <v>4.6849999999999996</v>
      </c>
      <c r="K41" s="7">
        <f t="shared" si="61"/>
        <v>-1.24</v>
      </c>
      <c r="L41" s="53">
        <f t="shared" si="62"/>
        <v>3.4449999999999994</v>
      </c>
      <c r="M41" s="157">
        <f t="shared" si="4"/>
        <v>6.7216196212184998E-2</v>
      </c>
      <c r="N41" s="4">
        <f t="shared" si="5"/>
        <v>0.4</v>
      </c>
      <c r="O41" s="4">
        <f t="shared" si="6"/>
        <v>0.38400000000000001</v>
      </c>
      <c r="P41" s="9">
        <f t="shared" si="7"/>
        <v>0.84</v>
      </c>
      <c r="Q41" s="5">
        <f t="shared" si="8"/>
        <v>36768</v>
      </c>
      <c r="R41" s="4">
        <f t="shared" si="9"/>
        <v>1</v>
      </c>
      <c r="S41" s="158">
        <f>_xll.xSPRDOPT($L41,$J41,$I41,$M41,$O41,$N41,$P41,$Q41-$C$3,$R41,0)</f>
        <v>1.2060544563041731E-7</v>
      </c>
      <c r="T41" s="159">
        <f>_xll.xSPRDOPT($L41,$J41,$I41,$M41,$O41,$N41,$P41,$Q41-$C$3,$R41,1)*H41</f>
        <v>-5.0898722503411875E-2</v>
      </c>
      <c r="U41" s="160">
        <f t="shared" si="10"/>
        <v>3.6181633689125192E-2</v>
      </c>
      <c r="V41" s="159">
        <f>_xll.xSPRDOPT($L41,$J41,$I41,$M41,$O41,$N41,$P41,$Q41-$C$3,$R41,2)*H41</f>
        <v>3.9320339284554251E-2</v>
      </c>
      <c r="W41" s="159">
        <f t="shared" si="11"/>
        <v>-1.1578383218857624E-2</v>
      </c>
      <c r="X41" s="51" t="str">
        <f t="shared" si="63"/>
        <v>36770IF-NWPL_ROCKY_M</v>
      </c>
      <c r="Y41" s="418">
        <f t="shared" si="64"/>
        <v>30</v>
      </c>
      <c r="Z41" s="456">
        <f t="shared" si="65"/>
        <v>-1.6966240834470625E-7</v>
      </c>
      <c r="AA41" s="456">
        <f>_xll.xSPRDOPT($L41,$J41,$I41,$M41,$O41,$N41,$P41,$Q41-$C$3,$R41,3)</f>
        <v>-3.8893750451706706E-5</v>
      </c>
      <c r="AB41" s="456">
        <f>((_xll.xSPRDOPT($L41+AB$5,$J41,$I41,$M41,$O41,$N41,$P41,$Q41-$C$3,$R41,3)*$H41)/10000)/100</f>
        <v>-1.1668125135512013E-5</v>
      </c>
      <c r="AC41" s="456">
        <f>((_xll.xSPRDOPT($L41+$AB$5,$J41,$I41,$M41,$O41,$N41,$P41,$Q41-$C$3,$R41,7)*$H41)/100)</f>
        <v>7.5165151909029575E-5</v>
      </c>
      <c r="AD41" s="456">
        <f>(_xll.xSPRDOPT($L41+$AB$5,$J41,$I41,$M41,$O41,$N41,$P41,$Q41-$C$3,$R41,9)/365)*$H41</f>
        <v>8.4103957074954818E-6</v>
      </c>
      <c r="AE41">
        <f t="shared" si="15"/>
        <v>0</v>
      </c>
      <c r="AF41" s="456">
        <f t="shared" si="66"/>
        <v>-3.9900789503632274E-8</v>
      </c>
      <c r="AG41" s="456">
        <f>((_xll.xSPRDOPT($L41,$J41,$I41,$M41,$O41,$N41,$P41,$Q41-$C$3,$R41,6)*$H41)/100)</f>
        <v>-2.1797653525132469E-6</v>
      </c>
      <c r="AH41" s="456">
        <f>((_xll.xSPRDOPT($L41,$J41,$I41,$M41,$O41,$N41,$P41,$Q41-$C$3,$R41,5)*$H41)/100)</f>
        <v>2.2290255864683487E-6</v>
      </c>
      <c r="AI41" s="456">
        <f>(((_xll.xSPRDOPT($L41,$J41,$I41,$M41,$O41,$N41,$P41,$Q41-$C$3,$R41,4)*$H41)/10000)/100)-AB41</f>
        <v>1.1668125135512013E-5</v>
      </c>
      <c r="AJ41" s="456"/>
      <c r="AK41" s="456"/>
      <c r="AL41" s="456"/>
      <c r="AM41" s="472"/>
      <c r="AN41" s="128">
        <f t="shared" si="67"/>
        <v>37773</v>
      </c>
      <c r="AO41" s="43">
        <f t="shared" si="53"/>
        <v>0</v>
      </c>
      <c r="AP41" s="43">
        <f t="shared" si="53"/>
        <v>0</v>
      </c>
      <c r="AQ41" s="43">
        <f t="shared" si="53"/>
        <v>0</v>
      </c>
      <c r="AR41" s="43">
        <f t="shared" si="53"/>
        <v>0</v>
      </c>
      <c r="AS41" s="43">
        <f t="shared" si="53"/>
        <v>0</v>
      </c>
      <c r="AT41" s="43">
        <f t="shared" si="53"/>
        <v>0</v>
      </c>
      <c r="AU41" s="43">
        <f t="shared" si="53"/>
        <v>0</v>
      </c>
      <c r="AV41" s="43">
        <f t="shared" si="53"/>
        <v>0</v>
      </c>
      <c r="AW41" s="43">
        <f t="shared" si="53"/>
        <v>0</v>
      </c>
      <c r="AX41" s="43">
        <f t="shared" si="53"/>
        <v>0</v>
      </c>
      <c r="AY41" s="43">
        <f t="shared" si="53"/>
        <v>0</v>
      </c>
      <c r="AZ41" s="43">
        <f t="shared" si="53"/>
        <v>0</v>
      </c>
      <c r="BA41" s="44">
        <f t="shared" si="53"/>
        <v>0</v>
      </c>
      <c r="BB41" s="128">
        <f t="shared" si="68"/>
        <v>37773</v>
      </c>
      <c r="BC41" s="44">
        <f t="shared" si="41"/>
        <v>0</v>
      </c>
      <c r="BD41" s="51"/>
      <c r="BE41" s="128">
        <f t="shared" si="69"/>
        <v>37773</v>
      </c>
      <c r="BF41" s="43">
        <f t="shared" si="54"/>
        <v>0</v>
      </c>
      <c r="BG41" s="43">
        <f t="shared" si="54"/>
        <v>0</v>
      </c>
      <c r="BH41" s="43">
        <f t="shared" si="54"/>
        <v>0</v>
      </c>
      <c r="BI41" s="43">
        <f t="shared" si="54"/>
        <v>0</v>
      </c>
      <c r="BJ41" s="43">
        <f t="shared" si="54"/>
        <v>0</v>
      </c>
      <c r="BK41" s="43">
        <f t="shared" si="54"/>
        <v>0</v>
      </c>
      <c r="BL41" s="43">
        <f t="shared" si="54"/>
        <v>0</v>
      </c>
      <c r="BM41" s="43">
        <f t="shared" si="54"/>
        <v>0</v>
      </c>
      <c r="BN41" s="43">
        <f t="shared" si="54"/>
        <v>0</v>
      </c>
      <c r="BO41" s="43">
        <f t="shared" si="54"/>
        <v>0</v>
      </c>
      <c r="BP41" s="43">
        <f t="shared" si="54"/>
        <v>0</v>
      </c>
      <c r="BQ41" s="43">
        <f t="shared" si="54"/>
        <v>0</v>
      </c>
      <c r="BR41" s="44">
        <f t="shared" si="54"/>
        <v>0</v>
      </c>
      <c r="BS41" s="128">
        <f t="shared" si="70"/>
        <v>37773</v>
      </c>
      <c r="BT41" s="44">
        <f t="shared" si="37"/>
        <v>0</v>
      </c>
      <c r="BU41" s="51"/>
      <c r="BV41" s="51"/>
      <c r="BW41" s="51"/>
      <c r="BX41" s="51"/>
      <c r="BY41" s="51"/>
      <c r="BZ41" s="51"/>
      <c r="CA41" s="51"/>
      <c r="CB41" s="51"/>
      <c r="CC41" s="141">
        <f t="shared" si="55"/>
        <v>36770</v>
      </c>
      <c r="CD41" s="234">
        <f>_xll.xSPRDOPT((VLOOKUP(G41,NGPrices,2,FALSE)+HLOOKUP(D41,Prices,VLOOKUP(G41,move_down,2,FALSE),FALSE)),VLOOKUP(G41,NGPrices,2,FALSE),I41,VLOOKUP(G41,NGPREVPRICES,4,FALSE),HLOOKUP(D41,PREVVOLS,VLOOKUP(G41,MOVE_DOWN2,2,FALSE),FALSE),VLOOKUP(G41,NGPREVPRICES,3,FALSE),HLOOKUP(D41,Correllate,VLOOKUP(G41,CorMove,2,FALSE),FALSE),Q41-$CD$3,R41,$CD$5)*H41-CJ41</f>
        <v>0</v>
      </c>
      <c r="CE41" s="234">
        <f>_xll.xSPRDOPT((VLOOKUP(G41,NGPREVPRICES,2,FALSE)+HLOOKUP(D41,PREVCURVES,VLOOKUP(G41,MOVE_DOWN2,2,FALSE),FALSE)),VLOOKUP(G41,NGPREVPRICES,2,FALSE),CK41,VLOOKUP(G41,NGPrices,4,FALSE),HLOOKUP(D41,PREVVOLS,VLOOKUP(G41,MOVE_DOWN2,2,FALSE),FALSE),VLOOKUP(G41,NGPREVPRICES,3,FALSE),HLOOKUP(D41,Correllate,VLOOKUP(G41,CorMove,2,FALSE),FALSE),Q41-$CD$3,R41,$CJ$5)*H41-CJ41</f>
        <v>0</v>
      </c>
      <c r="CF41" s="10">
        <f t="shared" si="56"/>
        <v>-6.5916932902379544E-6</v>
      </c>
      <c r="CG41" s="234">
        <f>_xll.xSPRDOPT((VLOOKUP(G41,NGPREVPRICES,2,FALSE)+HLOOKUP(D41,PREVCURVES,VLOOKUP(G41,MOVE_DOWN2,2,FALSE),FALSE)),VLOOKUP(G41,NGPREVPRICES,2,FALSE),CK41,VLOOKUP(G41,NGPREVPRICES,4,FALSE),HLOOKUP(D41,VOLS,VLOOKUP(G41,move_down,2,FALSE),FALSE),VLOOKUP(G41,NGPrices,3,FALSE),HLOOKUP(D41,Correllate,VLOOKUP(G41,CorMove,2,FALSE),FALSE),Q41-$CD$3,R41,$CJ$5)*H41-CJ41</f>
        <v>0</v>
      </c>
      <c r="CH41" s="234">
        <f>_xll.xSPRDOPT((VLOOKUP(G41,NGPREVPRICES,2,FALSE)+HLOOKUP(D41,PREVCURVES,VLOOKUP(G41,MOVE_DOWN2,2,FALSE),FALSE)),VLOOKUP(G41,NGPREVPRICES,2,FALSE),CK41,VLOOKUP(G41,NGPREVPRICES,4,FALSE),HLOOKUP(D41,PREVVOLS,VLOOKUP(G41,MOVE_DOWN2,2,FALSE),FALSE),VLOOKUP(G41,NGPREVPRICES,3,FALSE),HLOOKUP(D41,Correllate,VLOOKUP(G41,CorMove,2,FALSE),FALSE),Q41-$C$3,R41,$CJ$5)*H41-CJ41</f>
        <v>8.4049933679608557E-6</v>
      </c>
      <c r="CI41" s="234">
        <f t="shared" si="57"/>
        <v>1.8133000777229014E-6</v>
      </c>
      <c r="CJ41" s="234">
        <f>_xll.xSPRDOPT((VLOOKUP(G41,NGPREVPRICES,2,FALSE)+HLOOKUP(D41,PREVCURVES,VLOOKUP(G41,MOVE_DOWN2,2,FALSE),FALSE)),VLOOKUP(G41,NGPREVPRICES,2,FALSE),CK41,VLOOKUP(G41,NGPREVPRICES,4,FALSE),HLOOKUP(D41,PREVVOLS,VLOOKUP(G41,MOVE_DOWN2,2,FALSE),FALSE),VLOOKUP(G41,NGPREVPRICES,3,FALSE),HLOOKUP(D41,Correllate,VLOOKUP(G41,CorMove,2,FALSE),FALSE),Q41-$CD$3,R41,$CJ$5)*H41</f>
        <v>3.6173228695757231E-2</v>
      </c>
      <c r="CK41" s="235">
        <f t="shared" si="58"/>
        <v>-0.32</v>
      </c>
      <c r="CM41" t="str">
        <f t="shared" si="59"/>
        <v>36770Curve Shift/Gamma</v>
      </c>
      <c r="CN41" t="str">
        <f t="shared" si="19"/>
        <v>36770Rho</v>
      </c>
      <c r="CO41" t="str">
        <f t="shared" si="20"/>
        <v>36770Drift</v>
      </c>
      <c r="CP41" t="str">
        <f t="shared" si="21"/>
        <v>36770Vega</v>
      </c>
      <c r="CQ41" t="str">
        <f t="shared" si="22"/>
        <v>36770Theta</v>
      </c>
      <c r="CR41" s="385">
        <f t="shared" si="38"/>
        <v>37773</v>
      </c>
      <c r="CS41" s="386">
        <f t="shared" si="23"/>
        <v>0</v>
      </c>
      <c r="CT41" s="239">
        <f t="shared" si="24"/>
        <v>0</v>
      </c>
      <c r="CU41" s="239">
        <f t="shared" si="25"/>
        <v>0</v>
      </c>
      <c r="CV41" s="239">
        <f t="shared" si="26"/>
        <v>0</v>
      </c>
      <c r="CW41" s="249">
        <f t="shared" si="27"/>
        <v>0</v>
      </c>
      <c r="CX41" s="240">
        <f t="shared" si="39"/>
        <v>0</v>
      </c>
      <c r="CZ41" s="385">
        <f t="shared" si="40"/>
        <v>37773</v>
      </c>
      <c r="DA41" s="386">
        <f t="shared" si="28"/>
        <v>0</v>
      </c>
      <c r="DB41" s="239">
        <f t="shared" si="29"/>
        <v>0</v>
      </c>
      <c r="DC41" s="239">
        <f t="shared" si="30"/>
        <v>0</v>
      </c>
      <c r="DD41" s="239">
        <f t="shared" si="31"/>
        <v>0</v>
      </c>
      <c r="DE41" s="249">
        <f t="shared" si="32"/>
        <v>0</v>
      </c>
      <c r="DF41" s="240">
        <f t="shared" si="48"/>
        <v>0</v>
      </c>
    </row>
    <row r="42" spans="1:110" ht="12" customHeight="1" x14ac:dyDescent="0.25">
      <c r="A42" s="140" t="s">
        <v>294</v>
      </c>
      <c r="B42" t="s">
        <v>250</v>
      </c>
      <c r="C42" t="s">
        <v>296</v>
      </c>
      <c r="D42" s="4" t="s">
        <v>9</v>
      </c>
      <c r="E42" t="s">
        <v>20</v>
      </c>
      <c r="F42" t="s">
        <v>1</v>
      </c>
      <c r="G42" s="5">
        <v>36800</v>
      </c>
      <c r="H42" s="130">
        <v>310000</v>
      </c>
      <c r="I42">
        <v>-0.32</v>
      </c>
      <c r="J42" s="53">
        <f t="shared" si="60"/>
        <v>4.6920000000000002</v>
      </c>
      <c r="K42" s="7">
        <f t="shared" si="61"/>
        <v>-0.80500000000000005</v>
      </c>
      <c r="L42" s="53">
        <f t="shared" si="62"/>
        <v>3.887</v>
      </c>
      <c r="M42" s="157">
        <f t="shared" si="4"/>
        <v>6.8050789414654006E-2</v>
      </c>
      <c r="N42" s="4">
        <f t="shared" si="5"/>
        <v>0.57499999999999996</v>
      </c>
      <c r="O42" s="4">
        <f t="shared" si="6"/>
        <v>0.55200000000000005</v>
      </c>
      <c r="P42" s="9">
        <f t="shared" si="7"/>
        <v>0.84</v>
      </c>
      <c r="Q42" s="5">
        <f t="shared" si="8"/>
        <v>36797</v>
      </c>
      <c r="R42" s="4">
        <f t="shared" si="9"/>
        <v>0</v>
      </c>
      <c r="S42" s="158">
        <f>_xll.xSPRDOPT($L42,$J42,$I42,$M42,$O42,$N42,$P42,$Q42-$C$3,$R42,0)</f>
        <v>0.50383306604514921</v>
      </c>
      <c r="T42" s="159">
        <f>_xll.xSPRDOPT($L42,$J42,$I42,$M42,$O42,$N42,$P42,$Q42-$C$3,$R42,1)*H42</f>
        <v>-270950.26969705714</v>
      </c>
      <c r="U42" s="160">
        <f t="shared" si="10"/>
        <v>156188.25047399625</v>
      </c>
      <c r="V42" s="159">
        <f>_xll.xSPRDOPT($L42,$J42,$I42,$M42,$O42,$N42,$P42,$Q42-$C$3,$R42,2)*H42</f>
        <v>276288.71250213165</v>
      </c>
      <c r="W42" s="159">
        <f t="shared" si="11"/>
        <v>5338.4428050745046</v>
      </c>
      <c r="X42" s="51" t="str">
        <f t="shared" si="63"/>
        <v>36800IF-NWPL_ROCKY_M</v>
      </c>
      <c r="Y42" s="418">
        <f t="shared" si="64"/>
        <v>31</v>
      </c>
      <c r="Z42" s="456">
        <f t="shared" si="65"/>
        <v>-0.87403312805502309</v>
      </c>
      <c r="AA42" s="456">
        <f>_xll.xSPRDOPT($L42,$J42,$I42,$M42,$O42,$N42,$P42,$Q42-$C$3,$R42,3)</f>
        <v>0.53071735645549822</v>
      </c>
      <c r="AB42" s="456">
        <f>((_xll.xSPRDOPT($L42+AB$5,$J42,$I42,$M42,$O42,$N42,$P42,$Q42-$C$3,$R42,3)*$H42)/10000)/100</f>
        <v>0.16452238050120446</v>
      </c>
      <c r="AC42" s="456">
        <f>((_xll.xSPRDOPT($L42+$AB$5,$J42,$I42,$M42,$O42,$N42,$P42,$Q42-$C$3,$R42,7)*$H42)/100)</f>
        <v>-700.42593595765413</v>
      </c>
      <c r="AD42" s="456">
        <f>(_xll.xSPRDOPT($L42+$AB$5,$J42,$I42,$M42,$O42,$N42,$P42,$Q42-$C$3,$R42,9)/365)*$H42</f>
        <v>-361.3332970653492</v>
      </c>
      <c r="AE42">
        <f t="shared" si="15"/>
        <v>0</v>
      </c>
      <c r="AF42" s="456">
        <f t="shared" si="66"/>
        <v>407.15047683229437</v>
      </c>
      <c r="AG42" s="456">
        <f>((_xll.xSPRDOPT($L42,$J42,$I42,$M42,$O42,$N42,$P42,$Q42-$C$3,$R42,6)*$H42)/100)</f>
        <v>348.46865859306769</v>
      </c>
      <c r="AH42" s="456">
        <f>((_xll.xSPRDOPT($L42,$J42,$I42,$M42,$O42,$N42,$P42,$Q42-$C$3,$R42,5)*$H42)/100)</f>
        <v>61.126893999194436</v>
      </c>
      <c r="AI42" s="456">
        <f>(((_xll.xSPRDOPT($L42,$J42,$I42,$M42,$O42,$N42,$P42,$Q42-$C$3,$R42,4)*$H42)/10000)/100)-AB42</f>
        <v>-3.2590823166575494E-2</v>
      </c>
      <c r="AJ42" s="456"/>
      <c r="AK42" s="456"/>
      <c r="AL42" s="456"/>
      <c r="AM42" s="472"/>
      <c r="AN42" s="128">
        <f t="shared" si="67"/>
        <v>37803</v>
      </c>
      <c r="AO42" s="43">
        <f t="shared" si="53"/>
        <v>0</v>
      </c>
      <c r="AP42" s="43">
        <f t="shared" si="53"/>
        <v>0</v>
      </c>
      <c r="AQ42" s="43">
        <f t="shared" si="53"/>
        <v>0</v>
      </c>
      <c r="AR42" s="43">
        <f t="shared" si="53"/>
        <v>0</v>
      </c>
      <c r="AS42" s="43">
        <f t="shared" si="53"/>
        <v>0</v>
      </c>
      <c r="AT42" s="43">
        <f t="shared" si="53"/>
        <v>0</v>
      </c>
      <c r="AU42" s="43">
        <f t="shared" si="53"/>
        <v>0</v>
      </c>
      <c r="AV42" s="43">
        <f t="shared" si="53"/>
        <v>0</v>
      </c>
      <c r="AW42" s="43">
        <f t="shared" si="53"/>
        <v>0</v>
      </c>
      <c r="AX42" s="43">
        <f t="shared" si="53"/>
        <v>0</v>
      </c>
      <c r="AY42" s="43">
        <f t="shared" si="53"/>
        <v>0</v>
      </c>
      <c r="AZ42" s="43">
        <f t="shared" si="53"/>
        <v>0</v>
      </c>
      <c r="BA42" s="44">
        <f t="shared" si="53"/>
        <v>0</v>
      </c>
      <c r="BB42" s="128">
        <f t="shared" si="68"/>
        <v>37803</v>
      </c>
      <c r="BC42" s="44">
        <f t="shared" si="41"/>
        <v>0</v>
      </c>
      <c r="BD42" s="51"/>
      <c r="BE42" s="128">
        <f t="shared" si="69"/>
        <v>37803</v>
      </c>
      <c r="BF42" s="43">
        <f t="shared" si="54"/>
        <v>0</v>
      </c>
      <c r="BG42" s="43">
        <f t="shared" si="54"/>
        <v>0</v>
      </c>
      <c r="BH42" s="43">
        <f t="shared" si="54"/>
        <v>0</v>
      </c>
      <c r="BI42" s="43">
        <f t="shared" si="54"/>
        <v>0</v>
      </c>
      <c r="BJ42" s="43">
        <f t="shared" si="54"/>
        <v>0</v>
      </c>
      <c r="BK42" s="43">
        <f t="shared" si="54"/>
        <v>0</v>
      </c>
      <c r="BL42" s="43">
        <f t="shared" si="54"/>
        <v>0</v>
      </c>
      <c r="BM42" s="43">
        <f t="shared" si="54"/>
        <v>0</v>
      </c>
      <c r="BN42" s="43">
        <f t="shared" si="54"/>
        <v>0</v>
      </c>
      <c r="BO42" s="43">
        <f t="shared" si="54"/>
        <v>0</v>
      </c>
      <c r="BP42" s="43">
        <f t="shared" si="54"/>
        <v>0</v>
      </c>
      <c r="BQ42" s="43">
        <f t="shared" si="54"/>
        <v>0</v>
      </c>
      <c r="BR42" s="44">
        <f t="shared" si="54"/>
        <v>0</v>
      </c>
      <c r="BS42" s="128">
        <f t="shared" si="70"/>
        <v>37803</v>
      </c>
      <c r="BT42" s="44">
        <f t="shared" si="37"/>
        <v>0</v>
      </c>
      <c r="BU42" s="51"/>
      <c r="BV42" s="51"/>
      <c r="BW42" s="51"/>
      <c r="BX42" s="51"/>
      <c r="BY42" s="51"/>
      <c r="BZ42" s="51"/>
      <c r="CA42" s="51"/>
      <c r="CB42" s="51"/>
      <c r="CC42" s="141">
        <f t="shared" si="55"/>
        <v>36800</v>
      </c>
      <c r="CD42" s="234">
        <f>_xll.xSPRDOPT((VLOOKUP(G42,NGPrices,2,FALSE)+HLOOKUP(D42,Prices,VLOOKUP(G42,move_down,2,FALSE),FALSE)),VLOOKUP(G42,NGPrices,2,FALSE),I42,VLOOKUP(G42,NGPREVPRICES,4,FALSE),HLOOKUP(D42,PREVVOLS,VLOOKUP(G42,MOVE_DOWN2,2,FALSE),FALSE),VLOOKUP(G42,NGPREVPRICES,3,FALSE),HLOOKUP(D42,Correllate,VLOOKUP(G42,CorMove,2,FALSE),FALSE),Q42-$CD$3,R42,$CD$5)*H42-CJ42</f>
        <v>0</v>
      </c>
      <c r="CE42" s="234">
        <f>_xll.xSPRDOPT((VLOOKUP(G42,NGPREVPRICES,2,FALSE)+HLOOKUP(D42,PREVCURVES,VLOOKUP(G42,MOVE_DOWN2,2,FALSE),FALSE)),VLOOKUP(G42,NGPREVPRICES,2,FALSE),CK42,VLOOKUP(G42,NGPrices,4,FALSE),HLOOKUP(D42,PREVVOLS,VLOOKUP(G42,MOVE_DOWN2,2,FALSE),FALSE),VLOOKUP(G42,NGPREVPRICES,3,FALSE),HLOOKUP(D42,Correllate,VLOOKUP(G42,CorMove,2,FALSE),FALSE),Q42-$CD$3,R42,$CJ$5)*H42-CJ42</f>
        <v>0</v>
      </c>
      <c r="CF42" s="10">
        <f t="shared" si="56"/>
        <v>-28.861029190331465</v>
      </c>
      <c r="CG42" s="234">
        <f>_xll.xSPRDOPT((VLOOKUP(G42,NGPREVPRICES,2,FALSE)+HLOOKUP(D42,PREVCURVES,VLOOKUP(G42,MOVE_DOWN2,2,FALSE),FALSE)),VLOOKUP(G42,NGPREVPRICES,2,FALSE),CK42,VLOOKUP(G42,NGPREVPRICES,4,FALSE),HLOOKUP(D42,VOLS,VLOOKUP(G42,move_down,2,FALSE),FALSE),VLOOKUP(G42,NGPrices,3,FALSE),HLOOKUP(D42,Correllate,VLOOKUP(G42,CorMove,2,FALSE),FALSE),Q42-$CD$3,R42,$CJ$5)*H42-CJ42</f>
        <v>0</v>
      </c>
      <c r="CH42" s="234">
        <f>_xll.xSPRDOPT((VLOOKUP(G42,NGPREVPRICES,2,FALSE)+HLOOKUP(D42,PREVCURVES,VLOOKUP(G42,MOVE_DOWN2,2,FALSE),FALSE)),VLOOKUP(G42,NGPREVPRICES,2,FALSE),CK42,VLOOKUP(G42,NGPREVPRICES,4,FALSE),HLOOKUP(D42,PREVVOLS,VLOOKUP(G42,MOVE_DOWN2,2,FALSE),FALSE),VLOOKUP(G42,NGPREVPRICES,3,FALSE),HLOOKUP(D42,Correllate,VLOOKUP(G42,CorMove,2,FALSE),FALSE),Q42-$C$3,R42,$CJ$5)*H42-CJ42</f>
        <v>-362.4995287208003</v>
      </c>
      <c r="CI42" s="234">
        <f t="shared" si="57"/>
        <v>-391.36055791113176</v>
      </c>
      <c r="CJ42" s="234">
        <f>_xll.xSPRDOPT((VLOOKUP(G42,NGPREVPRICES,2,FALSE)+HLOOKUP(D42,PREVCURVES,VLOOKUP(G42,MOVE_DOWN2,2,FALSE),FALSE)),VLOOKUP(G42,NGPREVPRICES,2,FALSE),CK42,VLOOKUP(G42,NGPREVPRICES,4,FALSE),HLOOKUP(D42,PREVVOLS,VLOOKUP(G42,MOVE_DOWN2,2,FALSE),FALSE),VLOOKUP(G42,NGPREVPRICES,3,FALSE),HLOOKUP(D42,Correllate,VLOOKUP(G42,CorMove,2,FALSE),FALSE),Q42-$CD$3,R42,$CJ$5)*H42</f>
        <v>156550.75000271705</v>
      </c>
      <c r="CK42" s="235">
        <f t="shared" si="58"/>
        <v>-0.32</v>
      </c>
      <c r="CM42" t="str">
        <f t="shared" si="59"/>
        <v>36800Curve Shift/Gamma</v>
      </c>
      <c r="CN42" t="str">
        <f t="shared" si="19"/>
        <v>36800Rho</v>
      </c>
      <c r="CO42" t="str">
        <f t="shared" si="20"/>
        <v>36800Drift</v>
      </c>
      <c r="CP42" t="str">
        <f t="shared" si="21"/>
        <v>36800Vega</v>
      </c>
      <c r="CQ42" t="str">
        <f t="shared" si="22"/>
        <v>36800Theta</v>
      </c>
      <c r="CR42" s="385">
        <f t="shared" si="38"/>
        <v>37803</v>
      </c>
      <c r="CS42" s="386">
        <f t="shared" si="23"/>
        <v>0</v>
      </c>
      <c r="CT42" s="239">
        <f t="shared" si="24"/>
        <v>0</v>
      </c>
      <c r="CU42" s="239">
        <f t="shared" si="25"/>
        <v>0</v>
      </c>
      <c r="CV42" s="239">
        <f t="shared" si="26"/>
        <v>0</v>
      </c>
      <c r="CW42" s="249">
        <f t="shared" si="27"/>
        <v>0</v>
      </c>
      <c r="CX42" s="240">
        <f t="shared" si="39"/>
        <v>0</v>
      </c>
      <c r="CZ42" s="385">
        <f t="shared" si="40"/>
        <v>37803</v>
      </c>
      <c r="DA42" s="386">
        <f t="shared" si="28"/>
        <v>0</v>
      </c>
      <c r="DB42" s="239">
        <f t="shared" si="29"/>
        <v>0</v>
      </c>
      <c r="DC42" s="239">
        <f t="shared" si="30"/>
        <v>0</v>
      </c>
      <c r="DD42" s="239">
        <f t="shared" si="31"/>
        <v>0</v>
      </c>
      <c r="DE42" s="249">
        <f t="shared" si="32"/>
        <v>0</v>
      </c>
      <c r="DF42" s="240">
        <f t="shared" si="48"/>
        <v>0</v>
      </c>
    </row>
    <row r="43" spans="1:110" ht="12" customHeight="1" x14ac:dyDescent="0.25">
      <c r="A43" s="140" t="s">
        <v>294</v>
      </c>
      <c r="B43" t="s">
        <v>250</v>
      </c>
      <c r="C43" t="s">
        <v>296</v>
      </c>
      <c r="D43" s="4" t="s">
        <v>9</v>
      </c>
      <c r="E43" t="s">
        <v>20</v>
      </c>
      <c r="F43" t="s">
        <v>1</v>
      </c>
      <c r="G43" s="5">
        <v>36770</v>
      </c>
      <c r="H43" s="130">
        <v>300000</v>
      </c>
      <c r="I43">
        <v>-0.32</v>
      </c>
      <c r="J43" s="53">
        <f t="shared" si="60"/>
        <v>4.6849999999999996</v>
      </c>
      <c r="K43" s="7">
        <f t="shared" si="61"/>
        <v>-1.24</v>
      </c>
      <c r="L43" s="53">
        <f t="shared" si="62"/>
        <v>3.4449999999999994</v>
      </c>
      <c r="M43" s="157">
        <f t="shared" si="4"/>
        <v>6.7216196212184998E-2</v>
      </c>
      <c r="N43" s="4">
        <f t="shared" si="5"/>
        <v>0.4</v>
      </c>
      <c r="O43" s="4">
        <f t="shared" si="6"/>
        <v>0.38400000000000001</v>
      </c>
      <c r="P43" s="9">
        <f t="shared" si="7"/>
        <v>0.84</v>
      </c>
      <c r="Q43" s="5">
        <f t="shared" si="8"/>
        <v>36768</v>
      </c>
      <c r="R43" s="4">
        <f t="shared" si="9"/>
        <v>0</v>
      </c>
      <c r="S43" s="158">
        <f>_xll.xSPRDOPT($L43,$J43,$I43,$M43,$O43,$N43,$P43,$Q43-$C$3,$R43,0)</f>
        <v>0.91983083050052528</v>
      </c>
      <c r="T43" s="159">
        <f>_xll.xSPRDOPT($L43,$J43,$I43,$M43,$O43,$N43,$P43,$Q43-$C$3,$R43,1)*H43</f>
        <v>-299944.8476036397</v>
      </c>
      <c r="U43" s="160">
        <f t="shared" si="10"/>
        <v>275949.24915015756</v>
      </c>
      <c r="V43" s="159">
        <f>_xll.xSPRDOPT($L43,$J43,$I43,$M43,$O43,$N43,$P43,$Q43-$C$3,$R43,2)*H43</f>
        <v>299944.83602525649</v>
      </c>
      <c r="W43" s="159">
        <f t="shared" si="11"/>
        <v>-1.1578383215237409E-2</v>
      </c>
      <c r="X43" s="51" t="str">
        <f t="shared" si="63"/>
        <v>36770IF-NWPL_ROCKY_M</v>
      </c>
      <c r="Y43" s="418">
        <f t="shared" si="64"/>
        <v>30</v>
      </c>
      <c r="Z43" s="456">
        <f t="shared" si="65"/>
        <v>-0.99981615867879903</v>
      </c>
      <c r="AA43" s="456">
        <f>_xll.xSPRDOPT($L43,$J43,$I43,$M43,$O43,$N43,$P43,$Q43-$C$3,$R43,3)</f>
        <v>-3.8893750451706706E-5</v>
      </c>
      <c r="AB43" s="456">
        <f>((_xll.xSPRDOPT($L43+AB$5,$J43,$I43,$M43,$O43,$N43,$P43,$Q43-$C$3,$R43,3)*$H43)/10000)/100</f>
        <v>-1.1668125135512013E-5</v>
      </c>
      <c r="AC43" s="456">
        <f>((_xll.xSPRDOPT($L43+$AB$5,$J43,$I43,$M43,$O43,$N43,$P43,$Q43-$C$3,$R43,7)*$H43)/100)</f>
        <v>7.5165151909029575E-5</v>
      </c>
      <c r="AD43" s="456">
        <f>(_xll.xSPRDOPT($L43+$AB$5,$J43,$I43,$M43,$O43,$N43,$P43,$Q43-$C$3,$R43,9)/365)*$H43</f>
        <v>50.817149351465098</v>
      </c>
      <c r="AE43">
        <f t="shared" si="15"/>
        <v>0</v>
      </c>
      <c r="AF43" s="456">
        <f t="shared" si="66"/>
        <v>-3.9900789503632274E-8</v>
      </c>
      <c r="AG43" s="456">
        <f>((_xll.xSPRDOPT($L43,$J43,$I43,$M43,$O43,$N43,$P43,$Q43-$C$3,$R43,6)*$H43)/100)</f>
        <v>-2.1797653525132469E-6</v>
      </c>
      <c r="AH43" s="456">
        <f>((_xll.xSPRDOPT($L43,$J43,$I43,$M43,$O43,$N43,$P43,$Q43-$C$3,$R43,5)*$H43)/100)</f>
        <v>2.2290255864683487E-6</v>
      </c>
      <c r="AI43" s="456">
        <f>(((_xll.xSPRDOPT($L43,$J43,$I43,$M43,$O43,$N43,$P43,$Q43-$C$3,$R43,4)*$H43)/10000)/100)-AB43</f>
        <v>1.1668125135512013E-5</v>
      </c>
      <c r="AJ43" s="456"/>
      <c r="AK43" s="456"/>
      <c r="AL43" s="456"/>
      <c r="AM43" s="472"/>
      <c r="AN43" s="128">
        <f t="shared" si="67"/>
        <v>37834</v>
      </c>
      <c r="AO43" s="43">
        <f t="shared" si="53"/>
        <v>0</v>
      </c>
      <c r="AP43" s="43">
        <f t="shared" si="53"/>
        <v>0</v>
      </c>
      <c r="AQ43" s="43">
        <f t="shared" si="53"/>
        <v>0</v>
      </c>
      <c r="AR43" s="43">
        <f t="shared" si="53"/>
        <v>0</v>
      </c>
      <c r="AS43" s="43">
        <f t="shared" si="53"/>
        <v>0</v>
      </c>
      <c r="AT43" s="43">
        <f t="shared" si="53"/>
        <v>0</v>
      </c>
      <c r="AU43" s="43">
        <f t="shared" si="53"/>
        <v>0</v>
      </c>
      <c r="AV43" s="43">
        <f t="shared" si="53"/>
        <v>0</v>
      </c>
      <c r="AW43" s="43">
        <f t="shared" si="53"/>
        <v>0</v>
      </c>
      <c r="AX43" s="43">
        <f t="shared" si="53"/>
        <v>0</v>
      </c>
      <c r="AY43" s="43">
        <f t="shared" si="53"/>
        <v>0</v>
      </c>
      <c r="AZ43" s="43">
        <f t="shared" si="53"/>
        <v>0</v>
      </c>
      <c r="BA43" s="44">
        <f t="shared" si="53"/>
        <v>0</v>
      </c>
      <c r="BB43" s="128">
        <f t="shared" si="68"/>
        <v>37834</v>
      </c>
      <c r="BC43" s="44">
        <f t="shared" si="41"/>
        <v>0</v>
      </c>
      <c r="BD43" s="51"/>
      <c r="BE43" s="128">
        <f t="shared" si="69"/>
        <v>37834</v>
      </c>
      <c r="BF43" s="43">
        <f t="shared" si="54"/>
        <v>0</v>
      </c>
      <c r="BG43" s="43">
        <f t="shared" si="54"/>
        <v>0</v>
      </c>
      <c r="BH43" s="43">
        <f t="shared" si="54"/>
        <v>0</v>
      </c>
      <c r="BI43" s="43">
        <f t="shared" si="54"/>
        <v>0</v>
      </c>
      <c r="BJ43" s="43">
        <f t="shared" si="54"/>
        <v>0</v>
      </c>
      <c r="BK43" s="43">
        <f t="shared" si="54"/>
        <v>0</v>
      </c>
      <c r="BL43" s="43">
        <f t="shared" si="54"/>
        <v>0</v>
      </c>
      <c r="BM43" s="43">
        <f t="shared" si="54"/>
        <v>0</v>
      </c>
      <c r="BN43" s="43">
        <f t="shared" si="54"/>
        <v>0</v>
      </c>
      <c r="BO43" s="43">
        <f t="shared" si="54"/>
        <v>0</v>
      </c>
      <c r="BP43" s="43">
        <f t="shared" si="54"/>
        <v>0</v>
      </c>
      <c r="BQ43" s="43">
        <f t="shared" si="54"/>
        <v>0</v>
      </c>
      <c r="BR43" s="44">
        <f t="shared" si="54"/>
        <v>0</v>
      </c>
      <c r="BS43" s="128">
        <f t="shared" si="70"/>
        <v>37834</v>
      </c>
      <c r="BT43" s="44">
        <f t="shared" si="37"/>
        <v>0</v>
      </c>
      <c r="BU43" s="51"/>
      <c r="BV43" s="51"/>
      <c r="BW43" s="51"/>
      <c r="BX43" s="51"/>
      <c r="BY43" s="51"/>
      <c r="BZ43" s="51"/>
      <c r="CA43" s="51"/>
      <c r="CB43" s="51"/>
      <c r="CC43" s="141">
        <f t="shared" si="55"/>
        <v>36770</v>
      </c>
      <c r="CD43" s="234">
        <f>_xll.xSPRDOPT((VLOOKUP(G43,NGPrices,2,FALSE)+HLOOKUP(D43,Prices,VLOOKUP(G43,move_down,2,FALSE),FALSE)),VLOOKUP(G43,NGPrices,2,FALSE),I43,VLOOKUP(G43,NGPREVPRICES,4,FALSE),HLOOKUP(D43,PREVVOLS,VLOOKUP(G43,MOVE_DOWN2,2,FALSE),FALSE),VLOOKUP(G43,NGPREVPRICES,3,FALSE),HLOOKUP(D43,Correllate,VLOOKUP(G43,CorMove,2,FALSE),FALSE),Q43-$CD$3,R43,$CD$5)*H43-CJ43</f>
        <v>0</v>
      </c>
      <c r="CE43" s="234">
        <f>_xll.xSPRDOPT((VLOOKUP(G43,NGPREVPRICES,2,FALSE)+HLOOKUP(D43,PREVCURVES,VLOOKUP(G43,MOVE_DOWN2,2,FALSE),FALSE)),VLOOKUP(G43,NGPREVPRICES,2,FALSE),CK43,VLOOKUP(G43,NGPrices,4,FALSE),HLOOKUP(D43,PREVVOLS,VLOOKUP(G43,MOVE_DOWN2,2,FALSE),FALSE),VLOOKUP(G43,NGPREVPRICES,3,FALSE),HLOOKUP(D43,Correllate,VLOOKUP(G43,CorMove,2,FALSE),FALSE),Q43-$CD$3,R43,$CJ$5)*H43-CJ43</f>
        <v>0</v>
      </c>
      <c r="CF43" s="10">
        <f t="shared" si="56"/>
        <v>-50.27580253832275</v>
      </c>
      <c r="CG43" s="234">
        <f>_xll.xSPRDOPT((VLOOKUP(G43,NGPREVPRICES,2,FALSE)+HLOOKUP(D43,PREVCURVES,VLOOKUP(G43,MOVE_DOWN2,2,FALSE),FALSE)),VLOOKUP(G43,NGPREVPRICES,2,FALSE),CK43,VLOOKUP(G43,NGPREVPRICES,4,FALSE),HLOOKUP(D43,VOLS,VLOOKUP(G43,move_down,2,FALSE),FALSE),VLOOKUP(G43,NGPrices,3,FALSE),HLOOKUP(D43,Correllate,VLOOKUP(G43,CorMove,2,FALSE),FALSE),Q43-$CD$3,R43,$CJ$5)*H43-CJ43</f>
        <v>0</v>
      </c>
      <c r="CH43" s="234">
        <f>_xll.xSPRDOPT((VLOOKUP(G43,NGPREVPRICES,2,FALSE)+HLOOKUP(D43,PREVCURVES,VLOOKUP(G43,MOVE_DOWN2,2,FALSE),FALSE)),VLOOKUP(G43,NGPREVPRICES,2,FALSE),CK43,VLOOKUP(G43,NGPREVPRICES,4,FALSE),HLOOKUP(D43,PREVVOLS,VLOOKUP(G43,MOVE_DOWN2,2,FALSE),FALSE),VLOOKUP(G43,NGPREVPRICES,3,FALSE),HLOOKUP(D43,Correllate,VLOOKUP(G43,CorMove,2,FALSE),FALSE),Q43-$C$3,R43,$CJ$5)*H43-CJ43</f>
        <v>50.77769450948108</v>
      </c>
      <c r="CI43" s="234">
        <f t="shared" si="57"/>
        <v>0.5018919711583294</v>
      </c>
      <c r="CJ43" s="234">
        <f>_xll.xSPRDOPT((VLOOKUP(G43,NGPREVPRICES,2,FALSE)+HLOOKUP(D43,PREVCURVES,VLOOKUP(G43,MOVE_DOWN2,2,FALSE),FALSE)),VLOOKUP(G43,NGPREVPRICES,2,FALSE),CK43,VLOOKUP(G43,NGPREVPRICES,4,FALSE),HLOOKUP(D43,PREVVOLS,VLOOKUP(G43,MOVE_DOWN2,2,FALSE),FALSE),VLOOKUP(G43,NGPREVPRICES,3,FALSE),HLOOKUP(D43,Correllate,VLOOKUP(G43,CorMove,2,FALSE),FALSE),Q43-$CD$3,R43,$CJ$5)*H43</f>
        <v>275898.47145564808</v>
      </c>
      <c r="CK43" s="235">
        <f t="shared" si="58"/>
        <v>-0.32</v>
      </c>
      <c r="CM43" t="str">
        <f t="shared" si="59"/>
        <v>36770Curve Shift/Gamma</v>
      </c>
      <c r="CN43" t="str">
        <f t="shared" si="19"/>
        <v>36770Rho</v>
      </c>
      <c r="CO43" t="str">
        <f t="shared" si="20"/>
        <v>36770Drift</v>
      </c>
      <c r="CP43" t="str">
        <f t="shared" si="21"/>
        <v>36770Vega</v>
      </c>
      <c r="CQ43" t="str">
        <f t="shared" si="22"/>
        <v>36770Theta</v>
      </c>
      <c r="CR43" s="385">
        <f t="shared" si="38"/>
        <v>37834</v>
      </c>
      <c r="CS43" s="386">
        <f t="shared" si="23"/>
        <v>0</v>
      </c>
      <c r="CT43" s="239">
        <f t="shared" si="24"/>
        <v>0</v>
      </c>
      <c r="CU43" s="239">
        <f t="shared" si="25"/>
        <v>0</v>
      </c>
      <c r="CV43" s="239">
        <f t="shared" si="26"/>
        <v>0</v>
      </c>
      <c r="CW43" s="249">
        <f t="shared" si="27"/>
        <v>0</v>
      </c>
      <c r="CX43" s="240">
        <f t="shared" si="39"/>
        <v>0</v>
      </c>
      <c r="CZ43" s="385">
        <f t="shared" si="40"/>
        <v>37834</v>
      </c>
      <c r="DA43" s="386">
        <f t="shared" si="28"/>
        <v>0</v>
      </c>
      <c r="DB43" s="239">
        <f t="shared" si="29"/>
        <v>0</v>
      </c>
      <c r="DC43" s="239">
        <f t="shared" si="30"/>
        <v>0</v>
      </c>
      <c r="DD43" s="239">
        <f t="shared" si="31"/>
        <v>0</v>
      </c>
      <c r="DE43" s="249">
        <f t="shared" si="32"/>
        <v>0</v>
      </c>
      <c r="DF43" s="240">
        <f t="shared" si="48"/>
        <v>0</v>
      </c>
    </row>
    <row r="44" spans="1:110" ht="12" customHeight="1" x14ac:dyDescent="0.25">
      <c r="A44" s="140" t="s">
        <v>294</v>
      </c>
      <c r="B44" t="s">
        <v>250</v>
      </c>
      <c r="C44" t="s">
        <v>297</v>
      </c>
      <c r="D44" s="4" t="s">
        <v>9</v>
      </c>
      <c r="E44" t="s">
        <v>20</v>
      </c>
      <c r="F44" t="s">
        <v>1</v>
      </c>
      <c r="G44" s="5">
        <v>36800</v>
      </c>
      <c r="H44" s="130">
        <v>620000</v>
      </c>
      <c r="I44">
        <v>-0.4</v>
      </c>
      <c r="J44" s="53">
        <f t="shared" si="60"/>
        <v>4.6920000000000002</v>
      </c>
      <c r="K44" s="7">
        <f t="shared" si="61"/>
        <v>-0.80500000000000005</v>
      </c>
      <c r="L44" s="53">
        <f t="shared" si="62"/>
        <v>3.887</v>
      </c>
      <c r="M44" s="157">
        <f t="shared" si="4"/>
        <v>6.8050789414654006E-2</v>
      </c>
      <c r="N44" s="4">
        <f t="shared" si="5"/>
        <v>0.57499999999999996</v>
      </c>
      <c r="O44" s="4">
        <f t="shared" si="6"/>
        <v>0.55200000000000005</v>
      </c>
      <c r="P44" s="9">
        <f t="shared" si="7"/>
        <v>0.84</v>
      </c>
      <c r="Q44" s="5">
        <f t="shared" si="8"/>
        <v>36797</v>
      </c>
      <c r="R44" s="4">
        <f t="shared" si="9"/>
        <v>0</v>
      </c>
      <c r="S44" s="158">
        <f>_xll.xSPRDOPT($L44,$J44,$I44,$M44,$O44,$N44,$P44,$Q44-$C$3,$R44,0)</f>
        <v>0.43551011206983281</v>
      </c>
      <c r="T44" s="159">
        <f>_xll.xSPRDOPT($L44,$J44,$I44,$M44,$O44,$N44,$P44,$Q44-$C$3,$R44,1)*H44</f>
        <v>-512992.11796561227</v>
      </c>
      <c r="U44" s="160">
        <f t="shared" si="10"/>
        <v>270016.26948329632</v>
      </c>
      <c r="V44" s="159">
        <f>_xll.xSPRDOPT($L44,$J44,$I44,$M44,$O44,$N44,$P44,$Q44-$C$3,$R44,2)*H44</f>
        <v>526376.07247217803</v>
      </c>
      <c r="W44" s="159">
        <f t="shared" si="11"/>
        <v>13383.954506565758</v>
      </c>
      <c r="X44" s="51" t="str">
        <f t="shared" si="63"/>
        <v>36800IF-NWPL_ROCKY_M</v>
      </c>
      <c r="Y44" s="418">
        <f t="shared" si="64"/>
        <v>62</v>
      </c>
      <c r="Z44" s="456">
        <f t="shared" si="65"/>
        <v>-0.82740664188001978</v>
      </c>
      <c r="AA44" s="456">
        <f>_xll.xSPRDOPT($L44,$J44,$I44,$M44,$O44,$N44,$P44,$Q44-$C$3,$R44,3)</f>
        <v>0.65088362517321363</v>
      </c>
      <c r="AB44" s="456">
        <f>((_xll.xSPRDOPT($L44+AB$5,$J44,$I44,$M44,$O44,$N44,$P44,$Q44-$C$3,$R44,3)*$H44)/10000)/100</f>
        <v>0.40354784760739248</v>
      </c>
      <c r="AC44" s="456">
        <f>((_xll.xSPRDOPT($L44+$AB$5,$J44,$I44,$M44,$O44,$N44,$P44,$Q44-$C$3,$R44,7)*$H44)/100)</f>
        <v>-1751.3368473892699</v>
      </c>
      <c r="AD44" s="456">
        <f>(_xll.xSPRDOPT($L44+$AB$5,$J44,$I44,$M44,$O44,$N44,$P44,$Q44-$C$3,$R44,9)/365)*$H44</f>
        <v>-940.61663636107539</v>
      </c>
      <c r="AE44">
        <f t="shared" si="15"/>
        <v>0</v>
      </c>
      <c r="AF44" s="456">
        <f t="shared" si="66"/>
        <v>1033.3360138566693</v>
      </c>
      <c r="AG44" s="456">
        <f>((_xll.xSPRDOPT($L44,$J44,$I44,$M44,$O44,$N44,$P44,$Q44-$C$3,$R44,6)*$H44)/100)</f>
        <v>938.02442947097268</v>
      </c>
      <c r="AH44" s="456">
        <f>((_xll.xSPRDOPT($L44,$J44,$I44,$M44,$O44,$N44,$P44,$Q44-$C$3,$R44,5)*$H44)/100)</f>
        <v>99.282900401767364</v>
      </c>
      <c r="AI44" s="456">
        <f>(((_xll.xSPRDOPT($L44,$J44,$I44,$M44,$O44,$N44,$P44,$Q44-$C$3,$R44,4)*$H44)/10000)/100)-AB44</f>
        <v>-6.7253423019806635E-2</v>
      </c>
      <c r="AJ44" s="456"/>
      <c r="AK44" s="456"/>
      <c r="AL44" s="456"/>
      <c r="AM44" s="472"/>
      <c r="AN44" s="128">
        <f t="shared" si="67"/>
        <v>37865</v>
      </c>
      <c r="AO44" s="43">
        <f t="shared" si="53"/>
        <v>0</v>
      </c>
      <c r="AP44" s="43">
        <f t="shared" si="53"/>
        <v>0</v>
      </c>
      <c r="AQ44" s="43">
        <f t="shared" si="53"/>
        <v>0</v>
      </c>
      <c r="AR44" s="43">
        <f t="shared" si="53"/>
        <v>0</v>
      </c>
      <c r="AS44" s="43">
        <f t="shared" si="53"/>
        <v>0</v>
      </c>
      <c r="AT44" s="43">
        <f t="shared" si="53"/>
        <v>0</v>
      </c>
      <c r="AU44" s="43">
        <f t="shared" si="53"/>
        <v>0</v>
      </c>
      <c r="AV44" s="43">
        <f t="shared" si="53"/>
        <v>0</v>
      </c>
      <c r="AW44" s="43">
        <f t="shared" si="53"/>
        <v>0</v>
      </c>
      <c r="AX44" s="43">
        <f t="shared" si="53"/>
        <v>0</v>
      </c>
      <c r="AY44" s="43">
        <f t="shared" si="53"/>
        <v>0</v>
      </c>
      <c r="AZ44" s="43">
        <f t="shared" si="53"/>
        <v>0</v>
      </c>
      <c r="BA44" s="44">
        <f t="shared" si="53"/>
        <v>0</v>
      </c>
      <c r="BB44" s="128">
        <f t="shared" si="68"/>
        <v>37865</v>
      </c>
      <c r="BC44" s="44">
        <f t="shared" si="41"/>
        <v>0</v>
      </c>
      <c r="BD44" s="51"/>
      <c r="BE44" s="128">
        <f t="shared" si="69"/>
        <v>37865</v>
      </c>
      <c r="BF44" s="43">
        <f t="shared" si="54"/>
        <v>0</v>
      </c>
      <c r="BG44" s="43">
        <f t="shared" si="54"/>
        <v>0</v>
      </c>
      <c r="BH44" s="43">
        <f t="shared" si="54"/>
        <v>0</v>
      </c>
      <c r="BI44" s="43">
        <f t="shared" si="54"/>
        <v>0</v>
      </c>
      <c r="BJ44" s="43">
        <f t="shared" si="54"/>
        <v>0</v>
      </c>
      <c r="BK44" s="43">
        <f t="shared" si="54"/>
        <v>0</v>
      </c>
      <c r="BL44" s="43">
        <f t="shared" si="54"/>
        <v>0</v>
      </c>
      <c r="BM44" s="43">
        <f t="shared" si="54"/>
        <v>0</v>
      </c>
      <c r="BN44" s="43">
        <f t="shared" si="54"/>
        <v>0</v>
      </c>
      <c r="BO44" s="43">
        <f t="shared" si="54"/>
        <v>0</v>
      </c>
      <c r="BP44" s="43">
        <f t="shared" si="54"/>
        <v>0</v>
      </c>
      <c r="BQ44" s="43">
        <f t="shared" si="54"/>
        <v>0</v>
      </c>
      <c r="BR44" s="44">
        <f t="shared" si="54"/>
        <v>0</v>
      </c>
      <c r="BS44" s="128">
        <f t="shared" si="70"/>
        <v>37865</v>
      </c>
      <c r="BT44" s="44">
        <f t="shared" si="37"/>
        <v>0</v>
      </c>
      <c r="BU44" s="51"/>
      <c r="BV44" s="51"/>
      <c r="BW44" s="51"/>
      <c r="BX44" s="51"/>
      <c r="BY44" s="51"/>
      <c r="BZ44" s="51"/>
      <c r="CA44" s="51"/>
      <c r="CB44" s="51"/>
      <c r="CC44" s="141">
        <f t="shared" ref="CC44:CC54" si="71">G44</f>
        <v>36800</v>
      </c>
      <c r="CD44" s="234">
        <f>_xll.xSPRDOPT((VLOOKUP(G44,NGPrices,2,FALSE)+HLOOKUP(D44,Prices,VLOOKUP(G44,move_down,2,FALSE),FALSE)),VLOOKUP(G44,NGPrices,2,FALSE),I44,VLOOKUP(G44,NGPREVPRICES,4,FALSE),HLOOKUP(D44,PREVVOLS,VLOOKUP(G44,MOVE_DOWN2,2,FALSE),FALSE),VLOOKUP(G44,NGPREVPRICES,3,FALSE),HLOOKUP(D44,Correllate,VLOOKUP(G44,CorMove,2,FALSE),FALSE),Q44-$CD$3,R44,$CD$5)*H44-CJ44</f>
        <v>0</v>
      </c>
      <c r="CE44" s="234">
        <f>_xll.xSPRDOPT((VLOOKUP(G44,NGPREVPRICES,2,FALSE)+HLOOKUP(D44,PREVCURVES,VLOOKUP(G44,MOVE_DOWN2,2,FALSE),FALSE)),VLOOKUP(G44,NGPREVPRICES,2,FALSE),CK44,VLOOKUP(G44,NGPrices,4,FALSE),HLOOKUP(D44,PREVVOLS,VLOOKUP(G44,MOVE_DOWN2,2,FALSE),FALSE),VLOOKUP(G44,NGPREVPRICES,3,FALSE),HLOOKUP(D44,Correllate,VLOOKUP(G44,CorMove,2,FALSE),FALSE),Q44-$CD$3,R44,$CJ$5)*H44-CJ44</f>
        <v>0</v>
      </c>
      <c r="CF44" s="10">
        <f t="shared" ref="CF44:CF54" si="72">(CJ44/VLOOKUP(CC44,discount,3,FALSE))-(CJ44/VLOOKUP(CC44,discount,2,FALSE))</f>
        <v>-49.952310891530942</v>
      </c>
      <c r="CG44" s="234">
        <f>_xll.xSPRDOPT((VLOOKUP(G44,NGPREVPRICES,2,FALSE)+HLOOKUP(D44,PREVCURVES,VLOOKUP(G44,MOVE_DOWN2,2,FALSE),FALSE)),VLOOKUP(G44,NGPREVPRICES,2,FALSE),CK44,VLOOKUP(G44,NGPREVPRICES,4,FALSE),HLOOKUP(D44,VOLS,VLOOKUP(G44,move_down,2,FALSE),FALSE),VLOOKUP(G44,NGPrices,3,FALSE),HLOOKUP(D44,Correllate,VLOOKUP(G44,CorMove,2,FALSE),FALSE),Q44-$CD$3,R44,$CJ$5)*H44-CJ44</f>
        <v>0</v>
      </c>
      <c r="CH44" s="234">
        <f>_xll.xSPRDOPT((VLOOKUP(G44,NGPREVPRICES,2,FALSE)+HLOOKUP(D44,PREVCURVES,VLOOKUP(G44,MOVE_DOWN2,2,FALSE),FALSE)),VLOOKUP(G44,NGPREVPRICES,2,FALSE),CK44,VLOOKUP(G44,NGPREVPRICES,4,FALSE),HLOOKUP(D44,PREVVOLS,VLOOKUP(G44,MOVE_DOWN2,2,FALSE),FALSE),VLOOKUP(G44,NGPREVPRICES,3,FALSE),HLOOKUP(D44,Correllate,VLOOKUP(G44,CorMove,2,FALSE),FALSE),Q44-$C$3,R44,$CJ$5)*H44-CJ44</f>
        <v>-939.82438508520136</v>
      </c>
      <c r="CI44" s="234">
        <f t="shared" ref="CI44:CI54" si="73">SUM(CD44:CH44)</f>
        <v>-989.7766959767323</v>
      </c>
      <c r="CJ44" s="234">
        <f>_xll.xSPRDOPT((VLOOKUP(G44,NGPREVPRICES,2,FALSE)+HLOOKUP(D44,PREVCURVES,VLOOKUP(G44,MOVE_DOWN2,2,FALSE),FALSE)),VLOOKUP(G44,NGPREVPRICES,2,FALSE),CK44,VLOOKUP(G44,NGPREVPRICES,4,FALSE),HLOOKUP(D44,PREVVOLS,VLOOKUP(G44,MOVE_DOWN2,2,FALSE),FALSE),VLOOKUP(G44,NGPREVPRICES,3,FALSE),HLOOKUP(D44,Correllate,VLOOKUP(G44,CorMove,2,FALSE),FALSE),Q44-$CD$3,R44,$CJ$5)*H44</f>
        <v>270956.09386838152</v>
      </c>
      <c r="CK44" s="235">
        <f t="shared" ref="CK44:CK54" si="74">I44</f>
        <v>-0.4</v>
      </c>
      <c r="CM44" t="str">
        <f t="shared" ref="CM44:CM54" si="75">CONCATENATE(CC44,$CD$6)</f>
        <v>36800Curve Shift/Gamma</v>
      </c>
      <c r="CN44" t="str">
        <f t="shared" si="19"/>
        <v>36800Rho</v>
      </c>
      <c r="CO44" t="str">
        <f t="shared" si="20"/>
        <v>36800Drift</v>
      </c>
      <c r="CP44" t="str">
        <f t="shared" si="21"/>
        <v>36800Vega</v>
      </c>
      <c r="CQ44" t="str">
        <f t="shared" si="22"/>
        <v>36800Theta</v>
      </c>
      <c r="CR44" s="385">
        <f t="shared" si="38"/>
        <v>37865</v>
      </c>
      <c r="CS44" s="386">
        <f t="shared" si="23"/>
        <v>0</v>
      </c>
      <c r="CT44" s="239">
        <f t="shared" si="24"/>
        <v>0</v>
      </c>
      <c r="CU44" s="239">
        <f t="shared" si="25"/>
        <v>0</v>
      </c>
      <c r="CV44" s="239">
        <f t="shared" si="26"/>
        <v>0</v>
      </c>
      <c r="CW44" s="249">
        <f t="shared" si="27"/>
        <v>0</v>
      </c>
      <c r="CX44" s="240">
        <f t="shared" si="39"/>
        <v>0</v>
      </c>
      <c r="CZ44" s="385">
        <f t="shared" si="40"/>
        <v>37865</v>
      </c>
      <c r="DA44" s="386">
        <f t="shared" si="28"/>
        <v>0</v>
      </c>
      <c r="DB44" s="239">
        <f t="shared" si="29"/>
        <v>0</v>
      </c>
      <c r="DC44" s="239">
        <f t="shared" si="30"/>
        <v>0</v>
      </c>
      <c r="DD44" s="239">
        <f t="shared" si="31"/>
        <v>0</v>
      </c>
      <c r="DE44" s="249">
        <f t="shared" si="32"/>
        <v>0</v>
      </c>
      <c r="DF44" s="240">
        <f t="shared" si="48"/>
        <v>0</v>
      </c>
    </row>
    <row r="45" spans="1:110" ht="12" customHeight="1" x14ac:dyDescent="0.25">
      <c r="A45" s="140" t="s">
        <v>294</v>
      </c>
      <c r="B45" t="s">
        <v>250</v>
      </c>
      <c r="C45" t="s">
        <v>297</v>
      </c>
      <c r="D45" s="4" t="s">
        <v>9</v>
      </c>
      <c r="E45" t="s">
        <v>20</v>
      </c>
      <c r="F45" t="s">
        <v>1</v>
      </c>
      <c r="G45" s="5">
        <v>36770</v>
      </c>
      <c r="H45" s="130">
        <v>600000</v>
      </c>
      <c r="I45">
        <v>-0.4</v>
      </c>
      <c r="J45" s="53">
        <f t="shared" si="60"/>
        <v>4.6849999999999996</v>
      </c>
      <c r="K45" s="7">
        <f t="shared" si="61"/>
        <v>-1.24</v>
      </c>
      <c r="L45" s="53">
        <f t="shared" si="62"/>
        <v>3.4449999999999994</v>
      </c>
      <c r="M45" s="157">
        <f t="shared" si="4"/>
        <v>6.7216196212184998E-2</v>
      </c>
      <c r="N45" s="4">
        <f t="shared" si="5"/>
        <v>0.4</v>
      </c>
      <c r="O45" s="4">
        <f t="shared" si="6"/>
        <v>0.38400000000000001</v>
      </c>
      <c r="P45" s="9">
        <f t="shared" si="7"/>
        <v>0.84</v>
      </c>
      <c r="Q45" s="5">
        <f t="shared" si="8"/>
        <v>36768</v>
      </c>
      <c r="R45" s="4">
        <f t="shared" si="9"/>
        <v>0</v>
      </c>
      <c r="S45" s="158">
        <f>_xll.xSPRDOPT($L45,$J45,$I45,$M45,$O45,$N45,$P45,$Q45-$C$3,$R45,0)</f>
        <v>0.83984554089127716</v>
      </c>
      <c r="T45" s="159">
        <f>_xll.xSPRDOPT($L45,$J45,$I45,$M45,$O45,$N45,$P45,$Q45-$C$3,$R45,1)*H45</f>
        <v>-599889.69520727964</v>
      </c>
      <c r="U45" s="160">
        <f t="shared" si="10"/>
        <v>503907.32453476632</v>
      </c>
      <c r="V45" s="159">
        <f>_xll.xSPRDOPT($L45,$J45,$I45,$M45,$O45,$N45,$P45,$Q45-$C$3,$R45,2)*H45</f>
        <v>599889.67205051298</v>
      </c>
      <c r="W45" s="159">
        <f t="shared" si="11"/>
        <v>-2.3156766663305461E-2</v>
      </c>
      <c r="X45" s="51" t="str">
        <f t="shared" si="63"/>
        <v>36770IF-NWPL_ROCKY_M</v>
      </c>
      <c r="Y45" s="418">
        <f t="shared" si="64"/>
        <v>60</v>
      </c>
      <c r="Z45" s="456">
        <f t="shared" si="65"/>
        <v>-0.99981615867879936</v>
      </c>
      <c r="AA45" s="456">
        <f>_xll.xSPRDOPT($L45,$J45,$I45,$M45,$O45,$N45,$P45,$Q45-$C$3,$R45,3)</f>
        <v>-3.5500395084824186E-5</v>
      </c>
      <c r="AB45" s="456">
        <f>((_xll.xSPRDOPT($L45+AB$5,$J45,$I45,$M45,$O45,$N45,$P45,$Q45-$C$3,$R45,3)*$H45)/10000)/100</f>
        <v>-2.1300237050894511E-5</v>
      </c>
      <c r="AC45" s="456">
        <f>((_xll.xSPRDOPT($L45+$AB$5,$J45,$I45,$M45,$O45,$N45,$P45,$Q45-$C$3,$R45,7)*$H45)/100)</f>
        <v>0</v>
      </c>
      <c r="AD45" s="456">
        <f>(_xll.xSPRDOPT($L45+$AB$5,$J45,$I45,$M45,$O45,$N45,$P45,$Q45-$C$3,$R45,9)/365)*$H45</f>
        <v>92.796533885301173</v>
      </c>
      <c r="AE45">
        <f t="shared" si="15"/>
        <v>0</v>
      </c>
      <c r="AF45" s="456">
        <f t="shared" si="66"/>
        <v>-5.6649269048366762E-8</v>
      </c>
      <c r="AG45" s="456">
        <f>((_xll.xSPRDOPT($L45,$J45,$I45,$M45,$O45,$N45,$P45,$Q45-$C$3,$R45,6)*$H45)/100)</f>
        <v>-4.3718457635152691E-6</v>
      </c>
      <c r="AH45" s="456">
        <f>((_xll.xSPRDOPT($L45,$J45,$I45,$M45,$O45,$N45,$P45,$Q45-$C$3,$R45,5)*$H45)/100)</f>
        <v>4.4949963484030234E-6</v>
      </c>
      <c r="AI45" s="456">
        <f>(((_xll.xSPRDOPT($L45,$J45,$I45,$M45,$O45,$N45,$P45,$Q45-$C$3,$R45,4)*$H45)/10000)/100)-AB45</f>
        <v>2.1300237050894511E-5</v>
      </c>
      <c r="AJ45" s="456"/>
      <c r="AK45" s="456"/>
      <c r="AL45" s="456"/>
      <c r="AM45" s="472"/>
      <c r="AN45" s="128">
        <f t="shared" si="67"/>
        <v>37895</v>
      </c>
      <c r="AO45" s="43">
        <f t="shared" si="53"/>
        <v>0</v>
      </c>
      <c r="AP45" s="43">
        <f t="shared" si="53"/>
        <v>0</v>
      </c>
      <c r="AQ45" s="43">
        <f t="shared" si="53"/>
        <v>0</v>
      </c>
      <c r="AR45" s="43">
        <f t="shared" si="53"/>
        <v>0</v>
      </c>
      <c r="AS45" s="43">
        <f t="shared" si="53"/>
        <v>0</v>
      </c>
      <c r="AT45" s="43">
        <f t="shared" si="53"/>
        <v>0</v>
      </c>
      <c r="AU45" s="43">
        <f t="shared" si="53"/>
        <v>0</v>
      </c>
      <c r="AV45" s="43">
        <f t="shared" si="53"/>
        <v>0</v>
      </c>
      <c r="AW45" s="43">
        <f t="shared" si="53"/>
        <v>0</v>
      </c>
      <c r="AX45" s="43">
        <f t="shared" si="53"/>
        <v>0</v>
      </c>
      <c r="AY45" s="43">
        <f t="shared" si="53"/>
        <v>0</v>
      </c>
      <c r="AZ45" s="43">
        <f t="shared" si="53"/>
        <v>0</v>
      </c>
      <c r="BA45" s="44">
        <f t="shared" si="53"/>
        <v>0</v>
      </c>
      <c r="BB45" s="128">
        <f t="shared" si="68"/>
        <v>37895</v>
      </c>
      <c r="BC45" s="44">
        <f t="shared" si="41"/>
        <v>0</v>
      </c>
      <c r="BD45" s="51"/>
      <c r="BE45" s="128">
        <f t="shared" si="69"/>
        <v>37895</v>
      </c>
      <c r="BF45" s="43">
        <f t="shared" si="54"/>
        <v>0</v>
      </c>
      <c r="BG45" s="43">
        <f t="shared" si="54"/>
        <v>0</v>
      </c>
      <c r="BH45" s="43">
        <f t="shared" si="54"/>
        <v>0</v>
      </c>
      <c r="BI45" s="43">
        <f t="shared" si="54"/>
        <v>0</v>
      </c>
      <c r="BJ45" s="43">
        <f t="shared" si="54"/>
        <v>0</v>
      </c>
      <c r="BK45" s="43">
        <f t="shared" si="54"/>
        <v>0</v>
      </c>
      <c r="BL45" s="43">
        <f t="shared" si="54"/>
        <v>0</v>
      </c>
      <c r="BM45" s="43">
        <f t="shared" si="54"/>
        <v>0</v>
      </c>
      <c r="BN45" s="43">
        <f t="shared" si="54"/>
        <v>0</v>
      </c>
      <c r="BO45" s="43">
        <f t="shared" si="54"/>
        <v>0</v>
      </c>
      <c r="BP45" s="43">
        <f t="shared" si="54"/>
        <v>0</v>
      </c>
      <c r="BQ45" s="43">
        <f t="shared" si="54"/>
        <v>0</v>
      </c>
      <c r="BR45" s="44">
        <f t="shared" si="54"/>
        <v>0</v>
      </c>
      <c r="BS45" s="128">
        <f t="shared" si="70"/>
        <v>37895</v>
      </c>
      <c r="BT45" s="44">
        <f t="shared" si="37"/>
        <v>0</v>
      </c>
      <c r="BU45" s="51"/>
      <c r="BV45" s="51"/>
      <c r="BW45" s="51"/>
      <c r="BX45" s="51"/>
      <c r="BY45" s="51"/>
      <c r="BZ45" s="51"/>
      <c r="CA45" s="51"/>
      <c r="CB45" s="51"/>
      <c r="CC45" s="141">
        <f t="shared" si="71"/>
        <v>36770</v>
      </c>
      <c r="CD45" s="234">
        <f>_xll.xSPRDOPT((VLOOKUP(G45,NGPrices,2,FALSE)+HLOOKUP(D45,Prices,VLOOKUP(G45,move_down,2,FALSE),FALSE)),VLOOKUP(G45,NGPrices,2,FALSE),I45,VLOOKUP(G45,NGPREVPRICES,4,FALSE),HLOOKUP(D45,PREVVOLS,VLOOKUP(G45,MOVE_DOWN2,2,FALSE),FALSE),VLOOKUP(G45,NGPREVPRICES,3,FALSE),HLOOKUP(D45,Correllate,VLOOKUP(G45,CorMove,2,FALSE),FALSE),Q45-$CD$3,R45,$CD$5)*H45-CJ45</f>
        <v>0</v>
      </c>
      <c r="CE45" s="234">
        <f>_xll.xSPRDOPT((VLOOKUP(G45,NGPREVPRICES,2,FALSE)+HLOOKUP(D45,PREVCURVES,VLOOKUP(G45,MOVE_DOWN2,2,FALSE),FALSE)),VLOOKUP(G45,NGPREVPRICES,2,FALSE),CK45,VLOOKUP(G45,NGPrices,4,FALSE),HLOOKUP(D45,PREVVOLS,VLOOKUP(G45,MOVE_DOWN2,2,FALSE),FALSE),VLOOKUP(G45,NGPREVPRICES,3,FALSE),HLOOKUP(D45,Correllate,VLOOKUP(G45,CorMove,2,FALSE),FALSE),Q45-$CD$3,R45,$CJ$5)*H45-CJ45</f>
        <v>0</v>
      </c>
      <c r="CF45" s="10">
        <f t="shared" si="72"/>
        <v>-91.807987243751995</v>
      </c>
      <c r="CG45" s="234">
        <f>_xll.xSPRDOPT((VLOOKUP(G45,NGPREVPRICES,2,FALSE)+HLOOKUP(D45,PREVCURVES,VLOOKUP(G45,MOVE_DOWN2,2,FALSE),FALSE)),VLOOKUP(G45,NGPREVPRICES,2,FALSE),CK45,VLOOKUP(G45,NGPREVPRICES,4,FALSE),HLOOKUP(D45,VOLS,VLOOKUP(G45,move_down,2,FALSE),FALSE),VLOOKUP(G45,NGPrices,3,FALSE),HLOOKUP(D45,Correllate,VLOOKUP(G45,CorMove,2,FALSE),FALSE),Q45-$CD$3,R45,$CJ$5)*H45-CJ45</f>
        <v>0</v>
      </c>
      <c r="CH45" s="234">
        <f>_xll.xSPRDOPT((VLOOKUP(G45,NGPREVPRICES,2,FALSE)+HLOOKUP(D45,PREVCURVES,VLOOKUP(G45,MOVE_DOWN2,2,FALSE),FALSE)),VLOOKUP(G45,NGPREVPRICES,2,FALSE),CK45,VLOOKUP(G45,NGPREVPRICES,4,FALSE),HLOOKUP(D45,PREVVOLS,VLOOKUP(G45,MOVE_DOWN2,2,FALSE),FALSE),VLOOKUP(G45,NGPREVPRICES,3,FALSE),HLOOKUP(D45,Correllate,VLOOKUP(G45,CorMove,2,FALSE),FALSE),Q45-$C$3,R45,$CJ$5)*H45-CJ45</f>
        <v>92.724485929764342</v>
      </c>
      <c r="CI45" s="234">
        <f t="shared" si="73"/>
        <v>0.9164986860123463</v>
      </c>
      <c r="CJ45" s="234">
        <f>_xll.xSPRDOPT((VLOOKUP(G45,NGPREVPRICES,2,FALSE)+HLOOKUP(D45,PREVCURVES,VLOOKUP(G45,MOVE_DOWN2,2,FALSE),FALSE)),VLOOKUP(G45,NGPREVPRICES,2,FALSE),CK45,VLOOKUP(G45,NGPREVPRICES,4,FALSE),HLOOKUP(D45,PREVVOLS,VLOOKUP(G45,MOVE_DOWN2,2,FALSE),FALSE),VLOOKUP(G45,NGPREVPRICES,3,FALSE),HLOOKUP(D45,Correllate,VLOOKUP(G45,CorMove,2,FALSE),FALSE),Q45-$CD$3,R45,$CJ$5)*H45</f>
        <v>503814.60004883655</v>
      </c>
      <c r="CK45" s="235">
        <f t="shared" si="74"/>
        <v>-0.4</v>
      </c>
      <c r="CM45" t="str">
        <f t="shared" si="75"/>
        <v>36770Curve Shift/Gamma</v>
      </c>
      <c r="CN45" t="str">
        <f t="shared" si="19"/>
        <v>36770Rho</v>
      </c>
      <c r="CO45" t="str">
        <f t="shared" si="20"/>
        <v>36770Drift</v>
      </c>
      <c r="CP45" t="str">
        <f t="shared" si="21"/>
        <v>36770Vega</v>
      </c>
      <c r="CQ45" t="str">
        <f t="shared" si="22"/>
        <v>36770Theta</v>
      </c>
      <c r="CR45" s="385">
        <f t="shared" si="38"/>
        <v>37895</v>
      </c>
      <c r="CS45" s="386">
        <f t="shared" si="23"/>
        <v>0</v>
      </c>
      <c r="CT45" s="239">
        <f t="shared" si="24"/>
        <v>0</v>
      </c>
      <c r="CU45" s="239">
        <f t="shared" si="25"/>
        <v>0</v>
      </c>
      <c r="CV45" s="239">
        <f t="shared" si="26"/>
        <v>0</v>
      </c>
      <c r="CW45" s="249">
        <f t="shared" si="27"/>
        <v>0</v>
      </c>
      <c r="CX45" s="240">
        <f t="shared" si="39"/>
        <v>0</v>
      </c>
      <c r="CZ45" s="385">
        <f t="shared" si="40"/>
        <v>37895</v>
      </c>
      <c r="DA45" s="386">
        <f t="shared" si="28"/>
        <v>0</v>
      </c>
      <c r="DB45" s="239">
        <f t="shared" si="29"/>
        <v>0</v>
      </c>
      <c r="DC45" s="239">
        <f t="shared" si="30"/>
        <v>0</v>
      </c>
      <c r="DD45" s="239">
        <f t="shared" si="31"/>
        <v>0</v>
      </c>
      <c r="DE45" s="249">
        <f t="shared" si="32"/>
        <v>0</v>
      </c>
      <c r="DF45" s="240">
        <f t="shared" si="48"/>
        <v>0</v>
      </c>
    </row>
    <row r="46" spans="1:110" ht="12" customHeight="1" x14ac:dyDescent="0.25">
      <c r="A46" s="140" t="s">
        <v>268</v>
      </c>
      <c r="B46" t="s">
        <v>250</v>
      </c>
      <c r="C46" t="s">
        <v>298</v>
      </c>
      <c r="D46" s="4" t="s">
        <v>9</v>
      </c>
      <c r="E46" t="s">
        <v>20</v>
      </c>
      <c r="F46" t="s">
        <v>21</v>
      </c>
      <c r="G46" s="5">
        <v>36800</v>
      </c>
      <c r="H46" s="130">
        <v>310000</v>
      </c>
      <c r="I46">
        <v>-0.25</v>
      </c>
      <c r="J46" s="53">
        <f t="shared" si="60"/>
        <v>4.6920000000000002</v>
      </c>
      <c r="K46" s="7">
        <f t="shared" si="61"/>
        <v>-0.80500000000000005</v>
      </c>
      <c r="L46" s="53">
        <f t="shared" si="62"/>
        <v>3.887</v>
      </c>
      <c r="M46" s="157">
        <f t="shared" si="4"/>
        <v>6.8050789414654006E-2</v>
      </c>
      <c r="N46" s="4">
        <f t="shared" si="5"/>
        <v>0.57499999999999996</v>
      </c>
      <c r="O46" s="4">
        <f t="shared" si="6"/>
        <v>0.55200000000000005</v>
      </c>
      <c r="P46" s="9">
        <f t="shared" si="7"/>
        <v>0.84</v>
      </c>
      <c r="Q46" s="5">
        <f t="shared" si="8"/>
        <v>36797</v>
      </c>
      <c r="R46" s="4">
        <f t="shared" si="9"/>
        <v>1</v>
      </c>
      <c r="S46" s="158">
        <f>_xll.xSPRDOPT($L46,$J46,$I46,$M46,$O46,$N46,$P46,$Q46-$C$3,$R46,0)</f>
        <v>1.449643071477566E-2</v>
      </c>
      <c r="T46" s="159">
        <f>_xll.xSPRDOPT($L46,$J46,$I46,$M46,$O46,$N46,$P46,$Q46-$C$3,$R46,1)*H46</f>
        <v>27157.75606076551</v>
      </c>
      <c r="U46" s="160">
        <f t="shared" si="10"/>
        <v>4493.8935215804549</v>
      </c>
      <c r="V46" s="159">
        <f>_xll.xSPRDOPT($L46,$J46,$I46,$M46,$O46,$N46,$P46,$Q46-$C$3,$R46,2)*H46</f>
        <v>-22940.51777693833</v>
      </c>
      <c r="W46" s="159">
        <f t="shared" si="11"/>
        <v>4217.2382838271806</v>
      </c>
      <c r="X46" s="51" t="str">
        <f t="shared" si="63"/>
        <v>36800IF-NWPL_ROCKY_M</v>
      </c>
      <c r="Y46" s="418">
        <f t="shared" si="64"/>
        <v>31</v>
      </c>
      <c r="Z46" s="456">
        <f t="shared" si="65"/>
        <v>8.7605664712146813E-2</v>
      </c>
      <c r="AA46" s="456">
        <f>_xll.xSPRDOPT($L46,$J46,$I46,$M46,$O46,$N46,$P46,$Q46-$C$3,$R46,3)</f>
        <v>0.42740575219629329</v>
      </c>
      <c r="AB46" s="456">
        <f>((_xll.xSPRDOPT($L46+AB$5,$J46,$I46,$M46,$O46,$N46,$P46,$Q46-$C$3,$R46,3)*$H46)/10000)/100</f>
        <v>0.1324957831808509</v>
      </c>
      <c r="AC46" s="456">
        <f>((_xll.xSPRDOPT($L46+$AB$5,$J46,$I46,$M46,$O46,$N46,$P46,$Q46-$C$3,$R46,7)*$H46)/100)</f>
        <v>-554.57781126365694</v>
      </c>
      <c r="AD46" s="456">
        <f>(_xll.xSPRDOPT($L46+$AB$5,$J46,$I46,$M46,$O46,$N46,$P46,$Q46-$C$3,$R46,9)/365)*$H46</f>
        <v>-304.7876926563527</v>
      </c>
      <c r="AE46">
        <f t="shared" si="15"/>
        <v>0</v>
      </c>
      <c r="AF46" s="456">
        <f t="shared" si="66"/>
        <v>318.69532886208299</v>
      </c>
      <c r="AG46" s="456">
        <f>((_xll.xSPRDOPT($L46,$J46,$I46,$M46,$O46,$N46,$P46,$Q46-$C$3,$R46,6)*$H46)/100)</f>
        <v>257.56148515055315</v>
      </c>
      <c r="AH46" s="456">
        <f>((_xll.xSPRDOPT($L46,$J46,$I46,$M46,$O46,$N46,$P46,$Q46-$C$3,$R46,5)*$H46)/100)</f>
        <v>63.681087199510259</v>
      </c>
      <c r="AI46" s="456">
        <f>(((_xll.xSPRDOPT($L46,$J46,$I46,$M46,$O46,$N46,$P46,$Q46-$C$3,$R46,4)*$H46)/10000)/100)-AB46</f>
        <v>-2.9800577662056654E-2</v>
      </c>
      <c r="AJ46" s="456"/>
      <c r="AK46" s="456"/>
      <c r="AL46" s="456"/>
      <c r="AM46" s="472"/>
      <c r="AN46" s="128">
        <f t="shared" si="67"/>
        <v>37926</v>
      </c>
      <c r="AO46" s="43">
        <f t="shared" si="53"/>
        <v>0</v>
      </c>
      <c r="AP46" s="43">
        <f t="shared" si="53"/>
        <v>0</v>
      </c>
      <c r="AQ46" s="43">
        <f t="shared" si="53"/>
        <v>0</v>
      </c>
      <c r="AR46" s="43">
        <f t="shared" si="53"/>
        <v>0</v>
      </c>
      <c r="AS46" s="43">
        <f t="shared" si="53"/>
        <v>0</v>
      </c>
      <c r="AT46" s="43">
        <f t="shared" si="53"/>
        <v>0</v>
      </c>
      <c r="AU46" s="43">
        <f t="shared" si="53"/>
        <v>0</v>
      </c>
      <c r="AV46" s="43">
        <f t="shared" si="53"/>
        <v>0</v>
      </c>
      <c r="AW46" s="43">
        <f t="shared" si="53"/>
        <v>0</v>
      </c>
      <c r="AX46" s="43">
        <f t="shared" si="53"/>
        <v>0</v>
      </c>
      <c r="AY46" s="43">
        <f t="shared" si="53"/>
        <v>0</v>
      </c>
      <c r="AZ46" s="43">
        <f t="shared" si="53"/>
        <v>0</v>
      </c>
      <c r="BA46" s="44">
        <f t="shared" si="53"/>
        <v>0</v>
      </c>
      <c r="BB46" s="128">
        <f t="shared" si="68"/>
        <v>37926</v>
      </c>
      <c r="BC46" s="44">
        <f t="shared" si="41"/>
        <v>0</v>
      </c>
      <c r="BD46" s="51"/>
      <c r="BE46" s="128">
        <f t="shared" si="69"/>
        <v>37926</v>
      </c>
      <c r="BF46" s="43">
        <f t="shared" si="54"/>
        <v>0</v>
      </c>
      <c r="BG46" s="43">
        <f t="shared" si="54"/>
        <v>0</v>
      </c>
      <c r="BH46" s="43">
        <f t="shared" si="54"/>
        <v>0</v>
      </c>
      <c r="BI46" s="43">
        <f t="shared" si="54"/>
        <v>0</v>
      </c>
      <c r="BJ46" s="43">
        <f t="shared" si="54"/>
        <v>0</v>
      </c>
      <c r="BK46" s="43">
        <f t="shared" si="54"/>
        <v>0</v>
      </c>
      <c r="BL46" s="43">
        <f t="shared" si="54"/>
        <v>0</v>
      </c>
      <c r="BM46" s="43">
        <f t="shared" si="54"/>
        <v>0</v>
      </c>
      <c r="BN46" s="43">
        <f t="shared" si="54"/>
        <v>0</v>
      </c>
      <c r="BO46" s="43">
        <f t="shared" si="54"/>
        <v>0</v>
      </c>
      <c r="BP46" s="43">
        <f t="shared" si="54"/>
        <v>0</v>
      </c>
      <c r="BQ46" s="43">
        <f t="shared" si="54"/>
        <v>0</v>
      </c>
      <c r="BR46" s="44">
        <f t="shared" si="54"/>
        <v>0</v>
      </c>
      <c r="BS46" s="128">
        <f t="shared" si="70"/>
        <v>37926</v>
      </c>
      <c r="BT46" s="44">
        <f t="shared" si="37"/>
        <v>0</v>
      </c>
      <c r="BU46" s="51"/>
      <c r="BV46" s="51"/>
      <c r="BW46" s="51"/>
      <c r="BX46" s="51"/>
      <c r="BY46" s="51"/>
      <c r="BZ46" s="51"/>
      <c r="CA46" s="51"/>
      <c r="CB46" s="51"/>
      <c r="CC46" s="141">
        <f t="shared" si="71"/>
        <v>36800</v>
      </c>
      <c r="CD46" s="234">
        <f>_xll.xSPRDOPT((VLOOKUP(G46,NGPrices,2,FALSE)+HLOOKUP(D46,Prices,VLOOKUP(G46,move_down,2,FALSE),FALSE)),VLOOKUP(G46,NGPrices,2,FALSE),I46,VLOOKUP(G46,NGPREVPRICES,4,FALSE),HLOOKUP(D46,PREVVOLS,VLOOKUP(G46,MOVE_DOWN2,2,FALSE),FALSE),VLOOKUP(G46,NGPREVPRICES,3,FALSE),HLOOKUP(D46,Correllate,VLOOKUP(G46,CorMove,2,FALSE),FALSE),Q46-$CD$3,R46,$CD$5)*H46-CJ46</f>
        <v>0</v>
      </c>
      <c r="CE46" s="234">
        <f>_xll.xSPRDOPT((VLOOKUP(G46,NGPREVPRICES,2,FALSE)+HLOOKUP(D46,PREVCURVES,VLOOKUP(G46,MOVE_DOWN2,2,FALSE),FALSE)),VLOOKUP(G46,NGPREVPRICES,2,FALSE),CK46,VLOOKUP(G46,NGPrices,4,FALSE),HLOOKUP(D46,PREVVOLS,VLOOKUP(G46,MOVE_DOWN2,2,FALSE),FALSE),VLOOKUP(G46,NGPREVPRICES,3,FALSE),HLOOKUP(D46,Correllate,VLOOKUP(G46,CorMove,2,FALSE),FALSE),Q46-$CD$3,R46,$CJ$5)*H46-CJ46</f>
        <v>0</v>
      </c>
      <c r="CF46" s="10">
        <f t="shared" si="72"/>
        <v>-0.88505069263192127</v>
      </c>
      <c r="CG46" s="234">
        <f>_xll.xSPRDOPT((VLOOKUP(G46,NGPREVPRICES,2,FALSE)+HLOOKUP(D46,PREVCURVES,VLOOKUP(G46,MOVE_DOWN2,2,FALSE),FALSE)),VLOOKUP(G46,NGPREVPRICES,2,FALSE),CK46,VLOOKUP(G46,NGPREVPRICES,4,FALSE),HLOOKUP(D46,VOLS,VLOOKUP(G46,move_down,2,FALSE),FALSE),VLOOKUP(G46,NGPrices,3,FALSE),HLOOKUP(D46,Correllate,VLOOKUP(G46,CorMove,2,FALSE),FALSE),Q46-$CD$3,R46,$CJ$5)*H46-CJ46</f>
        <v>0</v>
      </c>
      <c r="CH46" s="234">
        <f>_xll.xSPRDOPT((VLOOKUP(G46,NGPREVPRICES,2,FALSE)+HLOOKUP(D46,PREVCURVES,VLOOKUP(G46,MOVE_DOWN2,2,FALSE),FALSE)),VLOOKUP(G46,NGPREVPRICES,2,FALSE),CK46,VLOOKUP(G46,NGPREVPRICES,4,FALSE),HLOOKUP(D46,PREVVOLS,VLOOKUP(G46,MOVE_DOWN2,2,FALSE),FALSE),VLOOKUP(G46,NGPREVPRICES,3,FALSE),HLOOKUP(D46,Correllate,VLOOKUP(G46,CorMove,2,FALSE),FALSE),Q46-$C$3,R46,$CJ$5)*H46-CJ46</f>
        <v>-306.88294443707946</v>
      </c>
      <c r="CI46" s="234">
        <f t="shared" si="73"/>
        <v>-307.76799512971138</v>
      </c>
      <c r="CJ46" s="234">
        <f>_xll.xSPRDOPT((VLOOKUP(G46,NGPREVPRICES,2,FALSE)+HLOOKUP(D46,PREVCURVES,VLOOKUP(G46,MOVE_DOWN2,2,FALSE),FALSE)),VLOOKUP(G46,NGPREVPRICES,2,FALSE),CK46,VLOOKUP(G46,NGPREVPRICES,4,FALSE),HLOOKUP(D46,PREVVOLS,VLOOKUP(G46,MOVE_DOWN2,2,FALSE),FALSE),VLOOKUP(G46,NGPREVPRICES,3,FALSE),HLOOKUP(D46,Correllate,VLOOKUP(G46,CorMove,2,FALSE),FALSE),Q46-$CD$3,R46,$CJ$5)*H46</f>
        <v>4800.7764660175344</v>
      </c>
      <c r="CK46" s="235">
        <f t="shared" si="74"/>
        <v>-0.25</v>
      </c>
      <c r="CM46" t="str">
        <f t="shared" si="75"/>
        <v>36800Curve Shift/Gamma</v>
      </c>
      <c r="CN46" t="str">
        <f t="shared" si="19"/>
        <v>36800Rho</v>
      </c>
      <c r="CO46" t="str">
        <f t="shared" si="20"/>
        <v>36800Drift</v>
      </c>
      <c r="CP46" t="str">
        <f t="shared" si="21"/>
        <v>36800Vega</v>
      </c>
      <c r="CQ46" t="str">
        <f t="shared" si="22"/>
        <v>36800Theta</v>
      </c>
      <c r="CR46" s="385">
        <f t="shared" si="38"/>
        <v>37926</v>
      </c>
      <c r="CS46" s="386">
        <f t="shared" si="23"/>
        <v>0</v>
      </c>
      <c r="CT46" s="239">
        <f t="shared" si="24"/>
        <v>0</v>
      </c>
      <c r="CU46" s="239">
        <f t="shared" si="25"/>
        <v>0</v>
      </c>
      <c r="CV46" s="239">
        <f t="shared" si="26"/>
        <v>0</v>
      </c>
      <c r="CW46" s="249">
        <f t="shared" si="27"/>
        <v>0</v>
      </c>
      <c r="CX46" s="240">
        <f t="shared" si="39"/>
        <v>0</v>
      </c>
      <c r="CZ46" s="385">
        <f t="shared" si="40"/>
        <v>37926</v>
      </c>
      <c r="DA46" s="386">
        <f t="shared" si="28"/>
        <v>0</v>
      </c>
      <c r="DB46" s="239">
        <f t="shared" si="29"/>
        <v>0</v>
      </c>
      <c r="DC46" s="239">
        <f t="shared" si="30"/>
        <v>0</v>
      </c>
      <c r="DD46" s="239">
        <f t="shared" si="31"/>
        <v>0</v>
      </c>
      <c r="DE46" s="249">
        <f t="shared" si="32"/>
        <v>0</v>
      </c>
      <c r="DF46" s="240">
        <f t="shared" si="48"/>
        <v>0</v>
      </c>
    </row>
    <row r="47" spans="1:110" ht="12" customHeight="1" thickBot="1" x14ac:dyDescent="0.3">
      <c r="A47" s="140" t="s">
        <v>268</v>
      </c>
      <c r="B47" t="s">
        <v>250</v>
      </c>
      <c r="C47" t="s">
        <v>298</v>
      </c>
      <c r="D47" s="4" t="s">
        <v>9</v>
      </c>
      <c r="E47" t="s">
        <v>20</v>
      </c>
      <c r="F47" t="s">
        <v>21</v>
      </c>
      <c r="G47" s="5">
        <v>36770</v>
      </c>
      <c r="H47" s="130">
        <v>300000</v>
      </c>
      <c r="I47">
        <v>-0.25</v>
      </c>
      <c r="J47" s="53">
        <f t="shared" si="60"/>
        <v>4.6849999999999996</v>
      </c>
      <c r="K47" s="7">
        <f t="shared" si="61"/>
        <v>-1.24</v>
      </c>
      <c r="L47" s="53">
        <f t="shared" si="62"/>
        <v>3.4449999999999994</v>
      </c>
      <c r="M47" s="157">
        <f t="shared" si="4"/>
        <v>6.7216196212184998E-2</v>
      </c>
      <c r="N47" s="4">
        <f t="shared" si="5"/>
        <v>0.4</v>
      </c>
      <c r="O47" s="4">
        <f t="shared" si="6"/>
        <v>0.38400000000000001</v>
      </c>
      <c r="P47" s="9">
        <f t="shared" si="7"/>
        <v>0.84</v>
      </c>
      <c r="Q47" s="5">
        <f t="shared" si="8"/>
        <v>36768</v>
      </c>
      <c r="R47" s="4">
        <f t="shared" si="9"/>
        <v>1</v>
      </c>
      <c r="S47" s="158">
        <f>_xll.xSPRDOPT($L47,$J47,$I47,$M47,$O47,$N47,$P47,$Q47-$C$3,$R47,0)</f>
        <v>1.2978238933536446E-7</v>
      </c>
      <c r="T47" s="159">
        <f>_xll.xSPRDOPT($L47,$J47,$I47,$M47,$O47,$N47,$P47,$Q47-$C$3,$R47,1)*H47</f>
        <v>-5.0898723036318927E-2</v>
      </c>
      <c r="U47" s="160">
        <f t="shared" si="10"/>
        <v>3.8934716800609337E-2</v>
      </c>
      <c r="V47" s="159">
        <f>_xll.xSPRDOPT($L47,$J47,$I47,$M47,$O47,$N47,$P47,$Q47-$C$3,$R47,2)*H47</f>
        <v>3.9320339284554251E-2</v>
      </c>
      <c r="W47" s="159">
        <f t="shared" si="11"/>
        <v>-1.1578383751764676E-2</v>
      </c>
      <c r="X47" s="51" t="str">
        <f t="shared" si="63"/>
        <v>36770IF-NWPL_ROCKY_M</v>
      </c>
      <c r="Y47" s="418">
        <f t="shared" si="64"/>
        <v>30</v>
      </c>
      <c r="Z47" s="456">
        <f t="shared" si="65"/>
        <v>-1.6966241012106309E-7</v>
      </c>
      <c r="AA47" s="456">
        <f>_xll.xSPRDOPT($L47,$J47,$I47,$M47,$O47,$N47,$P47,$Q47-$C$3,$R47,3)</f>
        <v>-4.1862936425772828E-5</v>
      </c>
      <c r="AB47" s="456">
        <f>((_xll.xSPRDOPT($L47+AB$5,$J47,$I47,$M47,$O47,$N47,$P47,$Q47-$C$3,$R47,3)*$H47)/10000)/100</f>
        <v>-1.2558880927731849E-5</v>
      </c>
      <c r="AC47" s="456">
        <f>((_xll.xSPRDOPT($L47+$AB$5,$J47,$I47,$M47,$O47,$N47,$P47,$Q47-$C$3,$R47,7)*$H47)/100)</f>
        <v>0</v>
      </c>
      <c r="AD47" s="456">
        <f>(_xll.xSPRDOPT($L47+$AB$5,$J47,$I47,$M47,$O47,$N47,$P47,$Q47-$C$3,$R47,9)/365)*$H47</f>
        <v>8.9190735504936295E-6</v>
      </c>
      <c r="AE47">
        <f t="shared" si="15"/>
        <v>0</v>
      </c>
      <c r="AF47" s="456">
        <f t="shared" si="66"/>
        <v>-4.6304619917795996E-8</v>
      </c>
      <c r="AG47" s="456">
        <f>((_xll.xSPRDOPT($L47,$J47,$I47,$M47,$O47,$N47,$P47,$Q47-$C$3,$R47,6)*$H47)/100)</f>
        <v>-2.1920804110020222E-6</v>
      </c>
      <c r="AH47" s="456">
        <f>((_xll.xSPRDOPT($L47,$J47,$I47,$M47,$O47,$N47,$P47,$Q47-$C$3,$R47,5)*$H47)/100)</f>
        <v>2.2351831157127359E-6</v>
      </c>
      <c r="AI47" s="456">
        <f>(((_xll.xSPRDOPT($L47,$J47,$I47,$M47,$O47,$N47,$P47,$Q47-$C$3,$R47,4)*$H47)/10000)/100)-AB47</f>
        <v>1.2558880927731849E-5</v>
      </c>
      <c r="AJ47" s="456"/>
      <c r="AK47" s="456"/>
      <c r="AL47" s="456"/>
      <c r="AM47" s="472"/>
      <c r="AN47" s="128">
        <f t="shared" si="67"/>
        <v>37956</v>
      </c>
      <c r="AO47" s="43">
        <f t="shared" ref="AO47:BA56" si="76">SUMIF($X:$X,CONCATENATE($AN47,AO$6),$T:$T)/10000</f>
        <v>0</v>
      </c>
      <c r="AP47" s="43">
        <f t="shared" si="76"/>
        <v>0</v>
      </c>
      <c r="AQ47" s="43">
        <f t="shared" si="76"/>
        <v>0</v>
      </c>
      <c r="AR47" s="43">
        <f t="shared" si="76"/>
        <v>0</v>
      </c>
      <c r="AS47" s="43">
        <f t="shared" si="76"/>
        <v>0</v>
      </c>
      <c r="AT47" s="43">
        <f t="shared" si="76"/>
        <v>0</v>
      </c>
      <c r="AU47" s="43">
        <f t="shared" si="76"/>
        <v>0</v>
      </c>
      <c r="AV47" s="43">
        <f t="shared" si="76"/>
        <v>0</v>
      </c>
      <c r="AW47" s="43">
        <f t="shared" si="76"/>
        <v>0</v>
      </c>
      <c r="AX47" s="43">
        <f t="shared" si="76"/>
        <v>0</v>
      </c>
      <c r="AY47" s="43">
        <f t="shared" si="76"/>
        <v>0</v>
      </c>
      <c r="AZ47" s="43">
        <f t="shared" si="76"/>
        <v>0</v>
      </c>
      <c r="BA47" s="44">
        <f t="shared" si="76"/>
        <v>0</v>
      </c>
      <c r="BB47" s="128">
        <f t="shared" si="68"/>
        <v>37956</v>
      </c>
      <c r="BC47" s="44">
        <f t="shared" si="41"/>
        <v>0</v>
      </c>
      <c r="BD47" s="51"/>
      <c r="BE47" s="128">
        <f t="shared" si="69"/>
        <v>37956</v>
      </c>
      <c r="BF47" s="43">
        <f t="shared" ref="BF47:BR56" si="77">SUMIF($X:$X,CONCATENATE($AN47,BF$6),$W:$W)</f>
        <v>0</v>
      </c>
      <c r="BG47" s="43">
        <f t="shared" si="77"/>
        <v>0</v>
      </c>
      <c r="BH47" s="43">
        <f t="shared" si="77"/>
        <v>0</v>
      </c>
      <c r="BI47" s="43">
        <f t="shared" si="77"/>
        <v>0</v>
      </c>
      <c r="BJ47" s="43">
        <f t="shared" si="77"/>
        <v>0</v>
      </c>
      <c r="BK47" s="43">
        <f t="shared" si="77"/>
        <v>0</v>
      </c>
      <c r="BL47" s="43">
        <f t="shared" si="77"/>
        <v>0</v>
      </c>
      <c r="BM47" s="43">
        <f t="shared" si="77"/>
        <v>0</v>
      </c>
      <c r="BN47" s="43">
        <f t="shared" si="77"/>
        <v>0</v>
      </c>
      <c r="BO47" s="43">
        <f t="shared" si="77"/>
        <v>0</v>
      </c>
      <c r="BP47" s="43">
        <f t="shared" si="77"/>
        <v>0</v>
      </c>
      <c r="BQ47" s="43">
        <f t="shared" si="77"/>
        <v>0</v>
      </c>
      <c r="BR47" s="44">
        <f t="shared" si="77"/>
        <v>0</v>
      </c>
      <c r="BS47" s="128">
        <f t="shared" si="70"/>
        <v>37956</v>
      </c>
      <c r="BT47" s="44">
        <f t="shared" si="37"/>
        <v>0</v>
      </c>
      <c r="BU47" s="51"/>
      <c r="BV47" s="51"/>
      <c r="BW47" s="51"/>
      <c r="BX47" s="51"/>
      <c r="BY47" s="51"/>
      <c r="BZ47" s="51"/>
      <c r="CA47" s="51"/>
      <c r="CB47" s="51"/>
      <c r="CC47" s="141">
        <f t="shared" si="71"/>
        <v>36770</v>
      </c>
      <c r="CD47" s="234">
        <f>_xll.xSPRDOPT((VLOOKUP(G47,NGPrices,2,FALSE)+HLOOKUP(D47,Prices,VLOOKUP(G47,move_down,2,FALSE),FALSE)),VLOOKUP(G47,NGPrices,2,FALSE),I47,VLOOKUP(G47,NGPREVPRICES,4,FALSE),HLOOKUP(D47,PREVVOLS,VLOOKUP(G47,MOVE_DOWN2,2,FALSE),FALSE),VLOOKUP(G47,NGPREVPRICES,3,FALSE),HLOOKUP(D47,Correllate,VLOOKUP(G47,CorMove,2,FALSE),FALSE),Q47-$CD$3,R47,$CD$5)*H47-CJ47</f>
        <v>0</v>
      </c>
      <c r="CE47" s="234">
        <f>_xll.xSPRDOPT((VLOOKUP(G47,NGPREVPRICES,2,FALSE)+HLOOKUP(D47,PREVCURVES,VLOOKUP(G47,MOVE_DOWN2,2,FALSE),FALSE)),VLOOKUP(G47,NGPREVPRICES,2,FALSE),CK47,VLOOKUP(G47,NGPrices,4,FALSE),HLOOKUP(D47,PREVVOLS,VLOOKUP(G47,MOVE_DOWN2,2,FALSE),FALSE),VLOOKUP(G47,NGPREVPRICES,3,FALSE),HLOOKUP(D47,Correllate,VLOOKUP(G47,CorMove,2,FALSE),FALSE),Q47-$CD$3,R47,$CJ$5)*H47-CJ47</f>
        <v>0</v>
      </c>
      <c r="CF47" s="10">
        <f t="shared" si="72"/>
        <v>-7.0932836149714684E-6</v>
      </c>
      <c r="CG47" s="234">
        <f>_xll.xSPRDOPT((VLOOKUP(G47,NGPREVPRICES,2,FALSE)+HLOOKUP(D47,PREVCURVES,VLOOKUP(G47,MOVE_DOWN2,2,FALSE),FALSE)),VLOOKUP(G47,NGPREVPRICES,2,FALSE),CK47,VLOOKUP(G47,NGPREVPRICES,4,FALSE),HLOOKUP(D47,VOLS,VLOOKUP(G47,move_down,2,FALSE),FALSE),VLOOKUP(G47,NGPrices,3,FALSE),HLOOKUP(D47,Correllate,VLOOKUP(G47,CorMove,2,FALSE),FALSE),Q47-$CD$3,R47,$CJ$5)*H47-CJ47</f>
        <v>0</v>
      </c>
      <c r="CH47" s="234">
        <f>_xll.xSPRDOPT((VLOOKUP(G47,NGPREVPRICES,2,FALSE)+HLOOKUP(D47,PREVCURVES,VLOOKUP(G47,MOVE_DOWN2,2,FALSE),FALSE)),VLOOKUP(G47,NGPREVPRICES,2,FALSE),CK47,VLOOKUP(G47,NGPREVPRICES,4,FALSE),HLOOKUP(D47,PREVVOLS,VLOOKUP(G47,MOVE_DOWN2,2,FALSE),FALSE),VLOOKUP(G47,NGPREVPRICES,3,FALSE),HLOOKUP(D47,Correllate,VLOOKUP(G47,CorMove,2,FALSE),FALSE),Q47-$C$3,R47,$CJ$5)*H47-CJ47</f>
        <v>8.9113799672801974E-6</v>
      </c>
      <c r="CI47" s="234">
        <f t="shared" si="73"/>
        <v>1.818096352308729E-6</v>
      </c>
      <c r="CJ47" s="234">
        <f>_xll.xSPRDOPT((VLOOKUP(G47,NGPREVPRICES,2,FALSE)+HLOOKUP(D47,PREVCURVES,VLOOKUP(G47,MOVE_DOWN2,2,FALSE),FALSE)),VLOOKUP(G47,NGPREVPRICES,2,FALSE),CK47,VLOOKUP(G47,NGPREVPRICES,4,FALSE),HLOOKUP(D47,PREVVOLS,VLOOKUP(G47,MOVE_DOWN2,2,FALSE),FALSE),VLOOKUP(G47,NGPREVPRICES,3,FALSE),HLOOKUP(D47,Correllate,VLOOKUP(G47,CorMove,2,FALSE),FALSE),Q47-$CD$3,R47,$CJ$5)*H47</f>
        <v>3.8925805420642057E-2</v>
      </c>
      <c r="CK47" s="235">
        <f t="shared" si="74"/>
        <v>-0.25</v>
      </c>
      <c r="CM47" t="str">
        <f t="shared" si="75"/>
        <v>36770Curve Shift/Gamma</v>
      </c>
      <c r="CN47" t="str">
        <f t="shared" si="19"/>
        <v>36770Rho</v>
      </c>
      <c r="CO47" t="str">
        <f t="shared" si="20"/>
        <v>36770Drift</v>
      </c>
      <c r="CP47" t="str">
        <f t="shared" si="21"/>
        <v>36770Vega</v>
      </c>
      <c r="CQ47" t="str">
        <f t="shared" si="22"/>
        <v>36770Theta</v>
      </c>
      <c r="CR47" s="385">
        <f t="shared" si="38"/>
        <v>37956</v>
      </c>
      <c r="CS47" s="387">
        <f t="shared" si="23"/>
        <v>0</v>
      </c>
      <c r="CT47" s="241">
        <f t="shared" si="24"/>
        <v>0</v>
      </c>
      <c r="CU47" s="241">
        <f t="shared" si="25"/>
        <v>0</v>
      </c>
      <c r="CV47" s="241">
        <f t="shared" si="26"/>
        <v>0</v>
      </c>
      <c r="CW47" s="250">
        <f t="shared" si="27"/>
        <v>0</v>
      </c>
      <c r="CX47" s="242">
        <f t="shared" si="39"/>
        <v>0</v>
      </c>
      <c r="CZ47" s="385">
        <f t="shared" si="40"/>
        <v>37956</v>
      </c>
      <c r="DA47" s="387">
        <f t="shared" si="28"/>
        <v>0</v>
      </c>
      <c r="DB47" s="241">
        <f t="shared" si="29"/>
        <v>0</v>
      </c>
      <c r="DC47" s="241">
        <f t="shared" si="30"/>
        <v>0</v>
      </c>
      <c r="DD47" s="241">
        <f t="shared" si="31"/>
        <v>0</v>
      </c>
      <c r="DE47" s="250">
        <f t="shared" si="32"/>
        <v>0</v>
      </c>
      <c r="DF47" s="242">
        <f t="shared" si="48"/>
        <v>0</v>
      </c>
    </row>
    <row r="48" spans="1:110" ht="12" customHeight="1" thickBot="1" x14ac:dyDescent="0.3">
      <c r="A48" s="140" t="s">
        <v>286</v>
      </c>
      <c r="B48" t="s">
        <v>250</v>
      </c>
      <c r="C48" t="s">
        <v>299</v>
      </c>
      <c r="D48" s="4" t="s">
        <v>9</v>
      </c>
      <c r="E48" t="s">
        <v>20</v>
      </c>
      <c r="F48" t="s">
        <v>21</v>
      </c>
      <c r="G48" s="5">
        <v>36800</v>
      </c>
      <c r="H48" s="130">
        <v>310000</v>
      </c>
      <c r="I48">
        <v>-0.3</v>
      </c>
      <c r="J48" s="53">
        <f t="shared" si="60"/>
        <v>4.6920000000000002</v>
      </c>
      <c r="K48" s="7">
        <f t="shared" si="61"/>
        <v>-0.80500000000000005</v>
      </c>
      <c r="L48" s="53">
        <f t="shared" si="62"/>
        <v>3.887</v>
      </c>
      <c r="M48" s="157">
        <f t="shared" si="4"/>
        <v>6.8050789414654006E-2</v>
      </c>
      <c r="N48" s="4">
        <f t="shared" si="5"/>
        <v>0.57499999999999996</v>
      </c>
      <c r="O48" s="4">
        <f t="shared" si="6"/>
        <v>0.55200000000000005</v>
      </c>
      <c r="P48" s="9">
        <f t="shared" si="7"/>
        <v>0.84</v>
      </c>
      <c r="Q48" s="5">
        <f t="shared" si="8"/>
        <v>36797</v>
      </c>
      <c r="R48" s="4">
        <f t="shared" si="9"/>
        <v>1</v>
      </c>
      <c r="S48" s="158">
        <f>_xll.xSPRDOPT($L48,$J48,$I48,$M48,$O48,$N48,$P48,$Q48-$C$3,$R48,0)</f>
        <v>1.9286038380815607E-2</v>
      </c>
      <c r="T48" s="159">
        <f>_xll.xSPRDOPT($L48,$J48,$I48,$M48,$O48,$N48,$P48,$Q48-$C$3,$R48,1)*H48</f>
        <v>34184.373135121205</v>
      </c>
      <c r="U48" s="160">
        <f t="shared" si="10"/>
        <v>5978.6718980528376</v>
      </c>
      <c r="V48" s="159">
        <f>_xll.xSPRDOPT($L48,$J48,$I48,$M48,$O48,$N48,$P48,$Q48-$C$3,$R48,2)*H48</f>
        <v>-29175.511828687195</v>
      </c>
      <c r="W48" s="159">
        <f t="shared" si="11"/>
        <v>5008.8613064340097</v>
      </c>
      <c r="X48" s="51" t="str">
        <f t="shared" si="63"/>
        <v>36800IF-NWPL_ROCKY_M</v>
      </c>
      <c r="Y48" s="418">
        <f t="shared" si="64"/>
        <v>31</v>
      </c>
      <c r="Z48" s="456">
        <f t="shared" si="65"/>
        <v>0.11027217140361679</v>
      </c>
      <c r="AA48" s="456">
        <f>_xll.xSPRDOPT($L48,$J48,$I48,$M48,$O48,$N48,$P48,$Q48-$C$3,$R48,3)</f>
        <v>0.50069639896498996</v>
      </c>
      <c r="AB48" s="456">
        <f>((_xll.xSPRDOPT($L48+AB$5,$J48,$I48,$M48,$O48,$N48,$P48,$Q48-$C$3,$R48,3)*$H48)/10000)/100</f>
        <v>0.15521588367914688</v>
      </c>
      <c r="AC48" s="456">
        <f>((_xll.xSPRDOPT($L48+$AB$5,$J48,$I48,$M48,$O48,$N48,$P48,$Q48-$C$3,$R48,7)*$H48)/100)</f>
        <v>-657.61499605884808</v>
      </c>
      <c r="AD48" s="456">
        <f>(_xll.xSPRDOPT($L48+$AB$5,$J48,$I48,$M48,$O48,$N48,$P48,$Q48-$C$3,$R48,9)/365)*$H48</f>
        <v>-364.21630523105853</v>
      </c>
      <c r="AE48">
        <f t="shared" si="15"/>
        <v>0</v>
      </c>
      <c r="AF48" s="456">
        <f t="shared" si="66"/>
        <v>380.95400937375575</v>
      </c>
      <c r="AG48" s="456">
        <f>((_xll.xSPRDOPT($L48,$J48,$I48,$M48,$O48,$N48,$P48,$Q48-$C$3,$R48,6)*$H48)/100)</f>
        <v>320.93306679833665</v>
      </c>
      <c r="AH48" s="456">
        <f>((_xll.xSPRDOPT($L48,$J48,$I48,$M48,$O48,$N48,$P48,$Q48-$C$3,$R48,5)*$H48)/100)</f>
        <v>62.521815182728197</v>
      </c>
      <c r="AI48" s="456">
        <f>(((_xll.xSPRDOPT($L48,$J48,$I48,$M48,$O48,$N48,$P48,$Q48-$C$3,$R48,4)*$H48)/10000)/100)-AB48</f>
        <v>-3.1947896523229935E-2</v>
      </c>
      <c r="AJ48" s="456"/>
      <c r="AK48" s="456"/>
      <c r="AL48" s="456"/>
      <c r="AM48" s="472"/>
      <c r="AN48" s="128">
        <f t="shared" si="67"/>
        <v>37987</v>
      </c>
      <c r="AO48" s="43">
        <f t="shared" si="76"/>
        <v>0</v>
      </c>
      <c r="AP48" s="43">
        <f t="shared" si="76"/>
        <v>0</v>
      </c>
      <c r="AQ48" s="43">
        <f t="shared" si="76"/>
        <v>0</v>
      </c>
      <c r="AR48" s="43">
        <f t="shared" si="76"/>
        <v>0</v>
      </c>
      <c r="AS48" s="43">
        <f t="shared" si="76"/>
        <v>0</v>
      </c>
      <c r="AT48" s="43">
        <f t="shared" si="76"/>
        <v>0</v>
      </c>
      <c r="AU48" s="43">
        <f t="shared" si="76"/>
        <v>0</v>
      </c>
      <c r="AV48" s="43">
        <f t="shared" si="76"/>
        <v>0</v>
      </c>
      <c r="AW48" s="43">
        <f t="shared" si="76"/>
        <v>0</v>
      </c>
      <c r="AX48" s="43">
        <f t="shared" si="76"/>
        <v>0</v>
      </c>
      <c r="AY48" s="43">
        <f t="shared" si="76"/>
        <v>0</v>
      </c>
      <c r="AZ48" s="43">
        <f t="shared" si="76"/>
        <v>0</v>
      </c>
      <c r="BA48" s="44">
        <f t="shared" si="76"/>
        <v>0</v>
      </c>
      <c r="BB48" s="128">
        <f t="shared" si="68"/>
        <v>37987</v>
      </c>
      <c r="BC48" s="44">
        <f t="shared" si="41"/>
        <v>0</v>
      </c>
      <c r="BD48" s="51"/>
      <c r="BE48" s="128">
        <f t="shared" si="69"/>
        <v>37987</v>
      </c>
      <c r="BF48" s="43">
        <f t="shared" si="77"/>
        <v>0</v>
      </c>
      <c r="BG48" s="43">
        <f t="shared" si="77"/>
        <v>0</v>
      </c>
      <c r="BH48" s="43">
        <f t="shared" si="77"/>
        <v>0</v>
      </c>
      <c r="BI48" s="43">
        <f t="shared" si="77"/>
        <v>0</v>
      </c>
      <c r="BJ48" s="43">
        <f t="shared" si="77"/>
        <v>0</v>
      </c>
      <c r="BK48" s="43">
        <f t="shared" si="77"/>
        <v>0</v>
      </c>
      <c r="BL48" s="43">
        <f t="shared" si="77"/>
        <v>0</v>
      </c>
      <c r="BM48" s="43">
        <f t="shared" si="77"/>
        <v>0</v>
      </c>
      <c r="BN48" s="43">
        <f t="shared" si="77"/>
        <v>0</v>
      </c>
      <c r="BO48" s="43">
        <f t="shared" si="77"/>
        <v>0</v>
      </c>
      <c r="BP48" s="43">
        <f t="shared" si="77"/>
        <v>0</v>
      </c>
      <c r="BQ48" s="43">
        <f t="shared" si="77"/>
        <v>0</v>
      </c>
      <c r="BR48" s="44">
        <f t="shared" si="77"/>
        <v>0</v>
      </c>
      <c r="BS48" s="128">
        <f t="shared" si="70"/>
        <v>37987</v>
      </c>
      <c r="BT48" s="44">
        <f t="shared" si="37"/>
        <v>0</v>
      </c>
      <c r="BU48" s="51"/>
      <c r="BV48" s="51"/>
      <c r="BW48" s="51"/>
      <c r="BX48" s="51"/>
      <c r="BY48" s="51"/>
      <c r="BZ48" s="51"/>
      <c r="CA48" s="51"/>
      <c r="CB48" s="51"/>
      <c r="CC48" s="141">
        <f t="shared" si="71"/>
        <v>36800</v>
      </c>
      <c r="CD48" s="234">
        <f>_xll.xSPRDOPT((VLOOKUP(G48,NGPrices,2,FALSE)+HLOOKUP(D48,Prices,VLOOKUP(G48,move_down,2,FALSE),FALSE)),VLOOKUP(G48,NGPrices,2,FALSE),I48,VLOOKUP(G48,NGPREVPRICES,4,FALSE),HLOOKUP(D48,PREVVOLS,VLOOKUP(G48,MOVE_DOWN2,2,FALSE),FALSE),VLOOKUP(G48,NGPREVPRICES,3,FALSE),HLOOKUP(D48,Correllate,VLOOKUP(G48,CorMove,2,FALSE),FALSE),Q48-$CD$3,R48,$CD$5)*H48-CJ48</f>
        <v>0</v>
      </c>
      <c r="CE48" s="234">
        <f>_xll.xSPRDOPT((VLOOKUP(G48,NGPREVPRICES,2,FALSE)+HLOOKUP(D48,PREVCURVES,VLOOKUP(G48,MOVE_DOWN2,2,FALSE),FALSE)),VLOOKUP(G48,NGPREVPRICES,2,FALSE),CK48,VLOOKUP(G48,NGPrices,4,FALSE),HLOOKUP(D48,PREVVOLS,VLOOKUP(G48,MOVE_DOWN2,2,FALSE),FALSE),VLOOKUP(G48,NGPREVPRICES,3,FALSE),HLOOKUP(D48,Correllate,VLOOKUP(G48,CorMove,2,FALSE),FALSE),Q48-$CD$3,R48,$CJ$5)*H48-CJ48</f>
        <v>0</v>
      </c>
      <c r="CF48" s="10">
        <f t="shared" si="72"/>
        <v>-1.1696167233276356</v>
      </c>
      <c r="CG48" s="234">
        <f>_xll.xSPRDOPT((VLOOKUP(G48,NGPREVPRICES,2,FALSE)+HLOOKUP(D48,PREVCURVES,VLOOKUP(G48,MOVE_DOWN2,2,FALSE),FALSE)),VLOOKUP(G48,NGPREVPRICES,2,FALSE),CK48,VLOOKUP(G48,NGPREVPRICES,4,FALSE),HLOOKUP(D48,VOLS,VLOOKUP(G48,move_down,2,FALSE),FALSE),VLOOKUP(G48,NGPrices,3,FALSE),HLOOKUP(D48,Correllate,VLOOKUP(G48,CorMove,2,FALSE),FALSE),Q48-$CD$3,R48,$CJ$5)*H48-CJ48</f>
        <v>0</v>
      </c>
      <c r="CH48" s="234">
        <f>_xll.xSPRDOPT((VLOOKUP(G48,NGPREVPRICES,2,FALSE)+HLOOKUP(D48,PREVCURVES,VLOOKUP(G48,MOVE_DOWN2,2,FALSE),FALSE)),VLOOKUP(G48,NGPREVPRICES,2,FALSE),CK48,VLOOKUP(G48,NGPREVPRICES,4,FALSE),HLOOKUP(D48,PREVVOLS,VLOOKUP(G48,MOVE_DOWN2,2,FALSE),FALSE),VLOOKUP(G48,NGPREVPRICES,3,FALSE),HLOOKUP(D48,Correllate,VLOOKUP(G48,CorMove,2,FALSE),FALSE),Q48-$C$3,R48,$CJ$5)*H48-CJ48</f>
        <v>-365.67480022583732</v>
      </c>
      <c r="CI48" s="234">
        <f t="shared" si="73"/>
        <v>-366.84441694916495</v>
      </c>
      <c r="CJ48" s="234">
        <f>_xll.xSPRDOPT((VLOOKUP(G48,NGPREVPRICES,2,FALSE)+HLOOKUP(D48,PREVCURVES,VLOOKUP(G48,MOVE_DOWN2,2,FALSE),FALSE)),VLOOKUP(G48,NGPREVPRICES,2,FALSE),CK48,VLOOKUP(G48,NGPREVPRICES,4,FALSE),HLOOKUP(D48,PREVVOLS,VLOOKUP(G48,MOVE_DOWN2,2,FALSE),FALSE),VLOOKUP(G48,NGPREVPRICES,3,FALSE),HLOOKUP(D48,Correllate,VLOOKUP(G48,CorMove,2,FALSE),FALSE),Q48-$CD$3,R48,$CJ$5)*H48</f>
        <v>6344.3466982786749</v>
      </c>
      <c r="CK48" s="235">
        <f t="shared" si="74"/>
        <v>-0.3</v>
      </c>
      <c r="CL48" s="234"/>
      <c r="CM48" t="str">
        <f t="shared" si="75"/>
        <v>36800Curve Shift/Gamma</v>
      </c>
      <c r="CN48" t="str">
        <f t="shared" si="19"/>
        <v>36800Rho</v>
      </c>
      <c r="CO48" t="str">
        <f t="shared" si="20"/>
        <v>36800Drift</v>
      </c>
      <c r="CP48" t="str">
        <f t="shared" si="21"/>
        <v>36800Vega</v>
      </c>
      <c r="CQ48" t="str">
        <f t="shared" si="22"/>
        <v>36800Theta</v>
      </c>
      <c r="CR48" s="143" t="s">
        <v>72</v>
      </c>
      <c r="CS48" s="246">
        <f t="shared" ref="CS48:CX48" si="78">SUM(CS7:CS47)</f>
        <v>0</v>
      </c>
      <c r="CT48" s="247">
        <f t="shared" si="78"/>
        <v>0</v>
      </c>
      <c r="CU48" s="247">
        <f t="shared" si="78"/>
        <v>-38.529109984204524</v>
      </c>
      <c r="CV48" s="247">
        <f t="shared" si="78"/>
        <v>0</v>
      </c>
      <c r="CW48" s="247">
        <f t="shared" si="78"/>
        <v>-21226.362468201118</v>
      </c>
      <c r="CX48" s="243">
        <f t="shared" si="78"/>
        <v>-21264.891578185321</v>
      </c>
      <c r="CZ48" s="451" t="s">
        <v>72</v>
      </c>
      <c r="DA48" s="247">
        <f t="shared" ref="DA48:DF48" si="79">SUM(DA7:DA47)</f>
        <v>0</v>
      </c>
      <c r="DB48" s="247">
        <f t="shared" si="79"/>
        <v>0</v>
      </c>
      <c r="DC48" s="247">
        <f t="shared" si="79"/>
        <v>-1248.9047652806516</v>
      </c>
      <c r="DD48" s="247">
        <f t="shared" si="79"/>
        <v>0</v>
      </c>
      <c r="DE48" s="243">
        <f t="shared" si="79"/>
        <v>-26057.977406988564</v>
      </c>
      <c r="DF48" s="243">
        <f t="shared" si="79"/>
        <v>-27306.882172269216</v>
      </c>
    </row>
    <row r="49" spans="1:95" ht="12" customHeight="1" x14ac:dyDescent="0.25">
      <c r="A49" s="140" t="s">
        <v>286</v>
      </c>
      <c r="B49" t="s">
        <v>250</v>
      </c>
      <c r="C49" t="s">
        <v>299</v>
      </c>
      <c r="D49" s="4" t="s">
        <v>9</v>
      </c>
      <c r="E49" t="s">
        <v>20</v>
      </c>
      <c r="F49" t="s">
        <v>1</v>
      </c>
      <c r="G49" s="5">
        <v>36800</v>
      </c>
      <c r="H49" s="130">
        <v>310000</v>
      </c>
      <c r="I49">
        <v>-0.3</v>
      </c>
      <c r="J49" s="53">
        <f t="shared" si="60"/>
        <v>4.6920000000000002</v>
      </c>
      <c r="K49" s="7">
        <f t="shared" si="61"/>
        <v>-0.80500000000000005</v>
      </c>
      <c r="L49" s="53">
        <f t="shared" si="62"/>
        <v>3.887</v>
      </c>
      <c r="M49" s="157">
        <f t="shared" ref="M49:M54" si="80">VLOOKUP(G49,NGPrices,4,FALSE)</f>
        <v>6.8050789414654006E-2</v>
      </c>
      <c r="N49" s="4">
        <f t="shared" ref="N49:N54" si="81">VLOOKUP(G49,NGPrices,3,FALSE)</f>
        <v>0.57499999999999996</v>
      </c>
      <c r="O49" s="4">
        <f t="shared" ref="O49:O54" si="82">HLOOKUP(D49,VOLS,VLOOKUP(G49,move_down,2,FALSE),FALSE)</f>
        <v>0.55200000000000005</v>
      </c>
      <c r="P49" s="9">
        <f t="shared" ref="P49:P54" si="83">HLOOKUP(D49,Correllate,VLOOKUP(G49,CorMove,2,FALSE),FALSE)</f>
        <v>0.84</v>
      </c>
      <c r="Q49" s="5">
        <f t="shared" si="8"/>
        <v>36797</v>
      </c>
      <c r="R49" s="4">
        <f t="shared" ref="R49:R54" si="84">IF(F49="P",0,1)</f>
        <v>0</v>
      </c>
      <c r="S49" s="158">
        <f>_xll.xSPRDOPT($L49,$J49,$I49,$M49,$O49,$N49,$P49,$Q49-$C$3,$R49,0)</f>
        <v>0.52147127157313133</v>
      </c>
      <c r="T49" s="159">
        <f>_xll.xSPRDOPT($L49,$J49,$I49,$M49,$O49,$N49,$P49,$Q49-$C$3,$R49,1)*H49</f>
        <v>-274087.75021065649</v>
      </c>
      <c r="U49" s="160">
        <f t="shared" ref="U49:U54" si="85">S49*H49</f>
        <v>161656.09418767071</v>
      </c>
      <c r="V49" s="159">
        <f>_xll.xSPRDOPT($L49,$J49,$I49,$M49,$O49,$N49,$P49,$Q49-$C$3,$R49,2)*H49</f>
        <v>279096.61151709047</v>
      </c>
      <c r="W49" s="159">
        <f t="shared" ref="W49:W54" si="86">+V49+T49</f>
        <v>5008.8613064339734</v>
      </c>
      <c r="X49" s="51" t="str">
        <f t="shared" si="63"/>
        <v>36800IF-NWPL_ROCKY_M</v>
      </c>
      <c r="Y49" s="418">
        <f t="shared" si="64"/>
        <v>31</v>
      </c>
      <c r="Z49" s="456">
        <f t="shared" si="65"/>
        <v>-0.88415403293760164</v>
      </c>
      <c r="AA49" s="456">
        <f>_xll.xSPRDOPT($L49,$J49,$I49,$M49,$O49,$N49,$P49,$Q49-$C$3,$R49,3)</f>
        <v>0.50069639896498996</v>
      </c>
      <c r="AB49" s="456">
        <f>((_xll.xSPRDOPT($L49+AB$5,$J49,$I49,$M49,$O49,$N49,$P49,$Q49-$C$3,$R49,3)*$H49)/10000)/100</f>
        <v>0.15521588367914688</v>
      </c>
      <c r="AC49" s="456">
        <f>((_xll.xSPRDOPT($L49+$AB$5,$J49,$I49,$M49,$O49,$N49,$P49,$Q49-$C$3,$R49,7)*$H49)/100)</f>
        <v>-657.61499605884808</v>
      </c>
      <c r="AD49" s="456">
        <f>(_xll.xSPRDOPT($L49+$AB$5,$J49,$I49,$M49,$O49,$N49,$P49,$Q49-$C$3,$R49,9)/365)*$H49</f>
        <v>-335.19172583147781</v>
      </c>
      <c r="AE49">
        <f t="shared" si="15"/>
        <v>0</v>
      </c>
      <c r="AF49" s="456">
        <f t="shared" si="66"/>
        <v>380.95400937375575</v>
      </c>
      <c r="AG49" s="456">
        <f>((_xll.xSPRDOPT($L49,$J49,$I49,$M49,$O49,$N49,$P49,$Q49-$C$3,$R49,6)*$H49)/100)</f>
        <v>320.93306679833665</v>
      </c>
      <c r="AH49" s="456">
        <f>((_xll.xSPRDOPT($L49,$J49,$I49,$M49,$O49,$N49,$P49,$Q49-$C$3,$R49,5)*$H49)/100)</f>
        <v>62.521815182728197</v>
      </c>
      <c r="AI49" s="456">
        <f>(((_xll.xSPRDOPT($L49,$J49,$I49,$M49,$O49,$N49,$P49,$Q49-$C$3,$R49,4)*$H49)/10000)/100)-AB49</f>
        <v>-3.1947896523229935E-2</v>
      </c>
      <c r="AJ49" s="456"/>
      <c r="AK49" s="456"/>
      <c r="AL49" s="456"/>
      <c r="AM49" s="472"/>
      <c r="AN49" s="128">
        <f t="shared" si="67"/>
        <v>38018</v>
      </c>
      <c r="AO49" s="43">
        <f t="shared" si="76"/>
        <v>0</v>
      </c>
      <c r="AP49" s="43">
        <f t="shared" si="76"/>
        <v>0</v>
      </c>
      <c r="AQ49" s="43">
        <f t="shared" si="76"/>
        <v>0</v>
      </c>
      <c r="AR49" s="43">
        <f t="shared" si="76"/>
        <v>0</v>
      </c>
      <c r="AS49" s="43">
        <f t="shared" si="76"/>
        <v>0</v>
      </c>
      <c r="AT49" s="43">
        <f t="shared" si="76"/>
        <v>0</v>
      </c>
      <c r="AU49" s="43">
        <f t="shared" si="76"/>
        <v>0</v>
      </c>
      <c r="AV49" s="43">
        <f t="shared" si="76"/>
        <v>0</v>
      </c>
      <c r="AW49" s="43">
        <f t="shared" si="76"/>
        <v>0</v>
      </c>
      <c r="AX49" s="43">
        <f t="shared" si="76"/>
        <v>0</v>
      </c>
      <c r="AY49" s="43">
        <f t="shared" si="76"/>
        <v>0</v>
      </c>
      <c r="AZ49" s="43">
        <f t="shared" si="76"/>
        <v>0</v>
      </c>
      <c r="BA49" s="44">
        <f t="shared" si="76"/>
        <v>0</v>
      </c>
      <c r="BB49" s="128">
        <f t="shared" si="68"/>
        <v>38018</v>
      </c>
      <c r="BC49" s="44">
        <f t="shared" si="41"/>
        <v>0</v>
      </c>
      <c r="BD49" s="51"/>
      <c r="BE49" s="128">
        <f t="shared" si="69"/>
        <v>38018</v>
      </c>
      <c r="BF49" s="43">
        <f t="shared" si="77"/>
        <v>0</v>
      </c>
      <c r="BG49" s="43">
        <f t="shared" si="77"/>
        <v>0</v>
      </c>
      <c r="BH49" s="43">
        <f t="shared" si="77"/>
        <v>0</v>
      </c>
      <c r="BI49" s="43">
        <f t="shared" si="77"/>
        <v>0</v>
      </c>
      <c r="BJ49" s="43">
        <f t="shared" si="77"/>
        <v>0</v>
      </c>
      <c r="BK49" s="43">
        <f t="shared" si="77"/>
        <v>0</v>
      </c>
      <c r="BL49" s="43">
        <f t="shared" si="77"/>
        <v>0</v>
      </c>
      <c r="BM49" s="43">
        <f t="shared" si="77"/>
        <v>0</v>
      </c>
      <c r="BN49" s="43">
        <f t="shared" si="77"/>
        <v>0</v>
      </c>
      <c r="BO49" s="43">
        <f t="shared" si="77"/>
        <v>0</v>
      </c>
      <c r="BP49" s="43">
        <f t="shared" si="77"/>
        <v>0</v>
      </c>
      <c r="BQ49" s="43">
        <f t="shared" si="77"/>
        <v>0</v>
      </c>
      <c r="BR49" s="44">
        <f t="shared" si="77"/>
        <v>0</v>
      </c>
      <c r="BS49" s="128">
        <f t="shared" si="70"/>
        <v>38018</v>
      </c>
      <c r="BT49" s="44">
        <f t="shared" si="37"/>
        <v>0</v>
      </c>
      <c r="BU49" s="51"/>
      <c r="BV49" s="51"/>
      <c r="BW49" s="51"/>
      <c r="BX49" s="51"/>
      <c r="BY49" s="51"/>
      <c r="BZ49" s="51"/>
      <c r="CA49" s="51"/>
      <c r="CB49" s="51"/>
      <c r="CC49" s="141">
        <f t="shared" si="71"/>
        <v>36800</v>
      </c>
      <c r="CD49" s="234">
        <f>_xll.xSPRDOPT((VLOOKUP(G49,NGPrices,2,FALSE)+HLOOKUP(D49,Prices,VLOOKUP(G49,move_down,2,FALSE),FALSE)),VLOOKUP(G49,NGPrices,2,FALSE),I49,VLOOKUP(G49,NGPREVPRICES,4,FALSE),HLOOKUP(D49,PREVVOLS,VLOOKUP(G49,MOVE_DOWN2,2,FALSE),FALSE),VLOOKUP(G49,NGPREVPRICES,3,FALSE),HLOOKUP(D49,Correllate,VLOOKUP(G49,CorMove,2,FALSE),FALSE),Q49-$CD$3,R49,$CD$5)*H49-CJ49</f>
        <v>0</v>
      </c>
      <c r="CE49" s="234">
        <f>_xll.xSPRDOPT((VLOOKUP(G49,NGPREVPRICES,2,FALSE)+HLOOKUP(D49,PREVCURVES,VLOOKUP(G49,MOVE_DOWN2,2,FALSE),FALSE)),VLOOKUP(G49,NGPREVPRICES,2,FALSE),CK49,VLOOKUP(G49,NGPrices,4,FALSE),HLOOKUP(D49,PREVVOLS,VLOOKUP(G49,MOVE_DOWN2,2,FALSE),FALSE),VLOOKUP(G49,NGPREVPRICES,3,FALSE),HLOOKUP(D49,Correllate,VLOOKUP(G49,CorMove,2,FALSE),FALSE),Q49-$CD$3,R49,$CJ$5)*H49-CJ49</f>
        <v>0</v>
      </c>
      <c r="CF49" s="10">
        <f t="shared" si="72"/>
        <v>-29.864296250598272</v>
      </c>
      <c r="CG49" s="234">
        <f>_xll.xSPRDOPT((VLOOKUP(G49,NGPREVPRICES,2,FALSE)+HLOOKUP(D49,PREVCURVES,VLOOKUP(G49,MOVE_DOWN2,2,FALSE),FALSE)),VLOOKUP(G49,NGPREVPRICES,2,FALSE),CK49,VLOOKUP(G49,NGPREVPRICES,4,FALSE),HLOOKUP(D49,VOLS,VLOOKUP(G49,move_down,2,FALSE),FALSE),VLOOKUP(G49,NGPrices,3,FALSE),HLOOKUP(D49,Correllate,VLOOKUP(G49,CorMove,2,FALSE),FALSE),Q49-$CD$3,R49,$CJ$5)*H49-CJ49</f>
        <v>0</v>
      </c>
      <c r="CH49" s="234">
        <f>_xll.xSPRDOPT((VLOOKUP(G49,NGPREVPRICES,2,FALSE)+HLOOKUP(D49,PREVCURVES,VLOOKUP(G49,MOVE_DOWN2,2,FALSE),FALSE)),VLOOKUP(G49,NGPREVPRICES,2,FALSE),CK49,VLOOKUP(G49,NGPREVPRICES,4,FALSE),HLOOKUP(D49,PREVVOLS,VLOOKUP(G49,MOVE_DOWN2,2,FALSE),FALSE),VLOOKUP(G49,NGPREVPRICES,3,FALSE),HLOOKUP(D49,Correllate,VLOOKUP(G49,CorMove,2,FALSE),FALSE),Q49-$C$3,R49,$CJ$5)*H49-CJ49</f>
        <v>-336.67278887654538</v>
      </c>
      <c r="CI49" s="234">
        <f t="shared" si="73"/>
        <v>-366.53708512714365</v>
      </c>
      <c r="CJ49" s="234">
        <f>_xll.xSPRDOPT((VLOOKUP(G49,NGPREVPRICES,2,FALSE)+HLOOKUP(D49,PREVCURVES,VLOOKUP(G49,MOVE_DOWN2,2,FALSE),FALSE)),VLOOKUP(G49,NGPREVPRICES,2,FALSE),CK49,VLOOKUP(G49,NGPREVPRICES,4,FALSE),HLOOKUP(D49,PREVVOLS,VLOOKUP(G49,MOVE_DOWN2,2,FALSE),FALSE),VLOOKUP(G49,NGPREVPRICES,3,FALSE),HLOOKUP(D49,Correllate,VLOOKUP(G49,CorMove,2,FALSE),FALSE),Q49-$CD$3,R49,$CJ$5)*H49</f>
        <v>161992.76697654725</v>
      </c>
      <c r="CK49" s="235">
        <f t="shared" si="74"/>
        <v>-0.3</v>
      </c>
      <c r="CL49" s="234"/>
      <c r="CM49" t="str">
        <f t="shared" si="75"/>
        <v>36800Curve Shift/Gamma</v>
      </c>
      <c r="CN49" t="str">
        <f t="shared" si="19"/>
        <v>36800Rho</v>
      </c>
      <c r="CO49" t="str">
        <f t="shared" si="20"/>
        <v>36800Drift</v>
      </c>
      <c r="CP49" t="str">
        <f t="shared" si="21"/>
        <v>36800Vega</v>
      </c>
      <c r="CQ49" t="str">
        <f t="shared" si="22"/>
        <v>36800Theta</v>
      </c>
    </row>
    <row r="50" spans="1:95" ht="12" customHeight="1" x14ac:dyDescent="0.25">
      <c r="A50" t="s">
        <v>286</v>
      </c>
      <c r="B50" t="s">
        <v>250</v>
      </c>
      <c r="C50" t="s">
        <v>299</v>
      </c>
      <c r="D50" s="4" t="s">
        <v>9</v>
      </c>
      <c r="E50" t="s">
        <v>20</v>
      </c>
      <c r="F50" t="s">
        <v>21</v>
      </c>
      <c r="G50" s="5">
        <v>36770</v>
      </c>
      <c r="H50" s="130">
        <v>300000</v>
      </c>
      <c r="I50">
        <v>-0.3</v>
      </c>
      <c r="J50" s="53">
        <f t="shared" si="60"/>
        <v>4.6849999999999996</v>
      </c>
      <c r="K50" s="7">
        <f t="shared" si="61"/>
        <v>-1.24</v>
      </c>
      <c r="L50" s="53">
        <f t="shared" si="62"/>
        <v>3.4449999999999994</v>
      </c>
      <c r="M50" s="157">
        <f t="shared" si="80"/>
        <v>6.7216196212184998E-2</v>
      </c>
      <c r="N50" s="4">
        <f t="shared" si="81"/>
        <v>0.4</v>
      </c>
      <c r="O50" s="4">
        <f t="shared" si="82"/>
        <v>0.38400000000000001</v>
      </c>
      <c r="P50" s="9">
        <f t="shared" si="83"/>
        <v>0.84</v>
      </c>
      <c r="Q50" s="5">
        <f t="shared" si="8"/>
        <v>36768</v>
      </c>
      <c r="R50" s="4">
        <f t="shared" si="84"/>
        <v>1</v>
      </c>
      <c r="S50" s="158">
        <f>_xll.xSPRDOPT($L50,$J50,$I50,$M50,$O50,$N50,$P50,$Q50-$C$3,$R50,0)</f>
        <v>1.2322742920511942E-7</v>
      </c>
      <c r="T50" s="159">
        <f>_xll.xSPRDOPT($L50,$J50,$I50,$M50,$O50,$N50,$P50,$Q50-$C$3,$R50,1)*H50</f>
        <v>-5.0898722470105184E-2</v>
      </c>
      <c r="U50" s="160">
        <f t="shared" si="85"/>
        <v>3.6968228761535826E-2</v>
      </c>
      <c r="V50" s="159">
        <f>_xll.xSPRDOPT($L50,$J50,$I50,$M50,$O50,$N50,$P50,$Q50-$C$3,$R50,2)*H50</f>
        <v>3.9320339284554251E-2</v>
      </c>
      <c r="W50" s="159">
        <f t="shared" si="86"/>
        <v>-1.1578383185550933E-2</v>
      </c>
      <c r="X50" s="51" t="str">
        <f t="shared" si="63"/>
        <v>36770IF-NWPL_ROCKY_M</v>
      </c>
      <c r="Y50" s="418">
        <f t="shared" si="64"/>
        <v>30</v>
      </c>
      <c r="Z50" s="456">
        <f t="shared" si="65"/>
        <v>-1.6966240823368395E-7</v>
      </c>
      <c r="AA50" s="456">
        <f>_xll.xSPRDOPT($L50,$J50,$I50,$M50,$O50,$N50,$P50,$Q50-$C$3,$R50,3)</f>
        <v>-3.9742089282372463E-5</v>
      </c>
      <c r="AB50" s="456">
        <f>((_xll.xSPRDOPT($L50+AB$5,$J50,$I50,$M50,$O50,$N50,$P50,$Q50-$C$3,$R50,3)*$H50)/10000)/100</f>
        <v>-1.1922626784711739E-5</v>
      </c>
      <c r="AC50" s="456">
        <f>((_xll.xSPRDOPT($L50+$AB$5,$J50,$I50,$M50,$O50,$N50,$P50,$Q50-$C$3,$R50,7)*$H50)/100)</f>
        <v>5.6373863931772174E-5</v>
      </c>
      <c r="AD50" s="456">
        <f>(_xll.xSPRDOPT($L50+$AB$5,$J50,$I50,$M50,$O50,$N50,$P50,$Q50-$C$3,$R50,9)/365)*$H50</f>
        <v>8.5552502981466366E-6</v>
      </c>
      <c r="AE50">
        <f t="shared" si="15"/>
        <v>0</v>
      </c>
      <c r="AF50" s="456">
        <f t="shared" si="66"/>
        <v>-3.4235862598795852E-8</v>
      </c>
      <c r="AG50" s="456">
        <f>((_xll.xSPRDOPT($L50,$J50,$I50,$M50,$O50,$N50,$P50,$Q50-$C$3,$R50,6)*$H50)/100)</f>
        <v>-2.1859228817576345E-6</v>
      </c>
      <c r="AH50" s="456">
        <f>((_xll.xSPRDOPT($L50,$J50,$I50,$M50,$O50,$N50,$P50,$Q50-$C$3,$R50,5)*$H50)/100)</f>
        <v>2.2413406449571236E-6</v>
      </c>
      <c r="AI50" s="456">
        <f>(((_xll.xSPRDOPT($L50,$J50,$I50,$M50,$O50,$N50,$P50,$Q50-$C$3,$R50,4)*$H50)/10000)/100)-AB50</f>
        <v>1.1922626784711739E-5</v>
      </c>
      <c r="AJ50" s="456"/>
      <c r="AK50" s="456"/>
      <c r="AL50" s="456"/>
      <c r="AM50" s="472"/>
      <c r="AN50" s="128">
        <f t="shared" si="67"/>
        <v>38047</v>
      </c>
      <c r="AO50" s="43">
        <f t="shared" si="76"/>
        <v>0</v>
      </c>
      <c r="AP50" s="43">
        <f t="shared" si="76"/>
        <v>0</v>
      </c>
      <c r="AQ50" s="43">
        <f t="shared" si="76"/>
        <v>0</v>
      </c>
      <c r="AR50" s="43">
        <f t="shared" si="76"/>
        <v>0</v>
      </c>
      <c r="AS50" s="43">
        <f t="shared" si="76"/>
        <v>0</v>
      </c>
      <c r="AT50" s="43">
        <f t="shared" si="76"/>
        <v>0</v>
      </c>
      <c r="AU50" s="43">
        <f t="shared" si="76"/>
        <v>0</v>
      </c>
      <c r="AV50" s="43">
        <f t="shared" si="76"/>
        <v>0</v>
      </c>
      <c r="AW50" s="43">
        <f t="shared" si="76"/>
        <v>0</v>
      </c>
      <c r="AX50" s="43">
        <f t="shared" si="76"/>
        <v>0</v>
      </c>
      <c r="AY50" s="43">
        <f t="shared" si="76"/>
        <v>0</v>
      </c>
      <c r="AZ50" s="43">
        <f t="shared" si="76"/>
        <v>0</v>
      </c>
      <c r="BA50" s="44">
        <f t="shared" si="76"/>
        <v>0</v>
      </c>
      <c r="BB50" s="128">
        <f t="shared" si="68"/>
        <v>38047</v>
      </c>
      <c r="BC50" s="44">
        <f t="shared" si="41"/>
        <v>0</v>
      </c>
      <c r="BD50" s="51"/>
      <c r="BE50" s="128">
        <f t="shared" si="69"/>
        <v>38047</v>
      </c>
      <c r="BF50" s="43">
        <f t="shared" si="77"/>
        <v>0</v>
      </c>
      <c r="BG50" s="43">
        <f t="shared" si="77"/>
        <v>0</v>
      </c>
      <c r="BH50" s="43">
        <f t="shared" si="77"/>
        <v>0</v>
      </c>
      <c r="BI50" s="43">
        <f t="shared" si="77"/>
        <v>0</v>
      </c>
      <c r="BJ50" s="43">
        <f t="shared" si="77"/>
        <v>0</v>
      </c>
      <c r="BK50" s="43">
        <f t="shared" si="77"/>
        <v>0</v>
      </c>
      <c r="BL50" s="43">
        <f t="shared" si="77"/>
        <v>0</v>
      </c>
      <c r="BM50" s="43">
        <f t="shared" si="77"/>
        <v>0</v>
      </c>
      <c r="BN50" s="43">
        <f t="shared" si="77"/>
        <v>0</v>
      </c>
      <c r="BO50" s="43">
        <f t="shared" si="77"/>
        <v>0</v>
      </c>
      <c r="BP50" s="43">
        <f t="shared" si="77"/>
        <v>0</v>
      </c>
      <c r="BQ50" s="43">
        <f t="shared" si="77"/>
        <v>0</v>
      </c>
      <c r="BR50" s="44">
        <f t="shared" si="77"/>
        <v>0</v>
      </c>
      <c r="BS50" s="128">
        <f t="shared" si="70"/>
        <v>38047</v>
      </c>
      <c r="BT50" s="44">
        <f t="shared" si="37"/>
        <v>0</v>
      </c>
      <c r="BU50" s="51"/>
      <c r="BV50" s="51"/>
      <c r="BW50" s="51"/>
      <c r="BX50" s="51"/>
      <c r="BY50" s="51"/>
      <c r="BZ50" s="51"/>
      <c r="CA50" s="51"/>
      <c r="CB50" s="51"/>
      <c r="CC50" s="141">
        <f t="shared" si="71"/>
        <v>36770</v>
      </c>
      <c r="CD50" s="234">
        <f>_xll.xSPRDOPT((VLOOKUP(G50,NGPrices,2,FALSE)+HLOOKUP(D50,Prices,VLOOKUP(G50,move_down,2,FALSE),FALSE)),VLOOKUP(G50,NGPrices,2,FALSE),I50,VLOOKUP(G50,NGPREVPRICES,4,FALSE),HLOOKUP(D50,PREVVOLS,VLOOKUP(G50,MOVE_DOWN2,2,FALSE),FALSE),VLOOKUP(G50,NGPREVPRICES,3,FALSE),HLOOKUP(D50,Correllate,VLOOKUP(G50,CorMove,2,FALSE),FALSE),Q50-$CD$3,R50,$CD$5)*H50-CJ50</f>
        <v>0</v>
      </c>
      <c r="CE50" s="234">
        <f>_xll.xSPRDOPT((VLOOKUP(G50,NGPREVPRICES,2,FALSE)+HLOOKUP(D50,PREVCURVES,VLOOKUP(G50,MOVE_DOWN2,2,FALSE),FALSE)),VLOOKUP(G50,NGPREVPRICES,2,FALSE),CK50,VLOOKUP(G50,NGPrices,4,FALSE),HLOOKUP(D50,PREVVOLS,VLOOKUP(G50,MOVE_DOWN2,2,FALSE),FALSE),VLOOKUP(G50,NGPREVPRICES,3,FALSE),HLOOKUP(D50,Correllate,VLOOKUP(G50,CorMove,2,FALSE),FALSE),Q50-$CD$3,R50,$CJ$5)*H50-CJ50</f>
        <v>0</v>
      </c>
      <c r="CF50" s="10">
        <f t="shared" si="72"/>
        <v>-6.7350048289296915E-6</v>
      </c>
      <c r="CG50" s="234">
        <f>_xll.xSPRDOPT((VLOOKUP(G50,NGPREVPRICES,2,FALSE)+HLOOKUP(D50,PREVCURVES,VLOOKUP(G50,MOVE_DOWN2,2,FALSE),FALSE)),VLOOKUP(G50,NGPREVPRICES,2,FALSE),CK50,VLOOKUP(G50,NGPREVPRICES,4,FALSE),HLOOKUP(D50,VOLS,VLOOKUP(G50,move_down,2,FALSE),FALSE),VLOOKUP(G50,NGPrices,3,FALSE),HLOOKUP(D50,Correllate,VLOOKUP(G50,CorMove,2,FALSE),FALSE),Q50-$CD$3,R50,$CJ$5)*H50-CJ50</f>
        <v>0</v>
      </c>
      <c r="CH50" s="234">
        <f>_xll.xSPRDOPT((VLOOKUP(G50,NGPREVPRICES,2,FALSE)+HLOOKUP(D50,PREVCURVES,VLOOKUP(G50,MOVE_DOWN2,2,FALSE),FALSE)),VLOOKUP(G50,NGPREVPRICES,2,FALSE),CK50,VLOOKUP(G50,NGPREVPRICES,4,FALSE),HLOOKUP(D50,PREVVOLS,VLOOKUP(G50,MOVE_DOWN2,2,FALSE),FALSE),VLOOKUP(G50,NGPREVPRICES,3,FALSE),HLOOKUP(D50,Correllate,VLOOKUP(G50,CorMove,2,FALSE),FALSE),Q50-$C$3,R50,$CJ$5)*H50-CJ50</f>
        <v>8.5494777923855736E-6</v>
      </c>
      <c r="CI50" s="234">
        <f t="shared" si="73"/>
        <v>1.814472963455882E-6</v>
      </c>
      <c r="CJ50" s="234">
        <f>_xll.xSPRDOPT((VLOOKUP(G50,NGPREVPRICES,2,FALSE)+HLOOKUP(D50,PREVCURVES,VLOOKUP(G50,MOVE_DOWN2,2,FALSE),FALSE)),VLOOKUP(G50,NGPREVPRICES,2,FALSE),CK50,VLOOKUP(G50,NGPREVPRICES,4,FALSE),HLOOKUP(D50,PREVVOLS,VLOOKUP(G50,MOVE_DOWN2,2,FALSE),FALSE),VLOOKUP(G50,NGPREVPRICES,3,FALSE),HLOOKUP(D50,Correllate,VLOOKUP(G50,CorMove,2,FALSE),FALSE),Q50-$CD$3,R50,$CJ$5)*H50</f>
        <v>3.6959679283743441E-2</v>
      </c>
      <c r="CK50" s="235">
        <f t="shared" si="74"/>
        <v>-0.3</v>
      </c>
      <c r="CL50" s="234"/>
      <c r="CM50" t="str">
        <f t="shared" si="75"/>
        <v>36770Curve Shift/Gamma</v>
      </c>
      <c r="CN50" t="str">
        <f t="shared" si="19"/>
        <v>36770Rho</v>
      </c>
      <c r="CO50" t="str">
        <f t="shared" si="20"/>
        <v>36770Drift</v>
      </c>
      <c r="CP50" t="str">
        <f t="shared" si="21"/>
        <v>36770Vega</v>
      </c>
      <c r="CQ50" t="str">
        <f t="shared" si="22"/>
        <v>36770Theta</v>
      </c>
    </row>
    <row r="51" spans="1:95" ht="12" customHeight="1" x14ac:dyDescent="0.25">
      <c r="A51" s="140" t="s">
        <v>286</v>
      </c>
      <c r="B51" t="s">
        <v>250</v>
      </c>
      <c r="C51" t="s">
        <v>299</v>
      </c>
      <c r="D51" s="4" t="s">
        <v>9</v>
      </c>
      <c r="E51" t="s">
        <v>20</v>
      </c>
      <c r="F51" t="s">
        <v>1</v>
      </c>
      <c r="G51" s="5">
        <v>36770</v>
      </c>
      <c r="H51" s="130">
        <v>300000</v>
      </c>
      <c r="I51">
        <v>-0.3</v>
      </c>
      <c r="J51" s="53">
        <f t="shared" si="60"/>
        <v>4.6849999999999996</v>
      </c>
      <c r="K51" s="7">
        <f t="shared" si="61"/>
        <v>-1.24</v>
      </c>
      <c r="L51" s="53">
        <f t="shared" si="62"/>
        <v>3.4449999999999994</v>
      </c>
      <c r="M51" s="157">
        <f t="shared" si="80"/>
        <v>6.7216196212184998E-2</v>
      </c>
      <c r="N51" s="4">
        <f t="shared" si="81"/>
        <v>0.4</v>
      </c>
      <c r="O51" s="4">
        <f t="shared" si="82"/>
        <v>0.38400000000000001</v>
      </c>
      <c r="P51" s="9">
        <f t="shared" si="83"/>
        <v>0.84</v>
      </c>
      <c r="Q51" s="5">
        <f t="shared" si="8"/>
        <v>36768</v>
      </c>
      <c r="R51" s="4">
        <f t="shared" si="84"/>
        <v>0</v>
      </c>
      <c r="S51" s="158">
        <f>_xll.xSPRDOPT($L51,$J51,$I51,$M51,$O51,$N51,$P51,$Q51-$C$3,$R51,0)</f>
        <v>0.9398271529028368</v>
      </c>
      <c r="T51" s="159">
        <f>_xll.xSPRDOPT($L51,$J51,$I51,$M51,$O51,$N51,$P51,$Q51-$C$3,$R51,1)*H51</f>
        <v>-299944.84760363965</v>
      </c>
      <c r="U51" s="160">
        <f t="shared" si="85"/>
        <v>281948.14587085106</v>
      </c>
      <c r="V51" s="159">
        <f>_xll.xSPRDOPT($L51,$J51,$I51,$M51,$O51,$N51,$P51,$Q51-$C$3,$R51,2)*H51</f>
        <v>299944.83602525649</v>
      </c>
      <c r="W51" s="159">
        <f t="shared" si="86"/>
        <v>-1.1578383157029748E-2</v>
      </c>
      <c r="X51" s="51" t="str">
        <f t="shared" si="63"/>
        <v>36770IF-NWPL_ROCKY_M</v>
      </c>
      <c r="Y51" s="418">
        <f t="shared" si="64"/>
        <v>30</v>
      </c>
      <c r="Z51" s="456">
        <f t="shared" si="65"/>
        <v>-0.99981615867879881</v>
      </c>
      <c r="AA51" s="456">
        <f>_xll.xSPRDOPT($L51,$J51,$I51,$M51,$O51,$N51,$P51,$Q51-$C$3,$R51,3)</f>
        <v>-3.9742089282372463E-5</v>
      </c>
      <c r="AB51" s="456">
        <f>((_xll.xSPRDOPT($L51+AB$5,$J51,$I51,$M51,$O51,$N51,$P51,$Q51-$C$3,$R51,3)*$H51)/10000)/100</f>
        <v>-1.1922626784711739E-5</v>
      </c>
      <c r="AC51" s="456">
        <f>((_xll.xSPRDOPT($L51+$AB$5,$J51,$I51,$M51,$O51,$N51,$P51,$Q51-$C$3,$R51,7)*$H51)/100)</f>
        <v>5.6373863931772174E-5</v>
      </c>
      <c r="AD51" s="456">
        <f>(_xll.xSPRDOPT($L51+$AB$5,$J51,$I51,$M51,$O51,$N51,$P51,$Q51-$C$3,$R51,9)/365)*$H51</f>
        <v>51.921869951560339</v>
      </c>
      <c r="AE51">
        <f t="shared" si="15"/>
        <v>0</v>
      </c>
      <c r="AF51" s="456">
        <f t="shared" si="66"/>
        <v>-3.4235862598795852E-8</v>
      </c>
      <c r="AG51" s="456">
        <f>((_xll.xSPRDOPT($L51,$J51,$I51,$M51,$O51,$N51,$P51,$Q51-$C$3,$R51,6)*$H51)/100)</f>
        <v>-2.1859228817576345E-6</v>
      </c>
      <c r="AH51" s="456">
        <f>((_xll.xSPRDOPT($L51,$J51,$I51,$M51,$O51,$N51,$P51,$Q51-$C$3,$R51,5)*$H51)/100)</f>
        <v>2.2413406449571236E-6</v>
      </c>
      <c r="AI51" s="456">
        <f>(((_xll.xSPRDOPT($L51,$J51,$I51,$M51,$O51,$N51,$P51,$Q51-$C$3,$R51,4)*$H51)/10000)/100)-AB51</f>
        <v>1.1922626784711739E-5</v>
      </c>
      <c r="AJ51" s="456"/>
      <c r="AK51" s="456"/>
      <c r="AL51" s="456"/>
      <c r="AM51" s="472"/>
      <c r="AN51" s="128">
        <f t="shared" si="67"/>
        <v>38078</v>
      </c>
      <c r="AO51" s="43">
        <f t="shared" si="76"/>
        <v>0</v>
      </c>
      <c r="AP51" s="43">
        <f t="shared" si="76"/>
        <v>0</v>
      </c>
      <c r="AQ51" s="43">
        <f t="shared" si="76"/>
        <v>0</v>
      </c>
      <c r="AR51" s="43">
        <f t="shared" si="76"/>
        <v>0</v>
      </c>
      <c r="AS51" s="43">
        <f t="shared" si="76"/>
        <v>0</v>
      </c>
      <c r="AT51" s="43">
        <f t="shared" si="76"/>
        <v>0</v>
      </c>
      <c r="AU51" s="43">
        <f t="shared" si="76"/>
        <v>0</v>
      </c>
      <c r="AV51" s="43">
        <f t="shared" si="76"/>
        <v>0</v>
      </c>
      <c r="AW51" s="43">
        <f t="shared" si="76"/>
        <v>0</v>
      </c>
      <c r="AX51" s="43">
        <f t="shared" si="76"/>
        <v>0</v>
      </c>
      <c r="AY51" s="43">
        <f t="shared" si="76"/>
        <v>0</v>
      </c>
      <c r="AZ51" s="43">
        <f t="shared" si="76"/>
        <v>0</v>
      </c>
      <c r="BA51" s="44">
        <f t="shared" si="76"/>
        <v>0</v>
      </c>
      <c r="BB51" s="128">
        <f t="shared" si="68"/>
        <v>38078</v>
      </c>
      <c r="BC51" s="44">
        <f t="shared" si="41"/>
        <v>0</v>
      </c>
      <c r="BD51" s="51"/>
      <c r="BE51" s="128">
        <f t="shared" si="69"/>
        <v>38078</v>
      </c>
      <c r="BF51" s="43">
        <f t="shared" si="77"/>
        <v>0</v>
      </c>
      <c r="BG51" s="43">
        <f t="shared" si="77"/>
        <v>0</v>
      </c>
      <c r="BH51" s="43">
        <f t="shared" si="77"/>
        <v>0</v>
      </c>
      <c r="BI51" s="43">
        <f t="shared" si="77"/>
        <v>0</v>
      </c>
      <c r="BJ51" s="43">
        <f t="shared" si="77"/>
        <v>0</v>
      </c>
      <c r="BK51" s="43">
        <f t="shared" si="77"/>
        <v>0</v>
      </c>
      <c r="BL51" s="43">
        <f t="shared" si="77"/>
        <v>0</v>
      </c>
      <c r="BM51" s="43">
        <f t="shared" si="77"/>
        <v>0</v>
      </c>
      <c r="BN51" s="43">
        <f t="shared" si="77"/>
        <v>0</v>
      </c>
      <c r="BO51" s="43">
        <f t="shared" si="77"/>
        <v>0</v>
      </c>
      <c r="BP51" s="43">
        <f t="shared" si="77"/>
        <v>0</v>
      </c>
      <c r="BQ51" s="43">
        <f t="shared" si="77"/>
        <v>0</v>
      </c>
      <c r="BR51" s="44">
        <f t="shared" si="77"/>
        <v>0</v>
      </c>
      <c r="BS51" s="128">
        <f t="shared" si="70"/>
        <v>38078</v>
      </c>
      <c r="BT51" s="44">
        <f t="shared" si="37"/>
        <v>0</v>
      </c>
      <c r="BU51" s="51"/>
      <c r="BV51" s="51"/>
      <c r="BW51" s="51"/>
      <c r="BX51" s="51"/>
      <c r="BY51" s="51"/>
      <c r="BZ51" s="51"/>
      <c r="CA51" s="51"/>
      <c r="CB51" s="51"/>
      <c r="CC51" s="141">
        <f t="shared" si="71"/>
        <v>36770</v>
      </c>
      <c r="CD51" s="234">
        <f>_xll.xSPRDOPT((VLOOKUP(G51,NGPrices,2,FALSE)+HLOOKUP(D51,Prices,VLOOKUP(G51,move_down,2,FALSE),FALSE)),VLOOKUP(G51,NGPrices,2,FALSE),I51,VLOOKUP(G51,NGPREVPRICES,4,FALSE),HLOOKUP(D51,PREVVOLS,VLOOKUP(G51,MOVE_DOWN2,2,FALSE),FALSE),VLOOKUP(G51,NGPREVPRICES,3,FALSE),HLOOKUP(D51,Correllate,VLOOKUP(G51,CorMove,2,FALSE),FALSE),Q51-$CD$3,R51,$CD$5)*H51-CJ51</f>
        <v>0</v>
      </c>
      <c r="CE51" s="234">
        <f>_xll.xSPRDOPT((VLOOKUP(G51,NGPREVPRICES,2,FALSE)+HLOOKUP(D51,PREVCURVES,VLOOKUP(G51,MOVE_DOWN2,2,FALSE),FALSE)),VLOOKUP(G51,NGPREVPRICES,2,FALSE),CK51,VLOOKUP(G51,NGPrices,4,FALSE),HLOOKUP(D51,PREVVOLS,VLOOKUP(G51,MOVE_DOWN2,2,FALSE),FALSE),VLOOKUP(G51,NGPREVPRICES,3,FALSE),HLOOKUP(D51,Correllate,VLOOKUP(G51,CorMove,2,FALSE),FALSE),Q51-$CD$3,R51,$CJ$5)*H51-CJ51</f>
        <v>0</v>
      </c>
      <c r="CF51" s="10">
        <f t="shared" si="72"/>
        <v>-51.368754767405335</v>
      </c>
      <c r="CG51" s="234">
        <f>_xll.xSPRDOPT((VLOOKUP(G51,NGPREVPRICES,2,FALSE)+HLOOKUP(D51,PREVCURVES,VLOOKUP(G51,MOVE_DOWN2,2,FALSE),FALSE)),VLOOKUP(G51,NGPREVPRICES,2,FALSE),CK51,VLOOKUP(G51,NGPREVPRICES,4,FALSE),HLOOKUP(D51,VOLS,VLOOKUP(G51,move_down,2,FALSE),FALSE),VLOOKUP(G51,NGPrices,3,FALSE),HLOOKUP(D51,Correllate,VLOOKUP(G51,CorMove,2,FALSE),FALSE),Q51-$CD$3,R51,$CJ$5)*H51-CJ51</f>
        <v>0</v>
      </c>
      <c r="CH51" s="234">
        <f>_xll.xSPRDOPT((VLOOKUP(G51,NGPREVPRICES,2,FALSE)+HLOOKUP(D51,PREVCURVES,VLOOKUP(G51,MOVE_DOWN2,2,FALSE),FALSE)),VLOOKUP(G51,NGPREVPRICES,2,FALSE),CK51,VLOOKUP(G51,NGPREVPRICES,4,FALSE),HLOOKUP(D51,PREVVOLS,VLOOKUP(G51,MOVE_DOWN2,2,FALSE),FALSE),VLOOKUP(G51,NGPREVPRICES,3,FALSE),HLOOKUP(D51,Correllate,VLOOKUP(G51,CorMove,2,FALSE),FALSE),Q51-$C$3,R51,$CJ$5)*H51-CJ51</f>
        <v>51.881557395448908</v>
      </c>
      <c r="CI51" s="234">
        <f t="shared" si="73"/>
        <v>0.51280262804357335</v>
      </c>
      <c r="CJ51" s="234">
        <f>_xll.xSPRDOPT((VLOOKUP(G51,NGPREVPRICES,2,FALSE)+HLOOKUP(D51,PREVCURVES,VLOOKUP(G51,MOVE_DOWN2,2,FALSE),FALSE)),VLOOKUP(G51,NGPREVPRICES,2,FALSE),CK51,VLOOKUP(G51,NGPREVPRICES,4,FALSE),HLOOKUP(D51,PREVVOLS,VLOOKUP(G51,MOVE_DOWN2,2,FALSE),FALSE),VLOOKUP(G51,NGPREVPRICES,3,FALSE),HLOOKUP(D51,Correllate,VLOOKUP(G51,CorMove,2,FALSE),FALSE),Q51-$CD$3,R51,$CJ$5)*H51</f>
        <v>281896.26431345561</v>
      </c>
      <c r="CK51" s="235">
        <f t="shared" si="74"/>
        <v>-0.3</v>
      </c>
      <c r="CL51" s="234"/>
      <c r="CM51" t="str">
        <f t="shared" si="75"/>
        <v>36770Curve Shift/Gamma</v>
      </c>
      <c r="CN51" t="str">
        <f t="shared" si="19"/>
        <v>36770Rho</v>
      </c>
      <c r="CO51" t="str">
        <f t="shared" si="20"/>
        <v>36770Drift</v>
      </c>
      <c r="CP51" t="str">
        <f t="shared" si="21"/>
        <v>36770Vega</v>
      </c>
      <c r="CQ51" t="str">
        <f t="shared" si="22"/>
        <v>36770Theta</v>
      </c>
    </row>
    <row r="52" spans="1:95" ht="12" customHeight="1" x14ac:dyDescent="0.25">
      <c r="A52" s="382" t="s">
        <v>279</v>
      </c>
      <c r="B52" t="s">
        <v>250</v>
      </c>
      <c r="C52" t="s">
        <v>300</v>
      </c>
      <c r="D52" s="4" t="s">
        <v>7</v>
      </c>
      <c r="E52" t="s">
        <v>20</v>
      </c>
      <c r="F52" t="s">
        <v>1</v>
      </c>
      <c r="G52" s="5">
        <v>36923</v>
      </c>
      <c r="H52" s="130">
        <v>500000</v>
      </c>
      <c r="I52">
        <v>1</v>
      </c>
      <c r="J52" s="53">
        <f t="shared" si="60"/>
        <v>4.4800000000000004</v>
      </c>
      <c r="K52" s="7">
        <f t="shared" si="61"/>
        <v>2.09</v>
      </c>
      <c r="L52" s="53">
        <f t="shared" si="62"/>
        <v>6.57</v>
      </c>
      <c r="M52" s="157">
        <f t="shared" si="80"/>
        <v>6.8640161611372E-2</v>
      </c>
      <c r="N52" s="4">
        <f t="shared" si="81"/>
        <v>0.59250000000000003</v>
      </c>
      <c r="O52" s="4">
        <f t="shared" si="82"/>
        <v>0.68100000000000005</v>
      </c>
      <c r="P52" s="9">
        <f t="shared" si="83"/>
        <v>0.83</v>
      </c>
      <c r="Q52" s="5">
        <f t="shared" si="8"/>
        <v>36921</v>
      </c>
      <c r="R52" s="4">
        <f t="shared" si="84"/>
        <v>0</v>
      </c>
      <c r="S52" s="158">
        <f>_xll.xSPRDOPT($L52,$J52,$I52,$M52,$O52,$N52,$P52,$Q52-$C$3,$R52,0)</f>
        <v>0.20364653958489365</v>
      </c>
      <c r="T52" s="159">
        <f>_xll.xSPRDOPT($L52,$J52,$I52,$M52,$O52,$N52,$P52,$Q52-$C$3,$R52,1)*H52</f>
        <v>-96540.221121201976</v>
      </c>
      <c r="U52" s="160">
        <f t="shared" si="85"/>
        <v>101823.26979244682</v>
      </c>
      <c r="V52" s="159">
        <f>_xll.xSPRDOPT($L52,$J52,$I52,$M52,$O52,$N52,$P52,$Q52-$C$3,$R52,2)*H52</f>
        <v>131695.85817183738</v>
      </c>
      <c r="W52" s="159">
        <f t="shared" si="86"/>
        <v>35155.6370506354</v>
      </c>
      <c r="X52" s="51" t="str">
        <f t="shared" si="63"/>
        <v>36923IF-TRANSCO/Z6</v>
      </c>
      <c r="Y52" s="418">
        <f t="shared" si="64"/>
        <v>50</v>
      </c>
      <c r="Z52" s="456">
        <f t="shared" si="65"/>
        <v>-0.19308044224240395</v>
      </c>
      <c r="AA52" s="456">
        <f>_xll.xSPRDOPT($L52,$J52,$I52,$M52,$O52,$N52,$P52,$Q52-$C$3,$R52,3)</f>
        <v>0.16290639166973006</v>
      </c>
      <c r="AB52" s="456">
        <f>((_xll.xSPRDOPT($L52+AB$5,$J52,$I52,$M52,$O52,$N52,$P52,$Q52-$C$3,$R52,3)*$H52)/10000)/100</f>
        <v>8.1453195834865044E-2</v>
      </c>
      <c r="AC52" s="456">
        <f>((_xll.xSPRDOPT($L52+$AB$5,$J52,$I52,$M52,$O52,$N52,$P52,$Q52-$C$3,$R52,7)*$H52)/100)</f>
        <v>-4852.4806207674628</v>
      </c>
      <c r="AD52" s="456">
        <f>(_xll.xSPRDOPT($L52+$AB$5,$J52,$I52,$M52,$O52,$N52,$P52,$Q52-$C$3,$R52,9)/365)*$H52</f>
        <v>-715.94617198338983</v>
      </c>
      <c r="AE52">
        <f t="shared" si="15"/>
        <v>0</v>
      </c>
      <c r="AF52" s="456">
        <f t="shared" si="66"/>
        <v>3818.6355943287022</v>
      </c>
      <c r="AG52" s="456">
        <f>((_xll.xSPRDOPT($L52,$J52,$I52,$M52,$O52,$N52,$P52,$Q52-$C$3,$R52,6)*$H52)/100)</f>
        <v>-986.96132790315858</v>
      </c>
      <c r="AH52" s="456">
        <f>((_xll.xSPRDOPT($L52,$J52,$I52,$M52,$O52,$N52,$P52,$Q52-$C$3,$R52,5)*$H52)/100)</f>
        <v>4181.0810226466629</v>
      </c>
      <c r="AI52" s="456">
        <f>(((_xll.xSPRDOPT($L52,$J52,$I52,$M52,$O52,$N52,$P52,$Q52-$C$3,$R52,4)*$H52)/10000)/100)-AB52</f>
        <v>3.4436368188871816E-2</v>
      </c>
      <c r="AJ52" s="456"/>
      <c r="AK52" s="456"/>
      <c r="AL52" s="456"/>
      <c r="AM52" s="472"/>
      <c r="AN52" s="128">
        <f t="shared" si="67"/>
        <v>38108</v>
      </c>
      <c r="AO52" s="43">
        <f t="shared" si="76"/>
        <v>0</v>
      </c>
      <c r="AP52" s="43">
        <f t="shared" si="76"/>
        <v>0</v>
      </c>
      <c r="AQ52" s="43">
        <f t="shared" si="76"/>
        <v>0</v>
      </c>
      <c r="AR52" s="43">
        <f t="shared" si="76"/>
        <v>0</v>
      </c>
      <c r="AS52" s="43">
        <f t="shared" si="76"/>
        <v>0</v>
      </c>
      <c r="AT52" s="43">
        <f t="shared" si="76"/>
        <v>0</v>
      </c>
      <c r="AU52" s="43">
        <f t="shared" si="76"/>
        <v>0</v>
      </c>
      <c r="AV52" s="43">
        <f t="shared" si="76"/>
        <v>0</v>
      </c>
      <c r="AW52" s="43">
        <f t="shared" si="76"/>
        <v>0</v>
      </c>
      <c r="AX52" s="43">
        <f t="shared" si="76"/>
        <v>0</v>
      </c>
      <c r="AY52" s="43">
        <f t="shared" si="76"/>
        <v>0</v>
      </c>
      <c r="AZ52" s="43">
        <f t="shared" si="76"/>
        <v>0</v>
      </c>
      <c r="BA52" s="44">
        <f t="shared" si="76"/>
        <v>0</v>
      </c>
      <c r="BB52" s="128">
        <f t="shared" si="68"/>
        <v>38108</v>
      </c>
      <c r="BC52" s="44">
        <f t="shared" si="41"/>
        <v>0</v>
      </c>
      <c r="BD52" s="51"/>
      <c r="BE52" s="128">
        <f t="shared" si="69"/>
        <v>38108</v>
      </c>
      <c r="BF52" s="43">
        <f t="shared" si="77"/>
        <v>0</v>
      </c>
      <c r="BG52" s="43">
        <f t="shared" si="77"/>
        <v>0</v>
      </c>
      <c r="BH52" s="43">
        <f t="shared" si="77"/>
        <v>0</v>
      </c>
      <c r="BI52" s="43">
        <f t="shared" si="77"/>
        <v>0</v>
      </c>
      <c r="BJ52" s="43">
        <f t="shared" si="77"/>
        <v>0</v>
      </c>
      <c r="BK52" s="43">
        <f t="shared" si="77"/>
        <v>0</v>
      </c>
      <c r="BL52" s="43">
        <f t="shared" si="77"/>
        <v>0</v>
      </c>
      <c r="BM52" s="43">
        <f t="shared" si="77"/>
        <v>0</v>
      </c>
      <c r="BN52" s="43">
        <f t="shared" si="77"/>
        <v>0</v>
      </c>
      <c r="BO52" s="43">
        <f t="shared" si="77"/>
        <v>0</v>
      </c>
      <c r="BP52" s="43">
        <f t="shared" si="77"/>
        <v>0</v>
      </c>
      <c r="BQ52" s="43">
        <f t="shared" si="77"/>
        <v>0</v>
      </c>
      <c r="BR52" s="44">
        <f t="shared" si="77"/>
        <v>0</v>
      </c>
      <c r="BS52" s="128">
        <f t="shared" si="70"/>
        <v>38108</v>
      </c>
      <c r="BT52" s="44">
        <f t="shared" si="37"/>
        <v>0</v>
      </c>
      <c r="BU52" s="51"/>
      <c r="BV52" s="51"/>
      <c r="BW52" s="51"/>
      <c r="BX52" s="51"/>
      <c r="BY52" s="51"/>
      <c r="BZ52" s="51"/>
      <c r="CA52" s="51"/>
      <c r="CB52" s="51"/>
      <c r="CC52" s="141">
        <f t="shared" si="71"/>
        <v>36923</v>
      </c>
      <c r="CD52" s="234">
        <f>_xll.xSPRDOPT((VLOOKUP(G52,NGPrices,2,FALSE)+HLOOKUP(D52,Prices,VLOOKUP(G52,move_down,2,FALSE),FALSE)),VLOOKUP(G52,NGPrices,2,FALSE),I52,VLOOKUP(G52,NGPREVPRICES,4,FALSE),HLOOKUP(D52,PREVVOLS,VLOOKUP(G52,MOVE_DOWN2,2,FALSE),FALSE),VLOOKUP(G52,NGPREVPRICES,3,FALSE),HLOOKUP(D52,Correllate,VLOOKUP(G52,CorMove,2,FALSE),FALSE),Q52-$CD$3,R52,$CD$5)*H52-CJ52</f>
        <v>0</v>
      </c>
      <c r="CE52" s="234">
        <f>_xll.xSPRDOPT((VLOOKUP(G52,NGPREVPRICES,2,FALSE)+HLOOKUP(D52,PREVCURVES,VLOOKUP(G52,MOVE_DOWN2,2,FALSE),FALSE)),VLOOKUP(G52,NGPREVPRICES,2,FALSE),CK52,VLOOKUP(G52,NGPrices,4,FALSE),HLOOKUP(D52,PREVVOLS,VLOOKUP(G52,MOVE_DOWN2,2,FALSE),FALSE),VLOOKUP(G52,NGPREVPRICES,3,FALSE),HLOOKUP(D52,Correllate,VLOOKUP(G52,CorMove,2,FALSE),FALSE),Q52-$CD$3,R52,$CJ$5)*H52-CJ52</f>
        <v>0</v>
      </c>
      <c r="CF52" s="10">
        <f t="shared" si="72"/>
        <v>-19.501545620820252</v>
      </c>
      <c r="CG52" s="234">
        <f>_xll.xSPRDOPT((VLOOKUP(G52,NGPREVPRICES,2,FALSE)+HLOOKUP(D52,PREVCURVES,VLOOKUP(G52,MOVE_DOWN2,2,FALSE),FALSE)),VLOOKUP(G52,NGPREVPRICES,2,FALSE),CK52,VLOOKUP(G52,NGPREVPRICES,4,FALSE),HLOOKUP(D52,VOLS,VLOOKUP(G52,move_down,2,FALSE),FALSE),VLOOKUP(G52,NGPrices,3,FALSE),HLOOKUP(D52,Correllate,VLOOKUP(G52,CorMove,2,FALSE),FALSE),Q52-$CD$3,R52,$CJ$5)*H52-CJ52</f>
        <v>0</v>
      </c>
      <c r="CH52" s="234">
        <f>_xll.xSPRDOPT((VLOOKUP(G52,NGPREVPRICES,2,FALSE)+HLOOKUP(D52,PREVCURVES,VLOOKUP(G52,MOVE_DOWN2,2,FALSE),FALSE)),VLOOKUP(G52,NGPREVPRICES,2,FALSE),CK52,VLOOKUP(G52,NGPREVPRICES,4,FALSE),HLOOKUP(D52,PREVVOLS,VLOOKUP(G52,MOVE_DOWN2,2,FALSE),FALSE),VLOOKUP(G52,NGPREVPRICES,3,FALSE),HLOOKUP(D52,Correllate,VLOOKUP(G52,CorMove,2,FALSE),FALSE),Q52-$C$3,R52,$CJ$5)*H52-CJ52</f>
        <v>-714.73389361909358</v>
      </c>
      <c r="CI52" s="234">
        <f t="shared" si="73"/>
        <v>-734.23543923991383</v>
      </c>
      <c r="CJ52" s="234">
        <f>_xll.xSPRDOPT((VLOOKUP(G52,NGPREVPRICES,2,FALSE)+HLOOKUP(D52,PREVCURVES,VLOOKUP(G52,MOVE_DOWN2,2,FALSE),FALSE)),VLOOKUP(G52,NGPREVPRICES,2,FALSE),CK52,VLOOKUP(G52,NGPREVPRICES,4,FALSE),HLOOKUP(D52,PREVVOLS,VLOOKUP(G52,MOVE_DOWN2,2,FALSE),FALSE),VLOOKUP(G52,NGPREVPRICES,3,FALSE),HLOOKUP(D52,Correllate,VLOOKUP(G52,CorMove,2,FALSE),FALSE),Q52-$CD$3,R52,$CJ$5)*H52</f>
        <v>102538.00368606592</v>
      </c>
      <c r="CK52" s="235">
        <f t="shared" si="74"/>
        <v>1</v>
      </c>
      <c r="CL52" s="234"/>
      <c r="CM52" t="str">
        <f t="shared" si="75"/>
        <v>36923Curve Shift/Gamma</v>
      </c>
      <c r="CN52" t="str">
        <f t="shared" si="19"/>
        <v>36923Rho</v>
      </c>
      <c r="CO52" t="str">
        <f t="shared" si="20"/>
        <v>36923Drift</v>
      </c>
      <c r="CP52" t="str">
        <f t="shared" si="21"/>
        <v>36923Vega</v>
      </c>
      <c r="CQ52" t="str">
        <f t="shared" si="22"/>
        <v>36923Theta</v>
      </c>
    </row>
    <row r="53" spans="1:95" ht="12" customHeight="1" x14ac:dyDescent="0.25">
      <c r="A53" s="382" t="s">
        <v>279</v>
      </c>
      <c r="B53" t="s">
        <v>250</v>
      </c>
      <c r="C53" t="s">
        <v>300</v>
      </c>
      <c r="D53" s="4" t="s">
        <v>7</v>
      </c>
      <c r="E53" t="s">
        <v>20</v>
      </c>
      <c r="F53" t="s">
        <v>1</v>
      </c>
      <c r="G53" s="5">
        <v>36892</v>
      </c>
      <c r="H53" s="130">
        <v>500000</v>
      </c>
      <c r="I53">
        <v>1</v>
      </c>
      <c r="J53" s="53">
        <f t="shared" si="60"/>
        <v>4.7439999999999998</v>
      </c>
      <c r="K53" s="7">
        <f t="shared" si="61"/>
        <v>2.17</v>
      </c>
      <c r="L53" s="53">
        <f t="shared" si="62"/>
        <v>6.9139999999999997</v>
      </c>
      <c r="M53" s="157">
        <f t="shared" si="80"/>
        <v>6.8374831148490994E-2</v>
      </c>
      <c r="N53" s="4">
        <f t="shared" si="81"/>
        <v>0.60499999999999998</v>
      </c>
      <c r="O53" s="4">
        <f t="shared" si="82"/>
        <v>0.69599999999999995</v>
      </c>
      <c r="P53" s="9">
        <f t="shared" si="83"/>
        <v>0.83</v>
      </c>
      <c r="Q53" s="5">
        <f t="shared" si="8"/>
        <v>36888</v>
      </c>
      <c r="R53" s="4">
        <f t="shared" si="84"/>
        <v>0</v>
      </c>
      <c r="S53" s="158">
        <f>_xll.xSPRDOPT($L53,$J53,$I53,$M53,$O53,$N53,$P53,$Q53-$C$3,$R53,0)</f>
        <v>0.16519131421907918</v>
      </c>
      <c r="T53" s="159">
        <f>_xll.xSPRDOPT($L53,$J53,$I53,$M53,$O53,$N53,$P53,$Q53-$C$3,$R53,1)*H53</f>
        <v>-86434.578148137982</v>
      </c>
      <c r="U53" s="160">
        <f t="shared" si="85"/>
        <v>82595.657109539592</v>
      </c>
      <c r="V53" s="159">
        <f>_xll.xSPRDOPT($L53,$J53,$I53,$M53,$O53,$N53,$P53,$Q53-$C$3,$R53,2)*H53</f>
        <v>116402.43893812291</v>
      </c>
      <c r="W53" s="159">
        <f t="shared" si="86"/>
        <v>29967.86078998493</v>
      </c>
      <c r="X53" s="51" t="str">
        <f t="shared" si="63"/>
        <v>36892IF-TRANSCO/Z6</v>
      </c>
      <c r="Y53" s="418">
        <f t="shared" si="64"/>
        <v>50</v>
      </c>
      <c r="Z53" s="456">
        <f t="shared" si="65"/>
        <v>-0.17286915629627597</v>
      </c>
      <c r="AA53" s="456">
        <f>_xll.xSPRDOPT($L53,$J53,$I53,$M53,$O53,$N53,$P53,$Q53-$C$3,$R53,3)</f>
        <v>0.16042560280303431</v>
      </c>
      <c r="AB53" s="456">
        <f>((_xll.xSPRDOPT($L53+AB$5,$J53,$I53,$M53,$O53,$N53,$P53,$Q53-$C$3,$R53,3)*$H53)/10000)/100</f>
        <v>8.0212801401517153E-2</v>
      </c>
      <c r="AC53" s="456">
        <f>((_xll.xSPRDOPT($L53+$AB$5,$J53,$I53,$M53,$O53,$N53,$P53,$Q53-$C$3,$R53,7)*$H53)/100)</f>
        <v>-4383.0394205751882</v>
      </c>
      <c r="AD53" s="456">
        <f>(_xll.xSPRDOPT($L53+$AB$5,$J53,$I53,$M53,$O53,$N53,$P53,$Q53-$C$3,$R53,9)/365)*$H53</f>
        <v>-816.45615237166055</v>
      </c>
      <c r="AE53">
        <f t="shared" si="15"/>
        <v>0</v>
      </c>
      <c r="AF53" s="456">
        <f t="shared" si="66"/>
        <v>3325.436926601632</v>
      </c>
      <c r="AG53" s="456">
        <f>((_xll.xSPRDOPT($L53,$J53,$I53,$M53,$O53,$N53,$P53,$Q53-$C$3,$R53,6)*$H53)/100)</f>
        <v>-832.41721830869949</v>
      </c>
      <c r="AH53" s="456">
        <f>((_xll.xSPRDOPT($L53,$J53,$I53,$M53,$O53,$N53,$P53,$Q53-$C$3,$R53,5)*$H53)/100)</f>
        <v>3614.2266633200443</v>
      </c>
      <c r="AI53" s="456">
        <f>(((_xll.xSPRDOPT($L53,$J53,$I53,$M53,$O53,$N53,$P53,$Q53-$C$3,$R53,4)*$H53)/10000)/100)-AB53</f>
        <v>3.4641424511214103E-2</v>
      </c>
      <c r="AJ53" s="456"/>
      <c r="AK53" s="456"/>
      <c r="AL53" s="456"/>
      <c r="AM53" s="472"/>
      <c r="AN53" s="128">
        <f t="shared" si="67"/>
        <v>38139</v>
      </c>
      <c r="AO53" s="43">
        <f t="shared" si="76"/>
        <v>0</v>
      </c>
      <c r="AP53" s="43">
        <f t="shared" si="76"/>
        <v>0</v>
      </c>
      <c r="AQ53" s="43">
        <f t="shared" si="76"/>
        <v>0</v>
      </c>
      <c r="AR53" s="43">
        <f t="shared" si="76"/>
        <v>0</v>
      </c>
      <c r="AS53" s="43">
        <f t="shared" si="76"/>
        <v>0</v>
      </c>
      <c r="AT53" s="43">
        <f t="shared" si="76"/>
        <v>0</v>
      </c>
      <c r="AU53" s="43">
        <f t="shared" si="76"/>
        <v>0</v>
      </c>
      <c r="AV53" s="43">
        <f t="shared" si="76"/>
        <v>0</v>
      </c>
      <c r="AW53" s="43">
        <f t="shared" si="76"/>
        <v>0</v>
      </c>
      <c r="AX53" s="43">
        <f t="shared" si="76"/>
        <v>0</v>
      </c>
      <c r="AY53" s="43">
        <f t="shared" si="76"/>
        <v>0</v>
      </c>
      <c r="AZ53" s="43">
        <f t="shared" si="76"/>
        <v>0</v>
      </c>
      <c r="BA53" s="44">
        <f t="shared" si="76"/>
        <v>0</v>
      </c>
      <c r="BB53" s="128">
        <f t="shared" si="68"/>
        <v>38139</v>
      </c>
      <c r="BC53" s="44">
        <f t="shared" si="41"/>
        <v>0</v>
      </c>
      <c r="BD53" s="51"/>
      <c r="BE53" s="128">
        <f t="shared" si="69"/>
        <v>38139</v>
      </c>
      <c r="BF53" s="43">
        <f t="shared" si="77"/>
        <v>0</v>
      </c>
      <c r="BG53" s="43">
        <f t="shared" si="77"/>
        <v>0</v>
      </c>
      <c r="BH53" s="43">
        <f t="shared" si="77"/>
        <v>0</v>
      </c>
      <c r="BI53" s="43">
        <f t="shared" si="77"/>
        <v>0</v>
      </c>
      <c r="BJ53" s="43">
        <f t="shared" si="77"/>
        <v>0</v>
      </c>
      <c r="BK53" s="43">
        <f t="shared" si="77"/>
        <v>0</v>
      </c>
      <c r="BL53" s="43">
        <f t="shared" si="77"/>
        <v>0</v>
      </c>
      <c r="BM53" s="43">
        <f t="shared" si="77"/>
        <v>0</v>
      </c>
      <c r="BN53" s="43">
        <f t="shared" si="77"/>
        <v>0</v>
      </c>
      <c r="BO53" s="43">
        <f t="shared" si="77"/>
        <v>0</v>
      </c>
      <c r="BP53" s="43">
        <f t="shared" si="77"/>
        <v>0</v>
      </c>
      <c r="BQ53" s="43">
        <f t="shared" si="77"/>
        <v>0</v>
      </c>
      <c r="BR53" s="44">
        <f t="shared" si="77"/>
        <v>0</v>
      </c>
      <c r="BS53" s="128">
        <f t="shared" si="70"/>
        <v>38139</v>
      </c>
      <c r="BT53" s="44">
        <f t="shared" si="37"/>
        <v>0</v>
      </c>
      <c r="BU53" s="51"/>
      <c r="BV53" s="51"/>
      <c r="BW53" s="51"/>
      <c r="BX53" s="51"/>
      <c r="BY53" s="51"/>
      <c r="BZ53" s="51"/>
      <c r="CA53" s="51"/>
      <c r="CB53" s="51"/>
      <c r="CC53" s="141">
        <f t="shared" si="71"/>
        <v>36892</v>
      </c>
      <c r="CD53" s="234">
        <f>_xll.xSPRDOPT((VLOOKUP(G53,NGPrices,2,FALSE)+HLOOKUP(D53,Prices,VLOOKUP(G53,move_down,2,FALSE),FALSE)),VLOOKUP(G53,NGPrices,2,FALSE),I53,VLOOKUP(G53,NGPREVPRICES,4,FALSE),HLOOKUP(D53,PREVVOLS,VLOOKUP(G53,MOVE_DOWN2,2,FALSE),FALSE),VLOOKUP(G53,NGPREVPRICES,3,FALSE),HLOOKUP(D53,Correllate,VLOOKUP(G53,CorMove,2,FALSE),FALSE),Q53-$CD$3,R53,$CD$5)*H53-CJ53</f>
        <v>0</v>
      </c>
      <c r="CE53" s="234">
        <f>_xll.xSPRDOPT((VLOOKUP(G53,NGPREVPRICES,2,FALSE)+HLOOKUP(D53,PREVCURVES,VLOOKUP(G53,MOVE_DOWN2,2,FALSE),FALSE)),VLOOKUP(G53,NGPREVPRICES,2,FALSE),CK53,VLOOKUP(G53,NGPrices,4,FALSE),HLOOKUP(D53,PREVVOLS,VLOOKUP(G53,MOVE_DOWN2,2,FALSE),FALSE),VLOOKUP(G53,NGPREVPRICES,3,FALSE),HLOOKUP(D53,Correllate,VLOOKUP(G53,CorMove,2,FALSE),FALSE),Q53-$CD$3,R53,$CJ$5)*H53-CJ53</f>
        <v>0</v>
      </c>
      <c r="CF53" s="10">
        <f t="shared" si="72"/>
        <v>-15.71802907838719</v>
      </c>
      <c r="CG53" s="234">
        <f>_xll.xSPRDOPT((VLOOKUP(G53,NGPREVPRICES,2,FALSE)+HLOOKUP(D53,PREVCURVES,VLOOKUP(G53,MOVE_DOWN2,2,FALSE),FALSE)),VLOOKUP(G53,NGPREVPRICES,2,FALSE),CK53,VLOOKUP(G53,NGPREVPRICES,4,FALSE),HLOOKUP(D53,VOLS,VLOOKUP(G53,move_down,2,FALSE),FALSE),VLOOKUP(G53,NGPrices,3,FALSE),HLOOKUP(D53,Correllate,VLOOKUP(G53,CorMove,2,FALSE),FALSE),Q53-$CD$3,R53,$CJ$5)*H53-CJ53</f>
        <v>0</v>
      </c>
      <c r="CH53" s="234">
        <f>_xll.xSPRDOPT((VLOOKUP(G53,NGPREVPRICES,2,FALSE)+HLOOKUP(D53,PREVCURVES,VLOOKUP(G53,MOVE_DOWN2,2,FALSE),FALSE)),VLOOKUP(G53,NGPREVPRICES,2,FALSE),CK53,VLOOKUP(G53,NGPREVPRICES,4,FALSE),HLOOKUP(D53,PREVVOLS,VLOOKUP(G53,MOVE_DOWN2,2,FALSE),FALSE),VLOOKUP(G53,NGPREVPRICES,3,FALSE),HLOOKUP(D53,Correllate,VLOOKUP(G53,CorMove,2,FALSE),FALSE),Q53-$C$3,R53,$CJ$5)*H53-CJ53</f>
        <v>-815.14725136094785</v>
      </c>
      <c r="CI53" s="234">
        <f t="shared" si="73"/>
        <v>-830.86528043933504</v>
      </c>
      <c r="CJ53" s="234">
        <f>_xll.xSPRDOPT((VLOOKUP(G53,NGPREVPRICES,2,FALSE)+HLOOKUP(D53,PREVCURVES,VLOOKUP(G53,MOVE_DOWN2,2,FALSE),FALSE)),VLOOKUP(G53,NGPREVPRICES,2,FALSE),CK53,VLOOKUP(G53,NGPREVPRICES,4,FALSE),HLOOKUP(D53,PREVVOLS,VLOOKUP(G53,MOVE_DOWN2,2,FALSE),FALSE),VLOOKUP(G53,NGPREVPRICES,3,FALSE),HLOOKUP(D53,Correllate,VLOOKUP(G53,CorMove,2,FALSE),FALSE),Q53-$CD$3,R53,$CJ$5)*H53</f>
        <v>83410.80436090054</v>
      </c>
      <c r="CK53" s="235">
        <f t="shared" si="74"/>
        <v>1</v>
      </c>
      <c r="CL53" s="234"/>
      <c r="CM53" t="str">
        <f t="shared" si="75"/>
        <v>36892Curve Shift/Gamma</v>
      </c>
      <c r="CN53" t="str">
        <f t="shared" si="19"/>
        <v>36892Rho</v>
      </c>
      <c r="CO53" t="str">
        <f t="shared" si="20"/>
        <v>36892Drift</v>
      </c>
      <c r="CP53" t="str">
        <f t="shared" si="21"/>
        <v>36892Vega</v>
      </c>
      <c r="CQ53" t="str">
        <f t="shared" si="22"/>
        <v>36892Theta</v>
      </c>
    </row>
    <row r="54" spans="1:95" ht="12" customHeight="1" x14ac:dyDescent="0.25">
      <c r="A54" s="382" t="s">
        <v>279</v>
      </c>
      <c r="B54" t="s">
        <v>250</v>
      </c>
      <c r="C54" t="s">
        <v>300</v>
      </c>
      <c r="D54" s="4" t="s">
        <v>7</v>
      </c>
      <c r="E54" t="s">
        <v>20</v>
      </c>
      <c r="F54" t="s">
        <v>1</v>
      </c>
      <c r="G54" s="5">
        <v>36861</v>
      </c>
      <c r="H54" s="130">
        <v>500000</v>
      </c>
      <c r="I54">
        <v>1</v>
      </c>
      <c r="J54" s="53">
        <f t="shared" si="60"/>
        <v>4.8</v>
      </c>
      <c r="K54" s="7">
        <f t="shared" si="61"/>
        <v>1.645</v>
      </c>
      <c r="L54" s="53">
        <f t="shared" si="62"/>
        <v>6.4450000000000003</v>
      </c>
      <c r="M54" s="157">
        <f t="shared" si="80"/>
        <v>6.8314027999354002E-2</v>
      </c>
      <c r="N54" s="4">
        <f t="shared" si="81"/>
        <v>0.6</v>
      </c>
      <c r="O54" s="4">
        <f t="shared" si="82"/>
        <v>0.69</v>
      </c>
      <c r="P54" s="9">
        <f t="shared" si="83"/>
        <v>0.83</v>
      </c>
      <c r="Q54" s="5">
        <f t="shared" si="8"/>
        <v>36859</v>
      </c>
      <c r="R54" s="4">
        <f t="shared" si="84"/>
        <v>0</v>
      </c>
      <c r="S54" s="158">
        <f>_xll.xSPRDOPT($L54,$J54,$I54,$M54,$O54,$N54,$P54,$Q54-$C$3,$R54,0)</f>
        <v>0.22142065817122381</v>
      </c>
      <c r="T54" s="159">
        <f>_xll.xSPRDOPT($L54,$J54,$I54,$M54,$O54,$N54,$P54,$Q54-$C$3,$R54,1)*H54</f>
        <v>-129158.50750831787</v>
      </c>
      <c r="U54" s="160">
        <f t="shared" si="85"/>
        <v>110710.3290856119</v>
      </c>
      <c r="V54" s="159">
        <f>_xll.xSPRDOPT($L54,$J54,$I54,$M54,$O54,$N54,$P54,$Q54-$C$3,$R54,2)*H54</f>
        <v>160702.21371586531</v>
      </c>
      <c r="W54" s="159">
        <f t="shared" si="86"/>
        <v>31543.706207547439</v>
      </c>
      <c r="X54" s="51" t="str">
        <f t="shared" si="63"/>
        <v>36861IF-TRANSCO/Z6</v>
      </c>
      <c r="Y54" s="418">
        <f t="shared" si="64"/>
        <v>50</v>
      </c>
      <c r="Z54" s="456">
        <f t="shared" si="65"/>
        <v>-0.25831701501663573</v>
      </c>
      <c r="AA54" s="456">
        <f>_xll.xSPRDOPT($L54,$J54,$I54,$M54,$O54,$N54,$P54,$Q54-$C$3,$R54,3)</f>
        <v>0.25213504608654697</v>
      </c>
      <c r="AB54" s="456">
        <f>((_xll.xSPRDOPT($L54+AB$5,$J54,$I54,$M54,$O54,$N54,$P54,$Q54-$C$3,$R54,3)*$H54)/10000)/100</f>
        <v>0.12606752304327348</v>
      </c>
      <c r="AC54" s="456">
        <f>((_xll.xSPRDOPT($L54+$AB$5,$J54,$I54,$M54,$O54,$N54,$P54,$Q54-$C$3,$R54,7)*$H54)/100)</f>
        <v>-4502.2645054044933</v>
      </c>
      <c r="AD54" s="456">
        <f>(_xll.xSPRDOPT($L54+$AB$5,$J54,$I54,$M54,$O54,$N54,$P54,$Q54-$C$3,$R54,9)/365)*$H54</f>
        <v>-1090.2304946737679</v>
      </c>
      <c r="AE54">
        <f t="shared" si="15"/>
        <v>0</v>
      </c>
      <c r="AF54" s="456">
        <f t="shared" si="66"/>
        <v>3404.5851906869857</v>
      </c>
      <c r="AG54" s="456">
        <f>((_xll.xSPRDOPT($L54,$J54,$I54,$M54,$O54,$N54,$P54,$Q54-$C$3,$R54,6)*$H54)/100)</f>
        <v>-833.61814977738027</v>
      </c>
      <c r="AH54" s="456">
        <f>((_xll.xSPRDOPT($L54,$J54,$I54,$M54,$O54,$N54,$P54,$Q54-$C$3,$R54,5)*$H54)/100)</f>
        <v>3685.3942090994492</v>
      </c>
      <c r="AI54" s="456">
        <f>(((_xll.xSPRDOPT($L54,$J54,$I54,$M54,$O54,$N54,$P54,$Q54-$C$3,$R54,4)*$H54)/10000)/100)-AB54</f>
        <v>2.8855433397751346E-2</v>
      </c>
      <c r="AJ54" s="456"/>
      <c r="AK54" s="456"/>
      <c r="AL54" s="456"/>
      <c r="AM54" s="472"/>
      <c r="AN54" s="128">
        <f t="shared" si="67"/>
        <v>38169</v>
      </c>
      <c r="AO54" s="43">
        <f t="shared" si="76"/>
        <v>0</v>
      </c>
      <c r="AP54" s="43">
        <f t="shared" si="76"/>
        <v>0</v>
      </c>
      <c r="AQ54" s="43">
        <f t="shared" si="76"/>
        <v>0</v>
      </c>
      <c r="AR54" s="43">
        <f t="shared" si="76"/>
        <v>0</v>
      </c>
      <c r="AS54" s="43">
        <f t="shared" si="76"/>
        <v>0</v>
      </c>
      <c r="AT54" s="43">
        <f t="shared" si="76"/>
        <v>0</v>
      </c>
      <c r="AU54" s="43">
        <f t="shared" si="76"/>
        <v>0</v>
      </c>
      <c r="AV54" s="43">
        <f t="shared" si="76"/>
        <v>0</v>
      </c>
      <c r="AW54" s="43">
        <f t="shared" si="76"/>
        <v>0</v>
      </c>
      <c r="AX54" s="43">
        <f t="shared" si="76"/>
        <v>0</v>
      </c>
      <c r="AY54" s="43">
        <f t="shared" si="76"/>
        <v>0</v>
      </c>
      <c r="AZ54" s="43">
        <f t="shared" si="76"/>
        <v>0</v>
      </c>
      <c r="BA54" s="44">
        <f t="shared" si="76"/>
        <v>0</v>
      </c>
      <c r="BB54" s="128">
        <f t="shared" si="68"/>
        <v>38169</v>
      </c>
      <c r="BC54" s="44">
        <f t="shared" si="41"/>
        <v>0</v>
      </c>
      <c r="BD54" s="51"/>
      <c r="BE54" s="128">
        <f t="shared" si="69"/>
        <v>38169</v>
      </c>
      <c r="BF54" s="43">
        <f t="shared" si="77"/>
        <v>0</v>
      </c>
      <c r="BG54" s="43">
        <f t="shared" si="77"/>
        <v>0</v>
      </c>
      <c r="BH54" s="43">
        <f t="shared" si="77"/>
        <v>0</v>
      </c>
      <c r="BI54" s="43">
        <f t="shared" si="77"/>
        <v>0</v>
      </c>
      <c r="BJ54" s="43">
        <f t="shared" si="77"/>
        <v>0</v>
      </c>
      <c r="BK54" s="43">
        <f t="shared" si="77"/>
        <v>0</v>
      </c>
      <c r="BL54" s="43">
        <f t="shared" si="77"/>
        <v>0</v>
      </c>
      <c r="BM54" s="43">
        <f t="shared" si="77"/>
        <v>0</v>
      </c>
      <c r="BN54" s="43">
        <f t="shared" si="77"/>
        <v>0</v>
      </c>
      <c r="BO54" s="43">
        <f t="shared" si="77"/>
        <v>0</v>
      </c>
      <c r="BP54" s="43">
        <f t="shared" si="77"/>
        <v>0</v>
      </c>
      <c r="BQ54" s="43">
        <f t="shared" si="77"/>
        <v>0</v>
      </c>
      <c r="BR54" s="44">
        <f t="shared" si="77"/>
        <v>0</v>
      </c>
      <c r="BS54" s="128">
        <f t="shared" si="70"/>
        <v>38169</v>
      </c>
      <c r="BT54" s="44">
        <f t="shared" si="37"/>
        <v>0</v>
      </c>
      <c r="BU54" s="51"/>
      <c r="BV54" s="51"/>
      <c r="BW54" s="51"/>
      <c r="BX54" s="51"/>
      <c r="BY54" s="51"/>
      <c r="BZ54" s="51"/>
      <c r="CA54" s="51"/>
      <c r="CB54" s="51"/>
      <c r="CC54" s="141">
        <f t="shared" si="71"/>
        <v>36861</v>
      </c>
      <c r="CD54" s="234">
        <f>_xll.xSPRDOPT((VLOOKUP(G54,NGPrices,2,FALSE)+HLOOKUP(D54,Prices,VLOOKUP(G54,move_down,2,FALSE),FALSE)),VLOOKUP(G54,NGPrices,2,FALSE),I54,VLOOKUP(G54,NGPREVPRICES,4,FALSE),HLOOKUP(D54,PREVVOLS,VLOOKUP(G54,MOVE_DOWN2,2,FALSE),FALSE),VLOOKUP(G54,NGPREVPRICES,3,FALSE),HLOOKUP(D54,Correllate,VLOOKUP(G54,CorMove,2,FALSE),FALSE),Q54-$CD$3,R54,$CD$5)*H54-CJ54</f>
        <v>0</v>
      </c>
      <c r="CE54" s="234">
        <f>_xll.xSPRDOPT((VLOOKUP(G54,NGPREVPRICES,2,FALSE)+HLOOKUP(D54,PREVCURVES,VLOOKUP(G54,MOVE_DOWN2,2,FALSE),FALSE)),VLOOKUP(G54,NGPREVPRICES,2,FALSE),CK54,VLOOKUP(G54,NGPrices,4,FALSE),HLOOKUP(D54,PREVVOLS,VLOOKUP(G54,MOVE_DOWN2,2,FALSE),FALSE),VLOOKUP(G54,NGPREVPRICES,3,FALSE),HLOOKUP(D54,Correllate,VLOOKUP(G54,CorMove,2,FALSE),FALSE),Q54-$CD$3,R54,$CJ$5)*H54-CJ54</f>
        <v>0</v>
      </c>
      <c r="CF54" s="10">
        <f t="shared" si="72"/>
        <v>-20.943903168896213</v>
      </c>
      <c r="CG54" s="234">
        <f>_xll.xSPRDOPT((VLOOKUP(G54,NGPREVPRICES,2,FALSE)+HLOOKUP(D54,PREVCURVES,VLOOKUP(G54,MOVE_DOWN2,2,FALSE),FALSE)),VLOOKUP(G54,NGPREVPRICES,2,FALSE),CK54,VLOOKUP(G54,NGPREVPRICES,4,FALSE),HLOOKUP(D54,VOLS,VLOOKUP(G54,move_down,2,FALSE),FALSE),VLOOKUP(G54,NGPrices,3,FALSE),HLOOKUP(D54,Correllate,VLOOKUP(G54,CorMove,2,FALSE),FALSE),Q54-$CD$3,R54,$CJ$5)*H54-CJ54</f>
        <v>0</v>
      </c>
      <c r="CH54" s="234">
        <f>_xll.xSPRDOPT((VLOOKUP(G54,NGPREVPRICES,2,FALSE)+HLOOKUP(D54,PREVCURVES,VLOOKUP(G54,MOVE_DOWN2,2,FALSE),FALSE)),VLOOKUP(G54,NGPREVPRICES,2,FALSE),CK54,VLOOKUP(G54,NGPREVPRICES,4,FALSE),HLOOKUP(D54,PREVVOLS,VLOOKUP(G54,MOVE_DOWN2,2,FALSE),FALSE),VLOOKUP(G54,NGPREVPRICES,3,FALSE),HLOOKUP(D54,Correllate,VLOOKUP(G54,CorMove,2,FALSE),FALSE),Q54-$C$3,R54,$CJ$5)*H54-CJ54</f>
        <v>-1087.119474172403</v>
      </c>
      <c r="CI54" s="234">
        <f t="shared" si="73"/>
        <v>-1108.0633773412992</v>
      </c>
      <c r="CJ54" s="234">
        <f>_xll.xSPRDOPT((VLOOKUP(G54,NGPREVPRICES,2,FALSE)+HLOOKUP(D54,PREVCURVES,VLOOKUP(G54,MOVE_DOWN2,2,FALSE),FALSE)),VLOOKUP(G54,NGPREVPRICES,2,FALSE),CK54,VLOOKUP(G54,NGPREVPRICES,4,FALSE),HLOOKUP(D54,PREVVOLS,VLOOKUP(G54,MOVE_DOWN2,2,FALSE),FALSE),VLOOKUP(G54,NGPREVPRICES,3,FALSE),HLOOKUP(D54,Correllate,VLOOKUP(G54,CorMove,2,FALSE),FALSE),Q54-$CD$3,R54,$CJ$5)*H54</f>
        <v>111797.4485597843</v>
      </c>
      <c r="CK54" s="235">
        <f t="shared" si="74"/>
        <v>1</v>
      </c>
      <c r="CL54" s="234"/>
      <c r="CM54" t="str">
        <f t="shared" si="75"/>
        <v>36861Curve Shift/Gamma</v>
      </c>
      <c r="CN54" t="str">
        <f t="shared" si="19"/>
        <v>36861Rho</v>
      </c>
      <c r="CO54" t="str">
        <f t="shared" si="20"/>
        <v>36861Drift</v>
      </c>
      <c r="CP54" t="str">
        <f t="shared" si="21"/>
        <v>36861Vega</v>
      </c>
      <c r="CQ54" t="str">
        <f t="shared" si="22"/>
        <v>36861Theta</v>
      </c>
    </row>
    <row r="55" spans="1:95" ht="12" customHeight="1" x14ac:dyDescent="0.25">
      <c r="A55" s="140" t="s">
        <v>294</v>
      </c>
      <c r="B55" t="s">
        <v>250</v>
      </c>
      <c r="C55" t="s">
        <v>301</v>
      </c>
      <c r="D55" s="4" t="s">
        <v>7</v>
      </c>
      <c r="E55" t="s">
        <v>20</v>
      </c>
      <c r="F55" t="s">
        <v>1</v>
      </c>
      <c r="G55" s="5">
        <v>36951</v>
      </c>
      <c r="H55" s="130">
        <v>500000</v>
      </c>
      <c r="I55">
        <v>0.75</v>
      </c>
      <c r="J55" s="53">
        <f t="shared" si="60"/>
        <v>4.2130000000000001</v>
      </c>
      <c r="K55" s="7">
        <f t="shared" si="61"/>
        <v>1.075</v>
      </c>
      <c r="L55" s="53">
        <f t="shared" si="62"/>
        <v>5.2880000000000003</v>
      </c>
      <c r="M55" s="157">
        <f t="shared" ref="M55:M63" si="87">VLOOKUP(G55,NGPrices,4,FALSE)</f>
        <v>6.8879814952706994E-2</v>
      </c>
      <c r="N55" s="4">
        <f t="shared" ref="N55:N63" si="88">VLOOKUP(G55,NGPrices,3,FALSE)</f>
        <v>0.53249999999999997</v>
      </c>
      <c r="O55" s="4">
        <f t="shared" ref="O55:O63" si="89">HLOOKUP(D55,VOLS,VLOOKUP(G55,move_down,2,FALSE),FALSE)</f>
        <v>0.61199999999999999</v>
      </c>
      <c r="P55" s="9">
        <f t="shared" ref="P55:P63" si="90">HLOOKUP(D55,Correllate,VLOOKUP(G55,CorMove,2,FALSE),FALSE)</f>
        <v>0.83</v>
      </c>
      <c r="Q55" s="5">
        <f t="shared" si="8"/>
        <v>36949</v>
      </c>
      <c r="R55" s="4">
        <f t="shared" ref="R55:R63" si="91">IF(F55="P",0,1)</f>
        <v>0</v>
      </c>
      <c r="S55" s="158">
        <f>_xll.xSPRDOPT($L55,$J55,$I55,$M55,$O55,$N55,$P55,$Q55-$C$3,$R55,0)</f>
        <v>0.34094497957691405</v>
      </c>
      <c r="T55" s="159">
        <f>_xll.xSPRDOPT($L55,$J55,$I55,$M55,$O55,$N55,$P55,$Q55-$C$3,$R55,1)*H55</f>
        <v>-169543.92673334433</v>
      </c>
      <c r="U55" s="160">
        <f t="shared" ref="U55:U86" si="92">S55*H55</f>
        <v>170472.48978845702</v>
      </c>
      <c r="V55" s="159">
        <f>_xll.xSPRDOPT($L55,$J55,$I55,$M55,$O55,$N55,$P55,$Q55-$C$3,$R55,2)*H55</f>
        <v>213135.25924725647</v>
      </c>
      <c r="W55" s="159">
        <f t="shared" ref="W55:W63" si="93">+V55+T55</f>
        <v>43591.332513912144</v>
      </c>
      <c r="X55" s="51" t="str">
        <f t="shared" si="63"/>
        <v>36951IF-TRANSCO/Z6</v>
      </c>
      <c r="Y55" s="418">
        <f t="shared" si="64"/>
        <v>50</v>
      </c>
      <c r="Z55" s="456">
        <f t="shared" si="65"/>
        <v>-0.33908785346668868</v>
      </c>
      <c r="AA55" s="456">
        <f>_xll.xSPRDOPT($L55,$J55,$I55,$M55,$O55,$N55,$P55,$Q55-$C$3,$R55,3)</f>
        <v>0.27707202713581769</v>
      </c>
      <c r="AB55" s="456">
        <f>((_xll.xSPRDOPT($L55+AB$5,$J55,$I55,$M55,$O55,$N55,$P55,$Q55-$C$3,$R55,3)*$H55)/10000)/100</f>
        <v>0.13853601356790884</v>
      </c>
      <c r="AC55" s="456">
        <f>((_xll.xSPRDOPT($L55+$AB$5,$J55,$I55,$M55,$O55,$N55,$P55,$Q55-$C$3,$R55,7)*$H55)/100)</f>
        <v>-5337.9437428713463</v>
      </c>
      <c r="AD55" s="456">
        <f>(_xll.xSPRDOPT($L55+$AB$5,$J55,$I55,$M55,$O55,$N55,$P55,$Q55-$C$3,$R55,9)/365)*$H55</f>
        <v>-606.31334011060903</v>
      </c>
      <c r="AE55">
        <f t="shared" si="15"/>
        <v>0</v>
      </c>
      <c r="AF55" s="456">
        <f t="shared" si="66"/>
        <v>4361.4821411004514</v>
      </c>
      <c r="AG55" s="456">
        <f>((_xll.xSPRDOPT($L55,$J55,$I55,$M55,$O55,$N55,$P55,$Q55-$C$3,$R55,6)*$H55)/100)</f>
        <v>-895.50905657338956</v>
      </c>
      <c r="AH55" s="456">
        <f>((_xll.xSPRDOPT($L55,$J55,$I55,$M55,$O55,$N55,$P55,$Q55-$C$3,$R55,5)*$H55)/100)</f>
        <v>4574.0977332701314</v>
      </c>
      <c r="AI55" s="456">
        <f>(((_xll.xSPRDOPT($L55,$J55,$I55,$M55,$O55,$N55,$P55,$Q55-$C$3,$R55,4)*$H55)/10000)/100)-AB55</f>
        <v>1.9114901825227876E-2</v>
      </c>
      <c r="AJ55" s="456"/>
      <c r="AK55" s="456"/>
      <c r="AL55" s="456"/>
      <c r="AM55" s="472"/>
      <c r="AN55" s="128">
        <f t="shared" si="67"/>
        <v>38200</v>
      </c>
      <c r="AO55" s="43">
        <f t="shared" si="76"/>
        <v>0</v>
      </c>
      <c r="AP55" s="43">
        <f t="shared" si="76"/>
        <v>0</v>
      </c>
      <c r="AQ55" s="43">
        <f t="shared" si="76"/>
        <v>0</v>
      </c>
      <c r="AR55" s="43">
        <f t="shared" si="76"/>
        <v>0</v>
      </c>
      <c r="AS55" s="43">
        <f t="shared" si="76"/>
        <v>0</v>
      </c>
      <c r="AT55" s="43">
        <f t="shared" si="76"/>
        <v>0</v>
      </c>
      <c r="AU55" s="43">
        <f t="shared" si="76"/>
        <v>0</v>
      </c>
      <c r="AV55" s="43">
        <f t="shared" si="76"/>
        <v>0</v>
      </c>
      <c r="AW55" s="43">
        <f t="shared" si="76"/>
        <v>0</v>
      </c>
      <c r="AX55" s="43">
        <f t="shared" si="76"/>
        <v>0</v>
      </c>
      <c r="AY55" s="43">
        <f t="shared" si="76"/>
        <v>0</v>
      </c>
      <c r="AZ55" s="43">
        <f t="shared" si="76"/>
        <v>0</v>
      </c>
      <c r="BA55" s="44">
        <f t="shared" si="76"/>
        <v>0</v>
      </c>
      <c r="BB55" s="128">
        <f t="shared" si="68"/>
        <v>38200</v>
      </c>
      <c r="BC55" s="44">
        <f t="shared" si="41"/>
        <v>0</v>
      </c>
      <c r="BD55" s="51"/>
      <c r="BE55" s="128">
        <f t="shared" si="69"/>
        <v>38200</v>
      </c>
      <c r="BF55" s="43">
        <f t="shared" si="77"/>
        <v>0</v>
      </c>
      <c r="BG55" s="43">
        <f t="shared" si="77"/>
        <v>0</v>
      </c>
      <c r="BH55" s="43">
        <f t="shared" si="77"/>
        <v>0</v>
      </c>
      <c r="BI55" s="43">
        <f t="shared" si="77"/>
        <v>0</v>
      </c>
      <c r="BJ55" s="43">
        <f t="shared" si="77"/>
        <v>0</v>
      </c>
      <c r="BK55" s="43">
        <f t="shared" si="77"/>
        <v>0</v>
      </c>
      <c r="BL55" s="43">
        <f t="shared" si="77"/>
        <v>0</v>
      </c>
      <c r="BM55" s="43">
        <f t="shared" si="77"/>
        <v>0</v>
      </c>
      <c r="BN55" s="43">
        <f t="shared" si="77"/>
        <v>0</v>
      </c>
      <c r="BO55" s="43">
        <f t="shared" si="77"/>
        <v>0</v>
      </c>
      <c r="BP55" s="43">
        <f t="shared" si="77"/>
        <v>0</v>
      </c>
      <c r="BQ55" s="43">
        <f t="shared" si="77"/>
        <v>0</v>
      </c>
      <c r="BR55" s="44">
        <f t="shared" si="77"/>
        <v>0</v>
      </c>
      <c r="BS55" s="128">
        <f t="shared" si="70"/>
        <v>38200</v>
      </c>
      <c r="BT55" s="44">
        <f t="shared" si="37"/>
        <v>0</v>
      </c>
      <c r="BU55" s="51"/>
      <c r="BV55" s="51"/>
      <c r="BW55" s="51"/>
      <c r="BX55" s="51"/>
      <c r="BY55" s="51"/>
      <c r="BZ55" s="51"/>
      <c r="CA55" s="51"/>
      <c r="CB55" s="51"/>
      <c r="CC55" s="141">
        <f t="shared" ref="CC55:CC84" si="94">G55</f>
        <v>36951</v>
      </c>
      <c r="CD55" s="234">
        <f>_xll.xSPRDOPT((VLOOKUP(G55,NGPrices,2,FALSE)+HLOOKUP(D55,Prices,VLOOKUP(G55,move_down,2,FALSE),FALSE)),VLOOKUP(G55,NGPrices,2,FALSE),I55,VLOOKUP(G55,NGPREVPRICES,4,FALSE),HLOOKUP(D55,PREVVOLS,VLOOKUP(G55,MOVE_DOWN2,2,FALSE),FALSE),VLOOKUP(G55,NGPREVPRICES,3,FALSE),HLOOKUP(D55,Correllate,VLOOKUP(G55,CorMove,2,FALSE),FALSE),Q55-$CD$3,R55,$CD$5)*H55-CJ55</f>
        <v>0</v>
      </c>
      <c r="CE55" s="234">
        <f>_xll.xSPRDOPT((VLOOKUP(G55,NGPREVPRICES,2,FALSE)+HLOOKUP(D55,PREVCURVES,VLOOKUP(G55,MOVE_DOWN2,2,FALSE),FALSE)),VLOOKUP(G55,NGPREVPRICES,2,FALSE),CK55,VLOOKUP(G55,NGPrices,4,FALSE),HLOOKUP(D55,PREVVOLS,VLOOKUP(G55,MOVE_DOWN2,2,FALSE),FALSE),VLOOKUP(G55,NGPREVPRICES,3,FALSE),HLOOKUP(D55,Correllate,VLOOKUP(G55,CorMove,2,FALSE),FALSE),Q55-$CD$3,R55,$CJ$5)*H55-CJ55</f>
        <v>0</v>
      </c>
      <c r="CF55" s="10">
        <f t="shared" ref="CF55:CF74" si="95">(CJ55/VLOOKUP(CC55,discount,3,FALSE))-(CJ55/VLOOKUP(CC55,discount,2,FALSE))</f>
        <v>-32.810098012530943</v>
      </c>
      <c r="CG55" s="234">
        <f>_xll.xSPRDOPT((VLOOKUP(G55,NGPREVPRICES,2,FALSE)+HLOOKUP(D55,PREVCURVES,VLOOKUP(G55,MOVE_DOWN2,2,FALSE),FALSE)),VLOOKUP(G55,NGPREVPRICES,2,FALSE),CK55,VLOOKUP(G55,NGPREVPRICES,4,FALSE),HLOOKUP(D55,VOLS,VLOOKUP(G55,move_down,2,FALSE),FALSE),VLOOKUP(G55,NGPrices,3,FALSE),HLOOKUP(D55,Correllate,VLOOKUP(G55,CorMove,2,FALSE),FALSE),Q55-$CD$3,R55,$CJ$5)*H55-CJ55</f>
        <v>0</v>
      </c>
      <c r="CH55" s="234">
        <f>_xll.xSPRDOPT((VLOOKUP(G55,NGPREVPRICES,2,FALSE)+HLOOKUP(D55,PREVCURVES,VLOOKUP(G55,MOVE_DOWN2,2,FALSE),FALSE)),VLOOKUP(G55,NGPREVPRICES,2,FALSE),CK55,VLOOKUP(G55,NGPREVPRICES,4,FALSE),HLOOKUP(D55,PREVVOLS,VLOOKUP(G55,MOVE_DOWN2,2,FALSE),FALSE),VLOOKUP(G55,NGPREVPRICES,3,FALSE),HLOOKUP(D55,Correllate,VLOOKUP(G55,CorMove,2,FALSE),FALSE),Q55-$C$3,R55,$CJ$5)*H55-CJ55</f>
        <v>-604.95868366988725</v>
      </c>
      <c r="CI55" s="234">
        <f t="shared" ref="CI55:CI74" si="96">SUM(CD55:CH55)</f>
        <v>-637.76878168241819</v>
      </c>
      <c r="CJ55" s="234">
        <f>_xll.xSPRDOPT((VLOOKUP(G55,NGPREVPRICES,2,FALSE)+HLOOKUP(D55,PREVCURVES,VLOOKUP(G55,MOVE_DOWN2,2,FALSE),FALSE)),VLOOKUP(G55,NGPREVPRICES,2,FALSE),CK55,VLOOKUP(G55,NGPREVPRICES,4,FALSE),HLOOKUP(D55,PREVVOLS,VLOOKUP(G55,MOVE_DOWN2,2,FALSE),FALSE),VLOOKUP(G55,NGPREVPRICES,3,FALSE),HLOOKUP(D55,Correllate,VLOOKUP(G55,CorMove,2,FALSE),FALSE),Q55-$CD$3,R55,$CJ$5)*H55</f>
        <v>171077.44847212691</v>
      </c>
      <c r="CK55" s="235">
        <f t="shared" ref="CK55:CK84" si="97">I55</f>
        <v>0.75</v>
      </c>
      <c r="CL55" s="234"/>
      <c r="CM55" t="str">
        <f t="shared" ref="CM55:CM74" si="98">CONCATENATE(CC55,$CD$6)</f>
        <v>36951Curve Shift/Gamma</v>
      </c>
      <c r="CN55" t="str">
        <f t="shared" si="19"/>
        <v>36951Rho</v>
      </c>
      <c r="CO55" t="str">
        <f t="shared" si="20"/>
        <v>36951Drift</v>
      </c>
      <c r="CP55" t="str">
        <f t="shared" si="21"/>
        <v>36951Vega</v>
      </c>
      <c r="CQ55" t="str">
        <f t="shared" si="22"/>
        <v>36951Theta</v>
      </c>
    </row>
    <row r="56" spans="1:95" ht="12" customHeight="1" x14ac:dyDescent="0.25">
      <c r="A56" s="140" t="s">
        <v>294</v>
      </c>
      <c r="B56" t="s">
        <v>250</v>
      </c>
      <c r="C56" t="s">
        <v>301</v>
      </c>
      <c r="D56" s="4" t="s">
        <v>7</v>
      </c>
      <c r="E56" t="s">
        <v>20</v>
      </c>
      <c r="F56" t="s">
        <v>1</v>
      </c>
      <c r="G56" s="5">
        <v>36923</v>
      </c>
      <c r="H56" s="130">
        <v>500000</v>
      </c>
      <c r="I56">
        <v>0.75</v>
      </c>
      <c r="J56" s="53">
        <f t="shared" si="60"/>
        <v>4.4800000000000004</v>
      </c>
      <c r="K56" s="7">
        <f t="shared" si="61"/>
        <v>2.09</v>
      </c>
      <c r="L56" s="53">
        <f t="shared" si="62"/>
        <v>6.57</v>
      </c>
      <c r="M56" s="157">
        <f t="shared" si="87"/>
        <v>6.8640161611372E-2</v>
      </c>
      <c r="N56" s="4">
        <f t="shared" si="88"/>
        <v>0.59250000000000003</v>
      </c>
      <c r="O56" s="4">
        <f t="shared" si="89"/>
        <v>0.68100000000000005</v>
      </c>
      <c r="P56" s="9">
        <f t="shared" si="90"/>
        <v>0.83</v>
      </c>
      <c r="Q56" s="5">
        <f t="shared" si="8"/>
        <v>36921</v>
      </c>
      <c r="R56" s="4">
        <f t="shared" si="91"/>
        <v>0</v>
      </c>
      <c r="S56" s="158">
        <f>_xll.xSPRDOPT($L56,$J56,$I56,$M56,$O56,$N56,$P56,$Q56-$C$3,$R56,0)</f>
        <v>0.13906565808994997</v>
      </c>
      <c r="T56" s="159">
        <f>_xll.xSPRDOPT($L56,$J56,$I56,$M56,$O56,$N56,$P56,$Q56-$C$3,$R56,1)*H56</f>
        <v>-72617.946344989919</v>
      </c>
      <c r="U56" s="160">
        <f t="shared" si="92"/>
        <v>69532.829044974991</v>
      </c>
      <c r="V56" s="159">
        <f>_xll.xSPRDOPT($L56,$J56,$I56,$M56,$O56,$N56,$P56,$Q56-$C$3,$R56,2)*H56</f>
        <v>103177.37350372369</v>
      </c>
      <c r="W56" s="159">
        <f t="shared" si="93"/>
        <v>30559.427158733772</v>
      </c>
      <c r="X56" s="51" t="str">
        <f t="shared" si="63"/>
        <v>36923IF-TRANSCO/Z6</v>
      </c>
      <c r="Y56" s="418">
        <f t="shared" si="64"/>
        <v>50</v>
      </c>
      <c r="Z56" s="456">
        <f t="shared" si="65"/>
        <v>-0.14523589268997983</v>
      </c>
      <c r="AA56" s="456">
        <f>_xll.xSPRDOPT($L56,$J56,$I56,$M56,$O56,$N56,$P56,$Q56-$C$3,$R56,3)</f>
        <v>0.13751360448045827</v>
      </c>
      <c r="AB56" s="456">
        <f>((_xll.xSPRDOPT($L56+AB$5,$J56,$I56,$M56,$O56,$N56,$P56,$Q56-$C$3,$R56,3)*$H56)/10000)/100</f>
        <v>6.8756802240229134E-2</v>
      </c>
      <c r="AC56" s="456">
        <f>((_xll.xSPRDOPT($L56+$AB$5,$J56,$I56,$M56,$O56,$N56,$P56,$Q56-$C$3,$R56,7)*$H56)/100)</f>
        <v>-4297.1122474910771</v>
      </c>
      <c r="AD56" s="456">
        <f>(_xll.xSPRDOPT($L56+$AB$5,$J56,$I56,$M56,$O56,$N56,$P56,$Q56-$C$3,$R56,9)/365)*$H56</f>
        <v>-592.11034711119737</v>
      </c>
      <c r="AE56">
        <f t="shared" si="15"/>
        <v>0</v>
      </c>
      <c r="AF56" s="456">
        <f t="shared" si="66"/>
        <v>3143.7943724273573</v>
      </c>
      <c r="AG56" s="456">
        <f>((_xll.xSPRDOPT($L56,$J56,$I56,$M56,$O56,$N56,$P56,$Q56-$C$3,$R56,6)*$H56)/100)</f>
        <v>-631.1375058372472</v>
      </c>
      <c r="AH56" s="456">
        <f>((_xll.xSPRDOPT($L56,$J56,$I56,$M56,$O56,$N56,$P56,$Q56-$C$3,$R56,5)*$H56)/100)</f>
        <v>3284.3570306487195</v>
      </c>
      <c r="AI56" s="456">
        <f>(((_xll.xSPRDOPT($L56,$J56,$I56,$M56,$O56,$N56,$P56,$Q56-$C$3,$R56,4)*$H56)/10000)/100)-AB56</f>
        <v>3.8714106966539305E-2</v>
      </c>
      <c r="AJ56" s="456"/>
      <c r="AK56" s="456"/>
      <c r="AL56" s="456"/>
      <c r="AM56" s="472"/>
      <c r="AN56" s="128">
        <f t="shared" si="67"/>
        <v>38231</v>
      </c>
      <c r="AO56" s="43">
        <f t="shared" si="76"/>
        <v>0</v>
      </c>
      <c r="AP56" s="43">
        <f t="shared" si="76"/>
        <v>0</v>
      </c>
      <c r="AQ56" s="43">
        <f t="shared" si="76"/>
        <v>0</v>
      </c>
      <c r="AR56" s="43">
        <f t="shared" si="76"/>
        <v>0</v>
      </c>
      <c r="AS56" s="43">
        <f t="shared" si="76"/>
        <v>0</v>
      </c>
      <c r="AT56" s="43">
        <f t="shared" si="76"/>
        <v>0</v>
      </c>
      <c r="AU56" s="43">
        <f t="shared" si="76"/>
        <v>0</v>
      </c>
      <c r="AV56" s="43">
        <f t="shared" si="76"/>
        <v>0</v>
      </c>
      <c r="AW56" s="43">
        <f t="shared" si="76"/>
        <v>0</v>
      </c>
      <c r="AX56" s="43">
        <f t="shared" si="76"/>
        <v>0</v>
      </c>
      <c r="AY56" s="43">
        <f t="shared" si="76"/>
        <v>0</v>
      </c>
      <c r="AZ56" s="43">
        <f t="shared" si="76"/>
        <v>0</v>
      </c>
      <c r="BA56" s="44">
        <f t="shared" si="76"/>
        <v>0</v>
      </c>
      <c r="BB56" s="128">
        <f t="shared" si="68"/>
        <v>38231</v>
      </c>
      <c r="BC56" s="44">
        <f t="shared" si="41"/>
        <v>0</v>
      </c>
      <c r="BD56" s="51"/>
      <c r="BE56" s="128">
        <f t="shared" si="69"/>
        <v>38231</v>
      </c>
      <c r="BF56" s="43">
        <f t="shared" si="77"/>
        <v>0</v>
      </c>
      <c r="BG56" s="43">
        <f t="shared" si="77"/>
        <v>0</v>
      </c>
      <c r="BH56" s="43">
        <f t="shared" si="77"/>
        <v>0</v>
      </c>
      <c r="BI56" s="43">
        <f t="shared" si="77"/>
        <v>0</v>
      </c>
      <c r="BJ56" s="43">
        <f t="shared" si="77"/>
        <v>0</v>
      </c>
      <c r="BK56" s="43">
        <f t="shared" si="77"/>
        <v>0</v>
      </c>
      <c r="BL56" s="43">
        <f t="shared" si="77"/>
        <v>0</v>
      </c>
      <c r="BM56" s="43">
        <f t="shared" si="77"/>
        <v>0</v>
      </c>
      <c r="BN56" s="43">
        <f t="shared" si="77"/>
        <v>0</v>
      </c>
      <c r="BO56" s="43">
        <f t="shared" si="77"/>
        <v>0</v>
      </c>
      <c r="BP56" s="43">
        <f t="shared" si="77"/>
        <v>0</v>
      </c>
      <c r="BQ56" s="43">
        <f t="shared" si="77"/>
        <v>0</v>
      </c>
      <c r="BR56" s="44">
        <f t="shared" si="77"/>
        <v>0</v>
      </c>
      <c r="BS56" s="128">
        <f t="shared" si="70"/>
        <v>38231</v>
      </c>
      <c r="BT56" s="44">
        <f t="shared" si="37"/>
        <v>0</v>
      </c>
      <c r="BU56" s="51"/>
      <c r="BV56" s="51"/>
      <c r="BW56" s="51"/>
      <c r="BX56" s="51"/>
      <c r="BY56" s="51"/>
      <c r="BZ56" s="51"/>
      <c r="CA56" s="51"/>
      <c r="CB56" s="51"/>
      <c r="CC56" s="141">
        <f t="shared" si="94"/>
        <v>36923</v>
      </c>
      <c r="CD56" s="234">
        <f>_xll.xSPRDOPT((VLOOKUP(G56,NGPrices,2,FALSE)+HLOOKUP(D56,Prices,VLOOKUP(G56,move_down,2,FALSE),FALSE)),VLOOKUP(G56,NGPrices,2,FALSE),I56,VLOOKUP(G56,NGPREVPRICES,4,FALSE),HLOOKUP(D56,PREVVOLS,VLOOKUP(G56,MOVE_DOWN2,2,FALSE),FALSE),VLOOKUP(G56,NGPREVPRICES,3,FALSE),HLOOKUP(D56,Correllate,VLOOKUP(G56,CorMove,2,FALSE),FALSE),Q56-$CD$3,R56,$CD$5)*H56-CJ56</f>
        <v>0</v>
      </c>
      <c r="CE56" s="234">
        <f>_xll.xSPRDOPT((VLOOKUP(G56,NGPREVPRICES,2,FALSE)+HLOOKUP(D56,PREVCURVES,VLOOKUP(G56,MOVE_DOWN2,2,FALSE),FALSE)),VLOOKUP(G56,NGPREVPRICES,2,FALSE),CK56,VLOOKUP(G56,NGPrices,4,FALSE),HLOOKUP(D56,PREVVOLS,VLOOKUP(G56,MOVE_DOWN2,2,FALSE),FALSE),VLOOKUP(G56,NGPREVPRICES,3,FALSE),HLOOKUP(D56,Correllate,VLOOKUP(G56,CorMove,2,FALSE),FALSE),Q56-$CD$3,R56,$CJ$5)*H56-CJ56</f>
        <v>0</v>
      </c>
      <c r="CF56" s="10">
        <f t="shared" si="95"/>
        <v>-13.336823458201252</v>
      </c>
      <c r="CG56" s="234">
        <f>_xll.xSPRDOPT((VLOOKUP(G56,NGPREVPRICES,2,FALSE)+HLOOKUP(D56,PREVCURVES,VLOOKUP(G56,MOVE_DOWN2,2,FALSE),FALSE)),VLOOKUP(G56,NGPREVPRICES,2,FALSE),CK56,VLOOKUP(G56,NGPREVPRICES,4,FALSE),HLOOKUP(D56,VOLS,VLOOKUP(G56,move_down,2,FALSE),FALSE),VLOOKUP(G56,NGPrices,3,FALSE),HLOOKUP(D56,Correllate,VLOOKUP(G56,CorMove,2,FALSE),FALSE),Q56-$CD$3,R56,$CJ$5)*H56-CJ56</f>
        <v>0</v>
      </c>
      <c r="CH56" s="234">
        <f>_xll.xSPRDOPT((VLOOKUP(G56,NGPREVPRICES,2,FALSE)+HLOOKUP(D56,PREVCURVES,VLOOKUP(G56,MOVE_DOWN2,2,FALSE),FALSE)),VLOOKUP(G56,NGPREVPRICES,2,FALSE),CK56,VLOOKUP(G56,NGPREVPRICES,4,FALSE),HLOOKUP(D56,PREVVOLS,VLOOKUP(G56,MOVE_DOWN2,2,FALSE),FALSE),VLOOKUP(G56,NGPREVPRICES,3,FALSE),HLOOKUP(D56,Correllate,VLOOKUP(G56,CorMove,2,FALSE),FALSE),Q56-$C$3,R56,$CJ$5)*H56-CJ56</f>
        <v>-591.420566183544</v>
      </c>
      <c r="CI56" s="234">
        <f t="shared" si="96"/>
        <v>-604.75738964174525</v>
      </c>
      <c r="CJ56" s="234">
        <f>_xll.xSPRDOPT((VLOOKUP(G56,NGPREVPRICES,2,FALSE)+HLOOKUP(D56,PREVCURVES,VLOOKUP(G56,MOVE_DOWN2,2,FALSE),FALSE)),VLOOKUP(G56,NGPREVPRICES,2,FALSE),CK56,VLOOKUP(G56,NGPREVPRICES,4,FALSE),HLOOKUP(D56,PREVVOLS,VLOOKUP(G56,MOVE_DOWN2,2,FALSE),FALSE),VLOOKUP(G56,NGPREVPRICES,3,FALSE),HLOOKUP(D56,Correllate,VLOOKUP(G56,CorMove,2,FALSE),FALSE),Q56-$CD$3,R56,$CJ$5)*H56</f>
        <v>70124.249611158535</v>
      </c>
      <c r="CK56" s="235">
        <f t="shared" si="97"/>
        <v>0.75</v>
      </c>
      <c r="CL56" s="234"/>
      <c r="CM56" t="str">
        <f t="shared" si="98"/>
        <v>36923Curve Shift/Gamma</v>
      </c>
      <c r="CN56" t="str">
        <f t="shared" si="19"/>
        <v>36923Rho</v>
      </c>
      <c r="CO56" t="str">
        <f t="shared" si="20"/>
        <v>36923Drift</v>
      </c>
      <c r="CP56" t="str">
        <f t="shared" si="21"/>
        <v>36923Vega</v>
      </c>
      <c r="CQ56" t="str">
        <f t="shared" si="22"/>
        <v>36923Theta</v>
      </c>
    </row>
    <row r="57" spans="1:95" ht="12" customHeight="1" x14ac:dyDescent="0.25">
      <c r="A57" s="140" t="s">
        <v>294</v>
      </c>
      <c r="B57" t="s">
        <v>250</v>
      </c>
      <c r="C57" t="s">
        <v>301</v>
      </c>
      <c r="D57" s="4" t="s">
        <v>7</v>
      </c>
      <c r="E57" t="s">
        <v>20</v>
      </c>
      <c r="F57" t="s">
        <v>1</v>
      </c>
      <c r="G57" s="5">
        <v>36892</v>
      </c>
      <c r="H57" s="130">
        <v>500000</v>
      </c>
      <c r="I57">
        <v>0.75</v>
      </c>
      <c r="J57" s="53">
        <f t="shared" si="60"/>
        <v>4.7439999999999998</v>
      </c>
      <c r="K57" s="7">
        <f t="shared" si="61"/>
        <v>2.17</v>
      </c>
      <c r="L57" s="53">
        <f t="shared" si="62"/>
        <v>6.9139999999999997</v>
      </c>
      <c r="M57" s="157">
        <f t="shared" si="87"/>
        <v>6.8374831148490994E-2</v>
      </c>
      <c r="N57" s="4">
        <f t="shared" si="88"/>
        <v>0.60499999999999998</v>
      </c>
      <c r="O57" s="4">
        <f t="shared" si="89"/>
        <v>0.69599999999999995</v>
      </c>
      <c r="P57" s="9">
        <f t="shared" si="90"/>
        <v>0.83</v>
      </c>
      <c r="Q57" s="5">
        <f t="shared" si="8"/>
        <v>36888</v>
      </c>
      <c r="R57" s="4">
        <f t="shared" si="91"/>
        <v>0</v>
      </c>
      <c r="S57" s="158">
        <f>_xll.xSPRDOPT($L57,$J57,$I57,$M57,$O57,$N57,$P57,$Q57-$C$3,$R57,0)</f>
        <v>0.10942744498145573</v>
      </c>
      <c r="T57" s="159">
        <f>_xll.xSPRDOPT($L57,$J57,$I57,$M57,$O57,$N57,$P57,$Q57-$C$3,$R57,1)*H57</f>
        <v>-63089.692468144611</v>
      </c>
      <c r="U57" s="160">
        <f t="shared" si="92"/>
        <v>54713.722490727865</v>
      </c>
      <c r="V57" s="159">
        <f>_xll.xSPRDOPT($L57,$J57,$I57,$M57,$O57,$N57,$P57,$Q57-$C$3,$R57,2)*H57</f>
        <v>88371.577335705995</v>
      </c>
      <c r="W57" s="159">
        <f t="shared" si="93"/>
        <v>25281.884867561384</v>
      </c>
      <c r="X57" s="51" t="str">
        <f t="shared" si="63"/>
        <v>36892IF-TRANSCO/Z6</v>
      </c>
      <c r="Y57" s="418">
        <f t="shared" si="64"/>
        <v>50</v>
      </c>
      <c r="Z57" s="456">
        <f t="shared" si="65"/>
        <v>-0.12617938493628922</v>
      </c>
      <c r="AA57" s="456">
        <f>_xll.xSPRDOPT($L57,$J57,$I57,$M57,$O57,$N57,$P57,$Q57-$C$3,$R57,3)</f>
        <v>0.13157412676368174</v>
      </c>
      <c r="AB57" s="456">
        <f>((_xll.xSPRDOPT($L57+AB$5,$J57,$I57,$M57,$O57,$N57,$P57,$Q57-$C$3,$R57,3)*$H57)/10000)/100</f>
        <v>6.5787063381840871E-2</v>
      </c>
      <c r="AC57" s="456">
        <f>((_xll.xSPRDOPT($L57+$AB$5,$J57,$I57,$M57,$O57,$N57,$P57,$Q57-$C$3,$R57,7)*$H57)/100)</f>
        <v>-3764.6406827892201</v>
      </c>
      <c r="AD57" s="456">
        <f>(_xll.xSPRDOPT($L57+$AB$5,$J57,$I57,$M57,$O57,$N57,$P57,$Q57-$C$3,$R57,9)/365)*$H57</f>
        <v>-656.65971335668655</v>
      </c>
      <c r="AE57">
        <f t="shared" si="15"/>
        <v>0</v>
      </c>
      <c r="AF57" s="456">
        <f t="shared" si="66"/>
        <v>2665.8106705644623</v>
      </c>
      <c r="AG57" s="456">
        <f>((_xll.xSPRDOPT($L57,$J57,$I57,$M57,$O57,$N57,$P57,$Q57-$C$3,$R57,6)*$H57)/100)</f>
        <v>-511.2070315528664</v>
      </c>
      <c r="AH57" s="456">
        <f>((_xll.xSPRDOPT($L57,$J57,$I57,$M57,$O57,$N57,$P57,$Q57-$C$3,$R57,5)*$H57)/100)</f>
        <v>2761.6317669267009</v>
      </c>
      <c r="AI57" s="456">
        <f>(((_xll.xSPRDOPT($L57,$J57,$I57,$M57,$O57,$N57,$P57,$Q57-$C$3,$R57,4)*$H57)/10000)/100)-AB57</f>
        <v>3.7380963871824643E-2</v>
      </c>
      <c r="AJ57" s="456"/>
      <c r="AK57" s="456"/>
      <c r="AL57" s="456"/>
      <c r="AM57" s="472"/>
      <c r="AN57" s="128">
        <f t="shared" si="67"/>
        <v>38261</v>
      </c>
      <c r="AO57" s="43">
        <f t="shared" ref="AO57:BA66" si="99">SUMIF($X:$X,CONCATENATE($AN57,AO$6),$T:$T)/10000</f>
        <v>0</v>
      </c>
      <c r="AP57" s="43">
        <f t="shared" si="99"/>
        <v>0</v>
      </c>
      <c r="AQ57" s="43">
        <f t="shared" si="99"/>
        <v>0</v>
      </c>
      <c r="AR57" s="43">
        <f t="shared" si="99"/>
        <v>0</v>
      </c>
      <c r="AS57" s="43">
        <f t="shared" si="99"/>
        <v>0</v>
      </c>
      <c r="AT57" s="43">
        <f t="shared" si="99"/>
        <v>0</v>
      </c>
      <c r="AU57" s="43">
        <f t="shared" si="99"/>
        <v>0</v>
      </c>
      <c r="AV57" s="43">
        <f t="shared" si="99"/>
        <v>0</v>
      </c>
      <c r="AW57" s="43">
        <f t="shared" si="99"/>
        <v>0</v>
      </c>
      <c r="AX57" s="43">
        <f t="shared" si="99"/>
        <v>0</v>
      </c>
      <c r="AY57" s="43">
        <f t="shared" si="99"/>
        <v>0</v>
      </c>
      <c r="AZ57" s="43">
        <f t="shared" si="99"/>
        <v>0</v>
      </c>
      <c r="BA57" s="44">
        <f t="shared" si="99"/>
        <v>0</v>
      </c>
      <c r="BB57" s="128">
        <f t="shared" si="68"/>
        <v>38261</v>
      </c>
      <c r="BC57" s="44">
        <f t="shared" si="41"/>
        <v>0</v>
      </c>
      <c r="BD57" s="51"/>
      <c r="BE57" s="128">
        <f t="shared" si="69"/>
        <v>38261</v>
      </c>
      <c r="BF57" s="43">
        <f t="shared" ref="BF57:BR66" si="100">SUMIF($X:$X,CONCATENATE($AN57,BF$6),$W:$W)</f>
        <v>0</v>
      </c>
      <c r="BG57" s="43">
        <f t="shared" si="100"/>
        <v>0</v>
      </c>
      <c r="BH57" s="43">
        <f t="shared" si="100"/>
        <v>0</v>
      </c>
      <c r="BI57" s="43">
        <f t="shared" si="100"/>
        <v>0</v>
      </c>
      <c r="BJ57" s="43">
        <f t="shared" si="100"/>
        <v>0</v>
      </c>
      <c r="BK57" s="43">
        <f t="shared" si="100"/>
        <v>0</v>
      </c>
      <c r="BL57" s="43">
        <f t="shared" si="100"/>
        <v>0</v>
      </c>
      <c r="BM57" s="43">
        <f t="shared" si="100"/>
        <v>0</v>
      </c>
      <c r="BN57" s="43">
        <f t="shared" si="100"/>
        <v>0</v>
      </c>
      <c r="BO57" s="43">
        <f t="shared" si="100"/>
        <v>0</v>
      </c>
      <c r="BP57" s="43">
        <f t="shared" si="100"/>
        <v>0</v>
      </c>
      <c r="BQ57" s="43">
        <f t="shared" si="100"/>
        <v>0</v>
      </c>
      <c r="BR57" s="44">
        <f t="shared" si="100"/>
        <v>0</v>
      </c>
      <c r="BS57" s="128">
        <f t="shared" si="70"/>
        <v>38261</v>
      </c>
      <c r="BT57" s="44">
        <f t="shared" si="37"/>
        <v>0</v>
      </c>
      <c r="BU57" s="51"/>
      <c r="BV57" s="51"/>
      <c r="BW57" s="51"/>
      <c r="BX57" s="51"/>
      <c r="BY57" s="51"/>
      <c r="BZ57" s="51"/>
      <c r="CA57" s="51"/>
      <c r="CB57" s="51"/>
      <c r="CC57" s="141">
        <f t="shared" si="94"/>
        <v>36892</v>
      </c>
      <c r="CD57" s="234">
        <f>_xll.xSPRDOPT((VLOOKUP(G57,NGPrices,2,FALSE)+HLOOKUP(D57,Prices,VLOOKUP(G57,move_down,2,FALSE),FALSE)),VLOOKUP(G57,NGPrices,2,FALSE),I57,VLOOKUP(G57,NGPREVPRICES,4,FALSE),HLOOKUP(D57,PREVVOLS,VLOOKUP(G57,MOVE_DOWN2,2,FALSE),FALSE),VLOOKUP(G57,NGPREVPRICES,3,FALSE),HLOOKUP(D57,Correllate,VLOOKUP(G57,CorMove,2,FALSE),FALSE),Q57-$CD$3,R57,$CD$5)*H57-CJ57</f>
        <v>0</v>
      </c>
      <c r="CE57" s="234">
        <f>_xll.xSPRDOPT((VLOOKUP(G57,NGPREVPRICES,2,FALSE)+HLOOKUP(D57,PREVCURVES,VLOOKUP(G57,MOVE_DOWN2,2,FALSE),FALSE)),VLOOKUP(G57,NGPREVPRICES,2,FALSE),CK57,VLOOKUP(G57,NGPrices,4,FALSE),HLOOKUP(D57,PREVVOLS,VLOOKUP(G57,MOVE_DOWN2,2,FALSE),FALSE),VLOOKUP(G57,NGPREVPRICES,3,FALSE),HLOOKUP(D57,Correllate,VLOOKUP(G57,CorMove,2,FALSE),FALSE),Q57-$CD$3,R57,$CJ$5)*H57-CJ57</f>
        <v>0</v>
      </c>
      <c r="CF57" s="10">
        <f t="shared" si="95"/>
        <v>-10.433958000037819</v>
      </c>
      <c r="CG57" s="234">
        <f>_xll.xSPRDOPT((VLOOKUP(G57,NGPREVPRICES,2,FALSE)+HLOOKUP(D57,PREVCURVES,VLOOKUP(G57,MOVE_DOWN2,2,FALSE),FALSE)),VLOOKUP(G57,NGPREVPRICES,2,FALSE),CK57,VLOOKUP(G57,NGPREVPRICES,4,FALSE),HLOOKUP(D57,VOLS,VLOOKUP(G57,move_down,2,FALSE),FALSE),VLOOKUP(G57,NGPrices,3,FALSE),HLOOKUP(D57,Correllate,VLOOKUP(G57,CorMove,2,FALSE),FALSE),Q57-$CD$3,R57,$CJ$5)*H57-CJ57</f>
        <v>0</v>
      </c>
      <c r="CH57" s="234">
        <f>_xll.xSPRDOPT((VLOOKUP(G57,NGPREVPRICES,2,FALSE)+HLOOKUP(D57,PREVCURVES,VLOOKUP(G57,MOVE_DOWN2,2,FALSE),FALSE)),VLOOKUP(G57,NGPREVPRICES,2,FALSE),CK57,VLOOKUP(G57,NGPREVPRICES,4,FALSE),HLOOKUP(D57,PREVVOLS,VLOOKUP(G57,MOVE_DOWN2,2,FALSE),FALSE),VLOOKUP(G57,NGPREVPRICES,3,FALSE),HLOOKUP(D57,Correllate,VLOOKUP(G57,CorMove,2,FALSE),FALSE),Q57-$C$3,R57,$CJ$5)*H57-CJ57</f>
        <v>-656.12223408406862</v>
      </c>
      <c r="CI57" s="234">
        <f t="shared" si="96"/>
        <v>-666.55619208410644</v>
      </c>
      <c r="CJ57" s="234">
        <f>_xll.xSPRDOPT((VLOOKUP(G57,NGPREVPRICES,2,FALSE)+HLOOKUP(D57,PREVCURVES,VLOOKUP(G57,MOVE_DOWN2,2,FALSE),FALSE)),VLOOKUP(G57,NGPREVPRICES,2,FALSE),CK57,VLOOKUP(G57,NGPREVPRICES,4,FALSE),HLOOKUP(D57,PREVVOLS,VLOOKUP(G57,MOVE_DOWN2,2,FALSE),FALSE),VLOOKUP(G57,NGPREVPRICES,3,FALSE),HLOOKUP(D57,Correllate,VLOOKUP(G57,CorMove,2,FALSE),FALSE),Q57-$CD$3,R57,$CJ$5)*H57</f>
        <v>55369.844724811934</v>
      </c>
      <c r="CK57" s="235">
        <f t="shared" si="97"/>
        <v>0.75</v>
      </c>
      <c r="CL57" s="234"/>
      <c r="CM57" t="str">
        <f t="shared" si="98"/>
        <v>36892Curve Shift/Gamma</v>
      </c>
      <c r="CN57" t="str">
        <f t="shared" si="19"/>
        <v>36892Rho</v>
      </c>
      <c r="CO57" t="str">
        <f t="shared" si="20"/>
        <v>36892Drift</v>
      </c>
      <c r="CP57" t="str">
        <f t="shared" si="21"/>
        <v>36892Vega</v>
      </c>
      <c r="CQ57" t="str">
        <f t="shared" si="22"/>
        <v>36892Theta</v>
      </c>
    </row>
    <row r="58" spans="1:95" ht="12" customHeight="1" x14ac:dyDescent="0.25">
      <c r="A58" s="140" t="s">
        <v>294</v>
      </c>
      <c r="B58" t="s">
        <v>250</v>
      </c>
      <c r="C58" t="s">
        <v>301</v>
      </c>
      <c r="D58" s="4" t="s">
        <v>7</v>
      </c>
      <c r="E58" t="s">
        <v>20</v>
      </c>
      <c r="F58" t="s">
        <v>1</v>
      </c>
      <c r="G58" s="5">
        <v>36861</v>
      </c>
      <c r="H58" s="130">
        <v>500000</v>
      </c>
      <c r="I58">
        <v>0.75</v>
      </c>
      <c r="J58" s="53">
        <f t="shared" si="60"/>
        <v>4.8</v>
      </c>
      <c r="K58" s="7">
        <f t="shared" si="61"/>
        <v>1.645</v>
      </c>
      <c r="L58" s="53">
        <f t="shared" si="62"/>
        <v>6.4450000000000003</v>
      </c>
      <c r="M58" s="157">
        <f t="shared" si="87"/>
        <v>6.8314027999354002E-2</v>
      </c>
      <c r="N58" s="4">
        <f t="shared" si="88"/>
        <v>0.6</v>
      </c>
      <c r="O58" s="4">
        <f t="shared" si="89"/>
        <v>0.69</v>
      </c>
      <c r="P58" s="9">
        <f t="shared" si="90"/>
        <v>0.83</v>
      </c>
      <c r="Q58" s="5">
        <f t="shared" si="8"/>
        <v>36859</v>
      </c>
      <c r="R58" s="4">
        <f t="shared" si="91"/>
        <v>0</v>
      </c>
      <c r="S58" s="158">
        <f>_xll.xSPRDOPT($L58,$J58,$I58,$M58,$O58,$N58,$P58,$Q58-$C$3,$R58,0)</f>
        <v>0.14609680639816691</v>
      </c>
      <c r="T58" s="159">
        <f>_xll.xSPRDOPT($L58,$J58,$I58,$M58,$O58,$N58,$P58,$Q58-$C$3,$R58,1)*H58</f>
        <v>-95243.914521472791</v>
      </c>
      <c r="U58" s="160">
        <f t="shared" si="92"/>
        <v>73048.403199083463</v>
      </c>
      <c r="V58" s="159">
        <f>_xll.xSPRDOPT($L58,$J58,$I58,$M58,$O58,$N58,$P58,$Q58-$C$3,$R58,2)*H58</f>
        <v>122804.20480375354</v>
      </c>
      <c r="W58" s="159">
        <f t="shared" si="93"/>
        <v>27560.290282280752</v>
      </c>
      <c r="X58" s="51" t="str">
        <f t="shared" si="63"/>
        <v>36861IF-TRANSCO/Z6</v>
      </c>
      <c r="Y58" s="418">
        <f t="shared" si="64"/>
        <v>50</v>
      </c>
      <c r="Z58" s="456">
        <f t="shared" si="65"/>
        <v>-0.19048782904294559</v>
      </c>
      <c r="AA58" s="456">
        <f>_xll.xSPRDOPT($L58,$J58,$I58,$M58,$O58,$N58,$P58,$Q58-$C$3,$R58,3)</f>
        <v>0.21448030125474993</v>
      </c>
      <c r="AB58" s="456">
        <f>((_xll.xSPRDOPT($L58+AB$5,$J58,$I58,$M58,$O58,$N58,$P58,$Q58-$C$3,$R58,3)*$H58)/10000)/100</f>
        <v>0.10724015062737496</v>
      </c>
      <c r="AC58" s="456">
        <f>((_xll.xSPRDOPT($L58+$AB$5,$J58,$I58,$M58,$O58,$N58,$P58,$Q58-$C$3,$R58,7)*$H58)/100)</f>
        <v>-4002.8488206586831</v>
      </c>
      <c r="AD58" s="456">
        <f>(_xll.xSPRDOPT($L58+$AB$5,$J58,$I58,$M58,$O58,$N58,$P58,$Q58-$C$3,$R58,9)/365)*$H58</f>
        <v>-911.93733253409721</v>
      </c>
      <c r="AE58">
        <f t="shared" si="15"/>
        <v>0</v>
      </c>
      <c r="AF58" s="456">
        <f t="shared" si="66"/>
        <v>2836.5919968294829</v>
      </c>
      <c r="AG58" s="456">
        <f>((_xll.xSPRDOPT($L58,$J58,$I58,$M58,$O58,$N58,$P58,$Q58-$C$3,$R58,6)*$H58)/100)</f>
        <v>-529.40458891153344</v>
      </c>
      <c r="AH58" s="456">
        <f>((_xll.xSPRDOPT($L58,$J58,$I58,$M58,$O58,$N58,$P58,$Q58-$C$3,$R58,5)*$H58)/100)</f>
        <v>2926.9535528182755</v>
      </c>
      <c r="AI58" s="456">
        <f>(((_xll.xSPRDOPT($L58,$J58,$I58,$M58,$O58,$N58,$P58,$Q58-$C$3,$R58,4)*$H58)/10000)/100)-AB58</f>
        <v>3.6579985471038662E-2</v>
      </c>
      <c r="AJ58" s="456"/>
      <c r="AK58" s="456"/>
      <c r="AL58" s="456"/>
      <c r="AM58" s="472"/>
      <c r="AN58" s="128">
        <f t="shared" si="67"/>
        <v>38292</v>
      </c>
      <c r="AO58" s="43">
        <f t="shared" si="99"/>
        <v>0</v>
      </c>
      <c r="AP58" s="43">
        <f t="shared" si="99"/>
        <v>0</v>
      </c>
      <c r="AQ58" s="43">
        <f t="shared" si="99"/>
        <v>0</v>
      </c>
      <c r="AR58" s="43">
        <f t="shared" si="99"/>
        <v>0</v>
      </c>
      <c r="AS58" s="43">
        <f t="shared" si="99"/>
        <v>0</v>
      </c>
      <c r="AT58" s="43">
        <f t="shared" si="99"/>
        <v>0</v>
      </c>
      <c r="AU58" s="43">
        <f t="shared" si="99"/>
        <v>0</v>
      </c>
      <c r="AV58" s="43">
        <f t="shared" si="99"/>
        <v>0</v>
      </c>
      <c r="AW58" s="43">
        <f t="shared" si="99"/>
        <v>0</v>
      </c>
      <c r="AX58" s="43">
        <f t="shared" si="99"/>
        <v>0</v>
      </c>
      <c r="AY58" s="43">
        <f t="shared" si="99"/>
        <v>0</v>
      </c>
      <c r="AZ58" s="43">
        <f t="shared" si="99"/>
        <v>0</v>
      </c>
      <c r="BA58" s="44">
        <f t="shared" si="99"/>
        <v>0</v>
      </c>
      <c r="BB58" s="128">
        <f t="shared" si="68"/>
        <v>38292</v>
      </c>
      <c r="BC58" s="44">
        <f t="shared" si="41"/>
        <v>0</v>
      </c>
      <c r="BD58" s="51"/>
      <c r="BE58" s="128">
        <f t="shared" si="69"/>
        <v>38292</v>
      </c>
      <c r="BF58" s="43">
        <f t="shared" si="100"/>
        <v>0</v>
      </c>
      <c r="BG58" s="43">
        <f t="shared" si="100"/>
        <v>0</v>
      </c>
      <c r="BH58" s="43">
        <f t="shared" si="100"/>
        <v>0</v>
      </c>
      <c r="BI58" s="43">
        <f t="shared" si="100"/>
        <v>0</v>
      </c>
      <c r="BJ58" s="43">
        <f t="shared" si="100"/>
        <v>0</v>
      </c>
      <c r="BK58" s="43">
        <f t="shared" si="100"/>
        <v>0</v>
      </c>
      <c r="BL58" s="43">
        <f t="shared" si="100"/>
        <v>0</v>
      </c>
      <c r="BM58" s="43">
        <f t="shared" si="100"/>
        <v>0</v>
      </c>
      <c r="BN58" s="43">
        <f t="shared" si="100"/>
        <v>0</v>
      </c>
      <c r="BO58" s="43">
        <f t="shared" si="100"/>
        <v>0</v>
      </c>
      <c r="BP58" s="43">
        <f t="shared" si="100"/>
        <v>0</v>
      </c>
      <c r="BQ58" s="43">
        <f t="shared" si="100"/>
        <v>0</v>
      </c>
      <c r="BR58" s="44">
        <f t="shared" si="100"/>
        <v>0</v>
      </c>
      <c r="BS58" s="128">
        <f t="shared" si="70"/>
        <v>38292</v>
      </c>
      <c r="BT58" s="44">
        <f t="shared" si="37"/>
        <v>0</v>
      </c>
      <c r="BU58" s="51"/>
      <c r="BV58" s="51"/>
      <c r="BW58" s="51"/>
      <c r="BX58" s="51"/>
      <c r="BY58" s="51"/>
      <c r="BZ58" s="51"/>
      <c r="CA58" s="51"/>
      <c r="CB58" s="51"/>
      <c r="CC58" s="141">
        <f t="shared" si="94"/>
        <v>36861</v>
      </c>
      <c r="CD58" s="234">
        <f>_xll.xSPRDOPT((VLOOKUP(G58,NGPrices,2,FALSE)+HLOOKUP(D58,Prices,VLOOKUP(G58,move_down,2,FALSE),FALSE)),VLOOKUP(G58,NGPrices,2,FALSE),I58,VLOOKUP(G58,NGPREVPRICES,4,FALSE),HLOOKUP(D58,PREVVOLS,VLOOKUP(G58,MOVE_DOWN2,2,FALSE),FALSE),VLOOKUP(G58,NGPREVPRICES,3,FALSE),HLOOKUP(D58,Correllate,VLOOKUP(G58,CorMove,2,FALSE),FALSE),Q58-$CD$3,R58,$CD$5)*H58-CJ58</f>
        <v>0</v>
      </c>
      <c r="CE58" s="234">
        <f>_xll.xSPRDOPT((VLOOKUP(G58,NGPREVPRICES,2,FALSE)+HLOOKUP(D58,PREVCURVES,VLOOKUP(G58,MOVE_DOWN2,2,FALSE),FALSE)),VLOOKUP(G58,NGPREVPRICES,2,FALSE),CK58,VLOOKUP(G58,NGPrices,4,FALSE),HLOOKUP(D58,PREVVOLS,VLOOKUP(G58,MOVE_DOWN2,2,FALSE),FALSE),VLOOKUP(G58,NGPREVPRICES,3,FALSE),HLOOKUP(D58,Correllate,VLOOKUP(G58,CorMove,2,FALSE),FALSE),Q58-$CD$3,R58,$CJ$5)*H58-CJ58</f>
        <v>0</v>
      </c>
      <c r="CF58" s="10">
        <f t="shared" si="95"/>
        <v>-13.855231288238429</v>
      </c>
      <c r="CG58" s="234">
        <f>_xll.xSPRDOPT((VLOOKUP(G58,NGPREVPRICES,2,FALSE)+HLOOKUP(D58,PREVCURVES,VLOOKUP(G58,MOVE_DOWN2,2,FALSE),FALSE)),VLOOKUP(G58,NGPREVPRICES,2,FALSE),CK58,VLOOKUP(G58,NGPREVPRICES,4,FALSE),HLOOKUP(D58,VOLS,VLOOKUP(G58,move_down,2,FALSE),FALSE),VLOOKUP(G58,NGPrices,3,FALSE),HLOOKUP(D58,Correllate,VLOOKUP(G58,CorMove,2,FALSE),FALSE),Q58-$CD$3,R58,$CJ$5)*H58-CJ58</f>
        <v>0</v>
      </c>
      <c r="CH58" s="234">
        <f>_xll.xSPRDOPT((VLOOKUP(G58,NGPREVPRICES,2,FALSE)+HLOOKUP(D58,PREVCURVES,VLOOKUP(G58,MOVE_DOWN2,2,FALSE),FALSE)),VLOOKUP(G58,NGPREVPRICES,2,FALSE),CK58,VLOOKUP(G58,NGPREVPRICES,4,FALSE),HLOOKUP(D58,PREVVOLS,VLOOKUP(G58,MOVE_DOWN2,2,FALSE),FALSE),VLOOKUP(G58,NGPREVPRICES,3,FALSE),HLOOKUP(D58,Correllate,VLOOKUP(G58,CorMove,2,FALSE),FALSE),Q58-$C$3,R58,$CJ$5)*H58-CJ58</f>
        <v>-910.08938655300881</v>
      </c>
      <c r="CI58" s="234">
        <f t="shared" si="96"/>
        <v>-923.94461784124724</v>
      </c>
      <c r="CJ58" s="234">
        <f>_xll.xSPRDOPT((VLOOKUP(G58,NGPREVPRICES,2,FALSE)+HLOOKUP(D58,PREVCURVES,VLOOKUP(G58,MOVE_DOWN2,2,FALSE),FALSE)),VLOOKUP(G58,NGPREVPRICES,2,FALSE),CK58,VLOOKUP(G58,NGPREVPRICES,4,FALSE),HLOOKUP(D58,PREVVOLS,VLOOKUP(G58,MOVE_DOWN2,2,FALSE),FALSE),VLOOKUP(G58,NGPREVPRICES,3,FALSE),HLOOKUP(D58,Correllate,VLOOKUP(G58,CorMove,2,FALSE),FALSE),Q58-$CD$3,R58,$CJ$5)*H58</f>
        <v>73958.492585636472</v>
      </c>
      <c r="CK58" s="235">
        <f t="shared" si="97"/>
        <v>0.75</v>
      </c>
      <c r="CL58" s="234"/>
      <c r="CM58" t="str">
        <f t="shared" si="98"/>
        <v>36861Curve Shift/Gamma</v>
      </c>
      <c r="CN58" t="str">
        <f t="shared" si="19"/>
        <v>36861Rho</v>
      </c>
      <c r="CO58" t="str">
        <f t="shared" si="20"/>
        <v>36861Drift</v>
      </c>
      <c r="CP58" t="str">
        <f t="shared" si="21"/>
        <v>36861Vega</v>
      </c>
      <c r="CQ58" t="str">
        <f t="shared" si="22"/>
        <v>36861Theta</v>
      </c>
    </row>
    <row r="59" spans="1:95" ht="12" customHeight="1" x14ac:dyDescent="0.25">
      <c r="A59" s="140" t="s">
        <v>294</v>
      </c>
      <c r="B59" t="s">
        <v>250</v>
      </c>
      <c r="C59" t="s">
        <v>301</v>
      </c>
      <c r="D59" s="4" t="s">
        <v>7</v>
      </c>
      <c r="E59" t="s">
        <v>20</v>
      </c>
      <c r="F59" t="s">
        <v>1</v>
      </c>
      <c r="G59" s="5">
        <v>36831</v>
      </c>
      <c r="H59" s="130">
        <v>500000</v>
      </c>
      <c r="I59">
        <v>0.75</v>
      </c>
      <c r="J59" s="53">
        <f t="shared" si="60"/>
        <v>4.7359999999999998</v>
      </c>
      <c r="K59" s="7">
        <f t="shared" si="61"/>
        <v>0.77</v>
      </c>
      <c r="L59" s="53">
        <f t="shared" si="62"/>
        <v>5.5060000000000002</v>
      </c>
      <c r="M59" s="157">
        <f t="shared" si="87"/>
        <v>6.810675983792E-2</v>
      </c>
      <c r="N59" s="4">
        <f t="shared" si="88"/>
        <v>0.59499999999999997</v>
      </c>
      <c r="O59" s="4">
        <f t="shared" si="89"/>
        <v>0.625</v>
      </c>
      <c r="P59" s="9">
        <f t="shared" si="90"/>
        <v>0.89</v>
      </c>
      <c r="Q59" s="5">
        <f t="shared" si="8"/>
        <v>36829</v>
      </c>
      <c r="R59" s="4">
        <f t="shared" si="91"/>
        <v>0</v>
      </c>
      <c r="S59" s="158">
        <f>_xll.xSPRDOPT($L59,$J59,$I59,$M59,$O59,$N59,$P59,$Q59-$C$3,$R59,0)</f>
        <v>0.24759733949464924</v>
      </c>
      <c r="T59" s="159">
        <f>_xll.xSPRDOPT($L59,$J59,$I59,$M59,$O59,$N59,$P59,$Q59-$C$3,$R59,1)*H59</f>
        <v>-229255.98456485162</v>
      </c>
      <c r="U59" s="160">
        <f t="shared" si="92"/>
        <v>123798.66974732462</v>
      </c>
      <c r="V59" s="159">
        <f>_xll.xSPRDOPT($L59,$J59,$I59,$M59,$O59,$N59,$P59,$Q59-$C$3,$R59,2)*H59</f>
        <v>251655.66839983911</v>
      </c>
      <c r="W59" s="159">
        <f t="shared" si="93"/>
        <v>22399.683834987489</v>
      </c>
      <c r="X59" s="51" t="str">
        <f t="shared" si="63"/>
        <v>36831IF-TRANSCO/Z6</v>
      </c>
      <c r="Y59" s="418">
        <f t="shared" si="64"/>
        <v>50</v>
      </c>
      <c r="Z59" s="456">
        <f t="shared" si="65"/>
        <v>-0.45851196912970327</v>
      </c>
      <c r="AA59" s="456">
        <f>_xll.xSPRDOPT($L59,$J59,$I59,$M59,$O59,$N59,$P59,$Q59-$C$3,$R59,3)</f>
        <v>0.60041672407622559</v>
      </c>
      <c r="AB59" s="456">
        <f>((_xll.xSPRDOPT($L59+AB$5,$J59,$I59,$M59,$O59,$N59,$P59,$Q59-$C$3,$R59,3)*$H59)/10000)/100</f>
        <v>0.3002083620381128</v>
      </c>
      <c r="AC59" s="456">
        <f>((_xll.xSPRDOPT($L59+$AB$5,$J59,$I59,$M59,$O59,$N59,$P59,$Q59-$C$3,$R59,7)*$H59)/100)</f>
        <v>-4962.1936574088231</v>
      </c>
      <c r="AD59" s="456">
        <f>(_xll.xSPRDOPT($L59+$AB$5,$J59,$I59,$M59,$O59,$N59,$P59,$Q59-$C$3,$R59,9)/365)*$H59</f>
        <v>-1015.304077775355</v>
      </c>
      <c r="AE59">
        <f t="shared" si="15"/>
        <v>0</v>
      </c>
      <c r="AF59" s="456">
        <f t="shared" si="66"/>
        <v>2162.5879112883163</v>
      </c>
      <c r="AG59" s="456">
        <f>((_xll.xSPRDOPT($L59,$J59,$I59,$M59,$O59,$N59,$P59,$Q59-$C$3,$R59,6)*$H59)/100)</f>
        <v>-557.35348731696922</v>
      </c>
      <c r="AH59" s="456">
        <f>((_xll.xSPRDOPT($L59,$J59,$I59,$M59,$O59,$N59,$P59,$Q59-$C$3,$R59,5)*$H59)/100)</f>
        <v>2589.3842114722315</v>
      </c>
      <c r="AI59" s="456">
        <f>(((_xll.xSPRDOPT($L59,$J59,$I59,$M59,$O59,$N59,$P59,$Q59-$C$3,$R59,4)*$H59)/10000)/100)-AB59</f>
        <v>2.8336257676913612E-3</v>
      </c>
      <c r="AJ59" s="456"/>
      <c r="AK59" s="456"/>
      <c r="AL59" s="456"/>
      <c r="AM59" s="472"/>
      <c r="AN59" s="128">
        <f t="shared" si="67"/>
        <v>38322</v>
      </c>
      <c r="AO59" s="43">
        <f t="shared" si="99"/>
        <v>0</v>
      </c>
      <c r="AP59" s="43">
        <f t="shared" si="99"/>
        <v>0</v>
      </c>
      <c r="AQ59" s="43">
        <f t="shared" si="99"/>
        <v>0</v>
      </c>
      <c r="AR59" s="43">
        <f t="shared" si="99"/>
        <v>0</v>
      </c>
      <c r="AS59" s="43">
        <f t="shared" si="99"/>
        <v>0</v>
      </c>
      <c r="AT59" s="43">
        <f t="shared" si="99"/>
        <v>0</v>
      </c>
      <c r="AU59" s="43">
        <f t="shared" si="99"/>
        <v>0</v>
      </c>
      <c r="AV59" s="43">
        <f t="shared" si="99"/>
        <v>0</v>
      </c>
      <c r="AW59" s="43">
        <f t="shared" si="99"/>
        <v>0</v>
      </c>
      <c r="AX59" s="43">
        <f t="shared" si="99"/>
        <v>0</v>
      </c>
      <c r="AY59" s="43">
        <f t="shared" si="99"/>
        <v>0</v>
      </c>
      <c r="AZ59" s="43">
        <f t="shared" si="99"/>
        <v>0</v>
      </c>
      <c r="BA59" s="44">
        <f t="shared" si="99"/>
        <v>0</v>
      </c>
      <c r="BB59" s="128">
        <f t="shared" si="68"/>
        <v>38322</v>
      </c>
      <c r="BC59" s="44">
        <f t="shared" si="41"/>
        <v>0</v>
      </c>
      <c r="BD59" s="51"/>
      <c r="BE59" s="128">
        <f t="shared" si="69"/>
        <v>38322</v>
      </c>
      <c r="BF59" s="43">
        <f t="shared" si="100"/>
        <v>0</v>
      </c>
      <c r="BG59" s="43">
        <f t="shared" si="100"/>
        <v>0</v>
      </c>
      <c r="BH59" s="43">
        <f t="shared" si="100"/>
        <v>0</v>
      </c>
      <c r="BI59" s="43">
        <f t="shared" si="100"/>
        <v>0</v>
      </c>
      <c r="BJ59" s="43">
        <f t="shared" si="100"/>
        <v>0</v>
      </c>
      <c r="BK59" s="43">
        <f t="shared" si="100"/>
        <v>0</v>
      </c>
      <c r="BL59" s="43">
        <f t="shared" si="100"/>
        <v>0</v>
      </c>
      <c r="BM59" s="43">
        <f t="shared" si="100"/>
        <v>0</v>
      </c>
      <c r="BN59" s="43">
        <f t="shared" si="100"/>
        <v>0</v>
      </c>
      <c r="BO59" s="43">
        <f t="shared" si="100"/>
        <v>0</v>
      </c>
      <c r="BP59" s="43">
        <f t="shared" si="100"/>
        <v>0</v>
      </c>
      <c r="BQ59" s="43">
        <f t="shared" si="100"/>
        <v>0</v>
      </c>
      <c r="BR59" s="44">
        <f t="shared" si="100"/>
        <v>0</v>
      </c>
      <c r="BS59" s="128">
        <f t="shared" si="70"/>
        <v>38322</v>
      </c>
      <c r="BT59" s="44">
        <f t="shared" si="37"/>
        <v>0</v>
      </c>
      <c r="BU59" s="51"/>
      <c r="BV59" s="51"/>
      <c r="BW59" s="51"/>
      <c r="BX59" s="51"/>
      <c r="BY59" s="51"/>
      <c r="BZ59" s="51"/>
      <c r="CA59" s="51"/>
      <c r="CB59" s="51"/>
      <c r="CC59" s="141">
        <f t="shared" si="94"/>
        <v>36831</v>
      </c>
      <c r="CD59" s="234">
        <f>_xll.xSPRDOPT((VLOOKUP(G59,NGPrices,2,FALSE)+HLOOKUP(D59,Prices,VLOOKUP(G59,move_down,2,FALSE),FALSE)),VLOOKUP(G59,NGPrices,2,FALSE),I59,VLOOKUP(G59,NGPREVPRICES,4,FALSE),HLOOKUP(D59,PREVVOLS,VLOOKUP(G59,MOVE_DOWN2,2,FALSE),FALSE),VLOOKUP(G59,NGPREVPRICES,3,FALSE),HLOOKUP(D59,Correllate,VLOOKUP(G59,CorMove,2,FALSE),FALSE),Q59-$CD$3,R59,$CD$5)*H59-CJ59</f>
        <v>0</v>
      </c>
      <c r="CE59" s="234">
        <f>_xll.xSPRDOPT((VLOOKUP(G59,NGPREVPRICES,2,FALSE)+HLOOKUP(D59,PREVCURVES,VLOOKUP(G59,MOVE_DOWN2,2,FALSE),FALSE)),VLOOKUP(G59,NGPREVPRICES,2,FALSE),CK59,VLOOKUP(G59,NGPrices,4,FALSE),HLOOKUP(D59,PREVVOLS,VLOOKUP(G59,MOVE_DOWN2,2,FALSE),FALSE),VLOOKUP(G59,NGPREVPRICES,3,FALSE),HLOOKUP(D59,Correllate,VLOOKUP(G59,CorMove,2,FALSE),FALSE),Q59-$CD$3,R59,$CJ$5)*H59-CJ59</f>
        <v>0</v>
      </c>
      <c r="CF59" s="10">
        <f t="shared" si="95"/>
        <v>-23.178349987923866</v>
      </c>
      <c r="CG59" s="234">
        <f>_xll.xSPRDOPT((VLOOKUP(G59,NGPREVPRICES,2,FALSE)+HLOOKUP(D59,PREVCURVES,VLOOKUP(G59,MOVE_DOWN2,2,FALSE),FALSE)),VLOOKUP(G59,NGPREVPRICES,2,FALSE),CK59,VLOOKUP(G59,NGPREVPRICES,4,FALSE),HLOOKUP(D59,VOLS,VLOOKUP(G59,move_down,2,FALSE),FALSE),VLOOKUP(G59,NGPrices,3,FALSE),HLOOKUP(D59,Correllate,VLOOKUP(G59,CorMove,2,FALSE),FALSE),Q59-$CD$3,R59,$CJ$5)*H59-CJ59</f>
        <v>0</v>
      </c>
      <c r="CH59" s="234">
        <f>_xll.xSPRDOPT((VLOOKUP(G59,NGPREVPRICES,2,FALSE)+HLOOKUP(D59,PREVCURVES,VLOOKUP(G59,MOVE_DOWN2,2,FALSE),FALSE)),VLOOKUP(G59,NGPREVPRICES,2,FALSE),CK59,VLOOKUP(G59,NGPREVPRICES,4,FALSE),HLOOKUP(D59,PREVVOLS,VLOOKUP(G59,MOVE_DOWN2,2,FALSE),FALSE),VLOOKUP(G59,NGPREVPRICES,3,FALSE),HLOOKUP(D59,Correllate,VLOOKUP(G59,CorMove,2,FALSE),FALSE),Q59-$C$3,R59,$CJ$5)*H59-CJ59</f>
        <v>-1010.2765448811697</v>
      </c>
      <c r="CI59" s="234">
        <f t="shared" si="96"/>
        <v>-1033.4548948690936</v>
      </c>
      <c r="CJ59" s="234">
        <f>_xll.xSPRDOPT((VLOOKUP(G59,NGPREVPRICES,2,FALSE)+HLOOKUP(D59,PREVCURVES,VLOOKUP(G59,MOVE_DOWN2,2,FALSE),FALSE)),VLOOKUP(G59,NGPREVPRICES,2,FALSE),CK59,VLOOKUP(G59,NGPREVPRICES,4,FALSE),HLOOKUP(D59,PREVVOLS,VLOOKUP(G59,MOVE_DOWN2,2,FALSE),FALSE),VLOOKUP(G59,NGPREVPRICES,3,FALSE),HLOOKUP(D59,Correllate,VLOOKUP(G59,CorMove,2,FALSE),FALSE),Q59-$CD$3,R59,$CJ$5)*H59</f>
        <v>124808.94629220579</v>
      </c>
      <c r="CK59" s="235">
        <f t="shared" si="97"/>
        <v>0.75</v>
      </c>
      <c r="CL59" s="234"/>
      <c r="CM59" t="str">
        <f t="shared" si="98"/>
        <v>36831Curve Shift/Gamma</v>
      </c>
      <c r="CN59" t="str">
        <f t="shared" si="19"/>
        <v>36831Rho</v>
      </c>
      <c r="CO59" t="str">
        <f t="shared" si="20"/>
        <v>36831Drift</v>
      </c>
      <c r="CP59" t="str">
        <f t="shared" si="21"/>
        <v>36831Vega</v>
      </c>
      <c r="CQ59" t="str">
        <f t="shared" si="22"/>
        <v>36831Theta</v>
      </c>
    </row>
    <row r="60" spans="1:95" ht="12" customHeight="1" x14ac:dyDescent="0.25">
      <c r="A60" s="382" t="s">
        <v>279</v>
      </c>
      <c r="B60" t="s">
        <v>250</v>
      </c>
      <c r="C60" t="s">
        <v>302</v>
      </c>
      <c r="D60" s="4" t="s">
        <v>7</v>
      </c>
      <c r="E60" t="s">
        <v>20</v>
      </c>
      <c r="F60" t="s">
        <v>21</v>
      </c>
      <c r="G60" s="5">
        <v>36951</v>
      </c>
      <c r="H60" s="130">
        <v>-500000</v>
      </c>
      <c r="I60">
        <v>1.1499999999999999</v>
      </c>
      <c r="J60" s="53">
        <f t="shared" si="60"/>
        <v>4.2130000000000001</v>
      </c>
      <c r="K60" s="7">
        <f t="shared" si="61"/>
        <v>1.075</v>
      </c>
      <c r="L60" s="53">
        <f t="shared" si="62"/>
        <v>5.2880000000000003</v>
      </c>
      <c r="M60" s="157">
        <f t="shared" si="87"/>
        <v>6.8879814952706994E-2</v>
      </c>
      <c r="N60" s="4">
        <f t="shared" si="88"/>
        <v>0.53249999999999997</v>
      </c>
      <c r="O60" s="4">
        <f t="shared" si="89"/>
        <v>0.61199999999999999</v>
      </c>
      <c r="P60" s="9">
        <f t="shared" si="90"/>
        <v>0.83</v>
      </c>
      <c r="Q60" s="5">
        <f t="shared" si="8"/>
        <v>36949</v>
      </c>
      <c r="R60" s="4">
        <f t="shared" si="91"/>
        <v>1</v>
      </c>
      <c r="S60" s="158">
        <f>_xll.xSPRDOPT($L60,$J60,$I60,$M60,$O60,$N60,$P60,$Q60-$C$3,$R60,0)</f>
        <v>0.47535272679038493</v>
      </c>
      <c r="T60" s="159">
        <f>_xll.xSPRDOPT($L60,$J60,$I60,$M60,$O60,$N60,$P60,$Q60-$C$3,$R60,1)*H60</f>
        <v>-255328.31255192394</v>
      </c>
      <c r="U60" s="160">
        <f t="shared" si="92"/>
        <v>-237676.36339519246</v>
      </c>
      <c r="V60" s="159">
        <f>_xll.xSPRDOPT($L60,$J60,$I60,$M60,$O60,$N60,$P60,$Q60-$C$3,$R60,2)*H60</f>
        <v>211323.89722468186</v>
      </c>
      <c r="W60" s="159">
        <f t="shared" si="93"/>
        <v>-44004.415327242081</v>
      </c>
      <c r="X60" s="51" t="str">
        <f t="shared" si="63"/>
        <v>36951IF-TRANSCO/Z6</v>
      </c>
      <c r="Y60" s="418">
        <f t="shared" si="64"/>
        <v>-50</v>
      </c>
      <c r="Z60" s="456">
        <f t="shared" si="65"/>
        <v>0.51065662510384791</v>
      </c>
      <c r="AA60" s="456">
        <f>_xll.xSPRDOPT($L60,$J60,$I60,$M60,$O60,$N60,$P60,$Q60-$C$3,$R60,3)</f>
        <v>0.29184141966594901</v>
      </c>
      <c r="AB60" s="456">
        <f>((_xll.xSPRDOPT($L60+AB$5,$J60,$I60,$M60,$O60,$N60,$P60,$Q60-$C$3,$R60,3)*$H60)/10000)/100</f>
        <v>-0.1459207098329745</v>
      </c>
      <c r="AC60" s="456">
        <f>((_xll.xSPRDOPT($L60+$AB$5,$J60,$I60,$M60,$O60,$N60,$P60,$Q60-$C$3,$R60,7)*$H60)/100)</f>
        <v>5236.2219441631159</v>
      </c>
      <c r="AD60" s="456">
        <f>(_xll.xSPRDOPT($L60+$AB$5,$J60,$I60,$M60,$O60,$N60,$P60,$Q60-$C$3,$R60,9)/365)*$H60</f>
        <v>654.45427475537122</v>
      </c>
      <c r="AE60">
        <f t="shared" si="15"/>
        <v>0</v>
      </c>
      <c r="AF60" s="456">
        <f t="shared" si="66"/>
        <v>-4776.9648593227193</v>
      </c>
      <c r="AG60" s="456">
        <f>((_xll.xSPRDOPT($L60,$J60,$I60,$M60,$O60,$N60,$P60,$Q60-$C$3,$R60,6)*$H60)/100)</f>
        <v>1362.3373243943649</v>
      </c>
      <c r="AH60" s="456">
        <f>((_xll.xSPRDOPT($L60,$J60,$I60,$M60,$O60,$N60,$P60,$Q60-$C$3,$R60,5)*$H60)/100)</f>
        <v>-5341.7947922048161</v>
      </c>
      <c r="AI60" s="456">
        <f>(((_xll.xSPRDOPT($L60,$J60,$I60,$M60,$O60,$N60,$P60,$Q60-$C$3,$R60,4)*$H60)/10000)/100)-AB60</f>
        <v>1.549573116559233E-3</v>
      </c>
      <c r="AJ60" s="456"/>
      <c r="AK60" s="456"/>
      <c r="AL60" s="456"/>
      <c r="AM60" s="472"/>
      <c r="AN60" s="128">
        <f t="shared" si="67"/>
        <v>38353</v>
      </c>
      <c r="AO60" s="43">
        <f t="shared" si="99"/>
        <v>0</v>
      </c>
      <c r="AP60" s="43">
        <f t="shared" si="99"/>
        <v>0</v>
      </c>
      <c r="AQ60" s="43">
        <f t="shared" si="99"/>
        <v>0</v>
      </c>
      <c r="AR60" s="43">
        <f t="shared" si="99"/>
        <v>0</v>
      </c>
      <c r="AS60" s="43">
        <f t="shared" si="99"/>
        <v>0</v>
      </c>
      <c r="AT60" s="43">
        <f t="shared" si="99"/>
        <v>0</v>
      </c>
      <c r="AU60" s="43">
        <f t="shared" si="99"/>
        <v>0</v>
      </c>
      <c r="AV60" s="43">
        <f t="shared" si="99"/>
        <v>0</v>
      </c>
      <c r="AW60" s="43">
        <f t="shared" si="99"/>
        <v>0</v>
      </c>
      <c r="AX60" s="43">
        <f t="shared" si="99"/>
        <v>0</v>
      </c>
      <c r="AY60" s="43">
        <f t="shared" si="99"/>
        <v>0</v>
      </c>
      <c r="AZ60" s="43">
        <f t="shared" si="99"/>
        <v>0</v>
      </c>
      <c r="BA60" s="44">
        <f t="shared" si="99"/>
        <v>0</v>
      </c>
      <c r="BB60" s="128">
        <f t="shared" si="68"/>
        <v>38353</v>
      </c>
      <c r="BC60" s="44">
        <f t="shared" si="41"/>
        <v>0</v>
      </c>
      <c r="BD60" s="51"/>
      <c r="BE60" s="128">
        <f t="shared" si="69"/>
        <v>38353</v>
      </c>
      <c r="BF60" s="43">
        <f t="shared" si="100"/>
        <v>0</v>
      </c>
      <c r="BG60" s="43">
        <f t="shared" si="100"/>
        <v>0</v>
      </c>
      <c r="BH60" s="43">
        <f t="shared" si="100"/>
        <v>0</v>
      </c>
      <c r="BI60" s="43">
        <f t="shared" si="100"/>
        <v>0</v>
      </c>
      <c r="BJ60" s="43">
        <f t="shared" si="100"/>
        <v>0</v>
      </c>
      <c r="BK60" s="43">
        <f t="shared" si="100"/>
        <v>0</v>
      </c>
      <c r="BL60" s="43">
        <f t="shared" si="100"/>
        <v>0</v>
      </c>
      <c r="BM60" s="43">
        <f t="shared" si="100"/>
        <v>0</v>
      </c>
      <c r="BN60" s="43">
        <f t="shared" si="100"/>
        <v>0</v>
      </c>
      <c r="BO60" s="43">
        <f t="shared" si="100"/>
        <v>0</v>
      </c>
      <c r="BP60" s="43">
        <f t="shared" si="100"/>
        <v>0</v>
      </c>
      <c r="BQ60" s="43">
        <f t="shared" si="100"/>
        <v>0</v>
      </c>
      <c r="BR60" s="44">
        <f t="shared" si="100"/>
        <v>0</v>
      </c>
      <c r="BS60" s="128">
        <f t="shared" si="70"/>
        <v>38353</v>
      </c>
      <c r="BT60" s="44">
        <f t="shared" si="37"/>
        <v>0</v>
      </c>
      <c r="BU60" s="51"/>
      <c r="BV60" s="51"/>
      <c r="BW60" s="51"/>
      <c r="BX60" s="51"/>
      <c r="BY60" s="51"/>
      <c r="BZ60" s="51"/>
      <c r="CA60" s="51"/>
      <c r="CB60" s="51"/>
      <c r="CC60" s="141">
        <f t="shared" si="94"/>
        <v>36951</v>
      </c>
      <c r="CD60" s="234">
        <f>_xll.xSPRDOPT((VLOOKUP(G60,NGPrices,2,FALSE)+HLOOKUP(D60,Prices,VLOOKUP(G60,move_down,2,FALSE),FALSE)),VLOOKUP(G60,NGPrices,2,FALSE),I60,VLOOKUP(G60,NGPREVPRICES,4,FALSE),HLOOKUP(D60,PREVVOLS,VLOOKUP(G60,MOVE_DOWN2,2,FALSE),FALSE),VLOOKUP(G60,NGPREVPRICES,3,FALSE),HLOOKUP(D60,Correllate,VLOOKUP(G60,CorMove,2,FALSE),FALSE),Q60-$CD$3,R60,$CD$5)*H60-CJ60</f>
        <v>0</v>
      </c>
      <c r="CE60" s="234">
        <f>_xll.xSPRDOPT((VLOOKUP(G60,NGPREVPRICES,2,FALSE)+HLOOKUP(D60,PREVCURVES,VLOOKUP(G60,MOVE_DOWN2,2,FALSE),FALSE)),VLOOKUP(G60,NGPREVPRICES,2,FALSE),CK60,VLOOKUP(G60,NGPrices,4,FALSE),HLOOKUP(D60,PREVVOLS,VLOOKUP(G60,MOVE_DOWN2,2,FALSE),FALSE),VLOOKUP(G60,NGPREVPRICES,3,FALSE),HLOOKUP(D60,Correllate,VLOOKUP(G60,CorMove,2,FALSE),FALSE),Q60-$CD$3,R60,$CJ$5)*H60-CJ60</f>
        <v>0</v>
      </c>
      <c r="CF60" s="10">
        <f t="shared" si="95"/>
        <v>45.707994426746154</v>
      </c>
      <c r="CG60" s="234">
        <f>_xll.xSPRDOPT((VLOOKUP(G60,NGPREVPRICES,2,FALSE)+HLOOKUP(D60,PREVCURVES,VLOOKUP(G60,MOVE_DOWN2,2,FALSE),FALSE)),VLOOKUP(G60,NGPREVPRICES,2,FALSE),CK60,VLOOKUP(G60,NGPREVPRICES,4,FALSE),HLOOKUP(D60,VOLS,VLOOKUP(G60,move_down,2,FALSE),FALSE),VLOOKUP(G60,NGPrices,3,FALSE),HLOOKUP(D60,Correllate,VLOOKUP(G60,CorMove,2,FALSE),FALSE),Q60-$CD$3,R60,$CJ$5)*H60-CJ60</f>
        <v>0</v>
      </c>
      <c r="CH60" s="234">
        <f>_xll.xSPRDOPT((VLOOKUP(G60,NGPREVPRICES,2,FALSE)+HLOOKUP(D60,PREVCURVES,VLOOKUP(G60,MOVE_DOWN2,2,FALSE),FALSE)),VLOOKUP(G60,NGPREVPRICES,2,FALSE),CK60,VLOOKUP(G60,NGPREVPRICES,4,FALSE),HLOOKUP(D60,PREVVOLS,VLOOKUP(G60,MOVE_DOWN2,2,FALSE),FALSE),VLOOKUP(G60,NGPREVPRICES,3,FALSE),HLOOKUP(D60,Correllate,VLOOKUP(G60,CorMove,2,FALSE),FALSE),Q60-$C$3,R60,$CJ$5)*H60-CJ60</f>
        <v>652.91737426604959</v>
      </c>
      <c r="CI60" s="234">
        <f t="shared" si="96"/>
        <v>698.62536869279575</v>
      </c>
      <c r="CJ60" s="234">
        <f>_xll.xSPRDOPT((VLOOKUP(G60,NGPREVPRICES,2,FALSE)+HLOOKUP(D60,PREVCURVES,VLOOKUP(G60,MOVE_DOWN2,2,FALSE),FALSE)),VLOOKUP(G60,NGPREVPRICES,2,FALSE),CK60,VLOOKUP(G60,NGPREVPRICES,4,FALSE),HLOOKUP(D60,PREVVOLS,VLOOKUP(G60,MOVE_DOWN2,2,FALSE),FALSE),VLOOKUP(G60,NGPREVPRICES,3,FALSE),HLOOKUP(D60,Correllate,VLOOKUP(G60,CorMove,2,FALSE),FALSE),Q60-$CD$3,R60,$CJ$5)*H60</f>
        <v>-238329.28076945851</v>
      </c>
      <c r="CK60" s="235">
        <f t="shared" si="97"/>
        <v>1.1499999999999999</v>
      </c>
      <c r="CL60" s="234"/>
      <c r="CM60" t="str">
        <f t="shared" si="98"/>
        <v>36951Curve Shift/Gamma</v>
      </c>
      <c r="CN60" t="str">
        <f t="shared" si="19"/>
        <v>36951Rho</v>
      </c>
      <c r="CO60" t="str">
        <f t="shared" si="20"/>
        <v>36951Drift</v>
      </c>
      <c r="CP60" t="str">
        <f t="shared" si="21"/>
        <v>36951Vega</v>
      </c>
      <c r="CQ60" t="str">
        <f t="shared" si="22"/>
        <v>36951Theta</v>
      </c>
    </row>
    <row r="61" spans="1:95" ht="12" customHeight="1" x14ac:dyDescent="0.25">
      <c r="A61" s="382" t="s">
        <v>279</v>
      </c>
      <c r="B61" t="s">
        <v>250</v>
      </c>
      <c r="C61" t="s">
        <v>302</v>
      </c>
      <c r="D61" s="4" t="s">
        <v>7</v>
      </c>
      <c r="E61" t="s">
        <v>20</v>
      </c>
      <c r="F61" t="s">
        <v>21</v>
      </c>
      <c r="G61" s="5">
        <v>36923</v>
      </c>
      <c r="H61" s="130">
        <v>-500000</v>
      </c>
      <c r="I61">
        <v>1.1499999999999999</v>
      </c>
      <c r="J61" s="53">
        <f t="shared" si="60"/>
        <v>4.4800000000000004</v>
      </c>
      <c r="K61" s="7">
        <f t="shared" si="61"/>
        <v>2.09</v>
      </c>
      <c r="L61" s="53">
        <f t="shared" si="62"/>
        <v>6.57</v>
      </c>
      <c r="M61" s="157">
        <f t="shared" si="87"/>
        <v>6.8640161611372E-2</v>
      </c>
      <c r="N61" s="4">
        <f t="shared" si="88"/>
        <v>0.59250000000000003</v>
      </c>
      <c r="O61" s="4">
        <f t="shared" si="89"/>
        <v>0.68100000000000005</v>
      </c>
      <c r="P61" s="9">
        <f t="shared" si="90"/>
        <v>0.83</v>
      </c>
      <c r="Q61" s="5">
        <f t="shared" si="8"/>
        <v>36921</v>
      </c>
      <c r="R61" s="4">
        <f t="shared" si="91"/>
        <v>1</v>
      </c>
      <c r="S61" s="158">
        <f>_xll.xSPRDOPT($L61,$J61,$I61,$M61,$O61,$N61,$P61,$Q61-$C$3,$R61,0)</f>
        <v>1.1637603397326721</v>
      </c>
      <c r="T61" s="159">
        <f>_xll.xSPRDOPT($L61,$J61,$I61,$M61,$O61,$N61,$P61,$Q61-$C$3,$R61,1)*H61</f>
        <v>-373667.35009240237</v>
      </c>
      <c r="U61" s="160">
        <f t="shared" si="92"/>
        <v>-581880.16986633604</v>
      </c>
      <c r="V61" s="159">
        <f>_xll.xSPRDOPT($L61,$J61,$I61,$M61,$O61,$N61,$P61,$Q61-$C$3,$R61,2)*H61</f>
        <v>336231.34384519164</v>
      </c>
      <c r="W61" s="159">
        <f t="shared" si="93"/>
        <v>-37436.006247210724</v>
      </c>
      <c r="X61" s="51" t="str">
        <f t="shared" si="63"/>
        <v>36923IF-TRANSCO/Z6</v>
      </c>
      <c r="Y61" s="418">
        <f t="shared" si="64"/>
        <v>-50</v>
      </c>
      <c r="Z61" s="456">
        <f t="shared" si="65"/>
        <v>0.74733470018480475</v>
      </c>
      <c r="AA61" s="456">
        <f>_xll.xSPRDOPT($L61,$J61,$I61,$M61,$O61,$N61,$P61,$Q61-$C$3,$R61,3)</f>
        <v>0.17629992042757986</v>
      </c>
      <c r="AB61" s="456">
        <f>((_xll.xSPRDOPT($L61+AB$5,$J61,$I61,$M61,$O61,$N61,$P61,$Q61-$C$3,$R61,3)*$H61)/10000)/100</f>
        <v>-8.814996021378993E-2</v>
      </c>
      <c r="AC61" s="456">
        <f>((_xll.xSPRDOPT($L61+$AB$5,$J61,$I61,$M61,$O61,$N61,$P61,$Q61-$C$3,$R61,7)*$H61)/100)</f>
        <v>5113.30175612537</v>
      </c>
      <c r="AD61" s="456">
        <f>(_xll.xSPRDOPT($L61+$AB$5,$J61,$I61,$M61,$O61,$N61,$P61,$Q61-$C$3,$R61,9)/365)*$H61</f>
        <v>698.96009411409716</v>
      </c>
      <c r="AE61">
        <f t="shared" si="15"/>
        <v>0</v>
      </c>
      <c r="AF61" s="456">
        <f t="shared" si="66"/>
        <v>-4199.3650309914638</v>
      </c>
      <c r="AG61" s="456">
        <f>((_xll.xSPRDOPT($L61,$J61,$I61,$M61,$O61,$N61,$P61,$Q61-$C$3,$R61,6)*$H61)/100)</f>
        <v>1194.8266072882827</v>
      </c>
      <c r="AH61" s="456">
        <f>((_xll.xSPRDOPT($L61,$J61,$I61,$M61,$O61,$N61,$P61,$Q61-$C$3,$R61,5)*$H61)/100)</f>
        <v>-4693.1843548909683</v>
      </c>
      <c r="AI61" s="456">
        <f>(((_xll.xSPRDOPT($L61,$J61,$I61,$M61,$O61,$N61,$P61,$Q61-$C$3,$R61,4)*$H61)/10000)/100)-AB61</f>
        <v>-3.0880463090071475E-2</v>
      </c>
      <c r="AJ61" s="456"/>
      <c r="AK61" s="456"/>
      <c r="AL61" s="456"/>
      <c r="AM61" s="472"/>
      <c r="AN61" s="128">
        <f t="shared" si="67"/>
        <v>38384</v>
      </c>
      <c r="AO61" s="43">
        <f t="shared" si="99"/>
        <v>0</v>
      </c>
      <c r="AP61" s="43">
        <f t="shared" si="99"/>
        <v>0</v>
      </c>
      <c r="AQ61" s="43">
        <f t="shared" si="99"/>
        <v>0</v>
      </c>
      <c r="AR61" s="43">
        <f t="shared" si="99"/>
        <v>0</v>
      </c>
      <c r="AS61" s="43">
        <f t="shared" si="99"/>
        <v>0</v>
      </c>
      <c r="AT61" s="43">
        <f t="shared" si="99"/>
        <v>0</v>
      </c>
      <c r="AU61" s="43">
        <f t="shared" si="99"/>
        <v>0</v>
      </c>
      <c r="AV61" s="43">
        <f t="shared" si="99"/>
        <v>0</v>
      </c>
      <c r="AW61" s="43">
        <f t="shared" si="99"/>
        <v>0</v>
      </c>
      <c r="AX61" s="43">
        <f t="shared" si="99"/>
        <v>0</v>
      </c>
      <c r="AY61" s="43">
        <f t="shared" si="99"/>
        <v>0</v>
      </c>
      <c r="AZ61" s="43">
        <f t="shared" si="99"/>
        <v>0</v>
      </c>
      <c r="BA61" s="44">
        <f t="shared" si="99"/>
        <v>0</v>
      </c>
      <c r="BB61" s="128">
        <f t="shared" si="68"/>
        <v>38384</v>
      </c>
      <c r="BC61" s="44">
        <f t="shared" si="41"/>
        <v>0</v>
      </c>
      <c r="BD61" s="51"/>
      <c r="BE61" s="128">
        <f t="shared" si="69"/>
        <v>38384</v>
      </c>
      <c r="BF61" s="43">
        <f t="shared" si="100"/>
        <v>0</v>
      </c>
      <c r="BG61" s="43">
        <f t="shared" si="100"/>
        <v>0</v>
      </c>
      <c r="BH61" s="43">
        <f t="shared" si="100"/>
        <v>0</v>
      </c>
      <c r="BI61" s="43">
        <f t="shared" si="100"/>
        <v>0</v>
      </c>
      <c r="BJ61" s="43">
        <f t="shared" si="100"/>
        <v>0</v>
      </c>
      <c r="BK61" s="43">
        <f t="shared" si="100"/>
        <v>0</v>
      </c>
      <c r="BL61" s="43">
        <f t="shared" si="100"/>
        <v>0</v>
      </c>
      <c r="BM61" s="43">
        <f t="shared" si="100"/>
        <v>0</v>
      </c>
      <c r="BN61" s="43">
        <f t="shared" si="100"/>
        <v>0</v>
      </c>
      <c r="BO61" s="43">
        <f t="shared" si="100"/>
        <v>0</v>
      </c>
      <c r="BP61" s="43">
        <f t="shared" si="100"/>
        <v>0</v>
      </c>
      <c r="BQ61" s="43">
        <f t="shared" si="100"/>
        <v>0</v>
      </c>
      <c r="BR61" s="44">
        <f t="shared" si="100"/>
        <v>0</v>
      </c>
      <c r="BS61" s="128">
        <f t="shared" si="70"/>
        <v>38384</v>
      </c>
      <c r="BT61" s="44">
        <f t="shared" si="37"/>
        <v>0</v>
      </c>
      <c r="BU61" s="51"/>
      <c r="BV61" s="51"/>
      <c r="BW61" s="51"/>
      <c r="BX61" s="51"/>
      <c r="BY61" s="51"/>
      <c r="BZ61" s="51"/>
      <c r="CA61" s="51"/>
      <c r="CB61" s="51"/>
      <c r="CC61" s="141">
        <f t="shared" si="94"/>
        <v>36923</v>
      </c>
      <c r="CD61" s="234">
        <f>_xll.xSPRDOPT((VLOOKUP(G61,NGPrices,2,FALSE)+HLOOKUP(D61,Prices,VLOOKUP(G61,move_down,2,FALSE),FALSE)),VLOOKUP(G61,NGPrices,2,FALSE),I61,VLOOKUP(G61,NGPREVPRICES,4,FALSE),HLOOKUP(D61,PREVVOLS,VLOOKUP(G61,MOVE_DOWN2,2,FALSE),FALSE),VLOOKUP(G61,NGPREVPRICES,3,FALSE),HLOOKUP(D61,Correllate,VLOOKUP(G61,CorMove,2,FALSE),FALSE),Q61-$CD$3,R61,$CD$5)*H61-CJ61</f>
        <v>0</v>
      </c>
      <c r="CE61" s="234">
        <f>_xll.xSPRDOPT((VLOOKUP(G61,NGPREVPRICES,2,FALSE)+HLOOKUP(D61,PREVCURVES,VLOOKUP(G61,MOVE_DOWN2,2,FALSE),FALSE)),VLOOKUP(G61,NGPREVPRICES,2,FALSE),CK61,VLOOKUP(G61,NGPrices,4,FALSE),HLOOKUP(D61,PREVVOLS,VLOOKUP(G61,MOVE_DOWN2,2,FALSE),FALSE),VLOOKUP(G61,NGPREVPRICES,3,FALSE),HLOOKUP(D61,Correllate,VLOOKUP(G61,CorMove,2,FALSE),FALSE),Q61-$CD$3,R61,$CJ$5)*H61-CJ61</f>
        <v>0</v>
      </c>
      <c r="CF61" s="10">
        <f t="shared" si="95"/>
        <v>110.79955385858193</v>
      </c>
      <c r="CG61" s="234">
        <f>_xll.xSPRDOPT((VLOOKUP(G61,NGPREVPRICES,2,FALSE)+HLOOKUP(D61,PREVCURVES,VLOOKUP(G61,MOVE_DOWN2,2,FALSE),FALSE)),VLOOKUP(G61,NGPREVPRICES,2,FALSE),CK61,VLOOKUP(G61,NGPREVPRICES,4,FALSE),HLOOKUP(D61,VOLS,VLOOKUP(G61,move_down,2,FALSE),FALSE),VLOOKUP(G61,NGPrices,3,FALSE),HLOOKUP(D61,Correllate,VLOOKUP(G61,CorMove,2,FALSE),FALSE),Q61-$CD$3,R61,$CJ$5)*H61-CJ61</f>
        <v>0</v>
      </c>
      <c r="CH61" s="234">
        <f>_xll.xSPRDOPT((VLOOKUP(G61,NGPREVPRICES,2,FALSE)+HLOOKUP(D61,PREVCURVES,VLOOKUP(G61,MOVE_DOWN2,2,FALSE),FALSE)),VLOOKUP(G61,NGPREVPRICES,2,FALSE),CK61,VLOOKUP(G61,NGPREVPRICES,4,FALSE),HLOOKUP(D61,PREVVOLS,VLOOKUP(G61,MOVE_DOWN2,2,FALSE),FALSE),VLOOKUP(G61,NGPREVPRICES,3,FALSE),HLOOKUP(D61,Correllate,VLOOKUP(G61,CorMove,2,FALSE),FALSE),Q61-$C$3,R61,$CJ$5)*H61-CJ61</f>
        <v>697.50284057192039</v>
      </c>
      <c r="CI61" s="234">
        <f t="shared" si="96"/>
        <v>808.30239443050232</v>
      </c>
      <c r="CJ61" s="234">
        <f>_xll.xSPRDOPT((VLOOKUP(G61,NGPREVPRICES,2,FALSE)+HLOOKUP(D61,PREVCURVES,VLOOKUP(G61,MOVE_DOWN2,2,FALSE),FALSE)),VLOOKUP(G61,NGPREVPRICES,2,FALSE),CK61,VLOOKUP(G61,NGPREVPRICES,4,FALSE),HLOOKUP(D61,PREVVOLS,VLOOKUP(G61,MOVE_DOWN2,2,FALSE),FALSE),VLOOKUP(G61,NGPREVPRICES,3,FALSE),HLOOKUP(D61,Correllate,VLOOKUP(G61,CorMove,2,FALSE),FALSE),Q61-$CD$3,R61,$CJ$5)*H61</f>
        <v>-582577.67270690796</v>
      </c>
      <c r="CK61" s="235">
        <f t="shared" si="97"/>
        <v>1.1499999999999999</v>
      </c>
      <c r="CL61" s="234"/>
      <c r="CM61" t="str">
        <f t="shared" si="98"/>
        <v>36923Curve Shift/Gamma</v>
      </c>
      <c r="CN61" t="str">
        <f t="shared" si="19"/>
        <v>36923Rho</v>
      </c>
      <c r="CO61" t="str">
        <f t="shared" si="20"/>
        <v>36923Drift</v>
      </c>
      <c r="CP61" t="str">
        <f t="shared" si="21"/>
        <v>36923Vega</v>
      </c>
      <c r="CQ61" t="str">
        <f t="shared" si="22"/>
        <v>36923Theta</v>
      </c>
    </row>
    <row r="62" spans="1:95" ht="12" customHeight="1" x14ac:dyDescent="0.25">
      <c r="A62" s="382" t="s">
        <v>279</v>
      </c>
      <c r="B62" t="s">
        <v>250</v>
      </c>
      <c r="C62" t="s">
        <v>302</v>
      </c>
      <c r="D62" s="4" t="s">
        <v>7</v>
      </c>
      <c r="E62" t="s">
        <v>20</v>
      </c>
      <c r="F62" t="s">
        <v>21</v>
      </c>
      <c r="G62" s="5">
        <v>36892</v>
      </c>
      <c r="H62" s="130">
        <v>-500000</v>
      </c>
      <c r="I62">
        <v>1.1499999999999999</v>
      </c>
      <c r="J62" s="53">
        <f t="shared" si="60"/>
        <v>4.7439999999999998</v>
      </c>
      <c r="K62" s="7">
        <f t="shared" si="61"/>
        <v>2.17</v>
      </c>
      <c r="L62" s="53">
        <f t="shared" si="62"/>
        <v>6.9139999999999997</v>
      </c>
      <c r="M62" s="157">
        <f t="shared" si="87"/>
        <v>6.8374831148490994E-2</v>
      </c>
      <c r="N62" s="4">
        <f t="shared" si="88"/>
        <v>0.60499999999999998</v>
      </c>
      <c r="O62" s="4">
        <f t="shared" si="89"/>
        <v>0.69599999999999995</v>
      </c>
      <c r="P62" s="9">
        <f t="shared" si="90"/>
        <v>0.83</v>
      </c>
      <c r="Q62" s="5">
        <f t="shared" si="8"/>
        <v>36888</v>
      </c>
      <c r="R62" s="4">
        <f t="shared" si="91"/>
        <v>1</v>
      </c>
      <c r="S62" s="158">
        <f>_xll.xSPRDOPT($L62,$J62,$I62,$M62,$O62,$N62,$P62,$Q62-$C$3,$R62,0)</f>
        <v>1.2038189306132381</v>
      </c>
      <c r="T62" s="159">
        <f>_xll.xSPRDOPT($L62,$J62,$I62,$M62,$O62,$N62,$P62,$Q62-$C$3,$R62,1)*H62</f>
        <v>-386832.56030912802</v>
      </c>
      <c r="U62" s="160">
        <f t="shared" si="92"/>
        <v>-601909.46530661907</v>
      </c>
      <c r="V62" s="159">
        <f>_xll.xSPRDOPT($L62,$J62,$I62,$M62,$O62,$N62,$P62,$Q62-$C$3,$R62,2)*H62</f>
        <v>354427.08380339033</v>
      </c>
      <c r="W62" s="159">
        <f t="shared" si="93"/>
        <v>-32405.476505737694</v>
      </c>
      <c r="X62" s="51" t="str">
        <f t="shared" si="63"/>
        <v>36892IF-TRANSCO/Z6</v>
      </c>
      <c r="Y62" s="418">
        <f t="shared" si="64"/>
        <v>-50</v>
      </c>
      <c r="Z62" s="456">
        <f t="shared" si="65"/>
        <v>0.7736651206182561</v>
      </c>
      <c r="AA62" s="456">
        <f>_xll.xSPRDOPT($L62,$J62,$I62,$M62,$O62,$N62,$P62,$Q62-$C$3,$R62,3)</f>
        <v>0.17621191536190761</v>
      </c>
      <c r="AB62" s="456">
        <f>((_xll.xSPRDOPT($L62+AB$5,$J62,$I62,$M62,$O62,$N62,$P62,$Q62-$C$3,$R62,3)*$H62)/10000)/100</f>
        <v>-8.8105957680953806E-2</v>
      </c>
      <c r="AC62" s="456">
        <f>((_xll.xSPRDOPT($L62+$AB$5,$J62,$I62,$M62,$O62,$N62,$P62,$Q62-$C$3,$R62,7)*$H62)/100)</f>
        <v>4691.4370278478091</v>
      </c>
      <c r="AD62" s="456">
        <f>(_xll.xSPRDOPT($L62+$AB$5,$J62,$I62,$M62,$O62,$N62,$P62,$Q62-$C$3,$R62,9)/365)*$H62</f>
        <v>814.77133738292105</v>
      </c>
      <c r="AE62">
        <f t="shared" si="15"/>
        <v>0</v>
      </c>
      <c r="AF62" s="456">
        <f t="shared" si="66"/>
        <v>-3707.5646344476836</v>
      </c>
      <c r="AG62" s="456">
        <f>((_xll.xSPRDOPT($L62,$J62,$I62,$M62,$O62,$N62,$P62,$Q62-$C$3,$R62,6)*$H62)/100)</f>
        <v>1028.0550727507525</v>
      </c>
      <c r="AH62" s="456">
        <f>((_xll.xSPRDOPT($L62,$J62,$I62,$M62,$O62,$N62,$P62,$Q62-$C$3,$R62,5)*$H62)/100)</f>
        <v>-4116.451038584848</v>
      </c>
      <c r="AI62" s="456">
        <f>(((_xll.xSPRDOPT($L62,$J62,$I62,$M62,$O62,$N62,$P62,$Q62-$C$3,$R62,4)*$H62)/10000)/100)-AB62</f>
        <v>-3.1790129792542032E-2</v>
      </c>
      <c r="AJ62" s="456"/>
      <c r="AK62" s="456"/>
      <c r="AL62" s="456"/>
      <c r="AM62" s="472"/>
      <c r="AN62" s="128">
        <f t="shared" si="67"/>
        <v>38412</v>
      </c>
      <c r="AO62" s="43">
        <f t="shared" si="99"/>
        <v>0</v>
      </c>
      <c r="AP62" s="43">
        <f t="shared" si="99"/>
        <v>0</v>
      </c>
      <c r="AQ62" s="43">
        <f t="shared" si="99"/>
        <v>0</v>
      </c>
      <c r="AR62" s="43">
        <f t="shared" si="99"/>
        <v>0</v>
      </c>
      <c r="AS62" s="43">
        <f t="shared" si="99"/>
        <v>0</v>
      </c>
      <c r="AT62" s="43">
        <f t="shared" si="99"/>
        <v>0</v>
      </c>
      <c r="AU62" s="43">
        <f t="shared" si="99"/>
        <v>0</v>
      </c>
      <c r="AV62" s="43">
        <f t="shared" si="99"/>
        <v>0</v>
      </c>
      <c r="AW62" s="43">
        <f t="shared" si="99"/>
        <v>0</v>
      </c>
      <c r="AX62" s="43">
        <f t="shared" si="99"/>
        <v>0</v>
      </c>
      <c r="AY62" s="43">
        <f t="shared" si="99"/>
        <v>0</v>
      </c>
      <c r="AZ62" s="43">
        <f t="shared" si="99"/>
        <v>0</v>
      </c>
      <c r="BA62" s="44">
        <f t="shared" si="99"/>
        <v>0</v>
      </c>
      <c r="BB62" s="128">
        <f t="shared" si="68"/>
        <v>38412</v>
      </c>
      <c r="BC62" s="44">
        <f t="shared" si="41"/>
        <v>0</v>
      </c>
      <c r="BD62" s="51"/>
      <c r="BE62" s="128">
        <f t="shared" si="69"/>
        <v>38412</v>
      </c>
      <c r="BF62" s="43">
        <f t="shared" si="100"/>
        <v>0</v>
      </c>
      <c r="BG62" s="43">
        <f t="shared" si="100"/>
        <v>0</v>
      </c>
      <c r="BH62" s="43">
        <f t="shared" si="100"/>
        <v>0</v>
      </c>
      <c r="BI62" s="43">
        <f t="shared" si="100"/>
        <v>0</v>
      </c>
      <c r="BJ62" s="43">
        <f t="shared" si="100"/>
        <v>0</v>
      </c>
      <c r="BK62" s="43">
        <f t="shared" si="100"/>
        <v>0</v>
      </c>
      <c r="BL62" s="43">
        <f t="shared" si="100"/>
        <v>0</v>
      </c>
      <c r="BM62" s="43">
        <f t="shared" si="100"/>
        <v>0</v>
      </c>
      <c r="BN62" s="43">
        <f t="shared" si="100"/>
        <v>0</v>
      </c>
      <c r="BO62" s="43">
        <f t="shared" si="100"/>
        <v>0</v>
      </c>
      <c r="BP62" s="43">
        <f t="shared" si="100"/>
        <v>0</v>
      </c>
      <c r="BQ62" s="43">
        <f t="shared" si="100"/>
        <v>0</v>
      </c>
      <c r="BR62" s="44">
        <f t="shared" si="100"/>
        <v>0</v>
      </c>
      <c r="BS62" s="128">
        <f t="shared" si="70"/>
        <v>38412</v>
      </c>
      <c r="BT62" s="44">
        <f t="shared" si="37"/>
        <v>0</v>
      </c>
      <c r="BU62" s="51"/>
      <c r="BV62" s="51"/>
      <c r="BW62" s="51"/>
      <c r="BX62" s="51"/>
      <c r="BY62" s="51"/>
      <c r="BZ62" s="51"/>
      <c r="CA62" s="51"/>
      <c r="CB62" s="51"/>
      <c r="CC62" s="141">
        <f t="shared" si="94"/>
        <v>36892</v>
      </c>
      <c r="CD62" s="234">
        <f>_xll.xSPRDOPT((VLOOKUP(G62,NGPrices,2,FALSE)+HLOOKUP(D62,Prices,VLOOKUP(G62,move_down,2,FALSE),FALSE)),VLOOKUP(G62,NGPrices,2,FALSE),I62,VLOOKUP(G62,NGPREVPRICES,4,FALSE),HLOOKUP(D62,PREVVOLS,VLOOKUP(G62,MOVE_DOWN2,2,FALSE),FALSE),VLOOKUP(G62,NGPREVPRICES,3,FALSE),HLOOKUP(D62,Correllate,VLOOKUP(G62,CorMove,2,FALSE),FALSE),Q62-$CD$3,R62,$CD$5)*H62-CJ62</f>
        <v>0</v>
      </c>
      <c r="CE62" s="234">
        <f>_xll.xSPRDOPT((VLOOKUP(G62,NGPREVPRICES,2,FALSE)+HLOOKUP(D62,PREVCURVES,VLOOKUP(G62,MOVE_DOWN2,2,FALSE),FALSE)),VLOOKUP(G62,NGPREVPRICES,2,FALSE),CK62,VLOOKUP(G62,NGPrices,4,FALSE),HLOOKUP(D62,PREVVOLS,VLOOKUP(G62,MOVE_DOWN2,2,FALSE),FALSE),VLOOKUP(G62,NGPREVPRICES,3,FALSE),HLOOKUP(D62,Correllate,VLOOKUP(G62,CorMove,2,FALSE),FALSE),Q62-$CD$3,R62,$CJ$5)*H62-CJ62</f>
        <v>0</v>
      </c>
      <c r="CF62" s="10">
        <f t="shared" si="95"/>
        <v>113.57773220865056</v>
      </c>
      <c r="CG62" s="234">
        <f>_xll.xSPRDOPT((VLOOKUP(G62,NGPREVPRICES,2,FALSE)+HLOOKUP(D62,PREVCURVES,VLOOKUP(G62,MOVE_DOWN2,2,FALSE),FALSE)),VLOOKUP(G62,NGPREVPRICES,2,FALSE),CK62,VLOOKUP(G62,NGPREVPRICES,4,FALSE),HLOOKUP(D62,VOLS,VLOOKUP(G62,move_down,2,FALSE),FALSE),VLOOKUP(G62,NGPrices,3,FALSE),HLOOKUP(D62,Correllate,VLOOKUP(G62,CorMove,2,FALSE),FALSE),Q62-$CD$3,R62,$CJ$5)*H62-CJ62</f>
        <v>0</v>
      </c>
      <c r="CH62" s="234">
        <f>_xll.xSPRDOPT((VLOOKUP(G62,NGPREVPRICES,2,FALSE)+HLOOKUP(D62,PREVCURVES,VLOOKUP(G62,MOVE_DOWN2,2,FALSE),FALSE)),VLOOKUP(G62,NGPREVPRICES,2,FALSE),CK62,VLOOKUP(G62,NGPREVPRICES,4,FALSE),HLOOKUP(D62,PREVVOLS,VLOOKUP(G62,MOVE_DOWN2,2,FALSE),FALSE),VLOOKUP(G62,NGPREVPRICES,3,FALSE),HLOOKUP(D62,Correllate,VLOOKUP(G62,CorMove,2,FALSE),FALSE),Q62-$C$3,R62,$CJ$5)*H62-CJ62</f>
        <v>813.0486781335203</v>
      </c>
      <c r="CI62" s="234">
        <f t="shared" si="96"/>
        <v>926.62641034217086</v>
      </c>
      <c r="CJ62" s="234">
        <f>_xll.xSPRDOPT((VLOOKUP(G62,NGPREVPRICES,2,FALSE)+HLOOKUP(D62,PREVCURVES,VLOOKUP(G62,MOVE_DOWN2,2,FALSE),FALSE)),VLOOKUP(G62,NGPREVPRICES,2,FALSE),CK62,VLOOKUP(G62,NGPREVPRICES,4,FALSE),HLOOKUP(D62,PREVVOLS,VLOOKUP(G62,MOVE_DOWN2,2,FALSE),FALSE),VLOOKUP(G62,NGPREVPRICES,3,FALSE),HLOOKUP(D62,Correllate,VLOOKUP(G62,CorMove,2,FALSE),FALSE),Q62-$CD$3,R62,$CJ$5)*H62</f>
        <v>-602722.51398475259</v>
      </c>
      <c r="CK62" s="235">
        <f t="shared" si="97"/>
        <v>1.1499999999999999</v>
      </c>
      <c r="CL62" s="234"/>
      <c r="CM62" t="str">
        <f t="shared" si="98"/>
        <v>36892Curve Shift/Gamma</v>
      </c>
      <c r="CN62" t="str">
        <f t="shared" si="19"/>
        <v>36892Rho</v>
      </c>
      <c r="CO62" t="str">
        <f t="shared" si="20"/>
        <v>36892Drift</v>
      </c>
      <c r="CP62" t="str">
        <f t="shared" si="21"/>
        <v>36892Vega</v>
      </c>
      <c r="CQ62" t="str">
        <f t="shared" si="22"/>
        <v>36892Theta</v>
      </c>
    </row>
    <row r="63" spans="1:95" ht="12" customHeight="1" x14ac:dyDescent="0.25">
      <c r="A63" s="382" t="s">
        <v>279</v>
      </c>
      <c r="B63" t="s">
        <v>250</v>
      </c>
      <c r="C63" t="s">
        <v>302</v>
      </c>
      <c r="D63" s="4" t="s">
        <v>7</v>
      </c>
      <c r="E63" t="s">
        <v>20</v>
      </c>
      <c r="F63" t="s">
        <v>21</v>
      </c>
      <c r="G63" s="5">
        <v>36861</v>
      </c>
      <c r="H63" s="130">
        <v>-500000</v>
      </c>
      <c r="I63">
        <v>1.1499999999999999</v>
      </c>
      <c r="J63" s="53">
        <f t="shared" si="60"/>
        <v>4.8</v>
      </c>
      <c r="K63" s="7">
        <f t="shared" si="61"/>
        <v>1.645</v>
      </c>
      <c r="L63" s="53">
        <f t="shared" si="62"/>
        <v>6.4450000000000003</v>
      </c>
      <c r="M63" s="157">
        <f t="shared" si="87"/>
        <v>6.8314027999354002E-2</v>
      </c>
      <c r="N63" s="4">
        <f t="shared" si="88"/>
        <v>0.6</v>
      </c>
      <c r="O63" s="4">
        <f t="shared" si="89"/>
        <v>0.69</v>
      </c>
      <c r="P63" s="9">
        <f t="shared" si="90"/>
        <v>0.83</v>
      </c>
      <c r="Q63" s="5">
        <f t="shared" si="8"/>
        <v>36859</v>
      </c>
      <c r="R63" s="4">
        <f t="shared" si="91"/>
        <v>1</v>
      </c>
      <c r="S63" s="158">
        <f>_xll.xSPRDOPT($L63,$J63,$I63,$M63,$O63,$N63,$P63,$Q63-$C$3,$R63,0)</f>
        <v>0.76336341489400872</v>
      </c>
      <c r="T63" s="159">
        <f>_xll.xSPRDOPT($L63,$J63,$I63,$M63,$O63,$N63,$P63,$Q63-$C$3,$R63,1)*H63</f>
        <v>-340485.07388213574</v>
      </c>
      <c r="U63" s="160">
        <f t="shared" si="92"/>
        <v>-381681.70744700439</v>
      </c>
      <c r="V63" s="159">
        <f>_xll.xSPRDOPT($L63,$J63,$I63,$M63,$O63,$N63,$P63,$Q63-$C$3,$R63,2)*H63</f>
        <v>307222.04687033629</v>
      </c>
      <c r="W63" s="159">
        <f t="shared" si="93"/>
        <v>-33263.027011799451</v>
      </c>
      <c r="X63" s="51" t="str">
        <f t="shared" si="63"/>
        <v>36861IF-TRANSCO/Z6</v>
      </c>
      <c r="Y63" s="418">
        <f t="shared" si="64"/>
        <v>-50</v>
      </c>
      <c r="Z63" s="456">
        <f t="shared" si="65"/>
        <v>0.68097014776427145</v>
      </c>
      <c r="AA63" s="456">
        <f>_xll.xSPRDOPT($L63,$J63,$I63,$M63,$O63,$N63,$P63,$Q63-$C$3,$R63,3)</f>
        <v>0.26984689871019807</v>
      </c>
      <c r="AB63" s="456">
        <f>((_xll.xSPRDOPT($L63+AB$5,$J63,$I63,$M63,$O63,$N63,$P63,$Q63-$C$3,$R63,3)*$H63)/10000)/100</f>
        <v>-0.13492344935509903</v>
      </c>
      <c r="AC63" s="456">
        <f>((_xll.xSPRDOPT($L63+$AB$5,$J63,$I63,$M63,$O63,$N63,$P63,$Q63-$C$3,$R63,7)*$H63)/100)</f>
        <v>4700.9587300599514</v>
      </c>
      <c r="AD63" s="456">
        <f>(_xll.xSPRDOPT($L63+$AB$5,$J63,$I63,$M63,$O63,$N63,$P63,$Q63-$C$3,$R63,9)/365)*$H63</f>
        <v>1133.9179921674449</v>
      </c>
      <c r="AE63">
        <f t="shared" si="15"/>
        <v>0</v>
      </c>
      <c r="AF63" s="456">
        <f t="shared" si="66"/>
        <v>-3693.8894670427508</v>
      </c>
      <c r="AG63" s="456">
        <f>((_xll.xSPRDOPT($L63,$J63,$I63,$M63,$O63,$N63,$P63,$Q63-$C$3,$R63,6)*$H63)/100)</f>
        <v>1004.667042309831</v>
      </c>
      <c r="AH63" s="456">
        <f>((_xll.xSPRDOPT($L63,$J63,$I63,$M63,$O63,$N63,$P63,$Q63-$C$3,$R63,5)*$H63)/100)</f>
        <v>-4085.7013124805067</v>
      </c>
      <c r="AI63" s="456">
        <f>(((_xll.xSPRDOPT($L63,$J63,$I63,$M63,$O63,$N63,$P63,$Q63-$C$3,$R63,4)*$H63)/10000)/100)-AB63</f>
        <v>-2.2981592672134094E-2</v>
      </c>
      <c r="AJ63" s="456"/>
      <c r="AK63" s="456"/>
      <c r="AL63" s="456"/>
      <c r="AM63" s="472"/>
      <c r="AN63" s="128">
        <f t="shared" si="67"/>
        <v>38443</v>
      </c>
      <c r="AO63" s="43">
        <f t="shared" si="99"/>
        <v>0</v>
      </c>
      <c r="AP63" s="43">
        <f t="shared" si="99"/>
        <v>0</v>
      </c>
      <c r="AQ63" s="43">
        <f t="shared" si="99"/>
        <v>0</v>
      </c>
      <c r="AR63" s="43">
        <f t="shared" si="99"/>
        <v>0</v>
      </c>
      <c r="AS63" s="43">
        <f t="shared" si="99"/>
        <v>0</v>
      </c>
      <c r="AT63" s="43">
        <f t="shared" si="99"/>
        <v>0</v>
      </c>
      <c r="AU63" s="43">
        <f t="shared" si="99"/>
        <v>0</v>
      </c>
      <c r="AV63" s="43">
        <f t="shared" si="99"/>
        <v>0</v>
      </c>
      <c r="AW63" s="43">
        <f t="shared" si="99"/>
        <v>0</v>
      </c>
      <c r="AX63" s="43">
        <f t="shared" si="99"/>
        <v>0</v>
      </c>
      <c r="AY63" s="43">
        <f t="shared" si="99"/>
        <v>0</v>
      </c>
      <c r="AZ63" s="43">
        <f t="shared" si="99"/>
        <v>0</v>
      </c>
      <c r="BA63" s="44">
        <f t="shared" si="99"/>
        <v>0</v>
      </c>
      <c r="BB63" s="128">
        <f t="shared" si="68"/>
        <v>38443</v>
      </c>
      <c r="BC63" s="44">
        <f t="shared" si="41"/>
        <v>0</v>
      </c>
      <c r="BD63" s="51"/>
      <c r="BE63" s="128">
        <f t="shared" si="69"/>
        <v>38443</v>
      </c>
      <c r="BF63" s="43">
        <f t="shared" si="100"/>
        <v>0</v>
      </c>
      <c r="BG63" s="43">
        <f t="shared" si="100"/>
        <v>0</v>
      </c>
      <c r="BH63" s="43">
        <f t="shared" si="100"/>
        <v>0</v>
      </c>
      <c r="BI63" s="43">
        <f t="shared" si="100"/>
        <v>0</v>
      </c>
      <c r="BJ63" s="43">
        <f t="shared" si="100"/>
        <v>0</v>
      </c>
      <c r="BK63" s="43">
        <f t="shared" si="100"/>
        <v>0</v>
      </c>
      <c r="BL63" s="43">
        <f t="shared" si="100"/>
        <v>0</v>
      </c>
      <c r="BM63" s="43">
        <f t="shared" si="100"/>
        <v>0</v>
      </c>
      <c r="BN63" s="43">
        <f t="shared" si="100"/>
        <v>0</v>
      </c>
      <c r="BO63" s="43">
        <f t="shared" si="100"/>
        <v>0</v>
      </c>
      <c r="BP63" s="43">
        <f t="shared" si="100"/>
        <v>0</v>
      </c>
      <c r="BQ63" s="43">
        <f t="shared" si="100"/>
        <v>0</v>
      </c>
      <c r="BR63" s="44">
        <f t="shared" si="100"/>
        <v>0</v>
      </c>
      <c r="BS63" s="128">
        <f t="shared" si="70"/>
        <v>38443</v>
      </c>
      <c r="BT63" s="44">
        <f t="shared" si="37"/>
        <v>0</v>
      </c>
      <c r="BU63" s="51"/>
      <c r="BV63" s="51"/>
      <c r="BW63" s="51"/>
      <c r="BX63" s="51"/>
      <c r="BY63" s="51"/>
      <c r="BZ63" s="51"/>
      <c r="CA63" s="51"/>
      <c r="CB63" s="51"/>
      <c r="CC63" s="141">
        <f t="shared" si="94"/>
        <v>36861</v>
      </c>
      <c r="CD63" s="234">
        <f>_xll.xSPRDOPT((VLOOKUP(G63,NGPrices,2,FALSE)+HLOOKUP(D63,Prices,VLOOKUP(G63,move_down,2,FALSE),FALSE)),VLOOKUP(G63,NGPrices,2,FALSE),I63,VLOOKUP(G63,NGPREVPRICES,4,FALSE),HLOOKUP(D63,PREVVOLS,VLOOKUP(G63,MOVE_DOWN2,2,FALSE),FALSE),VLOOKUP(G63,NGPREVPRICES,3,FALSE),HLOOKUP(D63,Correllate,VLOOKUP(G63,CorMove,2,FALSE),FALSE),Q63-$CD$3,R63,$CD$5)*H63-CJ63</f>
        <v>0</v>
      </c>
      <c r="CE63" s="234">
        <f>_xll.xSPRDOPT((VLOOKUP(G63,NGPREVPRICES,2,FALSE)+HLOOKUP(D63,PREVCURVES,VLOOKUP(G63,MOVE_DOWN2,2,FALSE),FALSE)),VLOOKUP(G63,NGPREVPRICES,2,FALSE),CK63,VLOOKUP(G63,NGPrices,4,FALSE),HLOOKUP(D63,PREVVOLS,VLOOKUP(G63,MOVE_DOWN2,2,FALSE),FALSE),VLOOKUP(G63,NGPREVPRICES,3,FALSE),HLOOKUP(D63,Correllate,VLOOKUP(G63,CorMove,2,FALSE),FALSE),Q63-$CD$3,R63,$CJ$5)*H63-CJ63</f>
        <v>0</v>
      </c>
      <c r="CF63" s="10">
        <f t="shared" si="95"/>
        <v>71.715188403031789</v>
      </c>
      <c r="CG63" s="234">
        <f>_xll.xSPRDOPT((VLOOKUP(G63,NGPREVPRICES,2,FALSE)+HLOOKUP(D63,PREVCURVES,VLOOKUP(G63,MOVE_DOWN2,2,FALSE),FALSE)),VLOOKUP(G63,NGPREVPRICES,2,FALSE),CK63,VLOOKUP(G63,NGPREVPRICES,4,FALSE),HLOOKUP(D63,VOLS,VLOOKUP(G63,move_down,2,FALSE),FALSE),VLOOKUP(G63,NGPrices,3,FALSE),HLOOKUP(D63,Correllate,VLOOKUP(G63,CorMove,2,FALSE),FALSE),Q63-$CD$3,R63,$CJ$5)*H63-CJ63</f>
        <v>0</v>
      </c>
      <c r="CH63" s="234">
        <f>_xll.xSPRDOPT((VLOOKUP(G63,NGPREVPRICES,2,FALSE)+HLOOKUP(D63,PREVCURVES,VLOOKUP(G63,MOVE_DOWN2,2,FALSE),FALSE)),VLOOKUP(G63,NGPREVPRICES,2,FALSE),CK63,VLOOKUP(G63,NGPREVPRICES,4,FALSE),HLOOKUP(D63,PREVVOLS,VLOOKUP(G63,MOVE_DOWN2,2,FALSE),FALSE),VLOOKUP(G63,NGPREVPRICES,3,FALSE),HLOOKUP(D63,Correllate,VLOOKUP(G63,CorMove,2,FALSE),FALSE),Q63-$C$3,R63,$CJ$5)*H63-CJ63</f>
        <v>1130.1792289825389</v>
      </c>
      <c r="CI63" s="234">
        <f t="shared" si="96"/>
        <v>1201.8944173855707</v>
      </c>
      <c r="CJ63" s="234">
        <f>_xll.xSPRDOPT((VLOOKUP(G63,NGPREVPRICES,2,FALSE)+HLOOKUP(D63,PREVCURVES,VLOOKUP(G63,MOVE_DOWN2,2,FALSE),FALSE)),VLOOKUP(G63,NGPREVPRICES,2,FALSE),CK63,VLOOKUP(G63,NGPREVPRICES,4,FALSE),HLOOKUP(D63,PREVVOLS,VLOOKUP(G63,MOVE_DOWN2,2,FALSE),FALSE),VLOOKUP(G63,NGPREVPRICES,3,FALSE),HLOOKUP(D63,Correllate,VLOOKUP(G63,CorMove,2,FALSE),FALSE),Q63-$CD$3,R63,$CJ$5)*H63</f>
        <v>-382811.88667598693</v>
      </c>
      <c r="CK63" s="235">
        <f t="shared" si="97"/>
        <v>1.1499999999999999</v>
      </c>
      <c r="CL63" s="234"/>
      <c r="CM63" t="str">
        <f t="shared" si="98"/>
        <v>36861Curve Shift/Gamma</v>
      </c>
      <c r="CN63" t="str">
        <f t="shared" si="19"/>
        <v>36861Rho</v>
      </c>
      <c r="CO63" t="str">
        <f t="shared" si="20"/>
        <v>36861Drift</v>
      </c>
      <c r="CP63" t="str">
        <f t="shared" si="21"/>
        <v>36861Vega</v>
      </c>
      <c r="CQ63" t="str">
        <f t="shared" si="22"/>
        <v>36861Theta</v>
      </c>
    </row>
    <row r="64" spans="1:95" ht="12" customHeight="1" x14ac:dyDescent="0.25">
      <c r="A64" s="382" t="s">
        <v>279</v>
      </c>
      <c r="B64" t="s">
        <v>250</v>
      </c>
      <c r="C64" t="s">
        <v>302</v>
      </c>
      <c r="D64" s="4" t="s">
        <v>7</v>
      </c>
      <c r="E64" t="s">
        <v>20</v>
      </c>
      <c r="F64" t="s">
        <v>21</v>
      </c>
      <c r="G64" s="5">
        <v>36831</v>
      </c>
      <c r="H64" s="130">
        <v>-500000</v>
      </c>
      <c r="I64">
        <v>1.1499999999999999</v>
      </c>
      <c r="J64" s="53">
        <f t="shared" si="60"/>
        <v>4.7359999999999998</v>
      </c>
      <c r="K64" s="7">
        <f t="shared" si="61"/>
        <v>0.77</v>
      </c>
      <c r="L64" s="53">
        <f t="shared" si="62"/>
        <v>5.5060000000000002</v>
      </c>
      <c r="M64" s="157">
        <f t="shared" ref="M64:M107" si="101">VLOOKUP(G64,NGPrices,4,FALSE)</f>
        <v>6.810675983792E-2</v>
      </c>
      <c r="N64" s="4">
        <f t="shared" ref="N64:N107" si="102">VLOOKUP(G64,NGPrices,3,FALSE)</f>
        <v>0.59499999999999997</v>
      </c>
      <c r="O64" s="4">
        <f t="shared" ref="O64:O107" si="103">HLOOKUP(D64,VOLS,VLOOKUP(G64,move_down,2,FALSE),FALSE)</f>
        <v>0.625</v>
      </c>
      <c r="P64" s="9">
        <f t="shared" ref="P64:P107" si="104">HLOOKUP(D64,Correllate,VLOOKUP(G64,CorMove,2,FALSE),FALSE)</f>
        <v>0.89</v>
      </c>
      <c r="Q64" s="5">
        <f t="shared" si="8"/>
        <v>36829</v>
      </c>
      <c r="R64" s="4">
        <f t="shared" ref="R64:R107" si="105">IF(F64="P",0,1)</f>
        <v>1</v>
      </c>
      <c r="S64" s="158">
        <f>_xll.xSPRDOPT($L64,$J64,$I64,$M64,$O64,$N64,$P64,$Q64-$C$3,$R64,0)</f>
        <v>0.1252644448904148</v>
      </c>
      <c r="T64" s="159">
        <f>_xll.xSPRDOPT($L64,$J64,$I64,$M64,$O64,$N64,$P64,$Q64-$C$3,$R64,1)*H64</f>
        <v>-155054.32137222725</v>
      </c>
      <c r="U64" s="160">
        <f t="shared" si="92"/>
        <v>-62632.222445207401</v>
      </c>
      <c r="V64" s="159">
        <f>_xll.xSPRDOPT($L64,$J64,$I64,$M64,$O64,$N64,$P64,$Q64-$C$3,$R64,2)*H64</f>
        <v>136376.65014893658</v>
      </c>
      <c r="W64" s="159">
        <f t="shared" ref="W64:W107" si="106">+V64+T64</f>
        <v>-18677.671223290672</v>
      </c>
      <c r="X64" s="51" t="str">
        <f t="shared" si="63"/>
        <v>36831IF-TRANSCO/Z6</v>
      </c>
      <c r="Y64" s="418">
        <f t="shared" si="64"/>
        <v>-50</v>
      </c>
      <c r="Z64" s="456">
        <f t="shared" si="65"/>
        <v>0.31010864274445449</v>
      </c>
      <c r="AA64" s="456">
        <f>_xll.xSPRDOPT($L64,$J64,$I64,$M64,$O64,$N64,$P64,$Q64-$C$3,$R64,3)</f>
        <v>0.52444067857825138</v>
      </c>
      <c r="AB64" s="456">
        <f>((_xll.xSPRDOPT($L64+AB$5,$J64,$I64,$M64,$O64,$N64,$P64,$Q64-$C$3,$R64,3)*$H64)/10000)/100</f>
        <v>-0.26222033928912569</v>
      </c>
      <c r="AC64" s="456">
        <f>((_xll.xSPRDOPT($L64+$AB$5,$J64,$I64,$M64,$O64,$N64,$P64,$Q64-$C$3,$R64,7)*$H64)/100)</f>
        <v>4071.3433002268853</v>
      </c>
      <c r="AD64" s="456">
        <f>(_xll.xSPRDOPT($L64+$AB$5,$J64,$I64,$M64,$O64,$N64,$P64,$Q64-$C$3,$R64,9)/365)*$H64</f>
        <v>936.34009744405353</v>
      </c>
      <c r="AE64">
        <f t="shared" si="15"/>
        <v>0</v>
      </c>
      <c r="AF64" s="456">
        <f t="shared" si="66"/>
        <v>-1974.3675808119692</v>
      </c>
      <c r="AG64" s="456">
        <f>((_xll.xSPRDOPT($L64,$J64,$I64,$M64,$O64,$N64,$P64,$Q64-$C$3,$R64,6)*$H64)/100)</f>
        <v>794.69938209263046</v>
      </c>
      <c r="AH64" s="456">
        <f>((_xll.xSPRDOPT($L64,$J64,$I64,$M64,$O64,$N64,$P64,$Q64-$C$3,$R64,5)*$H64)/100)</f>
        <v>-2636.151748685179</v>
      </c>
      <c r="AI64" s="456">
        <f>(((_xll.xSPRDOPT($L64,$J64,$I64,$M64,$O64,$N64,$P64,$Q64-$C$3,$R64,4)*$H64)/10000)/100)-AB64</f>
        <v>2.8477125872949427E-2</v>
      </c>
      <c r="AJ64" s="456"/>
      <c r="AK64" s="456"/>
      <c r="AL64" s="456"/>
      <c r="AM64" s="472"/>
      <c r="AN64" s="128">
        <f t="shared" si="67"/>
        <v>38473</v>
      </c>
      <c r="AO64" s="43">
        <f t="shared" si="99"/>
        <v>0</v>
      </c>
      <c r="AP64" s="43">
        <f t="shared" si="99"/>
        <v>0</v>
      </c>
      <c r="AQ64" s="43">
        <f t="shared" si="99"/>
        <v>0</v>
      </c>
      <c r="AR64" s="43">
        <f t="shared" si="99"/>
        <v>0</v>
      </c>
      <c r="AS64" s="43">
        <f t="shared" si="99"/>
        <v>0</v>
      </c>
      <c r="AT64" s="43">
        <f t="shared" si="99"/>
        <v>0</v>
      </c>
      <c r="AU64" s="43">
        <f t="shared" si="99"/>
        <v>0</v>
      </c>
      <c r="AV64" s="43">
        <f t="shared" si="99"/>
        <v>0</v>
      </c>
      <c r="AW64" s="43">
        <f t="shared" si="99"/>
        <v>0</v>
      </c>
      <c r="AX64" s="43">
        <f t="shared" si="99"/>
        <v>0</v>
      </c>
      <c r="AY64" s="43">
        <f t="shared" si="99"/>
        <v>0</v>
      </c>
      <c r="AZ64" s="43">
        <f t="shared" si="99"/>
        <v>0</v>
      </c>
      <c r="BA64" s="44">
        <f t="shared" si="99"/>
        <v>0</v>
      </c>
      <c r="BB64" s="128">
        <f t="shared" si="68"/>
        <v>38473</v>
      </c>
      <c r="BC64" s="44">
        <f t="shared" si="41"/>
        <v>0</v>
      </c>
      <c r="BD64" s="51"/>
      <c r="BE64" s="128">
        <f t="shared" si="69"/>
        <v>38473</v>
      </c>
      <c r="BF64" s="43">
        <f t="shared" si="100"/>
        <v>0</v>
      </c>
      <c r="BG64" s="43">
        <f t="shared" si="100"/>
        <v>0</v>
      </c>
      <c r="BH64" s="43">
        <f t="shared" si="100"/>
        <v>0</v>
      </c>
      <c r="BI64" s="43">
        <f t="shared" si="100"/>
        <v>0</v>
      </c>
      <c r="BJ64" s="43">
        <f t="shared" si="100"/>
        <v>0</v>
      </c>
      <c r="BK64" s="43">
        <f t="shared" si="100"/>
        <v>0</v>
      </c>
      <c r="BL64" s="43">
        <f t="shared" si="100"/>
        <v>0</v>
      </c>
      <c r="BM64" s="43">
        <f t="shared" si="100"/>
        <v>0</v>
      </c>
      <c r="BN64" s="43">
        <f t="shared" si="100"/>
        <v>0</v>
      </c>
      <c r="BO64" s="43">
        <f t="shared" si="100"/>
        <v>0</v>
      </c>
      <c r="BP64" s="43">
        <f t="shared" si="100"/>
        <v>0</v>
      </c>
      <c r="BQ64" s="43">
        <f t="shared" si="100"/>
        <v>0</v>
      </c>
      <c r="BR64" s="44">
        <f t="shared" si="100"/>
        <v>0</v>
      </c>
      <c r="BS64" s="128">
        <f t="shared" si="70"/>
        <v>38473</v>
      </c>
      <c r="BT64" s="44">
        <f t="shared" si="37"/>
        <v>0</v>
      </c>
      <c r="BU64" s="51"/>
      <c r="BV64" s="51"/>
      <c r="BW64" s="51"/>
      <c r="BX64" s="51"/>
      <c r="BY64" s="51"/>
      <c r="BZ64" s="51"/>
      <c r="CA64" s="51"/>
      <c r="CB64" s="51"/>
      <c r="CC64" s="141">
        <f t="shared" si="94"/>
        <v>36831</v>
      </c>
      <c r="CD64" s="234">
        <f>_xll.xSPRDOPT((VLOOKUP(G64,NGPrices,2,FALSE)+HLOOKUP(D64,Prices,VLOOKUP(G64,move_down,2,FALSE),FALSE)),VLOOKUP(G64,NGPrices,2,FALSE),I64,VLOOKUP(G64,NGPREVPRICES,4,FALSE),HLOOKUP(D64,PREVVOLS,VLOOKUP(G64,MOVE_DOWN2,2,FALSE),FALSE),VLOOKUP(G64,NGPREVPRICES,3,FALSE),HLOOKUP(D64,Correllate,VLOOKUP(G64,CorMove,2,FALSE),FALSE),Q64-$CD$3,R64,$CD$5)*H64-CJ64</f>
        <v>0</v>
      </c>
      <c r="CE64" s="234">
        <f>_xll.xSPRDOPT((VLOOKUP(G64,NGPREVPRICES,2,FALSE)+HLOOKUP(D64,PREVCURVES,VLOOKUP(G64,MOVE_DOWN2,2,FALSE),FALSE)),VLOOKUP(G64,NGPREVPRICES,2,FALSE),CK64,VLOOKUP(G64,NGPrices,4,FALSE),HLOOKUP(D64,PREVVOLS,VLOOKUP(G64,MOVE_DOWN2,2,FALSE),FALSE),VLOOKUP(G64,NGPREVPRICES,3,FALSE),HLOOKUP(D64,Correllate,VLOOKUP(G64,CorMove,2,FALSE),FALSE),Q64-$CD$3,R64,$CJ$5)*H64-CJ64</f>
        <v>0</v>
      </c>
      <c r="CF64" s="10">
        <f t="shared" si="95"/>
        <v>11.804715891354135</v>
      </c>
      <c r="CG64" s="234">
        <f>_xll.xSPRDOPT((VLOOKUP(G64,NGPREVPRICES,2,FALSE)+HLOOKUP(D64,PREVCURVES,VLOOKUP(G64,MOVE_DOWN2,2,FALSE),FALSE)),VLOOKUP(G64,NGPREVPRICES,2,FALSE),CK64,VLOOKUP(G64,NGPREVPRICES,4,FALSE),HLOOKUP(D64,VOLS,VLOOKUP(G64,move_down,2,FALSE),FALSE),VLOOKUP(G64,NGPrices,3,FALSE),HLOOKUP(D64,Correllate,VLOOKUP(G64,CorMove,2,FALSE),FALSE),Q64-$CD$3,R64,$CJ$5)*H64-CJ64</f>
        <v>0</v>
      </c>
      <c r="CH64" s="234">
        <f>_xll.xSPRDOPT((VLOOKUP(G64,NGPREVPRICES,2,FALSE)+HLOOKUP(D64,PREVCURVES,VLOOKUP(G64,MOVE_DOWN2,2,FALSE),FALSE)),VLOOKUP(G64,NGPREVPRICES,2,FALSE),CK64,VLOOKUP(G64,NGPREVPRICES,4,FALSE),HLOOKUP(D64,PREVVOLS,VLOOKUP(G64,MOVE_DOWN2,2,FALSE),FALSE),VLOOKUP(G64,NGPREVPRICES,3,FALSE),HLOOKUP(D64,Correllate,VLOOKUP(G64,CorMove,2,FALSE),FALSE),Q64-$C$3,R64,$CJ$5)*H64-CJ64</f>
        <v>932.87828223536053</v>
      </c>
      <c r="CI64" s="234">
        <f t="shared" si="96"/>
        <v>944.68299812671466</v>
      </c>
      <c r="CJ64" s="234">
        <f>_xll.xSPRDOPT((VLOOKUP(G64,NGPREVPRICES,2,FALSE)+HLOOKUP(D64,PREVCURVES,VLOOKUP(G64,MOVE_DOWN2,2,FALSE),FALSE)),VLOOKUP(G64,NGPREVPRICES,2,FALSE),CK64,VLOOKUP(G64,NGPREVPRICES,4,FALSE),HLOOKUP(D64,PREVVOLS,VLOOKUP(G64,MOVE_DOWN2,2,FALSE),FALSE),VLOOKUP(G64,NGPREVPRICES,3,FALSE),HLOOKUP(D64,Correllate,VLOOKUP(G64,CorMove,2,FALSE),FALSE),Q64-$CD$3,R64,$CJ$5)*H64</f>
        <v>-63565.100727442761</v>
      </c>
      <c r="CK64" s="235">
        <f t="shared" si="97"/>
        <v>1.1499999999999999</v>
      </c>
      <c r="CL64" s="234"/>
      <c r="CM64" t="str">
        <f t="shared" si="98"/>
        <v>36831Curve Shift/Gamma</v>
      </c>
      <c r="CN64" t="str">
        <f t="shared" ref="CN64:CN118" si="107">CONCATENATE($CC64,$CE$6)</f>
        <v>36831Rho</v>
      </c>
      <c r="CO64" t="str">
        <f t="shared" ref="CO64:CO118" si="108">CONCATENATE($CC64,$CF$6)</f>
        <v>36831Drift</v>
      </c>
      <c r="CP64" t="str">
        <f t="shared" ref="CP64:CP118" si="109">CONCATENATE($CC64,$CG$6)</f>
        <v>36831Vega</v>
      </c>
      <c r="CQ64" t="str">
        <f t="shared" ref="CQ64:CQ118" si="110">CONCATENATE($CC64,$CH$6)</f>
        <v>36831Theta</v>
      </c>
    </row>
    <row r="65" spans="1:95" ht="12" customHeight="1" x14ac:dyDescent="0.25">
      <c r="A65" s="140" t="s">
        <v>294</v>
      </c>
      <c r="B65" t="s">
        <v>250</v>
      </c>
      <c r="C65" t="s">
        <v>303</v>
      </c>
      <c r="D65" s="4" t="s">
        <v>7</v>
      </c>
      <c r="E65" t="s">
        <v>20</v>
      </c>
      <c r="F65" t="s">
        <v>21</v>
      </c>
      <c r="G65" s="5">
        <v>36800</v>
      </c>
      <c r="H65" s="130">
        <v>-250000</v>
      </c>
      <c r="I65">
        <v>0.3</v>
      </c>
      <c r="J65" s="53">
        <f t="shared" si="60"/>
        <v>4.6920000000000002</v>
      </c>
      <c r="K65" s="7">
        <f t="shared" si="61"/>
        <v>0.41499999999999998</v>
      </c>
      <c r="L65" s="53">
        <f t="shared" si="62"/>
        <v>5.1070000000000002</v>
      </c>
      <c r="M65" s="157">
        <f t="shared" si="101"/>
        <v>6.8050789414654006E-2</v>
      </c>
      <c r="N65" s="4">
        <f t="shared" si="102"/>
        <v>0.57499999999999996</v>
      </c>
      <c r="O65" s="4">
        <f t="shared" si="103"/>
        <v>0.56399999999999995</v>
      </c>
      <c r="P65" s="9">
        <f t="shared" si="104"/>
        <v>0.99250000000000005</v>
      </c>
      <c r="Q65" s="5">
        <f t="shared" si="8"/>
        <v>36797</v>
      </c>
      <c r="R65" s="4">
        <f t="shared" si="105"/>
        <v>1</v>
      </c>
      <c r="S65" s="158">
        <f>_xll.xSPRDOPT($L65,$J65,$I65,$M65,$O65,$N65,$P65,$Q65-$C$3,$R65,0)</f>
        <v>0.12139395717149579</v>
      </c>
      <c r="T65" s="159">
        <f>_xll.xSPRDOPT($L65,$J65,$I65,$M65,$O65,$N65,$P65,$Q65-$C$3,$R65,1)*H65</f>
        <v>-215872.47278674095</v>
      </c>
      <c r="U65" s="160">
        <f t="shared" si="92"/>
        <v>-30348.489292873946</v>
      </c>
      <c r="V65" s="159">
        <f>_xll.xSPRDOPT($L65,$J65,$I65,$M65,$O65,$N65,$P65,$Q65-$C$3,$R65,2)*H65</f>
        <v>214928.48710068266</v>
      </c>
      <c r="W65" s="159">
        <f t="shared" si="106"/>
        <v>-943.98568605829496</v>
      </c>
      <c r="X65" s="51" t="str">
        <f t="shared" si="63"/>
        <v>36800IF-TRANSCO/Z6</v>
      </c>
      <c r="Y65" s="418">
        <f t="shared" si="64"/>
        <v>-25</v>
      </c>
      <c r="Z65" s="456">
        <f t="shared" si="65"/>
        <v>0.86348989114696384</v>
      </c>
      <c r="AA65" s="456">
        <f>_xll.xSPRDOPT($L65,$J65,$I65,$M65,$O65,$N65,$P65,$Q65-$C$3,$R65,3)</f>
        <v>2.0096109927708925</v>
      </c>
      <c r="AB65" s="456">
        <f>((_xll.xSPRDOPT($L65+AB$5,$J65,$I65,$M65,$O65,$N65,$P65,$Q65-$C$3,$R65,3)*$H65)/10000)/100</f>
        <v>-0.50240274819272313</v>
      </c>
      <c r="AC65" s="456">
        <f>((_xll.xSPRDOPT($L65+$AB$5,$J65,$I65,$M65,$O65,$N65,$P65,$Q65-$C$3,$R65,7)*$H65)/100)</f>
        <v>3270.7264138086653</v>
      </c>
      <c r="AD65" s="456">
        <f>(_xll.xSPRDOPT($L65+$AB$5,$J65,$I65,$M65,$O65,$N65,$P65,$Q65-$C$3,$R65,9)/365)*$H65</f>
        <v>88.088496512701695</v>
      </c>
      <c r="AE65">
        <f t="shared" si="15"/>
        <v>0</v>
      </c>
      <c r="AF65" s="456">
        <f t="shared" si="66"/>
        <v>-97.755672521770947</v>
      </c>
      <c r="AG65" s="456">
        <f>((_xll.xSPRDOPT($L65,$J65,$I65,$M65,$O65,$N65,$P65,$Q65-$C$3,$R65,6)*$H65)/100)</f>
        <v>210.60717033071083</v>
      </c>
      <c r="AH65" s="456">
        <f>((_xll.xSPRDOPT($L65,$J65,$I65,$M65,$O65,$N65,$P65,$Q65-$C$3,$R65,5)*$H65)/100)</f>
        <v>-314.37701177336351</v>
      </c>
      <c r="AI65" s="456">
        <f>(((_xll.xSPRDOPT($L65,$J65,$I65,$M65,$O65,$N65,$P65,$Q65-$C$3,$R65,4)*$H65)/10000)/100)-AB65</f>
        <v>-2.0334338457462353E-2</v>
      </c>
      <c r="AJ65" s="456"/>
      <c r="AK65" s="456"/>
      <c r="AL65" s="456"/>
      <c r="AM65" s="472"/>
      <c r="AN65" s="128">
        <f t="shared" si="67"/>
        <v>38504</v>
      </c>
      <c r="AO65" s="43">
        <f t="shared" si="99"/>
        <v>0</v>
      </c>
      <c r="AP65" s="43">
        <f t="shared" si="99"/>
        <v>0</v>
      </c>
      <c r="AQ65" s="43">
        <f t="shared" si="99"/>
        <v>0</v>
      </c>
      <c r="AR65" s="43">
        <f t="shared" si="99"/>
        <v>0</v>
      </c>
      <c r="AS65" s="43">
        <f t="shared" si="99"/>
        <v>0</v>
      </c>
      <c r="AT65" s="43">
        <f t="shared" si="99"/>
        <v>0</v>
      </c>
      <c r="AU65" s="43">
        <f t="shared" si="99"/>
        <v>0</v>
      </c>
      <c r="AV65" s="43">
        <f t="shared" si="99"/>
        <v>0</v>
      </c>
      <c r="AW65" s="43">
        <f t="shared" si="99"/>
        <v>0</v>
      </c>
      <c r="AX65" s="43">
        <f t="shared" si="99"/>
        <v>0</v>
      </c>
      <c r="AY65" s="43">
        <f t="shared" si="99"/>
        <v>0</v>
      </c>
      <c r="AZ65" s="43">
        <f t="shared" si="99"/>
        <v>0</v>
      </c>
      <c r="BA65" s="44">
        <f t="shared" si="99"/>
        <v>0</v>
      </c>
      <c r="BB65" s="128">
        <f t="shared" si="68"/>
        <v>38504</v>
      </c>
      <c r="BC65" s="44">
        <f t="shared" si="41"/>
        <v>0</v>
      </c>
      <c r="BD65" s="51"/>
      <c r="BE65" s="128">
        <f t="shared" si="69"/>
        <v>38504</v>
      </c>
      <c r="BF65" s="43">
        <f t="shared" si="100"/>
        <v>0</v>
      </c>
      <c r="BG65" s="43">
        <f t="shared" si="100"/>
        <v>0</v>
      </c>
      <c r="BH65" s="43">
        <f t="shared" si="100"/>
        <v>0</v>
      </c>
      <c r="BI65" s="43">
        <f t="shared" si="100"/>
        <v>0</v>
      </c>
      <c r="BJ65" s="43">
        <f t="shared" si="100"/>
        <v>0</v>
      </c>
      <c r="BK65" s="43">
        <f t="shared" si="100"/>
        <v>0</v>
      </c>
      <c r="BL65" s="43">
        <f t="shared" si="100"/>
        <v>0</v>
      </c>
      <c r="BM65" s="43">
        <f t="shared" si="100"/>
        <v>0</v>
      </c>
      <c r="BN65" s="43">
        <f t="shared" si="100"/>
        <v>0</v>
      </c>
      <c r="BO65" s="43">
        <f t="shared" si="100"/>
        <v>0</v>
      </c>
      <c r="BP65" s="43">
        <f t="shared" si="100"/>
        <v>0</v>
      </c>
      <c r="BQ65" s="43">
        <f t="shared" si="100"/>
        <v>0</v>
      </c>
      <c r="BR65" s="44">
        <f t="shared" si="100"/>
        <v>0</v>
      </c>
      <c r="BS65" s="128">
        <f t="shared" si="70"/>
        <v>38504</v>
      </c>
      <c r="BT65" s="44">
        <f t="shared" si="37"/>
        <v>0</v>
      </c>
      <c r="BU65" s="51"/>
      <c r="BV65" s="51"/>
      <c r="BW65" s="51"/>
      <c r="BX65" s="51"/>
      <c r="BY65" s="51"/>
      <c r="BZ65" s="51"/>
      <c r="CA65" s="51"/>
      <c r="CB65" s="51"/>
      <c r="CC65" s="141">
        <f t="shared" si="94"/>
        <v>36800</v>
      </c>
      <c r="CD65" s="234">
        <f>_xll.xSPRDOPT((VLOOKUP(G65,NGPrices,2,FALSE)+HLOOKUP(D65,Prices,VLOOKUP(G65,move_down,2,FALSE),FALSE)),VLOOKUP(G65,NGPrices,2,FALSE),I65,VLOOKUP(G65,NGPREVPRICES,4,FALSE),HLOOKUP(D65,PREVVOLS,VLOOKUP(G65,MOVE_DOWN2,2,FALSE),FALSE),VLOOKUP(G65,NGPREVPRICES,3,FALSE),HLOOKUP(D65,Correllate,VLOOKUP(G65,CorMove,2,FALSE),FALSE),Q65-$CD$3,R65,$CD$5)*H65-CJ65</f>
        <v>0</v>
      </c>
      <c r="CE65" s="234">
        <f>_xll.xSPRDOPT((VLOOKUP(G65,NGPREVPRICES,2,FALSE)+HLOOKUP(D65,PREVCURVES,VLOOKUP(G65,MOVE_DOWN2,2,FALSE),FALSE)),VLOOKUP(G65,NGPREVPRICES,2,FALSE),CK65,VLOOKUP(G65,NGPrices,4,FALSE),HLOOKUP(D65,PREVVOLS,VLOOKUP(G65,MOVE_DOWN2,2,FALSE),FALSE),VLOOKUP(G65,NGPREVPRICES,3,FALSE),HLOOKUP(D65,Correllate,VLOOKUP(G65,CorMove,2,FALSE),FALSE),Q65-$CD$3,R65,$CJ$5)*H65-CJ65</f>
        <v>0</v>
      </c>
      <c r="CF65" s="10">
        <f t="shared" si="95"/>
        <v>5.6111745608322963</v>
      </c>
      <c r="CG65" s="234">
        <f>_xll.xSPRDOPT((VLOOKUP(G65,NGPREVPRICES,2,FALSE)+HLOOKUP(D65,PREVCURVES,VLOOKUP(G65,MOVE_DOWN2,2,FALSE),FALSE)),VLOOKUP(G65,NGPREVPRICES,2,FALSE),CK65,VLOOKUP(G65,NGPREVPRICES,4,FALSE),HLOOKUP(D65,VOLS,VLOOKUP(G65,move_down,2,FALSE),FALSE),VLOOKUP(G65,NGPrices,3,FALSE),HLOOKUP(D65,Correllate,VLOOKUP(G65,CorMove,2,FALSE),FALSE),Q65-$CD$3,R65,$CJ$5)*H65-CJ65</f>
        <v>0</v>
      </c>
      <c r="CH65" s="234">
        <f>_xll.xSPRDOPT((VLOOKUP(G65,NGPREVPRICES,2,FALSE)+HLOOKUP(D65,PREVCURVES,VLOOKUP(G65,MOVE_DOWN2,2,FALSE),FALSE)),VLOOKUP(G65,NGPREVPRICES,2,FALSE),CK65,VLOOKUP(G65,NGPREVPRICES,4,FALSE),HLOOKUP(D65,PREVVOLS,VLOOKUP(G65,MOVE_DOWN2,2,FALSE),FALSE),VLOOKUP(G65,NGPREVPRICES,3,FALSE),HLOOKUP(D65,Correllate,VLOOKUP(G65,CorMove,2,FALSE),FALSE),Q65-$C$3,R65,$CJ$5)*H65-CJ65</f>
        <v>88.179479453803651</v>
      </c>
      <c r="CI65" s="234">
        <f t="shared" si="96"/>
        <v>93.790654014635948</v>
      </c>
      <c r="CJ65" s="234">
        <f>_xll.xSPRDOPT((VLOOKUP(G65,NGPREVPRICES,2,FALSE)+HLOOKUP(D65,PREVCURVES,VLOOKUP(G65,MOVE_DOWN2,2,FALSE),FALSE)),VLOOKUP(G65,NGPREVPRICES,2,FALSE),CK65,VLOOKUP(G65,NGPREVPRICES,4,FALSE),HLOOKUP(D65,PREVVOLS,VLOOKUP(G65,MOVE_DOWN2,2,FALSE),FALSE),VLOOKUP(G65,NGPREVPRICES,3,FALSE),HLOOKUP(D65,Correllate,VLOOKUP(G65,CorMove,2,FALSE),FALSE),Q65-$CD$3,R65,$CJ$5)*H65</f>
        <v>-30436.66877232775</v>
      </c>
      <c r="CK65" s="235">
        <f t="shared" si="97"/>
        <v>0.3</v>
      </c>
      <c r="CL65" s="234"/>
      <c r="CM65" t="str">
        <f t="shared" si="98"/>
        <v>36800Curve Shift/Gamma</v>
      </c>
      <c r="CN65" t="str">
        <f t="shared" si="107"/>
        <v>36800Rho</v>
      </c>
      <c r="CO65" t="str">
        <f t="shared" si="108"/>
        <v>36800Drift</v>
      </c>
      <c r="CP65" t="str">
        <f t="shared" si="109"/>
        <v>36800Vega</v>
      </c>
      <c r="CQ65" t="str">
        <f t="shared" si="110"/>
        <v>36800Theta</v>
      </c>
    </row>
    <row r="66" spans="1:95" ht="12" customHeight="1" x14ac:dyDescent="0.25">
      <c r="A66" s="140" t="s">
        <v>294</v>
      </c>
      <c r="B66" t="s">
        <v>250</v>
      </c>
      <c r="C66" t="s">
        <v>303</v>
      </c>
      <c r="D66" s="4" t="s">
        <v>7</v>
      </c>
      <c r="E66" t="s">
        <v>20</v>
      </c>
      <c r="F66" t="s">
        <v>21</v>
      </c>
      <c r="G66" s="5">
        <v>36770</v>
      </c>
      <c r="H66" s="130">
        <v>-250000</v>
      </c>
      <c r="I66">
        <v>0.3</v>
      </c>
      <c r="J66" s="53">
        <f t="shared" si="60"/>
        <v>4.6849999999999996</v>
      </c>
      <c r="K66" s="7">
        <f t="shared" si="61"/>
        <v>0.315</v>
      </c>
      <c r="L66" s="53">
        <f t="shared" si="62"/>
        <v>5</v>
      </c>
      <c r="M66" s="157">
        <f t="shared" si="101"/>
        <v>6.7216196212184998E-2</v>
      </c>
      <c r="N66" s="4">
        <f t="shared" si="102"/>
        <v>0.4</v>
      </c>
      <c r="O66" s="4">
        <f t="shared" si="103"/>
        <v>0.39200000000000002</v>
      </c>
      <c r="P66" s="9">
        <f t="shared" si="104"/>
        <v>0.99250000000000005</v>
      </c>
      <c r="Q66" s="5">
        <f t="shared" si="8"/>
        <v>36768</v>
      </c>
      <c r="R66" s="4">
        <f t="shared" si="105"/>
        <v>1</v>
      </c>
      <c r="S66" s="158">
        <f>_xll.xSPRDOPT($L66,$J66,$I66,$M66,$O66,$N66,$P66,$Q66-$C$3,$R66,0)</f>
        <v>1.5795122529349635E-2</v>
      </c>
      <c r="T66" s="159">
        <f>_xll.xSPRDOPT($L66,$J66,$I66,$M66,$O66,$N66,$P66,$Q66-$C$3,$R66,1)*H66</f>
        <v>-219041.72288502599</v>
      </c>
      <c r="U66" s="160">
        <f t="shared" si="92"/>
        <v>-3948.7806323374089</v>
      </c>
      <c r="V66" s="159">
        <f>_xll.xSPRDOPT($L66,$J66,$I66,$M66,$O66,$N66,$P66,$Q66-$C$3,$R66,2)*H66</f>
        <v>218925.97106249371</v>
      </c>
      <c r="W66" s="159">
        <f t="shared" si="106"/>
        <v>-115.75182253227104</v>
      </c>
      <c r="X66" s="51" t="str">
        <f t="shared" si="63"/>
        <v>36770IF-TRANSCO/Z6</v>
      </c>
      <c r="Y66" s="418">
        <f t="shared" si="64"/>
        <v>-25</v>
      </c>
      <c r="Z66" s="456">
        <f t="shared" si="65"/>
        <v>0.87616689154010396</v>
      </c>
      <c r="AA66" s="456">
        <f>_xll.xSPRDOPT($L66,$J66,$I66,$M66,$O66,$N66,$P66,$Q66-$C$3,$R66,3)</f>
        <v>15.702680426473698</v>
      </c>
      <c r="AB66" s="456">
        <f>((_xll.xSPRDOPT($L66+AB$5,$J66,$I66,$M66,$O66,$N66,$P66,$Q66-$C$3,$R66,3)*$H66)/10000)/100</f>
        <v>-3.9256701066184245</v>
      </c>
      <c r="AC66" s="456">
        <f>((_xll.xSPRDOPT($L66+$AB$5,$J66,$I66,$M66,$O66,$N66,$P66,$Q66-$C$3,$R66,7)*$H66)/100)</f>
        <v>395.8100359287514</v>
      </c>
      <c r="AD66" s="456">
        <f>(_xll.xSPRDOPT($L66+$AB$5,$J66,$I66,$M66,$O66,$N66,$P66,$Q66-$C$3,$R66,9)/365)*$H66</f>
        <v>331.71279822343075</v>
      </c>
      <c r="AE66">
        <f t="shared" si="15"/>
        <v>0</v>
      </c>
      <c r="AF66" s="456">
        <f t="shared" si="66"/>
        <v>-16.610896653613189</v>
      </c>
      <c r="AG66" s="456">
        <f>((_xll.xSPRDOPT($L66,$J66,$I66,$M66,$O66,$N66,$P66,$Q66-$C$3,$R66,6)*$H66)/100)</f>
        <v>33.514430456933923</v>
      </c>
      <c r="AH66" s="456">
        <f>((_xll.xSPRDOPT($L66,$J66,$I66,$M66,$O66,$N66,$P66,$Q66-$C$3,$R66,5)*$H66)/100)</f>
        <v>-51.148292969946034</v>
      </c>
      <c r="AI66" s="456">
        <f>(((_xll.xSPRDOPT($L66,$J66,$I66,$M66,$O66,$N66,$P66,$Q66-$C$3,$R66,4)*$H66)/10000)/100)-AB66</f>
        <v>-2.0622005142626687E-2</v>
      </c>
      <c r="AJ66" s="456"/>
      <c r="AK66" s="456"/>
      <c r="AL66" s="456"/>
      <c r="AM66" s="472"/>
      <c r="AN66" s="128">
        <f t="shared" si="67"/>
        <v>38534</v>
      </c>
      <c r="AO66" s="43">
        <f t="shared" si="99"/>
        <v>0</v>
      </c>
      <c r="AP66" s="43">
        <f t="shared" si="99"/>
        <v>0</v>
      </c>
      <c r="AQ66" s="43">
        <f t="shared" si="99"/>
        <v>0</v>
      </c>
      <c r="AR66" s="43">
        <f t="shared" si="99"/>
        <v>0</v>
      </c>
      <c r="AS66" s="43">
        <f t="shared" si="99"/>
        <v>0</v>
      </c>
      <c r="AT66" s="43">
        <f t="shared" si="99"/>
        <v>0</v>
      </c>
      <c r="AU66" s="43">
        <f t="shared" si="99"/>
        <v>0</v>
      </c>
      <c r="AV66" s="43">
        <f t="shared" si="99"/>
        <v>0</v>
      </c>
      <c r="AW66" s="43">
        <f t="shared" si="99"/>
        <v>0</v>
      </c>
      <c r="AX66" s="43">
        <f t="shared" si="99"/>
        <v>0</v>
      </c>
      <c r="AY66" s="43">
        <f t="shared" si="99"/>
        <v>0</v>
      </c>
      <c r="AZ66" s="43">
        <f t="shared" si="99"/>
        <v>0</v>
      </c>
      <c r="BA66" s="44">
        <f t="shared" si="99"/>
        <v>0</v>
      </c>
      <c r="BB66" s="128">
        <f t="shared" si="68"/>
        <v>38534</v>
      </c>
      <c r="BC66" s="44">
        <f t="shared" si="41"/>
        <v>0</v>
      </c>
      <c r="BD66" s="51"/>
      <c r="BE66" s="128">
        <f t="shared" si="69"/>
        <v>38534</v>
      </c>
      <c r="BF66" s="43">
        <f t="shared" si="100"/>
        <v>0</v>
      </c>
      <c r="BG66" s="43">
        <f t="shared" si="100"/>
        <v>0</v>
      </c>
      <c r="BH66" s="43">
        <f t="shared" si="100"/>
        <v>0</v>
      </c>
      <c r="BI66" s="43">
        <f t="shared" si="100"/>
        <v>0</v>
      </c>
      <c r="BJ66" s="43">
        <f t="shared" si="100"/>
        <v>0</v>
      </c>
      <c r="BK66" s="43">
        <f t="shared" si="100"/>
        <v>0</v>
      </c>
      <c r="BL66" s="43">
        <f t="shared" si="100"/>
        <v>0</v>
      </c>
      <c r="BM66" s="43">
        <f t="shared" si="100"/>
        <v>0</v>
      </c>
      <c r="BN66" s="43">
        <f t="shared" si="100"/>
        <v>0</v>
      </c>
      <c r="BO66" s="43">
        <f t="shared" si="100"/>
        <v>0</v>
      </c>
      <c r="BP66" s="43">
        <f t="shared" si="100"/>
        <v>0</v>
      </c>
      <c r="BQ66" s="43">
        <f t="shared" si="100"/>
        <v>0</v>
      </c>
      <c r="BR66" s="44">
        <f t="shared" si="100"/>
        <v>0</v>
      </c>
      <c r="BS66" s="128">
        <f t="shared" si="70"/>
        <v>38534</v>
      </c>
      <c r="BT66" s="44">
        <f t="shared" si="37"/>
        <v>0</v>
      </c>
      <c r="BU66" s="51"/>
      <c r="BV66" s="51"/>
      <c r="BW66" s="51"/>
      <c r="BX66" s="51"/>
      <c r="BY66" s="51"/>
      <c r="BZ66" s="51"/>
      <c r="CA66" s="51"/>
      <c r="CB66" s="51"/>
      <c r="CC66" s="141">
        <f t="shared" si="94"/>
        <v>36770</v>
      </c>
      <c r="CD66" s="234">
        <f>_xll.xSPRDOPT((VLOOKUP(G66,NGPrices,2,FALSE)+HLOOKUP(D66,Prices,VLOOKUP(G66,move_down,2,FALSE),FALSE)),VLOOKUP(G66,NGPrices,2,FALSE),I66,VLOOKUP(G66,NGPREVPRICES,4,FALSE),HLOOKUP(D66,PREVVOLS,VLOOKUP(G66,MOVE_DOWN2,2,FALSE),FALSE),VLOOKUP(G66,NGPREVPRICES,3,FALSE),HLOOKUP(D66,Correllate,VLOOKUP(G66,CorMove,2,FALSE),FALSE),Q66-$CD$3,R66,$CD$5)*H66-CJ66</f>
        <v>0</v>
      </c>
      <c r="CE66" s="234">
        <f>_xll.xSPRDOPT((VLOOKUP(G66,NGPREVPRICES,2,FALSE)+HLOOKUP(D66,PREVCURVES,VLOOKUP(G66,MOVE_DOWN2,2,FALSE),FALSE)),VLOOKUP(G66,NGPREVPRICES,2,FALSE),CK66,VLOOKUP(G66,NGPrices,4,FALSE),HLOOKUP(D66,PREVVOLS,VLOOKUP(G66,MOVE_DOWN2,2,FALSE),FALSE),VLOOKUP(G66,NGPREVPRICES,3,FALSE),HLOOKUP(D66,Correllate,VLOOKUP(G66,CorMove,2,FALSE),FALSE),Q66-$CD$3,R66,$CJ$5)*H66-CJ66</f>
        <v>0</v>
      </c>
      <c r="CF66" s="10">
        <f t="shared" si="95"/>
        <v>0.78067592263050756</v>
      </c>
      <c r="CG66" s="234">
        <f>_xll.xSPRDOPT((VLOOKUP(G66,NGPREVPRICES,2,FALSE)+HLOOKUP(D66,PREVCURVES,VLOOKUP(G66,MOVE_DOWN2,2,FALSE),FALSE)),VLOOKUP(G66,NGPREVPRICES,2,FALSE),CK66,VLOOKUP(G66,NGPREVPRICES,4,FALSE),HLOOKUP(D66,VOLS,VLOOKUP(G66,move_down,2,FALSE),FALSE),VLOOKUP(G66,NGPrices,3,FALSE),HLOOKUP(D66,Correllate,VLOOKUP(G66,CorMove,2,FALSE),FALSE),Q66-$CD$3,R66,$CJ$5)*H66-CJ66</f>
        <v>0</v>
      </c>
      <c r="CH66" s="234">
        <f>_xll.xSPRDOPT((VLOOKUP(G66,NGPREVPRICES,2,FALSE)+HLOOKUP(D66,PREVCURVES,VLOOKUP(G66,MOVE_DOWN2,2,FALSE),FALSE)),VLOOKUP(G66,NGPREVPRICES,2,FALSE),CK66,VLOOKUP(G66,NGPREVPRICES,4,FALSE),HLOOKUP(D66,PREVVOLS,VLOOKUP(G66,MOVE_DOWN2,2,FALSE),FALSE),VLOOKUP(G66,NGPREVPRICES,3,FALSE),HLOOKUP(D66,Correllate,VLOOKUP(G66,CorMove,2,FALSE),FALSE),Q66-$C$3,R66,$CJ$5)*H66-CJ66</f>
        <v>335.33384980932078</v>
      </c>
      <c r="CI66" s="234">
        <f t="shared" si="96"/>
        <v>336.11452573195129</v>
      </c>
      <c r="CJ66" s="234">
        <f>_xll.xSPRDOPT((VLOOKUP(G66,NGPREVPRICES,2,FALSE)+HLOOKUP(D66,PREVCURVES,VLOOKUP(G66,MOVE_DOWN2,2,FALSE),FALSE)),VLOOKUP(G66,NGPREVPRICES,2,FALSE),CK66,VLOOKUP(G66,NGPREVPRICES,4,FALSE),HLOOKUP(D66,PREVVOLS,VLOOKUP(G66,MOVE_DOWN2,2,FALSE),FALSE),VLOOKUP(G66,NGPREVPRICES,3,FALSE),HLOOKUP(D66,Correllate,VLOOKUP(G66,CorMove,2,FALSE),FALSE),Q66-$CD$3,R66,$CJ$5)*H66</f>
        <v>-4284.1144821467296</v>
      </c>
      <c r="CK66" s="235">
        <f t="shared" si="97"/>
        <v>0.3</v>
      </c>
      <c r="CL66" s="234"/>
      <c r="CM66" t="str">
        <f t="shared" si="98"/>
        <v>36770Curve Shift/Gamma</v>
      </c>
      <c r="CN66" t="str">
        <f t="shared" si="107"/>
        <v>36770Rho</v>
      </c>
      <c r="CO66" t="str">
        <f t="shared" si="108"/>
        <v>36770Drift</v>
      </c>
      <c r="CP66" t="str">
        <f t="shared" si="109"/>
        <v>36770Vega</v>
      </c>
      <c r="CQ66" t="str">
        <f t="shared" si="110"/>
        <v>36770Theta</v>
      </c>
    </row>
    <row r="67" spans="1:95" ht="12" customHeight="1" x14ac:dyDescent="0.25">
      <c r="A67" s="140" t="s">
        <v>294</v>
      </c>
      <c r="B67" t="s">
        <v>250</v>
      </c>
      <c r="C67" t="s">
        <v>304</v>
      </c>
      <c r="D67" s="4" t="s">
        <v>7</v>
      </c>
      <c r="E67" t="s">
        <v>20</v>
      </c>
      <c r="F67" t="s">
        <v>1</v>
      </c>
      <c r="G67" s="5">
        <v>36800</v>
      </c>
      <c r="H67" s="130">
        <v>-250000</v>
      </c>
      <c r="I67">
        <v>0.3</v>
      </c>
      <c r="J67" s="53">
        <f t="shared" si="60"/>
        <v>4.6920000000000002</v>
      </c>
      <c r="K67" s="7">
        <f t="shared" si="61"/>
        <v>0.41499999999999998</v>
      </c>
      <c r="L67" s="53">
        <f t="shared" si="62"/>
        <v>5.1070000000000002</v>
      </c>
      <c r="M67" s="157">
        <f t="shared" si="101"/>
        <v>6.8050789414654006E-2</v>
      </c>
      <c r="N67" s="4">
        <f t="shared" si="102"/>
        <v>0.57499999999999996</v>
      </c>
      <c r="O67" s="4">
        <f t="shared" si="103"/>
        <v>0.56399999999999995</v>
      </c>
      <c r="P67" s="9">
        <f t="shared" si="104"/>
        <v>0.99250000000000005</v>
      </c>
      <c r="Q67" s="5">
        <f t="shared" si="8"/>
        <v>36797</v>
      </c>
      <c r="R67" s="4">
        <f t="shared" si="105"/>
        <v>0</v>
      </c>
      <c r="S67" s="158">
        <f>_xll.xSPRDOPT($L67,$J67,$I67,$M67,$O67,$N67,$P67,$Q67-$C$3,$R67,0)</f>
        <v>7.0349436722563774E-3</v>
      </c>
      <c r="T67" s="159">
        <f>_xll.xSPRDOPT($L67,$J67,$I67,$M67,$O67,$N67,$P67,$Q67-$C$3,$R67,1)*H67</f>
        <v>32734.078298563618</v>
      </c>
      <c r="U67" s="160">
        <f t="shared" si="92"/>
        <v>-1758.7359180640944</v>
      </c>
      <c r="V67" s="159">
        <f>_xll.xSPRDOPT($L67,$J67,$I67,$M67,$O67,$N67,$P67,$Q67-$C$3,$R67,2)*H67</f>
        <v>-33678.06398462192</v>
      </c>
      <c r="W67" s="159">
        <f t="shared" si="106"/>
        <v>-943.98568605830224</v>
      </c>
      <c r="X67" s="51" t="str">
        <f t="shared" si="63"/>
        <v>36800IF-TRANSCO/Z6</v>
      </c>
      <c r="Y67" s="418">
        <f t="shared" si="64"/>
        <v>-25</v>
      </c>
      <c r="Z67" s="456">
        <f t="shared" si="65"/>
        <v>-0.13093631319425447</v>
      </c>
      <c r="AA67" s="456">
        <f>_xll.xSPRDOPT($L67,$J67,$I67,$M67,$O67,$N67,$P67,$Q67-$C$3,$R67,3)</f>
        <v>2.0096109927708925</v>
      </c>
      <c r="AB67" s="456">
        <f>((_xll.xSPRDOPT($L67+AB$5,$J67,$I67,$M67,$O67,$N67,$P67,$Q67-$C$3,$R67,3)*$H67)/10000)/100</f>
        <v>-0.50240274819272313</v>
      </c>
      <c r="AC67" s="456">
        <f>((_xll.xSPRDOPT($L67+$AB$5,$J67,$I67,$M67,$O67,$N67,$P67,$Q67-$C$3,$R67,7)*$H67)/100)</f>
        <v>3270.7264138086653</v>
      </c>
      <c r="AD67" s="456">
        <f>(_xll.xSPRDOPT($L67+$AB$5,$J67,$I67,$M67,$O67,$N67,$P67,$Q67-$C$3,$R67,9)/365)*$H67</f>
        <v>93.418784968389588</v>
      </c>
      <c r="AE67">
        <f t="shared" si="15"/>
        <v>0</v>
      </c>
      <c r="AF67" s="456">
        <f t="shared" si="66"/>
        <v>-97.755672521770947</v>
      </c>
      <c r="AG67" s="456">
        <f>((_xll.xSPRDOPT($L67,$J67,$I67,$M67,$O67,$N67,$P67,$Q67-$C$3,$R67,6)*$H67)/100)</f>
        <v>210.60717033071083</v>
      </c>
      <c r="AH67" s="456">
        <f>((_xll.xSPRDOPT($L67,$J67,$I67,$M67,$O67,$N67,$P67,$Q67-$C$3,$R67,5)*$H67)/100)</f>
        <v>-314.37701177336351</v>
      </c>
      <c r="AI67" s="456">
        <f>(((_xll.xSPRDOPT($L67,$J67,$I67,$M67,$O67,$N67,$P67,$Q67-$C$3,$R67,4)*$H67)/10000)/100)-AB67</f>
        <v>-2.0334338457462353E-2</v>
      </c>
      <c r="AJ67" s="456"/>
      <c r="AK67" s="456"/>
      <c r="AL67" s="456"/>
      <c r="AM67" s="472"/>
      <c r="AN67" s="128">
        <f t="shared" si="67"/>
        <v>38565</v>
      </c>
      <c r="AO67" s="43">
        <f t="shared" ref="AO67:BA76" si="111">SUMIF($X:$X,CONCATENATE($AN67,AO$6),$T:$T)/10000</f>
        <v>0</v>
      </c>
      <c r="AP67" s="43">
        <f t="shared" si="111"/>
        <v>0</v>
      </c>
      <c r="AQ67" s="43">
        <f t="shared" si="111"/>
        <v>0</v>
      </c>
      <c r="AR67" s="43">
        <f t="shared" si="111"/>
        <v>0</v>
      </c>
      <c r="AS67" s="43">
        <f t="shared" si="111"/>
        <v>0</v>
      </c>
      <c r="AT67" s="43">
        <f t="shared" si="111"/>
        <v>0</v>
      </c>
      <c r="AU67" s="43">
        <f t="shared" si="111"/>
        <v>0</v>
      </c>
      <c r="AV67" s="43">
        <f t="shared" si="111"/>
        <v>0</v>
      </c>
      <c r="AW67" s="43">
        <f t="shared" si="111"/>
        <v>0</v>
      </c>
      <c r="AX67" s="43">
        <f t="shared" si="111"/>
        <v>0</v>
      </c>
      <c r="AY67" s="43">
        <f t="shared" si="111"/>
        <v>0</v>
      </c>
      <c r="AZ67" s="43">
        <f t="shared" si="111"/>
        <v>0</v>
      </c>
      <c r="BA67" s="44">
        <f t="shared" si="111"/>
        <v>0</v>
      </c>
      <c r="BB67" s="128">
        <f t="shared" si="68"/>
        <v>38565</v>
      </c>
      <c r="BC67" s="44">
        <f t="shared" si="41"/>
        <v>0</v>
      </c>
      <c r="BD67" s="51"/>
      <c r="BE67" s="128">
        <f t="shared" si="69"/>
        <v>38565</v>
      </c>
      <c r="BF67" s="43">
        <f t="shared" ref="BF67:BR76" si="112">SUMIF($X:$X,CONCATENATE($AN67,BF$6),$W:$W)</f>
        <v>0</v>
      </c>
      <c r="BG67" s="43">
        <f t="shared" si="112"/>
        <v>0</v>
      </c>
      <c r="BH67" s="43">
        <f t="shared" si="112"/>
        <v>0</v>
      </c>
      <c r="BI67" s="43">
        <f t="shared" si="112"/>
        <v>0</v>
      </c>
      <c r="BJ67" s="43">
        <f t="shared" si="112"/>
        <v>0</v>
      </c>
      <c r="BK67" s="43">
        <f t="shared" si="112"/>
        <v>0</v>
      </c>
      <c r="BL67" s="43">
        <f t="shared" si="112"/>
        <v>0</v>
      </c>
      <c r="BM67" s="43">
        <f t="shared" si="112"/>
        <v>0</v>
      </c>
      <c r="BN67" s="43">
        <f t="shared" si="112"/>
        <v>0</v>
      </c>
      <c r="BO67" s="43">
        <f t="shared" si="112"/>
        <v>0</v>
      </c>
      <c r="BP67" s="43">
        <f t="shared" si="112"/>
        <v>0</v>
      </c>
      <c r="BQ67" s="43">
        <f t="shared" si="112"/>
        <v>0</v>
      </c>
      <c r="BR67" s="44">
        <f t="shared" si="112"/>
        <v>0</v>
      </c>
      <c r="BS67" s="128">
        <f t="shared" si="70"/>
        <v>38565</v>
      </c>
      <c r="BT67" s="44">
        <f t="shared" si="37"/>
        <v>0</v>
      </c>
      <c r="BU67" s="51"/>
      <c r="BV67" s="51"/>
      <c r="BW67" s="51"/>
      <c r="BX67" s="51"/>
      <c r="BY67" s="51"/>
      <c r="BZ67" s="51"/>
      <c r="CA67" s="51"/>
      <c r="CB67" s="51"/>
      <c r="CC67" s="141">
        <f t="shared" si="94"/>
        <v>36800</v>
      </c>
      <c r="CD67" s="234">
        <f>_xll.xSPRDOPT((VLOOKUP(G67,NGPrices,2,FALSE)+HLOOKUP(D67,Prices,VLOOKUP(G67,move_down,2,FALSE),FALSE)),VLOOKUP(G67,NGPrices,2,FALSE),I67,VLOOKUP(G67,NGPREVPRICES,4,FALSE),HLOOKUP(D67,PREVVOLS,VLOOKUP(G67,MOVE_DOWN2,2,FALSE),FALSE),VLOOKUP(G67,NGPREVPRICES,3,FALSE),HLOOKUP(D67,Correllate,VLOOKUP(G67,CorMove,2,FALSE),FALSE),Q67-$CD$3,R67,$CD$5)*H67-CJ67</f>
        <v>0</v>
      </c>
      <c r="CE67" s="234">
        <f>_xll.xSPRDOPT((VLOOKUP(G67,NGPREVPRICES,2,FALSE)+HLOOKUP(D67,PREVCURVES,VLOOKUP(G67,MOVE_DOWN2,2,FALSE),FALSE)),VLOOKUP(G67,NGPREVPRICES,2,FALSE),CK67,VLOOKUP(G67,NGPrices,4,FALSE),HLOOKUP(D67,PREVVOLS,VLOOKUP(G67,MOVE_DOWN2,2,FALSE),FALSE),VLOOKUP(G67,NGPREVPRICES,3,FALSE),HLOOKUP(D67,Correllate,VLOOKUP(G67,CorMove,2,FALSE),FALSE),Q67-$CD$3,R67,$CJ$5)*H67-CJ67</f>
        <v>0</v>
      </c>
      <c r="CF67" s="10">
        <f t="shared" si="95"/>
        <v>0.3414713579668387</v>
      </c>
      <c r="CG67" s="234">
        <f>_xll.xSPRDOPT((VLOOKUP(G67,NGPREVPRICES,2,FALSE)+HLOOKUP(D67,PREVCURVES,VLOOKUP(G67,MOVE_DOWN2,2,FALSE),FALSE)),VLOOKUP(G67,NGPREVPRICES,2,FALSE),CK67,VLOOKUP(G67,NGPREVPRICES,4,FALSE),HLOOKUP(D67,VOLS,VLOOKUP(G67,move_down,2,FALSE),FALSE),VLOOKUP(G67,NGPrices,3,FALSE),HLOOKUP(D67,Correllate,VLOOKUP(G67,CorMove,2,FALSE),FALSE),Q67-$CD$3,R67,$CJ$5)*H67-CJ67</f>
        <v>0</v>
      </c>
      <c r="CH67" s="234">
        <f>_xll.xSPRDOPT((VLOOKUP(G67,NGPREVPRICES,2,FALSE)+HLOOKUP(D67,PREVCURVES,VLOOKUP(G67,MOVE_DOWN2,2,FALSE),FALSE)),VLOOKUP(G67,NGPREVPRICES,2,FALSE),CK67,VLOOKUP(G67,NGPREVPRICES,4,FALSE),HLOOKUP(D67,PREVVOLS,VLOOKUP(G67,MOVE_DOWN2,2,FALSE),FALSE),VLOOKUP(G67,NGPREVPRICES,3,FALSE),HLOOKUP(D67,Correllate,VLOOKUP(G67,CorMove,2,FALSE),FALSE),Q67-$C$3,R67,$CJ$5)*H67-CJ67</f>
        <v>93.505623345660297</v>
      </c>
      <c r="CI67" s="234">
        <f t="shared" si="96"/>
        <v>93.847094703627135</v>
      </c>
      <c r="CJ67" s="234">
        <f>_xll.xSPRDOPT((VLOOKUP(G67,NGPREVPRICES,2,FALSE)+HLOOKUP(D67,PREVCURVES,VLOOKUP(G67,MOVE_DOWN2,2,FALSE),FALSE)),VLOOKUP(G67,NGPREVPRICES,2,FALSE),CK67,VLOOKUP(G67,NGPREVPRICES,4,FALSE),HLOOKUP(D67,PREVVOLS,VLOOKUP(G67,MOVE_DOWN2,2,FALSE),FALSE),VLOOKUP(G67,NGPREVPRICES,3,FALSE),HLOOKUP(D67,Correllate,VLOOKUP(G67,CorMove,2,FALSE),FALSE),Q67-$CD$3,R67,$CJ$5)*H67</f>
        <v>-1852.2415414097547</v>
      </c>
      <c r="CK67" s="235">
        <f t="shared" si="97"/>
        <v>0.3</v>
      </c>
      <c r="CL67" s="234"/>
      <c r="CM67" t="str">
        <f t="shared" si="98"/>
        <v>36800Curve Shift/Gamma</v>
      </c>
      <c r="CN67" t="str">
        <f t="shared" si="107"/>
        <v>36800Rho</v>
      </c>
      <c r="CO67" t="str">
        <f t="shared" si="108"/>
        <v>36800Drift</v>
      </c>
      <c r="CP67" t="str">
        <f t="shared" si="109"/>
        <v>36800Vega</v>
      </c>
      <c r="CQ67" t="str">
        <f t="shared" si="110"/>
        <v>36800Theta</v>
      </c>
    </row>
    <row r="68" spans="1:95" ht="12" customHeight="1" x14ac:dyDescent="0.25">
      <c r="A68" s="140" t="s">
        <v>294</v>
      </c>
      <c r="B68" t="s">
        <v>250</v>
      </c>
      <c r="C68" t="s">
        <v>304</v>
      </c>
      <c r="D68" s="4" t="s">
        <v>7</v>
      </c>
      <c r="E68" t="s">
        <v>20</v>
      </c>
      <c r="F68" t="s">
        <v>1</v>
      </c>
      <c r="G68" s="5">
        <v>36770</v>
      </c>
      <c r="H68" s="130">
        <v>-250000</v>
      </c>
      <c r="I68">
        <v>0.3</v>
      </c>
      <c r="J68" s="53">
        <f t="shared" si="60"/>
        <v>4.6849999999999996</v>
      </c>
      <c r="K68" s="7">
        <f t="shared" si="61"/>
        <v>0.315</v>
      </c>
      <c r="L68" s="53">
        <f t="shared" si="62"/>
        <v>5</v>
      </c>
      <c r="M68" s="157">
        <f t="shared" si="101"/>
        <v>6.7216196212184998E-2</v>
      </c>
      <c r="N68" s="4">
        <f t="shared" si="102"/>
        <v>0.4</v>
      </c>
      <c r="O68" s="4">
        <f t="shared" si="103"/>
        <v>0.39200000000000002</v>
      </c>
      <c r="P68" s="9">
        <f t="shared" si="104"/>
        <v>0.99250000000000005</v>
      </c>
      <c r="Q68" s="5">
        <f t="shared" si="8"/>
        <v>36768</v>
      </c>
      <c r="R68" s="4">
        <f t="shared" si="105"/>
        <v>0</v>
      </c>
      <c r="S68" s="158">
        <f>_xll.xSPRDOPT($L68,$J68,$I68,$M68,$O68,$N68,$P68,$Q68-$C$3,$R68,0)</f>
        <v>7.9788269410402402E-4</v>
      </c>
      <c r="T68" s="159">
        <f>_xll.xSPRDOPT($L68,$J68,$I68,$M68,$O68,$N68,$P68,$Q68-$C$3,$R68,1)*H68</f>
        <v>30912.274369071678</v>
      </c>
      <c r="U68" s="160">
        <f t="shared" si="92"/>
        <v>-199.47067352600601</v>
      </c>
      <c r="V68" s="159">
        <f>_xll.xSPRDOPT($L68,$J68,$I68,$M68,$O68,$N68,$P68,$Q68-$C$3,$R68,2)*H68</f>
        <v>-31028.026191603971</v>
      </c>
      <c r="W68" s="159">
        <f t="shared" si="106"/>
        <v>-115.75182253229286</v>
      </c>
      <c r="X68" s="51" t="str">
        <f t="shared" si="63"/>
        <v>36770IF-TRANSCO/Z6</v>
      </c>
      <c r="Y68" s="418">
        <f t="shared" si="64"/>
        <v>-25</v>
      </c>
      <c r="Z68" s="456">
        <f t="shared" si="65"/>
        <v>-0.12364909747628672</v>
      </c>
      <c r="AA68" s="456">
        <f>_xll.xSPRDOPT($L68,$J68,$I68,$M68,$O68,$N68,$P68,$Q68-$C$3,$R68,3)</f>
        <v>15.702680426473698</v>
      </c>
      <c r="AB68" s="456">
        <f>((_xll.xSPRDOPT($L68+AB$5,$J68,$I68,$M68,$O68,$N68,$P68,$Q68-$C$3,$R68,3)*$H68)/10000)/100</f>
        <v>-3.9256701066184245</v>
      </c>
      <c r="AC68" s="456">
        <f>((_xll.xSPRDOPT($L68+$AB$5,$J68,$I68,$M68,$O68,$N68,$P68,$Q68-$C$3,$R68,7)*$H68)/100)</f>
        <v>395.8100359287514</v>
      </c>
      <c r="AD68" s="456">
        <f>(_xll.xSPRDOPT($L68+$AB$5,$J68,$I68,$M68,$O68,$N68,$P68,$Q68-$C$3,$R68,9)/365)*$H68</f>
        <v>332.40324850795622</v>
      </c>
      <c r="AE68">
        <f t="shared" si="15"/>
        <v>0</v>
      </c>
      <c r="AF68" s="456">
        <f t="shared" si="66"/>
        <v>-16.610896653613189</v>
      </c>
      <c r="AG68" s="456">
        <f>((_xll.xSPRDOPT($L68,$J68,$I68,$M68,$O68,$N68,$P68,$Q68-$C$3,$R68,6)*$H68)/100)</f>
        <v>33.514430456933923</v>
      </c>
      <c r="AH68" s="456">
        <f>((_xll.xSPRDOPT($L68,$J68,$I68,$M68,$O68,$N68,$P68,$Q68-$C$3,$R68,5)*$H68)/100)</f>
        <v>-51.148292969946034</v>
      </c>
      <c r="AI68" s="456">
        <f>(((_xll.xSPRDOPT($L68,$J68,$I68,$M68,$O68,$N68,$P68,$Q68-$C$3,$R68,4)*$H68)/10000)/100)-AB68</f>
        <v>-2.0622005142626687E-2</v>
      </c>
      <c r="AJ68" s="456"/>
      <c r="AK68" s="456"/>
      <c r="AL68" s="456"/>
      <c r="AM68" s="472"/>
      <c r="AN68" s="128">
        <f t="shared" si="67"/>
        <v>38596</v>
      </c>
      <c r="AO68" s="43">
        <f t="shared" si="111"/>
        <v>0</v>
      </c>
      <c r="AP68" s="43">
        <f t="shared" si="111"/>
        <v>0</v>
      </c>
      <c r="AQ68" s="43">
        <f t="shared" si="111"/>
        <v>0</v>
      </c>
      <c r="AR68" s="43">
        <f t="shared" si="111"/>
        <v>0</v>
      </c>
      <c r="AS68" s="43">
        <f t="shared" si="111"/>
        <v>0</v>
      </c>
      <c r="AT68" s="43">
        <f t="shared" si="111"/>
        <v>0</v>
      </c>
      <c r="AU68" s="43">
        <f t="shared" si="111"/>
        <v>0</v>
      </c>
      <c r="AV68" s="43">
        <f t="shared" si="111"/>
        <v>0</v>
      </c>
      <c r="AW68" s="43">
        <f t="shared" si="111"/>
        <v>0</v>
      </c>
      <c r="AX68" s="43">
        <f t="shared" si="111"/>
        <v>0</v>
      </c>
      <c r="AY68" s="43">
        <f t="shared" si="111"/>
        <v>0</v>
      </c>
      <c r="AZ68" s="43">
        <f t="shared" si="111"/>
        <v>0</v>
      </c>
      <c r="BA68" s="44">
        <f t="shared" si="111"/>
        <v>0</v>
      </c>
      <c r="BB68" s="128">
        <f t="shared" si="68"/>
        <v>38596</v>
      </c>
      <c r="BC68" s="44">
        <f t="shared" si="41"/>
        <v>0</v>
      </c>
      <c r="BD68" s="51"/>
      <c r="BE68" s="128">
        <f t="shared" si="69"/>
        <v>38596</v>
      </c>
      <c r="BF68" s="43">
        <f t="shared" si="112"/>
        <v>0</v>
      </c>
      <c r="BG68" s="43">
        <f t="shared" si="112"/>
        <v>0</v>
      </c>
      <c r="BH68" s="43">
        <f t="shared" si="112"/>
        <v>0</v>
      </c>
      <c r="BI68" s="43">
        <f t="shared" si="112"/>
        <v>0</v>
      </c>
      <c r="BJ68" s="43">
        <f t="shared" si="112"/>
        <v>0</v>
      </c>
      <c r="BK68" s="43">
        <f t="shared" si="112"/>
        <v>0</v>
      </c>
      <c r="BL68" s="43">
        <f t="shared" si="112"/>
        <v>0</v>
      </c>
      <c r="BM68" s="43">
        <f t="shared" si="112"/>
        <v>0</v>
      </c>
      <c r="BN68" s="43">
        <f t="shared" si="112"/>
        <v>0</v>
      </c>
      <c r="BO68" s="43">
        <f t="shared" si="112"/>
        <v>0</v>
      </c>
      <c r="BP68" s="43">
        <f t="shared" si="112"/>
        <v>0</v>
      </c>
      <c r="BQ68" s="43">
        <f t="shared" si="112"/>
        <v>0</v>
      </c>
      <c r="BR68" s="44">
        <f t="shared" si="112"/>
        <v>0</v>
      </c>
      <c r="BS68" s="128">
        <f t="shared" si="70"/>
        <v>38596</v>
      </c>
      <c r="BT68" s="44">
        <f t="shared" si="37"/>
        <v>0</v>
      </c>
      <c r="BU68" s="51"/>
      <c r="BV68" s="51"/>
      <c r="BW68" s="51"/>
      <c r="BX68" s="51"/>
      <c r="BY68" s="51"/>
      <c r="BZ68" s="51"/>
      <c r="CA68" s="51"/>
      <c r="CB68" s="51"/>
      <c r="CC68" s="141">
        <f t="shared" si="94"/>
        <v>36770</v>
      </c>
      <c r="CD68" s="234">
        <f>_xll.xSPRDOPT((VLOOKUP(G68,NGPrices,2,FALSE)+HLOOKUP(D68,Prices,VLOOKUP(G68,move_down,2,FALSE),FALSE)),VLOOKUP(G68,NGPrices,2,FALSE),I68,VLOOKUP(G68,NGPREVPRICES,4,FALSE),HLOOKUP(D68,PREVVOLS,VLOOKUP(G68,MOVE_DOWN2,2,FALSE),FALSE),VLOOKUP(G68,NGPREVPRICES,3,FALSE),HLOOKUP(D68,Correllate,VLOOKUP(G68,CorMove,2,FALSE),FALSE),Q68-$CD$3,R68,$CD$5)*H68-CJ68</f>
        <v>0</v>
      </c>
      <c r="CE68" s="234">
        <f>_xll.xSPRDOPT((VLOOKUP(G68,NGPREVPRICES,2,FALSE)+HLOOKUP(D68,PREVCURVES,VLOOKUP(G68,MOVE_DOWN2,2,FALSE),FALSE)),VLOOKUP(G68,NGPREVPRICES,2,FALSE),CK68,VLOOKUP(G68,NGPrices,4,FALSE),HLOOKUP(D68,PREVVOLS,VLOOKUP(G68,MOVE_DOWN2,2,FALSE),FALSE),VLOOKUP(G68,NGPREVPRICES,3,FALSE),HLOOKUP(D68,Correllate,VLOOKUP(G68,CorMove,2,FALSE),FALSE),Q68-$CD$3,R68,$CJ$5)*H68-CJ68</f>
        <v>0</v>
      </c>
      <c r="CF68" s="10">
        <f t="shared" si="95"/>
        <v>9.7580869007856563E-2</v>
      </c>
      <c r="CG68" s="234">
        <f>_xll.xSPRDOPT((VLOOKUP(G68,NGPREVPRICES,2,FALSE)+HLOOKUP(D68,PREVCURVES,VLOOKUP(G68,MOVE_DOWN2,2,FALSE),FALSE)),VLOOKUP(G68,NGPREVPRICES,2,FALSE),CK68,VLOOKUP(G68,NGPREVPRICES,4,FALSE),HLOOKUP(D68,VOLS,VLOOKUP(G68,move_down,2,FALSE),FALSE),VLOOKUP(G68,NGPrices,3,FALSE),HLOOKUP(D68,Correllate,VLOOKUP(G68,CorMove,2,FALSE),FALSE),Q68-$CD$3,R68,$CJ$5)*H68-CJ68</f>
        <v>0</v>
      </c>
      <c r="CH68" s="234">
        <f>_xll.xSPRDOPT((VLOOKUP(G68,NGPREVPRICES,2,FALSE)+HLOOKUP(D68,PREVCURVES,VLOOKUP(G68,MOVE_DOWN2,2,FALSE),FALSE)),VLOOKUP(G68,NGPREVPRICES,2,FALSE),CK68,VLOOKUP(G68,NGPREVPRICES,4,FALSE),HLOOKUP(D68,PREVVOLS,VLOOKUP(G68,MOVE_DOWN2,2,FALSE),FALSE),VLOOKUP(G68,NGPREVPRICES,3,FALSE),HLOOKUP(D68,Correllate,VLOOKUP(G68,CorMove,2,FALSE),FALSE),Q68-$C$3,R68,$CJ$5)*H68-CJ68</f>
        <v>336.02376402271096</v>
      </c>
      <c r="CI68" s="234">
        <f t="shared" si="96"/>
        <v>336.12134489171882</v>
      </c>
      <c r="CJ68" s="234">
        <f>_xll.xSPRDOPT((VLOOKUP(G68,NGPREVPRICES,2,FALSE)+HLOOKUP(D68,PREVCURVES,VLOOKUP(G68,MOVE_DOWN2,2,FALSE),FALSE)),VLOOKUP(G68,NGPREVPRICES,2,FALSE),CK68,VLOOKUP(G68,NGPREVPRICES,4,FALSE),HLOOKUP(D68,PREVVOLS,VLOOKUP(G68,MOVE_DOWN2,2,FALSE),FALSE),VLOOKUP(G68,NGPREVPRICES,3,FALSE),HLOOKUP(D68,Correllate,VLOOKUP(G68,CorMove,2,FALSE),FALSE),Q68-$CD$3,R68,$CJ$5)*H68</f>
        <v>-535.49443754871697</v>
      </c>
      <c r="CK68" s="235">
        <f t="shared" si="97"/>
        <v>0.3</v>
      </c>
      <c r="CL68" s="234"/>
      <c r="CM68" t="str">
        <f t="shared" si="98"/>
        <v>36770Curve Shift/Gamma</v>
      </c>
      <c r="CN68" t="str">
        <f t="shared" si="107"/>
        <v>36770Rho</v>
      </c>
      <c r="CO68" t="str">
        <f t="shared" si="108"/>
        <v>36770Drift</v>
      </c>
      <c r="CP68" t="str">
        <f t="shared" si="109"/>
        <v>36770Vega</v>
      </c>
      <c r="CQ68" t="str">
        <f t="shared" si="110"/>
        <v>36770Theta</v>
      </c>
    </row>
    <row r="69" spans="1:95" ht="12" customHeight="1" x14ac:dyDescent="0.25">
      <c r="A69" s="382" t="s">
        <v>279</v>
      </c>
      <c r="B69" t="s">
        <v>250</v>
      </c>
      <c r="C69" t="s">
        <v>305</v>
      </c>
      <c r="D69" s="4" t="s">
        <v>7</v>
      </c>
      <c r="E69" t="s">
        <v>20</v>
      </c>
      <c r="F69" t="s">
        <v>21</v>
      </c>
      <c r="G69" s="5">
        <v>36800</v>
      </c>
      <c r="H69" s="130">
        <v>-250000</v>
      </c>
      <c r="I69">
        <v>0.3</v>
      </c>
      <c r="J69" s="53">
        <f t="shared" si="60"/>
        <v>4.6920000000000002</v>
      </c>
      <c r="K69" s="7">
        <f t="shared" si="61"/>
        <v>0.41499999999999998</v>
      </c>
      <c r="L69" s="53">
        <f t="shared" si="62"/>
        <v>5.1070000000000002</v>
      </c>
      <c r="M69" s="157">
        <f t="shared" si="101"/>
        <v>6.8050789414654006E-2</v>
      </c>
      <c r="N69" s="4">
        <f t="shared" si="102"/>
        <v>0.57499999999999996</v>
      </c>
      <c r="O69" s="4">
        <f t="shared" si="103"/>
        <v>0.56399999999999995</v>
      </c>
      <c r="P69" s="9">
        <f t="shared" si="104"/>
        <v>0.99250000000000005</v>
      </c>
      <c r="Q69" s="5">
        <f t="shared" si="8"/>
        <v>36797</v>
      </c>
      <c r="R69" s="4">
        <f t="shared" si="105"/>
        <v>1</v>
      </c>
      <c r="S69" s="158">
        <f>_xll.xSPRDOPT($L69,$J69,$I69,$M69,$O69,$N69,$P69,$Q69-$C$3,$R69,0)</f>
        <v>0.12139395717149579</v>
      </c>
      <c r="T69" s="159">
        <f>_xll.xSPRDOPT($L69,$J69,$I69,$M69,$O69,$N69,$P69,$Q69-$C$3,$R69,1)*H69</f>
        <v>-215872.47278674095</v>
      </c>
      <c r="U69" s="160">
        <f t="shared" si="92"/>
        <v>-30348.489292873946</v>
      </c>
      <c r="V69" s="159">
        <f>_xll.xSPRDOPT($L69,$J69,$I69,$M69,$O69,$N69,$P69,$Q69-$C$3,$R69,2)*H69</f>
        <v>214928.48710068266</v>
      </c>
      <c r="W69" s="159">
        <f t="shared" si="106"/>
        <v>-943.98568605829496</v>
      </c>
      <c r="X69" s="51" t="str">
        <f t="shared" si="63"/>
        <v>36800IF-TRANSCO/Z6</v>
      </c>
      <c r="Y69" s="418">
        <f t="shared" si="64"/>
        <v>-25</v>
      </c>
      <c r="Z69" s="456">
        <f t="shared" si="65"/>
        <v>0.86348989114696384</v>
      </c>
      <c r="AA69" s="456">
        <f>_xll.xSPRDOPT($L69,$J69,$I69,$M69,$O69,$N69,$P69,$Q69-$C$3,$R69,3)</f>
        <v>2.0096109927708925</v>
      </c>
      <c r="AB69" s="456">
        <f>((_xll.xSPRDOPT($L69+AB$5,$J69,$I69,$M69,$O69,$N69,$P69,$Q69-$C$3,$R69,3)*$H69)/10000)/100</f>
        <v>-0.50240274819272313</v>
      </c>
      <c r="AC69" s="456">
        <f>((_xll.xSPRDOPT($L69+$AB$5,$J69,$I69,$M69,$O69,$N69,$P69,$Q69-$C$3,$R69,7)*$H69)/100)</f>
        <v>3270.7264138086653</v>
      </c>
      <c r="AD69" s="456">
        <f>(_xll.xSPRDOPT($L69+$AB$5,$J69,$I69,$M69,$O69,$N69,$P69,$Q69-$C$3,$R69,9)/365)*$H69</f>
        <v>88.088496512701695</v>
      </c>
      <c r="AE69">
        <f t="shared" si="15"/>
        <v>0</v>
      </c>
      <c r="AF69" s="456">
        <f t="shared" si="66"/>
        <v>-97.755672521770947</v>
      </c>
      <c r="AG69" s="456">
        <f>((_xll.xSPRDOPT($L69,$J69,$I69,$M69,$O69,$N69,$P69,$Q69-$C$3,$R69,6)*$H69)/100)</f>
        <v>210.60717033071083</v>
      </c>
      <c r="AH69" s="456">
        <f>((_xll.xSPRDOPT($L69,$J69,$I69,$M69,$O69,$N69,$P69,$Q69-$C$3,$R69,5)*$H69)/100)</f>
        <v>-314.37701177336351</v>
      </c>
      <c r="AI69" s="456">
        <f>(((_xll.xSPRDOPT($L69,$J69,$I69,$M69,$O69,$N69,$P69,$Q69-$C$3,$R69,4)*$H69)/10000)/100)-AB69</f>
        <v>-2.0334338457462353E-2</v>
      </c>
      <c r="AJ69" s="456"/>
      <c r="AK69" s="456"/>
      <c r="AL69" s="456"/>
      <c r="AM69" s="472"/>
      <c r="AN69" s="128">
        <f t="shared" si="67"/>
        <v>38626</v>
      </c>
      <c r="AO69" s="43">
        <f t="shared" si="111"/>
        <v>0</v>
      </c>
      <c r="AP69" s="43">
        <f t="shared" si="111"/>
        <v>0</v>
      </c>
      <c r="AQ69" s="43">
        <f t="shared" si="111"/>
        <v>0</v>
      </c>
      <c r="AR69" s="43">
        <f t="shared" si="111"/>
        <v>0</v>
      </c>
      <c r="AS69" s="43">
        <f t="shared" si="111"/>
        <v>0</v>
      </c>
      <c r="AT69" s="43">
        <f t="shared" si="111"/>
        <v>0</v>
      </c>
      <c r="AU69" s="43">
        <f t="shared" si="111"/>
        <v>0</v>
      </c>
      <c r="AV69" s="43">
        <f t="shared" si="111"/>
        <v>0</v>
      </c>
      <c r="AW69" s="43">
        <f t="shared" si="111"/>
        <v>0</v>
      </c>
      <c r="AX69" s="43">
        <f t="shared" si="111"/>
        <v>0</v>
      </c>
      <c r="AY69" s="43">
        <f t="shared" si="111"/>
        <v>0</v>
      </c>
      <c r="AZ69" s="43">
        <f t="shared" si="111"/>
        <v>0</v>
      </c>
      <c r="BA69" s="44">
        <f t="shared" si="111"/>
        <v>0</v>
      </c>
      <c r="BB69" s="128">
        <f t="shared" si="68"/>
        <v>38626</v>
      </c>
      <c r="BC69" s="44">
        <f t="shared" si="41"/>
        <v>0</v>
      </c>
      <c r="BD69" s="51"/>
      <c r="BE69" s="128">
        <f t="shared" si="69"/>
        <v>38626</v>
      </c>
      <c r="BF69" s="43">
        <f t="shared" si="112"/>
        <v>0</v>
      </c>
      <c r="BG69" s="43">
        <f t="shared" si="112"/>
        <v>0</v>
      </c>
      <c r="BH69" s="43">
        <f t="shared" si="112"/>
        <v>0</v>
      </c>
      <c r="BI69" s="43">
        <f t="shared" si="112"/>
        <v>0</v>
      </c>
      <c r="BJ69" s="43">
        <f t="shared" si="112"/>
        <v>0</v>
      </c>
      <c r="BK69" s="43">
        <f t="shared" si="112"/>
        <v>0</v>
      </c>
      <c r="BL69" s="43">
        <f t="shared" si="112"/>
        <v>0</v>
      </c>
      <c r="BM69" s="43">
        <f t="shared" si="112"/>
        <v>0</v>
      </c>
      <c r="BN69" s="43">
        <f t="shared" si="112"/>
        <v>0</v>
      </c>
      <c r="BO69" s="43">
        <f t="shared" si="112"/>
        <v>0</v>
      </c>
      <c r="BP69" s="43">
        <f t="shared" si="112"/>
        <v>0</v>
      </c>
      <c r="BQ69" s="43">
        <f t="shared" si="112"/>
        <v>0</v>
      </c>
      <c r="BR69" s="44">
        <f t="shared" si="112"/>
        <v>0</v>
      </c>
      <c r="BS69" s="128">
        <f t="shared" si="70"/>
        <v>38626</v>
      </c>
      <c r="BT69" s="44">
        <f t="shared" si="37"/>
        <v>0</v>
      </c>
      <c r="BU69" s="51"/>
      <c r="BV69" s="51"/>
      <c r="BW69" s="51"/>
      <c r="BX69" s="51"/>
      <c r="BY69" s="51"/>
      <c r="BZ69" s="51"/>
      <c r="CA69" s="51"/>
      <c r="CB69" s="51"/>
      <c r="CC69" s="141">
        <f t="shared" si="94"/>
        <v>36800</v>
      </c>
      <c r="CD69" s="234">
        <f>_xll.xSPRDOPT((VLOOKUP(G69,NGPrices,2,FALSE)+HLOOKUP(D69,Prices,VLOOKUP(G69,move_down,2,FALSE),FALSE)),VLOOKUP(G69,NGPrices,2,FALSE),I69,VLOOKUP(G69,NGPREVPRICES,4,FALSE),HLOOKUP(D69,PREVVOLS,VLOOKUP(G69,MOVE_DOWN2,2,FALSE),FALSE),VLOOKUP(G69,NGPREVPRICES,3,FALSE),HLOOKUP(D69,Correllate,VLOOKUP(G69,CorMove,2,FALSE),FALSE),Q69-$CD$3,R69,$CD$5)*H69-CJ69</f>
        <v>0</v>
      </c>
      <c r="CE69" s="234">
        <f>_xll.xSPRDOPT((VLOOKUP(G69,NGPREVPRICES,2,FALSE)+HLOOKUP(D69,PREVCURVES,VLOOKUP(G69,MOVE_DOWN2,2,FALSE),FALSE)),VLOOKUP(G69,NGPREVPRICES,2,FALSE),CK69,VLOOKUP(G69,NGPrices,4,FALSE),HLOOKUP(D69,PREVVOLS,VLOOKUP(G69,MOVE_DOWN2,2,FALSE),FALSE),VLOOKUP(G69,NGPREVPRICES,3,FALSE),HLOOKUP(D69,Correllate,VLOOKUP(G69,CorMove,2,FALSE),FALSE),Q69-$CD$3,R69,$CJ$5)*H69-CJ69</f>
        <v>0</v>
      </c>
      <c r="CF69" s="10">
        <f t="shared" si="95"/>
        <v>5.6111745608322963</v>
      </c>
      <c r="CG69" s="234">
        <f>_xll.xSPRDOPT((VLOOKUP(G69,NGPREVPRICES,2,FALSE)+HLOOKUP(D69,PREVCURVES,VLOOKUP(G69,MOVE_DOWN2,2,FALSE),FALSE)),VLOOKUP(G69,NGPREVPRICES,2,FALSE),CK69,VLOOKUP(G69,NGPREVPRICES,4,FALSE),HLOOKUP(D69,VOLS,VLOOKUP(G69,move_down,2,FALSE),FALSE),VLOOKUP(G69,NGPrices,3,FALSE),HLOOKUP(D69,Correllate,VLOOKUP(G69,CorMove,2,FALSE),FALSE),Q69-$CD$3,R69,$CJ$5)*H69-CJ69</f>
        <v>0</v>
      </c>
      <c r="CH69" s="234">
        <f>_xll.xSPRDOPT((VLOOKUP(G69,NGPREVPRICES,2,FALSE)+HLOOKUP(D69,PREVCURVES,VLOOKUP(G69,MOVE_DOWN2,2,FALSE),FALSE)),VLOOKUP(G69,NGPREVPRICES,2,FALSE),CK69,VLOOKUP(G69,NGPREVPRICES,4,FALSE),HLOOKUP(D69,PREVVOLS,VLOOKUP(G69,MOVE_DOWN2,2,FALSE),FALSE),VLOOKUP(G69,NGPREVPRICES,3,FALSE),HLOOKUP(D69,Correllate,VLOOKUP(G69,CorMove,2,FALSE),FALSE),Q69-$C$3,R69,$CJ$5)*H69-CJ69</f>
        <v>88.179479453803651</v>
      </c>
      <c r="CI69" s="234">
        <f t="shared" si="96"/>
        <v>93.790654014635948</v>
      </c>
      <c r="CJ69" s="234">
        <f>_xll.xSPRDOPT((VLOOKUP(G69,NGPREVPRICES,2,FALSE)+HLOOKUP(D69,PREVCURVES,VLOOKUP(G69,MOVE_DOWN2,2,FALSE),FALSE)),VLOOKUP(G69,NGPREVPRICES,2,FALSE),CK69,VLOOKUP(G69,NGPREVPRICES,4,FALSE),HLOOKUP(D69,PREVVOLS,VLOOKUP(G69,MOVE_DOWN2,2,FALSE),FALSE),VLOOKUP(G69,NGPREVPRICES,3,FALSE),HLOOKUP(D69,Correllate,VLOOKUP(G69,CorMove,2,FALSE),FALSE),Q69-$CD$3,R69,$CJ$5)*H69</f>
        <v>-30436.66877232775</v>
      </c>
      <c r="CK69" s="235">
        <f t="shared" si="97"/>
        <v>0.3</v>
      </c>
      <c r="CL69" s="234"/>
      <c r="CM69" t="str">
        <f t="shared" si="98"/>
        <v>36800Curve Shift/Gamma</v>
      </c>
      <c r="CN69" t="str">
        <f t="shared" si="107"/>
        <v>36800Rho</v>
      </c>
      <c r="CO69" t="str">
        <f t="shared" si="108"/>
        <v>36800Drift</v>
      </c>
      <c r="CP69" t="str">
        <f t="shared" si="109"/>
        <v>36800Vega</v>
      </c>
      <c r="CQ69" t="str">
        <f t="shared" si="110"/>
        <v>36800Theta</v>
      </c>
    </row>
    <row r="70" spans="1:95" ht="12" customHeight="1" x14ac:dyDescent="0.25">
      <c r="A70" s="382" t="s">
        <v>279</v>
      </c>
      <c r="B70" t="s">
        <v>250</v>
      </c>
      <c r="C70" t="s">
        <v>305</v>
      </c>
      <c r="D70" s="4" t="s">
        <v>7</v>
      </c>
      <c r="E70" t="s">
        <v>20</v>
      </c>
      <c r="F70" t="s">
        <v>21</v>
      </c>
      <c r="G70" s="5">
        <v>36800</v>
      </c>
      <c r="H70" s="130">
        <v>-500000</v>
      </c>
      <c r="I70">
        <v>0.3</v>
      </c>
      <c r="J70" s="53">
        <f t="shared" si="60"/>
        <v>4.6920000000000002</v>
      </c>
      <c r="K70" s="7">
        <f t="shared" si="61"/>
        <v>0.41499999999999998</v>
      </c>
      <c r="L70" s="53">
        <f t="shared" si="62"/>
        <v>5.1070000000000002</v>
      </c>
      <c r="M70" s="157">
        <f t="shared" si="101"/>
        <v>6.8050789414654006E-2</v>
      </c>
      <c r="N70" s="4">
        <f t="shared" si="102"/>
        <v>0.57499999999999996</v>
      </c>
      <c r="O70" s="4">
        <f t="shared" si="103"/>
        <v>0.56399999999999995</v>
      </c>
      <c r="P70" s="9">
        <f t="shared" si="104"/>
        <v>0.99250000000000005</v>
      </c>
      <c r="Q70" s="5">
        <f t="shared" si="8"/>
        <v>36797</v>
      </c>
      <c r="R70" s="4">
        <f t="shared" si="105"/>
        <v>1</v>
      </c>
      <c r="S70" s="158">
        <f>_xll.xSPRDOPT($L70,$J70,$I70,$M70,$O70,$N70,$P70,$Q70-$C$3,$R70,0)</f>
        <v>0.12139395717149579</v>
      </c>
      <c r="T70" s="159">
        <f>_xll.xSPRDOPT($L70,$J70,$I70,$M70,$O70,$N70,$P70,$Q70-$C$3,$R70,1)*H70</f>
        <v>-431744.94557348191</v>
      </c>
      <c r="U70" s="160">
        <f t="shared" si="92"/>
        <v>-60696.978585747893</v>
      </c>
      <c r="V70" s="159">
        <f>_xll.xSPRDOPT($L70,$J70,$I70,$M70,$O70,$N70,$P70,$Q70-$C$3,$R70,2)*H70</f>
        <v>429856.97420136532</v>
      </c>
      <c r="W70" s="159">
        <f t="shared" si="106"/>
        <v>-1887.9713721165899</v>
      </c>
      <c r="X70" s="51" t="str">
        <f t="shared" si="63"/>
        <v>36800IF-TRANSCO/Z6</v>
      </c>
      <c r="Y70" s="418">
        <f t="shared" si="64"/>
        <v>-50</v>
      </c>
      <c r="Z70" s="456">
        <f t="shared" si="65"/>
        <v>0.86348989114696384</v>
      </c>
      <c r="AA70" s="456">
        <f>_xll.xSPRDOPT($L70,$J70,$I70,$M70,$O70,$N70,$P70,$Q70-$C$3,$R70,3)</f>
        <v>2.0096109927708925</v>
      </c>
      <c r="AB70" s="456">
        <f>((_xll.xSPRDOPT($L70+AB$5,$J70,$I70,$M70,$O70,$N70,$P70,$Q70-$C$3,$R70,3)*$H70)/10000)/100</f>
        <v>-1.0048054963854463</v>
      </c>
      <c r="AC70" s="456">
        <f>((_xll.xSPRDOPT($L70+$AB$5,$J70,$I70,$M70,$O70,$N70,$P70,$Q70-$C$3,$R70,7)*$H70)/100)</f>
        <v>6541.4528276173305</v>
      </c>
      <c r="AD70" s="456">
        <f>(_xll.xSPRDOPT($L70+$AB$5,$J70,$I70,$M70,$O70,$N70,$P70,$Q70-$C$3,$R70,9)/365)*$H70</f>
        <v>176.17699302540339</v>
      </c>
      <c r="AE70">
        <f t="shared" si="15"/>
        <v>0</v>
      </c>
      <c r="AF70" s="456">
        <f t="shared" si="66"/>
        <v>-195.51134504354189</v>
      </c>
      <c r="AG70" s="456">
        <f>((_xll.xSPRDOPT($L70,$J70,$I70,$M70,$O70,$N70,$P70,$Q70-$C$3,$R70,6)*$H70)/100)</f>
        <v>421.21434066142166</v>
      </c>
      <c r="AH70" s="456">
        <f>((_xll.xSPRDOPT($L70,$J70,$I70,$M70,$O70,$N70,$P70,$Q70-$C$3,$R70,5)*$H70)/100)</f>
        <v>-628.75402354672701</v>
      </c>
      <c r="AI70" s="456">
        <f>(((_xll.xSPRDOPT($L70,$J70,$I70,$M70,$O70,$N70,$P70,$Q70-$C$3,$R70,4)*$H70)/10000)/100)-AB70</f>
        <v>-4.0668676914924706E-2</v>
      </c>
      <c r="AJ70" s="456"/>
      <c r="AK70" s="456"/>
      <c r="AL70" s="456"/>
      <c r="AM70" s="472"/>
      <c r="AN70" s="128">
        <f t="shared" si="67"/>
        <v>38657</v>
      </c>
      <c r="AO70" s="43">
        <f t="shared" si="111"/>
        <v>0</v>
      </c>
      <c r="AP70" s="43">
        <f t="shared" si="111"/>
        <v>0</v>
      </c>
      <c r="AQ70" s="43">
        <f t="shared" si="111"/>
        <v>0</v>
      </c>
      <c r="AR70" s="43">
        <f t="shared" si="111"/>
        <v>0</v>
      </c>
      <c r="AS70" s="43">
        <f t="shared" si="111"/>
        <v>0</v>
      </c>
      <c r="AT70" s="43">
        <f t="shared" si="111"/>
        <v>0</v>
      </c>
      <c r="AU70" s="43">
        <f t="shared" si="111"/>
        <v>0</v>
      </c>
      <c r="AV70" s="43">
        <f t="shared" si="111"/>
        <v>0</v>
      </c>
      <c r="AW70" s="43">
        <f t="shared" si="111"/>
        <v>0</v>
      </c>
      <c r="AX70" s="43">
        <f t="shared" si="111"/>
        <v>0</v>
      </c>
      <c r="AY70" s="43">
        <f t="shared" si="111"/>
        <v>0</v>
      </c>
      <c r="AZ70" s="43">
        <f t="shared" si="111"/>
        <v>0</v>
      </c>
      <c r="BA70" s="44">
        <f t="shared" si="111"/>
        <v>0</v>
      </c>
      <c r="BB70" s="128">
        <f t="shared" si="68"/>
        <v>38657</v>
      </c>
      <c r="BC70" s="44">
        <f t="shared" si="41"/>
        <v>0</v>
      </c>
      <c r="BD70" s="51"/>
      <c r="BE70" s="128">
        <f t="shared" si="69"/>
        <v>38657</v>
      </c>
      <c r="BF70" s="43">
        <f t="shared" si="112"/>
        <v>0</v>
      </c>
      <c r="BG70" s="43">
        <f t="shared" si="112"/>
        <v>0</v>
      </c>
      <c r="BH70" s="43">
        <f t="shared" si="112"/>
        <v>0</v>
      </c>
      <c r="BI70" s="43">
        <f t="shared" si="112"/>
        <v>0</v>
      </c>
      <c r="BJ70" s="43">
        <f t="shared" si="112"/>
        <v>0</v>
      </c>
      <c r="BK70" s="43">
        <f t="shared" si="112"/>
        <v>0</v>
      </c>
      <c r="BL70" s="43">
        <f t="shared" si="112"/>
        <v>0</v>
      </c>
      <c r="BM70" s="43">
        <f t="shared" si="112"/>
        <v>0</v>
      </c>
      <c r="BN70" s="43">
        <f t="shared" si="112"/>
        <v>0</v>
      </c>
      <c r="BO70" s="43">
        <f t="shared" si="112"/>
        <v>0</v>
      </c>
      <c r="BP70" s="43">
        <f t="shared" si="112"/>
        <v>0</v>
      </c>
      <c r="BQ70" s="43">
        <f t="shared" si="112"/>
        <v>0</v>
      </c>
      <c r="BR70" s="44">
        <f t="shared" si="112"/>
        <v>0</v>
      </c>
      <c r="BS70" s="128">
        <f t="shared" si="70"/>
        <v>38657</v>
      </c>
      <c r="BT70" s="44">
        <f t="shared" si="37"/>
        <v>0</v>
      </c>
      <c r="BU70" s="51"/>
      <c r="BV70" s="51"/>
      <c r="BW70" s="51"/>
      <c r="BX70" s="51"/>
      <c r="BY70" s="51"/>
      <c r="BZ70" s="51"/>
      <c r="CA70" s="51"/>
      <c r="CB70" s="51"/>
      <c r="CC70" s="141">
        <f t="shared" si="94"/>
        <v>36800</v>
      </c>
      <c r="CD70" s="234">
        <f>_xll.xSPRDOPT((VLOOKUP(G70,NGPrices,2,FALSE)+HLOOKUP(D70,Prices,VLOOKUP(G70,move_down,2,FALSE),FALSE)),VLOOKUP(G70,NGPrices,2,FALSE),I70,VLOOKUP(G70,NGPREVPRICES,4,FALSE),HLOOKUP(D70,PREVVOLS,VLOOKUP(G70,MOVE_DOWN2,2,FALSE),FALSE),VLOOKUP(G70,NGPREVPRICES,3,FALSE),HLOOKUP(D70,Correllate,VLOOKUP(G70,CorMove,2,FALSE),FALSE),Q70-$CD$3,R70,$CD$5)*H70-CJ70</f>
        <v>0</v>
      </c>
      <c r="CE70" s="234">
        <f>_xll.xSPRDOPT((VLOOKUP(G70,NGPREVPRICES,2,FALSE)+HLOOKUP(D70,PREVCURVES,VLOOKUP(G70,MOVE_DOWN2,2,FALSE),FALSE)),VLOOKUP(G70,NGPREVPRICES,2,FALSE),CK70,VLOOKUP(G70,NGPrices,4,FALSE),HLOOKUP(D70,PREVVOLS,VLOOKUP(G70,MOVE_DOWN2,2,FALSE),FALSE),VLOOKUP(G70,NGPREVPRICES,3,FALSE),HLOOKUP(D70,Correllate,VLOOKUP(G70,CorMove,2,FALSE),FALSE),Q70-$CD$3,R70,$CJ$5)*H70-CJ70</f>
        <v>0</v>
      </c>
      <c r="CF70" s="10">
        <f t="shared" si="95"/>
        <v>11.222349121664593</v>
      </c>
      <c r="CG70" s="234">
        <f>_xll.xSPRDOPT((VLOOKUP(G70,NGPREVPRICES,2,FALSE)+HLOOKUP(D70,PREVCURVES,VLOOKUP(G70,MOVE_DOWN2,2,FALSE),FALSE)),VLOOKUP(G70,NGPREVPRICES,2,FALSE),CK70,VLOOKUP(G70,NGPREVPRICES,4,FALSE),HLOOKUP(D70,VOLS,VLOOKUP(G70,move_down,2,FALSE),FALSE),VLOOKUP(G70,NGPrices,3,FALSE),HLOOKUP(D70,Correllate,VLOOKUP(G70,CorMove,2,FALSE),FALSE),Q70-$CD$3,R70,$CJ$5)*H70-CJ70</f>
        <v>0</v>
      </c>
      <c r="CH70" s="234">
        <f>_xll.xSPRDOPT((VLOOKUP(G70,NGPREVPRICES,2,FALSE)+HLOOKUP(D70,PREVCURVES,VLOOKUP(G70,MOVE_DOWN2,2,FALSE),FALSE)),VLOOKUP(G70,NGPREVPRICES,2,FALSE),CK70,VLOOKUP(G70,NGPREVPRICES,4,FALSE),HLOOKUP(D70,PREVVOLS,VLOOKUP(G70,MOVE_DOWN2,2,FALSE),FALSE),VLOOKUP(G70,NGPREVPRICES,3,FALSE),HLOOKUP(D70,Correllate,VLOOKUP(G70,CorMove,2,FALSE),FALSE),Q70-$C$3,R70,$CJ$5)*H70-CJ70</f>
        <v>176.3589589076073</v>
      </c>
      <c r="CI70" s="234">
        <f t="shared" si="96"/>
        <v>187.5813080292719</v>
      </c>
      <c r="CJ70" s="234">
        <f>_xll.xSPRDOPT((VLOOKUP(G70,NGPREVPRICES,2,FALSE)+HLOOKUP(D70,PREVCURVES,VLOOKUP(G70,MOVE_DOWN2,2,FALSE),FALSE)),VLOOKUP(G70,NGPREVPRICES,2,FALSE),CK70,VLOOKUP(G70,NGPREVPRICES,4,FALSE),HLOOKUP(D70,PREVVOLS,VLOOKUP(G70,MOVE_DOWN2,2,FALSE),FALSE),VLOOKUP(G70,NGPREVPRICES,3,FALSE),HLOOKUP(D70,Correllate,VLOOKUP(G70,CorMove,2,FALSE),FALSE),Q70-$CD$3,R70,$CJ$5)*H70</f>
        <v>-60873.3375446555</v>
      </c>
      <c r="CK70" s="235">
        <f t="shared" si="97"/>
        <v>0.3</v>
      </c>
      <c r="CL70" s="234"/>
      <c r="CM70" t="str">
        <f t="shared" si="98"/>
        <v>36800Curve Shift/Gamma</v>
      </c>
      <c r="CN70" t="str">
        <f t="shared" si="107"/>
        <v>36800Rho</v>
      </c>
      <c r="CO70" t="str">
        <f t="shared" si="108"/>
        <v>36800Drift</v>
      </c>
      <c r="CP70" t="str">
        <f t="shared" si="109"/>
        <v>36800Vega</v>
      </c>
      <c r="CQ70" t="str">
        <f t="shared" si="110"/>
        <v>36800Theta</v>
      </c>
    </row>
    <row r="71" spans="1:95" ht="12" customHeight="1" x14ac:dyDescent="0.25">
      <c r="A71" s="382" t="s">
        <v>279</v>
      </c>
      <c r="B71" t="s">
        <v>250</v>
      </c>
      <c r="C71" t="s">
        <v>305</v>
      </c>
      <c r="D71" s="4" t="s">
        <v>7</v>
      </c>
      <c r="E71" t="s">
        <v>20</v>
      </c>
      <c r="F71" t="s">
        <v>21</v>
      </c>
      <c r="G71" s="5">
        <v>36770</v>
      </c>
      <c r="H71" s="130">
        <v>-250000</v>
      </c>
      <c r="I71">
        <v>0.3</v>
      </c>
      <c r="J71" s="53">
        <f t="shared" ref="J71:J102" si="113">VLOOKUP(G71,NGPrices,2,FALSE)</f>
        <v>4.6849999999999996</v>
      </c>
      <c r="K71" s="7">
        <f t="shared" ref="K71:K102" si="114">HLOOKUP(D71,Prices,VLOOKUP(G71,move_down,2,FALSE),FALSE)+VLOOKUP(G71,CHANGE,HLOOKUP(D71,CHANGE,2,FALSE),FALSE)</f>
        <v>0.315</v>
      </c>
      <c r="L71" s="53">
        <f t="shared" ref="L71:L102" si="115">K71+J71</f>
        <v>5</v>
      </c>
      <c r="M71" s="157">
        <f t="shared" si="101"/>
        <v>6.7216196212184998E-2</v>
      </c>
      <c r="N71" s="4">
        <f t="shared" si="102"/>
        <v>0.4</v>
      </c>
      <c r="O71" s="4">
        <f t="shared" si="103"/>
        <v>0.39200000000000002</v>
      </c>
      <c r="P71" s="9">
        <f t="shared" si="104"/>
        <v>0.99250000000000005</v>
      </c>
      <c r="Q71" s="5">
        <f t="shared" ref="Q71:Q134" si="116">WORKDAY(G71,-2)</f>
        <v>36768</v>
      </c>
      <c r="R71" s="4">
        <f t="shared" si="105"/>
        <v>1</v>
      </c>
      <c r="S71" s="158">
        <f>_xll.xSPRDOPT($L71,$J71,$I71,$M71,$O71,$N71,$P71,$Q71-$C$3,$R71,0)</f>
        <v>1.5795122529349635E-2</v>
      </c>
      <c r="T71" s="159">
        <f>_xll.xSPRDOPT($L71,$J71,$I71,$M71,$O71,$N71,$P71,$Q71-$C$3,$R71,1)*H71</f>
        <v>-219041.72288502599</v>
      </c>
      <c r="U71" s="160">
        <f t="shared" si="92"/>
        <v>-3948.7806323374089</v>
      </c>
      <c r="V71" s="159">
        <f>_xll.xSPRDOPT($L71,$J71,$I71,$M71,$O71,$N71,$P71,$Q71-$C$3,$R71,2)*H71</f>
        <v>218925.97106249371</v>
      </c>
      <c r="W71" s="159">
        <f t="shared" si="106"/>
        <v>-115.75182253227104</v>
      </c>
      <c r="X71" s="51" t="str">
        <f t="shared" ref="X71:X102" si="117">CONCATENATE(G71,D71)</f>
        <v>36770IF-TRANSCO/Z6</v>
      </c>
      <c r="Y71" s="418">
        <f t="shared" ref="Y71:Y102" si="118">H71/10000</f>
        <v>-25</v>
      </c>
      <c r="Z71" s="456">
        <f t="shared" ref="Z71:Z102" si="119">T71/H71</f>
        <v>0.87616689154010396</v>
      </c>
      <c r="AA71" s="456">
        <f>_xll.xSPRDOPT($L71,$J71,$I71,$M71,$O71,$N71,$P71,$Q71-$C$3,$R71,3)</f>
        <v>15.702680426473698</v>
      </c>
      <c r="AB71" s="456">
        <f>((_xll.xSPRDOPT($L71+AB$5,$J71,$I71,$M71,$O71,$N71,$P71,$Q71-$C$3,$R71,3)*$H71)/10000)/100</f>
        <v>-3.9256701066184245</v>
      </c>
      <c r="AC71" s="456">
        <f>((_xll.xSPRDOPT($L71+$AB$5,$J71,$I71,$M71,$O71,$N71,$P71,$Q71-$C$3,$R71,7)*$H71)/100)</f>
        <v>395.8100359287514</v>
      </c>
      <c r="AD71" s="456">
        <f>(_xll.xSPRDOPT($L71+$AB$5,$J71,$I71,$M71,$O71,$N71,$P71,$Q71-$C$3,$R71,9)/365)*$H71</f>
        <v>331.71279822343075</v>
      </c>
      <c r="AE71">
        <f t="shared" ref="AE71:AE134" si="120">CD71</f>
        <v>0</v>
      </c>
      <c r="AF71" s="456">
        <f t="shared" ref="AF71:AF102" si="121">((O71/N71)*AH71)+AG71</f>
        <v>-16.610896653613189</v>
      </c>
      <c r="AG71" s="456">
        <f>((_xll.xSPRDOPT($L71,$J71,$I71,$M71,$O71,$N71,$P71,$Q71-$C$3,$R71,6)*$H71)/100)</f>
        <v>33.514430456933923</v>
      </c>
      <c r="AH71" s="456">
        <f>((_xll.xSPRDOPT($L71,$J71,$I71,$M71,$O71,$N71,$P71,$Q71-$C$3,$R71,5)*$H71)/100)</f>
        <v>-51.148292969946034</v>
      </c>
      <c r="AI71" s="456">
        <f>(((_xll.xSPRDOPT($L71,$J71,$I71,$M71,$O71,$N71,$P71,$Q71-$C$3,$R71,4)*$H71)/10000)/100)-AB71</f>
        <v>-2.0622005142626687E-2</v>
      </c>
      <c r="AJ71" s="456"/>
      <c r="AK71" s="456"/>
      <c r="AL71" s="456"/>
      <c r="AM71" s="472"/>
      <c r="AN71" s="128">
        <f t="shared" si="67"/>
        <v>38687</v>
      </c>
      <c r="AO71" s="43">
        <f t="shared" si="111"/>
        <v>0</v>
      </c>
      <c r="AP71" s="43">
        <f t="shared" si="111"/>
        <v>0</v>
      </c>
      <c r="AQ71" s="43">
        <f t="shared" si="111"/>
        <v>0</v>
      </c>
      <c r="AR71" s="43">
        <f t="shared" si="111"/>
        <v>0</v>
      </c>
      <c r="AS71" s="43">
        <f t="shared" si="111"/>
        <v>0</v>
      </c>
      <c r="AT71" s="43">
        <f t="shared" si="111"/>
        <v>0</v>
      </c>
      <c r="AU71" s="43">
        <f t="shared" si="111"/>
        <v>0</v>
      </c>
      <c r="AV71" s="43">
        <f t="shared" si="111"/>
        <v>0</v>
      </c>
      <c r="AW71" s="43">
        <f t="shared" si="111"/>
        <v>0</v>
      </c>
      <c r="AX71" s="43">
        <f t="shared" si="111"/>
        <v>0</v>
      </c>
      <c r="AY71" s="43">
        <f t="shared" si="111"/>
        <v>0</v>
      </c>
      <c r="AZ71" s="43">
        <f t="shared" si="111"/>
        <v>0</v>
      </c>
      <c r="BA71" s="44">
        <f t="shared" si="111"/>
        <v>0</v>
      </c>
      <c r="BB71" s="128">
        <f t="shared" si="68"/>
        <v>38687</v>
      </c>
      <c r="BC71" s="44">
        <f t="shared" si="41"/>
        <v>0</v>
      </c>
      <c r="BD71" s="51"/>
      <c r="BE71" s="128">
        <f t="shared" si="69"/>
        <v>38687</v>
      </c>
      <c r="BF71" s="43">
        <f t="shared" si="112"/>
        <v>0</v>
      </c>
      <c r="BG71" s="43">
        <f t="shared" si="112"/>
        <v>0</v>
      </c>
      <c r="BH71" s="43">
        <f t="shared" si="112"/>
        <v>0</v>
      </c>
      <c r="BI71" s="43">
        <f t="shared" si="112"/>
        <v>0</v>
      </c>
      <c r="BJ71" s="43">
        <f t="shared" si="112"/>
        <v>0</v>
      </c>
      <c r="BK71" s="43">
        <f t="shared" si="112"/>
        <v>0</v>
      </c>
      <c r="BL71" s="43">
        <f t="shared" si="112"/>
        <v>0</v>
      </c>
      <c r="BM71" s="43">
        <f t="shared" si="112"/>
        <v>0</v>
      </c>
      <c r="BN71" s="43">
        <f t="shared" si="112"/>
        <v>0</v>
      </c>
      <c r="BO71" s="43">
        <f t="shared" si="112"/>
        <v>0</v>
      </c>
      <c r="BP71" s="43">
        <f t="shared" si="112"/>
        <v>0</v>
      </c>
      <c r="BQ71" s="43">
        <f t="shared" si="112"/>
        <v>0</v>
      </c>
      <c r="BR71" s="44">
        <f t="shared" si="112"/>
        <v>0</v>
      </c>
      <c r="BS71" s="128">
        <f t="shared" si="70"/>
        <v>38687</v>
      </c>
      <c r="BT71" s="44">
        <f t="shared" si="37"/>
        <v>0</v>
      </c>
      <c r="BU71" s="51"/>
      <c r="BV71" s="51"/>
      <c r="BW71" s="51"/>
      <c r="BX71" s="51"/>
      <c r="BY71" s="51"/>
      <c r="BZ71" s="51"/>
      <c r="CA71" s="51"/>
      <c r="CB71" s="51"/>
      <c r="CC71" s="141">
        <f t="shared" si="94"/>
        <v>36770</v>
      </c>
      <c r="CD71" s="234">
        <f>_xll.xSPRDOPT((VLOOKUP(G71,NGPrices,2,FALSE)+HLOOKUP(D71,Prices,VLOOKUP(G71,move_down,2,FALSE),FALSE)),VLOOKUP(G71,NGPrices,2,FALSE),I71,VLOOKUP(G71,NGPREVPRICES,4,FALSE),HLOOKUP(D71,PREVVOLS,VLOOKUP(G71,MOVE_DOWN2,2,FALSE),FALSE),VLOOKUP(G71,NGPREVPRICES,3,FALSE),HLOOKUP(D71,Correllate,VLOOKUP(G71,CorMove,2,FALSE),FALSE),Q71-$CD$3,R71,$CD$5)*H71-CJ71</f>
        <v>0</v>
      </c>
      <c r="CE71" s="234">
        <f>_xll.xSPRDOPT((VLOOKUP(G71,NGPREVPRICES,2,FALSE)+HLOOKUP(D71,PREVCURVES,VLOOKUP(G71,MOVE_DOWN2,2,FALSE),FALSE)),VLOOKUP(G71,NGPREVPRICES,2,FALSE),CK71,VLOOKUP(G71,NGPrices,4,FALSE),HLOOKUP(D71,PREVVOLS,VLOOKUP(G71,MOVE_DOWN2,2,FALSE),FALSE),VLOOKUP(G71,NGPREVPRICES,3,FALSE),HLOOKUP(D71,Correllate,VLOOKUP(G71,CorMove,2,FALSE),FALSE),Q71-$CD$3,R71,$CJ$5)*H71-CJ71</f>
        <v>0</v>
      </c>
      <c r="CF71" s="10">
        <f t="shared" si="95"/>
        <v>0.78067592263050756</v>
      </c>
      <c r="CG71" s="234">
        <f>_xll.xSPRDOPT((VLOOKUP(G71,NGPREVPRICES,2,FALSE)+HLOOKUP(D71,PREVCURVES,VLOOKUP(G71,MOVE_DOWN2,2,FALSE),FALSE)),VLOOKUP(G71,NGPREVPRICES,2,FALSE),CK71,VLOOKUP(G71,NGPREVPRICES,4,FALSE),HLOOKUP(D71,VOLS,VLOOKUP(G71,move_down,2,FALSE),FALSE),VLOOKUP(G71,NGPrices,3,FALSE),HLOOKUP(D71,Correllate,VLOOKUP(G71,CorMove,2,FALSE),FALSE),Q71-$CD$3,R71,$CJ$5)*H71-CJ71</f>
        <v>0</v>
      </c>
      <c r="CH71" s="234">
        <f>_xll.xSPRDOPT((VLOOKUP(G71,NGPREVPRICES,2,FALSE)+HLOOKUP(D71,PREVCURVES,VLOOKUP(G71,MOVE_DOWN2,2,FALSE),FALSE)),VLOOKUP(G71,NGPREVPRICES,2,FALSE),CK71,VLOOKUP(G71,NGPREVPRICES,4,FALSE),HLOOKUP(D71,PREVVOLS,VLOOKUP(G71,MOVE_DOWN2,2,FALSE),FALSE),VLOOKUP(G71,NGPREVPRICES,3,FALSE),HLOOKUP(D71,Correllate,VLOOKUP(G71,CorMove,2,FALSE),FALSE),Q71-$C$3,R71,$CJ$5)*H71-CJ71</f>
        <v>335.33384980932078</v>
      </c>
      <c r="CI71" s="234">
        <f t="shared" si="96"/>
        <v>336.11452573195129</v>
      </c>
      <c r="CJ71" s="234">
        <f>_xll.xSPRDOPT((VLOOKUP(G71,NGPREVPRICES,2,FALSE)+HLOOKUP(D71,PREVCURVES,VLOOKUP(G71,MOVE_DOWN2,2,FALSE),FALSE)),VLOOKUP(G71,NGPREVPRICES,2,FALSE),CK71,VLOOKUP(G71,NGPREVPRICES,4,FALSE),HLOOKUP(D71,PREVVOLS,VLOOKUP(G71,MOVE_DOWN2,2,FALSE),FALSE),VLOOKUP(G71,NGPREVPRICES,3,FALSE),HLOOKUP(D71,Correllate,VLOOKUP(G71,CorMove,2,FALSE),FALSE),Q71-$CD$3,R71,$CJ$5)*H71</f>
        <v>-4284.1144821467296</v>
      </c>
      <c r="CK71" s="235">
        <f t="shared" si="97"/>
        <v>0.3</v>
      </c>
      <c r="CL71" s="234"/>
      <c r="CM71" t="str">
        <f t="shared" si="98"/>
        <v>36770Curve Shift/Gamma</v>
      </c>
      <c r="CN71" t="str">
        <f t="shared" si="107"/>
        <v>36770Rho</v>
      </c>
      <c r="CO71" t="str">
        <f t="shared" si="108"/>
        <v>36770Drift</v>
      </c>
      <c r="CP71" t="str">
        <f t="shared" si="109"/>
        <v>36770Vega</v>
      </c>
      <c r="CQ71" t="str">
        <f t="shared" si="110"/>
        <v>36770Theta</v>
      </c>
    </row>
    <row r="72" spans="1:95" ht="12" customHeight="1" x14ac:dyDescent="0.25">
      <c r="A72" s="382" t="s">
        <v>279</v>
      </c>
      <c r="B72" t="s">
        <v>250</v>
      </c>
      <c r="C72" t="s">
        <v>305</v>
      </c>
      <c r="D72" s="4" t="s">
        <v>7</v>
      </c>
      <c r="E72" t="s">
        <v>20</v>
      </c>
      <c r="F72" t="s">
        <v>21</v>
      </c>
      <c r="G72" s="5">
        <v>36770</v>
      </c>
      <c r="H72" s="130">
        <v>-500000</v>
      </c>
      <c r="I72">
        <v>0.3</v>
      </c>
      <c r="J72" s="53">
        <f t="shared" si="113"/>
        <v>4.6849999999999996</v>
      </c>
      <c r="K72" s="7">
        <f t="shared" si="114"/>
        <v>0.315</v>
      </c>
      <c r="L72" s="53">
        <f t="shared" si="115"/>
        <v>5</v>
      </c>
      <c r="M72" s="157">
        <f t="shared" si="101"/>
        <v>6.7216196212184998E-2</v>
      </c>
      <c r="N72" s="4">
        <f t="shared" si="102"/>
        <v>0.4</v>
      </c>
      <c r="O72" s="4">
        <f t="shared" si="103"/>
        <v>0.39200000000000002</v>
      </c>
      <c r="P72" s="9">
        <f t="shared" si="104"/>
        <v>0.99250000000000005</v>
      </c>
      <c r="Q72" s="5">
        <f t="shared" si="116"/>
        <v>36768</v>
      </c>
      <c r="R72" s="4">
        <f t="shared" si="105"/>
        <v>1</v>
      </c>
      <c r="S72" s="158">
        <f>_xll.xSPRDOPT($L72,$J72,$I72,$M72,$O72,$N72,$P72,$Q72-$C$3,$R72,0)</f>
        <v>1.5795122529349635E-2</v>
      </c>
      <c r="T72" s="159">
        <f>_xll.xSPRDOPT($L72,$J72,$I72,$M72,$O72,$N72,$P72,$Q72-$C$3,$R72,1)*H72</f>
        <v>-438083.44577005197</v>
      </c>
      <c r="U72" s="160">
        <f t="shared" si="92"/>
        <v>-7897.5612646748177</v>
      </c>
      <c r="V72" s="159">
        <f>_xll.xSPRDOPT($L72,$J72,$I72,$M72,$O72,$N72,$P72,$Q72-$C$3,$R72,2)*H72</f>
        <v>437851.94212498743</v>
      </c>
      <c r="W72" s="159">
        <f t="shared" si="106"/>
        <v>-231.50364506454207</v>
      </c>
      <c r="X72" s="51" t="str">
        <f t="shared" si="117"/>
        <v>36770IF-TRANSCO/Z6</v>
      </c>
      <c r="Y72" s="418">
        <f t="shared" si="118"/>
        <v>-50</v>
      </c>
      <c r="Z72" s="456">
        <f t="shared" si="119"/>
        <v>0.87616689154010396</v>
      </c>
      <c r="AA72" s="456">
        <f>_xll.xSPRDOPT($L72,$J72,$I72,$M72,$O72,$N72,$P72,$Q72-$C$3,$R72,3)</f>
        <v>15.702680426473698</v>
      </c>
      <c r="AB72" s="456">
        <f>((_xll.xSPRDOPT($L72+AB$5,$J72,$I72,$M72,$O72,$N72,$P72,$Q72-$C$3,$R72,3)*$H72)/10000)/100</f>
        <v>-7.8513402132368491</v>
      </c>
      <c r="AC72" s="456">
        <f>((_xll.xSPRDOPT($L72+$AB$5,$J72,$I72,$M72,$O72,$N72,$P72,$Q72-$C$3,$R72,7)*$H72)/100)</f>
        <v>791.62007185750281</v>
      </c>
      <c r="AD72" s="456">
        <f>(_xll.xSPRDOPT($L72+$AB$5,$J72,$I72,$M72,$O72,$N72,$P72,$Q72-$C$3,$R72,9)/365)*$H72</f>
        <v>663.4255964468615</v>
      </c>
      <c r="AE72">
        <f t="shared" si="120"/>
        <v>0</v>
      </c>
      <c r="AF72" s="456">
        <f t="shared" si="121"/>
        <v>-33.221793307226378</v>
      </c>
      <c r="AG72" s="456">
        <f>((_xll.xSPRDOPT($L72,$J72,$I72,$M72,$O72,$N72,$P72,$Q72-$C$3,$R72,6)*$H72)/100)</f>
        <v>67.028860913867845</v>
      </c>
      <c r="AH72" s="456">
        <f>((_xll.xSPRDOPT($L72,$J72,$I72,$M72,$O72,$N72,$P72,$Q72-$C$3,$R72,5)*$H72)/100)</f>
        <v>-102.29658593989207</v>
      </c>
      <c r="AI72" s="456">
        <f>(((_xll.xSPRDOPT($L72,$J72,$I72,$M72,$O72,$N72,$P72,$Q72-$C$3,$R72,4)*$H72)/10000)/100)-AB72</f>
        <v>-4.1244010285253374E-2</v>
      </c>
      <c r="AJ72" s="456"/>
      <c r="AK72" s="456"/>
      <c r="AL72" s="456"/>
      <c r="AM72" s="472"/>
      <c r="AN72" s="128">
        <f t="shared" ref="AN72:AN103" si="122">EOMONTH(AN71,0)+1</f>
        <v>38718</v>
      </c>
      <c r="AO72" s="43">
        <f t="shared" si="111"/>
        <v>0</v>
      </c>
      <c r="AP72" s="43">
        <f t="shared" si="111"/>
        <v>0</v>
      </c>
      <c r="AQ72" s="43">
        <f t="shared" si="111"/>
        <v>0</v>
      </c>
      <c r="AR72" s="43">
        <f t="shared" si="111"/>
        <v>0</v>
      </c>
      <c r="AS72" s="43">
        <f t="shared" si="111"/>
        <v>0</v>
      </c>
      <c r="AT72" s="43">
        <f t="shared" si="111"/>
        <v>0</v>
      </c>
      <c r="AU72" s="43">
        <f t="shared" si="111"/>
        <v>0</v>
      </c>
      <c r="AV72" s="43">
        <f t="shared" si="111"/>
        <v>0</v>
      </c>
      <c r="AW72" s="43">
        <f t="shared" si="111"/>
        <v>0</v>
      </c>
      <c r="AX72" s="43">
        <f t="shared" si="111"/>
        <v>0</v>
      </c>
      <c r="AY72" s="43">
        <f t="shared" si="111"/>
        <v>0</v>
      </c>
      <c r="AZ72" s="43">
        <f t="shared" si="111"/>
        <v>0</v>
      </c>
      <c r="BA72" s="44">
        <f t="shared" si="111"/>
        <v>0</v>
      </c>
      <c r="BB72" s="128">
        <f t="shared" ref="BB72:BB103" si="123">EOMONTH(BB71,0)+1</f>
        <v>38718</v>
      </c>
      <c r="BC72" s="44">
        <f t="shared" ref="BC72:BC135" si="124">SUM(AO72:BA72)</f>
        <v>0</v>
      </c>
      <c r="BD72" s="51"/>
      <c r="BE72" s="128">
        <f t="shared" ref="BE72:BE103" si="125">EOMONTH(BE71,0)+1</f>
        <v>38718</v>
      </c>
      <c r="BF72" s="43">
        <f t="shared" si="112"/>
        <v>0</v>
      </c>
      <c r="BG72" s="43">
        <f t="shared" si="112"/>
        <v>0</v>
      </c>
      <c r="BH72" s="43">
        <f t="shared" si="112"/>
        <v>0</v>
      </c>
      <c r="BI72" s="43">
        <f t="shared" si="112"/>
        <v>0</v>
      </c>
      <c r="BJ72" s="43">
        <f t="shared" si="112"/>
        <v>0</v>
      </c>
      <c r="BK72" s="43">
        <f t="shared" si="112"/>
        <v>0</v>
      </c>
      <c r="BL72" s="43">
        <f t="shared" si="112"/>
        <v>0</v>
      </c>
      <c r="BM72" s="43">
        <f t="shared" si="112"/>
        <v>0</v>
      </c>
      <c r="BN72" s="43">
        <f t="shared" si="112"/>
        <v>0</v>
      </c>
      <c r="BO72" s="43">
        <f t="shared" si="112"/>
        <v>0</v>
      </c>
      <c r="BP72" s="43">
        <f t="shared" si="112"/>
        <v>0</v>
      </c>
      <c r="BQ72" s="43">
        <f t="shared" si="112"/>
        <v>0</v>
      </c>
      <c r="BR72" s="44">
        <f t="shared" si="112"/>
        <v>0</v>
      </c>
      <c r="BS72" s="128">
        <f t="shared" ref="BS72:BS103" si="126">EOMONTH(BS71,0)+1</f>
        <v>38718</v>
      </c>
      <c r="BT72" s="44">
        <f t="shared" ref="BT72:BT135" si="127">SUM(BF72:BR72)</f>
        <v>0</v>
      </c>
      <c r="BU72" s="51"/>
      <c r="BV72" s="51"/>
      <c r="BW72" s="51"/>
      <c r="BX72" s="51"/>
      <c r="BY72" s="51"/>
      <c r="BZ72" s="51"/>
      <c r="CA72" s="51"/>
      <c r="CB72" s="51"/>
      <c r="CC72" s="141">
        <f t="shared" si="94"/>
        <v>36770</v>
      </c>
      <c r="CD72" s="234">
        <f>_xll.xSPRDOPT((VLOOKUP(G72,NGPrices,2,FALSE)+HLOOKUP(D72,Prices,VLOOKUP(G72,move_down,2,FALSE),FALSE)),VLOOKUP(G72,NGPrices,2,FALSE),I72,VLOOKUP(G72,NGPREVPRICES,4,FALSE),HLOOKUP(D72,PREVVOLS,VLOOKUP(G72,MOVE_DOWN2,2,FALSE),FALSE),VLOOKUP(G72,NGPREVPRICES,3,FALSE),HLOOKUP(D72,Correllate,VLOOKUP(G72,CorMove,2,FALSE),FALSE),Q72-$CD$3,R72,$CD$5)*H72-CJ72</f>
        <v>0</v>
      </c>
      <c r="CE72" s="234">
        <f>_xll.xSPRDOPT((VLOOKUP(G72,NGPREVPRICES,2,FALSE)+HLOOKUP(D72,PREVCURVES,VLOOKUP(G72,MOVE_DOWN2,2,FALSE),FALSE)),VLOOKUP(G72,NGPREVPRICES,2,FALSE),CK72,VLOOKUP(G72,NGPrices,4,FALSE),HLOOKUP(D72,PREVVOLS,VLOOKUP(G72,MOVE_DOWN2,2,FALSE),FALSE),VLOOKUP(G72,NGPREVPRICES,3,FALSE),HLOOKUP(D72,Correllate,VLOOKUP(G72,CorMove,2,FALSE),FALSE),Q72-$CD$3,R72,$CJ$5)*H72-CJ72</f>
        <v>0</v>
      </c>
      <c r="CF72" s="10">
        <f t="shared" si="95"/>
        <v>1.5613518452610151</v>
      </c>
      <c r="CG72" s="234">
        <f>_xll.xSPRDOPT((VLOOKUP(G72,NGPREVPRICES,2,FALSE)+HLOOKUP(D72,PREVCURVES,VLOOKUP(G72,MOVE_DOWN2,2,FALSE),FALSE)),VLOOKUP(G72,NGPREVPRICES,2,FALSE),CK72,VLOOKUP(G72,NGPREVPRICES,4,FALSE),HLOOKUP(D72,VOLS,VLOOKUP(G72,move_down,2,FALSE),FALSE),VLOOKUP(G72,NGPrices,3,FALSE),HLOOKUP(D72,Correllate,VLOOKUP(G72,CorMove,2,FALSE),FALSE),Q72-$CD$3,R72,$CJ$5)*H72-CJ72</f>
        <v>0</v>
      </c>
      <c r="CH72" s="234">
        <f>_xll.xSPRDOPT((VLOOKUP(G72,NGPREVPRICES,2,FALSE)+HLOOKUP(D72,PREVCURVES,VLOOKUP(G72,MOVE_DOWN2,2,FALSE),FALSE)),VLOOKUP(G72,NGPREVPRICES,2,FALSE),CK72,VLOOKUP(G72,NGPREVPRICES,4,FALSE),HLOOKUP(D72,PREVVOLS,VLOOKUP(G72,MOVE_DOWN2,2,FALSE),FALSE),VLOOKUP(G72,NGPREVPRICES,3,FALSE),HLOOKUP(D72,Correllate,VLOOKUP(G72,CorMove,2,FALSE),FALSE),Q72-$C$3,R72,$CJ$5)*H72-CJ72</f>
        <v>670.66769961864156</v>
      </c>
      <c r="CI72" s="234">
        <f t="shared" si="96"/>
        <v>672.22905146390258</v>
      </c>
      <c r="CJ72" s="234">
        <f>_xll.xSPRDOPT((VLOOKUP(G72,NGPREVPRICES,2,FALSE)+HLOOKUP(D72,PREVCURVES,VLOOKUP(G72,MOVE_DOWN2,2,FALSE),FALSE)),VLOOKUP(G72,NGPREVPRICES,2,FALSE),CK72,VLOOKUP(G72,NGPREVPRICES,4,FALSE),HLOOKUP(D72,PREVVOLS,VLOOKUP(G72,MOVE_DOWN2,2,FALSE),FALSE),VLOOKUP(G72,NGPREVPRICES,3,FALSE),HLOOKUP(D72,Correllate,VLOOKUP(G72,CorMove,2,FALSE),FALSE),Q72-$CD$3,R72,$CJ$5)*H72</f>
        <v>-8568.2289642934593</v>
      </c>
      <c r="CK72" s="235">
        <f t="shared" si="97"/>
        <v>0.3</v>
      </c>
      <c r="CL72" s="234"/>
      <c r="CM72" t="str">
        <f t="shared" si="98"/>
        <v>36770Curve Shift/Gamma</v>
      </c>
      <c r="CN72" t="str">
        <f t="shared" si="107"/>
        <v>36770Rho</v>
      </c>
      <c r="CO72" t="str">
        <f t="shared" si="108"/>
        <v>36770Drift</v>
      </c>
      <c r="CP72" t="str">
        <f t="shared" si="109"/>
        <v>36770Vega</v>
      </c>
      <c r="CQ72" t="str">
        <f t="shared" si="110"/>
        <v>36770Theta</v>
      </c>
    </row>
    <row r="73" spans="1:95" ht="12" customHeight="1" x14ac:dyDescent="0.25">
      <c r="A73" s="382" t="s">
        <v>279</v>
      </c>
      <c r="B73" t="s">
        <v>250</v>
      </c>
      <c r="C73" t="s">
        <v>306</v>
      </c>
      <c r="D73" s="4" t="s">
        <v>7</v>
      </c>
      <c r="E73" t="s">
        <v>20</v>
      </c>
      <c r="F73" t="s">
        <v>1</v>
      </c>
      <c r="G73" s="5">
        <v>36800</v>
      </c>
      <c r="H73" s="130">
        <v>-250000</v>
      </c>
      <c r="I73">
        <v>0.3</v>
      </c>
      <c r="J73" s="53">
        <f t="shared" si="113"/>
        <v>4.6920000000000002</v>
      </c>
      <c r="K73" s="7">
        <f t="shared" si="114"/>
        <v>0.41499999999999998</v>
      </c>
      <c r="L73" s="53">
        <f t="shared" si="115"/>
        <v>5.1070000000000002</v>
      </c>
      <c r="M73" s="157">
        <f t="shared" si="101"/>
        <v>6.8050789414654006E-2</v>
      </c>
      <c r="N73" s="4">
        <f t="shared" si="102"/>
        <v>0.57499999999999996</v>
      </c>
      <c r="O73" s="4">
        <f t="shared" si="103"/>
        <v>0.56399999999999995</v>
      </c>
      <c r="P73" s="9">
        <f t="shared" si="104"/>
        <v>0.99250000000000005</v>
      </c>
      <c r="Q73" s="5">
        <f t="shared" si="116"/>
        <v>36797</v>
      </c>
      <c r="R73" s="4">
        <f t="shared" si="105"/>
        <v>0</v>
      </c>
      <c r="S73" s="158">
        <f>_xll.xSPRDOPT($L73,$J73,$I73,$M73,$O73,$N73,$P73,$Q73-$C$3,$R73,0)</f>
        <v>7.0349436722563774E-3</v>
      </c>
      <c r="T73" s="159">
        <f>_xll.xSPRDOPT($L73,$J73,$I73,$M73,$O73,$N73,$P73,$Q73-$C$3,$R73,1)*H73</f>
        <v>32734.078298563618</v>
      </c>
      <c r="U73" s="160">
        <f t="shared" si="92"/>
        <v>-1758.7359180640944</v>
      </c>
      <c r="V73" s="159">
        <f>_xll.xSPRDOPT($L73,$J73,$I73,$M73,$O73,$N73,$P73,$Q73-$C$3,$R73,2)*H73</f>
        <v>-33678.06398462192</v>
      </c>
      <c r="W73" s="159">
        <f t="shared" si="106"/>
        <v>-943.98568605830224</v>
      </c>
      <c r="X73" s="51" t="str">
        <f t="shared" si="117"/>
        <v>36800IF-TRANSCO/Z6</v>
      </c>
      <c r="Y73" s="418">
        <f t="shared" si="118"/>
        <v>-25</v>
      </c>
      <c r="Z73" s="456">
        <f t="shared" si="119"/>
        <v>-0.13093631319425447</v>
      </c>
      <c r="AA73" s="456">
        <f>_xll.xSPRDOPT($L73,$J73,$I73,$M73,$O73,$N73,$P73,$Q73-$C$3,$R73,3)</f>
        <v>2.0096109927708925</v>
      </c>
      <c r="AB73" s="456">
        <f>((_xll.xSPRDOPT($L73+AB$5,$J73,$I73,$M73,$O73,$N73,$P73,$Q73-$C$3,$R73,3)*$H73)/10000)/100</f>
        <v>-0.50240274819272313</v>
      </c>
      <c r="AC73" s="456">
        <f>((_xll.xSPRDOPT($L73+$AB$5,$J73,$I73,$M73,$O73,$N73,$P73,$Q73-$C$3,$R73,7)*$H73)/100)</f>
        <v>3270.7264138086653</v>
      </c>
      <c r="AD73" s="456">
        <f>(_xll.xSPRDOPT($L73+$AB$5,$J73,$I73,$M73,$O73,$N73,$P73,$Q73-$C$3,$R73,9)/365)*$H73</f>
        <v>93.418784968389588</v>
      </c>
      <c r="AE73">
        <f t="shared" si="120"/>
        <v>0</v>
      </c>
      <c r="AF73" s="456">
        <f t="shared" si="121"/>
        <v>-97.755672521770947</v>
      </c>
      <c r="AG73" s="456">
        <f>((_xll.xSPRDOPT($L73,$J73,$I73,$M73,$O73,$N73,$P73,$Q73-$C$3,$R73,6)*$H73)/100)</f>
        <v>210.60717033071083</v>
      </c>
      <c r="AH73" s="456">
        <f>((_xll.xSPRDOPT($L73,$J73,$I73,$M73,$O73,$N73,$P73,$Q73-$C$3,$R73,5)*$H73)/100)</f>
        <v>-314.37701177336351</v>
      </c>
      <c r="AI73" s="456">
        <f>(((_xll.xSPRDOPT($L73,$J73,$I73,$M73,$O73,$N73,$P73,$Q73-$C$3,$R73,4)*$H73)/10000)/100)-AB73</f>
        <v>-2.0334338457462353E-2</v>
      </c>
      <c r="AJ73" s="456"/>
      <c r="AK73" s="456"/>
      <c r="AL73" s="456"/>
      <c r="AM73" s="472"/>
      <c r="AN73" s="128">
        <f t="shared" si="122"/>
        <v>38749</v>
      </c>
      <c r="AO73" s="43">
        <f t="shared" si="111"/>
        <v>0</v>
      </c>
      <c r="AP73" s="43">
        <f t="shared" si="111"/>
        <v>0</v>
      </c>
      <c r="AQ73" s="43">
        <f t="shared" si="111"/>
        <v>0</v>
      </c>
      <c r="AR73" s="43">
        <f t="shared" si="111"/>
        <v>0</v>
      </c>
      <c r="AS73" s="43">
        <f t="shared" si="111"/>
        <v>0</v>
      </c>
      <c r="AT73" s="43">
        <f t="shared" si="111"/>
        <v>0</v>
      </c>
      <c r="AU73" s="43">
        <f t="shared" si="111"/>
        <v>0</v>
      </c>
      <c r="AV73" s="43">
        <f t="shared" si="111"/>
        <v>0</v>
      </c>
      <c r="AW73" s="43">
        <f t="shared" si="111"/>
        <v>0</v>
      </c>
      <c r="AX73" s="43">
        <f t="shared" si="111"/>
        <v>0</v>
      </c>
      <c r="AY73" s="43">
        <f t="shared" si="111"/>
        <v>0</v>
      </c>
      <c r="AZ73" s="43">
        <f t="shared" si="111"/>
        <v>0</v>
      </c>
      <c r="BA73" s="44">
        <f t="shared" si="111"/>
        <v>0</v>
      </c>
      <c r="BB73" s="128">
        <f t="shared" si="123"/>
        <v>38749</v>
      </c>
      <c r="BC73" s="44">
        <f t="shared" si="124"/>
        <v>0</v>
      </c>
      <c r="BD73" s="51"/>
      <c r="BE73" s="128">
        <f t="shared" si="125"/>
        <v>38749</v>
      </c>
      <c r="BF73" s="43">
        <f t="shared" si="112"/>
        <v>0</v>
      </c>
      <c r="BG73" s="43">
        <f t="shared" si="112"/>
        <v>0</v>
      </c>
      <c r="BH73" s="43">
        <f t="shared" si="112"/>
        <v>0</v>
      </c>
      <c r="BI73" s="43">
        <f t="shared" si="112"/>
        <v>0</v>
      </c>
      <c r="BJ73" s="43">
        <f t="shared" si="112"/>
        <v>0</v>
      </c>
      <c r="BK73" s="43">
        <f t="shared" si="112"/>
        <v>0</v>
      </c>
      <c r="BL73" s="43">
        <f t="shared" si="112"/>
        <v>0</v>
      </c>
      <c r="BM73" s="43">
        <f t="shared" si="112"/>
        <v>0</v>
      </c>
      <c r="BN73" s="43">
        <f t="shared" si="112"/>
        <v>0</v>
      </c>
      <c r="BO73" s="43">
        <f t="shared" si="112"/>
        <v>0</v>
      </c>
      <c r="BP73" s="43">
        <f t="shared" si="112"/>
        <v>0</v>
      </c>
      <c r="BQ73" s="43">
        <f t="shared" si="112"/>
        <v>0</v>
      </c>
      <c r="BR73" s="44">
        <f t="shared" si="112"/>
        <v>0</v>
      </c>
      <c r="BS73" s="128">
        <f t="shared" si="126"/>
        <v>38749</v>
      </c>
      <c r="BT73" s="44">
        <f t="shared" si="127"/>
        <v>0</v>
      </c>
      <c r="BU73" s="51"/>
      <c r="BV73" s="51"/>
      <c r="BW73" s="51"/>
      <c r="BX73" s="51"/>
      <c r="BY73" s="51"/>
      <c r="BZ73" s="51"/>
      <c r="CA73" s="51"/>
      <c r="CB73" s="51"/>
      <c r="CC73" s="141">
        <f t="shared" si="94"/>
        <v>36800</v>
      </c>
      <c r="CD73" s="234">
        <f>_xll.xSPRDOPT((VLOOKUP(G73,NGPrices,2,FALSE)+HLOOKUP(D73,Prices,VLOOKUP(G73,move_down,2,FALSE),FALSE)),VLOOKUP(G73,NGPrices,2,FALSE),I73,VLOOKUP(G73,NGPREVPRICES,4,FALSE),HLOOKUP(D73,PREVVOLS,VLOOKUP(G73,MOVE_DOWN2,2,FALSE),FALSE),VLOOKUP(G73,NGPREVPRICES,3,FALSE),HLOOKUP(D73,Correllate,VLOOKUP(G73,CorMove,2,FALSE),FALSE),Q73-$CD$3,R73,$CD$5)*H73-CJ73</f>
        <v>0</v>
      </c>
      <c r="CE73" s="234">
        <f>_xll.xSPRDOPT((VLOOKUP(G73,NGPREVPRICES,2,FALSE)+HLOOKUP(D73,PREVCURVES,VLOOKUP(G73,MOVE_DOWN2,2,FALSE),FALSE)),VLOOKUP(G73,NGPREVPRICES,2,FALSE),CK73,VLOOKUP(G73,NGPrices,4,FALSE),HLOOKUP(D73,PREVVOLS,VLOOKUP(G73,MOVE_DOWN2,2,FALSE),FALSE),VLOOKUP(G73,NGPREVPRICES,3,FALSE),HLOOKUP(D73,Correllate,VLOOKUP(G73,CorMove,2,FALSE),FALSE),Q73-$CD$3,R73,$CJ$5)*H73-CJ73</f>
        <v>0</v>
      </c>
      <c r="CF73" s="10">
        <f t="shared" si="95"/>
        <v>0.3414713579668387</v>
      </c>
      <c r="CG73" s="234">
        <f>_xll.xSPRDOPT((VLOOKUP(G73,NGPREVPRICES,2,FALSE)+HLOOKUP(D73,PREVCURVES,VLOOKUP(G73,MOVE_DOWN2,2,FALSE),FALSE)),VLOOKUP(G73,NGPREVPRICES,2,FALSE),CK73,VLOOKUP(G73,NGPREVPRICES,4,FALSE),HLOOKUP(D73,VOLS,VLOOKUP(G73,move_down,2,FALSE),FALSE),VLOOKUP(G73,NGPrices,3,FALSE),HLOOKUP(D73,Correllate,VLOOKUP(G73,CorMove,2,FALSE),FALSE),Q73-$CD$3,R73,$CJ$5)*H73-CJ73</f>
        <v>0</v>
      </c>
      <c r="CH73" s="234">
        <f>_xll.xSPRDOPT((VLOOKUP(G73,NGPREVPRICES,2,FALSE)+HLOOKUP(D73,PREVCURVES,VLOOKUP(G73,MOVE_DOWN2,2,FALSE),FALSE)),VLOOKUP(G73,NGPREVPRICES,2,FALSE),CK73,VLOOKUP(G73,NGPREVPRICES,4,FALSE),HLOOKUP(D73,PREVVOLS,VLOOKUP(G73,MOVE_DOWN2,2,FALSE),FALSE),VLOOKUP(G73,NGPREVPRICES,3,FALSE),HLOOKUP(D73,Correllate,VLOOKUP(G73,CorMove,2,FALSE),FALSE),Q73-$C$3,R73,$CJ$5)*H73-CJ73</f>
        <v>93.505623345660297</v>
      </c>
      <c r="CI73" s="234">
        <f t="shared" si="96"/>
        <v>93.847094703627135</v>
      </c>
      <c r="CJ73" s="234">
        <f>_xll.xSPRDOPT((VLOOKUP(G73,NGPREVPRICES,2,FALSE)+HLOOKUP(D73,PREVCURVES,VLOOKUP(G73,MOVE_DOWN2,2,FALSE),FALSE)),VLOOKUP(G73,NGPREVPRICES,2,FALSE),CK73,VLOOKUP(G73,NGPREVPRICES,4,FALSE),HLOOKUP(D73,PREVVOLS,VLOOKUP(G73,MOVE_DOWN2,2,FALSE),FALSE),VLOOKUP(G73,NGPREVPRICES,3,FALSE),HLOOKUP(D73,Correllate,VLOOKUP(G73,CorMove,2,FALSE),FALSE),Q73-$CD$3,R73,$CJ$5)*H73</f>
        <v>-1852.2415414097547</v>
      </c>
      <c r="CK73" s="235">
        <f t="shared" si="97"/>
        <v>0.3</v>
      </c>
      <c r="CL73" s="234"/>
      <c r="CM73" t="str">
        <f t="shared" si="98"/>
        <v>36800Curve Shift/Gamma</v>
      </c>
      <c r="CN73" t="str">
        <f t="shared" si="107"/>
        <v>36800Rho</v>
      </c>
      <c r="CO73" t="str">
        <f t="shared" si="108"/>
        <v>36800Drift</v>
      </c>
      <c r="CP73" t="str">
        <f t="shared" si="109"/>
        <v>36800Vega</v>
      </c>
      <c r="CQ73" t="str">
        <f t="shared" si="110"/>
        <v>36800Theta</v>
      </c>
    </row>
    <row r="74" spans="1:95" ht="12" customHeight="1" x14ac:dyDescent="0.25">
      <c r="A74" s="382" t="s">
        <v>279</v>
      </c>
      <c r="B74" t="s">
        <v>250</v>
      </c>
      <c r="C74" t="s">
        <v>306</v>
      </c>
      <c r="D74" s="4" t="s">
        <v>7</v>
      </c>
      <c r="E74" t="s">
        <v>20</v>
      </c>
      <c r="F74" t="s">
        <v>1</v>
      </c>
      <c r="G74" s="5">
        <v>36800</v>
      </c>
      <c r="H74" s="130">
        <v>-500000</v>
      </c>
      <c r="I74">
        <v>0.3</v>
      </c>
      <c r="J74" s="53">
        <f t="shared" si="113"/>
        <v>4.6920000000000002</v>
      </c>
      <c r="K74" s="7">
        <f t="shared" si="114"/>
        <v>0.41499999999999998</v>
      </c>
      <c r="L74" s="53">
        <f t="shared" si="115"/>
        <v>5.1070000000000002</v>
      </c>
      <c r="M74" s="157">
        <f t="shared" si="101"/>
        <v>6.8050789414654006E-2</v>
      </c>
      <c r="N74" s="4">
        <f t="shared" si="102"/>
        <v>0.57499999999999996</v>
      </c>
      <c r="O74" s="4">
        <f t="shared" si="103"/>
        <v>0.56399999999999995</v>
      </c>
      <c r="P74" s="9">
        <f t="shared" si="104"/>
        <v>0.99250000000000005</v>
      </c>
      <c r="Q74" s="5">
        <f t="shared" si="116"/>
        <v>36797</v>
      </c>
      <c r="R74" s="4">
        <f t="shared" si="105"/>
        <v>0</v>
      </c>
      <c r="S74" s="158">
        <f>_xll.xSPRDOPT($L74,$J74,$I74,$M74,$O74,$N74,$P74,$Q74-$C$3,$R74,0)</f>
        <v>7.0349436722563774E-3</v>
      </c>
      <c r="T74" s="159">
        <f>_xll.xSPRDOPT($L74,$J74,$I74,$M74,$O74,$N74,$P74,$Q74-$C$3,$R74,1)*H74</f>
        <v>65468.156597127236</v>
      </c>
      <c r="U74" s="160">
        <f t="shared" si="92"/>
        <v>-3517.4718361281889</v>
      </c>
      <c r="V74" s="159">
        <f>_xll.xSPRDOPT($L74,$J74,$I74,$M74,$O74,$N74,$P74,$Q74-$C$3,$R74,2)*H74</f>
        <v>-67356.12796924384</v>
      </c>
      <c r="W74" s="159">
        <f t="shared" si="106"/>
        <v>-1887.9713721166045</v>
      </c>
      <c r="X74" s="51" t="str">
        <f t="shared" si="117"/>
        <v>36800IF-TRANSCO/Z6</v>
      </c>
      <c r="Y74" s="418">
        <f t="shared" si="118"/>
        <v>-50</v>
      </c>
      <c r="Z74" s="456">
        <f t="shared" si="119"/>
        <v>-0.13093631319425447</v>
      </c>
      <c r="AA74" s="456">
        <f>_xll.xSPRDOPT($L74,$J74,$I74,$M74,$O74,$N74,$P74,$Q74-$C$3,$R74,3)</f>
        <v>2.0096109927708925</v>
      </c>
      <c r="AB74" s="456">
        <f>((_xll.xSPRDOPT($L74+AB$5,$J74,$I74,$M74,$O74,$N74,$P74,$Q74-$C$3,$R74,3)*$H74)/10000)/100</f>
        <v>-1.0048054963854463</v>
      </c>
      <c r="AC74" s="456">
        <f>((_xll.xSPRDOPT($L74+$AB$5,$J74,$I74,$M74,$O74,$N74,$P74,$Q74-$C$3,$R74,7)*$H74)/100)</f>
        <v>6541.4528276173305</v>
      </c>
      <c r="AD74" s="456">
        <f>(_xll.xSPRDOPT($L74+$AB$5,$J74,$I74,$M74,$O74,$N74,$P74,$Q74-$C$3,$R74,9)/365)*$H74</f>
        <v>186.83756993677918</v>
      </c>
      <c r="AE74">
        <f t="shared" si="120"/>
        <v>0</v>
      </c>
      <c r="AF74" s="456">
        <f t="shared" si="121"/>
        <v>-195.51134504354189</v>
      </c>
      <c r="AG74" s="456">
        <f>((_xll.xSPRDOPT($L74,$J74,$I74,$M74,$O74,$N74,$P74,$Q74-$C$3,$R74,6)*$H74)/100)</f>
        <v>421.21434066142166</v>
      </c>
      <c r="AH74" s="456">
        <f>((_xll.xSPRDOPT($L74,$J74,$I74,$M74,$O74,$N74,$P74,$Q74-$C$3,$R74,5)*$H74)/100)</f>
        <v>-628.75402354672701</v>
      </c>
      <c r="AI74" s="456">
        <f>(((_xll.xSPRDOPT($L74,$J74,$I74,$M74,$O74,$N74,$P74,$Q74-$C$3,$R74,4)*$H74)/10000)/100)-AB74</f>
        <v>-4.0668676914924706E-2</v>
      </c>
      <c r="AJ74" s="456"/>
      <c r="AK74" s="456"/>
      <c r="AL74" s="456"/>
      <c r="AM74" s="472"/>
      <c r="AN74" s="128">
        <f t="shared" si="122"/>
        <v>38777</v>
      </c>
      <c r="AO74" s="43">
        <f t="shared" si="111"/>
        <v>0</v>
      </c>
      <c r="AP74" s="43">
        <f t="shared" si="111"/>
        <v>0</v>
      </c>
      <c r="AQ74" s="43">
        <f t="shared" si="111"/>
        <v>0</v>
      </c>
      <c r="AR74" s="43">
        <f t="shared" si="111"/>
        <v>0</v>
      </c>
      <c r="AS74" s="43">
        <f t="shared" si="111"/>
        <v>0</v>
      </c>
      <c r="AT74" s="43">
        <f t="shared" si="111"/>
        <v>0</v>
      </c>
      <c r="AU74" s="43">
        <f t="shared" si="111"/>
        <v>0</v>
      </c>
      <c r="AV74" s="43">
        <f t="shared" si="111"/>
        <v>0</v>
      </c>
      <c r="AW74" s="43">
        <f t="shared" si="111"/>
        <v>0</v>
      </c>
      <c r="AX74" s="43">
        <f t="shared" si="111"/>
        <v>0</v>
      </c>
      <c r="AY74" s="43">
        <f t="shared" si="111"/>
        <v>0</v>
      </c>
      <c r="AZ74" s="43">
        <f t="shared" si="111"/>
        <v>0</v>
      </c>
      <c r="BA74" s="44">
        <f t="shared" si="111"/>
        <v>0</v>
      </c>
      <c r="BB74" s="128">
        <f t="shared" si="123"/>
        <v>38777</v>
      </c>
      <c r="BC74" s="44">
        <f t="shared" si="124"/>
        <v>0</v>
      </c>
      <c r="BD74" s="51"/>
      <c r="BE74" s="128">
        <f t="shared" si="125"/>
        <v>38777</v>
      </c>
      <c r="BF74" s="43">
        <f t="shared" si="112"/>
        <v>0</v>
      </c>
      <c r="BG74" s="43">
        <f t="shared" si="112"/>
        <v>0</v>
      </c>
      <c r="BH74" s="43">
        <f t="shared" si="112"/>
        <v>0</v>
      </c>
      <c r="BI74" s="43">
        <f t="shared" si="112"/>
        <v>0</v>
      </c>
      <c r="BJ74" s="43">
        <f t="shared" si="112"/>
        <v>0</v>
      </c>
      <c r="BK74" s="43">
        <f t="shared" si="112"/>
        <v>0</v>
      </c>
      <c r="BL74" s="43">
        <f t="shared" si="112"/>
        <v>0</v>
      </c>
      <c r="BM74" s="43">
        <f t="shared" si="112"/>
        <v>0</v>
      </c>
      <c r="BN74" s="43">
        <f t="shared" si="112"/>
        <v>0</v>
      </c>
      <c r="BO74" s="43">
        <f t="shared" si="112"/>
        <v>0</v>
      </c>
      <c r="BP74" s="43">
        <f t="shared" si="112"/>
        <v>0</v>
      </c>
      <c r="BQ74" s="43">
        <f t="shared" si="112"/>
        <v>0</v>
      </c>
      <c r="BR74" s="44">
        <f t="shared" si="112"/>
        <v>0</v>
      </c>
      <c r="BS74" s="128">
        <f t="shared" si="126"/>
        <v>38777</v>
      </c>
      <c r="BT74" s="44">
        <f t="shared" si="127"/>
        <v>0</v>
      </c>
      <c r="BU74" s="51"/>
      <c r="BV74" s="51"/>
      <c r="BW74" s="51"/>
      <c r="BX74" s="51"/>
      <c r="BY74" s="51"/>
      <c r="BZ74" s="51"/>
      <c r="CA74" s="51"/>
      <c r="CB74" s="51"/>
      <c r="CC74" s="141">
        <f t="shared" si="94"/>
        <v>36800</v>
      </c>
      <c r="CD74" s="234">
        <f>_xll.xSPRDOPT((VLOOKUP(G74,NGPrices,2,FALSE)+HLOOKUP(D74,Prices,VLOOKUP(G74,move_down,2,FALSE),FALSE)),VLOOKUP(G74,NGPrices,2,FALSE),I74,VLOOKUP(G74,NGPREVPRICES,4,FALSE),HLOOKUP(D74,PREVVOLS,VLOOKUP(G74,MOVE_DOWN2,2,FALSE),FALSE),VLOOKUP(G74,NGPREVPRICES,3,FALSE),HLOOKUP(D74,Correllate,VLOOKUP(G74,CorMove,2,FALSE),FALSE),Q74-$CD$3,R74,$CD$5)*H74-CJ74</f>
        <v>0</v>
      </c>
      <c r="CE74" s="234">
        <f>_xll.xSPRDOPT((VLOOKUP(G74,NGPREVPRICES,2,FALSE)+HLOOKUP(D74,PREVCURVES,VLOOKUP(G74,MOVE_DOWN2,2,FALSE),FALSE)),VLOOKUP(G74,NGPREVPRICES,2,FALSE),CK74,VLOOKUP(G74,NGPrices,4,FALSE),HLOOKUP(D74,PREVVOLS,VLOOKUP(G74,MOVE_DOWN2,2,FALSE),FALSE),VLOOKUP(G74,NGPREVPRICES,3,FALSE),HLOOKUP(D74,Correllate,VLOOKUP(G74,CorMove,2,FALSE),FALSE),Q74-$CD$3,R74,$CJ$5)*H74-CJ74</f>
        <v>0</v>
      </c>
      <c r="CF74" s="10">
        <f t="shared" si="95"/>
        <v>0.68294271593367739</v>
      </c>
      <c r="CG74" s="234">
        <f>_xll.xSPRDOPT((VLOOKUP(G74,NGPREVPRICES,2,FALSE)+HLOOKUP(D74,PREVCURVES,VLOOKUP(G74,MOVE_DOWN2,2,FALSE),FALSE)),VLOOKUP(G74,NGPREVPRICES,2,FALSE),CK74,VLOOKUP(G74,NGPREVPRICES,4,FALSE),HLOOKUP(D74,VOLS,VLOOKUP(G74,move_down,2,FALSE),FALSE),VLOOKUP(G74,NGPrices,3,FALSE),HLOOKUP(D74,Correllate,VLOOKUP(G74,CorMove,2,FALSE),FALSE),Q74-$CD$3,R74,$CJ$5)*H74-CJ74</f>
        <v>0</v>
      </c>
      <c r="CH74" s="234">
        <f>_xll.xSPRDOPT((VLOOKUP(G74,NGPREVPRICES,2,FALSE)+HLOOKUP(D74,PREVCURVES,VLOOKUP(G74,MOVE_DOWN2,2,FALSE),FALSE)),VLOOKUP(G74,NGPREVPRICES,2,FALSE),CK74,VLOOKUP(G74,NGPREVPRICES,4,FALSE),HLOOKUP(D74,PREVVOLS,VLOOKUP(G74,MOVE_DOWN2,2,FALSE),FALSE),VLOOKUP(G74,NGPREVPRICES,3,FALSE),HLOOKUP(D74,Correllate,VLOOKUP(G74,CorMove,2,FALSE),FALSE),Q74-$C$3,R74,$CJ$5)*H74-CJ74</f>
        <v>187.01124669132059</v>
      </c>
      <c r="CI74" s="234">
        <f t="shared" si="96"/>
        <v>187.69418940725427</v>
      </c>
      <c r="CJ74" s="234">
        <f>_xll.xSPRDOPT((VLOOKUP(G74,NGPREVPRICES,2,FALSE)+HLOOKUP(D74,PREVCURVES,VLOOKUP(G74,MOVE_DOWN2,2,FALSE),FALSE)),VLOOKUP(G74,NGPREVPRICES,2,FALSE),CK74,VLOOKUP(G74,NGPREVPRICES,4,FALSE),HLOOKUP(D74,PREVVOLS,VLOOKUP(G74,MOVE_DOWN2,2,FALSE),FALSE),VLOOKUP(G74,NGPREVPRICES,3,FALSE),HLOOKUP(D74,Correllate,VLOOKUP(G74,CorMove,2,FALSE),FALSE),Q74-$CD$3,R74,$CJ$5)*H74</f>
        <v>-3704.4830828195095</v>
      </c>
      <c r="CK74" s="235">
        <f t="shared" si="97"/>
        <v>0.3</v>
      </c>
      <c r="CL74" s="234"/>
      <c r="CM74" t="str">
        <f t="shared" si="98"/>
        <v>36800Curve Shift/Gamma</v>
      </c>
      <c r="CN74" t="str">
        <f t="shared" si="107"/>
        <v>36800Rho</v>
      </c>
      <c r="CO74" t="str">
        <f t="shared" si="108"/>
        <v>36800Drift</v>
      </c>
      <c r="CP74" t="str">
        <f t="shared" si="109"/>
        <v>36800Vega</v>
      </c>
      <c r="CQ74" t="str">
        <f t="shared" si="110"/>
        <v>36800Theta</v>
      </c>
    </row>
    <row r="75" spans="1:95" ht="12" customHeight="1" x14ac:dyDescent="0.25">
      <c r="A75" s="382" t="s">
        <v>279</v>
      </c>
      <c r="B75" t="s">
        <v>250</v>
      </c>
      <c r="C75" t="s">
        <v>306</v>
      </c>
      <c r="D75" s="4" t="s">
        <v>7</v>
      </c>
      <c r="E75" t="s">
        <v>20</v>
      </c>
      <c r="F75" t="s">
        <v>1</v>
      </c>
      <c r="G75" s="5">
        <v>36770</v>
      </c>
      <c r="H75" s="130">
        <v>-250000</v>
      </c>
      <c r="I75">
        <v>0.3</v>
      </c>
      <c r="J75" s="53">
        <f t="shared" si="113"/>
        <v>4.6849999999999996</v>
      </c>
      <c r="K75" s="7">
        <f t="shared" si="114"/>
        <v>0.315</v>
      </c>
      <c r="L75" s="53">
        <f t="shared" si="115"/>
        <v>5</v>
      </c>
      <c r="M75" s="157">
        <f t="shared" si="101"/>
        <v>6.7216196212184998E-2</v>
      </c>
      <c r="N75" s="4">
        <f t="shared" si="102"/>
        <v>0.4</v>
      </c>
      <c r="O75" s="4">
        <f t="shared" si="103"/>
        <v>0.39200000000000002</v>
      </c>
      <c r="P75" s="9">
        <f t="shared" si="104"/>
        <v>0.99250000000000005</v>
      </c>
      <c r="Q75" s="5">
        <f t="shared" si="116"/>
        <v>36768</v>
      </c>
      <c r="R75" s="4">
        <f t="shared" si="105"/>
        <v>0</v>
      </c>
      <c r="S75" s="158">
        <f>_xll.xSPRDOPT($L75,$J75,$I75,$M75,$O75,$N75,$P75,$Q75-$C$3,$R75,0)</f>
        <v>7.9788269410402402E-4</v>
      </c>
      <c r="T75" s="159">
        <f>_xll.xSPRDOPT($L75,$J75,$I75,$M75,$O75,$N75,$P75,$Q75-$C$3,$R75,1)*H75</f>
        <v>30912.274369071678</v>
      </c>
      <c r="U75" s="160">
        <f t="shared" si="92"/>
        <v>-199.47067352600601</v>
      </c>
      <c r="V75" s="159">
        <f>_xll.xSPRDOPT($L75,$J75,$I75,$M75,$O75,$N75,$P75,$Q75-$C$3,$R75,2)*H75</f>
        <v>-31028.026191603971</v>
      </c>
      <c r="W75" s="159">
        <f t="shared" si="106"/>
        <v>-115.75182253229286</v>
      </c>
      <c r="X75" s="51" t="str">
        <f t="shared" si="117"/>
        <v>36770IF-TRANSCO/Z6</v>
      </c>
      <c r="Y75" s="418">
        <f t="shared" si="118"/>
        <v>-25</v>
      </c>
      <c r="Z75" s="456">
        <f t="shared" si="119"/>
        <v>-0.12364909747628672</v>
      </c>
      <c r="AA75" s="456">
        <f>_xll.xSPRDOPT($L75,$J75,$I75,$M75,$O75,$N75,$P75,$Q75-$C$3,$R75,3)</f>
        <v>15.702680426473698</v>
      </c>
      <c r="AB75" s="456">
        <f>((_xll.xSPRDOPT($L75+AB$5,$J75,$I75,$M75,$O75,$N75,$P75,$Q75-$C$3,$R75,3)*$H75)/10000)/100</f>
        <v>-3.9256701066184245</v>
      </c>
      <c r="AC75" s="456">
        <f>((_xll.xSPRDOPT($L75+$AB$5,$J75,$I75,$M75,$O75,$N75,$P75,$Q75-$C$3,$R75,7)*$H75)/100)</f>
        <v>395.8100359287514</v>
      </c>
      <c r="AD75" s="456">
        <f>(_xll.xSPRDOPT($L75+$AB$5,$J75,$I75,$M75,$O75,$N75,$P75,$Q75-$C$3,$R75,9)/365)*$H75</f>
        <v>332.40324850795622</v>
      </c>
      <c r="AE75">
        <f t="shared" si="120"/>
        <v>0</v>
      </c>
      <c r="AF75" s="456">
        <f t="shared" si="121"/>
        <v>-16.610896653613189</v>
      </c>
      <c r="AG75" s="456">
        <f>((_xll.xSPRDOPT($L75,$J75,$I75,$M75,$O75,$N75,$P75,$Q75-$C$3,$R75,6)*$H75)/100)</f>
        <v>33.514430456933923</v>
      </c>
      <c r="AH75" s="456">
        <f>((_xll.xSPRDOPT($L75,$J75,$I75,$M75,$O75,$N75,$P75,$Q75-$C$3,$R75,5)*$H75)/100)</f>
        <v>-51.148292969946034</v>
      </c>
      <c r="AI75" s="456">
        <f>(((_xll.xSPRDOPT($L75,$J75,$I75,$M75,$O75,$N75,$P75,$Q75-$C$3,$R75,4)*$H75)/10000)/100)-AB75</f>
        <v>-2.0622005142626687E-2</v>
      </c>
      <c r="AJ75" s="456"/>
      <c r="AK75" s="456"/>
      <c r="AL75" s="456"/>
      <c r="AM75" s="472"/>
      <c r="AN75" s="128">
        <f t="shared" si="122"/>
        <v>38808</v>
      </c>
      <c r="AO75" s="43">
        <f t="shared" si="111"/>
        <v>0</v>
      </c>
      <c r="AP75" s="43">
        <f t="shared" si="111"/>
        <v>0</v>
      </c>
      <c r="AQ75" s="43">
        <f t="shared" si="111"/>
        <v>0</v>
      </c>
      <c r="AR75" s="43">
        <f t="shared" si="111"/>
        <v>0</v>
      </c>
      <c r="AS75" s="43">
        <f t="shared" si="111"/>
        <v>0</v>
      </c>
      <c r="AT75" s="43">
        <f t="shared" si="111"/>
        <v>0</v>
      </c>
      <c r="AU75" s="43">
        <f t="shared" si="111"/>
        <v>0</v>
      </c>
      <c r="AV75" s="43">
        <f t="shared" si="111"/>
        <v>0</v>
      </c>
      <c r="AW75" s="43">
        <f t="shared" si="111"/>
        <v>0</v>
      </c>
      <c r="AX75" s="43">
        <f t="shared" si="111"/>
        <v>0</v>
      </c>
      <c r="AY75" s="43">
        <f t="shared" si="111"/>
        <v>0</v>
      </c>
      <c r="AZ75" s="43">
        <f t="shared" si="111"/>
        <v>0</v>
      </c>
      <c r="BA75" s="44">
        <f t="shared" si="111"/>
        <v>0</v>
      </c>
      <c r="BB75" s="128">
        <f t="shared" si="123"/>
        <v>38808</v>
      </c>
      <c r="BC75" s="44">
        <f t="shared" si="124"/>
        <v>0</v>
      </c>
      <c r="BD75" s="51"/>
      <c r="BE75" s="128">
        <f t="shared" si="125"/>
        <v>38808</v>
      </c>
      <c r="BF75" s="43">
        <f t="shared" si="112"/>
        <v>0</v>
      </c>
      <c r="BG75" s="43">
        <f t="shared" si="112"/>
        <v>0</v>
      </c>
      <c r="BH75" s="43">
        <f t="shared" si="112"/>
        <v>0</v>
      </c>
      <c r="BI75" s="43">
        <f t="shared" si="112"/>
        <v>0</v>
      </c>
      <c r="BJ75" s="43">
        <f t="shared" si="112"/>
        <v>0</v>
      </c>
      <c r="BK75" s="43">
        <f t="shared" si="112"/>
        <v>0</v>
      </c>
      <c r="BL75" s="43">
        <f t="shared" si="112"/>
        <v>0</v>
      </c>
      <c r="BM75" s="43">
        <f t="shared" si="112"/>
        <v>0</v>
      </c>
      <c r="BN75" s="43">
        <f t="shared" si="112"/>
        <v>0</v>
      </c>
      <c r="BO75" s="43">
        <f t="shared" si="112"/>
        <v>0</v>
      </c>
      <c r="BP75" s="43">
        <f t="shared" si="112"/>
        <v>0</v>
      </c>
      <c r="BQ75" s="43">
        <f t="shared" si="112"/>
        <v>0</v>
      </c>
      <c r="BR75" s="44">
        <f t="shared" si="112"/>
        <v>0</v>
      </c>
      <c r="BS75" s="128">
        <f t="shared" si="126"/>
        <v>38808</v>
      </c>
      <c r="BT75" s="44">
        <f t="shared" si="127"/>
        <v>0</v>
      </c>
      <c r="BU75" s="51"/>
      <c r="BV75" s="51"/>
      <c r="BW75" s="51"/>
      <c r="BX75" s="51"/>
      <c r="BY75" s="51"/>
      <c r="BZ75" s="51"/>
      <c r="CA75" s="51"/>
      <c r="CB75" s="51"/>
      <c r="CC75" s="141">
        <f t="shared" si="94"/>
        <v>36770</v>
      </c>
      <c r="CD75" s="234">
        <f>_xll.xSPRDOPT((VLOOKUP(G75,NGPrices,2,FALSE)+HLOOKUP(D75,Prices,VLOOKUP(G75,move_down,2,FALSE),FALSE)),VLOOKUP(G75,NGPrices,2,FALSE),I75,VLOOKUP(G75,NGPREVPRICES,4,FALSE),HLOOKUP(D75,PREVVOLS,VLOOKUP(G75,MOVE_DOWN2,2,FALSE),FALSE),VLOOKUP(G75,NGPREVPRICES,3,FALSE),HLOOKUP(D75,Correllate,VLOOKUP(G75,CorMove,2,FALSE),FALSE),Q75-$CD$3,R75,$CD$5)*H75-CJ75</f>
        <v>0</v>
      </c>
      <c r="CE75" s="234">
        <f>_xll.xSPRDOPT((VLOOKUP(G75,NGPREVPRICES,2,FALSE)+HLOOKUP(D75,PREVCURVES,VLOOKUP(G75,MOVE_DOWN2,2,FALSE),FALSE)),VLOOKUP(G75,NGPREVPRICES,2,FALSE),CK75,VLOOKUP(G75,NGPrices,4,FALSE),HLOOKUP(D75,PREVVOLS,VLOOKUP(G75,MOVE_DOWN2,2,FALSE),FALSE),VLOOKUP(G75,NGPREVPRICES,3,FALSE),HLOOKUP(D75,Correllate,VLOOKUP(G75,CorMove,2,FALSE),FALSE),Q75-$CD$3,R75,$CJ$5)*H75-CJ75</f>
        <v>0</v>
      </c>
      <c r="CF75" s="10">
        <f t="shared" ref="CF75:CF83" si="128">(CJ75/VLOOKUP(CC75,discount,3,FALSE))-(CJ75/VLOOKUP(CC75,discount,2,FALSE))</f>
        <v>9.7580869007856563E-2</v>
      </c>
      <c r="CG75" s="234">
        <f>_xll.xSPRDOPT((VLOOKUP(G75,NGPREVPRICES,2,FALSE)+HLOOKUP(D75,PREVCURVES,VLOOKUP(G75,MOVE_DOWN2,2,FALSE),FALSE)),VLOOKUP(G75,NGPREVPRICES,2,FALSE),CK75,VLOOKUP(G75,NGPREVPRICES,4,FALSE),HLOOKUP(D75,VOLS,VLOOKUP(G75,move_down,2,FALSE),FALSE),VLOOKUP(G75,NGPrices,3,FALSE),HLOOKUP(D75,Correllate,VLOOKUP(G75,CorMove,2,FALSE),FALSE),Q75-$CD$3,R75,$CJ$5)*H75-CJ75</f>
        <v>0</v>
      </c>
      <c r="CH75" s="234">
        <f>_xll.xSPRDOPT((VLOOKUP(G75,NGPREVPRICES,2,FALSE)+HLOOKUP(D75,PREVCURVES,VLOOKUP(G75,MOVE_DOWN2,2,FALSE),FALSE)),VLOOKUP(G75,NGPREVPRICES,2,FALSE),CK75,VLOOKUP(G75,NGPREVPRICES,4,FALSE),HLOOKUP(D75,PREVVOLS,VLOOKUP(G75,MOVE_DOWN2,2,FALSE),FALSE),VLOOKUP(G75,NGPREVPRICES,3,FALSE),HLOOKUP(D75,Correllate,VLOOKUP(G75,CorMove,2,FALSE),FALSE),Q75-$C$3,R75,$CJ$5)*H75-CJ75</f>
        <v>336.02376402271096</v>
      </c>
      <c r="CI75" s="234">
        <f t="shared" ref="CI75:CI83" si="129">SUM(CD75:CH75)</f>
        <v>336.12134489171882</v>
      </c>
      <c r="CJ75" s="234">
        <f>_xll.xSPRDOPT((VLOOKUP(G75,NGPREVPRICES,2,FALSE)+HLOOKUP(D75,PREVCURVES,VLOOKUP(G75,MOVE_DOWN2,2,FALSE),FALSE)),VLOOKUP(G75,NGPREVPRICES,2,FALSE),CK75,VLOOKUP(G75,NGPREVPRICES,4,FALSE),HLOOKUP(D75,PREVVOLS,VLOOKUP(G75,MOVE_DOWN2,2,FALSE),FALSE),VLOOKUP(G75,NGPREVPRICES,3,FALSE),HLOOKUP(D75,Correllate,VLOOKUP(G75,CorMove,2,FALSE),FALSE),Q75-$CD$3,R75,$CJ$5)*H75</f>
        <v>-535.49443754871697</v>
      </c>
      <c r="CK75" s="235">
        <f t="shared" si="97"/>
        <v>0.3</v>
      </c>
      <c r="CL75" s="234"/>
      <c r="CM75" t="str">
        <f t="shared" ref="CM75:CM83" si="130">CONCATENATE(CC75,$CD$6)</f>
        <v>36770Curve Shift/Gamma</v>
      </c>
      <c r="CN75" t="str">
        <f t="shared" si="107"/>
        <v>36770Rho</v>
      </c>
      <c r="CO75" t="str">
        <f t="shared" si="108"/>
        <v>36770Drift</v>
      </c>
      <c r="CP75" t="str">
        <f t="shared" si="109"/>
        <v>36770Vega</v>
      </c>
      <c r="CQ75" t="str">
        <f t="shared" si="110"/>
        <v>36770Theta</v>
      </c>
    </row>
    <row r="76" spans="1:95" ht="12" customHeight="1" x14ac:dyDescent="0.25">
      <c r="A76" s="382" t="s">
        <v>279</v>
      </c>
      <c r="B76" t="s">
        <v>250</v>
      </c>
      <c r="C76" t="s">
        <v>306</v>
      </c>
      <c r="D76" s="4" t="s">
        <v>7</v>
      </c>
      <c r="E76" t="s">
        <v>20</v>
      </c>
      <c r="F76" t="s">
        <v>1</v>
      </c>
      <c r="G76" s="5">
        <v>36770</v>
      </c>
      <c r="H76" s="130">
        <v>-500000</v>
      </c>
      <c r="I76">
        <v>0.3</v>
      </c>
      <c r="J76" s="53">
        <f t="shared" si="113"/>
        <v>4.6849999999999996</v>
      </c>
      <c r="K76" s="7">
        <f t="shared" si="114"/>
        <v>0.315</v>
      </c>
      <c r="L76" s="53">
        <f t="shared" si="115"/>
        <v>5</v>
      </c>
      <c r="M76" s="157">
        <f t="shared" si="101"/>
        <v>6.7216196212184998E-2</v>
      </c>
      <c r="N76" s="4">
        <f t="shared" si="102"/>
        <v>0.4</v>
      </c>
      <c r="O76" s="4">
        <f t="shared" si="103"/>
        <v>0.39200000000000002</v>
      </c>
      <c r="P76" s="9">
        <f t="shared" si="104"/>
        <v>0.99250000000000005</v>
      </c>
      <c r="Q76" s="5">
        <f t="shared" si="116"/>
        <v>36768</v>
      </c>
      <c r="R76" s="4">
        <f t="shared" si="105"/>
        <v>0</v>
      </c>
      <c r="S76" s="158">
        <f>_xll.xSPRDOPT($L76,$J76,$I76,$M76,$O76,$N76,$P76,$Q76-$C$3,$R76,0)</f>
        <v>7.9788269410402402E-4</v>
      </c>
      <c r="T76" s="159">
        <f>_xll.xSPRDOPT($L76,$J76,$I76,$M76,$O76,$N76,$P76,$Q76-$C$3,$R76,1)*H76</f>
        <v>61824.548738143356</v>
      </c>
      <c r="U76" s="160">
        <f t="shared" si="92"/>
        <v>-398.94134705201202</v>
      </c>
      <c r="V76" s="159">
        <f>_xll.xSPRDOPT($L76,$J76,$I76,$M76,$O76,$N76,$P76,$Q76-$C$3,$R76,2)*H76</f>
        <v>-62056.052383207942</v>
      </c>
      <c r="W76" s="159">
        <f t="shared" si="106"/>
        <v>-231.50364506458573</v>
      </c>
      <c r="X76" s="51" t="str">
        <f t="shared" si="117"/>
        <v>36770IF-TRANSCO/Z6</v>
      </c>
      <c r="Y76" s="418">
        <f t="shared" si="118"/>
        <v>-50</v>
      </c>
      <c r="Z76" s="456">
        <f t="shared" si="119"/>
        <v>-0.12364909747628672</v>
      </c>
      <c r="AA76" s="456">
        <f>_xll.xSPRDOPT($L76,$J76,$I76,$M76,$O76,$N76,$P76,$Q76-$C$3,$R76,3)</f>
        <v>15.702680426473698</v>
      </c>
      <c r="AB76" s="456">
        <f>((_xll.xSPRDOPT($L76+AB$5,$J76,$I76,$M76,$O76,$N76,$P76,$Q76-$C$3,$R76,3)*$H76)/10000)/100</f>
        <v>-7.8513402132368491</v>
      </c>
      <c r="AC76" s="456">
        <f>((_xll.xSPRDOPT($L76+$AB$5,$J76,$I76,$M76,$O76,$N76,$P76,$Q76-$C$3,$R76,7)*$H76)/100)</f>
        <v>791.62007185750281</v>
      </c>
      <c r="AD76" s="456">
        <f>(_xll.xSPRDOPT($L76+$AB$5,$J76,$I76,$M76,$O76,$N76,$P76,$Q76-$C$3,$R76,9)/365)*$H76</f>
        <v>664.80649701591244</v>
      </c>
      <c r="AE76">
        <f t="shared" si="120"/>
        <v>0</v>
      </c>
      <c r="AF76" s="456">
        <f t="shared" si="121"/>
        <v>-33.221793307226378</v>
      </c>
      <c r="AG76" s="456">
        <f>((_xll.xSPRDOPT($L76,$J76,$I76,$M76,$O76,$N76,$P76,$Q76-$C$3,$R76,6)*$H76)/100)</f>
        <v>67.028860913867845</v>
      </c>
      <c r="AH76" s="456">
        <f>((_xll.xSPRDOPT($L76,$J76,$I76,$M76,$O76,$N76,$P76,$Q76-$C$3,$R76,5)*$H76)/100)</f>
        <v>-102.29658593989207</v>
      </c>
      <c r="AI76" s="456">
        <f>(((_xll.xSPRDOPT($L76,$J76,$I76,$M76,$O76,$N76,$P76,$Q76-$C$3,$R76,4)*$H76)/10000)/100)-AB76</f>
        <v>-4.1244010285253374E-2</v>
      </c>
      <c r="AJ76" s="456"/>
      <c r="AK76" s="456"/>
      <c r="AL76" s="456"/>
      <c r="AM76" s="472"/>
      <c r="AN76" s="128">
        <f t="shared" si="122"/>
        <v>38838</v>
      </c>
      <c r="AO76" s="43">
        <f t="shared" si="111"/>
        <v>0</v>
      </c>
      <c r="AP76" s="43">
        <f t="shared" si="111"/>
        <v>0</v>
      </c>
      <c r="AQ76" s="43">
        <f t="shared" si="111"/>
        <v>0</v>
      </c>
      <c r="AR76" s="43">
        <f t="shared" si="111"/>
        <v>0</v>
      </c>
      <c r="AS76" s="43">
        <f t="shared" si="111"/>
        <v>0</v>
      </c>
      <c r="AT76" s="43">
        <f t="shared" si="111"/>
        <v>0</v>
      </c>
      <c r="AU76" s="43">
        <f t="shared" si="111"/>
        <v>0</v>
      </c>
      <c r="AV76" s="43">
        <f t="shared" si="111"/>
        <v>0</v>
      </c>
      <c r="AW76" s="43">
        <f t="shared" si="111"/>
        <v>0</v>
      </c>
      <c r="AX76" s="43">
        <f t="shared" si="111"/>
        <v>0</v>
      </c>
      <c r="AY76" s="43">
        <f t="shared" si="111"/>
        <v>0</v>
      </c>
      <c r="AZ76" s="43">
        <f t="shared" si="111"/>
        <v>0</v>
      </c>
      <c r="BA76" s="44">
        <f t="shared" si="111"/>
        <v>0</v>
      </c>
      <c r="BB76" s="128">
        <f t="shared" si="123"/>
        <v>38838</v>
      </c>
      <c r="BC76" s="44">
        <f t="shared" si="124"/>
        <v>0</v>
      </c>
      <c r="BD76" s="51"/>
      <c r="BE76" s="128">
        <f t="shared" si="125"/>
        <v>38838</v>
      </c>
      <c r="BF76" s="43">
        <f t="shared" si="112"/>
        <v>0</v>
      </c>
      <c r="BG76" s="43">
        <f t="shared" si="112"/>
        <v>0</v>
      </c>
      <c r="BH76" s="43">
        <f t="shared" si="112"/>
        <v>0</v>
      </c>
      <c r="BI76" s="43">
        <f t="shared" si="112"/>
        <v>0</v>
      </c>
      <c r="BJ76" s="43">
        <f t="shared" si="112"/>
        <v>0</v>
      </c>
      <c r="BK76" s="43">
        <f t="shared" si="112"/>
        <v>0</v>
      </c>
      <c r="BL76" s="43">
        <f t="shared" si="112"/>
        <v>0</v>
      </c>
      <c r="BM76" s="43">
        <f t="shared" si="112"/>
        <v>0</v>
      </c>
      <c r="BN76" s="43">
        <f t="shared" si="112"/>
        <v>0</v>
      </c>
      <c r="BO76" s="43">
        <f t="shared" si="112"/>
        <v>0</v>
      </c>
      <c r="BP76" s="43">
        <f t="shared" si="112"/>
        <v>0</v>
      </c>
      <c r="BQ76" s="43">
        <f t="shared" si="112"/>
        <v>0</v>
      </c>
      <c r="BR76" s="44">
        <f t="shared" si="112"/>
        <v>0</v>
      </c>
      <c r="BS76" s="128">
        <f t="shared" si="126"/>
        <v>38838</v>
      </c>
      <c r="BT76" s="44">
        <f t="shared" si="127"/>
        <v>0</v>
      </c>
      <c r="BU76" s="51"/>
      <c r="BV76" s="51"/>
      <c r="BW76" s="51"/>
      <c r="BX76" s="51"/>
      <c r="BY76" s="51"/>
      <c r="BZ76" s="51"/>
      <c r="CA76" s="51"/>
      <c r="CB76" s="51"/>
      <c r="CC76" s="141">
        <f t="shared" si="94"/>
        <v>36770</v>
      </c>
      <c r="CD76" s="234">
        <f>_xll.xSPRDOPT((VLOOKUP(G76,NGPrices,2,FALSE)+HLOOKUP(D76,Prices,VLOOKUP(G76,move_down,2,FALSE),FALSE)),VLOOKUP(G76,NGPrices,2,FALSE),I76,VLOOKUP(G76,NGPREVPRICES,4,FALSE),HLOOKUP(D76,PREVVOLS,VLOOKUP(G76,MOVE_DOWN2,2,FALSE),FALSE),VLOOKUP(G76,NGPREVPRICES,3,FALSE),HLOOKUP(D76,Correllate,VLOOKUP(G76,CorMove,2,FALSE),FALSE),Q76-$CD$3,R76,$CD$5)*H76-CJ76</f>
        <v>0</v>
      </c>
      <c r="CE76" s="234">
        <f>_xll.xSPRDOPT((VLOOKUP(G76,NGPREVPRICES,2,FALSE)+HLOOKUP(D76,PREVCURVES,VLOOKUP(G76,MOVE_DOWN2,2,FALSE),FALSE)),VLOOKUP(G76,NGPREVPRICES,2,FALSE),CK76,VLOOKUP(G76,NGPrices,4,FALSE),HLOOKUP(D76,PREVVOLS,VLOOKUP(G76,MOVE_DOWN2,2,FALSE),FALSE),VLOOKUP(G76,NGPREVPRICES,3,FALSE),HLOOKUP(D76,Correllate,VLOOKUP(G76,CorMove,2,FALSE),FALSE),Q76-$CD$3,R76,$CJ$5)*H76-CJ76</f>
        <v>0</v>
      </c>
      <c r="CF76" s="10">
        <f t="shared" si="128"/>
        <v>0.19516173801571313</v>
      </c>
      <c r="CG76" s="234">
        <f>_xll.xSPRDOPT((VLOOKUP(G76,NGPREVPRICES,2,FALSE)+HLOOKUP(D76,PREVCURVES,VLOOKUP(G76,MOVE_DOWN2,2,FALSE),FALSE)),VLOOKUP(G76,NGPREVPRICES,2,FALSE),CK76,VLOOKUP(G76,NGPREVPRICES,4,FALSE),HLOOKUP(D76,VOLS,VLOOKUP(G76,move_down,2,FALSE),FALSE),VLOOKUP(G76,NGPrices,3,FALSE),HLOOKUP(D76,Correllate,VLOOKUP(G76,CorMove,2,FALSE),FALSE),Q76-$CD$3,R76,$CJ$5)*H76-CJ76</f>
        <v>0</v>
      </c>
      <c r="CH76" s="234">
        <f>_xll.xSPRDOPT((VLOOKUP(G76,NGPREVPRICES,2,FALSE)+HLOOKUP(D76,PREVCURVES,VLOOKUP(G76,MOVE_DOWN2,2,FALSE),FALSE)),VLOOKUP(G76,NGPREVPRICES,2,FALSE),CK76,VLOOKUP(G76,NGPREVPRICES,4,FALSE),HLOOKUP(D76,PREVVOLS,VLOOKUP(G76,MOVE_DOWN2,2,FALSE),FALSE),VLOOKUP(G76,NGPREVPRICES,3,FALSE),HLOOKUP(D76,Correllate,VLOOKUP(G76,CorMove,2,FALSE),FALSE),Q76-$C$3,R76,$CJ$5)*H76-CJ76</f>
        <v>672.04752804542193</v>
      </c>
      <c r="CI76" s="234">
        <f t="shared" si="129"/>
        <v>672.24268978343764</v>
      </c>
      <c r="CJ76" s="234">
        <f>_xll.xSPRDOPT((VLOOKUP(G76,NGPREVPRICES,2,FALSE)+HLOOKUP(D76,PREVCURVES,VLOOKUP(G76,MOVE_DOWN2,2,FALSE),FALSE)),VLOOKUP(G76,NGPREVPRICES,2,FALSE),CK76,VLOOKUP(G76,NGPREVPRICES,4,FALSE),HLOOKUP(D76,PREVVOLS,VLOOKUP(G76,MOVE_DOWN2,2,FALSE),FALSE),VLOOKUP(G76,NGPREVPRICES,3,FALSE),HLOOKUP(D76,Correllate,VLOOKUP(G76,CorMove,2,FALSE),FALSE),Q76-$CD$3,R76,$CJ$5)*H76</f>
        <v>-1070.9888750974339</v>
      </c>
      <c r="CK76" s="235">
        <f t="shared" si="97"/>
        <v>0.3</v>
      </c>
      <c r="CL76" s="234"/>
      <c r="CM76" t="str">
        <f t="shared" si="130"/>
        <v>36770Curve Shift/Gamma</v>
      </c>
      <c r="CN76" t="str">
        <f t="shared" si="107"/>
        <v>36770Rho</v>
      </c>
      <c r="CO76" t="str">
        <f t="shared" si="108"/>
        <v>36770Drift</v>
      </c>
      <c r="CP76" t="str">
        <f t="shared" si="109"/>
        <v>36770Vega</v>
      </c>
      <c r="CQ76" t="str">
        <f t="shared" si="110"/>
        <v>36770Theta</v>
      </c>
    </row>
    <row r="77" spans="1:95" ht="12" customHeight="1" x14ac:dyDescent="0.25">
      <c r="A77" s="382" t="s">
        <v>279</v>
      </c>
      <c r="B77" t="s">
        <v>250</v>
      </c>
      <c r="C77" t="s">
        <v>307</v>
      </c>
      <c r="D77" s="4" t="s">
        <v>9</v>
      </c>
      <c r="E77" t="s">
        <v>20</v>
      </c>
      <c r="F77" t="s">
        <v>21</v>
      </c>
      <c r="G77" s="5">
        <v>36800</v>
      </c>
      <c r="H77" s="130">
        <v>-1000000</v>
      </c>
      <c r="I77">
        <v>-0.25</v>
      </c>
      <c r="J77" s="53">
        <f t="shared" si="113"/>
        <v>4.6920000000000002</v>
      </c>
      <c r="K77" s="7">
        <f t="shared" si="114"/>
        <v>-0.80500000000000005</v>
      </c>
      <c r="L77" s="53">
        <f t="shared" si="115"/>
        <v>3.887</v>
      </c>
      <c r="M77" s="157">
        <f t="shared" si="101"/>
        <v>6.8050789414654006E-2</v>
      </c>
      <c r="N77" s="4">
        <f t="shared" si="102"/>
        <v>0.57499999999999996</v>
      </c>
      <c r="O77" s="4">
        <f t="shared" si="103"/>
        <v>0.55200000000000005</v>
      </c>
      <c r="P77" s="9">
        <f t="shared" si="104"/>
        <v>0.84</v>
      </c>
      <c r="Q77" s="5">
        <f t="shared" si="116"/>
        <v>36797</v>
      </c>
      <c r="R77" s="4">
        <f t="shared" si="105"/>
        <v>1</v>
      </c>
      <c r="S77" s="158">
        <f>_xll.xSPRDOPT($L77,$J77,$I77,$M77,$O77,$N77,$P77,$Q77-$C$3,$R77,0)</f>
        <v>1.449643071477566E-2</v>
      </c>
      <c r="T77" s="159">
        <f>_xll.xSPRDOPT($L77,$J77,$I77,$M77,$O77,$N77,$P77,$Q77-$C$3,$R77,1)*H77</f>
        <v>-87605.664712146812</v>
      </c>
      <c r="U77" s="160">
        <f t="shared" si="92"/>
        <v>-14496.430714775661</v>
      </c>
      <c r="V77" s="159">
        <f>_xll.xSPRDOPT($L77,$J77,$I77,$M77,$O77,$N77,$P77,$Q77-$C$3,$R77,2)*H77</f>
        <v>74001.670248188151</v>
      </c>
      <c r="W77" s="159">
        <f t="shared" si="106"/>
        <v>-13603.994463958661</v>
      </c>
      <c r="X77" s="51" t="str">
        <f t="shared" si="117"/>
        <v>36800IF-NWPL_ROCKY_M</v>
      </c>
      <c r="Y77" s="418">
        <f t="shared" si="118"/>
        <v>-100</v>
      </c>
      <c r="Z77" s="456">
        <f t="shared" si="119"/>
        <v>8.7605664712146813E-2</v>
      </c>
      <c r="AA77" s="456">
        <f>_xll.xSPRDOPT($L77,$J77,$I77,$M77,$O77,$N77,$P77,$Q77-$C$3,$R77,3)</f>
        <v>0.42740575219629329</v>
      </c>
      <c r="AB77" s="456">
        <f>((_xll.xSPRDOPT($L77+AB$5,$J77,$I77,$M77,$O77,$N77,$P77,$Q77-$C$3,$R77,3)*$H77)/10000)/100</f>
        <v>-0.42740575219629329</v>
      </c>
      <c r="AC77" s="456">
        <f>((_xll.xSPRDOPT($L77+$AB$5,$J77,$I77,$M77,$O77,$N77,$P77,$Q77-$C$3,$R77,7)*$H77)/100)</f>
        <v>1788.9606814956674</v>
      </c>
      <c r="AD77" s="456">
        <f>(_xll.xSPRDOPT($L77+$AB$5,$J77,$I77,$M77,$O77,$N77,$P77,$Q77-$C$3,$R77,9)/365)*$H77</f>
        <v>983.18610534307334</v>
      </c>
      <c r="AE77">
        <f t="shared" si="120"/>
        <v>0</v>
      </c>
      <c r="AF77" s="456">
        <f t="shared" si="121"/>
        <v>-1028.0494479422032</v>
      </c>
      <c r="AG77" s="456">
        <f>((_xll.xSPRDOPT($L77,$J77,$I77,$M77,$O77,$N77,$P77,$Q77-$C$3,$R77,6)*$H77)/100)</f>
        <v>-830.84350048565534</v>
      </c>
      <c r="AH77" s="456">
        <f>((_xll.xSPRDOPT($L77,$J77,$I77,$M77,$O77,$N77,$P77,$Q77-$C$3,$R77,5)*$H77)/100)</f>
        <v>-205.42286193390407</v>
      </c>
      <c r="AI77" s="456">
        <f>(((_xll.xSPRDOPT($L77,$J77,$I77,$M77,$O77,$N77,$P77,$Q77-$C$3,$R77,4)*$H77)/10000)/100)-AB77</f>
        <v>9.6130895684053808E-2</v>
      </c>
      <c r="AJ77" s="456"/>
      <c r="AK77" s="456"/>
      <c r="AL77" s="456"/>
      <c r="AM77" s="472"/>
      <c r="AN77" s="128">
        <f t="shared" si="122"/>
        <v>38869</v>
      </c>
      <c r="AO77" s="43">
        <f t="shared" ref="AO77:BA86" si="131">SUMIF($X:$X,CONCATENATE($AN77,AO$6),$T:$T)/10000</f>
        <v>0</v>
      </c>
      <c r="AP77" s="43">
        <f t="shared" si="131"/>
        <v>0</v>
      </c>
      <c r="AQ77" s="43">
        <f t="shared" si="131"/>
        <v>0</v>
      </c>
      <c r="AR77" s="43">
        <f t="shared" si="131"/>
        <v>0</v>
      </c>
      <c r="AS77" s="43">
        <f t="shared" si="131"/>
        <v>0</v>
      </c>
      <c r="AT77" s="43">
        <f t="shared" si="131"/>
        <v>0</v>
      </c>
      <c r="AU77" s="43">
        <f t="shared" si="131"/>
        <v>0</v>
      </c>
      <c r="AV77" s="43">
        <f t="shared" si="131"/>
        <v>0</v>
      </c>
      <c r="AW77" s="43">
        <f t="shared" si="131"/>
        <v>0</v>
      </c>
      <c r="AX77" s="43">
        <f t="shared" si="131"/>
        <v>0</v>
      </c>
      <c r="AY77" s="43">
        <f t="shared" si="131"/>
        <v>0</v>
      </c>
      <c r="AZ77" s="43">
        <f t="shared" si="131"/>
        <v>0</v>
      </c>
      <c r="BA77" s="44">
        <f t="shared" si="131"/>
        <v>0</v>
      </c>
      <c r="BB77" s="128">
        <f t="shared" si="123"/>
        <v>38869</v>
      </c>
      <c r="BC77" s="44">
        <f t="shared" si="124"/>
        <v>0</v>
      </c>
      <c r="BD77" s="51"/>
      <c r="BE77" s="128">
        <f t="shared" si="125"/>
        <v>38869</v>
      </c>
      <c r="BF77" s="43">
        <f t="shared" ref="BF77:BR86" si="132">SUMIF($X:$X,CONCATENATE($AN77,BF$6),$W:$W)</f>
        <v>0</v>
      </c>
      <c r="BG77" s="43">
        <f t="shared" si="132"/>
        <v>0</v>
      </c>
      <c r="BH77" s="43">
        <f t="shared" si="132"/>
        <v>0</v>
      </c>
      <c r="BI77" s="43">
        <f t="shared" si="132"/>
        <v>0</v>
      </c>
      <c r="BJ77" s="43">
        <f t="shared" si="132"/>
        <v>0</v>
      </c>
      <c r="BK77" s="43">
        <f t="shared" si="132"/>
        <v>0</v>
      </c>
      <c r="BL77" s="43">
        <f t="shared" si="132"/>
        <v>0</v>
      </c>
      <c r="BM77" s="43">
        <f t="shared" si="132"/>
        <v>0</v>
      </c>
      <c r="BN77" s="43">
        <f t="shared" si="132"/>
        <v>0</v>
      </c>
      <c r="BO77" s="43">
        <f t="shared" si="132"/>
        <v>0</v>
      </c>
      <c r="BP77" s="43">
        <f t="shared" si="132"/>
        <v>0</v>
      </c>
      <c r="BQ77" s="43">
        <f t="shared" si="132"/>
        <v>0</v>
      </c>
      <c r="BR77" s="44">
        <f t="shared" si="132"/>
        <v>0</v>
      </c>
      <c r="BS77" s="128">
        <f t="shared" si="126"/>
        <v>38869</v>
      </c>
      <c r="BT77" s="44">
        <f t="shared" si="127"/>
        <v>0</v>
      </c>
      <c r="BU77" s="51"/>
      <c r="BV77" s="51"/>
      <c r="BW77" s="51"/>
      <c r="BX77" s="51"/>
      <c r="BY77" s="51"/>
      <c r="BZ77" s="51"/>
      <c r="CA77" s="51"/>
      <c r="CB77" s="51"/>
      <c r="CC77" s="141">
        <f t="shared" si="94"/>
        <v>36800</v>
      </c>
      <c r="CD77" s="234">
        <f>_xll.xSPRDOPT((VLOOKUP(G77,NGPrices,2,FALSE)+HLOOKUP(D77,Prices,VLOOKUP(G77,move_down,2,FALSE),FALSE)),VLOOKUP(G77,NGPrices,2,FALSE),I77,VLOOKUP(G77,NGPREVPRICES,4,FALSE),HLOOKUP(D77,PREVVOLS,VLOOKUP(G77,MOVE_DOWN2,2,FALSE),FALSE),VLOOKUP(G77,NGPREVPRICES,3,FALSE),HLOOKUP(D77,Correllate,VLOOKUP(G77,CorMove,2,FALSE),FALSE),Q77-$CD$3,R77,$CD$5)*H77-CJ77</f>
        <v>0</v>
      </c>
      <c r="CE77" s="234">
        <f>_xll.xSPRDOPT((VLOOKUP(G77,NGPREVPRICES,2,FALSE)+HLOOKUP(D77,PREVCURVES,VLOOKUP(G77,MOVE_DOWN2,2,FALSE),FALSE)),VLOOKUP(G77,NGPREVPRICES,2,FALSE),CK77,VLOOKUP(G77,NGPrices,4,FALSE),HLOOKUP(D77,PREVVOLS,VLOOKUP(G77,MOVE_DOWN2,2,FALSE),FALSE),VLOOKUP(G77,NGPREVPRICES,3,FALSE),HLOOKUP(D77,Correllate,VLOOKUP(G77,CorMove,2,FALSE),FALSE),Q77-$CD$3,R77,$CJ$5)*H77-CJ77</f>
        <v>0</v>
      </c>
      <c r="CF77" s="10">
        <f t="shared" si="128"/>
        <v>2.8550022342969896</v>
      </c>
      <c r="CG77" s="234">
        <f>_xll.xSPRDOPT((VLOOKUP(G77,NGPREVPRICES,2,FALSE)+HLOOKUP(D77,PREVCURVES,VLOOKUP(G77,MOVE_DOWN2,2,FALSE),FALSE)),VLOOKUP(G77,NGPREVPRICES,2,FALSE),CK77,VLOOKUP(G77,NGPREVPRICES,4,FALSE),HLOOKUP(D77,VOLS,VLOOKUP(G77,move_down,2,FALSE),FALSE),VLOOKUP(G77,NGPrices,3,FALSE),HLOOKUP(D77,Correllate,VLOOKUP(G77,CorMove,2,FALSE),FALSE),Q77-$CD$3,R77,$CJ$5)*H77-CJ77</f>
        <v>0</v>
      </c>
      <c r="CH77" s="234">
        <f>_xll.xSPRDOPT((VLOOKUP(G77,NGPREVPRICES,2,FALSE)+HLOOKUP(D77,PREVCURVES,VLOOKUP(G77,MOVE_DOWN2,2,FALSE),FALSE)),VLOOKUP(G77,NGPREVPRICES,2,FALSE),CK77,VLOOKUP(G77,NGPREVPRICES,4,FALSE),HLOOKUP(D77,PREVVOLS,VLOOKUP(G77,MOVE_DOWN2,2,FALSE),FALSE),VLOOKUP(G77,NGPREVPRICES,3,FALSE),HLOOKUP(D77,Correllate,VLOOKUP(G77,CorMove,2,FALSE),FALSE),Q77-$C$3,R77,$CJ$5)*H77-CJ77</f>
        <v>989.94498205509626</v>
      </c>
      <c r="CI77" s="234">
        <f t="shared" si="129"/>
        <v>992.79998428939325</v>
      </c>
      <c r="CJ77" s="234">
        <f>_xll.xSPRDOPT((VLOOKUP(G77,NGPREVPRICES,2,FALSE)+HLOOKUP(D77,PREVCURVES,VLOOKUP(G77,MOVE_DOWN2,2,FALSE),FALSE)),VLOOKUP(G77,NGPREVPRICES,2,FALSE),CK77,VLOOKUP(G77,NGPREVPRICES,4,FALSE),HLOOKUP(D77,PREVVOLS,VLOOKUP(G77,MOVE_DOWN2,2,FALSE),FALSE),VLOOKUP(G77,NGPREVPRICES,3,FALSE),HLOOKUP(D77,Correllate,VLOOKUP(G77,CorMove,2,FALSE),FALSE),Q77-$CD$3,R77,$CJ$5)*H77</f>
        <v>-15486.375696830757</v>
      </c>
      <c r="CK77" s="235">
        <f t="shared" si="97"/>
        <v>-0.25</v>
      </c>
      <c r="CL77" s="234"/>
      <c r="CM77" t="str">
        <f t="shared" si="130"/>
        <v>36800Curve Shift/Gamma</v>
      </c>
      <c r="CN77" t="str">
        <f t="shared" si="107"/>
        <v>36800Rho</v>
      </c>
      <c r="CO77" t="str">
        <f t="shared" si="108"/>
        <v>36800Drift</v>
      </c>
      <c r="CP77" t="str">
        <f t="shared" si="109"/>
        <v>36800Vega</v>
      </c>
      <c r="CQ77" t="str">
        <f t="shared" si="110"/>
        <v>36800Theta</v>
      </c>
    </row>
    <row r="78" spans="1:95" ht="12" customHeight="1" x14ac:dyDescent="0.25">
      <c r="A78" s="382" t="s">
        <v>279</v>
      </c>
      <c r="B78" t="s">
        <v>250</v>
      </c>
      <c r="C78" t="s">
        <v>307</v>
      </c>
      <c r="D78" s="4" t="s">
        <v>9</v>
      </c>
      <c r="E78" t="s">
        <v>20</v>
      </c>
      <c r="F78" t="s">
        <v>21</v>
      </c>
      <c r="G78" s="5">
        <v>36770</v>
      </c>
      <c r="H78" s="130">
        <v>-1000000</v>
      </c>
      <c r="I78">
        <v>-0.25</v>
      </c>
      <c r="J78" s="53">
        <f t="shared" si="113"/>
        <v>4.6849999999999996</v>
      </c>
      <c r="K78" s="7">
        <f t="shared" si="114"/>
        <v>-1.24</v>
      </c>
      <c r="L78" s="53">
        <f t="shared" si="115"/>
        <v>3.4449999999999994</v>
      </c>
      <c r="M78" s="157">
        <f t="shared" si="101"/>
        <v>6.7216196212184998E-2</v>
      </c>
      <c r="N78" s="4">
        <f t="shared" si="102"/>
        <v>0.4</v>
      </c>
      <c r="O78" s="4">
        <f t="shared" si="103"/>
        <v>0.38400000000000001</v>
      </c>
      <c r="P78" s="9">
        <f t="shared" si="104"/>
        <v>0.84</v>
      </c>
      <c r="Q78" s="5">
        <f t="shared" si="116"/>
        <v>36768</v>
      </c>
      <c r="R78" s="4">
        <f t="shared" si="105"/>
        <v>1</v>
      </c>
      <c r="S78" s="158">
        <f>_xll.xSPRDOPT($L78,$J78,$I78,$M78,$O78,$N78,$P78,$Q78-$C$3,$R78,0)</f>
        <v>1.2978238933536446E-7</v>
      </c>
      <c r="T78" s="159">
        <f>_xll.xSPRDOPT($L78,$J78,$I78,$M78,$O78,$N78,$P78,$Q78-$C$3,$R78,1)*H78</f>
        <v>0.16966241012106309</v>
      </c>
      <c r="U78" s="160">
        <f t="shared" si="92"/>
        <v>-0.12978238933536446</v>
      </c>
      <c r="V78" s="159">
        <f>_xll.xSPRDOPT($L78,$J78,$I78,$M78,$O78,$N78,$P78,$Q78-$C$3,$R78,2)*H78</f>
        <v>-0.13106779761518084</v>
      </c>
      <c r="W78" s="159">
        <f t="shared" si="106"/>
        <v>3.8594612505882253E-2</v>
      </c>
      <c r="X78" s="51" t="str">
        <f t="shared" si="117"/>
        <v>36770IF-NWPL_ROCKY_M</v>
      </c>
      <c r="Y78" s="418">
        <f t="shared" si="118"/>
        <v>-100</v>
      </c>
      <c r="Z78" s="456">
        <f t="shared" si="119"/>
        <v>-1.6966241012106309E-7</v>
      </c>
      <c r="AA78" s="456">
        <f>_xll.xSPRDOPT($L78,$J78,$I78,$M78,$O78,$N78,$P78,$Q78-$C$3,$R78,3)</f>
        <v>-4.1862936425772828E-5</v>
      </c>
      <c r="AB78" s="456">
        <f>((_xll.xSPRDOPT($L78+AB$5,$J78,$I78,$M78,$O78,$N78,$P78,$Q78-$C$3,$R78,3)*$H78)/10000)/100</f>
        <v>4.1862936425772828E-5</v>
      </c>
      <c r="AC78" s="456">
        <f>((_xll.xSPRDOPT($L78+$AB$5,$J78,$I78,$M78,$O78,$N78,$P78,$Q78-$C$3,$R78,7)*$H78)/100)</f>
        <v>0</v>
      </c>
      <c r="AD78" s="456">
        <f>(_xll.xSPRDOPT($L78+$AB$5,$J78,$I78,$M78,$O78,$N78,$P78,$Q78-$C$3,$R78,9)/365)*$H78</f>
        <v>-2.9730245168312096E-5</v>
      </c>
      <c r="AE78">
        <f t="shared" si="120"/>
        <v>0</v>
      </c>
      <c r="AF78" s="456">
        <f t="shared" si="121"/>
        <v>1.5434873305932027E-7</v>
      </c>
      <c r="AG78" s="456">
        <f>((_xll.xSPRDOPT($L78,$J78,$I78,$M78,$O78,$N78,$P78,$Q78-$C$3,$R78,6)*$H78)/100)</f>
        <v>7.3069347033400749E-6</v>
      </c>
      <c r="AH78" s="456">
        <f>((_xll.xSPRDOPT($L78,$J78,$I78,$M78,$O78,$N78,$P78,$Q78-$C$3,$R78,5)*$H78)/100)</f>
        <v>-7.4506103857091201E-6</v>
      </c>
      <c r="AI78" s="456">
        <f>(((_xll.xSPRDOPT($L78,$J78,$I78,$M78,$O78,$N78,$P78,$Q78-$C$3,$R78,4)*$H78)/10000)/100)-AB78</f>
        <v>-4.1862936425772828E-5</v>
      </c>
      <c r="AJ78" s="456"/>
      <c r="AK78" s="456"/>
      <c r="AL78" s="456"/>
      <c r="AM78" s="472"/>
      <c r="AN78" s="128">
        <f t="shared" si="122"/>
        <v>38899</v>
      </c>
      <c r="AO78" s="43">
        <f t="shared" si="131"/>
        <v>0</v>
      </c>
      <c r="AP78" s="43">
        <f t="shared" si="131"/>
        <v>0</v>
      </c>
      <c r="AQ78" s="43">
        <f t="shared" si="131"/>
        <v>0</v>
      </c>
      <c r="AR78" s="43">
        <f t="shared" si="131"/>
        <v>0</v>
      </c>
      <c r="AS78" s="43">
        <f t="shared" si="131"/>
        <v>0</v>
      </c>
      <c r="AT78" s="43">
        <f t="shared" si="131"/>
        <v>0</v>
      </c>
      <c r="AU78" s="43">
        <f t="shared" si="131"/>
        <v>0</v>
      </c>
      <c r="AV78" s="43">
        <f t="shared" si="131"/>
        <v>0</v>
      </c>
      <c r="AW78" s="43">
        <f t="shared" si="131"/>
        <v>0</v>
      </c>
      <c r="AX78" s="43">
        <f t="shared" si="131"/>
        <v>0</v>
      </c>
      <c r="AY78" s="43">
        <f t="shared" si="131"/>
        <v>0</v>
      </c>
      <c r="AZ78" s="43">
        <f t="shared" si="131"/>
        <v>0</v>
      </c>
      <c r="BA78" s="44">
        <f t="shared" si="131"/>
        <v>0</v>
      </c>
      <c r="BB78" s="128">
        <f t="shared" si="123"/>
        <v>38899</v>
      </c>
      <c r="BC78" s="44">
        <f t="shared" si="124"/>
        <v>0</v>
      </c>
      <c r="BD78" s="51"/>
      <c r="BE78" s="128">
        <f t="shared" si="125"/>
        <v>38899</v>
      </c>
      <c r="BF78" s="43">
        <f t="shared" si="132"/>
        <v>0</v>
      </c>
      <c r="BG78" s="43">
        <f t="shared" si="132"/>
        <v>0</v>
      </c>
      <c r="BH78" s="43">
        <f t="shared" si="132"/>
        <v>0</v>
      </c>
      <c r="BI78" s="43">
        <f t="shared" si="132"/>
        <v>0</v>
      </c>
      <c r="BJ78" s="43">
        <f t="shared" si="132"/>
        <v>0</v>
      </c>
      <c r="BK78" s="43">
        <f t="shared" si="132"/>
        <v>0</v>
      </c>
      <c r="BL78" s="43">
        <f t="shared" si="132"/>
        <v>0</v>
      </c>
      <c r="BM78" s="43">
        <f t="shared" si="132"/>
        <v>0</v>
      </c>
      <c r="BN78" s="43">
        <f t="shared" si="132"/>
        <v>0</v>
      </c>
      <c r="BO78" s="43">
        <f t="shared" si="132"/>
        <v>0</v>
      </c>
      <c r="BP78" s="43">
        <f t="shared" si="132"/>
        <v>0</v>
      </c>
      <c r="BQ78" s="43">
        <f t="shared" si="132"/>
        <v>0</v>
      </c>
      <c r="BR78" s="44">
        <f t="shared" si="132"/>
        <v>0</v>
      </c>
      <c r="BS78" s="128">
        <f t="shared" si="126"/>
        <v>38899</v>
      </c>
      <c r="BT78" s="44">
        <f t="shared" si="127"/>
        <v>0</v>
      </c>
      <c r="BU78" s="51"/>
      <c r="BV78" s="51"/>
      <c r="BW78" s="51"/>
      <c r="BX78" s="51"/>
      <c r="BY78" s="51"/>
      <c r="BZ78" s="51"/>
      <c r="CA78" s="51"/>
      <c r="CB78" s="51"/>
      <c r="CC78" s="141">
        <f t="shared" si="94"/>
        <v>36770</v>
      </c>
      <c r="CD78" s="234">
        <f>_xll.xSPRDOPT((VLOOKUP(G78,NGPrices,2,FALSE)+HLOOKUP(D78,Prices,VLOOKUP(G78,move_down,2,FALSE),FALSE)),VLOOKUP(G78,NGPrices,2,FALSE),I78,VLOOKUP(G78,NGPREVPRICES,4,FALSE),HLOOKUP(D78,PREVVOLS,VLOOKUP(G78,MOVE_DOWN2,2,FALSE),FALSE),VLOOKUP(G78,NGPREVPRICES,3,FALSE),HLOOKUP(D78,Correllate,VLOOKUP(G78,CorMove,2,FALSE),FALSE),Q78-$CD$3,R78,$CD$5)*H78-CJ78</f>
        <v>0</v>
      </c>
      <c r="CE78" s="234">
        <f>_xll.xSPRDOPT((VLOOKUP(G78,NGPREVPRICES,2,FALSE)+HLOOKUP(D78,PREVCURVES,VLOOKUP(G78,MOVE_DOWN2,2,FALSE),FALSE)),VLOOKUP(G78,NGPREVPRICES,2,FALSE),CK78,VLOOKUP(G78,NGPrices,4,FALSE),HLOOKUP(D78,PREVVOLS,VLOOKUP(G78,MOVE_DOWN2,2,FALSE),FALSE),VLOOKUP(G78,NGPREVPRICES,3,FALSE),HLOOKUP(D78,Correllate,VLOOKUP(G78,CorMove,2,FALSE),FALSE),Q78-$CD$3,R78,$CJ$5)*H78-CJ78</f>
        <v>0</v>
      </c>
      <c r="CF78" s="10">
        <f t="shared" si="128"/>
        <v>2.3644278716594691E-5</v>
      </c>
      <c r="CG78" s="234">
        <f>_xll.xSPRDOPT((VLOOKUP(G78,NGPREVPRICES,2,FALSE)+HLOOKUP(D78,PREVCURVES,VLOOKUP(G78,MOVE_DOWN2,2,FALSE),FALSE)),VLOOKUP(G78,NGPREVPRICES,2,FALSE),CK78,VLOOKUP(G78,NGPREVPRICES,4,FALSE),HLOOKUP(D78,VOLS,VLOOKUP(G78,move_down,2,FALSE),FALSE),VLOOKUP(G78,NGPrices,3,FALSE),HLOOKUP(D78,Correllate,VLOOKUP(G78,CorMove,2,FALSE),FALSE),Q78-$CD$3,R78,$CJ$5)*H78-CJ78</f>
        <v>0</v>
      </c>
      <c r="CH78" s="234">
        <f>_xll.xSPRDOPT((VLOOKUP(G78,NGPREVPRICES,2,FALSE)+HLOOKUP(D78,PREVCURVES,VLOOKUP(G78,MOVE_DOWN2,2,FALSE),FALSE)),VLOOKUP(G78,NGPREVPRICES,2,FALSE),CK78,VLOOKUP(G78,NGPREVPRICES,4,FALSE),HLOOKUP(D78,PREVVOLS,VLOOKUP(G78,MOVE_DOWN2,2,FALSE),FALSE),VLOOKUP(G78,NGPREVPRICES,3,FALSE),HLOOKUP(D78,Correllate,VLOOKUP(G78,CorMove,2,FALSE),FALSE),Q78-$C$3,R78,$CJ$5)*H78-CJ78</f>
        <v>-2.9704599890933991E-5</v>
      </c>
      <c r="CI78" s="234">
        <f t="shared" si="129"/>
        <v>-6.0603211743393004E-6</v>
      </c>
      <c r="CJ78" s="234">
        <f>_xll.xSPRDOPT((VLOOKUP(G78,NGPREVPRICES,2,FALSE)+HLOOKUP(D78,PREVCURVES,VLOOKUP(G78,MOVE_DOWN2,2,FALSE),FALSE)),VLOOKUP(G78,NGPREVPRICES,2,FALSE),CK78,VLOOKUP(G78,NGPREVPRICES,4,FALSE),HLOOKUP(D78,PREVVOLS,VLOOKUP(G78,MOVE_DOWN2,2,FALSE),FALSE),VLOOKUP(G78,NGPREVPRICES,3,FALSE),HLOOKUP(D78,Correllate,VLOOKUP(G78,CorMove,2,FALSE),FALSE),Q78-$CD$3,R78,$CJ$5)*H78</f>
        <v>-0.12975268473547352</v>
      </c>
      <c r="CK78" s="235">
        <f t="shared" si="97"/>
        <v>-0.25</v>
      </c>
      <c r="CL78" s="234"/>
      <c r="CM78" t="str">
        <f t="shared" si="130"/>
        <v>36770Curve Shift/Gamma</v>
      </c>
      <c r="CN78" t="str">
        <f t="shared" si="107"/>
        <v>36770Rho</v>
      </c>
      <c r="CO78" t="str">
        <f t="shared" si="108"/>
        <v>36770Drift</v>
      </c>
      <c r="CP78" t="str">
        <f t="shared" si="109"/>
        <v>36770Vega</v>
      </c>
      <c r="CQ78" t="str">
        <f t="shared" si="110"/>
        <v>36770Theta</v>
      </c>
    </row>
    <row r="79" spans="1:95" ht="12" customHeight="1" x14ac:dyDescent="0.25">
      <c r="A79" s="382" t="s">
        <v>279</v>
      </c>
      <c r="B79" t="s">
        <v>250</v>
      </c>
      <c r="C79" t="s">
        <v>308</v>
      </c>
      <c r="D79" s="4" t="s">
        <v>9</v>
      </c>
      <c r="E79" t="s">
        <v>20</v>
      </c>
      <c r="F79" t="s">
        <v>1</v>
      </c>
      <c r="G79" s="5">
        <v>36800</v>
      </c>
      <c r="H79" s="130">
        <v>1000000</v>
      </c>
      <c r="I79">
        <v>-0.4</v>
      </c>
      <c r="J79" s="53">
        <f t="shared" si="113"/>
        <v>4.6920000000000002</v>
      </c>
      <c r="K79" s="7">
        <f t="shared" si="114"/>
        <v>-0.80500000000000005</v>
      </c>
      <c r="L79" s="53">
        <f t="shared" si="115"/>
        <v>3.887</v>
      </c>
      <c r="M79" s="157">
        <f t="shared" si="101"/>
        <v>6.8050789414654006E-2</v>
      </c>
      <c r="N79" s="4">
        <f t="shared" si="102"/>
        <v>0.57499999999999996</v>
      </c>
      <c r="O79" s="4">
        <f t="shared" si="103"/>
        <v>0.55200000000000005</v>
      </c>
      <c r="P79" s="9">
        <f t="shared" si="104"/>
        <v>0.84</v>
      </c>
      <c r="Q79" s="5">
        <f t="shared" si="116"/>
        <v>36797</v>
      </c>
      <c r="R79" s="4">
        <f t="shared" si="105"/>
        <v>0</v>
      </c>
      <c r="S79" s="158">
        <f>_xll.xSPRDOPT($L79,$J79,$I79,$M79,$O79,$N79,$P79,$Q79-$C$3,$R79,0)</f>
        <v>0.43551011206983281</v>
      </c>
      <c r="T79" s="159">
        <f>_xll.xSPRDOPT($L79,$J79,$I79,$M79,$O79,$N79,$P79,$Q79-$C$3,$R79,1)*H79</f>
        <v>-827406.6418800198</v>
      </c>
      <c r="U79" s="160">
        <f t="shared" si="92"/>
        <v>435510.1120698328</v>
      </c>
      <c r="V79" s="159">
        <f>_xll.xSPRDOPT($L79,$J79,$I79,$M79,$O79,$N79,$P79,$Q79-$C$3,$R79,2)*H79</f>
        <v>848993.66527770646</v>
      </c>
      <c r="W79" s="159">
        <f t="shared" si="106"/>
        <v>21587.023397686658</v>
      </c>
      <c r="X79" s="51" t="str">
        <f t="shared" si="117"/>
        <v>36800IF-NWPL_ROCKY_M</v>
      </c>
      <c r="Y79" s="418">
        <f t="shared" si="118"/>
        <v>100</v>
      </c>
      <c r="Z79" s="456">
        <f t="shared" si="119"/>
        <v>-0.82740664188001978</v>
      </c>
      <c r="AA79" s="456">
        <f>_xll.xSPRDOPT($L79,$J79,$I79,$M79,$O79,$N79,$P79,$Q79-$C$3,$R79,3)</f>
        <v>0.65088362517321363</v>
      </c>
      <c r="AB79" s="456">
        <f>((_xll.xSPRDOPT($L79+AB$5,$J79,$I79,$M79,$O79,$N79,$P79,$Q79-$C$3,$R79,3)*$H79)/10000)/100</f>
        <v>0.65088362517321374</v>
      </c>
      <c r="AC79" s="456">
        <f>((_xll.xSPRDOPT($L79+$AB$5,$J79,$I79,$M79,$O79,$N79,$P79,$Q79-$C$3,$R79,7)*$H79)/100)</f>
        <v>-2824.7368506278544</v>
      </c>
      <c r="AD79" s="456">
        <f>(_xll.xSPRDOPT($L79+$AB$5,$J79,$I79,$M79,$O79,$N79,$P79,$Q79-$C$3,$R79,9)/365)*$H79</f>
        <v>-1517.1236070339926</v>
      </c>
      <c r="AE79">
        <f t="shared" si="120"/>
        <v>0</v>
      </c>
      <c r="AF79" s="456">
        <f t="shared" si="121"/>
        <v>1666.6709900914025</v>
      </c>
      <c r="AG79" s="456">
        <f>((_xll.xSPRDOPT($L79,$J79,$I79,$M79,$O79,$N79,$P79,$Q79-$C$3,$R79,6)*$H79)/100)</f>
        <v>1512.9426281789883</v>
      </c>
      <c r="AH79" s="456">
        <f>((_xll.xSPRDOPT($L79,$J79,$I79,$M79,$O79,$N79,$P79,$Q79-$C$3,$R79,5)*$H79)/100)</f>
        <v>160.13371032543122</v>
      </c>
      <c r="AI79" s="456">
        <f>(((_xll.xSPRDOPT($L79,$J79,$I79,$M79,$O79,$N79,$P79,$Q79-$C$3,$R79,4)*$H79)/10000)/100)-AB79</f>
        <v>-0.10847326293517212</v>
      </c>
      <c r="AJ79" s="456"/>
      <c r="AK79" s="456"/>
      <c r="AL79" s="456"/>
      <c r="AM79" s="472"/>
      <c r="AN79" s="128">
        <f t="shared" si="122"/>
        <v>38930</v>
      </c>
      <c r="AO79" s="43">
        <f t="shared" si="131"/>
        <v>0</v>
      </c>
      <c r="AP79" s="43">
        <f t="shared" si="131"/>
        <v>0</v>
      </c>
      <c r="AQ79" s="43">
        <f t="shared" si="131"/>
        <v>0</v>
      </c>
      <c r="AR79" s="43">
        <f t="shared" si="131"/>
        <v>0</v>
      </c>
      <c r="AS79" s="43">
        <f t="shared" si="131"/>
        <v>0</v>
      </c>
      <c r="AT79" s="43">
        <f t="shared" si="131"/>
        <v>0</v>
      </c>
      <c r="AU79" s="43">
        <f t="shared" si="131"/>
        <v>0</v>
      </c>
      <c r="AV79" s="43">
        <f t="shared" si="131"/>
        <v>0</v>
      </c>
      <c r="AW79" s="43">
        <f t="shared" si="131"/>
        <v>0</v>
      </c>
      <c r="AX79" s="43">
        <f t="shared" si="131"/>
        <v>0</v>
      </c>
      <c r="AY79" s="43">
        <f t="shared" si="131"/>
        <v>0</v>
      </c>
      <c r="AZ79" s="43">
        <f t="shared" si="131"/>
        <v>0</v>
      </c>
      <c r="BA79" s="44">
        <f t="shared" si="131"/>
        <v>0</v>
      </c>
      <c r="BB79" s="128">
        <f t="shared" si="123"/>
        <v>38930</v>
      </c>
      <c r="BC79" s="44">
        <f t="shared" si="124"/>
        <v>0</v>
      </c>
      <c r="BD79" s="51"/>
      <c r="BE79" s="128">
        <f t="shared" si="125"/>
        <v>38930</v>
      </c>
      <c r="BF79" s="43">
        <f t="shared" si="132"/>
        <v>0</v>
      </c>
      <c r="BG79" s="43">
        <f t="shared" si="132"/>
        <v>0</v>
      </c>
      <c r="BH79" s="43">
        <f t="shared" si="132"/>
        <v>0</v>
      </c>
      <c r="BI79" s="43">
        <f t="shared" si="132"/>
        <v>0</v>
      </c>
      <c r="BJ79" s="43">
        <f t="shared" si="132"/>
        <v>0</v>
      </c>
      <c r="BK79" s="43">
        <f t="shared" si="132"/>
        <v>0</v>
      </c>
      <c r="BL79" s="43">
        <f t="shared" si="132"/>
        <v>0</v>
      </c>
      <c r="BM79" s="43">
        <f t="shared" si="132"/>
        <v>0</v>
      </c>
      <c r="BN79" s="43">
        <f t="shared" si="132"/>
        <v>0</v>
      </c>
      <c r="BO79" s="43">
        <f t="shared" si="132"/>
        <v>0</v>
      </c>
      <c r="BP79" s="43">
        <f t="shared" si="132"/>
        <v>0</v>
      </c>
      <c r="BQ79" s="43">
        <f t="shared" si="132"/>
        <v>0</v>
      </c>
      <c r="BR79" s="44">
        <f t="shared" si="132"/>
        <v>0</v>
      </c>
      <c r="BS79" s="128">
        <f t="shared" si="126"/>
        <v>38930</v>
      </c>
      <c r="BT79" s="44">
        <f t="shared" si="127"/>
        <v>0</v>
      </c>
      <c r="BU79" s="51"/>
      <c r="BV79" s="51"/>
      <c r="BW79" s="51"/>
      <c r="BX79" s="51"/>
      <c r="BY79" s="51"/>
      <c r="BZ79" s="51"/>
      <c r="CA79" s="51"/>
      <c r="CB79" s="51"/>
      <c r="CC79" s="141">
        <f t="shared" si="94"/>
        <v>36800</v>
      </c>
      <c r="CD79" s="234">
        <f>_xll.xSPRDOPT((VLOOKUP(G79,NGPrices,2,FALSE)+HLOOKUP(D79,Prices,VLOOKUP(G79,move_down,2,FALSE),FALSE)),VLOOKUP(G79,NGPrices,2,FALSE),I79,VLOOKUP(G79,NGPREVPRICES,4,FALSE),HLOOKUP(D79,PREVVOLS,VLOOKUP(G79,MOVE_DOWN2,2,FALSE),FALSE),VLOOKUP(G79,NGPREVPRICES,3,FALSE),HLOOKUP(D79,Correllate,VLOOKUP(G79,CorMove,2,FALSE),FALSE),Q79-$CD$3,R79,$CD$5)*H79-CJ79</f>
        <v>0</v>
      </c>
      <c r="CE79" s="234">
        <f>_xll.xSPRDOPT((VLOOKUP(G79,NGPREVPRICES,2,FALSE)+HLOOKUP(D79,PREVCURVES,VLOOKUP(G79,MOVE_DOWN2,2,FALSE),FALSE)),VLOOKUP(G79,NGPREVPRICES,2,FALSE),CK79,VLOOKUP(G79,NGPrices,4,FALSE),HLOOKUP(D79,PREVVOLS,VLOOKUP(G79,MOVE_DOWN2,2,FALSE),FALSE),VLOOKUP(G79,NGPREVPRICES,3,FALSE),HLOOKUP(D79,Correllate,VLOOKUP(G79,CorMove,2,FALSE),FALSE),Q79-$CD$3,R79,$CJ$5)*H79-CJ79</f>
        <v>0</v>
      </c>
      <c r="CF79" s="10">
        <f t="shared" si="128"/>
        <v>-80.568243373360019</v>
      </c>
      <c r="CG79" s="234">
        <f>_xll.xSPRDOPT((VLOOKUP(G79,NGPREVPRICES,2,FALSE)+HLOOKUP(D79,PREVCURVES,VLOOKUP(G79,MOVE_DOWN2,2,FALSE),FALSE)),VLOOKUP(G79,NGPREVPRICES,2,FALSE),CK79,VLOOKUP(G79,NGPREVPRICES,4,FALSE),HLOOKUP(D79,VOLS,VLOOKUP(G79,move_down,2,FALSE),FALSE),VLOOKUP(G79,NGPrices,3,FALSE),HLOOKUP(D79,Correllate,VLOOKUP(G79,CorMove,2,FALSE),FALSE),Q79-$CD$3,R79,$CJ$5)*H79-CJ79</f>
        <v>0</v>
      </c>
      <c r="CH79" s="234">
        <f>_xll.xSPRDOPT((VLOOKUP(G79,NGPREVPRICES,2,FALSE)+HLOOKUP(D79,PREVCURVES,VLOOKUP(G79,MOVE_DOWN2,2,FALSE),FALSE)),VLOOKUP(G79,NGPREVPRICES,2,FALSE),CK79,VLOOKUP(G79,NGPREVPRICES,4,FALSE),HLOOKUP(D79,PREVVOLS,VLOOKUP(G79,MOVE_DOWN2,2,FALSE),FALSE),VLOOKUP(G79,NGPREVPRICES,3,FALSE),HLOOKUP(D79,Correllate,VLOOKUP(G79,CorMove,2,FALSE),FALSE),Q79-$C$3,R79,$CJ$5)*H79-CJ79</f>
        <v>-1515.8457823954523</v>
      </c>
      <c r="CI79" s="234">
        <f t="shared" si="129"/>
        <v>-1596.4140257688123</v>
      </c>
      <c r="CJ79" s="234">
        <f>_xll.xSPRDOPT((VLOOKUP(G79,NGPREVPRICES,2,FALSE)+HLOOKUP(D79,PREVCURVES,VLOOKUP(G79,MOVE_DOWN2,2,FALSE),FALSE)),VLOOKUP(G79,NGPREVPRICES,2,FALSE),CK79,VLOOKUP(G79,NGPREVPRICES,4,FALSE),HLOOKUP(D79,PREVVOLS,VLOOKUP(G79,MOVE_DOWN2,2,FALSE),FALSE),VLOOKUP(G79,NGPREVPRICES,3,FALSE),HLOOKUP(D79,Correllate,VLOOKUP(G79,CorMove,2,FALSE),FALSE),Q79-$CD$3,R79,$CJ$5)*H79</f>
        <v>437025.95785222825</v>
      </c>
      <c r="CK79" s="235">
        <f t="shared" si="97"/>
        <v>-0.4</v>
      </c>
      <c r="CL79" s="234"/>
      <c r="CM79" t="str">
        <f t="shared" si="130"/>
        <v>36800Curve Shift/Gamma</v>
      </c>
      <c r="CN79" t="str">
        <f t="shared" si="107"/>
        <v>36800Rho</v>
      </c>
      <c r="CO79" t="str">
        <f t="shared" si="108"/>
        <v>36800Drift</v>
      </c>
      <c r="CP79" t="str">
        <f t="shared" si="109"/>
        <v>36800Vega</v>
      </c>
      <c r="CQ79" t="str">
        <f t="shared" si="110"/>
        <v>36800Theta</v>
      </c>
    </row>
    <row r="80" spans="1:95" ht="12" customHeight="1" x14ac:dyDescent="0.25">
      <c r="A80" s="382" t="s">
        <v>279</v>
      </c>
      <c r="B80" t="s">
        <v>250</v>
      </c>
      <c r="C80" t="s">
        <v>308</v>
      </c>
      <c r="D80" s="4" t="s">
        <v>9</v>
      </c>
      <c r="E80" t="s">
        <v>20</v>
      </c>
      <c r="F80" t="s">
        <v>1</v>
      </c>
      <c r="G80" s="5">
        <v>36770</v>
      </c>
      <c r="H80" s="130">
        <v>1000000</v>
      </c>
      <c r="I80">
        <v>-0.4</v>
      </c>
      <c r="J80" s="53">
        <f t="shared" si="113"/>
        <v>4.6849999999999996</v>
      </c>
      <c r="K80" s="7">
        <f t="shared" si="114"/>
        <v>-1.24</v>
      </c>
      <c r="L80" s="53">
        <f t="shared" si="115"/>
        <v>3.4449999999999994</v>
      </c>
      <c r="M80" s="157">
        <f t="shared" si="101"/>
        <v>6.7216196212184998E-2</v>
      </c>
      <c r="N80" s="4">
        <f t="shared" si="102"/>
        <v>0.4</v>
      </c>
      <c r="O80" s="4">
        <f t="shared" si="103"/>
        <v>0.38400000000000001</v>
      </c>
      <c r="P80" s="9">
        <f t="shared" si="104"/>
        <v>0.84</v>
      </c>
      <c r="Q80" s="5">
        <f t="shared" si="116"/>
        <v>36768</v>
      </c>
      <c r="R80" s="4">
        <f t="shared" si="105"/>
        <v>0</v>
      </c>
      <c r="S80" s="158">
        <f>_xll.xSPRDOPT($L80,$J80,$I80,$M80,$O80,$N80,$P80,$Q80-$C$3,$R80,0)</f>
        <v>0.83984554089127716</v>
      </c>
      <c r="T80" s="159">
        <f>_xll.xSPRDOPT($L80,$J80,$I80,$M80,$O80,$N80,$P80,$Q80-$C$3,$R80,1)*H80</f>
        <v>-999816.1586787994</v>
      </c>
      <c r="U80" s="160">
        <f t="shared" si="92"/>
        <v>839845.54089127714</v>
      </c>
      <c r="V80" s="159">
        <f>_xll.xSPRDOPT($L80,$J80,$I80,$M80,$O80,$N80,$P80,$Q80-$C$3,$R80,2)*H80</f>
        <v>999816.1200841883</v>
      </c>
      <c r="W80" s="159">
        <f t="shared" si="106"/>
        <v>-3.8594611105509102E-2</v>
      </c>
      <c r="X80" s="51" t="str">
        <f t="shared" si="117"/>
        <v>36770IF-NWPL_ROCKY_M</v>
      </c>
      <c r="Y80" s="418">
        <f t="shared" si="118"/>
        <v>100</v>
      </c>
      <c r="Z80" s="456">
        <f t="shared" si="119"/>
        <v>-0.99981615867879936</v>
      </c>
      <c r="AA80" s="456">
        <f>_xll.xSPRDOPT($L80,$J80,$I80,$M80,$O80,$N80,$P80,$Q80-$C$3,$R80,3)</f>
        <v>-3.5500395084824186E-5</v>
      </c>
      <c r="AB80" s="456">
        <f>((_xll.xSPRDOPT($L80+AB$5,$J80,$I80,$M80,$O80,$N80,$P80,$Q80-$C$3,$R80,3)*$H80)/10000)/100</f>
        <v>-3.5500395084824186E-5</v>
      </c>
      <c r="AC80" s="456">
        <f>((_xll.xSPRDOPT($L80+$AB$5,$J80,$I80,$M80,$O80,$N80,$P80,$Q80-$C$3,$R80,7)*$H80)/100)</f>
        <v>0</v>
      </c>
      <c r="AD80" s="456">
        <f>(_xll.xSPRDOPT($L80+$AB$5,$J80,$I80,$M80,$O80,$N80,$P80,$Q80-$C$3,$R80,9)/365)*$H80</f>
        <v>154.66088980883529</v>
      </c>
      <c r="AE80">
        <f t="shared" si="120"/>
        <v>0</v>
      </c>
      <c r="AF80" s="456">
        <f t="shared" si="121"/>
        <v>-9.4415448413945451E-8</v>
      </c>
      <c r="AG80" s="456">
        <f>((_xll.xSPRDOPT($L80,$J80,$I80,$M80,$O80,$N80,$P80,$Q80-$C$3,$R80,6)*$H80)/100)</f>
        <v>-7.2864096058587824E-6</v>
      </c>
      <c r="AH80" s="456">
        <f>((_xll.xSPRDOPT($L80,$J80,$I80,$M80,$O80,$N80,$P80,$Q80-$C$3,$R80,5)*$H80)/100)</f>
        <v>7.4916605806717051E-6</v>
      </c>
      <c r="AI80" s="456">
        <f>(((_xll.xSPRDOPT($L80,$J80,$I80,$M80,$O80,$N80,$P80,$Q80-$C$3,$R80,4)*$H80)/10000)/100)-AB80</f>
        <v>3.5500395084824186E-5</v>
      </c>
      <c r="AJ80" s="456"/>
      <c r="AK80" s="456"/>
      <c r="AL80" s="456"/>
      <c r="AM80" s="472"/>
      <c r="AN80" s="128">
        <f t="shared" si="122"/>
        <v>38961</v>
      </c>
      <c r="AO80" s="43">
        <f t="shared" si="131"/>
        <v>0</v>
      </c>
      <c r="AP80" s="43">
        <f t="shared" si="131"/>
        <v>0</v>
      </c>
      <c r="AQ80" s="43">
        <f t="shared" si="131"/>
        <v>0</v>
      </c>
      <c r="AR80" s="43">
        <f t="shared" si="131"/>
        <v>0</v>
      </c>
      <c r="AS80" s="43">
        <f t="shared" si="131"/>
        <v>0</v>
      </c>
      <c r="AT80" s="43">
        <f t="shared" si="131"/>
        <v>0</v>
      </c>
      <c r="AU80" s="43">
        <f t="shared" si="131"/>
        <v>0</v>
      </c>
      <c r="AV80" s="43">
        <f t="shared" si="131"/>
        <v>0</v>
      </c>
      <c r="AW80" s="43">
        <f t="shared" si="131"/>
        <v>0</v>
      </c>
      <c r="AX80" s="43">
        <f t="shared" si="131"/>
        <v>0</v>
      </c>
      <c r="AY80" s="43">
        <f t="shared" si="131"/>
        <v>0</v>
      </c>
      <c r="AZ80" s="43">
        <f t="shared" si="131"/>
        <v>0</v>
      </c>
      <c r="BA80" s="44">
        <f t="shared" si="131"/>
        <v>0</v>
      </c>
      <c r="BB80" s="128">
        <f t="shared" si="123"/>
        <v>38961</v>
      </c>
      <c r="BC80" s="44">
        <f t="shared" si="124"/>
        <v>0</v>
      </c>
      <c r="BD80" s="51"/>
      <c r="BE80" s="128">
        <f t="shared" si="125"/>
        <v>38961</v>
      </c>
      <c r="BF80" s="43">
        <f t="shared" si="132"/>
        <v>0</v>
      </c>
      <c r="BG80" s="43">
        <f t="shared" si="132"/>
        <v>0</v>
      </c>
      <c r="BH80" s="43">
        <f t="shared" si="132"/>
        <v>0</v>
      </c>
      <c r="BI80" s="43">
        <f t="shared" si="132"/>
        <v>0</v>
      </c>
      <c r="BJ80" s="43">
        <f t="shared" si="132"/>
        <v>0</v>
      </c>
      <c r="BK80" s="43">
        <f t="shared" si="132"/>
        <v>0</v>
      </c>
      <c r="BL80" s="43">
        <f t="shared" si="132"/>
        <v>0</v>
      </c>
      <c r="BM80" s="43">
        <f t="shared" si="132"/>
        <v>0</v>
      </c>
      <c r="BN80" s="43">
        <f t="shared" si="132"/>
        <v>0</v>
      </c>
      <c r="BO80" s="43">
        <f t="shared" si="132"/>
        <v>0</v>
      </c>
      <c r="BP80" s="43">
        <f t="shared" si="132"/>
        <v>0</v>
      </c>
      <c r="BQ80" s="43">
        <f t="shared" si="132"/>
        <v>0</v>
      </c>
      <c r="BR80" s="44">
        <f t="shared" si="132"/>
        <v>0</v>
      </c>
      <c r="BS80" s="128">
        <f t="shared" si="126"/>
        <v>38961</v>
      </c>
      <c r="BT80" s="44">
        <f t="shared" si="127"/>
        <v>0</v>
      </c>
      <c r="BU80" s="51"/>
      <c r="BV80" s="51"/>
      <c r="BW80" s="51"/>
      <c r="BX80" s="51"/>
      <c r="BY80" s="51"/>
      <c r="BZ80" s="51"/>
      <c r="CA80" s="51"/>
      <c r="CB80" s="51"/>
      <c r="CC80" s="141">
        <f t="shared" si="94"/>
        <v>36770</v>
      </c>
      <c r="CD80" s="234">
        <f>_xll.xSPRDOPT((VLOOKUP(G80,NGPrices,2,FALSE)+HLOOKUP(D80,Prices,VLOOKUP(G80,move_down,2,FALSE),FALSE)),VLOOKUP(G80,NGPrices,2,FALSE),I80,VLOOKUP(G80,NGPREVPRICES,4,FALSE),HLOOKUP(D80,PREVVOLS,VLOOKUP(G80,MOVE_DOWN2,2,FALSE),FALSE),VLOOKUP(G80,NGPREVPRICES,3,FALSE),HLOOKUP(D80,Correllate,VLOOKUP(G80,CorMove,2,FALSE),FALSE),Q80-$CD$3,R80,$CD$5)*H80-CJ80</f>
        <v>0</v>
      </c>
      <c r="CE80" s="234">
        <f>_xll.xSPRDOPT((VLOOKUP(G80,NGPREVPRICES,2,FALSE)+HLOOKUP(D80,PREVCURVES,VLOOKUP(G80,MOVE_DOWN2,2,FALSE),FALSE)),VLOOKUP(G80,NGPREVPRICES,2,FALSE),CK80,VLOOKUP(G80,NGPrices,4,FALSE),HLOOKUP(D80,PREVVOLS,VLOOKUP(G80,MOVE_DOWN2,2,FALSE),FALSE),VLOOKUP(G80,NGPREVPRICES,3,FALSE),HLOOKUP(D80,Correllate,VLOOKUP(G80,CorMove,2,FALSE),FALSE),Q80-$CD$3,R80,$CJ$5)*H80-CJ80</f>
        <v>0</v>
      </c>
      <c r="CF80" s="10">
        <f t="shared" si="128"/>
        <v>-153.01331207284238</v>
      </c>
      <c r="CG80" s="234">
        <f>_xll.xSPRDOPT((VLOOKUP(G80,NGPREVPRICES,2,FALSE)+HLOOKUP(D80,PREVCURVES,VLOOKUP(G80,MOVE_DOWN2,2,FALSE),FALSE)),VLOOKUP(G80,NGPREVPRICES,2,FALSE),CK80,VLOOKUP(G80,NGPREVPRICES,4,FALSE),HLOOKUP(D80,VOLS,VLOOKUP(G80,move_down,2,FALSE),FALSE),VLOOKUP(G80,NGPrices,3,FALSE),HLOOKUP(D80,Correllate,VLOOKUP(G80,CorMove,2,FALSE),FALSE),Q80-$CD$3,R80,$CJ$5)*H80-CJ80</f>
        <v>0</v>
      </c>
      <c r="CH80" s="234">
        <f>_xll.xSPRDOPT((VLOOKUP(G80,NGPREVPRICES,2,FALSE)+HLOOKUP(D80,PREVCURVES,VLOOKUP(G80,MOVE_DOWN2,2,FALSE),FALSE)),VLOOKUP(G80,NGPREVPRICES,2,FALSE),CK80,VLOOKUP(G80,NGPREVPRICES,4,FALSE),HLOOKUP(D80,PREVVOLS,VLOOKUP(G80,MOVE_DOWN2,2,FALSE),FALSE),VLOOKUP(G80,NGPREVPRICES,3,FALSE),HLOOKUP(D80,Correllate,VLOOKUP(G80,CorMove,2,FALSE),FALSE),Q80-$C$3,R80,$CJ$5)*H80-CJ80</f>
        <v>154.54080988280475</v>
      </c>
      <c r="CI80" s="234">
        <f t="shared" si="129"/>
        <v>1.5274978099623695</v>
      </c>
      <c r="CJ80" s="234">
        <f>_xll.xSPRDOPT((VLOOKUP(G80,NGPREVPRICES,2,FALSE)+HLOOKUP(D80,PREVCURVES,VLOOKUP(G80,MOVE_DOWN2,2,FALSE),FALSE)),VLOOKUP(G80,NGPREVPRICES,2,FALSE),CK80,VLOOKUP(G80,NGPREVPRICES,4,FALSE),HLOOKUP(D80,PREVVOLS,VLOOKUP(G80,MOVE_DOWN2,2,FALSE),FALSE),VLOOKUP(G80,NGPREVPRICES,3,FALSE),HLOOKUP(D80,Correllate,VLOOKUP(G80,CorMove,2,FALSE),FALSE),Q80-$CD$3,R80,$CJ$5)*H80</f>
        <v>839691.00008139433</v>
      </c>
      <c r="CK80" s="235">
        <f t="shared" si="97"/>
        <v>-0.4</v>
      </c>
      <c r="CL80" s="234"/>
      <c r="CM80" t="str">
        <f t="shared" si="130"/>
        <v>36770Curve Shift/Gamma</v>
      </c>
      <c r="CN80" t="str">
        <f t="shared" si="107"/>
        <v>36770Rho</v>
      </c>
      <c r="CO80" t="str">
        <f t="shared" si="108"/>
        <v>36770Drift</v>
      </c>
      <c r="CP80" t="str">
        <f t="shared" si="109"/>
        <v>36770Vega</v>
      </c>
      <c r="CQ80" t="str">
        <f t="shared" si="110"/>
        <v>36770Theta</v>
      </c>
    </row>
    <row r="81" spans="1:95" ht="12" customHeight="1" x14ac:dyDescent="0.25">
      <c r="A81" s="382" t="s">
        <v>279</v>
      </c>
      <c r="B81" t="s">
        <v>250</v>
      </c>
      <c r="C81" t="s">
        <v>309</v>
      </c>
      <c r="D81" s="4" t="s">
        <v>7</v>
      </c>
      <c r="E81" t="s">
        <v>20</v>
      </c>
      <c r="F81" t="s">
        <v>21</v>
      </c>
      <c r="G81" s="5">
        <v>36951</v>
      </c>
      <c r="H81" s="130">
        <v>-250000</v>
      </c>
      <c r="I81">
        <v>1.1499999999999999</v>
      </c>
      <c r="J81" s="53">
        <f t="shared" si="113"/>
        <v>4.2130000000000001</v>
      </c>
      <c r="K81" s="7">
        <f t="shared" si="114"/>
        <v>1.075</v>
      </c>
      <c r="L81" s="53">
        <f t="shared" si="115"/>
        <v>5.2880000000000003</v>
      </c>
      <c r="M81" s="157">
        <f t="shared" si="101"/>
        <v>6.8879814952706994E-2</v>
      </c>
      <c r="N81" s="4">
        <f t="shared" si="102"/>
        <v>0.53249999999999997</v>
      </c>
      <c r="O81" s="4">
        <f t="shared" si="103"/>
        <v>0.61199999999999999</v>
      </c>
      <c r="P81" s="9">
        <f t="shared" si="104"/>
        <v>0.83</v>
      </c>
      <c r="Q81" s="5">
        <f t="shared" si="116"/>
        <v>36949</v>
      </c>
      <c r="R81" s="4">
        <f t="shared" si="105"/>
        <v>1</v>
      </c>
      <c r="S81" s="158">
        <f>_xll.xSPRDOPT($L81,$J81,$I81,$M81,$O81,$N81,$P81,$Q81-$C$3,$R81,0)</f>
        <v>0.47535272679038493</v>
      </c>
      <c r="T81" s="159">
        <f>_xll.xSPRDOPT($L81,$J81,$I81,$M81,$O81,$N81,$P81,$Q81-$C$3,$R81,1)*H81</f>
        <v>-127664.15627596197</v>
      </c>
      <c r="U81" s="160">
        <f t="shared" si="92"/>
        <v>-118838.18169759623</v>
      </c>
      <c r="V81" s="159">
        <f>_xll.xSPRDOPT($L81,$J81,$I81,$M81,$O81,$N81,$P81,$Q81-$C$3,$R81,2)*H81</f>
        <v>105661.94861234093</v>
      </c>
      <c r="W81" s="159">
        <f t="shared" si="106"/>
        <v>-22002.20766362104</v>
      </c>
      <c r="X81" s="51" t="str">
        <f t="shared" si="117"/>
        <v>36951IF-TRANSCO/Z6</v>
      </c>
      <c r="Y81" s="418">
        <f t="shared" si="118"/>
        <v>-25</v>
      </c>
      <c r="Z81" s="456">
        <f t="shared" si="119"/>
        <v>0.51065662510384791</v>
      </c>
      <c r="AA81" s="456">
        <f>_xll.xSPRDOPT($L81,$J81,$I81,$M81,$O81,$N81,$P81,$Q81-$C$3,$R81,3)</f>
        <v>0.29184141966594901</v>
      </c>
      <c r="AB81" s="456">
        <f>((_xll.xSPRDOPT($L81+AB$5,$J81,$I81,$M81,$O81,$N81,$P81,$Q81-$C$3,$R81,3)*$H81)/10000)/100</f>
        <v>-7.2960354916487252E-2</v>
      </c>
      <c r="AC81" s="456">
        <f>((_xll.xSPRDOPT($L81+$AB$5,$J81,$I81,$M81,$O81,$N81,$P81,$Q81-$C$3,$R81,7)*$H81)/100)</f>
        <v>2618.110972081558</v>
      </c>
      <c r="AD81" s="456">
        <f>(_xll.xSPRDOPT($L81+$AB$5,$J81,$I81,$M81,$O81,$N81,$P81,$Q81-$C$3,$R81,9)/365)*$H81</f>
        <v>327.22713737768561</v>
      </c>
      <c r="AE81">
        <f t="shared" si="120"/>
        <v>0</v>
      </c>
      <c r="AF81" s="456">
        <f t="shared" si="121"/>
        <v>-2388.4824296613597</v>
      </c>
      <c r="AG81" s="456">
        <f>((_xll.xSPRDOPT($L81,$J81,$I81,$M81,$O81,$N81,$P81,$Q81-$C$3,$R81,6)*$H81)/100)</f>
        <v>681.16866219718247</v>
      </c>
      <c r="AH81" s="456">
        <f>((_xll.xSPRDOPT($L81,$J81,$I81,$M81,$O81,$N81,$P81,$Q81-$C$3,$R81,5)*$H81)/100)</f>
        <v>-2670.897396102408</v>
      </c>
      <c r="AI81" s="456">
        <f>(((_xll.xSPRDOPT($L81,$J81,$I81,$M81,$O81,$N81,$P81,$Q81-$C$3,$R81,4)*$H81)/10000)/100)-AB81</f>
        <v>7.7478655827961651E-4</v>
      </c>
      <c r="AJ81" s="456"/>
      <c r="AK81" s="456"/>
      <c r="AL81" s="456"/>
      <c r="AM81" s="472"/>
      <c r="AN81" s="128">
        <f t="shared" si="122"/>
        <v>38991</v>
      </c>
      <c r="AO81" s="43">
        <f t="shared" si="131"/>
        <v>0</v>
      </c>
      <c r="AP81" s="43">
        <f t="shared" si="131"/>
        <v>0</v>
      </c>
      <c r="AQ81" s="43">
        <f t="shared" si="131"/>
        <v>0</v>
      </c>
      <c r="AR81" s="43">
        <f t="shared" si="131"/>
        <v>0</v>
      </c>
      <c r="AS81" s="43">
        <f t="shared" si="131"/>
        <v>0</v>
      </c>
      <c r="AT81" s="43">
        <f t="shared" si="131"/>
        <v>0</v>
      </c>
      <c r="AU81" s="43">
        <f t="shared" si="131"/>
        <v>0</v>
      </c>
      <c r="AV81" s="43">
        <f t="shared" si="131"/>
        <v>0</v>
      </c>
      <c r="AW81" s="43">
        <f t="shared" si="131"/>
        <v>0</v>
      </c>
      <c r="AX81" s="43">
        <f t="shared" si="131"/>
        <v>0</v>
      </c>
      <c r="AY81" s="43">
        <f t="shared" si="131"/>
        <v>0</v>
      </c>
      <c r="AZ81" s="43">
        <f t="shared" si="131"/>
        <v>0</v>
      </c>
      <c r="BA81" s="44">
        <f t="shared" si="131"/>
        <v>0</v>
      </c>
      <c r="BB81" s="128">
        <f t="shared" si="123"/>
        <v>38991</v>
      </c>
      <c r="BC81" s="44">
        <f t="shared" si="124"/>
        <v>0</v>
      </c>
      <c r="BD81" s="51"/>
      <c r="BE81" s="128">
        <f t="shared" si="125"/>
        <v>38991</v>
      </c>
      <c r="BF81" s="43">
        <f t="shared" si="132"/>
        <v>0</v>
      </c>
      <c r="BG81" s="43">
        <f t="shared" si="132"/>
        <v>0</v>
      </c>
      <c r="BH81" s="43">
        <f t="shared" si="132"/>
        <v>0</v>
      </c>
      <c r="BI81" s="43">
        <f t="shared" si="132"/>
        <v>0</v>
      </c>
      <c r="BJ81" s="43">
        <f t="shared" si="132"/>
        <v>0</v>
      </c>
      <c r="BK81" s="43">
        <f t="shared" si="132"/>
        <v>0</v>
      </c>
      <c r="BL81" s="43">
        <f t="shared" si="132"/>
        <v>0</v>
      </c>
      <c r="BM81" s="43">
        <f t="shared" si="132"/>
        <v>0</v>
      </c>
      <c r="BN81" s="43">
        <f t="shared" si="132"/>
        <v>0</v>
      </c>
      <c r="BO81" s="43">
        <f t="shared" si="132"/>
        <v>0</v>
      </c>
      <c r="BP81" s="43">
        <f t="shared" si="132"/>
        <v>0</v>
      </c>
      <c r="BQ81" s="43">
        <f t="shared" si="132"/>
        <v>0</v>
      </c>
      <c r="BR81" s="44">
        <f t="shared" si="132"/>
        <v>0</v>
      </c>
      <c r="BS81" s="128">
        <f t="shared" si="126"/>
        <v>38991</v>
      </c>
      <c r="BT81" s="44">
        <f t="shared" si="127"/>
        <v>0</v>
      </c>
      <c r="BU81" s="51"/>
      <c r="BV81" s="51"/>
      <c r="BW81" s="51"/>
      <c r="BX81" s="51"/>
      <c r="BY81" s="51"/>
      <c r="BZ81" s="51"/>
      <c r="CA81" s="51"/>
      <c r="CB81" s="51"/>
      <c r="CC81" s="141">
        <f t="shared" si="94"/>
        <v>36951</v>
      </c>
      <c r="CD81" s="234">
        <f>_xll.xSPRDOPT((VLOOKUP(G81,NGPrices,2,FALSE)+HLOOKUP(D81,Prices,VLOOKUP(G81,move_down,2,FALSE),FALSE)),VLOOKUP(G81,NGPrices,2,FALSE),I81,VLOOKUP(G81,NGPREVPRICES,4,FALSE),HLOOKUP(D81,PREVVOLS,VLOOKUP(G81,MOVE_DOWN2,2,FALSE),FALSE),VLOOKUP(G81,NGPREVPRICES,3,FALSE),HLOOKUP(D81,Correllate,VLOOKUP(G81,CorMove,2,FALSE),FALSE),Q81-$CD$3,R81,$CD$5)*H81-CJ81</f>
        <v>0</v>
      </c>
      <c r="CE81" s="234">
        <f>_xll.xSPRDOPT((VLOOKUP(G81,NGPREVPRICES,2,FALSE)+HLOOKUP(D81,PREVCURVES,VLOOKUP(G81,MOVE_DOWN2,2,FALSE),FALSE)),VLOOKUP(G81,NGPREVPRICES,2,FALSE),CK81,VLOOKUP(G81,NGPrices,4,FALSE),HLOOKUP(D81,PREVVOLS,VLOOKUP(G81,MOVE_DOWN2,2,FALSE),FALSE),VLOOKUP(G81,NGPREVPRICES,3,FALSE),HLOOKUP(D81,Correllate,VLOOKUP(G81,CorMove,2,FALSE),FALSE),Q81-$CD$3,R81,$CJ$5)*H81-CJ81</f>
        <v>0</v>
      </c>
      <c r="CF81" s="10">
        <f t="shared" si="128"/>
        <v>22.853997213373077</v>
      </c>
      <c r="CG81" s="234">
        <f>_xll.xSPRDOPT((VLOOKUP(G81,NGPREVPRICES,2,FALSE)+HLOOKUP(D81,PREVCURVES,VLOOKUP(G81,MOVE_DOWN2,2,FALSE),FALSE)),VLOOKUP(G81,NGPREVPRICES,2,FALSE),CK81,VLOOKUP(G81,NGPREVPRICES,4,FALSE),HLOOKUP(D81,VOLS,VLOOKUP(G81,move_down,2,FALSE),FALSE),VLOOKUP(G81,NGPrices,3,FALSE),HLOOKUP(D81,Correllate,VLOOKUP(G81,CorMove,2,FALSE),FALSE),Q81-$CD$3,R81,$CJ$5)*H81-CJ81</f>
        <v>0</v>
      </c>
      <c r="CH81" s="234">
        <f>_xll.xSPRDOPT((VLOOKUP(G81,NGPREVPRICES,2,FALSE)+HLOOKUP(D81,PREVCURVES,VLOOKUP(G81,MOVE_DOWN2,2,FALSE),FALSE)),VLOOKUP(G81,NGPREVPRICES,2,FALSE),CK81,VLOOKUP(G81,NGPREVPRICES,4,FALSE),HLOOKUP(D81,PREVVOLS,VLOOKUP(G81,MOVE_DOWN2,2,FALSE),FALSE),VLOOKUP(G81,NGPREVPRICES,3,FALSE),HLOOKUP(D81,Correllate,VLOOKUP(G81,CorMove,2,FALSE),FALSE),Q81-$C$3,R81,$CJ$5)*H81-CJ81</f>
        <v>326.4586871330248</v>
      </c>
      <c r="CI81" s="234">
        <f t="shared" si="129"/>
        <v>349.31268434639787</v>
      </c>
      <c r="CJ81" s="234">
        <f>_xll.xSPRDOPT((VLOOKUP(G81,NGPREVPRICES,2,FALSE)+HLOOKUP(D81,PREVCURVES,VLOOKUP(G81,MOVE_DOWN2,2,FALSE),FALSE)),VLOOKUP(G81,NGPREVPRICES,2,FALSE),CK81,VLOOKUP(G81,NGPREVPRICES,4,FALSE),HLOOKUP(D81,PREVVOLS,VLOOKUP(G81,MOVE_DOWN2,2,FALSE),FALSE),VLOOKUP(G81,NGPREVPRICES,3,FALSE),HLOOKUP(D81,Correllate,VLOOKUP(G81,CorMove,2,FALSE),FALSE),Q81-$CD$3,R81,$CJ$5)*H81</f>
        <v>-119164.64038472925</v>
      </c>
      <c r="CK81" s="235">
        <f t="shared" si="97"/>
        <v>1.1499999999999999</v>
      </c>
      <c r="CL81" s="234"/>
      <c r="CM81" t="str">
        <f t="shared" si="130"/>
        <v>36951Curve Shift/Gamma</v>
      </c>
      <c r="CN81" t="str">
        <f t="shared" si="107"/>
        <v>36951Rho</v>
      </c>
      <c r="CO81" t="str">
        <f t="shared" si="108"/>
        <v>36951Drift</v>
      </c>
      <c r="CP81" t="str">
        <f t="shared" si="109"/>
        <v>36951Vega</v>
      </c>
      <c r="CQ81" t="str">
        <f t="shared" si="110"/>
        <v>36951Theta</v>
      </c>
    </row>
    <row r="82" spans="1:95" ht="12" customHeight="1" x14ac:dyDescent="0.25">
      <c r="A82" s="382" t="s">
        <v>279</v>
      </c>
      <c r="B82" t="s">
        <v>250</v>
      </c>
      <c r="C82" t="s">
        <v>309</v>
      </c>
      <c r="D82" s="4" t="s">
        <v>7</v>
      </c>
      <c r="E82" t="s">
        <v>20</v>
      </c>
      <c r="F82" t="s">
        <v>21</v>
      </c>
      <c r="G82" s="5">
        <v>36923</v>
      </c>
      <c r="H82" s="130">
        <v>-250000</v>
      </c>
      <c r="I82">
        <v>1.1499999999999999</v>
      </c>
      <c r="J82" s="53">
        <f t="shared" si="113"/>
        <v>4.4800000000000004</v>
      </c>
      <c r="K82" s="7">
        <f t="shared" si="114"/>
        <v>2.09</v>
      </c>
      <c r="L82" s="53">
        <f t="shared" si="115"/>
        <v>6.57</v>
      </c>
      <c r="M82" s="157">
        <f t="shared" si="101"/>
        <v>6.8640161611372E-2</v>
      </c>
      <c r="N82" s="4">
        <f t="shared" si="102"/>
        <v>0.59250000000000003</v>
      </c>
      <c r="O82" s="4">
        <f t="shared" si="103"/>
        <v>0.68100000000000005</v>
      </c>
      <c r="P82" s="9">
        <f t="shared" si="104"/>
        <v>0.83</v>
      </c>
      <c r="Q82" s="5">
        <f t="shared" si="116"/>
        <v>36921</v>
      </c>
      <c r="R82" s="4">
        <f t="shared" si="105"/>
        <v>1</v>
      </c>
      <c r="S82" s="158">
        <f>_xll.xSPRDOPT($L82,$J82,$I82,$M82,$O82,$N82,$P82,$Q82-$C$3,$R82,0)</f>
        <v>1.1637603397326721</v>
      </c>
      <c r="T82" s="159">
        <f>_xll.xSPRDOPT($L82,$J82,$I82,$M82,$O82,$N82,$P82,$Q82-$C$3,$R82,1)*H82</f>
        <v>-186833.67504620118</v>
      </c>
      <c r="U82" s="160">
        <f t="shared" si="92"/>
        <v>-290940.08493316802</v>
      </c>
      <c r="V82" s="159">
        <f>_xll.xSPRDOPT($L82,$J82,$I82,$M82,$O82,$N82,$P82,$Q82-$C$3,$R82,2)*H82</f>
        <v>168115.67192259582</v>
      </c>
      <c r="W82" s="159">
        <f t="shared" si="106"/>
        <v>-18718.003123605362</v>
      </c>
      <c r="X82" s="51" t="str">
        <f t="shared" si="117"/>
        <v>36923IF-TRANSCO/Z6</v>
      </c>
      <c r="Y82" s="418">
        <f t="shared" si="118"/>
        <v>-25</v>
      </c>
      <c r="Z82" s="456">
        <f t="shared" si="119"/>
        <v>0.74733470018480475</v>
      </c>
      <c r="AA82" s="456">
        <f>_xll.xSPRDOPT($L82,$J82,$I82,$M82,$O82,$N82,$P82,$Q82-$C$3,$R82,3)</f>
        <v>0.17629992042757986</v>
      </c>
      <c r="AB82" s="456">
        <f>((_xll.xSPRDOPT($L82+AB$5,$J82,$I82,$M82,$O82,$N82,$P82,$Q82-$C$3,$R82,3)*$H82)/10000)/100</f>
        <v>-4.4074980106894965E-2</v>
      </c>
      <c r="AC82" s="456">
        <f>((_xll.xSPRDOPT($L82+$AB$5,$J82,$I82,$M82,$O82,$N82,$P82,$Q82-$C$3,$R82,7)*$H82)/100)</f>
        <v>2556.650878062685</v>
      </c>
      <c r="AD82" s="456">
        <f>(_xll.xSPRDOPT($L82+$AB$5,$J82,$I82,$M82,$O82,$N82,$P82,$Q82-$C$3,$R82,9)/365)*$H82</f>
        <v>349.48004705704858</v>
      </c>
      <c r="AE82">
        <f t="shared" si="120"/>
        <v>0</v>
      </c>
      <c r="AF82" s="456">
        <f t="shared" si="121"/>
        <v>-2099.6825154957319</v>
      </c>
      <c r="AG82" s="456">
        <f>((_xll.xSPRDOPT($L82,$J82,$I82,$M82,$O82,$N82,$P82,$Q82-$C$3,$R82,6)*$H82)/100)</f>
        <v>597.41330364414137</v>
      </c>
      <c r="AH82" s="456">
        <f>((_xll.xSPRDOPT($L82,$J82,$I82,$M82,$O82,$N82,$P82,$Q82-$C$3,$R82,5)*$H82)/100)</f>
        <v>-2346.5921774454841</v>
      </c>
      <c r="AI82" s="456">
        <f>(((_xll.xSPRDOPT($L82,$J82,$I82,$M82,$O82,$N82,$P82,$Q82-$C$3,$R82,4)*$H82)/10000)/100)-AB82</f>
        <v>-1.5440231545035737E-2</v>
      </c>
      <c r="AJ82" s="456"/>
      <c r="AK82" s="456"/>
      <c r="AL82" s="456"/>
      <c r="AM82" s="472"/>
      <c r="AN82" s="128">
        <f t="shared" si="122"/>
        <v>39022</v>
      </c>
      <c r="AO82" s="43">
        <f t="shared" si="131"/>
        <v>0</v>
      </c>
      <c r="AP82" s="43">
        <f t="shared" si="131"/>
        <v>0</v>
      </c>
      <c r="AQ82" s="43">
        <f t="shared" si="131"/>
        <v>0</v>
      </c>
      <c r="AR82" s="43">
        <f t="shared" si="131"/>
        <v>0</v>
      </c>
      <c r="AS82" s="43">
        <f t="shared" si="131"/>
        <v>0</v>
      </c>
      <c r="AT82" s="43">
        <f t="shared" si="131"/>
        <v>0</v>
      </c>
      <c r="AU82" s="43">
        <f t="shared" si="131"/>
        <v>0</v>
      </c>
      <c r="AV82" s="43">
        <f t="shared" si="131"/>
        <v>0</v>
      </c>
      <c r="AW82" s="43">
        <f t="shared" si="131"/>
        <v>0</v>
      </c>
      <c r="AX82" s="43">
        <f t="shared" si="131"/>
        <v>0</v>
      </c>
      <c r="AY82" s="43">
        <f t="shared" si="131"/>
        <v>0</v>
      </c>
      <c r="AZ82" s="43">
        <f t="shared" si="131"/>
        <v>0</v>
      </c>
      <c r="BA82" s="44">
        <f t="shared" si="131"/>
        <v>0</v>
      </c>
      <c r="BB82" s="128">
        <f t="shared" si="123"/>
        <v>39022</v>
      </c>
      <c r="BC82" s="44">
        <f t="shared" si="124"/>
        <v>0</v>
      </c>
      <c r="BD82" s="51"/>
      <c r="BE82" s="128">
        <f t="shared" si="125"/>
        <v>39022</v>
      </c>
      <c r="BF82" s="43">
        <f t="shared" si="132"/>
        <v>0</v>
      </c>
      <c r="BG82" s="43">
        <f t="shared" si="132"/>
        <v>0</v>
      </c>
      <c r="BH82" s="43">
        <f t="shared" si="132"/>
        <v>0</v>
      </c>
      <c r="BI82" s="43">
        <f t="shared" si="132"/>
        <v>0</v>
      </c>
      <c r="BJ82" s="43">
        <f t="shared" si="132"/>
        <v>0</v>
      </c>
      <c r="BK82" s="43">
        <f t="shared" si="132"/>
        <v>0</v>
      </c>
      <c r="BL82" s="43">
        <f t="shared" si="132"/>
        <v>0</v>
      </c>
      <c r="BM82" s="43">
        <f t="shared" si="132"/>
        <v>0</v>
      </c>
      <c r="BN82" s="43">
        <f t="shared" si="132"/>
        <v>0</v>
      </c>
      <c r="BO82" s="43">
        <f t="shared" si="132"/>
        <v>0</v>
      </c>
      <c r="BP82" s="43">
        <f t="shared" si="132"/>
        <v>0</v>
      </c>
      <c r="BQ82" s="43">
        <f t="shared" si="132"/>
        <v>0</v>
      </c>
      <c r="BR82" s="44">
        <f t="shared" si="132"/>
        <v>0</v>
      </c>
      <c r="BS82" s="128">
        <f t="shared" si="126"/>
        <v>39022</v>
      </c>
      <c r="BT82" s="44">
        <f t="shared" si="127"/>
        <v>0</v>
      </c>
      <c r="BU82" s="51"/>
      <c r="BV82" s="51"/>
      <c r="BW82" s="51"/>
      <c r="BX82" s="51"/>
      <c r="BY82" s="51"/>
      <c r="BZ82" s="51"/>
      <c r="CA82" s="51"/>
      <c r="CB82" s="51"/>
      <c r="CC82" s="141">
        <f t="shared" si="94"/>
        <v>36923</v>
      </c>
      <c r="CD82" s="234">
        <f>_xll.xSPRDOPT((VLOOKUP(G82,NGPrices,2,FALSE)+HLOOKUP(D82,Prices,VLOOKUP(G82,move_down,2,FALSE),FALSE)),VLOOKUP(G82,NGPrices,2,FALSE),I82,VLOOKUP(G82,NGPREVPRICES,4,FALSE),HLOOKUP(D82,PREVVOLS,VLOOKUP(G82,MOVE_DOWN2,2,FALSE),FALSE),VLOOKUP(G82,NGPREVPRICES,3,FALSE),HLOOKUP(D82,Correllate,VLOOKUP(G82,CorMove,2,FALSE),FALSE),Q82-$CD$3,R82,$CD$5)*H82-CJ82</f>
        <v>0</v>
      </c>
      <c r="CE82" s="234">
        <f>_xll.xSPRDOPT((VLOOKUP(G82,NGPREVPRICES,2,FALSE)+HLOOKUP(D82,PREVCURVES,VLOOKUP(G82,MOVE_DOWN2,2,FALSE),FALSE)),VLOOKUP(G82,NGPREVPRICES,2,FALSE),CK82,VLOOKUP(G82,NGPrices,4,FALSE),HLOOKUP(D82,PREVVOLS,VLOOKUP(G82,MOVE_DOWN2,2,FALSE),FALSE),VLOOKUP(G82,NGPREVPRICES,3,FALSE),HLOOKUP(D82,Correllate,VLOOKUP(G82,CorMove,2,FALSE),FALSE),Q82-$CD$3,R82,$CJ$5)*H82-CJ82</f>
        <v>0</v>
      </c>
      <c r="CF82" s="10">
        <f t="shared" si="128"/>
        <v>55.399776929290965</v>
      </c>
      <c r="CG82" s="234">
        <f>_xll.xSPRDOPT((VLOOKUP(G82,NGPREVPRICES,2,FALSE)+HLOOKUP(D82,PREVCURVES,VLOOKUP(G82,MOVE_DOWN2,2,FALSE),FALSE)),VLOOKUP(G82,NGPREVPRICES,2,FALSE),CK82,VLOOKUP(G82,NGPREVPRICES,4,FALSE),HLOOKUP(D82,VOLS,VLOOKUP(G82,move_down,2,FALSE),FALSE),VLOOKUP(G82,NGPrices,3,FALSE),HLOOKUP(D82,Correllate,VLOOKUP(G82,CorMove,2,FALSE),FALSE),Q82-$CD$3,R82,$CJ$5)*H82-CJ82</f>
        <v>0</v>
      </c>
      <c r="CH82" s="234">
        <f>_xll.xSPRDOPT((VLOOKUP(G82,NGPREVPRICES,2,FALSE)+HLOOKUP(D82,PREVCURVES,VLOOKUP(G82,MOVE_DOWN2,2,FALSE),FALSE)),VLOOKUP(G82,NGPREVPRICES,2,FALSE),CK82,VLOOKUP(G82,NGPREVPRICES,4,FALSE),HLOOKUP(D82,PREVVOLS,VLOOKUP(G82,MOVE_DOWN2,2,FALSE),FALSE),VLOOKUP(G82,NGPREVPRICES,3,FALSE),HLOOKUP(D82,Correllate,VLOOKUP(G82,CorMove,2,FALSE),FALSE),Q82-$C$3,R82,$CJ$5)*H82-CJ82</f>
        <v>348.75142028596019</v>
      </c>
      <c r="CI82" s="234">
        <f t="shared" si="129"/>
        <v>404.15119721525116</v>
      </c>
      <c r="CJ82" s="234">
        <f>_xll.xSPRDOPT((VLOOKUP(G82,NGPREVPRICES,2,FALSE)+HLOOKUP(D82,PREVCURVES,VLOOKUP(G82,MOVE_DOWN2,2,FALSE),FALSE)),VLOOKUP(G82,NGPREVPRICES,2,FALSE),CK82,VLOOKUP(G82,NGPREVPRICES,4,FALSE),HLOOKUP(D82,PREVVOLS,VLOOKUP(G82,MOVE_DOWN2,2,FALSE),FALSE),VLOOKUP(G82,NGPREVPRICES,3,FALSE),HLOOKUP(D82,Correllate,VLOOKUP(G82,CorMove,2,FALSE),FALSE),Q82-$CD$3,R82,$CJ$5)*H82</f>
        <v>-291288.83635345398</v>
      </c>
      <c r="CK82" s="235">
        <f t="shared" si="97"/>
        <v>1.1499999999999999</v>
      </c>
      <c r="CL82" s="234"/>
      <c r="CM82" t="str">
        <f t="shared" si="130"/>
        <v>36923Curve Shift/Gamma</v>
      </c>
      <c r="CN82" t="str">
        <f t="shared" si="107"/>
        <v>36923Rho</v>
      </c>
      <c r="CO82" t="str">
        <f t="shared" si="108"/>
        <v>36923Drift</v>
      </c>
      <c r="CP82" t="str">
        <f t="shared" si="109"/>
        <v>36923Vega</v>
      </c>
      <c r="CQ82" t="str">
        <f t="shared" si="110"/>
        <v>36923Theta</v>
      </c>
    </row>
    <row r="83" spans="1:95" ht="12" customHeight="1" x14ac:dyDescent="0.25">
      <c r="A83" s="382" t="s">
        <v>279</v>
      </c>
      <c r="B83" t="s">
        <v>250</v>
      </c>
      <c r="C83" t="s">
        <v>309</v>
      </c>
      <c r="D83" s="4" t="s">
        <v>7</v>
      </c>
      <c r="E83" t="s">
        <v>20</v>
      </c>
      <c r="F83" t="s">
        <v>21</v>
      </c>
      <c r="G83" s="5">
        <v>36892</v>
      </c>
      <c r="H83" s="130">
        <v>-250000</v>
      </c>
      <c r="I83">
        <v>1.1499999999999999</v>
      </c>
      <c r="J83" s="53">
        <f t="shared" si="113"/>
        <v>4.7439999999999998</v>
      </c>
      <c r="K83" s="7">
        <f t="shared" si="114"/>
        <v>2.17</v>
      </c>
      <c r="L83" s="53">
        <f t="shared" si="115"/>
        <v>6.9139999999999997</v>
      </c>
      <c r="M83" s="157">
        <f t="shared" si="101"/>
        <v>6.8374831148490994E-2</v>
      </c>
      <c r="N83" s="4">
        <f t="shared" si="102"/>
        <v>0.60499999999999998</v>
      </c>
      <c r="O83" s="4">
        <f t="shared" si="103"/>
        <v>0.69599999999999995</v>
      </c>
      <c r="P83" s="9">
        <f t="shared" si="104"/>
        <v>0.83</v>
      </c>
      <c r="Q83" s="5">
        <f t="shared" si="116"/>
        <v>36888</v>
      </c>
      <c r="R83" s="4">
        <f t="shared" si="105"/>
        <v>1</v>
      </c>
      <c r="S83" s="158">
        <f>_xll.xSPRDOPT($L83,$J83,$I83,$M83,$O83,$N83,$P83,$Q83-$C$3,$R83,0)</f>
        <v>1.2038189306132381</v>
      </c>
      <c r="T83" s="159">
        <f>_xll.xSPRDOPT($L83,$J83,$I83,$M83,$O83,$N83,$P83,$Q83-$C$3,$R83,1)*H83</f>
        <v>-193416.28015456401</v>
      </c>
      <c r="U83" s="160">
        <f t="shared" si="92"/>
        <v>-300954.73265330953</v>
      </c>
      <c r="V83" s="159">
        <f>_xll.xSPRDOPT($L83,$J83,$I83,$M83,$O83,$N83,$P83,$Q83-$C$3,$R83,2)*H83</f>
        <v>177213.54190169516</v>
      </c>
      <c r="W83" s="159">
        <f t="shared" si="106"/>
        <v>-16202.738252868847</v>
      </c>
      <c r="X83" s="51" t="str">
        <f t="shared" si="117"/>
        <v>36892IF-TRANSCO/Z6</v>
      </c>
      <c r="Y83" s="418">
        <f t="shared" si="118"/>
        <v>-25</v>
      </c>
      <c r="Z83" s="456">
        <f t="shared" si="119"/>
        <v>0.7736651206182561</v>
      </c>
      <c r="AA83" s="456">
        <f>_xll.xSPRDOPT($L83,$J83,$I83,$M83,$O83,$N83,$P83,$Q83-$C$3,$R83,3)</f>
        <v>0.17621191536190761</v>
      </c>
      <c r="AB83" s="456">
        <f>((_xll.xSPRDOPT($L83+AB$5,$J83,$I83,$M83,$O83,$N83,$P83,$Q83-$C$3,$R83,3)*$H83)/10000)/100</f>
        <v>-4.4052978840476903E-2</v>
      </c>
      <c r="AC83" s="456">
        <f>((_xll.xSPRDOPT($L83+$AB$5,$J83,$I83,$M83,$O83,$N83,$P83,$Q83-$C$3,$R83,7)*$H83)/100)</f>
        <v>2345.7185139239045</v>
      </c>
      <c r="AD83" s="456">
        <f>(_xll.xSPRDOPT($L83+$AB$5,$J83,$I83,$M83,$O83,$N83,$P83,$Q83-$C$3,$R83,9)/365)*$H83</f>
        <v>407.38566869146052</v>
      </c>
      <c r="AE83">
        <f t="shared" si="120"/>
        <v>0</v>
      </c>
      <c r="AF83" s="456">
        <f t="shared" si="121"/>
        <v>-1853.7823172238418</v>
      </c>
      <c r="AG83" s="456">
        <f>((_xll.xSPRDOPT($L83,$J83,$I83,$M83,$O83,$N83,$P83,$Q83-$C$3,$R83,6)*$H83)/100)</f>
        <v>514.02753637537626</v>
      </c>
      <c r="AH83" s="456">
        <f>((_xll.xSPRDOPT($L83,$J83,$I83,$M83,$O83,$N83,$P83,$Q83-$C$3,$R83,5)*$H83)/100)</f>
        <v>-2058.225519292424</v>
      </c>
      <c r="AI83" s="456">
        <f>(((_xll.xSPRDOPT($L83,$J83,$I83,$M83,$O83,$N83,$P83,$Q83-$C$3,$R83,4)*$H83)/10000)/100)-AB83</f>
        <v>-1.5895064896271016E-2</v>
      </c>
      <c r="AJ83" s="456"/>
      <c r="AK83" s="456"/>
      <c r="AL83" s="456"/>
      <c r="AM83" s="472"/>
      <c r="AN83" s="128">
        <f t="shared" si="122"/>
        <v>39052</v>
      </c>
      <c r="AO83" s="43">
        <f t="shared" si="131"/>
        <v>0</v>
      </c>
      <c r="AP83" s="43">
        <f t="shared" si="131"/>
        <v>0</v>
      </c>
      <c r="AQ83" s="43">
        <f t="shared" si="131"/>
        <v>0</v>
      </c>
      <c r="AR83" s="43">
        <f t="shared" si="131"/>
        <v>0</v>
      </c>
      <c r="AS83" s="43">
        <f t="shared" si="131"/>
        <v>0</v>
      </c>
      <c r="AT83" s="43">
        <f t="shared" si="131"/>
        <v>0</v>
      </c>
      <c r="AU83" s="43">
        <f t="shared" si="131"/>
        <v>0</v>
      </c>
      <c r="AV83" s="43">
        <f t="shared" si="131"/>
        <v>0</v>
      </c>
      <c r="AW83" s="43">
        <f t="shared" si="131"/>
        <v>0</v>
      </c>
      <c r="AX83" s="43">
        <f t="shared" si="131"/>
        <v>0</v>
      </c>
      <c r="AY83" s="43">
        <f t="shared" si="131"/>
        <v>0</v>
      </c>
      <c r="AZ83" s="43">
        <f t="shared" si="131"/>
        <v>0</v>
      </c>
      <c r="BA83" s="44">
        <f t="shared" si="131"/>
        <v>0</v>
      </c>
      <c r="BB83" s="128">
        <f t="shared" si="123"/>
        <v>39052</v>
      </c>
      <c r="BC83" s="44">
        <f t="shared" si="124"/>
        <v>0</v>
      </c>
      <c r="BD83" s="51"/>
      <c r="BE83" s="128">
        <f t="shared" si="125"/>
        <v>39052</v>
      </c>
      <c r="BF83" s="43">
        <f t="shared" si="132"/>
        <v>0</v>
      </c>
      <c r="BG83" s="43">
        <f t="shared" si="132"/>
        <v>0</v>
      </c>
      <c r="BH83" s="43">
        <f t="shared" si="132"/>
        <v>0</v>
      </c>
      <c r="BI83" s="43">
        <f t="shared" si="132"/>
        <v>0</v>
      </c>
      <c r="BJ83" s="43">
        <f t="shared" si="132"/>
        <v>0</v>
      </c>
      <c r="BK83" s="43">
        <f t="shared" si="132"/>
        <v>0</v>
      </c>
      <c r="BL83" s="43">
        <f t="shared" si="132"/>
        <v>0</v>
      </c>
      <c r="BM83" s="43">
        <f t="shared" si="132"/>
        <v>0</v>
      </c>
      <c r="BN83" s="43">
        <f t="shared" si="132"/>
        <v>0</v>
      </c>
      <c r="BO83" s="43">
        <f t="shared" si="132"/>
        <v>0</v>
      </c>
      <c r="BP83" s="43">
        <f t="shared" si="132"/>
        <v>0</v>
      </c>
      <c r="BQ83" s="43">
        <f t="shared" si="132"/>
        <v>0</v>
      </c>
      <c r="BR83" s="44">
        <f t="shared" si="132"/>
        <v>0</v>
      </c>
      <c r="BS83" s="128">
        <f t="shared" si="126"/>
        <v>39052</v>
      </c>
      <c r="BT83" s="44">
        <f t="shared" si="127"/>
        <v>0</v>
      </c>
      <c r="BU83" s="51"/>
      <c r="BV83" s="51"/>
      <c r="BW83" s="51"/>
      <c r="BX83" s="51"/>
      <c r="BY83" s="51"/>
      <c r="BZ83" s="51"/>
      <c r="CA83" s="51"/>
      <c r="CB83" s="51"/>
      <c r="CC83" s="141">
        <f t="shared" si="94"/>
        <v>36892</v>
      </c>
      <c r="CD83" s="234">
        <f>_xll.xSPRDOPT((VLOOKUP(G83,NGPrices,2,FALSE)+HLOOKUP(D83,Prices,VLOOKUP(G83,move_down,2,FALSE),FALSE)),VLOOKUP(G83,NGPrices,2,FALSE),I83,VLOOKUP(G83,NGPREVPRICES,4,FALSE),HLOOKUP(D83,PREVVOLS,VLOOKUP(G83,MOVE_DOWN2,2,FALSE),FALSE),VLOOKUP(G83,NGPREVPRICES,3,FALSE),HLOOKUP(D83,Correllate,VLOOKUP(G83,CorMove,2,FALSE),FALSE),Q83-$CD$3,R83,$CD$5)*H83-CJ83</f>
        <v>0</v>
      </c>
      <c r="CE83" s="234">
        <f>_xll.xSPRDOPT((VLOOKUP(G83,NGPREVPRICES,2,FALSE)+HLOOKUP(D83,PREVCURVES,VLOOKUP(G83,MOVE_DOWN2,2,FALSE),FALSE)),VLOOKUP(G83,NGPREVPRICES,2,FALSE),CK83,VLOOKUP(G83,NGPrices,4,FALSE),HLOOKUP(D83,PREVVOLS,VLOOKUP(G83,MOVE_DOWN2,2,FALSE),FALSE),VLOOKUP(G83,NGPREVPRICES,3,FALSE),HLOOKUP(D83,Correllate,VLOOKUP(G83,CorMove,2,FALSE),FALSE),Q83-$CD$3,R83,$CJ$5)*H83-CJ83</f>
        <v>0</v>
      </c>
      <c r="CF83" s="10">
        <f t="shared" si="128"/>
        <v>56.78886610432528</v>
      </c>
      <c r="CG83" s="234">
        <f>_xll.xSPRDOPT((VLOOKUP(G83,NGPREVPRICES,2,FALSE)+HLOOKUP(D83,PREVCURVES,VLOOKUP(G83,MOVE_DOWN2,2,FALSE),FALSE)),VLOOKUP(G83,NGPREVPRICES,2,FALSE),CK83,VLOOKUP(G83,NGPREVPRICES,4,FALSE),HLOOKUP(D83,VOLS,VLOOKUP(G83,move_down,2,FALSE),FALSE),VLOOKUP(G83,NGPrices,3,FALSE),HLOOKUP(D83,Correllate,VLOOKUP(G83,CorMove,2,FALSE),FALSE),Q83-$CD$3,R83,$CJ$5)*H83-CJ83</f>
        <v>0</v>
      </c>
      <c r="CH83" s="234">
        <f>_xll.xSPRDOPT((VLOOKUP(G83,NGPREVPRICES,2,FALSE)+HLOOKUP(D83,PREVCURVES,VLOOKUP(G83,MOVE_DOWN2,2,FALSE),FALSE)),VLOOKUP(G83,NGPREVPRICES,2,FALSE),CK83,VLOOKUP(G83,NGPREVPRICES,4,FALSE),HLOOKUP(D83,PREVVOLS,VLOOKUP(G83,MOVE_DOWN2,2,FALSE),FALSE),VLOOKUP(G83,NGPREVPRICES,3,FALSE),HLOOKUP(D83,Correllate,VLOOKUP(G83,CorMove,2,FALSE),FALSE),Q83-$C$3,R83,$CJ$5)*H83-CJ83</f>
        <v>406.52433906676015</v>
      </c>
      <c r="CI83" s="234">
        <f t="shared" si="129"/>
        <v>463.31320517108543</v>
      </c>
      <c r="CJ83" s="234">
        <f>_xll.xSPRDOPT((VLOOKUP(G83,NGPREVPRICES,2,FALSE)+HLOOKUP(D83,PREVCURVES,VLOOKUP(G83,MOVE_DOWN2,2,FALSE),FALSE)),VLOOKUP(G83,NGPREVPRICES,2,FALSE),CK83,VLOOKUP(G83,NGPREVPRICES,4,FALSE),HLOOKUP(D83,PREVVOLS,VLOOKUP(G83,MOVE_DOWN2,2,FALSE),FALSE),VLOOKUP(G83,NGPREVPRICES,3,FALSE),HLOOKUP(D83,Correllate,VLOOKUP(G83,CorMove,2,FALSE),FALSE),Q83-$CD$3,R83,$CJ$5)*H83</f>
        <v>-301361.25699237629</v>
      </c>
      <c r="CK83" s="235">
        <f t="shared" si="97"/>
        <v>1.1499999999999999</v>
      </c>
      <c r="CL83" s="234"/>
      <c r="CM83" t="str">
        <f t="shared" si="130"/>
        <v>36892Curve Shift/Gamma</v>
      </c>
      <c r="CN83" t="str">
        <f t="shared" si="107"/>
        <v>36892Rho</v>
      </c>
      <c r="CO83" t="str">
        <f t="shared" si="108"/>
        <v>36892Drift</v>
      </c>
      <c r="CP83" t="str">
        <f t="shared" si="109"/>
        <v>36892Vega</v>
      </c>
      <c r="CQ83" t="str">
        <f t="shared" si="110"/>
        <v>36892Theta</v>
      </c>
    </row>
    <row r="84" spans="1:95" ht="12" customHeight="1" x14ac:dyDescent="0.25">
      <c r="A84" s="382" t="s">
        <v>279</v>
      </c>
      <c r="B84" t="s">
        <v>250</v>
      </c>
      <c r="C84" t="s">
        <v>309</v>
      </c>
      <c r="D84" s="4" t="s">
        <v>7</v>
      </c>
      <c r="E84" t="s">
        <v>20</v>
      </c>
      <c r="F84" t="s">
        <v>21</v>
      </c>
      <c r="G84" s="5">
        <v>36861</v>
      </c>
      <c r="H84" s="130">
        <v>-250000</v>
      </c>
      <c r="I84">
        <v>1.1499999999999999</v>
      </c>
      <c r="J84" s="53">
        <f t="shared" si="113"/>
        <v>4.8</v>
      </c>
      <c r="K84" s="7">
        <f t="shared" si="114"/>
        <v>1.645</v>
      </c>
      <c r="L84" s="53">
        <f t="shared" si="115"/>
        <v>6.4450000000000003</v>
      </c>
      <c r="M84" s="157">
        <f t="shared" si="101"/>
        <v>6.8314027999354002E-2</v>
      </c>
      <c r="N84" s="4">
        <f t="shared" si="102"/>
        <v>0.6</v>
      </c>
      <c r="O84" s="4">
        <f t="shared" si="103"/>
        <v>0.69</v>
      </c>
      <c r="P84" s="9">
        <f t="shared" si="104"/>
        <v>0.83</v>
      </c>
      <c r="Q84" s="5">
        <f t="shared" si="116"/>
        <v>36859</v>
      </c>
      <c r="R84" s="4">
        <f t="shared" si="105"/>
        <v>1</v>
      </c>
      <c r="S84" s="158">
        <f>_xll.xSPRDOPT($L84,$J84,$I84,$M84,$O84,$N84,$P84,$Q84-$C$3,$R84,0)</f>
        <v>0.76336341489400872</v>
      </c>
      <c r="T84" s="159">
        <f>_xll.xSPRDOPT($L84,$J84,$I84,$M84,$O84,$N84,$P84,$Q84-$C$3,$R84,1)*H84</f>
        <v>-170242.53694106787</v>
      </c>
      <c r="U84" s="160">
        <f t="shared" si="92"/>
        <v>-190840.85372350219</v>
      </c>
      <c r="V84" s="159">
        <f>_xll.xSPRDOPT($L84,$J84,$I84,$M84,$O84,$N84,$P84,$Q84-$C$3,$R84,2)*H84</f>
        <v>153611.02343516814</v>
      </c>
      <c r="W84" s="159">
        <f t="shared" si="106"/>
        <v>-16631.513505899726</v>
      </c>
      <c r="X84" s="51" t="str">
        <f t="shared" si="117"/>
        <v>36861IF-TRANSCO/Z6</v>
      </c>
      <c r="Y84" s="418">
        <f t="shared" si="118"/>
        <v>-25</v>
      </c>
      <c r="Z84" s="456">
        <f t="shared" si="119"/>
        <v>0.68097014776427145</v>
      </c>
      <c r="AA84" s="456">
        <f>_xll.xSPRDOPT($L84,$J84,$I84,$M84,$O84,$N84,$P84,$Q84-$C$3,$R84,3)</f>
        <v>0.26984689871019807</v>
      </c>
      <c r="AB84" s="456">
        <f>((_xll.xSPRDOPT($L84+AB$5,$J84,$I84,$M84,$O84,$N84,$P84,$Q84-$C$3,$R84,3)*$H84)/10000)/100</f>
        <v>-6.7461724677549517E-2</v>
      </c>
      <c r="AC84" s="456">
        <f>((_xll.xSPRDOPT($L84+$AB$5,$J84,$I84,$M84,$O84,$N84,$P84,$Q84-$C$3,$R84,7)*$H84)/100)</f>
        <v>2350.4793650299757</v>
      </c>
      <c r="AD84" s="456">
        <f>(_xll.xSPRDOPT($L84+$AB$5,$J84,$I84,$M84,$O84,$N84,$P84,$Q84-$C$3,$R84,9)/365)*$H84</f>
        <v>566.95899608372247</v>
      </c>
      <c r="AE84">
        <f t="shared" si="120"/>
        <v>0</v>
      </c>
      <c r="AF84" s="456">
        <f t="shared" si="121"/>
        <v>-1846.9447335213754</v>
      </c>
      <c r="AG84" s="456">
        <f>((_xll.xSPRDOPT($L84,$J84,$I84,$M84,$O84,$N84,$P84,$Q84-$C$3,$R84,6)*$H84)/100)</f>
        <v>502.3335211549155</v>
      </c>
      <c r="AH84" s="456">
        <f>((_xll.xSPRDOPT($L84,$J84,$I84,$M84,$O84,$N84,$P84,$Q84-$C$3,$R84,5)*$H84)/100)</f>
        <v>-2042.8506562402533</v>
      </c>
      <c r="AI84" s="456">
        <f>(((_xll.xSPRDOPT($L84,$J84,$I84,$M84,$O84,$N84,$P84,$Q84-$C$3,$R84,4)*$H84)/10000)/100)-AB84</f>
        <v>-1.1490796336067047E-2</v>
      </c>
      <c r="AJ84" s="456"/>
      <c r="AK84" s="456"/>
      <c r="AL84" s="456"/>
      <c r="AM84" s="472"/>
      <c r="AN84" s="128">
        <f t="shared" si="122"/>
        <v>39083</v>
      </c>
      <c r="AO84" s="43">
        <f t="shared" si="131"/>
        <v>0</v>
      </c>
      <c r="AP84" s="43">
        <f t="shared" si="131"/>
        <v>0</v>
      </c>
      <c r="AQ84" s="43">
        <f t="shared" si="131"/>
        <v>0</v>
      </c>
      <c r="AR84" s="43">
        <f t="shared" si="131"/>
        <v>0</v>
      </c>
      <c r="AS84" s="43">
        <f t="shared" si="131"/>
        <v>0</v>
      </c>
      <c r="AT84" s="43">
        <f t="shared" si="131"/>
        <v>0</v>
      </c>
      <c r="AU84" s="43">
        <f t="shared" si="131"/>
        <v>0</v>
      </c>
      <c r="AV84" s="43">
        <f t="shared" si="131"/>
        <v>0</v>
      </c>
      <c r="AW84" s="43">
        <f t="shared" si="131"/>
        <v>0</v>
      </c>
      <c r="AX84" s="43">
        <f t="shared" si="131"/>
        <v>0</v>
      </c>
      <c r="AY84" s="43">
        <f t="shared" si="131"/>
        <v>0</v>
      </c>
      <c r="AZ84" s="43">
        <f t="shared" si="131"/>
        <v>0</v>
      </c>
      <c r="BA84" s="44">
        <f t="shared" si="131"/>
        <v>0</v>
      </c>
      <c r="BB84" s="128">
        <f t="shared" si="123"/>
        <v>39083</v>
      </c>
      <c r="BC84" s="44">
        <f t="shared" si="124"/>
        <v>0</v>
      </c>
      <c r="BD84" s="51"/>
      <c r="BE84" s="128">
        <f t="shared" si="125"/>
        <v>39083</v>
      </c>
      <c r="BF84" s="43">
        <f t="shared" si="132"/>
        <v>0</v>
      </c>
      <c r="BG84" s="43">
        <f t="shared" si="132"/>
        <v>0</v>
      </c>
      <c r="BH84" s="43">
        <f t="shared" si="132"/>
        <v>0</v>
      </c>
      <c r="BI84" s="43">
        <f t="shared" si="132"/>
        <v>0</v>
      </c>
      <c r="BJ84" s="43">
        <f t="shared" si="132"/>
        <v>0</v>
      </c>
      <c r="BK84" s="43">
        <f t="shared" si="132"/>
        <v>0</v>
      </c>
      <c r="BL84" s="43">
        <f t="shared" si="132"/>
        <v>0</v>
      </c>
      <c r="BM84" s="43">
        <f t="shared" si="132"/>
        <v>0</v>
      </c>
      <c r="BN84" s="43">
        <f t="shared" si="132"/>
        <v>0</v>
      </c>
      <c r="BO84" s="43">
        <f t="shared" si="132"/>
        <v>0</v>
      </c>
      <c r="BP84" s="43">
        <f t="shared" si="132"/>
        <v>0</v>
      </c>
      <c r="BQ84" s="43">
        <f t="shared" si="132"/>
        <v>0</v>
      </c>
      <c r="BR84" s="44">
        <f t="shared" si="132"/>
        <v>0</v>
      </c>
      <c r="BS84" s="128">
        <f t="shared" si="126"/>
        <v>39083</v>
      </c>
      <c r="BT84" s="44">
        <f t="shared" si="127"/>
        <v>0</v>
      </c>
      <c r="BU84" s="51"/>
      <c r="BV84" s="51"/>
      <c r="BW84" s="51"/>
      <c r="BX84" s="51"/>
      <c r="BY84" s="51"/>
      <c r="BZ84" s="51"/>
      <c r="CA84" s="51"/>
      <c r="CB84" s="51"/>
      <c r="CC84" s="141">
        <f t="shared" si="94"/>
        <v>36861</v>
      </c>
      <c r="CD84" s="234">
        <f>_xll.xSPRDOPT((VLOOKUP(G84,NGPrices,2,FALSE)+HLOOKUP(D84,Prices,VLOOKUP(G84,move_down,2,FALSE),FALSE)),VLOOKUP(G84,NGPrices,2,FALSE),I84,VLOOKUP(G84,NGPREVPRICES,4,FALSE),HLOOKUP(D84,PREVVOLS,VLOOKUP(G84,MOVE_DOWN2,2,FALSE),FALSE),VLOOKUP(G84,NGPREVPRICES,3,FALSE),HLOOKUP(D84,Correllate,VLOOKUP(G84,CorMove,2,FALSE),FALSE),Q84-$CD$3,R84,$CD$5)*H84-CJ84</f>
        <v>0</v>
      </c>
      <c r="CE84" s="234">
        <f>_xll.xSPRDOPT((VLOOKUP(G84,NGPREVPRICES,2,FALSE)+HLOOKUP(D84,PREVCURVES,VLOOKUP(G84,MOVE_DOWN2,2,FALSE),FALSE)),VLOOKUP(G84,NGPREVPRICES,2,FALSE),CK84,VLOOKUP(G84,NGPrices,4,FALSE),HLOOKUP(D84,PREVVOLS,VLOOKUP(G84,MOVE_DOWN2,2,FALSE),FALSE),VLOOKUP(G84,NGPREVPRICES,3,FALSE),HLOOKUP(D84,Correllate,VLOOKUP(G84,CorMove,2,FALSE),FALSE),Q84-$CD$3,R84,$CJ$5)*H84-CJ84</f>
        <v>0</v>
      </c>
      <c r="CF84" s="10">
        <f>(CJ84/VLOOKUP(CC84,discount,3,FALSE))-(CJ84/VLOOKUP(CC84,discount,2,FALSE))</f>
        <v>35.857594201515894</v>
      </c>
      <c r="CG84" s="234">
        <f>_xll.xSPRDOPT((VLOOKUP(G84,NGPREVPRICES,2,FALSE)+HLOOKUP(D84,PREVCURVES,VLOOKUP(G84,MOVE_DOWN2,2,FALSE),FALSE)),VLOOKUP(G84,NGPREVPRICES,2,FALSE),CK84,VLOOKUP(G84,NGPREVPRICES,4,FALSE),HLOOKUP(D84,VOLS,VLOOKUP(G84,move_down,2,FALSE),FALSE),VLOOKUP(G84,NGPrices,3,FALSE),HLOOKUP(D84,Correllate,VLOOKUP(G84,CorMove,2,FALSE),FALSE),Q84-$CD$3,R84,$CJ$5)*H84-CJ84</f>
        <v>0</v>
      </c>
      <c r="CH84" s="234">
        <f>_xll.xSPRDOPT((VLOOKUP(G84,NGPREVPRICES,2,FALSE)+HLOOKUP(D84,PREVCURVES,VLOOKUP(G84,MOVE_DOWN2,2,FALSE),FALSE)),VLOOKUP(G84,NGPREVPRICES,2,FALSE),CK84,VLOOKUP(G84,NGPREVPRICES,4,FALSE),HLOOKUP(D84,PREVVOLS,VLOOKUP(G84,MOVE_DOWN2,2,FALSE),FALSE),VLOOKUP(G84,NGPREVPRICES,3,FALSE),HLOOKUP(D84,Correllate,VLOOKUP(G84,CorMove,2,FALSE),FALSE),Q84-$C$3,R84,$CJ$5)*H84-CJ84</f>
        <v>565.08961449126946</v>
      </c>
      <c r="CI84" s="234">
        <f>SUM(CD84:CH84)</f>
        <v>600.94720869278535</v>
      </c>
      <c r="CJ84" s="234">
        <f>_xll.xSPRDOPT((VLOOKUP(G84,NGPREVPRICES,2,FALSE)+HLOOKUP(D84,PREVCURVES,VLOOKUP(G84,MOVE_DOWN2,2,FALSE),FALSE)),VLOOKUP(G84,NGPREVPRICES,2,FALSE),CK84,VLOOKUP(G84,NGPREVPRICES,4,FALSE),HLOOKUP(D84,PREVVOLS,VLOOKUP(G84,MOVE_DOWN2,2,FALSE),FALSE),VLOOKUP(G84,NGPREVPRICES,3,FALSE),HLOOKUP(D84,Correllate,VLOOKUP(G84,CorMove,2,FALSE),FALSE),Q84-$CD$3,R84,$CJ$5)*H84</f>
        <v>-191405.94333799346</v>
      </c>
      <c r="CK84" s="235">
        <f t="shared" si="97"/>
        <v>1.1499999999999999</v>
      </c>
      <c r="CL84" s="234"/>
      <c r="CM84" t="str">
        <f>CONCATENATE(CC84,$CD$6)</f>
        <v>36861Curve Shift/Gamma</v>
      </c>
      <c r="CN84" t="str">
        <f t="shared" si="107"/>
        <v>36861Rho</v>
      </c>
      <c r="CO84" t="str">
        <f t="shared" si="108"/>
        <v>36861Drift</v>
      </c>
      <c r="CP84" t="str">
        <f t="shared" si="109"/>
        <v>36861Vega</v>
      </c>
      <c r="CQ84" t="str">
        <f t="shared" si="110"/>
        <v>36861Theta</v>
      </c>
    </row>
    <row r="85" spans="1:95" ht="12" customHeight="1" x14ac:dyDescent="0.25">
      <c r="A85" s="382" t="s">
        <v>279</v>
      </c>
      <c r="B85" t="s">
        <v>250</v>
      </c>
      <c r="C85" t="s">
        <v>309</v>
      </c>
      <c r="D85" s="4" t="s">
        <v>7</v>
      </c>
      <c r="E85" t="s">
        <v>20</v>
      </c>
      <c r="F85" t="s">
        <v>21</v>
      </c>
      <c r="G85" s="5">
        <v>36831</v>
      </c>
      <c r="H85" s="130">
        <v>-250000</v>
      </c>
      <c r="I85">
        <v>1.1499999999999999</v>
      </c>
      <c r="J85" s="53">
        <f t="shared" si="113"/>
        <v>4.7359999999999998</v>
      </c>
      <c r="K85" s="7">
        <f t="shared" si="114"/>
        <v>0.77</v>
      </c>
      <c r="L85" s="53">
        <f t="shared" si="115"/>
        <v>5.5060000000000002</v>
      </c>
      <c r="M85" s="157">
        <f t="shared" si="101"/>
        <v>6.810675983792E-2</v>
      </c>
      <c r="N85" s="4">
        <f t="shared" si="102"/>
        <v>0.59499999999999997</v>
      </c>
      <c r="O85" s="4">
        <f t="shared" si="103"/>
        <v>0.625</v>
      </c>
      <c r="P85" s="9">
        <f t="shared" si="104"/>
        <v>0.89</v>
      </c>
      <c r="Q85" s="5">
        <f t="shared" si="116"/>
        <v>36829</v>
      </c>
      <c r="R85" s="4">
        <f t="shared" si="105"/>
        <v>1</v>
      </c>
      <c r="S85" s="158">
        <f>_xll.xSPRDOPT($L85,$J85,$I85,$M85,$O85,$N85,$P85,$Q85-$C$3,$R85,0)</f>
        <v>0.1252644448904148</v>
      </c>
      <c r="T85" s="159">
        <f>_xll.xSPRDOPT($L85,$J85,$I85,$M85,$O85,$N85,$P85,$Q85-$C$3,$R85,1)*H85</f>
        <v>-77527.160686113624</v>
      </c>
      <c r="U85" s="160">
        <f t="shared" si="92"/>
        <v>-31316.1112226037</v>
      </c>
      <c r="V85" s="159">
        <f>_xll.xSPRDOPT($L85,$J85,$I85,$M85,$O85,$N85,$P85,$Q85-$C$3,$R85,2)*H85</f>
        <v>68188.325074468288</v>
      </c>
      <c r="W85" s="159">
        <f t="shared" si="106"/>
        <v>-9338.835611645336</v>
      </c>
      <c r="X85" s="51" t="str">
        <f t="shared" si="117"/>
        <v>36831IF-TRANSCO/Z6</v>
      </c>
      <c r="Y85" s="418">
        <f t="shared" si="118"/>
        <v>-25</v>
      </c>
      <c r="Z85" s="456">
        <f t="shared" si="119"/>
        <v>0.31010864274445449</v>
      </c>
      <c r="AA85" s="456">
        <f>_xll.xSPRDOPT($L85,$J85,$I85,$M85,$O85,$N85,$P85,$Q85-$C$3,$R85,3)</f>
        <v>0.52444067857825138</v>
      </c>
      <c r="AB85" s="456">
        <f>((_xll.xSPRDOPT($L85+AB$5,$J85,$I85,$M85,$O85,$N85,$P85,$Q85-$C$3,$R85,3)*$H85)/10000)/100</f>
        <v>-0.13111016964456285</v>
      </c>
      <c r="AC85" s="456">
        <f>((_xll.xSPRDOPT($L85+$AB$5,$J85,$I85,$M85,$O85,$N85,$P85,$Q85-$C$3,$R85,7)*$H85)/100)</f>
        <v>2035.6716501134426</v>
      </c>
      <c r="AD85" s="456">
        <f>(_xll.xSPRDOPT($L85+$AB$5,$J85,$I85,$M85,$O85,$N85,$P85,$Q85-$C$3,$R85,9)/365)*$H85</f>
        <v>468.17004872202676</v>
      </c>
      <c r="AE85">
        <f t="shared" si="120"/>
        <v>0</v>
      </c>
      <c r="AF85" s="456">
        <f t="shared" si="121"/>
        <v>-987.18379040598461</v>
      </c>
      <c r="AG85" s="456">
        <f>((_xll.xSPRDOPT($L85,$J85,$I85,$M85,$O85,$N85,$P85,$Q85-$C$3,$R85,6)*$H85)/100)</f>
        <v>397.34969104631523</v>
      </c>
      <c r="AH85" s="456">
        <f>((_xll.xSPRDOPT($L85,$J85,$I85,$M85,$O85,$N85,$P85,$Q85-$C$3,$R85,5)*$H85)/100)</f>
        <v>-1318.0758743425895</v>
      </c>
      <c r="AI85" s="456">
        <f>(((_xll.xSPRDOPT($L85,$J85,$I85,$M85,$O85,$N85,$P85,$Q85-$C$3,$R85,4)*$H85)/10000)/100)-AB85</f>
        <v>1.4238562936474713E-2</v>
      </c>
      <c r="AJ85" s="456"/>
      <c r="AK85" s="456"/>
      <c r="AL85" s="456"/>
      <c r="AM85" s="472"/>
      <c r="AN85" s="128">
        <f t="shared" si="122"/>
        <v>39114</v>
      </c>
      <c r="AO85" s="43">
        <f t="shared" si="131"/>
        <v>0</v>
      </c>
      <c r="AP85" s="43">
        <f t="shared" si="131"/>
        <v>0</v>
      </c>
      <c r="AQ85" s="43">
        <f t="shared" si="131"/>
        <v>0</v>
      </c>
      <c r="AR85" s="43">
        <f t="shared" si="131"/>
        <v>0</v>
      </c>
      <c r="AS85" s="43">
        <f t="shared" si="131"/>
        <v>0</v>
      </c>
      <c r="AT85" s="43">
        <f t="shared" si="131"/>
        <v>0</v>
      </c>
      <c r="AU85" s="43">
        <f t="shared" si="131"/>
        <v>0</v>
      </c>
      <c r="AV85" s="43">
        <f t="shared" si="131"/>
        <v>0</v>
      </c>
      <c r="AW85" s="43">
        <f t="shared" si="131"/>
        <v>0</v>
      </c>
      <c r="AX85" s="43">
        <f t="shared" si="131"/>
        <v>0</v>
      </c>
      <c r="AY85" s="43">
        <f t="shared" si="131"/>
        <v>0</v>
      </c>
      <c r="AZ85" s="43">
        <f t="shared" si="131"/>
        <v>0</v>
      </c>
      <c r="BA85" s="44">
        <f t="shared" si="131"/>
        <v>0</v>
      </c>
      <c r="BB85" s="128">
        <f t="shared" si="123"/>
        <v>39114</v>
      </c>
      <c r="BC85" s="44">
        <f t="shared" si="124"/>
        <v>0</v>
      </c>
      <c r="BD85" s="51"/>
      <c r="BE85" s="128">
        <f t="shared" si="125"/>
        <v>39114</v>
      </c>
      <c r="BF85" s="43">
        <f t="shared" si="132"/>
        <v>0</v>
      </c>
      <c r="BG85" s="43">
        <f t="shared" si="132"/>
        <v>0</v>
      </c>
      <c r="BH85" s="43">
        <f t="shared" si="132"/>
        <v>0</v>
      </c>
      <c r="BI85" s="43">
        <f t="shared" si="132"/>
        <v>0</v>
      </c>
      <c r="BJ85" s="43">
        <f t="shared" si="132"/>
        <v>0</v>
      </c>
      <c r="BK85" s="43">
        <f t="shared" si="132"/>
        <v>0</v>
      </c>
      <c r="BL85" s="43">
        <f t="shared" si="132"/>
        <v>0</v>
      </c>
      <c r="BM85" s="43">
        <f t="shared" si="132"/>
        <v>0</v>
      </c>
      <c r="BN85" s="43">
        <f t="shared" si="132"/>
        <v>0</v>
      </c>
      <c r="BO85" s="43">
        <f t="shared" si="132"/>
        <v>0</v>
      </c>
      <c r="BP85" s="43">
        <f t="shared" si="132"/>
        <v>0</v>
      </c>
      <c r="BQ85" s="43">
        <f t="shared" si="132"/>
        <v>0</v>
      </c>
      <c r="BR85" s="44">
        <f t="shared" si="132"/>
        <v>0</v>
      </c>
      <c r="BS85" s="128">
        <f t="shared" si="126"/>
        <v>39114</v>
      </c>
      <c r="BT85" s="44">
        <f t="shared" si="127"/>
        <v>0</v>
      </c>
      <c r="BU85" s="51"/>
      <c r="BV85" s="51"/>
      <c r="BW85" s="51"/>
      <c r="BX85" s="51"/>
      <c r="BY85" s="51"/>
      <c r="BZ85" s="51"/>
      <c r="CA85" s="51"/>
      <c r="CB85" s="51"/>
      <c r="CC85" s="141">
        <f t="shared" ref="CC85:CC97" si="133">G85</f>
        <v>36831</v>
      </c>
      <c r="CD85" s="234">
        <f>_xll.xSPRDOPT((VLOOKUP(G85,NGPrices,2,FALSE)+HLOOKUP(D85,Prices,VLOOKUP(G85,move_down,2,FALSE),FALSE)),VLOOKUP(G85,NGPrices,2,FALSE),I85,VLOOKUP(G85,NGPREVPRICES,4,FALSE),HLOOKUP(D85,PREVVOLS,VLOOKUP(G85,MOVE_DOWN2,2,FALSE),FALSE),VLOOKUP(G85,NGPREVPRICES,3,FALSE),HLOOKUP(D85,Correllate,VLOOKUP(G85,CorMove,2,FALSE),FALSE),Q85-$CD$3,R85,$CD$5)*H85-CJ85</f>
        <v>0</v>
      </c>
      <c r="CE85" s="234">
        <f>_xll.xSPRDOPT((VLOOKUP(G85,NGPREVPRICES,2,FALSE)+HLOOKUP(D85,PREVCURVES,VLOOKUP(G85,MOVE_DOWN2,2,FALSE),FALSE)),VLOOKUP(G85,NGPREVPRICES,2,FALSE),CK85,VLOOKUP(G85,NGPrices,4,FALSE),HLOOKUP(D85,PREVVOLS,VLOOKUP(G85,MOVE_DOWN2,2,FALSE),FALSE),VLOOKUP(G85,NGPREVPRICES,3,FALSE),HLOOKUP(D85,Correllate,VLOOKUP(G85,CorMove,2,FALSE),FALSE),Q85-$CD$3,R85,$CJ$5)*H85-CJ85</f>
        <v>0</v>
      </c>
      <c r="CF85" s="10">
        <f t="shared" ref="CF85:CF97" si="134">(CJ85/VLOOKUP(CC85,discount,3,FALSE))-(CJ85/VLOOKUP(CC85,discount,2,FALSE))</f>
        <v>5.9023579456770676</v>
      </c>
      <c r="CG85" s="234">
        <f>_xll.xSPRDOPT((VLOOKUP(G85,NGPREVPRICES,2,FALSE)+HLOOKUP(D85,PREVCURVES,VLOOKUP(G85,MOVE_DOWN2,2,FALSE),FALSE)),VLOOKUP(G85,NGPREVPRICES,2,FALSE),CK85,VLOOKUP(G85,NGPREVPRICES,4,FALSE),HLOOKUP(D85,VOLS,VLOOKUP(G85,move_down,2,FALSE),FALSE),VLOOKUP(G85,NGPrices,3,FALSE),HLOOKUP(D85,Correllate,VLOOKUP(G85,CorMove,2,FALSE),FALSE),Q85-$CD$3,R85,$CJ$5)*H85-CJ85</f>
        <v>0</v>
      </c>
      <c r="CH85" s="234">
        <f>_xll.xSPRDOPT((VLOOKUP(G85,NGPREVPRICES,2,FALSE)+HLOOKUP(D85,PREVCURVES,VLOOKUP(G85,MOVE_DOWN2,2,FALSE),FALSE)),VLOOKUP(G85,NGPREVPRICES,2,FALSE),CK85,VLOOKUP(G85,NGPREVPRICES,4,FALSE),HLOOKUP(D85,PREVVOLS,VLOOKUP(G85,MOVE_DOWN2,2,FALSE),FALSE),VLOOKUP(G85,NGPREVPRICES,3,FALSE),HLOOKUP(D85,Correllate,VLOOKUP(G85,CorMove,2,FALSE),FALSE),Q85-$C$3,R85,$CJ$5)*H85-CJ85</f>
        <v>466.43914111768026</v>
      </c>
      <c r="CI85" s="234">
        <f t="shared" ref="CI85:CI97" si="135">SUM(CD85:CH85)</f>
        <v>472.34149906335733</v>
      </c>
      <c r="CJ85" s="234">
        <f>_xll.xSPRDOPT((VLOOKUP(G85,NGPREVPRICES,2,FALSE)+HLOOKUP(D85,PREVCURVES,VLOOKUP(G85,MOVE_DOWN2,2,FALSE),FALSE)),VLOOKUP(G85,NGPREVPRICES,2,FALSE),CK85,VLOOKUP(G85,NGPREVPRICES,4,FALSE),HLOOKUP(D85,PREVVOLS,VLOOKUP(G85,MOVE_DOWN2,2,FALSE),FALSE),VLOOKUP(G85,NGPREVPRICES,3,FALSE),HLOOKUP(D85,Correllate,VLOOKUP(G85,CorMove,2,FALSE),FALSE),Q85-$CD$3,R85,$CJ$5)*H85</f>
        <v>-31782.550363721381</v>
      </c>
      <c r="CK85" s="235">
        <f t="shared" ref="CK85:CK97" si="136">I85</f>
        <v>1.1499999999999999</v>
      </c>
      <c r="CL85" s="234"/>
      <c r="CM85" t="str">
        <f t="shared" ref="CM85:CM97" si="137">CONCATENATE(CC85,$CD$6)</f>
        <v>36831Curve Shift/Gamma</v>
      </c>
      <c r="CN85" t="str">
        <f t="shared" si="107"/>
        <v>36831Rho</v>
      </c>
      <c r="CO85" t="str">
        <f t="shared" si="108"/>
        <v>36831Drift</v>
      </c>
      <c r="CP85" t="str">
        <f t="shared" si="109"/>
        <v>36831Vega</v>
      </c>
      <c r="CQ85" t="str">
        <f t="shared" si="110"/>
        <v>36831Theta</v>
      </c>
    </row>
    <row r="86" spans="1:95" ht="12" customHeight="1" x14ac:dyDescent="0.25">
      <c r="A86" s="382" t="s">
        <v>279</v>
      </c>
      <c r="B86" t="s">
        <v>250</v>
      </c>
      <c r="C86" t="s">
        <v>310</v>
      </c>
      <c r="D86" s="4" t="s">
        <v>7</v>
      </c>
      <c r="E86" t="s">
        <v>20</v>
      </c>
      <c r="F86" t="s">
        <v>1</v>
      </c>
      <c r="G86" s="5">
        <v>36951</v>
      </c>
      <c r="H86" s="130">
        <v>-250000</v>
      </c>
      <c r="I86">
        <v>1.1499999999999999</v>
      </c>
      <c r="J86" s="53">
        <f t="shared" si="113"/>
        <v>4.2130000000000001</v>
      </c>
      <c r="K86" s="7">
        <f t="shared" si="114"/>
        <v>1.075</v>
      </c>
      <c r="L86" s="53">
        <f t="shared" si="115"/>
        <v>5.2880000000000003</v>
      </c>
      <c r="M86" s="157">
        <f t="shared" si="101"/>
        <v>6.8879814952706994E-2</v>
      </c>
      <c r="N86" s="4">
        <f t="shared" si="102"/>
        <v>0.53249999999999997</v>
      </c>
      <c r="O86" s="4">
        <f t="shared" si="103"/>
        <v>0.61199999999999999</v>
      </c>
      <c r="P86" s="9">
        <f t="shared" si="104"/>
        <v>0.83</v>
      </c>
      <c r="Q86" s="5">
        <f t="shared" si="116"/>
        <v>36949</v>
      </c>
      <c r="R86" s="4">
        <f t="shared" si="105"/>
        <v>0</v>
      </c>
      <c r="S86" s="158">
        <f>_xll.xSPRDOPT($L86,$J86,$I86,$M86,$O86,$N86,$P86,$Q86-$C$3,$R86,0)</f>
        <v>0.54782224755499853</v>
      </c>
      <c r="T86" s="159">
        <f>_xll.xSPRDOPT($L86,$J86,$I86,$M86,$O86,$N86,$P86,$Q86-$C$3,$R86,1)*H86</f>
        <v>113900.91293941617</v>
      </c>
      <c r="U86" s="160">
        <f t="shared" si="92"/>
        <v>-136955.56188874962</v>
      </c>
      <c r="V86" s="159">
        <f>_xll.xSPRDOPT($L86,$J86,$I86,$M86,$O86,$N86,$P86,$Q86-$C$3,$R86,2)*H86</f>
        <v>-135903.12060303721</v>
      </c>
      <c r="W86" s="159">
        <f t="shared" si="106"/>
        <v>-22002.20766362104</v>
      </c>
      <c r="X86" s="51" t="str">
        <f t="shared" si="117"/>
        <v>36951IF-TRANSCO/Z6</v>
      </c>
      <c r="Y86" s="418">
        <f t="shared" si="118"/>
        <v>-25</v>
      </c>
      <c r="Z86" s="456">
        <f t="shared" si="119"/>
        <v>-0.45560365175766471</v>
      </c>
      <c r="AA86" s="456">
        <f>_xll.xSPRDOPT($L86,$J86,$I86,$M86,$O86,$N86,$P86,$Q86-$C$3,$R86,3)</f>
        <v>0.29184141966594901</v>
      </c>
      <c r="AB86" s="456">
        <f>((_xll.xSPRDOPT($L86+AB$5,$J86,$I86,$M86,$O86,$N86,$P86,$Q86-$C$3,$R86,3)*$H86)/10000)/100</f>
        <v>-7.2960354916487252E-2</v>
      </c>
      <c r="AC86" s="456">
        <f>((_xll.xSPRDOPT($L86+$AB$5,$J86,$I86,$M86,$O86,$N86,$P86,$Q86-$C$3,$R86,7)*$H86)/100)</f>
        <v>2618.110972081558</v>
      </c>
      <c r="AD86" s="456">
        <f>(_xll.xSPRDOPT($L86+$AB$5,$J86,$I86,$M86,$O86,$N86,$P86,$Q86-$C$3,$R86,9)/365)*$H86</f>
        <v>323.8081735557829</v>
      </c>
      <c r="AE86">
        <f t="shared" si="120"/>
        <v>0</v>
      </c>
      <c r="AF86" s="456">
        <f t="shared" si="121"/>
        <v>-2388.4824296613597</v>
      </c>
      <c r="AG86" s="456">
        <f>((_xll.xSPRDOPT($L86,$J86,$I86,$M86,$O86,$N86,$P86,$Q86-$C$3,$R86,6)*$H86)/100)</f>
        <v>681.16866219718247</v>
      </c>
      <c r="AH86" s="456">
        <f>((_xll.xSPRDOPT($L86,$J86,$I86,$M86,$O86,$N86,$P86,$Q86-$C$3,$R86,5)*$H86)/100)</f>
        <v>-2670.897396102408</v>
      </c>
      <c r="AI86" s="456">
        <f>(((_xll.xSPRDOPT($L86,$J86,$I86,$M86,$O86,$N86,$P86,$Q86-$C$3,$R86,4)*$H86)/10000)/100)-AB86</f>
        <v>7.7478655827961651E-4</v>
      </c>
      <c r="AJ86" s="456"/>
      <c r="AK86" s="456"/>
      <c r="AL86" s="456"/>
      <c r="AM86" s="472"/>
      <c r="AN86" s="128">
        <f t="shared" si="122"/>
        <v>39142</v>
      </c>
      <c r="AO86" s="43">
        <f t="shared" si="131"/>
        <v>0</v>
      </c>
      <c r="AP86" s="43">
        <f t="shared" si="131"/>
        <v>0</v>
      </c>
      <c r="AQ86" s="43">
        <f t="shared" si="131"/>
        <v>0</v>
      </c>
      <c r="AR86" s="43">
        <f t="shared" si="131"/>
        <v>0</v>
      </c>
      <c r="AS86" s="43">
        <f t="shared" si="131"/>
        <v>0</v>
      </c>
      <c r="AT86" s="43">
        <f t="shared" si="131"/>
        <v>0</v>
      </c>
      <c r="AU86" s="43">
        <f t="shared" si="131"/>
        <v>0</v>
      </c>
      <c r="AV86" s="43">
        <f t="shared" si="131"/>
        <v>0</v>
      </c>
      <c r="AW86" s="43">
        <f t="shared" si="131"/>
        <v>0</v>
      </c>
      <c r="AX86" s="43">
        <f t="shared" si="131"/>
        <v>0</v>
      </c>
      <c r="AY86" s="43">
        <f t="shared" si="131"/>
        <v>0</v>
      </c>
      <c r="AZ86" s="43">
        <f t="shared" si="131"/>
        <v>0</v>
      </c>
      <c r="BA86" s="44">
        <f t="shared" si="131"/>
        <v>0</v>
      </c>
      <c r="BB86" s="128">
        <f t="shared" si="123"/>
        <v>39142</v>
      </c>
      <c r="BC86" s="44">
        <f t="shared" si="124"/>
        <v>0</v>
      </c>
      <c r="BD86" s="51"/>
      <c r="BE86" s="128">
        <f t="shared" si="125"/>
        <v>39142</v>
      </c>
      <c r="BF86" s="43">
        <f t="shared" si="132"/>
        <v>0</v>
      </c>
      <c r="BG86" s="43">
        <f t="shared" si="132"/>
        <v>0</v>
      </c>
      <c r="BH86" s="43">
        <f t="shared" si="132"/>
        <v>0</v>
      </c>
      <c r="BI86" s="43">
        <f t="shared" si="132"/>
        <v>0</v>
      </c>
      <c r="BJ86" s="43">
        <f t="shared" si="132"/>
        <v>0</v>
      </c>
      <c r="BK86" s="43">
        <f t="shared" si="132"/>
        <v>0</v>
      </c>
      <c r="BL86" s="43">
        <f t="shared" si="132"/>
        <v>0</v>
      </c>
      <c r="BM86" s="43">
        <f t="shared" si="132"/>
        <v>0</v>
      </c>
      <c r="BN86" s="43">
        <f t="shared" si="132"/>
        <v>0</v>
      </c>
      <c r="BO86" s="43">
        <f t="shared" si="132"/>
        <v>0</v>
      </c>
      <c r="BP86" s="43">
        <f t="shared" si="132"/>
        <v>0</v>
      </c>
      <c r="BQ86" s="43">
        <f t="shared" si="132"/>
        <v>0</v>
      </c>
      <c r="BR86" s="44">
        <f t="shared" si="132"/>
        <v>0</v>
      </c>
      <c r="BS86" s="128">
        <f t="shared" si="126"/>
        <v>39142</v>
      </c>
      <c r="BT86" s="44">
        <f t="shared" si="127"/>
        <v>0</v>
      </c>
      <c r="BU86" s="51"/>
      <c r="BV86" s="51"/>
      <c r="BW86" s="51"/>
      <c r="BX86" s="51"/>
      <c r="BY86" s="51"/>
      <c r="BZ86" s="51"/>
      <c r="CA86" s="51"/>
      <c r="CB86" s="51"/>
      <c r="CC86" s="141">
        <f t="shared" si="133"/>
        <v>36951</v>
      </c>
      <c r="CD86" s="234">
        <f>_xll.xSPRDOPT((VLOOKUP(G86,NGPrices,2,FALSE)+HLOOKUP(D86,Prices,VLOOKUP(G86,move_down,2,FALSE),FALSE)),VLOOKUP(G86,NGPrices,2,FALSE),I86,VLOOKUP(G86,NGPREVPRICES,4,FALSE),HLOOKUP(D86,PREVVOLS,VLOOKUP(G86,MOVE_DOWN2,2,FALSE),FALSE),VLOOKUP(G86,NGPREVPRICES,3,FALSE),HLOOKUP(D86,Correllate,VLOOKUP(G86,CorMove,2,FALSE),FALSE),Q86-$CD$3,R86,$CD$5)*H86-CJ86</f>
        <v>0</v>
      </c>
      <c r="CE86" s="234">
        <f>_xll.xSPRDOPT((VLOOKUP(G86,NGPREVPRICES,2,FALSE)+HLOOKUP(D86,PREVCURVES,VLOOKUP(G86,MOVE_DOWN2,2,FALSE),FALSE)),VLOOKUP(G86,NGPREVPRICES,2,FALSE),CK86,VLOOKUP(G86,NGPrices,4,FALSE),HLOOKUP(D86,PREVVOLS,VLOOKUP(G86,MOVE_DOWN2,2,FALSE),FALSE),VLOOKUP(G86,NGPREVPRICES,3,FALSE),HLOOKUP(D86,Correllate,VLOOKUP(G86,CorMove,2,FALSE),FALSE),Q86-$CD$3,R86,$CJ$5)*H86-CJ86</f>
        <v>0</v>
      </c>
      <c r="CF86" s="10">
        <f t="shared" si="134"/>
        <v>26.327984789910261</v>
      </c>
      <c r="CG86" s="234">
        <f>_xll.xSPRDOPT((VLOOKUP(G86,NGPREVPRICES,2,FALSE)+HLOOKUP(D86,PREVCURVES,VLOOKUP(G86,MOVE_DOWN2,2,FALSE),FALSE)),VLOOKUP(G86,NGPREVPRICES,2,FALSE),CK86,VLOOKUP(G86,NGPREVPRICES,4,FALSE),HLOOKUP(D86,VOLS,VLOOKUP(G86,move_down,2,FALSE),FALSE),VLOOKUP(G86,NGPrices,3,FALSE),HLOOKUP(D86,Correllate,VLOOKUP(G86,CorMove,2,FALSE),FALSE),Q86-$CD$3,R86,$CJ$5)*H86-CJ86</f>
        <v>0</v>
      </c>
      <c r="CH86" s="234">
        <f>_xll.xSPRDOPT((VLOOKUP(G86,NGPREVPRICES,2,FALSE)+HLOOKUP(D86,PREVCURVES,VLOOKUP(G86,MOVE_DOWN2,2,FALSE),FALSE)),VLOOKUP(G86,NGPREVPRICES,2,FALSE),CK86,VLOOKUP(G86,NGPREVPRICES,4,FALSE),HLOOKUP(D86,PREVVOLS,VLOOKUP(G86,MOVE_DOWN2,2,FALSE),FALSE),VLOOKUP(G86,NGPREVPRICES,3,FALSE),HLOOKUP(D86,Correllate,VLOOKUP(G86,CorMove,2,FALSE),FALSE),Q86-$C$3,R86,$CJ$5)*H86-CJ86</f>
        <v>323.04238560199155</v>
      </c>
      <c r="CI86" s="234">
        <f t="shared" si="135"/>
        <v>349.37037039190182</v>
      </c>
      <c r="CJ86" s="234">
        <f>_xll.xSPRDOPT((VLOOKUP(G86,NGPREVPRICES,2,FALSE)+HLOOKUP(D86,PREVCURVES,VLOOKUP(G86,MOVE_DOWN2,2,FALSE),FALSE)),VLOOKUP(G86,NGPREVPRICES,2,FALSE),CK86,VLOOKUP(G86,NGPREVPRICES,4,FALSE),HLOOKUP(D86,PREVVOLS,VLOOKUP(G86,MOVE_DOWN2,2,FALSE),FALSE),VLOOKUP(G86,NGPREVPRICES,3,FALSE),HLOOKUP(D86,Correllate,VLOOKUP(G86,CorMove,2,FALSE),FALSE),Q86-$CD$3,R86,$CJ$5)*H86</f>
        <v>-137278.60427435162</v>
      </c>
      <c r="CK86" s="235">
        <f t="shared" si="136"/>
        <v>1.1499999999999999</v>
      </c>
      <c r="CL86" s="234"/>
      <c r="CM86" t="str">
        <f t="shared" si="137"/>
        <v>36951Curve Shift/Gamma</v>
      </c>
      <c r="CN86" t="str">
        <f t="shared" si="107"/>
        <v>36951Rho</v>
      </c>
      <c r="CO86" t="str">
        <f t="shared" si="108"/>
        <v>36951Drift</v>
      </c>
      <c r="CP86" t="str">
        <f t="shared" si="109"/>
        <v>36951Vega</v>
      </c>
      <c r="CQ86" t="str">
        <f t="shared" si="110"/>
        <v>36951Theta</v>
      </c>
    </row>
    <row r="87" spans="1:95" ht="12" customHeight="1" x14ac:dyDescent="0.25">
      <c r="A87" s="382" t="s">
        <v>279</v>
      </c>
      <c r="B87" t="s">
        <v>250</v>
      </c>
      <c r="C87" t="s">
        <v>310</v>
      </c>
      <c r="D87" s="4" t="s">
        <v>7</v>
      </c>
      <c r="E87" t="s">
        <v>20</v>
      </c>
      <c r="F87" t="s">
        <v>1</v>
      </c>
      <c r="G87" s="5">
        <v>36923</v>
      </c>
      <c r="H87" s="130">
        <v>-250000</v>
      </c>
      <c r="I87">
        <v>1.1499999999999999</v>
      </c>
      <c r="J87" s="53">
        <f t="shared" si="113"/>
        <v>4.4800000000000004</v>
      </c>
      <c r="K87" s="7">
        <f t="shared" si="114"/>
        <v>2.09</v>
      </c>
      <c r="L87" s="53">
        <f t="shared" si="115"/>
        <v>6.57</v>
      </c>
      <c r="M87" s="157">
        <f t="shared" si="101"/>
        <v>6.8640161611372E-2</v>
      </c>
      <c r="N87" s="4">
        <f t="shared" si="102"/>
        <v>0.59250000000000003</v>
      </c>
      <c r="O87" s="4">
        <f t="shared" si="103"/>
        <v>0.68100000000000005</v>
      </c>
      <c r="P87" s="9">
        <f t="shared" si="104"/>
        <v>0.83</v>
      </c>
      <c r="Q87" s="5">
        <f t="shared" si="116"/>
        <v>36921</v>
      </c>
      <c r="R87" s="4">
        <f t="shared" si="105"/>
        <v>0</v>
      </c>
      <c r="S87" s="158">
        <f>_xll.xSPRDOPT($L87,$J87,$I87,$M87,$O87,$N87,$P87,$Q87-$C$3,$R87,0)</f>
        <v>0.25057469836387858</v>
      </c>
      <c r="T87" s="159">
        <f>_xll.xSPRDOPT($L87,$J87,$I87,$M87,$O87,$N87,$P87,$Q87-$C$3,$R87,1)*H87</f>
        <v>56034.846594435476</v>
      </c>
      <c r="U87" s="160">
        <f t="shared" ref="U87:U117" si="138">S87*H87</f>
        <v>-62643.674590969647</v>
      </c>
      <c r="V87" s="159">
        <f>_xll.xSPRDOPT($L87,$J87,$I87,$M87,$O87,$N87,$P87,$Q87-$C$3,$R87,2)*H87</f>
        <v>-74752.84971804083</v>
      </c>
      <c r="W87" s="159">
        <f t="shared" si="106"/>
        <v>-18718.003123605355</v>
      </c>
      <c r="X87" s="51" t="str">
        <f t="shared" si="117"/>
        <v>36923IF-TRANSCO/Z6</v>
      </c>
      <c r="Y87" s="418">
        <f t="shared" si="118"/>
        <v>-25</v>
      </c>
      <c r="Z87" s="456">
        <f t="shared" si="119"/>
        <v>-0.22413938637774189</v>
      </c>
      <c r="AA87" s="456">
        <f>_xll.xSPRDOPT($L87,$J87,$I87,$M87,$O87,$N87,$P87,$Q87-$C$3,$R87,3)</f>
        <v>0.17629992042757986</v>
      </c>
      <c r="AB87" s="456">
        <f>((_xll.xSPRDOPT($L87+AB$5,$J87,$I87,$M87,$O87,$N87,$P87,$Q87-$C$3,$R87,3)*$H87)/10000)/100</f>
        <v>-4.4074980106894965E-2</v>
      </c>
      <c r="AC87" s="456">
        <f>((_xll.xSPRDOPT($L87+$AB$5,$J87,$I87,$M87,$O87,$N87,$P87,$Q87-$C$3,$R87,7)*$H87)/100)</f>
        <v>2556.650878062685</v>
      </c>
      <c r="AD87" s="456">
        <f>(_xll.xSPRDOPT($L87+$AB$5,$J87,$I87,$M87,$O87,$N87,$P87,$Q87-$C$3,$R87,9)/365)*$H87</f>
        <v>392.41238267673236</v>
      </c>
      <c r="AE87">
        <f t="shared" si="120"/>
        <v>0</v>
      </c>
      <c r="AF87" s="456">
        <f t="shared" si="121"/>
        <v>-2099.6825154957319</v>
      </c>
      <c r="AG87" s="456">
        <f>((_xll.xSPRDOPT($L87,$J87,$I87,$M87,$O87,$N87,$P87,$Q87-$C$3,$R87,6)*$H87)/100)</f>
        <v>597.41330364414137</v>
      </c>
      <c r="AH87" s="456">
        <f>((_xll.xSPRDOPT($L87,$J87,$I87,$M87,$O87,$N87,$P87,$Q87-$C$3,$R87,5)*$H87)/100)</f>
        <v>-2346.5921774454841</v>
      </c>
      <c r="AI87" s="456">
        <f>(((_xll.xSPRDOPT($L87,$J87,$I87,$M87,$O87,$N87,$P87,$Q87-$C$3,$R87,4)*$H87)/10000)/100)-AB87</f>
        <v>-1.5440231545035737E-2</v>
      </c>
      <c r="AJ87" s="456"/>
      <c r="AK87" s="456"/>
      <c r="AL87" s="456"/>
      <c r="AM87" s="472"/>
      <c r="AN87" s="128">
        <f t="shared" si="122"/>
        <v>39173</v>
      </c>
      <c r="AO87" s="43">
        <f t="shared" ref="AO87:BA96" si="139">SUMIF($X:$X,CONCATENATE($AN87,AO$6),$T:$T)/10000</f>
        <v>0</v>
      </c>
      <c r="AP87" s="43">
        <f t="shared" si="139"/>
        <v>0</v>
      </c>
      <c r="AQ87" s="43">
        <f t="shared" si="139"/>
        <v>0</v>
      </c>
      <c r="AR87" s="43">
        <f t="shared" si="139"/>
        <v>0</v>
      </c>
      <c r="AS87" s="43">
        <f t="shared" si="139"/>
        <v>0</v>
      </c>
      <c r="AT87" s="43">
        <f t="shared" si="139"/>
        <v>0</v>
      </c>
      <c r="AU87" s="43">
        <f t="shared" si="139"/>
        <v>0</v>
      </c>
      <c r="AV87" s="43">
        <f t="shared" si="139"/>
        <v>0</v>
      </c>
      <c r="AW87" s="43">
        <f t="shared" si="139"/>
        <v>0</v>
      </c>
      <c r="AX87" s="43">
        <f t="shared" si="139"/>
        <v>0</v>
      </c>
      <c r="AY87" s="43">
        <f t="shared" si="139"/>
        <v>0</v>
      </c>
      <c r="AZ87" s="43">
        <f t="shared" si="139"/>
        <v>0</v>
      </c>
      <c r="BA87" s="44">
        <f t="shared" si="139"/>
        <v>0</v>
      </c>
      <c r="BB87" s="128">
        <f t="shared" si="123"/>
        <v>39173</v>
      </c>
      <c r="BC87" s="44">
        <f t="shared" si="124"/>
        <v>0</v>
      </c>
      <c r="BD87" s="51"/>
      <c r="BE87" s="128">
        <f t="shared" si="125"/>
        <v>39173</v>
      </c>
      <c r="BF87" s="43">
        <f t="shared" ref="BF87:BR96" si="140">SUMIF($X:$X,CONCATENATE($AN87,BF$6),$W:$W)</f>
        <v>0</v>
      </c>
      <c r="BG87" s="43">
        <f t="shared" si="140"/>
        <v>0</v>
      </c>
      <c r="BH87" s="43">
        <f t="shared" si="140"/>
        <v>0</v>
      </c>
      <c r="BI87" s="43">
        <f t="shared" si="140"/>
        <v>0</v>
      </c>
      <c r="BJ87" s="43">
        <f t="shared" si="140"/>
        <v>0</v>
      </c>
      <c r="BK87" s="43">
        <f t="shared" si="140"/>
        <v>0</v>
      </c>
      <c r="BL87" s="43">
        <f t="shared" si="140"/>
        <v>0</v>
      </c>
      <c r="BM87" s="43">
        <f t="shared" si="140"/>
        <v>0</v>
      </c>
      <c r="BN87" s="43">
        <f t="shared" si="140"/>
        <v>0</v>
      </c>
      <c r="BO87" s="43">
        <f t="shared" si="140"/>
        <v>0</v>
      </c>
      <c r="BP87" s="43">
        <f t="shared" si="140"/>
        <v>0</v>
      </c>
      <c r="BQ87" s="43">
        <f t="shared" si="140"/>
        <v>0</v>
      </c>
      <c r="BR87" s="44">
        <f t="shared" si="140"/>
        <v>0</v>
      </c>
      <c r="BS87" s="128">
        <f t="shared" si="126"/>
        <v>39173</v>
      </c>
      <c r="BT87" s="44">
        <f t="shared" si="127"/>
        <v>0</v>
      </c>
      <c r="BU87" s="51"/>
      <c r="BV87" s="51"/>
      <c r="BW87" s="51"/>
      <c r="BX87" s="51"/>
      <c r="BY87" s="51"/>
      <c r="BZ87" s="51"/>
      <c r="CA87" s="51"/>
      <c r="CB87" s="51"/>
      <c r="CC87" s="141">
        <f t="shared" si="133"/>
        <v>36923</v>
      </c>
      <c r="CD87" s="234">
        <f>_xll.xSPRDOPT((VLOOKUP(G87,NGPrices,2,FALSE)+HLOOKUP(D87,Prices,VLOOKUP(G87,move_down,2,FALSE),FALSE)),VLOOKUP(G87,NGPrices,2,FALSE),I87,VLOOKUP(G87,NGPREVPRICES,4,FALSE),HLOOKUP(D87,PREVVOLS,VLOOKUP(G87,MOVE_DOWN2,2,FALSE),FALSE),VLOOKUP(G87,NGPREVPRICES,3,FALSE),HLOOKUP(D87,Correllate,VLOOKUP(G87,CorMove,2,FALSE),FALSE),Q87-$CD$3,R87,$CD$5)*H87-CJ87</f>
        <v>0</v>
      </c>
      <c r="CE87" s="234">
        <f>_xll.xSPRDOPT((VLOOKUP(G87,NGPREVPRICES,2,FALSE)+HLOOKUP(D87,PREVCURVES,VLOOKUP(G87,MOVE_DOWN2,2,FALSE),FALSE)),VLOOKUP(G87,NGPREVPRICES,2,FALSE),CK87,VLOOKUP(G87,NGPrices,4,FALSE),HLOOKUP(D87,PREVVOLS,VLOOKUP(G87,MOVE_DOWN2,2,FALSE),FALSE),VLOOKUP(G87,NGPREVPRICES,3,FALSE),HLOOKUP(D87,Correllate,VLOOKUP(G87,CorMove,2,FALSE),FALSE),Q87-$CD$3,R87,$CJ$5)*H87-CJ87</f>
        <v>0</v>
      </c>
      <c r="CF87" s="10">
        <f t="shared" si="134"/>
        <v>11.988591748035105</v>
      </c>
      <c r="CG87" s="234">
        <f>_xll.xSPRDOPT((VLOOKUP(G87,NGPREVPRICES,2,FALSE)+HLOOKUP(D87,PREVCURVES,VLOOKUP(G87,MOVE_DOWN2,2,FALSE),FALSE)),VLOOKUP(G87,NGPREVPRICES,2,FALSE),CK87,VLOOKUP(G87,NGPREVPRICES,4,FALSE),HLOOKUP(D87,VOLS,VLOOKUP(G87,move_down,2,FALSE),FALSE),VLOOKUP(G87,NGPrices,3,FALSE),HLOOKUP(D87,Correllate,VLOOKUP(G87,CorMove,2,FALSE),FALSE),Q87-$CD$3,R87,$CJ$5)*H87-CJ87</f>
        <v>0</v>
      </c>
      <c r="CH87" s="234">
        <f>_xll.xSPRDOPT((VLOOKUP(G87,NGPREVPRICES,2,FALSE)+HLOOKUP(D87,PREVCURVES,VLOOKUP(G87,MOVE_DOWN2,2,FALSE),FALSE)),VLOOKUP(G87,NGPREVPRICES,2,FALSE),CK87,VLOOKUP(G87,NGPREVPRICES,4,FALSE),HLOOKUP(D87,PREVVOLS,VLOOKUP(G87,MOVE_DOWN2,2,FALSE),FALSE),VLOOKUP(G87,NGPREVPRICES,3,FALSE),HLOOKUP(D87,Correllate,VLOOKUP(G87,CorMove,2,FALSE),FALSE),Q87-$C$3,R87,$CJ$5)*H87-CJ87</f>
        <v>391.65033927473996</v>
      </c>
      <c r="CI87" s="234">
        <f t="shared" si="135"/>
        <v>403.63893102277507</v>
      </c>
      <c r="CJ87" s="234">
        <f>_xll.xSPRDOPT((VLOOKUP(G87,NGPREVPRICES,2,FALSE)+HLOOKUP(D87,PREVCURVES,VLOOKUP(G87,MOVE_DOWN2,2,FALSE),FALSE)),VLOOKUP(G87,NGPREVPRICES,2,FALSE),CK87,VLOOKUP(G87,NGPREVPRICES,4,FALSE),HLOOKUP(D87,PREVVOLS,VLOOKUP(G87,MOVE_DOWN2,2,FALSE),FALSE),VLOOKUP(G87,NGPREVPRICES,3,FALSE),HLOOKUP(D87,Correllate,VLOOKUP(G87,CorMove,2,FALSE),FALSE),Q87-$CD$3,R87,$CJ$5)*H87</f>
        <v>-63035.324930244387</v>
      </c>
      <c r="CK87" s="235">
        <f t="shared" si="136"/>
        <v>1.1499999999999999</v>
      </c>
      <c r="CL87" s="234"/>
      <c r="CM87" t="str">
        <f t="shared" si="137"/>
        <v>36923Curve Shift/Gamma</v>
      </c>
      <c r="CN87" t="str">
        <f t="shared" si="107"/>
        <v>36923Rho</v>
      </c>
      <c r="CO87" t="str">
        <f t="shared" si="108"/>
        <v>36923Drift</v>
      </c>
      <c r="CP87" t="str">
        <f t="shared" si="109"/>
        <v>36923Vega</v>
      </c>
      <c r="CQ87" t="str">
        <f t="shared" si="110"/>
        <v>36923Theta</v>
      </c>
    </row>
    <row r="88" spans="1:95" ht="12" customHeight="1" x14ac:dyDescent="0.25">
      <c r="A88" s="382" t="s">
        <v>279</v>
      </c>
      <c r="B88" t="s">
        <v>250</v>
      </c>
      <c r="C88" t="s">
        <v>310</v>
      </c>
      <c r="D88" s="4" t="s">
        <v>7</v>
      </c>
      <c r="E88" t="s">
        <v>20</v>
      </c>
      <c r="F88" t="s">
        <v>1</v>
      </c>
      <c r="G88" s="5">
        <v>36892</v>
      </c>
      <c r="H88" s="130">
        <v>-250000</v>
      </c>
      <c r="I88">
        <v>1.1499999999999999</v>
      </c>
      <c r="J88" s="53">
        <f t="shared" si="113"/>
        <v>4.7439999999999998</v>
      </c>
      <c r="K88" s="7">
        <f t="shared" si="114"/>
        <v>2.17</v>
      </c>
      <c r="L88" s="53">
        <f t="shared" si="115"/>
        <v>6.9139999999999997</v>
      </c>
      <c r="M88" s="157">
        <f t="shared" si="101"/>
        <v>6.8374831148490994E-2</v>
      </c>
      <c r="N88" s="4">
        <f t="shared" si="102"/>
        <v>0.60499999999999998</v>
      </c>
      <c r="O88" s="4">
        <f t="shared" si="103"/>
        <v>0.69599999999999995</v>
      </c>
      <c r="P88" s="9">
        <f t="shared" si="104"/>
        <v>0.83</v>
      </c>
      <c r="Q88" s="5">
        <f t="shared" si="116"/>
        <v>36888</v>
      </c>
      <c r="R88" s="4">
        <f t="shared" si="105"/>
        <v>0</v>
      </c>
      <c r="S88" s="158">
        <f>_xll.xSPRDOPT($L88,$J88,$I88,$M88,$O88,$N88,$P88,$Q88-$C$3,$R88,0)</f>
        <v>0.20666346027300397</v>
      </c>
      <c r="T88" s="159">
        <f>_xll.xSPRDOPT($L88,$J88,$I88,$M88,$O88,$N88,$P88,$Q88-$C$3,$R88,1)*H88</f>
        <v>50984.570419022799</v>
      </c>
      <c r="U88" s="160">
        <f t="shared" si="138"/>
        <v>-51665.865068250991</v>
      </c>
      <c r="V88" s="159">
        <f>_xll.xSPRDOPT($L88,$J88,$I88,$M88,$O88,$N88,$P88,$Q88-$C$3,$R88,2)*H88</f>
        <v>-67187.30867189166</v>
      </c>
      <c r="W88" s="159">
        <f t="shared" si="106"/>
        <v>-16202.738252868861</v>
      </c>
      <c r="X88" s="51" t="str">
        <f t="shared" si="117"/>
        <v>36892IF-TRANSCO/Z6</v>
      </c>
      <c r="Y88" s="418">
        <f t="shared" si="118"/>
        <v>-25</v>
      </c>
      <c r="Z88" s="456">
        <f t="shared" si="119"/>
        <v>-0.20393828167609118</v>
      </c>
      <c r="AA88" s="456">
        <f>_xll.xSPRDOPT($L88,$J88,$I88,$M88,$O88,$N88,$P88,$Q88-$C$3,$R88,3)</f>
        <v>0.17621191536190761</v>
      </c>
      <c r="AB88" s="456">
        <f>((_xll.xSPRDOPT($L88+AB$5,$J88,$I88,$M88,$O88,$N88,$P88,$Q88-$C$3,$R88,3)*$H88)/10000)/100</f>
        <v>-4.4052978840476903E-2</v>
      </c>
      <c r="AC88" s="456">
        <f>((_xll.xSPRDOPT($L88+$AB$5,$J88,$I88,$M88,$O88,$N88,$P88,$Q88-$C$3,$R88,7)*$H88)/100)</f>
        <v>2345.7185139239045</v>
      </c>
      <c r="AD88" s="456">
        <f>(_xll.xSPRDOPT($L88+$AB$5,$J88,$I88,$M88,$O88,$N88,$P88,$Q88-$C$3,$R88,9)/365)*$H88</f>
        <v>454.08452959098622</v>
      </c>
      <c r="AE88">
        <f t="shared" si="120"/>
        <v>0</v>
      </c>
      <c r="AF88" s="456">
        <f t="shared" si="121"/>
        <v>-1853.7823172238418</v>
      </c>
      <c r="AG88" s="456">
        <f>((_xll.xSPRDOPT($L88,$J88,$I88,$M88,$O88,$N88,$P88,$Q88-$C$3,$R88,6)*$H88)/100)</f>
        <v>514.02753637537626</v>
      </c>
      <c r="AH88" s="456">
        <f>((_xll.xSPRDOPT($L88,$J88,$I88,$M88,$O88,$N88,$P88,$Q88-$C$3,$R88,5)*$H88)/100)</f>
        <v>-2058.225519292424</v>
      </c>
      <c r="AI88" s="456">
        <f>(((_xll.xSPRDOPT($L88,$J88,$I88,$M88,$O88,$N88,$P88,$Q88-$C$3,$R88,4)*$H88)/10000)/100)-AB88</f>
        <v>-1.5895064896271016E-2</v>
      </c>
      <c r="AJ88" s="456"/>
      <c r="AK88" s="456"/>
      <c r="AL88" s="456"/>
      <c r="AM88" s="472"/>
      <c r="AN88" s="128">
        <f t="shared" si="122"/>
        <v>39203</v>
      </c>
      <c r="AO88" s="43">
        <f t="shared" si="139"/>
        <v>0</v>
      </c>
      <c r="AP88" s="43">
        <f t="shared" si="139"/>
        <v>0</v>
      </c>
      <c r="AQ88" s="43">
        <f t="shared" si="139"/>
        <v>0</v>
      </c>
      <c r="AR88" s="43">
        <f t="shared" si="139"/>
        <v>0</v>
      </c>
      <c r="AS88" s="43">
        <f t="shared" si="139"/>
        <v>0</v>
      </c>
      <c r="AT88" s="43">
        <f t="shared" si="139"/>
        <v>0</v>
      </c>
      <c r="AU88" s="43">
        <f t="shared" si="139"/>
        <v>0</v>
      </c>
      <c r="AV88" s="43">
        <f t="shared" si="139"/>
        <v>0</v>
      </c>
      <c r="AW88" s="43">
        <f t="shared" si="139"/>
        <v>0</v>
      </c>
      <c r="AX88" s="43">
        <f t="shared" si="139"/>
        <v>0</v>
      </c>
      <c r="AY88" s="43">
        <f t="shared" si="139"/>
        <v>0</v>
      </c>
      <c r="AZ88" s="43">
        <f t="shared" si="139"/>
        <v>0</v>
      </c>
      <c r="BA88" s="44">
        <f t="shared" si="139"/>
        <v>0</v>
      </c>
      <c r="BB88" s="128">
        <f t="shared" si="123"/>
        <v>39203</v>
      </c>
      <c r="BC88" s="44">
        <f t="shared" si="124"/>
        <v>0</v>
      </c>
      <c r="BD88" s="51"/>
      <c r="BE88" s="128">
        <f t="shared" si="125"/>
        <v>39203</v>
      </c>
      <c r="BF88" s="43">
        <f t="shared" si="140"/>
        <v>0</v>
      </c>
      <c r="BG88" s="43">
        <f t="shared" si="140"/>
        <v>0</v>
      </c>
      <c r="BH88" s="43">
        <f t="shared" si="140"/>
        <v>0</v>
      </c>
      <c r="BI88" s="43">
        <f t="shared" si="140"/>
        <v>0</v>
      </c>
      <c r="BJ88" s="43">
        <f t="shared" si="140"/>
        <v>0</v>
      </c>
      <c r="BK88" s="43">
        <f t="shared" si="140"/>
        <v>0</v>
      </c>
      <c r="BL88" s="43">
        <f t="shared" si="140"/>
        <v>0</v>
      </c>
      <c r="BM88" s="43">
        <f t="shared" si="140"/>
        <v>0</v>
      </c>
      <c r="BN88" s="43">
        <f t="shared" si="140"/>
        <v>0</v>
      </c>
      <c r="BO88" s="43">
        <f t="shared" si="140"/>
        <v>0</v>
      </c>
      <c r="BP88" s="43">
        <f t="shared" si="140"/>
        <v>0</v>
      </c>
      <c r="BQ88" s="43">
        <f t="shared" si="140"/>
        <v>0</v>
      </c>
      <c r="BR88" s="44">
        <f t="shared" si="140"/>
        <v>0</v>
      </c>
      <c r="BS88" s="128">
        <f t="shared" si="126"/>
        <v>39203</v>
      </c>
      <c r="BT88" s="44">
        <f t="shared" si="127"/>
        <v>0</v>
      </c>
      <c r="BU88" s="51"/>
      <c r="BV88" s="51"/>
      <c r="BW88" s="51"/>
      <c r="BX88" s="51"/>
      <c r="BY88" s="51"/>
      <c r="BZ88" s="51"/>
      <c r="CA88" s="51"/>
      <c r="CB88" s="51"/>
      <c r="CC88" s="141">
        <f t="shared" si="133"/>
        <v>36892</v>
      </c>
      <c r="CD88" s="234">
        <f>_xll.xSPRDOPT((VLOOKUP(G88,NGPrices,2,FALSE)+HLOOKUP(D88,Prices,VLOOKUP(G88,move_down,2,FALSE),FALSE)),VLOOKUP(G88,NGPrices,2,FALSE),I88,VLOOKUP(G88,NGPREVPRICES,4,FALSE),HLOOKUP(D88,PREVVOLS,VLOOKUP(G88,MOVE_DOWN2,2,FALSE),FALSE),VLOOKUP(G88,NGPREVPRICES,3,FALSE),HLOOKUP(D88,Correllate,VLOOKUP(G88,CorMove,2,FALSE),FALSE),Q88-$CD$3,R88,$CD$5)*H88-CJ88</f>
        <v>0</v>
      </c>
      <c r="CE88" s="234">
        <f>_xll.xSPRDOPT((VLOOKUP(G88,NGPREVPRICES,2,FALSE)+HLOOKUP(D88,PREVCURVES,VLOOKUP(G88,MOVE_DOWN2,2,FALSE),FALSE)),VLOOKUP(G88,NGPREVPRICES,2,FALSE),CK88,VLOOKUP(G88,NGPrices,4,FALSE),HLOOKUP(D88,PREVVOLS,VLOOKUP(G88,MOVE_DOWN2,2,FALSE),FALSE),VLOOKUP(G88,NGPREVPRICES,3,FALSE),HLOOKUP(D88,Correllate,VLOOKUP(G88,CorMove,2,FALSE),FALSE),Q88-$CD$3,R88,$CJ$5)*H88-CJ88</f>
        <v>0</v>
      </c>
      <c r="CF88" s="10">
        <f t="shared" si="134"/>
        <v>9.8213748225825839</v>
      </c>
      <c r="CG88" s="234">
        <f>_xll.xSPRDOPT((VLOOKUP(G88,NGPREVPRICES,2,FALSE)+HLOOKUP(D88,PREVCURVES,VLOOKUP(G88,MOVE_DOWN2,2,FALSE),FALSE)),VLOOKUP(G88,NGPREVPRICES,2,FALSE),CK88,VLOOKUP(G88,NGPREVPRICES,4,FALSE),HLOOKUP(D88,VOLS,VLOOKUP(G88,move_down,2,FALSE),FALSE),VLOOKUP(G88,NGPrices,3,FALSE),HLOOKUP(D88,Correllate,VLOOKUP(G88,CorMove,2,FALSE),FALSE),Q88-$CD$3,R88,$CJ$5)*H88-CJ88</f>
        <v>0</v>
      </c>
      <c r="CH88" s="234">
        <f>_xll.xSPRDOPT((VLOOKUP(G88,NGPREVPRICES,2,FALSE)+HLOOKUP(D88,PREVCURVES,VLOOKUP(G88,MOVE_DOWN2,2,FALSE),FALSE)),VLOOKUP(G88,NGPREVPRICES,2,FALSE),CK88,VLOOKUP(G88,NGPREVPRICES,4,FALSE),HLOOKUP(D88,PREVVOLS,VLOOKUP(G88,MOVE_DOWN2,2,FALSE),FALSE),VLOOKUP(G88,NGPREVPRICES,3,FALSE),HLOOKUP(D88,Correllate,VLOOKUP(G88,CorMove,2,FALSE),FALSE),Q88-$C$3,R88,$CJ$5)*H88-CJ88</f>
        <v>453.18686858681031</v>
      </c>
      <c r="CI88" s="234">
        <f t="shared" si="135"/>
        <v>463.00824340939289</v>
      </c>
      <c r="CJ88" s="234">
        <f>_xll.xSPRDOPT((VLOOKUP(G88,NGPREVPRICES,2,FALSE)+HLOOKUP(D88,PREVCURVES,VLOOKUP(G88,MOVE_DOWN2,2,FALSE),FALSE)),VLOOKUP(G88,NGPREVPRICES,2,FALSE),CK88,VLOOKUP(G88,NGPREVPRICES,4,FALSE),HLOOKUP(D88,PREVVOLS,VLOOKUP(G88,MOVE_DOWN2,2,FALSE),FALSE),VLOOKUP(G88,NGPREVPRICES,3,FALSE),HLOOKUP(D88,Correllate,VLOOKUP(G88,CorMove,2,FALSE),FALSE),Q88-$CD$3,R88,$CJ$5)*H88</f>
        <v>-52119.051936837801</v>
      </c>
      <c r="CK88" s="235">
        <f t="shared" si="136"/>
        <v>1.1499999999999999</v>
      </c>
      <c r="CL88" s="234"/>
      <c r="CM88" t="str">
        <f t="shared" si="137"/>
        <v>36892Curve Shift/Gamma</v>
      </c>
      <c r="CN88" t="str">
        <f t="shared" si="107"/>
        <v>36892Rho</v>
      </c>
      <c r="CO88" t="str">
        <f t="shared" si="108"/>
        <v>36892Drift</v>
      </c>
      <c r="CP88" t="str">
        <f t="shared" si="109"/>
        <v>36892Vega</v>
      </c>
      <c r="CQ88" t="str">
        <f t="shared" si="110"/>
        <v>36892Theta</v>
      </c>
    </row>
    <row r="89" spans="1:95" ht="12" customHeight="1" x14ac:dyDescent="0.25">
      <c r="A89" s="382" t="s">
        <v>279</v>
      </c>
      <c r="B89" t="s">
        <v>250</v>
      </c>
      <c r="C89" t="s">
        <v>310</v>
      </c>
      <c r="D89" s="4" t="s">
        <v>7</v>
      </c>
      <c r="E89" t="s">
        <v>20</v>
      </c>
      <c r="F89" t="s">
        <v>1</v>
      </c>
      <c r="G89" s="5">
        <v>36861</v>
      </c>
      <c r="H89" s="130">
        <v>-250000</v>
      </c>
      <c r="I89">
        <v>1.1499999999999999</v>
      </c>
      <c r="J89" s="53">
        <f t="shared" si="113"/>
        <v>4.8</v>
      </c>
      <c r="K89" s="7">
        <f t="shared" si="114"/>
        <v>1.645</v>
      </c>
      <c r="L89" s="53">
        <f t="shared" si="115"/>
        <v>6.4450000000000003</v>
      </c>
      <c r="M89" s="157">
        <f t="shared" si="101"/>
        <v>6.8314027999354002E-2</v>
      </c>
      <c r="N89" s="4">
        <f t="shared" si="102"/>
        <v>0.6</v>
      </c>
      <c r="O89" s="4">
        <f t="shared" si="103"/>
        <v>0.69</v>
      </c>
      <c r="P89" s="9">
        <f t="shared" si="104"/>
        <v>0.83</v>
      </c>
      <c r="Q89" s="5">
        <f t="shared" si="116"/>
        <v>36859</v>
      </c>
      <c r="R89" s="4">
        <f t="shared" si="105"/>
        <v>0</v>
      </c>
      <c r="S89" s="158">
        <f>_xll.xSPRDOPT($L89,$J89,$I89,$M89,$O89,$N89,$P89,$Q89-$C$3,$R89,0)</f>
        <v>0.27680806345180731</v>
      </c>
      <c r="T89" s="159">
        <f>_xll.xSPRDOPT($L89,$J89,$I89,$M89,$O89,$N89,$P89,$Q89-$C$3,$R89,1)*H89</f>
        <v>75492.489039842127</v>
      </c>
      <c r="U89" s="160">
        <f t="shared" si="138"/>
        <v>-69202.015862951826</v>
      </c>
      <c r="V89" s="159">
        <f>_xll.xSPRDOPT($L89,$J89,$I89,$M89,$O89,$N89,$P89,$Q89-$C$3,$R89,2)*H89</f>
        <v>-92124.002545741852</v>
      </c>
      <c r="W89" s="159">
        <f t="shared" si="106"/>
        <v>-16631.513505899726</v>
      </c>
      <c r="X89" s="51" t="str">
        <f t="shared" si="117"/>
        <v>36861IF-TRANSCO/Z6</v>
      </c>
      <c r="Y89" s="418">
        <f t="shared" si="118"/>
        <v>-25</v>
      </c>
      <c r="Z89" s="456">
        <f t="shared" si="119"/>
        <v>-0.3019699561593685</v>
      </c>
      <c r="AA89" s="456">
        <f>_xll.xSPRDOPT($L89,$J89,$I89,$M89,$O89,$N89,$P89,$Q89-$C$3,$R89,3)</f>
        <v>0.26984689871019807</v>
      </c>
      <c r="AB89" s="456">
        <f>((_xll.xSPRDOPT($L89+AB$5,$J89,$I89,$M89,$O89,$N89,$P89,$Q89-$C$3,$R89,3)*$H89)/10000)/100</f>
        <v>-6.7461724677549517E-2</v>
      </c>
      <c r="AC89" s="456">
        <f>((_xll.xSPRDOPT($L89+$AB$5,$J89,$I89,$M89,$O89,$N89,$P89,$Q89-$C$3,$R89,7)*$H89)/100)</f>
        <v>2350.4793650299757</v>
      </c>
      <c r="AD89" s="456">
        <f>(_xll.xSPRDOPT($L89+$AB$5,$J89,$I89,$M89,$O89,$N89,$P89,$Q89-$C$3,$R89,9)/365)*$H89</f>
        <v>589.7251302629403</v>
      </c>
      <c r="AE89">
        <f t="shared" si="120"/>
        <v>0</v>
      </c>
      <c r="AF89" s="456">
        <f t="shared" si="121"/>
        <v>-1846.9447335213754</v>
      </c>
      <c r="AG89" s="456">
        <f>((_xll.xSPRDOPT($L89,$J89,$I89,$M89,$O89,$N89,$P89,$Q89-$C$3,$R89,6)*$H89)/100)</f>
        <v>502.3335211549155</v>
      </c>
      <c r="AH89" s="456">
        <f>((_xll.xSPRDOPT($L89,$J89,$I89,$M89,$O89,$N89,$P89,$Q89-$C$3,$R89,5)*$H89)/100)</f>
        <v>-2042.8506562402533</v>
      </c>
      <c r="AI89" s="456">
        <f>(((_xll.xSPRDOPT($L89,$J89,$I89,$M89,$O89,$N89,$P89,$Q89-$C$3,$R89,4)*$H89)/10000)/100)-AB89</f>
        <v>-1.1490796336067047E-2</v>
      </c>
      <c r="AJ89" s="456"/>
      <c r="AK89" s="456"/>
      <c r="AL89" s="456"/>
      <c r="AM89" s="472"/>
      <c r="AN89" s="128">
        <f t="shared" si="122"/>
        <v>39234</v>
      </c>
      <c r="AO89" s="43">
        <f t="shared" si="139"/>
        <v>0</v>
      </c>
      <c r="AP89" s="43">
        <f t="shared" si="139"/>
        <v>0</v>
      </c>
      <c r="AQ89" s="43">
        <f t="shared" si="139"/>
        <v>0</v>
      </c>
      <c r="AR89" s="43">
        <f t="shared" si="139"/>
        <v>0</v>
      </c>
      <c r="AS89" s="43">
        <f t="shared" si="139"/>
        <v>0</v>
      </c>
      <c r="AT89" s="43">
        <f t="shared" si="139"/>
        <v>0</v>
      </c>
      <c r="AU89" s="43">
        <f t="shared" si="139"/>
        <v>0</v>
      </c>
      <c r="AV89" s="43">
        <f t="shared" si="139"/>
        <v>0</v>
      </c>
      <c r="AW89" s="43">
        <f t="shared" si="139"/>
        <v>0</v>
      </c>
      <c r="AX89" s="43">
        <f t="shared" si="139"/>
        <v>0</v>
      </c>
      <c r="AY89" s="43">
        <f t="shared" si="139"/>
        <v>0</v>
      </c>
      <c r="AZ89" s="43">
        <f t="shared" si="139"/>
        <v>0</v>
      </c>
      <c r="BA89" s="44">
        <f t="shared" si="139"/>
        <v>0</v>
      </c>
      <c r="BB89" s="128">
        <f t="shared" si="123"/>
        <v>39234</v>
      </c>
      <c r="BC89" s="44">
        <f t="shared" si="124"/>
        <v>0</v>
      </c>
      <c r="BD89" s="51"/>
      <c r="BE89" s="128">
        <f t="shared" si="125"/>
        <v>39234</v>
      </c>
      <c r="BF89" s="43">
        <f t="shared" si="140"/>
        <v>0</v>
      </c>
      <c r="BG89" s="43">
        <f t="shared" si="140"/>
        <v>0</v>
      </c>
      <c r="BH89" s="43">
        <f t="shared" si="140"/>
        <v>0</v>
      </c>
      <c r="BI89" s="43">
        <f t="shared" si="140"/>
        <v>0</v>
      </c>
      <c r="BJ89" s="43">
        <f t="shared" si="140"/>
        <v>0</v>
      </c>
      <c r="BK89" s="43">
        <f t="shared" si="140"/>
        <v>0</v>
      </c>
      <c r="BL89" s="43">
        <f t="shared" si="140"/>
        <v>0</v>
      </c>
      <c r="BM89" s="43">
        <f t="shared" si="140"/>
        <v>0</v>
      </c>
      <c r="BN89" s="43">
        <f t="shared" si="140"/>
        <v>0</v>
      </c>
      <c r="BO89" s="43">
        <f t="shared" si="140"/>
        <v>0</v>
      </c>
      <c r="BP89" s="43">
        <f t="shared" si="140"/>
        <v>0</v>
      </c>
      <c r="BQ89" s="43">
        <f t="shared" si="140"/>
        <v>0</v>
      </c>
      <c r="BR89" s="44">
        <f t="shared" si="140"/>
        <v>0</v>
      </c>
      <c r="BS89" s="128">
        <f t="shared" si="126"/>
        <v>39234</v>
      </c>
      <c r="BT89" s="44">
        <f t="shared" si="127"/>
        <v>0</v>
      </c>
      <c r="BU89" s="51"/>
      <c r="BV89" s="51"/>
      <c r="BW89" s="51"/>
      <c r="BX89" s="51"/>
      <c r="BY89" s="51"/>
      <c r="BZ89" s="51"/>
      <c r="CA89" s="51"/>
      <c r="CB89" s="51"/>
      <c r="CC89" s="141">
        <f t="shared" si="133"/>
        <v>36861</v>
      </c>
      <c r="CD89" s="234">
        <f>_xll.xSPRDOPT((VLOOKUP(G89,NGPrices,2,FALSE)+HLOOKUP(D89,Prices,VLOOKUP(G89,move_down,2,FALSE),FALSE)),VLOOKUP(G89,NGPrices,2,FALSE),I89,VLOOKUP(G89,NGPREVPRICES,4,FALSE),HLOOKUP(D89,PREVVOLS,VLOOKUP(G89,MOVE_DOWN2,2,FALSE),FALSE),VLOOKUP(G89,NGPREVPRICES,3,FALSE),HLOOKUP(D89,Correllate,VLOOKUP(G89,CorMove,2,FALSE),FALSE),Q89-$CD$3,R89,$CD$5)*H89-CJ89</f>
        <v>0</v>
      </c>
      <c r="CE89" s="234">
        <f>_xll.xSPRDOPT((VLOOKUP(G89,NGPREVPRICES,2,FALSE)+HLOOKUP(D89,PREVCURVES,VLOOKUP(G89,MOVE_DOWN2,2,FALSE),FALSE)),VLOOKUP(G89,NGPREVPRICES,2,FALSE),CK89,VLOOKUP(G89,NGPrices,4,FALSE),HLOOKUP(D89,PREVVOLS,VLOOKUP(G89,MOVE_DOWN2,2,FALSE),FALSE),VLOOKUP(G89,NGPREVPRICES,3,FALSE),HLOOKUP(D89,Correllate,VLOOKUP(G89,CorMove,2,FALSE),FALSE),Q89-$CD$3,R89,$CJ$5)*H89-CJ89</f>
        <v>0</v>
      </c>
      <c r="CF89" s="10">
        <f t="shared" si="134"/>
        <v>13.074287124763941</v>
      </c>
      <c r="CG89" s="234">
        <f>_xll.xSPRDOPT((VLOOKUP(G89,NGPREVPRICES,2,FALSE)+HLOOKUP(D89,PREVCURVES,VLOOKUP(G89,MOVE_DOWN2,2,FALSE),FALSE)),VLOOKUP(G89,NGPREVPRICES,2,FALSE),CK89,VLOOKUP(G89,NGPREVPRICES,4,FALSE),HLOOKUP(D89,VOLS,VLOOKUP(G89,move_down,2,FALSE),FALSE),VLOOKUP(G89,NGPrices,3,FALSE),HLOOKUP(D89,Correllate,VLOOKUP(G89,CorMove,2,FALSE),FALSE),Q89-$CD$3,R89,$CJ$5)*H89-CJ89</f>
        <v>0</v>
      </c>
      <c r="CH89" s="234">
        <f>_xll.xSPRDOPT((VLOOKUP(G89,NGPREVPRICES,2,FALSE)+HLOOKUP(D89,PREVCURVES,VLOOKUP(G89,MOVE_DOWN2,2,FALSE),FALSE)),VLOOKUP(G89,NGPREVPRICES,2,FALSE),CK89,VLOOKUP(G89,NGPREVPRICES,4,FALSE),HLOOKUP(D89,PREVVOLS,VLOOKUP(G89,MOVE_DOWN2,2,FALSE),FALSE),VLOOKUP(G89,NGPREVPRICES,3,FALSE),HLOOKUP(D89,Correllate,VLOOKUP(G89,CorMove,2,FALSE),FALSE),Q89-$C$3,R89,$CJ$5)*H89-CJ89</f>
        <v>587.8380386744102</v>
      </c>
      <c r="CI89" s="234">
        <f t="shared" si="135"/>
        <v>600.91232579917414</v>
      </c>
      <c r="CJ89" s="234">
        <f>_xll.xSPRDOPT((VLOOKUP(G89,NGPREVPRICES,2,FALSE)+HLOOKUP(D89,PREVCURVES,VLOOKUP(G89,MOVE_DOWN2,2,FALSE),FALSE)),VLOOKUP(G89,NGPREVPRICES,2,FALSE),CK89,VLOOKUP(G89,NGPREVPRICES,4,FALSE),HLOOKUP(D89,PREVVOLS,VLOOKUP(G89,MOVE_DOWN2,2,FALSE),FALSE),VLOOKUP(G89,NGPREVPRICES,3,FALSE),HLOOKUP(D89,Correllate,VLOOKUP(G89,CorMove,2,FALSE),FALSE),Q89-$CD$3,R89,$CJ$5)*H89</f>
        <v>-69789.853901626237</v>
      </c>
      <c r="CK89" s="235">
        <f t="shared" si="136"/>
        <v>1.1499999999999999</v>
      </c>
      <c r="CL89" s="234"/>
      <c r="CM89" t="str">
        <f t="shared" si="137"/>
        <v>36861Curve Shift/Gamma</v>
      </c>
      <c r="CN89" t="str">
        <f t="shared" si="107"/>
        <v>36861Rho</v>
      </c>
      <c r="CO89" t="str">
        <f t="shared" si="108"/>
        <v>36861Drift</v>
      </c>
      <c r="CP89" t="str">
        <f t="shared" si="109"/>
        <v>36861Vega</v>
      </c>
      <c r="CQ89" t="str">
        <f t="shared" si="110"/>
        <v>36861Theta</v>
      </c>
    </row>
    <row r="90" spans="1:95" ht="12" customHeight="1" x14ac:dyDescent="0.25">
      <c r="A90" s="382" t="s">
        <v>279</v>
      </c>
      <c r="B90" t="s">
        <v>250</v>
      </c>
      <c r="C90" t="s">
        <v>310</v>
      </c>
      <c r="D90" s="4" t="s">
        <v>7</v>
      </c>
      <c r="E90" t="s">
        <v>20</v>
      </c>
      <c r="F90" t="s">
        <v>1</v>
      </c>
      <c r="G90" s="5">
        <v>36831</v>
      </c>
      <c r="H90" s="130">
        <v>-250000</v>
      </c>
      <c r="I90">
        <v>1.1499999999999999</v>
      </c>
      <c r="J90" s="53">
        <f t="shared" si="113"/>
        <v>4.7359999999999998</v>
      </c>
      <c r="K90" s="7">
        <f t="shared" si="114"/>
        <v>0.77</v>
      </c>
      <c r="L90" s="53">
        <f t="shared" si="115"/>
        <v>5.5060000000000002</v>
      </c>
      <c r="M90" s="157">
        <f t="shared" si="101"/>
        <v>6.810675983792E-2</v>
      </c>
      <c r="N90" s="4">
        <f t="shared" si="102"/>
        <v>0.59499999999999997</v>
      </c>
      <c r="O90" s="4">
        <f t="shared" si="103"/>
        <v>0.625</v>
      </c>
      <c r="P90" s="9">
        <f t="shared" si="104"/>
        <v>0.89</v>
      </c>
      <c r="Q90" s="5">
        <f t="shared" si="116"/>
        <v>36829</v>
      </c>
      <c r="R90" s="4">
        <f t="shared" si="105"/>
        <v>0</v>
      </c>
      <c r="S90" s="158">
        <f>_xll.xSPRDOPT($L90,$J90,$I90,$M90,$O90,$N90,$P90,$Q90-$C$3,$R90,0)</f>
        <v>0.50089659925391516</v>
      </c>
      <c r="T90" s="159">
        <f>_xll.xSPRDOPT($L90,$J90,$I90,$M90,$O90,$N90,$P90,$Q90-$C$3,$R90,1)*H90</f>
        <v>169599.25665829467</v>
      </c>
      <c r="U90" s="160">
        <f t="shared" si="138"/>
        <v>-125224.1498134788</v>
      </c>
      <c r="V90" s="159">
        <f>_xll.xSPRDOPT($L90,$J90,$I90,$M90,$O90,$N90,$P90,$Q90-$C$3,$R90,2)*H90</f>
        <v>-178938.09226994001</v>
      </c>
      <c r="W90" s="159">
        <f t="shared" si="106"/>
        <v>-9338.835611645336</v>
      </c>
      <c r="X90" s="51" t="str">
        <f t="shared" si="117"/>
        <v>36831IF-TRANSCO/Z6</v>
      </c>
      <c r="Y90" s="418">
        <f t="shared" si="118"/>
        <v>-25</v>
      </c>
      <c r="Z90" s="456">
        <f t="shared" si="119"/>
        <v>-0.67839702663317869</v>
      </c>
      <c r="AA90" s="456">
        <f>_xll.xSPRDOPT($L90,$J90,$I90,$M90,$O90,$N90,$P90,$Q90-$C$3,$R90,3)</f>
        <v>0.52444067857825138</v>
      </c>
      <c r="AB90" s="456">
        <f>((_xll.xSPRDOPT($L90+AB$5,$J90,$I90,$M90,$O90,$N90,$P90,$Q90-$C$3,$R90,3)*$H90)/10000)/100</f>
        <v>-0.13111016964456285</v>
      </c>
      <c r="AC90" s="456">
        <f>((_xll.xSPRDOPT($L90+$AB$5,$J90,$I90,$M90,$O90,$N90,$P90,$Q90-$C$3,$R90,7)*$H90)/100)</f>
        <v>2035.6716501134426</v>
      </c>
      <c r="AD90" s="456">
        <f>(_xll.xSPRDOPT($L90+$AB$5,$J90,$I90,$M90,$O90,$N90,$P90,$Q90-$C$3,$R90,9)/365)*$H90</f>
        <v>450.64738507501613</v>
      </c>
      <c r="AE90">
        <f t="shared" si="120"/>
        <v>0</v>
      </c>
      <c r="AF90" s="456">
        <f t="shared" si="121"/>
        <v>-987.18379040598461</v>
      </c>
      <c r="AG90" s="456">
        <f>((_xll.xSPRDOPT($L90,$J90,$I90,$M90,$O90,$N90,$P90,$Q90-$C$3,$R90,6)*$H90)/100)</f>
        <v>397.34969104631523</v>
      </c>
      <c r="AH90" s="456">
        <f>((_xll.xSPRDOPT($L90,$J90,$I90,$M90,$O90,$N90,$P90,$Q90-$C$3,$R90,5)*$H90)/100)</f>
        <v>-1318.0758743425895</v>
      </c>
      <c r="AI90" s="456">
        <f>(((_xll.xSPRDOPT($L90,$J90,$I90,$M90,$O90,$N90,$P90,$Q90-$C$3,$R90,4)*$H90)/10000)/100)-AB90</f>
        <v>1.4238562936474713E-2</v>
      </c>
      <c r="AJ90" s="456"/>
      <c r="AK90" s="456"/>
      <c r="AL90" s="456"/>
      <c r="AM90" s="472"/>
      <c r="AN90" s="128">
        <f t="shared" si="122"/>
        <v>39264</v>
      </c>
      <c r="AO90" s="43">
        <f t="shared" si="139"/>
        <v>0</v>
      </c>
      <c r="AP90" s="43">
        <f t="shared" si="139"/>
        <v>0</v>
      </c>
      <c r="AQ90" s="43">
        <f t="shared" si="139"/>
        <v>0</v>
      </c>
      <c r="AR90" s="43">
        <f t="shared" si="139"/>
        <v>0</v>
      </c>
      <c r="AS90" s="43">
        <f t="shared" si="139"/>
        <v>0</v>
      </c>
      <c r="AT90" s="43">
        <f t="shared" si="139"/>
        <v>0</v>
      </c>
      <c r="AU90" s="43">
        <f t="shared" si="139"/>
        <v>0</v>
      </c>
      <c r="AV90" s="43">
        <f t="shared" si="139"/>
        <v>0</v>
      </c>
      <c r="AW90" s="43">
        <f t="shared" si="139"/>
        <v>0</v>
      </c>
      <c r="AX90" s="43">
        <f t="shared" si="139"/>
        <v>0</v>
      </c>
      <c r="AY90" s="43">
        <f t="shared" si="139"/>
        <v>0</v>
      </c>
      <c r="AZ90" s="43">
        <f t="shared" si="139"/>
        <v>0</v>
      </c>
      <c r="BA90" s="44">
        <f t="shared" si="139"/>
        <v>0</v>
      </c>
      <c r="BB90" s="128">
        <f t="shared" si="123"/>
        <v>39264</v>
      </c>
      <c r="BC90" s="44">
        <f t="shared" si="124"/>
        <v>0</v>
      </c>
      <c r="BD90" s="51"/>
      <c r="BE90" s="128">
        <f t="shared" si="125"/>
        <v>39264</v>
      </c>
      <c r="BF90" s="43">
        <f t="shared" si="140"/>
        <v>0</v>
      </c>
      <c r="BG90" s="43">
        <f t="shared" si="140"/>
        <v>0</v>
      </c>
      <c r="BH90" s="43">
        <f t="shared" si="140"/>
        <v>0</v>
      </c>
      <c r="BI90" s="43">
        <f t="shared" si="140"/>
        <v>0</v>
      </c>
      <c r="BJ90" s="43">
        <f t="shared" si="140"/>
        <v>0</v>
      </c>
      <c r="BK90" s="43">
        <f t="shared" si="140"/>
        <v>0</v>
      </c>
      <c r="BL90" s="43">
        <f t="shared" si="140"/>
        <v>0</v>
      </c>
      <c r="BM90" s="43">
        <f t="shared" si="140"/>
        <v>0</v>
      </c>
      <c r="BN90" s="43">
        <f t="shared" si="140"/>
        <v>0</v>
      </c>
      <c r="BO90" s="43">
        <f t="shared" si="140"/>
        <v>0</v>
      </c>
      <c r="BP90" s="43">
        <f t="shared" si="140"/>
        <v>0</v>
      </c>
      <c r="BQ90" s="43">
        <f t="shared" si="140"/>
        <v>0</v>
      </c>
      <c r="BR90" s="44">
        <f t="shared" si="140"/>
        <v>0</v>
      </c>
      <c r="BS90" s="128">
        <f t="shared" si="126"/>
        <v>39264</v>
      </c>
      <c r="BT90" s="44">
        <f t="shared" si="127"/>
        <v>0</v>
      </c>
      <c r="BU90" s="51"/>
      <c r="BV90" s="51"/>
      <c r="BW90" s="51"/>
      <c r="BX90" s="51"/>
      <c r="BY90" s="51"/>
      <c r="BZ90" s="51"/>
      <c r="CA90" s="51"/>
      <c r="CB90" s="51"/>
      <c r="CC90" s="141">
        <f t="shared" si="133"/>
        <v>36831</v>
      </c>
      <c r="CD90" s="234">
        <f>_xll.xSPRDOPT((VLOOKUP(G90,NGPrices,2,FALSE)+HLOOKUP(D90,Prices,VLOOKUP(G90,move_down,2,FALSE),FALSE)),VLOOKUP(G90,NGPrices,2,FALSE),I90,VLOOKUP(G90,NGPREVPRICES,4,FALSE),HLOOKUP(D90,PREVVOLS,VLOOKUP(G90,MOVE_DOWN2,2,FALSE),FALSE),VLOOKUP(G90,NGPREVPRICES,3,FALSE),HLOOKUP(D90,Correllate,VLOOKUP(G90,CorMove,2,FALSE),FALSE),Q90-$CD$3,R90,$CD$5)*H90-CJ90</f>
        <v>0</v>
      </c>
      <c r="CE90" s="234">
        <f>_xll.xSPRDOPT((VLOOKUP(G90,NGPREVPRICES,2,FALSE)+HLOOKUP(D90,PREVCURVES,VLOOKUP(G90,MOVE_DOWN2,2,FALSE),FALSE)),VLOOKUP(G90,NGPREVPRICES,2,FALSE),CK90,VLOOKUP(G90,NGPrices,4,FALSE),HLOOKUP(D90,PREVVOLS,VLOOKUP(G90,MOVE_DOWN2,2,FALSE),FALSE),VLOOKUP(G90,NGPREVPRICES,3,FALSE),HLOOKUP(D90,Correllate,VLOOKUP(G90,CorMove,2,FALSE),FALSE),Q90-$CD$3,R90,$CJ$5)*H90-CJ90</f>
        <v>0</v>
      </c>
      <c r="CF90" s="10">
        <f t="shared" si="134"/>
        <v>23.338828801250202</v>
      </c>
      <c r="CG90" s="234">
        <f>_xll.xSPRDOPT((VLOOKUP(G90,NGPREVPRICES,2,FALSE)+HLOOKUP(D90,PREVCURVES,VLOOKUP(G90,MOVE_DOWN2,2,FALSE),FALSE)),VLOOKUP(G90,NGPREVPRICES,2,FALSE),CK90,VLOOKUP(G90,NGPREVPRICES,4,FALSE),HLOOKUP(D90,VOLS,VLOOKUP(G90,move_down,2,FALSE),FALSE),VLOOKUP(G90,NGPrices,3,FALSE),HLOOKUP(D90,Correllate,VLOOKUP(G90,CorMove,2,FALSE),FALSE),Q90-$CD$3,R90,$CJ$5)*H90-CJ90</f>
        <v>0</v>
      </c>
      <c r="CH90" s="234">
        <f>_xll.xSPRDOPT((VLOOKUP(G90,NGPREVPRICES,2,FALSE)+HLOOKUP(D90,PREVCURVES,VLOOKUP(G90,MOVE_DOWN2,2,FALSE),FALSE)),VLOOKUP(G90,NGPREVPRICES,2,FALSE),CK90,VLOOKUP(G90,NGPREVPRICES,4,FALSE),HLOOKUP(D90,PREVVOLS,VLOOKUP(G90,MOVE_DOWN2,2,FALSE),FALSE),VLOOKUP(G90,NGPREVPRICES,3,FALSE),HLOOKUP(D90,Correllate,VLOOKUP(G90,CorMove,2,FALSE),FALSE),Q90-$C$3,R90,$CJ$5)*H90-CJ90</f>
        <v>448.93010355233855</v>
      </c>
      <c r="CI90" s="234">
        <f t="shared" si="135"/>
        <v>472.26893235358875</v>
      </c>
      <c r="CJ90" s="234">
        <f>_xll.xSPRDOPT((VLOOKUP(G90,NGPREVPRICES,2,FALSE)+HLOOKUP(D90,PREVCURVES,VLOOKUP(G90,MOVE_DOWN2,2,FALSE),FALSE)),VLOOKUP(G90,NGPREVPRICES,2,FALSE),CK90,VLOOKUP(G90,NGPREVPRICES,4,FALSE),HLOOKUP(D90,PREVVOLS,VLOOKUP(G90,MOVE_DOWN2,2,FALSE),FALSE),VLOOKUP(G90,NGPREVPRICES,3,FALSE),HLOOKUP(D90,Correllate,VLOOKUP(G90,CorMove,2,FALSE),FALSE),Q90-$CD$3,R90,$CJ$5)*H90</f>
        <v>-125673.07991703114</v>
      </c>
      <c r="CK90" s="235">
        <f t="shared" si="136"/>
        <v>1.1499999999999999</v>
      </c>
      <c r="CL90" s="234"/>
      <c r="CM90" t="str">
        <f t="shared" si="137"/>
        <v>36831Curve Shift/Gamma</v>
      </c>
      <c r="CN90" t="str">
        <f t="shared" si="107"/>
        <v>36831Rho</v>
      </c>
      <c r="CO90" t="str">
        <f t="shared" si="108"/>
        <v>36831Drift</v>
      </c>
      <c r="CP90" t="str">
        <f t="shared" si="109"/>
        <v>36831Vega</v>
      </c>
      <c r="CQ90" t="str">
        <f t="shared" si="110"/>
        <v>36831Theta</v>
      </c>
    </row>
    <row r="91" spans="1:95" ht="12" customHeight="1" x14ac:dyDescent="0.25">
      <c r="A91" s="382" t="s">
        <v>279</v>
      </c>
      <c r="B91" t="s">
        <v>250</v>
      </c>
      <c r="C91" t="s">
        <v>311</v>
      </c>
      <c r="D91" s="4" t="s">
        <v>9</v>
      </c>
      <c r="E91" t="s">
        <v>20</v>
      </c>
      <c r="F91" t="s">
        <v>21</v>
      </c>
      <c r="G91" s="5">
        <v>36800</v>
      </c>
      <c r="H91" s="130">
        <v>-500000</v>
      </c>
      <c r="I91">
        <v>-0.32</v>
      </c>
      <c r="J91" s="53">
        <f t="shared" si="113"/>
        <v>4.6920000000000002</v>
      </c>
      <c r="K91" s="7">
        <f t="shared" si="114"/>
        <v>-0.80500000000000005</v>
      </c>
      <c r="L91" s="53">
        <f t="shared" si="115"/>
        <v>3.887</v>
      </c>
      <c r="M91" s="157">
        <f t="shared" si="101"/>
        <v>6.8050789414654006E-2</v>
      </c>
      <c r="N91" s="4">
        <f t="shared" si="102"/>
        <v>0.57499999999999996</v>
      </c>
      <c r="O91" s="4">
        <f t="shared" si="103"/>
        <v>0.55200000000000005</v>
      </c>
      <c r="P91" s="9">
        <f t="shared" si="104"/>
        <v>0.84</v>
      </c>
      <c r="Q91" s="5">
        <f t="shared" si="116"/>
        <v>36797</v>
      </c>
      <c r="R91" s="4">
        <f t="shared" si="105"/>
        <v>1</v>
      </c>
      <c r="S91" s="158">
        <f>_xll.xSPRDOPT($L91,$J91,$I91,$M91,$O91,$N91,$P91,$Q91-$C$3,$R91,0)</f>
        <v>2.1536356939657997E-2</v>
      </c>
      <c r="T91" s="159">
        <f>_xll.xSPRDOPT($L91,$J91,$I91,$M91,$O91,$N91,$P91,$Q91-$C$3,$R91,1)*H91</f>
        <v>-60196.538143097663</v>
      </c>
      <c r="U91" s="160">
        <f t="shared" si="138"/>
        <v>-10768.178469828998</v>
      </c>
      <c r="V91" s="159">
        <f>_xll.xSPRDOPT($L91,$J91,$I91,$M91,$O91,$N91,$P91,$Q91-$C$3,$R91,2)*H91</f>
        <v>51586.146522009716</v>
      </c>
      <c r="W91" s="159">
        <f t="shared" si="106"/>
        <v>-8610.391621087947</v>
      </c>
      <c r="X91" s="51" t="str">
        <f t="shared" si="117"/>
        <v>36800IF-NWPL_ROCKY_M</v>
      </c>
      <c r="Y91" s="418">
        <f t="shared" si="118"/>
        <v>-50</v>
      </c>
      <c r="Z91" s="456">
        <f t="shared" si="119"/>
        <v>0.12039307628619533</v>
      </c>
      <c r="AA91" s="456">
        <f>_xll.xSPRDOPT($L91,$J91,$I91,$M91,$O91,$N91,$P91,$Q91-$C$3,$R91,3)</f>
        <v>0.53071735645549822</v>
      </c>
      <c r="AB91" s="456">
        <f>((_xll.xSPRDOPT($L91+AB$5,$J91,$I91,$M91,$O91,$N91,$P91,$Q91-$C$3,$R91,3)*$H91)/10000)/100</f>
        <v>-0.26535867822774917</v>
      </c>
      <c r="AC91" s="456">
        <f>((_xll.xSPRDOPT($L91+$AB$5,$J91,$I91,$M91,$O91,$N91,$P91,$Q91-$C$3,$R91,7)*$H91)/100)</f>
        <v>1129.7192515446034</v>
      </c>
      <c r="AD91" s="456">
        <f>(_xll.xSPRDOPT($L91+$AB$5,$J91,$I91,$M91,$O91,$N91,$P91,$Q91-$C$3,$R91,9)/365)*$H91</f>
        <v>627.75546479335037</v>
      </c>
      <c r="AE91">
        <f t="shared" si="120"/>
        <v>0</v>
      </c>
      <c r="AF91" s="456">
        <f t="shared" si="121"/>
        <v>-656.69431747144245</v>
      </c>
      <c r="AG91" s="456">
        <f>((_xll.xSPRDOPT($L91,$J91,$I91,$M91,$O91,$N91,$P91,$Q91-$C$3,$R91,6)*$H91)/100)</f>
        <v>-562.04622353720595</v>
      </c>
      <c r="AH91" s="456">
        <f>((_xll.xSPRDOPT($L91,$J91,$I91,$M91,$O91,$N91,$P91,$Q91-$C$3,$R91,5)*$H91)/100)</f>
        <v>-98.591764514829734</v>
      </c>
      <c r="AI91" s="456">
        <f>(((_xll.xSPRDOPT($L91,$J91,$I91,$M91,$O91,$N91,$P91,$Q91-$C$3,$R91,4)*$H91)/10000)/100)-AB91</f>
        <v>5.2565843817057228E-2</v>
      </c>
      <c r="AJ91" s="456"/>
      <c r="AK91" s="456"/>
      <c r="AL91" s="456"/>
      <c r="AM91" s="472"/>
      <c r="AN91" s="128">
        <f t="shared" si="122"/>
        <v>39295</v>
      </c>
      <c r="AO91" s="43">
        <f t="shared" si="139"/>
        <v>0</v>
      </c>
      <c r="AP91" s="43">
        <f t="shared" si="139"/>
        <v>0</v>
      </c>
      <c r="AQ91" s="43">
        <f t="shared" si="139"/>
        <v>0</v>
      </c>
      <c r="AR91" s="43">
        <f t="shared" si="139"/>
        <v>0</v>
      </c>
      <c r="AS91" s="43">
        <f t="shared" si="139"/>
        <v>0</v>
      </c>
      <c r="AT91" s="43">
        <f t="shared" si="139"/>
        <v>0</v>
      </c>
      <c r="AU91" s="43">
        <f t="shared" si="139"/>
        <v>0</v>
      </c>
      <c r="AV91" s="43">
        <f t="shared" si="139"/>
        <v>0</v>
      </c>
      <c r="AW91" s="43">
        <f t="shared" si="139"/>
        <v>0</v>
      </c>
      <c r="AX91" s="43">
        <f t="shared" si="139"/>
        <v>0</v>
      </c>
      <c r="AY91" s="43">
        <f t="shared" si="139"/>
        <v>0</v>
      </c>
      <c r="AZ91" s="43">
        <f t="shared" si="139"/>
        <v>0</v>
      </c>
      <c r="BA91" s="44">
        <f t="shared" si="139"/>
        <v>0</v>
      </c>
      <c r="BB91" s="128">
        <f t="shared" si="123"/>
        <v>39295</v>
      </c>
      <c r="BC91" s="44">
        <f t="shared" si="124"/>
        <v>0</v>
      </c>
      <c r="BD91" s="51"/>
      <c r="BE91" s="128">
        <f t="shared" si="125"/>
        <v>39295</v>
      </c>
      <c r="BF91" s="43">
        <f t="shared" si="140"/>
        <v>0</v>
      </c>
      <c r="BG91" s="43">
        <f t="shared" si="140"/>
        <v>0</v>
      </c>
      <c r="BH91" s="43">
        <f t="shared" si="140"/>
        <v>0</v>
      </c>
      <c r="BI91" s="43">
        <f t="shared" si="140"/>
        <v>0</v>
      </c>
      <c r="BJ91" s="43">
        <f t="shared" si="140"/>
        <v>0</v>
      </c>
      <c r="BK91" s="43">
        <f t="shared" si="140"/>
        <v>0</v>
      </c>
      <c r="BL91" s="43">
        <f t="shared" si="140"/>
        <v>0</v>
      </c>
      <c r="BM91" s="43">
        <f t="shared" si="140"/>
        <v>0</v>
      </c>
      <c r="BN91" s="43">
        <f t="shared" si="140"/>
        <v>0</v>
      </c>
      <c r="BO91" s="43">
        <f t="shared" si="140"/>
        <v>0</v>
      </c>
      <c r="BP91" s="43">
        <f t="shared" si="140"/>
        <v>0</v>
      </c>
      <c r="BQ91" s="43">
        <f t="shared" si="140"/>
        <v>0</v>
      </c>
      <c r="BR91" s="44">
        <f t="shared" si="140"/>
        <v>0</v>
      </c>
      <c r="BS91" s="128">
        <f t="shared" si="126"/>
        <v>39295</v>
      </c>
      <c r="BT91" s="44">
        <f t="shared" si="127"/>
        <v>0</v>
      </c>
      <c r="BU91" s="51"/>
      <c r="BV91" s="51"/>
      <c r="BW91" s="51"/>
      <c r="BX91" s="51"/>
      <c r="BY91" s="51"/>
      <c r="BZ91" s="51"/>
      <c r="CA91" s="51"/>
      <c r="CB91" s="51"/>
      <c r="CC91" s="141">
        <f t="shared" si="133"/>
        <v>36800</v>
      </c>
      <c r="CD91" s="234">
        <f>_xll.xSPRDOPT((VLOOKUP(G91,NGPrices,2,FALSE)+HLOOKUP(D91,Prices,VLOOKUP(G91,move_down,2,FALSE),FALSE)),VLOOKUP(G91,NGPrices,2,FALSE),I91,VLOOKUP(G91,NGPREVPRICES,4,FALSE),HLOOKUP(D91,PREVVOLS,VLOOKUP(G91,MOVE_DOWN2,2,FALSE),FALSE),VLOOKUP(G91,NGPREVPRICES,3,FALSE),HLOOKUP(D91,Correllate,VLOOKUP(G91,CorMove,2,FALSE),FALSE),Q91-$CD$3,R91,$CD$5)*H91-CJ91</f>
        <v>0</v>
      </c>
      <c r="CE91" s="234">
        <f>_xll.xSPRDOPT((VLOOKUP(G91,NGPREVPRICES,2,FALSE)+HLOOKUP(D91,PREVCURVES,VLOOKUP(G91,MOVE_DOWN2,2,FALSE),FALSE)),VLOOKUP(G91,NGPREVPRICES,2,FALSE),CK91,VLOOKUP(G91,NGPrices,4,FALSE),HLOOKUP(D91,PREVVOLS,VLOOKUP(G91,MOVE_DOWN2,2,FALSE),FALSE),VLOOKUP(G91,NGPREVPRICES,3,FALSE),HLOOKUP(D91,Correllate,VLOOKUP(G91,CorMove,2,FALSE),FALSE),Q91-$CD$3,R91,$CJ$5)*H91-CJ91</f>
        <v>0</v>
      </c>
      <c r="CF91" s="10">
        <f t="shared" si="134"/>
        <v>2.1012461526552215</v>
      </c>
      <c r="CG91" s="234">
        <f>_xll.xSPRDOPT((VLOOKUP(G91,NGPREVPRICES,2,FALSE)+HLOOKUP(D91,PREVCURVES,VLOOKUP(G91,MOVE_DOWN2,2,FALSE),FALSE)),VLOOKUP(G91,NGPREVPRICES,2,FALSE),CK91,VLOOKUP(G91,NGPREVPRICES,4,FALSE),HLOOKUP(D91,VOLS,VLOOKUP(G91,move_down,2,FALSE),FALSE),VLOOKUP(G91,NGPrices,3,FALSE),HLOOKUP(D91,Correllate,VLOOKUP(G91,CorMove,2,FALSE),FALSE),Q91-$CD$3,R91,$CJ$5)*H91-CJ91</f>
        <v>0</v>
      </c>
      <c r="CH91" s="234">
        <f>_xll.xSPRDOPT((VLOOKUP(G91,NGPREVPRICES,2,FALSE)+HLOOKUP(D91,PREVCURVES,VLOOKUP(G91,MOVE_DOWN2,2,FALSE),FALSE)),VLOOKUP(G91,NGPREVPRICES,2,FALSE),CK91,VLOOKUP(G91,NGPREVPRICES,4,FALSE),HLOOKUP(D91,PREVVOLS,VLOOKUP(G91,MOVE_DOWN2,2,FALSE),FALSE),VLOOKUP(G91,NGPREVPRICES,3,FALSE),HLOOKUP(D91,Correllate,VLOOKUP(G91,CorMove,2,FALSE),FALSE),Q91-$C$3,R91,$CJ$5)*H91-CJ91</f>
        <v>629.60152509875115</v>
      </c>
      <c r="CI91" s="234">
        <f t="shared" si="135"/>
        <v>631.70277125140638</v>
      </c>
      <c r="CJ91" s="234">
        <f>_xll.xSPRDOPT((VLOOKUP(G91,NGPREVPRICES,2,FALSE)+HLOOKUP(D91,PREVCURVES,VLOOKUP(G91,MOVE_DOWN2,2,FALSE),FALSE)),VLOOKUP(G91,NGPREVPRICES,2,FALSE),CK91,VLOOKUP(G91,NGPREVPRICES,4,FALSE),HLOOKUP(D91,PREVVOLS,VLOOKUP(G91,MOVE_DOWN2,2,FALSE),FALSE),VLOOKUP(G91,NGPREVPRICES,3,FALSE),HLOOKUP(D91,Correllate,VLOOKUP(G91,CorMove,2,FALSE),FALSE),Q91-$CD$3,R91,$CJ$5)*H91</f>
        <v>-11397.779994927749</v>
      </c>
      <c r="CK91" s="235">
        <f t="shared" si="136"/>
        <v>-0.32</v>
      </c>
      <c r="CL91" s="234"/>
      <c r="CM91" t="str">
        <f t="shared" si="137"/>
        <v>36800Curve Shift/Gamma</v>
      </c>
      <c r="CN91" t="str">
        <f t="shared" si="107"/>
        <v>36800Rho</v>
      </c>
      <c r="CO91" t="str">
        <f t="shared" si="108"/>
        <v>36800Drift</v>
      </c>
      <c r="CP91" t="str">
        <f t="shared" si="109"/>
        <v>36800Vega</v>
      </c>
      <c r="CQ91" t="str">
        <f t="shared" si="110"/>
        <v>36800Theta</v>
      </c>
    </row>
    <row r="92" spans="1:95" ht="12" customHeight="1" x14ac:dyDescent="0.25">
      <c r="A92" s="382" t="s">
        <v>279</v>
      </c>
      <c r="B92" t="s">
        <v>250</v>
      </c>
      <c r="C92" t="s">
        <v>311</v>
      </c>
      <c r="D92" s="4" t="s">
        <v>9</v>
      </c>
      <c r="E92" t="s">
        <v>20</v>
      </c>
      <c r="F92" t="s">
        <v>21</v>
      </c>
      <c r="G92" s="5">
        <v>36770</v>
      </c>
      <c r="H92" s="130">
        <v>-500000</v>
      </c>
      <c r="I92">
        <v>-0.32</v>
      </c>
      <c r="J92" s="53">
        <f t="shared" si="113"/>
        <v>4.6849999999999996</v>
      </c>
      <c r="K92" s="7">
        <f t="shared" si="114"/>
        <v>-1.24</v>
      </c>
      <c r="L92" s="53">
        <f t="shared" si="115"/>
        <v>3.4449999999999994</v>
      </c>
      <c r="M92" s="157">
        <f t="shared" si="101"/>
        <v>6.7216196212184998E-2</v>
      </c>
      <c r="N92" s="4">
        <f t="shared" si="102"/>
        <v>0.4</v>
      </c>
      <c r="O92" s="4">
        <f t="shared" si="103"/>
        <v>0.38400000000000001</v>
      </c>
      <c r="P92" s="9">
        <f t="shared" si="104"/>
        <v>0.84</v>
      </c>
      <c r="Q92" s="5">
        <f t="shared" si="116"/>
        <v>36768</v>
      </c>
      <c r="R92" s="4">
        <f t="shared" si="105"/>
        <v>1</v>
      </c>
      <c r="S92" s="158">
        <f>_xll.xSPRDOPT($L92,$J92,$I92,$M92,$O92,$N92,$P92,$Q92-$C$3,$R92,0)</f>
        <v>1.2060544563041731E-7</v>
      </c>
      <c r="T92" s="159">
        <f>_xll.xSPRDOPT($L92,$J92,$I92,$M92,$O92,$N92,$P92,$Q92-$C$3,$R92,1)*H92</f>
        <v>8.4831204172353125E-2</v>
      </c>
      <c r="U92" s="160">
        <f t="shared" si="138"/>
        <v>-6.0302722815208654E-2</v>
      </c>
      <c r="V92" s="159">
        <f>_xll.xSPRDOPT($L92,$J92,$I92,$M92,$O92,$N92,$P92,$Q92-$C$3,$R92,2)*H92</f>
        <v>-6.5533898807590418E-2</v>
      </c>
      <c r="W92" s="159">
        <f t="shared" si="106"/>
        <v>1.9297305364762707E-2</v>
      </c>
      <c r="X92" s="51" t="str">
        <f t="shared" si="117"/>
        <v>36770IF-NWPL_ROCKY_M</v>
      </c>
      <c r="Y92" s="418">
        <f t="shared" si="118"/>
        <v>-50</v>
      </c>
      <c r="Z92" s="456">
        <f t="shared" si="119"/>
        <v>-1.6966240834470625E-7</v>
      </c>
      <c r="AA92" s="456">
        <f>_xll.xSPRDOPT($L92,$J92,$I92,$M92,$O92,$N92,$P92,$Q92-$C$3,$R92,3)</f>
        <v>-3.8893750451706706E-5</v>
      </c>
      <c r="AB92" s="456">
        <f>((_xll.xSPRDOPT($L92+AB$5,$J92,$I92,$M92,$O92,$N92,$P92,$Q92-$C$3,$R92,3)*$H92)/10000)/100</f>
        <v>1.9446875225853353E-5</v>
      </c>
      <c r="AC92" s="456">
        <f>((_xll.xSPRDOPT($L92+$AB$5,$J92,$I92,$M92,$O92,$N92,$P92,$Q92-$C$3,$R92,7)*$H92)/100)</f>
        <v>-1.2527525318171596E-4</v>
      </c>
      <c r="AD92" s="456">
        <f>(_xll.xSPRDOPT($L92+$AB$5,$J92,$I92,$M92,$O92,$N92,$P92,$Q92-$C$3,$R92,9)/365)*$H92</f>
        <v>-1.4017326179159135E-5</v>
      </c>
      <c r="AE92">
        <f t="shared" si="120"/>
        <v>0</v>
      </c>
      <c r="AF92" s="456">
        <f t="shared" si="121"/>
        <v>6.6501315839387547E-8</v>
      </c>
      <c r="AG92" s="456">
        <f>((_xll.xSPRDOPT($L92,$J92,$I92,$M92,$O92,$N92,$P92,$Q92-$C$3,$R92,6)*$H92)/100)</f>
        <v>3.6329422541887445E-6</v>
      </c>
      <c r="AH92" s="456">
        <f>((_xll.xSPRDOPT($L92,$J92,$I92,$M92,$O92,$N92,$P92,$Q92-$C$3,$R92,5)*$H92)/100)</f>
        <v>-3.7150426441139138E-6</v>
      </c>
      <c r="AI92" s="456">
        <f>(((_xll.xSPRDOPT($L92,$J92,$I92,$M92,$O92,$N92,$P92,$Q92-$C$3,$R92,4)*$H92)/10000)/100)-AB92</f>
        <v>-1.9446875225853353E-5</v>
      </c>
      <c r="AJ92" s="456"/>
      <c r="AK92" s="456"/>
      <c r="AL92" s="456"/>
      <c r="AM92" s="472"/>
      <c r="AN92" s="128">
        <f t="shared" si="122"/>
        <v>39326</v>
      </c>
      <c r="AO92" s="43">
        <f t="shared" si="139"/>
        <v>0</v>
      </c>
      <c r="AP92" s="43">
        <f t="shared" si="139"/>
        <v>0</v>
      </c>
      <c r="AQ92" s="43">
        <f t="shared" si="139"/>
        <v>0</v>
      </c>
      <c r="AR92" s="43">
        <f t="shared" si="139"/>
        <v>0</v>
      </c>
      <c r="AS92" s="43">
        <f t="shared" si="139"/>
        <v>0</v>
      </c>
      <c r="AT92" s="43">
        <f t="shared" si="139"/>
        <v>0</v>
      </c>
      <c r="AU92" s="43">
        <f t="shared" si="139"/>
        <v>0</v>
      </c>
      <c r="AV92" s="43">
        <f t="shared" si="139"/>
        <v>0</v>
      </c>
      <c r="AW92" s="43">
        <f t="shared" si="139"/>
        <v>0</v>
      </c>
      <c r="AX92" s="43">
        <f t="shared" si="139"/>
        <v>0</v>
      </c>
      <c r="AY92" s="43">
        <f t="shared" si="139"/>
        <v>0</v>
      </c>
      <c r="AZ92" s="43">
        <f t="shared" si="139"/>
        <v>0</v>
      </c>
      <c r="BA92" s="44">
        <f t="shared" si="139"/>
        <v>0</v>
      </c>
      <c r="BB92" s="128">
        <f t="shared" si="123"/>
        <v>39326</v>
      </c>
      <c r="BC92" s="44">
        <f t="shared" si="124"/>
        <v>0</v>
      </c>
      <c r="BD92" s="51"/>
      <c r="BE92" s="128">
        <f t="shared" si="125"/>
        <v>39326</v>
      </c>
      <c r="BF92" s="43">
        <f t="shared" si="140"/>
        <v>0</v>
      </c>
      <c r="BG92" s="43">
        <f t="shared" si="140"/>
        <v>0</v>
      </c>
      <c r="BH92" s="43">
        <f t="shared" si="140"/>
        <v>0</v>
      </c>
      <c r="BI92" s="43">
        <f t="shared" si="140"/>
        <v>0</v>
      </c>
      <c r="BJ92" s="43">
        <f t="shared" si="140"/>
        <v>0</v>
      </c>
      <c r="BK92" s="43">
        <f t="shared" si="140"/>
        <v>0</v>
      </c>
      <c r="BL92" s="43">
        <f t="shared" si="140"/>
        <v>0</v>
      </c>
      <c r="BM92" s="43">
        <f t="shared" si="140"/>
        <v>0</v>
      </c>
      <c r="BN92" s="43">
        <f t="shared" si="140"/>
        <v>0</v>
      </c>
      <c r="BO92" s="43">
        <f t="shared" si="140"/>
        <v>0</v>
      </c>
      <c r="BP92" s="43">
        <f t="shared" si="140"/>
        <v>0</v>
      </c>
      <c r="BQ92" s="43">
        <f t="shared" si="140"/>
        <v>0</v>
      </c>
      <c r="BR92" s="44">
        <f t="shared" si="140"/>
        <v>0</v>
      </c>
      <c r="BS92" s="128">
        <f t="shared" si="126"/>
        <v>39326</v>
      </c>
      <c r="BT92" s="44">
        <f t="shared" si="127"/>
        <v>0</v>
      </c>
      <c r="BU92" s="51"/>
      <c r="BV92" s="51"/>
      <c r="BW92" s="51"/>
      <c r="BX92" s="51"/>
      <c r="BY92" s="51"/>
      <c r="BZ92" s="51"/>
      <c r="CA92" s="51"/>
      <c r="CB92" s="51"/>
      <c r="CC92" s="141">
        <f t="shared" si="133"/>
        <v>36770</v>
      </c>
      <c r="CD92" s="234">
        <f>_xll.xSPRDOPT((VLOOKUP(G92,NGPrices,2,FALSE)+HLOOKUP(D92,Prices,VLOOKUP(G92,move_down,2,FALSE),FALSE)),VLOOKUP(G92,NGPrices,2,FALSE),I92,VLOOKUP(G92,NGPREVPRICES,4,FALSE),HLOOKUP(D92,PREVVOLS,VLOOKUP(G92,MOVE_DOWN2,2,FALSE),FALSE),VLOOKUP(G92,NGPREVPRICES,3,FALSE),HLOOKUP(D92,Correllate,VLOOKUP(G92,CorMove,2,FALSE),FALSE),Q92-$CD$3,R92,$CD$5)*H92-CJ92</f>
        <v>0</v>
      </c>
      <c r="CE92" s="234">
        <f>_xll.xSPRDOPT((VLOOKUP(G92,NGPREVPRICES,2,FALSE)+HLOOKUP(D92,PREVCURVES,VLOOKUP(G92,MOVE_DOWN2,2,FALSE),FALSE)),VLOOKUP(G92,NGPREVPRICES,2,FALSE),CK92,VLOOKUP(G92,NGPrices,4,FALSE),HLOOKUP(D92,PREVVOLS,VLOOKUP(G92,MOVE_DOWN2,2,FALSE),FALSE),VLOOKUP(G92,NGPREVPRICES,3,FALSE),HLOOKUP(D92,Correllate,VLOOKUP(G92,CorMove,2,FALSE),FALSE),Q92-$CD$3,R92,$CJ$5)*H92-CJ92</f>
        <v>0</v>
      </c>
      <c r="CF92" s="10">
        <f t="shared" si="134"/>
        <v>1.0986155483727611E-5</v>
      </c>
      <c r="CG92" s="234">
        <f>_xll.xSPRDOPT((VLOOKUP(G92,NGPREVPRICES,2,FALSE)+HLOOKUP(D92,PREVCURVES,VLOOKUP(G92,MOVE_DOWN2,2,FALSE),FALSE)),VLOOKUP(G92,NGPREVPRICES,2,FALSE),CK92,VLOOKUP(G92,NGPREVPRICES,4,FALSE),HLOOKUP(D92,VOLS,VLOOKUP(G92,move_down,2,FALSE),FALSE),VLOOKUP(G92,NGPrices,3,FALSE),HLOOKUP(D92,Correllate,VLOOKUP(G92,CorMove,2,FALSE),FALSE),Q92-$CD$3,R92,$CJ$5)*H92-CJ92</f>
        <v>0</v>
      </c>
      <c r="CH92" s="234">
        <f>_xll.xSPRDOPT((VLOOKUP(G92,NGPREVPRICES,2,FALSE)+HLOOKUP(D92,PREVCURVES,VLOOKUP(G92,MOVE_DOWN2,2,FALSE),FALSE)),VLOOKUP(G92,NGPREVPRICES,2,FALSE),CK92,VLOOKUP(G92,NGPREVPRICES,4,FALSE),HLOOKUP(D92,PREVVOLS,VLOOKUP(G92,MOVE_DOWN2,2,FALSE),FALSE),VLOOKUP(G92,NGPREVPRICES,3,FALSE),HLOOKUP(D92,Correllate,VLOOKUP(G92,CorMove,2,FALSE),FALSE),Q92-$C$3,R92,$CJ$5)*H92-CJ92</f>
        <v>-1.400832227993476E-5</v>
      </c>
      <c r="CI92" s="234">
        <f t="shared" si="135"/>
        <v>-3.0221667962071486E-6</v>
      </c>
      <c r="CJ92" s="234">
        <f>_xll.xSPRDOPT((VLOOKUP(G92,NGPREVPRICES,2,FALSE)+HLOOKUP(D92,PREVCURVES,VLOOKUP(G92,MOVE_DOWN2,2,FALSE),FALSE)),VLOOKUP(G92,NGPREVPRICES,2,FALSE),CK92,VLOOKUP(G92,NGPREVPRICES,4,FALSE),HLOOKUP(D92,PREVVOLS,VLOOKUP(G92,MOVE_DOWN2,2,FALSE),FALSE),VLOOKUP(G92,NGPREVPRICES,3,FALSE),HLOOKUP(D92,Correllate,VLOOKUP(G92,CorMove,2,FALSE),FALSE),Q92-$CD$3,R92,$CJ$5)*H92</f>
        <v>-6.0288714492928719E-2</v>
      </c>
      <c r="CK92" s="235">
        <f t="shared" si="136"/>
        <v>-0.32</v>
      </c>
      <c r="CL92" s="234"/>
      <c r="CM92" t="str">
        <f t="shared" si="137"/>
        <v>36770Curve Shift/Gamma</v>
      </c>
      <c r="CN92" t="str">
        <f t="shared" si="107"/>
        <v>36770Rho</v>
      </c>
      <c r="CO92" t="str">
        <f t="shared" si="108"/>
        <v>36770Drift</v>
      </c>
      <c r="CP92" t="str">
        <f t="shared" si="109"/>
        <v>36770Vega</v>
      </c>
      <c r="CQ92" t="str">
        <f t="shared" si="110"/>
        <v>36770Theta</v>
      </c>
    </row>
    <row r="93" spans="1:95" ht="12" customHeight="1" x14ac:dyDescent="0.25">
      <c r="A93" s="382" t="s">
        <v>279</v>
      </c>
      <c r="B93" t="s">
        <v>250</v>
      </c>
      <c r="C93" t="s">
        <v>312</v>
      </c>
      <c r="D93" s="4" t="s">
        <v>9</v>
      </c>
      <c r="E93" t="s">
        <v>20</v>
      </c>
      <c r="F93" t="s">
        <v>1</v>
      </c>
      <c r="G93" s="5">
        <v>36800</v>
      </c>
      <c r="H93" s="130">
        <v>-500000</v>
      </c>
      <c r="I93">
        <v>-0.32</v>
      </c>
      <c r="J93" s="53">
        <f t="shared" si="113"/>
        <v>4.6920000000000002</v>
      </c>
      <c r="K93" s="7">
        <f t="shared" si="114"/>
        <v>-0.80500000000000005</v>
      </c>
      <c r="L93" s="53">
        <f t="shared" si="115"/>
        <v>3.887</v>
      </c>
      <c r="M93" s="157">
        <f t="shared" si="101"/>
        <v>6.8050789414654006E-2</v>
      </c>
      <c r="N93" s="4">
        <f t="shared" si="102"/>
        <v>0.57499999999999996</v>
      </c>
      <c r="O93" s="4">
        <f t="shared" si="103"/>
        <v>0.55200000000000005</v>
      </c>
      <c r="P93" s="9">
        <f t="shared" si="104"/>
        <v>0.84</v>
      </c>
      <c r="Q93" s="5">
        <f t="shared" si="116"/>
        <v>36797</v>
      </c>
      <c r="R93" s="4">
        <f t="shared" si="105"/>
        <v>0</v>
      </c>
      <c r="S93" s="158">
        <f>_xll.xSPRDOPT($L93,$J93,$I93,$M93,$O93,$N93,$P93,$Q93-$C$3,$R93,0)</f>
        <v>0.50383306604514921</v>
      </c>
      <c r="T93" s="159">
        <f>_xll.xSPRDOPT($L93,$J93,$I93,$M93,$O93,$N93,$P93,$Q93-$C$3,$R93,1)*H93</f>
        <v>437016.56402751151</v>
      </c>
      <c r="U93" s="160">
        <f t="shared" si="138"/>
        <v>-251916.53302257461</v>
      </c>
      <c r="V93" s="159">
        <f>_xll.xSPRDOPT($L93,$J93,$I93,$M93,$O93,$N93,$P93,$Q93-$C$3,$R93,2)*H93</f>
        <v>-445626.95564859943</v>
      </c>
      <c r="W93" s="159">
        <f t="shared" si="106"/>
        <v>-8610.3916210879106</v>
      </c>
      <c r="X93" s="51" t="str">
        <f t="shared" si="117"/>
        <v>36800IF-NWPL_ROCKY_M</v>
      </c>
      <c r="Y93" s="418">
        <f t="shared" si="118"/>
        <v>-50</v>
      </c>
      <c r="Z93" s="456">
        <f t="shared" si="119"/>
        <v>-0.87403312805502298</v>
      </c>
      <c r="AA93" s="456">
        <f>_xll.xSPRDOPT($L93,$J93,$I93,$M93,$O93,$N93,$P93,$Q93-$C$3,$R93,3)</f>
        <v>0.53071735645549822</v>
      </c>
      <c r="AB93" s="456">
        <f>((_xll.xSPRDOPT($L93+AB$5,$J93,$I93,$M93,$O93,$N93,$P93,$Q93-$C$3,$R93,3)*$H93)/10000)/100</f>
        <v>-0.26535867822774917</v>
      </c>
      <c r="AC93" s="456">
        <f>((_xll.xSPRDOPT($L93+$AB$5,$J93,$I93,$M93,$O93,$N93,$P93,$Q93-$C$3,$R93,7)*$H93)/100)</f>
        <v>1129.7192515446034</v>
      </c>
      <c r="AD93" s="456">
        <f>(_xll.xSPRDOPT($L93+$AB$5,$J93,$I93,$M93,$O93,$N93,$P93,$Q93-$C$3,$R93,9)/365)*$H93</f>
        <v>582.79564042798256</v>
      </c>
      <c r="AE93">
        <f t="shared" si="120"/>
        <v>0</v>
      </c>
      <c r="AF93" s="456">
        <f t="shared" si="121"/>
        <v>-656.69431747144245</v>
      </c>
      <c r="AG93" s="456">
        <f>((_xll.xSPRDOPT($L93,$J93,$I93,$M93,$O93,$N93,$P93,$Q93-$C$3,$R93,6)*$H93)/100)</f>
        <v>-562.04622353720595</v>
      </c>
      <c r="AH93" s="456">
        <f>((_xll.xSPRDOPT($L93,$J93,$I93,$M93,$O93,$N93,$P93,$Q93-$C$3,$R93,5)*$H93)/100)</f>
        <v>-98.591764514829734</v>
      </c>
      <c r="AI93" s="456">
        <f>(((_xll.xSPRDOPT($L93,$J93,$I93,$M93,$O93,$N93,$P93,$Q93-$C$3,$R93,4)*$H93)/10000)/100)-AB93</f>
        <v>5.2565843817057228E-2</v>
      </c>
      <c r="AJ93" s="456"/>
      <c r="AK93" s="456"/>
      <c r="AL93" s="456"/>
      <c r="AM93" s="472"/>
      <c r="AN93" s="128">
        <f t="shared" si="122"/>
        <v>39356</v>
      </c>
      <c r="AO93" s="43">
        <f t="shared" si="139"/>
        <v>0</v>
      </c>
      <c r="AP93" s="43">
        <f t="shared" si="139"/>
        <v>0</v>
      </c>
      <c r="AQ93" s="43">
        <f t="shared" si="139"/>
        <v>0</v>
      </c>
      <c r="AR93" s="43">
        <f t="shared" si="139"/>
        <v>0</v>
      </c>
      <c r="AS93" s="43">
        <f t="shared" si="139"/>
        <v>0</v>
      </c>
      <c r="AT93" s="43">
        <f t="shared" si="139"/>
        <v>0</v>
      </c>
      <c r="AU93" s="43">
        <f t="shared" si="139"/>
        <v>0</v>
      </c>
      <c r="AV93" s="43">
        <f t="shared" si="139"/>
        <v>0</v>
      </c>
      <c r="AW93" s="43">
        <f t="shared" si="139"/>
        <v>0</v>
      </c>
      <c r="AX93" s="43">
        <f t="shared" si="139"/>
        <v>0</v>
      </c>
      <c r="AY93" s="43">
        <f t="shared" si="139"/>
        <v>0</v>
      </c>
      <c r="AZ93" s="43">
        <f t="shared" si="139"/>
        <v>0</v>
      </c>
      <c r="BA93" s="44">
        <f t="shared" si="139"/>
        <v>0</v>
      </c>
      <c r="BB93" s="128">
        <f t="shared" si="123"/>
        <v>39356</v>
      </c>
      <c r="BC93" s="44">
        <f t="shared" si="124"/>
        <v>0</v>
      </c>
      <c r="BD93" s="51"/>
      <c r="BE93" s="128">
        <f t="shared" si="125"/>
        <v>39356</v>
      </c>
      <c r="BF93" s="43">
        <f t="shared" si="140"/>
        <v>0</v>
      </c>
      <c r="BG93" s="43">
        <f t="shared" si="140"/>
        <v>0</v>
      </c>
      <c r="BH93" s="43">
        <f t="shared" si="140"/>
        <v>0</v>
      </c>
      <c r="BI93" s="43">
        <f t="shared" si="140"/>
        <v>0</v>
      </c>
      <c r="BJ93" s="43">
        <f t="shared" si="140"/>
        <v>0</v>
      </c>
      <c r="BK93" s="43">
        <f t="shared" si="140"/>
        <v>0</v>
      </c>
      <c r="BL93" s="43">
        <f t="shared" si="140"/>
        <v>0</v>
      </c>
      <c r="BM93" s="43">
        <f t="shared" si="140"/>
        <v>0</v>
      </c>
      <c r="BN93" s="43">
        <f t="shared" si="140"/>
        <v>0</v>
      </c>
      <c r="BO93" s="43">
        <f t="shared" si="140"/>
        <v>0</v>
      </c>
      <c r="BP93" s="43">
        <f t="shared" si="140"/>
        <v>0</v>
      </c>
      <c r="BQ93" s="43">
        <f t="shared" si="140"/>
        <v>0</v>
      </c>
      <c r="BR93" s="44">
        <f t="shared" si="140"/>
        <v>0</v>
      </c>
      <c r="BS93" s="128">
        <f t="shared" si="126"/>
        <v>39356</v>
      </c>
      <c r="BT93" s="44">
        <f t="shared" si="127"/>
        <v>0</v>
      </c>
      <c r="BU93" s="51"/>
      <c r="BV93" s="51"/>
      <c r="BW93" s="51"/>
      <c r="BX93" s="51"/>
      <c r="BY93" s="51"/>
      <c r="BZ93" s="51"/>
      <c r="CA93" s="51"/>
      <c r="CB93" s="51"/>
      <c r="CC93" s="141">
        <f t="shared" si="133"/>
        <v>36800</v>
      </c>
      <c r="CD93" s="234">
        <f>_xll.xSPRDOPT((VLOOKUP(G93,NGPrices,2,FALSE)+HLOOKUP(D93,Prices,VLOOKUP(G93,move_down,2,FALSE),FALSE)),VLOOKUP(G93,NGPrices,2,FALSE),I93,VLOOKUP(G93,NGPREVPRICES,4,FALSE),HLOOKUP(D93,PREVVOLS,VLOOKUP(G93,MOVE_DOWN2,2,FALSE),FALSE),VLOOKUP(G93,NGPREVPRICES,3,FALSE),HLOOKUP(D93,Correllate,VLOOKUP(G93,CorMove,2,FALSE),FALSE),Q93-$CD$3,R93,$CD$5)*H93-CJ93</f>
        <v>0</v>
      </c>
      <c r="CE93" s="234">
        <f>_xll.xSPRDOPT((VLOOKUP(G93,NGPREVPRICES,2,FALSE)+HLOOKUP(D93,PREVCURVES,VLOOKUP(G93,MOVE_DOWN2,2,FALSE),FALSE)),VLOOKUP(G93,NGPREVPRICES,2,FALSE),CK93,VLOOKUP(G93,NGPrices,4,FALSE),HLOOKUP(D93,PREVVOLS,VLOOKUP(G93,MOVE_DOWN2,2,FALSE),FALSE),VLOOKUP(G93,NGPREVPRICES,3,FALSE),HLOOKUP(D93,Correllate,VLOOKUP(G93,CorMove,2,FALSE),FALSE),Q93-$CD$3,R93,$CJ$5)*H93-CJ93</f>
        <v>0</v>
      </c>
      <c r="CF93" s="10">
        <f t="shared" si="134"/>
        <v>46.550047081167577</v>
      </c>
      <c r="CG93" s="234">
        <f>_xll.xSPRDOPT((VLOOKUP(G93,NGPREVPRICES,2,FALSE)+HLOOKUP(D93,PREVCURVES,VLOOKUP(G93,MOVE_DOWN2,2,FALSE),FALSE)),VLOOKUP(G93,NGPREVPRICES,2,FALSE),CK93,VLOOKUP(G93,NGPREVPRICES,4,FALSE),HLOOKUP(D93,VOLS,VLOOKUP(G93,move_down,2,FALSE),FALSE),VLOOKUP(G93,NGPrices,3,FALSE),HLOOKUP(D93,Correllate,VLOOKUP(G93,CorMove,2,FALSE),FALSE),Q93-$CD$3,R93,$CJ$5)*H93-CJ93</f>
        <v>0</v>
      </c>
      <c r="CH93" s="234">
        <f>_xll.xSPRDOPT((VLOOKUP(G93,NGPREVPRICES,2,FALSE)+HLOOKUP(D93,PREVCURVES,VLOOKUP(G93,MOVE_DOWN2,2,FALSE),FALSE)),VLOOKUP(G93,NGPREVPRICES,2,FALSE),CK93,VLOOKUP(G93,NGPREVPRICES,4,FALSE),HLOOKUP(D93,PREVVOLS,VLOOKUP(G93,MOVE_DOWN2,2,FALSE),FALSE),VLOOKUP(G93,NGPREVPRICES,3,FALSE),HLOOKUP(D93,Correllate,VLOOKUP(G93,CorMove,2,FALSE),FALSE),Q93-$C$3,R93,$CJ$5)*H93-CJ93</f>
        <v>584.67665922705783</v>
      </c>
      <c r="CI93" s="234">
        <f t="shared" si="135"/>
        <v>631.2267063082254</v>
      </c>
      <c r="CJ93" s="234">
        <f>_xll.xSPRDOPT((VLOOKUP(G93,NGPREVPRICES,2,FALSE)+HLOOKUP(D93,PREVCURVES,VLOOKUP(G93,MOVE_DOWN2,2,FALSE),FALSE)),VLOOKUP(G93,NGPREVPRICES,2,FALSE),CK93,VLOOKUP(G93,NGPREVPRICES,4,FALSE),HLOOKUP(D93,PREVVOLS,VLOOKUP(G93,MOVE_DOWN2,2,FALSE),FALSE),VLOOKUP(G93,NGPREVPRICES,3,FALSE),HLOOKUP(D93,Correllate,VLOOKUP(G93,CorMove,2,FALSE),FALSE),Q93-$CD$3,R93,$CJ$5)*H93</f>
        <v>-252501.20968180167</v>
      </c>
      <c r="CK93" s="235">
        <f t="shared" si="136"/>
        <v>-0.32</v>
      </c>
      <c r="CL93" s="234"/>
      <c r="CM93" t="str">
        <f t="shared" si="137"/>
        <v>36800Curve Shift/Gamma</v>
      </c>
      <c r="CN93" t="str">
        <f t="shared" si="107"/>
        <v>36800Rho</v>
      </c>
      <c r="CO93" t="str">
        <f t="shared" si="108"/>
        <v>36800Drift</v>
      </c>
      <c r="CP93" t="str">
        <f t="shared" si="109"/>
        <v>36800Vega</v>
      </c>
      <c r="CQ93" t="str">
        <f t="shared" si="110"/>
        <v>36800Theta</v>
      </c>
    </row>
    <row r="94" spans="1:95" ht="12" customHeight="1" x14ac:dyDescent="0.25">
      <c r="A94" s="382" t="s">
        <v>279</v>
      </c>
      <c r="B94" t="s">
        <v>250</v>
      </c>
      <c r="C94" t="s">
        <v>312</v>
      </c>
      <c r="D94" s="4" t="s">
        <v>9</v>
      </c>
      <c r="E94" t="s">
        <v>20</v>
      </c>
      <c r="F94" t="s">
        <v>1</v>
      </c>
      <c r="G94" s="5">
        <v>36770</v>
      </c>
      <c r="H94" s="130">
        <v>-500000</v>
      </c>
      <c r="I94">
        <v>-0.32</v>
      </c>
      <c r="J94" s="53">
        <f t="shared" si="113"/>
        <v>4.6849999999999996</v>
      </c>
      <c r="K94" s="7">
        <f t="shared" si="114"/>
        <v>-1.24</v>
      </c>
      <c r="L94" s="53">
        <f t="shared" si="115"/>
        <v>3.4449999999999994</v>
      </c>
      <c r="M94" s="157">
        <f t="shared" si="101"/>
        <v>6.7216196212184998E-2</v>
      </c>
      <c r="N94" s="4">
        <f t="shared" si="102"/>
        <v>0.4</v>
      </c>
      <c r="O94" s="4">
        <f t="shared" si="103"/>
        <v>0.38400000000000001</v>
      </c>
      <c r="P94" s="9">
        <f t="shared" si="104"/>
        <v>0.84</v>
      </c>
      <c r="Q94" s="5">
        <f t="shared" si="116"/>
        <v>36768</v>
      </c>
      <c r="R94" s="4">
        <f t="shared" si="105"/>
        <v>0</v>
      </c>
      <c r="S94" s="158">
        <f>_xll.xSPRDOPT($L94,$J94,$I94,$M94,$O94,$N94,$P94,$Q94-$C$3,$R94,0)</f>
        <v>0.91983083050052528</v>
      </c>
      <c r="T94" s="159">
        <f>_xll.xSPRDOPT($L94,$J94,$I94,$M94,$O94,$N94,$P94,$Q94-$C$3,$R94,1)*H94</f>
        <v>499908.07933939953</v>
      </c>
      <c r="U94" s="160">
        <f t="shared" si="138"/>
        <v>-459915.41525026265</v>
      </c>
      <c r="V94" s="159">
        <f>_xll.xSPRDOPT($L94,$J94,$I94,$M94,$O94,$N94,$P94,$Q94-$C$3,$R94,2)*H94</f>
        <v>-499908.06004209415</v>
      </c>
      <c r="W94" s="159">
        <f t="shared" si="106"/>
        <v>1.9297305378131568E-2</v>
      </c>
      <c r="X94" s="51" t="str">
        <f t="shared" si="117"/>
        <v>36770IF-NWPL_ROCKY_M</v>
      </c>
      <c r="Y94" s="418">
        <f t="shared" si="118"/>
        <v>-50</v>
      </c>
      <c r="Z94" s="456">
        <f t="shared" si="119"/>
        <v>-0.99981615867879903</v>
      </c>
      <c r="AA94" s="456">
        <f>_xll.xSPRDOPT($L94,$J94,$I94,$M94,$O94,$N94,$P94,$Q94-$C$3,$R94,3)</f>
        <v>-3.8893750451706706E-5</v>
      </c>
      <c r="AB94" s="456">
        <f>((_xll.xSPRDOPT($L94+AB$5,$J94,$I94,$M94,$O94,$N94,$P94,$Q94-$C$3,$R94,3)*$H94)/10000)/100</f>
        <v>1.9446875225853353E-5</v>
      </c>
      <c r="AC94" s="456">
        <f>((_xll.xSPRDOPT($L94+$AB$5,$J94,$I94,$M94,$O94,$N94,$P94,$Q94-$C$3,$R94,7)*$H94)/100)</f>
        <v>-1.2527525318171596E-4</v>
      </c>
      <c r="AD94" s="456">
        <f>(_xll.xSPRDOPT($L94+$AB$5,$J94,$I94,$M94,$O94,$N94,$P94,$Q94-$C$3,$R94,9)/365)*$H94</f>
        <v>-84.695248919108494</v>
      </c>
      <c r="AE94">
        <f t="shared" si="120"/>
        <v>0</v>
      </c>
      <c r="AF94" s="456">
        <f t="shared" si="121"/>
        <v>6.6501315839387547E-8</v>
      </c>
      <c r="AG94" s="456">
        <f>((_xll.xSPRDOPT($L94,$J94,$I94,$M94,$O94,$N94,$P94,$Q94-$C$3,$R94,6)*$H94)/100)</f>
        <v>3.6329422541887445E-6</v>
      </c>
      <c r="AH94" s="456">
        <f>((_xll.xSPRDOPT($L94,$J94,$I94,$M94,$O94,$N94,$P94,$Q94-$C$3,$R94,5)*$H94)/100)</f>
        <v>-3.7150426441139138E-6</v>
      </c>
      <c r="AI94" s="456">
        <f>(((_xll.xSPRDOPT($L94,$J94,$I94,$M94,$O94,$N94,$P94,$Q94-$C$3,$R94,4)*$H94)/10000)/100)-AB94</f>
        <v>-1.9446875225853353E-5</v>
      </c>
      <c r="AJ94" s="456"/>
      <c r="AK94" s="456"/>
      <c r="AL94" s="456"/>
      <c r="AM94" s="472"/>
      <c r="AN94" s="128">
        <f t="shared" si="122"/>
        <v>39387</v>
      </c>
      <c r="AO94" s="43">
        <f t="shared" si="139"/>
        <v>0</v>
      </c>
      <c r="AP94" s="43">
        <f t="shared" si="139"/>
        <v>0</v>
      </c>
      <c r="AQ94" s="43">
        <f t="shared" si="139"/>
        <v>0</v>
      </c>
      <c r="AR94" s="43">
        <f t="shared" si="139"/>
        <v>0</v>
      </c>
      <c r="AS94" s="43">
        <f t="shared" si="139"/>
        <v>0</v>
      </c>
      <c r="AT94" s="43">
        <f t="shared" si="139"/>
        <v>0</v>
      </c>
      <c r="AU94" s="43">
        <f t="shared" si="139"/>
        <v>0</v>
      </c>
      <c r="AV94" s="43">
        <f t="shared" si="139"/>
        <v>0</v>
      </c>
      <c r="AW94" s="43">
        <f t="shared" si="139"/>
        <v>0</v>
      </c>
      <c r="AX94" s="43">
        <f t="shared" si="139"/>
        <v>0</v>
      </c>
      <c r="AY94" s="43">
        <f t="shared" si="139"/>
        <v>0</v>
      </c>
      <c r="AZ94" s="43">
        <f t="shared" si="139"/>
        <v>0</v>
      </c>
      <c r="BA94" s="44">
        <f t="shared" si="139"/>
        <v>0</v>
      </c>
      <c r="BB94" s="128">
        <f t="shared" si="123"/>
        <v>39387</v>
      </c>
      <c r="BC94" s="44">
        <f t="shared" si="124"/>
        <v>0</v>
      </c>
      <c r="BD94" s="51"/>
      <c r="BE94" s="128">
        <f t="shared" si="125"/>
        <v>39387</v>
      </c>
      <c r="BF94" s="43">
        <f t="shared" si="140"/>
        <v>0</v>
      </c>
      <c r="BG94" s="43">
        <f t="shared" si="140"/>
        <v>0</v>
      </c>
      <c r="BH94" s="43">
        <f t="shared" si="140"/>
        <v>0</v>
      </c>
      <c r="BI94" s="43">
        <f t="shared" si="140"/>
        <v>0</v>
      </c>
      <c r="BJ94" s="43">
        <f t="shared" si="140"/>
        <v>0</v>
      </c>
      <c r="BK94" s="43">
        <f t="shared" si="140"/>
        <v>0</v>
      </c>
      <c r="BL94" s="43">
        <f t="shared" si="140"/>
        <v>0</v>
      </c>
      <c r="BM94" s="43">
        <f t="shared" si="140"/>
        <v>0</v>
      </c>
      <c r="BN94" s="43">
        <f t="shared" si="140"/>
        <v>0</v>
      </c>
      <c r="BO94" s="43">
        <f t="shared" si="140"/>
        <v>0</v>
      </c>
      <c r="BP94" s="43">
        <f t="shared" si="140"/>
        <v>0</v>
      </c>
      <c r="BQ94" s="43">
        <f t="shared" si="140"/>
        <v>0</v>
      </c>
      <c r="BR94" s="44">
        <f t="shared" si="140"/>
        <v>0</v>
      </c>
      <c r="BS94" s="128">
        <f t="shared" si="126"/>
        <v>39387</v>
      </c>
      <c r="BT94" s="44">
        <f t="shared" si="127"/>
        <v>0</v>
      </c>
      <c r="BU94" s="51"/>
      <c r="BV94" s="51"/>
      <c r="BW94" s="51"/>
      <c r="BX94" s="51"/>
      <c r="BY94" s="51"/>
      <c r="BZ94" s="51"/>
      <c r="CA94" s="51"/>
      <c r="CB94" s="51"/>
      <c r="CC94" s="141">
        <f t="shared" si="133"/>
        <v>36770</v>
      </c>
      <c r="CD94" s="234">
        <f>_xll.xSPRDOPT((VLOOKUP(G94,NGPrices,2,FALSE)+HLOOKUP(D94,Prices,VLOOKUP(G94,move_down,2,FALSE),FALSE)),VLOOKUP(G94,NGPrices,2,FALSE),I94,VLOOKUP(G94,NGPREVPRICES,4,FALSE),HLOOKUP(D94,PREVVOLS,VLOOKUP(G94,MOVE_DOWN2,2,FALSE),FALSE),VLOOKUP(G94,NGPREVPRICES,3,FALSE),HLOOKUP(D94,Correllate,VLOOKUP(G94,CorMove,2,FALSE),FALSE),Q94-$CD$3,R94,$CD$5)*H94-CJ94</f>
        <v>0</v>
      </c>
      <c r="CE94" s="234">
        <f>_xll.xSPRDOPT((VLOOKUP(G94,NGPREVPRICES,2,FALSE)+HLOOKUP(D94,PREVCURVES,VLOOKUP(G94,MOVE_DOWN2,2,FALSE),FALSE)),VLOOKUP(G94,NGPREVPRICES,2,FALSE),CK94,VLOOKUP(G94,NGPrices,4,FALSE),HLOOKUP(D94,PREVVOLS,VLOOKUP(G94,MOVE_DOWN2,2,FALSE),FALSE),VLOOKUP(G94,NGPREVPRICES,3,FALSE),HLOOKUP(D94,Correllate,VLOOKUP(G94,CorMove,2,FALSE),FALSE),Q94-$CD$3,R94,$CJ$5)*H94-CJ94</f>
        <v>0</v>
      </c>
      <c r="CF94" s="10">
        <f t="shared" si="134"/>
        <v>83.79300423047971</v>
      </c>
      <c r="CG94" s="234">
        <f>_xll.xSPRDOPT((VLOOKUP(G94,NGPREVPRICES,2,FALSE)+HLOOKUP(D94,PREVCURVES,VLOOKUP(G94,MOVE_DOWN2,2,FALSE),FALSE)),VLOOKUP(G94,NGPREVPRICES,2,FALSE),CK94,VLOOKUP(G94,NGPREVPRICES,4,FALSE),HLOOKUP(D94,VOLS,VLOOKUP(G94,move_down,2,FALSE),FALSE),VLOOKUP(G94,NGPrices,3,FALSE),HLOOKUP(D94,Correllate,VLOOKUP(G94,CorMove,2,FALSE),FALSE),Q94-$CD$3,R94,$CJ$5)*H94-CJ94</f>
        <v>0</v>
      </c>
      <c r="CH94" s="234">
        <f>_xll.xSPRDOPT((VLOOKUP(G94,NGPREVPRICES,2,FALSE)+HLOOKUP(D94,PREVCURVES,VLOOKUP(G94,MOVE_DOWN2,2,FALSE),FALSE)),VLOOKUP(G94,NGPREVPRICES,2,FALSE),CK94,VLOOKUP(G94,NGPREVPRICES,4,FALSE),HLOOKUP(D94,PREVVOLS,VLOOKUP(G94,MOVE_DOWN2,2,FALSE),FALSE),VLOOKUP(G94,NGPREVPRICES,3,FALSE),HLOOKUP(D94,Correllate,VLOOKUP(G94,CorMove,2,FALSE),FALSE),Q94-$C$3,R94,$CJ$5)*H94-CJ94</f>
        <v>-84.629490849154536</v>
      </c>
      <c r="CI94" s="234">
        <f t="shared" si="135"/>
        <v>-0.83648661867482588</v>
      </c>
      <c r="CJ94" s="234">
        <f>_xll.xSPRDOPT((VLOOKUP(G94,NGPREVPRICES,2,FALSE)+HLOOKUP(D94,PREVCURVES,VLOOKUP(G94,MOVE_DOWN2,2,FALSE),FALSE)),VLOOKUP(G94,NGPREVPRICES,2,FALSE),CK94,VLOOKUP(G94,NGPREVPRICES,4,FALSE),HLOOKUP(D94,PREVVOLS,VLOOKUP(G94,MOVE_DOWN2,2,FALSE),FALSE),VLOOKUP(G94,NGPREVPRICES,3,FALSE),HLOOKUP(D94,Correllate,VLOOKUP(G94,CorMove,2,FALSE),FALSE),Q94-$CD$3,R94,$CJ$5)*H94</f>
        <v>-459830.7857594135</v>
      </c>
      <c r="CK94" s="235">
        <f t="shared" si="136"/>
        <v>-0.32</v>
      </c>
      <c r="CL94" s="234"/>
      <c r="CM94" t="str">
        <f t="shared" si="137"/>
        <v>36770Curve Shift/Gamma</v>
      </c>
      <c r="CN94" t="str">
        <f t="shared" si="107"/>
        <v>36770Rho</v>
      </c>
      <c r="CO94" t="str">
        <f t="shared" si="108"/>
        <v>36770Drift</v>
      </c>
      <c r="CP94" t="str">
        <f t="shared" si="109"/>
        <v>36770Vega</v>
      </c>
      <c r="CQ94" t="str">
        <f t="shared" si="110"/>
        <v>36770Theta</v>
      </c>
    </row>
    <row r="95" spans="1:95" ht="12" customHeight="1" x14ac:dyDescent="0.25">
      <c r="A95" s="382" t="s">
        <v>279</v>
      </c>
      <c r="B95" t="s">
        <v>250</v>
      </c>
      <c r="C95" t="s">
        <v>313</v>
      </c>
      <c r="D95" s="4" t="s">
        <v>7</v>
      </c>
      <c r="E95" t="s">
        <v>20</v>
      </c>
      <c r="F95" t="s">
        <v>21</v>
      </c>
      <c r="G95" s="5">
        <v>36800</v>
      </c>
      <c r="H95" s="130">
        <v>-500000</v>
      </c>
      <c r="I95">
        <v>0.32</v>
      </c>
      <c r="J95" s="53">
        <f t="shared" si="113"/>
        <v>4.6920000000000002</v>
      </c>
      <c r="K95" s="7">
        <f t="shared" si="114"/>
        <v>0.41499999999999998</v>
      </c>
      <c r="L95" s="53">
        <f t="shared" si="115"/>
        <v>5.1070000000000002</v>
      </c>
      <c r="M95" s="157">
        <f t="shared" si="101"/>
        <v>6.8050789414654006E-2</v>
      </c>
      <c r="N95" s="4">
        <f t="shared" si="102"/>
        <v>0.57499999999999996</v>
      </c>
      <c r="O95" s="4">
        <f t="shared" si="103"/>
        <v>0.56399999999999995</v>
      </c>
      <c r="P95" s="9">
        <f t="shared" si="104"/>
        <v>0.99250000000000005</v>
      </c>
      <c r="Q95" s="5">
        <f t="shared" si="116"/>
        <v>36797</v>
      </c>
      <c r="R95" s="4">
        <f t="shared" si="105"/>
        <v>1</v>
      </c>
      <c r="S95" s="158">
        <f>_xll.xSPRDOPT($L95,$J95,$I95,$M95,$O95,$N95,$P95,$Q95-$C$3,$R95,0)</f>
        <v>0.10491825683788182</v>
      </c>
      <c r="T95" s="159">
        <f>_xll.xSPRDOPT($L95,$J95,$I95,$M95,$O95,$N95,$P95,$Q95-$C$3,$R95,1)*H95</f>
        <v>-408007.05086460448</v>
      </c>
      <c r="U95" s="160">
        <f t="shared" si="138"/>
        <v>-52459.128418940913</v>
      </c>
      <c r="V95" s="159">
        <f>_xll.xSPRDOPT($L95,$J95,$I95,$M95,$O95,$N95,$P95,$Q95-$C$3,$R95,2)*H95</f>
        <v>405730.29700463882</v>
      </c>
      <c r="W95" s="159">
        <f t="shared" si="106"/>
        <v>-2276.7538599656546</v>
      </c>
      <c r="X95" s="51" t="str">
        <f t="shared" si="117"/>
        <v>36800IF-TRANSCO/Z6</v>
      </c>
      <c r="Y95" s="418">
        <f t="shared" si="118"/>
        <v>-50</v>
      </c>
      <c r="Z95" s="456">
        <f t="shared" si="119"/>
        <v>0.81601410172920896</v>
      </c>
      <c r="AA95" s="456">
        <f>_xll.xSPRDOPT($L95,$J95,$I95,$M95,$O95,$N95,$P95,$Q95-$C$3,$R95,3)</f>
        <v>2.4449078158410655</v>
      </c>
      <c r="AB95" s="456">
        <f>((_xll.xSPRDOPT($L95+AB$5,$J95,$I95,$M95,$O95,$N95,$P95,$Q95-$C$3,$R95,3)*$H95)/10000)/100</f>
        <v>-1.2224539079205328</v>
      </c>
      <c r="AC95" s="456">
        <f>((_xll.xSPRDOPT($L95+$AB$5,$J95,$I95,$M95,$O95,$N95,$P95,$Q95-$C$3,$R95,7)*$H95)/100)</f>
        <v>7928.6519982422315</v>
      </c>
      <c r="AD95" s="456">
        <f>(_xll.xSPRDOPT($L95+$AB$5,$J95,$I95,$M95,$O95,$N95,$P95,$Q95-$C$3,$R95,9)/365)*$H95</f>
        <v>222.28407383592673</v>
      </c>
      <c r="AE95">
        <f t="shared" si="120"/>
        <v>0</v>
      </c>
      <c r="AF95" s="456">
        <f t="shared" si="121"/>
        <v>-241.98859256767207</v>
      </c>
      <c r="AG95" s="456">
        <f>((_xll.xSPRDOPT($L95,$J95,$I95,$M95,$O95,$N95,$P95,$Q95-$C$3,$R95,6)*$H95)/100)</f>
        <v>559.68548525472897</v>
      </c>
      <c r="AH95" s="456">
        <f>((_xll.xSPRDOPT($L95,$J95,$I95,$M95,$O95,$N95,$P95,$Q95-$C$3,$R95,5)*$H95)/100)</f>
        <v>-817.3095651558167</v>
      </c>
      <c r="AI95" s="456">
        <f>(((_xll.xSPRDOPT($L95,$J95,$I95,$M95,$O95,$N95,$P95,$Q95-$C$3,$R95,4)*$H95)/10000)/100)-AB95</f>
        <v>-3.9995385255830795E-2</v>
      </c>
      <c r="AJ95" s="456"/>
      <c r="AK95" s="456"/>
      <c r="AL95" s="456"/>
      <c r="AM95" s="472"/>
      <c r="AN95" s="128">
        <f t="shared" si="122"/>
        <v>39417</v>
      </c>
      <c r="AO95" s="43">
        <f t="shared" si="139"/>
        <v>0</v>
      </c>
      <c r="AP95" s="43">
        <f t="shared" si="139"/>
        <v>0</v>
      </c>
      <c r="AQ95" s="43">
        <f t="shared" si="139"/>
        <v>0</v>
      </c>
      <c r="AR95" s="43">
        <f t="shared" si="139"/>
        <v>0</v>
      </c>
      <c r="AS95" s="43">
        <f t="shared" si="139"/>
        <v>0</v>
      </c>
      <c r="AT95" s="43">
        <f t="shared" si="139"/>
        <v>0</v>
      </c>
      <c r="AU95" s="43">
        <f t="shared" si="139"/>
        <v>0</v>
      </c>
      <c r="AV95" s="43">
        <f t="shared" si="139"/>
        <v>0</v>
      </c>
      <c r="AW95" s="43">
        <f t="shared" si="139"/>
        <v>0</v>
      </c>
      <c r="AX95" s="43">
        <f t="shared" si="139"/>
        <v>0</v>
      </c>
      <c r="AY95" s="43">
        <f t="shared" si="139"/>
        <v>0</v>
      </c>
      <c r="AZ95" s="43">
        <f t="shared" si="139"/>
        <v>0</v>
      </c>
      <c r="BA95" s="44">
        <f t="shared" si="139"/>
        <v>0</v>
      </c>
      <c r="BB95" s="128">
        <f t="shared" si="123"/>
        <v>39417</v>
      </c>
      <c r="BC95" s="44">
        <f t="shared" si="124"/>
        <v>0</v>
      </c>
      <c r="BD95" s="51"/>
      <c r="BE95" s="128">
        <f t="shared" si="125"/>
        <v>39417</v>
      </c>
      <c r="BF95" s="43">
        <f t="shared" si="140"/>
        <v>0</v>
      </c>
      <c r="BG95" s="43">
        <f t="shared" si="140"/>
        <v>0</v>
      </c>
      <c r="BH95" s="43">
        <f t="shared" si="140"/>
        <v>0</v>
      </c>
      <c r="BI95" s="43">
        <f t="shared" si="140"/>
        <v>0</v>
      </c>
      <c r="BJ95" s="43">
        <f t="shared" si="140"/>
        <v>0</v>
      </c>
      <c r="BK95" s="43">
        <f t="shared" si="140"/>
        <v>0</v>
      </c>
      <c r="BL95" s="43">
        <f t="shared" si="140"/>
        <v>0</v>
      </c>
      <c r="BM95" s="43">
        <f t="shared" si="140"/>
        <v>0</v>
      </c>
      <c r="BN95" s="43">
        <f t="shared" si="140"/>
        <v>0</v>
      </c>
      <c r="BO95" s="43">
        <f t="shared" si="140"/>
        <v>0</v>
      </c>
      <c r="BP95" s="43">
        <f t="shared" si="140"/>
        <v>0</v>
      </c>
      <c r="BQ95" s="43">
        <f t="shared" si="140"/>
        <v>0</v>
      </c>
      <c r="BR95" s="44">
        <f t="shared" si="140"/>
        <v>0</v>
      </c>
      <c r="BS95" s="128">
        <f t="shared" si="126"/>
        <v>39417</v>
      </c>
      <c r="BT95" s="44">
        <f t="shared" si="127"/>
        <v>0</v>
      </c>
      <c r="BU95" s="51"/>
      <c r="BV95" s="51"/>
      <c r="BW95" s="51"/>
      <c r="BX95" s="51"/>
      <c r="BY95" s="51"/>
      <c r="BZ95" s="51"/>
      <c r="CA95" s="51"/>
      <c r="CB95" s="51"/>
      <c r="CC95" s="141">
        <f t="shared" si="133"/>
        <v>36800</v>
      </c>
      <c r="CD95" s="234">
        <f>_xll.xSPRDOPT((VLOOKUP(G95,NGPrices,2,FALSE)+HLOOKUP(D95,Prices,VLOOKUP(G95,move_down,2,FALSE),FALSE)),VLOOKUP(G95,NGPrices,2,FALSE),I95,VLOOKUP(G95,NGPREVPRICES,4,FALSE),HLOOKUP(D95,PREVVOLS,VLOOKUP(G95,MOVE_DOWN2,2,FALSE),FALSE),VLOOKUP(G95,NGPREVPRICES,3,FALSE),HLOOKUP(D95,Correllate,VLOOKUP(G95,CorMove,2,FALSE),FALSE),Q95-$CD$3,R95,$CD$5)*H95-CJ95</f>
        <v>0</v>
      </c>
      <c r="CE95" s="234">
        <f>_xll.xSPRDOPT((VLOOKUP(G95,NGPREVPRICES,2,FALSE)+HLOOKUP(D95,PREVCURVES,VLOOKUP(G95,MOVE_DOWN2,2,FALSE),FALSE)),VLOOKUP(G95,NGPREVPRICES,2,FALSE),CK95,VLOOKUP(G95,NGPrices,4,FALSE),HLOOKUP(D95,PREVVOLS,VLOOKUP(G95,MOVE_DOWN2,2,FALSE),FALSE),VLOOKUP(G95,NGPREVPRICES,3,FALSE),HLOOKUP(D95,Correllate,VLOOKUP(G95,CorMove,2,FALSE),FALSE),Q95-$CD$3,R95,$CJ$5)*H95-CJ95</f>
        <v>0</v>
      </c>
      <c r="CF95" s="10">
        <f t="shared" si="134"/>
        <v>9.7120201602447196</v>
      </c>
      <c r="CG95" s="234">
        <f>_xll.xSPRDOPT((VLOOKUP(G95,NGPREVPRICES,2,FALSE)+HLOOKUP(D95,PREVCURVES,VLOOKUP(G95,MOVE_DOWN2,2,FALSE),FALSE)),VLOOKUP(G95,NGPREVPRICES,2,FALSE),CK95,VLOOKUP(G95,NGPREVPRICES,4,FALSE),HLOOKUP(D95,VOLS,VLOOKUP(G95,move_down,2,FALSE),FALSE),VLOOKUP(G95,NGPrices,3,FALSE),HLOOKUP(D95,Correllate,VLOOKUP(G95,CorMove,2,FALSE),FALSE),Q95-$CD$3,R95,$CJ$5)*H95-CJ95</f>
        <v>0</v>
      </c>
      <c r="CH95" s="234">
        <f>_xll.xSPRDOPT((VLOOKUP(G95,NGPREVPRICES,2,FALSE)+HLOOKUP(D95,PREVCURVES,VLOOKUP(G95,MOVE_DOWN2,2,FALSE),FALSE)),VLOOKUP(G95,NGPREVPRICES,2,FALSE),CK95,VLOOKUP(G95,NGPREVPRICES,4,FALSE),HLOOKUP(D95,PREVVOLS,VLOOKUP(G95,MOVE_DOWN2,2,FALSE),FALSE),VLOOKUP(G95,NGPREVPRICES,3,FALSE),HLOOKUP(D95,Correllate,VLOOKUP(G95,CorMove,2,FALSE),FALSE),Q95-$C$3,R95,$CJ$5)*H95-CJ95</f>
        <v>221.73857651407889</v>
      </c>
      <c r="CI95" s="234">
        <f t="shared" si="135"/>
        <v>231.45059667432361</v>
      </c>
      <c r="CJ95" s="234">
        <f>_xll.xSPRDOPT((VLOOKUP(G95,NGPREVPRICES,2,FALSE)+HLOOKUP(D95,PREVCURVES,VLOOKUP(G95,MOVE_DOWN2,2,FALSE),FALSE)),VLOOKUP(G95,NGPREVPRICES,2,FALSE),CK95,VLOOKUP(G95,NGPREVPRICES,4,FALSE),HLOOKUP(D95,PREVVOLS,VLOOKUP(G95,MOVE_DOWN2,2,FALSE),FALSE),VLOOKUP(G95,NGPREVPRICES,3,FALSE),HLOOKUP(D95,Correllate,VLOOKUP(G95,CorMove,2,FALSE),FALSE),Q95-$CD$3,R95,$CJ$5)*H95</f>
        <v>-52680.866995454991</v>
      </c>
      <c r="CK95" s="235">
        <f t="shared" si="136"/>
        <v>0.32</v>
      </c>
      <c r="CL95" s="234"/>
      <c r="CM95" t="str">
        <f t="shared" si="137"/>
        <v>36800Curve Shift/Gamma</v>
      </c>
      <c r="CN95" t="str">
        <f t="shared" si="107"/>
        <v>36800Rho</v>
      </c>
      <c r="CO95" t="str">
        <f t="shared" si="108"/>
        <v>36800Drift</v>
      </c>
      <c r="CP95" t="str">
        <f t="shared" si="109"/>
        <v>36800Vega</v>
      </c>
      <c r="CQ95" t="str">
        <f t="shared" si="110"/>
        <v>36800Theta</v>
      </c>
    </row>
    <row r="96" spans="1:95" ht="12" customHeight="1" x14ac:dyDescent="0.25">
      <c r="A96" s="382" t="s">
        <v>279</v>
      </c>
      <c r="B96" t="s">
        <v>250</v>
      </c>
      <c r="C96" t="s">
        <v>313</v>
      </c>
      <c r="D96" s="4" t="s">
        <v>7</v>
      </c>
      <c r="E96" t="s">
        <v>20</v>
      </c>
      <c r="F96" t="s">
        <v>21</v>
      </c>
      <c r="G96" s="5">
        <v>36770</v>
      </c>
      <c r="H96" s="130">
        <v>-500000</v>
      </c>
      <c r="I96">
        <v>0.32</v>
      </c>
      <c r="J96" s="53">
        <f t="shared" si="113"/>
        <v>4.6849999999999996</v>
      </c>
      <c r="K96" s="7">
        <f t="shared" si="114"/>
        <v>0.315</v>
      </c>
      <c r="L96" s="53">
        <f t="shared" si="115"/>
        <v>5</v>
      </c>
      <c r="M96" s="157">
        <f t="shared" si="101"/>
        <v>6.7216196212184998E-2</v>
      </c>
      <c r="N96" s="4">
        <f t="shared" si="102"/>
        <v>0.4</v>
      </c>
      <c r="O96" s="4">
        <f t="shared" si="103"/>
        <v>0.39200000000000002</v>
      </c>
      <c r="P96" s="9">
        <f t="shared" si="104"/>
        <v>0.99250000000000005</v>
      </c>
      <c r="Q96" s="5">
        <f t="shared" si="116"/>
        <v>36768</v>
      </c>
      <c r="R96" s="4">
        <f t="shared" si="105"/>
        <v>1</v>
      </c>
      <c r="S96" s="158">
        <f>_xll.xSPRDOPT($L96,$J96,$I96,$M96,$O96,$N96,$P96,$Q96-$C$3,$R96,0)</f>
        <v>3.1065839194979335E-3</v>
      </c>
      <c r="T96" s="159">
        <f>_xll.xSPRDOPT($L96,$J96,$I96,$M96,$O96,$N96,$P96,$Q96-$C$3,$R96,1)*H96</f>
        <v>-176035.42634554356</v>
      </c>
      <c r="U96" s="160">
        <f t="shared" si="138"/>
        <v>-1553.2919597489667</v>
      </c>
      <c r="V96" s="159">
        <f>_xll.xSPRDOPT($L96,$J96,$I96,$M96,$O96,$N96,$P96,$Q96-$C$3,$R96,2)*H96</f>
        <v>175621.36640080722</v>
      </c>
      <c r="W96" s="159">
        <f t="shared" si="106"/>
        <v>-414.05994473633473</v>
      </c>
      <c r="X96" s="51" t="str">
        <f t="shared" si="117"/>
        <v>36770IF-TRANSCO/Z6</v>
      </c>
      <c r="Y96" s="418">
        <f t="shared" si="118"/>
        <v>-50</v>
      </c>
      <c r="Z96" s="456">
        <f t="shared" si="119"/>
        <v>0.35207085269108712</v>
      </c>
      <c r="AA96" s="456">
        <f>_xll.xSPRDOPT($L96,$J96,$I96,$M96,$O96,$N96,$P96,$Q96-$C$3,$R96,3)</f>
        <v>28.322335583295395</v>
      </c>
      <c r="AB96" s="456">
        <f>((_xll.xSPRDOPT($L96+AB$5,$J96,$I96,$M96,$O96,$N96,$P96,$Q96-$C$3,$R96,3)*$H96)/10000)/100</f>
        <v>-14.161167791647697</v>
      </c>
      <c r="AC96" s="456">
        <f>((_xll.xSPRDOPT($L96+$AB$5,$J96,$I96,$M96,$O96,$N96,$P96,$Q96-$C$3,$R96,7)*$H96)/100)</f>
        <v>1422.8847790260591</v>
      </c>
      <c r="AD96" s="456">
        <f>(_xll.xSPRDOPT($L96+$AB$5,$J96,$I96,$M96,$O96,$N96,$P96,$Q96-$C$3,$R96,9)/365)*$H96</f>
        <v>1216.5366731478232</v>
      </c>
      <c r="AE96">
        <f t="shared" si="120"/>
        <v>0</v>
      </c>
      <c r="AF96" s="456">
        <f t="shared" si="121"/>
        <v>-60.798796041909867</v>
      </c>
      <c r="AG96" s="456">
        <f>((_xll.xSPRDOPT($L96,$J96,$I96,$M96,$O96,$N96,$P96,$Q96-$C$3,$R96,6)*$H96)/100)</f>
        <v>132.27160779032994</v>
      </c>
      <c r="AH96" s="456">
        <f>((_xll.xSPRDOPT($L96,$J96,$I96,$M96,$O96,$N96,$P96,$Q96-$C$3,$R96,5)*$H96)/100)</f>
        <v>-197.01061615534675</v>
      </c>
      <c r="AI96" s="456">
        <f>(((_xll.xSPRDOPT($L96,$J96,$I96,$M96,$O96,$N96,$P96,$Q96-$C$3,$R96,4)*$H96)/10000)/100)-AB96</f>
        <v>2.3923583275045956E-2</v>
      </c>
      <c r="AJ96" s="456"/>
      <c r="AK96" s="456"/>
      <c r="AL96" s="456"/>
      <c r="AM96" s="472"/>
      <c r="AN96" s="128">
        <f t="shared" si="122"/>
        <v>39448</v>
      </c>
      <c r="AO96" s="43">
        <f t="shared" si="139"/>
        <v>0</v>
      </c>
      <c r="AP96" s="43">
        <f t="shared" si="139"/>
        <v>0</v>
      </c>
      <c r="AQ96" s="43">
        <f t="shared" si="139"/>
        <v>0</v>
      </c>
      <c r="AR96" s="43">
        <f t="shared" si="139"/>
        <v>0</v>
      </c>
      <c r="AS96" s="43">
        <f t="shared" si="139"/>
        <v>0</v>
      </c>
      <c r="AT96" s="43">
        <f t="shared" si="139"/>
        <v>0</v>
      </c>
      <c r="AU96" s="43">
        <f t="shared" si="139"/>
        <v>0</v>
      </c>
      <c r="AV96" s="43">
        <f t="shared" si="139"/>
        <v>0</v>
      </c>
      <c r="AW96" s="43">
        <f t="shared" si="139"/>
        <v>0</v>
      </c>
      <c r="AX96" s="43">
        <f t="shared" si="139"/>
        <v>0</v>
      </c>
      <c r="AY96" s="43">
        <f t="shared" si="139"/>
        <v>0</v>
      </c>
      <c r="AZ96" s="43">
        <f t="shared" si="139"/>
        <v>0</v>
      </c>
      <c r="BA96" s="44">
        <f t="shared" si="139"/>
        <v>0</v>
      </c>
      <c r="BB96" s="128">
        <f t="shared" si="123"/>
        <v>39448</v>
      </c>
      <c r="BC96" s="44">
        <f t="shared" si="124"/>
        <v>0</v>
      </c>
      <c r="BD96" s="51"/>
      <c r="BE96" s="128">
        <f t="shared" si="125"/>
        <v>39448</v>
      </c>
      <c r="BF96" s="43">
        <f t="shared" si="140"/>
        <v>0</v>
      </c>
      <c r="BG96" s="43">
        <f t="shared" si="140"/>
        <v>0</v>
      </c>
      <c r="BH96" s="43">
        <f t="shared" si="140"/>
        <v>0</v>
      </c>
      <c r="BI96" s="43">
        <f t="shared" si="140"/>
        <v>0</v>
      </c>
      <c r="BJ96" s="43">
        <f t="shared" si="140"/>
        <v>0</v>
      </c>
      <c r="BK96" s="43">
        <f t="shared" si="140"/>
        <v>0</v>
      </c>
      <c r="BL96" s="43">
        <f t="shared" si="140"/>
        <v>0</v>
      </c>
      <c r="BM96" s="43">
        <f t="shared" si="140"/>
        <v>0</v>
      </c>
      <c r="BN96" s="43">
        <f t="shared" si="140"/>
        <v>0</v>
      </c>
      <c r="BO96" s="43">
        <f t="shared" si="140"/>
        <v>0</v>
      </c>
      <c r="BP96" s="43">
        <f t="shared" si="140"/>
        <v>0</v>
      </c>
      <c r="BQ96" s="43">
        <f t="shared" si="140"/>
        <v>0</v>
      </c>
      <c r="BR96" s="44">
        <f t="shared" si="140"/>
        <v>0</v>
      </c>
      <c r="BS96" s="128">
        <f t="shared" si="126"/>
        <v>39448</v>
      </c>
      <c r="BT96" s="44">
        <f t="shared" si="127"/>
        <v>0</v>
      </c>
      <c r="BU96" s="51"/>
      <c r="BV96" s="51"/>
      <c r="BW96" s="51"/>
      <c r="BX96" s="51"/>
      <c r="BY96" s="51"/>
      <c r="BZ96" s="51"/>
      <c r="CA96" s="51"/>
      <c r="CB96" s="51"/>
      <c r="CC96" s="141">
        <f t="shared" si="133"/>
        <v>36770</v>
      </c>
      <c r="CD96" s="234">
        <f>_xll.xSPRDOPT((VLOOKUP(G96,NGPrices,2,FALSE)+HLOOKUP(D96,Prices,VLOOKUP(G96,move_down,2,FALSE),FALSE)),VLOOKUP(G96,NGPrices,2,FALSE),I96,VLOOKUP(G96,NGPREVPRICES,4,FALSE),HLOOKUP(D96,PREVVOLS,VLOOKUP(G96,MOVE_DOWN2,2,FALSE),FALSE),VLOOKUP(G96,NGPREVPRICES,3,FALSE),HLOOKUP(D96,Correllate,VLOOKUP(G96,CorMove,2,FALSE),FALSE),Q96-$CD$3,R96,$CD$5)*H96-CJ96</f>
        <v>0</v>
      </c>
      <c r="CE96" s="234">
        <f>_xll.xSPRDOPT((VLOOKUP(G96,NGPREVPRICES,2,FALSE)+HLOOKUP(D96,PREVCURVES,VLOOKUP(G96,MOVE_DOWN2,2,FALSE),FALSE)),VLOOKUP(G96,NGPREVPRICES,2,FALSE),CK96,VLOOKUP(G96,NGPrices,4,FALSE),HLOOKUP(D96,PREVVOLS,VLOOKUP(G96,MOVE_DOWN2,2,FALSE),FALSE),VLOOKUP(G96,NGPREVPRICES,3,FALSE),HLOOKUP(D96,Correllate,VLOOKUP(G96,CorMove,2,FALSE),FALSE),Q96-$CD$3,R96,$CJ$5)*H96-CJ96</f>
        <v>0</v>
      </c>
      <c r="CF96" s="10">
        <f t="shared" si="134"/>
        <v>0.47049363588212145</v>
      </c>
      <c r="CG96" s="234">
        <f>_xll.xSPRDOPT((VLOOKUP(G96,NGPREVPRICES,2,FALSE)+HLOOKUP(D96,PREVCURVES,VLOOKUP(G96,MOVE_DOWN2,2,FALSE),FALSE)),VLOOKUP(G96,NGPREVPRICES,2,FALSE),CK96,VLOOKUP(G96,NGPREVPRICES,4,FALSE),HLOOKUP(D96,VOLS,VLOOKUP(G96,move_down,2,FALSE),FALSE),VLOOKUP(G96,NGPrices,3,FALSE),HLOOKUP(D96,Correllate,VLOOKUP(G96,CorMove,2,FALSE),FALSE),Q96-$CD$3,R96,$CJ$5)*H96-CJ96</f>
        <v>0</v>
      </c>
      <c r="CH96" s="234">
        <f>_xll.xSPRDOPT((VLOOKUP(G96,NGPREVPRICES,2,FALSE)+HLOOKUP(D96,PREVCURVES,VLOOKUP(G96,MOVE_DOWN2,2,FALSE),FALSE)),VLOOKUP(G96,NGPREVPRICES,2,FALSE),CK96,VLOOKUP(G96,NGPREVPRICES,4,FALSE),HLOOKUP(D96,PREVVOLS,VLOOKUP(G96,MOVE_DOWN2,2,FALSE),FALSE),VLOOKUP(G96,NGPREVPRICES,3,FALSE),HLOOKUP(D96,Correllate,VLOOKUP(G96,CorMove,2,FALSE),FALSE),Q96-$C$3,R96,$CJ$5)*H96-CJ96</f>
        <v>1028.6354967176499</v>
      </c>
      <c r="CI96" s="234">
        <f t="shared" si="135"/>
        <v>1029.105990353532</v>
      </c>
      <c r="CJ96" s="234">
        <f>_xll.xSPRDOPT((VLOOKUP(G96,NGPREVPRICES,2,FALSE)+HLOOKUP(D96,PREVCURVES,VLOOKUP(G96,MOVE_DOWN2,2,FALSE),FALSE)),VLOOKUP(G96,NGPREVPRICES,2,FALSE),CK96,VLOOKUP(G96,NGPREVPRICES,4,FALSE),HLOOKUP(D96,PREVVOLS,VLOOKUP(G96,MOVE_DOWN2,2,FALSE),FALSE),VLOOKUP(G96,NGPREVPRICES,3,FALSE),HLOOKUP(D96,Correllate,VLOOKUP(G96,CorMove,2,FALSE),FALSE),Q96-$CD$3,R96,$CJ$5)*H96</f>
        <v>-2581.9274564666166</v>
      </c>
      <c r="CK96" s="235">
        <f t="shared" si="136"/>
        <v>0.32</v>
      </c>
      <c r="CL96" s="234"/>
      <c r="CM96" t="str">
        <f t="shared" si="137"/>
        <v>36770Curve Shift/Gamma</v>
      </c>
      <c r="CN96" t="str">
        <f t="shared" si="107"/>
        <v>36770Rho</v>
      </c>
      <c r="CO96" t="str">
        <f t="shared" si="108"/>
        <v>36770Drift</v>
      </c>
      <c r="CP96" t="str">
        <f t="shared" si="109"/>
        <v>36770Vega</v>
      </c>
      <c r="CQ96" t="str">
        <f t="shared" si="110"/>
        <v>36770Theta</v>
      </c>
    </row>
    <row r="97" spans="1:95" ht="12" customHeight="1" x14ac:dyDescent="0.25">
      <c r="A97" s="382" t="s">
        <v>279</v>
      </c>
      <c r="B97" t="s">
        <v>250</v>
      </c>
      <c r="C97" t="s">
        <v>314</v>
      </c>
      <c r="D97" s="4" t="s">
        <v>7</v>
      </c>
      <c r="E97" t="s">
        <v>20</v>
      </c>
      <c r="F97" t="s">
        <v>1</v>
      </c>
      <c r="G97" s="5">
        <v>36800</v>
      </c>
      <c r="H97" s="130">
        <v>-500000</v>
      </c>
      <c r="I97">
        <v>0.32</v>
      </c>
      <c r="J97" s="53">
        <f t="shared" si="113"/>
        <v>4.6920000000000002</v>
      </c>
      <c r="K97" s="7">
        <f t="shared" si="114"/>
        <v>0.41499999999999998</v>
      </c>
      <c r="L97" s="53">
        <f t="shared" si="115"/>
        <v>5.1070000000000002</v>
      </c>
      <c r="M97" s="157">
        <f t="shared" si="101"/>
        <v>6.8050789414654006E-2</v>
      </c>
      <c r="N97" s="4">
        <f t="shared" si="102"/>
        <v>0.57499999999999996</v>
      </c>
      <c r="O97" s="4">
        <f t="shared" si="103"/>
        <v>0.56399999999999995</v>
      </c>
      <c r="P97" s="9">
        <f t="shared" si="104"/>
        <v>0.99250000000000005</v>
      </c>
      <c r="Q97" s="5">
        <f t="shared" si="116"/>
        <v>36797</v>
      </c>
      <c r="R97" s="4">
        <f t="shared" si="105"/>
        <v>0</v>
      </c>
      <c r="S97" s="158">
        <f>_xll.xSPRDOPT($L97,$J97,$I97,$M97,$O97,$N97,$P97,$Q97-$C$3,$R97,0)</f>
        <v>1.044776742546677E-2</v>
      </c>
      <c r="T97" s="159">
        <f>_xll.xSPRDOPT($L97,$J97,$I97,$M97,$O97,$N97,$P97,$Q97-$C$3,$R97,1)*H97</f>
        <v>89206.05130600468</v>
      </c>
      <c r="U97" s="160">
        <f t="shared" si="138"/>
        <v>-5223.8837127333845</v>
      </c>
      <c r="V97" s="159">
        <f>_xll.xSPRDOPT($L97,$J97,$I97,$M97,$O97,$N97,$P97,$Q97-$C$3,$R97,2)*H97</f>
        <v>-91482.805165970349</v>
      </c>
      <c r="W97" s="159">
        <f t="shared" si="106"/>
        <v>-2276.7538599656691</v>
      </c>
      <c r="X97" s="51" t="str">
        <f t="shared" si="117"/>
        <v>36800IF-TRANSCO/Z6</v>
      </c>
      <c r="Y97" s="418">
        <f t="shared" si="118"/>
        <v>-50</v>
      </c>
      <c r="Z97" s="456">
        <f t="shared" si="119"/>
        <v>-0.17841210261200935</v>
      </c>
      <c r="AA97" s="456">
        <f>_xll.xSPRDOPT($L97,$J97,$I97,$M97,$O97,$N97,$P97,$Q97-$C$3,$R97,3)</f>
        <v>2.4449078158410655</v>
      </c>
      <c r="AB97" s="456">
        <f>((_xll.xSPRDOPT($L97+AB$5,$J97,$I97,$M97,$O97,$N97,$P97,$Q97-$C$3,$R97,3)*$H97)/10000)/100</f>
        <v>-1.2224539079205328</v>
      </c>
      <c r="AC97" s="456">
        <f>((_xll.xSPRDOPT($L97+$AB$5,$J97,$I97,$M97,$O97,$N97,$P97,$Q97-$C$3,$R97,7)*$H97)/100)</f>
        <v>7928.6519982422315</v>
      </c>
      <c r="AD97" s="456">
        <f>(_xll.xSPRDOPT($L97+$AB$5,$J97,$I97,$M97,$O97,$N97,$P97,$Q97-$C$3,$R97,9)/365)*$H97</f>
        <v>231.09063737141108</v>
      </c>
      <c r="AE97">
        <f t="shared" si="120"/>
        <v>0</v>
      </c>
      <c r="AF97" s="456">
        <f t="shared" si="121"/>
        <v>-241.98859256767207</v>
      </c>
      <c r="AG97" s="456">
        <f>((_xll.xSPRDOPT($L97,$J97,$I97,$M97,$O97,$N97,$P97,$Q97-$C$3,$R97,6)*$H97)/100)</f>
        <v>559.68548525472897</v>
      </c>
      <c r="AH97" s="456">
        <f>((_xll.xSPRDOPT($L97,$J97,$I97,$M97,$O97,$N97,$P97,$Q97-$C$3,$R97,5)*$H97)/100)</f>
        <v>-817.3095651558167</v>
      </c>
      <c r="AI97" s="456">
        <f>(((_xll.xSPRDOPT($L97,$J97,$I97,$M97,$O97,$N97,$P97,$Q97-$C$3,$R97,4)*$H97)/10000)/100)-AB97</f>
        <v>-3.9995385255830795E-2</v>
      </c>
      <c r="AJ97" s="456"/>
      <c r="AK97" s="456"/>
      <c r="AL97" s="456"/>
      <c r="AM97" s="472"/>
      <c r="AN97" s="128">
        <f t="shared" si="122"/>
        <v>39479</v>
      </c>
      <c r="AO97" s="43">
        <f t="shared" ref="AO97:BA106" si="141">SUMIF($X:$X,CONCATENATE($AN97,AO$6),$T:$T)/10000</f>
        <v>0</v>
      </c>
      <c r="AP97" s="43">
        <f t="shared" si="141"/>
        <v>0</v>
      </c>
      <c r="AQ97" s="43">
        <f t="shared" si="141"/>
        <v>0</v>
      </c>
      <c r="AR97" s="43">
        <f t="shared" si="141"/>
        <v>0</v>
      </c>
      <c r="AS97" s="43">
        <f t="shared" si="141"/>
        <v>0</v>
      </c>
      <c r="AT97" s="43">
        <f t="shared" si="141"/>
        <v>0</v>
      </c>
      <c r="AU97" s="43">
        <f t="shared" si="141"/>
        <v>0</v>
      </c>
      <c r="AV97" s="43">
        <f t="shared" si="141"/>
        <v>0</v>
      </c>
      <c r="AW97" s="43">
        <f t="shared" si="141"/>
        <v>0</v>
      </c>
      <c r="AX97" s="43">
        <f t="shared" si="141"/>
        <v>0</v>
      </c>
      <c r="AY97" s="43">
        <f t="shared" si="141"/>
        <v>0</v>
      </c>
      <c r="AZ97" s="43">
        <f t="shared" si="141"/>
        <v>0</v>
      </c>
      <c r="BA97" s="44">
        <f t="shared" si="141"/>
        <v>0</v>
      </c>
      <c r="BB97" s="128">
        <f t="shared" si="123"/>
        <v>39479</v>
      </c>
      <c r="BC97" s="44">
        <f t="shared" si="124"/>
        <v>0</v>
      </c>
      <c r="BD97" s="51"/>
      <c r="BE97" s="128">
        <f t="shared" si="125"/>
        <v>39479</v>
      </c>
      <c r="BF97" s="43">
        <f t="shared" ref="BF97:BR106" si="142">SUMIF($X:$X,CONCATENATE($AN97,BF$6),$W:$W)</f>
        <v>0</v>
      </c>
      <c r="BG97" s="43">
        <f t="shared" si="142"/>
        <v>0</v>
      </c>
      <c r="BH97" s="43">
        <f t="shared" si="142"/>
        <v>0</v>
      </c>
      <c r="BI97" s="43">
        <f t="shared" si="142"/>
        <v>0</v>
      </c>
      <c r="BJ97" s="43">
        <f t="shared" si="142"/>
        <v>0</v>
      </c>
      <c r="BK97" s="43">
        <f t="shared" si="142"/>
        <v>0</v>
      </c>
      <c r="BL97" s="43">
        <f t="shared" si="142"/>
        <v>0</v>
      </c>
      <c r="BM97" s="43">
        <f t="shared" si="142"/>
        <v>0</v>
      </c>
      <c r="BN97" s="43">
        <f t="shared" si="142"/>
        <v>0</v>
      </c>
      <c r="BO97" s="43">
        <f t="shared" si="142"/>
        <v>0</v>
      </c>
      <c r="BP97" s="43">
        <f t="shared" si="142"/>
        <v>0</v>
      </c>
      <c r="BQ97" s="43">
        <f t="shared" si="142"/>
        <v>0</v>
      </c>
      <c r="BR97" s="44">
        <f t="shared" si="142"/>
        <v>0</v>
      </c>
      <c r="BS97" s="128">
        <f t="shared" si="126"/>
        <v>39479</v>
      </c>
      <c r="BT97" s="44">
        <f t="shared" si="127"/>
        <v>0</v>
      </c>
      <c r="BU97" s="51"/>
      <c r="BV97" s="51"/>
      <c r="BW97" s="51"/>
      <c r="BX97" s="51"/>
      <c r="BY97" s="51"/>
      <c r="BZ97" s="51"/>
      <c r="CA97" s="51"/>
      <c r="CB97" s="51"/>
      <c r="CC97" s="141">
        <f t="shared" si="133"/>
        <v>36800</v>
      </c>
      <c r="CD97" s="234">
        <f>_xll.xSPRDOPT((VLOOKUP(G97,NGPrices,2,FALSE)+HLOOKUP(D97,Prices,VLOOKUP(G97,move_down,2,FALSE),FALSE)),VLOOKUP(G97,NGPrices,2,FALSE),I97,VLOOKUP(G97,NGPREVPRICES,4,FALSE),HLOOKUP(D97,PREVVOLS,VLOOKUP(G97,MOVE_DOWN2,2,FALSE),FALSE),VLOOKUP(G97,NGPREVPRICES,3,FALSE),HLOOKUP(D97,Correllate,VLOOKUP(G97,CorMove,2,FALSE),FALSE),Q97-$CD$3,R97,$CD$5)*H97-CJ97</f>
        <v>0</v>
      </c>
      <c r="CE97" s="234">
        <f>_xll.xSPRDOPT((VLOOKUP(G97,NGPREVPRICES,2,FALSE)+HLOOKUP(D97,PREVCURVES,VLOOKUP(G97,MOVE_DOWN2,2,FALSE),FALSE)),VLOOKUP(G97,NGPREVPRICES,2,FALSE),CK97,VLOOKUP(G97,NGPrices,4,FALSE),HLOOKUP(D97,PREVVOLS,VLOOKUP(G97,MOVE_DOWN2,2,FALSE),FALSE),VLOOKUP(G97,NGPREVPRICES,3,FALSE),HLOOKUP(D97,Correllate,VLOOKUP(G97,CorMove,2,FALSE),FALSE),Q97-$CD$3,R97,$CJ$5)*H97-CJ97</f>
        <v>0</v>
      </c>
      <c r="CF97" s="10">
        <f t="shared" si="134"/>
        <v>1.0055539989871249</v>
      </c>
      <c r="CG97" s="234">
        <f>_xll.xSPRDOPT((VLOOKUP(G97,NGPREVPRICES,2,FALSE)+HLOOKUP(D97,PREVCURVES,VLOOKUP(G97,MOVE_DOWN2,2,FALSE),FALSE)),VLOOKUP(G97,NGPREVPRICES,2,FALSE),CK97,VLOOKUP(G97,NGPREVPRICES,4,FALSE),HLOOKUP(D97,VOLS,VLOOKUP(G97,move_down,2,FALSE),FALSE),VLOOKUP(G97,NGPrices,3,FALSE),HLOOKUP(D97,Correllate,VLOOKUP(G97,CorMove,2,FALSE),FALSE),Q97-$CD$3,R97,$CJ$5)*H97-CJ97</f>
        <v>0</v>
      </c>
      <c r="CH97" s="234">
        <f>_xll.xSPRDOPT((VLOOKUP(G97,NGPREVPRICES,2,FALSE)+HLOOKUP(D97,PREVCURVES,VLOOKUP(G97,MOVE_DOWN2,2,FALSE),FALSE)),VLOOKUP(G97,NGPREVPRICES,2,FALSE),CK97,VLOOKUP(G97,NGPREVPRICES,4,FALSE),HLOOKUP(D97,PREVVOLS,VLOOKUP(G97,MOVE_DOWN2,2,FALSE),FALSE),VLOOKUP(G97,NGPREVPRICES,3,FALSE),HLOOKUP(D97,Correllate,VLOOKUP(G97,CorMove,2,FALSE),FALSE),Q97-$C$3,R97,$CJ$5)*H97-CJ97</f>
        <v>230.53829250954732</v>
      </c>
      <c r="CI97" s="234">
        <f t="shared" si="135"/>
        <v>231.54384650853444</v>
      </c>
      <c r="CJ97" s="234">
        <f>_xll.xSPRDOPT((VLOOKUP(G97,NGPREVPRICES,2,FALSE)+HLOOKUP(D97,PREVCURVES,VLOOKUP(G97,MOVE_DOWN2,2,FALSE),FALSE)),VLOOKUP(G97,NGPREVPRICES,2,FALSE),CK97,VLOOKUP(G97,NGPREVPRICES,4,FALSE),HLOOKUP(D97,PREVVOLS,VLOOKUP(G97,MOVE_DOWN2,2,FALSE),FALSE),VLOOKUP(G97,NGPREVPRICES,3,FALSE),HLOOKUP(D97,Correllate,VLOOKUP(G97,CorMove,2,FALSE),FALSE),Q97-$CD$3,R97,$CJ$5)*H97</f>
        <v>-5454.4220052429318</v>
      </c>
      <c r="CK97" s="235">
        <f t="shared" si="136"/>
        <v>0.32</v>
      </c>
      <c r="CL97" s="234"/>
      <c r="CM97" t="str">
        <f t="shared" si="137"/>
        <v>36800Curve Shift/Gamma</v>
      </c>
      <c r="CN97" t="str">
        <f t="shared" si="107"/>
        <v>36800Rho</v>
      </c>
      <c r="CO97" t="str">
        <f t="shared" si="108"/>
        <v>36800Drift</v>
      </c>
      <c r="CP97" t="str">
        <f t="shared" si="109"/>
        <v>36800Vega</v>
      </c>
      <c r="CQ97" t="str">
        <f t="shared" si="110"/>
        <v>36800Theta</v>
      </c>
    </row>
    <row r="98" spans="1:95" ht="12" customHeight="1" x14ac:dyDescent="0.25">
      <c r="A98" s="382" t="s">
        <v>279</v>
      </c>
      <c r="B98" t="s">
        <v>250</v>
      </c>
      <c r="C98" t="s">
        <v>314</v>
      </c>
      <c r="D98" s="4" t="s">
        <v>7</v>
      </c>
      <c r="E98" t="s">
        <v>20</v>
      </c>
      <c r="F98" t="s">
        <v>1</v>
      </c>
      <c r="G98" s="5">
        <v>36770</v>
      </c>
      <c r="H98" s="130">
        <v>-500000</v>
      </c>
      <c r="I98">
        <v>0.32</v>
      </c>
      <c r="J98" s="53">
        <f t="shared" si="113"/>
        <v>4.6849999999999996</v>
      </c>
      <c r="K98" s="7">
        <f t="shared" si="114"/>
        <v>0.315</v>
      </c>
      <c r="L98" s="53">
        <f t="shared" si="115"/>
        <v>5</v>
      </c>
      <c r="M98" s="157">
        <f t="shared" si="101"/>
        <v>6.7216196212184998E-2</v>
      </c>
      <c r="N98" s="4">
        <f t="shared" si="102"/>
        <v>0.4</v>
      </c>
      <c r="O98" s="4">
        <f t="shared" si="103"/>
        <v>0.39200000000000002</v>
      </c>
      <c r="P98" s="9">
        <f t="shared" si="104"/>
        <v>0.99250000000000005</v>
      </c>
      <c r="Q98" s="5">
        <f t="shared" si="116"/>
        <v>36768</v>
      </c>
      <c r="R98" s="4">
        <f t="shared" si="105"/>
        <v>0</v>
      </c>
      <c r="S98" s="158">
        <f>_xll.xSPRDOPT($L98,$J98,$I98,$M98,$O98,$N98,$P98,$Q98-$C$3,$R98,0)</f>
        <v>8.1056638645802259E-3</v>
      </c>
      <c r="T98" s="159">
        <f>_xll.xSPRDOPT($L98,$J98,$I98,$M98,$O98,$N98,$P98,$Q98-$C$3,$R98,1)*H98</f>
        <v>323872.56816265173</v>
      </c>
      <c r="U98" s="160">
        <f t="shared" si="138"/>
        <v>-4052.8319322901129</v>
      </c>
      <c r="V98" s="159">
        <f>_xll.xSPRDOPT($L98,$J98,$I98,$M98,$O98,$N98,$P98,$Q98-$C$3,$R98,2)*H98</f>
        <v>-324286.6281073881</v>
      </c>
      <c r="W98" s="159">
        <f t="shared" si="106"/>
        <v>-414.05994473636383</v>
      </c>
      <c r="X98" s="51" t="str">
        <f t="shared" si="117"/>
        <v>36770IF-TRANSCO/Z6</v>
      </c>
      <c r="Y98" s="418">
        <f t="shared" si="118"/>
        <v>-50</v>
      </c>
      <c r="Z98" s="456">
        <f t="shared" si="119"/>
        <v>-0.64774513632530351</v>
      </c>
      <c r="AA98" s="456">
        <f>_xll.xSPRDOPT($L98,$J98,$I98,$M98,$O98,$N98,$P98,$Q98-$C$3,$R98,3)</f>
        <v>28.322335583295395</v>
      </c>
      <c r="AB98" s="456">
        <f>((_xll.xSPRDOPT($L98+AB$5,$J98,$I98,$M98,$O98,$N98,$P98,$Q98-$C$3,$R98,3)*$H98)/10000)/100</f>
        <v>-14.161167791647697</v>
      </c>
      <c r="AC98" s="456">
        <f>((_xll.xSPRDOPT($L98+$AB$5,$J98,$I98,$M98,$O98,$N98,$P98,$Q98-$C$3,$R98,7)*$H98)/100)</f>
        <v>1422.8847790260591</v>
      </c>
      <c r="AD98" s="456">
        <f>(_xll.xSPRDOPT($L98+$AB$5,$J98,$I98,$M98,$O98,$N98,$P98,$Q98-$C$3,$R98,9)/365)*$H98</f>
        <v>1216.0763729581395</v>
      </c>
      <c r="AE98">
        <f t="shared" si="120"/>
        <v>0</v>
      </c>
      <c r="AF98" s="456">
        <f t="shared" si="121"/>
        <v>-60.798796041909867</v>
      </c>
      <c r="AG98" s="456">
        <f>((_xll.xSPRDOPT($L98,$J98,$I98,$M98,$O98,$N98,$P98,$Q98-$C$3,$R98,6)*$H98)/100)</f>
        <v>132.27160779032994</v>
      </c>
      <c r="AH98" s="456">
        <f>((_xll.xSPRDOPT($L98,$J98,$I98,$M98,$O98,$N98,$P98,$Q98-$C$3,$R98,5)*$H98)/100)</f>
        <v>-197.01061615534675</v>
      </c>
      <c r="AI98" s="456">
        <f>(((_xll.xSPRDOPT($L98,$J98,$I98,$M98,$O98,$N98,$P98,$Q98-$C$3,$R98,4)*$H98)/10000)/100)-AB98</f>
        <v>2.3923583275045956E-2</v>
      </c>
      <c r="AJ98" s="456"/>
      <c r="AK98" s="456"/>
      <c r="AL98" s="456"/>
      <c r="AM98" s="472"/>
      <c r="AN98" s="128">
        <f t="shared" si="122"/>
        <v>39508</v>
      </c>
      <c r="AO98" s="43">
        <f t="shared" si="141"/>
        <v>0</v>
      </c>
      <c r="AP98" s="43">
        <f t="shared" si="141"/>
        <v>0</v>
      </c>
      <c r="AQ98" s="43">
        <f t="shared" si="141"/>
        <v>0</v>
      </c>
      <c r="AR98" s="43">
        <f t="shared" si="141"/>
        <v>0</v>
      </c>
      <c r="AS98" s="43">
        <f t="shared" si="141"/>
        <v>0</v>
      </c>
      <c r="AT98" s="43">
        <f t="shared" si="141"/>
        <v>0</v>
      </c>
      <c r="AU98" s="43">
        <f t="shared" si="141"/>
        <v>0</v>
      </c>
      <c r="AV98" s="43">
        <f t="shared" si="141"/>
        <v>0</v>
      </c>
      <c r="AW98" s="43">
        <f t="shared" si="141"/>
        <v>0</v>
      </c>
      <c r="AX98" s="43">
        <f t="shared" si="141"/>
        <v>0</v>
      </c>
      <c r="AY98" s="43">
        <f t="shared" si="141"/>
        <v>0</v>
      </c>
      <c r="AZ98" s="43">
        <f t="shared" si="141"/>
        <v>0</v>
      </c>
      <c r="BA98" s="44">
        <f t="shared" si="141"/>
        <v>0</v>
      </c>
      <c r="BB98" s="128">
        <f t="shared" si="123"/>
        <v>39508</v>
      </c>
      <c r="BC98" s="44">
        <f t="shared" si="124"/>
        <v>0</v>
      </c>
      <c r="BD98" s="51"/>
      <c r="BE98" s="128">
        <f t="shared" si="125"/>
        <v>39508</v>
      </c>
      <c r="BF98" s="43">
        <f t="shared" si="142"/>
        <v>0</v>
      </c>
      <c r="BG98" s="43">
        <f t="shared" si="142"/>
        <v>0</v>
      </c>
      <c r="BH98" s="43">
        <f t="shared" si="142"/>
        <v>0</v>
      </c>
      <c r="BI98" s="43">
        <f t="shared" si="142"/>
        <v>0</v>
      </c>
      <c r="BJ98" s="43">
        <f t="shared" si="142"/>
        <v>0</v>
      </c>
      <c r="BK98" s="43">
        <f t="shared" si="142"/>
        <v>0</v>
      </c>
      <c r="BL98" s="43">
        <f t="shared" si="142"/>
        <v>0</v>
      </c>
      <c r="BM98" s="43">
        <f t="shared" si="142"/>
        <v>0</v>
      </c>
      <c r="BN98" s="43">
        <f t="shared" si="142"/>
        <v>0</v>
      </c>
      <c r="BO98" s="43">
        <f t="shared" si="142"/>
        <v>0</v>
      </c>
      <c r="BP98" s="43">
        <f t="shared" si="142"/>
        <v>0</v>
      </c>
      <c r="BQ98" s="43">
        <f t="shared" si="142"/>
        <v>0</v>
      </c>
      <c r="BR98" s="44">
        <f t="shared" si="142"/>
        <v>0</v>
      </c>
      <c r="BS98" s="128">
        <f t="shared" si="126"/>
        <v>39508</v>
      </c>
      <c r="BT98" s="44">
        <f t="shared" si="127"/>
        <v>0</v>
      </c>
      <c r="BU98" s="51"/>
      <c r="BV98" s="51"/>
      <c r="BW98" s="51"/>
      <c r="BX98" s="51"/>
      <c r="BY98" s="51"/>
      <c r="BZ98" s="51"/>
      <c r="CA98" s="51"/>
      <c r="CB98" s="51"/>
      <c r="CC98" s="141">
        <f t="shared" ref="CC98:CC129" si="143">G98</f>
        <v>36770</v>
      </c>
      <c r="CD98" s="234">
        <f>_xll.xSPRDOPT((VLOOKUP(G98,NGPrices,2,FALSE)+HLOOKUP(D98,Prices,VLOOKUP(G98,move_down,2,FALSE),FALSE)),VLOOKUP(G98,NGPrices,2,FALSE),I98,VLOOKUP(G98,NGPREVPRICES,4,FALSE),HLOOKUP(D98,PREVVOLS,VLOOKUP(G98,MOVE_DOWN2,2,FALSE),FALSE),VLOOKUP(G98,NGPREVPRICES,3,FALSE),HLOOKUP(D98,Correllate,VLOOKUP(G98,CorMove,2,FALSE),FALSE),Q98-$CD$3,R98,$CD$5)*H98-CJ98</f>
        <v>0</v>
      </c>
      <c r="CE98" s="234">
        <f>_xll.xSPRDOPT((VLOOKUP(G98,NGPREVPRICES,2,FALSE)+HLOOKUP(D98,PREVCURVES,VLOOKUP(G98,MOVE_DOWN2,2,FALSE),FALSE)),VLOOKUP(G98,NGPREVPRICES,2,FALSE),CK98,VLOOKUP(G98,NGPrices,4,FALSE),HLOOKUP(D98,PREVVOLS,VLOOKUP(G98,MOVE_DOWN2,2,FALSE),FALSE),VLOOKUP(G98,NGPREVPRICES,3,FALSE),HLOOKUP(D98,Correllate,VLOOKUP(G98,CorMove,2,FALSE),FALSE),Q98-$CD$3,R98,$CJ$5)*H98-CJ98</f>
        <v>0</v>
      </c>
      <c r="CF98" s="10">
        <f t="shared" ref="CF98:CF127" si="144">(CJ98/VLOOKUP(CC98,discount,3,FALSE))-(CJ98/VLOOKUP(CC98,discount,2,FALSE))</f>
        <v>0.92589033829699474</v>
      </c>
      <c r="CG98" s="234">
        <f>_xll.xSPRDOPT((VLOOKUP(G98,NGPREVPRICES,2,FALSE)+HLOOKUP(D98,PREVCURVES,VLOOKUP(G98,MOVE_DOWN2,2,FALSE),FALSE)),VLOOKUP(G98,NGPREVPRICES,2,FALSE),CK98,VLOOKUP(G98,NGPREVPRICES,4,FALSE),HLOOKUP(D98,VOLS,VLOOKUP(G98,move_down,2,FALSE),FALSE),VLOOKUP(G98,NGPrices,3,FALSE),HLOOKUP(D98,Correllate,VLOOKUP(G98,CorMove,2,FALSE),FALSE),Q98-$CD$3,R98,$CJ$5)*H98-CJ98</f>
        <v>0</v>
      </c>
      <c r="CH98" s="234">
        <f>_xll.xSPRDOPT((VLOOKUP(G98,NGPREVPRICES,2,FALSE)+HLOOKUP(D98,PREVCURVES,VLOOKUP(G98,MOVE_DOWN2,2,FALSE),FALSE)),VLOOKUP(G98,NGPREVPRICES,2,FALSE),CK98,VLOOKUP(G98,NGPREVPRICES,4,FALSE),HLOOKUP(D98,PREVVOLS,VLOOKUP(G98,MOVE_DOWN2,2,FALSE),FALSE),VLOOKUP(G98,NGPREVPRICES,3,FALSE),HLOOKUP(D98,Correllate,VLOOKUP(G98,CorMove,2,FALSE),FALSE),Q98-$C$3,R98,$CJ$5)*H98-CJ98</f>
        <v>1028.1755539083556</v>
      </c>
      <c r="CI98" s="234">
        <f t="shared" ref="CI98:CI127" si="145">SUM(CD98:CH98)</f>
        <v>1029.1014442466526</v>
      </c>
      <c r="CJ98" s="234">
        <f>_xll.xSPRDOPT((VLOOKUP(G98,NGPREVPRICES,2,FALSE)+HLOOKUP(D98,PREVCURVES,VLOOKUP(G98,MOVE_DOWN2,2,FALSE),FALSE)),VLOOKUP(G98,NGPREVPRICES,2,FALSE),CK98,VLOOKUP(G98,NGPREVPRICES,4,FALSE),HLOOKUP(D98,PREVVOLS,VLOOKUP(G98,MOVE_DOWN2,2,FALSE),FALSE),VLOOKUP(G98,NGPREVPRICES,3,FALSE),HLOOKUP(D98,Correllate,VLOOKUP(G98,CorMove,2,FALSE),FALSE),Q98-$CD$3,R98,$CJ$5)*H98</f>
        <v>-5081.0074861984685</v>
      </c>
      <c r="CK98" s="235">
        <f t="shared" ref="CK98:CK129" si="146">I98</f>
        <v>0.32</v>
      </c>
      <c r="CL98" s="234"/>
      <c r="CM98" t="str">
        <f t="shared" ref="CM98:CM127" si="147">CONCATENATE(CC98,$CD$6)</f>
        <v>36770Curve Shift/Gamma</v>
      </c>
      <c r="CN98" t="str">
        <f t="shared" si="107"/>
        <v>36770Rho</v>
      </c>
      <c r="CO98" t="str">
        <f t="shared" si="108"/>
        <v>36770Drift</v>
      </c>
      <c r="CP98" t="str">
        <f t="shared" si="109"/>
        <v>36770Vega</v>
      </c>
      <c r="CQ98" t="str">
        <f t="shared" si="110"/>
        <v>36770Theta</v>
      </c>
    </row>
    <row r="99" spans="1:95" ht="12" customHeight="1" x14ac:dyDescent="0.25">
      <c r="A99" s="382" t="s">
        <v>279</v>
      </c>
      <c r="B99" t="s">
        <v>250</v>
      </c>
      <c r="C99" t="s">
        <v>315</v>
      </c>
      <c r="D99" s="4" t="s">
        <v>7</v>
      </c>
      <c r="E99" t="s">
        <v>20</v>
      </c>
      <c r="F99" t="s">
        <v>21</v>
      </c>
      <c r="G99" s="5">
        <v>36800</v>
      </c>
      <c r="H99" s="130">
        <v>-500000</v>
      </c>
      <c r="I99">
        <v>0.32</v>
      </c>
      <c r="J99" s="53">
        <f t="shared" si="113"/>
        <v>4.6920000000000002</v>
      </c>
      <c r="K99" s="7">
        <f t="shared" si="114"/>
        <v>0.41499999999999998</v>
      </c>
      <c r="L99" s="53">
        <f t="shared" si="115"/>
        <v>5.1070000000000002</v>
      </c>
      <c r="M99" s="157">
        <f t="shared" si="101"/>
        <v>6.8050789414654006E-2</v>
      </c>
      <c r="N99" s="4">
        <f t="shared" si="102"/>
        <v>0.57499999999999996</v>
      </c>
      <c r="O99" s="4">
        <f t="shared" si="103"/>
        <v>0.56399999999999995</v>
      </c>
      <c r="P99" s="9">
        <f t="shared" si="104"/>
        <v>0.99250000000000005</v>
      </c>
      <c r="Q99" s="5">
        <f t="shared" si="116"/>
        <v>36797</v>
      </c>
      <c r="R99" s="4">
        <f t="shared" si="105"/>
        <v>1</v>
      </c>
      <c r="S99" s="158">
        <f>_xll.xSPRDOPT($L99,$J99,$I99,$M99,$O99,$N99,$P99,$Q99-$C$3,$R99,0)</f>
        <v>0.10491825683788182</v>
      </c>
      <c r="T99" s="159">
        <f>_xll.xSPRDOPT($L99,$J99,$I99,$M99,$O99,$N99,$P99,$Q99-$C$3,$R99,1)*H99</f>
        <v>-408007.05086460448</v>
      </c>
      <c r="U99" s="160">
        <f t="shared" si="138"/>
        <v>-52459.128418940913</v>
      </c>
      <c r="V99" s="159">
        <f>_xll.xSPRDOPT($L99,$J99,$I99,$M99,$O99,$N99,$P99,$Q99-$C$3,$R99,2)*H99</f>
        <v>405730.29700463882</v>
      </c>
      <c r="W99" s="159">
        <f t="shared" si="106"/>
        <v>-2276.7538599656546</v>
      </c>
      <c r="X99" s="51" t="str">
        <f t="shared" si="117"/>
        <v>36800IF-TRANSCO/Z6</v>
      </c>
      <c r="Y99" s="418">
        <f t="shared" si="118"/>
        <v>-50</v>
      </c>
      <c r="Z99" s="456">
        <f t="shared" si="119"/>
        <v>0.81601410172920896</v>
      </c>
      <c r="AA99" s="456">
        <f>_xll.xSPRDOPT($L99,$J99,$I99,$M99,$O99,$N99,$P99,$Q99-$C$3,$R99,3)</f>
        <v>2.4449078158410655</v>
      </c>
      <c r="AB99" s="456">
        <f>((_xll.xSPRDOPT($L99+AB$5,$J99,$I99,$M99,$O99,$N99,$P99,$Q99-$C$3,$R99,3)*$H99)/10000)/100</f>
        <v>-1.2224539079205328</v>
      </c>
      <c r="AC99" s="456">
        <f>((_xll.xSPRDOPT($L99+$AB$5,$J99,$I99,$M99,$O99,$N99,$P99,$Q99-$C$3,$R99,7)*$H99)/100)</f>
        <v>7928.6519982422315</v>
      </c>
      <c r="AD99" s="456">
        <f>(_xll.xSPRDOPT($L99+$AB$5,$J99,$I99,$M99,$O99,$N99,$P99,$Q99-$C$3,$R99,9)/365)*$H99</f>
        <v>222.28407383592673</v>
      </c>
      <c r="AE99">
        <f t="shared" si="120"/>
        <v>0</v>
      </c>
      <c r="AF99" s="456">
        <f t="shared" si="121"/>
        <v>-241.98859256767207</v>
      </c>
      <c r="AG99" s="456">
        <f>((_xll.xSPRDOPT($L99,$J99,$I99,$M99,$O99,$N99,$P99,$Q99-$C$3,$R99,6)*$H99)/100)</f>
        <v>559.68548525472897</v>
      </c>
      <c r="AH99" s="456">
        <f>((_xll.xSPRDOPT($L99,$J99,$I99,$M99,$O99,$N99,$P99,$Q99-$C$3,$R99,5)*$H99)/100)</f>
        <v>-817.3095651558167</v>
      </c>
      <c r="AI99" s="456">
        <f>(((_xll.xSPRDOPT($L99,$J99,$I99,$M99,$O99,$N99,$P99,$Q99-$C$3,$R99,4)*$H99)/10000)/100)-AB99</f>
        <v>-3.9995385255830795E-2</v>
      </c>
      <c r="AJ99" s="456"/>
      <c r="AK99" s="456"/>
      <c r="AL99" s="456"/>
      <c r="AM99" s="472"/>
      <c r="AN99" s="128">
        <f t="shared" si="122"/>
        <v>39539</v>
      </c>
      <c r="AO99" s="43">
        <f t="shared" si="141"/>
        <v>0</v>
      </c>
      <c r="AP99" s="43">
        <f t="shared" si="141"/>
        <v>0</v>
      </c>
      <c r="AQ99" s="43">
        <f t="shared" si="141"/>
        <v>0</v>
      </c>
      <c r="AR99" s="43">
        <f t="shared" si="141"/>
        <v>0</v>
      </c>
      <c r="AS99" s="43">
        <f t="shared" si="141"/>
        <v>0</v>
      </c>
      <c r="AT99" s="43">
        <f t="shared" si="141"/>
        <v>0</v>
      </c>
      <c r="AU99" s="43">
        <f t="shared" si="141"/>
        <v>0</v>
      </c>
      <c r="AV99" s="43">
        <f t="shared" si="141"/>
        <v>0</v>
      </c>
      <c r="AW99" s="43">
        <f t="shared" si="141"/>
        <v>0</v>
      </c>
      <c r="AX99" s="43">
        <f t="shared" si="141"/>
        <v>0</v>
      </c>
      <c r="AY99" s="43">
        <f t="shared" si="141"/>
        <v>0</v>
      </c>
      <c r="AZ99" s="43">
        <f t="shared" si="141"/>
        <v>0</v>
      </c>
      <c r="BA99" s="44">
        <f t="shared" si="141"/>
        <v>0</v>
      </c>
      <c r="BB99" s="128">
        <f t="shared" si="123"/>
        <v>39539</v>
      </c>
      <c r="BC99" s="44">
        <f t="shared" si="124"/>
        <v>0</v>
      </c>
      <c r="BD99" s="51"/>
      <c r="BE99" s="128">
        <f t="shared" si="125"/>
        <v>39539</v>
      </c>
      <c r="BF99" s="43">
        <f t="shared" si="142"/>
        <v>0</v>
      </c>
      <c r="BG99" s="43">
        <f t="shared" si="142"/>
        <v>0</v>
      </c>
      <c r="BH99" s="43">
        <f t="shared" si="142"/>
        <v>0</v>
      </c>
      <c r="BI99" s="43">
        <f t="shared" si="142"/>
        <v>0</v>
      </c>
      <c r="BJ99" s="43">
        <f t="shared" si="142"/>
        <v>0</v>
      </c>
      <c r="BK99" s="43">
        <f t="shared" si="142"/>
        <v>0</v>
      </c>
      <c r="BL99" s="43">
        <f t="shared" si="142"/>
        <v>0</v>
      </c>
      <c r="BM99" s="43">
        <f t="shared" si="142"/>
        <v>0</v>
      </c>
      <c r="BN99" s="43">
        <f t="shared" si="142"/>
        <v>0</v>
      </c>
      <c r="BO99" s="43">
        <f t="shared" si="142"/>
        <v>0</v>
      </c>
      <c r="BP99" s="43">
        <f t="shared" si="142"/>
        <v>0</v>
      </c>
      <c r="BQ99" s="43">
        <f t="shared" si="142"/>
        <v>0</v>
      </c>
      <c r="BR99" s="44">
        <f t="shared" si="142"/>
        <v>0</v>
      </c>
      <c r="BS99" s="128">
        <f t="shared" si="126"/>
        <v>39539</v>
      </c>
      <c r="BT99" s="44">
        <f t="shared" si="127"/>
        <v>0</v>
      </c>
      <c r="BU99" s="51"/>
      <c r="BV99" s="51"/>
      <c r="BW99" s="51"/>
      <c r="BX99" s="51"/>
      <c r="BY99" s="51"/>
      <c r="BZ99" s="51"/>
      <c r="CA99" s="51"/>
      <c r="CB99" s="51"/>
      <c r="CC99" s="141">
        <f t="shared" si="143"/>
        <v>36800</v>
      </c>
      <c r="CD99" s="234">
        <f>_xll.xSPRDOPT((VLOOKUP(G99,NGPrices,2,FALSE)+HLOOKUP(D99,Prices,VLOOKUP(G99,move_down,2,FALSE),FALSE)),VLOOKUP(G99,NGPrices,2,FALSE),I99,VLOOKUP(G99,NGPREVPRICES,4,FALSE),HLOOKUP(D99,PREVVOLS,VLOOKUP(G99,MOVE_DOWN2,2,FALSE),FALSE),VLOOKUP(G99,NGPREVPRICES,3,FALSE),HLOOKUP(D99,Correllate,VLOOKUP(G99,CorMove,2,FALSE),FALSE),Q99-$CD$3,R99,$CD$5)*H99-CJ99</f>
        <v>0</v>
      </c>
      <c r="CE99" s="234">
        <f>_xll.xSPRDOPT((VLOOKUP(G99,NGPREVPRICES,2,FALSE)+HLOOKUP(D99,PREVCURVES,VLOOKUP(G99,MOVE_DOWN2,2,FALSE),FALSE)),VLOOKUP(G99,NGPREVPRICES,2,FALSE),CK99,VLOOKUP(G99,NGPrices,4,FALSE),HLOOKUP(D99,PREVVOLS,VLOOKUP(G99,MOVE_DOWN2,2,FALSE),FALSE),VLOOKUP(G99,NGPREVPRICES,3,FALSE),HLOOKUP(D99,Correllate,VLOOKUP(G99,CorMove,2,FALSE),FALSE),Q99-$CD$3,R99,$CJ$5)*H99-CJ99</f>
        <v>0</v>
      </c>
      <c r="CF99" s="10">
        <f t="shared" si="144"/>
        <v>9.7120201602447196</v>
      </c>
      <c r="CG99" s="234">
        <f>_xll.xSPRDOPT((VLOOKUP(G99,NGPREVPRICES,2,FALSE)+HLOOKUP(D99,PREVCURVES,VLOOKUP(G99,MOVE_DOWN2,2,FALSE),FALSE)),VLOOKUP(G99,NGPREVPRICES,2,FALSE),CK99,VLOOKUP(G99,NGPREVPRICES,4,FALSE),HLOOKUP(D99,VOLS,VLOOKUP(G99,move_down,2,FALSE),FALSE),VLOOKUP(G99,NGPrices,3,FALSE),HLOOKUP(D99,Correllate,VLOOKUP(G99,CorMove,2,FALSE),FALSE),Q99-$CD$3,R99,$CJ$5)*H99-CJ99</f>
        <v>0</v>
      </c>
      <c r="CH99" s="234">
        <f>_xll.xSPRDOPT((VLOOKUP(G99,NGPREVPRICES,2,FALSE)+HLOOKUP(D99,PREVCURVES,VLOOKUP(G99,MOVE_DOWN2,2,FALSE),FALSE)),VLOOKUP(G99,NGPREVPRICES,2,FALSE),CK99,VLOOKUP(G99,NGPREVPRICES,4,FALSE),HLOOKUP(D99,PREVVOLS,VLOOKUP(G99,MOVE_DOWN2,2,FALSE),FALSE),VLOOKUP(G99,NGPREVPRICES,3,FALSE),HLOOKUP(D99,Correllate,VLOOKUP(G99,CorMove,2,FALSE),FALSE),Q99-$C$3,R99,$CJ$5)*H99-CJ99</f>
        <v>221.73857651407889</v>
      </c>
      <c r="CI99" s="234">
        <f t="shared" si="145"/>
        <v>231.45059667432361</v>
      </c>
      <c r="CJ99" s="234">
        <f>_xll.xSPRDOPT((VLOOKUP(G99,NGPREVPRICES,2,FALSE)+HLOOKUP(D99,PREVCURVES,VLOOKUP(G99,MOVE_DOWN2,2,FALSE),FALSE)),VLOOKUP(G99,NGPREVPRICES,2,FALSE),CK99,VLOOKUP(G99,NGPREVPRICES,4,FALSE),HLOOKUP(D99,PREVVOLS,VLOOKUP(G99,MOVE_DOWN2,2,FALSE),FALSE),VLOOKUP(G99,NGPREVPRICES,3,FALSE),HLOOKUP(D99,Correllate,VLOOKUP(G99,CorMove,2,FALSE),FALSE),Q99-$CD$3,R99,$CJ$5)*H99</f>
        <v>-52680.866995454991</v>
      </c>
      <c r="CK99" s="235">
        <f t="shared" si="146"/>
        <v>0.32</v>
      </c>
      <c r="CL99" s="234"/>
      <c r="CM99" t="str">
        <f t="shared" si="147"/>
        <v>36800Curve Shift/Gamma</v>
      </c>
      <c r="CN99" t="str">
        <f t="shared" si="107"/>
        <v>36800Rho</v>
      </c>
      <c r="CO99" t="str">
        <f t="shared" si="108"/>
        <v>36800Drift</v>
      </c>
      <c r="CP99" t="str">
        <f t="shared" si="109"/>
        <v>36800Vega</v>
      </c>
      <c r="CQ99" t="str">
        <f t="shared" si="110"/>
        <v>36800Theta</v>
      </c>
    </row>
    <row r="100" spans="1:95" ht="12" customHeight="1" x14ac:dyDescent="0.25">
      <c r="A100" s="382" t="s">
        <v>279</v>
      </c>
      <c r="B100" t="s">
        <v>250</v>
      </c>
      <c r="C100" t="s">
        <v>315</v>
      </c>
      <c r="D100" s="4" t="s">
        <v>7</v>
      </c>
      <c r="E100" t="s">
        <v>20</v>
      </c>
      <c r="F100" t="s">
        <v>21</v>
      </c>
      <c r="G100" s="5">
        <v>36770</v>
      </c>
      <c r="H100" s="130">
        <v>-500000</v>
      </c>
      <c r="I100">
        <v>0.32</v>
      </c>
      <c r="J100" s="53">
        <f t="shared" si="113"/>
        <v>4.6849999999999996</v>
      </c>
      <c r="K100" s="7">
        <f t="shared" si="114"/>
        <v>0.315</v>
      </c>
      <c r="L100" s="53">
        <f t="shared" si="115"/>
        <v>5</v>
      </c>
      <c r="M100" s="157">
        <f t="shared" si="101"/>
        <v>6.7216196212184998E-2</v>
      </c>
      <c r="N100" s="4">
        <f t="shared" si="102"/>
        <v>0.4</v>
      </c>
      <c r="O100" s="4">
        <f t="shared" si="103"/>
        <v>0.39200000000000002</v>
      </c>
      <c r="P100" s="9">
        <f t="shared" si="104"/>
        <v>0.99250000000000005</v>
      </c>
      <c r="Q100" s="5">
        <f t="shared" si="116"/>
        <v>36768</v>
      </c>
      <c r="R100" s="4">
        <f t="shared" si="105"/>
        <v>1</v>
      </c>
      <c r="S100" s="158">
        <f>_xll.xSPRDOPT($L100,$J100,$I100,$M100,$O100,$N100,$P100,$Q100-$C$3,$R100,0)</f>
        <v>3.1065839194979335E-3</v>
      </c>
      <c r="T100" s="159">
        <f>_xll.xSPRDOPT($L100,$J100,$I100,$M100,$O100,$N100,$P100,$Q100-$C$3,$R100,1)*H100</f>
        <v>-176035.42634554356</v>
      </c>
      <c r="U100" s="160">
        <f t="shared" si="138"/>
        <v>-1553.2919597489667</v>
      </c>
      <c r="V100" s="159">
        <f>_xll.xSPRDOPT($L100,$J100,$I100,$M100,$O100,$N100,$P100,$Q100-$C$3,$R100,2)*H100</f>
        <v>175621.36640080722</v>
      </c>
      <c r="W100" s="159">
        <f t="shared" si="106"/>
        <v>-414.05994473633473</v>
      </c>
      <c r="X100" s="51" t="str">
        <f t="shared" si="117"/>
        <v>36770IF-TRANSCO/Z6</v>
      </c>
      <c r="Y100" s="418">
        <f t="shared" si="118"/>
        <v>-50</v>
      </c>
      <c r="Z100" s="456">
        <f t="shared" si="119"/>
        <v>0.35207085269108712</v>
      </c>
      <c r="AA100" s="456">
        <f>_xll.xSPRDOPT($L100,$J100,$I100,$M100,$O100,$N100,$P100,$Q100-$C$3,$R100,3)</f>
        <v>28.322335583295395</v>
      </c>
      <c r="AB100" s="456">
        <f>((_xll.xSPRDOPT($L100+AB$5,$J100,$I100,$M100,$O100,$N100,$P100,$Q100-$C$3,$R100,3)*$H100)/10000)/100</f>
        <v>-14.161167791647697</v>
      </c>
      <c r="AC100" s="456">
        <f>((_xll.xSPRDOPT($L100+$AB$5,$J100,$I100,$M100,$O100,$N100,$P100,$Q100-$C$3,$R100,7)*$H100)/100)</f>
        <v>1422.8847790260591</v>
      </c>
      <c r="AD100" s="456">
        <f>(_xll.xSPRDOPT($L100+$AB$5,$J100,$I100,$M100,$O100,$N100,$P100,$Q100-$C$3,$R100,9)/365)*$H100</f>
        <v>1216.5366731478232</v>
      </c>
      <c r="AE100">
        <f t="shared" si="120"/>
        <v>0</v>
      </c>
      <c r="AF100" s="456">
        <f t="shared" si="121"/>
        <v>-60.798796041909867</v>
      </c>
      <c r="AG100" s="456">
        <f>((_xll.xSPRDOPT($L100,$J100,$I100,$M100,$O100,$N100,$P100,$Q100-$C$3,$R100,6)*$H100)/100)</f>
        <v>132.27160779032994</v>
      </c>
      <c r="AH100" s="456">
        <f>((_xll.xSPRDOPT($L100,$J100,$I100,$M100,$O100,$N100,$P100,$Q100-$C$3,$R100,5)*$H100)/100)</f>
        <v>-197.01061615534675</v>
      </c>
      <c r="AI100" s="456">
        <f>(((_xll.xSPRDOPT($L100,$J100,$I100,$M100,$O100,$N100,$P100,$Q100-$C$3,$R100,4)*$H100)/10000)/100)-AB100</f>
        <v>2.3923583275045956E-2</v>
      </c>
      <c r="AJ100" s="456"/>
      <c r="AK100" s="456"/>
      <c r="AL100" s="456"/>
      <c r="AM100" s="472"/>
      <c r="AN100" s="128">
        <f t="shared" si="122"/>
        <v>39569</v>
      </c>
      <c r="AO100" s="43">
        <f t="shared" si="141"/>
        <v>0</v>
      </c>
      <c r="AP100" s="43">
        <f t="shared" si="141"/>
        <v>0</v>
      </c>
      <c r="AQ100" s="43">
        <f t="shared" si="141"/>
        <v>0</v>
      </c>
      <c r="AR100" s="43">
        <f t="shared" si="141"/>
        <v>0</v>
      </c>
      <c r="AS100" s="43">
        <f t="shared" si="141"/>
        <v>0</v>
      </c>
      <c r="AT100" s="43">
        <f t="shared" si="141"/>
        <v>0</v>
      </c>
      <c r="AU100" s="43">
        <f t="shared" si="141"/>
        <v>0</v>
      </c>
      <c r="AV100" s="43">
        <f t="shared" si="141"/>
        <v>0</v>
      </c>
      <c r="AW100" s="43">
        <f t="shared" si="141"/>
        <v>0</v>
      </c>
      <c r="AX100" s="43">
        <f t="shared" si="141"/>
        <v>0</v>
      </c>
      <c r="AY100" s="43">
        <f t="shared" si="141"/>
        <v>0</v>
      </c>
      <c r="AZ100" s="43">
        <f t="shared" si="141"/>
        <v>0</v>
      </c>
      <c r="BA100" s="44">
        <f t="shared" si="141"/>
        <v>0</v>
      </c>
      <c r="BB100" s="128">
        <f t="shared" si="123"/>
        <v>39569</v>
      </c>
      <c r="BC100" s="44">
        <f t="shared" si="124"/>
        <v>0</v>
      </c>
      <c r="BD100" s="51"/>
      <c r="BE100" s="128">
        <f t="shared" si="125"/>
        <v>39569</v>
      </c>
      <c r="BF100" s="43">
        <f t="shared" si="142"/>
        <v>0</v>
      </c>
      <c r="BG100" s="43">
        <f t="shared" si="142"/>
        <v>0</v>
      </c>
      <c r="BH100" s="43">
        <f t="shared" si="142"/>
        <v>0</v>
      </c>
      <c r="BI100" s="43">
        <f t="shared" si="142"/>
        <v>0</v>
      </c>
      <c r="BJ100" s="43">
        <f t="shared" si="142"/>
        <v>0</v>
      </c>
      <c r="BK100" s="43">
        <f t="shared" si="142"/>
        <v>0</v>
      </c>
      <c r="BL100" s="43">
        <f t="shared" si="142"/>
        <v>0</v>
      </c>
      <c r="BM100" s="43">
        <f t="shared" si="142"/>
        <v>0</v>
      </c>
      <c r="BN100" s="43">
        <f t="shared" si="142"/>
        <v>0</v>
      </c>
      <c r="BO100" s="43">
        <f t="shared" si="142"/>
        <v>0</v>
      </c>
      <c r="BP100" s="43">
        <f t="shared" si="142"/>
        <v>0</v>
      </c>
      <c r="BQ100" s="43">
        <f t="shared" si="142"/>
        <v>0</v>
      </c>
      <c r="BR100" s="44">
        <f t="shared" si="142"/>
        <v>0</v>
      </c>
      <c r="BS100" s="128">
        <f t="shared" si="126"/>
        <v>39569</v>
      </c>
      <c r="BT100" s="44">
        <f t="shared" si="127"/>
        <v>0</v>
      </c>
      <c r="BU100" s="51"/>
      <c r="BV100" s="51"/>
      <c r="BW100" s="51"/>
      <c r="BX100" s="51"/>
      <c r="BY100" s="51"/>
      <c r="BZ100" s="51"/>
      <c r="CA100" s="51"/>
      <c r="CB100" s="51"/>
      <c r="CC100" s="141">
        <f t="shared" si="143"/>
        <v>36770</v>
      </c>
      <c r="CD100" s="234">
        <f>_xll.xSPRDOPT((VLOOKUP(G100,NGPrices,2,FALSE)+HLOOKUP(D100,Prices,VLOOKUP(G100,move_down,2,FALSE),FALSE)),VLOOKUP(G100,NGPrices,2,FALSE),I100,VLOOKUP(G100,NGPREVPRICES,4,FALSE),HLOOKUP(D100,PREVVOLS,VLOOKUP(G100,MOVE_DOWN2,2,FALSE),FALSE),VLOOKUP(G100,NGPREVPRICES,3,FALSE),HLOOKUP(D100,Correllate,VLOOKUP(G100,CorMove,2,FALSE),FALSE),Q100-$CD$3,R100,$CD$5)*H100-CJ100</f>
        <v>0</v>
      </c>
      <c r="CE100" s="234">
        <f>_xll.xSPRDOPT((VLOOKUP(G100,NGPREVPRICES,2,FALSE)+HLOOKUP(D100,PREVCURVES,VLOOKUP(G100,MOVE_DOWN2,2,FALSE),FALSE)),VLOOKUP(G100,NGPREVPRICES,2,FALSE),CK100,VLOOKUP(G100,NGPrices,4,FALSE),HLOOKUP(D100,PREVVOLS,VLOOKUP(G100,MOVE_DOWN2,2,FALSE),FALSE),VLOOKUP(G100,NGPREVPRICES,3,FALSE),HLOOKUP(D100,Correllate,VLOOKUP(G100,CorMove,2,FALSE),FALSE),Q100-$CD$3,R100,$CJ$5)*H100-CJ100</f>
        <v>0</v>
      </c>
      <c r="CF100" s="10">
        <f t="shared" si="144"/>
        <v>0.47049363588212145</v>
      </c>
      <c r="CG100" s="234">
        <f>_xll.xSPRDOPT((VLOOKUP(G100,NGPREVPRICES,2,FALSE)+HLOOKUP(D100,PREVCURVES,VLOOKUP(G100,MOVE_DOWN2,2,FALSE),FALSE)),VLOOKUP(G100,NGPREVPRICES,2,FALSE),CK100,VLOOKUP(G100,NGPREVPRICES,4,FALSE),HLOOKUP(D100,VOLS,VLOOKUP(G100,move_down,2,FALSE),FALSE),VLOOKUP(G100,NGPrices,3,FALSE),HLOOKUP(D100,Correllate,VLOOKUP(G100,CorMove,2,FALSE),FALSE),Q100-$CD$3,R100,$CJ$5)*H100-CJ100</f>
        <v>0</v>
      </c>
      <c r="CH100" s="234">
        <f>_xll.xSPRDOPT((VLOOKUP(G100,NGPREVPRICES,2,FALSE)+HLOOKUP(D100,PREVCURVES,VLOOKUP(G100,MOVE_DOWN2,2,FALSE),FALSE)),VLOOKUP(G100,NGPREVPRICES,2,FALSE),CK100,VLOOKUP(G100,NGPREVPRICES,4,FALSE),HLOOKUP(D100,PREVVOLS,VLOOKUP(G100,MOVE_DOWN2,2,FALSE),FALSE),VLOOKUP(G100,NGPREVPRICES,3,FALSE),HLOOKUP(D100,Correllate,VLOOKUP(G100,CorMove,2,FALSE),FALSE),Q100-$C$3,R100,$CJ$5)*H100-CJ100</f>
        <v>1028.6354967176499</v>
      </c>
      <c r="CI100" s="234">
        <f t="shared" si="145"/>
        <v>1029.105990353532</v>
      </c>
      <c r="CJ100" s="234">
        <f>_xll.xSPRDOPT((VLOOKUP(G100,NGPREVPRICES,2,FALSE)+HLOOKUP(D100,PREVCURVES,VLOOKUP(G100,MOVE_DOWN2,2,FALSE),FALSE)),VLOOKUP(G100,NGPREVPRICES,2,FALSE),CK100,VLOOKUP(G100,NGPREVPRICES,4,FALSE),HLOOKUP(D100,PREVVOLS,VLOOKUP(G100,MOVE_DOWN2,2,FALSE),FALSE),VLOOKUP(G100,NGPREVPRICES,3,FALSE),HLOOKUP(D100,Correllate,VLOOKUP(G100,CorMove,2,FALSE),FALSE),Q100-$CD$3,R100,$CJ$5)*H100</f>
        <v>-2581.9274564666166</v>
      </c>
      <c r="CK100" s="235">
        <f t="shared" si="146"/>
        <v>0.32</v>
      </c>
      <c r="CL100" s="234"/>
      <c r="CM100" t="str">
        <f t="shared" si="147"/>
        <v>36770Curve Shift/Gamma</v>
      </c>
      <c r="CN100" t="str">
        <f t="shared" si="107"/>
        <v>36770Rho</v>
      </c>
      <c r="CO100" t="str">
        <f t="shared" si="108"/>
        <v>36770Drift</v>
      </c>
      <c r="CP100" t="str">
        <f t="shared" si="109"/>
        <v>36770Vega</v>
      </c>
      <c r="CQ100" t="str">
        <f t="shared" si="110"/>
        <v>36770Theta</v>
      </c>
    </row>
    <row r="101" spans="1:95" ht="12" customHeight="1" x14ac:dyDescent="0.25">
      <c r="A101" s="382" t="s">
        <v>279</v>
      </c>
      <c r="B101" t="s">
        <v>250</v>
      </c>
      <c r="C101" t="s">
        <v>316</v>
      </c>
      <c r="D101" s="4" t="s">
        <v>7</v>
      </c>
      <c r="E101" t="s">
        <v>20</v>
      </c>
      <c r="F101" t="s">
        <v>1</v>
      </c>
      <c r="G101" s="5">
        <v>36800</v>
      </c>
      <c r="H101" s="130">
        <v>-500000</v>
      </c>
      <c r="I101">
        <v>0.32</v>
      </c>
      <c r="J101" s="53">
        <f t="shared" si="113"/>
        <v>4.6920000000000002</v>
      </c>
      <c r="K101" s="7">
        <f t="shared" si="114"/>
        <v>0.41499999999999998</v>
      </c>
      <c r="L101" s="53">
        <f t="shared" si="115"/>
        <v>5.1070000000000002</v>
      </c>
      <c r="M101" s="157">
        <f t="shared" si="101"/>
        <v>6.8050789414654006E-2</v>
      </c>
      <c r="N101" s="4">
        <f t="shared" si="102"/>
        <v>0.57499999999999996</v>
      </c>
      <c r="O101" s="4">
        <f t="shared" si="103"/>
        <v>0.56399999999999995</v>
      </c>
      <c r="P101" s="9">
        <f t="shared" si="104"/>
        <v>0.99250000000000005</v>
      </c>
      <c r="Q101" s="5">
        <f t="shared" si="116"/>
        <v>36797</v>
      </c>
      <c r="R101" s="4">
        <f t="shared" si="105"/>
        <v>0</v>
      </c>
      <c r="S101" s="158">
        <f>_xll.xSPRDOPT($L101,$J101,$I101,$M101,$O101,$N101,$P101,$Q101-$C$3,$R101,0)</f>
        <v>1.044776742546677E-2</v>
      </c>
      <c r="T101" s="159">
        <f>_xll.xSPRDOPT($L101,$J101,$I101,$M101,$O101,$N101,$P101,$Q101-$C$3,$R101,1)*H101</f>
        <v>89206.05130600468</v>
      </c>
      <c r="U101" s="160">
        <f t="shared" si="138"/>
        <v>-5223.8837127333845</v>
      </c>
      <c r="V101" s="159">
        <f>_xll.xSPRDOPT($L101,$J101,$I101,$M101,$O101,$N101,$P101,$Q101-$C$3,$R101,2)*H101</f>
        <v>-91482.805165970349</v>
      </c>
      <c r="W101" s="159">
        <f t="shared" si="106"/>
        <v>-2276.7538599656691</v>
      </c>
      <c r="X101" s="51" t="str">
        <f t="shared" si="117"/>
        <v>36800IF-TRANSCO/Z6</v>
      </c>
      <c r="Y101" s="418">
        <f t="shared" si="118"/>
        <v>-50</v>
      </c>
      <c r="Z101" s="456">
        <f t="shared" si="119"/>
        <v>-0.17841210261200935</v>
      </c>
      <c r="AA101" s="456">
        <f>_xll.xSPRDOPT($L101,$J101,$I101,$M101,$O101,$N101,$P101,$Q101-$C$3,$R101,3)</f>
        <v>2.4449078158410655</v>
      </c>
      <c r="AB101" s="456">
        <f>((_xll.xSPRDOPT($L101+AB$5,$J101,$I101,$M101,$O101,$N101,$P101,$Q101-$C$3,$R101,3)*$H101)/10000)/100</f>
        <v>-1.2224539079205328</v>
      </c>
      <c r="AC101" s="456">
        <f>((_xll.xSPRDOPT($L101+$AB$5,$J101,$I101,$M101,$O101,$N101,$P101,$Q101-$C$3,$R101,7)*$H101)/100)</f>
        <v>7928.6519982422315</v>
      </c>
      <c r="AD101" s="456">
        <f>(_xll.xSPRDOPT($L101+$AB$5,$J101,$I101,$M101,$O101,$N101,$P101,$Q101-$C$3,$R101,9)/365)*$H101</f>
        <v>231.09063737141108</v>
      </c>
      <c r="AE101">
        <f t="shared" si="120"/>
        <v>0</v>
      </c>
      <c r="AF101" s="456">
        <f t="shared" si="121"/>
        <v>-241.98859256767207</v>
      </c>
      <c r="AG101" s="456">
        <f>((_xll.xSPRDOPT($L101,$J101,$I101,$M101,$O101,$N101,$P101,$Q101-$C$3,$R101,6)*$H101)/100)</f>
        <v>559.68548525472897</v>
      </c>
      <c r="AH101" s="456">
        <f>((_xll.xSPRDOPT($L101,$J101,$I101,$M101,$O101,$N101,$P101,$Q101-$C$3,$R101,5)*$H101)/100)</f>
        <v>-817.3095651558167</v>
      </c>
      <c r="AI101" s="456">
        <f>(((_xll.xSPRDOPT($L101,$J101,$I101,$M101,$O101,$N101,$P101,$Q101-$C$3,$R101,4)*$H101)/10000)/100)-AB101</f>
        <v>-3.9995385255830795E-2</v>
      </c>
      <c r="AJ101" s="456"/>
      <c r="AK101" s="456"/>
      <c r="AL101" s="456"/>
      <c r="AM101" s="472"/>
      <c r="AN101" s="128">
        <f t="shared" si="122"/>
        <v>39600</v>
      </c>
      <c r="AO101" s="43">
        <f t="shared" si="141"/>
        <v>0</v>
      </c>
      <c r="AP101" s="43">
        <f t="shared" si="141"/>
        <v>0</v>
      </c>
      <c r="AQ101" s="43">
        <f t="shared" si="141"/>
        <v>0</v>
      </c>
      <c r="AR101" s="43">
        <f t="shared" si="141"/>
        <v>0</v>
      </c>
      <c r="AS101" s="43">
        <f t="shared" si="141"/>
        <v>0</v>
      </c>
      <c r="AT101" s="43">
        <f t="shared" si="141"/>
        <v>0</v>
      </c>
      <c r="AU101" s="43">
        <f t="shared" si="141"/>
        <v>0</v>
      </c>
      <c r="AV101" s="43">
        <f t="shared" si="141"/>
        <v>0</v>
      </c>
      <c r="AW101" s="43">
        <f t="shared" si="141"/>
        <v>0</v>
      </c>
      <c r="AX101" s="43">
        <f t="shared" si="141"/>
        <v>0</v>
      </c>
      <c r="AY101" s="43">
        <f t="shared" si="141"/>
        <v>0</v>
      </c>
      <c r="AZ101" s="43">
        <f t="shared" si="141"/>
        <v>0</v>
      </c>
      <c r="BA101" s="44">
        <f t="shared" si="141"/>
        <v>0</v>
      </c>
      <c r="BB101" s="128">
        <f t="shared" si="123"/>
        <v>39600</v>
      </c>
      <c r="BC101" s="44">
        <f t="shared" si="124"/>
        <v>0</v>
      </c>
      <c r="BD101" s="51"/>
      <c r="BE101" s="128">
        <f t="shared" si="125"/>
        <v>39600</v>
      </c>
      <c r="BF101" s="43">
        <f t="shared" si="142"/>
        <v>0</v>
      </c>
      <c r="BG101" s="43">
        <f t="shared" si="142"/>
        <v>0</v>
      </c>
      <c r="BH101" s="43">
        <f t="shared" si="142"/>
        <v>0</v>
      </c>
      <c r="BI101" s="43">
        <f t="shared" si="142"/>
        <v>0</v>
      </c>
      <c r="BJ101" s="43">
        <f t="shared" si="142"/>
        <v>0</v>
      </c>
      <c r="BK101" s="43">
        <f t="shared" si="142"/>
        <v>0</v>
      </c>
      <c r="BL101" s="43">
        <f t="shared" si="142"/>
        <v>0</v>
      </c>
      <c r="BM101" s="43">
        <f t="shared" si="142"/>
        <v>0</v>
      </c>
      <c r="BN101" s="43">
        <f t="shared" si="142"/>
        <v>0</v>
      </c>
      <c r="BO101" s="43">
        <f t="shared" si="142"/>
        <v>0</v>
      </c>
      <c r="BP101" s="43">
        <f t="shared" si="142"/>
        <v>0</v>
      </c>
      <c r="BQ101" s="43">
        <f t="shared" si="142"/>
        <v>0</v>
      </c>
      <c r="BR101" s="44">
        <f t="shared" si="142"/>
        <v>0</v>
      </c>
      <c r="BS101" s="128">
        <f t="shared" si="126"/>
        <v>39600</v>
      </c>
      <c r="BT101" s="44">
        <f t="shared" si="127"/>
        <v>0</v>
      </c>
      <c r="BU101" s="51"/>
      <c r="BV101" s="51"/>
      <c r="BW101" s="51"/>
      <c r="BX101" s="51"/>
      <c r="BY101" s="51"/>
      <c r="BZ101" s="51"/>
      <c r="CA101" s="51"/>
      <c r="CB101" s="51"/>
      <c r="CC101" s="141">
        <f t="shared" si="143"/>
        <v>36800</v>
      </c>
      <c r="CD101" s="234">
        <f>_xll.xSPRDOPT((VLOOKUP(G101,NGPrices,2,FALSE)+HLOOKUP(D101,Prices,VLOOKUP(G101,move_down,2,FALSE),FALSE)),VLOOKUP(G101,NGPrices,2,FALSE),I101,VLOOKUP(G101,NGPREVPRICES,4,FALSE),HLOOKUP(D101,PREVVOLS,VLOOKUP(G101,MOVE_DOWN2,2,FALSE),FALSE),VLOOKUP(G101,NGPREVPRICES,3,FALSE),HLOOKUP(D101,Correllate,VLOOKUP(G101,CorMove,2,FALSE),FALSE),Q101-$CD$3,R101,$CD$5)*H101-CJ101</f>
        <v>0</v>
      </c>
      <c r="CE101" s="234">
        <f>_xll.xSPRDOPT((VLOOKUP(G101,NGPREVPRICES,2,FALSE)+HLOOKUP(D101,PREVCURVES,VLOOKUP(G101,MOVE_DOWN2,2,FALSE),FALSE)),VLOOKUP(G101,NGPREVPRICES,2,FALSE),CK101,VLOOKUP(G101,NGPrices,4,FALSE),HLOOKUP(D101,PREVVOLS,VLOOKUP(G101,MOVE_DOWN2,2,FALSE),FALSE),VLOOKUP(G101,NGPREVPRICES,3,FALSE),HLOOKUP(D101,Correllate,VLOOKUP(G101,CorMove,2,FALSE),FALSE),Q101-$CD$3,R101,$CJ$5)*H101-CJ101</f>
        <v>0</v>
      </c>
      <c r="CF101" s="10">
        <f t="shared" si="144"/>
        <v>1.0055539989871249</v>
      </c>
      <c r="CG101" s="234">
        <f>_xll.xSPRDOPT((VLOOKUP(G101,NGPREVPRICES,2,FALSE)+HLOOKUP(D101,PREVCURVES,VLOOKUP(G101,MOVE_DOWN2,2,FALSE),FALSE)),VLOOKUP(G101,NGPREVPRICES,2,FALSE),CK101,VLOOKUP(G101,NGPREVPRICES,4,FALSE),HLOOKUP(D101,VOLS,VLOOKUP(G101,move_down,2,FALSE),FALSE),VLOOKUP(G101,NGPrices,3,FALSE),HLOOKUP(D101,Correllate,VLOOKUP(G101,CorMove,2,FALSE),FALSE),Q101-$CD$3,R101,$CJ$5)*H101-CJ101</f>
        <v>0</v>
      </c>
      <c r="CH101" s="234">
        <f>_xll.xSPRDOPT((VLOOKUP(G101,NGPREVPRICES,2,FALSE)+HLOOKUP(D101,PREVCURVES,VLOOKUP(G101,MOVE_DOWN2,2,FALSE),FALSE)),VLOOKUP(G101,NGPREVPRICES,2,FALSE),CK101,VLOOKUP(G101,NGPREVPRICES,4,FALSE),HLOOKUP(D101,PREVVOLS,VLOOKUP(G101,MOVE_DOWN2,2,FALSE),FALSE),VLOOKUP(G101,NGPREVPRICES,3,FALSE),HLOOKUP(D101,Correllate,VLOOKUP(G101,CorMove,2,FALSE),FALSE),Q101-$C$3,R101,$CJ$5)*H101-CJ101</f>
        <v>230.53829250954732</v>
      </c>
      <c r="CI101" s="234">
        <f t="shared" si="145"/>
        <v>231.54384650853444</v>
      </c>
      <c r="CJ101" s="234">
        <f>_xll.xSPRDOPT((VLOOKUP(G101,NGPREVPRICES,2,FALSE)+HLOOKUP(D101,PREVCURVES,VLOOKUP(G101,MOVE_DOWN2,2,FALSE),FALSE)),VLOOKUP(G101,NGPREVPRICES,2,FALSE),CK101,VLOOKUP(G101,NGPREVPRICES,4,FALSE),HLOOKUP(D101,PREVVOLS,VLOOKUP(G101,MOVE_DOWN2,2,FALSE),FALSE),VLOOKUP(G101,NGPREVPRICES,3,FALSE),HLOOKUP(D101,Correllate,VLOOKUP(G101,CorMove,2,FALSE),FALSE),Q101-$CD$3,R101,$CJ$5)*H101</f>
        <v>-5454.4220052429318</v>
      </c>
      <c r="CK101" s="235">
        <f t="shared" si="146"/>
        <v>0.32</v>
      </c>
      <c r="CL101" s="234"/>
      <c r="CM101" t="str">
        <f t="shared" si="147"/>
        <v>36800Curve Shift/Gamma</v>
      </c>
      <c r="CN101" t="str">
        <f t="shared" si="107"/>
        <v>36800Rho</v>
      </c>
      <c r="CO101" t="str">
        <f t="shared" si="108"/>
        <v>36800Drift</v>
      </c>
      <c r="CP101" t="str">
        <f t="shared" si="109"/>
        <v>36800Vega</v>
      </c>
      <c r="CQ101" t="str">
        <f t="shared" si="110"/>
        <v>36800Theta</v>
      </c>
    </row>
    <row r="102" spans="1:95" ht="12" customHeight="1" x14ac:dyDescent="0.25">
      <c r="A102" s="382" t="s">
        <v>279</v>
      </c>
      <c r="B102" t="s">
        <v>250</v>
      </c>
      <c r="C102" t="s">
        <v>316</v>
      </c>
      <c r="D102" s="4" t="s">
        <v>7</v>
      </c>
      <c r="E102" t="s">
        <v>20</v>
      </c>
      <c r="F102" t="s">
        <v>1</v>
      </c>
      <c r="G102" s="5">
        <v>36770</v>
      </c>
      <c r="H102" s="130">
        <v>-500000</v>
      </c>
      <c r="I102">
        <v>0.32</v>
      </c>
      <c r="J102" s="53">
        <f t="shared" si="113"/>
        <v>4.6849999999999996</v>
      </c>
      <c r="K102" s="7">
        <f t="shared" si="114"/>
        <v>0.315</v>
      </c>
      <c r="L102" s="53">
        <f t="shared" si="115"/>
        <v>5</v>
      </c>
      <c r="M102" s="157">
        <f t="shared" si="101"/>
        <v>6.7216196212184998E-2</v>
      </c>
      <c r="N102" s="4">
        <f t="shared" si="102"/>
        <v>0.4</v>
      </c>
      <c r="O102" s="4">
        <f t="shared" si="103"/>
        <v>0.39200000000000002</v>
      </c>
      <c r="P102" s="9">
        <f t="shared" si="104"/>
        <v>0.99250000000000005</v>
      </c>
      <c r="Q102" s="5">
        <f t="shared" si="116"/>
        <v>36768</v>
      </c>
      <c r="R102" s="4">
        <f t="shared" si="105"/>
        <v>0</v>
      </c>
      <c r="S102" s="158">
        <f>_xll.xSPRDOPT($L102,$J102,$I102,$M102,$O102,$N102,$P102,$Q102-$C$3,$R102,0)</f>
        <v>8.1056638645802259E-3</v>
      </c>
      <c r="T102" s="159">
        <f>_xll.xSPRDOPT($L102,$J102,$I102,$M102,$O102,$N102,$P102,$Q102-$C$3,$R102,1)*H102</f>
        <v>323872.56816265173</v>
      </c>
      <c r="U102" s="160">
        <f t="shared" si="138"/>
        <v>-4052.8319322901129</v>
      </c>
      <c r="V102" s="159">
        <f>_xll.xSPRDOPT($L102,$J102,$I102,$M102,$O102,$N102,$P102,$Q102-$C$3,$R102,2)*H102</f>
        <v>-324286.6281073881</v>
      </c>
      <c r="W102" s="159">
        <f t="shared" si="106"/>
        <v>-414.05994473636383</v>
      </c>
      <c r="X102" s="51" t="str">
        <f t="shared" si="117"/>
        <v>36770IF-TRANSCO/Z6</v>
      </c>
      <c r="Y102" s="418">
        <f t="shared" si="118"/>
        <v>-50</v>
      </c>
      <c r="Z102" s="456">
        <f t="shared" si="119"/>
        <v>-0.64774513632530351</v>
      </c>
      <c r="AA102" s="456">
        <f>_xll.xSPRDOPT($L102,$J102,$I102,$M102,$O102,$N102,$P102,$Q102-$C$3,$R102,3)</f>
        <v>28.322335583295395</v>
      </c>
      <c r="AB102" s="456">
        <f>((_xll.xSPRDOPT($L102+AB$5,$J102,$I102,$M102,$O102,$N102,$P102,$Q102-$C$3,$R102,3)*$H102)/10000)/100</f>
        <v>-14.161167791647697</v>
      </c>
      <c r="AC102" s="456">
        <f>((_xll.xSPRDOPT($L102+$AB$5,$J102,$I102,$M102,$O102,$N102,$P102,$Q102-$C$3,$R102,7)*$H102)/100)</f>
        <v>1422.8847790260591</v>
      </c>
      <c r="AD102" s="456">
        <f>(_xll.xSPRDOPT($L102+$AB$5,$J102,$I102,$M102,$O102,$N102,$P102,$Q102-$C$3,$R102,9)/365)*$H102</f>
        <v>1216.0763729581395</v>
      </c>
      <c r="AE102">
        <f t="shared" si="120"/>
        <v>0</v>
      </c>
      <c r="AF102" s="456">
        <f t="shared" si="121"/>
        <v>-60.798796041909867</v>
      </c>
      <c r="AG102" s="456">
        <f>((_xll.xSPRDOPT($L102,$J102,$I102,$M102,$O102,$N102,$P102,$Q102-$C$3,$R102,6)*$H102)/100)</f>
        <v>132.27160779032994</v>
      </c>
      <c r="AH102" s="456">
        <f>((_xll.xSPRDOPT($L102,$J102,$I102,$M102,$O102,$N102,$P102,$Q102-$C$3,$R102,5)*$H102)/100)</f>
        <v>-197.01061615534675</v>
      </c>
      <c r="AI102" s="456">
        <f>(((_xll.xSPRDOPT($L102,$J102,$I102,$M102,$O102,$N102,$P102,$Q102-$C$3,$R102,4)*$H102)/10000)/100)-AB102</f>
        <v>2.3923583275045956E-2</v>
      </c>
      <c r="AJ102" s="456"/>
      <c r="AK102" s="456"/>
      <c r="AL102" s="456"/>
      <c r="AM102" s="472"/>
      <c r="AN102" s="128">
        <f t="shared" si="122"/>
        <v>39630</v>
      </c>
      <c r="AO102" s="43">
        <f t="shared" si="141"/>
        <v>0</v>
      </c>
      <c r="AP102" s="43">
        <f t="shared" si="141"/>
        <v>0</v>
      </c>
      <c r="AQ102" s="43">
        <f t="shared" si="141"/>
        <v>0</v>
      </c>
      <c r="AR102" s="43">
        <f t="shared" si="141"/>
        <v>0</v>
      </c>
      <c r="AS102" s="43">
        <f t="shared" si="141"/>
        <v>0</v>
      </c>
      <c r="AT102" s="43">
        <f t="shared" si="141"/>
        <v>0</v>
      </c>
      <c r="AU102" s="43">
        <f t="shared" si="141"/>
        <v>0</v>
      </c>
      <c r="AV102" s="43">
        <f t="shared" si="141"/>
        <v>0</v>
      </c>
      <c r="AW102" s="43">
        <f t="shared" si="141"/>
        <v>0</v>
      </c>
      <c r="AX102" s="43">
        <f t="shared" si="141"/>
        <v>0</v>
      </c>
      <c r="AY102" s="43">
        <f t="shared" si="141"/>
        <v>0</v>
      </c>
      <c r="AZ102" s="43">
        <f t="shared" si="141"/>
        <v>0</v>
      </c>
      <c r="BA102" s="44">
        <f t="shared" si="141"/>
        <v>0</v>
      </c>
      <c r="BB102" s="128">
        <f t="shared" si="123"/>
        <v>39630</v>
      </c>
      <c r="BC102" s="44">
        <f t="shared" si="124"/>
        <v>0</v>
      </c>
      <c r="BD102" s="51"/>
      <c r="BE102" s="128">
        <f t="shared" si="125"/>
        <v>39630</v>
      </c>
      <c r="BF102" s="43">
        <f t="shared" si="142"/>
        <v>0</v>
      </c>
      <c r="BG102" s="43">
        <f t="shared" si="142"/>
        <v>0</v>
      </c>
      <c r="BH102" s="43">
        <f t="shared" si="142"/>
        <v>0</v>
      </c>
      <c r="BI102" s="43">
        <f t="shared" si="142"/>
        <v>0</v>
      </c>
      <c r="BJ102" s="43">
        <f t="shared" si="142"/>
        <v>0</v>
      </c>
      <c r="BK102" s="43">
        <f t="shared" si="142"/>
        <v>0</v>
      </c>
      <c r="BL102" s="43">
        <f t="shared" si="142"/>
        <v>0</v>
      </c>
      <c r="BM102" s="43">
        <f t="shared" si="142"/>
        <v>0</v>
      </c>
      <c r="BN102" s="43">
        <f t="shared" si="142"/>
        <v>0</v>
      </c>
      <c r="BO102" s="43">
        <f t="shared" si="142"/>
        <v>0</v>
      </c>
      <c r="BP102" s="43">
        <f t="shared" si="142"/>
        <v>0</v>
      </c>
      <c r="BQ102" s="43">
        <f t="shared" si="142"/>
        <v>0</v>
      </c>
      <c r="BR102" s="44">
        <f t="shared" si="142"/>
        <v>0</v>
      </c>
      <c r="BS102" s="128">
        <f t="shared" si="126"/>
        <v>39630</v>
      </c>
      <c r="BT102" s="44">
        <f t="shared" si="127"/>
        <v>0</v>
      </c>
      <c r="BU102" s="51"/>
      <c r="BV102" s="51"/>
      <c r="BW102" s="51"/>
      <c r="BX102" s="51"/>
      <c r="BY102" s="51"/>
      <c r="BZ102" s="51"/>
      <c r="CA102" s="51"/>
      <c r="CB102" s="51"/>
      <c r="CC102" s="141">
        <f t="shared" si="143"/>
        <v>36770</v>
      </c>
      <c r="CD102" s="234">
        <f>_xll.xSPRDOPT((VLOOKUP(G102,NGPrices,2,FALSE)+HLOOKUP(D102,Prices,VLOOKUP(G102,move_down,2,FALSE),FALSE)),VLOOKUP(G102,NGPrices,2,FALSE),I102,VLOOKUP(G102,NGPREVPRICES,4,FALSE),HLOOKUP(D102,PREVVOLS,VLOOKUP(G102,MOVE_DOWN2,2,FALSE),FALSE),VLOOKUP(G102,NGPREVPRICES,3,FALSE),HLOOKUP(D102,Correllate,VLOOKUP(G102,CorMove,2,FALSE),FALSE),Q102-$CD$3,R102,$CD$5)*H102-CJ102</f>
        <v>0</v>
      </c>
      <c r="CE102" s="234">
        <f>_xll.xSPRDOPT((VLOOKUP(G102,NGPREVPRICES,2,FALSE)+HLOOKUP(D102,PREVCURVES,VLOOKUP(G102,MOVE_DOWN2,2,FALSE),FALSE)),VLOOKUP(G102,NGPREVPRICES,2,FALSE),CK102,VLOOKUP(G102,NGPrices,4,FALSE),HLOOKUP(D102,PREVVOLS,VLOOKUP(G102,MOVE_DOWN2,2,FALSE),FALSE),VLOOKUP(G102,NGPREVPRICES,3,FALSE),HLOOKUP(D102,Correllate,VLOOKUP(G102,CorMove,2,FALSE),FALSE),Q102-$CD$3,R102,$CJ$5)*H102-CJ102</f>
        <v>0</v>
      </c>
      <c r="CF102" s="10">
        <f t="shared" si="144"/>
        <v>0.92589033829699474</v>
      </c>
      <c r="CG102" s="234">
        <f>_xll.xSPRDOPT((VLOOKUP(G102,NGPREVPRICES,2,FALSE)+HLOOKUP(D102,PREVCURVES,VLOOKUP(G102,MOVE_DOWN2,2,FALSE),FALSE)),VLOOKUP(G102,NGPREVPRICES,2,FALSE),CK102,VLOOKUP(G102,NGPREVPRICES,4,FALSE),HLOOKUP(D102,VOLS,VLOOKUP(G102,move_down,2,FALSE),FALSE),VLOOKUP(G102,NGPrices,3,FALSE),HLOOKUP(D102,Correllate,VLOOKUP(G102,CorMove,2,FALSE),FALSE),Q102-$CD$3,R102,$CJ$5)*H102-CJ102</f>
        <v>0</v>
      </c>
      <c r="CH102" s="234">
        <f>_xll.xSPRDOPT((VLOOKUP(G102,NGPREVPRICES,2,FALSE)+HLOOKUP(D102,PREVCURVES,VLOOKUP(G102,MOVE_DOWN2,2,FALSE),FALSE)),VLOOKUP(G102,NGPREVPRICES,2,FALSE),CK102,VLOOKUP(G102,NGPREVPRICES,4,FALSE),HLOOKUP(D102,PREVVOLS,VLOOKUP(G102,MOVE_DOWN2,2,FALSE),FALSE),VLOOKUP(G102,NGPREVPRICES,3,FALSE),HLOOKUP(D102,Correllate,VLOOKUP(G102,CorMove,2,FALSE),FALSE),Q102-$C$3,R102,$CJ$5)*H102-CJ102</f>
        <v>1028.1755539083556</v>
      </c>
      <c r="CI102" s="234">
        <f t="shared" si="145"/>
        <v>1029.1014442466526</v>
      </c>
      <c r="CJ102" s="234">
        <f>_xll.xSPRDOPT((VLOOKUP(G102,NGPREVPRICES,2,FALSE)+HLOOKUP(D102,PREVCURVES,VLOOKUP(G102,MOVE_DOWN2,2,FALSE),FALSE)),VLOOKUP(G102,NGPREVPRICES,2,FALSE),CK102,VLOOKUP(G102,NGPREVPRICES,4,FALSE),HLOOKUP(D102,PREVVOLS,VLOOKUP(G102,MOVE_DOWN2,2,FALSE),FALSE),VLOOKUP(G102,NGPREVPRICES,3,FALSE),HLOOKUP(D102,Correllate,VLOOKUP(G102,CorMove,2,FALSE),FALSE),Q102-$CD$3,R102,$CJ$5)*H102</f>
        <v>-5081.0074861984685</v>
      </c>
      <c r="CK102" s="235">
        <f t="shared" si="146"/>
        <v>0.32</v>
      </c>
      <c r="CL102" s="234"/>
      <c r="CM102" t="str">
        <f t="shared" si="147"/>
        <v>36770Curve Shift/Gamma</v>
      </c>
      <c r="CN102" t="str">
        <f t="shared" si="107"/>
        <v>36770Rho</v>
      </c>
      <c r="CO102" t="str">
        <f t="shared" si="108"/>
        <v>36770Drift</v>
      </c>
      <c r="CP102" t="str">
        <f t="shared" si="109"/>
        <v>36770Vega</v>
      </c>
      <c r="CQ102" t="str">
        <f t="shared" si="110"/>
        <v>36770Theta</v>
      </c>
    </row>
    <row r="103" spans="1:95" ht="12" customHeight="1" x14ac:dyDescent="0.25">
      <c r="A103" s="382" t="s">
        <v>279</v>
      </c>
      <c r="B103" t="s">
        <v>250</v>
      </c>
      <c r="C103" t="s">
        <v>317</v>
      </c>
      <c r="D103" s="4" t="s">
        <v>7</v>
      </c>
      <c r="E103" t="s">
        <v>20</v>
      </c>
      <c r="F103" t="s">
        <v>1</v>
      </c>
      <c r="G103" s="5">
        <v>36800</v>
      </c>
      <c r="H103" s="130">
        <v>-250000</v>
      </c>
      <c r="I103">
        <v>0.32</v>
      </c>
      <c r="J103" s="53">
        <f t="shared" ref="J103:J135" si="148">VLOOKUP(G103,NGPrices,2,FALSE)</f>
        <v>4.6920000000000002</v>
      </c>
      <c r="K103" s="7">
        <f t="shared" ref="K103:K135" si="149">HLOOKUP(D103,Prices,VLOOKUP(G103,move_down,2,FALSE),FALSE)+VLOOKUP(G103,CHANGE,HLOOKUP(D103,CHANGE,2,FALSE),FALSE)</f>
        <v>0.41499999999999998</v>
      </c>
      <c r="L103" s="53">
        <f t="shared" ref="L103:L134" si="150">K103+J103</f>
        <v>5.1070000000000002</v>
      </c>
      <c r="M103" s="157">
        <f t="shared" si="101"/>
        <v>6.8050789414654006E-2</v>
      </c>
      <c r="N103" s="4">
        <f t="shared" si="102"/>
        <v>0.57499999999999996</v>
      </c>
      <c r="O103" s="4">
        <f t="shared" si="103"/>
        <v>0.56399999999999995</v>
      </c>
      <c r="P103" s="9">
        <f t="shared" si="104"/>
        <v>0.99250000000000005</v>
      </c>
      <c r="Q103" s="5">
        <f t="shared" si="116"/>
        <v>36797</v>
      </c>
      <c r="R103" s="4">
        <f t="shared" si="105"/>
        <v>0</v>
      </c>
      <c r="S103" s="158">
        <f>_xll.xSPRDOPT($L103,$J103,$I103,$M103,$O103,$N103,$P103,$Q103-$C$3,$R103,0)</f>
        <v>1.044776742546677E-2</v>
      </c>
      <c r="T103" s="159">
        <f>_xll.xSPRDOPT($L103,$J103,$I103,$M103,$O103,$N103,$P103,$Q103-$C$3,$R103,1)*H103</f>
        <v>44603.02565300234</v>
      </c>
      <c r="U103" s="160">
        <f t="shared" si="138"/>
        <v>-2611.9418563666923</v>
      </c>
      <c r="V103" s="159">
        <f>_xll.xSPRDOPT($L103,$J103,$I103,$M103,$O103,$N103,$P103,$Q103-$C$3,$R103,2)*H103</f>
        <v>-45741.402582985174</v>
      </c>
      <c r="W103" s="159">
        <f t="shared" si="106"/>
        <v>-1138.3769299828346</v>
      </c>
      <c r="X103" s="51" t="str">
        <f t="shared" ref="X103:X134" si="151">CONCATENATE(G103,D103)</f>
        <v>36800IF-TRANSCO/Z6</v>
      </c>
      <c r="Y103" s="418">
        <f t="shared" ref="Y103:Y134" si="152">H103/10000</f>
        <v>-25</v>
      </c>
      <c r="Z103" s="456">
        <f t="shared" ref="Z103:Z134" si="153">T103/H103</f>
        <v>-0.17841210261200935</v>
      </c>
      <c r="AA103" s="456">
        <f>_xll.xSPRDOPT($L103,$J103,$I103,$M103,$O103,$N103,$P103,$Q103-$C$3,$R103,3)</f>
        <v>2.4449078158410655</v>
      </c>
      <c r="AB103" s="456">
        <f>((_xll.xSPRDOPT($L103+AB$5,$J103,$I103,$M103,$O103,$N103,$P103,$Q103-$C$3,$R103,3)*$H103)/10000)/100</f>
        <v>-0.61122695396026638</v>
      </c>
      <c r="AC103" s="456">
        <f>((_xll.xSPRDOPT($L103+$AB$5,$J103,$I103,$M103,$O103,$N103,$P103,$Q103-$C$3,$R103,7)*$H103)/100)</f>
        <v>3964.3259991211157</v>
      </c>
      <c r="AD103" s="456">
        <f>(_xll.xSPRDOPT($L103+$AB$5,$J103,$I103,$M103,$O103,$N103,$P103,$Q103-$C$3,$R103,9)/365)*$H103</f>
        <v>115.54531868570554</v>
      </c>
      <c r="AE103">
        <f t="shared" si="120"/>
        <v>0</v>
      </c>
      <c r="AF103" s="456">
        <f t="shared" ref="AF103:AF134" si="154">((O103/N103)*AH103)+AG103</f>
        <v>-120.99429628383604</v>
      </c>
      <c r="AG103" s="456">
        <f>((_xll.xSPRDOPT($L103,$J103,$I103,$M103,$O103,$N103,$P103,$Q103-$C$3,$R103,6)*$H103)/100)</f>
        <v>279.84274262736449</v>
      </c>
      <c r="AH103" s="456">
        <f>((_xll.xSPRDOPT($L103,$J103,$I103,$M103,$O103,$N103,$P103,$Q103-$C$3,$R103,5)*$H103)/100)</f>
        <v>-408.65478257790835</v>
      </c>
      <c r="AI103" s="456">
        <f>(((_xll.xSPRDOPT($L103,$J103,$I103,$M103,$O103,$N103,$P103,$Q103-$C$3,$R103,4)*$H103)/10000)/100)-AB103</f>
        <v>-1.9997692627915398E-2</v>
      </c>
      <c r="AJ103" s="456"/>
      <c r="AK103" s="456"/>
      <c r="AL103" s="456"/>
      <c r="AM103" s="472"/>
      <c r="AN103" s="128">
        <f t="shared" si="122"/>
        <v>39661</v>
      </c>
      <c r="AO103" s="43">
        <f t="shared" si="141"/>
        <v>0</v>
      </c>
      <c r="AP103" s="43">
        <f t="shared" si="141"/>
        <v>0</v>
      </c>
      <c r="AQ103" s="43">
        <f t="shared" si="141"/>
        <v>0</v>
      </c>
      <c r="AR103" s="43">
        <f t="shared" si="141"/>
        <v>0</v>
      </c>
      <c r="AS103" s="43">
        <f t="shared" si="141"/>
        <v>0</v>
      </c>
      <c r="AT103" s="43">
        <f t="shared" si="141"/>
        <v>0</v>
      </c>
      <c r="AU103" s="43">
        <f t="shared" si="141"/>
        <v>0</v>
      </c>
      <c r="AV103" s="43">
        <f t="shared" si="141"/>
        <v>0</v>
      </c>
      <c r="AW103" s="43">
        <f t="shared" si="141"/>
        <v>0</v>
      </c>
      <c r="AX103" s="43">
        <f t="shared" si="141"/>
        <v>0</v>
      </c>
      <c r="AY103" s="43">
        <f t="shared" si="141"/>
        <v>0</v>
      </c>
      <c r="AZ103" s="43">
        <f t="shared" si="141"/>
        <v>0</v>
      </c>
      <c r="BA103" s="44">
        <f t="shared" si="141"/>
        <v>0</v>
      </c>
      <c r="BB103" s="128">
        <f t="shared" si="123"/>
        <v>39661</v>
      </c>
      <c r="BC103" s="44">
        <f t="shared" si="124"/>
        <v>0</v>
      </c>
      <c r="BD103" s="51"/>
      <c r="BE103" s="128">
        <f t="shared" si="125"/>
        <v>39661</v>
      </c>
      <c r="BF103" s="43">
        <f t="shared" si="142"/>
        <v>0</v>
      </c>
      <c r="BG103" s="43">
        <f t="shared" si="142"/>
        <v>0</v>
      </c>
      <c r="BH103" s="43">
        <f t="shared" si="142"/>
        <v>0</v>
      </c>
      <c r="BI103" s="43">
        <f t="shared" si="142"/>
        <v>0</v>
      </c>
      <c r="BJ103" s="43">
        <f t="shared" si="142"/>
        <v>0</v>
      </c>
      <c r="BK103" s="43">
        <f t="shared" si="142"/>
        <v>0</v>
      </c>
      <c r="BL103" s="43">
        <f t="shared" si="142"/>
        <v>0</v>
      </c>
      <c r="BM103" s="43">
        <f t="shared" si="142"/>
        <v>0</v>
      </c>
      <c r="BN103" s="43">
        <f t="shared" si="142"/>
        <v>0</v>
      </c>
      <c r="BO103" s="43">
        <f t="shared" si="142"/>
        <v>0</v>
      </c>
      <c r="BP103" s="43">
        <f t="shared" si="142"/>
        <v>0</v>
      </c>
      <c r="BQ103" s="43">
        <f t="shared" si="142"/>
        <v>0</v>
      </c>
      <c r="BR103" s="44">
        <f t="shared" si="142"/>
        <v>0</v>
      </c>
      <c r="BS103" s="128">
        <f t="shared" si="126"/>
        <v>39661</v>
      </c>
      <c r="BT103" s="44">
        <f t="shared" si="127"/>
        <v>0</v>
      </c>
      <c r="BU103" s="51"/>
      <c r="BV103" s="51"/>
      <c r="BW103" s="51"/>
      <c r="BX103" s="51"/>
      <c r="BY103" s="51"/>
      <c r="BZ103" s="51"/>
      <c r="CA103" s="51"/>
      <c r="CB103" s="51"/>
      <c r="CC103" s="141">
        <f t="shared" si="143"/>
        <v>36800</v>
      </c>
      <c r="CD103" s="234">
        <f>_xll.xSPRDOPT((VLOOKUP(G103,NGPrices,2,FALSE)+HLOOKUP(D103,Prices,VLOOKUP(G103,move_down,2,FALSE),FALSE)),VLOOKUP(G103,NGPrices,2,FALSE),I103,VLOOKUP(G103,NGPREVPRICES,4,FALSE),HLOOKUP(D103,PREVVOLS,VLOOKUP(G103,MOVE_DOWN2,2,FALSE),FALSE),VLOOKUP(G103,NGPREVPRICES,3,FALSE),HLOOKUP(D103,Correllate,VLOOKUP(G103,CorMove,2,FALSE),FALSE),Q103-$CD$3,R103,$CD$5)*H103-CJ103</f>
        <v>0</v>
      </c>
      <c r="CE103" s="234">
        <f>_xll.xSPRDOPT((VLOOKUP(G103,NGPREVPRICES,2,FALSE)+HLOOKUP(D103,PREVCURVES,VLOOKUP(G103,MOVE_DOWN2,2,FALSE),FALSE)),VLOOKUP(G103,NGPREVPRICES,2,FALSE),CK103,VLOOKUP(G103,NGPrices,4,FALSE),HLOOKUP(D103,PREVVOLS,VLOOKUP(G103,MOVE_DOWN2,2,FALSE),FALSE),VLOOKUP(G103,NGPREVPRICES,3,FALSE),HLOOKUP(D103,Correllate,VLOOKUP(G103,CorMove,2,FALSE),FALSE),Q103-$CD$3,R103,$CJ$5)*H103-CJ103</f>
        <v>0</v>
      </c>
      <c r="CF103" s="10">
        <f t="shared" si="144"/>
        <v>0.50277699949356247</v>
      </c>
      <c r="CG103" s="234">
        <f>_xll.xSPRDOPT((VLOOKUP(G103,NGPREVPRICES,2,FALSE)+HLOOKUP(D103,PREVCURVES,VLOOKUP(G103,MOVE_DOWN2,2,FALSE),FALSE)),VLOOKUP(G103,NGPREVPRICES,2,FALSE),CK103,VLOOKUP(G103,NGPREVPRICES,4,FALSE),HLOOKUP(D103,VOLS,VLOOKUP(G103,move_down,2,FALSE),FALSE),VLOOKUP(G103,NGPrices,3,FALSE),HLOOKUP(D103,Correllate,VLOOKUP(G103,CorMove,2,FALSE),FALSE),Q103-$CD$3,R103,$CJ$5)*H103-CJ103</f>
        <v>0</v>
      </c>
      <c r="CH103" s="234">
        <f>_xll.xSPRDOPT((VLOOKUP(G103,NGPREVPRICES,2,FALSE)+HLOOKUP(D103,PREVCURVES,VLOOKUP(G103,MOVE_DOWN2,2,FALSE),FALSE)),VLOOKUP(G103,NGPREVPRICES,2,FALSE),CK103,VLOOKUP(G103,NGPREVPRICES,4,FALSE),HLOOKUP(D103,PREVVOLS,VLOOKUP(G103,MOVE_DOWN2,2,FALSE),FALSE),VLOOKUP(G103,NGPREVPRICES,3,FALSE),HLOOKUP(D103,Correllate,VLOOKUP(G103,CorMove,2,FALSE),FALSE),Q103-$C$3,R103,$CJ$5)*H103-CJ103</f>
        <v>115.26914625477366</v>
      </c>
      <c r="CI103" s="234">
        <f t="shared" si="145"/>
        <v>115.77192325426722</v>
      </c>
      <c r="CJ103" s="234">
        <f>_xll.xSPRDOPT((VLOOKUP(G103,NGPREVPRICES,2,FALSE)+HLOOKUP(D103,PREVCURVES,VLOOKUP(G103,MOVE_DOWN2,2,FALSE),FALSE)),VLOOKUP(G103,NGPREVPRICES,2,FALSE),CK103,VLOOKUP(G103,NGPREVPRICES,4,FALSE),HLOOKUP(D103,PREVVOLS,VLOOKUP(G103,MOVE_DOWN2,2,FALSE),FALSE),VLOOKUP(G103,NGPREVPRICES,3,FALSE),HLOOKUP(D103,Correllate,VLOOKUP(G103,CorMove,2,FALSE),FALSE),Q103-$CD$3,R103,$CJ$5)*H103</f>
        <v>-2727.2110026214659</v>
      </c>
      <c r="CK103" s="235">
        <f t="shared" si="146"/>
        <v>0.32</v>
      </c>
      <c r="CL103" s="234"/>
      <c r="CM103" t="str">
        <f t="shared" si="147"/>
        <v>36800Curve Shift/Gamma</v>
      </c>
      <c r="CN103" t="str">
        <f t="shared" si="107"/>
        <v>36800Rho</v>
      </c>
      <c r="CO103" t="str">
        <f t="shared" si="108"/>
        <v>36800Drift</v>
      </c>
      <c r="CP103" t="str">
        <f t="shared" si="109"/>
        <v>36800Vega</v>
      </c>
      <c r="CQ103" t="str">
        <f t="shared" si="110"/>
        <v>36800Theta</v>
      </c>
    </row>
    <row r="104" spans="1:95" ht="12" customHeight="1" x14ac:dyDescent="0.25">
      <c r="A104" s="382" t="s">
        <v>279</v>
      </c>
      <c r="B104" t="s">
        <v>250</v>
      </c>
      <c r="C104" t="s">
        <v>317</v>
      </c>
      <c r="D104" s="4" t="s">
        <v>7</v>
      </c>
      <c r="E104" t="s">
        <v>20</v>
      </c>
      <c r="F104" t="s">
        <v>1</v>
      </c>
      <c r="G104" s="5">
        <v>36770</v>
      </c>
      <c r="H104" s="130">
        <v>-250000</v>
      </c>
      <c r="I104">
        <v>0.32</v>
      </c>
      <c r="J104" s="53">
        <f t="shared" si="148"/>
        <v>4.6849999999999996</v>
      </c>
      <c r="K104" s="7">
        <f t="shared" si="149"/>
        <v>0.315</v>
      </c>
      <c r="L104" s="53">
        <f t="shared" si="150"/>
        <v>5</v>
      </c>
      <c r="M104" s="157">
        <f t="shared" si="101"/>
        <v>6.7216196212184998E-2</v>
      </c>
      <c r="N104" s="4">
        <f t="shared" si="102"/>
        <v>0.4</v>
      </c>
      <c r="O104" s="4">
        <f t="shared" si="103"/>
        <v>0.39200000000000002</v>
      </c>
      <c r="P104" s="9">
        <f t="shared" si="104"/>
        <v>0.99250000000000005</v>
      </c>
      <c r="Q104" s="5">
        <f t="shared" si="116"/>
        <v>36768</v>
      </c>
      <c r="R104" s="4">
        <f t="shared" si="105"/>
        <v>0</v>
      </c>
      <c r="S104" s="158">
        <f>_xll.xSPRDOPT($L104,$J104,$I104,$M104,$O104,$N104,$P104,$Q104-$C$3,$R104,0)</f>
        <v>8.1056638645802259E-3</v>
      </c>
      <c r="T104" s="159">
        <f>_xll.xSPRDOPT($L104,$J104,$I104,$M104,$O104,$N104,$P104,$Q104-$C$3,$R104,1)*H104</f>
        <v>161936.28408132587</v>
      </c>
      <c r="U104" s="160">
        <f t="shared" si="138"/>
        <v>-2026.4159661450565</v>
      </c>
      <c r="V104" s="159">
        <f>_xll.xSPRDOPT($L104,$J104,$I104,$M104,$O104,$N104,$P104,$Q104-$C$3,$R104,2)*H104</f>
        <v>-162143.31405369405</v>
      </c>
      <c r="W104" s="159">
        <f t="shared" si="106"/>
        <v>-207.02997236818192</v>
      </c>
      <c r="X104" s="51" t="str">
        <f t="shared" si="151"/>
        <v>36770IF-TRANSCO/Z6</v>
      </c>
      <c r="Y104" s="418">
        <f t="shared" si="152"/>
        <v>-25</v>
      </c>
      <c r="Z104" s="456">
        <f t="shared" si="153"/>
        <v>-0.64774513632530351</v>
      </c>
      <c r="AA104" s="456">
        <f>_xll.xSPRDOPT($L104,$J104,$I104,$M104,$O104,$N104,$P104,$Q104-$C$3,$R104,3)</f>
        <v>28.322335583295395</v>
      </c>
      <c r="AB104" s="456">
        <f>((_xll.xSPRDOPT($L104+AB$5,$J104,$I104,$M104,$O104,$N104,$P104,$Q104-$C$3,$R104,3)*$H104)/10000)/100</f>
        <v>-7.0805838958238487</v>
      </c>
      <c r="AC104" s="456">
        <f>((_xll.xSPRDOPT($L104+$AB$5,$J104,$I104,$M104,$O104,$N104,$P104,$Q104-$C$3,$R104,7)*$H104)/100)</f>
        <v>711.44238951302953</v>
      </c>
      <c r="AD104" s="456">
        <f>(_xll.xSPRDOPT($L104+$AB$5,$J104,$I104,$M104,$O104,$N104,$P104,$Q104-$C$3,$R104,9)/365)*$H104</f>
        <v>608.03818647906974</v>
      </c>
      <c r="AE104">
        <f t="shared" si="120"/>
        <v>0</v>
      </c>
      <c r="AF104" s="456">
        <f t="shared" si="154"/>
        <v>-30.399398020954933</v>
      </c>
      <c r="AG104" s="456">
        <f>((_xll.xSPRDOPT($L104,$J104,$I104,$M104,$O104,$N104,$P104,$Q104-$C$3,$R104,6)*$H104)/100)</f>
        <v>66.135803895164969</v>
      </c>
      <c r="AH104" s="456">
        <f>((_xll.xSPRDOPT($L104,$J104,$I104,$M104,$O104,$N104,$P104,$Q104-$C$3,$R104,5)*$H104)/100)</f>
        <v>-98.505308077673376</v>
      </c>
      <c r="AI104" s="456">
        <f>(((_xll.xSPRDOPT($L104,$J104,$I104,$M104,$O104,$N104,$P104,$Q104-$C$3,$R104,4)*$H104)/10000)/100)-AB104</f>
        <v>1.1961791637522978E-2</v>
      </c>
      <c r="AJ104" s="456"/>
      <c r="AK104" s="456"/>
      <c r="AL104" s="456"/>
      <c r="AM104" s="472"/>
      <c r="AN104" s="128">
        <f t="shared" ref="AN104:AN135" si="155">EOMONTH(AN103,0)+1</f>
        <v>39692</v>
      </c>
      <c r="AO104" s="43">
        <f t="shared" si="141"/>
        <v>0</v>
      </c>
      <c r="AP104" s="43">
        <f t="shared" si="141"/>
        <v>0</v>
      </c>
      <c r="AQ104" s="43">
        <f t="shared" si="141"/>
        <v>0</v>
      </c>
      <c r="AR104" s="43">
        <f t="shared" si="141"/>
        <v>0</v>
      </c>
      <c r="AS104" s="43">
        <f t="shared" si="141"/>
        <v>0</v>
      </c>
      <c r="AT104" s="43">
        <f t="shared" si="141"/>
        <v>0</v>
      </c>
      <c r="AU104" s="43">
        <f t="shared" si="141"/>
        <v>0</v>
      </c>
      <c r="AV104" s="43">
        <f t="shared" si="141"/>
        <v>0</v>
      </c>
      <c r="AW104" s="43">
        <f t="shared" si="141"/>
        <v>0</v>
      </c>
      <c r="AX104" s="43">
        <f t="shared" si="141"/>
        <v>0</v>
      </c>
      <c r="AY104" s="43">
        <f t="shared" si="141"/>
        <v>0</v>
      </c>
      <c r="AZ104" s="43">
        <f t="shared" si="141"/>
        <v>0</v>
      </c>
      <c r="BA104" s="44">
        <f t="shared" si="141"/>
        <v>0</v>
      </c>
      <c r="BB104" s="128">
        <f t="shared" ref="BB104:BB135" si="156">EOMONTH(BB103,0)+1</f>
        <v>39692</v>
      </c>
      <c r="BC104" s="44">
        <f t="shared" si="124"/>
        <v>0</v>
      </c>
      <c r="BD104" s="51"/>
      <c r="BE104" s="128">
        <f t="shared" ref="BE104:BE135" si="157">EOMONTH(BE103,0)+1</f>
        <v>39692</v>
      </c>
      <c r="BF104" s="43">
        <f t="shared" si="142"/>
        <v>0</v>
      </c>
      <c r="BG104" s="43">
        <f t="shared" si="142"/>
        <v>0</v>
      </c>
      <c r="BH104" s="43">
        <f t="shared" si="142"/>
        <v>0</v>
      </c>
      <c r="BI104" s="43">
        <f t="shared" si="142"/>
        <v>0</v>
      </c>
      <c r="BJ104" s="43">
        <f t="shared" si="142"/>
        <v>0</v>
      </c>
      <c r="BK104" s="43">
        <f t="shared" si="142"/>
        <v>0</v>
      </c>
      <c r="BL104" s="43">
        <f t="shared" si="142"/>
        <v>0</v>
      </c>
      <c r="BM104" s="43">
        <f t="shared" si="142"/>
        <v>0</v>
      </c>
      <c r="BN104" s="43">
        <f t="shared" si="142"/>
        <v>0</v>
      </c>
      <c r="BO104" s="43">
        <f t="shared" si="142"/>
        <v>0</v>
      </c>
      <c r="BP104" s="43">
        <f t="shared" si="142"/>
        <v>0</v>
      </c>
      <c r="BQ104" s="43">
        <f t="shared" si="142"/>
        <v>0</v>
      </c>
      <c r="BR104" s="44">
        <f t="shared" si="142"/>
        <v>0</v>
      </c>
      <c r="BS104" s="128">
        <f t="shared" ref="BS104:BS135" si="158">EOMONTH(BS103,0)+1</f>
        <v>39692</v>
      </c>
      <c r="BT104" s="44">
        <f t="shared" si="127"/>
        <v>0</v>
      </c>
      <c r="BU104" s="51"/>
      <c r="BV104" s="51"/>
      <c r="BW104" s="51"/>
      <c r="BX104" s="51"/>
      <c r="BY104" s="51"/>
      <c r="BZ104" s="51"/>
      <c r="CA104" s="51"/>
      <c r="CB104" s="51"/>
      <c r="CC104" s="141">
        <f t="shared" si="143"/>
        <v>36770</v>
      </c>
      <c r="CD104" s="234">
        <f>_xll.xSPRDOPT((VLOOKUP(G104,NGPrices,2,FALSE)+HLOOKUP(D104,Prices,VLOOKUP(G104,move_down,2,FALSE),FALSE)),VLOOKUP(G104,NGPrices,2,FALSE),I104,VLOOKUP(G104,NGPREVPRICES,4,FALSE),HLOOKUP(D104,PREVVOLS,VLOOKUP(G104,MOVE_DOWN2,2,FALSE),FALSE),VLOOKUP(G104,NGPREVPRICES,3,FALSE),HLOOKUP(D104,Correllate,VLOOKUP(G104,CorMove,2,FALSE),FALSE),Q104-$CD$3,R104,$CD$5)*H104-CJ104</f>
        <v>0</v>
      </c>
      <c r="CE104" s="234">
        <f>_xll.xSPRDOPT((VLOOKUP(G104,NGPREVPRICES,2,FALSE)+HLOOKUP(D104,PREVCURVES,VLOOKUP(G104,MOVE_DOWN2,2,FALSE),FALSE)),VLOOKUP(G104,NGPREVPRICES,2,FALSE),CK104,VLOOKUP(G104,NGPrices,4,FALSE),HLOOKUP(D104,PREVVOLS,VLOOKUP(G104,MOVE_DOWN2,2,FALSE),FALSE),VLOOKUP(G104,NGPREVPRICES,3,FALSE),HLOOKUP(D104,Correllate,VLOOKUP(G104,CorMove,2,FALSE),FALSE),Q104-$CD$3,R104,$CJ$5)*H104-CJ104</f>
        <v>0</v>
      </c>
      <c r="CF104" s="10">
        <f t="shared" si="144"/>
        <v>0.46294516914849737</v>
      </c>
      <c r="CG104" s="234">
        <f>_xll.xSPRDOPT((VLOOKUP(G104,NGPREVPRICES,2,FALSE)+HLOOKUP(D104,PREVCURVES,VLOOKUP(G104,MOVE_DOWN2,2,FALSE),FALSE)),VLOOKUP(G104,NGPREVPRICES,2,FALSE),CK104,VLOOKUP(G104,NGPREVPRICES,4,FALSE),HLOOKUP(D104,VOLS,VLOOKUP(G104,move_down,2,FALSE),FALSE),VLOOKUP(G104,NGPrices,3,FALSE),HLOOKUP(D104,Correllate,VLOOKUP(G104,CorMove,2,FALSE),FALSE),Q104-$CD$3,R104,$CJ$5)*H104-CJ104</f>
        <v>0</v>
      </c>
      <c r="CH104" s="234">
        <f>_xll.xSPRDOPT((VLOOKUP(G104,NGPREVPRICES,2,FALSE)+HLOOKUP(D104,PREVCURVES,VLOOKUP(G104,MOVE_DOWN2,2,FALSE),FALSE)),VLOOKUP(G104,NGPREVPRICES,2,FALSE),CK104,VLOOKUP(G104,NGPREVPRICES,4,FALSE),HLOOKUP(D104,PREVVOLS,VLOOKUP(G104,MOVE_DOWN2,2,FALSE),FALSE),VLOOKUP(G104,NGPREVPRICES,3,FALSE),HLOOKUP(D104,Correllate,VLOOKUP(G104,CorMove,2,FALSE),FALSE),Q104-$C$3,R104,$CJ$5)*H104-CJ104</f>
        <v>514.0877769541778</v>
      </c>
      <c r="CI104" s="234">
        <f t="shared" si="145"/>
        <v>514.5507221233263</v>
      </c>
      <c r="CJ104" s="234">
        <f>_xll.xSPRDOPT((VLOOKUP(G104,NGPREVPRICES,2,FALSE)+HLOOKUP(D104,PREVCURVES,VLOOKUP(G104,MOVE_DOWN2,2,FALSE),FALSE)),VLOOKUP(G104,NGPREVPRICES,2,FALSE),CK104,VLOOKUP(G104,NGPREVPRICES,4,FALSE),HLOOKUP(D104,PREVVOLS,VLOOKUP(G104,MOVE_DOWN2,2,FALSE),FALSE),VLOOKUP(G104,NGPREVPRICES,3,FALSE),HLOOKUP(D104,Correllate,VLOOKUP(G104,CorMove,2,FALSE),FALSE),Q104-$CD$3,R104,$CJ$5)*H104</f>
        <v>-2540.5037430992343</v>
      </c>
      <c r="CK104" s="235">
        <f t="shared" si="146"/>
        <v>0.32</v>
      </c>
      <c r="CL104" s="234"/>
      <c r="CM104" t="str">
        <f t="shared" si="147"/>
        <v>36770Curve Shift/Gamma</v>
      </c>
      <c r="CN104" t="str">
        <f t="shared" si="107"/>
        <v>36770Rho</v>
      </c>
      <c r="CO104" t="str">
        <f t="shared" si="108"/>
        <v>36770Drift</v>
      </c>
      <c r="CP104" t="str">
        <f t="shared" si="109"/>
        <v>36770Vega</v>
      </c>
      <c r="CQ104" t="str">
        <f t="shared" si="110"/>
        <v>36770Theta</v>
      </c>
    </row>
    <row r="105" spans="1:95" ht="12" customHeight="1" x14ac:dyDescent="0.25">
      <c r="A105" s="382" t="s">
        <v>279</v>
      </c>
      <c r="B105" t="s">
        <v>250</v>
      </c>
      <c r="C105" t="s">
        <v>318</v>
      </c>
      <c r="D105" s="4" t="s">
        <v>7</v>
      </c>
      <c r="E105" t="s">
        <v>20</v>
      </c>
      <c r="F105" t="s">
        <v>1</v>
      </c>
      <c r="G105" s="5">
        <v>36800</v>
      </c>
      <c r="H105" s="130">
        <v>-250000</v>
      </c>
      <c r="I105">
        <v>0.26</v>
      </c>
      <c r="J105" s="53">
        <f t="shared" si="148"/>
        <v>4.6920000000000002</v>
      </c>
      <c r="K105" s="7">
        <f t="shared" si="149"/>
        <v>0.41499999999999998</v>
      </c>
      <c r="L105" s="53">
        <f t="shared" si="150"/>
        <v>5.1070000000000002</v>
      </c>
      <c r="M105" s="157">
        <f t="shared" si="101"/>
        <v>6.8050789414654006E-2</v>
      </c>
      <c r="N105" s="4">
        <f t="shared" si="102"/>
        <v>0.57499999999999996</v>
      </c>
      <c r="O105" s="4">
        <f t="shared" si="103"/>
        <v>0.56399999999999995</v>
      </c>
      <c r="P105" s="9">
        <f t="shared" si="104"/>
        <v>0.99250000000000005</v>
      </c>
      <c r="Q105" s="5">
        <f t="shared" si="116"/>
        <v>36797</v>
      </c>
      <c r="R105" s="4">
        <f t="shared" si="105"/>
        <v>0</v>
      </c>
      <c r="S105" s="158">
        <f>_xll.xSPRDOPT($L105,$J105,$I105,$M105,$O105,$N105,$P105,$Q105-$C$3,$R105,0)</f>
        <v>2.8497718387362481E-3</v>
      </c>
      <c r="T105" s="159">
        <f>_xll.xSPRDOPT($L105,$J105,$I105,$M105,$O105,$N105,$P105,$Q105-$C$3,$R105,1)*H105</f>
        <v>15637.872798470675</v>
      </c>
      <c r="U105" s="160">
        <f t="shared" si="138"/>
        <v>-712.44295968406198</v>
      </c>
      <c r="V105" s="159">
        <f>_xll.xSPRDOPT($L105,$J105,$I105,$M105,$O105,$N105,$P105,$Q105-$C$3,$R105,2)*H105</f>
        <v>-16203.991224419067</v>
      </c>
      <c r="W105" s="159">
        <f t="shared" si="106"/>
        <v>-566.11842594839254</v>
      </c>
      <c r="X105" s="51" t="str">
        <f t="shared" si="151"/>
        <v>36800IF-TRANSCO/Z6</v>
      </c>
      <c r="Y105" s="418">
        <f t="shared" si="152"/>
        <v>-25</v>
      </c>
      <c r="Z105" s="456">
        <f t="shared" si="153"/>
        <v>-6.2551491193882702E-2</v>
      </c>
      <c r="AA105" s="456">
        <f>_xll.xSPRDOPT($L105,$J105,$I105,$M105,$O105,$N105,$P105,$Q105-$C$3,$R105,3)</f>
        <v>1.1827223197940524</v>
      </c>
      <c r="AB105" s="456">
        <f>((_xll.xSPRDOPT($L105+AB$5,$J105,$I105,$M105,$O105,$N105,$P105,$Q105-$C$3,$R105,3)*$H105)/10000)/100</f>
        <v>-0.2956805799485131</v>
      </c>
      <c r="AC105" s="456">
        <f>((_xll.xSPRDOPT($L105+$AB$5,$J105,$I105,$M105,$O105,$N105,$P105,$Q105-$C$3,$R105,7)*$H105)/100)</f>
        <v>1940.4465516530365</v>
      </c>
      <c r="AD105" s="456">
        <f>(_xll.xSPRDOPT($L105+$AB$5,$J105,$I105,$M105,$O105,$N105,$P105,$Q105-$C$3,$R105,9)/365)*$H105</f>
        <v>53.26516279862517</v>
      </c>
      <c r="AE105">
        <f t="shared" si="120"/>
        <v>0</v>
      </c>
      <c r="AF105" s="456">
        <f t="shared" si="154"/>
        <v>-55.681512542926214</v>
      </c>
      <c r="AG105" s="456">
        <f>((_xll.xSPRDOPT($L105,$J105,$I105,$M105,$O105,$N105,$P105,$Q105-$C$3,$R105,6)*$H105)/100)</f>
        <v>99.026042801518827</v>
      </c>
      <c r="AH105" s="456">
        <f>((_xll.xSPRDOPT($L105,$J105,$I105,$M105,$O105,$N105,$P105,$Q105-$C$3,$R105,5)*$H105)/100)</f>
        <v>-157.724901282014</v>
      </c>
      <c r="AI105" s="456">
        <f>(((_xll.xSPRDOPT($L105,$J105,$I105,$M105,$O105,$N105,$P105,$Q105-$C$3,$R105,4)*$H105)/10000)/100)-AB105</f>
        <v>-1.6939006410003232E-2</v>
      </c>
      <c r="AJ105" s="456"/>
      <c r="AK105" s="456"/>
      <c r="AL105" s="456"/>
      <c r="AM105" s="472"/>
      <c r="AN105" s="128">
        <f t="shared" si="155"/>
        <v>39722</v>
      </c>
      <c r="AO105" s="43">
        <f t="shared" si="141"/>
        <v>0</v>
      </c>
      <c r="AP105" s="43">
        <f t="shared" si="141"/>
        <v>0</v>
      </c>
      <c r="AQ105" s="43">
        <f t="shared" si="141"/>
        <v>0</v>
      </c>
      <c r="AR105" s="43">
        <f t="shared" si="141"/>
        <v>0</v>
      </c>
      <c r="AS105" s="43">
        <f t="shared" si="141"/>
        <v>0</v>
      </c>
      <c r="AT105" s="43">
        <f t="shared" si="141"/>
        <v>0</v>
      </c>
      <c r="AU105" s="43">
        <f t="shared" si="141"/>
        <v>0</v>
      </c>
      <c r="AV105" s="43">
        <f t="shared" si="141"/>
        <v>0</v>
      </c>
      <c r="AW105" s="43">
        <f t="shared" si="141"/>
        <v>0</v>
      </c>
      <c r="AX105" s="43">
        <f t="shared" si="141"/>
        <v>0</v>
      </c>
      <c r="AY105" s="43">
        <f t="shared" si="141"/>
        <v>0</v>
      </c>
      <c r="AZ105" s="43">
        <f t="shared" si="141"/>
        <v>0</v>
      </c>
      <c r="BA105" s="44">
        <f t="shared" si="141"/>
        <v>0</v>
      </c>
      <c r="BB105" s="128">
        <f t="shared" si="156"/>
        <v>39722</v>
      </c>
      <c r="BC105" s="44">
        <f t="shared" si="124"/>
        <v>0</v>
      </c>
      <c r="BD105" s="51"/>
      <c r="BE105" s="128">
        <f t="shared" si="157"/>
        <v>39722</v>
      </c>
      <c r="BF105" s="43">
        <f t="shared" si="142"/>
        <v>0</v>
      </c>
      <c r="BG105" s="43">
        <f t="shared" si="142"/>
        <v>0</v>
      </c>
      <c r="BH105" s="43">
        <f t="shared" si="142"/>
        <v>0</v>
      </c>
      <c r="BI105" s="43">
        <f t="shared" si="142"/>
        <v>0</v>
      </c>
      <c r="BJ105" s="43">
        <f t="shared" si="142"/>
        <v>0</v>
      </c>
      <c r="BK105" s="43">
        <f t="shared" si="142"/>
        <v>0</v>
      </c>
      <c r="BL105" s="43">
        <f t="shared" si="142"/>
        <v>0</v>
      </c>
      <c r="BM105" s="43">
        <f t="shared" si="142"/>
        <v>0</v>
      </c>
      <c r="BN105" s="43">
        <f t="shared" si="142"/>
        <v>0</v>
      </c>
      <c r="BO105" s="43">
        <f t="shared" si="142"/>
        <v>0</v>
      </c>
      <c r="BP105" s="43">
        <f t="shared" si="142"/>
        <v>0</v>
      </c>
      <c r="BQ105" s="43">
        <f t="shared" si="142"/>
        <v>0</v>
      </c>
      <c r="BR105" s="44">
        <f t="shared" si="142"/>
        <v>0</v>
      </c>
      <c r="BS105" s="128">
        <f t="shared" si="158"/>
        <v>39722</v>
      </c>
      <c r="BT105" s="44">
        <f t="shared" si="127"/>
        <v>0</v>
      </c>
      <c r="BU105" s="51"/>
      <c r="BV105" s="51"/>
      <c r="BW105" s="51"/>
      <c r="BX105" s="51"/>
      <c r="BY105" s="51"/>
      <c r="BZ105" s="51"/>
      <c r="CA105" s="51"/>
      <c r="CB105" s="51"/>
      <c r="CC105" s="141">
        <f t="shared" si="143"/>
        <v>36800</v>
      </c>
      <c r="CD105" s="234">
        <f>_xll.xSPRDOPT((VLOOKUP(G105,NGPrices,2,FALSE)+HLOOKUP(D105,Prices,VLOOKUP(G105,move_down,2,FALSE),FALSE)),VLOOKUP(G105,NGPrices,2,FALSE),I105,VLOOKUP(G105,NGPREVPRICES,4,FALSE),HLOOKUP(D105,PREVVOLS,VLOOKUP(G105,MOVE_DOWN2,2,FALSE),FALSE),VLOOKUP(G105,NGPREVPRICES,3,FALSE),HLOOKUP(D105,Correllate,VLOOKUP(G105,CorMove,2,FALSE),FALSE),Q105-$CD$3,R105,$CD$5)*H105-CJ105</f>
        <v>0</v>
      </c>
      <c r="CE105" s="234">
        <f>_xll.xSPRDOPT((VLOOKUP(G105,NGPREVPRICES,2,FALSE)+HLOOKUP(D105,PREVCURVES,VLOOKUP(G105,MOVE_DOWN2,2,FALSE),FALSE)),VLOOKUP(G105,NGPREVPRICES,2,FALSE),CK105,VLOOKUP(G105,NGPrices,4,FALSE),HLOOKUP(D105,PREVVOLS,VLOOKUP(G105,MOVE_DOWN2,2,FALSE),FALSE),VLOOKUP(G105,NGPREVPRICES,3,FALSE),HLOOKUP(D105,Correllate,VLOOKUP(G105,CorMove,2,FALSE),FALSE),Q105-$CD$3,R105,$CJ$5)*H105-CJ105</f>
        <v>0</v>
      </c>
      <c r="CF105" s="10">
        <f t="shared" si="144"/>
        <v>0.14125969959798113</v>
      </c>
      <c r="CG105" s="234">
        <f>_xll.xSPRDOPT((VLOOKUP(G105,NGPREVPRICES,2,FALSE)+HLOOKUP(D105,PREVCURVES,VLOOKUP(G105,MOVE_DOWN2,2,FALSE),FALSE)),VLOOKUP(G105,NGPREVPRICES,2,FALSE),CK105,VLOOKUP(G105,NGPREVPRICES,4,FALSE),HLOOKUP(D105,VOLS,VLOOKUP(G105,move_down,2,FALSE),FALSE),VLOOKUP(G105,NGPrices,3,FALSE),HLOOKUP(D105,Correllate,VLOOKUP(G105,CorMove,2,FALSE),FALSE),Q105-$CD$3,R105,$CJ$5)*H105-CJ105</f>
        <v>0</v>
      </c>
      <c r="CH105" s="234">
        <f>_xll.xSPRDOPT((VLOOKUP(G105,NGPREVPRICES,2,FALSE)+HLOOKUP(D105,PREVCURVES,VLOOKUP(G105,MOVE_DOWN2,2,FALSE),FALSE)),VLOOKUP(G105,NGPREVPRICES,2,FALSE),CK105,VLOOKUP(G105,NGPREVPRICES,4,FALSE),HLOOKUP(D105,PREVVOLS,VLOOKUP(G105,MOVE_DOWN2,2,FALSE),FALSE),VLOOKUP(G105,NGPREVPRICES,3,FALSE),HLOOKUP(D105,Correllate,VLOOKUP(G105,CorMove,2,FALSE),FALSE),Q105-$C$3,R105,$CJ$5)*H105-CJ105</f>
        <v>53.791389458060507</v>
      </c>
      <c r="CI105" s="234">
        <f t="shared" si="145"/>
        <v>53.932649157658489</v>
      </c>
      <c r="CJ105" s="234">
        <f>_xll.xSPRDOPT((VLOOKUP(G105,NGPREVPRICES,2,FALSE)+HLOOKUP(D105,PREVCURVES,VLOOKUP(G105,MOVE_DOWN2,2,FALSE),FALSE)),VLOOKUP(G105,NGPREVPRICES,2,FALSE),CK105,VLOOKUP(G105,NGPREVPRICES,4,FALSE),HLOOKUP(D105,PREVVOLS,VLOOKUP(G105,MOVE_DOWN2,2,FALSE),FALSE),VLOOKUP(G105,NGPREVPRICES,3,FALSE),HLOOKUP(D105,Correllate,VLOOKUP(G105,CorMove,2,FALSE),FALSE),Q105-$CD$3,R105,$CJ$5)*H105</f>
        <v>-766.23434914212248</v>
      </c>
      <c r="CK105" s="235">
        <f t="shared" si="146"/>
        <v>0.26</v>
      </c>
      <c r="CL105" s="234"/>
      <c r="CM105" t="str">
        <f t="shared" si="147"/>
        <v>36800Curve Shift/Gamma</v>
      </c>
      <c r="CN105" t="str">
        <f t="shared" si="107"/>
        <v>36800Rho</v>
      </c>
      <c r="CO105" t="str">
        <f t="shared" si="108"/>
        <v>36800Drift</v>
      </c>
      <c r="CP105" t="str">
        <f t="shared" si="109"/>
        <v>36800Vega</v>
      </c>
      <c r="CQ105" t="str">
        <f t="shared" si="110"/>
        <v>36800Theta</v>
      </c>
    </row>
    <row r="106" spans="1:95" ht="12" customHeight="1" x14ac:dyDescent="0.25">
      <c r="A106" s="382" t="s">
        <v>279</v>
      </c>
      <c r="B106" t="s">
        <v>250</v>
      </c>
      <c r="C106" t="s">
        <v>318</v>
      </c>
      <c r="D106" s="4" t="s">
        <v>7</v>
      </c>
      <c r="E106" t="s">
        <v>20</v>
      </c>
      <c r="F106" t="s">
        <v>1</v>
      </c>
      <c r="G106" s="5">
        <v>36770</v>
      </c>
      <c r="H106" s="130">
        <v>-250000</v>
      </c>
      <c r="I106">
        <v>0.26</v>
      </c>
      <c r="J106" s="53">
        <f t="shared" si="148"/>
        <v>4.6849999999999996</v>
      </c>
      <c r="K106" s="7">
        <f t="shared" si="149"/>
        <v>0.315</v>
      </c>
      <c r="L106" s="53">
        <f t="shared" si="150"/>
        <v>5</v>
      </c>
      <c r="M106" s="157">
        <f t="shared" si="101"/>
        <v>6.7216196212184998E-2</v>
      </c>
      <c r="N106" s="4">
        <f t="shared" si="102"/>
        <v>0.4</v>
      </c>
      <c r="O106" s="4">
        <f t="shared" si="103"/>
        <v>0.39200000000000002</v>
      </c>
      <c r="P106" s="9">
        <f t="shared" si="104"/>
        <v>0.99250000000000005</v>
      </c>
      <c r="Q106" s="5">
        <f t="shared" si="116"/>
        <v>36768</v>
      </c>
      <c r="R106" s="4">
        <f t="shared" si="105"/>
        <v>0</v>
      </c>
      <c r="S106" s="158">
        <f>_xll.xSPRDOPT($L106,$J106,$I106,$M106,$O106,$N106,$P106,$Q106-$C$3,$R106,0)</f>
        <v>2.8872789714640135E-8</v>
      </c>
      <c r="T106" s="159">
        <f>_xll.xSPRDOPT($L106,$J106,$I106,$M106,$O106,$N106,$P106,$Q106-$C$3,$R106,1)*H106</f>
        <v>1.9670746145838969</v>
      </c>
      <c r="U106" s="160">
        <f t="shared" si="138"/>
        <v>-7.2181974286600337E-3</v>
      </c>
      <c r="V106" s="159">
        <f>_xll.xSPRDOPT($L106,$J106,$I106,$M106,$O106,$N106,$P106,$Q106-$C$3,$R106,2)*H106</f>
        <v>-1.9864944404146545</v>
      </c>
      <c r="W106" s="159">
        <f t="shared" si="106"/>
        <v>-1.9419825830757631E-2</v>
      </c>
      <c r="X106" s="51" t="str">
        <f t="shared" si="151"/>
        <v>36770IF-TRANSCO/Z6</v>
      </c>
      <c r="Y106" s="418">
        <f t="shared" si="152"/>
        <v>-25</v>
      </c>
      <c r="Z106" s="456">
        <f t="shared" si="153"/>
        <v>-7.8682984583355875E-6</v>
      </c>
      <c r="AA106" s="456">
        <f>_xll.xSPRDOPT($L106,$J106,$I106,$M106,$O106,$N106,$P106,$Q106-$C$3,$R106,3)</f>
        <v>2.8195530208854325E-3</v>
      </c>
      <c r="AB106" s="456">
        <f>((_xll.xSPRDOPT($L106+AB$5,$J106,$I106,$M106,$O106,$N106,$P106,$Q106-$C$3,$R106,3)*$H106)/10000)/100</f>
        <v>-7.0488825522135813E-4</v>
      </c>
      <c r="AC106" s="456">
        <f>((_xll.xSPRDOPT($L106+$AB$5,$J106,$I106,$M106,$O106,$N106,$P106,$Q106-$C$3,$R106,7)*$H106)/100)</f>
        <v>7.1512595308450166E-2</v>
      </c>
      <c r="AD106" s="456">
        <f>(_xll.xSPRDOPT($L106+$AB$5,$J106,$I106,$M106,$O106,$N106,$P106,$Q106-$C$3,$R106,9)/365)*$H106</f>
        <v>5.7999303862076905E-2</v>
      </c>
      <c r="AE106">
        <f t="shared" si="120"/>
        <v>0</v>
      </c>
      <c r="AF106" s="456">
        <f t="shared" si="154"/>
        <v>-2.8945101742809008E-3</v>
      </c>
      <c r="AG106" s="456">
        <f>((_xll.xSPRDOPT($L106,$J106,$I106,$M106,$O106,$N106,$P106,$Q106-$C$3,$R106,6)*$H106)/100)</f>
        <v>4.7724353738762444E-3</v>
      </c>
      <c r="AH106" s="456">
        <f>((_xll.xSPRDOPT($L106,$J106,$I106,$M106,$O106,$N106,$P106,$Q106-$C$3,$R106,5)*$H106)/100)</f>
        <v>-7.8234138246501481E-3</v>
      </c>
      <c r="AI106" s="456">
        <f>(((_xll.xSPRDOPT($L106,$J106,$I106,$M106,$O106,$N106,$P106,$Q106-$C$3,$R106,4)*$H106)/10000)/100)-AB106</f>
        <v>-1.4010304147721179E-5</v>
      </c>
      <c r="AJ106" s="456"/>
      <c r="AK106" s="456"/>
      <c r="AL106" s="456"/>
      <c r="AM106" s="472"/>
      <c r="AN106" s="128">
        <f t="shared" si="155"/>
        <v>39753</v>
      </c>
      <c r="AO106" s="43">
        <f t="shared" si="141"/>
        <v>0</v>
      </c>
      <c r="AP106" s="43">
        <f t="shared" si="141"/>
        <v>0</v>
      </c>
      <c r="AQ106" s="43">
        <f t="shared" si="141"/>
        <v>0</v>
      </c>
      <c r="AR106" s="43">
        <f t="shared" si="141"/>
        <v>0</v>
      </c>
      <c r="AS106" s="43">
        <f t="shared" si="141"/>
        <v>0</v>
      </c>
      <c r="AT106" s="43">
        <f t="shared" si="141"/>
        <v>0</v>
      </c>
      <c r="AU106" s="43">
        <f t="shared" si="141"/>
        <v>0</v>
      </c>
      <c r="AV106" s="43">
        <f t="shared" si="141"/>
        <v>0</v>
      </c>
      <c r="AW106" s="43">
        <f t="shared" si="141"/>
        <v>0</v>
      </c>
      <c r="AX106" s="43">
        <f t="shared" si="141"/>
        <v>0</v>
      </c>
      <c r="AY106" s="43">
        <f t="shared" si="141"/>
        <v>0</v>
      </c>
      <c r="AZ106" s="43">
        <f t="shared" si="141"/>
        <v>0</v>
      </c>
      <c r="BA106" s="44">
        <f t="shared" si="141"/>
        <v>0</v>
      </c>
      <c r="BB106" s="128">
        <f t="shared" si="156"/>
        <v>39753</v>
      </c>
      <c r="BC106" s="44">
        <f t="shared" si="124"/>
        <v>0</v>
      </c>
      <c r="BD106" s="51"/>
      <c r="BE106" s="128">
        <f t="shared" si="157"/>
        <v>39753</v>
      </c>
      <c r="BF106" s="43">
        <f t="shared" si="142"/>
        <v>0</v>
      </c>
      <c r="BG106" s="43">
        <f t="shared" si="142"/>
        <v>0</v>
      </c>
      <c r="BH106" s="43">
        <f t="shared" si="142"/>
        <v>0</v>
      </c>
      <c r="BI106" s="43">
        <f t="shared" si="142"/>
        <v>0</v>
      </c>
      <c r="BJ106" s="43">
        <f t="shared" si="142"/>
        <v>0</v>
      </c>
      <c r="BK106" s="43">
        <f t="shared" si="142"/>
        <v>0</v>
      </c>
      <c r="BL106" s="43">
        <f t="shared" si="142"/>
        <v>0</v>
      </c>
      <c r="BM106" s="43">
        <f t="shared" si="142"/>
        <v>0</v>
      </c>
      <c r="BN106" s="43">
        <f t="shared" si="142"/>
        <v>0</v>
      </c>
      <c r="BO106" s="43">
        <f t="shared" si="142"/>
        <v>0</v>
      </c>
      <c r="BP106" s="43">
        <f t="shared" si="142"/>
        <v>0</v>
      </c>
      <c r="BQ106" s="43">
        <f t="shared" si="142"/>
        <v>0</v>
      </c>
      <c r="BR106" s="44">
        <f t="shared" si="142"/>
        <v>0</v>
      </c>
      <c r="BS106" s="128">
        <f t="shared" si="158"/>
        <v>39753</v>
      </c>
      <c r="BT106" s="44">
        <f t="shared" si="127"/>
        <v>0</v>
      </c>
      <c r="BU106" s="51"/>
      <c r="BV106" s="51"/>
      <c r="BW106" s="51"/>
      <c r="BX106" s="51"/>
      <c r="BY106" s="51"/>
      <c r="BZ106" s="51"/>
      <c r="CA106" s="51"/>
      <c r="CB106" s="51"/>
      <c r="CC106" s="141">
        <f t="shared" si="143"/>
        <v>36770</v>
      </c>
      <c r="CD106" s="234">
        <f>_xll.xSPRDOPT((VLOOKUP(G106,NGPrices,2,FALSE)+HLOOKUP(D106,Prices,VLOOKUP(G106,move_down,2,FALSE),FALSE)),VLOOKUP(G106,NGPrices,2,FALSE),I106,VLOOKUP(G106,NGPREVPRICES,4,FALSE),HLOOKUP(D106,PREVVOLS,VLOOKUP(G106,MOVE_DOWN2,2,FALSE),FALSE),VLOOKUP(G106,NGPREVPRICES,3,FALSE),HLOOKUP(D106,Correllate,VLOOKUP(G106,CorMove,2,FALSE),FALSE),Q106-$CD$3,R106,$CD$5)*H106-CJ106</f>
        <v>0</v>
      </c>
      <c r="CE106" s="234">
        <f>_xll.xSPRDOPT((VLOOKUP(G106,NGPREVPRICES,2,FALSE)+HLOOKUP(D106,PREVCURVES,VLOOKUP(G106,MOVE_DOWN2,2,FALSE),FALSE)),VLOOKUP(G106,NGPREVPRICES,2,FALSE),CK106,VLOOKUP(G106,NGPrices,4,FALSE),HLOOKUP(D106,PREVVOLS,VLOOKUP(G106,MOVE_DOWN2,2,FALSE),FALSE),VLOOKUP(G106,NGPREVPRICES,3,FALSE),HLOOKUP(D106,Correllate,VLOOKUP(G106,CorMove,2,FALSE),FALSE),Q106-$CD$3,R106,$CJ$5)*H106-CJ106</f>
        <v>0</v>
      </c>
      <c r="CF106" s="10">
        <f t="shared" si="144"/>
        <v>2.6315547363764402E-4</v>
      </c>
      <c r="CG106" s="234">
        <f>_xll.xSPRDOPT((VLOOKUP(G106,NGPREVPRICES,2,FALSE)+HLOOKUP(D106,PREVCURVES,VLOOKUP(G106,MOVE_DOWN2,2,FALSE),FALSE)),VLOOKUP(G106,NGPREVPRICES,2,FALSE),CK106,VLOOKUP(G106,NGPREVPRICES,4,FALSE),HLOOKUP(D106,VOLS,VLOOKUP(G106,move_down,2,FALSE),FALSE),VLOOKUP(G106,NGPrices,3,FALSE),HLOOKUP(D106,Correllate,VLOOKUP(G106,CorMove,2,FALSE),FALSE),Q106-$CD$3,R106,$CJ$5)*H106-CJ106</f>
        <v>0</v>
      </c>
      <c r="CH106" s="234">
        <f>_xll.xSPRDOPT((VLOOKUP(G106,NGPREVPRICES,2,FALSE)+HLOOKUP(D106,PREVCURVES,VLOOKUP(G106,MOVE_DOWN2,2,FALSE),FALSE)),VLOOKUP(G106,NGPREVPRICES,2,FALSE),CK106,VLOOKUP(G106,NGPREVPRICES,4,FALSE),HLOOKUP(D106,PREVVOLS,VLOOKUP(G106,MOVE_DOWN2,2,FALSE),FALSE),VLOOKUP(G106,NGPREVPRICES,3,FALSE),HLOOKUP(D106,Correllate,VLOOKUP(G106,CorMove,2,FALSE),FALSE),Q106-$C$3,R106,$CJ$5)*H106-CJ106</f>
        <v>1.4368998328406768</v>
      </c>
      <c r="CI106" s="234">
        <f t="shared" si="145"/>
        <v>1.4371629883143144</v>
      </c>
      <c r="CJ106" s="234">
        <f>_xll.xSPRDOPT((VLOOKUP(G106,NGPREVPRICES,2,FALSE)+HLOOKUP(D106,PREVCURVES,VLOOKUP(G106,MOVE_DOWN2,2,FALSE),FALSE)),VLOOKUP(G106,NGPREVPRICES,2,FALSE),CK106,VLOOKUP(G106,NGPREVPRICES,4,FALSE),HLOOKUP(D106,PREVVOLS,VLOOKUP(G106,MOVE_DOWN2,2,FALSE),FALSE),VLOOKUP(G106,NGPREVPRICES,3,FALSE),HLOOKUP(D106,Correllate,VLOOKUP(G106,CorMove,2,FALSE),FALSE),Q106-$CD$3,R106,$CJ$5)*H106</f>
        <v>-1.4441180302693368</v>
      </c>
      <c r="CK106" s="235">
        <f t="shared" si="146"/>
        <v>0.26</v>
      </c>
      <c r="CL106" s="234"/>
      <c r="CM106" t="str">
        <f t="shared" si="147"/>
        <v>36770Curve Shift/Gamma</v>
      </c>
      <c r="CN106" t="str">
        <f t="shared" si="107"/>
        <v>36770Rho</v>
      </c>
      <c r="CO106" t="str">
        <f t="shared" si="108"/>
        <v>36770Drift</v>
      </c>
      <c r="CP106" t="str">
        <f t="shared" si="109"/>
        <v>36770Vega</v>
      </c>
      <c r="CQ106" t="str">
        <f t="shared" si="110"/>
        <v>36770Theta</v>
      </c>
    </row>
    <row r="107" spans="1:95" ht="12" customHeight="1" x14ac:dyDescent="0.25">
      <c r="A107" s="140" t="s">
        <v>284</v>
      </c>
      <c r="B107" t="s">
        <v>250</v>
      </c>
      <c r="C107" t="s">
        <v>319</v>
      </c>
      <c r="D107" s="4" t="s">
        <v>7</v>
      </c>
      <c r="E107" t="s">
        <v>20</v>
      </c>
      <c r="F107" t="s">
        <v>21</v>
      </c>
      <c r="G107" s="5">
        <v>36951</v>
      </c>
      <c r="H107" s="130">
        <v>620000</v>
      </c>
      <c r="I107">
        <v>2.2000000000000002</v>
      </c>
      <c r="J107" s="53">
        <f t="shared" si="148"/>
        <v>4.2130000000000001</v>
      </c>
      <c r="K107" s="7">
        <f t="shared" si="149"/>
        <v>1.075</v>
      </c>
      <c r="L107" s="53">
        <f t="shared" si="150"/>
        <v>5.2880000000000003</v>
      </c>
      <c r="M107" s="157">
        <f t="shared" si="101"/>
        <v>6.8879814952706994E-2</v>
      </c>
      <c r="N107" s="4">
        <f t="shared" si="102"/>
        <v>0.53249999999999997</v>
      </c>
      <c r="O107" s="4">
        <f t="shared" si="103"/>
        <v>0.61199999999999999</v>
      </c>
      <c r="P107" s="9">
        <f t="shared" si="104"/>
        <v>0.83</v>
      </c>
      <c r="Q107" s="5">
        <f t="shared" si="116"/>
        <v>36949</v>
      </c>
      <c r="R107" s="4">
        <f t="shared" si="105"/>
        <v>1</v>
      </c>
      <c r="S107" s="158">
        <f>_xll.xSPRDOPT($L107,$J107,$I107,$M107,$O107,$N107,$P107,$Q107-$C$3,$R107,0)</f>
        <v>0.2003143234200282</v>
      </c>
      <c r="T107" s="159">
        <f>_xll.xSPRDOPT($L107,$J107,$I107,$M107,$O107,$N107,$P107,$Q107-$C$3,$R107,1)*H107</f>
        <v>166318.98410981786</v>
      </c>
      <c r="U107" s="160">
        <f t="shared" si="138"/>
        <v>124194.88052041749</v>
      </c>
      <c r="V107" s="159">
        <f>_xll.xSPRDOPT($L107,$J107,$I107,$M107,$O107,$N107,$P107,$Q107-$C$3,$R107,2)*H107</f>
        <v>-125895.34999509426</v>
      </c>
      <c r="W107" s="159">
        <f t="shared" si="106"/>
        <v>40423.634114723594</v>
      </c>
      <c r="X107" s="51" t="str">
        <f t="shared" si="151"/>
        <v>36951IF-TRANSCO/Z6</v>
      </c>
      <c r="Y107" s="418">
        <f t="shared" si="152"/>
        <v>62</v>
      </c>
      <c r="Z107" s="456">
        <f t="shared" si="153"/>
        <v>0.26825642598357718</v>
      </c>
      <c r="AA107" s="456">
        <f>_xll.xSPRDOPT($L107,$J107,$I107,$M107,$O107,$N107,$P107,$Q107-$C$3,$R107,3)</f>
        <v>0.23431084970764515</v>
      </c>
      <c r="AB107" s="456">
        <f>((_xll.xSPRDOPT($L107+AB$5,$J107,$I107,$M107,$O107,$N107,$P107,$Q107-$C$3,$R107,3)*$H107)/10000)/100</f>
        <v>0.14527272681873998</v>
      </c>
      <c r="AC107" s="456">
        <f>((_xll.xSPRDOPT($L107+$AB$5,$J107,$I107,$M107,$O107,$N107,$P107,$Q107-$C$3,$R107,7)*$H107)/100)</f>
        <v>-4538.2450786466679</v>
      </c>
      <c r="AD107" s="456">
        <f>(_xll.xSPRDOPT($L107+$AB$5,$J107,$I107,$M107,$O107,$N107,$P107,$Q107-$C$3,$R107,9)/365)*$H107</f>
        <v>-744.39395994990332</v>
      </c>
      <c r="AE107">
        <f t="shared" si="120"/>
        <v>0</v>
      </c>
      <c r="AF107" s="456">
        <f t="shared" si="154"/>
        <v>5245.0550882272073</v>
      </c>
      <c r="AG107" s="456">
        <f>((_xll.xSPRDOPT($L107,$J107,$I107,$M107,$O107,$N107,$P107,$Q107-$C$3,$R107,6)*$H107)/100)</f>
        <v>-1918.674461392186</v>
      </c>
      <c r="AH107" s="456">
        <f>((_xll.xSPRDOPT($L107,$J107,$I107,$M107,$O107,$N107,$P107,$Q107-$C$3,$R107,5)*$H107)/100)</f>
        <v>6233.1470345953048</v>
      </c>
      <c r="AI107" s="456">
        <f>(((_xll.xSPRDOPT($L107,$J107,$I107,$M107,$O107,$N107,$P107,$Q107-$C$3,$R107,4)*$H107)/10000)/100)-AB107</f>
        <v>-3.5815036729839309E-2</v>
      </c>
      <c r="AJ107" s="456"/>
      <c r="AK107" s="456"/>
      <c r="AL107" s="456"/>
      <c r="AM107" s="472"/>
      <c r="AN107" s="128">
        <f t="shared" si="155"/>
        <v>39783</v>
      </c>
      <c r="AO107" s="43">
        <f t="shared" ref="AO107:BA116" si="159">SUMIF($X:$X,CONCATENATE($AN107,AO$6),$T:$T)/10000</f>
        <v>0</v>
      </c>
      <c r="AP107" s="43">
        <f t="shared" si="159"/>
        <v>0</v>
      </c>
      <c r="AQ107" s="43">
        <f t="shared" si="159"/>
        <v>0</v>
      </c>
      <c r="AR107" s="43">
        <f t="shared" si="159"/>
        <v>0</v>
      </c>
      <c r="AS107" s="43">
        <f t="shared" si="159"/>
        <v>0</v>
      </c>
      <c r="AT107" s="43">
        <f t="shared" si="159"/>
        <v>0</v>
      </c>
      <c r="AU107" s="43">
        <f t="shared" si="159"/>
        <v>0</v>
      </c>
      <c r="AV107" s="43">
        <f t="shared" si="159"/>
        <v>0</v>
      </c>
      <c r="AW107" s="43">
        <f t="shared" si="159"/>
        <v>0</v>
      </c>
      <c r="AX107" s="43">
        <f t="shared" si="159"/>
        <v>0</v>
      </c>
      <c r="AY107" s="43">
        <f t="shared" si="159"/>
        <v>0</v>
      </c>
      <c r="AZ107" s="43">
        <f t="shared" si="159"/>
        <v>0</v>
      </c>
      <c r="BA107" s="44">
        <f t="shared" si="159"/>
        <v>0</v>
      </c>
      <c r="BB107" s="128">
        <f t="shared" si="156"/>
        <v>39783</v>
      </c>
      <c r="BC107" s="44">
        <f t="shared" si="124"/>
        <v>0</v>
      </c>
      <c r="BD107" s="51"/>
      <c r="BE107" s="128">
        <f t="shared" si="157"/>
        <v>39783</v>
      </c>
      <c r="BF107" s="43">
        <f t="shared" ref="BF107:BR116" si="160">SUMIF($X:$X,CONCATENATE($AN107,BF$6),$W:$W)</f>
        <v>0</v>
      </c>
      <c r="BG107" s="43">
        <f t="shared" si="160"/>
        <v>0</v>
      </c>
      <c r="BH107" s="43">
        <f t="shared" si="160"/>
        <v>0</v>
      </c>
      <c r="BI107" s="43">
        <f t="shared" si="160"/>
        <v>0</v>
      </c>
      <c r="BJ107" s="43">
        <f t="shared" si="160"/>
        <v>0</v>
      </c>
      <c r="BK107" s="43">
        <f t="shared" si="160"/>
        <v>0</v>
      </c>
      <c r="BL107" s="43">
        <f t="shared" si="160"/>
        <v>0</v>
      </c>
      <c r="BM107" s="43">
        <f t="shared" si="160"/>
        <v>0</v>
      </c>
      <c r="BN107" s="43">
        <f t="shared" si="160"/>
        <v>0</v>
      </c>
      <c r="BO107" s="43">
        <f t="shared" si="160"/>
        <v>0</v>
      </c>
      <c r="BP107" s="43">
        <f t="shared" si="160"/>
        <v>0</v>
      </c>
      <c r="BQ107" s="43">
        <f t="shared" si="160"/>
        <v>0</v>
      </c>
      <c r="BR107" s="44">
        <f t="shared" si="160"/>
        <v>0</v>
      </c>
      <c r="BS107" s="128">
        <f t="shared" si="158"/>
        <v>39783</v>
      </c>
      <c r="BT107" s="44">
        <f t="shared" si="127"/>
        <v>0</v>
      </c>
      <c r="BU107" s="51"/>
      <c r="BV107" s="51"/>
      <c r="BW107" s="51"/>
      <c r="BX107" s="51"/>
      <c r="BY107" s="51"/>
      <c r="BZ107" s="51"/>
      <c r="CA107" s="51"/>
      <c r="CB107" s="51"/>
      <c r="CC107" s="141">
        <f t="shared" si="143"/>
        <v>36951</v>
      </c>
      <c r="CD107" s="234">
        <f>_xll.xSPRDOPT((VLOOKUP(G107,NGPrices,2,FALSE)+HLOOKUP(D107,Prices,VLOOKUP(G107,move_down,2,FALSE),FALSE)),VLOOKUP(G107,NGPrices,2,FALSE),I107,VLOOKUP(G107,NGPREVPRICES,4,FALSE),HLOOKUP(D107,PREVVOLS,VLOOKUP(G107,MOVE_DOWN2,2,FALSE),FALSE),VLOOKUP(G107,NGPREVPRICES,3,FALSE),HLOOKUP(D107,Correllate,VLOOKUP(G107,CorMove,2,FALSE),FALSE),Q107-$CD$3,R107,$CD$5)*H107-CJ107</f>
        <v>0</v>
      </c>
      <c r="CE107" s="234">
        <f>_xll.xSPRDOPT((VLOOKUP(G107,NGPREVPRICES,2,FALSE)+HLOOKUP(D107,PREVCURVES,VLOOKUP(G107,MOVE_DOWN2,2,FALSE),FALSE)),VLOOKUP(G107,NGPREVPRICES,2,FALSE),CK107,VLOOKUP(G107,NGPrices,4,FALSE),HLOOKUP(D107,PREVVOLS,VLOOKUP(G107,MOVE_DOWN2,2,FALSE),FALSE),VLOOKUP(G107,NGPREVPRICES,3,FALSE),HLOOKUP(D107,Correllate,VLOOKUP(G107,CorMove,2,FALSE),FALSE),Q107-$CD$3,R107,$CJ$5)*H107-CJ107</f>
        <v>0</v>
      </c>
      <c r="CF107" s="10">
        <f t="shared" si="144"/>
        <v>-23.961264252546243</v>
      </c>
      <c r="CG107" s="234">
        <f>_xll.xSPRDOPT((VLOOKUP(G107,NGPREVPRICES,2,FALSE)+HLOOKUP(D107,PREVCURVES,VLOOKUP(G107,MOVE_DOWN2,2,FALSE),FALSE)),VLOOKUP(G107,NGPREVPRICES,2,FALSE),CK107,VLOOKUP(G107,NGPREVPRICES,4,FALSE),HLOOKUP(D107,VOLS,VLOOKUP(G107,move_down,2,FALSE),FALSE),VLOOKUP(G107,NGPrices,3,FALSE),HLOOKUP(D107,Correllate,VLOOKUP(G107,CorMove,2,FALSE),FALSE),Q107-$CD$3,R107,$CJ$5)*H107-CJ107</f>
        <v>0</v>
      </c>
      <c r="CH107" s="234">
        <f>_xll.xSPRDOPT((VLOOKUP(G107,NGPREVPRICES,2,FALSE)+HLOOKUP(D107,PREVCURVES,VLOOKUP(G107,MOVE_DOWN2,2,FALSE),FALSE)),VLOOKUP(G107,NGPREVPRICES,2,FALSE),CK107,VLOOKUP(G107,NGPREVPRICES,4,FALSE),HLOOKUP(D107,PREVVOLS,VLOOKUP(G107,MOVE_DOWN2,2,FALSE),FALSE),VLOOKUP(G107,NGPREVPRICES,3,FALSE),HLOOKUP(D107,Correllate,VLOOKUP(G107,CorMove,2,FALSE),FALSE),Q107-$C$3,R107,$CJ$5)*H107-CJ107</f>
        <v>-743.23910741940199</v>
      </c>
      <c r="CI107" s="234">
        <f t="shared" si="145"/>
        <v>-767.20037167194823</v>
      </c>
      <c r="CJ107" s="234">
        <f>_xll.xSPRDOPT((VLOOKUP(G107,NGPREVPRICES,2,FALSE)+HLOOKUP(D107,PREVCURVES,VLOOKUP(G107,MOVE_DOWN2,2,FALSE),FALSE)),VLOOKUP(G107,NGPREVPRICES,2,FALSE),CK107,VLOOKUP(G107,NGPREVPRICES,4,FALSE),HLOOKUP(D107,PREVVOLS,VLOOKUP(G107,MOVE_DOWN2,2,FALSE),FALSE),VLOOKUP(G107,NGPREVPRICES,3,FALSE),HLOOKUP(D107,Correllate,VLOOKUP(G107,CorMove,2,FALSE),FALSE),Q107-$CD$3,R107,$CJ$5)*H107</f>
        <v>124938.11962783689</v>
      </c>
      <c r="CK107" s="235">
        <f t="shared" si="146"/>
        <v>2.2000000000000002</v>
      </c>
      <c r="CL107" s="234"/>
      <c r="CM107" t="str">
        <f t="shared" si="147"/>
        <v>36951Curve Shift/Gamma</v>
      </c>
      <c r="CN107" t="str">
        <f t="shared" si="107"/>
        <v>36951Rho</v>
      </c>
      <c r="CO107" t="str">
        <f t="shared" si="108"/>
        <v>36951Drift</v>
      </c>
      <c r="CP107" t="str">
        <f t="shared" si="109"/>
        <v>36951Vega</v>
      </c>
      <c r="CQ107" t="str">
        <f t="shared" si="110"/>
        <v>36951Theta</v>
      </c>
    </row>
    <row r="108" spans="1:95" ht="12" customHeight="1" x14ac:dyDescent="0.25">
      <c r="A108" s="140" t="s">
        <v>284</v>
      </c>
      <c r="B108" t="s">
        <v>250</v>
      </c>
      <c r="C108" t="s">
        <v>319</v>
      </c>
      <c r="D108" s="4" t="s">
        <v>7</v>
      </c>
      <c r="E108" t="s">
        <v>20</v>
      </c>
      <c r="F108" t="s">
        <v>21</v>
      </c>
      <c r="G108" s="5">
        <v>36923</v>
      </c>
      <c r="H108" s="130">
        <v>560000</v>
      </c>
      <c r="I108">
        <v>2.2000000000000002</v>
      </c>
      <c r="J108" s="53">
        <f t="shared" si="148"/>
        <v>4.4800000000000004</v>
      </c>
      <c r="K108" s="7">
        <f t="shared" si="149"/>
        <v>2.09</v>
      </c>
      <c r="L108" s="53">
        <f t="shared" si="150"/>
        <v>6.57</v>
      </c>
      <c r="M108" s="157">
        <f t="shared" ref="M108:M117" si="161">VLOOKUP(G108,NGPrices,4,FALSE)</f>
        <v>6.8640161611372E-2</v>
      </c>
      <c r="N108" s="4">
        <f t="shared" ref="N108:N117" si="162">VLOOKUP(G108,NGPrices,3,FALSE)</f>
        <v>0.59250000000000003</v>
      </c>
      <c r="O108" s="4">
        <f t="shared" ref="O108:O117" si="163">HLOOKUP(D108,VOLS,VLOOKUP(G108,move_down,2,FALSE),FALSE)</f>
        <v>0.68100000000000005</v>
      </c>
      <c r="P108" s="9">
        <f t="shared" ref="P108:P117" si="164">HLOOKUP(D108,Correllate,VLOOKUP(G108,CorMove,2,FALSE),FALSE)</f>
        <v>0.83</v>
      </c>
      <c r="Q108" s="5">
        <f t="shared" si="116"/>
        <v>36921</v>
      </c>
      <c r="R108" s="4">
        <f t="shared" ref="R108:R117" si="165">IF(F108="P",0,1)</f>
        <v>1</v>
      </c>
      <c r="S108" s="158">
        <f>_xll.xSPRDOPT($L108,$J108,$I108,$M108,$O108,$N108,$P108,$Q108-$C$3,$R108,0)</f>
        <v>0.63843612413412965</v>
      </c>
      <c r="T108" s="159">
        <f>_xll.xSPRDOPT($L108,$J108,$I108,$M108,$O108,$N108,$P108,$Q108-$C$3,$R108,1)*H108</f>
        <v>289995.81334854988</v>
      </c>
      <c r="U108" s="160">
        <f t="shared" si="138"/>
        <v>357524.22951511259</v>
      </c>
      <c r="V108" s="159">
        <f>_xll.xSPRDOPT($L108,$J108,$I108,$M108,$O108,$N108,$P108,$Q108-$C$3,$R108,2)*H108</f>
        <v>-242345.73662442071</v>
      </c>
      <c r="W108" s="159">
        <f t="shared" ref="W108:W117" si="166">+V108+T108</f>
        <v>47650.076724129176</v>
      </c>
      <c r="X108" s="51" t="str">
        <f t="shared" si="151"/>
        <v>36923IF-TRANSCO/Z6</v>
      </c>
      <c r="Y108" s="418">
        <f t="shared" si="152"/>
        <v>56</v>
      </c>
      <c r="Z108" s="456">
        <f t="shared" si="153"/>
        <v>0.51784966669383903</v>
      </c>
      <c r="AA108" s="456">
        <f>_xll.xSPRDOPT($L108,$J108,$I108,$M108,$O108,$N108,$P108,$Q108-$C$3,$R108,3)</f>
        <v>0.21876872127234742</v>
      </c>
      <c r="AB108" s="456">
        <f>((_xll.xSPRDOPT($L108+AB$5,$J108,$I108,$M108,$O108,$N108,$P108,$Q108-$C$3,$R108,3)*$H108)/10000)/100</f>
        <v>0.12251048391251455</v>
      </c>
      <c r="AC108" s="456">
        <f>((_xll.xSPRDOPT($L108+$AB$5,$J108,$I108,$M108,$O108,$N108,$P108,$Q108-$C$3,$R108,7)*$H108)/100)</f>
        <v>-6126.3850798282392</v>
      </c>
      <c r="AD108" s="456">
        <f>(_xll.xSPRDOPT($L108+$AB$5,$J108,$I108,$M108,$O108,$N108,$P108,$Q108-$C$3,$R108,9)/365)*$H108</f>
        <v>-1181.6325386834508</v>
      </c>
      <c r="AE108">
        <f t="shared" si="120"/>
        <v>0</v>
      </c>
      <c r="AF108" s="456">
        <f t="shared" si="154"/>
        <v>6487.55624877431</v>
      </c>
      <c r="AG108" s="456">
        <f>((_xll.xSPRDOPT($L108,$J108,$I108,$M108,$O108,$N108,$P108,$Q108-$C$3,$R108,6)*$H108)/100)</f>
        <v>-2382.1354056801483</v>
      </c>
      <c r="AH108" s="456">
        <f>((_xll.xSPRDOPT($L108,$J108,$I108,$M108,$O108,$N108,$P108,$Q108-$C$3,$R108,5)*$H108)/100)</f>
        <v>7717.0224746905524</v>
      </c>
      <c r="AI108" s="456">
        <f>(((_xll.xSPRDOPT($L108,$J108,$I108,$M108,$O108,$N108,$P108,$Q108-$C$3,$R108,4)*$H108)/10000)/100)-AB108</f>
        <v>1.1457037101219869E-3</v>
      </c>
      <c r="AJ108" s="456"/>
      <c r="AK108" s="456"/>
      <c r="AL108" s="456"/>
      <c r="AM108" s="472"/>
      <c r="AN108" s="128">
        <f t="shared" si="155"/>
        <v>39814</v>
      </c>
      <c r="AO108" s="43">
        <f t="shared" si="159"/>
        <v>0</v>
      </c>
      <c r="AP108" s="43">
        <f t="shared" si="159"/>
        <v>0</v>
      </c>
      <c r="AQ108" s="43">
        <f t="shared" si="159"/>
        <v>0</v>
      </c>
      <c r="AR108" s="43">
        <f t="shared" si="159"/>
        <v>0</v>
      </c>
      <c r="AS108" s="43">
        <f t="shared" si="159"/>
        <v>0</v>
      </c>
      <c r="AT108" s="43">
        <f t="shared" si="159"/>
        <v>0</v>
      </c>
      <c r="AU108" s="43">
        <f t="shared" si="159"/>
        <v>0</v>
      </c>
      <c r="AV108" s="43">
        <f t="shared" si="159"/>
        <v>0</v>
      </c>
      <c r="AW108" s="43">
        <f t="shared" si="159"/>
        <v>0</v>
      </c>
      <c r="AX108" s="43">
        <f t="shared" si="159"/>
        <v>0</v>
      </c>
      <c r="AY108" s="43">
        <f t="shared" si="159"/>
        <v>0</v>
      </c>
      <c r="AZ108" s="43">
        <f t="shared" si="159"/>
        <v>0</v>
      </c>
      <c r="BA108" s="44">
        <f t="shared" si="159"/>
        <v>0</v>
      </c>
      <c r="BB108" s="128">
        <f t="shared" si="156"/>
        <v>39814</v>
      </c>
      <c r="BC108" s="44">
        <f t="shared" si="124"/>
        <v>0</v>
      </c>
      <c r="BD108" s="51"/>
      <c r="BE108" s="128">
        <f t="shared" si="157"/>
        <v>39814</v>
      </c>
      <c r="BF108" s="43">
        <f t="shared" si="160"/>
        <v>0</v>
      </c>
      <c r="BG108" s="43">
        <f t="shared" si="160"/>
        <v>0</v>
      </c>
      <c r="BH108" s="43">
        <f t="shared" si="160"/>
        <v>0</v>
      </c>
      <c r="BI108" s="43">
        <f t="shared" si="160"/>
        <v>0</v>
      </c>
      <c r="BJ108" s="43">
        <f t="shared" si="160"/>
        <v>0</v>
      </c>
      <c r="BK108" s="43">
        <f t="shared" si="160"/>
        <v>0</v>
      </c>
      <c r="BL108" s="43">
        <f t="shared" si="160"/>
        <v>0</v>
      </c>
      <c r="BM108" s="43">
        <f t="shared" si="160"/>
        <v>0</v>
      </c>
      <c r="BN108" s="43">
        <f t="shared" si="160"/>
        <v>0</v>
      </c>
      <c r="BO108" s="43">
        <f t="shared" si="160"/>
        <v>0</v>
      </c>
      <c r="BP108" s="43">
        <f t="shared" si="160"/>
        <v>0</v>
      </c>
      <c r="BQ108" s="43">
        <f t="shared" si="160"/>
        <v>0</v>
      </c>
      <c r="BR108" s="44">
        <f t="shared" si="160"/>
        <v>0</v>
      </c>
      <c r="BS108" s="128">
        <f t="shared" si="158"/>
        <v>39814</v>
      </c>
      <c r="BT108" s="44">
        <f t="shared" si="127"/>
        <v>0</v>
      </c>
      <c r="BU108" s="51"/>
      <c r="BV108" s="51"/>
      <c r="BW108" s="51"/>
      <c r="BX108" s="51"/>
      <c r="BY108" s="51"/>
      <c r="BZ108" s="51"/>
      <c r="CA108" s="51"/>
      <c r="CB108" s="51"/>
      <c r="CC108" s="141">
        <f t="shared" si="143"/>
        <v>36923</v>
      </c>
      <c r="CD108" s="234">
        <f>_xll.xSPRDOPT((VLOOKUP(G108,NGPrices,2,FALSE)+HLOOKUP(D108,Prices,VLOOKUP(G108,move_down,2,FALSE),FALSE)),VLOOKUP(G108,NGPrices,2,FALSE),I108,VLOOKUP(G108,NGPREVPRICES,4,FALSE),HLOOKUP(D108,PREVVOLS,VLOOKUP(G108,MOVE_DOWN2,2,FALSE),FALSE),VLOOKUP(G108,NGPREVPRICES,3,FALSE),HLOOKUP(D108,Correllate,VLOOKUP(G108,CorMove,2,FALSE),FALSE),Q108-$CD$3,R108,$CD$5)*H108-CJ108</f>
        <v>0</v>
      </c>
      <c r="CE108" s="234">
        <f>_xll.xSPRDOPT((VLOOKUP(G108,NGPREVPRICES,2,FALSE)+HLOOKUP(D108,PREVCURVES,VLOOKUP(G108,MOVE_DOWN2,2,FALSE),FALSE)),VLOOKUP(G108,NGPREVPRICES,2,FALSE),CK108,VLOOKUP(G108,NGPrices,4,FALSE),HLOOKUP(D108,PREVVOLS,VLOOKUP(G108,MOVE_DOWN2,2,FALSE),FALSE),VLOOKUP(G108,NGPREVPRICES,3,FALSE),HLOOKUP(D108,Correllate,VLOOKUP(G108,CorMove,2,FALSE),FALSE),Q108-$CD$3,R108,$CJ$5)*H108-CJ108</f>
        <v>0</v>
      </c>
      <c r="CF108" s="10">
        <f t="shared" si="144"/>
        <v>-68.221132896083873</v>
      </c>
      <c r="CG108" s="234">
        <f>_xll.xSPRDOPT((VLOOKUP(G108,NGPREVPRICES,2,FALSE)+HLOOKUP(D108,PREVCURVES,VLOOKUP(G108,MOVE_DOWN2,2,FALSE),FALSE)),VLOOKUP(G108,NGPREVPRICES,2,FALSE),CK108,VLOOKUP(G108,NGPREVPRICES,4,FALSE),HLOOKUP(D108,VOLS,VLOOKUP(G108,move_down,2,FALSE),FALSE),VLOOKUP(G108,NGPrices,3,FALSE),HLOOKUP(D108,Correllate,VLOOKUP(G108,CorMove,2,FALSE),FALSE),Q108-$CD$3,R108,$CJ$5)*H108-CJ108</f>
        <v>0</v>
      </c>
      <c r="CH108" s="234">
        <f>_xll.xSPRDOPT((VLOOKUP(G108,NGPREVPRICES,2,FALSE)+HLOOKUP(D108,PREVCURVES,VLOOKUP(G108,MOVE_DOWN2,2,FALSE),FALSE)),VLOOKUP(G108,NGPREVPRICES,2,FALSE),CK108,VLOOKUP(G108,NGPREVPRICES,4,FALSE),HLOOKUP(D108,PREVVOLS,VLOOKUP(G108,MOVE_DOWN2,2,FALSE),FALSE),VLOOKUP(G108,NGPREVPRICES,3,FALSE),HLOOKUP(D108,Correllate,VLOOKUP(G108,CorMove,2,FALSE),FALSE),Q108-$C$3,R108,$CJ$5)*H108-CJ108</f>
        <v>-1178.5580679789418</v>
      </c>
      <c r="CI108" s="234">
        <f t="shared" si="145"/>
        <v>-1246.7792008750257</v>
      </c>
      <c r="CJ108" s="234">
        <f>_xll.xSPRDOPT((VLOOKUP(G108,NGPREVPRICES,2,FALSE)+HLOOKUP(D108,PREVCURVES,VLOOKUP(G108,MOVE_DOWN2,2,FALSE),FALSE)),VLOOKUP(G108,NGPREVPRICES,2,FALSE),CK108,VLOOKUP(G108,NGPREVPRICES,4,FALSE),HLOOKUP(D108,PREVVOLS,VLOOKUP(G108,MOVE_DOWN2,2,FALSE),FALSE),VLOOKUP(G108,NGPREVPRICES,3,FALSE),HLOOKUP(D108,Correllate,VLOOKUP(G108,CorMove,2,FALSE),FALSE),Q108-$CD$3,R108,$CJ$5)*H108</f>
        <v>358702.78758309153</v>
      </c>
      <c r="CK108" s="235">
        <f t="shared" si="146"/>
        <v>2.2000000000000002</v>
      </c>
      <c r="CL108" s="234"/>
      <c r="CM108" t="str">
        <f t="shared" si="147"/>
        <v>36923Curve Shift/Gamma</v>
      </c>
      <c r="CN108" t="str">
        <f t="shared" si="107"/>
        <v>36923Rho</v>
      </c>
      <c r="CO108" t="str">
        <f t="shared" si="108"/>
        <v>36923Drift</v>
      </c>
      <c r="CP108" t="str">
        <f t="shared" si="109"/>
        <v>36923Vega</v>
      </c>
      <c r="CQ108" t="str">
        <f t="shared" si="110"/>
        <v>36923Theta</v>
      </c>
    </row>
    <row r="109" spans="1:95" ht="12" customHeight="1" x14ac:dyDescent="0.25">
      <c r="A109" s="140" t="s">
        <v>284</v>
      </c>
      <c r="B109" t="s">
        <v>250</v>
      </c>
      <c r="C109" t="s">
        <v>319</v>
      </c>
      <c r="D109" s="4" t="s">
        <v>7</v>
      </c>
      <c r="E109" t="s">
        <v>20</v>
      </c>
      <c r="F109" t="s">
        <v>21</v>
      </c>
      <c r="G109" s="5">
        <v>36892</v>
      </c>
      <c r="H109" s="130">
        <v>620000</v>
      </c>
      <c r="I109">
        <v>2.2000000000000002</v>
      </c>
      <c r="J109" s="53">
        <f t="shared" si="148"/>
        <v>4.7439999999999998</v>
      </c>
      <c r="K109" s="7">
        <f t="shared" si="149"/>
        <v>2.17</v>
      </c>
      <c r="L109" s="53">
        <f t="shared" si="150"/>
        <v>6.9139999999999997</v>
      </c>
      <c r="M109" s="157">
        <f t="shared" si="161"/>
        <v>6.8374831148490994E-2</v>
      </c>
      <c r="N109" s="4">
        <f t="shared" si="162"/>
        <v>0.60499999999999998</v>
      </c>
      <c r="O109" s="4">
        <f t="shared" si="163"/>
        <v>0.69599999999999995</v>
      </c>
      <c r="P109" s="9">
        <f t="shared" si="164"/>
        <v>0.83</v>
      </c>
      <c r="Q109" s="5">
        <f t="shared" si="116"/>
        <v>36888</v>
      </c>
      <c r="R109" s="4">
        <f t="shared" si="165"/>
        <v>1</v>
      </c>
      <c r="S109" s="158">
        <f>_xll.xSPRDOPT($L109,$J109,$I109,$M109,$O109,$N109,$P109,$Q109-$C$3,$R109,0)</f>
        <v>0.640054264498777</v>
      </c>
      <c r="T109" s="159">
        <f>_xll.xSPRDOPT($L109,$J109,$I109,$M109,$O109,$N109,$P109,$Q109-$C$3,$R109,1)*H109</f>
        <v>330009.57978883717</v>
      </c>
      <c r="U109" s="160">
        <f t="shared" si="138"/>
        <v>396833.64398924174</v>
      </c>
      <c r="V109" s="159">
        <f>_xll.xSPRDOPT($L109,$J109,$I109,$M109,$O109,$N109,$P109,$Q109-$C$3,$R109,2)*H109</f>
        <v>-281586.11751802091</v>
      </c>
      <c r="W109" s="159">
        <f t="shared" si="166"/>
        <v>48423.462270816264</v>
      </c>
      <c r="X109" s="51" t="str">
        <f t="shared" si="151"/>
        <v>36892IF-TRANSCO/Z6</v>
      </c>
      <c r="Y109" s="418">
        <f t="shared" si="152"/>
        <v>62</v>
      </c>
      <c r="Z109" s="456">
        <f t="shared" si="153"/>
        <v>0.53227351578844706</v>
      </c>
      <c r="AA109" s="456">
        <f>_xll.xSPRDOPT($L109,$J109,$I109,$M109,$O109,$N109,$P109,$Q109-$C$3,$R109,3)</f>
        <v>0.23147374508885857</v>
      </c>
      <c r="AB109" s="456">
        <f>((_xll.xSPRDOPT($L109+AB$5,$J109,$I109,$M109,$O109,$N109,$P109,$Q109-$C$3,$R109,3)*$H109)/10000)/100</f>
        <v>0.14351372195509229</v>
      </c>
      <c r="AC109" s="456">
        <f>((_xll.xSPRDOPT($L109+$AB$5,$J109,$I109,$M109,$O109,$N109,$P109,$Q109-$C$3,$R109,7)*$H109)/100)</f>
        <v>-6605.3233894477053</v>
      </c>
      <c r="AD109" s="456">
        <f>(_xll.xSPRDOPT($L109+$AB$5,$J109,$I109,$M109,$O109,$N109,$P109,$Q109-$C$3,$R109,9)/365)*$H109</f>
        <v>-1598.4224452155838</v>
      </c>
      <c r="AE109">
        <f t="shared" si="120"/>
        <v>0</v>
      </c>
      <c r="AF109" s="456">
        <f t="shared" si="154"/>
        <v>6686.4626953040879</v>
      </c>
      <c r="AG109" s="456">
        <f>((_xll.xSPRDOPT($L109,$J109,$I109,$M109,$O109,$N109,$P109,$Q109-$C$3,$R109,6)*$H109)/100)</f>
        <v>-2449.1327039107932</v>
      </c>
      <c r="AH109" s="456">
        <f>((_xll.xSPRDOPT($L109,$J109,$I109,$M109,$O109,$N109,$P109,$Q109-$C$3,$R109,5)*$H109)/100)</f>
        <v>7941.1425524784536</v>
      </c>
      <c r="AI109" s="456">
        <f>(((_xll.xSPRDOPT($L109,$J109,$I109,$M109,$O109,$N109,$P109,$Q109-$C$3,$R109,4)*$H109)/10000)/100)-AB109</f>
        <v>3.0885170756612124E-3</v>
      </c>
      <c r="AJ109" s="456"/>
      <c r="AK109" s="456"/>
      <c r="AL109" s="456"/>
      <c r="AM109" s="472"/>
      <c r="AN109" s="128">
        <f t="shared" si="155"/>
        <v>39845</v>
      </c>
      <c r="AO109" s="43">
        <f t="shared" si="159"/>
        <v>0</v>
      </c>
      <c r="AP109" s="43">
        <f t="shared" si="159"/>
        <v>0</v>
      </c>
      <c r="AQ109" s="43">
        <f t="shared" si="159"/>
        <v>0</v>
      </c>
      <c r="AR109" s="43">
        <f t="shared" si="159"/>
        <v>0</v>
      </c>
      <c r="AS109" s="43">
        <f t="shared" si="159"/>
        <v>0</v>
      </c>
      <c r="AT109" s="43">
        <f t="shared" si="159"/>
        <v>0</v>
      </c>
      <c r="AU109" s="43">
        <f t="shared" si="159"/>
        <v>0</v>
      </c>
      <c r="AV109" s="43">
        <f t="shared" si="159"/>
        <v>0</v>
      </c>
      <c r="AW109" s="43">
        <f t="shared" si="159"/>
        <v>0</v>
      </c>
      <c r="AX109" s="43">
        <f t="shared" si="159"/>
        <v>0</v>
      </c>
      <c r="AY109" s="43">
        <f t="shared" si="159"/>
        <v>0</v>
      </c>
      <c r="AZ109" s="43">
        <f t="shared" si="159"/>
        <v>0</v>
      </c>
      <c r="BA109" s="44">
        <f t="shared" si="159"/>
        <v>0</v>
      </c>
      <c r="BB109" s="128">
        <f t="shared" si="156"/>
        <v>39845</v>
      </c>
      <c r="BC109" s="44">
        <f t="shared" si="124"/>
        <v>0</v>
      </c>
      <c r="BD109" s="51"/>
      <c r="BE109" s="128">
        <f t="shared" si="157"/>
        <v>39845</v>
      </c>
      <c r="BF109" s="43">
        <f t="shared" si="160"/>
        <v>0</v>
      </c>
      <c r="BG109" s="43">
        <f t="shared" si="160"/>
        <v>0</v>
      </c>
      <c r="BH109" s="43">
        <f t="shared" si="160"/>
        <v>0</v>
      </c>
      <c r="BI109" s="43">
        <f t="shared" si="160"/>
        <v>0</v>
      </c>
      <c r="BJ109" s="43">
        <f t="shared" si="160"/>
        <v>0</v>
      </c>
      <c r="BK109" s="43">
        <f t="shared" si="160"/>
        <v>0</v>
      </c>
      <c r="BL109" s="43">
        <f t="shared" si="160"/>
        <v>0</v>
      </c>
      <c r="BM109" s="43">
        <f t="shared" si="160"/>
        <v>0</v>
      </c>
      <c r="BN109" s="43">
        <f t="shared" si="160"/>
        <v>0</v>
      </c>
      <c r="BO109" s="43">
        <f t="shared" si="160"/>
        <v>0</v>
      </c>
      <c r="BP109" s="43">
        <f t="shared" si="160"/>
        <v>0</v>
      </c>
      <c r="BQ109" s="43">
        <f t="shared" si="160"/>
        <v>0</v>
      </c>
      <c r="BR109" s="44">
        <f t="shared" si="160"/>
        <v>0</v>
      </c>
      <c r="BS109" s="128">
        <f t="shared" si="158"/>
        <v>39845</v>
      </c>
      <c r="BT109" s="44">
        <f t="shared" si="127"/>
        <v>0</v>
      </c>
      <c r="BU109" s="51"/>
      <c r="BV109" s="51"/>
      <c r="BW109" s="51"/>
      <c r="BX109" s="51"/>
      <c r="BY109" s="51"/>
      <c r="BZ109" s="51"/>
      <c r="CA109" s="51"/>
      <c r="CB109" s="51"/>
      <c r="CC109" s="141">
        <f t="shared" si="143"/>
        <v>36892</v>
      </c>
      <c r="CD109" s="234">
        <f>_xll.xSPRDOPT((VLOOKUP(G109,NGPrices,2,FALSE)+HLOOKUP(D109,Prices,VLOOKUP(G109,move_down,2,FALSE),FALSE)),VLOOKUP(G109,NGPrices,2,FALSE),I109,VLOOKUP(G109,NGPREVPRICES,4,FALSE),HLOOKUP(D109,PREVVOLS,VLOOKUP(G109,MOVE_DOWN2,2,FALSE),FALSE),VLOOKUP(G109,NGPREVPRICES,3,FALSE),HLOOKUP(D109,Correllate,VLOOKUP(G109,CorMove,2,FALSE),FALSE),Q109-$CD$3,R109,$CD$5)*H109-CJ109</f>
        <v>0</v>
      </c>
      <c r="CE109" s="234">
        <f>_xll.xSPRDOPT((VLOOKUP(G109,NGPREVPRICES,2,FALSE)+HLOOKUP(D109,PREVCURVES,VLOOKUP(G109,MOVE_DOWN2,2,FALSE),FALSE)),VLOOKUP(G109,NGPREVPRICES,2,FALSE),CK109,VLOOKUP(G109,NGPrices,4,FALSE),HLOOKUP(D109,PREVVOLS,VLOOKUP(G109,MOVE_DOWN2,2,FALSE),FALSE),VLOOKUP(G109,NGPREVPRICES,3,FALSE),HLOOKUP(D109,Correllate,VLOOKUP(G109,CorMove,2,FALSE),FALSE),Q109-$CD$3,R109,$CJ$5)*H109-CJ109</f>
        <v>0</v>
      </c>
      <c r="CF109" s="10">
        <f t="shared" si="144"/>
        <v>-75.080084451648872</v>
      </c>
      <c r="CG109" s="234">
        <f>_xll.xSPRDOPT((VLOOKUP(G109,NGPREVPRICES,2,FALSE)+HLOOKUP(D109,PREVCURVES,VLOOKUP(G109,MOVE_DOWN2,2,FALSE),FALSE)),VLOOKUP(G109,NGPREVPRICES,2,FALSE),CK109,VLOOKUP(G109,NGPREVPRICES,4,FALSE),HLOOKUP(D109,VOLS,VLOOKUP(G109,move_down,2,FALSE),FALSE),VLOOKUP(G109,NGPrices,3,FALSE),HLOOKUP(D109,Correllate,VLOOKUP(G109,CorMove,2,FALSE),FALSE),Q109-$CD$3,R109,$CJ$5)*H109-CJ109</f>
        <v>0</v>
      </c>
      <c r="CH109" s="234">
        <f>_xll.xSPRDOPT((VLOOKUP(G109,NGPREVPRICES,2,FALSE)+HLOOKUP(D109,PREVCURVES,VLOOKUP(G109,MOVE_DOWN2,2,FALSE),FALSE)),VLOOKUP(G109,NGPREVPRICES,2,FALSE),CK109,VLOOKUP(G109,NGPREVPRICES,4,FALSE),HLOOKUP(D109,PREVVOLS,VLOOKUP(G109,MOVE_DOWN2,2,FALSE),FALSE),VLOOKUP(G109,NGPREVPRICES,3,FALSE),HLOOKUP(D109,Correllate,VLOOKUP(G109,CorMove,2,FALSE),FALSE),Q109-$C$3,R109,$CJ$5)*H109-CJ109</f>
        <v>-1593.5509446608485</v>
      </c>
      <c r="CI109" s="234">
        <f t="shared" si="145"/>
        <v>-1668.6310291124973</v>
      </c>
      <c r="CJ109" s="234">
        <f>_xll.xSPRDOPT((VLOOKUP(G109,NGPREVPRICES,2,FALSE)+HLOOKUP(D109,PREVCURVES,VLOOKUP(G109,MOVE_DOWN2,2,FALSE),FALSE)),VLOOKUP(G109,NGPREVPRICES,2,FALSE),CK109,VLOOKUP(G109,NGPREVPRICES,4,FALSE),HLOOKUP(D109,PREVVOLS,VLOOKUP(G109,MOVE_DOWN2,2,FALSE),FALSE),VLOOKUP(G109,NGPREVPRICES,3,FALSE),HLOOKUP(D109,Correllate,VLOOKUP(G109,CorMove,2,FALSE),FALSE),Q109-$CD$3,R109,$CJ$5)*H109</f>
        <v>398427.19493390259</v>
      </c>
      <c r="CK109" s="235">
        <f t="shared" si="146"/>
        <v>2.2000000000000002</v>
      </c>
      <c r="CL109" s="234"/>
      <c r="CM109" t="str">
        <f t="shared" si="147"/>
        <v>36892Curve Shift/Gamma</v>
      </c>
      <c r="CN109" t="str">
        <f t="shared" si="107"/>
        <v>36892Rho</v>
      </c>
      <c r="CO109" t="str">
        <f t="shared" si="108"/>
        <v>36892Drift</v>
      </c>
      <c r="CP109" t="str">
        <f t="shared" si="109"/>
        <v>36892Vega</v>
      </c>
      <c r="CQ109" t="str">
        <f t="shared" si="110"/>
        <v>36892Theta</v>
      </c>
    </row>
    <row r="110" spans="1:95" ht="12" customHeight="1" x14ac:dyDescent="0.25">
      <c r="A110" s="140" t="s">
        <v>284</v>
      </c>
      <c r="B110" t="s">
        <v>250</v>
      </c>
      <c r="C110" t="s">
        <v>319</v>
      </c>
      <c r="D110" s="4" t="s">
        <v>7</v>
      </c>
      <c r="E110" t="s">
        <v>20</v>
      </c>
      <c r="F110" t="s">
        <v>21</v>
      </c>
      <c r="G110" s="5">
        <v>36861</v>
      </c>
      <c r="H110" s="130">
        <v>620000</v>
      </c>
      <c r="I110">
        <v>2.2000000000000002</v>
      </c>
      <c r="J110" s="53">
        <f t="shared" si="148"/>
        <v>4.8</v>
      </c>
      <c r="K110" s="7">
        <f t="shared" si="149"/>
        <v>1.645</v>
      </c>
      <c r="L110" s="53">
        <f t="shared" si="150"/>
        <v>6.4450000000000003</v>
      </c>
      <c r="M110" s="157">
        <f t="shared" si="161"/>
        <v>6.8314027999354002E-2</v>
      </c>
      <c r="N110" s="4">
        <f t="shared" si="162"/>
        <v>0.6</v>
      </c>
      <c r="O110" s="4">
        <f t="shared" si="163"/>
        <v>0.69</v>
      </c>
      <c r="P110" s="9">
        <f t="shared" si="164"/>
        <v>0.83</v>
      </c>
      <c r="Q110" s="5">
        <f t="shared" si="116"/>
        <v>36859</v>
      </c>
      <c r="R110" s="4">
        <f t="shared" si="165"/>
        <v>1</v>
      </c>
      <c r="S110" s="158">
        <f>_xll.xSPRDOPT($L110,$J110,$I110,$M110,$O110,$N110,$P110,$Q110-$C$3,$R110,0)</f>
        <v>0.31946885047076623</v>
      </c>
      <c r="T110" s="159">
        <f>_xll.xSPRDOPT($L110,$J110,$I110,$M110,$O110,$N110,$P110,$Q110-$C$3,$R110,1)*H110</f>
        <v>236532.74918382213</v>
      </c>
      <c r="U110" s="160">
        <f t="shared" si="138"/>
        <v>198070.68729187507</v>
      </c>
      <c r="V110" s="159">
        <f>_xll.xSPRDOPT($L110,$J110,$I110,$M110,$O110,$N110,$P110,$Q110-$C$3,$R110,2)*H110</f>
        <v>-196985.62344091176</v>
      </c>
      <c r="W110" s="159">
        <f t="shared" si="166"/>
        <v>39547.125742910372</v>
      </c>
      <c r="X110" s="51" t="str">
        <f t="shared" si="151"/>
        <v>36861IF-TRANSCO/Z6</v>
      </c>
      <c r="Y110" s="418">
        <f t="shared" si="152"/>
        <v>62</v>
      </c>
      <c r="Z110" s="456">
        <f t="shared" si="153"/>
        <v>0.38150443416745505</v>
      </c>
      <c r="AA110" s="456">
        <f>_xll.xSPRDOPT($L110,$J110,$I110,$M110,$O110,$N110,$P110,$Q110-$C$3,$R110,3)</f>
        <v>0.28076777129705804</v>
      </c>
      <c r="AB110" s="456">
        <f>((_xll.xSPRDOPT($L110+AB$5,$J110,$I110,$M110,$O110,$N110,$P110,$Q110-$C$3,$R110,3)*$H110)/10000)/100</f>
        <v>0.17407601820417595</v>
      </c>
      <c r="AC110" s="456">
        <f>((_xll.xSPRDOPT($L110+$AB$5,$J110,$I110,$M110,$O110,$N110,$P110,$Q110-$C$3,$R110,7)*$H110)/100)</f>
        <v>-5276.4414201305653</v>
      </c>
      <c r="AD110" s="456">
        <f>(_xll.xSPRDOPT($L110+$AB$5,$J110,$I110,$M110,$O110,$N110,$P110,$Q110-$C$3,$R110,9)/365)*$H110</f>
        <v>-1672.9952133426896</v>
      </c>
      <c r="AE110">
        <f t="shared" si="120"/>
        <v>0</v>
      </c>
      <c r="AF110" s="456">
        <f t="shared" si="154"/>
        <v>5240.6143488486814</v>
      </c>
      <c r="AG110" s="456">
        <f>((_xll.xSPRDOPT($L110,$J110,$I110,$M110,$O110,$N110,$P110,$Q110-$C$3,$R110,6)*$H110)/100)</f>
        <v>-1912.3553524267961</v>
      </c>
      <c r="AH110" s="456">
        <f>((_xll.xSPRDOPT($L110,$J110,$I110,$M110,$O110,$N110,$P110,$Q110-$C$3,$R110,5)*$H110)/100)</f>
        <v>6219.9736532830248</v>
      </c>
      <c r="AI110" s="456">
        <f>(((_xll.xSPRDOPT($L110,$J110,$I110,$M110,$O110,$N110,$P110,$Q110-$C$3,$R110,4)*$H110)/10000)/100)-AB110</f>
        <v>-1.9375205842354887E-2</v>
      </c>
      <c r="AJ110" s="456"/>
      <c r="AK110" s="456"/>
      <c r="AL110" s="456"/>
      <c r="AM110" s="472"/>
      <c r="AN110" s="128">
        <f t="shared" si="155"/>
        <v>39873</v>
      </c>
      <c r="AO110" s="43">
        <f t="shared" si="159"/>
        <v>0</v>
      </c>
      <c r="AP110" s="43">
        <f t="shared" si="159"/>
        <v>0</v>
      </c>
      <c r="AQ110" s="43">
        <f t="shared" si="159"/>
        <v>0</v>
      </c>
      <c r="AR110" s="43">
        <f t="shared" si="159"/>
        <v>0</v>
      </c>
      <c r="AS110" s="43">
        <f t="shared" si="159"/>
        <v>0</v>
      </c>
      <c r="AT110" s="43">
        <f t="shared" si="159"/>
        <v>0</v>
      </c>
      <c r="AU110" s="43">
        <f t="shared" si="159"/>
        <v>0</v>
      </c>
      <c r="AV110" s="43">
        <f t="shared" si="159"/>
        <v>0</v>
      </c>
      <c r="AW110" s="43">
        <f t="shared" si="159"/>
        <v>0</v>
      </c>
      <c r="AX110" s="43">
        <f t="shared" si="159"/>
        <v>0</v>
      </c>
      <c r="AY110" s="43">
        <f t="shared" si="159"/>
        <v>0</v>
      </c>
      <c r="AZ110" s="43">
        <f t="shared" si="159"/>
        <v>0</v>
      </c>
      <c r="BA110" s="44">
        <f t="shared" si="159"/>
        <v>0</v>
      </c>
      <c r="BB110" s="128">
        <f t="shared" si="156"/>
        <v>39873</v>
      </c>
      <c r="BC110" s="44">
        <f t="shared" si="124"/>
        <v>0</v>
      </c>
      <c r="BD110" s="51"/>
      <c r="BE110" s="128">
        <f t="shared" si="157"/>
        <v>39873</v>
      </c>
      <c r="BF110" s="43">
        <f t="shared" si="160"/>
        <v>0</v>
      </c>
      <c r="BG110" s="43">
        <f t="shared" si="160"/>
        <v>0</v>
      </c>
      <c r="BH110" s="43">
        <f t="shared" si="160"/>
        <v>0</v>
      </c>
      <c r="BI110" s="43">
        <f t="shared" si="160"/>
        <v>0</v>
      </c>
      <c r="BJ110" s="43">
        <f t="shared" si="160"/>
        <v>0</v>
      </c>
      <c r="BK110" s="43">
        <f t="shared" si="160"/>
        <v>0</v>
      </c>
      <c r="BL110" s="43">
        <f t="shared" si="160"/>
        <v>0</v>
      </c>
      <c r="BM110" s="43">
        <f t="shared" si="160"/>
        <v>0</v>
      </c>
      <c r="BN110" s="43">
        <f t="shared" si="160"/>
        <v>0</v>
      </c>
      <c r="BO110" s="43">
        <f t="shared" si="160"/>
        <v>0</v>
      </c>
      <c r="BP110" s="43">
        <f t="shared" si="160"/>
        <v>0</v>
      </c>
      <c r="BQ110" s="43">
        <f t="shared" si="160"/>
        <v>0</v>
      </c>
      <c r="BR110" s="44">
        <f t="shared" si="160"/>
        <v>0</v>
      </c>
      <c r="BS110" s="128">
        <f t="shared" si="158"/>
        <v>39873</v>
      </c>
      <c r="BT110" s="44">
        <f t="shared" si="127"/>
        <v>0</v>
      </c>
      <c r="BU110" s="51"/>
      <c r="BV110" s="51"/>
      <c r="BW110" s="51"/>
      <c r="BX110" s="51"/>
      <c r="BY110" s="51"/>
      <c r="BZ110" s="51"/>
      <c r="CA110" s="51"/>
      <c r="CB110" s="51"/>
      <c r="CC110" s="141">
        <f t="shared" si="143"/>
        <v>36861</v>
      </c>
      <c r="CD110" s="234">
        <f>_xll.xSPRDOPT((VLOOKUP(G110,NGPrices,2,FALSE)+HLOOKUP(D110,Prices,VLOOKUP(G110,move_down,2,FALSE),FALSE)),VLOOKUP(G110,NGPrices,2,FALSE),I110,VLOOKUP(G110,NGPREVPRICES,4,FALSE),HLOOKUP(D110,PREVVOLS,VLOOKUP(G110,MOVE_DOWN2,2,FALSE),FALSE),VLOOKUP(G110,NGPREVPRICES,3,FALSE),HLOOKUP(D110,Correllate,VLOOKUP(G110,CorMove,2,FALSE),FALSE),Q110-$CD$3,R110,$CD$5)*H110-CJ110</f>
        <v>0</v>
      </c>
      <c r="CE110" s="234">
        <f>_xll.xSPRDOPT((VLOOKUP(G110,NGPREVPRICES,2,FALSE)+HLOOKUP(D110,PREVCURVES,VLOOKUP(G110,MOVE_DOWN2,2,FALSE),FALSE)),VLOOKUP(G110,NGPREVPRICES,2,FALSE),CK110,VLOOKUP(G110,NGPrices,4,FALSE),HLOOKUP(D110,PREVVOLS,VLOOKUP(G110,MOVE_DOWN2,2,FALSE),FALSE),VLOOKUP(G110,NGPREVPRICES,3,FALSE),HLOOKUP(D110,Correllate,VLOOKUP(G110,CorMove,2,FALSE),FALSE),Q110-$CD$3,R110,$CJ$5)*H110-CJ110</f>
        <v>0</v>
      </c>
      <c r="CF110" s="10">
        <f t="shared" si="144"/>
        <v>-37.418558908655541</v>
      </c>
      <c r="CG110" s="234">
        <f>_xll.xSPRDOPT((VLOOKUP(G110,NGPREVPRICES,2,FALSE)+HLOOKUP(D110,PREVCURVES,VLOOKUP(G110,MOVE_DOWN2,2,FALSE),FALSE)),VLOOKUP(G110,NGPREVPRICES,2,FALSE),CK110,VLOOKUP(G110,NGPREVPRICES,4,FALSE),HLOOKUP(D110,VOLS,VLOOKUP(G110,move_down,2,FALSE),FALSE),VLOOKUP(G110,NGPrices,3,FALSE),HLOOKUP(D110,Correllate,VLOOKUP(G110,CorMove,2,FALSE),FALSE),Q110-$CD$3,R110,$CJ$5)*H110-CJ110</f>
        <v>0</v>
      </c>
      <c r="CH110" s="234">
        <f>_xll.xSPRDOPT((VLOOKUP(G110,NGPREVPRICES,2,FALSE)+HLOOKUP(D110,PREVCURVES,VLOOKUP(G110,MOVE_DOWN2,2,FALSE),FALSE)),VLOOKUP(G110,NGPREVPRICES,2,FALSE),CK110,VLOOKUP(G110,NGPREVPRICES,4,FALSE),HLOOKUP(D110,PREVVOLS,VLOOKUP(G110,MOVE_DOWN2,2,FALSE),FALSE),VLOOKUP(G110,NGPREVPRICES,3,FALSE),HLOOKUP(D110,Correllate,VLOOKUP(G110,CorMove,2,FALSE),FALSE),Q110-$C$3,R110,$CJ$5)*H110-CJ110</f>
        <v>-1667.6031804744853</v>
      </c>
      <c r="CI110" s="234">
        <f t="shared" si="145"/>
        <v>-1705.0217393831408</v>
      </c>
      <c r="CJ110" s="234">
        <f>_xll.xSPRDOPT((VLOOKUP(G110,NGPREVPRICES,2,FALSE)+HLOOKUP(D110,PREVCURVES,VLOOKUP(G110,MOVE_DOWN2,2,FALSE),FALSE)),VLOOKUP(G110,NGPREVPRICES,2,FALSE),CK110,VLOOKUP(G110,NGPREVPRICES,4,FALSE),HLOOKUP(D110,PREVVOLS,VLOOKUP(G110,MOVE_DOWN2,2,FALSE),FALSE),VLOOKUP(G110,NGPREVPRICES,3,FALSE),HLOOKUP(D110,Correllate,VLOOKUP(G110,CorMove,2,FALSE),FALSE),Q110-$CD$3,R110,$CJ$5)*H110</f>
        <v>199738.29047234956</v>
      </c>
      <c r="CK110" s="235">
        <f t="shared" si="146"/>
        <v>2.2000000000000002</v>
      </c>
      <c r="CL110" s="234"/>
      <c r="CM110" t="str">
        <f t="shared" si="147"/>
        <v>36861Curve Shift/Gamma</v>
      </c>
      <c r="CN110" t="str">
        <f t="shared" si="107"/>
        <v>36861Rho</v>
      </c>
      <c r="CO110" t="str">
        <f t="shared" si="108"/>
        <v>36861Drift</v>
      </c>
      <c r="CP110" t="str">
        <f t="shared" si="109"/>
        <v>36861Vega</v>
      </c>
      <c r="CQ110" t="str">
        <f t="shared" si="110"/>
        <v>36861Theta</v>
      </c>
    </row>
    <row r="111" spans="1:95" ht="12" customHeight="1" x14ac:dyDescent="0.25">
      <c r="A111" s="140" t="s">
        <v>284</v>
      </c>
      <c r="B111" t="s">
        <v>250</v>
      </c>
      <c r="C111" t="s">
        <v>319</v>
      </c>
      <c r="D111" s="4" t="s">
        <v>7</v>
      </c>
      <c r="E111" t="s">
        <v>20</v>
      </c>
      <c r="F111" t="s">
        <v>21</v>
      </c>
      <c r="G111" s="5">
        <v>36831</v>
      </c>
      <c r="H111" s="130">
        <v>600000</v>
      </c>
      <c r="I111">
        <v>2.2000000000000002</v>
      </c>
      <c r="J111" s="53">
        <f t="shared" si="148"/>
        <v>4.7359999999999998</v>
      </c>
      <c r="K111" s="7">
        <f t="shared" si="149"/>
        <v>0.77</v>
      </c>
      <c r="L111" s="53">
        <f t="shared" si="150"/>
        <v>5.5060000000000002</v>
      </c>
      <c r="M111" s="157">
        <f t="shared" si="161"/>
        <v>6.810675983792E-2</v>
      </c>
      <c r="N111" s="4">
        <f t="shared" si="162"/>
        <v>0.59499999999999997</v>
      </c>
      <c r="O111" s="4">
        <f t="shared" si="163"/>
        <v>0.625</v>
      </c>
      <c r="P111" s="9">
        <f t="shared" si="164"/>
        <v>0.89</v>
      </c>
      <c r="Q111" s="5">
        <f t="shared" si="116"/>
        <v>36829</v>
      </c>
      <c r="R111" s="4">
        <f t="shared" si="165"/>
        <v>1</v>
      </c>
      <c r="S111" s="158">
        <f>_xll.xSPRDOPT($L111,$J111,$I111,$M111,$O111,$N111,$P111,$Q111-$C$3,$R111,0)</f>
        <v>1.2339927985641069E-2</v>
      </c>
      <c r="T111" s="159">
        <f>_xll.xSPRDOPT($L111,$J111,$I111,$M111,$O111,$N111,$P111,$Q111-$C$3,$R111,1)*H111</f>
        <v>26762.208064493992</v>
      </c>
      <c r="U111" s="160">
        <f t="shared" si="138"/>
        <v>7403.9567913846413</v>
      </c>
      <c r="V111" s="159">
        <f>_xll.xSPRDOPT($L111,$J111,$I111,$M111,$O111,$N111,$P111,$Q111-$C$3,$R111,2)*H111</f>
        <v>-21545.851434718938</v>
      </c>
      <c r="W111" s="159">
        <f t="shared" si="166"/>
        <v>5216.3566297750549</v>
      </c>
      <c r="X111" s="51" t="str">
        <f t="shared" si="151"/>
        <v>36831IF-TRANSCO/Z6</v>
      </c>
      <c r="Y111" s="418">
        <f t="shared" si="152"/>
        <v>60</v>
      </c>
      <c r="Z111" s="456">
        <f t="shared" si="153"/>
        <v>4.4603680107489989E-2</v>
      </c>
      <c r="AA111" s="456">
        <f>_xll.xSPRDOPT($L111,$J111,$I111,$M111,$O111,$N111,$P111,$Q111-$C$3,$R111,3)</f>
        <v>0.13263819415725464</v>
      </c>
      <c r="AB111" s="456">
        <f>((_xll.xSPRDOPT($L111+AB$5,$J111,$I111,$M111,$O111,$N111,$P111,$Q111-$C$3,$R111,3)*$H111)/10000)/100</f>
        <v>7.9582916494352784E-2</v>
      </c>
      <c r="AC111" s="456">
        <f>((_xll.xSPRDOPT($L111+$AB$5,$J111,$I111,$M111,$O111,$N111,$P111,$Q111-$C$3,$R111,7)*$H111)/100)</f>
        <v>-1100.6396257413771</v>
      </c>
      <c r="AD111" s="456">
        <f>(_xll.xSPRDOPT($L111+$AB$5,$J111,$I111,$M111,$O111,$N111,$P111,$Q111-$C$3,$R111,9)/365)*$H111</f>
        <v>-321.73527071358251</v>
      </c>
      <c r="AE111">
        <f t="shared" si="120"/>
        <v>0</v>
      </c>
      <c r="AF111" s="456">
        <f t="shared" si="154"/>
        <v>672.92538019968651</v>
      </c>
      <c r="AG111" s="456">
        <f>((_xll.xSPRDOPT($L111,$J111,$I111,$M111,$O111,$N111,$P111,$Q111-$C$3,$R111,6)*$H111)/100)</f>
        <v>-369.41783256660989</v>
      </c>
      <c r="AH111" s="456">
        <f>((_xll.xSPRDOPT($L111,$J111,$I111,$M111,$O111,$N111,$P111,$Q111-$C$3,$R111,5)*$H111)/100)</f>
        <v>992.31073855351406</v>
      </c>
      <c r="AI111" s="456">
        <f>(((_xll.xSPRDOPT($L111,$J111,$I111,$M111,$O111,$N111,$P111,$Q111-$C$3,$R111,4)*$H111)/10000)/100)-AB111</f>
        <v>-2.3217377723964969E-2</v>
      </c>
      <c r="AJ111" s="456"/>
      <c r="AK111" s="456"/>
      <c r="AL111" s="456"/>
      <c r="AM111" s="472"/>
      <c r="AN111" s="128">
        <f t="shared" si="155"/>
        <v>39904</v>
      </c>
      <c r="AO111" s="43">
        <f t="shared" si="159"/>
        <v>0</v>
      </c>
      <c r="AP111" s="43">
        <f t="shared" si="159"/>
        <v>0</v>
      </c>
      <c r="AQ111" s="43">
        <f t="shared" si="159"/>
        <v>0</v>
      </c>
      <c r="AR111" s="43">
        <f t="shared" si="159"/>
        <v>0</v>
      </c>
      <c r="AS111" s="43">
        <f t="shared" si="159"/>
        <v>0</v>
      </c>
      <c r="AT111" s="43">
        <f t="shared" si="159"/>
        <v>0</v>
      </c>
      <c r="AU111" s="43">
        <f t="shared" si="159"/>
        <v>0</v>
      </c>
      <c r="AV111" s="43">
        <f t="shared" si="159"/>
        <v>0</v>
      </c>
      <c r="AW111" s="43">
        <f t="shared" si="159"/>
        <v>0</v>
      </c>
      <c r="AX111" s="43">
        <f t="shared" si="159"/>
        <v>0</v>
      </c>
      <c r="AY111" s="43">
        <f t="shared" si="159"/>
        <v>0</v>
      </c>
      <c r="AZ111" s="43">
        <f t="shared" si="159"/>
        <v>0</v>
      </c>
      <c r="BA111" s="44">
        <f t="shared" si="159"/>
        <v>0</v>
      </c>
      <c r="BB111" s="128">
        <f t="shared" si="156"/>
        <v>39904</v>
      </c>
      <c r="BC111" s="44">
        <f t="shared" si="124"/>
        <v>0</v>
      </c>
      <c r="BD111" s="51"/>
      <c r="BE111" s="128">
        <f t="shared" si="157"/>
        <v>39904</v>
      </c>
      <c r="BF111" s="43">
        <f t="shared" si="160"/>
        <v>0</v>
      </c>
      <c r="BG111" s="43">
        <f t="shared" si="160"/>
        <v>0</v>
      </c>
      <c r="BH111" s="43">
        <f t="shared" si="160"/>
        <v>0</v>
      </c>
      <c r="BI111" s="43">
        <f t="shared" si="160"/>
        <v>0</v>
      </c>
      <c r="BJ111" s="43">
        <f t="shared" si="160"/>
        <v>0</v>
      </c>
      <c r="BK111" s="43">
        <f t="shared" si="160"/>
        <v>0</v>
      </c>
      <c r="BL111" s="43">
        <f t="shared" si="160"/>
        <v>0</v>
      </c>
      <c r="BM111" s="43">
        <f t="shared" si="160"/>
        <v>0</v>
      </c>
      <c r="BN111" s="43">
        <f t="shared" si="160"/>
        <v>0</v>
      </c>
      <c r="BO111" s="43">
        <f t="shared" si="160"/>
        <v>0</v>
      </c>
      <c r="BP111" s="43">
        <f t="shared" si="160"/>
        <v>0</v>
      </c>
      <c r="BQ111" s="43">
        <f t="shared" si="160"/>
        <v>0</v>
      </c>
      <c r="BR111" s="44">
        <f t="shared" si="160"/>
        <v>0</v>
      </c>
      <c r="BS111" s="128">
        <f t="shared" si="158"/>
        <v>39904</v>
      </c>
      <c r="BT111" s="44">
        <f t="shared" si="127"/>
        <v>0</v>
      </c>
      <c r="BU111" s="51"/>
      <c r="BV111" s="51"/>
      <c r="BW111" s="51"/>
      <c r="BX111" s="51"/>
      <c r="BY111" s="51"/>
      <c r="BZ111" s="51"/>
      <c r="CA111" s="51"/>
      <c r="CB111" s="51"/>
      <c r="CC111" s="141">
        <f t="shared" si="143"/>
        <v>36831</v>
      </c>
      <c r="CD111" s="234">
        <f>_xll.xSPRDOPT((VLOOKUP(G111,NGPrices,2,FALSE)+HLOOKUP(D111,Prices,VLOOKUP(G111,move_down,2,FALSE),FALSE)),VLOOKUP(G111,NGPrices,2,FALSE),I111,VLOOKUP(G111,NGPREVPRICES,4,FALSE),HLOOKUP(D111,PREVVOLS,VLOOKUP(G111,MOVE_DOWN2,2,FALSE),FALSE),VLOOKUP(G111,NGPREVPRICES,3,FALSE),HLOOKUP(D111,Correllate,VLOOKUP(G111,CorMove,2,FALSE),FALSE),Q111-$CD$3,R111,$CD$5)*H111-CJ111</f>
        <v>0</v>
      </c>
      <c r="CE111" s="234">
        <f>_xll.xSPRDOPT((VLOOKUP(G111,NGPREVPRICES,2,FALSE)+HLOOKUP(D111,PREVCURVES,VLOOKUP(G111,MOVE_DOWN2,2,FALSE),FALSE)),VLOOKUP(G111,NGPREVPRICES,2,FALSE),CK111,VLOOKUP(G111,NGPrices,4,FALSE),HLOOKUP(D111,PREVVOLS,VLOOKUP(G111,MOVE_DOWN2,2,FALSE),FALSE),VLOOKUP(G111,NGPREVPRICES,3,FALSE),HLOOKUP(D111,Correllate,VLOOKUP(G111,CorMove,2,FALSE),FALSE),Q111-$CD$3,R111,$CJ$5)*H111-CJ111</f>
        <v>0</v>
      </c>
      <c r="CF111" s="10">
        <f t="shared" si="144"/>
        <v>-1.4352019680954982</v>
      </c>
      <c r="CG111" s="234">
        <f>_xll.xSPRDOPT((VLOOKUP(G111,NGPREVPRICES,2,FALSE)+HLOOKUP(D111,PREVCURVES,VLOOKUP(G111,MOVE_DOWN2,2,FALSE),FALSE)),VLOOKUP(G111,NGPREVPRICES,2,FALSE),CK111,VLOOKUP(G111,NGPREVPRICES,4,FALSE),HLOOKUP(D111,VOLS,VLOOKUP(G111,move_down,2,FALSE),FALSE),VLOOKUP(G111,NGPrices,3,FALSE),HLOOKUP(D111,Correllate,VLOOKUP(G111,CorMove,2,FALSE),FALSE),Q111-$CD$3,R111,$CJ$5)*H111-CJ111</f>
        <v>0</v>
      </c>
      <c r="CH111" s="234">
        <f>_xll.xSPRDOPT((VLOOKUP(G111,NGPREVPRICES,2,FALSE)+HLOOKUP(D111,PREVCURVES,VLOOKUP(G111,MOVE_DOWN2,2,FALSE),FALSE)),VLOOKUP(G111,NGPREVPRICES,2,FALSE),CK111,VLOOKUP(G111,NGPREVPRICES,4,FALSE),HLOOKUP(D111,PREVVOLS,VLOOKUP(G111,MOVE_DOWN2,2,FALSE),FALSE),VLOOKUP(G111,NGPREVPRICES,3,FALSE),HLOOKUP(D111,Correllate,VLOOKUP(G111,CorMove,2,FALSE),FALSE),Q111-$C$3,R111,$CJ$5)*H111-CJ111</f>
        <v>-324.20528433836444</v>
      </c>
      <c r="CI111" s="234">
        <f t="shared" si="145"/>
        <v>-325.64048630645993</v>
      </c>
      <c r="CJ111" s="234">
        <f>_xll.xSPRDOPT((VLOOKUP(G111,NGPREVPRICES,2,FALSE)+HLOOKUP(D111,PREVCURVES,VLOOKUP(G111,MOVE_DOWN2,2,FALSE),FALSE)),VLOOKUP(G111,NGPREVPRICES,2,FALSE),CK111,VLOOKUP(G111,NGPREVPRICES,4,FALSE),HLOOKUP(D111,PREVVOLS,VLOOKUP(G111,MOVE_DOWN2,2,FALSE),FALSE),VLOOKUP(G111,NGPREVPRICES,3,FALSE),HLOOKUP(D111,Correllate,VLOOKUP(G111,CorMove,2,FALSE),FALSE),Q111-$CD$3,R111,$CJ$5)*H111</f>
        <v>7728.1620757230057</v>
      </c>
      <c r="CK111" s="235">
        <f t="shared" si="146"/>
        <v>2.2000000000000002</v>
      </c>
      <c r="CL111" s="234"/>
      <c r="CM111" t="str">
        <f t="shared" si="147"/>
        <v>36831Curve Shift/Gamma</v>
      </c>
      <c r="CN111" t="str">
        <f t="shared" si="107"/>
        <v>36831Rho</v>
      </c>
      <c r="CO111" t="str">
        <f t="shared" si="108"/>
        <v>36831Drift</v>
      </c>
      <c r="CP111" t="str">
        <f t="shared" si="109"/>
        <v>36831Vega</v>
      </c>
      <c r="CQ111" t="str">
        <f t="shared" si="110"/>
        <v>36831Theta</v>
      </c>
    </row>
    <row r="112" spans="1:95" ht="12" customHeight="1" x14ac:dyDescent="0.25">
      <c r="A112" s="140" t="s">
        <v>320</v>
      </c>
      <c r="B112" t="s">
        <v>250</v>
      </c>
      <c r="C112" t="s">
        <v>321</v>
      </c>
      <c r="D112" s="4" t="s">
        <v>7</v>
      </c>
      <c r="E112" t="s">
        <v>20</v>
      </c>
      <c r="F112" t="s">
        <v>1</v>
      </c>
      <c r="G112" s="5">
        <v>36951</v>
      </c>
      <c r="H112" s="130">
        <v>500000</v>
      </c>
      <c r="I112">
        <v>0.7</v>
      </c>
      <c r="J112" s="53">
        <f t="shared" si="148"/>
        <v>4.2130000000000001</v>
      </c>
      <c r="K112" s="7">
        <f t="shared" si="149"/>
        <v>1.075</v>
      </c>
      <c r="L112" s="53">
        <f t="shared" si="150"/>
        <v>5.2880000000000003</v>
      </c>
      <c r="M112" s="157">
        <f t="shared" si="161"/>
        <v>6.8879814952706994E-2</v>
      </c>
      <c r="N112" s="4">
        <f t="shared" si="162"/>
        <v>0.53249999999999997</v>
      </c>
      <c r="O112" s="4">
        <f t="shared" si="163"/>
        <v>0.61199999999999999</v>
      </c>
      <c r="P112" s="9">
        <f t="shared" si="164"/>
        <v>0.83</v>
      </c>
      <c r="Q112" s="5">
        <f t="shared" si="116"/>
        <v>36949</v>
      </c>
      <c r="R112" s="4">
        <f t="shared" si="165"/>
        <v>0</v>
      </c>
      <c r="S112" s="158">
        <f>_xll.xSPRDOPT($L112,$J112,$I112,$M112,$O112,$N112,$P112,$Q112-$C$3,$R112,0)</f>
        <v>0.31883698265392857</v>
      </c>
      <c r="T112" s="159">
        <f>_xll.xSPRDOPT($L112,$J112,$I112,$M112,$O112,$N112,$P112,$Q112-$C$3,$R112,1)*H112</f>
        <v>-162154.80346329458</v>
      </c>
      <c r="U112" s="160">
        <f t="shared" si="138"/>
        <v>159418.49132696429</v>
      </c>
      <c r="V112" s="159">
        <f>_xll.xSPRDOPT($L112,$J112,$I112,$M112,$O112,$N112,$P112,$Q112-$C$3,$R112,2)*H112</f>
        <v>205365.12451850498</v>
      </c>
      <c r="W112" s="159">
        <f t="shared" si="166"/>
        <v>43210.321055210399</v>
      </c>
      <c r="X112" s="51" t="str">
        <f t="shared" si="151"/>
        <v>36951IF-TRANSCO/Z6</v>
      </c>
      <c r="Y112" s="418">
        <f t="shared" si="152"/>
        <v>50</v>
      </c>
      <c r="Z112" s="456">
        <f t="shared" si="153"/>
        <v>-0.32430960692658917</v>
      </c>
      <c r="AA112" s="456">
        <f>_xll.xSPRDOPT($L112,$J112,$I112,$M112,$O112,$N112,$P112,$Q112-$C$3,$R112,3)</f>
        <v>0.27303208481340951</v>
      </c>
      <c r="AB112" s="456">
        <f>((_xll.xSPRDOPT($L112+AB$5,$J112,$I112,$M112,$O112,$N112,$P112,$Q112-$C$3,$R112,3)*$H112)/10000)/100</f>
        <v>0.13651604240670476</v>
      </c>
      <c r="AC112" s="456">
        <f>((_xll.xSPRDOPT($L112+$AB$5,$J112,$I112,$M112,$O112,$N112,$P112,$Q112-$C$3,$R112,7)*$H112)/100)</f>
        <v>-5311.8545450199872</v>
      </c>
      <c r="AD112" s="456">
        <f>(_xll.xSPRDOPT($L112+$AB$5,$J112,$I112,$M112,$O112,$N112,$P112,$Q112-$C$3,$R112,9)/365)*$H112</f>
        <v>-596.31352789022583</v>
      </c>
      <c r="AE112">
        <f t="shared" si="120"/>
        <v>0</v>
      </c>
      <c r="AF112" s="456">
        <f t="shared" si="154"/>
        <v>4278.923795981882</v>
      </c>
      <c r="AG112" s="456">
        <f>((_xll.xSPRDOPT($L112,$J112,$I112,$M112,$O112,$N112,$P112,$Q112-$C$3,$R112,6)*$H112)/100)</f>
        <v>-820.76525789435993</v>
      </c>
      <c r="AH112" s="456">
        <f>((_xll.xSPRDOPT($L112,$J112,$I112,$M112,$O112,$N112,$P112,$Q112-$C$3,$R112,5)*$H112)/100)</f>
        <v>4437.2294463874159</v>
      </c>
      <c r="AI112" s="456">
        <f>(((_xll.xSPRDOPT($L112,$J112,$I112,$M112,$O112,$N112,$P112,$Q112-$C$3,$R112,4)*$H112)/10000)/100)-AB112</f>
        <v>2.1858054995835263E-2</v>
      </c>
      <c r="AJ112" s="456"/>
      <c r="AK112" s="456"/>
      <c r="AL112" s="456"/>
      <c r="AM112" s="472"/>
      <c r="AN112" s="128">
        <f t="shared" si="155"/>
        <v>39934</v>
      </c>
      <c r="AO112" s="43">
        <f t="shared" si="159"/>
        <v>0</v>
      </c>
      <c r="AP112" s="43">
        <f t="shared" si="159"/>
        <v>0</v>
      </c>
      <c r="AQ112" s="43">
        <f t="shared" si="159"/>
        <v>0</v>
      </c>
      <c r="AR112" s="43">
        <f t="shared" si="159"/>
        <v>0</v>
      </c>
      <c r="AS112" s="43">
        <f t="shared" si="159"/>
        <v>0</v>
      </c>
      <c r="AT112" s="43">
        <f t="shared" si="159"/>
        <v>0</v>
      </c>
      <c r="AU112" s="43">
        <f t="shared" si="159"/>
        <v>0</v>
      </c>
      <c r="AV112" s="43">
        <f t="shared" si="159"/>
        <v>0</v>
      </c>
      <c r="AW112" s="43">
        <f t="shared" si="159"/>
        <v>0</v>
      </c>
      <c r="AX112" s="43">
        <f t="shared" si="159"/>
        <v>0</v>
      </c>
      <c r="AY112" s="43">
        <f t="shared" si="159"/>
        <v>0</v>
      </c>
      <c r="AZ112" s="43">
        <f t="shared" si="159"/>
        <v>0</v>
      </c>
      <c r="BA112" s="44">
        <f t="shared" si="159"/>
        <v>0</v>
      </c>
      <c r="BB112" s="128">
        <f t="shared" si="156"/>
        <v>39934</v>
      </c>
      <c r="BC112" s="44">
        <f t="shared" si="124"/>
        <v>0</v>
      </c>
      <c r="BD112" s="51"/>
      <c r="BE112" s="128">
        <f t="shared" si="157"/>
        <v>39934</v>
      </c>
      <c r="BF112" s="43">
        <f t="shared" si="160"/>
        <v>0</v>
      </c>
      <c r="BG112" s="43">
        <f t="shared" si="160"/>
        <v>0</v>
      </c>
      <c r="BH112" s="43">
        <f t="shared" si="160"/>
        <v>0</v>
      </c>
      <c r="BI112" s="43">
        <f t="shared" si="160"/>
        <v>0</v>
      </c>
      <c r="BJ112" s="43">
        <f t="shared" si="160"/>
        <v>0</v>
      </c>
      <c r="BK112" s="43">
        <f t="shared" si="160"/>
        <v>0</v>
      </c>
      <c r="BL112" s="43">
        <f t="shared" si="160"/>
        <v>0</v>
      </c>
      <c r="BM112" s="43">
        <f t="shared" si="160"/>
        <v>0</v>
      </c>
      <c r="BN112" s="43">
        <f t="shared" si="160"/>
        <v>0</v>
      </c>
      <c r="BO112" s="43">
        <f t="shared" si="160"/>
        <v>0</v>
      </c>
      <c r="BP112" s="43">
        <f t="shared" si="160"/>
        <v>0</v>
      </c>
      <c r="BQ112" s="43">
        <f t="shared" si="160"/>
        <v>0</v>
      </c>
      <c r="BR112" s="44">
        <f t="shared" si="160"/>
        <v>0</v>
      </c>
      <c r="BS112" s="128">
        <f t="shared" si="158"/>
        <v>39934</v>
      </c>
      <c r="BT112" s="44">
        <f t="shared" si="127"/>
        <v>0</v>
      </c>
      <c r="BU112" s="51"/>
      <c r="BV112" s="51"/>
      <c r="BW112" s="51"/>
      <c r="BX112" s="51"/>
      <c r="BY112" s="51"/>
      <c r="BZ112" s="51"/>
      <c r="CA112" s="51"/>
      <c r="CB112" s="51"/>
      <c r="CC112" s="141">
        <f t="shared" si="143"/>
        <v>36951</v>
      </c>
      <c r="CD112" s="234">
        <f>_xll.xSPRDOPT((VLOOKUP(G112,NGPrices,2,FALSE)+HLOOKUP(D112,Prices,VLOOKUP(G112,move_down,2,FALSE),FALSE)),VLOOKUP(G112,NGPrices,2,FALSE),I112,VLOOKUP(G112,NGPREVPRICES,4,FALSE),HLOOKUP(D112,PREVVOLS,VLOOKUP(G112,MOVE_DOWN2,2,FALSE),FALSE),VLOOKUP(G112,NGPREVPRICES,3,FALSE),HLOOKUP(D112,Correllate,VLOOKUP(G112,CorMove,2,FALSE),FALSE),Q112-$CD$3,R112,$CD$5)*H112-CJ112</f>
        <v>0</v>
      </c>
      <c r="CE112" s="234">
        <f>_xll.xSPRDOPT((VLOOKUP(G112,NGPREVPRICES,2,FALSE)+HLOOKUP(D112,PREVCURVES,VLOOKUP(G112,MOVE_DOWN2,2,FALSE),FALSE)),VLOOKUP(G112,NGPREVPRICES,2,FALSE),CK112,VLOOKUP(G112,NGPrices,4,FALSE),HLOOKUP(D112,PREVVOLS,VLOOKUP(G112,MOVE_DOWN2,2,FALSE),FALSE),VLOOKUP(G112,NGPREVPRICES,3,FALSE),HLOOKUP(D112,Correllate,VLOOKUP(G112,CorMove,2,FALSE),FALSE),Q112-$CD$3,R112,$CJ$5)*H112-CJ112</f>
        <v>0</v>
      </c>
      <c r="CF112" s="10">
        <f t="shared" si="144"/>
        <v>-30.688197011506418</v>
      </c>
      <c r="CG112" s="234">
        <f>_xll.xSPRDOPT((VLOOKUP(G112,NGPREVPRICES,2,FALSE)+HLOOKUP(D112,PREVCURVES,VLOOKUP(G112,MOVE_DOWN2,2,FALSE),FALSE)),VLOOKUP(G112,NGPREVPRICES,2,FALSE),CK112,VLOOKUP(G112,NGPREVPRICES,4,FALSE),HLOOKUP(D112,VOLS,VLOOKUP(G112,move_down,2,FALSE),FALSE),VLOOKUP(G112,NGPrices,3,FALSE),HLOOKUP(D112,Correllate,VLOOKUP(G112,CorMove,2,FALSE),FALSE),Q112-$CD$3,R112,$CJ$5)*H112-CJ112</f>
        <v>0</v>
      </c>
      <c r="CH112" s="234">
        <f>_xll.xSPRDOPT((VLOOKUP(G112,NGPREVPRICES,2,FALSE)+HLOOKUP(D112,PREVCURVES,VLOOKUP(G112,MOVE_DOWN2,2,FALSE),FALSE)),VLOOKUP(G112,NGPREVPRICES,2,FALSE),CK112,VLOOKUP(G112,NGPREVPRICES,4,FALSE),HLOOKUP(D112,PREVVOLS,VLOOKUP(G112,MOVE_DOWN2,2,FALSE),FALSE),VLOOKUP(G112,NGPREVPRICES,3,FALSE),HLOOKUP(D112,Correllate,VLOOKUP(G112,CorMove,2,FALSE),FALSE),Q112-$C$3,R112,$CJ$5)*H112-CJ112</f>
        <v>-595.00332731904928</v>
      </c>
      <c r="CI112" s="234">
        <f t="shared" si="145"/>
        <v>-625.69152433055569</v>
      </c>
      <c r="CJ112" s="234">
        <f>_xll.xSPRDOPT((VLOOKUP(G112,NGPREVPRICES,2,FALSE)+HLOOKUP(D112,PREVCURVES,VLOOKUP(G112,MOVE_DOWN2,2,FALSE),FALSE)),VLOOKUP(G112,NGPREVPRICES,2,FALSE),CK112,VLOOKUP(G112,NGPREVPRICES,4,FALSE),HLOOKUP(D112,PREVVOLS,VLOOKUP(G112,MOVE_DOWN2,2,FALSE),FALSE),VLOOKUP(G112,NGPREVPRICES,3,FALSE),HLOOKUP(D112,Correllate,VLOOKUP(G112,CorMove,2,FALSE),FALSE),Q112-$CD$3,R112,$CJ$5)*H112</f>
        <v>160013.49465428333</v>
      </c>
      <c r="CK112" s="235">
        <f t="shared" si="146"/>
        <v>0.7</v>
      </c>
      <c r="CL112" s="234"/>
      <c r="CM112" t="str">
        <f t="shared" si="147"/>
        <v>36951Curve Shift/Gamma</v>
      </c>
      <c r="CN112" t="str">
        <f t="shared" si="107"/>
        <v>36951Rho</v>
      </c>
      <c r="CO112" t="str">
        <f t="shared" si="108"/>
        <v>36951Drift</v>
      </c>
      <c r="CP112" t="str">
        <f t="shared" si="109"/>
        <v>36951Vega</v>
      </c>
      <c r="CQ112" t="str">
        <f t="shared" si="110"/>
        <v>36951Theta</v>
      </c>
    </row>
    <row r="113" spans="1:95" ht="12" customHeight="1" x14ac:dyDescent="0.25">
      <c r="A113" s="140" t="s">
        <v>320</v>
      </c>
      <c r="B113" t="s">
        <v>250</v>
      </c>
      <c r="C113" t="s">
        <v>321</v>
      </c>
      <c r="D113" s="4" t="s">
        <v>7</v>
      </c>
      <c r="E113" t="s">
        <v>20</v>
      </c>
      <c r="F113" t="s">
        <v>1</v>
      </c>
      <c r="G113" s="5">
        <v>36923</v>
      </c>
      <c r="H113" s="130">
        <v>500000</v>
      </c>
      <c r="I113">
        <v>0.7</v>
      </c>
      <c r="J113" s="53">
        <f t="shared" si="148"/>
        <v>4.4800000000000004</v>
      </c>
      <c r="K113" s="7">
        <f t="shared" si="149"/>
        <v>2.09</v>
      </c>
      <c r="L113" s="53">
        <f t="shared" si="150"/>
        <v>6.57</v>
      </c>
      <c r="M113" s="157">
        <f t="shared" si="161"/>
        <v>6.8640161611372E-2</v>
      </c>
      <c r="N113" s="4">
        <f t="shared" si="162"/>
        <v>0.59250000000000003</v>
      </c>
      <c r="O113" s="4">
        <f t="shared" si="163"/>
        <v>0.68100000000000005</v>
      </c>
      <c r="P113" s="9">
        <f t="shared" si="164"/>
        <v>0.83</v>
      </c>
      <c r="Q113" s="5">
        <f t="shared" si="116"/>
        <v>36921</v>
      </c>
      <c r="R113" s="4">
        <f t="shared" si="165"/>
        <v>0</v>
      </c>
      <c r="S113" s="158">
        <f>_xll.xSPRDOPT($L113,$J113,$I113,$M113,$O113,$N113,$P113,$Q113-$C$3,$R113,0)</f>
        <v>0.12813563574901565</v>
      </c>
      <c r="T113" s="159">
        <f>_xll.xSPRDOPT($L113,$J113,$I113,$M113,$O113,$N113,$P113,$Q113-$C$3,$R113,1)*H113</f>
        <v>-68200.331943590092</v>
      </c>
      <c r="U113" s="160">
        <f t="shared" si="138"/>
        <v>64067.817874507826</v>
      </c>
      <c r="V113" s="159">
        <f>_xll.xSPRDOPT($L113,$J113,$I113,$M113,$O113,$N113,$P113,$Q113-$C$3,$R113,2)*H113</f>
        <v>97741.303430718239</v>
      </c>
      <c r="W113" s="159">
        <f t="shared" si="166"/>
        <v>29540.971487128147</v>
      </c>
      <c r="X113" s="51" t="str">
        <f t="shared" si="151"/>
        <v>36923IF-TRANSCO/Z6</v>
      </c>
      <c r="Y113" s="418">
        <f t="shared" si="152"/>
        <v>50</v>
      </c>
      <c r="Z113" s="456">
        <f t="shared" si="153"/>
        <v>-0.1364006638871802</v>
      </c>
      <c r="AA113" s="456">
        <f>_xll.xSPRDOPT($L113,$J113,$I113,$M113,$O113,$N113,$P113,$Q113-$C$3,$R113,3)</f>
        <v>0.13210552062423978</v>
      </c>
      <c r="AB113" s="456">
        <f>((_xll.xSPRDOPT($L113+AB$5,$J113,$I113,$M113,$O113,$N113,$P113,$Q113-$C$3,$R113,3)*$H113)/10000)/100</f>
        <v>6.6052760312119888E-2</v>
      </c>
      <c r="AC113" s="456">
        <f>((_xll.xSPRDOPT($L113+$AB$5,$J113,$I113,$M113,$O113,$N113,$P113,$Q113-$C$3,$R113,7)*$H113)/100)</f>
        <v>-4169.972898542017</v>
      </c>
      <c r="AD113" s="456">
        <f>(_xll.xSPRDOPT($L113+$AB$5,$J113,$I113,$M113,$O113,$N113,$P113,$Q113-$C$3,$R113,9)/365)*$H113</f>
        <v>-566.71350573031953</v>
      </c>
      <c r="AE113">
        <f t="shared" si="120"/>
        <v>0</v>
      </c>
      <c r="AF113" s="456">
        <f t="shared" si="154"/>
        <v>3006.5252514853069</v>
      </c>
      <c r="AG113" s="456">
        <f>((_xll.xSPRDOPT($L113,$J113,$I113,$M113,$O113,$N113,$P113,$Q113-$C$3,$R113,6)*$H113)/100)</f>
        <v>-561.30363747133333</v>
      </c>
      <c r="AH113" s="456">
        <f>((_xll.xSPRDOPT($L113,$J113,$I113,$M113,$O113,$N113,$P113,$Q113-$C$3,$R113,5)*$H113)/100)</f>
        <v>3104.1683064710851</v>
      </c>
      <c r="AI113" s="456">
        <f>(((_xll.xSPRDOPT($L113,$J113,$I113,$M113,$O113,$N113,$P113,$Q113-$C$3,$R113,4)*$H113)/10000)/100)-AB113</f>
        <v>3.9258964384149692E-2</v>
      </c>
      <c r="AJ113" s="456"/>
      <c r="AK113" s="456"/>
      <c r="AL113" s="456"/>
      <c r="AM113" s="472"/>
      <c r="AN113" s="128">
        <f t="shared" si="155"/>
        <v>39965</v>
      </c>
      <c r="AO113" s="43">
        <f t="shared" si="159"/>
        <v>0</v>
      </c>
      <c r="AP113" s="43">
        <f t="shared" si="159"/>
        <v>0</v>
      </c>
      <c r="AQ113" s="43">
        <f t="shared" si="159"/>
        <v>0</v>
      </c>
      <c r="AR113" s="43">
        <f t="shared" si="159"/>
        <v>0</v>
      </c>
      <c r="AS113" s="43">
        <f t="shared" si="159"/>
        <v>0</v>
      </c>
      <c r="AT113" s="43">
        <f t="shared" si="159"/>
        <v>0</v>
      </c>
      <c r="AU113" s="43">
        <f t="shared" si="159"/>
        <v>0</v>
      </c>
      <c r="AV113" s="43">
        <f t="shared" si="159"/>
        <v>0</v>
      </c>
      <c r="AW113" s="43">
        <f t="shared" si="159"/>
        <v>0</v>
      </c>
      <c r="AX113" s="43">
        <f t="shared" si="159"/>
        <v>0</v>
      </c>
      <c r="AY113" s="43">
        <f t="shared" si="159"/>
        <v>0</v>
      </c>
      <c r="AZ113" s="43">
        <f t="shared" si="159"/>
        <v>0</v>
      </c>
      <c r="BA113" s="44">
        <f t="shared" si="159"/>
        <v>0</v>
      </c>
      <c r="BB113" s="128">
        <f t="shared" si="156"/>
        <v>39965</v>
      </c>
      <c r="BC113" s="44">
        <f t="shared" si="124"/>
        <v>0</v>
      </c>
      <c r="BD113" s="51"/>
      <c r="BE113" s="128">
        <f t="shared" si="157"/>
        <v>39965</v>
      </c>
      <c r="BF113" s="43">
        <f t="shared" si="160"/>
        <v>0</v>
      </c>
      <c r="BG113" s="43">
        <f t="shared" si="160"/>
        <v>0</v>
      </c>
      <c r="BH113" s="43">
        <f t="shared" si="160"/>
        <v>0</v>
      </c>
      <c r="BI113" s="43">
        <f t="shared" si="160"/>
        <v>0</v>
      </c>
      <c r="BJ113" s="43">
        <f t="shared" si="160"/>
        <v>0</v>
      </c>
      <c r="BK113" s="43">
        <f t="shared" si="160"/>
        <v>0</v>
      </c>
      <c r="BL113" s="43">
        <f t="shared" si="160"/>
        <v>0</v>
      </c>
      <c r="BM113" s="43">
        <f t="shared" si="160"/>
        <v>0</v>
      </c>
      <c r="BN113" s="43">
        <f t="shared" si="160"/>
        <v>0</v>
      </c>
      <c r="BO113" s="43">
        <f t="shared" si="160"/>
        <v>0</v>
      </c>
      <c r="BP113" s="43">
        <f t="shared" si="160"/>
        <v>0</v>
      </c>
      <c r="BQ113" s="43">
        <f t="shared" si="160"/>
        <v>0</v>
      </c>
      <c r="BR113" s="44">
        <f t="shared" si="160"/>
        <v>0</v>
      </c>
      <c r="BS113" s="128">
        <f t="shared" si="158"/>
        <v>39965</v>
      </c>
      <c r="BT113" s="44">
        <f t="shared" si="127"/>
        <v>0</v>
      </c>
      <c r="BU113" s="51"/>
      <c r="BV113" s="51"/>
      <c r="BW113" s="51"/>
      <c r="BX113" s="51"/>
      <c r="BY113" s="51"/>
      <c r="BZ113" s="51"/>
      <c r="CA113" s="51"/>
      <c r="CB113" s="51"/>
      <c r="CC113" s="141">
        <f t="shared" si="143"/>
        <v>36923</v>
      </c>
      <c r="CD113" s="234">
        <f>_xll.xSPRDOPT((VLOOKUP(G113,NGPrices,2,FALSE)+HLOOKUP(D113,Prices,VLOOKUP(G113,move_down,2,FALSE),FALSE)),VLOOKUP(G113,NGPrices,2,FALSE),I113,VLOOKUP(G113,NGPREVPRICES,4,FALSE),HLOOKUP(D113,PREVVOLS,VLOOKUP(G113,MOVE_DOWN2,2,FALSE),FALSE),VLOOKUP(G113,NGPREVPRICES,3,FALSE),HLOOKUP(D113,Correllate,VLOOKUP(G113,CorMove,2,FALSE),FALSE),Q113-$CD$3,R113,$CD$5)*H113-CJ113</f>
        <v>0</v>
      </c>
      <c r="CE113" s="234">
        <f>_xll.xSPRDOPT((VLOOKUP(G113,NGPREVPRICES,2,FALSE)+HLOOKUP(D113,PREVCURVES,VLOOKUP(G113,MOVE_DOWN2,2,FALSE),FALSE)),VLOOKUP(G113,NGPREVPRICES,2,FALSE),CK113,VLOOKUP(G113,NGPrices,4,FALSE),HLOOKUP(D113,PREVVOLS,VLOOKUP(G113,MOVE_DOWN2,2,FALSE),FALSE),VLOOKUP(G113,NGPREVPRICES,3,FALSE),HLOOKUP(D113,Correllate,VLOOKUP(G113,CorMove,2,FALSE),FALSE),Q113-$CD$3,R113,$CJ$5)*H113-CJ113</f>
        <v>0</v>
      </c>
      <c r="CF113" s="10">
        <f t="shared" si="144"/>
        <v>-12.292630176540115</v>
      </c>
      <c r="CG113" s="234">
        <f>_xll.xSPRDOPT((VLOOKUP(G113,NGPREVPRICES,2,FALSE)+HLOOKUP(D113,PREVCURVES,VLOOKUP(G113,MOVE_DOWN2,2,FALSE),FALSE)),VLOOKUP(G113,NGPREVPRICES,2,FALSE),CK113,VLOOKUP(G113,NGPREVPRICES,4,FALSE),HLOOKUP(D113,VOLS,VLOOKUP(G113,move_down,2,FALSE),FALSE),VLOOKUP(G113,NGPrices,3,FALSE),HLOOKUP(D113,Correllate,VLOOKUP(G113,CorMove,2,FALSE),FALSE),Q113-$CD$3,R113,$CJ$5)*H113-CJ113</f>
        <v>0</v>
      </c>
      <c r="CH113" s="234">
        <f>_xll.xSPRDOPT((VLOOKUP(G113,NGPREVPRICES,2,FALSE)+HLOOKUP(D113,PREVCURVES,VLOOKUP(G113,MOVE_DOWN2,2,FALSE),FALSE)),VLOOKUP(G113,NGPREVPRICES,2,FALSE),CK113,VLOOKUP(G113,NGPREVPRICES,4,FALSE),HLOOKUP(D113,PREVVOLS,VLOOKUP(G113,MOVE_DOWN2,2,FALSE),FALSE),VLOOKUP(G113,NGPREVPRICES,3,FALSE),HLOOKUP(D113,Correllate,VLOOKUP(G113,CorMove,2,FALSE),FALSE),Q113-$C$3,R113,$CJ$5)*H113-CJ113</f>
        <v>-566.12360174918285</v>
      </c>
      <c r="CI113" s="234">
        <f t="shared" si="145"/>
        <v>-578.41623192572297</v>
      </c>
      <c r="CJ113" s="234">
        <f>_xll.xSPRDOPT((VLOOKUP(G113,NGPREVPRICES,2,FALSE)+HLOOKUP(D113,PREVCURVES,VLOOKUP(G113,MOVE_DOWN2,2,FALSE),FALSE)),VLOOKUP(G113,NGPREVPRICES,2,FALSE),CK113,VLOOKUP(G113,NGPREVPRICES,4,FALSE),HLOOKUP(D113,PREVVOLS,VLOOKUP(G113,MOVE_DOWN2,2,FALSE),FALSE),VLOOKUP(G113,NGPREVPRICES,3,FALSE),HLOOKUP(D113,Correllate,VLOOKUP(G113,CorMove,2,FALSE),FALSE),Q113-$CD$3,R113,$CJ$5)*H113</f>
        <v>64633.941476257009</v>
      </c>
      <c r="CK113" s="235">
        <f t="shared" si="146"/>
        <v>0.7</v>
      </c>
      <c r="CL113" s="234"/>
      <c r="CM113" t="str">
        <f t="shared" si="147"/>
        <v>36923Curve Shift/Gamma</v>
      </c>
      <c r="CN113" t="str">
        <f t="shared" si="107"/>
        <v>36923Rho</v>
      </c>
      <c r="CO113" t="str">
        <f t="shared" si="108"/>
        <v>36923Drift</v>
      </c>
      <c r="CP113" t="str">
        <f t="shared" si="109"/>
        <v>36923Vega</v>
      </c>
      <c r="CQ113" t="str">
        <f t="shared" si="110"/>
        <v>36923Theta</v>
      </c>
    </row>
    <row r="114" spans="1:95" ht="12" customHeight="1" x14ac:dyDescent="0.25">
      <c r="A114" s="140" t="s">
        <v>320</v>
      </c>
      <c r="B114" t="s">
        <v>250</v>
      </c>
      <c r="C114" t="s">
        <v>321</v>
      </c>
      <c r="D114" s="4" t="s">
        <v>7</v>
      </c>
      <c r="E114" t="s">
        <v>20</v>
      </c>
      <c r="F114" t="s">
        <v>1</v>
      </c>
      <c r="G114" s="5">
        <v>36892</v>
      </c>
      <c r="H114" s="130">
        <v>500000</v>
      </c>
      <c r="I114">
        <v>0.7</v>
      </c>
      <c r="J114" s="53">
        <f t="shared" si="148"/>
        <v>4.7439999999999998</v>
      </c>
      <c r="K114" s="7">
        <f t="shared" si="149"/>
        <v>2.17</v>
      </c>
      <c r="L114" s="53">
        <f t="shared" si="150"/>
        <v>6.9139999999999997</v>
      </c>
      <c r="M114" s="157">
        <f t="shared" si="161"/>
        <v>6.8374831148490994E-2</v>
      </c>
      <c r="N114" s="4">
        <f t="shared" si="162"/>
        <v>0.60499999999999998</v>
      </c>
      <c r="O114" s="4">
        <f t="shared" si="163"/>
        <v>0.69599999999999995</v>
      </c>
      <c r="P114" s="9">
        <f t="shared" si="164"/>
        <v>0.83</v>
      </c>
      <c r="Q114" s="5">
        <f t="shared" si="116"/>
        <v>36888</v>
      </c>
      <c r="R114" s="4">
        <f t="shared" si="165"/>
        <v>0</v>
      </c>
      <c r="S114" s="158">
        <f>_xll.xSPRDOPT($L114,$J114,$I114,$M114,$O114,$N114,$P114,$Q114-$C$3,$R114,0)</f>
        <v>0.1001746166056221</v>
      </c>
      <c r="T114" s="159">
        <f>_xll.xSPRDOPT($L114,$J114,$I114,$M114,$O114,$N114,$P114,$Q114-$C$3,$R114,1)*H114</f>
        <v>-58868.466053644763</v>
      </c>
      <c r="U114" s="160">
        <f t="shared" si="138"/>
        <v>50087.308302811049</v>
      </c>
      <c r="V114" s="159">
        <f>_xll.xSPRDOPT($L114,$J114,$I114,$M114,$O114,$N114,$P114,$Q114-$C$3,$R114,2)*H114</f>
        <v>83146.457943560177</v>
      </c>
      <c r="W114" s="159">
        <f t="shared" si="166"/>
        <v>24277.991889915415</v>
      </c>
      <c r="X114" s="51" t="str">
        <f t="shared" si="151"/>
        <v>36892IF-TRANSCO/Z6</v>
      </c>
      <c r="Y114" s="418">
        <f t="shared" si="152"/>
        <v>50</v>
      </c>
      <c r="Z114" s="456">
        <f t="shared" si="153"/>
        <v>-0.11773693210728953</v>
      </c>
      <c r="AA114" s="456">
        <f>_xll.xSPRDOPT($L114,$J114,$I114,$M114,$O114,$N114,$P114,$Q114-$C$3,$R114,3)</f>
        <v>0.12559934703061812</v>
      </c>
      <c r="AB114" s="456">
        <f>((_xll.xSPRDOPT($L114+AB$5,$J114,$I114,$M114,$O114,$N114,$P114,$Q114-$C$3,$R114,3)*$H114)/10000)/100</f>
        <v>6.2799673515309073E-2</v>
      </c>
      <c r="AC114" s="456">
        <f>((_xll.xSPRDOPT($L114+$AB$5,$J114,$I114,$M114,$O114,$N114,$P114,$Q114-$C$3,$R114,7)*$H114)/100)</f>
        <v>-3628.6101732960942</v>
      </c>
      <c r="AD114" s="456">
        <f>(_xll.xSPRDOPT($L114+$AB$5,$J114,$I114,$M114,$O114,$N114,$P114,$Q114-$C$3,$R114,9)/365)*$H114</f>
        <v>-624.66513574719397</v>
      </c>
      <c r="AE114">
        <f t="shared" si="120"/>
        <v>0</v>
      </c>
      <c r="AF114" s="456">
        <f t="shared" si="154"/>
        <v>2534.4556967570661</v>
      </c>
      <c r="AG114" s="456">
        <f>((_xll.xSPRDOPT($L114,$J114,$I114,$M114,$O114,$N114,$P114,$Q114-$C$3,$R114,6)*$H114)/100)</f>
        <v>-450.3726293451266</v>
      </c>
      <c r="AH114" s="456">
        <f>((_xll.xSPRDOPT($L114,$J114,$I114,$M114,$O114,$N114,$P114,$Q114-$C$3,$R114,5)*$H114)/100)</f>
        <v>2594.5705995572221</v>
      </c>
      <c r="AI114" s="456">
        <f>(((_xll.xSPRDOPT($L114,$J114,$I114,$M114,$O114,$N114,$P114,$Q114-$C$3,$R114,4)*$H114)/10000)/100)-AB114</f>
        <v>3.7579800969219451E-2</v>
      </c>
      <c r="AJ114" s="456"/>
      <c r="AK114" s="456"/>
      <c r="AL114" s="456"/>
      <c r="AM114" s="472"/>
      <c r="AN114" s="128">
        <f t="shared" si="155"/>
        <v>39995</v>
      </c>
      <c r="AO114" s="43">
        <f t="shared" si="159"/>
        <v>0</v>
      </c>
      <c r="AP114" s="43">
        <f t="shared" si="159"/>
        <v>0</v>
      </c>
      <c r="AQ114" s="43">
        <f t="shared" si="159"/>
        <v>0</v>
      </c>
      <c r="AR114" s="43">
        <f t="shared" si="159"/>
        <v>0</v>
      </c>
      <c r="AS114" s="43">
        <f t="shared" si="159"/>
        <v>0</v>
      </c>
      <c r="AT114" s="43">
        <f t="shared" si="159"/>
        <v>0</v>
      </c>
      <c r="AU114" s="43">
        <f t="shared" si="159"/>
        <v>0</v>
      </c>
      <c r="AV114" s="43">
        <f t="shared" si="159"/>
        <v>0</v>
      </c>
      <c r="AW114" s="43">
        <f t="shared" si="159"/>
        <v>0</v>
      </c>
      <c r="AX114" s="43">
        <f t="shared" si="159"/>
        <v>0</v>
      </c>
      <c r="AY114" s="43">
        <f t="shared" si="159"/>
        <v>0</v>
      </c>
      <c r="AZ114" s="43">
        <f t="shared" si="159"/>
        <v>0</v>
      </c>
      <c r="BA114" s="44">
        <f t="shared" si="159"/>
        <v>0</v>
      </c>
      <c r="BB114" s="128">
        <f t="shared" si="156"/>
        <v>39995</v>
      </c>
      <c r="BC114" s="44">
        <f t="shared" si="124"/>
        <v>0</v>
      </c>
      <c r="BD114" s="51"/>
      <c r="BE114" s="128">
        <f t="shared" si="157"/>
        <v>39995</v>
      </c>
      <c r="BF114" s="43">
        <f t="shared" si="160"/>
        <v>0</v>
      </c>
      <c r="BG114" s="43">
        <f t="shared" si="160"/>
        <v>0</v>
      </c>
      <c r="BH114" s="43">
        <f t="shared" si="160"/>
        <v>0</v>
      </c>
      <c r="BI114" s="43">
        <f t="shared" si="160"/>
        <v>0</v>
      </c>
      <c r="BJ114" s="43">
        <f t="shared" si="160"/>
        <v>0</v>
      </c>
      <c r="BK114" s="43">
        <f t="shared" si="160"/>
        <v>0</v>
      </c>
      <c r="BL114" s="43">
        <f t="shared" si="160"/>
        <v>0</v>
      </c>
      <c r="BM114" s="43">
        <f t="shared" si="160"/>
        <v>0</v>
      </c>
      <c r="BN114" s="43">
        <f t="shared" si="160"/>
        <v>0</v>
      </c>
      <c r="BO114" s="43">
        <f t="shared" si="160"/>
        <v>0</v>
      </c>
      <c r="BP114" s="43">
        <f t="shared" si="160"/>
        <v>0</v>
      </c>
      <c r="BQ114" s="43">
        <f t="shared" si="160"/>
        <v>0</v>
      </c>
      <c r="BR114" s="44">
        <f t="shared" si="160"/>
        <v>0</v>
      </c>
      <c r="BS114" s="128">
        <f t="shared" si="158"/>
        <v>39995</v>
      </c>
      <c r="BT114" s="44">
        <f t="shared" si="127"/>
        <v>0</v>
      </c>
      <c r="BU114" s="51"/>
      <c r="BV114" s="51"/>
      <c r="BW114" s="51"/>
      <c r="BX114" s="51"/>
      <c r="BY114" s="51"/>
      <c r="BZ114" s="51"/>
      <c r="CA114" s="51"/>
      <c r="CB114" s="51"/>
      <c r="CC114" s="141">
        <f t="shared" si="143"/>
        <v>36892</v>
      </c>
      <c r="CD114" s="234">
        <f>_xll.xSPRDOPT((VLOOKUP(G114,NGPrices,2,FALSE)+HLOOKUP(D114,Prices,VLOOKUP(G114,move_down,2,FALSE),FALSE)),VLOOKUP(G114,NGPrices,2,FALSE),I114,VLOOKUP(G114,NGPREVPRICES,4,FALSE),HLOOKUP(D114,PREVVOLS,VLOOKUP(G114,MOVE_DOWN2,2,FALSE),FALSE),VLOOKUP(G114,NGPREVPRICES,3,FALSE),HLOOKUP(D114,Correllate,VLOOKUP(G114,CorMove,2,FALSE),FALSE),Q114-$CD$3,R114,$CD$5)*H114-CJ114</f>
        <v>0</v>
      </c>
      <c r="CE114" s="234">
        <f>_xll.xSPRDOPT((VLOOKUP(G114,NGPREVPRICES,2,FALSE)+HLOOKUP(D114,PREVCURVES,VLOOKUP(G114,MOVE_DOWN2,2,FALSE),FALSE)),VLOOKUP(G114,NGPREVPRICES,2,FALSE),CK114,VLOOKUP(G114,NGPrices,4,FALSE),HLOOKUP(D114,PREVVOLS,VLOOKUP(G114,MOVE_DOWN2,2,FALSE),FALSE),VLOOKUP(G114,NGPREVPRICES,3,FALSE),HLOOKUP(D114,Correllate,VLOOKUP(G114,CorMove,2,FALSE),FALSE),Q114-$CD$3,R114,$CJ$5)*H114-CJ114</f>
        <v>0</v>
      </c>
      <c r="CF114" s="10">
        <f t="shared" si="144"/>
        <v>-9.5561484889985877</v>
      </c>
      <c r="CG114" s="234">
        <f>_xll.xSPRDOPT((VLOOKUP(G114,NGPREVPRICES,2,FALSE)+HLOOKUP(D114,PREVCURVES,VLOOKUP(G114,MOVE_DOWN2,2,FALSE),FALSE)),VLOOKUP(G114,NGPREVPRICES,2,FALSE),CK114,VLOOKUP(G114,NGPREVPRICES,4,FALSE),HLOOKUP(D114,VOLS,VLOOKUP(G114,move_down,2,FALSE),FALSE),VLOOKUP(G114,NGPrices,3,FALSE),HLOOKUP(D114,Correllate,VLOOKUP(G114,CorMove,2,FALSE),FALSE),Q114-$CD$3,R114,$CJ$5)*H114-CJ114</f>
        <v>0</v>
      </c>
      <c r="CH114" s="234">
        <f>_xll.xSPRDOPT((VLOOKUP(G114,NGPREVPRICES,2,FALSE)+HLOOKUP(D114,PREVCURVES,VLOOKUP(G114,MOVE_DOWN2,2,FALSE),FALSE)),VLOOKUP(G114,NGPREVPRICES,2,FALSE),CK114,VLOOKUP(G114,NGPREVPRICES,4,FALSE),HLOOKUP(D114,PREVVOLS,VLOOKUP(G114,MOVE_DOWN2,2,FALSE),FALSE),VLOOKUP(G114,NGPREVPRICES,3,FALSE),HLOOKUP(D114,Correllate,VLOOKUP(G114,CorMove,2,FALSE),FALSE),Q114-$C$3,R114,$CJ$5)*H114-CJ114</f>
        <v>-624.26807128318615</v>
      </c>
      <c r="CI114" s="234">
        <f t="shared" si="145"/>
        <v>-633.82421977218473</v>
      </c>
      <c r="CJ114" s="234">
        <f>_xll.xSPRDOPT((VLOOKUP(G114,NGPREVPRICES,2,FALSE)+HLOOKUP(D114,PREVCURVES,VLOOKUP(G114,MOVE_DOWN2,2,FALSE),FALSE)),VLOOKUP(G114,NGPREVPRICES,2,FALSE),CK114,VLOOKUP(G114,NGPREVPRICES,4,FALSE),HLOOKUP(D114,PREVVOLS,VLOOKUP(G114,MOVE_DOWN2,2,FALSE),FALSE),VLOOKUP(G114,NGPREVPRICES,3,FALSE),HLOOKUP(D114,Correllate,VLOOKUP(G114,CorMove,2,FALSE),FALSE),Q114-$CD$3,R114,$CJ$5)*H114</f>
        <v>50711.576374094235</v>
      </c>
      <c r="CK114" s="235">
        <f t="shared" si="146"/>
        <v>0.7</v>
      </c>
      <c r="CL114" s="234"/>
      <c r="CM114" t="str">
        <f t="shared" si="147"/>
        <v>36892Curve Shift/Gamma</v>
      </c>
      <c r="CN114" t="str">
        <f t="shared" si="107"/>
        <v>36892Rho</v>
      </c>
      <c r="CO114" t="str">
        <f t="shared" si="108"/>
        <v>36892Drift</v>
      </c>
      <c r="CP114" t="str">
        <f t="shared" si="109"/>
        <v>36892Vega</v>
      </c>
      <c r="CQ114" t="str">
        <f t="shared" si="110"/>
        <v>36892Theta</v>
      </c>
    </row>
    <row r="115" spans="1:95" ht="12" customHeight="1" x14ac:dyDescent="0.25">
      <c r="A115" s="140" t="s">
        <v>320</v>
      </c>
      <c r="B115" t="s">
        <v>250</v>
      </c>
      <c r="C115" t="s">
        <v>321</v>
      </c>
      <c r="D115" s="4" t="s">
        <v>7</v>
      </c>
      <c r="E115" t="s">
        <v>20</v>
      </c>
      <c r="F115" t="s">
        <v>1</v>
      </c>
      <c r="G115" s="5">
        <v>36861</v>
      </c>
      <c r="H115" s="130">
        <v>500000</v>
      </c>
      <c r="I115">
        <v>0.7</v>
      </c>
      <c r="J115" s="53">
        <f t="shared" si="148"/>
        <v>4.8</v>
      </c>
      <c r="K115" s="7">
        <f t="shared" si="149"/>
        <v>1.645</v>
      </c>
      <c r="L115" s="53">
        <f t="shared" si="150"/>
        <v>6.4450000000000003</v>
      </c>
      <c r="M115" s="157">
        <f t="shared" si="161"/>
        <v>6.8314027999354002E-2</v>
      </c>
      <c r="N115" s="4">
        <f t="shared" si="162"/>
        <v>0.6</v>
      </c>
      <c r="O115" s="4">
        <f t="shared" si="163"/>
        <v>0.69</v>
      </c>
      <c r="P115" s="9">
        <f t="shared" si="164"/>
        <v>0.83</v>
      </c>
      <c r="Q115" s="5">
        <f t="shared" si="116"/>
        <v>36859</v>
      </c>
      <c r="R115" s="4">
        <f t="shared" si="165"/>
        <v>0</v>
      </c>
      <c r="S115" s="158">
        <f>_xll.xSPRDOPT($L115,$J115,$I115,$M115,$O115,$N115,$P115,$Q115-$C$3,$R115,0)</f>
        <v>0.13350735548956805</v>
      </c>
      <c r="T115" s="159">
        <f>_xll.xSPRDOPT($L115,$J115,$I115,$M115,$O115,$N115,$P115,$Q115-$C$3,$R115,1)*H115</f>
        <v>-88969.021261736387</v>
      </c>
      <c r="U115" s="160">
        <f t="shared" si="138"/>
        <v>66753.677744784029</v>
      </c>
      <c r="V115" s="159">
        <f>_xll.xSPRDOPT($L115,$J115,$I115,$M115,$O115,$N115,$P115,$Q115-$C$3,$R115,2)*H115</f>
        <v>115589.04600083502</v>
      </c>
      <c r="W115" s="159">
        <f t="shared" si="166"/>
        <v>26620.024739098633</v>
      </c>
      <c r="X115" s="51" t="str">
        <f t="shared" si="151"/>
        <v>36861IF-TRANSCO/Z6</v>
      </c>
      <c r="Y115" s="418">
        <f t="shared" si="152"/>
        <v>50</v>
      </c>
      <c r="Z115" s="456">
        <f t="shared" si="153"/>
        <v>-0.17793804252347278</v>
      </c>
      <c r="AA115" s="456">
        <f>_xll.xSPRDOPT($L115,$J115,$I115,$M115,$O115,$N115,$P115,$Q115-$C$3,$R115,3)</f>
        <v>0.205994400015411</v>
      </c>
      <c r="AB115" s="456">
        <f>((_xll.xSPRDOPT($L115+AB$5,$J115,$I115,$M115,$O115,$N115,$P115,$Q115-$C$3,$R115,3)*$H115)/10000)/100</f>
        <v>0.1029972000077055</v>
      </c>
      <c r="AC115" s="456">
        <f>((_xll.xSPRDOPT($L115+$AB$5,$J115,$I115,$M115,$O115,$N115,$P115,$Q115-$C$3,$R115,7)*$H115)/100)</f>
        <v>-3880.2868102291895</v>
      </c>
      <c r="AD115" s="456">
        <f>(_xll.xSPRDOPT($L115+$AB$5,$J115,$I115,$M115,$O115,$N115,$P115,$Q115-$C$3,$R115,9)/365)*$H115</f>
        <v>-873.23798318647403</v>
      </c>
      <c r="AE115">
        <f t="shared" si="120"/>
        <v>0</v>
      </c>
      <c r="AF115" s="456">
        <f t="shared" si="154"/>
        <v>2714.3847596617688</v>
      </c>
      <c r="AG115" s="456">
        <f>((_xll.xSPRDOPT($L115,$J115,$I115,$M115,$O115,$N115,$P115,$Q115-$C$3,$R115,6)*$H115)/100)</f>
        <v>-468.89434035853191</v>
      </c>
      <c r="AH115" s="456">
        <f>((_xll.xSPRDOPT($L115,$J115,$I115,$M115,$O115,$N115,$P115,$Q115-$C$3,$R115,5)*$H115)/100)</f>
        <v>2768.0687826263484</v>
      </c>
      <c r="AI115" s="456">
        <f>(((_xll.xSPRDOPT($L115,$J115,$I115,$M115,$O115,$N115,$P115,$Q115-$C$3,$R115,4)*$H115)/10000)/100)-AB115</f>
        <v>3.7692015315480873E-2</v>
      </c>
      <c r="AJ115" s="456"/>
      <c r="AK115" s="456"/>
      <c r="AL115" s="456"/>
      <c r="AM115" s="472"/>
      <c r="AN115" s="128">
        <f t="shared" si="155"/>
        <v>40026</v>
      </c>
      <c r="AO115" s="43">
        <f t="shared" si="159"/>
        <v>0</v>
      </c>
      <c r="AP115" s="43">
        <f t="shared" si="159"/>
        <v>0</v>
      </c>
      <c r="AQ115" s="43">
        <f t="shared" si="159"/>
        <v>0</v>
      </c>
      <c r="AR115" s="43">
        <f t="shared" si="159"/>
        <v>0</v>
      </c>
      <c r="AS115" s="43">
        <f t="shared" si="159"/>
        <v>0</v>
      </c>
      <c r="AT115" s="43">
        <f t="shared" si="159"/>
        <v>0</v>
      </c>
      <c r="AU115" s="43">
        <f t="shared" si="159"/>
        <v>0</v>
      </c>
      <c r="AV115" s="43">
        <f t="shared" si="159"/>
        <v>0</v>
      </c>
      <c r="AW115" s="43">
        <f t="shared" si="159"/>
        <v>0</v>
      </c>
      <c r="AX115" s="43">
        <f t="shared" si="159"/>
        <v>0</v>
      </c>
      <c r="AY115" s="43">
        <f t="shared" si="159"/>
        <v>0</v>
      </c>
      <c r="AZ115" s="43">
        <f t="shared" si="159"/>
        <v>0</v>
      </c>
      <c r="BA115" s="44">
        <f t="shared" si="159"/>
        <v>0</v>
      </c>
      <c r="BB115" s="128">
        <f t="shared" si="156"/>
        <v>40026</v>
      </c>
      <c r="BC115" s="44">
        <f t="shared" si="124"/>
        <v>0</v>
      </c>
      <c r="BD115" s="51"/>
      <c r="BE115" s="128">
        <f t="shared" si="157"/>
        <v>40026</v>
      </c>
      <c r="BF115" s="43">
        <f t="shared" si="160"/>
        <v>0</v>
      </c>
      <c r="BG115" s="43">
        <f t="shared" si="160"/>
        <v>0</v>
      </c>
      <c r="BH115" s="43">
        <f t="shared" si="160"/>
        <v>0</v>
      </c>
      <c r="BI115" s="43">
        <f t="shared" si="160"/>
        <v>0</v>
      </c>
      <c r="BJ115" s="43">
        <f t="shared" si="160"/>
        <v>0</v>
      </c>
      <c r="BK115" s="43">
        <f t="shared" si="160"/>
        <v>0</v>
      </c>
      <c r="BL115" s="43">
        <f t="shared" si="160"/>
        <v>0</v>
      </c>
      <c r="BM115" s="43">
        <f t="shared" si="160"/>
        <v>0</v>
      </c>
      <c r="BN115" s="43">
        <f t="shared" si="160"/>
        <v>0</v>
      </c>
      <c r="BO115" s="43">
        <f t="shared" si="160"/>
        <v>0</v>
      </c>
      <c r="BP115" s="43">
        <f t="shared" si="160"/>
        <v>0</v>
      </c>
      <c r="BQ115" s="43">
        <f t="shared" si="160"/>
        <v>0</v>
      </c>
      <c r="BR115" s="44">
        <f t="shared" si="160"/>
        <v>0</v>
      </c>
      <c r="BS115" s="128">
        <f t="shared" si="158"/>
        <v>40026</v>
      </c>
      <c r="BT115" s="44">
        <f t="shared" si="127"/>
        <v>0</v>
      </c>
      <c r="BU115" s="51"/>
      <c r="BV115" s="51"/>
      <c r="BW115" s="51"/>
      <c r="BX115" s="51"/>
      <c r="BY115" s="51"/>
      <c r="BZ115" s="51"/>
      <c r="CA115" s="51"/>
      <c r="CB115" s="51"/>
      <c r="CC115" s="141">
        <f t="shared" si="143"/>
        <v>36861</v>
      </c>
      <c r="CD115" s="234">
        <f>_xll.xSPRDOPT((VLOOKUP(G115,NGPrices,2,FALSE)+HLOOKUP(D115,Prices,VLOOKUP(G115,move_down,2,FALSE),FALSE)),VLOOKUP(G115,NGPrices,2,FALSE),I115,VLOOKUP(G115,NGPREVPRICES,4,FALSE),HLOOKUP(D115,PREVVOLS,VLOOKUP(G115,MOVE_DOWN2,2,FALSE),FALSE),VLOOKUP(G115,NGPREVPRICES,3,FALSE),HLOOKUP(D115,Correllate,VLOOKUP(G115,CorMove,2,FALSE),FALSE),Q115-$CD$3,R115,$CD$5)*H115-CJ115</f>
        <v>0</v>
      </c>
      <c r="CE115" s="234">
        <f>_xll.xSPRDOPT((VLOOKUP(G115,NGPREVPRICES,2,FALSE)+HLOOKUP(D115,PREVCURVES,VLOOKUP(G115,MOVE_DOWN2,2,FALSE),FALSE)),VLOOKUP(G115,NGPREVPRICES,2,FALSE),CK115,VLOOKUP(G115,NGPrices,4,FALSE),HLOOKUP(D115,PREVVOLS,VLOOKUP(G115,MOVE_DOWN2,2,FALSE),FALSE),VLOOKUP(G115,NGPREVPRICES,3,FALSE),HLOOKUP(D115,Correllate,VLOOKUP(G115,CorMove,2,FALSE),FALSE),Q115-$CD$3,R115,$CJ$5)*H115-CJ115</f>
        <v>0</v>
      </c>
      <c r="CF115" s="10">
        <f t="shared" si="144"/>
        <v>-12.668788987954031</v>
      </c>
      <c r="CG115" s="234">
        <f>_xll.xSPRDOPT((VLOOKUP(G115,NGPREVPRICES,2,FALSE)+HLOOKUP(D115,PREVCURVES,VLOOKUP(G115,MOVE_DOWN2,2,FALSE),FALSE)),VLOOKUP(G115,NGPREVPRICES,2,FALSE),CK115,VLOOKUP(G115,NGPREVPRICES,4,FALSE),HLOOKUP(D115,VOLS,VLOOKUP(G115,move_down,2,FALSE),FALSE),VLOOKUP(G115,NGPrices,3,FALSE),HLOOKUP(D115,Correllate,VLOOKUP(G115,CorMove,2,FALSE),FALSE),Q115-$CD$3,R115,$CJ$5)*H115-CJ115</f>
        <v>0</v>
      </c>
      <c r="CH115" s="234">
        <f>_xll.xSPRDOPT((VLOOKUP(G115,NGPREVPRICES,2,FALSE)+HLOOKUP(D115,PREVCURVES,VLOOKUP(G115,MOVE_DOWN2,2,FALSE),FALSE)),VLOOKUP(G115,NGPREVPRICES,2,FALSE),CK115,VLOOKUP(G115,NGPREVPRICES,4,FALSE),HLOOKUP(D115,PREVVOLS,VLOOKUP(G115,MOVE_DOWN2,2,FALSE),FALSE),VLOOKUP(G115,NGPREVPRICES,3,FALSE),HLOOKUP(D115,Correllate,VLOOKUP(G115,CorMove,2,FALSE),FALSE),Q115-$C$3,R115,$CJ$5)*H115-CJ115</f>
        <v>-871.64852679926844</v>
      </c>
      <c r="CI115" s="234">
        <f t="shared" si="145"/>
        <v>-884.31731578722247</v>
      </c>
      <c r="CJ115" s="234">
        <f>_xll.xSPRDOPT((VLOOKUP(G115,NGPREVPRICES,2,FALSE)+HLOOKUP(D115,PREVCURVES,VLOOKUP(G115,MOVE_DOWN2,2,FALSE),FALSE)),VLOOKUP(G115,NGPREVPRICES,2,FALSE),CK115,VLOOKUP(G115,NGPREVPRICES,4,FALSE),HLOOKUP(D115,PREVVOLS,VLOOKUP(G115,MOVE_DOWN2,2,FALSE),FALSE),VLOOKUP(G115,NGPREVPRICES,3,FALSE),HLOOKUP(D115,Correllate,VLOOKUP(G115,CorMove,2,FALSE),FALSE),Q115-$CD$3,R115,$CJ$5)*H115</f>
        <v>67625.326271583297</v>
      </c>
      <c r="CK115" s="235">
        <f t="shared" si="146"/>
        <v>0.7</v>
      </c>
      <c r="CL115" s="234"/>
      <c r="CM115" t="str">
        <f t="shared" si="147"/>
        <v>36861Curve Shift/Gamma</v>
      </c>
      <c r="CN115" t="str">
        <f t="shared" si="107"/>
        <v>36861Rho</v>
      </c>
      <c r="CO115" t="str">
        <f t="shared" si="108"/>
        <v>36861Drift</v>
      </c>
      <c r="CP115" t="str">
        <f t="shared" si="109"/>
        <v>36861Vega</v>
      </c>
      <c r="CQ115" t="str">
        <f t="shared" si="110"/>
        <v>36861Theta</v>
      </c>
    </row>
    <row r="116" spans="1:95" ht="12" customHeight="1" x14ac:dyDescent="0.25">
      <c r="A116" s="140" t="s">
        <v>320</v>
      </c>
      <c r="B116" t="s">
        <v>250</v>
      </c>
      <c r="C116" t="s">
        <v>321</v>
      </c>
      <c r="D116" s="4" t="s">
        <v>7</v>
      </c>
      <c r="E116" t="s">
        <v>20</v>
      </c>
      <c r="F116" t="s">
        <v>1</v>
      </c>
      <c r="G116" s="5">
        <v>36831</v>
      </c>
      <c r="H116" s="130">
        <v>500000</v>
      </c>
      <c r="I116">
        <v>0.7</v>
      </c>
      <c r="J116" s="53">
        <f t="shared" si="148"/>
        <v>4.7359999999999998</v>
      </c>
      <c r="K116" s="7">
        <f t="shared" si="149"/>
        <v>0.77</v>
      </c>
      <c r="L116" s="53">
        <f t="shared" si="150"/>
        <v>5.5060000000000002</v>
      </c>
      <c r="M116" s="157">
        <f t="shared" si="161"/>
        <v>6.810675983792E-2</v>
      </c>
      <c r="N116" s="4">
        <f t="shared" si="162"/>
        <v>0.59499999999999997</v>
      </c>
      <c r="O116" s="4">
        <f t="shared" si="163"/>
        <v>0.625</v>
      </c>
      <c r="P116" s="9">
        <f t="shared" si="164"/>
        <v>0.89</v>
      </c>
      <c r="Q116" s="5">
        <f t="shared" si="116"/>
        <v>36829</v>
      </c>
      <c r="R116" s="4">
        <f t="shared" si="165"/>
        <v>0</v>
      </c>
      <c r="S116" s="158">
        <f>_xll.xSPRDOPT($L116,$J116,$I116,$M116,$O116,$N116,$P116,$Q116-$C$3,$R116,0)</f>
        <v>0.22248740741004269</v>
      </c>
      <c r="T116" s="159">
        <f>_xll.xSPRDOPT($L116,$J116,$I116,$M116,$O116,$N116,$P116,$Q116-$C$3,$R116,1)*H116</f>
        <v>-214200.81959711219</v>
      </c>
      <c r="U116" s="160">
        <f t="shared" si="138"/>
        <v>111243.70370502134</v>
      </c>
      <c r="V116" s="159">
        <f>_xll.xSPRDOPT($L116,$J116,$I116,$M116,$O116,$N116,$P116,$Q116-$C$3,$R116,2)*H116</f>
        <v>236574.73028780241</v>
      </c>
      <c r="W116" s="159">
        <f t="shared" si="166"/>
        <v>22373.910690690216</v>
      </c>
      <c r="X116" s="51" t="str">
        <f t="shared" si="151"/>
        <v>36831IF-TRANSCO/Z6</v>
      </c>
      <c r="Y116" s="418">
        <f t="shared" si="152"/>
        <v>50</v>
      </c>
      <c r="Z116" s="456">
        <f t="shared" si="153"/>
        <v>-0.42840163919422436</v>
      </c>
      <c r="AA116" s="456">
        <f>_xll.xSPRDOPT($L116,$J116,$I116,$M116,$O116,$N116,$P116,$Q116-$C$3,$R116,3)</f>
        <v>0.59580392973276641</v>
      </c>
      <c r="AB116" s="456">
        <f>((_xll.xSPRDOPT($L116+AB$5,$J116,$I116,$M116,$O116,$N116,$P116,$Q116-$C$3,$R116,3)*$H116)/10000)/100</f>
        <v>0.29790196486638321</v>
      </c>
      <c r="AC116" s="456">
        <f>((_xll.xSPRDOPT($L116+$AB$5,$J116,$I116,$M116,$O116,$N116,$P116,$Q116-$C$3,$R116,7)*$H116)/100)</f>
        <v>-4967.2270996361149</v>
      </c>
      <c r="AD116" s="456">
        <f>(_xll.xSPRDOPT($L116+$AB$5,$J116,$I116,$M116,$O116,$N116,$P116,$Q116-$C$3,$R116,9)/365)*$H116</f>
        <v>-1004.9054636719072</v>
      </c>
      <c r="AE116">
        <f t="shared" si="120"/>
        <v>0</v>
      </c>
      <c r="AF116" s="456">
        <f t="shared" si="154"/>
        <v>2136.0528018365167</v>
      </c>
      <c r="AG116" s="456">
        <f>((_xll.xSPRDOPT($L116,$J116,$I116,$M116,$O116,$N116,$P116,$Q116-$C$3,$R116,6)*$H116)/100)</f>
        <v>-498.42596649418448</v>
      </c>
      <c r="AH116" s="456">
        <f>((_xll.xSPRDOPT($L116,$J116,$I116,$M116,$O116,$N116,$P116,$Q116-$C$3,$R116,5)*$H116)/100)</f>
        <v>2508.0237874508275</v>
      </c>
      <c r="AI116" s="456">
        <f>(((_xll.xSPRDOPT($L116,$J116,$I116,$M116,$O116,$N116,$P116,$Q116-$C$3,$R116,4)*$H116)/10000)/100)-AB116</f>
        <v>8.0769272004252435E-3</v>
      </c>
      <c r="AJ116" s="456"/>
      <c r="AK116" s="456"/>
      <c r="AL116" s="456"/>
      <c r="AM116" s="472"/>
      <c r="AN116" s="128">
        <f t="shared" si="155"/>
        <v>40057</v>
      </c>
      <c r="AO116" s="43">
        <f t="shared" si="159"/>
        <v>0</v>
      </c>
      <c r="AP116" s="43">
        <f t="shared" si="159"/>
        <v>0</v>
      </c>
      <c r="AQ116" s="43">
        <f t="shared" si="159"/>
        <v>0</v>
      </c>
      <c r="AR116" s="43">
        <f t="shared" si="159"/>
        <v>0</v>
      </c>
      <c r="AS116" s="43">
        <f t="shared" si="159"/>
        <v>0</v>
      </c>
      <c r="AT116" s="43">
        <f t="shared" si="159"/>
        <v>0</v>
      </c>
      <c r="AU116" s="43">
        <f t="shared" si="159"/>
        <v>0</v>
      </c>
      <c r="AV116" s="43">
        <f t="shared" si="159"/>
        <v>0</v>
      </c>
      <c r="AW116" s="43">
        <f t="shared" si="159"/>
        <v>0</v>
      </c>
      <c r="AX116" s="43">
        <f t="shared" si="159"/>
        <v>0</v>
      </c>
      <c r="AY116" s="43">
        <f t="shared" si="159"/>
        <v>0</v>
      </c>
      <c r="AZ116" s="43">
        <f t="shared" si="159"/>
        <v>0</v>
      </c>
      <c r="BA116" s="44">
        <f t="shared" si="159"/>
        <v>0</v>
      </c>
      <c r="BB116" s="128">
        <f t="shared" si="156"/>
        <v>40057</v>
      </c>
      <c r="BC116" s="44">
        <f t="shared" si="124"/>
        <v>0</v>
      </c>
      <c r="BD116" s="51"/>
      <c r="BE116" s="128">
        <f t="shared" si="157"/>
        <v>40057</v>
      </c>
      <c r="BF116" s="43">
        <f t="shared" si="160"/>
        <v>0</v>
      </c>
      <c r="BG116" s="43">
        <f t="shared" si="160"/>
        <v>0</v>
      </c>
      <c r="BH116" s="43">
        <f t="shared" si="160"/>
        <v>0</v>
      </c>
      <c r="BI116" s="43">
        <f t="shared" si="160"/>
        <v>0</v>
      </c>
      <c r="BJ116" s="43">
        <f t="shared" si="160"/>
        <v>0</v>
      </c>
      <c r="BK116" s="43">
        <f t="shared" si="160"/>
        <v>0</v>
      </c>
      <c r="BL116" s="43">
        <f t="shared" si="160"/>
        <v>0</v>
      </c>
      <c r="BM116" s="43">
        <f t="shared" si="160"/>
        <v>0</v>
      </c>
      <c r="BN116" s="43">
        <f t="shared" si="160"/>
        <v>0</v>
      </c>
      <c r="BO116" s="43">
        <f t="shared" si="160"/>
        <v>0</v>
      </c>
      <c r="BP116" s="43">
        <f t="shared" si="160"/>
        <v>0</v>
      </c>
      <c r="BQ116" s="43">
        <f t="shared" si="160"/>
        <v>0</v>
      </c>
      <c r="BR116" s="44">
        <f t="shared" si="160"/>
        <v>0</v>
      </c>
      <c r="BS116" s="128">
        <f t="shared" si="158"/>
        <v>40057</v>
      </c>
      <c r="BT116" s="44">
        <f t="shared" si="127"/>
        <v>0</v>
      </c>
      <c r="BU116" s="51"/>
      <c r="BV116" s="51"/>
      <c r="BW116" s="51"/>
      <c r="BX116" s="51"/>
      <c r="BY116" s="51"/>
      <c r="BZ116" s="51"/>
      <c r="CA116" s="51"/>
      <c r="CB116" s="51"/>
      <c r="CC116" s="141">
        <f t="shared" si="143"/>
        <v>36831</v>
      </c>
      <c r="CD116" s="234">
        <f>_xll.xSPRDOPT((VLOOKUP(G116,NGPrices,2,FALSE)+HLOOKUP(D116,Prices,VLOOKUP(G116,move_down,2,FALSE),FALSE)),VLOOKUP(G116,NGPrices,2,FALSE),I116,VLOOKUP(G116,NGPREVPRICES,4,FALSE),HLOOKUP(D116,PREVVOLS,VLOOKUP(G116,MOVE_DOWN2,2,FALSE),FALSE),VLOOKUP(G116,NGPREVPRICES,3,FALSE),HLOOKUP(D116,Correllate,VLOOKUP(G116,CorMove,2,FALSE),FALSE),Q116-$CD$3,R116,$CD$5)*H116-CJ116</f>
        <v>0</v>
      </c>
      <c r="CE116" s="234">
        <f>_xll.xSPRDOPT((VLOOKUP(G116,NGPREVPRICES,2,FALSE)+HLOOKUP(D116,PREVCURVES,VLOOKUP(G116,MOVE_DOWN2,2,FALSE),FALSE)),VLOOKUP(G116,NGPREVPRICES,2,FALSE),CK116,VLOOKUP(G116,NGPrices,4,FALSE),HLOOKUP(D116,PREVVOLS,VLOOKUP(G116,MOVE_DOWN2,2,FALSE),FALSE),VLOOKUP(G116,NGPREVPRICES,3,FALSE),HLOOKUP(D116,Correllate,VLOOKUP(G116,CorMove,2,FALSE),FALSE),Q116-$CD$3,R116,$CJ$5)*H116-CJ116</f>
        <v>0</v>
      </c>
      <c r="CF116" s="10">
        <f t="shared" si="144"/>
        <v>-20.844847052896512</v>
      </c>
      <c r="CG116" s="234">
        <f>_xll.xSPRDOPT((VLOOKUP(G116,NGPREVPRICES,2,FALSE)+HLOOKUP(D116,PREVCURVES,VLOOKUP(G116,MOVE_DOWN2,2,FALSE),FALSE)),VLOOKUP(G116,NGPREVPRICES,2,FALSE),CK116,VLOOKUP(G116,NGPREVPRICES,4,FALSE),HLOOKUP(D116,VOLS,VLOOKUP(G116,move_down,2,FALSE),FALSE),VLOOKUP(G116,NGPrices,3,FALSE),HLOOKUP(D116,Correllate,VLOOKUP(G116,CorMove,2,FALSE),FALSE),Q116-$CD$3,R116,$CJ$5)*H116-CJ116</f>
        <v>0</v>
      </c>
      <c r="CH116" s="234">
        <f>_xll.xSPRDOPT((VLOOKUP(G116,NGPREVPRICES,2,FALSE)+HLOOKUP(D116,PREVCURVES,VLOOKUP(G116,MOVE_DOWN2,2,FALSE),FALSE)),VLOOKUP(G116,NGPREVPRICES,2,FALSE),CK116,VLOOKUP(G116,NGPREVPRICES,4,FALSE),HLOOKUP(D116,PREVVOLS,VLOOKUP(G116,MOVE_DOWN2,2,FALSE),FALSE),VLOOKUP(G116,NGPREVPRICES,3,FALSE),HLOOKUP(D116,Correllate,VLOOKUP(G116,CorMove,2,FALSE),FALSE),Q116-$C$3,R116,$CJ$5)*H116-CJ116</f>
        <v>-999.9804937945155</v>
      </c>
      <c r="CI116" s="234">
        <f t="shared" si="145"/>
        <v>-1020.825340847412</v>
      </c>
      <c r="CJ116" s="234">
        <f>_xll.xSPRDOPT((VLOOKUP(G116,NGPREVPRICES,2,FALSE)+HLOOKUP(D116,PREVCURVES,VLOOKUP(G116,MOVE_DOWN2,2,FALSE),FALSE)),VLOOKUP(G116,NGPREVPRICES,2,FALSE),CK116,VLOOKUP(G116,NGPREVPRICES,4,FALSE),HLOOKUP(D116,PREVVOLS,VLOOKUP(G116,MOVE_DOWN2,2,FALSE),FALSE),VLOOKUP(G116,NGPREVPRICES,3,FALSE),HLOOKUP(D116,Correllate,VLOOKUP(G116,CorMove,2,FALSE),FALSE),Q116-$CD$3,R116,$CJ$5)*H116</f>
        <v>112243.68419881586</v>
      </c>
      <c r="CK116" s="235">
        <f t="shared" si="146"/>
        <v>0.7</v>
      </c>
      <c r="CL116" s="234"/>
      <c r="CM116" t="str">
        <f t="shared" si="147"/>
        <v>36831Curve Shift/Gamma</v>
      </c>
      <c r="CN116" t="str">
        <f t="shared" si="107"/>
        <v>36831Rho</v>
      </c>
      <c r="CO116" t="str">
        <f t="shared" si="108"/>
        <v>36831Drift</v>
      </c>
      <c r="CP116" t="str">
        <f t="shared" si="109"/>
        <v>36831Vega</v>
      </c>
      <c r="CQ116" t="str">
        <f t="shared" si="110"/>
        <v>36831Theta</v>
      </c>
    </row>
    <row r="117" spans="1:95" ht="12" customHeight="1" x14ac:dyDescent="0.25">
      <c r="A117" s="140" t="s">
        <v>320</v>
      </c>
      <c r="B117" t="s">
        <v>250</v>
      </c>
      <c r="C117" t="s">
        <v>322</v>
      </c>
      <c r="D117" s="4" t="s">
        <v>7</v>
      </c>
      <c r="E117" t="s">
        <v>20</v>
      </c>
      <c r="F117" t="s">
        <v>21</v>
      </c>
      <c r="G117" s="5">
        <v>36923</v>
      </c>
      <c r="H117" s="130">
        <v>-500000</v>
      </c>
      <c r="I117">
        <v>1.4</v>
      </c>
      <c r="J117" s="53">
        <f t="shared" si="148"/>
        <v>4.4800000000000004</v>
      </c>
      <c r="K117" s="7">
        <f t="shared" si="149"/>
        <v>2.09</v>
      </c>
      <c r="L117" s="53">
        <f t="shared" si="150"/>
        <v>6.57</v>
      </c>
      <c r="M117" s="157">
        <f t="shared" si="161"/>
        <v>6.8640161611372E-2</v>
      </c>
      <c r="N117" s="4">
        <f t="shared" si="162"/>
        <v>0.59250000000000003</v>
      </c>
      <c r="O117" s="4">
        <f t="shared" si="163"/>
        <v>0.68100000000000005</v>
      </c>
      <c r="P117" s="9">
        <f t="shared" si="164"/>
        <v>0.83</v>
      </c>
      <c r="Q117" s="5">
        <f t="shared" si="116"/>
        <v>36921</v>
      </c>
      <c r="R117" s="4">
        <f t="shared" si="165"/>
        <v>1</v>
      </c>
      <c r="S117" s="158">
        <f>_xll.xSPRDOPT($L117,$J117,$I117,$M117,$O117,$N117,$P117,$Q117-$C$3,$R117,0)</f>
        <v>1.0128824287033256</v>
      </c>
      <c r="T117" s="159">
        <f>_xll.xSPRDOPT($L117,$J117,$I117,$M117,$O117,$N117,$P117,$Q117-$C$3,$R117,1)*H117</f>
        <v>-346547.12589917786</v>
      </c>
      <c r="U117" s="160">
        <f t="shared" si="138"/>
        <v>-506441.21435166278</v>
      </c>
      <c r="V117" s="159">
        <f>_xll.xSPRDOPT($L117,$J117,$I117,$M117,$O117,$N117,$P117,$Q117-$C$3,$R117,2)*H117</f>
        <v>306208.39925595629</v>
      </c>
      <c r="W117" s="159">
        <f t="shared" si="166"/>
        <v>-40338.726643221569</v>
      </c>
      <c r="X117" s="51" t="str">
        <f t="shared" si="151"/>
        <v>36923IF-TRANSCO/Z6</v>
      </c>
      <c r="Y117" s="418">
        <f t="shared" si="152"/>
        <v>-50</v>
      </c>
      <c r="Z117" s="456">
        <f t="shared" si="153"/>
        <v>0.69309425179835571</v>
      </c>
      <c r="AA117" s="456">
        <f>_xll.xSPRDOPT($L117,$J117,$I117,$M117,$O117,$N117,$P117,$Q117-$C$3,$R117,3)</f>
        <v>0.19471354241574176</v>
      </c>
      <c r="AB117" s="456">
        <f>((_xll.xSPRDOPT($L117+AB$5,$J117,$I117,$M117,$O117,$N117,$P117,$Q117-$C$3,$R117,3)*$H117)/10000)/100</f>
        <v>-9.7356771207870882E-2</v>
      </c>
      <c r="AC117" s="456">
        <f>((_xll.xSPRDOPT($L117+$AB$5,$J117,$I117,$M117,$O117,$N117,$P117,$Q117-$C$3,$R117,7)*$H117)/100)</f>
        <v>5420.242412203489</v>
      </c>
      <c r="AD117" s="456">
        <f>(_xll.xSPRDOPT($L117+$AB$5,$J117,$I117,$M117,$O117,$N117,$P117,$Q117-$C$3,$R117,9)/365)*$H117</f>
        <v>821.96918976318943</v>
      </c>
      <c r="AE117">
        <f t="shared" si="120"/>
        <v>0</v>
      </c>
      <c r="AF117" s="456">
        <f t="shared" si="154"/>
        <v>-4764.6706737497107</v>
      </c>
      <c r="AG117" s="456">
        <f>((_xll.xSPRDOPT($L117,$J117,$I117,$M117,$O117,$N117,$P117,$Q117-$C$3,$R117,6)*$H117)/100)</f>
        <v>1511.055291669303</v>
      </c>
      <c r="AH117" s="456">
        <f>((_xll.xSPRDOPT($L117,$J117,$I117,$M117,$O117,$N117,$P117,$Q117-$C$3,$R117,5)*$H117)/100)</f>
        <v>-5460.1580536134588</v>
      </c>
      <c r="AI117" s="456">
        <f>(((_xll.xSPRDOPT($L117,$J117,$I117,$M117,$O117,$N117,$P117,$Q117-$C$3,$R117,4)*$H117)/10000)/100)-AB117</f>
        <v>-2.3942423475265623E-2</v>
      </c>
      <c r="AJ117" s="456"/>
      <c r="AK117" s="456"/>
      <c r="AL117" s="456"/>
      <c r="AM117" s="472"/>
      <c r="AN117" s="128">
        <f t="shared" si="155"/>
        <v>40087</v>
      </c>
      <c r="AO117" s="43">
        <f t="shared" ref="AO117:BA126" si="167">SUMIF($X:$X,CONCATENATE($AN117,AO$6),$T:$T)/10000</f>
        <v>0</v>
      </c>
      <c r="AP117" s="43">
        <f t="shared" si="167"/>
        <v>0</v>
      </c>
      <c r="AQ117" s="43">
        <f t="shared" si="167"/>
        <v>0</v>
      </c>
      <c r="AR117" s="43">
        <f t="shared" si="167"/>
        <v>0</v>
      </c>
      <c r="AS117" s="43">
        <f t="shared" si="167"/>
        <v>0</v>
      </c>
      <c r="AT117" s="43">
        <f t="shared" si="167"/>
        <v>0</v>
      </c>
      <c r="AU117" s="43">
        <f t="shared" si="167"/>
        <v>0</v>
      </c>
      <c r="AV117" s="43">
        <f t="shared" si="167"/>
        <v>0</v>
      </c>
      <c r="AW117" s="43">
        <f t="shared" si="167"/>
        <v>0</v>
      </c>
      <c r="AX117" s="43">
        <f t="shared" si="167"/>
        <v>0</v>
      </c>
      <c r="AY117" s="43">
        <f t="shared" si="167"/>
        <v>0</v>
      </c>
      <c r="AZ117" s="43">
        <f t="shared" si="167"/>
        <v>0</v>
      </c>
      <c r="BA117" s="44">
        <f t="shared" si="167"/>
        <v>0</v>
      </c>
      <c r="BB117" s="128">
        <f t="shared" si="156"/>
        <v>40087</v>
      </c>
      <c r="BC117" s="44">
        <f t="shared" si="124"/>
        <v>0</v>
      </c>
      <c r="BD117" s="51"/>
      <c r="BE117" s="128">
        <f t="shared" si="157"/>
        <v>40087</v>
      </c>
      <c r="BF117" s="43">
        <f t="shared" ref="BF117:BR126" si="168">SUMIF($X:$X,CONCATENATE($AN117,BF$6),$W:$W)</f>
        <v>0</v>
      </c>
      <c r="BG117" s="43">
        <f t="shared" si="168"/>
        <v>0</v>
      </c>
      <c r="BH117" s="43">
        <f t="shared" si="168"/>
        <v>0</v>
      </c>
      <c r="BI117" s="43">
        <f t="shared" si="168"/>
        <v>0</v>
      </c>
      <c r="BJ117" s="43">
        <f t="shared" si="168"/>
        <v>0</v>
      </c>
      <c r="BK117" s="43">
        <f t="shared" si="168"/>
        <v>0</v>
      </c>
      <c r="BL117" s="43">
        <f t="shared" si="168"/>
        <v>0</v>
      </c>
      <c r="BM117" s="43">
        <f t="shared" si="168"/>
        <v>0</v>
      </c>
      <c r="BN117" s="43">
        <f t="shared" si="168"/>
        <v>0</v>
      </c>
      <c r="BO117" s="43">
        <f t="shared" si="168"/>
        <v>0</v>
      </c>
      <c r="BP117" s="43">
        <f t="shared" si="168"/>
        <v>0</v>
      </c>
      <c r="BQ117" s="43">
        <f t="shared" si="168"/>
        <v>0</v>
      </c>
      <c r="BR117" s="44">
        <f t="shared" si="168"/>
        <v>0</v>
      </c>
      <c r="BS117" s="128">
        <f t="shared" si="158"/>
        <v>40087</v>
      </c>
      <c r="BT117" s="44">
        <f t="shared" si="127"/>
        <v>0</v>
      </c>
      <c r="BU117" s="51"/>
      <c r="BV117" s="51"/>
      <c r="BW117" s="51"/>
      <c r="BX117" s="51"/>
      <c r="BY117" s="51"/>
      <c r="BZ117" s="51"/>
      <c r="CA117" s="51"/>
      <c r="CB117" s="51"/>
      <c r="CC117" s="141">
        <f t="shared" si="143"/>
        <v>36923</v>
      </c>
      <c r="CD117" s="234">
        <f>_xll.xSPRDOPT((VLOOKUP(G117,NGPrices,2,FALSE)+HLOOKUP(D117,Prices,VLOOKUP(G117,move_down,2,FALSE),FALSE)),VLOOKUP(G117,NGPrices,2,FALSE),I117,VLOOKUP(G117,NGPREVPRICES,4,FALSE),HLOOKUP(D117,PREVVOLS,VLOOKUP(G117,MOVE_DOWN2,2,FALSE),FALSE),VLOOKUP(G117,NGPREVPRICES,3,FALSE),HLOOKUP(D117,Correllate,VLOOKUP(G117,CorMove,2,FALSE),FALSE),Q117-$CD$3,R117,$CD$5)*H117-CJ117</f>
        <v>0</v>
      </c>
      <c r="CE117" s="234">
        <f>_xll.xSPRDOPT((VLOOKUP(G117,NGPREVPRICES,2,FALSE)+HLOOKUP(D117,PREVCURVES,VLOOKUP(G117,MOVE_DOWN2,2,FALSE),FALSE)),VLOOKUP(G117,NGPREVPRICES,2,FALSE),CK117,VLOOKUP(G117,NGPrices,4,FALSE),HLOOKUP(D117,PREVVOLS,VLOOKUP(G117,MOVE_DOWN2,2,FALSE),FALSE),VLOOKUP(G117,NGPREVPRICES,3,FALSE),HLOOKUP(D117,Correllate,VLOOKUP(G117,CorMove,2,FALSE),FALSE),Q117-$CD$3,R117,$CJ$5)*H117-CJ117</f>
        <v>0</v>
      </c>
      <c r="CF117" s="10">
        <f t="shared" si="144"/>
        <v>96.475236286991276</v>
      </c>
      <c r="CG117" s="234">
        <f>_xll.xSPRDOPT((VLOOKUP(G117,NGPREVPRICES,2,FALSE)+HLOOKUP(D117,PREVCURVES,VLOOKUP(G117,MOVE_DOWN2,2,FALSE),FALSE)),VLOOKUP(G117,NGPREVPRICES,2,FALSE),CK117,VLOOKUP(G117,NGPREVPRICES,4,FALSE),HLOOKUP(D117,VOLS,VLOOKUP(G117,move_down,2,FALSE),FALSE),VLOOKUP(G117,NGPrices,3,FALSE),HLOOKUP(D117,Correllate,VLOOKUP(G117,CorMove,2,FALSE),FALSE),Q117-$CD$3,R117,$CJ$5)*H117-CJ117</f>
        <v>0</v>
      </c>
      <c r="CH117" s="234">
        <f>_xll.xSPRDOPT((VLOOKUP(G117,NGPREVPRICES,2,FALSE)+HLOOKUP(D117,PREVCURVES,VLOOKUP(G117,MOVE_DOWN2,2,FALSE),FALSE)),VLOOKUP(G117,NGPREVPRICES,2,FALSE),CK117,VLOOKUP(G117,NGPREVPRICES,4,FALSE),HLOOKUP(D117,PREVVOLS,VLOOKUP(G117,MOVE_DOWN2,2,FALSE),FALSE),VLOOKUP(G117,NGPREVPRICES,3,FALSE),HLOOKUP(D117,Correllate,VLOOKUP(G117,CorMove,2,FALSE),FALSE),Q117-$C$3,R117,$CJ$5)*H117-CJ117</f>
        <v>820.02157039515441</v>
      </c>
      <c r="CI117" s="234">
        <f t="shared" si="145"/>
        <v>916.49680668214569</v>
      </c>
      <c r="CJ117" s="234">
        <f>_xll.xSPRDOPT((VLOOKUP(G117,NGPREVPRICES,2,FALSE)+HLOOKUP(D117,PREVCURVES,VLOOKUP(G117,MOVE_DOWN2,2,FALSE),FALSE)),VLOOKUP(G117,NGPREVPRICES,2,FALSE),CK117,VLOOKUP(G117,NGPREVPRICES,4,FALSE),HLOOKUP(D117,PREVVOLS,VLOOKUP(G117,MOVE_DOWN2,2,FALSE),FALSE),VLOOKUP(G117,NGPREVPRICES,3,FALSE),HLOOKUP(D117,Correllate,VLOOKUP(G117,CorMove,2,FALSE),FALSE),Q117-$CD$3,R117,$CJ$5)*H117</f>
        <v>-507261.23592205794</v>
      </c>
      <c r="CK117" s="235">
        <f t="shared" si="146"/>
        <v>1.4</v>
      </c>
      <c r="CL117" s="234"/>
      <c r="CM117" t="str">
        <f t="shared" si="147"/>
        <v>36923Curve Shift/Gamma</v>
      </c>
      <c r="CN117" t="str">
        <f t="shared" si="107"/>
        <v>36923Rho</v>
      </c>
      <c r="CO117" t="str">
        <f t="shared" si="108"/>
        <v>36923Drift</v>
      </c>
      <c r="CP117" t="str">
        <f t="shared" si="109"/>
        <v>36923Vega</v>
      </c>
      <c r="CQ117" t="str">
        <f t="shared" si="110"/>
        <v>36923Theta</v>
      </c>
    </row>
    <row r="118" spans="1:95" ht="12" customHeight="1" x14ac:dyDescent="0.25">
      <c r="A118" s="140" t="s">
        <v>320</v>
      </c>
      <c r="B118" t="s">
        <v>250</v>
      </c>
      <c r="C118" t="s">
        <v>322</v>
      </c>
      <c r="D118" s="4" t="s">
        <v>7</v>
      </c>
      <c r="E118" t="s">
        <v>20</v>
      </c>
      <c r="F118" t="s">
        <v>21</v>
      </c>
      <c r="G118" s="5">
        <v>36892</v>
      </c>
      <c r="H118" s="130">
        <v>-500000</v>
      </c>
      <c r="I118">
        <v>1.4</v>
      </c>
      <c r="J118" s="53">
        <f t="shared" si="148"/>
        <v>4.7439999999999998</v>
      </c>
      <c r="K118" s="7">
        <f t="shared" si="149"/>
        <v>2.17</v>
      </c>
      <c r="L118" s="53">
        <f t="shared" si="150"/>
        <v>6.9139999999999997</v>
      </c>
      <c r="M118" s="157">
        <f t="shared" ref="M118:M127" si="169">VLOOKUP(G118,NGPrices,4,FALSE)</f>
        <v>6.8374831148490994E-2</v>
      </c>
      <c r="N118" s="4">
        <f t="shared" ref="N118:N127" si="170">VLOOKUP(G118,NGPrices,3,FALSE)</f>
        <v>0.60499999999999998</v>
      </c>
      <c r="O118" s="4">
        <f t="shared" ref="O118:O127" si="171">HLOOKUP(D118,VOLS,VLOOKUP(G118,move_down,2,FALSE),FALSE)</f>
        <v>0.69599999999999995</v>
      </c>
      <c r="P118" s="9">
        <f t="shared" ref="P118:P127" si="172">HLOOKUP(D118,Correllate,VLOOKUP(G118,CorMove,2,FALSE),FALSE)</f>
        <v>0.83</v>
      </c>
      <c r="Q118" s="5">
        <f t="shared" si="116"/>
        <v>36888</v>
      </c>
      <c r="R118" s="4">
        <f t="shared" ref="R118:R127" si="173">IF(F118="P",0,1)</f>
        <v>1</v>
      </c>
      <c r="S118" s="158">
        <f>_xll.xSPRDOPT($L118,$J118,$I118,$M118,$O118,$N118,$P118,$Q118-$C$3,$R118,0)</f>
        <v>1.0424520890741082</v>
      </c>
      <c r="T118" s="159">
        <f>_xll.xSPRDOPT($L118,$J118,$I118,$M118,$O118,$N118,$P118,$Q118-$C$3,$R118,1)*H118</f>
        <v>-359121.08344901883</v>
      </c>
      <c r="U118" s="160">
        <f t="shared" ref="U118:U127" si="174">S118*H118</f>
        <v>-521226.04453705414</v>
      </c>
      <c r="V118" s="159">
        <f>_xll.xSPRDOPT($L118,$J118,$I118,$M118,$O118,$N118,$P118,$Q118-$C$3,$R118,2)*H118</f>
        <v>323449.78535842069</v>
      </c>
      <c r="W118" s="159">
        <f t="shared" ref="W118:W127" si="175">+V118+T118</f>
        <v>-35671.298090598139</v>
      </c>
      <c r="X118" s="51" t="str">
        <f t="shared" si="151"/>
        <v>36892IF-TRANSCO/Z6</v>
      </c>
      <c r="Y118" s="418">
        <f t="shared" si="152"/>
        <v>-50</v>
      </c>
      <c r="Z118" s="456">
        <f t="shared" si="153"/>
        <v>0.71824216689803766</v>
      </c>
      <c r="AA118" s="456">
        <f>_xll.xSPRDOPT($L118,$J118,$I118,$M118,$O118,$N118,$P118,$Q118-$C$3,$R118,3)</f>
        <v>0.19868694076661028</v>
      </c>
      <c r="AB118" s="456">
        <f>((_xll.xSPRDOPT($L118+AB$5,$J118,$I118,$M118,$O118,$N118,$P118,$Q118-$C$3,$R118,3)*$H118)/10000)/100</f>
        <v>-9.9343470383305141E-2</v>
      </c>
      <c r="AC118" s="456">
        <f>((_xll.xSPRDOPT($L118+$AB$5,$J118,$I118,$M118,$O118,$N118,$P118,$Q118-$C$3,$R118,7)*$H118)/100)</f>
        <v>5082.1883002887198</v>
      </c>
      <c r="AD118" s="456">
        <f>(_xll.xSPRDOPT($L118+$AB$5,$J118,$I118,$M118,$O118,$N118,$P118,$Q118-$C$3,$R118,9)/365)*$H118</f>
        <v>975.15387420749437</v>
      </c>
      <c r="AE118">
        <f t="shared" si="120"/>
        <v>0</v>
      </c>
      <c r="AF118" s="456">
        <f t="shared" si="154"/>
        <v>-4288.2399034046493</v>
      </c>
      <c r="AG118" s="456">
        <f>((_xll.xSPRDOPT($L118,$J118,$I118,$M118,$O118,$N118,$P118,$Q118-$C$3,$R118,6)*$H118)/100)</f>
        <v>1336.2108170672643</v>
      </c>
      <c r="AH118" s="456">
        <f>((_xll.xSPRDOPT($L118,$J118,$I118,$M118,$O118,$N118,$P118,$Q118-$C$3,$R118,5)*$H118)/100)</f>
        <v>-4889.0699509849255</v>
      </c>
      <c r="AI118" s="456">
        <f>(((_xll.xSPRDOPT($L118,$J118,$I118,$M118,$O118,$N118,$P118,$Q118-$C$3,$R118,4)*$H118)/10000)/100)-AB118</f>
        <v>-2.5604959833963561E-2</v>
      </c>
      <c r="AJ118" s="456"/>
      <c r="AK118" s="456"/>
      <c r="AL118" s="456"/>
      <c r="AM118" s="472"/>
      <c r="AN118" s="128">
        <f t="shared" si="155"/>
        <v>40118</v>
      </c>
      <c r="AO118" s="43">
        <f t="shared" si="167"/>
        <v>0</v>
      </c>
      <c r="AP118" s="43">
        <f t="shared" si="167"/>
        <v>0</v>
      </c>
      <c r="AQ118" s="43">
        <f t="shared" si="167"/>
        <v>0</v>
      </c>
      <c r="AR118" s="43">
        <f t="shared" si="167"/>
        <v>0</v>
      </c>
      <c r="AS118" s="43">
        <f t="shared" si="167"/>
        <v>0</v>
      </c>
      <c r="AT118" s="43">
        <f t="shared" si="167"/>
        <v>0</v>
      </c>
      <c r="AU118" s="43">
        <f t="shared" si="167"/>
        <v>0</v>
      </c>
      <c r="AV118" s="43">
        <f t="shared" si="167"/>
        <v>0</v>
      </c>
      <c r="AW118" s="43">
        <f t="shared" si="167"/>
        <v>0</v>
      </c>
      <c r="AX118" s="43">
        <f t="shared" si="167"/>
        <v>0</v>
      </c>
      <c r="AY118" s="43">
        <f t="shared" si="167"/>
        <v>0</v>
      </c>
      <c r="AZ118" s="43">
        <f t="shared" si="167"/>
        <v>0</v>
      </c>
      <c r="BA118" s="44">
        <f t="shared" si="167"/>
        <v>0</v>
      </c>
      <c r="BB118" s="128">
        <f t="shared" si="156"/>
        <v>40118</v>
      </c>
      <c r="BC118" s="44">
        <f t="shared" si="124"/>
        <v>0</v>
      </c>
      <c r="BD118" s="51"/>
      <c r="BE118" s="128">
        <f t="shared" si="157"/>
        <v>40118</v>
      </c>
      <c r="BF118" s="43">
        <f t="shared" si="168"/>
        <v>0</v>
      </c>
      <c r="BG118" s="43">
        <f t="shared" si="168"/>
        <v>0</v>
      </c>
      <c r="BH118" s="43">
        <f t="shared" si="168"/>
        <v>0</v>
      </c>
      <c r="BI118" s="43">
        <f t="shared" si="168"/>
        <v>0</v>
      </c>
      <c r="BJ118" s="43">
        <f t="shared" si="168"/>
        <v>0</v>
      </c>
      <c r="BK118" s="43">
        <f t="shared" si="168"/>
        <v>0</v>
      </c>
      <c r="BL118" s="43">
        <f t="shared" si="168"/>
        <v>0</v>
      </c>
      <c r="BM118" s="43">
        <f t="shared" si="168"/>
        <v>0</v>
      </c>
      <c r="BN118" s="43">
        <f t="shared" si="168"/>
        <v>0</v>
      </c>
      <c r="BO118" s="43">
        <f t="shared" si="168"/>
        <v>0</v>
      </c>
      <c r="BP118" s="43">
        <f t="shared" si="168"/>
        <v>0</v>
      </c>
      <c r="BQ118" s="43">
        <f t="shared" si="168"/>
        <v>0</v>
      </c>
      <c r="BR118" s="44">
        <f t="shared" si="168"/>
        <v>0</v>
      </c>
      <c r="BS118" s="128">
        <f t="shared" si="158"/>
        <v>40118</v>
      </c>
      <c r="BT118" s="44">
        <f t="shared" si="127"/>
        <v>0</v>
      </c>
      <c r="BU118" s="51"/>
      <c r="BV118" s="51"/>
      <c r="BW118" s="51"/>
      <c r="BX118" s="51"/>
      <c r="BY118" s="51"/>
      <c r="BZ118" s="51"/>
      <c r="CA118" s="51"/>
      <c r="CB118" s="51"/>
      <c r="CC118" s="141">
        <f t="shared" si="143"/>
        <v>36892</v>
      </c>
      <c r="CD118" s="234">
        <f>_xll.xSPRDOPT((VLOOKUP(G118,NGPrices,2,FALSE)+HLOOKUP(D118,Prices,VLOOKUP(G118,move_down,2,FALSE),FALSE)),VLOOKUP(G118,NGPrices,2,FALSE),I118,VLOOKUP(G118,NGPREVPRICES,4,FALSE),HLOOKUP(D118,PREVVOLS,VLOOKUP(G118,MOVE_DOWN2,2,FALSE),FALSE),VLOOKUP(G118,NGPREVPRICES,3,FALSE),HLOOKUP(D118,Correllate,VLOOKUP(G118,CorMove,2,FALSE),FALSE),Q118-$CD$3,R118,$CD$5)*H118-CJ118</f>
        <v>0</v>
      </c>
      <c r="CE118" s="234">
        <f>_xll.xSPRDOPT((VLOOKUP(G118,NGPREVPRICES,2,FALSE)+HLOOKUP(D118,PREVCURVES,VLOOKUP(G118,MOVE_DOWN2,2,FALSE),FALSE)),VLOOKUP(G118,NGPREVPRICES,2,FALSE),CK118,VLOOKUP(G118,NGPrices,4,FALSE),HLOOKUP(D118,PREVVOLS,VLOOKUP(G118,MOVE_DOWN2,2,FALSE),FALSE),VLOOKUP(G118,NGPREVPRICES,3,FALSE),HLOOKUP(D118,Correllate,VLOOKUP(G118,CorMove,2,FALSE),FALSE),Q118-$CD$3,R118,$CJ$5)*H118-CJ118</f>
        <v>0</v>
      </c>
      <c r="CF118" s="10">
        <f t="shared" si="144"/>
        <v>98.403728161123581</v>
      </c>
      <c r="CG118" s="234">
        <f>_xll.xSPRDOPT((VLOOKUP(G118,NGPREVPRICES,2,FALSE)+HLOOKUP(D118,PREVCURVES,VLOOKUP(G118,MOVE_DOWN2,2,FALSE),FALSE)),VLOOKUP(G118,NGPREVPRICES,2,FALSE),CK118,VLOOKUP(G118,NGPREVPRICES,4,FALSE),HLOOKUP(D118,VOLS,VLOOKUP(G118,move_down,2,FALSE),FALSE),VLOOKUP(G118,NGPrices,3,FALSE),HLOOKUP(D118,Correllate,VLOOKUP(G118,CorMove,2,FALSE),FALSE),Q118-$CD$3,R118,$CJ$5)*H118-CJ118</f>
        <v>0</v>
      </c>
      <c r="CH118" s="234">
        <f>_xll.xSPRDOPT((VLOOKUP(G118,NGPREVPRICES,2,FALSE)+HLOOKUP(D118,PREVCURVES,VLOOKUP(G118,MOVE_DOWN2,2,FALSE),FALSE)),VLOOKUP(G118,NGPREVPRICES,2,FALSE),CK118,VLOOKUP(G118,NGPREVPRICES,4,FALSE),HLOOKUP(D118,PREVVOLS,VLOOKUP(G118,MOVE_DOWN2,2,FALSE),FALSE),VLOOKUP(G118,NGPREVPRICES,3,FALSE),HLOOKUP(D118,Correllate,VLOOKUP(G118,CorMove,2,FALSE),FALSE),Q118-$C$3,R118,$CJ$5)*H118-CJ118</f>
        <v>972.64062197733438</v>
      </c>
      <c r="CI118" s="234">
        <f t="shared" si="145"/>
        <v>1071.044350138458</v>
      </c>
      <c r="CJ118" s="234">
        <f>_xll.xSPRDOPT((VLOOKUP(G118,NGPREVPRICES,2,FALSE)+HLOOKUP(D118,PREVCURVES,VLOOKUP(G118,MOVE_DOWN2,2,FALSE),FALSE)),VLOOKUP(G118,NGPREVPRICES,2,FALSE),CK118,VLOOKUP(G118,NGPREVPRICES,4,FALSE),HLOOKUP(D118,PREVVOLS,VLOOKUP(G118,MOVE_DOWN2,2,FALSE),FALSE),VLOOKUP(G118,NGPREVPRICES,3,FALSE),HLOOKUP(D118,Correllate,VLOOKUP(G118,CorMove,2,FALSE),FALSE),Q118-$CD$3,R118,$CJ$5)*H118</f>
        <v>-522198.68515903148</v>
      </c>
      <c r="CK118" s="235">
        <f t="shared" si="146"/>
        <v>1.4</v>
      </c>
      <c r="CL118" s="234"/>
      <c r="CM118" t="str">
        <f t="shared" si="147"/>
        <v>36892Curve Shift/Gamma</v>
      </c>
      <c r="CN118" t="str">
        <f t="shared" si="107"/>
        <v>36892Rho</v>
      </c>
      <c r="CO118" t="str">
        <f t="shared" si="108"/>
        <v>36892Drift</v>
      </c>
      <c r="CP118" t="str">
        <f t="shared" si="109"/>
        <v>36892Vega</v>
      </c>
      <c r="CQ118" t="str">
        <f t="shared" si="110"/>
        <v>36892Theta</v>
      </c>
    </row>
    <row r="119" spans="1:95" ht="12" customHeight="1" x14ac:dyDescent="0.25">
      <c r="A119" s="140" t="s">
        <v>320</v>
      </c>
      <c r="B119" t="s">
        <v>250</v>
      </c>
      <c r="C119" t="s">
        <v>322</v>
      </c>
      <c r="D119" s="4" t="s">
        <v>7</v>
      </c>
      <c r="E119" t="s">
        <v>20</v>
      </c>
      <c r="F119" t="s">
        <v>21</v>
      </c>
      <c r="G119" s="5">
        <v>36861</v>
      </c>
      <c r="H119" s="130">
        <v>-500000</v>
      </c>
      <c r="I119">
        <v>1.4</v>
      </c>
      <c r="J119" s="53">
        <f t="shared" si="148"/>
        <v>4.8</v>
      </c>
      <c r="K119" s="7">
        <f t="shared" si="149"/>
        <v>1.645</v>
      </c>
      <c r="L119" s="53">
        <f t="shared" si="150"/>
        <v>6.4450000000000003</v>
      </c>
      <c r="M119" s="157">
        <f t="shared" si="169"/>
        <v>6.8314027999354002E-2</v>
      </c>
      <c r="N119" s="4">
        <f t="shared" si="170"/>
        <v>0.6</v>
      </c>
      <c r="O119" s="4">
        <f t="shared" si="171"/>
        <v>0.69</v>
      </c>
      <c r="P119" s="9">
        <f t="shared" si="172"/>
        <v>0.83</v>
      </c>
      <c r="Q119" s="5">
        <f t="shared" si="116"/>
        <v>36859</v>
      </c>
      <c r="R119" s="4">
        <f t="shared" si="173"/>
        <v>1</v>
      </c>
      <c r="S119" s="158">
        <f>_xll.xSPRDOPT($L119,$J119,$I119,$M119,$O119,$N119,$P119,$Q119-$C$3,$R119,0)</f>
        <v>0.62697629555785073</v>
      </c>
      <c r="T119" s="159">
        <f>_xll.xSPRDOPT($L119,$J119,$I119,$M119,$O119,$N119,$P119,$Q119-$C$3,$R119,1)*H119</f>
        <v>-303010.51987164823</v>
      </c>
      <c r="U119" s="160">
        <f t="shared" si="174"/>
        <v>-313488.14777892537</v>
      </c>
      <c r="V119" s="159">
        <f>_xll.xSPRDOPT($L119,$J119,$I119,$M119,$O119,$N119,$P119,$Q119-$C$3,$R119,2)*H119</f>
        <v>268086.71935148473</v>
      </c>
      <c r="W119" s="159">
        <f t="shared" si="175"/>
        <v>-34923.800520163495</v>
      </c>
      <c r="X119" s="51" t="str">
        <f t="shared" si="151"/>
        <v>36861IF-TRANSCO/Z6</v>
      </c>
      <c r="Y119" s="418">
        <f t="shared" si="152"/>
        <v>-50</v>
      </c>
      <c r="Z119" s="456">
        <f t="shared" si="153"/>
        <v>0.60602103974329646</v>
      </c>
      <c r="AA119" s="456">
        <f>_xll.xSPRDOPT($L119,$J119,$I119,$M119,$O119,$N119,$P119,$Q119-$C$3,$R119,3)</f>
        <v>0.28983630070923494</v>
      </c>
      <c r="AB119" s="456">
        <f>((_xll.xSPRDOPT($L119+AB$5,$J119,$I119,$M119,$O119,$N119,$P119,$Q119-$C$3,$R119,3)*$H119)/10000)/100</f>
        <v>-0.14491815035461747</v>
      </c>
      <c r="AC119" s="456">
        <f>((_xll.xSPRDOPT($L119+$AB$5,$J119,$I119,$M119,$O119,$N119,$P119,$Q119-$C$3,$R119,7)*$H119)/100)</f>
        <v>4859.7941274105842</v>
      </c>
      <c r="AD119" s="456">
        <f>(_xll.xSPRDOPT($L119+$AB$5,$J119,$I119,$M119,$O119,$N119,$P119,$Q119-$C$3,$R119,9)/365)*$H119</f>
        <v>1266.7300148017559</v>
      </c>
      <c r="AE119">
        <f t="shared" si="120"/>
        <v>0</v>
      </c>
      <c r="AF119" s="456">
        <f t="shared" si="154"/>
        <v>-4061.7871298236505</v>
      </c>
      <c r="AG119" s="456">
        <f>((_xll.xSPRDOPT($L119,$J119,$I119,$M119,$O119,$N119,$P119,$Q119-$C$3,$R119,6)*$H119)/100)</f>
        <v>1246.8082162078399</v>
      </c>
      <c r="AH119" s="456">
        <f>((_xll.xSPRDOPT($L119,$J119,$I119,$M119,$O119,$N119,$P119,$Q119-$C$3,$R119,5)*$H119)/100)</f>
        <v>-4616.16986611434</v>
      </c>
      <c r="AI119" s="456">
        <f>(((_xll.xSPRDOPT($L119,$J119,$I119,$M119,$O119,$N119,$P119,$Q119-$C$3,$R119,4)*$H119)/10000)/100)-AB119</f>
        <v>-1.2344764672396952E-2</v>
      </c>
      <c r="AJ119" s="456"/>
      <c r="AK119" s="456"/>
      <c r="AL119" s="456"/>
      <c r="AM119" s="472"/>
      <c r="AN119" s="128">
        <f t="shared" si="155"/>
        <v>40148</v>
      </c>
      <c r="AO119" s="43">
        <f t="shared" si="167"/>
        <v>0</v>
      </c>
      <c r="AP119" s="43">
        <f t="shared" si="167"/>
        <v>0</v>
      </c>
      <c r="AQ119" s="43">
        <f t="shared" si="167"/>
        <v>0</v>
      </c>
      <c r="AR119" s="43">
        <f t="shared" si="167"/>
        <v>0</v>
      </c>
      <c r="AS119" s="43">
        <f t="shared" si="167"/>
        <v>0</v>
      </c>
      <c r="AT119" s="43">
        <f t="shared" si="167"/>
        <v>0</v>
      </c>
      <c r="AU119" s="43">
        <f t="shared" si="167"/>
        <v>0</v>
      </c>
      <c r="AV119" s="43">
        <f t="shared" si="167"/>
        <v>0</v>
      </c>
      <c r="AW119" s="43">
        <f t="shared" si="167"/>
        <v>0</v>
      </c>
      <c r="AX119" s="43">
        <f t="shared" si="167"/>
        <v>0</v>
      </c>
      <c r="AY119" s="43">
        <f t="shared" si="167"/>
        <v>0</v>
      </c>
      <c r="AZ119" s="43">
        <f t="shared" si="167"/>
        <v>0</v>
      </c>
      <c r="BA119" s="44">
        <f t="shared" si="167"/>
        <v>0</v>
      </c>
      <c r="BB119" s="128">
        <f t="shared" si="156"/>
        <v>40148</v>
      </c>
      <c r="BC119" s="44">
        <f t="shared" si="124"/>
        <v>0</v>
      </c>
      <c r="BD119" s="51"/>
      <c r="BE119" s="128">
        <f t="shared" si="157"/>
        <v>40148</v>
      </c>
      <c r="BF119" s="43">
        <f t="shared" si="168"/>
        <v>0</v>
      </c>
      <c r="BG119" s="43">
        <f t="shared" si="168"/>
        <v>0</v>
      </c>
      <c r="BH119" s="43">
        <f t="shared" si="168"/>
        <v>0</v>
      </c>
      <c r="BI119" s="43">
        <f t="shared" si="168"/>
        <v>0</v>
      </c>
      <c r="BJ119" s="43">
        <f t="shared" si="168"/>
        <v>0</v>
      </c>
      <c r="BK119" s="43">
        <f t="shared" si="168"/>
        <v>0</v>
      </c>
      <c r="BL119" s="43">
        <f t="shared" si="168"/>
        <v>0</v>
      </c>
      <c r="BM119" s="43">
        <f t="shared" si="168"/>
        <v>0</v>
      </c>
      <c r="BN119" s="43">
        <f t="shared" si="168"/>
        <v>0</v>
      </c>
      <c r="BO119" s="43">
        <f t="shared" si="168"/>
        <v>0</v>
      </c>
      <c r="BP119" s="43">
        <f t="shared" si="168"/>
        <v>0</v>
      </c>
      <c r="BQ119" s="43">
        <f t="shared" si="168"/>
        <v>0</v>
      </c>
      <c r="BR119" s="44">
        <f t="shared" si="168"/>
        <v>0</v>
      </c>
      <c r="BS119" s="128">
        <f t="shared" si="158"/>
        <v>40148</v>
      </c>
      <c r="BT119" s="44">
        <f t="shared" si="127"/>
        <v>0</v>
      </c>
      <c r="BU119" s="51"/>
      <c r="BV119" s="51"/>
      <c r="BW119" s="51"/>
      <c r="BX119" s="51"/>
      <c r="BY119" s="51"/>
      <c r="BZ119" s="51"/>
      <c r="CA119" s="51"/>
      <c r="CB119" s="51"/>
      <c r="CC119" s="141">
        <f t="shared" si="143"/>
        <v>36861</v>
      </c>
      <c r="CD119" s="234">
        <f>_xll.xSPRDOPT((VLOOKUP(G119,NGPrices,2,FALSE)+HLOOKUP(D119,Prices,VLOOKUP(G119,move_down,2,FALSE),FALSE)),VLOOKUP(G119,NGPrices,2,FALSE),I119,VLOOKUP(G119,NGPREVPRICES,4,FALSE),HLOOKUP(D119,PREVVOLS,VLOOKUP(G119,MOVE_DOWN2,2,FALSE),FALSE),VLOOKUP(G119,NGPREVPRICES,3,FALSE),HLOOKUP(D119,Correllate,VLOOKUP(G119,CorMove,2,FALSE),FALSE),Q119-$CD$3,R119,$CD$5)*H119-CJ119</f>
        <v>0</v>
      </c>
      <c r="CE119" s="234">
        <f>_xll.xSPRDOPT((VLOOKUP(G119,NGPREVPRICES,2,FALSE)+HLOOKUP(D119,PREVCURVES,VLOOKUP(G119,MOVE_DOWN2,2,FALSE),FALSE)),VLOOKUP(G119,NGPREVPRICES,2,FALSE),CK119,VLOOKUP(G119,NGPrices,4,FALSE),HLOOKUP(D119,PREVVOLS,VLOOKUP(G119,MOVE_DOWN2,2,FALSE),FALSE),VLOOKUP(G119,NGPREVPRICES,3,FALSE),HLOOKUP(D119,Correllate,VLOOKUP(G119,CorMove,2,FALSE),FALSE),Q119-$CD$3,R119,$CJ$5)*H119-CJ119</f>
        <v>0</v>
      </c>
      <c r="CF119" s="10">
        <f t="shared" si="144"/>
        <v>58.964672330243047</v>
      </c>
      <c r="CG119" s="234">
        <f>_xll.xSPRDOPT((VLOOKUP(G119,NGPREVPRICES,2,FALSE)+HLOOKUP(D119,PREVCURVES,VLOOKUP(G119,MOVE_DOWN2,2,FALSE),FALSE)),VLOOKUP(G119,NGPREVPRICES,2,FALSE),CK119,VLOOKUP(G119,NGPREVPRICES,4,FALSE),HLOOKUP(D119,VOLS,VLOOKUP(G119,move_down,2,FALSE),FALSE),VLOOKUP(G119,NGPrices,3,FALSE),HLOOKUP(D119,Correllate,VLOOKUP(G119,CorMove,2,FALSE),FALSE),Q119-$CD$3,R119,$CJ$5)*H119-CJ119</f>
        <v>0</v>
      </c>
      <c r="CH119" s="234">
        <f>_xll.xSPRDOPT((VLOOKUP(G119,NGPREVPRICES,2,FALSE)+HLOOKUP(D119,PREVCURVES,VLOOKUP(G119,MOVE_DOWN2,2,FALSE),FALSE)),VLOOKUP(G119,NGPREVPRICES,2,FALSE),CK119,VLOOKUP(G119,NGPREVPRICES,4,FALSE),HLOOKUP(D119,PREVVOLS,VLOOKUP(G119,MOVE_DOWN2,2,FALSE),FALSE),VLOOKUP(G119,NGPREVPRICES,3,FALSE),HLOOKUP(D119,Correllate,VLOOKUP(G119,CorMove,2,FALSE),FALSE),Q119-$C$3,R119,$CJ$5)*H119-CJ119</f>
        <v>1262.1577649482642</v>
      </c>
      <c r="CI119" s="234">
        <f t="shared" si="145"/>
        <v>1321.1224372785073</v>
      </c>
      <c r="CJ119" s="234">
        <f>_xll.xSPRDOPT((VLOOKUP(G119,NGPREVPRICES,2,FALSE)+HLOOKUP(D119,PREVCURVES,VLOOKUP(G119,MOVE_DOWN2,2,FALSE),FALSE)),VLOOKUP(G119,NGPREVPRICES,2,FALSE),CK119,VLOOKUP(G119,NGPREVPRICES,4,FALSE),HLOOKUP(D119,PREVVOLS,VLOOKUP(G119,MOVE_DOWN2,2,FALSE),FALSE),VLOOKUP(G119,NGPREVPRICES,3,FALSE),HLOOKUP(D119,Correllate,VLOOKUP(G119,CorMove,2,FALSE),FALSE),Q119-$CD$3,R119,$CJ$5)*H119</f>
        <v>-314750.30554387363</v>
      </c>
      <c r="CK119" s="235">
        <f t="shared" si="146"/>
        <v>1.4</v>
      </c>
      <c r="CL119" s="234"/>
      <c r="CM119" t="str">
        <f t="shared" si="147"/>
        <v>36861Curve Shift/Gamma</v>
      </c>
      <c r="CN119" t="str">
        <f t="shared" ref="CN119:CN173" si="176">CONCATENATE($CC119,$CE$6)</f>
        <v>36861Rho</v>
      </c>
      <c r="CO119" t="str">
        <f t="shared" ref="CO119:CO173" si="177">CONCATENATE($CC119,$CF$6)</f>
        <v>36861Drift</v>
      </c>
      <c r="CP119" t="str">
        <f t="shared" ref="CP119:CP173" si="178">CONCATENATE($CC119,$CG$6)</f>
        <v>36861Vega</v>
      </c>
      <c r="CQ119" t="str">
        <f t="shared" ref="CQ119:CQ173" si="179">CONCATENATE($CC119,$CH$6)</f>
        <v>36861Theta</v>
      </c>
    </row>
    <row r="120" spans="1:95" ht="12" customHeight="1" x14ac:dyDescent="0.25">
      <c r="A120" s="140" t="s">
        <v>320</v>
      </c>
      <c r="B120" t="s">
        <v>250</v>
      </c>
      <c r="C120" t="s">
        <v>323</v>
      </c>
      <c r="D120" s="4" t="s">
        <v>7</v>
      </c>
      <c r="E120" t="s">
        <v>20</v>
      </c>
      <c r="F120" t="s">
        <v>1</v>
      </c>
      <c r="G120" s="5">
        <v>36923</v>
      </c>
      <c r="H120" s="130">
        <v>-500000</v>
      </c>
      <c r="I120">
        <v>1.4</v>
      </c>
      <c r="J120" s="53">
        <f t="shared" si="148"/>
        <v>4.4800000000000004</v>
      </c>
      <c r="K120" s="7">
        <f t="shared" si="149"/>
        <v>2.09</v>
      </c>
      <c r="L120" s="53">
        <f t="shared" si="150"/>
        <v>6.57</v>
      </c>
      <c r="M120" s="157">
        <f t="shared" si="169"/>
        <v>6.8640161611372E-2</v>
      </c>
      <c r="N120" s="4">
        <f t="shared" si="170"/>
        <v>0.59250000000000003</v>
      </c>
      <c r="O120" s="4">
        <f t="shared" si="171"/>
        <v>0.68100000000000005</v>
      </c>
      <c r="P120" s="9">
        <f t="shared" si="172"/>
        <v>0.83</v>
      </c>
      <c r="Q120" s="5">
        <f t="shared" si="116"/>
        <v>36921</v>
      </c>
      <c r="R120" s="4">
        <f t="shared" si="173"/>
        <v>0</v>
      </c>
      <c r="S120" s="158">
        <f>_xll.xSPRDOPT($L120,$J120,$I120,$M120,$O120,$N120,$P120,$Q120-$C$3,$R120,0)</f>
        <v>0.34256530897516879</v>
      </c>
      <c r="T120" s="159">
        <f>_xll.xSPRDOPT($L120,$J120,$I120,$M120,$O120,$N120,$P120,$Q120-$C$3,$R120,1)*H120</f>
        <v>139189.91738209547</v>
      </c>
      <c r="U120" s="160">
        <f t="shared" si="174"/>
        <v>-171282.6544875844</v>
      </c>
      <c r="V120" s="159">
        <f>_xll.xSPRDOPT($L120,$J120,$I120,$M120,$O120,$N120,$P120,$Q120-$C$3,$R120,2)*H120</f>
        <v>-179528.64402531704</v>
      </c>
      <c r="W120" s="159">
        <f t="shared" si="175"/>
        <v>-40338.726643221569</v>
      </c>
      <c r="X120" s="51" t="str">
        <f t="shared" si="151"/>
        <v>36923IF-TRANSCO/Z6</v>
      </c>
      <c r="Y120" s="418">
        <f t="shared" si="152"/>
        <v>-50</v>
      </c>
      <c r="Z120" s="456">
        <f t="shared" si="153"/>
        <v>-0.27837983476419093</v>
      </c>
      <c r="AA120" s="456">
        <f>_xll.xSPRDOPT($L120,$J120,$I120,$M120,$O120,$N120,$P120,$Q120-$C$3,$R120,3)</f>
        <v>0.19471354241574176</v>
      </c>
      <c r="AB120" s="456">
        <f>((_xll.xSPRDOPT($L120+AB$5,$J120,$I120,$M120,$O120,$N120,$P120,$Q120-$C$3,$R120,3)*$H120)/10000)/100</f>
        <v>-9.7356771207870882E-2</v>
      </c>
      <c r="AC120" s="456">
        <f>((_xll.xSPRDOPT($L120+$AB$5,$J120,$I120,$M120,$O120,$N120,$P120,$Q120-$C$3,$R120,7)*$H120)/100)</f>
        <v>5420.242412203489</v>
      </c>
      <c r="AD120" s="456">
        <f>(_xll.xSPRDOPT($L120+$AB$5,$J120,$I120,$M120,$O120,$N120,$P120,$Q120-$C$3,$R120,9)/365)*$H120</f>
        <v>884.9975122686825</v>
      </c>
      <c r="AE120">
        <f t="shared" si="120"/>
        <v>0</v>
      </c>
      <c r="AF120" s="456">
        <f t="shared" si="154"/>
        <v>-4764.6706737497107</v>
      </c>
      <c r="AG120" s="456">
        <f>((_xll.xSPRDOPT($L120,$J120,$I120,$M120,$O120,$N120,$P120,$Q120-$C$3,$R120,6)*$H120)/100)</f>
        <v>1511.055291669303</v>
      </c>
      <c r="AH120" s="456">
        <f>((_xll.xSPRDOPT($L120,$J120,$I120,$M120,$O120,$N120,$P120,$Q120-$C$3,$R120,5)*$H120)/100)</f>
        <v>-5460.1580536134588</v>
      </c>
      <c r="AI120" s="456">
        <f>(((_xll.xSPRDOPT($L120,$J120,$I120,$M120,$O120,$N120,$P120,$Q120-$C$3,$R120,4)*$H120)/10000)/100)-AB120</f>
        <v>-2.3942423475265623E-2</v>
      </c>
      <c r="AJ120" s="456"/>
      <c r="AK120" s="456"/>
      <c r="AL120" s="456"/>
      <c r="AM120" s="472"/>
      <c r="AN120" s="128">
        <f t="shared" si="155"/>
        <v>40179</v>
      </c>
      <c r="AO120" s="43">
        <f t="shared" si="167"/>
        <v>0</v>
      </c>
      <c r="AP120" s="43">
        <f t="shared" si="167"/>
        <v>0</v>
      </c>
      <c r="AQ120" s="43">
        <f t="shared" si="167"/>
        <v>0</v>
      </c>
      <c r="AR120" s="43">
        <f t="shared" si="167"/>
        <v>0</v>
      </c>
      <c r="AS120" s="43">
        <f t="shared" si="167"/>
        <v>0</v>
      </c>
      <c r="AT120" s="43">
        <f t="shared" si="167"/>
        <v>0</v>
      </c>
      <c r="AU120" s="43">
        <f t="shared" si="167"/>
        <v>0</v>
      </c>
      <c r="AV120" s="43">
        <f t="shared" si="167"/>
        <v>0</v>
      </c>
      <c r="AW120" s="43">
        <f t="shared" si="167"/>
        <v>0</v>
      </c>
      <c r="AX120" s="43">
        <f t="shared" si="167"/>
        <v>0</v>
      </c>
      <c r="AY120" s="43">
        <f t="shared" si="167"/>
        <v>0</v>
      </c>
      <c r="AZ120" s="43">
        <f t="shared" si="167"/>
        <v>0</v>
      </c>
      <c r="BA120" s="44">
        <f t="shared" si="167"/>
        <v>0</v>
      </c>
      <c r="BB120" s="128">
        <f t="shared" si="156"/>
        <v>40179</v>
      </c>
      <c r="BC120" s="44">
        <f t="shared" si="124"/>
        <v>0</v>
      </c>
      <c r="BD120" s="51"/>
      <c r="BE120" s="128">
        <f t="shared" si="157"/>
        <v>40179</v>
      </c>
      <c r="BF120" s="43">
        <f t="shared" si="168"/>
        <v>0</v>
      </c>
      <c r="BG120" s="43">
        <f t="shared" si="168"/>
        <v>0</v>
      </c>
      <c r="BH120" s="43">
        <f t="shared" si="168"/>
        <v>0</v>
      </c>
      <c r="BI120" s="43">
        <f t="shared" si="168"/>
        <v>0</v>
      </c>
      <c r="BJ120" s="43">
        <f t="shared" si="168"/>
        <v>0</v>
      </c>
      <c r="BK120" s="43">
        <f t="shared" si="168"/>
        <v>0</v>
      </c>
      <c r="BL120" s="43">
        <f t="shared" si="168"/>
        <v>0</v>
      </c>
      <c r="BM120" s="43">
        <f t="shared" si="168"/>
        <v>0</v>
      </c>
      <c r="BN120" s="43">
        <f t="shared" si="168"/>
        <v>0</v>
      </c>
      <c r="BO120" s="43">
        <f t="shared" si="168"/>
        <v>0</v>
      </c>
      <c r="BP120" s="43">
        <f t="shared" si="168"/>
        <v>0</v>
      </c>
      <c r="BQ120" s="43">
        <f t="shared" si="168"/>
        <v>0</v>
      </c>
      <c r="BR120" s="44">
        <f t="shared" si="168"/>
        <v>0</v>
      </c>
      <c r="BS120" s="128">
        <f t="shared" si="158"/>
        <v>40179</v>
      </c>
      <c r="BT120" s="44">
        <f t="shared" si="127"/>
        <v>0</v>
      </c>
      <c r="BU120" s="51"/>
      <c r="BV120" s="51"/>
      <c r="BW120" s="51"/>
      <c r="BX120" s="51"/>
      <c r="BY120" s="51"/>
      <c r="BZ120" s="51"/>
      <c r="CA120" s="51"/>
      <c r="CB120" s="51"/>
      <c r="CC120" s="141">
        <f t="shared" si="143"/>
        <v>36923</v>
      </c>
      <c r="CD120" s="234">
        <f>_xll.xSPRDOPT((VLOOKUP(G120,NGPrices,2,FALSE)+HLOOKUP(D120,Prices,VLOOKUP(G120,move_down,2,FALSE),FALSE)),VLOOKUP(G120,NGPrices,2,FALSE),I120,VLOOKUP(G120,NGPREVPRICES,4,FALSE),HLOOKUP(D120,PREVVOLS,VLOOKUP(G120,MOVE_DOWN2,2,FALSE),FALSE),VLOOKUP(G120,NGPREVPRICES,3,FALSE),HLOOKUP(D120,Correllate,VLOOKUP(G120,CorMove,2,FALSE),FALSE),Q120-$CD$3,R120,$CD$5)*H120-CJ120</f>
        <v>0</v>
      </c>
      <c r="CE120" s="234">
        <f>_xll.xSPRDOPT((VLOOKUP(G120,NGPREVPRICES,2,FALSE)+HLOOKUP(D120,PREVCURVES,VLOOKUP(G120,MOVE_DOWN2,2,FALSE),FALSE)),VLOOKUP(G120,NGPREVPRICES,2,FALSE),CK120,VLOOKUP(G120,NGPrices,4,FALSE),HLOOKUP(D120,PREVVOLS,VLOOKUP(G120,MOVE_DOWN2,2,FALSE),FALSE),VLOOKUP(G120,NGPREVPRICES,3,FALSE),HLOOKUP(D120,Correllate,VLOOKUP(G120,CorMove,2,FALSE),FALSE),Q120-$CD$3,R120,$CJ$5)*H120-CJ120</f>
        <v>0</v>
      </c>
      <c r="CF120" s="10">
        <f t="shared" si="144"/>
        <v>32.743921871937346</v>
      </c>
      <c r="CG120" s="234">
        <f>_xll.xSPRDOPT((VLOOKUP(G120,NGPREVPRICES,2,FALSE)+HLOOKUP(D120,PREVCURVES,VLOOKUP(G120,MOVE_DOWN2,2,FALSE),FALSE)),VLOOKUP(G120,NGPREVPRICES,2,FALSE),CK120,VLOOKUP(G120,NGPREVPRICES,4,FALSE),HLOOKUP(D120,VOLS,VLOOKUP(G120,move_down,2,FALSE),FALSE),VLOOKUP(G120,NGPrices,3,FALSE),HLOOKUP(D120,Correllate,VLOOKUP(G120,CorMove,2,FALSE),FALSE),Q120-$CD$3,R120,$CJ$5)*H120-CJ120</f>
        <v>0</v>
      </c>
      <c r="CH120" s="234">
        <f>_xll.xSPRDOPT((VLOOKUP(G120,NGPREVPRICES,2,FALSE)+HLOOKUP(D120,PREVCURVES,VLOOKUP(G120,MOVE_DOWN2,2,FALSE),FALSE)),VLOOKUP(G120,NGPREVPRICES,2,FALSE),CK120,VLOOKUP(G120,NGPREVPRICES,4,FALSE),HLOOKUP(D120,PREVVOLS,VLOOKUP(G120,MOVE_DOWN2,2,FALSE),FALSE),VLOOKUP(G120,NGPREVPRICES,3,FALSE),HLOOKUP(D120,Correllate,VLOOKUP(G120,CorMove,2,FALSE),FALSE),Q120-$C$3,R120,$CJ$5)*H120-CJ120</f>
        <v>883.00083444238408</v>
      </c>
      <c r="CI120" s="234">
        <f t="shared" si="145"/>
        <v>915.74475631432142</v>
      </c>
      <c r="CJ120" s="234">
        <f>_xll.xSPRDOPT((VLOOKUP(G120,NGPREVPRICES,2,FALSE)+HLOOKUP(D120,PREVCURVES,VLOOKUP(G120,MOVE_DOWN2,2,FALSE),FALSE)),VLOOKUP(G120,NGPREVPRICES,2,FALSE),CK120,VLOOKUP(G120,NGPREVPRICES,4,FALSE),HLOOKUP(D120,PREVVOLS,VLOOKUP(G120,MOVE_DOWN2,2,FALSE),FALSE),VLOOKUP(G120,NGPREVPRICES,3,FALSE),HLOOKUP(D120,Correllate,VLOOKUP(G120,CorMove,2,FALSE),FALSE),Q120-$CD$3,R120,$CJ$5)*H120</f>
        <v>-172165.65532202678</v>
      </c>
      <c r="CK120" s="235">
        <f t="shared" si="146"/>
        <v>1.4</v>
      </c>
      <c r="CL120" s="234"/>
      <c r="CM120" t="str">
        <f t="shared" si="147"/>
        <v>36923Curve Shift/Gamma</v>
      </c>
      <c r="CN120" t="str">
        <f t="shared" si="176"/>
        <v>36923Rho</v>
      </c>
      <c r="CO120" t="str">
        <f t="shared" si="177"/>
        <v>36923Drift</v>
      </c>
      <c r="CP120" t="str">
        <f t="shared" si="178"/>
        <v>36923Vega</v>
      </c>
      <c r="CQ120" t="str">
        <f t="shared" si="179"/>
        <v>36923Theta</v>
      </c>
    </row>
    <row r="121" spans="1:95" ht="12" customHeight="1" x14ac:dyDescent="0.25">
      <c r="A121" s="140" t="s">
        <v>320</v>
      </c>
      <c r="B121" t="s">
        <v>250</v>
      </c>
      <c r="C121" t="s">
        <v>323</v>
      </c>
      <c r="D121" s="4" t="s">
        <v>7</v>
      </c>
      <c r="E121" t="s">
        <v>20</v>
      </c>
      <c r="F121" t="s">
        <v>1</v>
      </c>
      <c r="G121" s="5">
        <v>36892</v>
      </c>
      <c r="H121" s="130">
        <v>-500000</v>
      </c>
      <c r="I121">
        <v>1.4</v>
      </c>
      <c r="J121" s="53">
        <f t="shared" si="148"/>
        <v>4.7439999999999998</v>
      </c>
      <c r="K121" s="7">
        <f t="shared" si="149"/>
        <v>2.17</v>
      </c>
      <c r="L121" s="53">
        <f t="shared" si="150"/>
        <v>6.9139999999999997</v>
      </c>
      <c r="M121" s="157">
        <f t="shared" si="169"/>
        <v>6.8374831148490994E-2</v>
      </c>
      <c r="N121" s="4">
        <f t="shared" si="170"/>
        <v>0.60499999999999998</v>
      </c>
      <c r="O121" s="4">
        <f t="shared" si="171"/>
        <v>0.69599999999999995</v>
      </c>
      <c r="P121" s="9">
        <f t="shared" si="172"/>
        <v>0.83</v>
      </c>
      <c r="Q121" s="5">
        <f t="shared" si="116"/>
        <v>36888</v>
      </c>
      <c r="R121" s="4">
        <f t="shared" si="173"/>
        <v>0</v>
      </c>
      <c r="S121" s="158">
        <f>_xll.xSPRDOPT($L121,$J121,$I121,$M121,$O121,$N121,$P121,$Q121-$C$3,$R121,0)</f>
        <v>0.28969746930746076</v>
      </c>
      <c r="T121" s="159">
        <f>_xll.xSPRDOPT($L121,$J121,$I121,$M121,$O121,$N121,$P121,$Q121-$C$3,$R121,1)*H121</f>
        <v>129680.61769815481</v>
      </c>
      <c r="U121" s="160">
        <f t="shared" si="174"/>
        <v>-144848.73465373038</v>
      </c>
      <c r="V121" s="159">
        <f>_xll.xSPRDOPT($L121,$J121,$I121,$M121,$O121,$N121,$P121,$Q121-$C$3,$R121,2)*H121</f>
        <v>-165351.91578875296</v>
      </c>
      <c r="W121" s="159">
        <f t="shared" si="175"/>
        <v>-35671.298090598153</v>
      </c>
      <c r="X121" s="51" t="str">
        <f t="shared" si="151"/>
        <v>36892IF-TRANSCO/Z6</v>
      </c>
      <c r="Y121" s="418">
        <f t="shared" si="152"/>
        <v>-50</v>
      </c>
      <c r="Z121" s="456">
        <f t="shared" si="153"/>
        <v>-0.25936123539630962</v>
      </c>
      <c r="AA121" s="456">
        <f>_xll.xSPRDOPT($L121,$J121,$I121,$M121,$O121,$N121,$P121,$Q121-$C$3,$R121,3)</f>
        <v>0.19868694076661028</v>
      </c>
      <c r="AB121" s="456">
        <f>((_xll.xSPRDOPT($L121+AB$5,$J121,$I121,$M121,$O121,$N121,$P121,$Q121-$C$3,$R121,3)*$H121)/10000)/100</f>
        <v>-9.9343470383305141E-2</v>
      </c>
      <c r="AC121" s="456">
        <f>((_xll.xSPRDOPT($L121+$AB$5,$J121,$I121,$M121,$O121,$N121,$P121,$Q121-$C$3,$R121,7)*$H121)/100)</f>
        <v>5082.1883002887198</v>
      </c>
      <c r="AD121" s="456">
        <f>(_xll.xSPRDOPT($L121+$AB$5,$J121,$I121,$M121,$O121,$N121,$P121,$Q121-$C$3,$R121,9)/365)*$H121</f>
        <v>1045.6599975263862</v>
      </c>
      <c r="AE121">
        <f t="shared" si="120"/>
        <v>0</v>
      </c>
      <c r="AF121" s="456">
        <f t="shared" si="154"/>
        <v>-4288.2399034046493</v>
      </c>
      <c r="AG121" s="456">
        <f>((_xll.xSPRDOPT($L121,$J121,$I121,$M121,$O121,$N121,$P121,$Q121-$C$3,$R121,6)*$H121)/100)</f>
        <v>1336.2108170672643</v>
      </c>
      <c r="AH121" s="456">
        <f>((_xll.xSPRDOPT($L121,$J121,$I121,$M121,$O121,$N121,$P121,$Q121-$C$3,$R121,5)*$H121)/100)</f>
        <v>-4889.0699509849255</v>
      </c>
      <c r="AI121" s="456">
        <f>(((_xll.xSPRDOPT($L121,$J121,$I121,$M121,$O121,$N121,$P121,$Q121-$C$3,$R121,4)*$H121)/10000)/100)-AB121</f>
        <v>-2.5604959833963561E-2</v>
      </c>
      <c r="AJ121" s="456"/>
      <c r="AK121" s="456"/>
      <c r="AL121" s="456"/>
      <c r="AM121" s="472"/>
      <c r="AN121" s="128">
        <f t="shared" si="155"/>
        <v>40210</v>
      </c>
      <c r="AO121" s="43">
        <f t="shared" si="167"/>
        <v>0</v>
      </c>
      <c r="AP121" s="43">
        <f t="shared" si="167"/>
        <v>0</v>
      </c>
      <c r="AQ121" s="43">
        <f t="shared" si="167"/>
        <v>0</v>
      </c>
      <c r="AR121" s="43">
        <f t="shared" si="167"/>
        <v>0</v>
      </c>
      <c r="AS121" s="43">
        <f t="shared" si="167"/>
        <v>0</v>
      </c>
      <c r="AT121" s="43">
        <f t="shared" si="167"/>
        <v>0</v>
      </c>
      <c r="AU121" s="43">
        <f t="shared" si="167"/>
        <v>0</v>
      </c>
      <c r="AV121" s="43">
        <f t="shared" si="167"/>
        <v>0</v>
      </c>
      <c r="AW121" s="43">
        <f t="shared" si="167"/>
        <v>0</v>
      </c>
      <c r="AX121" s="43">
        <f t="shared" si="167"/>
        <v>0</v>
      </c>
      <c r="AY121" s="43">
        <f t="shared" si="167"/>
        <v>0</v>
      </c>
      <c r="AZ121" s="43">
        <f t="shared" si="167"/>
        <v>0</v>
      </c>
      <c r="BA121" s="44">
        <f t="shared" si="167"/>
        <v>0</v>
      </c>
      <c r="BB121" s="128">
        <f t="shared" si="156"/>
        <v>40210</v>
      </c>
      <c r="BC121" s="44">
        <f t="shared" si="124"/>
        <v>0</v>
      </c>
      <c r="BD121" s="51"/>
      <c r="BE121" s="128">
        <f t="shared" si="157"/>
        <v>40210</v>
      </c>
      <c r="BF121" s="43">
        <f t="shared" si="168"/>
        <v>0</v>
      </c>
      <c r="BG121" s="43">
        <f t="shared" si="168"/>
        <v>0</v>
      </c>
      <c r="BH121" s="43">
        <f t="shared" si="168"/>
        <v>0</v>
      </c>
      <c r="BI121" s="43">
        <f t="shared" si="168"/>
        <v>0</v>
      </c>
      <c r="BJ121" s="43">
        <f t="shared" si="168"/>
        <v>0</v>
      </c>
      <c r="BK121" s="43">
        <f t="shared" si="168"/>
        <v>0</v>
      </c>
      <c r="BL121" s="43">
        <f t="shared" si="168"/>
        <v>0</v>
      </c>
      <c r="BM121" s="43">
        <f t="shared" si="168"/>
        <v>0</v>
      </c>
      <c r="BN121" s="43">
        <f t="shared" si="168"/>
        <v>0</v>
      </c>
      <c r="BO121" s="43">
        <f t="shared" si="168"/>
        <v>0</v>
      </c>
      <c r="BP121" s="43">
        <f t="shared" si="168"/>
        <v>0</v>
      </c>
      <c r="BQ121" s="43">
        <f t="shared" si="168"/>
        <v>0</v>
      </c>
      <c r="BR121" s="44">
        <f t="shared" si="168"/>
        <v>0</v>
      </c>
      <c r="BS121" s="128">
        <f t="shared" si="158"/>
        <v>40210</v>
      </c>
      <c r="BT121" s="44">
        <f t="shared" si="127"/>
        <v>0</v>
      </c>
      <c r="BU121" s="51"/>
      <c r="BV121" s="51"/>
      <c r="BW121" s="51"/>
      <c r="BX121" s="51"/>
      <c r="BY121" s="51"/>
      <c r="BZ121" s="51"/>
      <c r="CA121" s="51"/>
      <c r="CB121" s="51"/>
      <c r="CC121" s="141">
        <f t="shared" si="143"/>
        <v>36892</v>
      </c>
      <c r="CD121" s="234">
        <f>_xll.xSPRDOPT((VLOOKUP(G121,NGPrices,2,FALSE)+HLOOKUP(D121,Prices,VLOOKUP(G121,move_down,2,FALSE),FALSE)),VLOOKUP(G121,NGPrices,2,FALSE),I121,VLOOKUP(G121,NGPREVPRICES,4,FALSE),HLOOKUP(D121,PREVVOLS,VLOOKUP(G121,MOVE_DOWN2,2,FALSE),FALSE),VLOOKUP(G121,NGPREVPRICES,3,FALSE),HLOOKUP(D121,Correllate,VLOOKUP(G121,CorMove,2,FALSE),FALSE),Q121-$CD$3,R121,$CD$5)*H121-CJ121</f>
        <v>0</v>
      </c>
      <c r="CE121" s="234">
        <f>_xll.xSPRDOPT((VLOOKUP(G121,NGPREVPRICES,2,FALSE)+HLOOKUP(D121,PREVCURVES,VLOOKUP(G121,MOVE_DOWN2,2,FALSE),FALSE)),VLOOKUP(G121,NGPREVPRICES,2,FALSE),CK121,VLOOKUP(G121,NGPrices,4,FALSE),HLOOKUP(D121,PREVVOLS,VLOOKUP(G121,MOVE_DOWN2,2,FALSE),FALSE),VLOOKUP(G121,NGPREVPRICES,3,FALSE),HLOOKUP(D121,Correllate,VLOOKUP(G121,CorMove,2,FALSE),FALSE),Q121-$CD$3,R121,$CJ$5)*H121-CJ121</f>
        <v>0</v>
      </c>
      <c r="CF121" s="10">
        <f t="shared" si="144"/>
        <v>27.492025637649931</v>
      </c>
      <c r="CG121" s="234">
        <f>_xll.xSPRDOPT((VLOOKUP(G121,NGPREVPRICES,2,FALSE)+HLOOKUP(D121,PREVCURVES,VLOOKUP(G121,MOVE_DOWN2,2,FALSE),FALSE)),VLOOKUP(G121,NGPREVPRICES,2,FALSE),CK121,VLOOKUP(G121,NGPREVPRICES,4,FALSE),HLOOKUP(D121,VOLS,VLOOKUP(G121,move_down,2,FALSE),FALSE),VLOOKUP(G121,NGPrices,3,FALSE),HLOOKUP(D121,Correllate,VLOOKUP(G121,CorMove,2,FALSE),FALSE),Q121-$CD$3,R121,$CJ$5)*H121-CJ121</f>
        <v>0</v>
      </c>
      <c r="CH121" s="234">
        <f>_xll.xSPRDOPT((VLOOKUP(G121,NGPREVPRICES,2,FALSE)+HLOOKUP(D121,PREVCURVES,VLOOKUP(G121,MOVE_DOWN2,2,FALSE),FALSE)),VLOOKUP(G121,NGPREVPRICES,2,FALSE),CK121,VLOOKUP(G121,NGPREVPRICES,4,FALSE),HLOOKUP(D121,PREVVOLS,VLOOKUP(G121,MOVE_DOWN2,2,FALSE),FALSE),VLOOKUP(G121,NGPREVPRICES,3,FALSE),HLOOKUP(D121,Correllate,VLOOKUP(G121,CorMove,2,FALSE),FALSE),Q121-$C$3,R121,$CJ$5)*H121-CJ121</f>
        <v>1043.0918920373369</v>
      </c>
      <c r="CI121" s="234">
        <f t="shared" si="145"/>
        <v>1070.5839176749869</v>
      </c>
      <c r="CJ121" s="234">
        <f>_xll.xSPRDOPT((VLOOKUP(G121,NGPREVPRICES,2,FALSE)+HLOOKUP(D121,PREVCURVES,VLOOKUP(G121,MOVE_DOWN2,2,FALSE),FALSE)),VLOOKUP(G121,NGPREVPRICES,2,FALSE),CK121,VLOOKUP(G121,NGPREVPRICES,4,FALSE),HLOOKUP(D121,PREVVOLS,VLOOKUP(G121,MOVE_DOWN2,2,FALSE),FALSE),VLOOKUP(G121,NGPREVPRICES,3,FALSE),HLOOKUP(D121,Correllate,VLOOKUP(G121,CorMove,2,FALSE),FALSE),Q121-$CD$3,R121,$CJ$5)*H121</f>
        <v>-145891.82654576772</v>
      </c>
      <c r="CK121" s="235">
        <f t="shared" si="146"/>
        <v>1.4</v>
      </c>
      <c r="CL121" s="234"/>
      <c r="CM121" t="str">
        <f t="shared" si="147"/>
        <v>36892Curve Shift/Gamma</v>
      </c>
      <c r="CN121" t="str">
        <f t="shared" si="176"/>
        <v>36892Rho</v>
      </c>
      <c r="CO121" t="str">
        <f t="shared" si="177"/>
        <v>36892Drift</v>
      </c>
      <c r="CP121" t="str">
        <f t="shared" si="178"/>
        <v>36892Vega</v>
      </c>
      <c r="CQ121" t="str">
        <f t="shared" si="179"/>
        <v>36892Theta</v>
      </c>
    </row>
    <row r="122" spans="1:95" ht="12" customHeight="1" x14ac:dyDescent="0.25">
      <c r="A122" s="140" t="s">
        <v>320</v>
      </c>
      <c r="B122" t="s">
        <v>250</v>
      </c>
      <c r="C122" t="s">
        <v>323</v>
      </c>
      <c r="D122" s="4" t="s">
        <v>7</v>
      </c>
      <c r="E122" t="s">
        <v>20</v>
      </c>
      <c r="F122" t="s">
        <v>1</v>
      </c>
      <c r="G122" s="5">
        <v>36861</v>
      </c>
      <c r="H122" s="130">
        <v>-500000</v>
      </c>
      <c r="I122">
        <v>1.4</v>
      </c>
      <c r="J122" s="53">
        <f t="shared" si="148"/>
        <v>4.8</v>
      </c>
      <c r="K122" s="7">
        <f t="shared" si="149"/>
        <v>1.645</v>
      </c>
      <c r="L122" s="53">
        <f t="shared" si="150"/>
        <v>6.4450000000000003</v>
      </c>
      <c r="M122" s="157">
        <f t="shared" si="169"/>
        <v>6.8314027999354002E-2</v>
      </c>
      <c r="N122" s="4">
        <f t="shared" si="170"/>
        <v>0.6</v>
      </c>
      <c r="O122" s="4">
        <f t="shared" si="171"/>
        <v>0.69</v>
      </c>
      <c r="P122" s="9">
        <f t="shared" si="172"/>
        <v>0.83</v>
      </c>
      <c r="Q122" s="5">
        <f t="shared" si="116"/>
        <v>36859</v>
      </c>
      <c r="R122" s="4">
        <f t="shared" si="173"/>
        <v>0</v>
      </c>
      <c r="S122" s="158">
        <f>_xll.xSPRDOPT($L122,$J122,$I122,$M122,$O122,$N122,$P122,$Q122-$C$3,$R122,0)</f>
        <v>0.38615597009655955</v>
      </c>
      <c r="T122" s="159">
        <f>_xll.xSPRDOPT($L122,$J122,$I122,$M122,$O122,$N122,$P122,$Q122-$C$3,$R122,1)*H122</f>
        <v>188459.53209017174</v>
      </c>
      <c r="U122" s="160">
        <f t="shared" si="174"/>
        <v>-193077.98504827978</v>
      </c>
      <c r="V122" s="159">
        <f>_xll.xSPRDOPT($L122,$J122,$I122,$M122,$O122,$N122,$P122,$Q122-$C$3,$R122,2)*H122</f>
        <v>-223383.33261033526</v>
      </c>
      <c r="W122" s="159">
        <f t="shared" si="175"/>
        <v>-34923.800520163524</v>
      </c>
      <c r="X122" s="51" t="str">
        <f t="shared" si="151"/>
        <v>36861IF-TRANSCO/Z6</v>
      </c>
      <c r="Y122" s="418">
        <f t="shared" si="152"/>
        <v>-50</v>
      </c>
      <c r="Z122" s="456">
        <f t="shared" si="153"/>
        <v>-0.37691906418034349</v>
      </c>
      <c r="AA122" s="456">
        <f>_xll.xSPRDOPT($L122,$J122,$I122,$M122,$O122,$N122,$P122,$Q122-$C$3,$R122,3)</f>
        <v>0.28983630070923494</v>
      </c>
      <c r="AB122" s="456">
        <f>((_xll.xSPRDOPT($L122+AB$5,$J122,$I122,$M122,$O122,$N122,$P122,$Q122-$C$3,$R122,3)*$H122)/10000)/100</f>
        <v>-0.14491815035461747</v>
      </c>
      <c r="AC122" s="456">
        <f>((_xll.xSPRDOPT($L122+$AB$5,$J122,$I122,$M122,$O122,$N122,$P122,$Q122-$C$3,$R122,7)*$H122)/100)</f>
        <v>4859.7941274105842</v>
      </c>
      <c r="AD122" s="456">
        <f>(_xll.xSPRDOPT($L122+$AB$5,$J122,$I122,$M122,$O122,$N122,$P122,$Q122-$C$3,$R122,9)/365)*$H122</f>
        <v>1289.2661880296685</v>
      </c>
      <c r="AE122">
        <f t="shared" si="120"/>
        <v>0</v>
      </c>
      <c r="AF122" s="456">
        <f t="shared" si="154"/>
        <v>-4061.7871298236505</v>
      </c>
      <c r="AG122" s="456">
        <f>((_xll.xSPRDOPT($L122,$J122,$I122,$M122,$O122,$N122,$P122,$Q122-$C$3,$R122,6)*$H122)/100)</f>
        <v>1246.8082162078399</v>
      </c>
      <c r="AH122" s="456">
        <f>((_xll.xSPRDOPT($L122,$J122,$I122,$M122,$O122,$N122,$P122,$Q122-$C$3,$R122,5)*$H122)/100)</f>
        <v>-4616.16986611434</v>
      </c>
      <c r="AI122" s="456">
        <f>(((_xll.xSPRDOPT($L122,$J122,$I122,$M122,$O122,$N122,$P122,$Q122-$C$3,$R122,4)*$H122)/10000)/100)-AB122</f>
        <v>-1.2344764672396952E-2</v>
      </c>
      <c r="AJ122" s="456"/>
      <c r="AK122" s="456"/>
      <c r="AL122" s="456"/>
      <c r="AM122" s="472"/>
      <c r="AN122" s="128">
        <f t="shared" si="155"/>
        <v>40238</v>
      </c>
      <c r="AO122" s="43">
        <f t="shared" si="167"/>
        <v>0</v>
      </c>
      <c r="AP122" s="43">
        <f t="shared" si="167"/>
        <v>0</v>
      </c>
      <c r="AQ122" s="43">
        <f t="shared" si="167"/>
        <v>0</v>
      </c>
      <c r="AR122" s="43">
        <f t="shared" si="167"/>
        <v>0</v>
      </c>
      <c r="AS122" s="43">
        <f t="shared" si="167"/>
        <v>0</v>
      </c>
      <c r="AT122" s="43">
        <f t="shared" si="167"/>
        <v>0</v>
      </c>
      <c r="AU122" s="43">
        <f t="shared" si="167"/>
        <v>0</v>
      </c>
      <c r="AV122" s="43">
        <f t="shared" si="167"/>
        <v>0</v>
      </c>
      <c r="AW122" s="43">
        <f t="shared" si="167"/>
        <v>0</v>
      </c>
      <c r="AX122" s="43">
        <f t="shared" si="167"/>
        <v>0</v>
      </c>
      <c r="AY122" s="43">
        <f t="shared" si="167"/>
        <v>0</v>
      </c>
      <c r="AZ122" s="43">
        <f t="shared" si="167"/>
        <v>0</v>
      </c>
      <c r="BA122" s="44">
        <f t="shared" si="167"/>
        <v>0</v>
      </c>
      <c r="BB122" s="128">
        <f t="shared" si="156"/>
        <v>40238</v>
      </c>
      <c r="BC122" s="44">
        <f t="shared" si="124"/>
        <v>0</v>
      </c>
      <c r="BD122" s="51"/>
      <c r="BE122" s="128">
        <f t="shared" si="157"/>
        <v>40238</v>
      </c>
      <c r="BF122" s="43">
        <f t="shared" si="168"/>
        <v>0</v>
      </c>
      <c r="BG122" s="43">
        <f t="shared" si="168"/>
        <v>0</v>
      </c>
      <c r="BH122" s="43">
        <f t="shared" si="168"/>
        <v>0</v>
      </c>
      <c r="BI122" s="43">
        <f t="shared" si="168"/>
        <v>0</v>
      </c>
      <c r="BJ122" s="43">
        <f t="shared" si="168"/>
        <v>0</v>
      </c>
      <c r="BK122" s="43">
        <f t="shared" si="168"/>
        <v>0</v>
      </c>
      <c r="BL122" s="43">
        <f t="shared" si="168"/>
        <v>0</v>
      </c>
      <c r="BM122" s="43">
        <f t="shared" si="168"/>
        <v>0</v>
      </c>
      <c r="BN122" s="43">
        <f t="shared" si="168"/>
        <v>0</v>
      </c>
      <c r="BO122" s="43">
        <f t="shared" si="168"/>
        <v>0</v>
      </c>
      <c r="BP122" s="43">
        <f t="shared" si="168"/>
        <v>0</v>
      </c>
      <c r="BQ122" s="43">
        <f t="shared" si="168"/>
        <v>0</v>
      </c>
      <c r="BR122" s="44">
        <f t="shared" si="168"/>
        <v>0</v>
      </c>
      <c r="BS122" s="128">
        <f t="shared" si="158"/>
        <v>40238</v>
      </c>
      <c r="BT122" s="44">
        <f t="shared" si="127"/>
        <v>0</v>
      </c>
      <c r="BU122" s="51"/>
      <c r="BV122" s="51"/>
      <c r="BW122" s="51"/>
      <c r="BX122" s="51"/>
      <c r="BY122" s="51"/>
      <c r="BZ122" s="51"/>
      <c r="CA122" s="51"/>
      <c r="CB122" s="51"/>
      <c r="CC122" s="141">
        <f t="shared" si="143"/>
        <v>36861</v>
      </c>
      <c r="CD122" s="234">
        <f>_xll.xSPRDOPT((VLOOKUP(G122,NGPrices,2,FALSE)+HLOOKUP(D122,Prices,VLOOKUP(G122,move_down,2,FALSE),FALSE)),VLOOKUP(G122,NGPrices,2,FALSE),I122,VLOOKUP(G122,NGPREVPRICES,4,FALSE),HLOOKUP(D122,PREVVOLS,VLOOKUP(G122,MOVE_DOWN2,2,FALSE),FALSE),VLOOKUP(G122,NGPREVPRICES,3,FALSE),HLOOKUP(D122,Correllate,VLOOKUP(G122,CorMove,2,FALSE),FALSE),Q122-$CD$3,R122,$CD$5)*H122-CJ122</f>
        <v>0</v>
      </c>
      <c r="CE122" s="234">
        <f>_xll.xSPRDOPT((VLOOKUP(G122,NGPREVPRICES,2,FALSE)+HLOOKUP(D122,PREVCURVES,VLOOKUP(G122,MOVE_DOWN2,2,FALSE),FALSE)),VLOOKUP(G122,NGPREVPRICES,2,FALSE),CK122,VLOOKUP(G122,NGPrices,4,FALSE),HLOOKUP(D122,PREVVOLS,VLOOKUP(G122,MOVE_DOWN2,2,FALSE),FALSE),VLOOKUP(G122,NGPREVPRICES,3,FALSE),HLOOKUP(D122,Correllate,VLOOKUP(G122,CorMove,2,FALSE),FALSE),Q122-$CD$3,R122,$CJ$5)*H122-CJ122</f>
        <v>0</v>
      </c>
      <c r="CF122" s="10">
        <f t="shared" si="144"/>
        <v>36.411499668465694</v>
      </c>
      <c r="CG122" s="234">
        <f>_xll.xSPRDOPT((VLOOKUP(G122,NGPREVPRICES,2,FALSE)+HLOOKUP(D122,PREVCURVES,VLOOKUP(G122,MOVE_DOWN2,2,FALSE),FALSE)),VLOOKUP(G122,NGPREVPRICES,2,FALSE),CK122,VLOOKUP(G122,NGPREVPRICES,4,FALSE),HLOOKUP(D122,VOLS,VLOOKUP(G122,move_down,2,FALSE),FALSE),VLOOKUP(G122,NGPrices,3,FALSE),HLOOKUP(D122,Correllate,VLOOKUP(G122,CorMove,2,FALSE),FALSE),Q122-$CD$3,R122,$CJ$5)*H122-CJ122</f>
        <v>0</v>
      </c>
      <c r="CH122" s="234">
        <f>_xll.xSPRDOPT((VLOOKUP(G122,NGPREVPRICES,2,FALSE)+HLOOKUP(D122,PREVCURVES,VLOOKUP(G122,MOVE_DOWN2,2,FALSE),FALSE)),VLOOKUP(G122,NGPREVPRICES,2,FALSE),CK122,VLOOKUP(G122,NGPREVPRICES,4,FALSE),HLOOKUP(D122,PREVVOLS,VLOOKUP(G122,MOVE_DOWN2,2,FALSE),FALSE),VLOOKUP(G122,NGPREVPRICES,3,FALSE),HLOOKUP(D122,Correllate,VLOOKUP(G122,CorMove,2,FALSE),FALSE),Q122-$C$3,R122,$CJ$5)*H122-CJ122</f>
        <v>1284.6764070687641</v>
      </c>
      <c r="CI122" s="234">
        <f t="shared" si="145"/>
        <v>1321.0879067372298</v>
      </c>
      <c r="CJ122" s="234">
        <f>_xll.xSPRDOPT((VLOOKUP(G122,NGPREVPRICES,2,FALSE)+HLOOKUP(D122,PREVCURVES,VLOOKUP(G122,MOVE_DOWN2,2,FALSE),FALSE)),VLOOKUP(G122,NGPREVPRICES,2,FALSE),CK122,VLOOKUP(G122,NGPREVPRICES,4,FALSE),HLOOKUP(D122,PREVVOLS,VLOOKUP(G122,MOVE_DOWN2,2,FALSE),FALSE),VLOOKUP(G122,NGPREVPRICES,3,FALSE),HLOOKUP(D122,Correllate,VLOOKUP(G122,CorMove,2,FALSE),FALSE),Q122-$CD$3,R122,$CJ$5)*H122</f>
        <v>-194362.66145534854</v>
      </c>
      <c r="CK122" s="235">
        <f t="shared" si="146"/>
        <v>1.4</v>
      </c>
      <c r="CL122" s="234"/>
      <c r="CM122" t="str">
        <f t="shared" si="147"/>
        <v>36861Curve Shift/Gamma</v>
      </c>
      <c r="CN122" t="str">
        <f t="shared" si="176"/>
        <v>36861Rho</v>
      </c>
      <c r="CO122" t="str">
        <f t="shared" si="177"/>
        <v>36861Drift</v>
      </c>
      <c r="CP122" t="str">
        <f t="shared" si="178"/>
        <v>36861Vega</v>
      </c>
      <c r="CQ122" t="str">
        <f t="shared" si="179"/>
        <v>36861Theta</v>
      </c>
    </row>
    <row r="123" spans="1:95" ht="12" customHeight="1" x14ac:dyDescent="0.25">
      <c r="A123" s="382" t="s">
        <v>279</v>
      </c>
      <c r="B123" t="s">
        <v>250</v>
      </c>
      <c r="C123" t="s">
        <v>326</v>
      </c>
      <c r="D123" s="4" t="s">
        <v>325</v>
      </c>
      <c r="E123" t="s">
        <v>20</v>
      </c>
      <c r="F123" t="s">
        <v>21</v>
      </c>
      <c r="G123" s="5">
        <v>36951</v>
      </c>
      <c r="H123" s="130">
        <v>-1000000</v>
      </c>
      <c r="I123">
        <v>0</v>
      </c>
      <c r="J123" s="53">
        <f t="shared" si="148"/>
        <v>4.2130000000000001</v>
      </c>
      <c r="K123" s="7">
        <f t="shared" si="149"/>
        <v>3.2500000000000001E-2</v>
      </c>
      <c r="L123" s="53">
        <f t="shared" si="150"/>
        <v>4.2454999999999998</v>
      </c>
      <c r="M123" s="157">
        <f t="shared" si="169"/>
        <v>6.8879814952706994E-2</v>
      </c>
      <c r="N123" s="4">
        <f t="shared" si="170"/>
        <v>0.53249999999999997</v>
      </c>
      <c r="O123" s="4">
        <f t="shared" si="171"/>
        <v>0.55900000000000005</v>
      </c>
      <c r="P123" s="9">
        <f t="shared" si="172"/>
        <v>0.99750000000000005</v>
      </c>
      <c r="Q123" s="5">
        <f t="shared" si="116"/>
        <v>36949</v>
      </c>
      <c r="R123" s="4">
        <f t="shared" si="173"/>
        <v>1</v>
      </c>
      <c r="S123" s="158">
        <f>_xll.xSPRDOPT($L123,$J123,$I123,$M123,$O123,$N123,$P123,$Q123-$C$3,$R123,0)</f>
        <v>7.1012288118638731E-2</v>
      </c>
      <c r="T123" s="159">
        <f>_xll.xSPRDOPT($L123,$J123,$I123,$M123,$O123,$N123,$P123,$Q123-$C$3,$R123,1)*H123</f>
        <v>-578175.40865202423</v>
      </c>
      <c r="U123" s="160">
        <f t="shared" si="174"/>
        <v>-71012.288118638724</v>
      </c>
      <c r="V123" s="159">
        <f>_xll.xSPRDOPT($L123,$J123,$I123,$M123,$O123,$N123,$P123,$Q123-$C$3,$R123,2)*H123</f>
        <v>565780.07307873818</v>
      </c>
      <c r="W123" s="159">
        <f t="shared" si="175"/>
        <v>-12395.335573286051</v>
      </c>
      <c r="X123" s="51" t="str">
        <f t="shared" si="151"/>
        <v>36951IF-NNG/VENT</v>
      </c>
      <c r="Y123" s="418">
        <f t="shared" si="152"/>
        <v>-100</v>
      </c>
      <c r="Z123" s="456">
        <f t="shared" si="153"/>
        <v>0.57817540865202421</v>
      </c>
      <c r="AA123" s="456">
        <f>_xll.xSPRDOPT($L123,$J123,$I123,$M123,$O123,$N123,$P123,$Q123-$C$3,$R123,3)</f>
        <v>2.6642732960144064</v>
      </c>
      <c r="AB123" s="456">
        <f>((_xll.xSPRDOPT($L123+AB$5,$J123,$I123,$M123,$O123,$N123,$P123,$Q123-$C$3,$R123,3)*$H123)/10000)/100</f>
        <v>-2.6642732960144064</v>
      </c>
      <c r="AC123" s="456">
        <f>((_xll.xSPRDOPT($L123+$AB$5,$J123,$I123,$M123,$O123,$N123,$P123,$Q123-$C$3,$R123,7)*$H123)/100)</f>
        <v>71227.713878433511</v>
      </c>
      <c r="AD123" s="456">
        <f>(_xll.xSPRDOPT($L123+$AB$5,$J123,$I123,$M123,$O123,$N123,$P123,$Q123-$C$3,$R123,9)/365)*$H123</f>
        <v>130.70296966453367</v>
      </c>
      <c r="AE123">
        <f t="shared" si="120"/>
        <v>0</v>
      </c>
      <c r="AF123" s="456">
        <f t="shared" si="154"/>
        <v>-984.37347688663704</v>
      </c>
      <c r="AG123" s="456">
        <f>((_xll.xSPRDOPT($L123,$J123,$I123,$M123,$O123,$N123,$P123,$Q123-$C$3,$R123,6)*$H123)/100)</f>
        <v>6006.712146309289</v>
      </c>
      <c r="AH123" s="456">
        <f>((_xll.xSPRDOPT($L123,$J123,$I123,$M123,$O123,$N123,$P123,$Q123-$C$3,$R123,5)*$H123)/100)</f>
        <v>-6659.6656428476381</v>
      </c>
      <c r="AI123" s="456">
        <f>(((_xll.xSPRDOPT($L123,$J123,$I123,$M123,$O123,$N123,$P123,$Q123-$C$3,$R123,4)*$H123)/10000)/100)-AB123</f>
        <v>-4.1264217531086889E-2</v>
      </c>
      <c r="AJ123" s="456"/>
      <c r="AK123" s="456"/>
      <c r="AL123" s="456"/>
      <c r="AM123" s="472"/>
      <c r="AN123" s="128">
        <f t="shared" si="155"/>
        <v>40269</v>
      </c>
      <c r="AO123" s="43">
        <f t="shared" si="167"/>
        <v>0</v>
      </c>
      <c r="AP123" s="43">
        <f t="shared" si="167"/>
        <v>0</v>
      </c>
      <c r="AQ123" s="43">
        <f t="shared" si="167"/>
        <v>0</v>
      </c>
      <c r="AR123" s="43">
        <f t="shared" si="167"/>
        <v>0</v>
      </c>
      <c r="AS123" s="43">
        <f t="shared" si="167"/>
        <v>0</v>
      </c>
      <c r="AT123" s="43">
        <f t="shared" si="167"/>
        <v>0</v>
      </c>
      <c r="AU123" s="43">
        <f t="shared" si="167"/>
        <v>0</v>
      </c>
      <c r="AV123" s="43">
        <f t="shared" si="167"/>
        <v>0</v>
      </c>
      <c r="AW123" s="43">
        <f t="shared" si="167"/>
        <v>0</v>
      </c>
      <c r="AX123" s="43">
        <f t="shared" si="167"/>
        <v>0</v>
      </c>
      <c r="AY123" s="43">
        <f t="shared" si="167"/>
        <v>0</v>
      </c>
      <c r="AZ123" s="43">
        <f t="shared" si="167"/>
        <v>0</v>
      </c>
      <c r="BA123" s="44">
        <f t="shared" si="167"/>
        <v>0</v>
      </c>
      <c r="BB123" s="128">
        <f t="shared" si="156"/>
        <v>40269</v>
      </c>
      <c r="BC123" s="44">
        <f t="shared" si="124"/>
        <v>0</v>
      </c>
      <c r="BD123" s="51"/>
      <c r="BE123" s="128">
        <f t="shared" si="157"/>
        <v>40269</v>
      </c>
      <c r="BF123" s="43">
        <f t="shared" si="168"/>
        <v>0</v>
      </c>
      <c r="BG123" s="43">
        <f t="shared" si="168"/>
        <v>0</v>
      </c>
      <c r="BH123" s="43">
        <f t="shared" si="168"/>
        <v>0</v>
      </c>
      <c r="BI123" s="43">
        <f t="shared" si="168"/>
        <v>0</v>
      </c>
      <c r="BJ123" s="43">
        <f t="shared" si="168"/>
        <v>0</v>
      </c>
      <c r="BK123" s="43">
        <f t="shared" si="168"/>
        <v>0</v>
      </c>
      <c r="BL123" s="43">
        <f t="shared" si="168"/>
        <v>0</v>
      </c>
      <c r="BM123" s="43">
        <f t="shared" si="168"/>
        <v>0</v>
      </c>
      <c r="BN123" s="43">
        <f t="shared" si="168"/>
        <v>0</v>
      </c>
      <c r="BO123" s="43">
        <f t="shared" si="168"/>
        <v>0</v>
      </c>
      <c r="BP123" s="43">
        <f t="shared" si="168"/>
        <v>0</v>
      </c>
      <c r="BQ123" s="43">
        <f t="shared" si="168"/>
        <v>0</v>
      </c>
      <c r="BR123" s="44">
        <f t="shared" si="168"/>
        <v>0</v>
      </c>
      <c r="BS123" s="128">
        <f t="shared" si="158"/>
        <v>40269</v>
      </c>
      <c r="BT123" s="44">
        <f t="shared" si="127"/>
        <v>0</v>
      </c>
      <c r="BU123" s="51"/>
      <c r="BV123" s="51"/>
      <c r="BW123" s="51"/>
      <c r="BX123" s="51"/>
      <c r="BY123" s="51"/>
      <c r="BZ123" s="51"/>
      <c r="CA123" s="51"/>
      <c r="CB123" s="51"/>
      <c r="CC123" s="141">
        <f t="shared" si="143"/>
        <v>36951</v>
      </c>
      <c r="CD123" s="234">
        <f>_xll.xSPRDOPT((VLOOKUP(G123,NGPrices,2,FALSE)+HLOOKUP(D123,Prices,VLOOKUP(G123,move_down,2,FALSE),FALSE)),VLOOKUP(G123,NGPrices,2,FALSE),I123,VLOOKUP(G123,NGPREVPRICES,4,FALSE),HLOOKUP(D123,PREVVOLS,VLOOKUP(G123,MOVE_DOWN2,2,FALSE),FALSE),VLOOKUP(G123,NGPREVPRICES,3,FALSE),HLOOKUP(D123,Correllate,VLOOKUP(G123,CorMove,2,FALSE),FALSE),Q123-$CD$3,R123,$CD$5)*H123-CJ123</f>
        <v>0</v>
      </c>
      <c r="CE123" s="234">
        <f>_xll.xSPRDOPT((VLOOKUP(G123,NGPREVPRICES,2,FALSE)+HLOOKUP(D123,PREVCURVES,VLOOKUP(G123,MOVE_DOWN2,2,FALSE),FALSE)),VLOOKUP(G123,NGPREVPRICES,2,FALSE),CK123,VLOOKUP(G123,NGPrices,4,FALSE),HLOOKUP(D123,PREVVOLS,VLOOKUP(G123,MOVE_DOWN2,2,FALSE),FALSE),VLOOKUP(G123,NGPREVPRICES,3,FALSE),HLOOKUP(D123,Correllate,VLOOKUP(G123,CorMove,2,FALSE),FALSE),Q123-$CD$3,R123,$CJ$5)*H123-CJ123</f>
        <v>0</v>
      </c>
      <c r="CF123" s="10">
        <f t="shared" si="144"/>
        <v>13.644104603590677</v>
      </c>
      <c r="CG123" s="234">
        <f>_xll.xSPRDOPT((VLOOKUP(G123,NGPREVPRICES,2,FALSE)+HLOOKUP(D123,PREVCURVES,VLOOKUP(G123,MOVE_DOWN2,2,FALSE),FALSE)),VLOOKUP(G123,NGPREVPRICES,2,FALSE),CK123,VLOOKUP(G123,NGPREVPRICES,4,FALSE),HLOOKUP(D123,VOLS,VLOOKUP(G123,move_down,2,FALSE),FALSE),VLOOKUP(G123,NGPrices,3,FALSE),HLOOKUP(D123,Correllate,VLOOKUP(G123,CorMove,2,FALSE),FALSE),Q123-$CD$3,R123,$CJ$5)*H123-CJ123</f>
        <v>0</v>
      </c>
      <c r="CH123" s="234">
        <f>_xll.xSPRDOPT((VLOOKUP(G123,NGPREVPRICES,2,FALSE)+HLOOKUP(D123,PREVCURVES,VLOOKUP(G123,MOVE_DOWN2,2,FALSE),FALSE)),VLOOKUP(G123,NGPREVPRICES,2,FALSE),CK123,VLOOKUP(G123,NGPREVPRICES,4,FALSE),HLOOKUP(D123,PREVVOLS,VLOOKUP(G123,MOVE_DOWN2,2,FALSE),FALSE),VLOOKUP(G123,NGPREVPRICES,3,FALSE),HLOOKUP(D123,Correllate,VLOOKUP(G123,CorMove,2,FALSE),FALSE),Q123-$C$3,R123,$CJ$5)*H123-CJ123</f>
        <v>130.40098203605157</v>
      </c>
      <c r="CI123" s="234">
        <f t="shared" si="145"/>
        <v>144.04508663964225</v>
      </c>
      <c r="CJ123" s="234">
        <f>_xll.xSPRDOPT((VLOOKUP(G123,NGPREVPRICES,2,FALSE)+HLOOKUP(D123,PREVCURVES,VLOOKUP(G123,MOVE_DOWN2,2,FALSE),FALSE)),VLOOKUP(G123,NGPREVPRICES,2,FALSE),CK123,VLOOKUP(G123,NGPREVPRICES,4,FALSE),HLOOKUP(D123,PREVVOLS,VLOOKUP(G123,MOVE_DOWN2,2,FALSE),FALSE),VLOOKUP(G123,NGPREVPRICES,3,FALSE),HLOOKUP(D123,Correllate,VLOOKUP(G123,CorMove,2,FALSE),FALSE),Q123-$CD$3,R123,$CJ$5)*H123</f>
        <v>-71142.689100674776</v>
      </c>
      <c r="CK123" s="235">
        <f t="shared" si="146"/>
        <v>0</v>
      </c>
      <c r="CL123" s="234"/>
      <c r="CM123" t="str">
        <f t="shared" si="147"/>
        <v>36951Curve Shift/Gamma</v>
      </c>
      <c r="CN123" t="str">
        <f t="shared" si="176"/>
        <v>36951Rho</v>
      </c>
      <c r="CO123" t="str">
        <f t="shared" si="177"/>
        <v>36951Drift</v>
      </c>
      <c r="CP123" t="str">
        <f t="shared" si="178"/>
        <v>36951Vega</v>
      </c>
      <c r="CQ123" t="str">
        <f t="shared" si="179"/>
        <v>36951Theta</v>
      </c>
    </row>
    <row r="124" spans="1:95" ht="12" customHeight="1" x14ac:dyDescent="0.25">
      <c r="A124" s="382" t="s">
        <v>279</v>
      </c>
      <c r="B124" t="s">
        <v>250</v>
      </c>
      <c r="C124" t="s">
        <v>326</v>
      </c>
      <c r="D124" s="4" t="s">
        <v>325</v>
      </c>
      <c r="E124" t="s">
        <v>20</v>
      </c>
      <c r="F124" t="s">
        <v>21</v>
      </c>
      <c r="G124" s="5">
        <v>36923</v>
      </c>
      <c r="H124" s="130">
        <v>-1000000</v>
      </c>
      <c r="I124">
        <v>0</v>
      </c>
      <c r="J124" s="53">
        <f t="shared" si="148"/>
        <v>4.4800000000000004</v>
      </c>
      <c r="K124" s="7">
        <f t="shared" si="149"/>
        <v>3.5000000000000003E-2</v>
      </c>
      <c r="L124" s="53">
        <f t="shared" si="150"/>
        <v>4.5150000000000006</v>
      </c>
      <c r="M124" s="157">
        <f t="shared" si="169"/>
        <v>6.8640161611372E-2</v>
      </c>
      <c r="N124" s="4">
        <f t="shared" si="170"/>
        <v>0.59250000000000003</v>
      </c>
      <c r="O124" s="4">
        <f t="shared" si="171"/>
        <v>0.622</v>
      </c>
      <c r="P124" s="9">
        <f t="shared" si="172"/>
        <v>0.99750000000000005</v>
      </c>
      <c r="Q124" s="5">
        <f t="shared" si="116"/>
        <v>36921</v>
      </c>
      <c r="R124" s="4">
        <f t="shared" si="173"/>
        <v>1</v>
      </c>
      <c r="S124" s="158">
        <f>_xll.xSPRDOPT($L124,$J124,$I124,$M124,$O124,$N124,$P124,$Q124-$C$3,$R124,0)</f>
        <v>7.7503267813320328E-2</v>
      </c>
      <c r="T124" s="159">
        <f>_xll.xSPRDOPT($L124,$J124,$I124,$M124,$O124,$N124,$P124,$Q124-$C$3,$R124,1)*H124</f>
        <v>-580503.97733502754</v>
      </c>
      <c r="U124" s="160">
        <f t="shared" si="174"/>
        <v>-77503.26781332033</v>
      </c>
      <c r="V124" s="159">
        <f>_xll.xSPRDOPT($L124,$J124,$I124,$M124,$O124,$N124,$P124,$Q124-$C$3,$R124,2)*H124</f>
        <v>567739.33821703529</v>
      </c>
      <c r="W124" s="159">
        <f t="shared" si="175"/>
        <v>-12764.63911799225</v>
      </c>
      <c r="X124" s="51" t="str">
        <f t="shared" si="151"/>
        <v>36923IF-NNG/VENT</v>
      </c>
      <c r="Y124" s="418">
        <f t="shared" si="152"/>
        <v>-100</v>
      </c>
      <c r="Z124" s="456">
        <f t="shared" si="153"/>
        <v>0.58050397733502757</v>
      </c>
      <c r="AA124" s="456">
        <f>_xll.xSPRDOPT($L124,$J124,$I124,$M124,$O124,$N124,$P124,$Q124-$C$3,$R124,3)</f>
        <v>2.4617871475972524</v>
      </c>
      <c r="AB124" s="456">
        <f>((_xll.xSPRDOPT($L124+AB$5,$J124,$I124,$M124,$O124,$N124,$P124,$Q124-$C$3,$R124,3)*$H124)/10000)/100</f>
        <v>-2.4617871475972524</v>
      </c>
      <c r="AC124" s="456">
        <f>((_xll.xSPRDOPT($L124+$AB$5,$J124,$I124,$M124,$O124,$N124,$P124,$Q124-$C$3,$R124,7)*$H124)/100)</f>
        <v>77978.550871632586</v>
      </c>
      <c r="AD124" s="456">
        <f>(_xll.xSPRDOPT($L124+$AB$5,$J124,$I124,$M124,$O124,$N124,$P124,$Q124-$C$3,$R124,9)/365)*$H124</f>
        <v>171.92670830892624</v>
      </c>
      <c r="AE124">
        <f t="shared" si="120"/>
        <v>0</v>
      </c>
      <c r="AF124" s="456">
        <f t="shared" si="154"/>
        <v>-968.82994068988955</v>
      </c>
      <c r="AG124" s="456">
        <f>((_xll.xSPRDOPT($L124,$J124,$I124,$M124,$O124,$N124,$P124,$Q124-$C$3,$R124,6)*$H124)/100)</f>
        <v>5912.9393307363125</v>
      </c>
      <c r="AH124" s="456">
        <f>((_xll.xSPRDOPT($L124,$J124,$I124,$M124,$O124,$N124,$P124,$Q124-$C$3,$R124,5)*$H124)/100)</f>
        <v>-6555.383108231551</v>
      </c>
      <c r="AI124" s="456">
        <f>(((_xll.xSPRDOPT($L124,$J124,$I124,$M124,$O124,$N124,$P124,$Q124-$C$3,$R124,4)*$H124)/10000)/100)-AB124</f>
        <v>-3.8615771723742753E-2</v>
      </c>
      <c r="AJ124" s="456"/>
      <c r="AK124" s="456"/>
      <c r="AL124" s="456"/>
      <c r="AM124" s="472"/>
      <c r="AN124" s="128">
        <f t="shared" si="155"/>
        <v>40299</v>
      </c>
      <c r="AO124" s="43">
        <f t="shared" si="167"/>
        <v>0</v>
      </c>
      <c r="AP124" s="43">
        <f t="shared" si="167"/>
        <v>0</v>
      </c>
      <c r="AQ124" s="43">
        <f t="shared" si="167"/>
        <v>0</v>
      </c>
      <c r="AR124" s="43">
        <f t="shared" si="167"/>
        <v>0</v>
      </c>
      <c r="AS124" s="43">
        <f t="shared" si="167"/>
        <v>0</v>
      </c>
      <c r="AT124" s="43">
        <f t="shared" si="167"/>
        <v>0</v>
      </c>
      <c r="AU124" s="43">
        <f t="shared" si="167"/>
        <v>0</v>
      </c>
      <c r="AV124" s="43">
        <f t="shared" si="167"/>
        <v>0</v>
      </c>
      <c r="AW124" s="43">
        <f t="shared" si="167"/>
        <v>0</v>
      </c>
      <c r="AX124" s="43">
        <f t="shared" si="167"/>
        <v>0</v>
      </c>
      <c r="AY124" s="43">
        <f t="shared" si="167"/>
        <v>0</v>
      </c>
      <c r="AZ124" s="43">
        <f t="shared" si="167"/>
        <v>0</v>
      </c>
      <c r="BA124" s="44">
        <f t="shared" si="167"/>
        <v>0</v>
      </c>
      <c r="BB124" s="128">
        <f t="shared" si="156"/>
        <v>40299</v>
      </c>
      <c r="BC124" s="44">
        <f t="shared" si="124"/>
        <v>0</v>
      </c>
      <c r="BD124" s="51"/>
      <c r="BE124" s="128">
        <f t="shared" si="157"/>
        <v>40299</v>
      </c>
      <c r="BF124" s="43">
        <f t="shared" si="168"/>
        <v>0</v>
      </c>
      <c r="BG124" s="43">
        <f t="shared" si="168"/>
        <v>0</v>
      </c>
      <c r="BH124" s="43">
        <f t="shared" si="168"/>
        <v>0</v>
      </c>
      <c r="BI124" s="43">
        <f t="shared" si="168"/>
        <v>0</v>
      </c>
      <c r="BJ124" s="43">
        <f t="shared" si="168"/>
        <v>0</v>
      </c>
      <c r="BK124" s="43">
        <f t="shared" si="168"/>
        <v>0</v>
      </c>
      <c r="BL124" s="43">
        <f t="shared" si="168"/>
        <v>0</v>
      </c>
      <c r="BM124" s="43">
        <f t="shared" si="168"/>
        <v>0</v>
      </c>
      <c r="BN124" s="43">
        <f t="shared" si="168"/>
        <v>0</v>
      </c>
      <c r="BO124" s="43">
        <f t="shared" si="168"/>
        <v>0</v>
      </c>
      <c r="BP124" s="43">
        <f t="shared" si="168"/>
        <v>0</v>
      </c>
      <c r="BQ124" s="43">
        <f t="shared" si="168"/>
        <v>0</v>
      </c>
      <c r="BR124" s="44">
        <f t="shared" si="168"/>
        <v>0</v>
      </c>
      <c r="BS124" s="128">
        <f t="shared" si="158"/>
        <v>40299</v>
      </c>
      <c r="BT124" s="44">
        <f t="shared" si="127"/>
        <v>0</v>
      </c>
      <c r="BU124" s="51"/>
      <c r="BV124" s="51"/>
      <c r="BW124" s="51"/>
      <c r="BX124" s="51"/>
      <c r="BY124" s="51"/>
      <c r="BZ124" s="51"/>
      <c r="CA124" s="51"/>
      <c r="CB124" s="51"/>
      <c r="CC124" s="141">
        <f t="shared" si="143"/>
        <v>36923</v>
      </c>
      <c r="CD124" s="234">
        <f>_xll.xSPRDOPT((VLOOKUP(G124,NGPrices,2,FALSE)+HLOOKUP(D124,Prices,VLOOKUP(G124,move_down,2,FALSE),FALSE)),VLOOKUP(G124,NGPrices,2,FALSE),I124,VLOOKUP(G124,NGPREVPRICES,4,FALSE),HLOOKUP(D124,PREVVOLS,VLOOKUP(G124,MOVE_DOWN2,2,FALSE),FALSE),VLOOKUP(G124,NGPREVPRICES,3,FALSE),HLOOKUP(D124,Correllate,VLOOKUP(G124,CorMove,2,FALSE),FALSE),Q124-$CD$3,R124,$CD$5)*H124-CJ124</f>
        <v>0</v>
      </c>
      <c r="CE124" s="234">
        <f>_xll.xSPRDOPT((VLOOKUP(G124,NGPREVPRICES,2,FALSE)+HLOOKUP(D124,PREVCURVES,VLOOKUP(G124,MOVE_DOWN2,2,FALSE),FALSE)),VLOOKUP(G124,NGPREVPRICES,2,FALSE),CK124,VLOOKUP(G124,NGPrices,4,FALSE),HLOOKUP(D124,PREVVOLS,VLOOKUP(G124,MOVE_DOWN2,2,FALSE),FALSE),VLOOKUP(G124,NGPREVPRICES,3,FALSE),HLOOKUP(D124,Correllate,VLOOKUP(G124,CorMove,2,FALSE),FALSE),Q124-$CD$3,R124,$CJ$5)*H124-CJ124</f>
        <v>0</v>
      </c>
      <c r="CF124" s="10">
        <f t="shared" si="144"/>
        <v>14.772842972844956</v>
      </c>
      <c r="CG124" s="234">
        <f>_xll.xSPRDOPT((VLOOKUP(G124,NGPREVPRICES,2,FALSE)+HLOOKUP(D124,PREVCURVES,VLOOKUP(G124,MOVE_DOWN2,2,FALSE),FALSE)),VLOOKUP(G124,NGPREVPRICES,2,FALSE),CK124,VLOOKUP(G124,NGPREVPRICES,4,FALSE),HLOOKUP(D124,VOLS,VLOOKUP(G124,move_down,2,FALSE),FALSE),VLOOKUP(G124,NGPrices,3,FALSE),HLOOKUP(D124,Correllate,VLOOKUP(G124,CorMove,2,FALSE),FALSE),Q124-$CD$3,R124,$CJ$5)*H124-CJ124</f>
        <v>0</v>
      </c>
      <c r="CH124" s="234">
        <f>_xll.xSPRDOPT((VLOOKUP(G124,NGPREVPRICES,2,FALSE)+HLOOKUP(D124,PREVCURVES,VLOOKUP(G124,MOVE_DOWN2,2,FALSE),FALSE)),VLOOKUP(G124,NGPREVPRICES,2,FALSE),CK124,VLOOKUP(G124,NGPREVPRICES,4,FALSE),HLOOKUP(D124,PREVVOLS,VLOOKUP(G124,MOVE_DOWN2,2,FALSE),FALSE),VLOOKUP(G124,NGPREVPRICES,3,FALSE),HLOOKUP(D124,Correllate,VLOOKUP(G124,CorMove,2,FALSE),FALSE),Q124-$C$3,R124,$CJ$5)*H124-CJ124</f>
        <v>171.4896985048108</v>
      </c>
      <c r="CI124" s="234">
        <f t="shared" si="145"/>
        <v>186.26254147765576</v>
      </c>
      <c r="CJ124" s="234">
        <f>_xll.xSPRDOPT((VLOOKUP(G124,NGPREVPRICES,2,FALSE)+HLOOKUP(D124,PREVCURVES,VLOOKUP(G124,MOVE_DOWN2,2,FALSE),FALSE)),VLOOKUP(G124,NGPREVPRICES,2,FALSE),CK124,VLOOKUP(G124,NGPREVPRICES,4,FALSE),HLOOKUP(D124,PREVVOLS,VLOOKUP(G124,MOVE_DOWN2,2,FALSE),FALSE),VLOOKUP(G124,NGPREVPRICES,3,FALSE),HLOOKUP(D124,Correllate,VLOOKUP(G124,CorMove,2,FALSE),FALSE),Q124-$CD$3,R124,$CJ$5)*H124</f>
        <v>-77674.757511825141</v>
      </c>
      <c r="CK124" s="235">
        <f t="shared" si="146"/>
        <v>0</v>
      </c>
      <c r="CL124" s="234"/>
      <c r="CM124" t="str">
        <f t="shared" si="147"/>
        <v>36923Curve Shift/Gamma</v>
      </c>
      <c r="CN124" t="str">
        <f t="shared" si="176"/>
        <v>36923Rho</v>
      </c>
      <c r="CO124" t="str">
        <f t="shared" si="177"/>
        <v>36923Drift</v>
      </c>
      <c r="CP124" t="str">
        <f t="shared" si="178"/>
        <v>36923Vega</v>
      </c>
      <c r="CQ124" t="str">
        <f t="shared" si="179"/>
        <v>36923Theta</v>
      </c>
    </row>
    <row r="125" spans="1:95" ht="12" customHeight="1" x14ac:dyDescent="0.25">
      <c r="A125" s="382" t="s">
        <v>279</v>
      </c>
      <c r="B125" t="s">
        <v>250</v>
      </c>
      <c r="C125" t="s">
        <v>326</v>
      </c>
      <c r="D125" s="4" t="s">
        <v>325</v>
      </c>
      <c r="E125" t="s">
        <v>20</v>
      </c>
      <c r="F125" t="s">
        <v>21</v>
      </c>
      <c r="G125" s="5">
        <v>36892</v>
      </c>
      <c r="H125" s="130">
        <v>-1000000</v>
      </c>
      <c r="I125">
        <v>0</v>
      </c>
      <c r="J125" s="53">
        <f t="shared" si="148"/>
        <v>4.7439999999999998</v>
      </c>
      <c r="K125" s="7">
        <f t="shared" si="149"/>
        <v>0.03</v>
      </c>
      <c r="L125" s="53">
        <f t="shared" si="150"/>
        <v>4.774</v>
      </c>
      <c r="M125" s="157">
        <f t="shared" si="169"/>
        <v>6.8374831148490994E-2</v>
      </c>
      <c r="N125" s="4">
        <f t="shared" si="170"/>
        <v>0.60499999999999998</v>
      </c>
      <c r="O125" s="4">
        <f t="shared" si="171"/>
        <v>0.63500000000000001</v>
      </c>
      <c r="P125" s="9">
        <f t="shared" si="172"/>
        <v>0.99750000000000005</v>
      </c>
      <c r="Q125" s="5">
        <f t="shared" si="116"/>
        <v>36888</v>
      </c>
      <c r="R125" s="4">
        <f t="shared" si="173"/>
        <v>1</v>
      </c>
      <c r="S125" s="158">
        <f>_xll.xSPRDOPT($L125,$J125,$I125,$M125,$O125,$N125,$P125,$Q125-$C$3,$R125,0)</f>
        <v>7.2602342046592244E-2</v>
      </c>
      <c r="T125" s="159">
        <f>_xll.xSPRDOPT($L125,$J125,$I125,$M125,$O125,$N125,$P125,$Q125-$C$3,$R125,1)*H125</f>
        <v>-574486.58636623737</v>
      </c>
      <c r="U125" s="160">
        <f t="shared" si="174"/>
        <v>-72602.342046592239</v>
      </c>
      <c r="V125" s="159">
        <f>_xll.xSPRDOPT($L125,$J125,$I125,$M125,$O125,$N125,$P125,$Q125-$C$3,$R125,2)*H125</f>
        <v>562815.48661889473</v>
      </c>
      <c r="W125" s="159">
        <f t="shared" si="175"/>
        <v>-11671.09974734264</v>
      </c>
      <c r="X125" s="51" t="str">
        <f t="shared" si="151"/>
        <v>36892IF-NNG/VENT</v>
      </c>
      <c r="Y125" s="418">
        <f t="shared" si="152"/>
        <v>-100</v>
      </c>
      <c r="Z125" s="456">
        <f t="shared" si="153"/>
        <v>0.5744865863662374</v>
      </c>
      <c r="AA125" s="456">
        <f>_xll.xSPRDOPT($L125,$J125,$I125,$M125,$O125,$N125,$P125,$Q125-$C$3,$R125,3)</f>
        <v>2.6076382483860443</v>
      </c>
      <c r="AB125" s="456">
        <f>((_xll.xSPRDOPT($L125+AB$5,$J125,$I125,$M125,$O125,$N125,$P125,$Q125-$C$3,$R125,3)*$H125)/10000)/100</f>
        <v>-2.6076382483860447</v>
      </c>
      <c r="AC125" s="456">
        <f>((_xll.xSPRDOPT($L125+$AB$5,$J125,$I125,$M125,$O125,$N125,$P125,$Q125-$C$3,$R125,7)*$H125)/100)</f>
        <v>75637.351396257291</v>
      </c>
      <c r="AD125" s="456">
        <f>(_xll.xSPRDOPT($L125+$AB$5,$J125,$I125,$M125,$O125,$N125,$P125,$Q125-$C$3,$R125,9)/365)*$H125</f>
        <v>216.05392910263237</v>
      </c>
      <c r="AE125">
        <f t="shared" si="120"/>
        <v>0</v>
      </c>
      <c r="AF125" s="456">
        <f t="shared" si="154"/>
        <v>-917.98881091532803</v>
      </c>
      <c r="AG125" s="456">
        <f>((_xll.xSPRDOPT($L125,$J125,$I125,$M125,$O125,$N125,$P125,$Q125-$C$3,$R125,6)*$H125)/100)</f>
        <v>5593.9627117453647</v>
      </c>
      <c r="AH125" s="456">
        <f>((_xll.xSPRDOPT($L125,$J125,$I125,$M125,$O125,$N125,$P125,$Q125-$C$3,$R125,5)*$H125)/100)</f>
        <v>-6204.3002696216045</v>
      </c>
      <c r="AI125" s="456">
        <f>(((_xll.xSPRDOPT($L125,$J125,$I125,$M125,$O125,$N125,$P125,$Q125-$C$3,$R125,4)*$H125)/10000)/100)-AB125</f>
        <v>-3.3084617354763424E-2</v>
      </c>
      <c r="AJ125" s="456"/>
      <c r="AK125" s="456"/>
      <c r="AL125" s="456"/>
      <c r="AM125" s="472"/>
      <c r="AN125" s="128">
        <f t="shared" si="155"/>
        <v>40330</v>
      </c>
      <c r="AO125" s="43">
        <f t="shared" si="167"/>
        <v>0</v>
      </c>
      <c r="AP125" s="43">
        <f t="shared" si="167"/>
        <v>0</v>
      </c>
      <c r="AQ125" s="43">
        <f t="shared" si="167"/>
        <v>0</v>
      </c>
      <c r="AR125" s="43">
        <f t="shared" si="167"/>
        <v>0</v>
      </c>
      <c r="AS125" s="43">
        <f t="shared" si="167"/>
        <v>0</v>
      </c>
      <c r="AT125" s="43">
        <f t="shared" si="167"/>
        <v>0</v>
      </c>
      <c r="AU125" s="43">
        <f t="shared" si="167"/>
        <v>0</v>
      </c>
      <c r="AV125" s="43">
        <f t="shared" si="167"/>
        <v>0</v>
      </c>
      <c r="AW125" s="43">
        <f t="shared" si="167"/>
        <v>0</v>
      </c>
      <c r="AX125" s="43">
        <f t="shared" si="167"/>
        <v>0</v>
      </c>
      <c r="AY125" s="43">
        <f t="shared" si="167"/>
        <v>0</v>
      </c>
      <c r="AZ125" s="43">
        <f t="shared" si="167"/>
        <v>0</v>
      </c>
      <c r="BA125" s="44">
        <f t="shared" si="167"/>
        <v>0</v>
      </c>
      <c r="BB125" s="128">
        <f t="shared" si="156"/>
        <v>40330</v>
      </c>
      <c r="BC125" s="44">
        <f t="shared" si="124"/>
        <v>0</v>
      </c>
      <c r="BD125" s="51"/>
      <c r="BE125" s="128">
        <f t="shared" si="157"/>
        <v>40330</v>
      </c>
      <c r="BF125" s="43">
        <f t="shared" si="168"/>
        <v>0</v>
      </c>
      <c r="BG125" s="43">
        <f t="shared" si="168"/>
        <v>0</v>
      </c>
      <c r="BH125" s="43">
        <f t="shared" si="168"/>
        <v>0</v>
      </c>
      <c r="BI125" s="43">
        <f t="shared" si="168"/>
        <v>0</v>
      </c>
      <c r="BJ125" s="43">
        <f t="shared" si="168"/>
        <v>0</v>
      </c>
      <c r="BK125" s="43">
        <f t="shared" si="168"/>
        <v>0</v>
      </c>
      <c r="BL125" s="43">
        <f t="shared" si="168"/>
        <v>0</v>
      </c>
      <c r="BM125" s="43">
        <f t="shared" si="168"/>
        <v>0</v>
      </c>
      <c r="BN125" s="43">
        <f t="shared" si="168"/>
        <v>0</v>
      </c>
      <c r="BO125" s="43">
        <f t="shared" si="168"/>
        <v>0</v>
      </c>
      <c r="BP125" s="43">
        <f t="shared" si="168"/>
        <v>0</v>
      </c>
      <c r="BQ125" s="43">
        <f t="shared" si="168"/>
        <v>0</v>
      </c>
      <c r="BR125" s="44">
        <f t="shared" si="168"/>
        <v>0</v>
      </c>
      <c r="BS125" s="128">
        <f t="shared" si="158"/>
        <v>40330</v>
      </c>
      <c r="BT125" s="44">
        <f t="shared" si="127"/>
        <v>0</v>
      </c>
      <c r="BU125" s="51"/>
      <c r="BV125" s="51"/>
      <c r="BW125" s="51"/>
      <c r="BX125" s="51"/>
      <c r="BY125" s="51"/>
      <c r="BZ125" s="51"/>
      <c r="CA125" s="51"/>
      <c r="CB125" s="51"/>
      <c r="CC125" s="141">
        <f t="shared" si="143"/>
        <v>36892</v>
      </c>
      <c r="CD125" s="234">
        <f>_xll.xSPRDOPT((VLOOKUP(G125,NGPrices,2,FALSE)+HLOOKUP(D125,Prices,VLOOKUP(G125,move_down,2,FALSE),FALSE)),VLOOKUP(G125,NGPrices,2,FALSE),I125,VLOOKUP(G125,NGPREVPRICES,4,FALSE),HLOOKUP(D125,PREVVOLS,VLOOKUP(G125,MOVE_DOWN2,2,FALSE),FALSE),VLOOKUP(G125,NGPREVPRICES,3,FALSE),HLOOKUP(D125,Correllate,VLOOKUP(G125,CorMove,2,FALSE),FALSE),Q125-$CD$3,R125,$CD$5)*H125-CJ125</f>
        <v>0</v>
      </c>
      <c r="CE125" s="234">
        <f>_xll.xSPRDOPT((VLOOKUP(G125,NGPREVPRICES,2,FALSE)+HLOOKUP(D125,PREVCURVES,VLOOKUP(G125,MOVE_DOWN2,2,FALSE),FALSE)),VLOOKUP(G125,NGPREVPRICES,2,FALSE),CK125,VLOOKUP(G125,NGPrices,4,FALSE),HLOOKUP(D125,PREVVOLS,VLOOKUP(G125,MOVE_DOWN2,2,FALSE),FALSE),VLOOKUP(G125,NGPREVPRICES,3,FALSE),HLOOKUP(D125,Correllate,VLOOKUP(G125,CorMove,2,FALSE),FALSE),Q125-$CD$3,R125,$CJ$5)*H125-CJ125</f>
        <v>0</v>
      </c>
      <c r="CF125" s="10">
        <f t="shared" si="144"/>
        <v>13.721862370555755</v>
      </c>
      <c r="CG125" s="234">
        <f>_xll.xSPRDOPT((VLOOKUP(G125,NGPREVPRICES,2,FALSE)+HLOOKUP(D125,PREVCURVES,VLOOKUP(G125,MOVE_DOWN2,2,FALSE),FALSE)),VLOOKUP(G125,NGPREVPRICES,2,FALSE),CK125,VLOOKUP(G125,NGPREVPRICES,4,FALSE),HLOOKUP(D125,VOLS,VLOOKUP(G125,move_down,2,FALSE),FALSE),VLOOKUP(G125,NGPrices,3,FALSE),HLOOKUP(D125,Correllate,VLOOKUP(G125,CorMove,2,FALSE),FALSE),Q125-$CD$3,R125,$CJ$5)*H125-CJ125</f>
        <v>0</v>
      </c>
      <c r="CH125" s="234">
        <f>_xll.xSPRDOPT((VLOOKUP(G125,NGPREVPRICES,2,FALSE)+HLOOKUP(D125,PREVCURVES,VLOOKUP(G125,MOVE_DOWN2,2,FALSE),FALSE)),VLOOKUP(G125,NGPREVPRICES,2,FALSE),CK125,VLOOKUP(G125,NGPREVPRICES,4,FALSE),HLOOKUP(D125,PREVVOLS,VLOOKUP(G125,MOVE_DOWN2,2,FALSE),FALSE),VLOOKUP(G125,NGPREVPRICES,3,FALSE),HLOOKUP(D125,Correllate,VLOOKUP(G125,CorMove,2,FALSE),FALSE),Q125-$C$3,R125,$CJ$5)*H125-CJ125</f>
        <v>215.41213545043138</v>
      </c>
      <c r="CI125" s="234">
        <f t="shared" si="145"/>
        <v>229.13399782098713</v>
      </c>
      <c r="CJ125" s="234">
        <f>_xll.xSPRDOPT((VLOOKUP(G125,NGPREVPRICES,2,FALSE)+HLOOKUP(D125,PREVCURVES,VLOOKUP(G125,MOVE_DOWN2,2,FALSE),FALSE)),VLOOKUP(G125,NGPREVPRICES,2,FALSE),CK125,VLOOKUP(G125,NGPREVPRICES,4,FALSE),HLOOKUP(D125,PREVVOLS,VLOOKUP(G125,MOVE_DOWN2,2,FALSE),FALSE),VLOOKUP(G125,NGPREVPRICES,3,FALSE),HLOOKUP(D125,Correllate,VLOOKUP(G125,CorMove,2,FALSE),FALSE),Q125-$CD$3,R125,$CJ$5)*H125</f>
        <v>-72817.75418204267</v>
      </c>
      <c r="CK125" s="235">
        <f t="shared" si="146"/>
        <v>0</v>
      </c>
      <c r="CL125" s="234"/>
      <c r="CM125" t="str">
        <f t="shared" si="147"/>
        <v>36892Curve Shift/Gamma</v>
      </c>
      <c r="CN125" t="str">
        <f t="shared" si="176"/>
        <v>36892Rho</v>
      </c>
      <c r="CO125" t="str">
        <f t="shared" si="177"/>
        <v>36892Drift</v>
      </c>
      <c r="CP125" t="str">
        <f t="shared" si="178"/>
        <v>36892Vega</v>
      </c>
      <c r="CQ125" t="str">
        <f t="shared" si="179"/>
        <v>36892Theta</v>
      </c>
    </row>
    <row r="126" spans="1:95" ht="12" customHeight="1" x14ac:dyDescent="0.25">
      <c r="A126" s="382" t="s">
        <v>279</v>
      </c>
      <c r="B126" t="s">
        <v>250</v>
      </c>
      <c r="C126" t="s">
        <v>326</v>
      </c>
      <c r="D126" s="4" t="s">
        <v>325</v>
      </c>
      <c r="E126" t="s">
        <v>20</v>
      </c>
      <c r="F126" t="s">
        <v>21</v>
      </c>
      <c r="G126" s="5">
        <v>36861</v>
      </c>
      <c r="H126" s="130">
        <v>-1000000</v>
      </c>
      <c r="I126">
        <v>0</v>
      </c>
      <c r="J126" s="53">
        <f t="shared" si="148"/>
        <v>4.8</v>
      </c>
      <c r="K126" s="7">
        <f t="shared" si="149"/>
        <v>1.7500000000000002E-2</v>
      </c>
      <c r="L126" s="53">
        <f t="shared" si="150"/>
        <v>4.8174999999999999</v>
      </c>
      <c r="M126" s="157">
        <f t="shared" si="169"/>
        <v>6.8314027999354002E-2</v>
      </c>
      <c r="N126" s="4">
        <f t="shared" si="170"/>
        <v>0.6</v>
      </c>
      <c r="O126" s="4">
        <f t="shared" si="171"/>
        <v>0.63</v>
      </c>
      <c r="P126" s="9">
        <f t="shared" si="172"/>
        <v>0.99750000000000005</v>
      </c>
      <c r="Q126" s="5">
        <f t="shared" si="116"/>
        <v>36859</v>
      </c>
      <c r="R126" s="4">
        <f t="shared" si="173"/>
        <v>1</v>
      </c>
      <c r="S126" s="158">
        <f>_xll.xSPRDOPT($L126,$J126,$I126,$M126,$O126,$N126,$P126,$Q126-$C$3,$R126,0)</f>
        <v>5.9058031642160377E-2</v>
      </c>
      <c r="T126" s="159">
        <f>_xll.xSPRDOPT($L126,$J126,$I126,$M126,$O126,$N126,$P126,$Q126-$C$3,$R126,1)*H126</f>
        <v>-550277.8340712958</v>
      </c>
      <c r="U126" s="160">
        <f t="shared" si="174"/>
        <v>-59058.031642160378</v>
      </c>
      <c r="V126" s="159">
        <f>_xll.xSPRDOPT($L126,$J126,$I126,$M126,$O126,$N126,$P126,$Q126-$C$3,$R126,2)*H126</f>
        <v>539980.3069503135</v>
      </c>
      <c r="W126" s="159">
        <f t="shared" si="175"/>
        <v>-10297.527120982297</v>
      </c>
      <c r="X126" s="51" t="str">
        <f t="shared" si="151"/>
        <v>36861IF-NNG/VENT</v>
      </c>
      <c r="Y126" s="418">
        <f t="shared" si="152"/>
        <v>-100</v>
      </c>
      <c r="Z126" s="456">
        <f t="shared" si="153"/>
        <v>0.55027783407129582</v>
      </c>
      <c r="AA126" s="456">
        <f>_xll.xSPRDOPT($L126,$J126,$I126,$M126,$O126,$N126,$P126,$Q126-$C$3,$R126,3)</f>
        <v>3.035944933604239</v>
      </c>
      <c r="AB126" s="456">
        <f>((_xll.xSPRDOPT($L126+AB$5,$J126,$I126,$M126,$O126,$N126,$P126,$Q126-$C$3,$R126,3)*$H126)/10000)/100</f>
        <v>-3.035944933604239</v>
      </c>
      <c r="AC126" s="456">
        <f>((_xll.xSPRDOPT($L126+$AB$5,$J126,$I126,$M126,$O126,$N126,$P126,$Q126-$C$3,$R126,7)*$H126)/100)</f>
        <v>67085.219703447176</v>
      </c>
      <c r="AD126" s="456">
        <f>(_xll.xSPRDOPT($L126+$AB$5,$J126,$I126,$M126,$O126,$N126,$P126,$Q126-$C$3,$R126,9)/365)*$H126</f>
        <v>258.23501544535264</v>
      </c>
      <c r="AE126">
        <f t="shared" si="120"/>
        <v>0</v>
      </c>
      <c r="AF126" s="456">
        <f t="shared" si="154"/>
        <v>-825.25253864798015</v>
      </c>
      <c r="AG126" s="456">
        <f>((_xll.xSPRDOPT($L126,$J126,$I126,$M126,$O126,$N126,$P126,$Q126-$C$3,$R126,6)*$H126)/100)</f>
        <v>5044.6808920677067</v>
      </c>
      <c r="AH126" s="456">
        <f>((_xll.xSPRDOPT($L126,$J126,$I126,$M126,$O126,$N126,$P126,$Q126-$C$3,$R126,5)*$H126)/100)</f>
        <v>-5590.4127911577971</v>
      </c>
      <c r="AI126" s="456">
        <f>(((_xll.xSPRDOPT($L126,$J126,$I126,$M126,$O126,$N126,$P126,$Q126-$C$3,$R126,4)*$H126)/10000)/100)-AB126</f>
        <v>-2.2177547638302375E-2</v>
      </c>
      <c r="AJ126" s="456"/>
      <c r="AK126" s="456"/>
      <c r="AL126" s="456"/>
      <c r="AM126" s="472"/>
      <c r="AN126" s="128">
        <f t="shared" si="155"/>
        <v>40360</v>
      </c>
      <c r="AO126" s="43">
        <f t="shared" si="167"/>
        <v>0</v>
      </c>
      <c r="AP126" s="43">
        <f t="shared" si="167"/>
        <v>0</v>
      </c>
      <c r="AQ126" s="43">
        <f t="shared" si="167"/>
        <v>0</v>
      </c>
      <c r="AR126" s="43">
        <f t="shared" si="167"/>
        <v>0</v>
      </c>
      <c r="AS126" s="43">
        <f t="shared" si="167"/>
        <v>0</v>
      </c>
      <c r="AT126" s="43">
        <f t="shared" si="167"/>
        <v>0</v>
      </c>
      <c r="AU126" s="43">
        <f t="shared" si="167"/>
        <v>0</v>
      </c>
      <c r="AV126" s="43">
        <f t="shared" si="167"/>
        <v>0</v>
      </c>
      <c r="AW126" s="43">
        <f t="shared" si="167"/>
        <v>0</v>
      </c>
      <c r="AX126" s="43">
        <f t="shared" si="167"/>
        <v>0</v>
      </c>
      <c r="AY126" s="43">
        <f t="shared" si="167"/>
        <v>0</v>
      </c>
      <c r="AZ126" s="43">
        <f t="shared" si="167"/>
        <v>0</v>
      </c>
      <c r="BA126" s="44">
        <f t="shared" si="167"/>
        <v>0</v>
      </c>
      <c r="BB126" s="128">
        <f t="shared" si="156"/>
        <v>40360</v>
      </c>
      <c r="BC126" s="44">
        <f t="shared" si="124"/>
        <v>0</v>
      </c>
      <c r="BD126" s="51"/>
      <c r="BE126" s="128">
        <f t="shared" si="157"/>
        <v>40360</v>
      </c>
      <c r="BF126" s="43">
        <f t="shared" si="168"/>
        <v>0</v>
      </c>
      <c r="BG126" s="43">
        <f t="shared" si="168"/>
        <v>0</v>
      </c>
      <c r="BH126" s="43">
        <f t="shared" si="168"/>
        <v>0</v>
      </c>
      <c r="BI126" s="43">
        <f t="shared" si="168"/>
        <v>0</v>
      </c>
      <c r="BJ126" s="43">
        <f t="shared" si="168"/>
        <v>0</v>
      </c>
      <c r="BK126" s="43">
        <f t="shared" si="168"/>
        <v>0</v>
      </c>
      <c r="BL126" s="43">
        <f t="shared" si="168"/>
        <v>0</v>
      </c>
      <c r="BM126" s="43">
        <f t="shared" si="168"/>
        <v>0</v>
      </c>
      <c r="BN126" s="43">
        <f t="shared" si="168"/>
        <v>0</v>
      </c>
      <c r="BO126" s="43">
        <f t="shared" si="168"/>
        <v>0</v>
      </c>
      <c r="BP126" s="43">
        <f t="shared" si="168"/>
        <v>0</v>
      </c>
      <c r="BQ126" s="43">
        <f t="shared" si="168"/>
        <v>0</v>
      </c>
      <c r="BR126" s="44">
        <f t="shared" si="168"/>
        <v>0</v>
      </c>
      <c r="BS126" s="128">
        <f t="shared" si="158"/>
        <v>40360</v>
      </c>
      <c r="BT126" s="44">
        <f t="shared" si="127"/>
        <v>0</v>
      </c>
      <c r="BU126" s="51"/>
      <c r="BV126" s="51"/>
      <c r="BW126" s="51"/>
      <c r="BX126" s="51"/>
      <c r="BY126" s="51"/>
      <c r="BZ126" s="51"/>
      <c r="CA126" s="51"/>
      <c r="CB126" s="51"/>
      <c r="CC126" s="141">
        <f t="shared" si="143"/>
        <v>36861</v>
      </c>
      <c r="CD126" s="234">
        <f>_xll.xSPRDOPT((VLOOKUP(G126,NGPrices,2,FALSE)+HLOOKUP(D126,Prices,VLOOKUP(G126,move_down,2,FALSE),FALSE)),VLOOKUP(G126,NGPrices,2,FALSE),I126,VLOOKUP(G126,NGPREVPRICES,4,FALSE),HLOOKUP(D126,PREVVOLS,VLOOKUP(G126,MOVE_DOWN2,2,FALSE),FALSE),VLOOKUP(G126,NGPREVPRICES,3,FALSE),HLOOKUP(D126,Correllate,VLOOKUP(G126,CorMove,2,FALSE),FALSE),Q126-$CD$3,R126,$CD$5)*H126-CJ126</f>
        <v>0</v>
      </c>
      <c r="CE126" s="234">
        <f>_xll.xSPRDOPT((VLOOKUP(G126,NGPREVPRICES,2,FALSE)+HLOOKUP(D126,PREVCURVES,VLOOKUP(G126,MOVE_DOWN2,2,FALSE),FALSE)),VLOOKUP(G126,NGPREVPRICES,2,FALSE),CK126,VLOOKUP(G126,NGPrices,4,FALSE),HLOOKUP(D126,PREVVOLS,VLOOKUP(G126,MOVE_DOWN2,2,FALSE),FALSE),VLOOKUP(G126,NGPREVPRICES,3,FALSE),HLOOKUP(D126,Correllate,VLOOKUP(G126,CorMove,2,FALSE),FALSE),Q126-$CD$3,R126,$CJ$5)*H126-CJ126</f>
        <v>0</v>
      </c>
      <c r="CF126" s="10">
        <f t="shared" si="144"/>
        <v>11.112010873723193</v>
      </c>
      <c r="CG126" s="234">
        <f>_xll.xSPRDOPT((VLOOKUP(G126,NGPREVPRICES,2,FALSE)+HLOOKUP(D126,PREVCURVES,VLOOKUP(G126,MOVE_DOWN2,2,FALSE),FALSE)),VLOOKUP(G126,NGPREVPRICES,2,FALSE),CK126,VLOOKUP(G126,NGPREVPRICES,4,FALSE),HLOOKUP(D126,VOLS,VLOOKUP(G126,move_down,2,FALSE),FALSE),VLOOKUP(G126,NGPrices,3,FALSE),HLOOKUP(D126,Correllate,VLOOKUP(G126,CorMove,2,FALSE),FALSE),Q126-$CD$3,R126,$CJ$5)*H126-CJ126</f>
        <v>0</v>
      </c>
      <c r="CH126" s="234">
        <f>_xll.xSPRDOPT((VLOOKUP(G126,NGPREVPRICES,2,FALSE)+HLOOKUP(D126,PREVCURVES,VLOOKUP(G126,MOVE_DOWN2,2,FALSE),FALSE)),VLOOKUP(G126,NGPREVPRICES,2,FALSE),CK126,VLOOKUP(G126,NGPREVPRICES,4,FALSE),HLOOKUP(D126,PREVVOLS,VLOOKUP(G126,MOVE_DOWN2,2,FALSE),FALSE),VLOOKUP(G126,NGPREVPRICES,3,FALSE),HLOOKUP(D126,Correllate,VLOOKUP(G126,CorMove,2,FALSE),FALSE),Q126-$C$3,R126,$CJ$5)*H126-CJ126</f>
        <v>257.29530680962489</v>
      </c>
      <c r="CI126" s="234">
        <f t="shared" si="145"/>
        <v>268.40731768334808</v>
      </c>
      <c r="CJ126" s="234">
        <f>_xll.xSPRDOPT((VLOOKUP(G126,NGPREVPRICES,2,FALSE)+HLOOKUP(D126,PREVCURVES,VLOOKUP(G126,MOVE_DOWN2,2,FALSE),FALSE)),VLOOKUP(G126,NGPREVPRICES,2,FALSE),CK126,VLOOKUP(G126,NGPREVPRICES,4,FALSE),HLOOKUP(D126,PREVVOLS,VLOOKUP(G126,MOVE_DOWN2,2,FALSE),FALSE),VLOOKUP(G126,NGPREVPRICES,3,FALSE),HLOOKUP(D126,Correllate,VLOOKUP(G126,CorMove,2,FALSE),FALSE),Q126-$CD$3,R126,$CJ$5)*H126</f>
        <v>-59315.326948970003</v>
      </c>
      <c r="CK126" s="235">
        <f t="shared" si="146"/>
        <v>0</v>
      </c>
      <c r="CL126" s="234"/>
      <c r="CM126" t="str">
        <f t="shared" si="147"/>
        <v>36861Curve Shift/Gamma</v>
      </c>
      <c r="CN126" t="str">
        <f t="shared" si="176"/>
        <v>36861Rho</v>
      </c>
      <c r="CO126" t="str">
        <f t="shared" si="177"/>
        <v>36861Drift</v>
      </c>
      <c r="CP126" t="str">
        <f t="shared" si="178"/>
        <v>36861Vega</v>
      </c>
      <c r="CQ126" t="str">
        <f t="shared" si="179"/>
        <v>36861Theta</v>
      </c>
    </row>
    <row r="127" spans="1:95" ht="12" customHeight="1" x14ac:dyDescent="0.25">
      <c r="A127" s="382" t="s">
        <v>279</v>
      </c>
      <c r="B127" t="s">
        <v>250</v>
      </c>
      <c r="C127" t="s">
        <v>326</v>
      </c>
      <c r="D127" s="4" t="s">
        <v>325</v>
      </c>
      <c r="E127" t="s">
        <v>20</v>
      </c>
      <c r="F127" t="s">
        <v>21</v>
      </c>
      <c r="G127" s="5">
        <v>36831</v>
      </c>
      <c r="H127" s="130">
        <v>-1000000</v>
      </c>
      <c r="I127">
        <v>0</v>
      </c>
      <c r="J127" s="53">
        <f t="shared" si="148"/>
        <v>4.7359999999999998</v>
      </c>
      <c r="K127" s="7">
        <f t="shared" si="149"/>
        <v>-2.5000000000000001E-3</v>
      </c>
      <c r="L127" s="53">
        <f t="shared" si="150"/>
        <v>4.7334999999999994</v>
      </c>
      <c r="M127" s="157">
        <f t="shared" si="169"/>
        <v>6.810675983792E-2</v>
      </c>
      <c r="N127" s="4">
        <f t="shared" si="170"/>
        <v>0.59499999999999997</v>
      </c>
      <c r="O127" s="4">
        <f t="shared" si="171"/>
        <v>0.625</v>
      </c>
      <c r="P127" s="9">
        <f t="shared" si="172"/>
        <v>0.99750000000000005</v>
      </c>
      <c r="Q127" s="5">
        <f t="shared" si="116"/>
        <v>36829</v>
      </c>
      <c r="R127" s="4">
        <f t="shared" si="173"/>
        <v>1</v>
      </c>
      <c r="S127" s="158">
        <f>_xll.xSPRDOPT($L127,$J127,$I127,$M127,$O127,$N127,$P127,$Q127-$C$3,$R127,0)</f>
        <v>3.9185934235893977E-2</v>
      </c>
      <c r="T127" s="159">
        <f>_xll.xSPRDOPT($L127,$J127,$I127,$M127,$O127,$N127,$P127,$Q127-$C$3,$R127,1)*H127</f>
        <v>-488899.33565991127</v>
      </c>
      <c r="U127" s="160">
        <f t="shared" si="174"/>
        <v>-39185.934235893976</v>
      </c>
      <c r="V127" s="159">
        <f>_xll.xSPRDOPT($L127,$J127,$I127,$M127,$O127,$N127,$P127,$Q127-$C$3,$R127,2)*H127</f>
        <v>480367.20907659561</v>
      </c>
      <c r="W127" s="159">
        <f t="shared" si="175"/>
        <v>-8532.1265833156649</v>
      </c>
      <c r="X127" s="51" t="str">
        <f t="shared" si="151"/>
        <v>36831IF-NNG/VENT</v>
      </c>
      <c r="Y127" s="418">
        <f t="shared" si="152"/>
        <v>-100</v>
      </c>
      <c r="Z127" s="456">
        <f t="shared" si="153"/>
        <v>0.48889933565991128</v>
      </c>
      <c r="AA127" s="456">
        <f>_xll.xSPRDOPT($L127,$J127,$I127,$M127,$O127,$N127,$P127,$Q127-$C$3,$R127,3)</f>
        <v>3.8491142305486035</v>
      </c>
      <c r="AB127" s="456">
        <f>((_xll.xSPRDOPT($L127+AB$5,$J127,$I127,$M127,$O127,$N127,$P127,$Q127-$C$3,$R127,3)*$H127)/10000)/100</f>
        <v>-3.8491142305486035</v>
      </c>
      <c r="AC127" s="456">
        <f>((_xll.xSPRDOPT($L127+$AB$5,$J127,$I127,$M127,$O127,$N127,$P127,$Q127-$C$3,$R127,7)*$H127)/100)</f>
        <v>54440.741237630049</v>
      </c>
      <c r="AD127" s="456">
        <f>(_xll.xSPRDOPT($L127+$AB$5,$J127,$I127,$M127,$O127,$N127,$P127,$Q127-$C$3,$R127,9)/365)*$H127</f>
        <v>318.68472499733844</v>
      </c>
      <c r="AE127">
        <f t="shared" si="120"/>
        <v>0</v>
      </c>
      <c r="AF127" s="456">
        <f t="shared" si="154"/>
        <v>-678.92278694896049</v>
      </c>
      <c r="AG127" s="456">
        <f>((_xll.xSPRDOPT($L127,$J127,$I127,$M127,$O127,$N127,$P127,$Q127-$C$3,$R127,6)*$H127)/100)</f>
        <v>4163.1149497362603</v>
      </c>
      <c r="AH127" s="456">
        <f>((_xll.xSPRDOPT($L127,$J127,$I127,$M127,$O127,$N127,$P127,$Q127-$C$3,$R127,5)*$H127)/100)</f>
        <v>-4609.6199253243303</v>
      </c>
      <c r="AI127" s="456">
        <f>(((_xll.xSPRDOPT($L127,$J127,$I127,$M127,$O127,$N127,$P127,$Q127-$C$3,$R127,4)*$H127)/10000)/100)-AB127</f>
        <v>4.0624982287518208E-3</v>
      </c>
      <c r="AJ127" s="456"/>
      <c r="AK127" s="456"/>
      <c r="AL127" s="456"/>
      <c r="AM127" s="472"/>
      <c r="AN127" s="128">
        <f t="shared" si="155"/>
        <v>40391</v>
      </c>
      <c r="AO127" s="43">
        <f t="shared" ref="AO127:BA136" si="180">SUMIF($X:$X,CONCATENATE($AN127,AO$6),$T:$T)/10000</f>
        <v>0</v>
      </c>
      <c r="AP127" s="43">
        <f t="shared" si="180"/>
        <v>0</v>
      </c>
      <c r="AQ127" s="43">
        <f t="shared" si="180"/>
        <v>0</v>
      </c>
      <c r="AR127" s="43">
        <f t="shared" si="180"/>
        <v>0</v>
      </c>
      <c r="AS127" s="43">
        <f t="shared" si="180"/>
        <v>0</v>
      </c>
      <c r="AT127" s="43">
        <f t="shared" si="180"/>
        <v>0</v>
      </c>
      <c r="AU127" s="43">
        <f t="shared" si="180"/>
        <v>0</v>
      </c>
      <c r="AV127" s="43">
        <f t="shared" si="180"/>
        <v>0</v>
      </c>
      <c r="AW127" s="43">
        <f t="shared" si="180"/>
        <v>0</v>
      </c>
      <c r="AX127" s="43">
        <f t="shared" si="180"/>
        <v>0</v>
      </c>
      <c r="AY127" s="43">
        <f t="shared" si="180"/>
        <v>0</v>
      </c>
      <c r="AZ127" s="43">
        <f t="shared" si="180"/>
        <v>0</v>
      </c>
      <c r="BA127" s="44">
        <f t="shared" si="180"/>
        <v>0</v>
      </c>
      <c r="BB127" s="128">
        <f t="shared" si="156"/>
        <v>40391</v>
      </c>
      <c r="BC127" s="44">
        <f t="shared" si="124"/>
        <v>0</v>
      </c>
      <c r="BD127" s="51"/>
      <c r="BE127" s="128">
        <f t="shared" si="157"/>
        <v>40391</v>
      </c>
      <c r="BF127" s="43">
        <f t="shared" ref="BF127:BR136" si="181">SUMIF($X:$X,CONCATENATE($AN127,BF$6),$W:$W)</f>
        <v>0</v>
      </c>
      <c r="BG127" s="43">
        <f t="shared" si="181"/>
        <v>0</v>
      </c>
      <c r="BH127" s="43">
        <f t="shared" si="181"/>
        <v>0</v>
      </c>
      <c r="BI127" s="43">
        <f t="shared" si="181"/>
        <v>0</v>
      </c>
      <c r="BJ127" s="43">
        <f t="shared" si="181"/>
        <v>0</v>
      </c>
      <c r="BK127" s="43">
        <f t="shared" si="181"/>
        <v>0</v>
      </c>
      <c r="BL127" s="43">
        <f t="shared" si="181"/>
        <v>0</v>
      </c>
      <c r="BM127" s="43">
        <f t="shared" si="181"/>
        <v>0</v>
      </c>
      <c r="BN127" s="43">
        <f t="shared" si="181"/>
        <v>0</v>
      </c>
      <c r="BO127" s="43">
        <f t="shared" si="181"/>
        <v>0</v>
      </c>
      <c r="BP127" s="43">
        <f t="shared" si="181"/>
        <v>0</v>
      </c>
      <c r="BQ127" s="43">
        <f t="shared" si="181"/>
        <v>0</v>
      </c>
      <c r="BR127" s="44">
        <f t="shared" si="181"/>
        <v>0</v>
      </c>
      <c r="BS127" s="128">
        <f t="shared" si="158"/>
        <v>40391</v>
      </c>
      <c r="BT127" s="44">
        <f t="shared" si="127"/>
        <v>0</v>
      </c>
      <c r="BU127" s="51"/>
      <c r="BV127" s="51"/>
      <c r="BW127" s="51"/>
      <c r="BX127" s="51"/>
      <c r="BY127" s="51"/>
      <c r="BZ127" s="51"/>
      <c r="CA127" s="51"/>
      <c r="CB127" s="51"/>
      <c r="CC127" s="141">
        <f t="shared" si="143"/>
        <v>36831</v>
      </c>
      <c r="CD127" s="234">
        <f>_xll.xSPRDOPT((VLOOKUP(G127,NGPrices,2,FALSE)+HLOOKUP(D127,Prices,VLOOKUP(G127,move_down,2,FALSE),FALSE)),VLOOKUP(G127,NGPrices,2,FALSE),I127,VLOOKUP(G127,NGPREVPRICES,4,FALSE),HLOOKUP(D127,PREVVOLS,VLOOKUP(G127,MOVE_DOWN2,2,FALSE),FALSE),VLOOKUP(G127,NGPREVPRICES,3,FALSE),HLOOKUP(D127,Correllate,VLOOKUP(G127,CorMove,2,FALSE),FALSE),Q127-$CD$3,R127,$CD$5)*H127-CJ127</f>
        <v>0</v>
      </c>
      <c r="CE127" s="234">
        <f>_xll.xSPRDOPT((VLOOKUP(G127,NGPREVPRICES,2,FALSE)+HLOOKUP(D127,PREVCURVES,VLOOKUP(G127,MOVE_DOWN2,2,FALSE),FALSE)),VLOOKUP(G127,NGPREVPRICES,2,FALSE),CK127,VLOOKUP(G127,NGPrices,4,FALSE),HLOOKUP(D127,PREVVOLS,VLOOKUP(G127,MOVE_DOWN2,2,FALSE),FALSE),VLOOKUP(G127,NGPREVPRICES,3,FALSE),HLOOKUP(D127,Correllate,VLOOKUP(G127,CorMove,2,FALSE),FALSE),Q127-$CD$3,R127,$CJ$5)*H127-CJ127</f>
        <v>0</v>
      </c>
      <c r="CF127" s="10">
        <f t="shared" si="144"/>
        <v>7.3361347850295715</v>
      </c>
      <c r="CG127" s="234">
        <f>_xll.xSPRDOPT((VLOOKUP(G127,NGPREVPRICES,2,FALSE)+HLOOKUP(D127,PREVCURVES,VLOOKUP(G127,MOVE_DOWN2,2,FALSE),FALSE)),VLOOKUP(G127,NGPREVPRICES,2,FALSE),CK127,VLOOKUP(G127,NGPREVPRICES,4,FALSE),HLOOKUP(D127,VOLS,VLOOKUP(G127,move_down,2,FALSE),FALSE),VLOOKUP(G127,NGPrices,3,FALSE),HLOOKUP(D127,Correllate,VLOOKUP(G127,CorMove,2,FALSE),FALSE),Q127-$CD$3,R127,$CJ$5)*H127-CJ127</f>
        <v>0</v>
      </c>
      <c r="CH127" s="234">
        <f>_xll.xSPRDOPT((VLOOKUP(G127,NGPREVPRICES,2,FALSE)+HLOOKUP(D127,PREVCURVES,VLOOKUP(G127,MOVE_DOWN2,2,FALSE),FALSE)),VLOOKUP(G127,NGPREVPRICES,2,FALSE),CK127,VLOOKUP(G127,NGPREVPRICES,4,FALSE),HLOOKUP(D127,PREVVOLS,VLOOKUP(G127,MOVE_DOWN2,2,FALSE),FALSE),VLOOKUP(G127,NGPREVPRICES,3,FALSE),HLOOKUP(D127,Correllate,VLOOKUP(G127,CorMove,2,FALSE),FALSE),Q127-$C$3,R127,$CJ$5)*H127-CJ127</f>
        <v>317.10428297727776</v>
      </c>
      <c r="CI127" s="234">
        <f t="shared" si="145"/>
        <v>324.44041776230733</v>
      </c>
      <c r="CJ127" s="234">
        <f>_xll.xSPRDOPT((VLOOKUP(G127,NGPREVPRICES,2,FALSE)+HLOOKUP(D127,PREVCURVES,VLOOKUP(G127,MOVE_DOWN2,2,FALSE),FALSE)),VLOOKUP(G127,NGPREVPRICES,2,FALSE),CK127,VLOOKUP(G127,NGPREVPRICES,4,FALSE),HLOOKUP(D127,PREVVOLS,VLOOKUP(G127,MOVE_DOWN2,2,FALSE),FALSE),VLOOKUP(G127,NGPREVPRICES,3,FALSE),HLOOKUP(D127,Correllate,VLOOKUP(G127,CorMove,2,FALSE),FALSE),Q127-$CD$3,R127,$CJ$5)*H127</f>
        <v>-39503.038518871253</v>
      </c>
      <c r="CK127" s="235">
        <f t="shared" si="146"/>
        <v>0</v>
      </c>
      <c r="CL127" s="234"/>
      <c r="CM127" t="str">
        <f t="shared" si="147"/>
        <v>36831Curve Shift/Gamma</v>
      </c>
      <c r="CN127" t="str">
        <f t="shared" si="176"/>
        <v>36831Rho</v>
      </c>
      <c r="CO127" t="str">
        <f t="shared" si="177"/>
        <v>36831Drift</v>
      </c>
      <c r="CP127" t="str">
        <f t="shared" si="178"/>
        <v>36831Vega</v>
      </c>
      <c r="CQ127" t="str">
        <f t="shared" si="179"/>
        <v>36831Theta</v>
      </c>
    </row>
    <row r="128" spans="1:95" ht="12" customHeight="1" x14ac:dyDescent="0.25">
      <c r="A128" s="382" t="s">
        <v>279</v>
      </c>
      <c r="B128" t="s">
        <v>250</v>
      </c>
      <c r="C128" t="s">
        <v>326</v>
      </c>
      <c r="D128" s="4" t="s">
        <v>325</v>
      </c>
      <c r="E128" t="s">
        <v>20</v>
      </c>
      <c r="F128" t="s">
        <v>21</v>
      </c>
      <c r="G128" s="5">
        <v>36800</v>
      </c>
      <c r="H128" s="130">
        <v>-1000000</v>
      </c>
      <c r="I128">
        <v>0</v>
      </c>
      <c r="J128" s="53">
        <f t="shared" si="148"/>
        <v>4.6920000000000002</v>
      </c>
      <c r="K128" s="7">
        <f t="shared" si="149"/>
        <v>-0.09</v>
      </c>
      <c r="L128" s="53">
        <f t="shared" si="150"/>
        <v>4.6020000000000003</v>
      </c>
      <c r="M128" s="157">
        <f t="shared" ref="M128:M137" si="182">VLOOKUP(G128,NGPrices,4,FALSE)</f>
        <v>6.8050789414654006E-2</v>
      </c>
      <c r="N128" s="4">
        <f t="shared" ref="N128:N137" si="183">VLOOKUP(G128,NGPrices,3,FALSE)</f>
        <v>0.57499999999999996</v>
      </c>
      <c r="O128" s="4">
        <f t="shared" ref="O128:O137" si="184">HLOOKUP(D128,VOLS,VLOOKUP(G128,move_down,2,FALSE),FALSE)</f>
        <v>0.57499999999999996</v>
      </c>
      <c r="P128" s="9">
        <f t="shared" ref="P128:P137" si="185">HLOOKUP(D128,Correllate,VLOOKUP(G128,CorMove,2,FALSE),FALSE)</f>
        <v>0.99750000000000005</v>
      </c>
      <c r="Q128" s="5">
        <f t="shared" si="116"/>
        <v>36797</v>
      </c>
      <c r="R128" s="4">
        <f t="shared" ref="R128:R167" si="186">IF(F128="P",0,1)</f>
        <v>1</v>
      </c>
      <c r="S128" s="158">
        <f>_xll.xSPRDOPT($L128,$J128,$I128,$M128,$O128,$N128,$P128,$Q128-$C$3,$R128,0)</f>
        <v>1.0792874875249986E-3</v>
      </c>
      <c r="T128" s="159">
        <f>_xll.xSPRDOPT($L128,$J128,$I128,$M128,$O128,$N128,$P128,$Q128-$C$3,$R128,1)*H128</f>
        <v>-48557.953750912144</v>
      </c>
      <c r="U128" s="160">
        <f t="shared" ref="U128:U167" si="187">S128*H128</f>
        <v>-1079.2874875249986</v>
      </c>
      <c r="V128" s="159">
        <f>_xll.xSPRDOPT($L128,$J128,$I128,$M128,$O128,$N128,$P128,$Q128-$C$3,$R128,2)*H128</f>
        <v>47396.508005984178</v>
      </c>
      <c r="W128" s="159">
        <f t="shared" ref="W128:W167" si="188">+V128+T128</f>
        <v>-1161.4457449279653</v>
      </c>
      <c r="X128" s="51" t="str">
        <f t="shared" si="151"/>
        <v>36800IF-NNG/VENT</v>
      </c>
      <c r="Y128" s="418">
        <f t="shared" si="152"/>
        <v>-100</v>
      </c>
      <c r="Z128" s="456">
        <f t="shared" si="153"/>
        <v>4.8557953750912146E-2</v>
      </c>
      <c r="AA128" s="456">
        <f>_xll.xSPRDOPT($L128,$J128,$I128,$M128,$O128,$N128,$P128,$Q128-$C$3,$R128,3)</f>
        <v>1.8767583471962377</v>
      </c>
      <c r="AB128" s="456">
        <f>((_xll.xSPRDOPT($L128+AB$5,$J128,$I128,$M128,$O128,$N128,$P128,$Q128-$C$3,$R128,3)*$H128)/10000)/100</f>
        <v>-1.8767583471962377</v>
      </c>
      <c r="AC128" s="456">
        <f>((_xll.xSPRDOPT($L128+$AB$5,$J128,$I128,$M128,$O128,$N128,$P128,$Q128-$C$3,$R128,7)*$H128)/100)</f>
        <v>10793.678040589333</v>
      </c>
      <c r="AD128" s="456">
        <f>(_xll.xSPRDOPT($L128+$AB$5,$J128,$I128,$M128,$O128,$N128,$P128,$Q128-$C$3,$R128,9)/365)*$H128</f>
        <v>89.807683704324546</v>
      </c>
      <c r="AE128">
        <f t="shared" si="120"/>
        <v>0</v>
      </c>
      <c r="AF128" s="456">
        <f t="shared" si="154"/>
        <v>-93.85809944340545</v>
      </c>
      <c r="AG128" s="456">
        <f>((_xll.xSPRDOPT($L128,$J128,$I128,$M128,$O128,$N128,$P128,$Q128-$C$3,$R128,6)*$H128)/100)</f>
        <v>-46.926571140916778</v>
      </c>
      <c r="AH128" s="456">
        <f>((_xll.xSPRDOPT($L128,$J128,$I128,$M128,$O128,$N128,$P128,$Q128-$C$3,$R128,5)*$H128)/100)</f>
        <v>-46.93152830248868</v>
      </c>
      <c r="AI128" s="456">
        <f>(((_xll.xSPRDOPT($L128,$J128,$I128,$M128,$O128,$N128,$P128,$Q128-$C$3,$R128,4)*$H128)/10000)/100)-AB128</f>
        <v>7.1307853749293715E-2</v>
      </c>
      <c r="AJ128" s="456"/>
      <c r="AK128" s="456"/>
      <c r="AL128" s="456"/>
      <c r="AM128" s="472"/>
      <c r="AN128" s="128">
        <f t="shared" si="155"/>
        <v>40422</v>
      </c>
      <c r="AO128" s="43">
        <f t="shared" si="180"/>
        <v>0</v>
      </c>
      <c r="AP128" s="43">
        <f t="shared" si="180"/>
        <v>0</v>
      </c>
      <c r="AQ128" s="43">
        <f t="shared" si="180"/>
        <v>0</v>
      </c>
      <c r="AR128" s="43">
        <f t="shared" si="180"/>
        <v>0</v>
      </c>
      <c r="AS128" s="43">
        <f t="shared" si="180"/>
        <v>0</v>
      </c>
      <c r="AT128" s="43">
        <f t="shared" si="180"/>
        <v>0</v>
      </c>
      <c r="AU128" s="43">
        <f t="shared" si="180"/>
        <v>0</v>
      </c>
      <c r="AV128" s="43">
        <f t="shared" si="180"/>
        <v>0</v>
      </c>
      <c r="AW128" s="43">
        <f t="shared" si="180"/>
        <v>0</v>
      </c>
      <c r="AX128" s="43">
        <f t="shared" si="180"/>
        <v>0</v>
      </c>
      <c r="AY128" s="43">
        <f t="shared" si="180"/>
        <v>0</v>
      </c>
      <c r="AZ128" s="43">
        <f t="shared" si="180"/>
        <v>0</v>
      </c>
      <c r="BA128" s="44">
        <f t="shared" si="180"/>
        <v>0</v>
      </c>
      <c r="BB128" s="128">
        <f t="shared" si="156"/>
        <v>40422</v>
      </c>
      <c r="BC128" s="44">
        <f t="shared" si="124"/>
        <v>0</v>
      </c>
      <c r="BD128" s="51"/>
      <c r="BE128" s="128">
        <f t="shared" si="157"/>
        <v>40422</v>
      </c>
      <c r="BF128" s="43">
        <f t="shared" si="181"/>
        <v>0</v>
      </c>
      <c r="BG128" s="43">
        <f t="shared" si="181"/>
        <v>0</v>
      </c>
      <c r="BH128" s="43">
        <f t="shared" si="181"/>
        <v>0</v>
      </c>
      <c r="BI128" s="43">
        <f t="shared" si="181"/>
        <v>0</v>
      </c>
      <c r="BJ128" s="43">
        <f t="shared" si="181"/>
        <v>0</v>
      </c>
      <c r="BK128" s="43">
        <f t="shared" si="181"/>
        <v>0</v>
      </c>
      <c r="BL128" s="43">
        <f t="shared" si="181"/>
        <v>0</v>
      </c>
      <c r="BM128" s="43">
        <f t="shared" si="181"/>
        <v>0</v>
      </c>
      <c r="BN128" s="43">
        <f t="shared" si="181"/>
        <v>0</v>
      </c>
      <c r="BO128" s="43">
        <f t="shared" si="181"/>
        <v>0</v>
      </c>
      <c r="BP128" s="43">
        <f t="shared" si="181"/>
        <v>0</v>
      </c>
      <c r="BQ128" s="43">
        <f t="shared" si="181"/>
        <v>0</v>
      </c>
      <c r="BR128" s="44">
        <f t="shared" si="181"/>
        <v>0</v>
      </c>
      <c r="BS128" s="128">
        <f t="shared" si="158"/>
        <v>40422</v>
      </c>
      <c r="BT128" s="44">
        <f t="shared" si="127"/>
        <v>0</v>
      </c>
      <c r="BU128" s="51"/>
      <c r="BV128" s="51"/>
      <c r="BW128" s="51"/>
      <c r="BX128" s="51"/>
      <c r="BY128" s="51"/>
      <c r="BZ128" s="51"/>
      <c r="CA128" s="51"/>
      <c r="CB128" s="51"/>
      <c r="CC128" s="141">
        <f t="shared" si="143"/>
        <v>36800</v>
      </c>
      <c r="CD128" s="234">
        <f>_xll.xSPRDOPT((VLOOKUP(G128,NGPrices,2,FALSE)+HLOOKUP(D128,Prices,VLOOKUP(G128,move_down,2,FALSE),FALSE)),VLOOKUP(G128,NGPrices,2,FALSE),I128,VLOOKUP(G128,NGPREVPRICES,4,FALSE),HLOOKUP(D128,PREVVOLS,VLOOKUP(G128,MOVE_DOWN2,2,FALSE),FALSE),VLOOKUP(G128,NGPREVPRICES,3,FALSE),HLOOKUP(D128,Correllate,VLOOKUP(G128,CorMove,2,FALSE),FALSE),Q128-$CD$3,R128,$CD$5)*H128-CJ128</f>
        <v>0</v>
      </c>
      <c r="CE128" s="234">
        <f>_xll.xSPRDOPT((VLOOKUP(G128,NGPREVPRICES,2,FALSE)+HLOOKUP(D128,PREVCURVES,VLOOKUP(G128,MOVE_DOWN2,2,FALSE),FALSE)),VLOOKUP(G128,NGPREVPRICES,2,FALSE),CK128,VLOOKUP(G128,NGPrices,4,FALSE),HLOOKUP(D128,PREVVOLS,VLOOKUP(G128,MOVE_DOWN2,2,FALSE),FALSE),VLOOKUP(G128,NGPREVPRICES,3,FALSE),HLOOKUP(D128,Correllate,VLOOKUP(G128,CorMove,2,FALSE),FALSE),Q128-$CD$3,R128,$CJ$5)*H128-CJ128</f>
        <v>0</v>
      </c>
      <c r="CF128" s="10">
        <f t="shared" ref="CF128:CF157" si="189">(CJ128/VLOOKUP(CC128,discount,3,FALSE))-(CJ128/VLOOKUP(CC128,discount,2,FALSE))</f>
        <v>0.21575398244885946</v>
      </c>
      <c r="CG128" s="234">
        <f>_xll.xSPRDOPT((VLOOKUP(G128,NGPREVPRICES,2,FALSE)+HLOOKUP(D128,PREVCURVES,VLOOKUP(G128,MOVE_DOWN2,2,FALSE),FALSE)),VLOOKUP(G128,NGPREVPRICES,2,FALSE),CK128,VLOOKUP(G128,NGPREVPRICES,4,FALSE),HLOOKUP(D128,VOLS,VLOOKUP(G128,move_down,2,FALSE),FALSE),VLOOKUP(G128,NGPrices,3,FALSE),HLOOKUP(D128,Correllate,VLOOKUP(G128,CorMove,2,FALSE),FALSE),Q128-$CD$3,R128,$CJ$5)*H128-CJ128</f>
        <v>0</v>
      </c>
      <c r="CH128" s="234">
        <f>_xll.xSPRDOPT((VLOOKUP(G128,NGPREVPRICES,2,FALSE)+HLOOKUP(D128,PREVCURVES,VLOOKUP(G128,MOVE_DOWN2,2,FALSE),FALSE)),VLOOKUP(G128,NGPREVPRICES,2,FALSE),CK128,VLOOKUP(G128,NGPREVPRICES,4,FALSE),HLOOKUP(D128,PREVVOLS,VLOOKUP(G128,MOVE_DOWN2,2,FALSE),FALSE),VLOOKUP(G128,NGPREVPRICES,3,FALSE),HLOOKUP(D128,Correllate,VLOOKUP(G128,CorMove,2,FALSE),FALSE),Q128-$C$3,R128,$CJ$5)*H128-CJ128</f>
        <v>91.025862899561389</v>
      </c>
      <c r="CI128" s="234">
        <f t="shared" ref="CI128:CI157" si="190">SUM(CD128:CH128)</f>
        <v>91.241616882010248</v>
      </c>
      <c r="CJ128" s="234">
        <f>_xll.xSPRDOPT((VLOOKUP(G128,NGPREVPRICES,2,FALSE)+HLOOKUP(D128,PREVCURVES,VLOOKUP(G128,MOVE_DOWN2,2,FALSE),FALSE)),VLOOKUP(G128,NGPREVPRICES,2,FALSE),CK128,VLOOKUP(G128,NGPREVPRICES,4,FALSE),HLOOKUP(D128,PREVVOLS,VLOOKUP(G128,MOVE_DOWN2,2,FALSE),FALSE),VLOOKUP(G128,NGPREVPRICES,3,FALSE),HLOOKUP(D128,Correllate,VLOOKUP(G128,CorMove,2,FALSE),FALSE),Q128-$CD$3,R128,$CJ$5)*H128</f>
        <v>-1170.31335042456</v>
      </c>
      <c r="CK128" s="235">
        <f t="shared" si="146"/>
        <v>0</v>
      </c>
      <c r="CL128" s="234"/>
      <c r="CM128" t="str">
        <f t="shared" ref="CM128:CM157" si="191">CONCATENATE(CC128,$CD$6)</f>
        <v>36800Curve Shift/Gamma</v>
      </c>
      <c r="CN128" t="str">
        <f t="shared" si="176"/>
        <v>36800Rho</v>
      </c>
      <c r="CO128" t="str">
        <f t="shared" si="177"/>
        <v>36800Drift</v>
      </c>
      <c r="CP128" t="str">
        <f t="shared" si="178"/>
        <v>36800Vega</v>
      </c>
      <c r="CQ128" t="str">
        <f t="shared" si="179"/>
        <v>36800Theta</v>
      </c>
    </row>
    <row r="129" spans="1:95" ht="12" customHeight="1" x14ac:dyDescent="0.25">
      <c r="A129" s="382" t="s">
        <v>279</v>
      </c>
      <c r="B129" t="s">
        <v>250</v>
      </c>
      <c r="C129" t="s">
        <v>326</v>
      </c>
      <c r="D129" s="4" t="s">
        <v>325</v>
      </c>
      <c r="E129" t="s">
        <v>20</v>
      </c>
      <c r="F129" t="s">
        <v>21</v>
      </c>
      <c r="G129" s="5">
        <v>36770</v>
      </c>
      <c r="H129" s="130">
        <v>-1000000</v>
      </c>
      <c r="I129">
        <v>0</v>
      </c>
      <c r="J129" s="53">
        <f t="shared" si="148"/>
        <v>4.6849999999999996</v>
      </c>
      <c r="K129" s="7">
        <f t="shared" si="149"/>
        <v>-0.11</v>
      </c>
      <c r="L129" s="53">
        <f t="shared" si="150"/>
        <v>4.5749999999999993</v>
      </c>
      <c r="M129" s="157">
        <f t="shared" si="182"/>
        <v>6.7216196212184998E-2</v>
      </c>
      <c r="N129" s="4">
        <f t="shared" si="183"/>
        <v>0.4</v>
      </c>
      <c r="O129" s="4">
        <f t="shared" si="184"/>
        <v>0.4</v>
      </c>
      <c r="P129" s="9">
        <f t="shared" si="185"/>
        <v>0.99750000000000005</v>
      </c>
      <c r="Q129" s="5">
        <f t="shared" si="116"/>
        <v>36768</v>
      </c>
      <c r="R129" s="4">
        <f t="shared" si="186"/>
        <v>1</v>
      </c>
      <c r="S129" s="158">
        <f>_xll.xSPRDOPT($L129,$J129,$I129,$M129,$O129,$N129,$P129,$Q129-$C$3,$R129,0)</f>
        <v>1.0851068572543811E-61</v>
      </c>
      <c r="T129" s="159">
        <f>_xll.xSPRDOPT($L129,$J129,$I129,$M129,$O129,$N129,$P129,$Q129-$C$3,$R129,1)*H129</f>
        <v>-2.864578357936025E-52</v>
      </c>
      <c r="U129" s="160">
        <f t="shared" si="187"/>
        <v>-1.085106857254381E-55</v>
      </c>
      <c r="V129" s="159">
        <f>_xll.xSPRDOPT($L129,$J129,$I129,$M129,$O129,$N129,$P129,$Q129-$C$3,$R129,2)*H129</f>
        <v>2.7964247804000011E-52</v>
      </c>
      <c r="W129" s="159">
        <f t="shared" si="188"/>
        <v>-6.815357753602389E-54</v>
      </c>
      <c r="X129" s="51" t="str">
        <f t="shared" si="151"/>
        <v>36770IF-NNG/VENT</v>
      </c>
      <c r="Y129" s="418">
        <f t="shared" si="152"/>
        <v>-100</v>
      </c>
      <c r="Z129" s="456">
        <f t="shared" si="153"/>
        <v>2.8645783579360251E-58</v>
      </c>
      <c r="AA129" s="456">
        <f>_xll.xSPRDOPT($L129,$J129,$I129,$M129,$O129,$N129,$P129,$Q129-$C$3,$R129,3)</f>
        <v>6.4573299966254778E-55</v>
      </c>
      <c r="AB129" s="456">
        <f>((_xll.xSPRDOPT($L129+AB$5,$J129,$I129,$M129,$O129,$N129,$P129,$Q129-$C$3,$R129,3)*$H129)/10000)/100</f>
        <v>-6.4573299966254778E-55</v>
      </c>
      <c r="AC129" s="456">
        <f>((_xll.xSPRDOPT($L129+$AB$5,$J129,$I129,$M129,$O129,$N129,$P129,$Q129-$C$3,$R129,7)*$H129)/100)</f>
        <v>5.6576862420124369E-53</v>
      </c>
      <c r="AD129" s="456">
        <f>(_xll.xSPRDOPT($L129+$AB$5,$J129,$I129,$M129,$O129,$N129,$P129,$Q129-$C$3,$R129,9)/365)*$H129</f>
        <v>1.9375904525903672E-53</v>
      </c>
      <c r="AE129">
        <f t="shared" si="120"/>
        <v>0</v>
      </c>
      <c r="AF129" s="456">
        <f t="shared" si="154"/>
        <v>-7.0732556693898991E-55</v>
      </c>
      <c r="AG129" s="456">
        <f>((_xll.xSPRDOPT($L129,$J129,$I129,$M129,$O129,$N129,$P129,$Q129-$C$3,$R129,6)*$H129)/100)</f>
        <v>-3.5364896604822768E-55</v>
      </c>
      <c r="AH129" s="456">
        <f>((_xll.xSPRDOPT($L129,$J129,$I129,$M129,$O129,$N129,$P129,$Q129-$C$3,$R129,5)*$H129)/100)</f>
        <v>-3.5367660089076231E-55</v>
      </c>
      <c r="AI129" s="456">
        <f>(((_xll.xSPRDOPT($L129,$J129,$I129,$M129,$O129,$N129,$P129,$Q129-$C$3,$R129,4)*$H129)/10000)/100)-AB129</f>
        <v>2.9796445017603159E-56</v>
      </c>
      <c r="AJ129" s="456"/>
      <c r="AK129" s="456"/>
      <c r="AL129" s="456"/>
      <c r="AM129" s="472"/>
      <c r="AN129" s="128">
        <f t="shared" si="155"/>
        <v>40452</v>
      </c>
      <c r="AO129" s="43">
        <f t="shared" si="180"/>
        <v>0</v>
      </c>
      <c r="AP129" s="43">
        <f t="shared" si="180"/>
        <v>0</v>
      </c>
      <c r="AQ129" s="43">
        <f t="shared" si="180"/>
        <v>0</v>
      </c>
      <c r="AR129" s="43">
        <f t="shared" si="180"/>
        <v>0</v>
      </c>
      <c r="AS129" s="43">
        <f t="shared" si="180"/>
        <v>0</v>
      </c>
      <c r="AT129" s="43">
        <f t="shared" si="180"/>
        <v>0</v>
      </c>
      <c r="AU129" s="43">
        <f t="shared" si="180"/>
        <v>0</v>
      </c>
      <c r="AV129" s="43">
        <f t="shared" si="180"/>
        <v>0</v>
      </c>
      <c r="AW129" s="43">
        <f t="shared" si="180"/>
        <v>0</v>
      </c>
      <c r="AX129" s="43">
        <f t="shared" si="180"/>
        <v>0</v>
      </c>
      <c r="AY129" s="43">
        <f t="shared" si="180"/>
        <v>0</v>
      </c>
      <c r="AZ129" s="43">
        <f t="shared" si="180"/>
        <v>0</v>
      </c>
      <c r="BA129" s="44">
        <f t="shared" si="180"/>
        <v>0</v>
      </c>
      <c r="BB129" s="128">
        <f t="shared" si="156"/>
        <v>40452</v>
      </c>
      <c r="BC129" s="44">
        <f t="shared" si="124"/>
        <v>0</v>
      </c>
      <c r="BD129" s="51"/>
      <c r="BE129" s="128">
        <f t="shared" si="157"/>
        <v>40452</v>
      </c>
      <c r="BF129" s="43">
        <f t="shared" si="181"/>
        <v>0</v>
      </c>
      <c r="BG129" s="43">
        <f t="shared" si="181"/>
        <v>0</v>
      </c>
      <c r="BH129" s="43">
        <f t="shared" si="181"/>
        <v>0</v>
      </c>
      <c r="BI129" s="43">
        <f t="shared" si="181"/>
        <v>0</v>
      </c>
      <c r="BJ129" s="43">
        <f t="shared" si="181"/>
        <v>0</v>
      </c>
      <c r="BK129" s="43">
        <f t="shared" si="181"/>
        <v>0</v>
      </c>
      <c r="BL129" s="43">
        <f t="shared" si="181"/>
        <v>0</v>
      </c>
      <c r="BM129" s="43">
        <f t="shared" si="181"/>
        <v>0</v>
      </c>
      <c r="BN129" s="43">
        <f t="shared" si="181"/>
        <v>0</v>
      </c>
      <c r="BO129" s="43">
        <f t="shared" si="181"/>
        <v>0</v>
      </c>
      <c r="BP129" s="43">
        <f t="shared" si="181"/>
        <v>0</v>
      </c>
      <c r="BQ129" s="43">
        <f t="shared" si="181"/>
        <v>0</v>
      </c>
      <c r="BR129" s="44">
        <f t="shared" si="181"/>
        <v>0</v>
      </c>
      <c r="BS129" s="128">
        <f t="shared" si="158"/>
        <v>40452</v>
      </c>
      <c r="BT129" s="44">
        <f t="shared" si="127"/>
        <v>0</v>
      </c>
      <c r="BU129" s="51"/>
      <c r="BV129" s="51"/>
      <c r="BW129" s="51"/>
      <c r="BX129" s="51"/>
      <c r="BY129" s="51"/>
      <c r="BZ129" s="51"/>
      <c r="CA129" s="51"/>
      <c r="CB129" s="51"/>
      <c r="CC129" s="141">
        <f t="shared" si="143"/>
        <v>36770</v>
      </c>
      <c r="CD129" s="234">
        <f>_xll.xSPRDOPT((VLOOKUP(G129,NGPrices,2,FALSE)+HLOOKUP(D129,Prices,VLOOKUP(G129,move_down,2,FALSE),FALSE)),VLOOKUP(G129,NGPrices,2,FALSE),I129,VLOOKUP(G129,NGPREVPRICES,4,FALSE),HLOOKUP(D129,PREVVOLS,VLOOKUP(G129,MOVE_DOWN2,2,FALSE),FALSE),VLOOKUP(G129,NGPREVPRICES,3,FALSE),HLOOKUP(D129,Correllate,VLOOKUP(G129,CorMove,2,FALSE),FALSE),Q129-$CD$3,R129,$CD$5)*H129-CJ129</f>
        <v>0</v>
      </c>
      <c r="CE129" s="234">
        <f>_xll.xSPRDOPT((VLOOKUP(G129,NGPREVPRICES,2,FALSE)+HLOOKUP(D129,PREVCURVES,VLOOKUP(G129,MOVE_DOWN2,2,FALSE),FALSE)),VLOOKUP(G129,NGPREVPRICES,2,FALSE),CK129,VLOOKUP(G129,NGPrices,4,FALSE),HLOOKUP(D129,PREVVOLS,VLOOKUP(G129,MOVE_DOWN2,2,FALSE),FALSE),VLOOKUP(G129,NGPREVPRICES,3,FALSE),HLOOKUP(D129,Correllate,VLOOKUP(G129,CorMove,2,FALSE),FALSE),Q129-$CD$3,R129,$CJ$5)*H129-CJ129</f>
        <v>0</v>
      </c>
      <c r="CF129" s="10">
        <f t="shared" si="189"/>
        <v>5.3423466700623942E-31</v>
      </c>
      <c r="CG129" s="234">
        <f>_xll.xSPRDOPT((VLOOKUP(G129,NGPREVPRICES,2,FALSE)+HLOOKUP(D129,PREVCURVES,VLOOKUP(G129,MOVE_DOWN2,2,FALSE),FALSE)),VLOOKUP(G129,NGPREVPRICES,2,FALSE),CK129,VLOOKUP(G129,NGPREVPRICES,4,FALSE),HLOOKUP(D129,VOLS,VLOOKUP(G129,move_down,2,FALSE),FALSE),VLOOKUP(G129,NGPrices,3,FALSE),HLOOKUP(D129,Correllate,VLOOKUP(G129,CorMove,2,FALSE),FALSE),Q129-$CD$3,R129,$CJ$5)*H129-CJ129</f>
        <v>0</v>
      </c>
      <c r="CH129" s="234">
        <f>_xll.xSPRDOPT((VLOOKUP(G129,NGPREVPRICES,2,FALSE)+HLOOKUP(D129,PREVCURVES,VLOOKUP(G129,MOVE_DOWN2,2,FALSE),FALSE)),VLOOKUP(G129,NGPREVPRICES,2,FALSE),CK129,VLOOKUP(G129,NGPREVPRICES,4,FALSE),HLOOKUP(D129,PREVVOLS,VLOOKUP(G129,MOVE_DOWN2,2,FALSE),FALSE),VLOOKUP(G129,NGPREVPRICES,3,FALSE),HLOOKUP(D129,Correllate,VLOOKUP(G129,CorMove,2,FALSE),FALSE),Q129-$C$3,R129,$CJ$5)*H129-CJ129</f>
        <v>2.9317190494040337E-27</v>
      </c>
      <c r="CI129" s="234">
        <f t="shared" si="190"/>
        <v>2.93225328407104E-27</v>
      </c>
      <c r="CJ129" s="234">
        <f>_xll.xSPRDOPT((VLOOKUP(G129,NGPREVPRICES,2,FALSE)+HLOOKUP(D129,PREVCURVES,VLOOKUP(G129,MOVE_DOWN2,2,FALSE),FALSE)),VLOOKUP(G129,NGPREVPRICES,2,FALSE),CK129,VLOOKUP(G129,NGPREVPRICES,4,FALSE),HLOOKUP(D129,PREVVOLS,VLOOKUP(G129,MOVE_DOWN2,2,FALSE),FALSE),VLOOKUP(G129,NGPREVPRICES,3,FALSE),HLOOKUP(D129,Correllate,VLOOKUP(G129,CorMove,2,FALSE),FALSE),Q129-$CD$3,R129,$CJ$5)*H129</f>
        <v>-2.9317190494040337E-27</v>
      </c>
      <c r="CK129" s="235">
        <f t="shared" si="146"/>
        <v>0</v>
      </c>
      <c r="CL129" s="234"/>
      <c r="CM129" t="str">
        <f t="shared" si="191"/>
        <v>36770Curve Shift/Gamma</v>
      </c>
      <c r="CN129" t="str">
        <f t="shared" si="176"/>
        <v>36770Rho</v>
      </c>
      <c r="CO129" t="str">
        <f t="shared" si="177"/>
        <v>36770Drift</v>
      </c>
      <c r="CP129" t="str">
        <f t="shared" si="178"/>
        <v>36770Vega</v>
      </c>
      <c r="CQ129" t="str">
        <f t="shared" si="179"/>
        <v>36770Theta</v>
      </c>
    </row>
    <row r="130" spans="1:95" ht="12" customHeight="1" x14ac:dyDescent="0.25">
      <c r="A130" s="382" t="s">
        <v>279</v>
      </c>
      <c r="B130" t="s">
        <v>250</v>
      </c>
      <c r="C130" t="s">
        <v>327</v>
      </c>
      <c r="D130" s="4" t="s">
        <v>325</v>
      </c>
      <c r="E130" t="s">
        <v>20</v>
      </c>
      <c r="F130" t="s">
        <v>1</v>
      </c>
      <c r="G130" s="5">
        <v>36951</v>
      </c>
      <c r="H130" s="130">
        <v>-1000000</v>
      </c>
      <c r="I130">
        <v>0</v>
      </c>
      <c r="J130" s="53">
        <f t="shared" si="148"/>
        <v>4.2130000000000001</v>
      </c>
      <c r="K130" s="7">
        <f t="shared" si="149"/>
        <v>3.2500000000000001E-2</v>
      </c>
      <c r="L130" s="53">
        <f t="shared" si="150"/>
        <v>4.2454999999999998</v>
      </c>
      <c r="M130" s="157">
        <f t="shared" si="182"/>
        <v>6.8879814952706994E-2</v>
      </c>
      <c r="N130" s="4">
        <f t="shared" si="183"/>
        <v>0.53249999999999997</v>
      </c>
      <c r="O130" s="4">
        <f t="shared" si="184"/>
        <v>0.55900000000000005</v>
      </c>
      <c r="P130" s="9">
        <f t="shared" si="185"/>
        <v>0.99750000000000005</v>
      </c>
      <c r="Q130" s="5">
        <f t="shared" si="116"/>
        <v>36949</v>
      </c>
      <c r="R130" s="4">
        <f t="shared" si="186"/>
        <v>0</v>
      </c>
      <c r="S130" s="158">
        <f>_xll.xSPRDOPT($L130,$J130,$I130,$M130,$O130,$N130,$P130,$Q130-$C$3,$R130,0)</f>
        <v>3.960882912064001E-2</v>
      </c>
      <c r="T130" s="159">
        <f>_xll.xSPRDOPT($L130,$J130,$I130,$M130,$O130,$N130,$P130,$Q130-$C$3,$R130,1)*H130</f>
        <v>388084.8682094884</v>
      </c>
      <c r="U130" s="160">
        <f t="shared" si="187"/>
        <v>-39608.82912064001</v>
      </c>
      <c r="V130" s="159">
        <f>_xll.xSPRDOPT($L130,$J130,$I130,$M130,$O130,$N130,$P130,$Q130-$C$3,$R130,2)*H130</f>
        <v>-400480.20378277451</v>
      </c>
      <c r="W130" s="159">
        <f t="shared" si="188"/>
        <v>-12395.335573286109</v>
      </c>
      <c r="X130" s="51" t="str">
        <f t="shared" si="151"/>
        <v>36951IF-NNG/VENT</v>
      </c>
      <c r="Y130" s="418">
        <f t="shared" si="152"/>
        <v>-100</v>
      </c>
      <c r="Z130" s="456">
        <f t="shared" si="153"/>
        <v>-0.3880848682094884</v>
      </c>
      <c r="AA130" s="456">
        <f>_xll.xSPRDOPT($L130,$J130,$I130,$M130,$O130,$N130,$P130,$Q130-$C$3,$R130,3)</f>
        <v>2.6642732960144064</v>
      </c>
      <c r="AB130" s="456">
        <f>((_xll.xSPRDOPT($L130+AB$5,$J130,$I130,$M130,$O130,$N130,$P130,$Q130-$C$3,$R130,3)*$H130)/10000)/100</f>
        <v>-2.6642732960144064</v>
      </c>
      <c r="AC130" s="456">
        <f>((_xll.xSPRDOPT($L130+$AB$5,$J130,$I130,$M130,$O130,$N130,$P130,$Q130-$C$3,$R130,7)*$H130)/100)</f>
        <v>71227.713878433511</v>
      </c>
      <c r="AD130" s="456">
        <f>(_xll.xSPRDOPT($L130+$AB$5,$J130,$I130,$M130,$O130,$N130,$P130,$Q130-$C$3,$R130,9)/365)*$H130</f>
        <v>136.62917362249829</v>
      </c>
      <c r="AE130">
        <f t="shared" si="120"/>
        <v>0</v>
      </c>
      <c r="AF130" s="456">
        <f t="shared" si="154"/>
        <v>-984.37347688663704</v>
      </c>
      <c r="AG130" s="456">
        <f>((_xll.xSPRDOPT($L130,$J130,$I130,$M130,$O130,$N130,$P130,$Q130-$C$3,$R130,6)*$H130)/100)</f>
        <v>6006.712146309289</v>
      </c>
      <c r="AH130" s="456">
        <f>((_xll.xSPRDOPT($L130,$J130,$I130,$M130,$O130,$N130,$P130,$Q130-$C$3,$R130,5)*$H130)/100)</f>
        <v>-6659.6656428476381</v>
      </c>
      <c r="AI130" s="456">
        <f>(((_xll.xSPRDOPT($L130,$J130,$I130,$M130,$O130,$N130,$P130,$Q130-$C$3,$R130,4)*$H130)/10000)/100)-AB130</f>
        <v>-4.1264217531086889E-2</v>
      </c>
      <c r="AJ130" s="456"/>
      <c r="AK130" s="456"/>
      <c r="AL130" s="456"/>
      <c r="AM130" s="472"/>
      <c r="AN130" s="128">
        <f t="shared" si="155"/>
        <v>40483</v>
      </c>
      <c r="AO130" s="43">
        <f t="shared" si="180"/>
        <v>0</v>
      </c>
      <c r="AP130" s="43">
        <f t="shared" si="180"/>
        <v>0</v>
      </c>
      <c r="AQ130" s="43">
        <f t="shared" si="180"/>
        <v>0</v>
      </c>
      <c r="AR130" s="43">
        <f t="shared" si="180"/>
        <v>0</v>
      </c>
      <c r="AS130" s="43">
        <f t="shared" si="180"/>
        <v>0</v>
      </c>
      <c r="AT130" s="43">
        <f t="shared" si="180"/>
        <v>0</v>
      </c>
      <c r="AU130" s="43">
        <f t="shared" si="180"/>
        <v>0</v>
      </c>
      <c r="AV130" s="43">
        <f t="shared" si="180"/>
        <v>0</v>
      </c>
      <c r="AW130" s="43">
        <f t="shared" si="180"/>
        <v>0</v>
      </c>
      <c r="AX130" s="43">
        <f t="shared" si="180"/>
        <v>0</v>
      </c>
      <c r="AY130" s="43">
        <f t="shared" si="180"/>
        <v>0</v>
      </c>
      <c r="AZ130" s="43">
        <f t="shared" si="180"/>
        <v>0</v>
      </c>
      <c r="BA130" s="44">
        <f t="shared" si="180"/>
        <v>0</v>
      </c>
      <c r="BB130" s="128">
        <f t="shared" si="156"/>
        <v>40483</v>
      </c>
      <c r="BC130" s="44">
        <f t="shared" si="124"/>
        <v>0</v>
      </c>
      <c r="BD130" s="51"/>
      <c r="BE130" s="128">
        <f t="shared" si="157"/>
        <v>40483</v>
      </c>
      <c r="BF130" s="43">
        <f t="shared" si="181"/>
        <v>0</v>
      </c>
      <c r="BG130" s="43">
        <f t="shared" si="181"/>
        <v>0</v>
      </c>
      <c r="BH130" s="43">
        <f t="shared" si="181"/>
        <v>0</v>
      </c>
      <c r="BI130" s="43">
        <f t="shared" si="181"/>
        <v>0</v>
      </c>
      <c r="BJ130" s="43">
        <f t="shared" si="181"/>
        <v>0</v>
      </c>
      <c r="BK130" s="43">
        <f t="shared" si="181"/>
        <v>0</v>
      </c>
      <c r="BL130" s="43">
        <f t="shared" si="181"/>
        <v>0</v>
      </c>
      <c r="BM130" s="43">
        <f t="shared" si="181"/>
        <v>0</v>
      </c>
      <c r="BN130" s="43">
        <f t="shared" si="181"/>
        <v>0</v>
      </c>
      <c r="BO130" s="43">
        <f t="shared" si="181"/>
        <v>0</v>
      </c>
      <c r="BP130" s="43">
        <f t="shared" si="181"/>
        <v>0</v>
      </c>
      <c r="BQ130" s="43">
        <f t="shared" si="181"/>
        <v>0</v>
      </c>
      <c r="BR130" s="44">
        <f t="shared" si="181"/>
        <v>0</v>
      </c>
      <c r="BS130" s="128">
        <f t="shared" si="158"/>
        <v>40483</v>
      </c>
      <c r="BT130" s="44">
        <f t="shared" si="127"/>
        <v>0</v>
      </c>
      <c r="BU130" s="51"/>
      <c r="BV130" s="51"/>
      <c r="BW130" s="51"/>
      <c r="BX130" s="51"/>
      <c r="BY130" s="51"/>
      <c r="BZ130" s="51"/>
      <c r="CA130" s="51"/>
      <c r="CB130" s="51"/>
      <c r="CC130" s="141">
        <f t="shared" ref="CC130:CC161" si="192">G130</f>
        <v>36951</v>
      </c>
      <c r="CD130" s="234">
        <f>_xll.xSPRDOPT((VLOOKUP(G130,NGPrices,2,FALSE)+HLOOKUP(D130,Prices,VLOOKUP(G130,move_down,2,FALSE),FALSE)),VLOOKUP(G130,NGPrices,2,FALSE),I130,VLOOKUP(G130,NGPREVPRICES,4,FALSE),HLOOKUP(D130,PREVVOLS,VLOOKUP(G130,MOVE_DOWN2,2,FALSE),FALSE),VLOOKUP(G130,NGPREVPRICES,3,FALSE),HLOOKUP(D130,Correllate,VLOOKUP(G130,CorMove,2,FALSE),FALSE),Q130-$CD$3,R130,$CD$5)*H130-CJ130</f>
        <v>0</v>
      </c>
      <c r="CE130" s="234">
        <f>_xll.xSPRDOPT((VLOOKUP(G130,NGPREVPRICES,2,FALSE)+HLOOKUP(D130,PREVCURVES,VLOOKUP(G130,MOVE_DOWN2,2,FALSE),FALSE)),VLOOKUP(G130,NGPREVPRICES,2,FALSE),CK130,VLOOKUP(G130,NGPrices,4,FALSE),HLOOKUP(D130,PREVVOLS,VLOOKUP(G130,MOVE_DOWN2,2,FALSE),FALSE),VLOOKUP(G130,NGPREVPRICES,3,FALSE),HLOOKUP(D130,Correllate,VLOOKUP(G130,CorMove,2,FALSE),FALSE),Q130-$CD$3,R130,$CJ$5)*H130-CJ130</f>
        <v>0</v>
      </c>
      <c r="CF130" s="10">
        <f t="shared" si="189"/>
        <v>7.6225261376312119</v>
      </c>
      <c r="CG130" s="234">
        <f>_xll.xSPRDOPT((VLOOKUP(G130,NGPREVPRICES,2,FALSE)+HLOOKUP(D130,PREVCURVES,VLOOKUP(G130,MOVE_DOWN2,2,FALSE),FALSE)),VLOOKUP(G130,NGPREVPRICES,2,FALSE),CK130,VLOOKUP(G130,NGPREVPRICES,4,FALSE),HLOOKUP(D130,VOLS,VLOOKUP(G130,move_down,2,FALSE),FALSE),VLOOKUP(G130,NGPrices,3,FALSE),HLOOKUP(D130,Correllate,VLOOKUP(G130,CorMove,2,FALSE),FALSE),Q130-$CD$3,R130,$CJ$5)*H130-CJ130</f>
        <v>0</v>
      </c>
      <c r="CH130" s="234">
        <f>_xll.xSPRDOPT((VLOOKUP(G130,NGPREVPRICES,2,FALSE)+HLOOKUP(D130,PREVCURVES,VLOOKUP(G130,MOVE_DOWN2,2,FALSE),FALSE)),VLOOKUP(G130,NGPREVPRICES,2,FALSE),CK130,VLOOKUP(G130,NGPREVPRICES,4,FALSE),HLOOKUP(D130,PREVVOLS,VLOOKUP(G130,MOVE_DOWN2,2,FALSE),FALSE),VLOOKUP(G130,NGPREVPRICES,3,FALSE),HLOOKUP(D130,Correllate,VLOOKUP(G130,CorMove,2,FALSE),FALSE),Q130-$C$3,R130,$CJ$5)*H130-CJ130</f>
        <v>136.32257135576219</v>
      </c>
      <c r="CI130" s="234">
        <f t="shared" si="190"/>
        <v>143.9450974933934</v>
      </c>
      <c r="CJ130" s="234">
        <f>_xll.xSPRDOPT((VLOOKUP(G130,NGPREVPRICES,2,FALSE)+HLOOKUP(D130,PREVCURVES,VLOOKUP(G130,MOVE_DOWN2,2,FALSE),FALSE)),VLOOKUP(G130,NGPREVPRICES,2,FALSE),CK130,VLOOKUP(G130,NGPREVPRICES,4,FALSE),HLOOKUP(D130,PREVVOLS,VLOOKUP(G130,MOVE_DOWN2,2,FALSE),FALSE),VLOOKUP(G130,NGPREVPRICES,3,FALSE),HLOOKUP(D130,Correllate,VLOOKUP(G130,CorMove,2,FALSE),FALSE),Q130-$CD$3,R130,$CJ$5)*H130</f>
        <v>-39745.151691995772</v>
      </c>
      <c r="CK130" s="235">
        <f t="shared" ref="CK130:CK161" si="193">I130</f>
        <v>0</v>
      </c>
      <c r="CL130" s="234"/>
      <c r="CM130" t="str">
        <f t="shared" si="191"/>
        <v>36951Curve Shift/Gamma</v>
      </c>
      <c r="CN130" t="str">
        <f t="shared" si="176"/>
        <v>36951Rho</v>
      </c>
      <c r="CO130" t="str">
        <f t="shared" si="177"/>
        <v>36951Drift</v>
      </c>
      <c r="CP130" t="str">
        <f t="shared" si="178"/>
        <v>36951Vega</v>
      </c>
      <c r="CQ130" t="str">
        <f t="shared" si="179"/>
        <v>36951Theta</v>
      </c>
    </row>
    <row r="131" spans="1:95" ht="12" customHeight="1" x14ac:dyDescent="0.25">
      <c r="A131" s="382" t="s">
        <v>279</v>
      </c>
      <c r="B131" t="s">
        <v>250</v>
      </c>
      <c r="C131" t="s">
        <v>327</v>
      </c>
      <c r="D131" s="4" t="s">
        <v>325</v>
      </c>
      <c r="E131" t="s">
        <v>20</v>
      </c>
      <c r="F131" t="s">
        <v>1</v>
      </c>
      <c r="G131" s="5">
        <v>36923</v>
      </c>
      <c r="H131" s="130">
        <v>-1000000</v>
      </c>
      <c r="I131">
        <v>0</v>
      </c>
      <c r="J131" s="53">
        <f t="shared" si="148"/>
        <v>4.4800000000000004</v>
      </c>
      <c r="K131" s="7">
        <f t="shared" si="149"/>
        <v>3.5000000000000003E-2</v>
      </c>
      <c r="L131" s="53">
        <f t="shared" si="150"/>
        <v>4.5150000000000006</v>
      </c>
      <c r="M131" s="157">
        <f t="shared" si="182"/>
        <v>6.8640161611372E-2</v>
      </c>
      <c r="N131" s="4">
        <f t="shared" si="183"/>
        <v>0.59250000000000003</v>
      </c>
      <c r="O131" s="4">
        <f t="shared" si="184"/>
        <v>0.622</v>
      </c>
      <c r="P131" s="9">
        <f t="shared" si="185"/>
        <v>0.99750000000000005</v>
      </c>
      <c r="Q131" s="5">
        <f t="shared" si="116"/>
        <v>36921</v>
      </c>
      <c r="R131" s="4">
        <f t="shared" si="186"/>
        <v>0</v>
      </c>
      <c r="S131" s="158">
        <f>_xll.xSPRDOPT($L131,$J131,$I131,$M131,$O131,$N131,$P131,$Q131-$C$3,$R131,0)</f>
        <v>4.3501674783630762E-2</v>
      </c>
      <c r="T131" s="159">
        <f>_xll.xSPRDOPT($L131,$J131,$I131,$M131,$O131,$N131,$P131,$Q131-$C$3,$R131,1)*H131</f>
        <v>390970.10922751907</v>
      </c>
      <c r="U131" s="160">
        <f t="shared" si="187"/>
        <v>-43501.674783630762</v>
      </c>
      <c r="V131" s="159">
        <f>_xll.xSPRDOPT($L131,$J131,$I131,$M131,$O131,$N131,$P131,$Q131-$C$3,$R131,2)*H131</f>
        <v>-403734.74834551138</v>
      </c>
      <c r="W131" s="159">
        <f t="shared" si="188"/>
        <v>-12764.639117992308</v>
      </c>
      <c r="X131" s="51" t="str">
        <f t="shared" si="151"/>
        <v>36923IF-NNG/VENT</v>
      </c>
      <c r="Y131" s="418">
        <f t="shared" si="152"/>
        <v>-100</v>
      </c>
      <c r="Z131" s="456">
        <f t="shared" si="153"/>
        <v>-0.39097010922751907</v>
      </c>
      <c r="AA131" s="456">
        <f>_xll.xSPRDOPT($L131,$J131,$I131,$M131,$O131,$N131,$P131,$Q131-$C$3,$R131,3)</f>
        <v>2.4617871475972524</v>
      </c>
      <c r="AB131" s="456">
        <f>((_xll.xSPRDOPT($L131+AB$5,$J131,$I131,$M131,$O131,$N131,$P131,$Q131-$C$3,$R131,3)*$H131)/10000)/100</f>
        <v>-2.4617871475972524</v>
      </c>
      <c r="AC131" s="456">
        <f>((_xll.xSPRDOPT($L131+$AB$5,$J131,$I131,$M131,$O131,$N131,$P131,$Q131-$C$3,$R131,7)*$H131)/100)</f>
        <v>77978.550871632586</v>
      </c>
      <c r="AD131" s="456">
        <f>(_xll.xSPRDOPT($L131+$AB$5,$J131,$I131,$M131,$O131,$N131,$P131,$Q131-$C$3,$R131,9)/365)*$H131</f>
        <v>178.32088595441112</v>
      </c>
      <c r="AE131">
        <f t="shared" si="120"/>
        <v>0</v>
      </c>
      <c r="AF131" s="456">
        <f t="shared" si="154"/>
        <v>-968.82994068988955</v>
      </c>
      <c r="AG131" s="456">
        <f>((_xll.xSPRDOPT($L131,$J131,$I131,$M131,$O131,$N131,$P131,$Q131-$C$3,$R131,6)*$H131)/100)</f>
        <v>5912.9393307363125</v>
      </c>
      <c r="AH131" s="456">
        <f>((_xll.xSPRDOPT($L131,$J131,$I131,$M131,$O131,$N131,$P131,$Q131-$C$3,$R131,5)*$H131)/100)</f>
        <v>-6555.383108231551</v>
      </c>
      <c r="AI131" s="456">
        <f>(((_xll.xSPRDOPT($L131,$J131,$I131,$M131,$O131,$N131,$P131,$Q131-$C$3,$R131,4)*$H131)/10000)/100)-AB131</f>
        <v>-3.8615771723742753E-2</v>
      </c>
      <c r="AJ131" s="456"/>
      <c r="AK131" s="456"/>
      <c r="AL131" s="456"/>
      <c r="AM131" s="472"/>
      <c r="AN131" s="128">
        <f t="shared" si="155"/>
        <v>40513</v>
      </c>
      <c r="AO131" s="43">
        <f t="shared" si="180"/>
        <v>0</v>
      </c>
      <c r="AP131" s="43">
        <f t="shared" si="180"/>
        <v>0</v>
      </c>
      <c r="AQ131" s="43">
        <f t="shared" si="180"/>
        <v>0</v>
      </c>
      <c r="AR131" s="43">
        <f t="shared" si="180"/>
        <v>0</v>
      </c>
      <c r="AS131" s="43">
        <f t="shared" si="180"/>
        <v>0</v>
      </c>
      <c r="AT131" s="43">
        <f t="shared" si="180"/>
        <v>0</v>
      </c>
      <c r="AU131" s="43">
        <f t="shared" si="180"/>
        <v>0</v>
      </c>
      <c r="AV131" s="43">
        <f t="shared" si="180"/>
        <v>0</v>
      </c>
      <c r="AW131" s="43">
        <f t="shared" si="180"/>
        <v>0</v>
      </c>
      <c r="AX131" s="43">
        <f t="shared" si="180"/>
        <v>0</v>
      </c>
      <c r="AY131" s="43">
        <f t="shared" si="180"/>
        <v>0</v>
      </c>
      <c r="AZ131" s="43">
        <f t="shared" si="180"/>
        <v>0</v>
      </c>
      <c r="BA131" s="44">
        <f t="shared" si="180"/>
        <v>0</v>
      </c>
      <c r="BB131" s="128">
        <f t="shared" si="156"/>
        <v>40513</v>
      </c>
      <c r="BC131" s="44">
        <f t="shared" si="124"/>
        <v>0</v>
      </c>
      <c r="BD131" s="51"/>
      <c r="BE131" s="128">
        <f t="shared" si="157"/>
        <v>40513</v>
      </c>
      <c r="BF131" s="43">
        <f t="shared" si="181"/>
        <v>0</v>
      </c>
      <c r="BG131" s="43">
        <f t="shared" si="181"/>
        <v>0</v>
      </c>
      <c r="BH131" s="43">
        <f t="shared" si="181"/>
        <v>0</v>
      </c>
      <c r="BI131" s="43">
        <f t="shared" si="181"/>
        <v>0</v>
      </c>
      <c r="BJ131" s="43">
        <f t="shared" si="181"/>
        <v>0</v>
      </c>
      <c r="BK131" s="43">
        <f t="shared" si="181"/>
        <v>0</v>
      </c>
      <c r="BL131" s="43">
        <f t="shared" si="181"/>
        <v>0</v>
      </c>
      <c r="BM131" s="43">
        <f t="shared" si="181"/>
        <v>0</v>
      </c>
      <c r="BN131" s="43">
        <f t="shared" si="181"/>
        <v>0</v>
      </c>
      <c r="BO131" s="43">
        <f t="shared" si="181"/>
        <v>0</v>
      </c>
      <c r="BP131" s="43">
        <f t="shared" si="181"/>
        <v>0</v>
      </c>
      <c r="BQ131" s="43">
        <f t="shared" si="181"/>
        <v>0</v>
      </c>
      <c r="BR131" s="44">
        <f t="shared" si="181"/>
        <v>0</v>
      </c>
      <c r="BS131" s="128">
        <f t="shared" si="158"/>
        <v>40513</v>
      </c>
      <c r="BT131" s="44">
        <f t="shared" si="127"/>
        <v>0</v>
      </c>
      <c r="BU131" s="51"/>
      <c r="BV131" s="51"/>
      <c r="BW131" s="51"/>
      <c r="BX131" s="51"/>
      <c r="BY131" s="51"/>
      <c r="BZ131" s="51"/>
      <c r="CA131" s="51"/>
      <c r="CB131" s="51"/>
      <c r="CC131" s="141">
        <f t="shared" si="192"/>
        <v>36923</v>
      </c>
      <c r="CD131" s="234">
        <f>_xll.xSPRDOPT((VLOOKUP(G131,NGPrices,2,FALSE)+HLOOKUP(D131,Prices,VLOOKUP(G131,move_down,2,FALSE),FALSE)),VLOOKUP(G131,NGPrices,2,FALSE),I131,VLOOKUP(G131,NGPREVPRICES,4,FALSE),HLOOKUP(D131,PREVVOLS,VLOOKUP(G131,MOVE_DOWN2,2,FALSE),FALSE),VLOOKUP(G131,NGPREVPRICES,3,FALSE),HLOOKUP(D131,Correllate,VLOOKUP(G131,CorMove,2,FALSE),FALSE),Q131-$CD$3,R131,$CD$5)*H131-CJ131</f>
        <v>0</v>
      </c>
      <c r="CE131" s="234">
        <f>_xll.xSPRDOPT((VLOOKUP(G131,NGPREVPRICES,2,FALSE)+HLOOKUP(D131,PREVCURVES,VLOOKUP(G131,MOVE_DOWN2,2,FALSE),FALSE)),VLOOKUP(G131,NGPREVPRICES,2,FALSE),CK131,VLOOKUP(G131,NGPrices,4,FALSE),HLOOKUP(D131,PREVVOLS,VLOOKUP(G131,MOVE_DOWN2,2,FALSE),FALSE),VLOOKUP(G131,NGPREVPRICES,3,FALSE),HLOOKUP(D131,Correllate,VLOOKUP(G131,CorMove,2,FALSE),FALSE),Q131-$CD$3,R131,$CJ$5)*H131-CJ131</f>
        <v>0</v>
      </c>
      <c r="CF131" s="10">
        <f t="shared" si="189"/>
        <v>8.3073473075492075</v>
      </c>
      <c r="CG131" s="234">
        <f>_xll.xSPRDOPT((VLOOKUP(G131,NGPREVPRICES,2,FALSE)+HLOOKUP(D131,PREVCURVES,VLOOKUP(G131,MOVE_DOWN2,2,FALSE),FALSE)),VLOOKUP(G131,NGPREVPRICES,2,FALSE),CK131,VLOOKUP(G131,NGPREVPRICES,4,FALSE),HLOOKUP(D131,VOLS,VLOOKUP(G131,move_down,2,FALSE),FALSE),VLOOKUP(G131,NGPrices,3,FALSE),HLOOKUP(D131,Correllate,VLOOKUP(G131,CorMove,2,FALSE),FALSE),Q131-$CD$3,R131,$CJ$5)*H131-CJ131</f>
        <v>0</v>
      </c>
      <c r="CH131" s="234">
        <f>_xll.xSPRDOPT((VLOOKUP(G131,NGPREVPRICES,2,FALSE)+HLOOKUP(D131,PREVCURVES,VLOOKUP(G131,MOVE_DOWN2,2,FALSE),FALSE)),VLOOKUP(G131,NGPREVPRICES,2,FALSE),CK131,VLOOKUP(G131,NGPREVPRICES,4,FALSE),HLOOKUP(D131,PREVVOLS,VLOOKUP(G131,MOVE_DOWN2,2,FALSE),FALSE),VLOOKUP(G131,NGPREVPRICES,3,FALSE),HLOOKUP(D131,Correllate,VLOOKUP(G131,CorMove,2,FALSE),FALSE),Q131-$C$3,R131,$CJ$5)*H131-CJ131</f>
        <v>177.87889920484304</v>
      </c>
      <c r="CI131" s="234">
        <f t="shared" si="190"/>
        <v>186.18624651239224</v>
      </c>
      <c r="CJ131" s="234">
        <f>_xll.xSPRDOPT((VLOOKUP(G131,NGPREVPRICES,2,FALSE)+HLOOKUP(D131,PREVCURVES,VLOOKUP(G131,MOVE_DOWN2,2,FALSE),FALSE)),VLOOKUP(G131,NGPREVPRICES,2,FALSE),CK131,VLOOKUP(G131,NGPREVPRICES,4,FALSE),HLOOKUP(D131,PREVVOLS,VLOOKUP(G131,MOVE_DOWN2,2,FALSE),FALSE),VLOOKUP(G131,NGPREVPRICES,3,FALSE),HLOOKUP(D131,Correllate,VLOOKUP(G131,CorMove,2,FALSE),FALSE),Q131-$CD$3,R131,$CJ$5)*H131</f>
        <v>-43679.553682835605</v>
      </c>
      <c r="CK131" s="235">
        <f t="shared" si="193"/>
        <v>0</v>
      </c>
      <c r="CL131" s="234"/>
      <c r="CM131" t="str">
        <f t="shared" si="191"/>
        <v>36923Curve Shift/Gamma</v>
      </c>
      <c r="CN131" t="str">
        <f t="shared" si="176"/>
        <v>36923Rho</v>
      </c>
      <c r="CO131" t="str">
        <f t="shared" si="177"/>
        <v>36923Drift</v>
      </c>
      <c r="CP131" t="str">
        <f t="shared" si="178"/>
        <v>36923Vega</v>
      </c>
      <c r="CQ131" t="str">
        <f t="shared" si="179"/>
        <v>36923Theta</v>
      </c>
    </row>
    <row r="132" spans="1:95" ht="12" customHeight="1" x14ac:dyDescent="0.25">
      <c r="A132" s="382" t="s">
        <v>279</v>
      </c>
      <c r="B132" t="s">
        <v>250</v>
      </c>
      <c r="C132" t="s">
        <v>327</v>
      </c>
      <c r="D132" s="4" t="s">
        <v>325</v>
      </c>
      <c r="E132" t="s">
        <v>20</v>
      </c>
      <c r="F132" t="s">
        <v>1</v>
      </c>
      <c r="G132" s="5">
        <v>36892</v>
      </c>
      <c r="H132" s="130">
        <v>-1000000</v>
      </c>
      <c r="I132">
        <v>0</v>
      </c>
      <c r="J132" s="53">
        <f t="shared" si="148"/>
        <v>4.7439999999999998</v>
      </c>
      <c r="K132" s="7">
        <f t="shared" si="149"/>
        <v>0.03</v>
      </c>
      <c r="L132" s="53">
        <f t="shared" si="150"/>
        <v>4.774</v>
      </c>
      <c r="M132" s="157">
        <f t="shared" si="182"/>
        <v>6.8374831148490994E-2</v>
      </c>
      <c r="N132" s="4">
        <f t="shared" si="183"/>
        <v>0.60499999999999998</v>
      </c>
      <c r="O132" s="4">
        <f t="shared" si="184"/>
        <v>0.63500000000000001</v>
      </c>
      <c r="P132" s="9">
        <f t="shared" si="185"/>
        <v>0.99750000000000005</v>
      </c>
      <c r="Q132" s="5">
        <f t="shared" si="116"/>
        <v>36888</v>
      </c>
      <c r="R132" s="4">
        <f t="shared" si="186"/>
        <v>0</v>
      </c>
      <c r="S132" s="158">
        <f>_xll.xSPRDOPT($L132,$J132,$I132,$M132,$O132,$N132,$P132,$Q132-$C$3,$R132,0)</f>
        <v>4.3274239977761475E-2</v>
      </c>
      <c r="T132" s="159">
        <f>_xll.xSPRDOPT($L132,$J132,$I132,$M132,$O132,$N132,$P132,$Q132-$C$3,$R132,1)*H132</f>
        <v>403116.81592810986</v>
      </c>
      <c r="U132" s="160">
        <f t="shared" si="187"/>
        <v>-43274.239977761477</v>
      </c>
      <c r="V132" s="159">
        <f>_xll.xSPRDOPT($L132,$J132,$I132,$M132,$O132,$N132,$P132,$Q132-$C$3,$R132,2)*H132</f>
        <v>-414787.91567545256</v>
      </c>
      <c r="W132" s="159">
        <f t="shared" si="188"/>
        <v>-11671.099747342698</v>
      </c>
      <c r="X132" s="51" t="str">
        <f t="shared" si="151"/>
        <v>36892IF-NNG/VENT</v>
      </c>
      <c r="Y132" s="418">
        <f t="shared" si="152"/>
        <v>-100</v>
      </c>
      <c r="Z132" s="456">
        <f t="shared" si="153"/>
        <v>-0.40311681592810988</v>
      </c>
      <c r="AA132" s="456">
        <f>_xll.xSPRDOPT($L132,$J132,$I132,$M132,$O132,$N132,$P132,$Q132-$C$3,$R132,3)</f>
        <v>2.6076382483860443</v>
      </c>
      <c r="AB132" s="456">
        <f>((_xll.xSPRDOPT($L132+AB$5,$J132,$I132,$M132,$O132,$N132,$P132,$Q132-$C$3,$R132,3)*$H132)/10000)/100</f>
        <v>-2.6076382483860447</v>
      </c>
      <c r="AC132" s="456">
        <f>((_xll.xSPRDOPT($L132+$AB$5,$J132,$I132,$M132,$O132,$N132,$P132,$Q132-$C$3,$R132,7)*$H132)/100)</f>
        <v>75637.351396257291</v>
      </c>
      <c r="AD132" s="456">
        <f>(_xll.xSPRDOPT($L132+$AB$5,$J132,$I132,$M132,$O132,$N132,$P132,$Q132-$C$3,$R132,9)/365)*$H132</f>
        <v>221.5479127378708</v>
      </c>
      <c r="AE132">
        <f t="shared" si="120"/>
        <v>0</v>
      </c>
      <c r="AF132" s="456">
        <f t="shared" si="154"/>
        <v>-917.98881091532803</v>
      </c>
      <c r="AG132" s="456">
        <f>((_xll.xSPRDOPT($L132,$J132,$I132,$M132,$O132,$N132,$P132,$Q132-$C$3,$R132,6)*$H132)/100)</f>
        <v>5593.9627117453647</v>
      </c>
      <c r="AH132" s="456">
        <f>((_xll.xSPRDOPT($L132,$J132,$I132,$M132,$O132,$N132,$P132,$Q132-$C$3,$R132,5)*$H132)/100)</f>
        <v>-6204.3002696216045</v>
      </c>
      <c r="AI132" s="456">
        <f>(((_xll.xSPRDOPT($L132,$J132,$I132,$M132,$O132,$N132,$P132,$Q132-$C$3,$R132,4)*$H132)/10000)/100)-AB132</f>
        <v>-3.3084617354763424E-2</v>
      </c>
      <c r="AJ132" s="456"/>
      <c r="AK132" s="456"/>
      <c r="AL132" s="456"/>
      <c r="AM132" s="472"/>
      <c r="AN132" s="128">
        <f t="shared" si="155"/>
        <v>40544</v>
      </c>
      <c r="AO132" s="43">
        <f t="shared" si="180"/>
        <v>0</v>
      </c>
      <c r="AP132" s="43">
        <f t="shared" si="180"/>
        <v>0</v>
      </c>
      <c r="AQ132" s="43">
        <f t="shared" si="180"/>
        <v>0</v>
      </c>
      <c r="AR132" s="43">
        <f t="shared" si="180"/>
        <v>0</v>
      </c>
      <c r="AS132" s="43">
        <f t="shared" si="180"/>
        <v>0</v>
      </c>
      <c r="AT132" s="43">
        <f t="shared" si="180"/>
        <v>0</v>
      </c>
      <c r="AU132" s="43">
        <f t="shared" si="180"/>
        <v>0</v>
      </c>
      <c r="AV132" s="43">
        <f t="shared" si="180"/>
        <v>0</v>
      </c>
      <c r="AW132" s="43">
        <f t="shared" si="180"/>
        <v>0</v>
      </c>
      <c r="AX132" s="43">
        <f t="shared" si="180"/>
        <v>0</v>
      </c>
      <c r="AY132" s="43">
        <f t="shared" si="180"/>
        <v>0</v>
      </c>
      <c r="AZ132" s="43">
        <f t="shared" si="180"/>
        <v>0</v>
      </c>
      <c r="BA132" s="44">
        <f t="shared" si="180"/>
        <v>0</v>
      </c>
      <c r="BB132" s="128">
        <f t="shared" si="156"/>
        <v>40544</v>
      </c>
      <c r="BC132" s="44">
        <f t="shared" si="124"/>
        <v>0</v>
      </c>
      <c r="BD132" s="51"/>
      <c r="BE132" s="128">
        <f t="shared" si="157"/>
        <v>40544</v>
      </c>
      <c r="BF132" s="43">
        <f t="shared" si="181"/>
        <v>0</v>
      </c>
      <c r="BG132" s="43">
        <f t="shared" si="181"/>
        <v>0</v>
      </c>
      <c r="BH132" s="43">
        <f t="shared" si="181"/>
        <v>0</v>
      </c>
      <c r="BI132" s="43">
        <f t="shared" si="181"/>
        <v>0</v>
      </c>
      <c r="BJ132" s="43">
        <f t="shared" si="181"/>
        <v>0</v>
      </c>
      <c r="BK132" s="43">
        <f t="shared" si="181"/>
        <v>0</v>
      </c>
      <c r="BL132" s="43">
        <f t="shared" si="181"/>
        <v>0</v>
      </c>
      <c r="BM132" s="43">
        <f t="shared" si="181"/>
        <v>0</v>
      </c>
      <c r="BN132" s="43">
        <f t="shared" si="181"/>
        <v>0</v>
      </c>
      <c r="BO132" s="43">
        <f t="shared" si="181"/>
        <v>0</v>
      </c>
      <c r="BP132" s="43">
        <f t="shared" si="181"/>
        <v>0</v>
      </c>
      <c r="BQ132" s="43">
        <f t="shared" si="181"/>
        <v>0</v>
      </c>
      <c r="BR132" s="44">
        <f t="shared" si="181"/>
        <v>0</v>
      </c>
      <c r="BS132" s="128">
        <f t="shared" si="158"/>
        <v>40544</v>
      </c>
      <c r="BT132" s="44">
        <f t="shared" si="127"/>
        <v>0</v>
      </c>
      <c r="BU132" s="51"/>
      <c r="BV132" s="51"/>
      <c r="BW132" s="51"/>
      <c r="BX132" s="51"/>
      <c r="BY132" s="51"/>
      <c r="BZ132" s="51"/>
      <c r="CA132" s="51"/>
      <c r="CB132" s="51"/>
      <c r="CC132" s="141">
        <f t="shared" si="192"/>
        <v>36892</v>
      </c>
      <c r="CD132" s="234">
        <f>_xll.xSPRDOPT((VLOOKUP(G132,NGPrices,2,FALSE)+HLOOKUP(D132,Prices,VLOOKUP(G132,move_down,2,FALSE),FALSE)),VLOOKUP(G132,NGPrices,2,FALSE),I132,VLOOKUP(G132,NGPREVPRICES,4,FALSE),HLOOKUP(D132,PREVVOLS,VLOOKUP(G132,MOVE_DOWN2,2,FALSE),FALSE),VLOOKUP(G132,NGPREVPRICES,3,FALSE),HLOOKUP(D132,Correllate,VLOOKUP(G132,CorMove,2,FALSE),FALSE),Q132-$CD$3,R132,$CD$5)*H132-CJ132</f>
        <v>0</v>
      </c>
      <c r="CE132" s="234">
        <f>_xll.xSPRDOPT((VLOOKUP(G132,NGPREVPRICES,2,FALSE)+HLOOKUP(D132,PREVCURVES,VLOOKUP(G132,MOVE_DOWN2,2,FALSE),FALSE)),VLOOKUP(G132,NGPREVPRICES,2,FALSE),CK132,VLOOKUP(G132,NGPrices,4,FALSE),HLOOKUP(D132,PREVVOLS,VLOOKUP(G132,MOVE_DOWN2,2,FALSE),FALSE),VLOOKUP(G132,NGPREVPRICES,3,FALSE),HLOOKUP(D132,Correllate,VLOOKUP(G132,CorMove,2,FALSE),FALSE),Q132-$CD$3,R132,$CJ$5)*H132-CJ132</f>
        <v>0</v>
      </c>
      <c r="CF132" s="10">
        <f t="shared" si="189"/>
        <v>8.1962751609244151</v>
      </c>
      <c r="CG132" s="234">
        <f>_xll.xSPRDOPT((VLOOKUP(G132,NGPREVPRICES,2,FALSE)+HLOOKUP(D132,PREVCURVES,VLOOKUP(G132,MOVE_DOWN2,2,FALSE),FALSE)),VLOOKUP(G132,NGPREVPRICES,2,FALSE),CK132,VLOOKUP(G132,NGPREVPRICES,4,FALSE),HLOOKUP(D132,VOLS,VLOOKUP(G132,move_down,2,FALSE),FALSE),VLOOKUP(G132,NGPrices,3,FALSE),HLOOKUP(D132,Correllate,VLOOKUP(G132,CorMove,2,FALSE),FALSE),Q132-$CD$3,R132,$CJ$5)*H132-CJ132</f>
        <v>0</v>
      </c>
      <c r="CH132" s="234">
        <f>_xll.xSPRDOPT((VLOOKUP(G132,NGPREVPRICES,2,FALSE)+HLOOKUP(D132,PREVCURVES,VLOOKUP(G132,MOVE_DOWN2,2,FALSE),FALSE)),VLOOKUP(G132,NGPREVPRICES,2,FALSE),CK132,VLOOKUP(G132,NGPREVPRICES,4,FALSE),HLOOKUP(D132,PREVVOLS,VLOOKUP(G132,MOVE_DOWN2,2,FALSE),FALSE),VLOOKUP(G132,NGPREVPRICES,3,FALSE),HLOOKUP(D132,Correllate,VLOOKUP(G132,CorMove,2,FALSE),FALSE),Q132-$C$3,R132,$CJ$5)*H132-CJ132</f>
        <v>220.90184480560856</v>
      </c>
      <c r="CI132" s="234">
        <f t="shared" si="190"/>
        <v>229.09811996653298</v>
      </c>
      <c r="CJ132" s="234">
        <f>_xll.xSPRDOPT((VLOOKUP(G132,NGPREVPRICES,2,FALSE)+HLOOKUP(D132,PREVCURVES,VLOOKUP(G132,MOVE_DOWN2,2,FALSE),FALSE)),VLOOKUP(G132,NGPREVPRICES,2,FALSE),CK132,VLOOKUP(G132,NGPREVPRICES,4,FALSE),HLOOKUP(D132,PREVVOLS,VLOOKUP(G132,MOVE_DOWN2,2,FALSE),FALSE),VLOOKUP(G132,NGPREVPRICES,3,FALSE),HLOOKUP(D132,Correllate,VLOOKUP(G132,CorMove,2,FALSE),FALSE),Q132-$CD$3,R132,$CJ$5)*H132</f>
        <v>-43495.141822567086</v>
      </c>
      <c r="CK132" s="235">
        <f t="shared" si="193"/>
        <v>0</v>
      </c>
      <c r="CL132" s="234"/>
      <c r="CM132" t="str">
        <f t="shared" si="191"/>
        <v>36892Curve Shift/Gamma</v>
      </c>
      <c r="CN132" t="str">
        <f t="shared" si="176"/>
        <v>36892Rho</v>
      </c>
      <c r="CO132" t="str">
        <f t="shared" si="177"/>
        <v>36892Drift</v>
      </c>
      <c r="CP132" t="str">
        <f t="shared" si="178"/>
        <v>36892Vega</v>
      </c>
      <c r="CQ132" t="str">
        <f t="shared" si="179"/>
        <v>36892Theta</v>
      </c>
    </row>
    <row r="133" spans="1:95" ht="12" customHeight="1" x14ac:dyDescent="0.25">
      <c r="A133" s="382" t="s">
        <v>279</v>
      </c>
      <c r="B133" t="s">
        <v>250</v>
      </c>
      <c r="C133" t="s">
        <v>327</v>
      </c>
      <c r="D133" s="4" t="s">
        <v>325</v>
      </c>
      <c r="E133" t="s">
        <v>20</v>
      </c>
      <c r="F133" t="s">
        <v>1</v>
      </c>
      <c r="G133" s="5">
        <v>36861</v>
      </c>
      <c r="H133" s="130">
        <v>-1000000</v>
      </c>
      <c r="I133">
        <v>0</v>
      </c>
      <c r="J133" s="53">
        <f t="shared" si="148"/>
        <v>4.8</v>
      </c>
      <c r="K133" s="7">
        <f t="shared" si="149"/>
        <v>1.7500000000000002E-2</v>
      </c>
      <c r="L133" s="53">
        <f t="shared" si="150"/>
        <v>4.8174999999999999</v>
      </c>
      <c r="M133" s="157">
        <f t="shared" si="182"/>
        <v>6.8314027999354002E-2</v>
      </c>
      <c r="N133" s="4">
        <f t="shared" si="183"/>
        <v>0.6</v>
      </c>
      <c r="O133" s="4">
        <f t="shared" si="184"/>
        <v>0.63</v>
      </c>
      <c r="P133" s="9">
        <f t="shared" si="185"/>
        <v>0.99750000000000005</v>
      </c>
      <c r="Q133" s="5">
        <f t="shared" si="116"/>
        <v>36859</v>
      </c>
      <c r="R133" s="4">
        <f t="shared" si="186"/>
        <v>0</v>
      </c>
      <c r="S133" s="158">
        <f>_xll.xSPRDOPT($L133,$J133,$I133,$M133,$O133,$N133,$P133,$Q133-$C$3,$R133,0)</f>
        <v>4.1856579823496887E-2</v>
      </c>
      <c r="T133" s="159">
        <f>_xll.xSPRDOPT($L133,$J133,$I133,$M133,$O133,$N133,$P133,$Q133-$C$3,$R133,1)*H133</f>
        <v>432662.26985234412</v>
      </c>
      <c r="U133" s="160">
        <f t="shared" si="187"/>
        <v>-41856.57982349689</v>
      </c>
      <c r="V133" s="159">
        <f>_xll.xSPRDOPT($L133,$J133,$I133,$M133,$O133,$N133,$P133,$Q133-$C$3,$R133,2)*H133</f>
        <v>-442959.79697332642</v>
      </c>
      <c r="W133" s="159">
        <f t="shared" si="188"/>
        <v>-10297.527120982297</v>
      </c>
      <c r="X133" s="51" t="str">
        <f t="shared" si="151"/>
        <v>36861IF-NNG/VENT</v>
      </c>
      <c r="Y133" s="418">
        <f t="shared" si="152"/>
        <v>-100</v>
      </c>
      <c r="Z133" s="456">
        <f t="shared" si="153"/>
        <v>-0.43266226985234413</v>
      </c>
      <c r="AA133" s="456">
        <f>_xll.xSPRDOPT($L133,$J133,$I133,$M133,$O133,$N133,$P133,$Q133-$C$3,$R133,3)</f>
        <v>3.035944933604239</v>
      </c>
      <c r="AB133" s="456">
        <f>((_xll.xSPRDOPT($L133+AB$5,$J133,$I133,$M133,$O133,$N133,$P133,$Q133-$C$3,$R133,3)*$H133)/10000)/100</f>
        <v>-3.035944933604239</v>
      </c>
      <c r="AC133" s="456">
        <f>((_xll.xSPRDOPT($L133+$AB$5,$J133,$I133,$M133,$O133,$N133,$P133,$Q133-$C$3,$R133,7)*$H133)/100)</f>
        <v>67085.219703447176</v>
      </c>
      <c r="AD133" s="456">
        <f>(_xll.xSPRDOPT($L133+$AB$5,$J133,$I133,$M133,$O133,$N133,$P133,$Q133-$C$3,$R133,9)/365)*$H133</f>
        <v>261.45446876362581</v>
      </c>
      <c r="AE133">
        <f t="shared" si="120"/>
        <v>0</v>
      </c>
      <c r="AF133" s="456">
        <f t="shared" si="154"/>
        <v>-825.25253864798015</v>
      </c>
      <c r="AG133" s="456">
        <f>((_xll.xSPRDOPT($L133,$J133,$I133,$M133,$O133,$N133,$P133,$Q133-$C$3,$R133,6)*$H133)/100)</f>
        <v>5044.6808920677067</v>
      </c>
      <c r="AH133" s="456">
        <f>((_xll.xSPRDOPT($L133,$J133,$I133,$M133,$O133,$N133,$P133,$Q133-$C$3,$R133,5)*$H133)/100)</f>
        <v>-5590.4127911577971</v>
      </c>
      <c r="AI133" s="456">
        <f>(((_xll.xSPRDOPT($L133,$J133,$I133,$M133,$O133,$N133,$P133,$Q133-$C$3,$R133,4)*$H133)/10000)/100)-AB133</f>
        <v>-2.2177547638302375E-2</v>
      </c>
      <c r="AJ133" s="456"/>
      <c r="AK133" s="456"/>
      <c r="AL133" s="456"/>
      <c r="AM133" s="472"/>
      <c r="AN133" s="128">
        <f t="shared" si="155"/>
        <v>40575</v>
      </c>
      <c r="AO133" s="43">
        <f t="shared" si="180"/>
        <v>0</v>
      </c>
      <c r="AP133" s="43">
        <f t="shared" si="180"/>
        <v>0</v>
      </c>
      <c r="AQ133" s="43">
        <f t="shared" si="180"/>
        <v>0</v>
      </c>
      <c r="AR133" s="43">
        <f t="shared" si="180"/>
        <v>0</v>
      </c>
      <c r="AS133" s="43">
        <f t="shared" si="180"/>
        <v>0</v>
      </c>
      <c r="AT133" s="43">
        <f t="shared" si="180"/>
        <v>0</v>
      </c>
      <c r="AU133" s="43">
        <f t="shared" si="180"/>
        <v>0</v>
      </c>
      <c r="AV133" s="43">
        <f t="shared" si="180"/>
        <v>0</v>
      </c>
      <c r="AW133" s="43">
        <f t="shared" si="180"/>
        <v>0</v>
      </c>
      <c r="AX133" s="43">
        <f t="shared" si="180"/>
        <v>0</v>
      </c>
      <c r="AY133" s="43">
        <f t="shared" si="180"/>
        <v>0</v>
      </c>
      <c r="AZ133" s="43">
        <f t="shared" si="180"/>
        <v>0</v>
      </c>
      <c r="BA133" s="44">
        <f t="shared" si="180"/>
        <v>0</v>
      </c>
      <c r="BB133" s="128">
        <f t="shared" si="156"/>
        <v>40575</v>
      </c>
      <c r="BC133" s="44">
        <f t="shared" si="124"/>
        <v>0</v>
      </c>
      <c r="BD133" s="51"/>
      <c r="BE133" s="128">
        <f t="shared" si="157"/>
        <v>40575</v>
      </c>
      <c r="BF133" s="43">
        <f t="shared" si="181"/>
        <v>0</v>
      </c>
      <c r="BG133" s="43">
        <f t="shared" si="181"/>
        <v>0</v>
      </c>
      <c r="BH133" s="43">
        <f t="shared" si="181"/>
        <v>0</v>
      </c>
      <c r="BI133" s="43">
        <f t="shared" si="181"/>
        <v>0</v>
      </c>
      <c r="BJ133" s="43">
        <f t="shared" si="181"/>
        <v>0</v>
      </c>
      <c r="BK133" s="43">
        <f t="shared" si="181"/>
        <v>0</v>
      </c>
      <c r="BL133" s="43">
        <f t="shared" si="181"/>
        <v>0</v>
      </c>
      <c r="BM133" s="43">
        <f t="shared" si="181"/>
        <v>0</v>
      </c>
      <c r="BN133" s="43">
        <f t="shared" si="181"/>
        <v>0</v>
      </c>
      <c r="BO133" s="43">
        <f t="shared" si="181"/>
        <v>0</v>
      </c>
      <c r="BP133" s="43">
        <f t="shared" si="181"/>
        <v>0</v>
      </c>
      <c r="BQ133" s="43">
        <f t="shared" si="181"/>
        <v>0</v>
      </c>
      <c r="BR133" s="44">
        <f t="shared" si="181"/>
        <v>0</v>
      </c>
      <c r="BS133" s="128">
        <f t="shared" si="158"/>
        <v>40575</v>
      </c>
      <c r="BT133" s="44">
        <f t="shared" si="127"/>
        <v>0</v>
      </c>
      <c r="BU133" s="51"/>
      <c r="BV133" s="51"/>
      <c r="BW133" s="51"/>
      <c r="BX133" s="51"/>
      <c r="BY133" s="51"/>
      <c r="BZ133" s="51"/>
      <c r="CA133" s="51"/>
      <c r="CB133" s="51"/>
      <c r="CC133" s="141">
        <f t="shared" si="192"/>
        <v>36861</v>
      </c>
      <c r="CD133" s="234">
        <f>_xll.xSPRDOPT((VLOOKUP(G133,NGPrices,2,FALSE)+HLOOKUP(D133,Prices,VLOOKUP(G133,move_down,2,FALSE),FALSE)),VLOOKUP(G133,NGPrices,2,FALSE),I133,VLOOKUP(G133,NGPREVPRICES,4,FALSE),HLOOKUP(D133,PREVVOLS,VLOOKUP(G133,MOVE_DOWN2,2,FALSE),FALSE),VLOOKUP(G133,NGPREVPRICES,3,FALSE),HLOOKUP(D133,Correllate,VLOOKUP(G133,CorMove,2,FALSE),FALSE),Q133-$CD$3,R133,$CD$5)*H133-CJ133</f>
        <v>0</v>
      </c>
      <c r="CE133" s="234">
        <f>_xll.xSPRDOPT((VLOOKUP(G133,NGPREVPRICES,2,FALSE)+HLOOKUP(D133,PREVCURVES,VLOOKUP(G133,MOVE_DOWN2,2,FALSE),FALSE)),VLOOKUP(G133,NGPREVPRICES,2,FALSE),CK133,VLOOKUP(G133,NGPrices,4,FALSE),HLOOKUP(D133,PREVVOLS,VLOOKUP(G133,MOVE_DOWN2,2,FALSE),FALSE),VLOOKUP(G133,NGPREVPRICES,3,FALSE),HLOOKUP(D133,Correllate,VLOOKUP(G133,CorMove,2,FALSE),FALSE),Q133-$CD$3,R133,$CJ$5)*H133-CJ133</f>
        <v>0</v>
      </c>
      <c r="CF133" s="10">
        <f t="shared" si="189"/>
        <v>7.8901290648864233</v>
      </c>
      <c r="CG133" s="234">
        <f>_xll.xSPRDOPT((VLOOKUP(G133,NGPREVPRICES,2,FALSE)+HLOOKUP(D133,PREVCURVES,VLOOKUP(G133,MOVE_DOWN2,2,FALSE),FALSE)),VLOOKUP(G133,NGPREVPRICES,2,FALSE),CK133,VLOOKUP(G133,NGPREVPRICES,4,FALSE),HLOOKUP(D133,VOLS,VLOOKUP(G133,move_down,2,FALSE),FALSE),VLOOKUP(G133,NGPrices,3,FALSE),HLOOKUP(D133,Correllate,VLOOKUP(G133,CorMove,2,FALSE),FALSE),Q133-$CD$3,R133,$CJ$5)*H133-CJ133</f>
        <v>0</v>
      </c>
      <c r="CH133" s="234">
        <f>_xll.xSPRDOPT((VLOOKUP(G133,NGPREVPRICES,2,FALSE)+HLOOKUP(D133,PREVCURVES,VLOOKUP(G133,MOVE_DOWN2,2,FALSE),FALSE)),VLOOKUP(G133,NGPREVPRICES,2,FALSE),CK133,VLOOKUP(G133,NGPREVPRICES,4,FALSE),HLOOKUP(D133,PREVVOLS,VLOOKUP(G133,MOVE_DOWN2,2,FALSE),FALSE),VLOOKUP(G133,NGPREVPRICES,3,FALSE),HLOOKUP(D133,Correllate,VLOOKUP(G133,CorMove,2,FALSE),FALSE),Q133-$C$3,R133,$CJ$5)*H133-CJ133</f>
        <v>260.51225568401424</v>
      </c>
      <c r="CI133" s="234">
        <f t="shared" si="190"/>
        <v>268.40238474890066</v>
      </c>
      <c r="CJ133" s="234">
        <f>_xll.xSPRDOPT((VLOOKUP(G133,NGPREVPRICES,2,FALSE)+HLOOKUP(D133,PREVCURVES,VLOOKUP(G133,MOVE_DOWN2,2,FALSE),FALSE)),VLOOKUP(G133,NGPREVPRICES,2,FALSE),CK133,VLOOKUP(G133,NGPREVPRICES,4,FALSE),HLOOKUP(D133,PREVVOLS,VLOOKUP(G133,MOVE_DOWN2,2,FALSE),FALSE),VLOOKUP(G133,NGPREVPRICES,3,FALSE),HLOOKUP(D133,Correllate,VLOOKUP(G133,CorMove,2,FALSE),FALSE),Q133-$CD$3,R133,$CJ$5)*H133</f>
        <v>-42117.092079180904</v>
      </c>
      <c r="CK133" s="235">
        <f t="shared" si="193"/>
        <v>0</v>
      </c>
      <c r="CL133" s="234"/>
      <c r="CM133" t="str">
        <f t="shared" si="191"/>
        <v>36861Curve Shift/Gamma</v>
      </c>
      <c r="CN133" t="str">
        <f t="shared" si="176"/>
        <v>36861Rho</v>
      </c>
      <c r="CO133" t="str">
        <f t="shared" si="177"/>
        <v>36861Drift</v>
      </c>
      <c r="CP133" t="str">
        <f t="shared" si="178"/>
        <v>36861Vega</v>
      </c>
      <c r="CQ133" t="str">
        <f t="shared" si="179"/>
        <v>36861Theta</v>
      </c>
    </row>
    <row r="134" spans="1:95" ht="12" customHeight="1" x14ac:dyDescent="0.25">
      <c r="A134" s="382" t="s">
        <v>279</v>
      </c>
      <c r="B134" t="s">
        <v>250</v>
      </c>
      <c r="C134" t="s">
        <v>327</v>
      </c>
      <c r="D134" s="4" t="s">
        <v>325</v>
      </c>
      <c r="E134" t="s">
        <v>20</v>
      </c>
      <c r="F134" t="s">
        <v>1</v>
      </c>
      <c r="G134" s="5">
        <v>36831</v>
      </c>
      <c r="H134" s="130">
        <v>-1000000</v>
      </c>
      <c r="I134">
        <v>0</v>
      </c>
      <c r="J134" s="53">
        <f t="shared" si="148"/>
        <v>4.7359999999999998</v>
      </c>
      <c r="K134" s="7">
        <f t="shared" si="149"/>
        <v>-2.5000000000000001E-3</v>
      </c>
      <c r="L134" s="53">
        <f t="shared" si="150"/>
        <v>4.7334999999999994</v>
      </c>
      <c r="M134" s="157">
        <f t="shared" si="182"/>
        <v>6.810675983792E-2</v>
      </c>
      <c r="N134" s="4">
        <f t="shared" si="183"/>
        <v>0.59499999999999997</v>
      </c>
      <c r="O134" s="4">
        <f t="shared" si="184"/>
        <v>0.625</v>
      </c>
      <c r="P134" s="9">
        <f t="shared" si="185"/>
        <v>0.99750000000000005</v>
      </c>
      <c r="Q134" s="5">
        <f t="shared" si="116"/>
        <v>36829</v>
      </c>
      <c r="R134" s="4">
        <f t="shared" si="186"/>
        <v>0</v>
      </c>
      <c r="S134" s="158">
        <f>_xll.xSPRDOPT($L134,$J134,$I134,$M134,$O134,$N134,$P134,$Q134-$C$3,$R134,0)</f>
        <v>4.1657198409338569E-2</v>
      </c>
      <c r="T134" s="159">
        <f>_xll.xSPRDOPT($L134,$J134,$I134,$M134,$O134,$N134,$P134,$Q134-$C$3,$R134,1)*H134</f>
        <v>499606.33371772192</v>
      </c>
      <c r="U134" s="160">
        <f t="shared" si="187"/>
        <v>-41657.198409338569</v>
      </c>
      <c r="V134" s="159">
        <f>_xll.xSPRDOPT($L134,$J134,$I134,$M134,$O134,$N134,$P134,$Q134-$C$3,$R134,2)*H134</f>
        <v>-508138.46030103747</v>
      </c>
      <c r="W134" s="159">
        <f t="shared" si="188"/>
        <v>-8532.1265833155485</v>
      </c>
      <c r="X134" s="51" t="str">
        <f t="shared" si="151"/>
        <v>36831IF-NNG/VENT</v>
      </c>
      <c r="Y134" s="418">
        <f t="shared" si="152"/>
        <v>-100</v>
      </c>
      <c r="Z134" s="456">
        <f t="shared" si="153"/>
        <v>-0.4996063337177219</v>
      </c>
      <c r="AA134" s="456">
        <f>_xll.xSPRDOPT($L134,$J134,$I134,$M134,$O134,$N134,$P134,$Q134-$C$3,$R134,3)</f>
        <v>3.8491142305486035</v>
      </c>
      <c r="AB134" s="456">
        <f>((_xll.xSPRDOPT($L134+AB$5,$J134,$I134,$M134,$O134,$N134,$P134,$Q134-$C$3,$R134,3)*$H134)/10000)/100</f>
        <v>-3.8491142305486035</v>
      </c>
      <c r="AC134" s="456">
        <f>((_xll.xSPRDOPT($L134+$AB$5,$J134,$I134,$M134,$O134,$N134,$P134,$Q134-$C$3,$R134,7)*$H134)/100)</f>
        <v>54440.741237630049</v>
      </c>
      <c r="AD134" s="456">
        <f>(_xll.xSPRDOPT($L134+$AB$5,$J134,$I134,$M134,$O134,$N134,$P134,$Q134-$C$3,$R134,9)/365)*$H134</f>
        <v>318.22360226978537</v>
      </c>
      <c r="AE134">
        <f t="shared" si="120"/>
        <v>0</v>
      </c>
      <c r="AF134" s="456">
        <f t="shared" si="154"/>
        <v>-678.92278694896049</v>
      </c>
      <c r="AG134" s="456">
        <f>((_xll.xSPRDOPT($L134,$J134,$I134,$M134,$O134,$N134,$P134,$Q134-$C$3,$R134,6)*$H134)/100)</f>
        <v>4163.1149497362603</v>
      </c>
      <c r="AH134" s="456">
        <f>((_xll.xSPRDOPT($L134,$J134,$I134,$M134,$O134,$N134,$P134,$Q134-$C$3,$R134,5)*$H134)/100)</f>
        <v>-4609.6199253243303</v>
      </c>
      <c r="AI134" s="456">
        <f>(((_xll.xSPRDOPT($L134,$J134,$I134,$M134,$O134,$N134,$P134,$Q134-$C$3,$R134,4)*$H134)/10000)/100)-AB134</f>
        <v>4.0624982287518208E-3</v>
      </c>
      <c r="AJ134" s="456"/>
      <c r="AK134" s="456"/>
      <c r="AL134" s="456"/>
      <c r="AM134" s="472"/>
      <c r="AN134" s="128">
        <f t="shared" si="155"/>
        <v>40603</v>
      </c>
      <c r="AO134" s="43">
        <f t="shared" si="180"/>
        <v>0</v>
      </c>
      <c r="AP134" s="43">
        <f t="shared" si="180"/>
        <v>0</v>
      </c>
      <c r="AQ134" s="43">
        <f t="shared" si="180"/>
        <v>0</v>
      </c>
      <c r="AR134" s="43">
        <f t="shared" si="180"/>
        <v>0</v>
      </c>
      <c r="AS134" s="43">
        <f t="shared" si="180"/>
        <v>0</v>
      </c>
      <c r="AT134" s="43">
        <f t="shared" si="180"/>
        <v>0</v>
      </c>
      <c r="AU134" s="43">
        <f t="shared" si="180"/>
        <v>0</v>
      </c>
      <c r="AV134" s="43">
        <f t="shared" si="180"/>
        <v>0</v>
      </c>
      <c r="AW134" s="43">
        <f t="shared" si="180"/>
        <v>0</v>
      </c>
      <c r="AX134" s="43">
        <f t="shared" si="180"/>
        <v>0</v>
      </c>
      <c r="AY134" s="43">
        <f t="shared" si="180"/>
        <v>0</v>
      </c>
      <c r="AZ134" s="43">
        <f t="shared" si="180"/>
        <v>0</v>
      </c>
      <c r="BA134" s="44">
        <f t="shared" si="180"/>
        <v>0</v>
      </c>
      <c r="BB134" s="128">
        <f t="shared" si="156"/>
        <v>40603</v>
      </c>
      <c r="BC134" s="44">
        <f t="shared" si="124"/>
        <v>0</v>
      </c>
      <c r="BD134" s="51"/>
      <c r="BE134" s="128">
        <f t="shared" si="157"/>
        <v>40603</v>
      </c>
      <c r="BF134" s="43">
        <f t="shared" si="181"/>
        <v>0</v>
      </c>
      <c r="BG134" s="43">
        <f t="shared" si="181"/>
        <v>0</v>
      </c>
      <c r="BH134" s="43">
        <f t="shared" si="181"/>
        <v>0</v>
      </c>
      <c r="BI134" s="43">
        <f t="shared" si="181"/>
        <v>0</v>
      </c>
      <c r="BJ134" s="43">
        <f t="shared" si="181"/>
        <v>0</v>
      </c>
      <c r="BK134" s="43">
        <f t="shared" si="181"/>
        <v>0</v>
      </c>
      <c r="BL134" s="43">
        <f t="shared" si="181"/>
        <v>0</v>
      </c>
      <c r="BM134" s="43">
        <f t="shared" si="181"/>
        <v>0</v>
      </c>
      <c r="BN134" s="43">
        <f t="shared" si="181"/>
        <v>0</v>
      </c>
      <c r="BO134" s="43">
        <f t="shared" si="181"/>
        <v>0</v>
      </c>
      <c r="BP134" s="43">
        <f t="shared" si="181"/>
        <v>0</v>
      </c>
      <c r="BQ134" s="43">
        <f t="shared" si="181"/>
        <v>0</v>
      </c>
      <c r="BR134" s="44">
        <f t="shared" si="181"/>
        <v>0</v>
      </c>
      <c r="BS134" s="128">
        <f t="shared" si="158"/>
        <v>40603</v>
      </c>
      <c r="BT134" s="44">
        <f t="shared" si="127"/>
        <v>0</v>
      </c>
      <c r="BU134" s="51"/>
      <c r="BV134" s="51"/>
      <c r="BW134" s="51"/>
      <c r="BX134" s="51"/>
      <c r="BY134" s="51"/>
      <c r="BZ134" s="51"/>
      <c r="CA134" s="51"/>
      <c r="CB134" s="51"/>
      <c r="CC134" s="141">
        <f t="shared" si="192"/>
        <v>36831</v>
      </c>
      <c r="CD134" s="234">
        <f>_xll.xSPRDOPT((VLOOKUP(G134,NGPrices,2,FALSE)+HLOOKUP(D134,Prices,VLOOKUP(G134,move_down,2,FALSE),FALSE)),VLOOKUP(G134,NGPrices,2,FALSE),I134,VLOOKUP(G134,NGPREVPRICES,4,FALSE),HLOOKUP(D134,PREVVOLS,VLOOKUP(G134,MOVE_DOWN2,2,FALSE),FALSE),VLOOKUP(G134,NGPREVPRICES,3,FALSE),HLOOKUP(D134,Correllate,VLOOKUP(G134,CorMove,2,FALSE),FALSE),Q134-$CD$3,R134,$CD$5)*H134-CJ134</f>
        <v>0</v>
      </c>
      <c r="CE134" s="234">
        <f>_xll.xSPRDOPT((VLOOKUP(G134,NGPREVPRICES,2,FALSE)+HLOOKUP(D134,PREVCURVES,VLOOKUP(G134,MOVE_DOWN2,2,FALSE),FALSE)),VLOOKUP(G134,NGPREVPRICES,2,FALSE),CK134,VLOOKUP(G134,NGPrices,4,FALSE),HLOOKUP(D134,PREVVOLS,VLOOKUP(G134,MOVE_DOWN2,2,FALSE),FALSE),VLOOKUP(G134,NGPREVPRICES,3,FALSE),HLOOKUP(D134,Correllate,VLOOKUP(G134,CorMove,2,FALSE),FALSE),Q134-$CD$3,R134,$CJ$5)*H134-CJ134</f>
        <v>0</v>
      </c>
      <c r="CF134" s="10">
        <f t="shared" si="189"/>
        <v>7.7949892812321195</v>
      </c>
      <c r="CG134" s="234">
        <f>_xll.xSPRDOPT((VLOOKUP(G134,NGPREVPRICES,2,FALSE)+HLOOKUP(D134,PREVCURVES,VLOOKUP(G134,MOVE_DOWN2,2,FALSE),FALSE)),VLOOKUP(G134,NGPREVPRICES,2,FALSE),CK134,VLOOKUP(G134,NGPREVPRICES,4,FALSE),HLOOKUP(D134,VOLS,VLOOKUP(G134,move_down,2,FALSE),FALSE),VLOOKUP(G134,NGPrices,3,FALSE),HLOOKUP(D134,Correllate,VLOOKUP(G134,CorMove,2,FALSE),FALSE),Q134-$CD$3,R134,$CJ$5)*H134-CJ134</f>
        <v>0</v>
      </c>
      <c r="CH134" s="234">
        <f>_xll.xSPRDOPT((VLOOKUP(G134,NGPREVPRICES,2,FALSE)+HLOOKUP(D134,PREVCURVES,VLOOKUP(G134,MOVE_DOWN2,2,FALSE),FALSE)),VLOOKUP(G134,NGPREVPRICES,2,FALSE),CK134,VLOOKUP(G134,NGPREVPRICES,4,FALSE),HLOOKUP(D134,PREVVOLS,VLOOKUP(G134,MOVE_DOWN2,2,FALSE),FALSE),VLOOKUP(G134,NGPREVPRICES,3,FALSE),HLOOKUP(D134,Correllate,VLOOKUP(G134,CorMove,2,FALSE),FALSE),Q134-$C$3,R134,$CJ$5)*H134-CJ134</f>
        <v>316.64351883087511</v>
      </c>
      <c r="CI134" s="234">
        <f t="shared" si="190"/>
        <v>324.43850811210723</v>
      </c>
      <c r="CJ134" s="234">
        <f>_xll.xSPRDOPT((VLOOKUP(G134,NGPREVPRICES,2,FALSE)+HLOOKUP(D134,PREVCURVES,VLOOKUP(G134,MOVE_DOWN2,2,FALSE),FALSE)),VLOOKUP(G134,NGPREVPRICES,2,FALSE),CK134,VLOOKUP(G134,NGPREVPRICES,4,FALSE),HLOOKUP(D134,PREVVOLS,VLOOKUP(G134,MOVE_DOWN2,2,FALSE),FALSE),VLOOKUP(G134,NGPREVPRICES,3,FALSE),HLOOKUP(D134,Correllate,VLOOKUP(G134,CorMove,2,FALSE),FALSE),Q134-$CD$3,R134,$CJ$5)*H134</f>
        <v>-41973.841928169444</v>
      </c>
      <c r="CK134" s="235">
        <f t="shared" si="193"/>
        <v>0</v>
      </c>
      <c r="CL134" s="234"/>
      <c r="CM134" t="str">
        <f t="shared" si="191"/>
        <v>36831Curve Shift/Gamma</v>
      </c>
      <c r="CN134" t="str">
        <f t="shared" si="176"/>
        <v>36831Rho</v>
      </c>
      <c r="CO134" t="str">
        <f t="shared" si="177"/>
        <v>36831Drift</v>
      </c>
      <c r="CP134" t="str">
        <f t="shared" si="178"/>
        <v>36831Vega</v>
      </c>
      <c r="CQ134" t="str">
        <f t="shared" si="179"/>
        <v>36831Theta</v>
      </c>
    </row>
    <row r="135" spans="1:95" ht="12" customHeight="1" x14ac:dyDescent="0.25">
      <c r="A135" s="382" t="s">
        <v>279</v>
      </c>
      <c r="B135" t="s">
        <v>250</v>
      </c>
      <c r="C135" t="s">
        <v>327</v>
      </c>
      <c r="D135" s="4" t="s">
        <v>325</v>
      </c>
      <c r="E135" t="s">
        <v>20</v>
      </c>
      <c r="F135" t="s">
        <v>1</v>
      </c>
      <c r="G135" s="5">
        <v>36800</v>
      </c>
      <c r="H135" s="130">
        <v>-1000000</v>
      </c>
      <c r="I135">
        <v>0</v>
      </c>
      <c r="J135" s="53">
        <f t="shared" si="148"/>
        <v>4.6920000000000002</v>
      </c>
      <c r="K135" s="7">
        <f t="shared" si="149"/>
        <v>-0.09</v>
      </c>
      <c r="L135" s="53">
        <f>K135+J135</f>
        <v>4.6020000000000003</v>
      </c>
      <c r="M135" s="157">
        <f t="shared" si="182"/>
        <v>6.8050789414654006E-2</v>
      </c>
      <c r="N135" s="4">
        <f t="shared" si="183"/>
        <v>0.57499999999999996</v>
      </c>
      <c r="O135" s="4">
        <f t="shared" si="184"/>
        <v>0.57499999999999996</v>
      </c>
      <c r="P135" s="9">
        <f t="shared" si="185"/>
        <v>0.99750000000000005</v>
      </c>
      <c r="Q135" s="5">
        <f t="shared" ref="Q135:Q198" si="194">WORKDAY(G135,-2)</f>
        <v>36797</v>
      </c>
      <c r="R135" s="4">
        <f t="shared" si="186"/>
        <v>0</v>
      </c>
      <c r="S135" s="158">
        <f>_xll.xSPRDOPT($L135,$J135,$I135,$M135,$O135,$N135,$P135,$Q135-$C$3,$R135,0)</f>
        <v>9.0577645878235025E-2</v>
      </c>
      <c r="T135" s="159">
        <f>_xll.xSPRDOPT($L135,$J135,$I135,$M135,$O135,$N135,$P135,$Q135-$C$3,$R135,1)*H135</f>
        <v>945868.25059030624</v>
      </c>
      <c r="U135" s="160">
        <f t="shared" si="187"/>
        <v>-90577.645878235024</v>
      </c>
      <c r="V135" s="159">
        <f>_xll.xSPRDOPT($L135,$J135,$I135,$M135,$O135,$N135,$P135,$Q135-$C$3,$R135,2)*H135</f>
        <v>-947029.6963352341</v>
      </c>
      <c r="W135" s="159">
        <f t="shared" si="188"/>
        <v>-1161.4457449278561</v>
      </c>
      <c r="X135" s="51" t="str">
        <f t="shared" ref="X135:X166" si="195">CONCATENATE(G135,D135)</f>
        <v>36800IF-NNG/VENT</v>
      </c>
      <c r="Y135" s="418">
        <f t="shared" ref="Y135:Y166" si="196">H135/10000</f>
        <v>-100</v>
      </c>
      <c r="Z135" s="456">
        <f t="shared" ref="Z135:Z166" si="197">T135/H135</f>
        <v>-0.94586825059030621</v>
      </c>
      <c r="AA135" s="456">
        <f>_xll.xSPRDOPT($L135,$J135,$I135,$M135,$O135,$N135,$P135,$Q135-$C$3,$R135,3)</f>
        <v>1.8767583471962377</v>
      </c>
      <c r="AB135" s="456">
        <f>((_xll.xSPRDOPT($L135+AB$5,$J135,$I135,$M135,$O135,$N135,$P135,$Q135-$C$3,$R135,3)*$H135)/10000)/100</f>
        <v>-1.8767583471962377</v>
      </c>
      <c r="AC135" s="456">
        <f>((_xll.xSPRDOPT($L135+$AB$5,$J135,$I135,$M135,$O135,$N135,$P135,$Q135-$C$3,$R135,7)*$H135)/100)</f>
        <v>10793.678040589333</v>
      </c>
      <c r="AD135" s="456">
        <f>(_xll.xSPRDOPT($L135+$AB$5,$J135,$I135,$M135,$O135,$N135,$P135,$Q135-$C$3,$R135,9)/365)*$H135</f>
        <v>73.121563321301466</v>
      </c>
      <c r="AE135">
        <f t="shared" ref="AE135:AE198" si="198">CD135</f>
        <v>0</v>
      </c>
      <c r="AF135" s="456">
        <f t="shared" ref="AF135:AF198" si="199">((O135/N135)*AH135)+AG135</f>
        <v>-93.85809944340545</v>
      </c>
      <c r="AG135" s="456">
        <f>((_xll.xSPRDOPT($L135,$J135,$I135,$M135,$O135,$N135,$P135,$Q135-$C$3,$R135,6)*$H135)/100)</f>
        <v>-46.926571140916778</v>
      </c>
      <c r="AH135" s="456">
        <f>((_xll.xSPRDOPT($L135,$J135,$I135,$M135,$O135,$N135,$P135,$Q135-$C$3,$R135,5)*$H135)/100)</f>
        <v>-46.93152830248868</v>
      </c>
      <c r="AI135" s="456">
        <f>(((_xll.xSPRDOPT($L135,$J135,$I135,$M135,$O135,$N135,$P135,$Q135-$C$3,$R135,4)*$H135)/10000)/100)-AB135</f>
        <v>7.1307853749293715E-2</v>
      </c>
      <c r="AJ135" s="456"/>
      <c r="AK135" s="456"/>
      <c r="AL135" s="456"/>
      <c r="AM135" s="472"/>
      <c r="AN135" s="128">
        <f t="shared" si="155"/>
        <v>40634</v>
      </c>
      <c r="AO135" s="43">
        <f t="shared" si="180"/>
        <v>0</v>
      </c>
      <c r="AP135" s="43">
        <f t="shared" si="180"/>
        <v>0</v>
      </c>
      <c r="AQ135" s="43">
        <f t="shared" si="180"/>
        <v>0</v>
      </c>
      <c r="AR135" s="43">
        <f t="shared" si="180"/>
        <v>0</v>
      </c>
      <c r="AS135" s="43">
        <f t="shared" si="180"/>
        <v>0</v>
      </c>
      <c r="AT135" s="43">
        <f t="shared" si="180"/>
        <v>0</v>
      </c>
      <c r="AU135" s="43">
        <f t="shared" si="180"/>
        <v>0</v>
      </c>
      <c r="AV135" s="43">
        <f t="shared" si="180"/>
        <v>0</v>
      </c>
      <c r="AW135" s="43">
        <f t="shared" si="180"/>
        <v>0</v>
      </c>
      <c r="AX135" s="43">
        <f t="shared" si="180"/>
        <v>0</v>
      </c>
      <c r="AY135" s="43">
        <f t="shared" si="180"/>
        <v>0</v>
      </c>
      <c r="AZ135" s="43">
        <f t="shared" si="180"/>
        <v>0</v>
      </c>
      <c r="BA135" s="44">
        <f t="shared" si="180"/>
        <v>0</v>
      </c>
      <c r="BB135" s="128">
        <f t="shared" si="156"/>
        <v>40634</v>
      </c>
      <c r="BC135" s="44">
        <f t="shared" si="124"/>
        <v>0</v>
      </c>
      <c r="BD135" s="51"/>
      <c r="BE135" s="128">
        <f t="shared" si="157"/>
        <v>40634</v>
      </c>
      <c r="BF135" s="43">
        <f t="shared" si="181"/>
        <v>0</v>
      </c>
      <c r="BG135" s="43">
        <f t="shared" si="181"/>
        <v>0</v>
      </c>
      <c r="BH135" s="43">
        <f t="shared" si="181"/>
        <v>0</v>
      </c>
      <c r="BI135" s="43">
        <f t="shared" si="181"/>
        <v>0</v>
      </c>
      <c r="BJ135" s="43">
        <f t="shared" si="181"/>
        <v>0</v>
      </c>
      <c r="BK135" s="43">
        <f t="shared" si="181"/>
        <v>0</v>
      </c>
      <c r="BL135" s="43">
        <f t="shared" si="181"/>
        <v>0</v>
      </c>
      <c r="BM135" s="43">
        <f t="shared" si="181"/>
        <v>0</v>
      </c>
      <c r="BN135" s="43">
        <f t="shared" si="181"/>
        <v>0</v>
      </c>
      <c r="BO135" s="43">
        <f t="shared" si="181"/>
        <v>0</v>
      </c>
      <c r="BP135" s="43">
        <f t="shared" si="181"/>
        <v>0</v>
      </c>
      <c r="BQ135" s="43">
        <f t="shared" si="181"/>
        <v>0</v>
      </c>
      <c r="BR135" s="44">
        <f t="shared" si="181"/>
        <v>0</v>
      </c>
      <c r="BS135" s="128">
        <f t="shared" si="158"/>
        <v>40634</v>
      </c>
      <c r="BT135" s="44">
        <f t="shared" si="127"/>
        <v>0</v>
      </c>
      <c r="BU135" s="51"/>
      <c r="BV135" s="51"/>
      <c r="BW135" s="51"/>
      <c r="BX135" s="51"/>
      <c r="BY135" s="51"/>
      <c r="BZ135" s="51"/>
      <c r="CA135" s="51"/>
      <c r="CB135" s="51"/>
      <c r="CC135" s="141">
        <f t="shared" si="192"/>
        <v>36800</v>
      </c>
      <c r="CD135" s="234">
        <f>_xll.xSPRDOPT((VLOOKUP(G135,NGPrices,2,FALSE)+HLOOKUP(D135,Prices,VLOOKUP(G135,move_down,2,FALSE),FALSE)),VLOOKUP(G135,NGPrices,2,FALSE),I135,VLOOKUP(G135,NGPREVPRICES,4,FALSE),HLOOKUP(D135,PREVVOLS,VLOOKUP(G135,MOVE_DOWN2,2,FALSE),FALSE),VLOOKUP(G135,NGPREVPRICES,3,FALSE),HLOOKUP(D135,Correllate,VLOOKUP(G135,CorMove,2,FALSE),FALSE),Q135-$CD$3,R135,$CD$5)*H135-CJ135</f>
        <v>0</v>
      </c>
      <c r="CE135" s="234">
        <f>_xll.xSPRDOPT((VLOOKUP(G135,NGPREVPRICES,2,FALSE)+HLOOKUP(D135,PREVCURVES,VLOOKUP(G135,MOVE_DOWN2,2,FALSE),FALSE)),VLOOKUP(G135,NGPREVPRICES,2,FALSE),CK135,VLOOKUP(G135,NGPrices,4,FALSE),HLOOKUP(D135,PREVVOLS,VLOOKUP(G135,MOVE_DOWN2,2,FALSE),FALSE),VLOOKUP(G135,NGPREVPRICES,3,FALSE),HLOOKUP(D135,Correllate,VLOOKUP(G135,CorMove,2,FALSE),FALSE),Q135-$CD$3,R135,$CJ$5)*H135-CJ135</f>
        <v>0</v>
      </c>
      <c r="CF135" s="10">
        <f t="shared" si="189"/>
        <v>16.712216182713746</v>
      </c>
      <c r="CG135" s="234">
        <f>_xll.xSPRDOPT((VLOOKUP(G135,NGPREVPRICES,2,FALSE)+HLOOKUP(D135,PREVCURVES,VLOOKUP(G135,MOVE_DOWN2,2,FALSE),FALSE)),VLOOKUP(G135,NGPREVPRICES,2,FALSE),CK135,VLOOKUP(G135,NGPREVPRICES,4,FALSE),HLOOKUP(D135,VOLS,VLOOKUP(G135,move_down,2,FALSE),FALSE),VLOOKUP(G135,NGPrices,3,FALSE),HLOOKUP(D135,Correllate,VLOOKUP(G135,CorMove,2,FALSE),FALSE),Q135-$CD$3,R135,$CJ$5)*H135-CJ135</f>
        <v>0</v>
      </c>
      <c r="CH135" s="234">
        <f>_xll.xSPRDOPT((VLOOKUP(G135,NGPREVPRICES,2,FALSE)+HLOOKUP(D135,PREVCURVES,VLOOKUP(G135,MOVE_DOWN2,2,FALSE),FALSE)),VLOOKUP(G135,NGPREVPRICES,2,FALSE),CK135,VLOOKUP(G135,NGPREVPRICES,4,FALSE),HLOOKUP(D135,PREVVOLS,VLOOKUP(G135,MOVE_DOWN2,2,FALSE),FALSE),VLOOKUP(G135,NGPREVPRICES,3,FALSE),HLOOKUP(D135,Correllate,VLOOKUP(G135,CorMove,2,FALSE),FALSE),Q135-$C$3,R135,$CJ$5)*H135-CJ135</f>
        <v>74.352716803012299</v>
      </c>
      <c r="CI135" s="234">
        <f t="shared" si="190"/>
        <v>91.064932985726045</v>
      </c>
      <c r="CJ135" s="234">
        <f>_xll.xSPRDOPT((VLOOKUP(G135,NGPREVPRICES,2,FALSE)+HLOOKUP(D135,PREVCURVES,VLOOKUP(G135,MOVE_DOWN2,2,FALSE),FALSE)),VLOOKUP(G135,NGPREVPRICES,2,FALSE),CK135,VLOOKUP(G135,NGPREVPRICES,4,FALSE),HLOOKUP(D135,PREVVOLS,VLOOKUP(G135,MOVE_DOWN2,2,FALSE),FALSE),VLOOKUP(G135,NGPREVPRICES,3,FALSE),HLOOKUP(D135,Correllate,VLOOKUP(G135,CorMove,2,FALSE),FALSE),Q135-$CD$3,R135,$CJ$5)*H135</f>
        <v>-90651.998595038036</v>
      </c>
      <c r="CK135" s="235">
        <f t="shared" si="193"/>
        <v>0</v>
      </c>
      <c r="CL135" s="234"/>
      <c r="CM135" t="str">
        <f t="shared" si="191"/>
        <v>36800Curve Shift/Gamma</v>
      </c>
      <c r="CN135" t="str">
        <f t="shared" si="176"/>
        <v>36800Rho</v>
      </c>
      <c r="CO135" t="str">
        <f t="shared" si="177"/>
        <v>36800Drift</v>
      </c>
      <c r="CP135" t="str">
        <f t="shared" si="178"/>
        <v>36800Vega</v>
      </c>
      <c r="CQ135" t="str">
        <f t="shared" si="179"/>
        <v>36800Theta</v>
      </c>
    </row>
    <row r="136" spans="1:95" ht="12" customHeight="1" x14ac:dyDescent="0.25">
      <c r="A136" s="382" t="s">
        <v>279</v>
      </c>
      <c r="B136" t="s">
        <v>250</v>
      </c>
      <c r="C136" t="s">
        <v>327</v>
      </c>
      <c r="D136" s="4" t="s">
        <v>325</v>
      </c>
      <c r="E136" t="s">
        <v>20</v>
      </c>
      <c r="F136" t="s">
        <v>1</v>
      </c>
      <c r="G136" s="5">
        <v>36770</v>
      </c>
      <c r="H136" s="130">
        <v>-1000000</v>
      </c>
      <c r="I136">
        <v>0</v>
      </c>
      <c r="J136" s="53">
        <f t="shared" ref="J136:J199" si="200">VLOOKUP(G136,NGPrices,2,FALSE)</f>
        <v>4.6849999999999996</v>
      </c>
      <c r="K136" s="7">
        <f t="shared" ref="K136:K199" si="201">HLOOKUP(D136,Prices,VLOOKUP(G136,move_down,2,FALSE),FALSE)+VLOOKUP(G136,CHANGE,HLOOKUP(D136,CHANGE,2,FALSE),FALSE)</f>
        <v>-0.11</v>
      </c>
      <c r="L136" s="53">
        <f t="shared" ref="L136:L199" si="202">K136+J136</f>
        <v>4.5749999999999993</v>
      </c>
      <c r="M136" s="157">
        <f t="shared" si="182"/>
        <v>6.7216196212184998E-2</v>
      </c>
      <c r="N136" s="4">
        <f t="shared" si="183"/>
        <v>0.4</v>
      </c>
      <c r="O136" s="4">
        <f t="shared" si="184"/>
        <v>0.4</v>
      </c>
      <c r="P136" s="9">
        <f t="shared" si="185"/>
        <v>0.99750000000000005</v>
      </c>
      <c r="Q136" s="5">
        <f t="shared" si="194"/>
        <v>36768</v>
      </c>
      <c r="R136" s="4">
        <f t="shared" si="186"/>
        <v>0</v>
      </c>
      <c r="S136" s="158">
        <f>_xll.xSPRDOPT($L136,$J136,$I136,$M136,$O136,$N136,$P136,$Q136-$C$3,$R136,0)</f>
        <v>0.10997975879180366</v>
      </c>
      <c r="T136" s="159">
        <f>_xll.xSPRDOPT($L136,$J136,$I136,$M136,$O136,$N136,$P136,$Q136-$C$3,$R136,1)*H136</f>
        <v>999815.98901639064</v>
      </c>
      <c r="U136" s="160">
        <f t="shared" si="187"/>
        <v>-109979.75879180366</v>
      </c>
      <c r="V136" s="159">
        <f>_xll.xSPRDOPT($L136,$J136,$I136,$M136,$O136,$N136,$P136,$Q136-$C$3,$R136,2)*H136</f>
        <v>-999815.98901639064</v>
      </c>
      <c r="W136" s="159">
        <f t="shared" si="188"/>
        <v>0</v>
      </c>
      <c r="X136" s="51" t="str">
        <f t="shared" si="195"/>
        <v>36770IF-NNG/VENT</v>
      </c>
      <c r="Y136" s="418">
        <f t="shared" si="196"/>
        <v>-100</v>
      </c>
      <c r="Z136" s="456">
        <f t="shared" si="197"/>
        <v>-0.99981598901639068</v>
      </c>
      <c r="AA136" s="456">
        <f>_xll.xSPRDOPT($L136,$J136,$I136,$M136,$O136,$N136,$P136,$Q136-$C$3,$R136,3)</f>
        <v>6.4573299966254778E-55</v>
      </c>
      <c r="AB136" s="456">
        <f>((_xll.xSPRDOPT($L136+AB$5,$J136,$I136,$M136,$O136,$N136,$P136,$Q136-$C$3,$R136,3)*$H136)/10000)/100</f>
        <v>-6.4573299966254778E-55</v>
      </c>
      <c r="AC136" s="456">
        <f>((_xll.xSPRDOPT($L136+$AB$5,$J136,$I136,$M136,$O136,$N136,$P136,$Q136-$C$3,$R136,7)*$H136)/100)</f>
        <v>5.6576862420124369E-53</v>
      </c>
      <c r="AD136" s="456">
        <f>(_xll.xSPRDOPT($L136+$AB$5,$J136,$I136,$M136,$O136,$N136,$P136,$Q136-$C$3,$R136,9)/365)*$H136</f>
        <v>-20.253208346078498</v>
      </c>
      <c r="AE136">
        <f t="shared" si="198"/>
        <v>0</v>
      </c>
      <c r="AF136" s="456">
        <f t="shared" si="199"/>
        <v>-7.0732556693898991E-55</v>
      </c>
      <c r="AG136" s="456">
        <f>((_xll.xSPRDOPT($L136,$J136,$I136,$M136,$O136,$N136,$P136,$Q136-$C$3,$R136,6)*$H136)/100)</f>
        <v>-3.5364896604822768E-55</v>
      </c>
      <c r="AH136" s="456">
        <f>((_xll.xSPRDOPT($L136,$J136,$I136,$M136,$O136,$N136,$P136,$Q136-$C$3,$R136,5)*$H136)/100)</f>
        <v>-3.5367660089076231E-55</v>
      </c>
      <c r="AI136" s="456">
        <f>(((_xll.xSPRDOPT($L136,$J136,$I136,$M136,$O136,$N136,$P136,$Q136-$C$3,$R136,4)*$H136)/10000)/100)-AB136</f>
        <v>2.9796445017603159E-56</v>
      </c>
      <c r="AJ136" s="456"/>
      <c r="AK136" s="456"/>
      <c r="AL136" s="456"/>
      <c r="AM136" s="472"/>
      <c r="AN136" s="128">
        <f t="shared" ref="AN136:AN167" si="203">EOMONTH(AN135,0)+1</f>
        <v>40664</v>
      </c>
      <c r="AO136" s="43">
        <f t="shared" si="180"/>
        <v>0</v>
      </c>
      <c r="AP136" s="43">
        <f t="shared" si="180"/>
        <v>0</v>
      </c>
      <c r="AQ136" s="43">
        <f t="shared" si="180"/>
        <v>0</v>
      </c>
      <c r="AR136" s="43">
        <f t="shared" si="180"/>
        <v>0</v>
      </c>
      <c r="AS136" s="43">
        <f t="shared" si="180"/>
        <v>0</v>
      </c>
      <c r="AT136" s="43">
        <f t="shared" si="180"/>
        <v>0</v>
      </c>
      <c r="AU136" s="43">
        <f t="shared" si="180"/>
        <v>0</v>
      </c>
      <c r="AV136" s="43">
        <f t="shared" si="180"/>
        <v>0</v>
      </c>
      <c r="AW136" s="43">
        <f t="shared" si="180"/>
        <v>0</v>
      </c>
      <c r="AX136" s="43">
        <f t="shared" si="180"/>
        <v>0</v>
      </c>
      <c r="AY136" s="43">
        <f t="shared" si="180"/>
        <v>0</v>
      </c>
      <c r="AZ136" s="43">
        <f t="shared" si="180"/>
        <v>0</v>
      </c>
      <c r="BA136" s="44">
        <f t="shared" si="180"/>
        <v>0</v>
      </c>
      <c r="BB136" s="128">
        <f t="shared" ref="BB136:BB167" si="204">EOMONTH(BB135,0)+1</f>
        <v>40664</v>
      </c>
      <c r="BC136" s="44">
        <f t="shared" ref="BC136:BC167" si="205">SUM(AO136:BA136)</f>
        <v>0</v>
      </c>
      <c r="BD136" s="51"/>
      <c r="BE136" s="128">
        <f t="shared" ref="BE136:BE167" si="206">EOMONTH(BE135,0)+1</f>
        <v>40664</v>
      </c>
      <c r="BF136" s="43">
        <f t="shared" si="181"/>
        <v>0</v>
      </c>
      <c r="BG136" s="43">
        <f t="shared" si="181"/>
        <v>0</v>
      </c>
      <c r="BH136" s="43">
        <f t="shared" si="181"/>
        <v>0</v>
      </c>
      <c r="BI136" s="43">
        <f t="shared" si="181"/>
        <v>0</v>
      </c>
      <c r="BJ136" s="43">
        <f t="shared" si="181"/>
        <v>0</v>
      </c>
      <c r="BK136" s="43">
        <f t="shared" si="181"/>
        <v>0</v>
      </c>
      <c r="BL136" s="43">
        <f t="shared" si="181"/>
        <v>0</v>
      </c>
      <c r="BM136" s="43">
        <f t="shared" si="181"/>
        <v>0</v>
      </c>
      <c r="BN136" s="43">
        <f t="shared" si="181"/>
        <v>0</v>
      </c>
      <c r="BO136" s="43">
        <f t="shared" si="181"/>
        <v>0</v>
      </c>
      <c r="BP136" s="43">
        <f t="shared" si="181"/>
        <v>0</v>
      </c>
      <c r="BQ136" s="43">
        <f t="shared" si="181"/>
        <v>0</v>
      </c>
      <c r="BR136" s="44">
        <f t="shared" si="181"/>
        <v>0</v>
      </c>
      <c r="BS136" s="128">
        <f t="shared" ref="BS136:BS167" si="207">EOMONTH(BS135,0)+1</f>
        <v>40664</v>
      </c>
      <c r="BT136" s="44">
        <f t="shared" ref="BT136:BT167" si="208">SUM(BF136:BR136)</f>
        <v>0</v>
      </c>
      <c r="BU136" s="51"/>
      <c r="BV136" s="51"/>
      <c r="BW136" s="51"/>
      <c r="BX136" s="51"/>
      <c r="BY136" s="51"/>
      <c r="BZ136" s="51"/>
      <c r="CA136" s="51"/>
      <c r="CB136" s="51"/>
      <c r="CC136" s="141">
        <f t="shared" si="192"/>
        <v>36770</v>
      </c>
      <c r="CD136" s="234">
        <f>_xll.xSPRDOPT((VLOOKUP(G136,NGPrices,2,FALSE)+HLOOKUP(D136,Prices,VLOOKUP(G136,move_down,2,FALSE),FALSE)),VLOOKUP(G136,NGPrices,2,FALSE),I136,VLOOKUP(G136,NGPREVPRICES,4,FALSE),HLOOKUP(D136,PREVVOLS,VLOOKUP(G136,MOVE_DOWN2,2,FALSE),FALSE),VLOOKUP(G136,NGPREVPRICES,3,FALSE),HLOOKUP(D136,Correllate,VLOOKUP(G136,CorMove,2,FALSE),FALSE),Q136-$CD$3,R136,$CD$5)*H136-CJ136</f>
        <v>0</v>
      </c>
      <c r="CE136" s="234">
        <f>_xll.xSPRDOPT((VLOOKUP(G136,NGPREVPRICES,2,FALSE)+HLOOKUP(D136,PREVCURVES,VLOOKUP(G136,MOVE_DOWN2,2,FALSE),FALSE)),VLOOKUP(G136,NGPREVPRICES,2,FALSE),CK136,VLOOKUP(G136,NGPrices,4,FALSE),HLOOKUP(D136,PREVVOLS,VLOOKUP(G136,MOVE_DOWN2,2,FALSE),FALSE),VLOOKUP(G136,NGPREVPRICES,3,FALSE),HLOOKUP(D136,Correllate,VLOOKUP(G136,CorMove,2,FALSE),FALSE),Q136-$CD$3,R136,$CJ$5)*H136-CJ136</f>
        <v>0</v>
      </c>
      <c r="CF136" s="10">
        <f t="shared" si="189"/>
        <v>20.037454906254425</v>
      </c>
      <c r="CG136" s="234">
        <f>_xll.xSPRDOPT((VLOOKUP(G136,NGPREVPRICES,2,FALSE)+HLOOKUP(D136,PREVCURVES,VLOOKUP(G136,MOVE_DOWN2,2,FALSE),FALSE)),VLOOKUP(G136,NGPREVPRICES,2,FALSE),CK136,VLOOKUP(G136,NGPREVPRICES,4,FALSE),HLOOKUP(D136,VOLS,VLOOKUP(G136,move_down,2,FALSE),FALSE),VLOOKUP(G136,NGPrices,3,FALSE),HLOOKUP(D136,Correllate,VLOOKUP(G136,CorMove,2,FALSE),FALSE),Q136-$CD$3,R136,$CJ$5)*H136-CJ136</f>
        <v>0</v>
      </c>
      <c r="CH136" s="234">
        <f>_xll.xSPRDOPT((VLOOKUP(G136,NGPREVPRICES,2,FALSE)+HLOOKUP(D136,PREVCURVES,VLOOKUP(G136,MOVE_DOWN2,2,FALSE),FALSE)),VLOOKUP(G136,NGPREVPRICES,2,FALSE),CK136,VLOOKUP(G136,NGPREVPRICES,4,FALSE),HLOOKUP(D136,PREVVOLS,VLOOKUP(G136,MOVE_DOWN2,2,FALSE),FALSE),VLOOKUP(G136,NGPREVPRICES,3,FALSE),HLOOKUP(D136,Correllate,VLOOKUP(G136,CorMove,2,FALSE),FALSE),Q136-$C$3,R136,$CJ$5)*H136-CJ136</f>
        <v>-20.237483592922217</v>
      </c>
      <c r="CI136" s="234">
        <f t="shared" si="190"/>
        <v>-0.2000286866677925</v>
      </c>
      <c r="CJ136" s="234">
        <f>_xll.xSPRDOPT((VLOOKUP(G136,NGPREVPRICES,2,FALSE)+HLOOKUP(D136,PREVCURVES,VLOOKUP(G136,MOVE_DOWN2,2,FALSE),FALSE)),VLOOKUP(G136,NGPREVPRICES,2,FALSE),CK136,VLOOKUP(G136,NGPREVPRICES,4,FALSE),HLOOKUP(D136,PREVVOLS,VLOOKUP(G136,MOVE_DOWN2,2,FALSE),FALSE),VLOOKUP(G136,NGPREVPRICES,3,FALSE),HLOOKUP(D136,Correllate,VLOOKUP(G136,CorMove,2,FALSE),FALSE),Q136-$CD$3,R136,$CJ$5)*H136</f>
        <v>-109959.52130821074</v>
      </c>
      <c r="CK136" s="235">
        <f t="shared" si="193"/>
        <v>0</v>
      </c>
      <c r="CL136" s="234"/>
      <c r="CM136" t="str">
        <f t="shared" si="191"/>
        <v>36770Curve Shift/Gamma</v>
      </c>
      <c r="CN136" t="str">
        <f t="shared" si="176"/>
        <v>36770Rho</v>
      </c>
      <c r="CO136" t="str">
        <f t="shared" si="177"/>
        <v>36770Drift</v>
      </c>
      <c r="CP136" t="str">
        <f t="shared" si="178"/>
        <v>36770Vega</v>
      </c>
      <c r="CQ136" t="str">
        <f t="shared" si="179"/>
        <v>36770Theta</v>
      </c>
    </row>
    <row r="137" spans="1:95" ht="12" customHeight="1" x14ac:dyDescent="0.25">
      <c r="A137" s="140" t="s">
        <v>284</v>
      </c>
      <c r="B137" t="s">
        <v>250</v>
      </c>
      <c r="C137" t="s">
        <v>328</v>
      </c>
      <c r="D137" s="4" t="s">
        <v>7</v>
      </c>
      <c r="E137" t="s">
        <v>20</v>
      </c>
      <c r="F137" t="s">
        <v>21</v>
      </c>
      <c r="G137" s="5">
        <v>36951</v>
      </c>
      <c r="H137" s="130">
        <v>310000</v>
      </c>
      <c r="I137">
        <v>2.2000000000000002</v>
      </c>
      <c r="J137" s="53">
        <f t="shared" si="200"/>
        <v>4.2130000000000001</v>
      </c>
      <c r="K137" s="7">
        <f t="shared" si="201"/>
        <v>1.075</v>
      </c>
      <c r="L137" s="53">
        <f t="shared" si="202"/>
        <v>5.2880000000000003</v>
      </c>
      <c r="M137" s="157">
        <f t="shared" si="182"/>
        <v>6.8879814952706994E-2</v>
      </c>
      <c r="N137" s="4">
        <f t="shared" si="183"/>
        <v>0.53249999999999997</v>
      </c>
      <c r="O137" s="4">
        <f t="shared" si="184"/>
        <v>0.61199999999999999</v>
      </c>
      <c r="P137" s="9">
        <f t="shared" si="185"/>
        <v>0.83</v>
      </c>
      <c r="Q137" s="5">
        <f t="shared" si="194"/>
        <v>36949</v>
      </c>
      <c r="R137" s="4">
        <f t="shared" si="186"/>
        <v>1</v>
      </c>
      <c r="S137" s="158">
        <f>_xll.xSPRDOPT($L137,$J137,$I137,$M137,$O137,$N137,$P137,$Q137-$C$3,$R137,0)</f>
        <v>0.2003143234200282</v>
      </c>
      <c r="T137" s="159">
        <f>_xll.xSPRDOPT($L137,$J137,$I137,$M137,$O137,$N137,$P137,$Q137-$C$3,$R137,1)*H137</f>
        <v>83159.492054908929</v>
      </c>
      <c r="U137" s="160">
        <f t="shared" si="187"/>
        <v>62097.440260208743</v>
      </c>
      <c r="V137" s="159">
        <f>_xll.xSPRDOPT($L137,$J137,$I137,$M137,$O137,$N137,$P137,$Q137-$C$3,$R137,2)*H137</f>
        <v>-62947.674997547132</v>
      </c>
      <c r="W137" s="159">
        <f t="shared" si="188"/>
        <v>20211.817057361797</v>
      </c>
      <c r="X137" s="51" t="str">
        <f t="shared" si="195"/>
        <v>36951IF-TRANSCO/Z6</v>
      </c>
      <c r="Y137" s="418">
        <f t="shared" si="196"/>
        <v>31</v>
      </c>
      <c r="Z137" s="456">
        <f t="shared" si="197"/>
        <v>0.26825642598357718</v>
      </c>
      <c r="AA137" s="456">
        <f>_xll.xSPRDOPT($L137,$J137,$I137,$M137,$O137,$N137,$P137,$Q137-$C$3,$R137,3)</f>
        <v>0.23431084970764515</v>
      </c>
      <c r="AB137" s="456">
        <f>((_xll.xSPRDOPT($L137+AB$5,$J137,$I137,$M137,$O137,$N137,$P137,$Q137-$C$3,$R137,3)*$H137)/10000)/100</f>
        <v>7.2636363409369992E-2</v>
      </c>
      <c r="AC137" s="456">
        <f>((_xll.xSPRDOPT($L137+$AB$5,$J137,$I137,$M137,$O137,$N137,$P137,$Q137-$C$3,$R137,7)*$H137)/100)</f>
        <v>-2269.122539323334</v>
      </c>
      <c r="AD137" s="456">
        <f>(_xll.xSPRDOPT($L137+$AB$5,$J137,$I137,$M137,$O137,$N137,$P137,$Q137-$C$3,$R137,9)/365)*$H137</f>
        <v>-372.19697997495166</v>
      </c>
      <c r="AE137">
        <f t="shared" si="198"/>
        <v>0</v>
      </c>
      <c r="AF137" s="456">
        <f t="shared" si="199"/>
        <v>2622.5275441136037</v>
      </c>
      <c r="AG137" s="456">
        <f>((_xll.xSPRDOPT($L137,$J137,$I137,$M137,$O137,$N137,$P137,$Q137-$C$3,$R137,6)*$H137)/100)</f>
        <v>-959.337230696093</v>
      </c>
      <c r="AH137" s="456">
        <f>((_xll.xSPRDOPT($L137,$J137,$I137,$M137,$O137,$N137,$P137,$Q137-$C$3,$R137,5)*$H137)/100)</f>
        <v>3116.5735172976524</v>
      </c>
      <c r="AI137" s="456">
        <f>(((_xll.xSPRDOPT($L137,$J137,$I137,$M137,$O137,$N137,$P137,$Q137-$C$3,$R137,4)*$H137)/10000)/100)-AB137</f>
        <v>-1.7907518364919654E-2</v>
      </c>
      <c r="AJ137" s="456"/>
      <c r="AK137" s="456"/>
      <c r="AL137" s="456"/>
      <c r="AM137" s="472"/>
      <c r="AN137" s="128">
        <f t="shared" si="203"/>
        <v>40695</v>
      </c>
      <c r="AO137" s="43">
        <f t="shared" ref="AO137:BA146" si="209">SUMIF($X:$X,CONCATENATE($AN137,AO$6),$T:$T)/10000</f>
        <v>0</v>
      </c>
      <c r="AP137" s="43">
        <f t="shared" si="209"/>
        <v>0</v>
      </c>
      <c r="AQ137" s="43">
        <f t="shared" si="209"/>
        <v>0</v>
      </c>
      <c r="AR137" s="43">
        <f t="shared" si="209"/>
        <v>0</v>
      </c>
      <c r="AS137" s="43">
        <f t="shared" si="209"/>
        <v>0</v>
      </c>
      <c r="AT137" s="43">
        <f t="shared" si="209"/>
        <v>0</v>
      </c>
      <c r="AU137" s="43">
        <f t="shared" si="209"/>
        <v>0</v>
      </c>
      <c r="AV137" s="43">
        <f t="shared" si="209"/>
        <v>0</v>
      </c>
      <c r="AW137" s="43">
        <f t="shared" si="209"/>
        <v>0</v>
      </c>
      <c r="AX137" s="43">
        <f t="shared" si="209"/>
        <v>0</v>
      </c>
      <c r="AY137" s="43">
        <f t="shared" si="209"/>
        <v>0</v>
      </c>
      <c r="AZ137" s="43">
        <f t="shared" si="209"/>
        <v>0</v>
      </c>
      <c r="BA137" s="44">
        <f t="shared" si="209"/>
        <v>0</v>
      </c>
      <c r="BB137" s="128">
        <f t="shared" si="204"/>
        <v>40695</v>
      </c>
      <c r="BC137" s="44">
        <f t="shared" si="205"/>
        <v>0</v>
      </c>
      <c r="BD137" s="51"/>
      <c r="BE137" s="128">
        <f t="shared" si="206"/>
        <v>40695</v>
      </c>
      <c r="BF137" s="43">
        <f t="shared" ref="BF137:BR146" si="210">SUMIF($X:$X,CONCATENATE($AN137,BF$6),$W:$W)</f>
        <v>0</v>
      </c>
      <c r="BG137" s="43">
        <f t="shared" si="210"/>
        <v>0</v>
      </c>
      <c r="BH137" s="43">
        <f t="shared" si="210"/>
        <v>0</v>
      </c>
      <c r="BI137" s="43">
        <f t="shared" si="210"/>
        <v>0</v>
      </c>
      <c r="BJ137" s="43">
        <f t="shared" si="210"/>
        <v>0</v>
      </c>
      <c r="BK137" s="43">
        <f t="shared" si="210"/>
        <v>0</v>
      </c>
      <c r="BL137" s="43">
        <f t="shared" si="210"/>
        <v>0</v>
      </c>
      <c r="BM137" s="43">
        <f t="shared" si="210"/>
        <v>0</v>
      </c>
      <c r="BN137" s="43">
        <f t="shared" si="210"/>
        <v>0</v>
      </c>
      <c r="BO137" s="43">
        <f t="shared" si="210"/>
        <v>0</v>
      </c>
      <c r="BP137" s="43">
        <f t="shared" si="210"/>
        <v>0</v>
      </c>
      <c r="BQ137" s="43">
        <f t="shared" si="210"/>
        <v>0</v>
      </c>
      <c r="BR137" s="44">
        <f t="shared" si="210"/>
        <v>0</v>
      </c>
      <c r="BS137" s="128">
        <f t="shared" si="207"/>
        <v>40695</v>
      </c>
      <c r="BT137" s="44">
        <f t="shared" si="208"/>
        <v>0</v>
      </c>
      <c r="BU137" s="51"/>
      <c r="BV137" s="51"/>
      <c r="BW137" s="51"/>
      <c r="BX137" s="51"/>
      <c r="BY137" s="51"/>
      <c r="BZ137" s="51"/>
      <c r="CA137" s="51"/>
      <c r="CB137" s="51"/>
      <c r="CC137" s="141">
        <f t="shared" si="192"/>
        <v>36951</v>
      </c>
      <c r="CD137" s="234">
        <f>_xll.xSPRDOPT((VLOOKUP(G137,NGPrices,2,FALSE)+HLOOKUP(D137,Prices,VLOOKUP(G137,move_down,2,FALSE),FALSE)),VLOOKUP(G137,NGPrices,2,FALSE),I137,VLOOKUP(G137,NGPREVPRICES,4,FALSE),HLOOKUP(D137,PREVVOLS,VLOOKUP(G137,MOVE_DOWN2,2,FALSE),FALSE),VLOOKUP(G137,NGPREVPRICES,3,FALSE),HLOOKUP(D137,Correllate,VLOOKUP(G137,CorMove,2,FALSE),FALSE),Q137-$CD$3,R137,$CD$5)*H137-CJ137</f>
        <v>0</v>
      </c>
      <c r="CE137" s="234">
        <f>_xll.xSPRDOPT((VLOOKUP(G137,NGPREVPRICES,2,FALSE)+HLOOKUP(D137,PREVCURVES,VLOOKUP(G137,MOVE_DOWN2,2,FALSE),FALSE)),VLOOKUP(G137,NGPREVPRICES,2,FALSE),CK137,VLOOKUP(G137,NGPrices,4,FALSE),HLOOKUP(D137,PREVVOLS,VLOOKUP(G137,MOVE_DOWN2,2,FALSE),FALSE),VLOOKUP(G137,NGPREVPRICES,3,FALSE),HLOOKUP(D137,Correllate,VLOOKUP(G137,CorMove,2,FALSE),FALSE),Q137-$CD$3,R137,$CJ$5)*H137-CJ137</f>
        <v>0</v>
      </c>
      <c r="CF137" s="10">
        <f t="shared" si="189"/>
        <v>-11.980632126273122</v>
      </c>
      <c r="CG137" s="234">
        <f>_xll.xSPRDOPT((VLOOKUP(G137,NGPREVPRICES,2,FALSE)+HLOOKUP(D137,PREVCURVES,VLOOKUP(G137,MOVE_DOWN2,2,FALSE),FALSE)),VLOOKUP(G137,NGPREVPRICES,2,FALSE),CK137,VLOOKUP(G137,NGPREVPRICES,4,FALSE),HLOOKUP(D137,VOLS,VLOOKUP(G137,move_down,2,FALSE),FALSE),VLOOKUP(G137,NGPrices,3,FALSE),HLOOKUP(D137,Correllate,VLOOKUP(G137,CorMove,2,FALSE),FALSE),Q137-$CD$3,R137,$CJ$5)*H137-CJ137</f>
        <v>0</v>
      </c>
      <c r="CH137" s="234">
        <f>_xll.xSPRDOPT((VLOOKUP(G137,NGPREVPRICES,2,FALSE)+HLOOKUP(D137,PREVCURVES,VLOOKUP(G137,MOVE_DOWN2,2,FALSE),FALSE)),VLOOKUP(G137,NGPREVPRICES,2,FALSE),CK137,VLOOKUP(G137,NGPREVPRICES,4,FALSE),HLOOKUP(D137,PREVVOLS,VLOOKUP(G137,MOVE_DOWN2,2,FALSE),FALSE),VLOOKUP(G137,NGPREVPRICES,3,FALSE),HLOOKUP(D137,Correllate,VLOOKUP(G137,CorMove,2,FALSE),FALSE),Q137-$C$3,R137,$CJ$5)*H137-CJ137</f>
        <v>-371.61955370970099</v>
      </c>
      <c r="CI137" s="234">
        <f t="shared" si="190"/>
        <v>-383.60018583597412</v>
      </c>
      <c r="CJ137" s="234">
        <f>_xll.xSPRDOPT((VLOOKUP(G137,NGPREVPRICES,2,FALSE)+HLOOKUP(D137,PREVCURVES,VLOOKUP(G137,MOVE_DOWN2,2,FALSE),FALSE)),VLOOKUP(G137,NGPREVPRICES,2,FALSE),CK137,VLOOKUP(G137,NGPREVPRICES,4,FALSE),HLOOKUP(D137,PREVVOLS,VLOOKUP(G137,MOVE_DOWN2,2,FALSE),FALSE),VLOOKUP(G137,NGPREVPRICES,3,FALSE),HLOOKUP(D137,Correllate,VLOOKUP(G137,CorMove,2,FALSE),FALSE),Q137-$CD$3,R137,$CJ$5)*H137</f>
        <v>62469.059813918444</v>
      </c>
      <c r="CK137" s="235">
        <f t="shared" si="193"/>
        <v>2.2000000000000002</v>
      </c>
      <c r="CL137" s="234"/>
      <c r="CM137" t="str">
        <f t="shared" si="191"/>
        <v>36951Curve Shift/Gamma</v>
      </c>
      <c r="CN137" t="str">
        <f t="shared" si="176"/>
        <v>36951Rho</v>
      </c>
      <c r="CO137" t="str">
        <f t="shared" si="177"/>
        <v>36951Drift</v>
      </c>
      <c r="CP137" t="str">
        <f t="shared" si="178"/>
        <v>36951Vega</v>
      </c>
      <c r="CQ137" t="str">
        <f t="shared" si="179"/>
        <v>36951Theta</v>
      </c>
    </row>
    <row r="138" spans="1:95" ht="12" customHeight="1" x14ac:dyDescent="0.25">
      <c r="A138" s="140" t="s">
        <v>284</v>
      </c>
      <c r="B138" t="s">
        <v>250</v>
      </c>
      <c r="C138" t="s">
        <v>328</v>
      </c>
      <c r="D138" s="4" t="s">
        <v>7</v>
      </c>
      <c r="E138" t="s">
        <v>20</v>
      </c>
      <c r="F138" t="s">
        <v>21</v>
      </c>
      <c r="G138" s="5">
        <v>36923</v>
      </c>
      <c r="H138" s="130">
        <v>280000</v>
      </c>
      <c r="I138">
        <v>2.2000000000000002</v>
      </c>
      <c r="J138" s="53">
        <f t="shared" si="200"/>
        <v>4.4800000000000004</v>
      </c>
      <c r="K138" s="7">
        <f t="shared" si="201"/>
        <v>2.09</v>
      </c>
      <c r="L138" s="53">
        <f t="shared" si="202"/>
        <v>6.57</v>
      </c>
      <c r="M138" s="157">
        <f t="shared" ref="M138:M147" si="211">VLOOKUP(G138,NGPrices,4,FALSE)</f>
        <v>6.8640161611372E-2</v>
      </c>
      <c r="N138" s="4">
        <f t="shared" ref="N138:N147" si="212">VLOOKUP(G138,NGPrices,3,FALSE)</f>
        <v>0.59250000000000003</v>
      </c>
      <c r="O138" s="4">
        <f t="shared" ref="O138:O147" si="213">HLOOKUP(D138,VOLS,VLOOKUP(G138,move_down,2,FALSE),FALSE)</f>
        <v>0.68100000000000005</v>
      </c>
      <c r="P138" s="9">
        <f t="shared" ref="P138:P147" si="214">HLOOKUP(D138,Correllate,VLOOKUP(G138,CorMove,2,FALSE),FALSE)</f>
        <v>0.83</v>
      </c>
      <c r="Q138" s="5">
        <f t="shared" si="194"/>
        <v>36921</v>
      </c>
      <c r="R138" s="4">
        <f t="shared" si="186"/>
        <v>1</v>
      </c>
      <c r="S138" s="158">
        <f>_xll.xSPRDOPT($L138,$J138,$I138,$M138,$O138,$N138,$P138,$Q138-$C$3,$R138,0)</f>
        <v>0.63843612413412965</v>
      </c>
      <c r="T138" s="159">
        <f>_xll.xSPRDOPT($L138,$J138,$I138,$M138,$O138,$N138,$P138,$Q138-$C$3,$R138,1)*H138</f>
        <v>144997.90667427494</v>
      </c>
      <c r="U138" s="160">
        <f t="shared" si="187"/>
        <v>178762.11475755629</v>
      </c>
      <c r="V138" s="159">
        <f>_xll.xSPRDOPT($L138,$J138,$I138,$M138,$O138,$N138,$P138,$Q138-$C$3,$R138,2)*H138</f>
        <v>-121172.86831221035</v>
      </c>
      <c r="W138" s="159">
        <f t="shared" si="188"/>
        <v>23825.038362064588</v>
      </c>
      <c r="X138" s="51" t="str">
        <f t="shared" si="195"/>
        <v>36923IF-TRANSCO/Z6</v>
      </c>
      <c r="Y138" s="418">
        <f t="shared" si="196"/>
        <v>28</v>
      </c>
      <c r="Z138" s="456">
        <f t="shared" si="197"/>
        <v>0.51784966669383903</v>
      </c>
      <c r="AA138" s="456">
        <f>_xll.xSPRDOPT($L138,$J138,$I138,$M138,$O138,$N138,$P138,$Q138-$C$3,$R138,3)</f>
        <v>0.21876872127234742</v>
      </c>
      <c r="AB138" s="456">
        <f>((_xll.xSPRDOPT($L138+AB$5,$J138,$I138,$M138,$O138,$N138,$P138,$Q138-$C$3,$R138,3)*$H138)/10000)/100</f>
        <v>6.1255241956257277E-2</v>
      </c>
      <c r="AC138" s="456">
        <f>((_xll.xSPRDOPT($L138+$AB$5,$J138,$I138,$M138,$O138,$N138,$P138,$Q138-$C$3,$R138,7)*$H138)/100)</f>
        <v>-3063.1925399141196</v>
      </c>
      <c r="AD138" s="456">
        <f>(_xll.xSPRDOPT($L138+$AB$5,$J138,$I138,$M138,$O138,$N138,$P138,$Q138-$C$3,$R138,9)/365)*$H138</f>
        <v>-590.81626934172539</v>
      </c>
      <c r="AE138">
        <f t="shared" si="198"/>
        <v>0</v>
      </c>
      <c r="AF138" s="456">
        <f t="shared" si="199"/>
        <v>3243.778124387155</v>
      </c>
      <c r="AG138" s="456">
        <f>((_xll.xSPRDOPT($L138,$J138,$I138,$M138,$O138,$N138,$P138,$Q138-$C$3,$R138,6)*$H138)/100)</f>
        <v>-1191.0677028400742</v>
      </c>
      <c r="AH138" s="456">
        <f>((_xll.xSPRDOPT($L138,$J138,$I138,$M138,$O138,$N138,$P138,$Q138-$C$3,$R138,5)*$H138)/100)</f>
        <v>3858.5112373452762</v>
      </c>
      <c r="AI138" s="456">
        <f>(((_xll.xSPRDOPT($L138,$J138,$I138,$M138,$O138,$N138,$P138,$Q138-$C$3,$R138,4)*$H138)/10000)/100)-AB138</f>
        <v>5.7285185506099345E-4</v>
      </c>
      <c r="AJ138" s="456"/>
      <c r="AK138" s="456"/>
      <c r="AL138" s="456"/>
      <c r="AM138" s="472"/>
      <c r="AN138" s="128">
        <f t="shared" si="203"/>
        <v>40725</v>
      </c>
      <c r="AO138" s="43">
        <f t="shared" si="209"/>
        <v>0</v>
      </c>
      <c r="AP138" s="43">
        <f t="shared" si="209"/>
        <v>0</v>
      </c>
      <c r="AQ138" s="43">
        <f t="shared" si="209"/>
        <v>0</v>
      </c>
      <c r="AR138" s="43">
        <f t="shared" si="209"/>
        <v>0</v>
      </c>
      <c r="AS138" s="43">
        <f t="shared" si="209"/>
        <v>0</v>
      </c>
      <c r="AT138" s="43">
        <f t="shared" si="209"/>
        <v>0</v>
      </c>
      <c r="AU138" s="43">
        <f t="shared" si="209"/>
        <v>0</v>
      </c>
      <c r="AV138" s="43">
        <f t="shared" si="209"/>
        <v>0</v>
      </c>
      <c r="AW138" s="43">
        <f t="shared" si="209"/>
        <v>0</v>
      </c>
      <c r="AX138" s="43">
        <f t="shared" si="209"/>
        <v>0</v>
      </c>
      <c r="AY138" s="43">
        <f t="shared" si="209"/>
        <v>0</v>
      </c>
      <c r="AZ138" s="43">
        <f t="shared" si="209"/>
        <v>0</v>
      </c>
      <c r="BA138" s="44">
        <f t="shared" si="209"/>
        <v>0</v>
      </c>
      <c r="BB138" s="128">
        <f t="shared" si="204"/>
        <v>40725</v>
      </c>
      <c r="BC138" s="44">
        <f t="shared" si="205"/>
        <v>0</v>
      </c>
      <c r="BD138" s="51"/>
      <c r="BE138" s="128">
        <f t="shared" si="206"/>
        <v>40725</v>
      </c>
      <c r="BF138" s="43">
        <f t="shared" si="210"/>
        <v>0</v>
      </c>
      <c r="BG138" s="43">
        <f t="shared" si="210"/>
        <v>0</v>
      </c>
      <c r="BH138" s="43">
        <f t="shared" si="210"/>
        <v>0</v>
      </c>
      <c r="BI138" s="43">
        <f t="shared" si="210"/>
        <v>0</v>
      </c>
      <c r="BJ138" s="43">
        <f t="shared" si="210"/>
        <v>0</v>
      </c>
      <c r="BK138" s="43">
        <f t="shared" si="210"/>
        <v>0</v>
      </c>
      <c r="BL138" s="43">
        <f t="shared" si="210"/>
        <v>0</v>
      </c>
      <c r="BM138" s="43">
        <f t="shared" si="210"/>
        <v>0</v>
      </c>
      <c r="BN138" s="43">
        <f t="shared" si="210"/>
        <v>0</v>
      </c>
      <c r="BO138" s="43">
        <f t="shared" si="210"/>
        <v>0</v>
      </c>
      <c r="BP138" s="43">
        <f t="shared" si="210"/>
        <v>0</v>
      </c>
      <c r="BQ138" s="43">
        <f t="shared" si="210"/>
        <v>0</v>
      </c>
      <c r="BR138" s="44">
        <f t="shared" si="210"/>
        <v>0</v>
      </c>
      <c r="BS138" s="128">
        <f t="shared" si="207"/>
        <v>40725</v>
      </c>
      <c r="BT138" s="44">
        <f t="shared" si="208"/>
        <v>0</v>
      </c>
      <c r="BU138" s="51"/>
      <c r="BV138" s="51"/>
      <c r="BW138" s="51"/>
      <c r="BX138" s="51"/>
      <c r="BY138" s="51"/>
      <c r="BZ138" s="51"/>
      <c r="CA138" s="51"/>
      <c r="CB138" s="51"/>
      <c r="CC138" s="141">
        <f t="shared" si="192"/>
        <v>36923</v>
      </c>
      <c r="CD138" s="234">
        <f>_xll.xSPRDOPT((VLOOKUP(G138,NGPrices,2,FALSE)+HLOOKUP(D138,Prices,VLOOKUP(G138,move_down,2,FALSE),FALSE)),VLOOKUP(G138,NGPrices,2,FALSE),I138,VLOOKUP(G138,NGPREVPRICES,4,FALSE),HLOOKUP(D138,PREVVOLS,VLOOKUP(G138,MOVE_DOWN2,2,FALSE),FALSE),VLOOKUP(G138,NGPREVPRICES,3,FALSE),HLOOKUP(D138,Correllate,VLOOKUP(G138,CorMove,2,FALSE),FALSE),Q138-$CD$3,R138,$CD$5)*H138-CJ138</f>
        <v>0</v>
      </c>
      <c r="CE138" s="234">
        <f>_xll.xSPRDOPT((VLOOKUP(G138,NGPREVPRICES,2,FALSE)+HLOOKUP(D138,PREVCURVES,VLOOKUP(G138,MOVE_DOWN2,2,FALSE),FALSE)),VLOOKUP(G138,NGPREVPRICES,2,FALSE),CK138,VLOOKUP(G138,NGPrices,4,FALSE),HLOOKUP(D138,PREVVOLS,VLOOKUP(G138,MOVE_DOWN2,2,FALSE),FALSE),VLOOKUP(G138,NGPREVPRICES,3,FALSE),HLOOKUP(D138,Correllate,VLOOKUP(G138,CorMove,2,FALSE),FALSE),Q138-$CD$3,R138,$CJ$5)*H138-CJ138</f>
        <v>0</v>
      </c>
      <c r="CF138" s="10">
        <f t="shared" si="189"/>
        <v>-34.110566448041936</v>
      </c>
      <c r="CG138" s="234">
        <f>_xll.xSPRDOPT((VLOOKUP(G138,NGPREVPRICES,2,FALSE)+HLOOKUP(D138,PREVCURVES,VLOOKUP(G138,MOVE_DOWN2,2,FALSE),FALSE)),VLOOKUP(G138,NGPREVPRICES,2,FALSE),CK138,VLOOKUP(G138,NGPREVPRICES,4,FALSE),HLOOKUP(D138,VOLS,VLOOKUP(G138,move_down,2,FALSE),FALSE),VLOOKUP(G138,NGPrices,3,FALSE),HLOOKUP(D138,Correllate,VLOOKUP(G138,CorMove,2,FALSE),FALSE),Q138-$CD$3,R138,$CJ$5)*H138-CJ138</f>
        <v>0</v>
      </c>
      <c r="CH138" s="234">
        <f>_xll.xSPRDOPT((VLOOKUP(G138,NGPREVPRICES,2,FALSE)+HLOOKUP(D138,PREVCURVES,VLOOKUP(G138,MOVE_DOWN2,2,FALSE),FALSE)),VLOOKUP(G138,NGPREVPRICES,2,FALSE),CK138,VLOOKUP(G138,NGPREVPRICES,4,FALSE),HLOOKUP(D138,PREVVOLS,VLOOKUP(G138,MOVE_DOWN2,2,FALSE),FALSE),VLOOKUP(G138,NGPREVPRICES,3,FALSE),HLOOKUP(D138,Correllate,VLOOKUP(G138,CorMove,2,FALSE),FALSE),Q138-$C$3,R138,$CJ$5)*H138-CJ138</f>
        <v>-589.27903398947092</v>
      </c>
      <c r="CI138" s="234">
        <f t="shared" si="190"/>
        <v>-623.38960043751285</v>
      </c>
      <c r="CJ138" s="234">
        <f>_xll.xSPRDOPT((VLOOKUP(G138,NGPREVPRICES,2,FALSE)+HLOOKUP(D138,PREVCURVES,VLOOKUP(G138,MOVE_DOWN2,2,FALSE),FALSE)),VLOOKUP(G138,NGPREVPRICES,2,FALSE),CK138,VLOOKUP(G138,NGPREVPRICES,4,FALSE),HLOOKUP(D138,PREVVOLS,VLOOKUP(G138,MOVE_DOWN2,2,FALSE),FALSE),VLOOKUP(G138,NGPREVPRICES,3,FALSE),HLOOKUP(D138,Correllate,VLOOKUP(G138,CorMove,2,FALSE),FALSE),Q138-$CD$3,R138,$CJ$5)*H138</f>
        <v>179351.39379154576</v>
      </c>
      <c r="CK138" s="235">
        <f t="shared" si="193"/>
        <v>2.2000000000000002</v>
      </c>
      <c r="CL138" s="234"/>
      <c r="CM138" t="str">
        <f t="shared" si="191"/>
        <v>36923Curve Shift/Gamma</v>
      </c>
      <c r="CN138" t="str">
        <f t="shared" si="176"/>
        <v>36923Rho</v>
      </c>
      <c r="CO138" t="str">
        <f t="shared" si="177"/>
        <v>36923Drift</v>
      </c>
      <c r="CP138" t="str">
        <f t="shared" si="178"/>
        <v>36923Vega</v>
      </c>
      <c r="CQ138" t="str">
        <f t="shared" si="179"/>
        <v>36923Theta</v>
      </c>
    </row>
    <row r="139" spans="1:95" ht="12" customHeight="1" x14ac:dyDescent="0.25">
      <c r="A139" s="140" t="s">
        <v>284</v>
      </c>
      <c r="B139" t="s">
        <v>250</v>
      </c>
      <c r="C139" t="s">
        <v>328</v>
      </c>
      <c r="D139" s="4" t="s">
        <v>7</v>
      </c>
      <c r="E139" t="s">
        <v>20</v>
      </c>
      <c r="F139" t="s">
        <v>21</v>
      </c>
      <c r="G139" s="5">
        <v>36892</v>
      </c>
      <c r="H139" s="130">
        <v>310000</v>
      </c>
      <c r="I139">
        <v>2.2000000000000002</v>
      </c>
      <c r="J139" s="53">
        <f t="shared" si="200"/>
        <v>4.7439999999999998</v>
      </c>
      <c r="K139" s="7">
        <f t="shared" si="201"/>
        <v>2.17</v>
      </c>
      <c r="L139" s="53">
        <f t="shared" si="202"/>
        <v>6.9139999999999997</v>
      </c>
      <c r="M139" s="157">
        <f t="shared" si="211"/>
        <v>6.8374831148490994E-2</v>
      </c>
      <c r="N139" s="4">
        <f t="shared" si="212"/>
        <v>0.60499999999999998</v>
      </c>
      <c r="O139" s="4">
        <f t="shared" si="213"/>
        <v>0.69599999999999995</v>
      </c>
      <c r="P139" s="9">
        <f t="shared" si="214"/>
        <v>0.83</v>
      </c>
      <c r="Q139" s="5">
        <f t="shared" si="194"/>
        <v>36888</v>
      </c>
      <c r="R139" s="4">
        <f t="shared" si="186"/>
        <v>1</v>
      </c>
      <c r="S139" s="158">
        <f>_xll.xSPRDOPT($L139,$J139,$I139,$M139,$O139,$N139,$P139,$Q139-$C$3,$R139,0)</f>
        <v>0.640054264498777</v>
      </c>
      <c r="T139" s="159">
        <f>_xll.xSPRDOPT($L139,$J139,$I139,$M139,$O139,$N139,$P139,$Q139-$C$3,$R139,1)*H139</f>
        <v>165004.78989441859</v>
      </c>
      <c r="U139" s="160">
        <f t="shared" si="187"/>
        <v>198416.82199462087</v>
      </c>
      <c r="V139" s="159">
        <f>_xll.xSPRDOPT($L139,$J139,$I139,$M139,$O139,$N139,$P139,$Q139-$C$3,$R139,2)*H139</f>
        <v>-140793.05875901046</v>
      </c>
      <c r="W139" s="159">
        <f t="shared" si="188"/>
        <v>24211.731135408132</v>
      </c>
      <c r="X139" s="51" t="str">
        <f t="shared" si="195"/>
        <v>36892IF-TRANSCO/Z6</v>
      </c>
      <c r="Y139" s="418">
        <f t="shared" si="196"/>
        <v>31</v>
      </c>
      <c r="Z139" s="456">
        <f t="shared" si="197"/>
        <v>0.53227351578844706</v>
      </c>
      <c r="AA139" s="456">
        <f>_xll.xSPRDOPT($L139,$J139,$I139,$M139,$O139,$N139,$P139,$Q139-$C$3,$R139,3)</f>
        <v>0.23147374508885857</v>
      </c>
      <c r="AB139" s="456">
        <f>((_xll.xSPRDOPT($L139+AB$5,$J139,$I139,$M139,$O139,$N139,$P139,$Q139-$C$3,$R139,3)*$H139)/10000)/100</f>
        <v>7.1756860977546147E-2</v>
      </c>
      <c r="AC139" s="456">
        <f>((_xll.xSPRDOPT($L139+$AB$5,$J139,$I139,$M139,$O139,$N139,$P139,$Q139-$C$3,$R139,7)*$H139)/100)</f>
        <v>-3302.6616947238526</v>
      </c>
      <c r="AD139" s="456">
        <f>(_xll.xSPRDOPT($L139+$AB$5,$J139,$I139,$M139,$O139,$N139,$P139,$Q139-$C$3,$R139,9)/365)*$H139</f>
        <v>-799.21122260779191</v>
      </c>
      <c r="AE139">
        <f t="shared" si="198"/>
        <v>0</v>
      </c>
      <c r="AF139" s="456">
        <f t="shared" si="199"/>
        <v>3343.231347652044</v>
      </c>
      <c r="AG139" s="456">
        <f>((_xll.xSPRDOPT($L139,$J139,$I139,$M139,$O139,$N139,$P139,$Q139-$C$3,$R139,6)*$H139)/100)</f>
        <v>-1224.5663519553966</v>
      </c>
      <c r="AH139" s="456">
        <f>((_xll.xSPRDOPT($L139,$J139,$I139,$M139,$O139,$N139,$P139,$Q139-$C$3,$R139,5)*$H139)/100)</f>
        <v>3970.5712762392268</v>
      </c>
      <c r="AI139" s="456">
        <f>(((_xll.xSPRDOPT($L139,$J139,$I139,$M139,$O139,$N139,$P139,$Q139-$C$3,$R139,4)*$H139)/10000)/100)-AB139</f>
        <v>1.5442585378306062E-3</v>
      </c>
      <c r="AJ139" s="456"/>
      <c r="AK139" s="456"/>
      <c r="AL139" s="456"/>
      <c r="AM139" s="472"/>
      <c r="AN139" s="41">
        <f t="shared" si="203"/>
        <v>40756</v>
      </c>
      <c r="AO139" s="43">
        <f t="shared" si="209"/>
        <v>0</v>
      </c>
      <c r="AP139" s="43">
        <f t="shared" si="209"/>
        <v>0</v>
      </c>
      <c r="AQ139" s="43">
        <f t="shared" si="209"/>
        <v>0</v>
      </c>
      <c r="AR139" s="43">
        <f t="shared" si="209"/>
        <v>0</v>
      </c>
      <c r="AS139" s="43">
        <f t="shared" si="209"/>
        <v>0</v>
      </c>
      <c r="AT139" s="43">
        <f t="shared" si="209"/>
        <v>0</v>
      </c>
      <c r="AU139" s="43">
        <f t="shared" si="209"/>
        <v>0</v>
      </c>
      <c r="AV139" s="43">
        <f t="shared" si="209"/>
        <v>0</v>
      </c>
      <c r="AW139" s="43">
        <f t="shared" si="209"/>
        <v>0</v>
      </c>
      <c r="AX139" s="43">
        <f t="shared" si="209"/>
        <v>0</v>
      </c>
      <c r="AY139" s="43">
        <f t="shared" si="209"/>
        <v>0</v>
      </c>
      <c r="AZ139" s="43">
        <f t="shared" si="209"/>
        <v>0</v>
      </c>
      <c r="BA139" s="44">
        <f t="shared" si="209"/>
        <v>0</v>
      </c>
      <c r="BB139" s="41">
        <f t="shared" si="204"/>
        <v>40756</v>
      </c>
      <c r="BC139" s="44">
        <f t="shared" si="205"/>
        <v>0</v>
      </c>
      <c r="BE139" s="41">
        <f t="shared" si="206"/>
        <v>40756</v>
      </c>
      <c r="BF139" s="43">
        <f t="shared" si="210"/>
        <v>0</v>
      </c>
      <c r="BG139" s="43">
        <f t="shared" si="210"/>
        <v>0</v>
      </c>
      <c r="BH139" s="43">
        <f t="shared" si="210"/>
        <v>0</v>
      </c>
      <c r="BI139" s="43">
        <f t="shared" si="210"/>
        <v>0</v>
      </c>
      <c r="BJ139" s="43">
        <f t="shared" si="210"/>
        <v>0</v>
      </c>
      <c r="BK139" s="43">
        <f t="shared" si="210"/>
        <v>0</v>
      </c>
      <c r="BL139" s="43">
        <f t="shared" si="210"/>
        <v>0</v>
      </c>
      <c r="BM139" s="43">
        <f t="shared" si="210"/>
        <v>0</v>
      </c>
      <c r="BN139" s="43">
        <f t="shared" si="210"/>
        <v>0</v>
      </c>
      <c r="BO139" s="43">
        <f t="shared" si="210"/>
        <v>0</v>
      </c>
      <c r="BP139" s="43">
        <f t="shared" si="210"/>
        <v>0</v>
      </c>
      <c r="BQ139" s="43">
        <f t="shared" si="210"/>
        <v>0</v>
      </c>
      <c r="BR139" s="44">
        <f t="shared" si="210"/>
        <v>0</v>
      </c>
      <c r="BS139" s="41">
        <f t="shared" si="207"/>
        <v>40756</v>
      </c>
      <c r="BT139" s="44">
        <f t="shared" si="208"/>
        <v>0</v>
      </c>
      <c r="CC139" s="141">
        <f t="shared" si="192"/>
        <v>36892</v>
      </c>
      <c r="CD139" s="234">
        <f>_xll.xSPRDOPT((VLOOKUP(G139,NGPrices,2,FALSE)+HLOOKUP(D139,Prices,VLOOKUP(G139,move_down,2,FALSE),FALSE)),VLOOKUP(G139,NGPrices,2,FALSE),I139,VLOOKUP(G139,NGPREVPRICES,4,FALSE),HLOOKUP(D139,PREVVOLS,VLOOKUP(G139,MOVE_DOWN2,2,FALSE),FALSE),VLOOKUP(G139,NGPREVPRICES,3,FALSE),HLOOKUP(D139,Correllate,VLOOKUP(G139,CorMove,2,FALSE),FALSE),Q139-$CD$3,R139,$CD$5)*H139-CJ139</f>
        <v>0</v>
      </c>
      <c r="CE139" s="234">
        <f>_xll.xSPRDOPT((VLOOKUP(G139,NGPREVPRICES,2,FALSE)+HLOOKUP(D139,PREVCURVES,VLOOKUP(G139,MOVE_DOWN2,2,FALSE),FALSE)),VLOOKUP(G139,NGPREVPRICES,2,FALSE),CK139,VLOOKUP(G139,NGPrices,4,FALSE),HLOOKUP(D139,PREVVOLS,VLOOKUP(G139,MOVE_DOWN2,2,FALSE),FALSE),VLOOKUP(G139,NGPREVPRICES,3,FALSE),HLOOKUP(D139,Correllate,VLOOKUP(G139,CorMove,2,FALSE),FALSE),Q139-$CD$3,R139,$CJ$5)*H139-CJ139</f>
        <v>0</v>
      </c>
      <c r="CF139" s="10">
        <f t="shared" si="189"/>
        <v>-37.540042225824436</v>
      </c>
      <c r="CG139" s="234">
        <f>_xll.xSPRDOPT((VLOOKUP(G139,NGPREVPRICES,2,FALSE)+HLOOKUP(D139,PREVCURVES,VLOOKUP(G139,MOVE_DOWN2,2,FALSE),FALSE)),VLOOKUP(G139,NGPREVPRICES,2,FALSE),CK139,VLOOKUP(G139,NGPREVPRICES,4,FALSE),HLOOKUP(D139,VOLS,VLOOKUP(G139,move_down,2,FALSE),FALSE),VLOOKUP(G139,NGPrices,3,FALSE),HLOOKUP(D139,Correllate,VLOOKUP(G139,CorMove,2,FALSE),FALSE),Q139-$CD$3,R139,$CJ$5)*H139-CJ139</f>
        <v>0</v>
      </c>
      <c r="CH139" s="234">
        <f>_xll.xSPRDOPT((VLOOKUP(G139,NGPREVPRICES,2,FALSE)+HLOOKUP(D139,PREVCURVES,VLOOKUP(G139,MOVE_DOWN2,2,FALSE),FALSE)),VLOOKUP(G139,NGPREVPRICES,2,FALSE),CK139,VLOOKUP(G139,NGPREVPRICES,4,FALSE),HLOOKUP(D139,PREVVOLS,VLOOKUP(G139,MOVE_DOWN2,2,FALSE),FALSE),VLOOKUP(G139,NGPREVPRICES,3,FALSE),HLOOKUP(D139,Correllate,VLOOKUP(G139,CorMove,2,FALSE),FALSE),Q139-$C$3,R139,$CJ$5)*H139-CJ139</f>
        <v>-796.77547233042424</v>
      </c>
      <c r="CI139" s="234">
        <f t="shared" si="190"/>
        <v>-834.31551455624867</v>
      </c>
      <c r="CJ139" s="234">
        <f>_xll.xSPRDOPT((VLOOKUP(G139,NGPREVPRICES,2,FALSE)+HLOOKUP(D139,PREVCURVES,VLOOKUP(G139,MOVE_DOWN2,2,FALSE),FALSE)),VLOOKUP(G139,NGPREVPRICES,2,FALSE),CK139,VLOOKUP(G139,NGPREVPRICES,4,FALSE),HLOOKUP(D139,PREVVOLS,VLOOKUP(G139,MOVE_DOWN2,2,FALSE),FALSE),VLOOKUP(G139,NGPREVPRICES,3,FALSE),HLOOKUP(D139,Correllate,VLOOKUP(G139,CorMove,2,FALSE),FALSE),Q139-$CD$3,R139,$CJ$5)*H139</f>
        <v>199213.59746695129</v>
      </c>
      <c r="CK139" s="235">
        <f t="shared" si="193"/>
        <v>2.2000000000000002</v>
      </c>
      <c r="CL139" s="234"/>
      <c r="CM139" t="str">
        <f t="shared" si="191"/>
        <v>36892Curve Shift/Gamma</v>
      </c>
      <c r="CN139" t="str">
        <f t="shared" si="176"/>
        <v>36892Rho</v>
      </c>
      <c r="CO139" t="str">
        <f t="shared" si="177"/>
        <v>36892Drift</v>
      </c>
      <c r="CP139" t="str">
        <f t="shared" si="178"/>
        <v>36892Vega</v>
      </c>
      <c r="CQ139" t="str">
        <f t="shared" si="179"/>
        <v>36892Theta</v>
      </c>
    </row>
    <row r="140" spans="1:95" ht="12" customHeight="1" x14ac:dyDescent="0.25">
      <c r="A140" s="140" t="s">
        <v>284</v>
      </c>
      <c r="B140" t="s">
        <v>250</v>
      </c>
      <c r="C140" t="s">
        <v>328</v>
      </c>
      <c r="D140" s="4" t="s">
        <v>7</v>
      </c>
      <c r="E140" t="s">
        <v>20</v>
      </c>
      <c r="F140" t="s">
        <v>21</v>
      </c>
      <c r="G140" s="5">
        <v>36861</v>
      </c>
      <c r="H140" s="130">
        <v>310000</v>
      </c>
      <c r="I140">
        <v>2.2000000000000002</v>
      </c>
      <c r="J140" s="53">
        <f t="shared" si="200"/>
        <v>4.8</v>
      </c>
      <c r="K140" s="7">
        <f t="shared" si="201"/>
        <v>1.645</v>
      </c>
      <c r="L140" s="53">
        <f t="shared" si="202"/>
        <v>6.4450000000000003</v>
      </c>
      <c r="M140" s="157">
        <f t="shared" si="211"/>
        <v>6.8314027999354002E-2</v>
      </c>
      <c r="N140" s="4">
        <f t="shared" si="212"/>
        <v>0.6</v>
      </c>
      <c r="O140" s="4">
        <f t="shared" si="213"/>
        <v>0.69</v>
      </c>
      <c r="P140" s="9">
        <f t="shared" si="214"/>
        <v>0.83</v>
      </c>
      <c r="Q140" s="5">
        <f t="shared" si="194"/>
        <v>36859</v>
      </c>
      <c r="R140" s="4">
        <f t="shared" si="186"/>
        <v>1</v>
      </c>
      <c r="S140" s="158">
        <f>_xll.xSPRDOPT($L140,$J140,$I140,$M140,$O140,$N140,$P140,$Q140-$C$3,$R140,0)</f>
        <v>0.31946885047076623</v>
      </c>
      <c r="T140" s="159">
        <f>_xll.xSPRDOPT($L140,$J140,$I140,$M140,$O140,$N140,$P140,$Q140-$C$3,$R140,1)*H140</f>
        <v>118266.37459191107</v>
      </c>
      <c r="U140" s="160">
        <f t="shared" si="187"/>
        <v>99035.343645937537</v>
      </c>
      <c r="V140" s="159">
        <f>_xll.xSPRDOPT($L140,$J140,$I140,$M140,$O140,$N140,$P140,$Q140-$C$3,$R140,2)*H140</f>
        <v>-98492.81172045588</v>
      </c>
      <c r="W140" s="159">
        <f t="shared" si="188"/>
        <v>19773.562871455186</v>
      </c>
      <c r="X140" s="51" t="str">
        <f t="shared" si="195"/>
        <v>36861IF-TRANSCO/Z6</v>
      </c>
      <c r="Y140" s="418">
        <f t="shared" si="196"/>
        <v>31</v>
      </c>
      <c r="Z140" s="456">
        <f t="shared" si="197"/>
        <v>0.38150443416745505</v>
      </c>
      <c r="AA140" s="456">
        <f>_xll.xSPRDOPT($L140,$J140,$I140,$M140,$O140,$N140,$P140,$Q140-$C$3,$R140,3)</f>
        <v>0.28076777129705804</v>
      </c>
      <c r="AB140" s="456">
        <f>((_xll.xSPRDOPT($L140+AB$5,$J140,$I140,$M140,$O140,$N140,$P140,$Q140-$C$3,$R140,3)*$H140)/10000)/100</f>
        <v>8.7038009102087976E-2</v>
      </c>
      <c r="AC140" s="456">
        <f>((_xll.xSPRDOPT($L140+$AB$5,$J140,$I140,$M140,$O140,$N140,$P140,$Q140-$C$3,$R140,7)*$H140)/100)</f>
        <v>-2638.2207100652827</v>
      </c>
      <c r="AD140" s="456">
        <f>(_xll.xSPRDOPT($L140+$AB$5,$J140,$I140,$M140,$O140,$N140,$P140,$Q140-$C$3,$R140,9)/365)*$H140</f>
        <v>-836.49760667134478</v>
      </c>
      <c r="AE140">
        <f t="shared" si="198"/>
        <v>0</v>
      </c>
      <c r="AF140" s="456">
        <f t="shared" si="199"/>
        <v>2620.3071744243407</v>
      </c>
      <c r="AG140" s="456">
        <f>((_xll.xSPRDOPT($L140,$J140,$I140,$M140,$O140,$N140,$P140,$Q140-$C$3,$R140,6)*$H140)/100)</f>
        <v>-956.17767621339806</v>
      </c>
      <c r="AH140" s="456">
        <f>((_xll.xSPRDOPT($L140,$J140,$I140,$M140,$O140,$N140,$P140,$Q140-$C$3,$R140,5)*$H140)/100)</f>
        <v>3109.9868266415124</v>
      </c>
      <c r="AI140" s="456">
        <f>(((_xll.xSPRDOPT($L140,$J140,$I140,$M140,$O140,$N140,$P140,$Q140-$C$3,$R140,4)*$H140)/10000)/100)-AB140</f>
        <v>-9.6876029211774434E-3</v>
      </c>
      <c r="AJ140" s="456"/>
      <c r="AK140" s="456"/>
      <c r="AL140" s="456"/>
      <c r="AM140" s="472"/>
      <c r="AN140" s="41">
        <f t="shared" si="203"/>
        <v>40787</v>
      </c>
      <c r="AO140" s="43">
        <f t="shared" si="209"/>
        <v>0</v>
      </c>
      <c r="AP140" s="43">
        <f t="shared" si="209"/>
        <v>0</v>
      </c>
      <c r="AQ140" s="43">
        <f t="shared" si="209"/>
        <v>0</v>
      </c>
      <c r="AR140" s="43">
        <f t="shared" si="209"/>
        <v>0</v>
      </c>
      <c r="AS140" s="43">
        <f t="shared" si="209"/>
        <v>0</v>
      </c>
      <c r="AT140" s="43">
        <f t="shared" si="209"/>
        <v>0</v>
      </c>
      <c r="AU140" s="43">
        <f t="shared" si="209"/>
        <v>0</v>
      </c>
      <c r="AV140" s="43">
        <f t="shared" si="209"/>
        <v>0</v>
      </c>
      <c r="AW140" s="43">
        <f t="shared" si="209"/>
        <v>0</v>
      </c>
      <c r="AX140" s="43">
        <f t="shared" si="209"/>
        <v>0</v>
      </c>
      <c r="AY140" s="43">
        <f t="shared" si="209"/>
        <v>0</v>
      </c>
      <c r="AZ140" s="43">
        <f t="shared" si="209"/>
        <v>0</v>
      </c>
      <c r="BA140" s="44">
        <f t="shared" si="209"/>
        <v>0</v>
      </c>
      <c r="BB140" s="41">
        <f t="shared" si="204"/>
        <v>40787</v>
      </c>
      <c r="BC140" s="44">
        <f t="shared" si="205"/>
        <v>0</v>
      </c>
      <c r="BE140" s="41">
        <f t="shared" si="206"/>
        <v>40787</v>
      </c>
      <c r="BF140" s="43">
        <f t="shared" si="210"/>
        <v>0</v>
      </c>
      <c r="BG140" s="43">
        <f t="shared" si="210"/>
        <v>0</v>
      </c>
      <c r="BH140" s="43">
        <f t="shared" si="210"/>
        <v>0</v>
      </c>
      <c r="BI140" s="43">
        <f t="shared" si="210"/>
        <v>0</v>
      </c>
      <c r="BJ140" s="43">
        <f t="shared" si="210"/>
        <v>0</v>
      </c>
      <c r="BK140" s="43">
        <f t="shared" si="210"/>
        <v>0</v>
      </c>
      <c r="BL140" s="43">
        <f t="shared" si="210"/>
        <v>0</v>
      </c>
      <c r="BM140" s="43">
        <f t="shared" si="210"/>
        <v>0</v>
      </c>
      <c r="BN140" s="43">
        <f t="shared" si="210"/>
        <v>0</v>
      </c>
      <c r="BO140" s="43">
        <f t="shared" si="210"/>
        <v>0</v>
      </c>
      <c r="BP140" s="43">
        <f t="shared" si="210"/>
        <v>0</v>
      </c>
      <c r="BQ140" s="43">
        <f t="shared" si="210"/>
        <v>0</v>
      </c>
      <c r="BR140" s="44">
        <f t="shared" si="210"/>
        <v>0</v>
      </c>
      <c r="BS140" s="41">
        <f t="shared" si="207"/>
        <v>40787</v>
      </c>
      <c r="BT140" s="44">
        <f t="shared" si="208"/>
        <v>0</v>
      </c>
      <c r="CC140" s="141">
        <f t="shared" si="192"/>
        <v>36861</v>
      </c>
      <c r="CD140" s="234">
        <f>_xll.xSPRDOPT((VLOOKUP(G140,NGPrices,2,FALSE)+HLOOKUP(D140,Prices,VLOOKUP(G140,move_down,2,FALSE),FALSE)),VLOOKUP(G140,NGPrices,2,FALSE),I140,VLOOKUP(G140,NGPREVPRICES,4,FALSE),HLOOKUP(D140,PREVVOLS,VLOOKUP(G140,MOVE_DOWN2,2,FALSE),FALSE),VLOOKUP(G140,NGPREVPRICES,3,FALSE),HLOOKUP(D140,Correllate,VLOOKUP(G140,CorMove,2,FALSE),FALSE),Q140-$CD$3,R140,$CD$5)*H140-CJ140</f>
        <v>0</v>
      </c>
      <c r="CE140" s="234">
        <f>_xll.xSPRDOPT((VLOOKUP(G140,NGPREVPRICES,2,FALSE)+HLOOKUP(D140,PREVCURVES,VLOOKUP(G140,MOVE_DOWN2,2,FALSE),FALSE)),VLOOKUP(G140,NGPREVPRICES,2,FALSE),CK140,VLOOKUP(G140,NGPrices,4,FALSE),HLOOKUP(D140,PREVVOLS,VLOOKUP(G140,MOVE_DOWN2,2,FALSE),FALSE),VLOOKUP(G140,NGPREVPRICES,3,FALSE),HLOOKUP(D140,Correllate,VLOOKUP(G140,CorMove,2,FALSE),FALSE),Q140-$CD$3,R140,$CJ$5)*H140-CJ140</f>
        <v>0</v>
      </c>
      <c r="CF140" s="10">
        <f t="shared" si="189"/>
        <v>-18.709279454327771</v>
      </c>
      <c r="CG140" s="234">
        <f>_xll.xSPRDOPT((VLOOKUP(G140,NGPREVPRICES,2,FALSE)+HLOOKUP(D140,PREVCURVES,VLOOKUP(G140,MOVE_DOWN2,2,FALSE),FALSE)),VLOOKUP(G140,NGPREVPRICES,2,FALSE),CK140,VLOOKUP(G140,NGPREVPRICES,4,FALSE),HLOOKUP(D140,VOLS,VLOOKUP(G140,move_down,2,FALSE),FALSE),VLOOKUP(G140,NGPrices,3,FALSE),HLOOKUP(D140,Correllate,VLOOKUP(G140,CorMove,2,FALSE),FALSE),Q140-$CD$3,R140,$CJ$5)*H140-CJ140</f>
        <v>0</v>
      </c>
      <c r="CH140" s="234">
        <f>_xll.xSPRDOPT((VLOOKUP(G140,NGPREVPRICES,2,FALSE)+HLOOKUP(D140,PREVCURVES,VLOOKUP(G140,MOVE_DOWN2,2,FALSE),FALSE)),VLOOKUP(G140,NGPREVPRICES,2,FALSE),CK140,VLOOKUP(G140,NGPREVPRICES,4,FALSE),HLOOKUP(D140,PREVVOLS,VLOOKUP(G140,MOVE_DOWN2,2,FALSE),FALSE),VLOOKUP(G140,NGPREVPRICES,3,FALSE),HLOOKUP(D140,Correllate,VLOOKUP(G140,CorMove,2,FALSE),FALSE),Q140-$C$3,R140,$CJ$5)*H140-CJ140</f>
        <v>-833.80159023724264</v>
      </c>
      <c r="CI140" s="234">
        <f t="shared" si="190"/>
        <v>-852.51086969157041</v>
      </c>
      <c r="CJ140" s="234">
        <f>_xll.xSPRDOPT((VLOOKUP(G140,NGPREVPRICES,2,FALSE)+HLOOKUP(D140,PREVCURVES,VLOOKUP(G140,MOVE_DOWN2,2,FALSE),FALSE)),VLOOKUP(G140,NGPREVPRICES,2,FALSE),CK140,VLOOKUP(G140,NGPREVPRICES,4,FALSE),HLOOKUP(D140,PREVVOLS,VLOOKUP(G140,MOVE_DOWN2,2,FALSE),FALSE),VLOOKUP(G140,NGPREVPRICES,3,FALSE),HLOOKUP(D140,Correllate,VLOOKUP(G140,CorMove,2,FALSE),FALSE),Q140-$CD$3,R140,$CJ$5)*H140</f>
        <v>99869.14523617478</v>
      </c>
      <c r="CK140" s="235">
        <f t="shared" si="193"/>
        <v>2.2000000000000002</v>
      </c>
      <c r="CL140" s="234"/>
      <c r="CM140" t="str">
        <f t="shared" si="191"/>
        <v>36861Curve Shift/Gamma</v>
      </c>
      <c r="CN140" t="str">
        <f t="shared" si="176"/>
        <v>36861Rho</v>
      </c>
      <c r="CO140" t="str">
        <f t="shared" si="177"/>
        <v>36861Drift</v>
      </c>
      <c r="CP140" t="str">
        <f t="shared" si="178"/>
        <v>36861Vega</v>
      </c>
      <c r="CQ140" t="str">
        <f t="shared" si="179"/>
        <v>36861Theta</v>
      </c>
    </row>
    <row r="141" spans="1:95" ht="12" customHeight="1" x14ac:dyDescent="0.25">
      <c r="A141" s="140" t="s">
        <v>284</v>
      </c>
      <c r="B141" t="s">
        <v>250</v>
      </c>
      <c r="C141" t="s">
        <v>328</v>
      </c>
      <c r="D141" s="4" t="s">
        <v>7</v>
      </c>
      <c r="E141" t="s">
        <v>20</v>
      </c>
      <c r="F141" t="s">
        <v>21</v>
      </c>
      <c r="G141" s="5">
        <v>36831</v>
      </c>
      <c r="H141" s="130">
        <v>300000</v>
      </c>
      <c r="I141">
        <v>2.2000000000000002</v>
      </c>
      <c r="J141" s="53">
        <f t="shared" si="200"/>
        <v>4.7359999999999998</v>
      </c>
      <c r="K141" s="7">
        <f t="shared" si="201"/>
        <v>0.77</v>
      </c>
      <c r="L141" s="53">
        <f t="shared" si="202"/>
        <v>5.5060000000000002</v>
      </c>
      <c r="M141" s="157">
        <f t="shared" si="211"/>
        <v>6.810675983792E-2</v>
      </c>
      <c r="N141" s="4">
        <f t="shared" si="212"/>
        <v>0.59499999999999997</v>
      </c>
      <c r="O141" s="4">
        <f t="shared" si="213"/>
        <v>0.625</v>
      </c>
      <c r="P141" s="9">
        <f t="shared" si="214"/>
        <v>0.89</v>
      </c>
      <c r="Q141" s="5">
        <f t="shared" si="194"/>
        <v>36829</v>
      </c>
      <c r="R141" s="4">
        <f t="shared" si="186"/>
        <v>1</v>
      </c>
      <c r="S141" s="158">
        <f>_xll.xSPRDOPT($L141,$J141,$I141,$M141,$O141,$N141,$P141,$Q141-$C$3,$R141,0)</f>
        <v>1.2339927985641069E-2</v>
      </c>
      <c r="T141" s="159">
        <f>_xll.xSPRDOPT($L141,$J141,$I141,$M141,$O141,$N141,$P141,$Q141-$C$3,$R141,1)*H141</f>
        <v>13381.104032246996</v>
      </c>
      <c r="U141" s="160">
        <f t="shared" si="187"/>
        <v>3701.9783956923206</v>
      </c>
      <c r="V141" s="159">
        <f>_xll.xSPRDOPT($L141,$J141,$I141,$M141,$O141,$N141,$P141,$Q141-$C$3,$R141,2)*H141</f>
        <v>-10772.925717359469</v>
      </c>
      <c r="W141" s="159">
        <f t="shared" si="188"/>
        <v>2608.1783148875274</v>
      </c>
      <c r="X141" s="51" t="str">
        <f t="shared" si="195"/>
        <v>36831IF-TRANSCO/Z6</v>
      </c>
      <c r="Y141" s="418">
        <f t="shared" si="196"/>
        <v>30</v>
      </c>
      <c r="Z141" s="456">
        <f t="shared" si="197"/>
        <v>4.4603680107489989E-2</v>
      </c>
      <c r="AA141" s="456">
        <f>_xll.xSPRDOPT($L141,$J141,$I141,$M141,$O141,$N141,$P141,$Q141-$C$3,$R141,3)</f>
        <v>0.13263819415725464</v>
      </c>
      <c r="AB141" s="456">
        <f>((_xll.xSPRDOPT($L141+AB$5,$J141,$I141,$M141,$O141,$N141,$P141,$Q141-$C$3,$R141,3)*$H141)/10000)/100</f>
        <v>3.9791458247176392E-2</v>
      </c>
      <c r="AC141" s="456">
        <f>((_xll.xSPRDOPT($L141+$AB$5,$J141,$I141,$M141,$O141,$N141,$P141,$Q141-$C$3,$R141,7)*$H141)/100)</f>
        <v>-550.31981287068857</v>
      </c>
      <c r="AD141" s="456">
        <f>(_xll.xSPRDOPT($L141+$AB$5,$J141,$I141,$M141,$O141,$N141,$P141,$Q141-$C$3,$R141,9)/365)*$H141</f>
        <v>-160.86763535679125</v>
      </c>
      <c r="AE141">
        <f t="shared" si="198"/>
        <v>0</v>
      </c>
      <c r="AF141" s="456">
        <f t="shared" si="199"/>
        <v>336.46269009984326</v>
      </c>
      <c r="AG141" s="456">
        <f>((_xll.xSPRDOPT($L141,$J141,$I141,$M141,$O141,$N141,$P141,$Q141-$C$3,$R141,6)*$H141)/100)</f>
        <v>-184.70891628330494</v>
      </c>
      <c r="AH141" s="456">
        <f>((_xll.xSPRDOPT($L141,$J141,$I141,$M141,$O141,$N141,$P141,$Q141-$C$3,$R141,5)*$H141)/100)</f>
        <v>496.15536927675703</v>
      </c>
      <c r="AI141" s="456">
        <f>(((_xll.xSPRDOPT($L141,$J141,$I141,$M141,$O141,$N141,$P141,$Q141-$C$3,$R141,4)*$H141)/10000)/100)-AB141</f>
        <v>-1.1608688861982484E-2</v>
      </c>
      <c r="AJ141" s="456"/>
      <c r="AK141" s="456"/>
      <c r="AL141" s="456"/>
      <c r="AM141" s="472"/>
      <c r="AN141" s="41">
        <f t="shared" si="203"/>
        <v>40817</v>
      </c>
      <c r="AO141" s="43">
        <f t="shared" si="209"/>
        <v>0</v>
      </c>
      <c r="AP141" s="43">
        <f t="shared" si="209"/>
        <v>0</v>
      </c>
      <c r="AQ141" s="43">
        <f t="shared" si="209"/>
        <v>0</v>
      </c>
      <c r="AR141" s="43">
        <f t="shared" si="209"/>
        <v>0</v>
      </c>
      <c r="AS141" s="43">
        <f t="shared" si="209"/>
        <v>0</v>
      </c>
      <c r="AT141" s="43">
        <f t="shared" si="209"/>
        <v>0</v>
      </c>
      <c r="AU141" s="43">
        <f t="shared" si="209"/>
        <v>0</v>
      </c>
      <c r="AV141" s="43">
        <f t="shared" si="209"/>
        <v>0</v>
      </c>
      <c r="AW141" s="43">
        <f t="shared" si="209"/>
        <v>0</v>
      </c>
      <c r="AX141" s="43">
        <f t="shared" si="209"/>
        <v>0</v>
      </c>
      <c r="AY141" s="43">
        <f t="shared" si="209"/>
        <v>0</v>
      </c>
      <c r="AZ141" s="43">
        <f t="shared" si="209"/>
        <v>0</v>
      </c>
      <c r="BA141" s="44">
        <f t="shared" si="209"/>
        <v>0</v>
      </c>
      <c r="BB141" s="41">
        <f t="shared" si="204"/>
        <v>40817</v>
      </c>
      <c r="BC141" s="44">
        <f t="shared" si="205"/>
        <v>0</v>
      </c>
      <c r="BE141" s="41">
        <f t="shared" si="206"/>
        <v>40817</v>
      </c>
      <c r="BF141" s="43">
        <f t="shared" si="210"/>
        <v>0</v>
      </c>
      <c r="BG141" s="43">
        <f t="shared" si="210"/>
        <v>0</v>
      </c>
      <c r="BH141" s="43">
        <f t="shared" si="210"/>
        <v>0</v>
      </c>
      <c r="BI141" s="43">
        <f t="shared" si="210"/>
        <v>0</v>
      </c>
      <c r="BJ141" s="43">
        <f t="shared" si="210"/>
        <v>0</v>
      </c>
      <c r="BK141" s="43">
        <f t="shared" si="210"/>
        <v>0</v>
      </c>
      <c r="BL141" s="43">
        <f t="shared" si="210"/>
        <v>0</v>
      </c>
      <c r="BM141" s="43">
        <f t="shared" si="210"/>
        <v>0</v>
      </c>
      <c r="BN141" s="43">
        <f t="shared" si="210"/>
        <v>0</v>
      </c>
      <c r="BO141" s="43">
        <f t="shared" si="210"/>
        <v>0</v>
      </c>
      <c r="BP141" s="43">
        <f t="shared" si="210"/>
        <v>0</v>
      </c>
      <c r="BQ141" s="43">
        <f t="shared" si="210"/>
        <v>0</v>
      </c>
      <c r="BR141" s="44">
        <f t="shared" si="210"/>
        <v>0</v>
      </c>
      <c r="BS141" s="41">
        <f t="shared" si="207"/>
        <v>40817</v>
      </c>
      <c r="BT141" s="44">
        <f t="shared" si="208"/>
        <v>0</v>
      </c>
      <c r="CC141" s="141">
        <f t="shared" si="192"/>
        <v>36831</v>
      </c>
      <c r="CD141" s="234">
        <f>_xll.xSPRDOPT((VLOOKUP(G141,NGPrices,2,FALSE)+HLOOKUP(D141,Prices,VLOOKUP(G141,move_down,2,FALSE),FALSE)),VLOOKUP(G141,NGPrices,2,FALSE),I141,VLOOKUP(G141,NGPREVPRICES,4,FALSE),HLOOKUP(D141,PREVVOLS,VLOOKUP(G141,MOVE_DOWN2,2,FALSE),FALSE),VLOOKUP(G141,NGPREVPRICES,3,FALSE),HLOOKUP(D141,Correllate,VLOOKUP(G141,CorMove,2,FALSE),FALSE),Q141-$CD$3,R141,$CD$5)*H141-CJ141</f>
        <v>0</v>
      </c>
      <c r="CE141" s="234">
        <f>_xll.xSPRDOPT((VLOOKUP(G141,NGPREVPRICES,2,FALSE)+HLOOKUP(D141,PREVCURVES,VLOOKUP(G141,MOVE_DOWN2,2,FALSE),FALSE)),VLOOKUP(G141,NGPREVPRICES,2,FALSE),CK141,VLOOKUP(G141,NGPrices,4,FALSE),HLOOKUP(D141,PREVVOLS,VLOOKUP(G141,MOVE_DOWN2,2,FALSE),FALSE),VLOOKUP(G141,NGPREVPRICES,3,FALSE),HLOOKUP(D141,Correllate,VLOOKUP(G141,CorMove,2,FALSE),FALSE),Q141-$CD$3,R141,$CJ$5)*H141-CJ141</f>
        <v>0</v>
      </c>
      <c r="CF141" s="10">
        <f t="shared" si="189"/>
        <v>-0.71760098404774908</v>
      </c>
      <c r="CG141" s="234">
        <f>_xll.xSPRDOPT((VLOOKUP(G141,NGPREVPRICES,2,FALSE)+HLOOKUP(D141,PREVCURVES,VLOOKUP(G141,MOVE_DOWN2,2,FALSE),FALSE)),VLOOKUP(G141,NGPREVPRICES,2,FALSE),CK141,VLOOKUP(G141,NGPREVPRICES,4,FALSE),HLOOKUP(D141,VOLS,VLOOKUP(G141,move_down,2,FALSE),FALSE),VLOOKUP(G141,NGPrices,3,FALSE),HLOOKUP(D141,Correllate,VLOOKUP(G141,CorMove,2,FALSE),FALSE),Q141-$CD$3,R141,$CJ$5)*H141-CJ141</f>
        <v>0</v>
      </c>
      <c r="CH141" s="234">
        <f>_xll.xSPRDOPT((VLOOKUP(G141,NGPREVPRICES,2,FALSE)+HLOOKUP(D141,PREVCURVES,VLOOKUP(G141,MOVE_DOWN2,2,FALSE),FALSE)),VLOOKUP(G141,NGPREVPRICES,2,FALSE),CK141,VLOOKUP(G141,NGPREVPRICES,4,FALSE),HLOOKUP(D141,PREVVOLS,VLOOKUP(G141,MOVE_DOWN2,2,FALSE),FALSE),VLOOKUP(G141,NGPREVPRICES,3,FALSE),HLOOKUP(D141,Correllate,VLOOKUP(G141,CorMove,2,FALSE),FALSE),Q141-$C$3,R141,$CJ$5)*H141-CJ141</f>
        <v>-162.10264216918222</v>
      </c>
      <c r="CI141" s="234">
        <f t="shared" si="190"/>
        <v>-162.82024315322997</v>
      </c>
      <c r="CJ141" s="234">
        <f>_xll.xSPRDOPT((VLOOKUP(G141,NGPREVPRICES,2,FALSE)+HLOOKUP(D141,PREVCURVES,VLOOKUP(G141,MOVE_DOWN2,2,FALSE),FALSE)),VLOOKUP(G141,NGPREVPRICES,2,FALSE),CK141,VLOOKUP(G141,NGPREVPRICES,4,FALSE),HLOOKUP(D141,PREVVOLS,VLOOKUP(G141,MOVE_DOWN2,2,FALSE),FALSE),VLOOKUP(G141,NGPREVPRICES,3,FALSE),HLOOKUP(D141,Correllate,VLOOKUP(G141,CorMove,2,FALSE),FALSE),Q141-$CD$3,R141,$CJ$5)*H141</f>
        <v>3864.0810378615029</v>
      </c>
      <c r="CK141" s="235">
        <f t="shared" si="193"/>
        <v>2.2000000000000002</v>
      </c>
      <c r="CL141" s="234"/>
      <c r="CM141" t="str">
        <f t="shared" si="191"/>
        <v>36831Curve Shift/Gamma</v>
      </c>
      <c r="CN141" t="str">
        <f t="shared" si="176"/>
        <v>36831Rho</v>
      </c>
      <c r="CO141" t="str">
        <f t="shared" si="177"/>
        <v>36831Drift</v>
      </c>
      <c r="CP141" t="str">
        <f t="shared" si="178"/>
        <v>36831Vega</v>
      </c>
      <c r="CQ141" t="str">
        <f t="shared" si="179"/>
        <v>36831Theta</v>
      </c>
    </row>
    <row r="142" spans="1:95" ht="12" customHeight="1" x14ac:dyDescent="0.25">
      <c r="A142" s="382" t="s">
        <v>279</v>
      </c>
      <c r="B142" t="s">
        <v>250</v>
      </c>
      <c r="C142" t="s">
        <v>329</v>
      </c>
      <c r="D142" s="4" t="s">
        <v>325</v>
      </c>
      <c r="E142" t="s">
        <v>20</v>
      </c>
      <c r="F142" t="s">
        <v>21</v>
      </c>
      <c r="G142" s="5">
        <v>36951</v>
      </c>
      <c r="H142" s="130">
        <v>-1000000</v>
      </c>
      <c r="I142">
        <v>0</v>
      </c>
      <c r="J142" s="53">
        <f t="shared" si="200"/>
        <v>4.2130000000000001</v>
      </c>
      <c r="K142" s="7">
        <f t="shared" si="201"/>
        <v>3.2500000000000001E-2</v>
      </c>
      <c r="L142" s="53">
        <f t="shared" si="202"/>
        <v>4.2454999999999998</v>
      </c>
      <c r="M142" s="157">
        <f t="shared" si="211"/>
        <v>6.8879814952706994E-2</v>
      </c>
      <c r="N142" s="4">
        <f t="shared" si="212"/>
        <v>0.53249999999999997</v>
      </c>
      <c r="O142" s="4">
        <f t="shared" si="213"/>
        <v>0.55900000000000005</v>
      </c>
      <c r="P142" s="9">
        <f t="shared" si="214"/>
        <v>0.99750000000000005</v>
      </c>
      <c r="Q142" s="5">
        <f t="shared" si="194"/>
        <v>36949</v>
      </c>
      <c r="R142" s="4">
        <f t="shared" si="186"/>
        <v>1</v>
      </c>
      <c r="S142" s="158">
        <f>_xll.xSPRDOPT($L142,$J142,$I142,$M142,$O142,$N142,$P142,$Q142-$C$3,$R142,0)</f>
        <v>7.1012288118638731E-2</v>
      </c>
      <c r="T142" s="159">
        <f>_xll.xSPRDOPT($L142,$J142,$I142,$M142,$O142,$N142,$P142,$Q142-$C$3,$R142,1)*H142</f>
        <v>-578175.40865202423</v>
      </c>
      <c r="U142" s="160">
        <f t="shared" si="187"/>
        <v>-71012.288118638724</v>
      </c>
      <c r="V142" s="159">
        <f>_xll.xSPRDOPT($L142,$J142,$I142,$M142,$O142,$N142,$P142,$Q142-$C$3,$R142,2)*H142</f>
        <v>565780.07307873818</v>
      </c>
      <c r="W142" s="159">
        <f t="shared" si="188"/>
        <v>-12395.335573286051</v>
      </c>
      <c r="X142" s="51" t="str">
        <f t="shared" si="195"/>
        <v>36951IF-NNG/VENT</v>
      </c>
      <c r="Y142" s="418">
        <f t="shared" si="196"/>
        <v>-100</v>
      </c>
      <c r="Z142" s="456">
        <f t="shared" si="197"/>
        <v>0.57817540865202421</v>
      </c>
      <c r="AA142" s="456">
        <f>_xll.xSPRDOPT($L142,$J142,$I142,$M142,$O142,$N142,$P142,$Q142-$C$3,$R142,3)</f>
        <v>2.6642732960144064</v>
      </c>
      <c r="AB142" s="456">
        <f>((_xll.xSPRDOPT($L142+AB$5,$J142,$I142,$M142,$O142,$N142,$P142,$Q142-$C$3,$R142,3)*$H142)/10000)/100</f>
        <v>-2.6642732960144064</v>
      </c>
      <c r="AC142" s="456">
        <f>((_xll.xSPRDOPT($L142+$AB$5,$J142,$I142,$M142,$O142,$N142,$P142,$Q142-$C$3,$R142,7)*$H142)/100)</f>
        <v>71227.713878433511</v>
      </c>
      <c r="AD142" s="456">
        <f>(_xll.xSPRDOPT($L142+$AB$5,$J142,$I142,$M142,$O142,$N142,$P142,$Q142-$C$3,$R142,9)/365)*$H142</f>
        <v>130.70296966453367</v>
      </c>
      <c r="AE142">
        <f t="shared" si="198"/>
        <v>0</v>
      </c>
      <c r="AF142" s="456">
        <f t="shared" si="199"/>
        <v>-984.37347688663704</v>
      </c>
      <c r="AG142" s="456">
        <f>((_xll.xSPRDOPT($L142,$J142,$I142,$M142,$O142,$N142,$P142,$Q142-$C$3,$R142,6)*$H142)/100)</f>
        <v>6006.712146309289</v>
      </c>
      <c r="AH142" s="456">
        <f>((_xll.xSPRDOPT($L142,$J142,$I142,$M142,$O142,$N142,$P142,$Q142-$C$3,$R142,5)*$H142)/100)</f>
        <v>-6659.6656428476381</v>
      </c>
      <c r="AI142" s="456">
        <f>(((_xll.xSPRDOPT($L142,$J142,$I142,$M142,$O142,$N142,$P142,$Q142-$C$3,$R142,4)*$H142)/10000)/100)-AB142</f>
        <v>-4.1264217531086889E-2</v>
      </c>
      <c r="AJ142" s="456"/>
      <c r="AK142" s="456"/>
      <c r="AL142" s="456"/>
      <c r="AM142" s="472"/>
      <c r="AN142" s="41">
        <f t="shared" si="203"/>
        <v>40848</v>
      </c>
      <c r="AO142" s="43">
        <f t="shared" si="209"/>
        <v>0</v>
      </c>
      <c r="AP142" s="43">
        <f t="shared" si="209"/>
        <v>0</v>
      </c>
      <c r="AQ142" s="43">
        <f t="shared" si="209"/>
        <v>0</v>
      </c>
      <c r="AR142" s="43">
        <f t="shared" si="209"/>
        <v>0</v>
      </c>
      <c r="AS142" s="43">
        <f t="shared" si="209"/>
        <v>0</v>
      </c>
      <c r="AT142" s="43">
        <f t="shared" si="209"/>
        <v>0</v>
      </c>
      <c r="AU142" s="43">
        <f t="shared" si="209"/>
        <v>0</v>
      </c>
      <c r="AV142" s="43">
        <f t="shared" si="209"/>
        <v>0</v>
      </c>
      <c r="AW142" s="43">
        <f t="shared" si="209"/>
        <v>0</v>
      </c>
      <c r="AX142" s="43">
        <f t="shared" si="209"/>
        <v>0</v>
      </c>
      <c r="AY142" s="43">
        <f t="shared" si="209"/>
        <v>0</v>
      </c>
      <c r="AZ142" s="43">
        <f t="shared" si="209"/>
        <v>0</v>
      </c>
      <c r="BA142" s="44">
        <f t="shared" si="209"/>
        <v>0</v>
      </c>
      <c r="BB142" s="41">
        <f t="shared" si="204"/>
        <v>40848</v>
      </c>
      <c r="BC142" s="44">
        <f t="shared" si="205"/>
        <v>0</v>
      </c>
      <c r="BE142" s="41">
        <f t="shared" si="206"/>
        <v>40848</v>
      </c>
      <c r="BF142" s="43">
        <f t="shared" si="210"/>
        <v>0</v>
      </c>
      <c r="BG142" s="43">
        <f t="shared" si="210"/>
        <v>0</v>
      </c>
      <c r="BH142" s="43">
        <f t="shared" si="210"/>
        <v>0</v>
      </c>
      <c r="BI142" s="43">
        <f t="shared" si="210"/>
        <v>0</v>
      </c>
      <c r="BJ142" s="43">
        <f t="shared" si="210"/>
        <v>0</v>
      </c>
      <c r="BK142" s="43">
        <f t="shared" si="210"/>
        <v>0</v>
      </c>
      <c r="BL142" s="43">
        <f t="shared" si="210"/>
        <v>0</v>
      </c>
      <c r="BM142" s="43">
        <f t="shared" si="210"/>
        <v>0</v>
      </c>
      <c r="BN142" s="43">
        <f t="shared" si="210"/>
        <v>0</v>
      </c>
      <c r="BO142" s="43">
        <f t="shared" si="210"/>
        <v>0</v>
      </c>
      <c r="BP142" s="43">
        <f t="shared" si="210"/>
        <v>0</v>
      </c>
      <c r="BQ142" s="43">
        <f t="shared" si="210"/>
        <v>0</v>
      </c>
      <c r="BR142" s="44">
        <f t="shared" si="210"/>
        <v>0</v>
      </c>
      <c r="BS142" s="41">
        <f t="shared" si="207"/>
        <v>40848</v>
      </c>
      <c r="BT142" s="44">
        <f t="shared" si="208"/>
        <v>0</v>
      </c>
      <c r="CC142" s="141">
        <f t="shared" si="192"/>
        <v>36951</v>
      </c>
      <c r="CD142" s="234">
        <f>_xll.xSPRDOPT((VLOOKUP(G142,NGPrices,2,FALSE)+HLOOKUP(D142,Prices,VLOOKUP(G142,move_down,2,FALSE),FALSE)),VLOOKUP(G142,NGPrices,2,FALSE),I142,VLOOKUP(G142,NGPREVPRICES,4,FALSE),HLOOKUP(D142,PREVVOLS,VLOOKUP(G142,MOVE_DOWN2,2,FALSE),FALSE),VLOOKUP(G142,NGPREVPRICES,3,FALSE),HLOOKUP(D142,Correllate,VLOOKUP(G142,CorMove,2,FALSE),FALSE),Q142-$CD$3,R142,$CD$5)*H142-CJ142</f>
        <v>0</v>
      </c>
      <c r="CE142" s="234">
        <f>_xll.xSPRDOPT((VLOOKUP(G142,NGPREVPRICES,2,FALSE)+HLOOKUP(D142,PREVCURVES,VLOOKUP(G142,MOVE_DOWN2,2,FALSE),FALSE)),VLOOKUP(G142,NGPREVPRICES,2,FALSE),CK142,VLOOKUP(G142,NGPrices,4,FALSE),HLOOKUP(D142,PREVVOLS,VLOOKUP(G142,MOVE_DOWN2,2,FALSE),FALSE),VLOOKUP(G142,NGPREVPRICES,3,FALSE),HLOOKUP(D142,Correllate,VLOOKUP(G142,CorMove,2,FALSE),FALSE),Q142-$CD$3,R142,$CJ$5)*H142-CJ142</f>
        <v>0</v>
      </c>
      <c r="CF142" s="10">
        <f t="shared" si="189"/>
        <v>13.644104603590677</v>
      </c>
      <c r="CG142" s="234">
        <f>_xll.xSPRDOPT((VLOOKUP(G142,NGPREVPRICES,2,FALSE)+HLOOKUP(D142,PREVCURVES,VLOOKUP(G142,MOVE_DOWN2,2,FALSE),FALSE)),VLOOKUP(G142,NGPREVPRICES,2,FALSE),CK142,VLOOKUP(G142,NGPREVPRICES,4,FALSE),HLOOKUP(D142,VOLS,VLOOKUP(G142,move_down,2,FALSE),FALSE),VLOOKUP(G142,NGPrices,3,FALSE),HLOOKUP(D142,Correllate,VLOOKUP(G142,CorMove,2,FALSE),FALSE),Q142-$CD$3,R142,$CJ$5)*H142-CJ142</f>
        <v>0</v>
      </c>
      <c r="CH142" s="234">
        <f>_xll.xSPRDOPT((VLOOKUP(G142,NGPREVPRICES,2,FALSE)+HLOOKUP(D142,PREVCURVES,VLOOKUP(G142,MOVE_DOWN2,2,FALSE),FALSE)),VLOOKUP(G142,NGPREVPRICES,2,FALSE),CK142,VLOOKUP(G142,NGPREVPRICES,4,FALSE),HLOOKUP(D142,PREVVOLS,VLOOKUP(G142,MOVE_DOWN2,2,FALSE),FALSE),VLOOKUP(G142,NGPREVPRICES,3,FALSE),HLOOKUP(D142,Correllate,VLOOKUP(G142,CorMove,2,FALSE),FALSE),Q142-$C$3,R142,$CJ$5)*H142-CJ142</f>
        <v>130.40098203605157</v>
      </c>
      <c r="CI142" s="234">
        <f t="shared" si="190"/>
        <v>144.04508663964225</v>
      </c>
      <c r="CJ142" s="234">
        <f>_xll.xSPRDOPT((VLOOKUP(G142,NGPREVPRICES,2,FALSE)+HLOOKUP(D142,PREVCURVES,VLOOKUP(G142,MOVE_DOWN2,2,FALSE),FALSE)),VLOOKUP(G142,NGPREVPRICES,2,FALSE),CK142,VLOOKUP(G142,NGPREVPRICES,4,FALSE),HLOOKUP(D142,PREVVOLS,VLOOKUP(G142,MOVE_DOWN2,2,FALSE),FALSE),VLOOKUP(G142,NGPREVPRICES,3,FALSE),HLOOKUP(D142,Correllate,VLOOKUP(G142,CorMove,2,FALSE),FALSE),Q142-$CD$3,R142,$CJ$5)*H142</f>
        <v>-71142.689100674776</v>
      </c>
      <c r="CK142" s="235">
        <f t="shared" si="193"/>
        <v>0</v>
      </c>
      <c r="CL142" s="234"/>
      <c r="CM142" t="str">
        <f t="shared" si="191"/>
        <v>36951Curve Shift/Gamma</v>
      </c>
      <c r="CN142" t="str">
        <f t="shared" si="176"/>
        <v>36951Rho</v>
      </c>
      <c r="CO142" t="str">
        <f t="shared" si="177"/>
        <v>36951Drift</v>
      </c>
      <c r="CP142" t="str">
        <f t="shared" si="178"/>
        <v>36951Vega</v>
      </c>
      <c r="CQ142" t="str">
        <f t="shared" si="179"/>
        <v>36951Theta</v>
      </c>
    </row>
    <row r="143" spans="1:95" ht="12" customHeight="1" x14ac:dyDescent="0.25">
      <c r="A143" s="382" t="s">
        <v>279</v>
      </c>
      <c r="B143" t="s">
        <v>250</v>
      </c>
      <c r="C143" t="s">
        <v>329</v>
      </c>
      <c r="D143" s="4" t="s">
        <v>325</v>
      </c>
      <c r="E143" t="s">
        <v>20</v>
      </c>
      <c r="F143" t="s">
        <v>21</v>
      </c>
      <c r="G143" s="5">
        <v>36923</v>
      </c>
      <c r="H143" s="130">
        <v>-1000000</v>
      </c>
      <c r="I143">
        <v>0</v>
      </c>
      <c r="J143" s="53">
        <f t="shared" si="200"/>
        <v>4.4800000000000004</v>
      </c>
      <c r="K143" s="7">
        <f t="shared" si="201"/>
        <v>3.5000000000000003E-2</v>
      </c>
      <c r="L143" s="53">
        <f t="shared" si="202"/>
        <v>4.5150000000000006</v>
      </c>
      <c r="M143" s="157">
        <f t="shared" si="211"/>
        <v>6.8640161611372E-2</v>
      </c>
      <c r="N143" s="4">
        <f t="shared" si="212"/>
        <v>0.59250000000000003</v>
      </c>
      <c r="O143" s="4">
        <f t="shared" si="213"/>
        <v>0.622</v>
      </c>
      <c r="P143" s="9">
        <f t="shared" si="214"/>
        <v>0.99750000000000005</v>
      </c>
      <c r="Q143" s="5">
        <f t="shared" si="194"/>
        <v>36921</v>
      </c>
      <c r="R143" s="4">
        <f t="shared" si="186"/>
        <v>1</v>
      </c>
      <c r="S143" s="158">
        <f>_xll.xSPRDOPT($L143,$J143,$I143,$M143,$O143,$N143,$P143,$Q143-$C$3,$R143,0)</f>
        <v>7.7503267813320328E-2</v>
      </c>
      <c r="T143" s="159">
        <f>_xll.xSPRDOPT($L143,$J143,$I143,$M143,$O143,$N143,$P143,$Q143-$C$3,$R143,1)*H143</f>
        <v>-580503.97733502754</v>
      </c>
      <c r="U143" s="160">
        <f t="shared" si="187"/>
        <v>-77503.26781332033</v>
      </c>
      <c r="V143" s="159">
        <f>_xll.xSPRDOPT($L143,$J143,$I143,$M143,$O143,$N143,$P143,$Q143-$C$3,$R143,2)*H143</f>
        <v>567739.33821703529</v>
      </c>
      <c r="W143" s="159">
        <f t="shared" si="188"/>
        <v>-12764.63911799225</v>
      </c>
      <c r="X143" s="51" t="str">
        <f t="shared" si="195"/>
        <v>36923IF-NNG/VENT</v>
      </c>
      <c r="Y143" s="418">
        <f t="shared" si="196"/>
        <v>-100</v>
      </c>
      <c r="Z143" s="456">
        <f t="shared" si="197"/>
        <v>0.58050397733502757</v>
      </c>
      <c r="AA143" s="456">
        <f>_xll.xSPRDOPT($L143,$J143,$I143,$M143,$O143,$N143,$P143,$Q143-$C$3,$R143,3)</f>
        <v>2.4617871475972524</v>
      </c>
      <c r="AB143" s="456">
        <f>((_xll.xSPRDOPT($L143+AB$5,$J143,$I143,$M143,$O143,$N143,$P143,$Q143-$C$3,$R143,3)*$H143)/10000)/100</f>
        <v>-2.4617871475972524</v>
      </c>
      <c r="AC143" s="456">
        <f>((_xll.xSPRDOPT($L143+$AB$5,$J143,$I143,$M143,$O143,$N143,$P143,$Q143-$C$3,$R143,7)*$H143)/100)</f>
        <v>77978.550871632586</v>
      </c>
      <c r="AD143" s="456">
        <f>(_xll.xSPRDOPT($L143+$AB$5,$J143,$I143,$M143,$O143,$N143,$P143,$Q143-$C$3,$R143,9)/365)*$H143</f>
        <v>171.92670830892624</v>
      </c>
      <c r="AE143">
        <f t="shared" si="198"/>
        <v>0</v>
      </c>
      <c r="AF143" s="456">
        <f t="shared" si="199"/>
        <v>-968.82994068988955</v>
      </c>
      <c r="AG143" s="456">
        <f>((_xll.xSPRDOPT($L143,$J143,$I143,$M143,$O143,$N143,$P143,$Q143-$C$3,$R143,6)*$H143)/100)</f>
        <v>5912.9393307363125</v>
      </c>
      <c r="AH143" s="456">
        <f>((_xll.xSPRDOPT($L143,$J143,$I143,$M143,$O143,$N143,$P143,$Q143-$C$3,$R143,5)*$H143)/100)</f>
        <v>-6555.383108231551</v>
      </c>
      <c r="AI143" s="456">
        <f>(((_xll.xSPRDOPT($L143,$J143,$I143,$M143,$O143,$N143,$P143,$Q143-$C$3,$R143,4)*$H143)/10000)/100)-AB143</f>
        <v>-3.8615771723742753E-2</v>
      </c>
      <c r="AJ143" s="456"/>
      <c r="AK143" s="456"/>
      <c r="AL143" s="456"/>
      <c r="AM143" s="472"/>
      <c r="AN143" s="41">
        <f t="shared" si="203"/>
        <v>40878</v>
      </c>
      <c r="AO143" s="43">
        <f t="shared" si="209"/>
        <v>0</v>
      </c>
      <c r="AP143" s="43">
        <f t="shared" si="209"/>
        <v>0</v>
      </c>
      <c r="AQ143" s="43">
        <f t="shared" si="209"/>
        <v>0</v>
      </c>
      <c r="AR143" s="43">
        <f t="shared" si="209"/>
        <v>0</v>
      </c>
      <c r="AS143" s="43">
        <f t="shared" si="209"/>
        <v>0</v>
      </c>
      <c r="AT143" s="43">
        <f t="shared" si="209"/>
        <v>0</v>
      </c>
      <c r="AU143" s="43">
        <f t="shared" si="209"/>
        <v>0</v>
      </c>
      <c r="AV143" s="43">
        <f t="shared" si="209"/>
        <v>0</v>
      </c>
      <c r="AW143" s="43">
        <f t="shared" si="209"/>
        <v>0</v>
      </c>
      <c r="AX143" s="43">
        <f t="shared" si="209"/>
        <v>0</v>
      </c>
      <c r="AY143" s="43">
        <f t="shared" si="209"/>
        <v>0</v>
      </c>
      <c r="AZ143" s="43">
        <f t="shared" si="209"/>
        <v>0</v>
      </c>
      <c r="BA143" s="44">
        <f t="shared" si="209"/>
        <v>0</v>
      </c>
      <c r="BB143" s="41">
        <f t="shared" si="204"/>
        <v>40878</v>
      </c>
      <c r="BC143" s="44">
        <f t="shared" si="205"/>
        <v>0</v>
      </c>
      <c r="BE143" s="41">
        <f t="shared" si="206"/>
        <v>40878</v>
      </c>
      <c r="BF143" s="43">
        <f t="shared" si="210"/>
        <v>0</v>
      </c>
      <c r="BG143" s="43">
        <f t="shared" si="210"/>
        <v>0</v>
      </c>
      <c r="BH143" s="43">
        <f t="shared" si="210"/>
        <v>0</v>
      </c>
      <c r="BI143" s="43">
        <f t="shared" si="210"/>
        <v>0</v>
      </c>
      <c r="BJ143" s="43">
        <f t="shared" si="210"/>
        <v>0</v>
      </c>
      <c r="BK143" s="43">
        <f t="shared" si="210"/>
        <v>0</v>
      </c>
      <c r="BL143" s="43">
        <f t="shared" si="210"/>
        <v>0</v>
      </c>
      <c r="BM143" s="43">
        <f t="shared" si="210"/>
        <v>0</v>
      </c>
      <c r="BN143" s="43">
        <f t="shared" si="210"/>
        <v>0</v>
      </c>
      <c r="BO143" s="43">
        <f t="shared" si="210"/>
        <v>0</v>
      </c>
      <c r="BP143" s="43">
        <f t="shared" si="210"/>
        <v>0</v>
      </c>
      <c r="BQ143" s="43">
        <f t="shared" si="210"/>
        <v>0</v>
      </c>
      <c r="BR143" s="44">
        <f t="shared" si="210"/>
        <v>0</v>
      </c>
      <c r="BS143" s="41">
        <f t="shared" si="207"/>
        <v>40878</v>
      </c>
      <c r="BT143" s="44">
        <f t="shared" si="208"/>
        <v>0</v>
      </c>
      <c r="CC143" s="141">
        <f t="shared" si="192"/>
        <v>36923</v>
      </c>
      <c r="CD143" s="234">
        <f>_xll.xSPRDOPT((VLOOKUP(G143,NGPrices,2,FALSE)+HLOOKUP(D143,Prices,VLOOKUP(G143,move_down,2,FALSE),FALSE)),VLOOKUP(G143,NGPrices,2,FALSE),I143,VLOOKUP(G143,NGPREVPRICES,4,FALSE),HLOOKUP(D143,PREVVOLS,VLOOKUP(G143,MOVE_DOWN2,2,FALSE),FALSE),VLOOKUP(G143,NGPREVPRICES,3,FALSE),HLOOKUP(D143,Correllate,VLOOKUP(G143,CorMove,2,FALSE),FALSE),Q143-$CD$3,R143,$CD$5)*H143-CJ143</f>
        <v>0</v>
      </c>
      <c r="CE143" s="234">
        <f>_xll.xSPRDOPT((VLOOKUP(G143,NGPREVPRICES,2,FALSE)+HLOOKUP(D143,PREVCURVES,VLOOKUP(G143,MOVE_DOWN2,2,FALSE),FALSE)),VLOOKUP(G143,NGPREVPRICES,2,FALSE),CK143,VLOOKUP(G143,NGPrices,4,FALSE),HLOOKUP(D143,PREVVOLS,VLOOKUP(G143,MOVE_DOWN2,2,FALSE),FALSE),VLOOKUP(G143,NGPREVPRICES,3,FALSE),HLOOKUP(D143,Correllate,VLOOKUP(G143,CorMove,2,FALSE),FALSE),Q143-$CD$3,R143,$CJ$5)*H143-CJ143</f>
        <v>0</v>
      </c>
      <c r="CF143" s="10">
        <f t="shared" si="189"/>
        <v>14.772842972844956</v>
      </c>
      <c r="CG143" s="234">
        <f>_xll.xSPRDOPT((VLOOKUP(G143,NGPREVPRICES,2,FALSE)+HLOOKUP(D143,PREVCURVES,VLOOKUP(G143,MOVE_DOWN2,2,FALSE),FALSE)),VLOOKUP(G143,NGPREVPRICES,2,FALSE),CK143,VLOOKUP(G143,NGPREVPRICES,4,FALSE),HLOOKUP(D143,VOLS,VLOOKUP(G143,move_down,2,FALSE),FALSE),VLOOKUP(G143,NGPrices,3,FALSE),HLOOKUP(D143,Correllate,VLOOKUP(G143,CorMove,2,FALSE),FALSE),Q143-$CD$3,R143,$CJ$5)*H143-CJ143</f>
        <v>0</v>
      </c>
      <c r="CH143" s="234">
        <f>_xll.xSPRDOPT((VLOOKUP(G143,NGPREVPRICES,2,FALSE)+HLOOKUP(D143,PREVCURVES,VLOOKUP(G143,MOVE_DOWN2,2,FALSE),FALSE)),VLOOKUP(G143,NGPREVPRICES,2,FALSE),CK143,VLOOKUP(G143,NGPREVPRICES,4,FALSE),HLOOKUP(D143,PREVVOLS,VLOOKUP(G143,MOVE_DOWN2,2,FALSE),FALSE),VLOOKUP(G143,NGPREVPRICES,3,FALSE),HLOOKUP(D143,Correllate,VLOOKUP(G143,CorMove,2,FALSE),FALSE),Q143-$C$3,R143,$CJ$5)*H143-CJ143</f>
        <v>171.4896985048108</v>
      </c>
      <c r="CI143" s="234">
        <f t="shared" si="190"/>
        <v>186.26254147765576</v>
      </c>
      <c r="CJ143" s="234">
        <f>_xll.xSPRDOPT((VLOOKUP(G143,NGPREVPRICES,2,FALSE)+HLOOKUP(D143,PREVCURVES,VLOOKUP(G143,MOVE_DOWN2,2,FALSE),FALSE)),VLOOKUP(G143,NGPREVPRICES,2,FALSE),CK143,VLOOKUP(G143,NGPREVPRICES,4,FALSE),HLOOKUP(D143,PREVVOLS,VLOOKUP(G143,MOVE_DOWN2,2,FALSE),FALSE),VLOOKUP(G143,NGPREVPRICES,3,FALSE),HLOOKUP(D143,Correllate,VLOOKUP(G143,CorMove,2,FALSE),FALSE),Q143-$CD$3,R143,$CJ$5)*H143</f>
        <v>-77674.757511825141</v>
      </c>
      <c r="CK143" s="235">
        <f t="shared" si="193"/>
        <v>0</v>
      </c>
      <c r="CL143" s="234"/>
      <c r="CM143" t="str">
        <f t="shared" si="191"/>
        <v>36923Curve Shift/Gamma</v>
      </c>
      <c r="CN143" t="str">
        <f t="shared" si="176"/>
        <v>36923Rho</v>
      </c>
      <c r="CO143" t="str">
        <f t="shared" si="177"/>
        <v>36923Drift</v>
      </c>
      <c r="CP143" t="str">
        <f t="shared" si="178"/>
        <v>36923Vega</v>
      </c>
      <c r="CQ143" t="str">
        <f t="shared" si="179"/>
        <v>36923Theta</v>
      </c>
    </row>
    <row r="144" spans="1:95" ht="12" customHeight="1" x14ac:dyDescent="0.25">
      <c r="A144" s="382" t="s">
        <v>279</v>
      </c>
      <c r="B144" t="s">
        <v>250</v>
      </c>
      <c r="C144" t="s">
        <v>329</v>
      </c>
      <c r="D144" s="4" t="s">
        <v>325</v>
      </c>
      <c r="E144" t="s">
        <v>20</v>
      </c>
      <c r="F144" t="s">
        <v>21</v>
      </c>
      <c r="G144" s="5">
        <v>36892</v>
      </c>
      <c r="H144" s="130">
        <v>-1000000</v>
      </c>
      <c r="I144">
        <v>0</v>
      </c>
      <c r="J144" s="53">
        <f t="shared" si="200"/>
        <v>4.7439999999999998</v>
      </c>
      <c r="K144" s="7">
        <f t="shared" si="201"/>
        <v>0.03</v>
      </c>
      <c r="L144" s="53">
        <f t="shared" si="202"/>
        <v>4.774</v>
      </c>
      <c r="M144" s="157">
        <f t="shared" si="211"/>
        <v>6.8374831148490994E-2</v>
      </c>
      <c r="N144" s="4">
        <f t="shared" si="212"/>
        <v>0.60499999999999998</v>
      </c>
      <c r="O144" s="4">
        <f t="shared" si="213"/>
        <v>0.63500000000000001</v>
      </c>
      <c r="P144" s="9">
        <f t="shared" si="214"/>
        <v>0.99750000000000005</v>
      </c>
      <c r="Q144" s="5">
        <f t="shared" si="194"/>
        <v>36888</v>
      </c>
      <c r="R144" s="4">
        <f t="shared" si="186"/>
        <v>1</v>
      </c>
      <c r="S144" s="158">
        <f>_xll.xSPRDOPT($L144,$J144,$I144,$M144,$O144,$N144,$P144,$Q144-$C$3,$R144,0)</f>
        <v>7.2602342046592244E-2</v>
      </c>
      <c r="T144" s="159">
        <f>_xll.xSPRDOPT($L144,$J144,$I144,$M144,$O144,$N144,$P144,$Q144-$C$3,$R144,1)*H144</f>
        <v>-574486.58636623737</v>
      </c>
      <c r="U144" s="160">
        <f t="shared" si="187"/>
        <v>-72602.342046592239</v>
      </c>
      <c r="V144" s="159">
        <f>_xll.xSPRDOPT($L144,$J144,$I144,$M144,$O144,$N144,$P144,$Q144-$C$3,$R144,2)*H144</f>
        <v>562815.48661889473</v>
      </c>
      <c r="W144" s="159">
        <f t="shared" si="188"/>
        <v>-11671.09974734264</v>
      </c>
      <c r="X144" s="51" t="str">
        <f t="shared" si="195"/>
        <v>36892IF-NNG/VENT</v>
      </c>
      <c r="Y144" s="418">
        <f t="shared" si="196"/>
        <v>-100</v>
      </c>
      <c r="Z144" s="456">
        <f t="shared" si="197"/>
        <v>0.5744865863662374</v>
      </c>
      <c r="AA144" s="456">
        <f>_xll.xSPRDOPT($L144,$J144,$I144,$M144,$O144,$N144,$P144,$Q144-$C$3,$R144,3)</f>
        <v>2.6076382483860443</v>
      </c>
      <c r="AB144" s="456">
        <f>((_xll.xSPRDOPT($L144+AB$5,$J144,$I144,$M144,$O144,$N144,$P144,$Q144-$C$3,$R144,3)*$H144)/10000)/100</f>
        <v>-2.6076382483860447</v>
      </c>
      <c r="AC144" s="456">
        <f>((_xll.xSPRDOPT($L144+$AB$5,$J144,$I144,$M144,$O144,$N144,$P144,$Q144-$C$3,$R144,7)*$H144)/100)</f>
        <v>75637.351396257291</v>
      </c>
      <c r="AD144" s="456">
        <f>(_xll.xSPRDOPT($L144+$AB$5,$J144,$I144,$M144,$O144,$N144,$P144,$Q144-$C$3,$R144,9)/365)*$H144</f>
        <v>216.05392910263237</v>
      </c>
      <c r="AE144">
        <f t="shared" si="198"/>
        <v>0</v>
      </c>
      <c r="AF144" s="456">
        <f t="shared" si="199"/>
        <v>-917.98881091532803</v>
      </c>
      <c r="AG144" s="456">
        <f>((_xll.xSPRDOPT($L144,$J144,$I144,$M144,$O144,$N144,$P144,$Q144-$C$3,$R144,6)*$H144)/100)</f>
        <v>5593.9627117453647</v>
      </c>
      <c r="AH144" s="456">
        <f>((_xll.xSPRDOPT($L144,$J144,$I144,$M144,$O144,$N144,$P144,$Q144-$C$3,$R144,5)*$H144)/100)</f>
        <v>-6204.3002696216045</v>
      </c>
      <c r="AI144" s="456">
        <f>(((_xll.xSPRDOPT($L144,$J144,$I144,$M144,$O144,$N144,$P144,$Q144-$C$3,$R144,4)*$H144)/10000)/100)-AB144</f>
        <v>-3.3084617354763424E-2</v>
      </c>
      <c r="AJ144" s="456"/>
      <c r="AK144" s="456"/>
      <c r="AL144" s="456"/>
      <c r="AM144" s="472"/>
      <c r="AN144" s="41">
        <f t="shared" si="203"/>
        <v>40909</v>
      </c>
      <c r="AO144" s="43">
        <f t="shared" si="209"/>
        <v>0</v>
      </c>
      <c r="AP144" s="43">
        <f t="shared" si="209"/>
        <v>0</v>
      </c>
      <c r="AQ144" s="43">
        <f t="shared" si="209"/>
        <v>0</v>
      </c>
      <c r="AR144" s="43">
        <f t="shared" si="209"/>
        <v>0</v>
      </c>
      <c r="AS144" s="43">
        <f t="shared" si="209"/>
        <v>0</v>
      </c>
      <c r="AT144" s="43">
        <f t="shared" si="209"/>
        <v>0</v>
      </c>
      <c r="AU144" s="43">
        <f t="shared" si="209"/>
        <v>0</v>
      </c>
      <c r="AV144" s="43">
        <f t="shared" si="209"/>
        <v>0</v>
      </c>
      <c r="AW144" s="43">
        <f t="shared" si="209"/>
        <v>0</v>
      </c>
      <c r="AX144" s="43">
        <f t="shared" si="209"/>
        <v>0</v>
      </c>
      <c r="AY144" s="43">
        <f t="shared" si="209"/>
        <v>0</v>
      </c>
      <c r="AZ144" s="43">
        <f t="shared" si="209"/>
        <v>0</v>
      </c>
      <c r="BA144" s="44">
        <f t="shared" si="209"/>
        <v>0</v>
      </c>
      <c r="BB144" s="41">
        <f t="shared" si="204"/>
        <v>40909</v>
      </c>
      <c r="BC144" s="44">
        <f t="shared" si="205"/>
        <v>0</v>
      </c>
      <c r="BE144" s="41">
        <f t="shared" si="206"/>
        <v>40909</v>
      </c>
      <c r="BF144" s="43">
        <f t="shared" si="210"/>
        <v>0</v>
      </c>
      <c r="BG144" s="43">
        <f t="shared" si="210"/>
        <v>0</v>
      </c>
      <c r="BH144" s="43">
        <f t="shared" si="210"/>
        <v>0</v>
      </c>
      <c r="BI144" s="43">
        <f t="shared" si="210"/>
        <v>0</v>
      </c>
      <c r="BJ144" s="43">
        <f t="shared" si="210"/>
        <v>0</v>
      </c>
      <c r="BK144" s="43">
        <f t="shared" si="210"/>
        <v>0</v>
      </c>
      <c r="BL144" s="43">
        <f t="shared" si="210"/>
        <v>0</v>
      </c>
      <c r="BM144" s="43">
        <f t="shared" si="210"/>
        <v>0</v>
      </c>
      <c r="BN144" s="43">
        <f t="shared" si="210"/>
        <v>0</v>
      </c>
      <c r="BO144" s="43">
        <f t="shared" si="210"/>
        <v>0</v>
      </c>
      <c r="BP144" s="43">
        <f t="shared" si="210"/>
        <v>0</v>
      </c>
      <c r="BQ144" s="43">
        <f t="shared" si="210"/>
        <v>0</v>
      </c>
      <c r="BR144" s="44">
        <f t="shared" si="210"/>
        <v>0</v>
      </c>
      <c r="BS144" s="41">
        <f t="shared" si="207"/>
        <v>40909</v>
      </c>
      <c r="BT144" s="44">
        <f t="shared" si="208"/>
        <v>0</v>
      </c>
      <c r="CC144" s="141">
        <f t="shared" si="192"/>
        <v>36892</v>
      </c>
      <c r="CD144" s="234">
        <f>_xll.xSPRDOPT((VLOOKUP(G144,NGPrices,2,FALSE)+HLOOKUP(D144,Prices,VLOOKUP(G144,move_down,2,FALSE),FALSE)),VLOOKUP(G144,NGPrices,2,FALSE),I144,VLOOKUP(G144,NGPREVPRICES,4,FALSE),HLOOKUP(D144,PREVVOLS,VLOOKUP(G144,MOVE_DOWN2,2,FALSE),FALSE),VLOOKUP(G144,NGPREVPRICES,3,FALSE),HLOOKUP(D144,Correllate,VLOOKUP(G144,CorMove,2,FALSE),FALSE),Q144-$CD$3,R144,$CD$5)*H144-CJ144</f>
        <v>0</v>
      </c>
      <c r="CE144" s="234">
        <f>_xll.xSPRDOPT((VLOOKUP(G144,NGPREVPRICES,2,FALSE)+HLOOKUP(D144,PREVCURVES,VLOOKUP(G144,MOVE_DOWN2,2,FALSE),FALSE)),VLOOKUP(G144,NGPREVPRICES,2,FALSE),CK144,VLOOKUP(G144,NGPrices,4,FALSE),HLOOKUP(D144,PREVVOLS,VLOOKUP(G144,MOVE_DOWN2,2,FALSE),FALSE),VLOOKUP(G144,NGPREVPRICES,3,FALSE),HLOOKUP(D144,Correllate,VLOOKUP(G144,CorMove,2,FALSE),FALSE),Q144-$CD$3,R144,$CJ$5)*H144-CJ144</f>
        <v>0</v>
      </c>
      <c r="CF144" s="10">
        <f t="shared" si="189"/>
        <v>13.721862370555755</v>
      </c>
      <c r="CG144" s="234">
        <f>_xll.xSPRDOPT((VLOOKUP(G144,NGPREVPRICES,2,FALSE)+HLOOKUP(D144,PREVCURVES,VLOOKUP(G144,MOVE_DOWN2,2,FALSE),FALSE)),VLOOKUP(G144,NGPREVPRICES,2,FALSE),CK144,VLOOKUP(G144,NGPREVPRICES,4,FALSE),HLOOKUP(D144,VOLS,VLOOKUP(G144,move_down,2,FALSE),FALSE),VLOOKUP(G144,NGPrices,3,FALSE),HLOOKUP(D144,Correllate,VLOOKUP(G144,CorMove,2,FALSE),FALSE),Q144-$CD$3,R144,$CJ$5)*H144-CJ144</f>
        <v>0</v>
      </c>
      <c r="CH144" s="234">
        <f>_xll.xSPRDOPT((VLOOKUP(G144,NGPREVPRICES,2,FALSE)+HLOOKUP(D144,PREVCURVES,VLOOKUP(G144,MOVE_DOWN2,2,FALSE),FALSE)),VLOOKUP(G144,NGPREVPRICES,2,FALSE),CK144,VLOOKUP(G144,NGPREVPRICES,4,FALSE),HLOOKUP(D144,PREVVOLS,VLOOKUP(G144,MOVE_DOWN2,2,FALSE),FALSE),VLOOKUP(G144,NGPREVPRICES,3,FALSE),HLOOKUP(D144,Correllate,VLOOKUP(G144,CorMove,2,FALSE),FALSE),Q144-$C$3,R144,$CJ$5)*H144-CJ144</f>
        <v>215.41213545043138</v>
      </c>
      <c r="CI144" s="234">
        <f t="shared" si="190"/>
        <v>229.13399782098713</v>
      </c>
      <c r="CJ144" s="234">
        <f>_xll.xSPRDOPT((VLOOKUP(G144,NGPREVPRICES,2,FALSE)+HLOOKUP(D144,PREVCURVES,VLOOKUP(G144,MOVE_DOWN2,2,FALSE),FALSE)),VLOOKUP(G144,NGPREVPRICES,2,FALSE),CK144,VLOOKUP(G144,NGPREVPRICES,4,FALSE),HLOOKUP(D144,PREVVOLS,VLOOKUP(G144,MOVE_DOWN2,2,FALSE),FALSE),VLOOKUP(G144,NGPREVPRICES,3,FALSE),HLOOKUP(D144,Correllate,VLOOKUP(G144,CorMove,2,FALSE),FALSE),Q144-$CD$3,R144,$CJ$5)*H144</f>
        <v>-72817.75418204267</v>
      </c>
      <c r="CK144" s="235">
        <f t="shared" si="193"/>
        <v>0</v>
      </c>
      <c r="CL144" s="234"/>
      <c r="CM144" t="str">
        <f t="shared" si="191"/>
        <v>36892Curve Shift/Gamma</v>
      </c>
      <c r="CN144" t="str">
        <f t="shared" si="176"/>
        <v>36892Rho</v>
      </c>
      <c r="CO144" t="str">
        <f t="shared" si="177"/>
        <v>36892Drift</v>
      </c>
      <c r="CP144" t="str">
        <f t="shared" si="178"/>
        <v>36892Vega</v>
      </c>
      <c r="CQ144" t="str">
        <f t="shared" si="179"/>
        <v>36892Theta</v>
      </c>
    </row>
    <row r="145" spans="1:95" ht="12" customHeight="1" x14ac:dyDescent="0.25">
      <c r="A145" s="382" t="s">
        <v>279</v>
      </c>
      <c r="B145" t="s">
        <v>250</v>
      </c>
      <c r="C145" t="s">
        <v>329</v>
      </c>
      <c r="D145" s="4" t="s">
        <v>325</v>
      </c>
      <c r="E145" t="s">
        <v>20</v>
      </c>
      <c r="F145" t="s">
        <v>21</v>
      </c>
      <c r="G145" s="5">
        <v>36861</v>
      </c>
      <c r="H145" s="130">
        <v>-1000000</v>
      </c>
      <c r="I145">
        <v>0</v>
      </c>
      <c r="J145" s="53">
        <f t="shared" si="200"/>
        <v>4.8</v>
      </c>
      <c r="K145" s="7">
        <f t="shared" si="201"/>
        <v>1.7500000000000002E-2</v>
      </c>
      <c r="L145" s="53">
        <f t="shared" si="202"/>
        <v>4.8174999999999999</v>
      </c>
      <c r="M145" s="157">
        <f t="shared" si="211"/>
        <v>6.8314027999354002E-2</v>
      </c>
      <c r="N145" s="4">
        <f t="shared" si="212"/>
        <v>0.6</v>
      </c>
      <c r="O145" s="4">
        <f t="shared" si="213"/>
        <v>0.63</v>
      </c>
      <c r="P145" s="9">
        <f t="shared" si="214"/>
        <v>0.99750000000000005</v>
      </c>
      <c r="Q145" s="5">
        <f t="shared" si="194"/>
        <v>36859</v>
      </c>
      <c r="R145" s="4">
        <f t="shared" si="186"/>
        <v>1</v>
      </c>
      <c r="S145" s="158">
        <f>_xll.xSPRDOPT($L145,$J145,$I145,$M145,$O145,$N145,$P145,$Q145-$C$3,$R145,0)</f>
        <v>5.9058031642160377E-2</v>
      </c>
      <c r="T145" s="159">
        <f>_xll.xSPRDOPT($L145,$J145,$I145,$M145,$O145,$N145,$P145,$Q145-$C$3,$R145,1)*H145</f>
        <v>-550277.8340712958</v>
      </c>
      <c r="U145" s="160">
        <f t="shared" si="187"/>
        <v>-59058.031642160378</v>
      </c>
      <c r="V145" s="159">
        <f>_xll.xSPRDOPT($L145,$J145,$I145,$M145,$O145,$N145,$P145,$Q145-$C$3,$R145,2)*H145</f>
        <v>539980.3069503135</v>
      </c>
      <c r="W145" s="159">
        <f t="shared" si="188"/>
        <v>-10297.527120982297</v>
      </c>
      <c r="X145" s="51" t="str">
        <f t="shared" si="195"/>
        <v>36861IF-NNG/VENT</v>
      </c>
      <c r="Y145" s="418">
        <f t="shared" si="196"/>
        <v>-100</v>
      </c>
      <c r="Z145" s="456">
        <f t="shared" si="197"/>
        <v>0.55027783407129582</v>
      </c>
      <c r="AA145" s="456">
        <f>_xll.xSPRDOPT($L145,$J145,$I145,$M145,$O145,$N145,$P145,$Q145-$C$3,$R145,3)</f>
        <v>3.035944933604239</v>
      </c>
      <c r="AB145" s="456">
        <f>((_xll.xSPRDOPT($L145+AB$5,$J145,$I145,$M145,$O145,$N145,$P145,$Q145-$C$3,$R145,3)*$H145)/10000)/100</f>
        <v>-3.035944933604239</v>
      </c>
      <c r="AC145" s="456">
        <f>((_xll.xSPRDOPT($L145+$AB$5,$J145,$I145,$M145,$O145,$N145,$P145,$Q145-$C$3,$R145,7)*$H145)/100)</f>
        <v>67085.219703447176</v>
      </c>
      <c r="AD145" s="456">
        <f>(_xll.xSPRDOPT($L145+$AB$5,$J145,$I145,$M145,$O145,$N145,$P145,$Q145-$C$3,$R145,9)/365)*$H145</f>
        <v>258.23501544535264</v>
      </c>
      <c r="AE145">
        <f t="shared" si="198"/>
        <v>0</v>
      </c>
      <c r="AF145" s="456">
        <f t="shared" si="199"/>
        <v>-825.25253864798015</v>
      </c>
      <c r="AG145" s="456">
        <f>((_xll.xSPRDOPT($L145,$J145,$I145,$M145,$O145,$N145,$P145,$Q145-$C$3,$R145,6)*$H145)/100)</f>
        <v>5044.6808920677067</v>
      </c>
      <c r="AH145" s="456">
        <f>((_xll.xSPRDOPT($L145,$J145,$I145,$M145,$O145,$N145,$P145,$Q145-$C$3,$R145,5)*$H145)/100)</f>
        <v>-5590.4127911577971</v>
      </c>
      <c r="AI145" s="456">
        <f>(((_xll.xSPRDOPT($L145,$J145,$I145,$M145,$O145,$N145,$P145,$Q145-$C$3,$R145,4)*$H145)/10000)/100)-AB145</f>
        <v>-2.2177547638302375E-2</v>
      </c>
      <c r="AJ145" s="456"/>
      <c r="AK145" s="456"/>
      <c r="AL145" s="456"/>
      <c r="AM145" s="472"/>
      <c r="AN145" s="41">
        <f t="shared" si="203"/>
        <v>40940</v>
      </c>
      <c r="AO145" s="43">
        <f t="shared" si="209"/>
        <v>0</v>
      </c>
      <c r="AP145" s="43">
        <f t="shared" si="209"/>
        <v>0</v>
      </c>
      <c r="AQ145" s="43">
        <f t="shared" si="209"/>
        <v>0</v>
      </c>
      <c r="AR145" s="43">
        <f t="shared" si="209"/>
        <v>0</v>
      </c>
      <c r="AS145" s="43">
        <f t="shared" si="209"/>
        <v>0</v>
      </c>
      <c r="AT145" s="43">
        <f t="shared" si="209"/>
        <v>0</v>
      </c>
      <c r="AU145" s="43">
        <f t="shared" si="209"/>
        <v>0</v>
      </c>
      <c r="AV145" s="43">
        <f t="shared" si="209"/>
        <v>0</v>
      </c>
      <c r="AW145" s="43">
        <f t="shared" si="209"/>
        <v>0</v>
      </c>
      <c r="AX145" s="43">
        <f t="shared" si="209"/>
        <v>0</v>
      </c>
      <c r="AY145" s="43">
        <f t="shared" si="209"/>
        <v>0</v>
      </c>
      <c r="AZ145" s="43">
        <f t="shared" si="209"/>
        <v>0</v>
      </c>
      <c r="BA145" s="44">
        <f t="shared" si="209"/>
        <v>0</v>
      </c>
      <c r="BB145" s="41">
        <f t="shared" si="204"/>
        <v>40940</v>
      </c>
      <c r="BC145" s="44">
        <f t="shared" si="205"/>
        <v>0</v>
      </c>
      <c r="BE145" s="41">
        <f t="shared" si="206"/>
        <v>40940</v>
      </c>
      <c r="BF145" s="43">
        <f t="shared" si="210"/>
        <v>0</v>
      </c>
      <c r="BG145" s="43">
        <f t="shared" si="210"/>
        <v>0</v>
      </c>
      <c r="BH145" s="43">
        <f t="shared" si="210"/>
        <v>0</v>
      </c>
      <c r="BI145" s="43">
        <f t="shared" si="210"/>
        <v>0</v>
      </c>
      <c r="BJ145" s="43">
        <f t="shared" si="210"/>
        <v>0</v>
      </c>
      <c r="BK145" s="43">
        <f t="shared" si="210"/>
        <v>0</v>
      </c>
      <c r="BL145" s="43">
        <f t="shared" si="210"/>
        <v>0</v>
      </c>
      <c r="BM145" s="43">
        <f t="shared" si="210"/>
        <v>0</v>
      </c>
      <c r="BN145" s="43">
        <f t="shared" si="210"/>
        <v>0</v>
      </c>
      <c r="BO145" s="43">
        <f t="shared" si="210"/>
        <v>0</v>
      </c>
      <c r="BP145" s="43">
        <f t="shared" si="210"/>
        <v>0</v>
      </c>
      <c r="BQ145" s="43">
        <f t="shared" si="210"/>
        <v>0</v>
      </c>
      <c r="BR145" s="44">
        <f t="shared" si="210"/>
        <v>0</v>
      </c>
      <c r="BS145" s="41">
        <f t="shared" si="207"/>
        <v>40940</v>
      </c>
      <c r="BT145" s="44">
        <f t="shared" si="208"/>
        <v>0</v>
      </c>
      <c r="CC145" s="141">
        <f t="shared" si="192"/>
        <v>36861</v>
      </c>
      <c r="CD145" s="234">
        <f>_xll.xSPRDOPT((VLOOKUP(G145,NGPrices,2,FALSE)+HLOOKUP(D145,Prices,VLOOKUP(G145,move_down,2,FALSE),FALSE)),VLOOKUP(G145,NGPrices,2,FALSE),I145,VLOOKUP(G145,NGPREVPRICES,4,FALSE),HLOOKUP(D145,PREVVOLS,VLOOKUP(G145,MOVE_DOWN2,2,FALSE),FALSE),VLOOKUP(G145,NGPREVPRICES,3,FALSE),HLOOKUP(D145,Correllate,VLOOKUP(G145,CorMove,2,FALSE),FALSE),Q145-$CD$3,R145,$CD$5)*H145-CJ145</f>
        <v>0</v>
      </c>
      <c r="CE145" s="234">
        <f>_xll.xSPRDOPT((VLOOKUP(G145,NGPREVPRICES,2,FALSE)+HLOOKUP(D145,PREVCURVES,VLOOKUP(G145,MOVE_DOWN2,2,FALSE),FALSE)),VLOOKUP(G145,NGPREVPRICES,2,FALSE),CK145,VLOOKUP(G145,NGPrices,4,FALSE),HLOOKUP(D145,PREVVOLS,VLOOKUP(G145,MOVE_DOWN2,2,FALSE),FALSE),VLOOKUP(G145,NGPREVPRICES,3,FALSE),HLOOKUP(D145,Correllate,VLOOKUP(G145,CorMove,2,FALSE),FALSE),Q145-$CD$3,R145,$CJ$5)*H145-CJ145</f>
        <v>0</v>
      </c>
      <c r="CF145" s="10">
        <f t="shared" si="189"/>
        <v>11.112010873723193</v>
      </c>
      <c r="CG145" s="234">
        <f>_xll.xSPRDOPT((VLOOKUP(G145,NGPREVPRICES,2,FALSE)+HLOOKUP(D145,PREVCURVES,VLOOKUP(G145,MOVE_DOWN2,2,FALSE),FALSE)),VLOOKUP(G145,NGPREVPRICES,2,FALSE),CK145,VLOOKUP(G145,NGPREVPRICES,4,FALSE),HLOOKUP(D145,VOLS,VLOOKUP(G145,move_down,2,FALSE),FALSE),VLOOKUP(G145,NGPrices,3,FALSE),HLOOKUP(D145,Correllate,VLOOKUP(G145,CorMove,2,FALSE),FALSE),Q145-$CD$3,R145,$CJ$5)*H145-CJ145</f>
        <v>0</v>
      </c>
      <c r="CH145" s="234">
        <f>_xll.xSPRDOPT((VLOOKUP(G145,NGPREVPRICES,2,FALSE)+HLOOKUP(D145,PREVCURVES,VLOOKUP(G145,MOVE_DOWN2,2,FALSE),FALSE)),VLOOKUP(G145,NGPREVPRICES,2,FALSE),CK145,VLOOKUP(G145,NGPREVPRICES,4,FALSE),HLOOKUP(D145,PREVVOLS,VLOOKUP(G145,MOVE_DOWN2,2,FALSE),FALSE),VLOOKUP(G145,NGPREVPRICES,3,FALSE),HLOOKUP(D145,Correllate,VLOOKUP(G145,CorMove,2,FALSE),FALSE),Q145-$C$3,R145,$CJ$5)*H145-CJ145</f>
        <v>257.29530680962489</v>
      </c>
      <c r="CI145" s="234">
        <f t="shared" si="190"/>
        <v>268.40731768334808</v>
      </c>
      <c r="CJ145" s="234">
        <f>_xll.xSPRDOPT((VLOOKUP(G145,NGPREVPRICES,2,FALSE)+HLOOKUP(D145,PREVCURVES,VLOOKUP(G145,MOVE_DOWN2,2,FALSE),FALSE)),VLOOKUP(G145,NGPREVPRICES,2,FALSE),CK145,VLOOKUP(G145,NGPREVPRICES,4,FALSE),HLOOKUP(D145,PREVVOLS,VLOOKUP(G145,MOVE_DOWN2,2,FALSE),FALSE),VLOOKUP(G145,NGPREVPRICES,3,FALSE),HLOOKUP(D145,Correllate,VLOOKUP(G145,CorMove,2,FALSE),FALSE),Q145-$CD$3,R145,$CJ$5)*H145</f>
        <v>-59315.326948970003</v>
      </c>
      <c r="CK145" s="235">
        <f t="shared" si="193"/>
        <v>0</v>
      </c>
      <c r="CL145" s="234"/>
      <c r="CM145" t="str">
        <f t="shared" si="191"/>
        <v>36861Curve Shift/Gamma</v>
      </c>
      <c r="CN145" t="str">
        <f t="shared" si="176"/>
        <v>36861Rho</v>
      </c>
      <c r="CO145" t="str">
        <f t="shared" si="177"/>
        <v>36861Drift</v>
      </c>
      <c r="CP145" t="str">
        <f t="shared" si="178"/>
        <v>36861Vega</v>
      </c>
      <c r="CQ145" t="str">
        <f t="shared" si="179"/>
        <v>36861Theta</v>
      </c>
    </row>
    <row r="146" spans="1:95" ht="12" customHeight="1" x14ac:dyDescent="0.25">
      <c r="A146" s="382" t="s">
        <v>279</v>
      </c>
      <c r="B146" t="s">
        <v>250</v>
      </c>
      <c r="C146" t="s">
        <v>329</v>
      </c>
      <c r="D146" s="4" t="s">
        <v>325</v>
      </c>
      <c r="E146" t="s">
        <v>20</v>
      </c>
      <c r="F146" t="s">
        <v>21</v>
      </c>
      <c r="G146" s="5">
        <v>36831</v>
      </c>
      <c r="H146" s="130">
        <v>-1000000</v>
      </c>
      <c r="I146">
        <v>0</v>
      </c>
      <c r="J146" s="53">
        <f t="shared" si="200"/>
        <v>4.7359999999999998</v>
      </c>
      <c r="K146" s="7">
        <f t="shared" si="201"/>
        <v>-2.5000000000000001E-3</v>
      </c>
      <c r="L146" s="53">
        <f t="shared" si="202"/>
        <v>4.7334999999999994</v>
      </c>
      <c r="M146" s="157">
        <f t="shared" si="211"/>
        <v>6.810675983792E-2</v>
      </c>
      <c r="N146" s="4">
        <f t="shared" si="212"/>
        <v>0.59499999999999997</v>
      </c>
      <c r="O146" s="4">
        <f t="shared" si="213"/>
        <v>0.625</v>
      </c>
      <c r="P146" s="9">
        <f t="shared" si="214"/>
        <v>0.99750000000000005</v>
      </c>
      <c r="Q146" s="5">
        <f t="shared" si="194"/>
        <v>36829</v>
      </c>
      <c r="R146" s="4">
        <f t="shared" si="186"/>
        <v>1</v>
      </c>
      <c r="S146" s="158">
        <f>_xll.xSPRDOPT($L146,$J146,$I146,$M146,$O146,$N146,$P146,$Q146-$C$3,$R146,0)</f>
        <v>3.9185934235893977E-2</v>
      </c>
      <c r="T146" s="159">
        <f>_xll.xSPRDOPT($L146,$J146,$I146,$M146,$O146,$N146,$P146,$Q146-$C$3,$R146,1)*H146</f>
        <v>-488899.33565991127</v>
      </c>
      <c r="U146" s="160">
        <f t="shared" si="187"/>
        <v>-39185.934235893976</v>
      </c>
      <c r="V146" s="159">
        <f>_xll.xSPRDOPT($L146,$J146,$I146,$M146,$O146,$N146,$P146,$Q146-$C$3,$R146,2)*H146</f>
        <v>480367.20907659561</v>
      </c>
      <c r="W146" s="159">
        <f t="shared" si="188"/>
        <v>-8532.1265833156649</v>
      </c>
      <c r="X146" s="51" t="str">
        <f t="shared" si="195"/>
        <v>36831IF-NNG/VENT</v>
      </c>
      <c r="Y146" s="418">
        <f t="shared" si="196"/>
        <v>-100</v>
      </c>
      <c r="Z146" s="456">
        <f t="shared" si="197"/>
        <v>0.48889933565991128</v>
      </c>
      <c r="AA146" s="456">
        <f>_xll.xSPRDOPT($L146,$J146,$I146,$M146,$O146,$N146,$P146,$Q146-$C$3,$R146,3)</f>
        <v>3.8491142305486035</v>
      </c>
      <c r="AB146" s="456">
        <f>((_xll.xSPRDOPT($L146+AB$5,$J146,$I146,$M146,$O146,$N146,$P146,$Q146-$C$3,$R146,3)*$H146)/10000)/100</f>
        <v>-3.8491142305486035</v>
      </c>
      <c r="AC146" s="456">
        <f>((_xll.xSPRDOPT($L146+$AB$5,$J146,$I146,$M146,$O146,$N146,$P146,$Q146-$C$3,$R146,7)*$H146)/100)</f>
        <v>54440.741237630049</v>
      </c>
      <c r="AD146" s="456">
        <f>(_xll.xSPRDOPT($L146+$AB$5,$J146,$I146,$M146,$O146,$N146,$P146,$Q146-$C$3,$R146,9)/365)*$H146</f>
        <v>318.68472499733844</v>
      </c>
      <c r="AE146">
        <f t="shared" si="198"/>
        <v>0</v>
      </c>
      <c r="AF146" s="456">
        <f t="shared" si="199"/>
        <v>-678.92278694896049</v>
      </c>
      <c r="AG146" s="456">
        <f>((_xll.xSPRDOPT($L146,$J146,$I146,$M146,$O146,$N146,$P146,$Q146-$C$3,$R146,6)*$H146)/100)</f>
        <v>4163.1149497362603</v>
      </c>
      <c r="AH146" s="456">
        <f>((_xll.xSPRDOPT($L146,$J146,$I146,$M146,$O146,$N146,$P146,$Q146-$C$3,$R146,5)*$H146)/100)</f>
        <v>-4609.6199253243303</v>
      </c>
      <c r="AI146" s="456">
        <f>(((_xll.xSPRDOPT($L146,$J146,$I146,$M146,$O146,$N146,$P146,$Q146-$C$3,$R146,4)*$H146)/10000)/100)-AB146</f>
        <v>4.0624982287518208E-3</v>
      </c>
      <c r="AJ146" s="456"/>
      <c r="AK146" s="456"/>
      <c r="AL146" s="456"/>
      <c r="AM146" s="472"/>
      <c r="AN146" s="41">
        <f t="shared" si="203"/>
        <v>40969</v>
      </c>
      <c r="AO146" s="43">
        <f t="shared" si="209"/>
        <v>0</v>
      </c>
      <c r="AP146" s="43">
        <f t="shared" si="209"/>
        <v>0</v>
      </c>
      <c r="AQ146" s="43">
        <f t="shared" si="209"/>
        <v>0</v>
      </c>
      <c r="AR146" s="43">
        <f t="shared" si="209"/>
        <v>0</v>
      </c>
      <c r="AS146" s="43">
        <f t="shared" si="209"/>
        <v>0</v>
      </c>
      <c r="AT146" s="43">
        <f t="shared" si="209"/>
        <v>0</v>
      </c>
      <c r="AU146" s="43">
        <f t="shared" si="209"/>
        <v>0</v>
      </c>
      <c r="AV146" s="43">
        <f t="shared" si="209"/>
        <v>0</v>
      </c>
      <c r="AW146" s="43">
        <f t="shared" si="209"/>
        <v>0</v>
      </c>
      <c r="AX146" s="43">
        <f t="shared" si="209"/>
        <v>0</v>
      </c>
      <c r="AY146" s="43">
        <f t="shared" si="209"/>
        <v>0</v>
      </c>
      <c r="AZ146" s="43">
        <f t="shared" si="209"/>
        <v>0</v>
      </c>
      <c r="BA146" s="44">
        <f t="shared" si="209"/>
        <v>0</v>
      </c>
      <c r="BB146" s="41">
        <f t="shared" si="204"/>
        <v>40969</v>
      </c>
      <c r="BC146" s="44">
        <f t="shared" si="205"/>
        <v>0</v>
      </c>
      <c r="BE146" s="41">
        <f t="shared" si="206"/>
        <v>40969</v>
      </c>
      <c r="BF146" s="43">
        <f t="shared" si="210"/>
        <v>0</v>
      </c>
      <c r="BG146" s="43">
        <f t="shared" si="210"/>
        <v>0</v>
      </c>
      <c r="BH146" s="43">
        <f t="shared" si="210"/>
        <v>0</v>
      </c>
      <c r="BI146" s="43">
        <f t="shared" si="210"/>
        <v>0</v>
      </c>
      <c r="BJ146" s="43">
        <f t="shared" si="210"/>
        <v>0</v>
      </c>
      <c r="BK146" s="43">
        <f t="shared" si="210"/>
        <v>0</v>
      </c>
      <c r="BL146" s="43">
        <f t="shared" si="210"/>
        <v>0</v>
      </c>
      <c r="BM146" s="43">
        <f t="shared" si="210"/>
        <v>0</v>
      </c>
      <c r="BN146" s="43">
        <f t="shared" si="210"/>
        <v>0</v>
      </c>
      <c r="BO146" s="43">
        <f t="shared" si="210"/>
        <v>0</v>
      </c>
      <c r="BP146" s="43">
        <f t="shared" si="210"/>
        <v>0</v>
      </c>
      <c r="BQ146" s="43">
        <f t="shared" si="210"/>
        <v>0</v>
      </c>
      <c r="BR146" s="44">
        <f t="shared" si="210"/>
        <v>0</v>
      </c>
      <c r="BS146" s="41">
        <f t="shared" si="207"/>
        <v>40969</v>
      </c>
      <c r="BT146" s="44">
        <f t="shared" si="208"/>
        <v>0</v>
      </c>
      <c r="CC146" s="141">
        <f t="shared" si="192"/>
        <v>36831</v>
      </c>
      <c r="CD146" s="234">
        <f>_xll.xSPRDOPT((VLOOKUP(G146,NGPrices,2,FALSE)+HLOOKUP(D146,Prices,VLOOKUP(G146,move_down,2,FALSE),FALSE)),VLOOKUP(G146,NGPrices,2,FALSE),I146,VLOOKUP(G146,NGPREVPRICES,4,FALSE),HLOOKUP(D146,PREVVOLS,VLOOKUP(G146,MOVE_DOWN2,2,FALSE),FALSE),VLOOKUP(G146,NGPREVPRICES,3,FALSE),HLOOKUP(D146,Correllate,VLOOKUP(G146,CorMove,2,FALSE),FALSE),Q146-$CD$3,R146,$CD$5)*H146-CJ146</f>
        <v>0</v>
      </c>
      <c r="CE146" s="234">
        <f>_xll.xSPRDOPT((VLOOKUP(G146,NGPREVPRICES,2,FALSE)+HLOOKUP(D146,PREVCURVES,VLOOKUP(G146,MOVE_DOWN2,2,FALSE),FALSE)),VLOOKUP(G146,NGPREVPRICES,2,FALSE),CK146,VLOOKUP(G146,NGPrices,4,FALSE),HLOOKUP(D146,PREVVOLS,VLOOKUP(G146,MOVE_DOWN2,2,FALSE),FALSE),VLOOKUP(G146,NGPREVPRICES,3,FALSE),HLOOKUP(D146,Correllate,VLOOKUP(G146,CorMove,2,FALSE),FALSE),Q146-$CD$3,R146,$CJ$5)*H146-CJ146</f>
        <v>0</v>
      </c>
      <c r="CF146" s="10">
        <f t="shared" si="189"/>
        <v>7.3361347850295715</v>
      </c>
      <c r="CG146" s="234">
        <f>_xll.xSPRDOPT((VLOOKUP(G146,NGPREVPRICES,2,FALSE)+HLOOKUP(D146,PREVCURVES,VLOOKUP(G146,MOVE_DOWN2,2,FALSE),FALSE)),VLOOKUP(G146,NGPREVPRICES,2,FALSE),CK146,VLOOKUP(G146,NGPREVPRICES,4,FALSE),HLOOKUP(D146,VOLS,VLOOKUP(G146,move_down,2,FALSE),FALSE),VLOOKUP(G146,NGPrices,3,FALSE),HLOOKUP(D146,Correllate,VLOOKUP(G146,CorMove,2,FALSE),FALSE),Q146-$CD$3,R146,$CJ$5)*H146-CJ146</f>
        <v>0</v>
      </c>
      <c r="CH146" s="234">
        <f>_xll.xSPRDOPT((VLOOKUP(G146,NGPREVPRICES,2,FALSE)+HLOOKUP(D146,PREVCURVES,VLOOKUP(G146,MOVE_DOWN2,2,FALSE),FALSE)),VLOOKUP(G146,NGPREVPRICES,2,FALSE),CK146,VLOOKUP(G146,NGPREVPRICES,4,FALSE),HLOOKUP(D146,PREVVOLS,VLOOKUP(G146,MOVE_DOWN2,2,FALSE),FALSE),VLOOKUP(G146,NGPREVPRICES,3,FALSE),HLOOKUP(D146,Correllate,VLOOKUP(G146,CorMove,2,FALSE),FALSE),Q146-$C$3,R146,$CJ$5)*H146-CJ146</f>
        <v>317.10428297727776</v>
      </c>
      <c r="CI146" s="234">
        <f t="shared" si="190"/>
        <v>324.44041776230733</v>
      </c>
      <c r="CJ146" s="234">
        <f>_xll.xSPRDOPT((VLOOKUP(G146,NGPREVPRICES,2,FALSE)+HLOOKUP(D146,PREVCURVES,VLOOKUP(G146,MOVE_DOWN2,2,FALSE),FALSE)),VLOOKUP(G146,NGPREVPRICES,2,FALSE),CK146,VLOOKUP(G146,NGPREVPRICES,4,FALSE),HLOOKUP(D146,PREVVOLS,VLOOKUP(G146,MOVE_DOWN2,2,FALSE),FALSE),VLOOKUP(G146,NGPREVPRICES,3,FALSE),HLOOKUP(D146,Correllate,VLOOKUP(G146,CorMove,2,FALSE),FALSE),Q146-$CD$3,R146,$CJ$5)*H146</f>
        <v>-39503.038518871253</v>
      </c>
      <c r="CK146" s="235">
        <f t="shared" si="193"/>
        <v>0</v>
      </c>
      <c r="CL146" s="234"/>
      <c r="CM146" t="str">
        <f t="shared" si="191"/>
        <v>36831Curve Shift/Gamma</v>
      </c>
      <c r="CN146" t="str">
        <f t="shared" si="176"/>
        <v>36831Rho</v>
      </c>
      <c r="CO146" t="str">
        <f t="shared" si="177"/>
        <v>36831Drift</v>
      </c>
      <c r="CP146" t="str">
        <f t="shared" si="178"/>
        <v>36831Vega</v>
      </c>
      <c r="CQ146" t="str">
        <f t="shared" si="179"/>
        <v>36831Theta</v>
      </c>
    </row>
    <row r="147" spans="1:95" ht="12" customHeight="1" x14ac:dyDescent="0.25">
      <c r="A147" s="382" t="s">
        <v>279</v>
      </c>
      <c r="B147" t="s">
        <v>250</v>
      </c>
      <c r="C147" t="s">
        <v>329</v>
      </c>
      <c r="D147" s="4" t="s">
        <v>325</v>
      </c>
      <c r="E147" t="s">
        <v>20</v>
      </c>
      <c r="F147" t="s">
        <v>21</v>
      </c>
      <c r="G147" s="5">
        <v>36800</v>
      </c>
      <c r="H147" s="130">
        <v>-1000000</v>
      </c>
      <c r="I147">
        <v>0</v>
      </c>
      <c r="J147" s="53">
        <f t="shared" si="200"/>
        <v>4.6920000000000002</v>
      </c>
      <c r="K147" s="7">
        <f t="shared" si="201"/>
        <v>-0.09</v>
      </c>
      <c r="L147" s="53">
        <f t="shared" si="202"/>
        <v>4.6020000000000003</v>
      </c>
      <c r="M147" s="157">
        <f t="shared" si="211"/>
        <v>6.8050789414654006E-2</v>
      </c>
      <c r="N147" s="4">
        <f t="shared" si="212"/>
        <v>0.57499999999999996</v>
      </c>
      <c r="O147" s="4">
        <f t="shared" si="213"/>
        <v>0.57499999999999996</v>
      </c>
      <c r="P147" s="9">
        <f t="shared" si="214"/>
        <v>0.99750000000000005</v>
      </c>
      <c r="Q147" s="5">
        <f t="shared" si="194"/>
        <v>36797</v>
      </c>
      <c r="R147" s="4">
        <f t="shared" si="186"/>
        <v>1</v>
      </c>
      <c r="S147" s="158">
        <f>_xll.xSPRDOPT($L147,$J147,$I147,$M147,$O147,$N147,$P147,$Q147-$C$3,$R147,0)</f>
        <v>1.0792874875249986E-3</v>
      </c>
      <c r="T147" s="159">
        <f>_xll.xSPRDOPT($L147,$J147,$I147,$M147,$O147,$N147,$P147,$Q147-$C$3,$R147,1)*H147</f>
        <v>-48557.953750912144</v>
      </c>
      <c r="U147" s="160">
        <f t="shared" si="187"/>
        <v>-1079.2874875249986</v>
      </c>
      <c r="V147" s="159">
        <f>_xll.xSPRDOPT($L147,$J147,$I147,$M147,$O147,$N147,$P147,$Q147-$C$3,$R147,2)*H147</f>
        <v>47396.508005984178</v>
      </c>
      <c r="W147" s="159">
        <f t="shared" si="188"/>
        <v>-1161.4457449279653</v>
      </c>
      <c r="X147" s="51" t="str">
        <f t="shared" si="195"/>
        <v>36800IF-NNG/VENT</v>
      </c>
      <c r="Y147" s="418">
        <f t="shared" si="196"/>
        <v>-100</v>
      </c>
      <c r="Z147" s="456">
        <f t="shared" si="197"/>
        <v>4.8557953750912146E-2</v>
      </c>
      <c r="AA147" s="456">
        <f>_xll.xSPRDOPT($L147,$J147,$I147,$M147,$O147,$N147,$P147,$Q147-$C$3,$R147,3)</f>
        <v>1.8767583471962377</v>
      </c>
      <c r="AB147" s="456">
        <f>((_xll.xSPRDOPT($L147+AB$5,$J147,$I147,$M147,$O147,$N147,$P147,$Q147-$C$3,$R147,3)*$H147)/10000)/100</f>
        <v>-1.8767583471962377</v>
      </c>
      <c r="AC147" s="456">
        <f>((_xll.xSPRDOPT($L147+$AB$5,$J147,$I147,$M147,$O147,$N147,$P147,$Q147-$C$3,$R147,7)*$H147)/100)</f>
        <v>10793.678040589333</v>
      </c>
      <c r="AD147" s="456">
        <f>(_xll.xSPRDOPT($L147+$AB$5,$J147,$I147,$M147,$O147,$N147,$P147,$Q147-$C$3,$R147,9)/365)*$H147</f>
        <v>89.807683704324546</v>
      </c>
      <c r="AE147">
        <f t="shared" si="198"/>
        <v>0</v>
      </c>
      <c r="AF147" s="456">
        <f t="shared" si="199"/>
        <v>-93.85809944340545</v>
      </c>
      <c r="AG147" s="456">
        <f>((_xll.xSPRDOPT($L147,$J147,$I147,$M147,$O147,$N147,$P147,$Q147-$C$3,$R147,6)*$H147)/100)</f>
        <v>-46.926571140916778</v>
      </c>
      <c r="AH147" s="456">
        <f>((_xll.xSPRDOPT($L147,$J147,$I147,$M147,$O147,$N147,$P147,$Q147-$C$3,$R147,5)*$H147)/100)</f>
        <v>-46.93152830248868</v>
      </c>
      <c r="AI147" s="456">
        <f>(((_xll.xSPRDOPT($L147,$J147,$I147,$M147,$O147,$N147,$P147,$Q147-$C$3,$R147,4)*$H147)/10000)/100)-AB147</f>
        <v>7.1307853749293715E-2</v>
      </c>
      <c r="AJ147" s="456"/>
      <c r="AK147" s="456"/>
      <c r="AL147" s="456"/>
      <c r="AM147" s="472"/>
      <c r="AN147" s="41">
        <f t="shared" si="203"/>
        <v>41000</v>
      </c>
      <c r="AO147" s="43">
        <f t="shared" ref="AO147:BA156" si="215">SUMIF($X:$X,CONCATENATE($AN147,AO$6),$T:$T)/10000</f>
        <v>0</v>
      </c>
      <c r="AP147" s="43">
        <f t="shared" si="215"/>
        <v>0</v>
      </c>
      <c r="AQ147" s="43">
        <f t="shared" si="215"/>
        <v>0</v>
      </c>
      <c r="AR147" s="43">
        <f t="shared" si="215"/>
        <v>0</v>
      </c>
      <c r="AS147" s="43">
        <f t="shared" si="215"/>
        <v>0</v>
      </c>
      <c r="AT147" s="43">
        <f t="shared" si="215"/>
        <v>0</v>
      </c>
      <c r="AU147" s="43">
        <f t="shared" si="215"/>
        <v>0</v>
      </c>
      <c r="AV147" s="43">
        <f t="shared" si="215"/>
        <v>0</v>
      </c>
      <c r="AW147" s="43">
        <f t="shared" si="215"/>
        <v>0</v>
      </c>
      <c r="AX147" s="43">
        <f t="shared" si="215"/>
        <v>0</v>
      </c>
      <c r="AY147" s="43">
        <f t="shared" si="215"/>
        <v>0</v>
      </c>
      <c r="AZ147" s="43">
        <f t="shared" si="215"/>
        <v>0</v>
      </c>
      <c r="BA147" s="44">
        <f t="shared" si="215"/>
        <v>0</v>
      </c>
      <c r="BB147" s="41">
        <f t="shared" si="204"/>
        <v>41000</v>
      </c>
      <c r="BC147" s="44">
        <f t="shared" si="205"/>
        <v>0</v>
      </c>
      <c r="BE147" s="41">
        <f t="shared" si="206"/>
        <v>41000</v>
      </c>
      <c r="BF147" s="43">
        <f t="shared" ref="BF147:BR156" si="216">SUMIF($X:$X,CONCATENATE($AN147,BF$6),$W:$W)</f>
        <v>0</v>
      </c>
      <c r="BG147" s="43">
        <f t="shared" si="216"/>
        <v>0</v>
      </c>
      <c r="BH147" s="43">
        <f t="shared" si="216"/>
        <v>0</v>
      </c>
      <c r="BI147" s="43">
        <f t="shared" si="216"/>
        <v>0</v>
      </c>
      <c r="BJ147" s="43">
        <f t="shared" si="216"/>
        <v>0</v>
      </c>
      <c r="BK147" s="43">
        <f t="shared" si="216"/>
        <v>0</v>
      </c>
      <c r="BL147" s="43">
        <f t="shared" si="216"/>
        <v>0</v>
      </c>
      <c r="BM147" s="43">
        <f t="shared" si="216"/>
        <v>0</v>
      </c>
      <c r="BN147" s="43">
        <f t="shared" si="216"/>
        <v>0</v>
      </c>
      <c r="BO147" s="43">
        <f t="shared" si="216"/>
        <v>0</v>
      </c>
      <c r="BP147" s="43">
        <f t="shared" si="216"/>
        <v>0</v>
      </c>
      <c r="BQ147" s="43">
        <f t="shared" si="216"/>
        <v>0</v>
      </c>
      <c r="BR147" s="44">
        <f t="shared" si="216"/>
        <v>0</v>
      </c>
      <c r="BS147" s="41">
        <f t="shared" si="207"/>
        <v>41000</v>
      </c>
      <c r="BT147" s="44">
        <f t="shared" si="208"/>
        <v>0</v>
      </c>
      <c r="CC147" s="141">
        <f t="shared" si="192"/>
        <v>36800</v>
      </c>
      <c r="CD147" s="234">
        <f>_xll.xSPRDOPT((VLOOKUP(G147,NGPrices,2,FALSE)+HLOOKUP(D147,Prices,VLOOKUP(G147,move_down,2,FALSE),FALSE)),VLOOKUP(G147,NGPrices,2,FALSE),I147,VLOOKUP(G147,NGPREVPRICES,4,FALSE),HLOOKUP(D147,PREVVOLS,VLOOKUP(G147,MOVE_DOWN2,2,FALSE),FALSE),VLOOKUP(G147,NGPREVPRICES,3,FALSE),HLOOKUP(D147,Correllate,VLOOKUP(G147,CorMove,2,FALSE),FALSE),Q147-$CD$3,R147,$CD$5)*H147-CJ147</f>
        <v>0</v>
      </c>
      <c r="CE147" s="234">
        <f>_xll.xSPRDOPT((VLOOKUP(G147,NGPREVPRICES,2,FALSE)+HLOOKUP(D147,PREVCURVES,VLOOKUP(G147,MOVE_DOWN2,2,FALSE),FALSE)),VLOOKUP(G147,NGPREVPRICES,2,FALSE),CK147,VLOOKUP(G147,NGPrices,4,FALSE),HLOOKUP(D147,PREVVOLS,VLOOKUP(G147,MOVE_DOWN2,2,FALSE),FALSE),VLOOKUP(G147,NGPREVPRICES,3,FALSE),HLOOKUP(D147,Correllate,VLOOKUP(G147,CorMove,2,FALSE),FALSE),Q147-$CD$3,R147,$CJ$5)*H147-CJ147</f>
        <v>0</v>
      </c>
      <c r="CF147" s="10">
        <f t="shared" si="189"/>
        <v>0.21575398244885946</v>
      </c>
      <c r="CG147" s="234">
        <f>_xll.xSPRDOPT((VLOOKUP(G147,NGPREVPRICES,2,FALSE)+HLOOKUP(D147,PREVCURVES,VLOOKUP(G147,MOVE_DOWN2,2,FALSE),FALSE)),VLOOKUP(G147,NGPREVPRICES,2,FALSE),CK147,VLOOKUP(G147,NGPREVPRICES,4,FALSE),HLOOKUP(D147,VOLS,VLOOKUP(G147,move_down,2,FALSE),FALSE),VLOOKUP(G147,NGPrices,3,FALSE),HLOOKUP(D147,Correllate,VLOOKUP(G147,CorMove,2,FALSE),FALSE),Q147-$CD$3,R147,$CJ$5)*H147-CJ147</f>
        <v>0</v>
      </c>
      <c r="CH147" s="234">
        <f>_xll.xSPRDOPT((VLOOKUP(G147,NGPREVPRICES,2,FALSE)+HLOOKUP(D147,PREVCURVES,VLOOKUP(G147,MOVE_DOWN2,2,FALSE),FALSE)),VLOOKUP(G147,NGPREVPRICES,2,FALSE),CK147,VLOOKUP(G147,NGPREVPRICES,4,FALSE),HLOOKUP(D147,PREVVOLS,VLOOKUP(G147,MOVE_DOWN2,2,FALSE),FALSE),VLOOKUP(G147,NGPREVPRICES,3,FALSE),HLOOKUP(D147,Correllate,VLOOKUP(G147,CorMove,2,FALSE),FALSE),Q147-$C$3,R147,$CJ$5)*H147-CJ147</f>
        <v>91.025862899561389</v>
      </c>
      <c r="CI147" s="234">
        <f t="shared" si="190"/>
        <v>91.241616882010248</v>
      </c>
      <c r="CJ147" s="234">
        <f>_xll.xSPRDOPT((VLOOKUP(G147,NGPREVPRICES,2,FALSE)+HLOOKUP(D147,PREVCURVES,VLOOKUP(G147,MOVE_DOWN2,2,FALSE),FALSE)),VLOOKUP(G147,NGPREVPRICES,2,FALSE),CK147,VLOOKUP(G147,NGPREVPRICES,4,FALSE),HLOOKUP(D147,PREVVOLS,VLOOKUP(G147,MOVE_DOWN2,2,FALSE),FALSE),VLOOKUP(G147,NGPREVPRICES,3,FALSE),HLOOKUP(D147,Correllate,VLOOKUP(G147,CorMove,2,FALSE),FALSE),Q147-$CD$3,R147,$CJ$5)*H147</f>
        <v>-1170.31335042456</v>
      </c>
      <c r="CK147" s="235">
        <f t="shared" si="193"/>
        <v>0</v>
      </c>
      <c r="CL147" s="234"/>
      <c r="CM147" t="str">
        <f t="shared" si="191"/>
        <v>36800Curve Shift/Gamma</v>
      </c>
      <c r="CN147" t="str">
        <f t="shared" si="176"/>
        <v>36800Rho</v>
      </c>
      <c r="CO147" t="str">
        <f t="shared" si="177"/>
        <v>36800Drift</v>
      </c>
      <c r="CP147" t="str">
        <f t="shared" si="178"/>
        <v>36800Vega</v>
      </c>
      <c r="CQ147" t="str">
        <f t="shared" si="179"/>
        <v>36800Theta</v>
      </c>
    </row>
    <row r="148" spans="1:95" ht="12" customHeight="1" x14ac:dyDescent="0.25">
      <c r="A148" s="382" t="s">
        <v>279</v>
      </c>
      <c r="B148" t="s">
        <v>250</v>
      </c>
      <c r="C148" t="s">
        <v>329</v>
      </c>
      <c r="D148" s="4" t="s">
        <v>325</v>
      </c>
      <c r="E148" t="s">
        <v>20</v>
      </c>
      <c r="F148" t="s">
        <v>21</v>
      </c>
      <c r="G148" s="5">
        <v>36770</v>
      </c>
      <c r="H148" s="130">
        <v>-1000000</v>
      </c>
      <c r="I148">
        <v>0</v>
      </c>
      <c r="J148" s="53">
        <f t="shared" si="200"/>
        <v>4.6849999999999996</v>
      </c>
      <c r="K148" s="7">
        <f t="shared" si="201"/>
        <v>-0.11</v>
      </c>
      <c r="L148" s="53">
        <f t="shared" si="202"/>
        <v>4.5749999999999993</v>
      </c>
      <c r="M148" s="157">
        <f t="shared" ref="M148:M167" si="217">VLOOKUP(G148,NGPrices,4,FALSE)</f>
        <v>6.7216196212184998E-2</v>
      </c>
      <c r="N148" s="4">
        <f t="shared" ref="N148:N167" si="218">VLOOKUP(G148,NGPrices,3,FALSE)</f>
        <v>0.4</v>
      </c>
      <c r="O148" s="4">
        <f t="shared" ref="O148:O167" si="219">HLOOKUP(D148,VOLS,VLOOKUP(G148,move_down,2,FALSE),FALSE)</f>
        <v>0.4</v>
      </c>
      <c r="P148" s="9">
        <f t="shared" ref="P148:P167" si="220">HLOOKUP(D148,Correllate,VLOOKUP(G148,CorMove,2,FALSE),FALSE)</f>
        <v>0.99750000000000005</v>
      </c>
      <c r="Q148" s="5">
        <f t="shared" si="194"/>
        <v>36768</v>
      </c>
      <c r="R148" s="4">
        <f t="shared" si="186"/>
        <v>1</v>
      </c>
      <c r="S148" s="158">
        <f>_xll.xSPRDOPT($L148,$J148,$I148,$M148,$O148,$N148,$P148,$Q148-$C$3,$R148,0)</f>
        <v>1.0851068572543811E-61</v>
      </c>
      <c r="T148" s="159">
        <f>_xll.xSPRDOPT($L148,$J148,$I148,$M148,$O148,$N148,$P148,$Q148-$C$3,$R148,1)*H148</f>
        <v>-2.864578357936025E-52</v>
      </c>
      <c r="U148" s="160">
        <f t="shared" si="187"/>
        <v>-1.085106857254381E-55</v>
      </c>
      <c r="V148" s="159">
        <f>_xll.xSPRDOPT($L148,$J148,$I148,$M148,$O148,$N148,$P148,$Q148-$C$3,$R148,2)*H148</f>
        <v>2.7964247804000011E-52</v>
      </c>
      <c r="W148" s="159">
        <f t="shared" si="188"/>
        <v>-6.815357753602389E-54</v>
      </c>
      <c r="X148" s="51" t="str">
        <f t="shared" si="195"/>
        <v>36770IF-NNG/VENT</v>
      </c>
      <c r="Y148" s="418">
        <f t="shared" si="196"/>
        <v>-100</v>
      </c>
      <c r="Z148" s="456">
        <f t="shared" si="197"/>
        <v>2.8645783579360251E-58</v>
      </c>
      <c r="AA148" s="456">
        <f>_xll.xSPRDOPT($L148,$J148,$I148,$M148,$O148,$N148,$P148,$Q148-$C$3,$R148,3)</f>
        <v>6.4573299966254778E-55</v>
      </c>
      <c r="AB148" s="456">
        <f>((_xll.xSPRDOPT($L148+AB$5,$J148,$I148,$M148,$O148,$N148,$P148,$Q148-$C$3,$R148,3)*$H148)/10000)/100</f>
        <v>-6.4573299966254778E-55</v>
      </c>
      <c r="AC148" s="456">
        <f>((_xll.xSPRDOPT($L148+$AB$5,$J148,$I148,$M148,$O148,$N148,$P148,$Q148-$C$3,$R148,7)*$H148)/100)</f>
        <v>5.6576862420124369E-53</v>
      </c>
      <c r="AD148" s="456">
        <f>(_xll.xSPRDOPT($L148+$AB$5,$J148,$I148,$M148,$O148,$N148,$P148,$Q148-$C$3,$R148,9)/365)*$H148</f>
        <v>1.9375904525903672E-53</v>
      </c>
      <c r="AE148">
        <f t="shared" si="198"/>
        <v>0</v>
      </c>
      <c r="AF148" s="456">
        <f t="shared" si="199"/>
        <v>-7.0732556693898991E-55</v>
      </c>
      <c r="AG148" s="456">
        <f>((_xll.xSPRDOPT($L148,$J148,$I148,$M148,$O148,$N148,$P148,$Q148-$C$3,$R148,6)*$H148)/100)</f>
        <v>-3.5364896604822768E-55</v>
      </c>
      <c r="AH148" s="456">
        <f>((_xll.xSPRDOPT($L148,$J148,$I148,$M148,$O148,$N148,$P148,$Q148-$C$3,$R148,5)*$H148)/100)</f>
        <v>-3.5367660089076231E-55</v>
      </c>
      <c r="AI148" s="456">
        <f>(((_xll.xSPRDOPT($L148,$J148,$I148,$M148,$O148,$N148,$P148,$Q148-$C$3,$R148,4)*$H148)/10000)/100)-AB148</f>
        <v>2.9796445017603159E-56</v>
      </c>
      <c r="AJ148" s="456"/>
      <c r="AK148" s="456"/>
      <c r="AL148" s="456"/>
      <c r="AM148" s="472"/>
      <c r="AN148" s="41">
        <f t="shared" si="203"/>
        <v>41030</v>
      </c>
      <c r="AO148" s="43">
        <f t="shared" si="215"/>
        <v>0</v>
      </c>
      <c r="AP148" s="43">
        <f t="shared" si="215"/>
        <v>0</v>
      </c>
      <c r="AQ148" s="43">
        <f t="shared" si="215"/>
        <v>0</v>
      </c>
      <c r="AR148" s="43">
        <f t="shared" si="215"/>
        <v>0</v>
      </c>
      <c r="AS148" s="43">
        <f t="shared" si="215"/>
        <v>0</v>
      </c>
      <c r="AT148" s="43">
        <f t="shared" si="215"/>
        <v>0</v>
      </c>
      <c r="AU148" s="43">
        <f t="shared" si="215"/>
        <v>0</v>
      </c>
      <c r="AV148" s="43">
        <f t="shared" si="215"/>
        <v>0</v>
      </c>
      <c r="AW148" s="43">
        <f t="shared" si="215"/>
        <v>0</v>
      </c>
      <c r="AX148" s="43">
        <f t="shared" si="215"/>
        <v>0</v>
      </c>
      <c r="AY148" s="43">
        <f t="shared" si="215"/>
        <v>0</v>
      </c>
      <c r="AZ148" s="43">
        <f t="shared" si="215"/>
        <v>0</v>
      </c>
      <c r="BA148" s="44">
        <f t="shared" si="215"/>
        <v>0</v>
      </c>
      <c r="BB148" s="41">
        <f t="shared" si="204"/>
        <v>41030</v>
      </c>
      <c r="BC148" s="44">
        <f t="shared" si="205"/>
        <v>0</v>
      </c>
      <c r="BE148" s="41">
        <f t="shared" si="206"/>
        <v>41030</v>
      </c>
      <c r="BF148" s="43">
        <f t="shared" si="216"/>
        <v>0</v>
      </c>
      <c r="BG148" s="43">
        <f t="shared" si="216"/>
        <v>0</v>
      </c>
      <c r="BH148" s="43">
        <f t="shared" si="216"/>
        <v>0</v>
      </c>
      <c r="BI148" s="43">
        <f t="shared" si="216"/>
        <v>0</v>
      </c>
      <c r="BJ148" s="43">
        <f t="shared" si="216"/>
        <v>0</v>
      </c>
      <c r="BK148" s="43">
        <f t="shared" si="216"/>
        <v>0</v>
      </c>
      <c r="BL148" s="43">
        <f t="shared" si="216"/>
        <v>0</v>
      </c>
      <c r="BM148" s="43">
        <f t="shared" si="216"/>
        <v>0</v>
      </c>
      <c r="BN148" s="43">
        <f t="shared" si="216"/>
        <v>0</v>
      </c>
      <c r="BO148" s="43">
        <f t="shared" si="216"/>
        <v>0</v>
      </c>
      <c r="BP148" s="43">
        <f t="shared" si="216"/>
        <v>0</v>
      </c>
      <c r="BQ148" s="43">
        <f t="shared" si="216"/>
        <v>0</v>
      </c>
      <c r="BR148" s="44">
        <f t="shared" si="216"/>
        <v>0</v>
      </c>
      <c r="BS148" s="41">
        <f t="shared" si="207"/>
        <v>41030</v>
      </c>
      <c r="BT148" s="44">
        <f t="shared" si="208"/>
        <v>0</v>
      </c>
      <c r="CC148" s="141">
        <f t="shared" si="192"/>
        <v>36770</v>
      </c>
      <c r="CD148" s="234">
        <f>_xll.xSPRDOPT((VLOOKUP(G148,NGPrices,2,FALSE)+HLOOKUP(D148,Prices,VLOOKUP(G148,move_down,2,FALSE),FALSE)),VLOOKUP(G148,NGPrices,2,FALSE),I148,VLOOKUP(G148,NGPREVPRICES,4,FALSE),HLOOKUP(D148,PREVVOLS,VLOOKUP(G148,MOVE_DOWN2,2,FALSE),FALSE),VLOOKUP(G148,NGPREVPRICES,3,FALSE),HLOOKUP(D148,Correllate,VLOOKUP(G148,CorMove,2,FALSE),FALSE),Q148-$CD$3,R148,$CD$5)*H148-CJ148</f>
        <v>0</v>
      </c>
      <c r="CE148" s="234">
        <f>_xll.xSPRDOPT((VLOOKUP(G148,NGPREVPRICES,2,FALSE)+HLOOKUP(D148,PREVCURVES,VLOOKUP(G148,MOVE_DOWN2,2,FALSE),FALSE)),VLOOKUP(G148,NGPREVPRICES,2,FALSE),CK148,VLOOKUP(G148,NGPrices,4,FALSE),HLOOKUP(D148,PREVVOLS,VLOOKUP(G148,MOVE_DOWN2,2,FALSE),FALSE),VLOOKUP(G148,NGPREVPRICES,3,FALSE),HLOOKUP(D148,Correllate,VLOOKUP(G148,CorMove,2,FALSE),FALSE),Q148-$CD$3,R148,$CJ$5)*H148-CJ148</f>
        <v>0</v>
      </c>
      <c r="CF148" s="10">
        <f t="shared" si="189"/>
        <v>5.3423466700623942E-31</v>
      </c>
      <c r="CG148" s="234">
        <f>_xll.xSPRDOPT((VLOOKUP(G148,NGPREVPRICES,2,FALSE)+HLOOKUP(D148,PREVCURVES,VLOOKUP(G148,MOVE_DOWN2,2,FALSE),FALSE)),VLOOKUP(G148,NGPREVPRICES,2,FALSE),CK148,VLOOKUP(G148,NGPREVPRICES,4,FALSE),HLOOKUP(D148,VOLS,VLOOKUP(G148,move_down,2,FALSE),FALSE),VLOOKUP(G148,NGPrices,3,FALSE),HLOOKUP(D148,Correllate,VLOOKUP(G148,CorMove,2,FALSE),FALSE),Q148-$CD$3,R148,$CJ$5)*H148-CJ148</f>
        <v>0</v>
      </c>
      <c r="CH148" s="234">
        <f>_xll.xSPRDOPT((VLOOKUP(G148,NGPREVPRICES,2,FALSE)+HLOOKUP(D148,PREVCURVES,VLOOKUP(G148,MOVE_DOWN2,2,FALSE),FALSE)),VLOOKUP(G148,NGPREVPRICES,2,FALSE),CK148,VLOOKUP(G148,NGPREVPRICES,4,FALSE),HLOOKUP(D148,PREVVOLS,VLOOKUP(G148,MOVE_DOWN2,2,FALSE),FALSE),VLOOKUP(G148,NGPREVPRICES,3,FALSE),HLOOKUP(D148,Correllate,VLOOKUP(G148,CorMove,2,FALSE),FALSE),Q148-$C$3,R148,$CJ$5)*H148-CJ148</f>
        <v>2.9317190494040337E-27</v>
      </c>
      <c r="CI148" s="234">
        <f t="shared" si="190"/>
        <v>2.93225328407104E-27</v>
      </c>
      <c r="CJ148" s="234">
        <f>_xll.xSPRDOPT((VLOOKUP(G148,NGPREVPRICES,2,FALSE)+HLOOKUP(D148,PREVCURVES,VLOOKUP(G148,MOVE_DOWN2,2,FALSE),FALSE)),VLOOKUP(G148,NGPREVPRICES,2,FALSE),CK148,VLOOKUP(G148,NGPREVPRICES,4,FALSE),HLOOKUP(D148,PREVVOLS,VLOOKUP(G148,MOVE_DOWN2,2,FALSE),FALSE),VLOOKUP(G148,NGPREVPRICES,3,FALSE),HLOOKUP(D148,Correllate,VLOOKUP(G148,CorMove,2,FALSE),FALSE),Q148-$CD$3,R148,$CJ$5)*H148</f>
        <v>-2.9317190494040337E-27</v>
      </c>
      <c r="CK148" s="235">
        <f t="shared" si="193"/>
        <v>0</v>
      </c>
      <c r="CL148" s="234"/>
      <c r="CM148" t="str">
        <f t="shared" si="191"/>
        <v>36770Curve Shift/Gamma</v>
      </c>
      <c r="CN148" t="str">
        <f t="shared" si="176"/>
        <v>36770Rho</v>
      </c>
      <c r="CO148" t="str">
        <f t="shared" si="177"/>
        <v>36770Drift</v>
      </c>
      <c r="CP148" t="str">
        <f t="shared" si="178"/>
        <v>36770Vega</v>
      </c>
      <c r="CQ148" t="str">
        <f t="shared" si="179"/>
        <v>36770Theta</v>
      </c>
    </row>
    <row r="149" spans="1:95" ht="12" customHeight="1" x14ac:dyDescent="0.25">
      <c r="A149" s="382" t="s">
        <v>279</v>
      </c>
      <c r="B149" t="s">
        <v>250</v>
      </c>
      <c r="C149" t="s">
        <v>330</v>
      </c>
      <c r="D149" s="4" t="s">
        <v>325</v>
      </c>
      <c r="E149" t="s">
        <v>20</v>
      </c>
      <c r="F149" t="s">
        <v>1</v>
      </c>
      <c r="G149" s="5">
        <v>36951</v>
      </c>
      <c r="H149" s="130">
        <v>-1000000</v>
      </c>
      <c r="I149">
        <v>0</v>
      </c>
      <c r="J149" s="53">
        <f t="shared" si="200"/>
        <v>4.2130000000000001</v>
      </c>
      <c r="K149" s="7">
        <f t="shared" si="201"/>
        <v>3.2500000000000001E-2</v>
      </c>
      <c r="L149" s="53">
        <f t="shared" si="202"/>
        <v>4.2454999999999998</v>
      </c>
      <c r="M149" s="157">
        <f t="shared" si="217"/>
        <v>6.8879814952706994E-2</v>
      </c>
      <c r="N149" s="4">
        <f t="shared" si="218"/>
        <v>0.53249999999999997</v>
      </c>
      <c r="O149" s="4">
        <f t="shared" si="219"/>
        <v>0.55900000000000005</v>
      </c>
      <c r="P149" s="9">
        <f t="shared" si="220"/>
        <v>0.99750000000000005</v>
      </c>
      <c r="Q149" s="5">
        <f t="shared" si="194"/>
        <v>36949</v>
      </c>
      <c r="R149" s="4">
        <f t="shared" si="186"/>
        <v>0</v>
      </c>
      <c r="S149" s="158">
        <f>_xll.xSPRDOPT($L149,$J149,$I149,$M149,$O149,$N149,$P149,$Q149-$C$3,$R149,0)</f>
        <v>3.960882912064001E-2</v>
      </c>
      <c r="T149" s="159">
        <f>_xll.xSPRDOPT($L149,$J149,$I149,$M149,$O149,$N149,$P149,$Q149-$C$3,$R149,1)*H149</f>
        <v>388084.8682094884</v>
      </c>
      <c r="U149" s="160">
        <f t="shared" si="187"/>
        <v>-39608.82912064001</v>
      </c>
      <c r="V149" s="159">
        <f>_xll.xSPRDOPT($L149,$J149,$I149,$M149,$O149,$N149,$P149,$Q149-$C$3,$R149,2)*H149</f>
        <v>-400480.20378277451</v>
      </c>
      <c r="W149" s="159">
        <f t="shared" si="188"/>
        <v>-12395.335573286109</v>
      </c>
      <c r="X149" s="51" t="str">
        <f t="shared" si="195"/>
        <v>36951IF-NNG/VENT</v>
      </c>
      <c r="Y149" s="418">
        <f t="shared" si="196"/>
        <v>-100</v>
      </c>
      <c r="Z149" s="456">
        <f t="shared" si="197"/>
        <v>-0.3880848682094884</v>
      </c>
      <c r="AA149" s="456">
        <f>_xll.xSPRDOPT($L149,$J149,$I149,$M149,$O149,$N149,$P149,$Q149-$C$3,$R149,3)</f>
        <v>2.6642732960144064</v>
      </c>
      <c r="AB149" s="456">
        <f>((_xll.xSPRDOPT($L149+AB$5,$J149,$I149,$M149,$O149,$N149,$P149,$Q149-$C$3,$R149,3)*$H149)/10000)/100</f>
        <v>-2.6642732960144064</v>
      </c>
      <c r="AC149" s="456">
        <f>((_xll.xSPRDOPT($L149+$AB$5,$J149,$I149,$M149,$O149,$N149,$P149,$Q149-$C$3,$R149,7)*$H149)/100)</f>
        <v>71227.713878433511</v>
      </c>
      <c r="AD149" s="456">
        <f>(_xll.xSPRDOPT($L149+$AB$5,$J149,$I149,$M149,$O149,$N149,$P149,$Q149-$C$3,$R149,9)/365)*$H149</f>
        <v>136.62917362249829</v>
      </c>
      <c r="AE149">
        <f t="shared" si="198"/>
        <v>0</v>
      </c>
      <c r="AF149" s="456">
        <f t="shared" si="199"/>
        <v>-984.37347688663704</v>
      </c>
      <c r="AG149" s="456">
        <f>((_xll.xSPRDOPT($L149,$J149,$I149,$M149,$O149,$N149,$P149,$Q149-$C$3,$R149,6)*$H149)/100)</f>
        <v>6006.712146309289</v>
      </c>
      <c r="AH149" s="456">
        <f>((_xll.xSPRDOPT($L149,$J149,$I149,$M149,$O149,$N149,$P149,$Q149-$C$3,$R149,5)*$H149)/100)</f>
        <v>-6659.6656428476381</v>
      </c>
      <c r="AI149" s="456">
        <f>(((_xll.xSPRDOPT($L149,$J149,$I149,$M149,$O149,$N149,$P149,$Q149-$C$3,$R149,4)*$H149)/10000)/100)-AB149</f>
        <v>-4.1264217531086889E-2</v>
      </c>
      <c r="AJ149" s="456"/>
      <c r="AK149" s="456"/>
      <c r="AL149" s="456"/>
      <c r="AM149" s="472"/>
      <c r="AN149" s="41">
        <f t="shared" si="203"/>
        <v>41061</v>
      </c>
      <c r="AO149" s="43">
        <f t="shared" si="215"/>
        <v>0</v>
      </c>
      <c r="AP149" s="43">
        <f t="shared" si="215"/>
        <v>0</v>
      </c>
      <c r="AQ149" s="43">
        <f t="shared" si="215"/>
        <v>0</v>
      </c>
      <c r="AR149" s="43">
        <f t="shared" si="215"/>
        <v>0</v>
      </c>
      <c r="AS149" s="43">
        <f t="shared" si="215"/>
        <v>0</v>
      </c>
      <c r="AT149" s="43">
        <f t="shared" si="215"/>
        <v>0</v>
      </c>
      <c r="AU149" s="43">
        <f t="shared" si="215"/>
        <v>0</v>
      </c>
      <c r="AV149" s="43">
        <f t="shared" si="215"/>
        <v>0</v>
      </c>
      <c r="AW149" s="43">
        <f t="shared" si="215"/>
        <v>0</v>
      </c>
      <c r="AX149" s="43">
        <f t="shared" si="215"/>
        <v>0</v>
      </c>
      <c r="AY149" s="43">
        <f t="shared" si="215"/>
        <v>0</v>
      </c>
      <c r="AZ149" s="43">
        <f t="shared" si="215"/>
        <v>0</v>
      </c>
      <c r="BA149" s="44">
        <f t="shared" si="215"/>
        <v>0</v>
      </c>
      <c r="BB149" s="41">
        <f t="shared" si="204"/>
        <v>41061</v>
      </c>
      <c r="BC149" s="44">
        <f t="shared" si="205"/>
        <v>0</v>
      </c>
      <c r="BE149" s="41">
        <f t="shared" si="206"/>
        <v>41061</v>
      </c>
      <c r="BF149" s="43">
        <f t="shared" si="216"/>
        <v>0</v>
      </c>
      <c r="BG149" s="43">
        <f t="shared" si="216"/>
        <v>0</v>
      </c>
      <c r="BH149" s="43">
        <f t="shared" si="216"/>
        <v>0</v>
      </c>
      <c r="BI149" s="43">
        <f t="shared" si="216"/>
        <v>0</v>
      </c>
      <c r="BJ149" s="43">
        <f t="shared" si="216"/>
        <v>0</v>
      </c>
      <c r="BK149" s="43">
        <f t="shared" si="216"/>
        <v>0</v>
      </c>
      <c r="BL149" s="43">
        <f t="shared" si="216"/>
        <v>0</v>
      </c>
      <c r="BM149" s="43">
        <f t="shared" si="216"/>
        <v>0</v>
      </c>
      <c r="BN149" s="43">
        <f t="shared" si="216"/>
        <v>0</v>
      </c>
      <c r="BO149" s="43">
        <f t="shared" si="216"/>
        <v>0</v>
      </c>
      <c r="BP149" s="43">
        <f t="shared" si="216"/>
        <v>0</v>
      </c>
      <c r="BQ149" s="43">
        <f t="shared" si="216"/>
        <v>0</v>
      </c>
      <c r="BR149" s="44">
        <f t="shared" si="216"/>
        <v>0</v>
      </c>
      <c r="BS149" s="41">
        <f t="shared" si="207"/>
        <v>41061</v>
      </c>
      <c r="BT149" s="44">
        <f t="shared" si="208"/>
        <v>0</v>
      </c>
      <c r="CC149" s="141">
        <f t="shared" si="192"/>
        <v>36951</v>
      </c>
      <c r="CD149" s="234">
        <f>_xll.xSPRDOPT((VLOOKUP(G149,NGPrices,2,FALSE)+HLOOKUP(D149,Prices,VLOOKUP(G149,move_down,2,FALSE),FALSE)),VLOOKUP(G149,NGPrices,2,FALSE),I149,VLOOKUP(G149,NGPREVPRICES,4,FALSE),HLOOKUP(D149,PREVVOLS,VLOOKUP(G149,MOVE_DOWN2,2,FALSE),FALSE),VLOOKUP(G149,NGPREVPRICES,3,FALSE),HLOOKUP(D149,Correllate,VLOOKUP(G149,CorMove,2,FALSE),FALSE),Q149-$CD$3,R149,$CD$5)*H149-CJ149</f>
        <v>0</v>
      </c>
      <c r="CE149" s="234">
        <f>_xll.xSPRDOPT((VLOOKUP(G149,NGPREVPRICES,2,FALSE)+HLOOKUP(D149,PREVCURVES,VLOOKUP(G149,MOVE_DOWN2,2,FALSE),FALSE)),VLOOKUP(G149,NGPREVPRICES,2,FALSE),CK149,VLOOKUP(G149,NGPrices,4,FALSE),HLOOKUP(D149,PREVVOLS,VLOOKUP(G149,MOVE_DOWN2,2,FALSE),FALSE),VLOOKUP(G149,NGPREVPRICES,3,FALSE),HLOOKUP(D149,Correllate,VLOOKUP(G149,CorMove,2,FALSE),FALSE),Q149-$CD$3,R149,$CJ$5)*H149-CJ149</f>
        <v>0</v>
      </c>
      <c r="CF149" s="10">
        <f t="shared" si="189"/>
        <v>7.6225261376312119</v>
      </c>
      <c r="CG149" s="234">
        <f>_xll.xSPRDOPT((VLOOKUP(G149,NGPREVPRICES,2,FALSE)+HLOOKUP(D149,PREVCURVES,VLOOKUP(G149,MOVE_DOWN2,2,FALSE),FALSE)),VLOOKUP(G149,NGPREVPRICES,2,FALSE),CK149,VLOOKUP(G149,NGPREVPRICES,4,FALSE),HLOOKUP(D149,VOLS,VLOOKUP(G149,move_down,2,FALSE),FALSE),VLOOKUP(G149,NGPrices,3,FALSE),HLOOKUP(D149,Correllate,VLOOKUP(G149,CorMove,2,FALSE),FALSE),Q149-$CD$3,R149,$CJ$5)*H149-CJ149</f>
        <v>0</v>
      </c>
      <c r="CH149" s="234">
        <f>_xll.xSPRDOPT((VLOOKUP(G149,NGPREVPRICES,2,FALSE)+HLOOKUP(D149,PREVCURVES,VLOOKUP(G149,MOVE_DOWN2,2,FALSE),FALSE)),VLOOKUP(G149,NGPREVPRICES,2,FALSE),CK149,VLOOKUP(G149,NGPREVPRICES,4,FALSE),HLOOKUP(D149,PREVVOLS,VLOOKUP(G149,MOVE_DOWN2,2,FALSE),FALSE),VLOOKUP(G149,NGPREVPRICES,3,FALSE),HLOOKUP(D149,Correllate,VLOOKUP(G149,CorMove,2,FALSE),FALSE),Q149-$C$3,R149,$CJ$5)*H149-CJ149</f>
        <v>136.32257135576219</v>
      </c>
      <c r="CI149" s="234">
        <f t="shared" si="190"/>
        <v>143.9450974933934</v>
      </c>
      <c r="CJ149" s="234">
        <f>_xll.xSPRDOPT((VLOOKUP(G149,NGPREVPRICES,2,FALSE)+HLOOKUP(D149,PREVCURVES,VLOOKUP(G149,MOVE_DOWN2,2,FALSE),FALSE)),VLOOKUP(G149,NGPREVPRICES,2,FALSE),CK149,VLOOKUP(G149,NGPREVPRICES,4,FALSE),HLOOKUP(D149,PREVVOLS,VLOOKUP(G149,MOVE_DOWN2,2,FALSE),FALSE),VLOOKUP(G149,NGPREVPRICES,3,FALSE),HLOOKUP(D149,Correllate,VLOOKUP(G149,CorMove,2,FALSE),FALSE),Q149-$CD$3,R149,$CJ$5)*H149</f>
        <v>-39745.151691995772</v>
      </c>
      <c r="CK149" s="235">
        <f t="shared" si="193"/>
        <v>0</v>
      </c>
      <c r="CL149" s="234"/>
      <c r="CM149" t="str">
        <f t="shared" si="191"/>
        <v>36951Curve Shift/Gamma</v>
      </c>
      <c r="CN149" t="str">
        <f t="shared" si="176"/>
        <v>36951Rho</v>
      </c>
      <c r="CO149" t="str">
        <f t="shared" si="177"/>
        <v>36951Drift</v>
      </c>
      <c r="CP149" t="str">
        <f t="shared" si="178"/>
        <v>36951Vega</v>
      </c>
      <c r="CQ149" t="str">
        <f t="shared" si="179"/>
        <v>36951Theta</v>
      </c>
    </row>
    <row r="150" spans="1:95" ht="12" customHeight="1" x14ac:dyDescent="0.25">
      <c r="A150" s="382" t="s">
        <v>279</v>
      </c>
      <c r="B150" t="s">
        <v>250</v>
      </c>
      <c r="C150" t="s">
        <v>330</v>
      </c>
      <c r="D150" s="4" t="s">
        <v>325</v>
      </c>
      <c r="E150" t="s">
        <v>20</v>
      </c>
      <c r="F150" t="s">
        <v>1</v>
      </c>
      <c r="G150" s="5">
        <v>36923</v>
      </c>
      <c r="H150" s="130">
        <v>-1000000</v>
      </c>
      <c r="I150">
        <v>0</v>
      </c>
      <c r="J150" s="53">
        <f t="shared" si="200"/>
        <v>4.4800000000000004</v>
      </c>
      <c r="K150" s="7">
        <f t="shared" si="201"/>
        <v>3.5000000000000003E-2</v>
      </c>
      <c r="L150" s="53">
        <f t="shared" si="202"/>
        <v>4.5150000000000006</v>
      </c>
      <c r="M150" s="157">
        <f t="shared" si="217"/>
        <v>6.8640161611372E-2</v>
      </c>
      <c r="N150" s="4">
        <f t="shared" si="218"/>
        <v>0.59250000000000003</v>
      </c>
      <c r="O150" s="4">
        <f t="shared" si="219"/>
        <v>0.622</v>
      </c>
      <c r="P150" s="9">
        <f t="shared" si="220"/>
        <v>0.99750000000000005</v>
      </c>
      <c r="Q150" s="5">
        <f t="shared" si="194"/>
        <v>36921</v>
      </c>
      <c r="R150" s="4">
        <f t="shared" si="186"/>
        <v>0</v>
      </c>
      <c r="S150" s="158">
        <f>_xll.xSPRDOPT($L150,$J150,$I150,$M150,$O150,$N150,$P150,$Q150-$C$3,$R150,0)</f>
        <v>4.3501674783630762E-2</v>
      </c>
      <c r="T150" s="159">
        <f>_xll.xSPRDOPT($L150,$J150,$I150,$M150,$O150,$N150,$P150,$Q150-$C$3,$R150,1)*H150</f>
        <v>390970.10922751907</v>
      </c>
      <c r="U150" s="160">
        <f t="shared" si="187"/>
        <v>-43501.674783630762</v>
      </c>
      <c r="V150" s="159">
        <f>_xll.xSPRDOPT($L150,$J150,$I150,$M150,$O150,$N150,$P150,$Q150-$C$3,$R150,2)*H150</f>
        <v>-403734.74834551138</v>
      </c>
      <c r="W150" s="159">
        <f t="shared" si="188"/>
        <v>-12764.639117992308</v>
      </c>
      <c r="X150" s="51" t="str">
        <f t="shared" si="195"/>
        <v>36923IF-NNG/VENT</v>
      </c>
      <c r="Y150" s="418">
        <f t="shared" si="196"/>
        <v>-100</v>
      </c>
      <c r="Z150" s="456">
        <f t="shared" si="197"/>
        <v>-0.39097010922751907</v>
      </c>
      <c r="AA150" s="456">
        <f>_xll.xSPRDOPT($L150,$J150,$I150,$M150,$O150,$N150,$P150,$Q150-$C$3,$R150,3)</f>
        <v>2.4617871475972524</v>
      </c>
      <c r="AB150" s="456">
        <f>((_xll.xSPRDOPT($L150+AB$5,$J150,$I150,$M150,$O150,$N150,$P150,$Q150-$C$3,$R150,3)*$H150)/10000)/100</f>
        <v>-2.4617871475972524</v>
      </c>
      <c r="AC150" s="456">
        <f>((_xll.xSPRDOPT($L150+$AB$5,$J150,$I150,$M150,$O150,$N150,$P150,$Q150-$C$3,$R150,7)*$H150)/100)</f>
        <v>77978.550871632586</v>
      </c>
      <c r="AD150" s="456">
        <f>(_xll.xSPRDOPT($L150+$AB$5,$J150,$I150,$M150,$O150,$N150,$P150,$Q150-$C$3,$R150,9)/365)*$H150</f>
        <v>178.32088595441112</v>
      </c>
      <c r="AE150">
        <f t="shared" si="198"/>
        <v>0</v>
      </c>
      <c r="AF150" s="456">
        <f t="shared" si="199"/>
        <v>-968.82994068988955</v>
      </c>
      <c r="AG150" s="456">
        <f>((_xll.xSPRDOPT($L150,$J150,$I150,$M150,$O150,$N150,$P150,$Q150-$C$3,$R150,6)*$H150)/100)</f>
        <v>5912.9393307363125</v>
      </c>
      <c r="AH150" s="456">
        <f>((_xll.xSPRDOPT($L150,$J150,$I150,$M150,$O150,$N150,$P150,$Q150-$C$3,$R150,5)*$H150)/100)</f>
        <v>-6555.383108231551</v>
      </c>
      <c r="AI150" s="456">
        <f>(((_xll.xSPRDOPT($L150,$J150,$I150,$M150,$O150,$N150,$P150,$Q150-$C$3,$R150,4)*$H150)/10000)/100)-AB150</f>
        <v>-3.8615771723742753E-2</v>
      </c>
      <c r="AJ150" s="456"/>
      <c r="AK150" s="456"/>
      <c r="AL150" s="456"/>
      <c r="AM150" s="472"/>
      <c r="AN150" s="41">
        <f t="shared" si="203"/>
        <v>41091</v>
      </c>
      <c r="AO150" s="43">
        <f t="shared" si="215"/>
        <v>0</v>
      </c>
      <c r="AP150" s="43">
        <f t="shared" si="215"/>
        <v>0</v>
      </c>
      <c r="AQ150" s="43">
        <f t="shared" si="215"/>
        <v>0</v>
      </c>
      <c r="AR150" s="43">
        <f t="shared" si="215"/>
        <v>0</v>
      </c>
      <c r="AS150" s="43">
        <f t="shared" si="215"/>
        <v>0</v>
      </c>
      <c r="AT150" s="43">
        <f t="shared" si="215"/>
        <v>0</v>
      </c>
      <c r="AU150" s="43">
        <f t="shared" si="215"/>
        <v>0</v>
      </c>
      <c r="AV150" s="43">
        <f t="shared" si="215"/>
        <v>0</v>
      </c>
      <c r="AW150" s="43">
        <f t="shared" si="215"/>
        <v>0</v>
      </c>
      <c r="AX150" s="43">
        <f t="shared" si="215"/>
        <v>0</v>
      </c>
      <c r="AY150" s="43">
        <f t="shared" si="215"/>
        <v>0</v>
      </c>
      <c r="AZ150" s="43">
        <f t="shared" si="215"/>
        <v>0</v>
      </c>
      <c r="BA150" s="44">
        <f t="shared" si="215"/>
        <v>0</v>
      </c>
      <c r="BB150" s="41">
        <f t="shared" si="204"/>
        <v>41091</v>
      </c>
      <c r="BC150" s="44">
        <f t="shared" si="205"/>
        <v>0</v>
      </c>
      <c r="BE150" s="41">
        <f t="shared" si="206"/>
        <v>41091</v>
      </c>
      <c r="BF150" s="43">
        <f t="shared" si="216"/>
        <v>0</v>
      </c>
      <c r="BG150" s="43">
        <f t="shared" si="216"/>
        <v>0</v>
      </c>
      <c r="BH150" s="43">
        <f t="shared" si="216"/>
        <v>0</v>
      </c>
      <c r="BI150" s="43">
        <f t="shared" si="216"/>
        <v>0</v>
      </c>
      <c r="BJ150" s="43">
        <f t="shared" si="216"/>
        <v>0</v>
      </c>
      <c r="BK150" s="43">
        <f t="shared" si="216"/>
        <v>0</v>
      </c>
      <c r="BL150" s="43">
        <f t="shared" si="216"/>
        <v>0</v>
      </c>
      <c r="BM150" s="43">
        <f t="shared" si="216"/>
        <v>0</v>
      </c>
      <c r="BN150" s="43">
        <f t="shared" si="216"/>
        <v>0</v>
      </c>
      <c r="BO150" s="43">
        <f t="shared" si="216"/>
        <v>0</v>
      </c>
      <c r="BP150" s="43">
        <f t="shared" si="216"/>
        <v>0</v>
      </c>
      <c r="BQ150" s="43">
        <f t="shared" si="216"/>
        <v>0</v>
      </c>
      <c r="BR150" s="44">
        <f t="shared" si="216"/>
        <v>0</v>
      </c>
      <c r="BS150" s="41">
        <f t="shared" si="207"/>
        <v>41091</v>
      </c>
      <c r="BT150" s="44">
        <f t="shared" si="208"/>
        <v>0</v>
      </c>
      <c r="CC150" s="141">
        <f t="shared" si="192"/>
        <v>36923</v>
      </c>
      <c r="CD150" s="234">
        <f>_xll.xSPRDOPT((VLOOKUP(G150,NGPrices,2,FALSE)+HLOOKUP(D150,Prices,VLOOKUP(G150,move_down,2,FALSE),FALSE)),VLOOKUP(G150,NGPrices,2,FALSE),I150,VLOOKUP(G150,NGPREVPRICES,4,FALSE),HLOOKUP(D150,PREVVOLS,VLOOKUP(G150,MOVE_DOWN2,2,FALSE),FALSE),VLOOKUP(G150,NGPREVPRICES,3,FALSE),HLOOKUP(D150,Correllate,VLOOKUP(G150,CorMove,2,FALSE),FALSE),Q150-$CD$3,R150,$CD$5)*H150-CJ150</f>
        <v>0</v>
      </c>
      <c r="CE150" s="234">
        <f>_xll.xSPRDOPT((VLOOKUP(G150,NGPREVPRICES,2,FALSE)+HLOOKUP(D150,PREVCURVES,VLOOKUP(G150,MOVE_DOWN2,2,FALSE),FALSE)),VLOOKUP(G150,NGPREVPRICES,2,FALSE),CK150,VLOOKUP(G150,NGPrices,4,FALSE),HLOOKUP(D150,PREVVOLS,VLOOKUP(G150,MOVE_DOWN2,2,FALSE),FALSE),VLOOKUP(G150,NGPREVPRICES,3,FALSE),HLOOKUP(D150,Correllate,VLOOKUP(G150,CorMove,2,FALSE),FALSE),Q150-$CD$3,R150,$CJ$5)*H150-CJ150</f>
        <v>0</v>
      </c>
      <c r="CF150" s="10">
        <f t="shared" si="189"/>
        <v>8.3073473075492075</v>
      </c>
      <c r="CG150" s="234">
        <f>_xll.xSPRDOPT((VLOOKUP(G150,NGPREVPRICES,2,FALSE)+HLOOKUP(D150,PREVCURVES,VLOOKUP(G150,MOVE_DOWN2,2,FALSE),FALSE)),VLOOKUP(G150,NGPREVPRICES,2,FALSE),CK150,VLOOKUP(G150,NGPREVPRICES,4,FALSE),HLOOKUP(D150,VOLS,VLOOKUP(G150,move_down,2,FALSE),FALSE),VLOOKUP(G150,NGPrices,3,FALSE),HLOOKUP(D150,Correllate,VLOOKUP(G150,CorMove,2,FALSE),FALSE),Q150-$CD$3,R150,$CJ$5)*H150-CJ150</f>
        <v>0</v>
      </c>
      <c r="CH150" s="234">
        <f>_xll.xSPRDOPT((VLOOKUP(G150,NGPREVPRICES,2,FALSE)+HLOOKUP(D150,PREVCURVES,VLOOKUP(G150,MOVE_DOWN2,2,FALSE),FALSE)),VLOOKUP(G150,NGPREVPRICES,2,FALSE),CK150,VLOOKUP(G150,NGPREVPRICES,4,FALSE),HLOOKUP(D150,PREVVOLS,VLOOKUP(G150,MOVE_DOWN2,2,FALSE),FALSE),VLOOKUP(G150,NGPREVPRICES,3,FALSE),HLOOKUP(D150,Correllate,VLOOKUP(G150,CorMove,2,FALSE),FALSE),Q150-$C$3,R150,$CJ$5)*H150-CJ150</f>
        <v>177.87889920484304</v>
      </c>
      <c r="CI150" s="234">
        <f t="shared" si="190"/>
        <v>186.18624651239224</v>
      </c>
      <c r="CJ150" s="234">
        <f>_xll.xSPRDOPT((VLOOKUP(G150,NGPREVPRICES,2,FALSE)+HLOOKUP(D150,PREVCURVES,VLOOKUP(G150,MOVE_DOWN2,2,FALSE),FALSE)),VLOOKUP(G150,NGPREVPRICES,2,FALSE),CK150,VLOOKUP(G150,NGPREVPRICES,4,FALSE),HLOOKUP(D150,PREVVOLS,VLOOKUP(G150,MOVE_DOWN2,2,FALSE),FALSE),VLOOKUP(G150,NGPREVPRICES,3,FALSE),HLOOKUP(D150,Correllate,VLOOKUP(G150,CorMove,2,FALSE),FALSE),Q150-$CD$3,R150,$CJ$5)*H150</f>
        <v>-43679.553682835605</v>
      </c>
      <c r="CK150" s="235">
        <f t="shared" si="193"/>
        <v>0</v>
      </c>
      <c r="CL150" s="234"/>
      <c r="CM150" t="str">
        <f t="shared" si="191"/>
        <v>36923Curve Shift/Gamma</v>
      </c>
      <c r="CN150" t="str">
        <f t="shared" si="176"/>
        <v>36923Rho</v>
      </c>
      <c r="CO150" t="str">
        <f t="shared" si="177"/>
        <v>36923Drift</v>
      </c>
      <c r="CP150" t="str">
        <f t="shared" si="178"/>
        <v>36923Vega</v>
      </c>
      <c r="CQ150" t="str">
        <f t="shared" si="179"/>
        <v>36923Theta</v>
      </c>
    </row>
    <row r="151" spans="1:95" ht="12" customHeight="1" x14ac:dyDescent="0.25">
      <c r="A151" s="382" t="s">
        <v>279</v>
      </c>
      <c r="B151" t="s">
        <v>250</v>
      </c>
      <c r="C151" t="s">
        <v>330</v>
      </c>
      <c r="D151" s="4" t="s">
        <v>325</v>
      </c>
      <c r="E151" t="s">
        <v>20</v>
      </c>
      <c r="F151" t="s">
        <v>1</v>
      </c>
      <c r="G151" s="5">
        <v>36892</v>
      </c>
      <c r="H151" s="130">
        <v>-1000000</v>
      </c>
      <c r="I151">
        <v>0</v>
      </c>
      <c r="J151" s="53">
        <f t="shared" si="200"/>
        <v>4.7439999999999998</v>
      </c>
      <c r="K151" s="7">
        <f t="shared" si="201"/>
        <v>0.03</v>
      </c>
      <c r="L151" s="53">
        <f t="shared" si="202"/>
        <v>4.774</v>
      </c>
      <c r="M151" s="157">
        <f t="shared" si="217"/>
        <v>6.8374831148490994E-2</v>
      </c>
      <c r="N151" s="4">
        <f t="shared" si="218"/>
        <v>0.60499999999999998</v>
      </c>
      <c r="O151" s="4">
        <f t="shared" si="219"/>
        <v>0.63500000000000001</v>
      </c>
      <c r="P151" s="9">
        <f t="shared" si="220"/>
        <v>0.99750000000000005</v>
      </c>
      <c r="Q151" s="5">
        <f t="shared" si="194"/>
        <v>36888</v>
      </c>
      <c r="R151" s="4">
        <f t="shared" si="186"/>
        <v>0</v>
      </c>
      <c r="S151" s="158">
        <f>_xll.xSPRDOPT($L151,$J151,$I151,$M151,$O151,$N151,$P151,$Q151-$C$3,$R151,0)</f>
        <v>4.3274239977761475E-2</v>
      </c>
      <c r="T151" s="159">
        <f>_xll.xSPRDOPT($L151,$J151,$I151,$M151,$O151,$N151,$P151,$Q151-$C$3,$R151,1)*H151</f>
        <v>403116.81592810986</v>
      </c>
      <c r="U151" s="160">
        <f t="shared" si="187"/>
        <v>-43274.239977761477</v>
      </c>
      <c r="V151" s="159">
        <f>_xll.xSPRDOPT($L151,$J151,$I151,$M151,$O151,$N151,$P151,$Q151-$C$3,$R151,2)*H151</f>
        <v>-414787.91567545256</v>
      </c>
      <c r="W151" s="159">
        <f t="shared" si="188"/>
        <v>-11671.099747342698</v>
      </c>
      <c r="X151" s="51" t="str">
        <f t="shared" si="195"/>
        <v>36892IF-NNG/VENT</v>
      </c>
      <c r="Y151" s="418">
        <f t="shared" si="196"/>
        <v>-100</v>
      </c>
      <c r="Z151" s="456">
        <f t="shared" si="197"/>
        <v>-0.40311681592810988</v>
      </c>
      <c r="AA151" s="456">
        <f>_xll.xSPRDOPT($L151,$J151,$I151,$M151,$O151,$N151,$P151,$Q151-$C$3,$R151,3)</f>
        <v>2.6076382483860443</v>
      </c>
      <c r="AB151" s="456">
        <f>((_xll.xSPRDOPT($L151+AB$5,$J151,$I151,$M151,$O151,$N151,$P151,$Q151-$C$3,$R151,3)*$H151)/10000)/100</f>
        <v>-2.6076382483860447</v>
      </c>
      <c r="AC151" s="456">
        <f>((_xll.xSPRDOPT($L151+$AB$5,$J151,$I151,$M151,$O151,$N151,$P151,$Q151-$C$3,$R151,7)*$H151)/100)</f>
        <v>75637.351396257291</v>
      </c>
      <c r="AD151" s="456">
        <f>(_xll.xSPRDOPT($L151+$AB$5,$J151,$I151,$M151,$O151,$N151,$P151,$Q151-$C$3,$R151,9)/365)*$H151</f>
        <v>221.5479127378708</v>
      </c>
      <c r="AE151">
        <f t="shared" si="198"/>
        <v>0</v>
      </c>
      <c r="AF151" s="456">
        <f t="shared" si="199"/>
        <v>-917.98881091532803</v>
      </c>
      <c r="AG151" s="456">
        <f>((_xll.xSPRDOPT($L151,$J151,$I151,$M151,$O151,$N151,$P151,$Q151-$C$3,$R151,6)*$H151)/100)</f>
        <v>5593.9627117453647</v>
      </c>
      <c r="AH151" s="456">
        <f>((_xll.xSPRDOPT($L151,$J151,$I151,$M151,$O151,$N151,$P151,$Q151-$C$3,$R151,5)*$H151)/100)</f>
        <v>-6204.3002696216045</v>
      </c>
      <c r="AI151" s="456">
        <f>(((_xll.xSPRDOPT($L151,$J151,$I151,$M151,$O151,$N151,$P151,$Q151-$C$3,$R151,4)*$H151)/10000)/100)-AB151</f>
        <v>-3.3084617354763424E-2</v>
      </c>
      <c r="AJ151" s="456"/>
      <c r="AK151" s="456"/>
      <c r="AL151" s="456"/>
      <c r="AM151" s="472"/>
      <c r="AN151" s="41">
        <f t="shared" si="203"/>
        <v>41122</v>
      </c>
      <c r="AO151" s="43">
        <f t="shared" si="215"/>
        <v>0</v>
      </c>
      <c r="AP151" s="43">
        <f t="shared" si="215"/>
        <v>0</v>
      </c>
      <c r="AQ151" s="43">
        <f t="shared" si="215"/>
        <v>0</v>
      </c>
      <c r="AR151" s="43">
        <f t="shared" si="215"/>
        <v>0</v>
      </c>
      <c r="AS151" s="43">
        <f t="shared" si="215"/>
        <v>0</v>
      </c>
      <c r="AT151" s="43">
        <f t="shared" si="215"/>
        <v>0</v>
      </c>
      <c r="AU151" s="43">
        <f t="shared" si="215"/>
        <v>0</v>
      </c>
      <c r="AV151" s="43">
        <f t="shared" si="215"/>
        <v>0</v>
      </c>
      <c r="AW151" s="43">
        <f t="shared" si="215"/>
        <v>0</v>
      </c>
      <c r="AX151" s="43">
        <f t="shared" si="215"/>
        <v>0</v>
      </c>
      <c r="AY151" s="43">
        <f t="shared" si="215"/>
        <v>0</v>
      </c>
      <c r="AZ151" s="43">
        <f t="shared" si="215"/>
        <v>0</v>
      </c>
      <c r="BA151" s="44">
        <f t="shared" si="215"/>
        <v>0</v>
      </c>
      <c r="BB151" s="41">
        <f t="shared" si="204"/>
        <v>41122</v>
      </c>
      <c r="BC151" s="44">
        <f t="shared" si="205"/>
        <v>0</v>
      </c>
      <c r="BE151" s="41">
        <f t="shared" si="206"/>
        <v>41122</v>
      </c>
      <c r="BF151" s="43">
        <f t="shared" si="216"/>
        <v>0</v>
      </c>
      <c r="BG151" s="43">
        <f t="shared" si="216"/>
        <v>0</v>
      </c>
      <c r="BH151" s="43">
        <f t="shared" si="216"/>
        <v>0</v>
      </c>
      <c r="BI151" s="43">
        <f t="shared" si="216"/>
        <v>0</v>
      </c>
      <c r="BJ151" s="43">
        <f t="shared" si="216"/>
        <v>0</v>
      </c>
      <c r="BK151" s="43">
        <f t="shared" si="216"/>
        <v>0</v>
      </c>
      <c r="BL151" s="43">
        <f t="shared" si="216"/>
        <v>0</v>
      </c>
      <c r="BM151" s="43">
        <f t="shared" si="216"/>
        <v>0</v>
      </c>
      <c r="BN151" s="43">
        <f t="shared" si="216"/>
        <v>0</v>
      </c>
      <c r="BO151" s="43">
        <f t="shared" si="216"/>
        <v>0</v>
      </c>
      <c r="BP151" s="43">
        <f t="shared" si="216"/>
        <v>0</v>
      </c>
      <c r="BQ151" s="43">
        <f t="shared" si="216"/>
        <v>0</v>
      </c>
      <c r="BR151" s="44">
        <f t="shared" si="216"/>
        <v>0</v>
      </c>
      <c r="BS151" s="41">
        <f t="shared" si="207"/>
        <v>41122</v>
      </c>
      <c r="BT151" s="44">
        <f t="shared" si="208"/>
        <v>0</v>
      </c>
      <c r="CC151" s="141">
        <f t="shared" si="192"/>
        <v>36892</v>
      </c>
      <c r="CD151" s="234">
        <f>_xll.xSPRDOPT((VLOOKUP(G151,NGPrices,2,FALSE)+HLOOKUP(D151,Prices,VLOOKUP(G151,move_down,2,FALSE),FALSE)),VLOOKUP(G151,NGPrices,2,FALSE),I151,VLOOKUP(G151,NGPREVPRICES,4,FALSE),HLOOKUP(D151,PREVVOLS,VLOOKUP(G151,MOVE_DOWN2,2,FALSE),FALSE),VLOOKUP(G151,NGPREVPRICES,3,FALSE),HLOOKUP(D151,Correllate,VLOOKUP(G151,CorMove,2,FALSE),FALSE),Q151-$CD$3,R151,$CD$5)*H151-CJ151</f>
        <v>0</v>
      </c>
      <c r="CE151" s="234">
        <f>_xll.xSPRDOPT((VLOOKUP(G151,NGPREVPRICES,2,FALSE)+HLOOKUP(D151,PREVCURVES,VLOOKUP(G151,MOVE_DOWN2,2,FALSE),FALSE)),VLOOKUP(G151,NGPREVPRICES,2,FALSE),CK151,VLOOKUP(G151,NGPrices,4,FALSE),HLOOKUP(D151,PREVVOLS,VLOOKUP(G151,MOVE_DOWN2,2,FALSE),FALSE),VLOOKUP(G151,NGPREVPRICES,3,FALSE),HLOOKUP(D151,Correllate,VLOOKUP(G151,CorMove,2,FALSE),FALSE),Q151-$CD$3,R151,$CJ$5)*H151-CJ151</f>
        <v>0</v>
      </c>
      <c r="CF151" s="10">
        <f t="shared" si="189"/>
        <v>8.1962751609244151</v>
      </c>
      <c r="CG151" s="234">
        <f>_xll.xSPRDOPT((VLOOKUP(G151,NGPREVPRICES,2,FALSE)+HLOOKUP(D151,PREVCURVES,VLOOKUP(G151,MOVE_DOWN2,2,FALSE),FALSE)),VLOOKUP(G151,NGPREVPRICES,2,FALSE),CK151,VLOOKUP(G151,NGPREVPRICES,4,FALSE),HLOOKUP(D151,VOLS,VLOOKUP(G151,move_down,2,FALSE),FALSE),VLOOKUP(G151,NGPrices,3,FALSE),HLOOKUP(D151,Correllate,VLOOKUP(G151,CorMove,2,FALSE),FALSE),Q151-$CD$3,R151,$CJ$5)*H151-CJ151</f>
        <v>0</v>
      </c>
      <c r="CH151" s="234">
        <f>_xll.xSPRDOPT((VLOOKUP(G151,NGPREVPRICES,2,FALSE)+HLOOKUP(D151,PREVCURVES,VLOOKUP(G151,MOVE_DOWN2,2,FALSE),FALSE)),VLOOKUP(G151,NGPREVPRICES,2,FALSE),CK151,VLOOKUP(G151,NGPREVPRICES,4,FALSE),HLOOKUP(D151,PREVVOLS,VLOOKUP(G151,MOVE_DOWN2,2,FALSE),FALSE),VLOOKUP(G151,NGPREVPRICES,3,FALSE),HLOOKUP(D151,Correllate,VLOOKUP(G151,CorMove,2,FALSE),FALSE),Q151-$C$3,R151,$CJ$5)*H151-CJ151</f>
        <v>220.90184480560856</v>
      </c>
      <c r="CI151" s="234">
        <f t="shared" si="190"/>
        <v>229.09811996653298</v>
      </c>
      <c r="CJ151" s="234">
        <f>_xll.xSPRDOPT((VLOOKUP(G151,NGPREVPRICES,2,FALSE)+HLOOKUP(D151,PREVCURVES,VLOOKUP(G151,MOVE_DOWN2,2,FALSE),FALSE)),VLOOKUP(G151,NGPREVPRICES,2,FALSE),CK151,VLOOKUP(G151,NGPREVPRICES,4,FALSE),HLOOKUP(D151,PREVVOLS,VLOOKUP(G151,MOVE_DOWN2,2,FALSE),FALSE),VLOOKUP(G151,NGPREVPRICES,3,FALSE),HLOOKUP(D151,Correllate,VLOOKUP(G151,CorMove,2,FALSE),FALSE),Q151-$CD$3,R151,$CJ$5)*H151</f>
        <v>-43495.141822567086</v>
      </c>
      <c r="CK151" s="235">
        <f t="shared" si="193"/>
        <v>0</v>
      </c>
      <c r="CL151" s="234"/>
      <c r="CM151" t="str">
        <f t="shared" si="191"/>
        <v>36892Curve Shift/Gamma</v>
      </c>
      <c r="CN151" t="str">
        <f t="shared" si="176"/>
        <v>36892Rho</v>
      </c>
      <c r="CO151" t="str">
        <f t="shared" si="177"/>
        <v>36892Drift</v>
      </c>
      <c r="CP151" t="str">
        <f t="shared" si="178"/>
        <v>36892Vega</v>
      </c>
      <c r="CQ151" t="str">
        <f t="shared" si="179"/>
        <v>36892Theta</v>
      </c>
    </row>
    <row r="152" spans="1:95" ht="12" customHeight="1" x14ac:dyDescent="0.25">
      <c r="A152" s="382" t="s">
        <v>279</v>
      </c>
      <c r="B152" t="s">
        <v>250</v>
      </c>
      <c r="C152" t="s">
        <v>330</v>
      </c>
      <c r="D152" s="4" t="s">
        <v>325</v>
      </c>
      <c r="E152" t="s">
        <v>20</v>
      </c>
      <c r="F152" t="s">
        <v>1</v>
      </c>
      <c r="G152" s="5">
        <v>36861</v>
      </c>
      <c r="H152" s="130">
        <v>-1000000</v>
      </c>
      <c r="I152">
        <v>0</v>
      </c>
      <c r="J152" s="53">
        <f t="shared" si="200"/>
        <v>4.8</v>
      </c>
      <c r="K152" s="7">
        <f t="shared" si="201"/>
        <v>1.7500000000000002E-2</v>
      </c>
      <c r="L152" s="53">
        <f t="shared" si="202"/>
        <v>4.8174999999999999</v>
      </c>
      <c r="M152" s="157">
        <f t="shared" si="217"/>
        <v>6.8314027999354002E-2</v>
      </c>
      <c r="N152" s="4">
        <f t="shared" si="218"/>
        <v>0.6</v>
      </c>
      <c r="O152" s="4">
        <f t="shared" si="219"/>
        <v>0.63</v>
      </c>
      <c r="P152" s="9">
        <f t="shared" si="220"/>
        <v>0.99750000000000005</v>
      </c>
      <c r="Q152" s="5">
        <f t="shared" si="194"/>
        <v>36859</v>
      </c>
      <c r="R152" s="4">
        <f t="shared" si="186"/>
        <v>0</v>
      </c>
      <c r="S152" s="158">
        <f>_xll.xSPRDOPT($L152,$J152,$I152,$M152,$O152,$N152,$P152,$Q152-$C$3,$R152,0)</f>
        <v>4.1856579823496887E-2</v>
      </c>
      <c r="T152" s="159">
        <f>_xll.xSPRDOPT($L152,$J152,$I152,$M152,$O152,$N152,$P152,$Q152-$C$3,$R152,1)*H152</f>
        <v>432662.26985234412</v>
      </c>
      <c r="U152" s="160">
        <f t="shared" si="187"/>
        <v>-41856.57982349689</v>
      </c>
      <c r="V152" s="159">
        <f>_xll.xSPRDOPT($L152,$J152,$I152,$M152,$O152,$N152,$P152,$Q152-$C$3,$R152,2)*H152</f>
        <v>-442959.79697332642</v>
      </c>
      <c r="W152" s="159">
        <f t="shared" si="188"/>
        <v>-10297.527120982297</v>
      </c>
      <c r="X152" s="51" t="str">
        <f t="shared" si="195"/>
        <v>36861IF-NNG/VENT</v>
      </c>
      <c r="Y152" s="418">
        <f t="shared" si="196"/>
        <v>-100</v>
      </c>
      <c r="Z152" s="456">
        <f t="shared" si="197"/>
        <v>-0.43266226985234413</v>
      </c>
      <c r="AA152" s="456">
        <f>_xll.xSPRDOPT($L152,$J152,$I152,$M152,$O152,$N152,$P152,$Q152-$C$3,$R152,3)</f>
        <v>3.035944933604239</v>
      </c>
      <c r="AB152" s="456">
        <f>((_xll.xSPRDOPT($L152+AB$5,$J152,$I152,$M152,$O152,$N152,$P152,$Q152-$C$3,$R152,3)*$H152)/10000)/100</f>
        <v>-3.035944933604239</v>
      </c>
      <c r="AC152" s="456">
        <f>((_xll.xSPRDOPT($L152+$AB$5,$J152,$I152,$M152,$O152,$N152,$P152,$Q152-$C$3,$R152,7)*$H152)/100)</f>
        <v>67085.219703447176</v>
      </c>
      <c r="AD152" s="456">
        <f>(_xll.xSPRDOPT($L152+$AB$5,$J152,$I152,$M152,$O152,$N152,$P152,$Q152-$C$3,$R152,9)/365)*$H152</f>
        <v>261.45446876362581</v>
      </c>
      <c r="AE152">
        <f t="shared" si="198"/>
        <v>0</v>
      </c>
      <c r="AF152" s="456">
        <f t="shared" si="199"/>
        <v>-825.25253864798015</v>
      </c>
      <c r="AG152" s="456">
        <f>((_xll.xSPRDOPT($L152,$J152,$I152,$M152,$O152,$N152,$P152,$Q152-$C$3,$R152,6)*$H152)/100)</f>
        <v>5044.6808920677067</v>
      </c>
      <c r="AH152" s="456">
        <f>((_xll.xSPRDOPT($L152,$J152,$I152,$M152,$O152,$N152,$P152,$Q152-$C$3,$R152,5)*$H152)/100)</f>
        <v>-5590.4127911577971</v>
      </c>
      <c r="AI152" s="456">
        <f>(((_xll.xSPRDOPT($L152,$J152,$I152,$M152,$O152,$N152,$P152,$Q152-$C$3,$R152,4)*$H152)/10000)/100)-AB152</f>
        <v>-2.2177547638302375E-2</v>
      </c>
      <c r="AJ152" s="456"/>
      <c r="AK152" s="456"/>
      <c r="AL152" s="456"/>
      <c r="AM152" s="472"/>
      <c r="AN152" s="41">
        <f t="shared" si="203"/>
        <v>41153</v>
      </c>
      <c r="AO152" s="43">
        <f t="shared" si="215"/>
        <v>0</v>
      </c>
      <c r="AP152" s="43">
        <f t="shared" si="215"/>
        <v>0</v>
      </c>
      <c r="AQ152" s="43">
        <f t="shared" si="215"/>
        <v>0</v>
      </c>
      <c r="AR152" s="43">
        <f t="shared" si="215"/>
        <v>0</v>
      </c>
      <c r="AS152" s="43">
        <f t="shared" si="215"/>
        <v>0</v>
      </c>
      <c r="AT152" s="43">
        <f t="shared" si="215"/>
        <v>0</v>
      </c>
      <c r="AU152" s="43">
        <f t="shared" si="215"/>
        <v>0</v>
      </c>
      <c r="AV152" s="43">
        <f t="shared" si="215"/>
        <v>0</v>
      </c>
      <c r="AW152" s="43">
        <f t="shared" si="215"/>
        <v>0</v>
      </c>
      <c r="AX152" s="43">
        <f t="shared" si="215"/>
        <v>0</v>
      </c>
      <c r="AY152" s="43">
        <f t="shared" si="215"/>
        <v>0</v>
      </c>
      <c r="AZ152" s="43">
        <f t="shared" si="215"/>
        <v>0</v>
      </c>
      <c r="BA152" s="44">
        <f t="shared" si="215"/>
        <v>0</v>
      </c>
      <c r="BB152" s="41">
        <f t="shared" si="204"/>
        <v>41153</v>
      </c>
      <c r="BC152" s="44">
        <f t="shared" si="205"/>
        <v>0</v>
      </c>
      <c r="BE152" s="41">
        <f t="shared" si="206"/>
        <v>41153</v>
      </c>
      <c r="BF152" s="43">
        <f t="shared" si="216"/>
        <v>0</v>
      </c>
      <c r="BG152" s="43">
        <f t="shared" si="216"/>
        <v>0</v>
      </c>
      <c r="BH152" s="43">
        <f t="shared" si="216"/>
        <v>0</v>
      </c>
      <c r="BI152" s="43">
        <f t="shared" si="216"/>
        <v>0</v>
      </c>
      <c r="BJ152" s="43">
        <f t="shared" si="216"/>
        <v>0</v>
      </c>
      <c r="BK152" s="43">
        <f t="shared" si="216"/>
        <v>0</v>
      </c>
      <c r="BL152" s="43">
        <f t="shared" si="216"/>
        <v>0</v>
      </c>
      <c r="BM152" s="43">
        <f t="shared" si="216"/>
        <v>0</v>
      </c>
      <c r="BN152" s="43">
        <f t="shared" si="216"/>
        <v>0</v>
      </c>
      <c r="BO152" s="43">
        <f t="shared" si="216"/>
        <v>0</v>
      </c>
      <c r="BP152" s="43">
        <f t="shared" si="216"/>
        <v>0</v>
      </c>
      <c r="BQ152" s="43">
        <f t="shared" si="216"/>
        <v>0</v>
      </c>
      <c r="BR152" s="44">
        <f t="shared" si="216"/>
        <v>0</v>
      </c>
      <c r="BS152" s="41">
        <f t="shared" si="207"/>
        <v>41153</v>
      </c>
      <c r="BT152" s="44">
        <f t="shared" si="208"/>
        <v>0</v>
      </c>
      <c r="CC152" s="141">
        <f t="shared" si="192"/>
        <v>36861</v>
      </c>
      <c r="CD152" s="234">
        <f>_xll.xSPRDOPT((VLOOKUP(G152,NGPrices,2,FALSE)+HLOOKUP(D152,Prices,VLOOKUP(G152,move_down,2,FALSE),FALSE)),VLOOKUP(G152,NGPrices,2,FALSE),I152,VLOOKUP(G152,NGPREVPRICES,4,FALSE),HLOOKUP(D152,PREVVOLS,VLOOKUP(G152,MOVE_DOWN2,2,FALSE),FALSE),VLOOKUP(G152,NGPREVPRICES,3,FALSE),HLOOKUP(D152,Correllate,VLOOKUP(G152,CorMove,2,FALSE),FALSE),Q152-$CD$3,R152,$CD$5)*H152-CJ152</f>
        <v>0</v>
      </c>
      <c r="CE152" s="234">
        <f>_xll.xSPRDOPT((VLOOKUP(G152,NGPREVPRICES,2,FALSE)+HLOOKUP(D152,PREVCURVES,VLOOKUP(G152,MOVE_DOWN2,2,FALSE),FALSE)),VLOOKUP(G152,NGPREVPRICES,2,FALSE),CK152,VLOOKUP(G152,NGPrices,4,FALSE),HLOOKUP(D152,PREVVOLS,VLOOKUP(G152,MOVE_DOWN2,2,FALSE),FALSE),VLOOKUP(G152,NGPREVPRICES,3,FALSE),HLOOKUP(D152,Correllate,VLOOKUP(G152,CorMove,2,FALSE),FALSE),Q152-$CD$3,R152,$CJ$5)*H152-CJ152</f>
        <v>0</v>
      </c>
      <c r="CF152" s="10">
        <f t="shared" si="189"/>
        <v>7.8901290648864233</v>
      </c>
      <c r="CG152" s="234">
        <f>_xll.xSPRDOPT((VLOOKUP(G152,NGPREVPRICES,2,FALSE)+HLOOKUP(D152,PREVCURVES,VLOOKUP(G152,MOVE_DOWN2,2,FALSE),FALSE)),VLOOKUP(G152,NGPREVPRICES,2,FALSE),CK152,VLOOKUP(G152,NGPREVPRICES,4,FALSE),HLOOKUP(D152,VOLS,VLOOKUP(G152,move_down,2,FALSE),FALSE),VLOOKUP(G152,NGPrices,3,FALSE),HLOOKUP(D152,Correllate,VLOOKUP(G152,CorMove,2,FALSE),FALSE),Q152-$CD$3,R152,$CJ$5)*H152-CJ152</f>
        <v>0</v>
      </c>
      <c r="CH152" s="234">
        <f>_xll.xSPRDOPT((VLOOKUP(G152,NGPREVPRICES,2,FALSE)+HLOOKUP(D152,PREVCURVES,VLOOKUP(G152,MOVE_DOWN2,2,FALSE),FALSE)),VLOOKUP(G152,NGPREVPRICES,2,FALSE),CK152,VLOOKUP(G152,NGPREVPRICES,4,FALSE),HLOOKUP(D152,PREVVOLS,VLOOKUP(G152,MOVE_DOWN2,2,FALSE),FALSE),VLOOKUP(G152,NGPREVPRICES,3,FALSE),HLOOKUP(D152,Correllate,VLOOKUP(G152,CorMove,2,FALSE),FALSE),Q152-$C$3,R152,$CJ$5)*H152-CJ152</f>
        <v>260.51225568401424</v>
      </c>
      <c r="CI152" s="234">
        <f t="shared" si="190"/>
        <v>268.40238474890066</v>
      </c>
      <c r="CJ152" s="234">
        <f>_xll.xSPRDOPT((VLOOKUP(G152,NGPREVPRICES,2,FALSE)+HLOOKUP(D152,PREVCURVES,VLOOKUP(G152,MOVE_DOWN2,2,FALSE),FALSE)),VLOOKUP(G152,NGPREVPRICES,2,FALSE),CK152,VLOOKUP(G152,NGPREVPRICES,4,FALSE),HLOOKUP(D152,PREVVOLS,VLOOKUP(G152,MOVE_DOWN2,2,FALSE),FALSE),VLOOKUP(G152,NGPREVPRICES,3,FALSE),HLOOKUP(D152,Correllate,VLOOKUP(G152,CorMove,2,FALSE),FALSE),Q152-$CD$3,R152,$CJ$5)*H152</f>
        <v>-42117.092079180904</v>
      </c>
      <c r="CK152" s="235">
        <f t="shared" si="193"/>
        <v>0</v>
      </c>
      <c r="CL152" s="234"/>
      <c r="CM152" t="str">
        <f t="shared" si="191"/>
        <v>36861Curve Shift/Gamma</v>
      </c>
      <c r="CN152" t="str">
        <f t="shared" si="176"/>
        <v>36861Rho</v>
      </c>
      <c r="CO152" t="str">
        <f t="shared" si="177"/>
        <v>36861Drift</v>
      </c>
      <c r="CP152" t="str">
        <f t="shared" si="178"/>
        <v>36861Vega</v>
      </c>
      <c r="CQ152" t="str">
        <f t="shared" si="179"/>
        <v>36861Theta</v>
      </c>
    </row>
    <row r="153" spans="1:95" ht="12" customHeight="1" x14ac:dyDescent="0.25">
      <c r="A153" s="382" t="s">
        <v>279</v>
      </c>
      <c r="B153" t="s">
        <v>250</v>
      </c>
      <c r="C153" t="s">
        <v>330</v>
      </c>
      <c r="D153" s="4" t="s">
        <v>325</v>
      </c>
      <c r="E153" t="s">
        <v>20</v>
      </c>
      <c r="F153" t="s">
        <v>1</v>
      </c>
      <c r="G153" s="5">
        <v>36831</v>
      </c>
      <c r="H153" s="130">
        <v>-1000000</v>
      </c>
      <c r="I153">
        <v>0</v>
      </c>
      <c r="J153" s="53">
        <f t="shared" si="200"/>
        <v>4.7359999999999998</v>
      </c>
      <c r="K153" s="7">
        <f t="shared" si="201"/>
        <v>-2.5000000000000001E-3</v>
      </c>
      <c r="L153" s="53">
        <f t="shared" si="202"/>
        <v>4.7334999999999994</v>
      </c>
      <c r="M153" s="157">
        <f t="shared" si="217"/>
        <v>6.810675983792E-2</v>
      </c>
      <c r="N153" s="4">
        <f t="shared" si="218"/>
        <v>0.59499999999999997</v>
      </c>
      <c r="O153" s="4">
        <f t="shared" si="219"/>
        <v>0.625</v>
      </c>
      <c r="P153" s="9">
        <f t="shared" si="220"/>
        <v>0.99750000000000005</v>
      </c>
      <c r="Q153" s="5">
        <f t="shared" si="194"/>
        <v>36829</v>
      </c>
      <c r="R153" s="4">
        <f t="shared" si="186"/>
        <v>0</v>
      </c>
      <c r="S153" s="158">
        <f>_xll.xSPRDOPT($L153,$J153,$I153,$M153,$O153,$N153,$P153,$Q153-$C$3,$R153,0)</f>
        <v>4.1657198409338569E-2</v>
      </c>
      <c r="T153" s="159">
        <f>_xll.xSPRDOPT($L153,$J153,$I153,$M153,$O153,$N153,$P153,$Q153-$C$3,$R153,1)*H153</f>
        <v>499606.33371772192</v>
      </c>
      <c r="U153" s="160">
        <f t="shared" si="187"/>
        <v>-41657.198409338569</v>
      </c>
      <c r="V153" s="159">
        <f>_xll.xSPRDOPT($L153,$J153,$I153,$M153,$O153,$N153,$P153,$Q153-$C$3,$R153,2)*H153</f>
        <v>-508138.46030103747</v>
      </c>
      <c r="W153" s="159">
        <f t="shared" si="188"/>
        <v>-8532.1265833155485</v>
      </c>
      <c r="X153" s="51" t="str">
        <f t="shared" si="195"/>
        <v>36831IF-NNG/VENT</v>
      </c>
      <c r="Y153" s="418">
        <f t="shared" si="196"/>
        <v>-100</v>
      </c>
      <c r="Z153" s="456">
        <f t="shared" si="197"/>
        <v>-0.4996063337177219</v>
      </c>
      <c r="AA153" s="456">
        <f>_xll.xSPRDOPT($L153,$J153,$I153,$M153,$O153,$N153,$P153,$Q153-$C$3,$R153,3)</f>
        <v>3.8491142305486035</v>
      </c>
      <c r="AB153" s="456">
        <f>((_xll.xSPRDOPT($L153+AB$5,$J153,$I153,$M153,$O153,$N153,$P153,$Q153-$C$3,$R153,3)*$H153)/10000)/100</f>
        <v>-3.8491142305486035</v>
      </c>
      <c r="AC153" s="456">
        <f>((_xll.xSPRDOPT($L153+$AB$5,$J153,$I153,$M153,$O153,$N153,$P153,$Q153-$C$3,$R153,7)*$H153)/100)</f>
        <v>54440.741237630049</v>
      </c>
      <c r="AD153" s="456">
        <f>(_xll.xSPRDOPT($L153+$AB$5,$J153,$I153,$M153,$O153,$N153,$P153,$Q153-$C$3,$R153,9)/365)*$H153</f>
        <v>318.22360226978537</v>
      </c>
      <c r="AE153">
        <f t="shared" si="198"/>
        <v>0</v>
      </c>
      <c r="AF153" s="456">
        <f t="shared" si="199"/>
        <v>-678.92278694896049</v>
      </c>
      <c r="AG153" s="456">
        <f>((_xll.xSPRDOPT($L153,$J153,$I153,$M153,$O153,$N153,$P153,$Q153-$C$3,$R153,6)*$H153)/100)</f>
        <v>4163.1149497362603</v>
      </c>
      <c r="AH153" s="456">
        <f>((_xll.xSPRDOPT($L153,$J153,$I153,$M153,$O153,$N153,$P153,$Q153-$C$3,$R153,5)*$H153)/100)</f>
        <v>-4609.6199253243303</v>
      </c>
      <c r="AI153" s="456">
        <f>(((_xll.xSPRDOPT($L153,$J153,$I153,$M153,$O153,$N153,$P153,$Q153-$C$3,$R153,4)*$H153)/10000)/100)-AB153</f>
        <v>4.0624982287518208E-3</v>
      </c>
      <c r="AJ153" s="456"/>
      <c r="AK153" s="456"/>
      <c r="AL153" s="456"/>
      <c r="AM153" s="472"/>
      <c r="AN153" s="41">
        <f t="shared" si="203"/>
        <v>41183</v>
      </c>
      <c r="AO153" s="43">
        <f t="shared" si="215"/>
        <v>0</v>
      </c>
      <c r="AP153" s="43">
        <f t="shared" si="215"/>
        <v>0</v>
      </c>
      <c r="AQ153" s="43">
        <f t="shared" si="215"/>
        <v>0</v>
      </c>
      <c r="AR153" s="43">
        <f t="shared" si="215"/>
        <v>0</v>
      </c>
      <c r="AS153" s="43">
        <f t="shared" si="215"/>
        <v>0</v>
      </c>
      <c r="AT153" s="43">
        <f t="shared" si="215"/>
        <v>0</v>
      </c>
      <c r="AU153" s="43">
        <f t="shared" si="215"/>
        <v>0</v>
      </c>
      <c r="AV153" s="43">
        <f t="shared" si="215"/>
        <v>0</v>
      </c>
      <c r="AW153" s="43">
        <f t="shared" si="215"/>
        <v>0</v>
      </c>
      <c r="AX153" s="43">
        <f t="shared" si="215"/>
        <v>0</v>
      </c>
      <c r="AY153" s="43">
        <f t="shared" si="215"/>
        <v>0</v>
      </c>
      <c r="AZ153" s="43">
        <f t="shared" si="215"/>
        <v>0</v>
      </c>
      <c r="BA153" s="44">
        <f t="shared" si="215"/>
        <v>0</v>
      </c>
      <c r="BB153" s="41">
        <f t="shared" si="204"/>
        <v>41183</v>
      </c>
      <c r="BC153" s="44">
        <f t="shared" si="205"/>
        <v>0</v>
      </c>
      <c r="BE153" s="41">
        <f t="shared" si="206"/>
        <v>41183</v>
      </c>
      <c r="BF153" s="43">
        <f t="shared" si="216"/>
        <v>0</v>
      </c>
      <c r="BG153" s="43">
        <f t="shared" si="216"/>
        <v>0</v>
      </c>
      <c r="BH153" s="43">
        <f t="shared" si="216"/>
        <v>0</v>
      </c>
      <c r="BI153" s="43">
        <f t="shared" si="216"/>
        <v>0</v>
      </c>
      <c r="BJ153" s="43">
        <f t="shared" si="216"/>
        <v>0</v>
      </c>
      <c r="BK153" s="43">
        <f t="shared" si="216"/>
        <v>0</v>
      </c>
      <c r="BL153" s="43">
        <f t="shared" si="216"/>
        <v>0</v>
      </c>
      <c r="BM153" s="43">
        <f t="shared" si="216"/>
        <v>0</v>
      </c>
      <c r="BN153" s="43">
        <f t="shared" si="216"/>
        <v>0</v>
      </c>
      <c r="BO153" s="43">
        <f t="shared" si="216"/>
        <v>0</v>
      </c>
      <c r="BP153" s="43">
        <f t="shared" si="216"/>
        <v>0</v>
      </c>
      <c r="BQ153" s="43">
        <f t="shared" si="216"/>
        <v>0</v>
      </c>
      <c r="BR153" s="44">
        <f t="shared" si="216"/>
        <v>0</v>
      </c>
      <c r="BS153" s="41">
        <f t="shared" si="207"/>
        <v>41183</v>
      </c>
      <c r="BT153" s="44">
        <f t="shared" si="208"/>
        <v>0</v>
      </c>
      <c r="CC153" s="141">
        <f t="shared" si="192"/>
        <v>36831</v>
      </c>
      <c r="CD153" s="234">
        <f>_xll.xSPRDOPT((VLOOKUP(G153,NGPrices,2,FALSE)+HLOOKUP(D153,Prices,VLOOKUP(G153,move_down,2,FALSE),FALSE)),VLOOKUP(G153,NGPrices,2,FALSE),I153,VLOOKUP(G153,NGPREVPRICES,4,FALSE),HLOOKUP(D153,PREVVOLS,VLOOKUP(G153,MOVE_DOWN2,2,FALSE),FALSE),VLOOKUP(G153,NGPREVPRICES,3,FALSE),HLOOKUP(D153,Correllate,VLOOKUP(G153,CorMove,2,FALSE),FALSE),Q153-$CD$3,R153,$CD$5)*H153-CJ153</f>
        <v>0</v>
      </c>
      <c r="CE153" s="234">
        <f>_xll.xSPRDOPT((VLOOKUP(G153,NGPREVPRICES,2,FALSE)+HLOOKUP(D153,PREVCURVES,VLOOKUP(G153,MOVE_DOWN2,2,FALSE),FALSE)),VLOOKUP(G153,NGPREVPRICES,2,FALSE),CK153,VLOOKUP(G153,NGPrices,4,FALSE),HLOOKUP(D153,PREVVOLS,VLOOKUP(G153,MOVE_DOWN2,2,FALSE),FALSE),VLOOKUP(G153,NGPREVPRICES,3,FALSE),HLOOKUP(D153,Correllate,VLOOKUP(G153,CorMove,2,FALSE),FALSE),Q153-$CD$3,R153,$CJ$5)*H153-CJ153</f>
        <v>0</v>
      </c>
      <c r="CF153" s="10">
        <f t="shared" si="189"/>
        <v>7.7949892812321195</v>
      </c>
      <c r="CG153" s="234">
        <f>_xll.xSPRDOPT((VLOOKUP(G153,NGPREVPRICES,2,FALSE)+HLOOKUP(D153,PREVCURVES,VLOOKUP(G153,MOVE_DOWN2,2,FALSE),FALSE)),VLOOKUP(G153,NGPREVPRICES,2,FALSE),CK153,VLOOKUP(G153,NGPREVPRICES,4,FALSE),HLOOKUP(D153,VOLS,VLOOKUP(G153,move_down,2,FALSE),FALSE),VLOOKUP(G153,NGPrices,3,FALSE),HLOOKUP(D153,Correllate,VLOOKUP(G153,CorMove,2,FALSE),FALSE),Q153-$CD$3,R153,$CJ$5)*H153-CJ153</f>
        <v>0</v>
      </c>
      <c r="CH153" s="234">
        <f>_xll.xSPRDOPT((VLOOKUP(G153,NGPREVPRICES,2,FALSE)+HLOOKUP(D153,PREVCURVES,VLOOKUP(G153,MOVE_DOWN2,2,FALSE),FALSE)),VLOOKUP(G153,NGPREVPRICES,2,FALSE),CK153,VLOOKUP(G153,NGPREVPRICES,4,FALSE),HLOOKUP(D153,PREVVOLS,VLOOKUP(G153,MOVE_DOWN2,2,FALSE),FALSE),VLOOKUP(G153,NGPREVPRICES,3,FALSE),HLOOKUP(D153,Correllate,VLOOKUP(G153,CorMove,2,FALSE),FALSE),Q153-$C$3,R153,$CJ$5)*H153-CJ153</f>
        <v>316.64351883087511</v>
      </c>
      <c r="CI153" s="234">
        <f t="shared" si="190"/>
        <v>324.43850811210723</v>
      </c>
      <c r="CJ153" s="234">
        <f>_xll.xSPRDOPT((VLOOKUP(G153,NGPREVPRICES,2,FALSE)+HLOOKUP(D153,PREVCURVES,VLOOKUP(G153,MOVE_DOWN2,2,FALSE),FALSE)),VLOOKUP(G153,NGPREVPRICES,2,FALSE),CK153,VLOOKUP(G153,NGPREVPRICES,4,FALSE),HLOOKUP(D153,PREVVOLS,VLOOKUP(G153,MOVE_DOWN2,2,FALSE),FALSE),VLOOKUP(G153,NGPREVPRICES,3,FALSE),HLOOKUP(D153,Correllate,VLOOKUP(G153,CorMove,2,FALSE),FALSE),Q153-$CD$3,R153,$CJ$5)*H153</f>
        <v>-41973.841928169444</v>
      </c>
      <c r="CK153" s="235">
        <f t="shared" si="193"/>
        <v>0</v>
      </c>
      <c r="CL153" s="234"/>
      <c r="CM153" t="str">
        <f t="shared" si="191"/>
        <v>36831Curve Shift/Gamma</v>
      </c>
      <c r="CN153" t="str">
        <f t="shared" si="176"/>
        <v>36831Rho</v>
      </c>
      <c r="CO153" t="str">
        <f t="shared" si="177"/>
        <v>36831Drift</v>
      </c>
      <c r="CP153" t="str">
        <f t="shared" si="178"/>
        <v>36831Vega</v>
      </c>
      <c r="CQ153" t="str">
        <f t="shared" si="179"/>
        <v>36831Theta</v>
      </c>
    </row>
    <row r="154" spans="1:95" ht="12" customHeight="1" x14ac:dyDescent="0.25">
      <c r="A154" s="382" t="s">
        <v>279</v>
      </c>
      <c r="B154" t="s">
        <v>250</v>
      </c>
      <c r="C154" t="s">
        <v>330</v>
      </c>
      <c r="D154" s="4" t="s">
        <v>325</v>
      </c>
      <c r="E154" t="s">
        <v>20</v>
      </c>
      <c r="F154" t="s">
        <v>1</v>
      </c>
      <c r="G154" s="5">
        <v>36800</v>
      </c>
      <c r="H154" s="130">
        <v>-1000000</v>
      </c>
      <c r="I154">
        <v>0</v>
      </c>
      <c r="J154" s="53">
        <f t="shared" si="200"/>
        <v>4.6920000000000002</v>
      </c>
      <c r="K154" s="7">
        <f t="shared" si="201"/>
        <v>-0.09</v>
      </c>
      <c r="L154" s="53">
        <f t="shared" si="202"/>
        <v>4.6020000000000003</v>
      </c>
      <c r="M154" s="157">
        <f t="shared" si="217"/>
        <v>6.8050789414654006E-2</v>
      </c>
      <c r="N154" s="4">
        <f t="shared" si="218"/>
        <v>0.57499999999999996</v>
      </c>
      <c r="O154" s="4">
        <f t="shared" si="219"/>
        <v>0.57499999999999996</v>
      </c>
      <c r="P154" s="9">
        <f t="shared" si="220"/>
        <v>0.99750000000000005</v>
      </c>
      <c r="Q154" s="5">
        <f t="shared" si="194"/>
        <v>36797</v>
      </c>
      <c r="R154" s="4">
        <f t="shared" si="186"/>
        <v>0</v>
      </c>
      <c r="S154" s="158">
        <f>_xll.xSPRDOPT($L154,$J154,$I154,$M154,$O154,$N154,$P154,$Q154-$C$3,$R154,0)</f>
        <v>9.0577645878235025E-2</v>
      </c>
      <c r="T154" s="159">
        <f>_xll.xSPRDOPT($L154,$J154,$I154,$M154,$O154,$N154,$P154,$Q154-$C$3,$R154,1)*H154</f>
        <v>945868.25059030624</v>
      </c>
      <c r="U154" s="160">
        <f t="shared" si="187"/>
        <v>-90577.645878235024</v>
      </c>
      <c r="V154" s="159">
        <f>_xll.xSPRDOPT($L154,$J154,$I154,$M154,$O154,$N154,$P154,$Q154-$C$3,$R154,2)*H154</f>
        <v>-947029.6963352341</v>
      </c>
      <c r="W154" s="159">
        <f t="shared" si="188"/>
        <v>-1161.4457449278561</v>
      </c>
      <c r="X154" s="51" t="str">
        <f t="shared" si="195"/>
        <v>36800IF-NNG/VENT</v>
      </c>
      <c r="Y154" s="418">
        <f t="shared" si="196"/>
        <v>-100</v>
      </c>
      <c r="Z154" s="456">
        <f t="shared" si="197"/>
        <v>-0.94586825059030621</v>
      </c>
      <c r="AA154" s="456">
        <f>_xll.xSPRDOPT($L154,$J154,$I154,$M154,$O154,$N154,$P154,$Q154-$C$3,$R154,3)</f>
        <v>1.8767583471962377</v>
      </c>
      <c r="AB154" s="456">
        <f>((_xll.xSPRDOPT($L154+AB$5,$J154,$I154,$M154,$O154,$N154,$P154,$Q154-$C$3,$R154,3)*$H154)/10000)/100</f>
        <v>-1.8767583471962377</v>
      </c>
      <c r="AC154" s="456">
        <f>((_xll.xSPRDOPT($L154+$AB$5,$J154,$I154,$M154,$O154,$N154,$P154,$Q154-$C$3,$R154,7)*$H154)/100)</f>
        <v>10793.678040589333</v>
      </c>
      <c r="AD154" s="456">
        <f>(_xll.xSPRDOPT($L154+$AB$5,$J154,$I154,$M154,$O154,$N154,$P154,$Q154-$C$3,$R154,9)/365)*$H154</f>
        <v>73.121563321301466</v>
      </c>
      <c r="AE154">
        <f t="shared" si="198"/>
        <v>0</v>
      </c>
      <c r="AF154" s="456">
        <f t="shared" si="199"/>
        <v>-93.85809944340545</v>
      </c>
      <c r="AG154" s="456">
        <f>((_xll.xSPRDOPT($L154,$J154,$I154,$M154,$O154,$N154,$P154,$Q154-$C$3,$R154,6)*$H154)/100)</f>
        <v>-46.926571140916778</v>
      </c>
      <c r="AH154" s="456">
        <f>((_xll.xSPRDOPT($L154,$J154,$I154,$M154,$O154,$N154,$P154,$Q154-$C$3,$R154,5)*$H154)/100)</f>
        <v>-46.93152830248868</v>
      </c>
      <c r="AI154" s="456">
        <f>(((_xll.xSPRDOPT($L154,$J154,$I154,$M154,$O154,$N154,$P154,$Q154-$C$3,$R154,4)*$H154)/10000)/100)-AB154</f>
        <v>7.1307853749293715E-2</v>
      </c>
      <c r="AJ154" s="456"/>
      <c r="AK154" s="456"/>
      <c r="AL154" s="456"/>
      <c r="AM154" s="472"/>
      <c r="AN154" s="41">
        <f t="shared" si="203"/>
        <v>41214</v>
      </c>
      <c r="AO154" s="43">
        <f t="shared" si="215"/>
        <v>0</v>
      </c>
      <c r="AP154" s="43">
        <f t="shared" si="215"/>
        <v>0</v>
      </c>
      <c r="AQ154" s="43">
        <f t="shared" si="215"/>
        <v>0</v>
      </c>
      <c r="AR154" s="43">
        <f t="shared" si="215"/>
        <v>0</v>
      </c>
      <c r="AS154" s="43">
        <f t="shared" si="215"/>
        <v>0</v>
      </c>
      <c r="AT154" s="43">
        <f t="shared" si="215"/>
        <v>0</v>
      </c>
      <c r="AU154" s="43">
        <f t="shared" si="215"/>
        <v>0</v>
      </c>
      <c r="AV154" s="43">
        <f t="shared" si="215"/>
        <v>0</v>
      </c>
      <c r="AW154" s="43">
        <f t="shared" si="215"/>
        <v>0</v>
      </c>
      <c r="AX154" s="43">
        <f t="shared" si="215"/>
        <v>0</v>
      </c>
      <c r="AY154" s="43">
        <f t="shared" si="215"/>
        <v>0</v>
      </c>
      <c r="AZ154" s="43">
        <f t="shared" si="215"/>
        <v>0</v>
      </c>
      <c r="BA154" s="44">
        <f t="shared" si="215"/>
        <v>0</v>
      </c>
      <c r="BB154" s="41">
        <f t="shared" si="204"/>
        <v>41214</v>
      </c>
      <c r="BC154" s="44">
        <f t="shared" si="205"/>
        <v>0</v>
      </c>
      <c r="BE154" s="41">
        <f t="shared" si="206"/>
        <v>41214</v>
      </c>
      <c r="BF154" s="43">
        <f t="shared" si="216"/>
        <v>0</v>
      </c>
      <c r="BG154" s="43">
        <f t="shared" si="216"/>
        <v>0</v>
      </c>
      <c r="BH154" s="43">
        <f t="shared" si="216"/>
        <v>0</v>
      </c>
      <c r="BI154" s="43">
        <f t="shared" si="216"/>
        <v>0</v>
      </c>
      <c r="BJ154" s="43">
        <f t="shared" si="216"/>
        <v>0</v>
      </c>
      <c r="BK154" s="43">
        <f t="shared" si="216"/>
        <v>0</v>
      </c>
      <c r="BL154" s="43">
        <f t="shared" si="216"/>
        <v>0</v>
      </c>
      <c r="BM154" s="43">
        <f t="shared" si="216"/>
        <v>0</v>
      </c>
      <c r="BN154" s="43">
        <f t="shared" si="216"/>
        <v>0</v>
      </c>
      <c r="BO154" s="43">
        <f t="shared" si="216"/>
        <v>0</v>
      </c>
      <c r="BP154" s="43">
        <f t="shared" si="216"/>
        <v>0</v>
      </c>
      <c r="BQ154" s="43">
        <f t="shared" si="216"/>
        <v>0</v>
      </c>
      <c r="BR154" s="44">
        <f t="shared" si="216"/>
        <v>0</v>
      </c>
      <c r="BS154" s="41">
        <f t="shared" si="207"/>
        <v>41214</v>
      </c>
      <c r="BT154" s="44">
        <f t="shared" si="208"/>
        <v>0</v>
      </c>
      <c r="CC154" s="141">
        <f t="shared" si="192"/>
        <v>36800</v>
      </c>
      <c r="CD154" s="234">
        <f>_xll.xSPRDOPT((VLOOKUP(G154,NGPrices,2,FALSE)+HLOOKUP(D154,Prices,VLOOKUP(G154,move_down,2,FALSE),FALSE)),VLOOKUP(G154,NGPrices,2,FALSE),I154,VLOOKUP(G154,NGPREVPRICES,4,FALSE),HLOOKUP(D154,PREVVOLS,VLOOKUP(G154,MOVE_DOWN2,2,FALSE),FALSE),VLOOKUP(G154,NGPREVPRICES,3,FALSE),HLOOKUP(D154,Correllate,VLOOKUP(G154,CorMove,2,FALSE),FALSE),Q154-$CD$3,R154,$CD$5)*H154-CJ154</f>
        <v>0</v>
      </c>
      <c r="CE154" s="234">
        <f>_xll.xSPRDOPT((VLOOKUP(G154,NGPREVPRICES,2,FALSE)+HLOOKUP(D154,PREVCURVES,VLOOKUP(G154,MOVE_DOWN2,2,FALSE),FALSE)),VLOOKUP(G154,NGPREVPRICES,2,FALSE),CK154,VLOOKUP(G154,NGPrices,4,FALSE),HLOOKUP(D154,PREVVOLS,VLOOKUP(G154,MOVE_DOWN2,2,FALSE),FALSE),VLOOKUP(G154,NGPREVPRICES,3,FALSE),HLOOKUP(D154,Correllate,VLOOKUP(G154,CorMove,2,FALSE),FALSE),Q154-$CD$3,R154,$CJ$5)*H154-CJ154</f>
        <v>0</v>
      </c>
      <c r="CF154" s="10">
        <f t="shared" si="189"/>
        <v>16.712216182713746</v>
      </c>
      <c r="CG154" s="234">
        <f>_xll.xSPRDOPT((VLOOKUP(G154,NGPREVPRICES,2,FALSE)+HLOOKUP(D154,PREVCURVES,VLOOKUP(G154,MOVE_DOWN2,2,FALSE),FALSE)),VLOOKUP(G154,NGPREVPRICES,2,FALSE),CK154,VLOOKUP(G154,NGPREVPRICES,4,FALSE),HLOOKUP(D154,VOLS,VLOOKUP(G154,move_down,2,FALSE),FALSE),VLOOKUP(G154,NGPrices,3,FALSE),HLOOKUP(D154,Correllate,VLOOKUP(G154,CorMove,2,FALSE),FALSE),Q154-$CD$3,R154,$CJ$5)*H154-CJ154</f>
        <v>0</v>
      </c>
      <c r="CH154" s="234">
        <f>_xll.xSPRDOPT((VLOOKUP(G154,NGPREVPRICES,2,FALSE)+HLOOKUP(D154,PREVCURVES,VLOOKUP(G154,MOVE_DOWN2,2,FALSE),FALSE)),VLOOKUP(G154,NGPREVPRICES,2,FALSE),CK154,VLOOKUP(G154,NGPREVPRICES,4,FALSE),HLOOKUP(D154,PREVVOLS,VLOOKUP(G154,MOVE_DOWN2,2,FALSE),FALSE),VLOOKUP(G154,NGPREVPRICES,3,FALSE),HLOOKUP(D154,Correllate,VLOOKUP(G154,CorMove,2,FALSE),FALSE),Q154-$C$3,R154,$CJ$5)*H154-CJ154</f>
        <v>74.352716803012299</v>
      </c>
      <c r="CI154" s="234">
        <f t="shared" si="190"/>
        <v>91.064932985726045</v>
      </c>
      <c r="CJ154" s="234">
        <f>_xll.xSPRDOPT((VLOOKUP(G154,NGPREVPRICES,2,FALSE)+HLOOKUP(D154,PREVCURVES,VLOOKUP(G154,MOVE_DOWN2,2,FALSE),FALSE)),VLOOKUP(G154,NGPREVPRICES,2,FALSE),CK154,VLOOKUP(G154,NGPREVPRICES,4,FALSE),HLOOKUP(D154,PREVVOLS,VLOOKUP(G154,MOVE_DOWN2,2,FALSE),FALSE),VLOOKUP(G154,NGPREVPRICES,3,FALSE),HLOOKUP(D154,Correllate,VLOOKUP(G154,CorMove,2,FALSE),FALSE),Q154-$CD$3,R154,$CJ$5)*H154</f>
        <v>-90651.998595038036</v>
      </c>
      <c r="CK154" s="235">
        <f t="shared" si="193"/>
        <v>0</v>
      </c>
      <c r="CL154" s="234"/>
      <c r="CM154" t="str">
        <f t="shared" si="191"/>
        <v>36800Curve Shift/Gamma</v>
      </c>
      <c r="CN154" t="str">
        <f t="shared" si="176"/>
        <v>36800Rho</v>
      </c>
      <c r="CO154" t="str">
        <f t="shared" si="177"/>
        <v>36800Drift</v>
      </c>
      <c r="CP154" t="str">
        <f t="shared" si="178"/>
        <v>36800Vega</v>
      </c>
      <c r="CQ154" t="str">
        <f t="shared" si="179"/>
        <v>36800Theta</v>
      </c>
    </row>
    <row r="155" spans="1:95" ht="12" customHeight="1" x14ac:dyDescent="0.25">
      <c r="A155" s="382" t="s">
        <v>279</v>
      </c>
      <c r="B155" t="s">
        <v>250</v>
      </c>
      <c r="C155" t="s">
        <v>330</v>
      </c>
      <c r="D155" s="4" t="s">
        <v>325</v>
      </c>
      <c r="E155" t="s">
        <v>20</v>
      </c>
      <c r="F155" t="s">
        <v>1</v>
      </c>
      <c r="G155" s="5">
        <v>36770</v>
      </c>
      <c r="H155" s="130">
        <v>-1000000</v>
      </c>
      <c r="I155">
        <v>0</v>
      </c>
      <c r="J155" s="53">
        <f t="shared" si="200"/>
        <v>4.6849999999999996</v>
      </c>
      <c r="K155" s="7">
        <f t="shared" si="201"/>
        <v>-0.11</v>
      </c>
      <c r="L155" s="53">
        <f t="shared" si="202"/>
        <v>4.5749999999999993</v>
      </c>
      <c r="M155" s="157">
        <f t="shared" si="217"/>
        <v>6.7216196212184998E-2</v>
      </c>
      <c r="N155" s="4">
        <f t="shared" si="218"/>
        <v>0.4</v>
      </c>
      <c r="O155" s="4">
        <f t="shared" si="219"/>
        <v>0.4</v>
      </c>
      <c r="P155" s="9">
        <f t="shared" si="220"/>
        <v>0.99750000000000005</v>
      </c>
      <c r="Q155" s="5">
        <f t="shared" si="194"/>
        <v>36768</v>
      </c>
      <c r="R155" s="4">
        <f t="shared" si="186"/>
        <v>0</v>
      </c>
      <c r="S155" s="158">
        <f>_xll.xSPRDOPT($L155,$J155,$I155,$M155,$O155,$N155,$P155,$Q155-$C$3,$R155,0)</f>
        <v>0.10997975879180366</v>
      </c>
      <c r="T155" s="159">
        <f>_xll.xSPRDOPT($L155,$J155,$I155,$M155,$O155,$N155,$P155,$Q155-$C$3,$R155,1)*H155</f>
        <v>999815.98901639064</v>
      </c>
      <c r="U155" s="160">
        <f t="shared" si="187"/>
        <v>-109979.75879180366</v>
      </c>
      <c r="V155" s="159">
        <f>_xll.xSPRDOPT($L155,$J155,$I155,$M155,$O155,$N155,$P155,$Q155-$C$3,$R155,2)*H155</f>
        <v>-999815.98901639064</v>
      </c>
      <c r="W155" s="159">
        <f t="shared" si="188"/>
        <v>0</v>
      </c>
      <c r="X155" s="51" t="str">
        <f t="shared" si="195"/>
        <v>36770IF-NNG/VENT</v>
      </c>
      <c r="Y155" s="418">
        <f t="shared" si="196"/>
        <v>-100</v>
      </c>
      <c r="Z155" s="456">
        <f t="shared" si="197"/>
        <v>-0.99981598901639068</v>
      </c>
      <c r="AA155" s="456">
        <f>_xll.xSPRDOPT($L155,$J155,$I155,$M155,$O155,$N155,$P155,$Q155-$C$3,$R155,3)</f>
        <v>6.4573299966254778E-55</v>
      </c>
      <c r="AB155" s="456">
        <f>((_xll.xSPRDOPT($L155+AB$5,$J155,$I155,$M155,$O155,$N155,$P155,$Q155-$C$3,$R155,3)*$H155)/10000)/100</f>
        <v>-6.4573299966254778E-55</v>
      </c>
      <c r="AC155" s="456">
        <f>((_xll.xSPRDOPT($L155+$AB$5,$J155,$I155,$M155,$O155,$N155,$P155,$Q155-$C$3,$R155,7)*$H155)/100)</f>
        <v>5.6576862420124369E-53</v>
      </c>
      <c r="AD155" s="456">
        <f>(_xll.xSPRDOPT($L155+$AB$5,$J155,$I155,$M155,$O155,$N155,$P155,$Q155-$C$3,$R155,9)/365)*$H155</f>
        <v>-20.253208346078498</v>
      </c>
      <c r="AE155">
        <f t="shared" si="198"/>
        <v>0</v>
      </c>
      <c r="AF155" s="456">
        <f t="shared" si="199"/>
        <v>-7.0732556693898991E-55</v>
      </c>
      <c r="AG155" s="456">
        <f>((_xll.xSPRDOPT($L155,$J155,$I155,$M155,$O155,$N155,$P155,$Q155-$C$3,$R155,6)*$H155)/100)</f>
        <v>-3.5364896604822768E-55</v>
      </c>
      <c r="AH155" s="456">
        <f>((_xll.xSPRDOPT($L155,$J155,$I155,$M155,$O155,$N155,$P155,$Q155-$C$3,$R155,5)*$H155)/100)</f>
        <v>-3.5367660089076231E-55</v>
      </c>
      <c r="AI155" s="456">
        <f>(((_xll.xSPRDOPT($L155,$J155,$I155,$M155,$O155,$N155,$P155,$Q155-$C$3,$R155,4)*$H155)/10000)/100)-AB155</f>
        <v>2.9796445017603159E-56</v>
      </c>
      <c r="AJ155" s="456"/>
      <c r="AK155" s="456"/>
      <c r="AL155" s="456"/>
      <c r="AM155" s="472"/>
      <c r="AN155" s="41">
        <f t="shared" si="203"/>
        <v>41244</v>
      </c>
      <c r="AO155" s="43">
        <f t="shared" si="215"/>
        <v>0</v>
      </c>
      <c r="AP155" s="43">
        <f t="shared" si="215"/>
        <v>0</v>
      </c>
      <c r="AQ155" s="43">
        <f t="shared" si="215"/>
        <v>0</v>
      </c>
      <c r="AR155" s="43">
        <f t="shared" si="215"/>
        <v>0</v>
      </c>
      <c r="AS155" s="43">
        <f t="shared" si="215"/>
        <v>0</v>
      </c>
      <c r="AT155" s="43">
        <f t="shared" si="215"/>
        <v>0</v>
      </c>
      <c r="AU155" s="43">
        <f t="shared" si="215"/>
        <v>0</v>
      </c>
      <c r="AV155" s="43">
        <f t="shared" si="215"/>
        <v>0</v>
      </c>
      <c r="AW155" s="43">
        <f t="shared" si="215"/>
        <v>0</v>
      </c>
      <c r="AX155" s="43">
        <f t="shared" si="215"/>
        <v>0</v>
      </c>
      <c r="AY155" s="43">
        <f t="shared" si="215"/>
        <v>0</v>
      </c>
      <c r="AZ155" s="43">
        <f t="shared" si="215"/>
        <v>0</v>
      </c>
      <c r="BA155" s="44">
        <f t="shared" si="215"/>
        <v>0</v>
      </c>
      <c r="BB155" s="41">
        <f t="shared" si="204"/>
        <v>41244</v>
      </c>
      <c r="BC155" s="44">
        <f t="shared" si="205"/>
        <v>0</v>
      </c>
      <c r="BE155" s="41">
        <f t="shared" si="206"/>
        <v>41244</v>
      </c>
      <c r="BF155" s="43">
        <f t="shared" si="216"/>
        <v>0</v>
      </c>
      <c r="BG155" s="43">
        <f t="shared" si="216"/>
        <v>0</v>
      </c>
      <c r="BH155" s="43">
        <f t="shared" si="216"/>
        <v>0</v>
      </c>
      <c r="BI155" s="43">
        <f t="shared" si="216"/>
        <v>0</v>
      </c>
      <c r="BJ155" s="43">
        <f t="shared" si="216"/>
        <v>0</v>
      </c>
      <c r="BK155" s="43">
        <f t="shared" si="216"/>
        <v>0</v>
      </c>
      <c r="BL155" s="43">
        <f t="shared" si="216"/>
        <v>0</v>
      </c>
      <c r="BM155" s="43">
        <f t="shared" si="216"/>
        <v>0</v>
      </c>
      <c r="BN155" s="43">
        <f t="shared" si="216"/>
        <v>0</v>
      </c>
      <c r="BO155" s="43">
        <f t="shared" si="216"/>
        <v>0</v>
      </c>
      <c r="BP155" s="43">
        <f t="shared" si="216"/>
        <v>0</v>
      </c>
      <c r="BQ155" s="43">
        <f t="shared" si="216"/>
        <v>0</v>
      </c>
      <c r="BR155" s="44">
        <f t="shared" si="216"/>
        <v>0</v>
      </c>
      <c r="BS155" s="41">
        <f t="shared" si="207"/>
        <v>41244</v>
      </c>
      <c r="BT155" s="44">
        <f t="shared" si="208"/>
        <v>0</v>
      </c>
      <c r="CC155" s="141">
        <f t="shared" si="192"/>
        <v>36770</v>
      </c>
      <c r="CD155" s="234">
        <f>_xll.xSPRDOPT((VLOOKUP(G155,NGPrices,2,FALSE)+HLOOKUP(D155,Prices,VLOOKUP(G155,move_down,2,FALSE),FALSE)),VLOOKUP(G155,NGPrices,2,FALSE),I155,VLOOKUP(G155,NGPREVPRICES,4,FALSE),HLOOKUP(D155,PREVVOLS,VLOOKUP(G155,MOVE_DOWN2,2,FALSE),FALSE),VLOOKUP(G155,NGPREVPRICES,3,FALSE),HLOOKUP(D155,Correllate,VLOOKUP(G155,CorMove,2,FALSE),FALSE),Q155-$CD$3,R155,$CD$5)*H155-CJ155</f>
        <v>0</v>
      </c>
      <c r="CE155" s="234">
        <f>_xll.xSPRDOPT((VLOOKUP(G155,NGPREVPRICES,2,FALSE)+HLOOKUP(D155,PREVCURVES,VLOOKUP(G155,MOVE_DOWN2,2,FALSE),FALSE)),VLOOKUP(G155,NGPREVPRICES,2,FALSE),CK155,VLOOKUP(G155,NGPrices,4,FALSE),HLOOKUP(D155,PREVVOLS,VLOOKUP(G155,MOVE_DOWN2,2,FALSE),FALSE),VLOOKUP(G155,NGPREVPRICES,3,FALSE),HLOOKUP(D155,Correllate,VLOOKUP(G155,CorMove,2,FALSE),FALSE),Q155-$CD$3,R155,$CJ$5)*H155-CJ155</f>
        <v>0</v>
      </c>
      <c r="CF155" s="10">
        <f t="shared" si="189"/>
        <v>20.037454906254425</v>
      </c>
      <c r="CG155" s="234">
        <f>_xll.xSPRDOPT((VLOOKUP(G155,NGPREVPRICES,2,FALSE)+HLOOKUP(D155,PREVCURVES,VLOOKUP(G155,MOVE_DOWN2,2,FALSE),FALSE)),VLOOKUP(G155,NGPREVPRICES,2,FALSE),CK155,VLOOKUP(G155,NGPREVPRICES,4,FALSE),HLOOKUP(D155,VOLS,VLOOKUP(G155,move_down,2,FALSE),FALSE),VLOOKUP(G155,NGPrices,3,FALSE),HLOOKUP(D155,Correllate,VLOOKUP(G155,CorMove,2,FALSE),FALSE),Q155-$CD$3,R155,$CJ$5)*H155-CJ155</f>
        <v>0</v>
      </c>
      <c r="CH155" s="234">
        <f>_xll.xSPRDOPT((VLOOKUP(G155,NGPREVPRICES,2,FALSE)+HLOOKUP(D155,PREVCURVES,VLOOKUP(G155,MOVE_DOWN2,2,FALSE),FALSE)),VLOOKUP(G155,NGPREVPRICES,2,FALSE),CK155,VLOOKUP(G155,NGPREVPRICES,4,FALSE),HLOOKUP(D155,PREVVOLS,VLOOKUP(G155,MOVE_DOWN2,2,FALSE),FALSE),VLOOKUP(G155,NGPREVPRICES,3,FALSE),HLOOKUP(D155,Correllate,VLOOKUP(G155,CorMove,2,FALSE),FALSE),Q155-$C$3,R155,$CJ$5)*H155-CJ155</f>
        <v>-20.237483592922217</v>
      </c>
      <c r="CI155" s="234">
        <f t="shared" si="190"/>
        <v>-0.2000286866677925</v>
      </c>
      <c r="CJ155" s="234">
        <f>_xll.xSPRDOPT((VLOOKUP(G155,NGPREVPRICES,2,FALSE)+HLOOKUP(D155,PREVCURVES,VLOOKUP(G155,MOVE_DOWN2,2,FALSE),FALSE)),VLOOKUP(G155,NGPREVPRICES,2,FALSE),CK155,VLOOKUP(G155,NGPREVPRICES,4,FALSE),HLOOKUP(D155,PREVVOLS,VLOOKUP(G155,MOVE_DOWN2,2,FALSE),FALSE),VLOOKUP(G155,NGPREVPRICES,3,FALSE),HLOOKUP(D155,Correllate,VLOOKUP(G155,CorMove,2,FALSE),FALSE),Q155-$CD$3,R155,$CJ$5)*H155</f>
        <v>-109959.52130821074</v>
      </c>
      <c r="CK155" s="235">
        <f t="shared" si="193"/>
        <v>0</v>
      </c>
      <c r="CL155" s="234"/>
      <c r="CM155" t="str">
        <f t="shared" si="191"/>
        <v>36770Curve Shift/Gamma</v>
      </c>
      <c r="CN155" t="str">
        <f t="shared" si="176"/>
        <v>36770Rho</v>
      </c>
      <c r="CO155" t="str">
        <f t="shared" si="177"/>
        <v>36770Drift</v>
      </c>
      <c r="CP155" t="str">
        <f t="shared" si="178"/>
        <v>36770Vega</v>
      </c>
      <c r="CQ155" t="str">
        <f t="shared" si="179"/>
        <v>36770Theta</v>
      </c>
    </row>
    <row r="156" spans="1:95" ht="12" customHeight="1" x14ac:dyDescent="0.25">
      <c r="A156" s="382" t="s">
        <v>294</v>
      </c>
      <c r="B156" t="s">
        <v>250</v>
      </c>
      <c r="C156" t="s">
        <v>332</v>
      </c>
      <c r="D156" s="4" t="s">
        <v>9</v>
      </c>
      <c r="E156" t="s">
        <v>20</v>
      </c>
      <c r="F156" t="s">
        <v>21</v>
      </c>
      <c r="G156" s="5">
        <v>36951</v>
      </c>
      <c r="H156" s="130">
        <v>310000</v>
      </c>
      <c r="I156">
        <v>-0.27</v>
      </c>
      <c r="J156" s="53">
        <f t="shared" si="200"/>
        <v>4.2130000000000001</v>
      </c>
      <c r="K156" s="7">
        <f t="shared" si="201"/>
        <v>-0.39750000000000002</v>
      </c>
      <c r="L156" s="53">
        <f t="shared" si="202"/>
        <v>3.8155000000000001</v>
      </c>
      <c r="M156" s="157">
        <f t="shared" si="217"/>
        <v>6.8879814952706994E-2</v>
      </c>
      <c r="N156" s="4">
        <f t="shared" si="218"/>
        <v>0.53249999999999997</v>
      </c>
      <c r="O156" s="4">
        <f t="shared" si="219"/>
        <v>0.51100000000000001</v>
      </c>
      <c r="P156" s="9">
        <f t="shared" si="220"/>
        <v>0.93</v>
      </c>
      <c r="Q156" s="5">
        <f t="shared" si="194"/>
        <v>36949</v>
      </c>
      <c r="R156" s="4">
        <f t="shared" si="186"/>
        <v>1</v>
      </c>
      <c r="S156" s="158">
        <f>_xll.xSPRDOPT($L156,$J156,$I156,$M156,$O156,$N156,$P156,$Q156-$C$3,$R156,0)</f>
        <v>0.16573821353809615</v>
      </c>
      <c r="T156" s="159">
        <f>_xll.xSPRDOPT($L156,$J156,$I156,$M156,$O156,$N156,$P156,$Q156-$C$3,$R156,1)*H156</f>
        <v>131368.33827158614</v>
      </c>
      <c r="U156" s="160">
        <f t="shared" si="187"/>
        <v>51378.846196809805</v>
      </c>
      <c r="V156" s="159">
        <f>_xll.xSPRDOPT($L156,$J156,$I156,$M156,$O156,$N156,$P156,$Q156-$C$3,$R156,2)*H156</f>
        <v>-115473.62026143889</v>
      </c>
      <c r="W156" s="159">
        <f t="shared" si="188"/>
        <v>15894.718010147248</v>
      </c>
      <c r="X156" s="51" t="str">
        <f t="shared" si="195"/>
        <v>36951IF-NWPL_ROCKY_M</v>
      </c>
      <c r="Y156" s="418">
        <f t="shared" si="196"/>
        <v>31</v>
      </c>
      <c r="Z156" s="456">
        <f t="shared" si="197"/>
        <v>0.42376883313414881</v>
      </c>
      <c r="AA156" s="456">
        <f>_xll.xSPRDOPT($L156,$J156,$I156,$M156,$O156,$N156,$P156,$Q156-$C$3,$R156,3)</f>
        <v>0.67176153192768784</v>
      </c>
      <c r="AB156" s="456">
        <f>((_xll.xSPRDOPT($L156+AB$5,$J156,$I156,$M156,$O156,$N156,$P156,$Q156-$C$3,$R156,3)*$H156)/10000)/100</f>
        <v>0.20824607489758321</v>
      </c>
      <c r="AC156" s="456">
        <f>((_xll.xSPRDOPT($L156+$AB$5,$J156,$I156,$M156,$O156,$N156,$P156,$Q156-$C$3,$R156,7)*$H156)/100)</f>
        <v>-4399.587159680601</v>
      </c>
      <c r="AD156" s="456">
        <f>(_xll.xSPRDOPT($L156+$AB$5,$J156,$I156,$M156,$O156,$N156,$P156,$Q156-$C$3,$R156,9)/365)*$H156</f>
        <v>-174.85812782253183</v>
      </c>
      <c r="AE156">
        <f t="shared" si="198"/>
        <v>0</v>
      </c>
      <c r="AF156" s="456">
        <f t="shared" si="199"/>
        <v>1260.6882051744651</v>
      </c>
      <c r="AG156" s="456">
        <f>((_xll.xSPRDOPT($L156,$J156,$I156,$M156,$O156,$N156,$P156,$Q156-$C$3,$R156,6)*$H156)/100)</f>
        <v>1536.8610015244285</v>
      </c>
      <c r="AH156" s="456">
        <f>((_xll.xSPRDOPT($L156,$J156,$I156,$M156,$O156,$N156,$P156,$Q156-$C$3,$R156,5)*$H156)/100)</f>
        <v>-287.79259110832771</v>
      </c>
      <c r="AI156" s="456">
        <f>(((_xll.xSPRDOPT($L156,$J156,$I156,$M156,$O156,$N156,$P156,$Q156-$C$3,$R156,4)*$H156)/10000)/100)-AB156</f>
        <v>-1.2461207151136966E-2</v>
      </c>
      <c r="AJ156" s="456"/>
      <c r="AK156" s="456"/>
      <c r="AL156" s="456"/>
      <c r="AM156" s="472"/>
      <c r="AN156" s="41">
        <f t="shared" si="203"/>
        <v>41275</v>
      </c>
      <c r="AO156" s="43">
        <f t="shared" si="215"/>
        <v>0</v>
      </c>
      <c r="AP156" s="43">
        <f t="shared" si="215"/>
        <v>0</v>
      </c>
      <c r="AQ156" s="43">
        <f t="shared" si="215"/>
        <v>0</v>
      </c>
      <c r="AR156" s="43">
        <f t="shared" si="215"/>
        <v>0</v>
      </c>
      <c r="AS156" s="43">
        <f t="shared" si="215"/>
        <v>0</v>
      </c>
      <c r="AT156" s="43">
        <f t="shared" si="215"/>
        <v>0</v>
      </c>
      <c r="AU156" s="43">
        <f t="shared" si="215"/>
        <v>0</v>
      </c>
      <c r="AV156" s="43">
        <f t="shared" si="215"/>
        <v>0</v>
      </c>
      <c r="AW156" s="43">
        <f t="shared" si="215"/>
        <v>0</v>
      </c>
      <c r="AX156" s="43">
        <f t="shared" si="215"/>
        <v>0</v>
      </c>
      <c r="AY156" s="43">
        <f t="shared" si="215"/>
        <v>0</v>
      </c>
      <c r="AZ156" s="43">
        <f t="shared" si="215"/>
        <v>0</v>
      </c>
      <c r="BA156" s="44">
        <f t="shared" si="215"/>
        <v>0</v>
      </c>
      <c r="BB156" s="41">
        <f t="shared" si="204"/>
        <v>41275</v>
      </c>
      <c r="BC156" s="44">
        <f t="shared" si="205"/>
        <v>0</v>
      </c>
      <c r="BE156" s="41">
        <f t="shared" si="206"/>
        <v>41275</v>
      </c>
      <c r="BF156" s="43">
        <f t="shared" si="216"/>
        <v>0</v>
      </c>
      <c r="BG156" s="43">
        <f t="shared" si="216"/>
        <v>0</v>
      </c>
      <c r="BH156" s="43">
        <f t="shared" si="216"/>
        <v>0</v>
      </c>
      <c r="BI156" s="43">
        <f t="shared" si="216"/>
        <v>0</v>
      </c>
      <c r="BJ156" s="43">
        <f t="shared" si="216"/>
        <v>0</v>
      </c>
      <c r="BK156" s="43">
        <f t="shared" si="216"/>
        <v>0</v>
      </c>
      <c r="BL156" s="43">
        <f t="shared" si="216"/>
        <v>0</v>
      </c>
      <c r="BM156" s="43">
        <f t="shared" si="216"/>
        <v>0</v>
      </c>
      <c r="BN156" s="43">
        <f t="shared" si="216"/>
        <v>0</v>
      </c>
      <c r="BO156" s="43">
        <f t="shared" si="216"/>
        <v>0</v>
      </c>
      <c r="BP156" s="43">
        <f t="shared" si="216"/>
        <v>0</v>
      </c>
      <c r="BQ156" s="43">
        <f t="shared" si="216"/>
        <v>0</v>
      </c>
      <c r="BR156" s="44">
        <f t="shared" si="216"/>
        <v>0</v>
      </c>
      <c r="BS156" s="41">
        <f t="shared" si="207"/>
        <v>41275</v>
      </c>
      <c r="BT156" s="44">
        <f t="shared" si="208"/>
        <v>0</v>
      </c>
      <c r="CC156" s="141">
        <f t="shared" si="192"/>
        <v>36951</v>
      </c>
      <c r="CD156" s="234">
        <f>_xll.xSPRDOPT((VLOOKUP(G156,NGPrices,2,FALSE)+HLOOKUP(D156,Prices,VLOOKUP(G156,move_down,2,FALSE),FALSE)),VLOOKUP(G156,NGPrices,2,FALSE),I156,VLOOKUP(G156,NGPREVPRICES,4,FALSE),HLOOKUP(D156,PREVVOLS,VLOOKUP(G156,MOVE_DOWN2,2,FALSE),FALSE),VLOOKUP(G156,NGPREVPRICES,3,FALSE),HLOOKUP(D156,Correllate,VLOOKUP(G156,CorMove,2,FALSE),FALSE),Q156-$CD$3,R156,$CD$5)*H156-CJ156</f>
        <v>0</v>
      </c>
      <c r="CE156" s="234">
        <f>_xll.xSPRDOPT((VLOOKUP(G156,NGPREVPRICES,2,FALSE)+HLOOKUP(D156,PREVCURVES,VLOOKUP(G156,MOVE_DOWN2,2,FALSE),FALSE)),VLOOKUP(G156,NGPREVPRICES,2,FALSE),CK156,VLOOKUP(G156,NGPrices,4,FALSE),HLOOKUP(D156,PREVVOLS,VLOOKUP(G156,MOVE_DOWN2,2,FALSE),FALSE),VLOOKUP(G156,NGPREVPRICES,3,FALSE),HLOOKUP(D156,Correllate,VLOOKUP(G156,CorMove,2,FALSE),FALSE),Q156-$CD$3,R156,$CJ$5)*H156-CJ156</f>
        <v>0</v>
      </c>
      <c r="CF156" s="10">
        <f t="shared" si="189"/>
        <v>-9.8871545530419098</v>
      </c>
      <c r="CG156" s="234">
        <f>_xll.xSPRDOPT((VLOOKUP(G156,NGPREVPRICES,2,FALSE)+HLOOKUP(D156,PREVCURVES,VLOOKUP(G156,MOVE_DOWN2,2,FALSE),FALSE)),VLOOKUP(G156,NGPREVPRICES,2,FALSE),CK156,VLOOKUP(G156,NGPREVPRICES,4,FALSE),HLOOKUP(D156,VOLS,VLOOKUP(G156,move_down,2,FALSE),FALSE),VLOOKUP(G156,NGPrices,3,FALSE),HLOOKUP(D156,Correllate,VLOOKUP(G156,CorMove,2,FALSE),FALSE),Q156-$CD$3,R156,$CJ$5)*H156-CJ156</f>
        <v>0</v>
      </c>
      <c r="CH156" s="234">
        <f>_xll.xSPRDOPT((VLOOKUP(G156,NGPREVPRICES,2,FALSE)+HLOOKUP(D156,PREVCURVES,VLOOKUP(G156,MOVE_DOWN2,2,FALSE),FALSE)),VLOOKUP(G156,NGPREVPRICES,2,FALSE),CK156,VLOOKUP(G156,NGPREVPRICES,4,FALSE),HLOOKUP(D156,PREVVOLS,VLOOKUP(G156,MOVE_DOWN2,2,FALSE),FALSE),VLOOKUP(G156,NGPREVPRICES,3,FALSE),HLOOKUP(D156,Correllate,VLOOKUP(G156,CorMove,2,FALSE),FALSE),Q156-$C$3,R156,$CJ$5)*H156-CJ156</f>
        <v>-174.46440095661819</v>
      </c>
      <c r="CI156" s="234">
        <f t="shared" si="190"/>
        <v>-184.3515555096601</v>
      </c>
      <c r="CJ156" s="234">
        <f>_xll.xSPRDOPT((VLOOKUP(G156,NGPREVPRICES,2,FALSE)+HLOOKUP(D156,PREVCURVES,VLOOKUP(G156,MOVE_DOWN2,2,FALSE),FALSE)),VLOOKUP(G156,NGPREVPRICES,2,FALSE),CK156,VLOOKUP(G156,NGPREVPRICES,4,FALSE),HLOOKUP(D156,PREVVOLS,VLOOKUP(G156,MOVE_DOWN2,2,FALSE),FALSE),VLOOKUP(G156,NGPREVPRICES,3,FALSE),HLOOKUP(D156,Correllate,VLOOKUP(G156,CorMove,2,FALSE),FALSE),Q156-$CD$3,R156,$CJ$5)*H156</f>
        <v>51553.310597766424</v>
      </c>
      <c r="CK156" s="235">
        <f t="shared" si="193"/>
        <v>-0.27</v>
      </c>
      <c r="CL156" s="234"/>
      <c r="CM156" t="str">
        <f t="shared" si="191"/>
        <v>36951Curve Shift/Gamma</v>
      </c>
      <c r="CN156" t="str">
        <f t="shared" si="176"/>
        <v>36951Rho</v>
      </c>
      <c r="CO156" t="str">
        <f t="shared" si="177"/>
        <v>36951Drift</v>
      </c>
      <c r="CP156" t="str">
        <f t="shared" si="178"/>
        <v>36951Vega</v>
      </c>
      <c r="CQ156" t="str">
        <f t="shared" si="179"/>
        <v>36951Theta</v>
      </c>
    </row>
    <row r="157" spans="1:95" ht="12" customHeight="1" x14ac:dyDescent="0.25">
      <c r="A157" s="382" t="s">
        <v>294</v>
      </c>
      <c r="B157" t="s">
        <v>250</v>
      </c>
      <c r="C157" t="s">
        <v>332</v>
      </c>
      <c r="D157" s="4" t="s">
        <v>9</v>
      </c>
      <c r="E157" t="s">
        <v>20</v>
      </c>
      <c r="F157" t="s">
        <v>21</v>
      </c>
      <c r="G157" s="5">
        <v>36923</v>
      </c>
      <c r="H157" s="130">
        <v>280000</v>
      </c>
      <c r="I157">
        <v>-0.27</v>
      </c>
      <c r="J157" s="53">
        <f t="shared" si="200"/>
        <v>4.4800000000000004</v>
      </c>
      <c r="K157" s="7">
        <f t="shared" si="201"/>
        <v>-0.38750000000000001</v>
      </c>
      <c r="L157" s="53">
        <f t="shared" si="202"/>
        <v>4.0925000000000002</v>
      </c>
      <c r="M157" s="157">
        <f t="shared" si="217"/>
        <v>6.8640161611372E-2</v>
      </c>
      <c r="N157" s="4">
        <f t="shared" si="218"/>
        <v>0.59250000000000003</v>
      </c>
      <c r="O157" s="4">
        <f t="shared" si="219"/>
        <v>0.56899999999999995</v>
      </c>
      <c r="P157" s="9">
        <f t="shared" si="220"/>
        <v>0.93</v>
      </c>
      <c r="Q157" s="5">
        <f t="shared" si="194"/>
        <v>36921</v>
      </c>
      <c r="R157" s="4">
        <f t="shared" si="186"/>
        <v>1</v>
      </c>
      <c r="S157" s="158">
        <f>_xll.xSPRDOPT($L157,$J157,$I157,$M157,$O157,$N157,$P157,$Q157-$C$3,$R157,0)</f>
        <v>0.1902247417632546</v>
      </c>
      <c r="T157" s="159">
        <f>_xll.xSPRDOPT($L157,$J157,$I157,$M157,$O157,$N157,$P157,$Q157-$C$3,$R157,1)*H157</f>
        <v>123177.82954218307</v>
      </c>
      <c r="U157" s="160">
        <f t="shared" si="187"/>
        <v>53262.927693711288</v>
      </c>
      <c r="V157" s="159">
        <f>_xll.xSPRDOPT($L157,$J157,$I157,$M157,$O157,$N157,$P157,$Q157-$C$3,$R157,2)*H157</f>
        <v>-108269.95028228895</v>
      </c>
      <c r="W157" s="159">
        <f t="shared" si="188"/>
        <v>14907.879259894122</v>
      </c>
      <c r="X157" s="51" t="str">
        <f t="shared" si="195"/>
        <v>36923IF-NWPL_ROCKY_M</v>
      </c>
      <c r="Y157" s="418">
        <f t="shared" si="196"/>
        <v>28</v>
      </c>
      <c r="Z157" s="456">
        <f t="shared" si="197"/>
        <v>0.43992081979351094</v>
      </c>
      <c r="AA157" s="456">
        <f>_xll.xSPRDOPT($L157,$J157,$I157,$M157,$O157,$N157,$P157,$Q157-$C$3,$R157,3)</f>
        <v>0.6217628157570616</v>
      </c>
      <c r="AB157" s="456">
        <f>((_xll.xSPRDOPT($L157+AB$5,$J157,$I157,$M157,$O157,$N157,$P157,$Q157-$C$3,$R157,3)*$H157)/10000)/100</f>
        <v>0.17409358841197725</v>
      </c>
      <c r="AC157" s="456">
        <f>((_xll.xSPRDOPT($L157+$AB$5,$J157,$I157,$M157,$O157,$N157,$P157,$Q157-$C$3,$R157,7)*$H157)/100)</f>
        <v>-4416.0461763462044</v>
      </c>
      <c r="AD157" s="456">
        <f>(_xll.xSPRDOPT($L157+$AB$5,$J157,$I157,$M157,$O157,$N157,$P157,$Q157-$C$3,$R157,9)/365)*$H157</f>
        <v>-207.21526670772877</v>
      </c>
      <c r="AE157">
        <f t="shared" si="198"/>
        <v>0</v>
      </c>
      <c r="AF157" s="456">
        <f t="shared" si="199"/>
        <v>1128.4649576802676</v>
      </c>
      <c r="AG157" s="456">
        <f>((_xll.xSPRDOPT($L157,$J157,$I157,$M157,$O157,$N157,$P157,$Q157-$C$3,$R157,6)*$H157)/100)</f>
        <v>1342.2636354800886</v>
      </c>
      <c r="AH157" s="456">
        <f>((_xll.xSPRDOPT($L157,$J157,$I157,$M157,$O157,$N157,$P157,$Q157-$C$3,$R157,5)*$H157)/100)</f>
        <v>-222.62867591633378</v>
      </c>
      <c r="AI157" s="456">
        <f>(((_xll.xSPRDOPT($L157,$J157,$I157,$M157,$O157,$N157,$P157,$Q157-$C$3,$R157,4)*$H157)/10000)/100)-AB157</f>
        <v>-9.0760410596494867E-3</v>
      </c>
      <c r="AJ157" s="456"/>
      <c r="AK157" s="456"/>
      <c r="AL157" s="456"/>
      <c r="AM157" s="472"/>
      <c r="AN157" s="41">
        <f t="shared" si="203"/>
        <v>41306</v>
      </c>
      <c r="AO157" s="43">
        <f t="shared" ref="AO157:BA167" si="221">SUMIF($X:$X,CONCATENATE($AN157,AO$6),$T:$T)/10000</f>
        <v>0</v>
      </c>
      <c r="AP157" s="43">
        <f t="shared" si="221"/>
        <v>0</v>
      </c>
      <c r="AQ157" s="43">
        <f t="shared" si="221"/>
        <v>0</v>
      </c>
      <c r="AR157" s="43">
        <f t="shared" si="221"/>
        <v>0</v>
      </c>
      <c r="AS157" s="43">
        <f t="shared" si="221"/>
        <v>0</v>
      </c>
      <c r="AT157" s="43">
        <f t="shared" si="221"/>
        <v>0</v>
      </c>
      <c r="AU157" s="43">
        <f t="shared" si="221"/>
        <v>0</v>
      </c>
      <c r="AV157" s="43">
        <f t="shared" si="221"/>
        <v>0</v>
      </c>
      <c r="AW157" s="43">
        <f t="shared" si="221"/>
        <v>0</v>
      </c>
      <c r="AX157" s="43">
        <f t="shared" si="221"/>
        <v>0</v>
      </c>
      <c r="AY157" s="43">
        <f t="shared" si="221"/>
        <v>0</v>
      </c>
      <c r="AZ157" s="43">
        <f t="shared" si="221"/>
        <v>0</v>
      </c>
      <c r="BA157" s="44">
        <f t="shared" si="221"/>
        <v>0</v>
      </c>
      <c r="BB157" s="41">
        <f t="shared" si="204"/>
        <v>41306</v>
      </c>
      <c r="BC157" s="44">
        <f t="shared" si="205"/>
        <v>0</v>
      </c>
      <c r="BE157" s="41">
        <f t="shared" si="206"/>
        <v>41306</v>
      </c>
      <c r="BF157" s="43">
        <f t="shared" ref="BF157:BR167" si="222">SUMIF($X:$X,CONCATENATE($AN157,BF$6),$W:$W)</f>
        <v>0</v>
      </c>
      <c r="BG157" s="43">
        <f t="shared" si="222"/>
        <v>0</v>
      </c>
      <c r="BH157" s="43">
        <f t="shared" si="222"/>
        <v>0</v>
      </c>
      <c r="BI157" s="43">
        <f t="shared" si="222"/>
        <v>0</v>
      </c>
      <c r="BJ157" s="43">
        <f t="shared" si="222"/>
        <v>0</v>
      </c>
      <c r="BK157" s="43">
        <f t="shared" si="222"/>
        <v>0</v>
      </c>
      <c r="BL157" s="43">
        <f t="shared" si="222"/>
        <v>0</v>
      </c>
      <c r="BM157" s="43">
        <f t="shared" si="222"/>
        <v>0</v>
      </c>
      <c r="BN157" s="43">
        <f t="shared" si="222"/>
        <v>0</v>
      </c>
      <c r="BO157" s="43">
        <f t="shared" si="222"/>
        <v>0</v>
      </c>
      <c r="BP157" s="43">
        <f t="shared" si="222"/>
        <v>0</v>
      </c>
      <c r="BQ157" s="43">
        <f t="shared" si="222"/>
        <v>0</v>
      </c>
      <c r="BR157" s="44">
        <f t="shared" si="222"/>
        <v>0</v>
      </c>
      <c r="BS157" s="41">
        <f t="shared" si="207"/>
        <v>41306</v>
      </c>
      <c r="BT157" s="44">
        <f t="shared" si="208"/>
        <v>0</v>
      </c>
      <c r="CC157" s="141">
        <f t="shared" si="192"/>
        <v>36923</v>
      </c>
      <c r="CD157" s="234">
        <f>_xll.xSPRDOPT((VLOOKUP(G157,NGPrices,2,FALSE)+HLOOKUP(D157,Prices,VLOOKUP(G157,move_down,2,FALSE),FALSE)),VLOOKUP(G157,NGPrices,2,FALSE),I157,VLOOKUP(G157,NGPREVPRICES,4,FALSE),HLOOKUP(D157,PREVVOLS,VLOOKUP(G157,MOVE_DOWN2,2,FALSE),FALSE),VLOOKUP(G157,NGPREVPRICES,3,FALSE),HLOOKUP(D157,Correllate,VLOOKUP(G157,CorMove,2,FALSE),FALSE),Q157-$CD$3,R157,$CD$5)*H157-CJ157</f>
        <v>0</v>
      </c>
      <c r="CE157" s="234">
        <f>_xll.xSPRDOPT((VLOOKUP(G157,NGPREVPRICES,2,FALSE)+HLOOKUP(D157,PREVCURVES,VLOOKUP(G157,MOVE_DOWN2,2,FALSE),FALSE)),VLOOKUP(G157,NGPREVPRICES,2,FALSE),CK157,VLOOKUP(G157,NGPrices,4,FALSE),HLOOKUP(D157,PREVVOLS,VLOOKUP(G157,MOVE_DOWN2,2,FALSE),FALSE),VLOOKUP(G157,NGPREVPRICES,3,FALSE),HLOOKUP(D157,Correllate,VLOOKUP(G157,CorMove,2,FALSE),FALSE),Q157-$CD$3,R157,$CJ$5)*H157-CJ157</f>
        <v>0</v>
      </c>
      <c r="CF157" s="10">
        <f t="shared" si="189"/>
        <v>-10.169305434639682</v>
      </c>
      <c r="CG157" s="234">
        <f>_xll.xSPRDOPT((VLOOKUP(G157,NGPREVPRICES,2,FALSE)+HLOOKUP(D157,PREVCURVES,VLOOKUP(G157,MOVE_DOWN2,2,FALSE),FALSE)),VLOOKUP(G157,NGPREVPRICES,2,FALSE),CK157,VLOOKUP(G157,NGPREVPRICES,4,FALSE),HLOOKUP(D157,VOLS,VLOOKUP(G157,move_down,2,FALSE),FALSE),VLOOKUP(G157,NGPrices,3,FALSE),HLOOKUP(D157,Correllate,VLOOKUP(G157,CorMove,2,FALSE),FALSE),Q157-$CD$3,R157,$CJ$5)*H157-CJ157</f>
        <v>0</v>
      </c>
      <c r="CH157" s="234">
        <f>_xll.xSPRDOPT((VLOOKUP(G157,NGPREVPRICES,2,FALSE)+HLOOKUP(D157,PREVCURVES,VLOOKUP(G157,MOVE_DOWN2,2,FALSE),FALSE)),VLOOKUP(G157,NGPREVPRICES,2,FALSE),CK157,VLOOKUP(G157,NGPREVPRICES,4,FALSE),HLOOKUP(D157,PREVVOLS,VLOOKUP(G157,MOVE_DOWN2,2,FALSE),FALSE),VLOOKUP(G157,NGPREVPRICES,3,FALSE),HLOOKUP(D157,Correllate,VLOOKUP(G157,CorMove,2,FALSE),FALSE),Q157-$C$3,R157,$CJ$5)*H157-CJ157</f>
        <v>-206.69458221171953</v>
      </c>
      <c r="CI157" s="234">
        <f t="shared" si="190"/>
        <v>-216.86388764635922</v>
      </c>
      <c r="CJ157" s="234">
        <f>_xll.xSPRDOPT((VLOOKUP(G157,NGPREVPRICES,2,FALSE)+HLOOKUP(D157,PREVCURVES,VLOOKUP(G157,MOVE_DOWN2,2,FALSE),FALSE)),VLOOKUP(G157,NGPREVPRICES,2,FALSE),CK157,VLOOKUP(G157,NGPREVPRICES,4,FALSE),HLOOKUP(D157,PREVVOLS,VLOOKUP(G157,MOVE_DOWN2,2,FALSE),FALSE),VLOOKUP(G157,NGPREVPRICES,3,FALSE),HLOOKUP(D157,Correllate,VLOOKUP(G157,CorMove,2,FALSE),FALSE),Q157-$CD$3,R157,$CJ$5)*H157</f>
        <v>53469.622275923008</v>
      </c>
      <c r="CK157" s="235">
        <f t="shared" si="193"/>
        <v>-0.27</v>
      </c>
      <c r="CL157" s="234"/>
      <c r="CM157" t="str">
        <f t="shared" si="191"/>
        <v>36923Curve Shift/Gamma</v>
      </c>
      <c r="CN157" t="str">
        <f t="shared" si="176"/>
        <v>36923Rho</v>
      </c>
      <c r="CO157" t="str">
        <f t="shared" si="177"/>
        <v>36923Drift</v>
      </c>
      <c r="CP157" t="str">
        <f t="shared" si="178"/>
        <v>36923Vega</v>
      </c>
      <c r="CQ157" t="str">
        <f t="shared" si="179"/>
        <v>36923Theta</v>
      </c>
    </row>
    <row r="158" spans="1:95" ht="12" customHeight="1" x14ac:dyDescent="0.25">
      <c r="A158" s="382" t="s">
        <v>294</v>
      </c>
      <c r="B158" t="s">
        <v>250</v>
      </c>
      <c r="C158" t="s">
        <v>332</v>
      </c>
      <c r="D158" s="4" t="s">
        <v>9</v>
      </c>
      <c r="E158" t="s">
        <v>20</v>
      </c>
      <c r="F158" t="s">
        <v>21</v>
      </c>
      <c r="G158" s="5">
        <v>36892</v>
      </c>
      <c r="H158" s="130">
        <v>310000</v>
      </c>
      <c r="I158">
        <v>-0.27</v>
      </c>
      <c r="J158" s="53">
        <f t="shared" si="200"/>
        <v>4.7439999999999998</v>
      </c>
      <c r="K158" s="7">
        <f t="shared" si="201"/>
        <v>-0.36749999999999999</v>
      </c>
      <c r="L158" s="53">
        <f t="shared" si="202"/>
        <v>4.3765000000000001</v>
      </c>
      <c r="M158" s="157">
        <f t="shared" si="217"/>
        <v>6.8374831148490994E-2</v>
      </c>
      <c r="N158" s="4">
        <f t="shared" si="218"/>
        <v>0.60499999999999998</v>
      </c>
      <c r="O158" s="4">
        <f t="shared" si="219"/>
        <v>0.58099999999999996</v>
      </c>
      <c r="P158" s="9">
        <f t="shared" si="220"/>
        <v>0.93</v>
      </c>
      <c r="Q158" s="5">
        <f t="shared" si="194"/>
        <v>36888</v>
      </c>
      <c r="R158" s="4">
        <f t="shared" si="186"/>
        <v>1</v>
      </c>
      <c r="S158" s="158">
        <f>_xll.xSPRDOPT($L158,$J158,$I158,$M158,$O158,$N158,$P158,$Q158-$C$3,$R158,0)</f>
        <v>0.19031869302634541</v>
      </c>
      <c r="T158" s="159">
        <f>_xll.xSPRDOPT($L158,$J158,$I158,$M158,$O158,$N158,$P158,$Q158-$C$3,$R158,1)*H158</f>
        <v>139552.04166653493</v>
      </c>
      <c r="U158" s="160">
        <f t="shared" si="187"/>
        <v>58998.794838167079</v>
      </c>
      <c r="V158" s="159">
        <f>_xll.xSPRDOPT($L158,$J158,$I158,$M158,$O158,$N158,$P158,$Q158-$C$3,$R158,2)*H158</f>
        <v>-124422.37181239636</v>
      </c>
      <c r="W158" s="159">
        <f t="shared" si="188"/>
        <v>15129.66985413857</v>
      </c>
      <c r="X158" s="51" t="str">
        <f t="shared" si="195"/>
        <v>36892IF-NWPL_ROCKY_M</v>
      </c>
      <c r="Y158" s="418">
        <f t="shared" si="196"/>
        <v>31</v>
      </c>
      <c r="Z158" s="456">
        <f t="shared" si="197"/>
        <v>0.45016787634366107</v>
      </c>
      <c r="AA158" s="456">
        <f>_xll.xSPRDOPT($L158,$J158,$I158,$M158,$O158,$N158,$P158,$Q158-$C$3,$R158,3)</f>
        <v>0.65090255097414329</v>
      </c>
      <c r="AB158" s="456">
        <f>((_xll.xSPRDOPT($L158+AB$5,$J158,$I158,$M158,$O158,$N158,$P158,$Q158-$C$3,$R158,3)*$H158)/10000)/100</f>
        <v>0.20177979080198444</v>
      </c>
      <c r="AC158" s="456">
        <f>((_xll.xSPRDOPT($L158+$AB$5,$J158,$I158,$M158,$O158,$N158,$P158,$Q158-$C$3,$R158,7)*$H158)/100)</f>
        <v>-4776.4621583505141</v>
      </c>
      <c r="AD158" s="456">
        <f>(_xll.xSPRDOPT($L158+$AB$5,$J158,$I158,$M158,$O158,$N158,$P158,$Q158-$C$3,$R158,9)/365)*$H158</f>
        <v>-286.08132797263454</v>
      </c>
      <c r="AE158">
        <f t="shared" si="198"/>
        <v>0</v>
      </c>
      <c r="AF158" s="456">
        <f t="shared" si="199"/>
        <v>1187.7203714702896</v>
      </c>
      <c r="AG158" s="456">
        <f>((_xll.xSPRDOPT($L158,$J158,$I158,$M158,$O158,$N158,$P158,$Q158-$C$3,$R158,6)*$H158)/100)</f>
        <v>1386.4283983466498</v>
      </c>
      <c r="AH158" s="456">
        <f>((_xll.xSPRDOPT($L158,$J158,$I158,$M158,$O158,$N158,$P158,$Q158-$C$3,$R158,5)*$H158)/100)</f>
        <v>-206.91627583510831</v>
      </c>
      <c r="AI158" s="456">
        <f>(((_xll.xSPRDOPT($L158,$J158,$I158,$M158,$O158,$N158,$P158,$Q158-$C$3,$R158,4)*$H158)/10000)/100)-AB158</f>
        <v>-8.2653764686684006E-3</v>
      </c>
      <c r="AJ158" s="456"/>
      <c r="AK158" s="456"/>
      <c r="AL158" s="456"/>
      <c r="AM158" s="472"/>
      <c r="AN158" s="41">
        <f t="shared" si="203"/>
        <v>41334</v>
      </c>
      <c r="AO158" s="43">
        <f t="shared" si="221"/>
        <v>0</v>
      </c>
      <c r="AP158" s="43">
        <f t="shared" si="221"/>
        <v>0</v>
      </c>
      <c r="AQ158" s="43">
        <f t="shared" si="221"/>
        <v>0</v>
      </c>
      <c r="AR158" s="43">
        <f t="shared" si="221"/>
        <v>0</v>
      </c>
      <c r="AS158" s="43">
        <f t="shared" si="221"/>
        <v>0</v>
      </c>
      <c r="AT158" s="43">
        <f t="shared" si="221"/>
        <v>0</v>
      </c>
      <c r="AU158" s="43">
        <f t="shared" si="221"/>
        <v>0</v>
      </c>
      <c r="AV158" s="43">
        <f t="shared" si="221"/>
        <v>0</v>
      </c>
      <c r="AW158" s="43">
        <f t="shared" si="221"/>
        <v>0</v>
      </c>
      <c r="AX158" s="43">
        <f t="shared" si="221"/>
        <v>0</v>
      </c>
      <c r="AY158" s="43">
        <f t="shared" si="221"/>
        <v>0</v>
      </c>
      <c r="AZ158" s="43">
        <f t="shared" si="221"/>
        <v>0</v>
      </c>
      <c r="BA158" s="44">
        <f t="shared" si="221"/>
        <v>0</v>
      </c>
      <c r="BB158" s="41">
        <f t="shared" si="204"/>
        <v>41334</v>
      </c>
      <c r="BC158" s="44">
        <f t="shared" si="205"/>
        <v>0</v>
      </c>
      <c r="BE158" s="41">
        <f t="shared" si="206"/>
        <v>41334</v>
      </c>
      <c r="BF158" s="43">
        <f t="shared" si="222"/>
        <v>0</v>
      </c>
      <c r="BG158" s="43">
        <f t="shared" si="222"/>
        <v>0</v>
      </c>
      <c r="BH158" s="43">
        <f t="shared" si="222"/>
        <v>0</v>
      </c>
      <c r="BI158" s="43">
        <f t="shared" si="222"/>
        <v>0</v>
      </c>
      <c r="BJ158" s="43">
        <f t="shared" si="222"/>
        <v>0</v>
      </c>
      <c r="BK158" s="43">
        <f t="shared" si="222"/>
        <v>0</v>
      </c>
      <c r="BL158" s="43">
        <f t="shared" si="222"/>
        <v>0</v>
      </c>
      <c r="BM158" s="43">
        <f t="shared" si="222"/>
        <v>0</v>
      </c>
      <c r="BN158" s="43">
        <f t="shared" si="222"/>
        <v>0</v>
      </c>
      <c r="BO158" s="43">
        <f t="shared" si="222"/>
        <v>0</v>
      </c>
      <c r="BP158" s="43">
        <f t="shared" si="222"/>
        <v>0</v>
      </c>
      <c r="BQ158" s="43">
        <f t="shared" si="222"/>
        <v>0</v>
      </c>
      <c r="BR158" s="44">
        <f t="shared" si="222"/>
        <v>0</v>
      </c>
      <c r="BS158" s="41">
        <f t="shared" si="207"/>
        <v>41334</v>
      </c>
      <c r="BT158" s="44">
        <f t="shared" si="208"/>
        <v>0</v>
      </c>
      <c r="CC158" s="141">
        <f t="shared" si="192"/>
        <v>36892</v>
      </c>
      <c r="CD158" s="234">
        <f>_xll.xSPRDOPT((VLOOKUP(G158,NGPrices,2,FALSE)+HLOOKUP(D158,Prices,VLOOKUP(G158,move_down,2,FALSE),FALSE)),VLOOKUP(G158,NGPrices,2,FALSE),I158,VLOOKUP(G158,NGPREVPRICES,4,FALSE),HLOOKUP(D158,PREVVOLS,VLOOKUP(G158,MOVE_DOWN2,2,FALSE),FALSE),VLOOKUP(G158,NGPREVPRICES,3,FALSE),HLOOKUP(D158,Correllate,VLOOKUP(G158,CorMove,2,FALSE),FALSE),Q158-$CD$3,R158,$CD$5)*H158-CJ158</f>
        <v>0</v>
      </c>
      <c r="CE158" s="234">
        <f>_xll.xSPRDOPT((VLOOKUP(G158,NGPREVPRICES,2,FALSE)+HLOOKUP(D158,PREVCURVES,VLOOKUP(G158,MOVE_DOWN2,2,FALSE),FALSE)),VLOOKUP(G158,NGPREVPRICES,2,FALSE),CK158,VLOOKUP(G158,NGPrices,4,FALSE),HLOOKUP(D158,PREVVOLS,VLOOKUP(G158,MOVE_DOWN2,2,FALSE),FALSE),VLOOKUP(G158,NGPREVPRICES,3,FALSE),HLOOKUP(D158,Correllate,VLOOKUP(G158,CorMove,2,FALSE),FALSE),Q158-$CD$3,R158,$CJ$5)*H158-CJ158</f>
        <v>0</v>
      </c>
      <c r="CF158" s="10">
        <f t="shared" ref="CF158:CF177" si="223">(CJ158/VLOOKUP(CC158,discount,3,FALSE))-(CJ158/VLOOKUP(CC158,discount,2,FALSE))</f>
        <v>-11.171551741113944</v>
      </c>
      <c r="CG158" s="234">
        <f>_xll.xSPRDOPT((VLOOKUP(G158,NGPREVPRICES,2,FALSE)+HLOOKUP(D158,PREVCURVES,VLOOKUP(G158,MOVE_DOWN2,2,FALSE),FALSE)),VLOOKUP(G158,NGPREVPRICES,2,FALSE),CK158,VLOOKUP(G158,NGPREVPRICES,4,FALSE),HLOOKUP(D158,VOLS,VLOOKUP(G158,move_down,2,FALSE),FALSE),VLOOKUP(G158,NGPrices,3,FALSE),HLOOKUP(D158,Correllate,VLOOKUP(G158,CorMove,2,FALSE),FALSE),Q158-$CD$3,R158,$CJ$5)*H158-CJ158</f>
        <v>0</v>
      </c>
      <c r="CH158" s="234">
        <f>_xll.xSPRDOPT((VLOOKUP(G158,NGPREVPRICES,2,FALSE)+HLOOKUP(D158,PREVCURVES,VLOOKUP(G158,MOVE_DOWN2,2,FALSE),FALSE)),VLOOKUP(G158,NGPREVPRICES,2,FALSE),CK158,VLOOKUP(G158,NGPREVPRICES,4,FALSE),HLOOKUP(D158,PREVVOLS,VLOOKUP(G158,MOVE_DOWN2,2,FALSE),FALSE),VLOOKUP(G158,NGPREVPRICES,3,FALSE),HLOOKUP(D158,Correllate,VLOOKUP(G158,CorMove,2,FALSE),FALSE),Q158-$C$3,R158,$CJ$5)*H158-CJ158</f>
        <v>-285.23575104605698</v>
      </c>
      <c r="CI158" s="234">
        <f t="shared" ref="CI158:CI177" si="224">SUM(CD158:CH158)</f>
        <v>-296.40730278717092</v>
      </c>
      <c r="CJ158" s="234">
        <f>_xll.xSPRDOPT((VLOOKUP(G158,NGPREVPRICES,2,FALSE)+HLOOKUP(D158,PREVCURVES,VLOOKUP(G158,MOVE_DOWN2,2,FALSE),FALSE)),VLOOKUP(G158,NGPREVPRICES,2,FALSE),CK158,VLOOKUP(G158,NGPREVPRICES,4,FALSE),HLOOKUP(D158,PREVVOLS,VLOOKUP(G158,MOVE_DOWN2,2,FALSE),FALSE),VLOOKUP(G158,NGPREVPRICES,3,FALSE),HLOOKUP(D158,Correllate,VLOOKUP(G158,CorMove,2,FALSE),FALSE),Q158-$CD$3,R158,$CJ$5)*H158</f>
        <v>59284.030589213136</v>
      </c>
      <c r="CK158" s="235">
        <f t="shared" si="193"/>
        <v>-0.27</v>
      </c>
      <c r="CL158" s="234"/>
      <c r="CM158" t="str">
        <f t="shared" ref="CM158:CM177" si="225">CONCATENATE(CC158,$CD$6)</f>
        <v>36892Curve Shift/Gamma</v>
      </c>
      <c r="CN158" t="str">
        <f t="shared" si="176"/>
        <v>36892Rho</v>
      </c>
      <c r="CO158" t="str">
        <f t="shared" si="177"/>
        <v>36892Drift</v>
      </c>
      <c r="CP158" t="str">
        <f t="shared" si="178"/>
        <v>36892Vega</v>
      </c>
      <c r="CQ158" t="str">
        <f t="shared" si="179"/>
        <v>36892Theta</v>
      </c>
    </row>
    <row r="159" spans="1:95" ht="12" customHeight="1" x14ac:dyDescent="0.25">
      <c r="A159" s="382" t="s">
        <v>294</v>
      </c>
      <c r="B159" t="s">
        <v>250</v>
      </c>
      <c r="C159" t="s">
        <v>332</v>
      </c>
      <c r="D159" s="4" t="s">
        <v>9</v>
      </c>
      <c r="E159" t="s">
        <v>20</v>
      </c>
      <c r="F159" t="s">
        <v>21</v>
      </c>
      <c r="G159" s="5">
        <v>36861</v>
      </c>
      <c r="H159" s="130">
        <v>310000</v>
      </c>
      <c r="I159">
        <v>-0.27</v>
      </c>
      <c r="J159" s="53">
        <f t="shared" si="200"/>
        <v>4.8</v>
      </c>
      <c r="K159" s="7">
        <f t="shared" si="201"/>
        <v>-0.35749999999999998</v>
      </c>
      <c r="L159" s="53">
        <f t="shared" si="202"/>
        <v>4.4424999999999999</v>
      </c>
      <c r="M159" s="157">
        <f t="shared" si="217"/>
        <v>6.8314027999354002E-2</v>
      </c>
      <c r="N159" s="4">
        <f t="shared" si="218"/>
        <v>0.6</v>
      </c>
      <c r="O159" s="4">
        <f t="shared" si="219"/>
        <v>0.57599999999999996</v>
      </c>
      <c r="P159" s="9">
        <f t="shared" si="220"/>
        <v>0.93</v>
      </c>
      <c r="Q159" s="5">
        <f t="shared" si="194"/>
        <v>36859</v>
      </c>
      <c r="R159" s="4">
        <f t="shared" si="186"/>
        <v>1</v>
      </c>
      <c r="S159" s="158">
        <f>_xll.xSPRDOPT($L159,$J159,$I159,$M159,$O159,$N159,$P159,$Q159-$C$3,$R159,0)</f>
        <v>0.16672182374448985</v>
      </c>
      <c r="T159" s="159">
        <f>_xll.xSPRDOPT($L159,$J159,$I159,$M159,$O159,$N159,$P159,$Q159-$C$3,$R159,1)*H159</f>
        <v>138816.65098681211</v>
      </c>
      <c r="U159" s="160">
        <f t="shared" si="187"/>
        <v>51683.765360791855</v>
      </c>
      <c r="V159" s="159">
        <f>_xll.xSPRDOPT($L159,$J159,$I159,$M159,$O159,$N159,$P159,$Q159-$C$3,$R159,2)*H159</f>
        <v>-125662.73947634552</v>
      </c>
      <c r="W159" s="159">
        <f t="shared" si="188"/>
        <v>13153.911510466583</v>
      </c>
      <c r="X159" s="51" t="str">
        <f t="shared" si="195"/>
        <v>36861IF-NWPL_ROCKY_M</v>
      </c>
      <c r="Y159" s="418">
        <f t="shared" si="196"/>
        <v>31</v>
      </c>
      <c r="Z159" s="456">
        <f t="shared" si="197"/>
        <v>0.44779564834455521</v>
      </c>
      <c r="AA159" s="456">
        <f>_xll.xSPRDOPT($L159,$J159,$I159,$M159,$O159,$N159,$P159,$Q159-$C$3,$R159,3)</f>
        <v>0.74529770062928757</v>
      </c>
      <c r="AB159" s="456">
        <f>((_xll.xSPRDOPT($L159+AB$5,$J159,$I159,$M159,$O159,$N159,$P159,$Q159-$C$3,$R159,3)*$H159)/10000)/100</f>
        <v>0.23104228719507916</v>
      </c>
      <c r="AC159" s="456">
        <f>((_xll.xSPRDOPT($L159+$AB$5,$J159,$I159,$M159,$O159,$N159,$P159,$Q159-$C$3,$R159,7)*$H159)/100)</f>
        <v>-4209.6505778307437</v>
      </c>
      <c r="AD159" s="456">
        <f>(_xll.xSPRDOPT($L159+$AB$5,$J159,$I159,$M159,$O159,$N159,$P159,$Q159-$C$3,$R159,9)/365)*$H159</f>
        <v>-334.29404745389826</v>
      </c>
      <c r="AE159">
        <f t="shared" si="198"/>
        <v>0</v>
      </c>
      <c r="AF159" s="456">
        <f t="shared" si="199"/>
        <v>1054.1109573666897</v>
      </c>
      <c r="AG159" s="456">
        <f>((_xll.xSPRDOPT($L159,$J159,$I159,$M159,$O159,$N159,$P159,$Q159-$C$3,$R159,6)*$H159)/100)</f>
        <v>1228.2147796406707</v>
      </c>
      <c r="AH159" s="456">
        <f>((_xll.xSPRDOPT($L159,$J159,$I159,$M159,$O159,$N159,$P159,$Q159-$C$3,$R159,5)*$H159)/100)</f>
        <v>-181.3581482020636</v>
      </c>
      <c r="AI159" s="456">
        <f>(((_xll.xSPRDOPT($L159,$J159,$I159,$M159,$O159,$N159,$P159,$Q159-$C$3,$R159,4)*$H159)/10000)/100)-AB159</f>
        <v>-8.3787909288193796E-3</v>
      </c>
      <c r="AJ159" s="456"/>
      <c r="AK159" s="456"/>
      <c r="AL159" s="456"/>
      <c r="AM159" s="472"/>
      <c r="AN159" s="41">
        <f t="shared" si="203"/>
        <v>41365</v>
      </c>
      <c r="AO159" s="43">
        <f t="shared" si="221"/>
        <v>0</v>
      </c>
      <c r="AP159" s="43">
        <f t="shared" si="221"/>
        <v>0</v>
      </c>
      <c r="AQ159" s="43">
        <f t="shared" si="221"/>
        <v>0</v>
      </c>
      <c r="AR159" s="43">
        <f t="shared" si="221"/>
        <v>0</v>
      </c>
      <c r="AS159" s="43">
        <f t="shared" si="221"/>
        <v>0</v>
      </c>
      <c r="AT159" s="43">
        <f t="shared" si="221"/>
        <v>0</v>
      </c>
      <c r="AU159" s="43">
        <f t="shared" si="221"/>
        <v>0</v>
      </c>
      <c r="AV159" s="43">
        <f t="shared" si="221"/>
        <v>0</v>
      </c>
      <c r="AW159" s="43">
        <f t="shared" si="221"/>
        <v>0</v>
      </c>
      <c r="AX159" s="43">
        <f t="shared" si="221"/>
        <v>0</v>
      </c>
      <c r="AY159" s="43">
        <f t="shared" si="221"/>
        <v>0</v>
      </c>
      <c r="AZ159" s="43">
        <f t="shared" si="221"/>
        <v>0</v>
      </c>
      <c r="BA159" s="44">
        <f t="shared" si="221"/>
        <v>0</v>
      </c>
      <c r="BB159" s="41">
        <f t="shared" si="204"/>
        <v>41365</v>
      </c>
      <c r="BC159" s="44">
        <f t="shared" si="205"/>
        <v>0</v>
      </c>
      <c r="BE159" s="41">
        <f t="shared" si="206"/>
        <v>41365</v>
      </c>
      <c r="BF159" s="43">
        <f t="shared" si="222"/>
        <v>0</v>
      </c>
      <c r="BG159" s="43">
        <f t="shared" si="222"/>
        <v>0</v>
      </c>
      <c r="BH159" s="43">
        <f t="shared" si="222"/>
        <v>0</v>
      </c>
      <c r="BI159" s="43">
        <f t="shared" si="222"/>
        <v>0</v>
      </c>
      <c r="BJ159" s="43">
        <f t="shared" si="222"/>
        <v>0</v>
      </c>
      <c r="BK159" s="43">
        <f t="shared" si="222"/>
        <v>0</v>
      </c>
      <c r="BL159" s="43">
        <f t="shared" si="222"/>
        <v>0</v>
      </c>
      <c r="BM159" s="43">
        <f t="shared" si="222"/>
        <v>0</v>
      </c>
      <c r="BN159" s="43">
        <f t="shared" si="222"/>
        <v>0</v>
      </c>
      <c r="BO159" s="43">
        <f t="shared" si="222"/>
        <v>0</v>
      </c>
      <c r="BP159" s="43">
        <f t="shared" si="222"/>
        <v>0</v>
      </c>
      <c r="BQ159" s="43">
        <f t="shared" si="222"/>
        <v>0</v>
      </c>
      <c r="BR159" s="44">
        <f t="shared" si="222"/>
        <v>0</v>
      </c>
      <c r="BS159" s="41">
        <f t="shared" si="207"/>
        <v>41365</v>
      </c>
      <c r="BT159" s="44">
        <f t="shared" si="208"/>
        <v>0</v>
      </c>
      <c r="CC159" s="141">
        <f t="shared" si="192"/>
        <v>36861</v>
      </c>
      <c r="CD159" s="234">
        <f>_xll.xSPRDOPT((VLOOKUP(G159,NGPrices,2,FALSE)+HLOOKUP(D159,Prices,VLOOKUP(G159,move_down,2,FALSE),FALSE)),VLOOKUP(G159,NGPrices,2,FALSE),I159,VLOOKUP(G159,NGPREVPRICES,4,FALSE),HLOOKUP(D159,PREVVOLS,VLOOKUP(G159,MOVE_DOWN2,2,FALSE),FALSE),VLOOKUP(G159,NGPREVPRICES,3,FALSE),HLOOKUP(D159,Correllate,VLOOKUP(G159,CorMove,2,FALSE),FALSE),Q159-$CD$3,R159,$CD$5)*H159-CJ159</f>
        <v>0</v>
      </c>
      <c r="CE159" s="234">
        <f>_xll.xSPRDOPT((VLOOKUP(G159,NGPREVPRICES,2,FALSE)+HLOOKUP(D159,PREVCURVES,VLOOKUP(G159,MOVE_DOWN2,2,FALSE),FALSE)),VLOOKUP(G159,NGPREVPRICES,2,FALSE),CK159,VLOOKUP(G159,NGPrices,4,FALSE),HLOOKUP(D159,PREVVOLS,VLOOKUP(G159,MOVE_DOWN2,2,FALSE),FALSE),VLOOKUP(G159,NGPREVPRICES,3,FALSE),HLOOKUP(D159,Correllate,VLOOKUP(G159,CorMove,2,FALSE),FALSE),Q159-$CD$3,R159,$CJ$5)*H159-CJ159</f>
        <v>0</v>
      </c>
      <c r="CF159" s="10">
        <f t="shared" si="223"/>
        <v>-9.7447317595797358</v>
      </c>
      <c r="CG159" s="234">
        <f>_xll.xSPRDOPT((VLOOKUP(G159,NGPREVPRICES,2,FALSE)+HLOOKUP(D159,PREVCURVES,VLOOKUP(G159,MOVE_DOWN2,2,FALSE),FALSE)),VLOOKUP(G159,NGPREVPRICES,2,FALSE),CK159,VLOOKUP(G159,NGPREVPRICES,4,FALSE),HLOOKUP(D159,VOLS,VLOOKUP(G159,move_down,2,FALSE),FALSE),VLOOKUP(G159,NGPrices,3,FALSE),HLOOKUP(D159,Correllate,VLOOKUP(G159,CorMove,2,FALSE),FALSE),Q159-$CD$3,R159,$CJ$5)*H159-CJ159</f>
        <v>0</v>
      </c>
      <c r="CH159" s="234">
        <f>_xll.xSPRDOPT((VLOOKUP(G159,NGPREVPRICES,2,FALSE)+HLOOKUP(D159,PREVCURVES,VLOOKUP(G159,MOVE_DOWN2,2,FALSE),FALSE)),VLOOKUP(G159,NGPREVPRICES,2,FALSE),CK159,VLOOKUP(G159,NGPREVPRICES,4,FALSE),HLOOKUP(D159,PREVVOLS,VLOOKUP(G159,MOVE_DOWN2,2,FALSE),FALSE),VLOOKUP(G159,NGPREVPRICES,3,FALSE),HLOOKUP(D159,Correllate,VLOOKUP(G159,CorMove,2,FALSE),FALSE),Q159-$C$3,R159,$CJ$5)*H159-CJ159</f>
        <v>-333.09791610465618</v>
      </c>
      <c r="CI159" s="234">
        <f t="shared" si="224"/>
        <v>-342.84264786423591</v>
      </c>
      <c r="CJ159" s="234">
        <f>_xll.xSPRDOPT((VLOOKUP(G159,NGPREVPRICES,2,FALSE)+HLOOKUP(D159,PREVCURVES,VLOOKUP(G159,MOVE_DOWN2,2,FALSE),FALSE)),VLOOKUP(G159,NGPREVPRICES,2,FALSE),CK159,VLOOKUP(G159,NGPREVPRICES,4,FALSE),HLOOKUP(D159,PREVVOLS,VLOOKUP(G159,MOVE_DOWN2,2,FALSE),FALSE),VLOOKUP(G159,NGPREVPRICES,3,FALSE),HLOOKUP(D159,Correllate,VLOOKUP(G159,CorMove,2,FALSE),FALSE),Q159-$CD$3,R159,$CJ$5)*H159</f>
        <v>52016.863276896511</v>
      </c>
      <c r="CK159" s="235">
        <f t="shared" si="193"/>
        <v>-0.27</v>
      </c>
      <c r="CL159" s="234"/>
      <c r="CM159" t="str">
        <f t="shared" si="225"/>
        <v>36861Curve Shift/Gamma</v>
      </c>
      <c r="CN159" t="str">
        <f t="shared" si="176"/>
        <v>36861Rho</v>
      </c>
      <c r="CO159" t="str">
        <f t="shared" si="177"/>
        <v>36861Drift</v>
      </c>
      <c r="CP159" t="str">
        <f t="shared" si="178"/>
        <v>36861Vega</v>
      </c>
      <c r="CQ159" t="str">
        <f t="shared" si="179"/>
        <v>36861Theta</v>
      </c>
    </row>
    <row r="160" spans="1:95" ht="12" customHeight="1" x14ac:dyDescent="0.25">
      <c r="A160" s="382" t="s">
        <v>294</v>
      </c>
      <c r="B160" t="s">
        <v>250</v>
      </c>
      <c r="C160" t="s">
        <v>332</v>
      </c>
      <c r="D160" s="4" t="s">
        <v>9</v>
      </c>
      <c r="E160" t="s">
        <v>20</v>
      </c>
      <c r="F160" t="s">
        <v>21</v>
      </c>
      <c r="G160" s="5">
        <v>36831</v>
      </c>
      <c r="H160" s="130">
        <v>300000</v>
      </c>
      <c r="I160">
        <v>-0.27</v>
      </c>
      <c r="J160" s="53">
        <f t="shared" si="200"/>
        <v>4.7359999999999998</v>
      </c>
      <c r="K160" s="7">
        <f t="shared" si="201"/>
        <v>-0.46750000000000003</v>
      </c>
      <c r="L160" s="53">
        <f t="shared" si="202"/>
        <v>4.2684999999999995</v>
      </c>
      <c r="M160" s="157">
        <f t="shared" si="217"/>
        <v>6.810675983792E-2</v>
      </c>
      <c r="N160" s="4">
        <f t="shared" si="218"/>
        <v>0.59499999999999997</v>
      </c>
      <c r="O160" s="4">
        <f t="shared" si="219"/>
        <v>0.57099999999999995</v>
      </c>
      <c r="P160" s="9">
        <f t="shared" si="220"/>
        <v>0.93</v>
      </c>
      <c r="Q160" s="5">
        <f t="shared" si="194"/>
        <v>36829</v>
      </c>
      <c r="R160" s="4">
        <f t="shared" si="186"/>
        <v>1</v>
      </c>
      <c r="S160" s="158">
        <f>_xll.xSPRDOPT($L160,$J160,$I160,$M160,$O160,$N160,$P160,$Q160-$C$3,$R160,0)</f>
        <v>8.5621192455991646E-2</v>
      </c>
      <c r="T160" s="159">
        <f>_xll.xSPRDOPT($L160,$J160,$I160,$M160,$O160,$N160,$P160,$Q160-$C$3,$R160,1)*H160</f>
        <v>99219.773082341606</v>
      </c>
      <c r="U160" s="160">
        <f t="shared" si="187"/>
        <v>25686.357736797494</v>
      </c>
      <c r="V160" s="159">
        <f>_xll.xSPRDOPT($L160,$J160,$I160,$M160,$O160,$N160,$P160,$Q160-$C$3,$R160,2)*H160</f>
        <v>-89773.368046370306</v>
      </c>
      <c r="W160" s="159">
        <f t="shared" si="188"/>
        <v>9446.4050359713001</v>
      </c>
      <c r="X160" s="51" t="str">
        <f t="shared" si="195"/>
        <v>36831IF-NWPL_ROCKY_M</v>
      </c>
      <c r="Y160" s="418">
        <f t="shared" si="196"/>
        <v>30</v>
      </c>
      <c r="Z160" s="456">
        <f t="shared" si="197"/>
        <v>0.33073257694113867</v>
      </c>
      <c r="AA160" s="456">
        <f>_xll.xSPRDOPT($L160,$J160,$I160,$M160,$O160,$N160,$P160,$Q160-$C$3,$R160,3)</f>
        <v>0.87727189534300831</v>
      </c>
      <c r="AB160" s="456">
        <f>((_xll.xSPRDOPT($L160+AB$5,$J160,$I160,$M160,$O160,$N160,$P160,$Q160-$C$3,$R160,3)*$H160)/10000)/100</f>
        <v>0.26318156860290248</v>
      </c>
      <c r="AC160" s="456">
        <f>((_xll.xSPRDOPT($L160+$AB$5,$J160,$I160,$M160,$O160,$N160,$P160,$Q160-$C$3,$R160,7)*$H160)/100)</f>
        <v>-2940.9957870238136</v>
      </c>
      <c r="AD160" s="456">
        <f>(_xll.xSPRDOPT($L160+$AB$5,$J160,$I160,$M160,$O160,$N160,$P160,$Q160-$C$3,$R160,9)/365)*$H160</f>
        <v>-353.08376727995045</v>
      </c>
      <c r="AE160">
        <f t="shared" si="198"/>
        <v>0</v>
      </c>
      <c r="AF160" s="456">
        <f t="shared" si="199"/>
        <v>745.31654152112924</v>
      </c>
      <c r="AG160" s="456">
        <f>((_xll.xSPRDOPT($L160,$J160,$I160,$M160,$O160,$N160,$P160,$Q160-$C$3,$R160,6)*$H160)/100)</f>
        <v>881.8554557904539</v>
      </c>
      <c r="AH160" s="456">
        <f>((_xll.xSPRDOPT($L160,$J160,$I160,$M160,$O160,$N160,$P160,$Q160-$C$3,$R160,5)*$H160)/100)</f>
        <v>-142.27785287258874</v>
      </c>
      <c r="AI160" s="456">
        <f>(((_xll.xSPRDOPT($L160,$J160,$I160,$M160,$O160,$N160,$P160,$Q160-$C$3,$R160,4)*$H160)/10000)/100)-AB160</f>
        <v>-2.1337277822610662E-2</v>
      </c>
      <c r="AJ160" s="456"/>
      <c r="AK160" s="456"/>
      <c r="AL160" s="456"/>
      <c r="AM160" s="472"/>
      <c r="AN160" s="41">
        <f t="shared" si="203"/>
        <v>41395</v>
      </c>
      <c r="AO160" s="43">
        <f t="shared" si="221"/>
        <v>0</v>
      </c>
      <c r="AP160" s="43">
        <f t="shared" si="221"/>
        <v>0</v>
      </c>
      <c r="AQ160" s="43">
        <f t="shared" si="221"/>
        <v>0</v>
      </c>
      <c r="AR160" s="43">
        <f t="shared" si="221"/>
        <v>0</v>
      </c>
      <c r="AS160" s="43">
        <f t="shared" si="221"/>
        <v>0</v>
      </c>
      <c r="AT160" s="43">
        <f t="shared" si="221"/>
        <v>0</v>
      </c>
      <c r="AU160" s="43">
        <f t="shared" si="221"/>
        <v>0</v>
      </c>
      <c r="AV160" s="43">
        <f t="shared" si="221"/>
        <v>0</v>
      </c>
      <c r="AW160" s="43">
        <f t="shared" si="221"/>
        <v>0</v>
      </c>
      <c r="AX160" s="43">
        <f t="shared" si="221"/>
        <v>0</v>
      </c>
      <c r="AY160" s="43">
        <f t="shared" si="221"/>
        <v>0</v>
      </c>
      <c r="AZ160" s="43">
        <f t="shared" si="221"/>
        <v>0</v>
      </c>
      <c r="BA160" s="44">
        <f t="shared" si="221"/>
        <v>0</v>
      </c>
      <c r="BB160" s="41">
        <f t="shared" si="204"/>
        <v>41395</v>
      </c>
      <c r="BC160" s="44">
        <f t="shared" si="205"/>
        <v>0</v>
      </c>
      <c r="BE160" s="41">
        <f t="shared" si="206"/>
        <v>41395</v>
      </c>
      <c r="BF160" s="43">
        <f t="shared" si="222"/>
        <v>0</v>
      </c>
      <c r="BG160" s="43">
        <f t="shared" si="222"/>
        <v>0</v>
      </c>
      <c r="BH160" s="43">
        <f t="shared" si="222"/>
        <v>0</v>
      </c>
      <c r="BI160" s="43">
        <f t="shared" si="222"/>
        <v>0</v>
      </c>
      <c r="BJ160" s="43">
        <f t="shared" si="222"/>
        <v>0</v>
      </c>
      <c r="BK160" s="43">
        <f t="shared" si="222"/>
        <v>0</v>
      </c>
      <c r="BL160" s="43">
        <f t="shared" si="222"/>
        <v>0</v>
      </c>
      <c r="BM160" s="43">
        <f t="shared" si="222"/>
        <v>0</v>
      </c>
      <c r="BN160" s="43">
        <f t="shared" si="222"/>
        <v>0</v>
      </c>
      <c r="BO160" s="43">
        <f t="shared" si="222"/>
        <v>0</v>
      </c>
      <c r="BP160" s="43">
        <f t="shared" si="222"/>
        <v>0</v>
      </c>
      <c r="BQ160" s="43">
        <f t="shared" si="222"/>
        <v>0</v>
      </c>
      <c r="BR160" s="44">
        <f t="shared" si="222"/>
        <v>0</v>
      </c>
      <c r="BS160" s="41">
        <f t="shared" si="207"/>
        <v>41395</v>
      </c>
      <c r="BT160" s="44">
        <f t="shared" si="208"/>
        <v>0</v>
      </c>
      <c r="CC160" s="141">
        <f t="shared" si="192"/>
        <v>36831</v>
      </c>
      <c r="CD160" s="234">
        <f>_xll.xSPRDOPT((VLOOKUP(G160,NGPrices,2,FALSE)+HLOOKUP(D160,Prices,VLOOKUP(G160,move_down,2,FALSE),FALSE)),VLOOKUP(G160,NGPrices,2,FALSE),I160,VLOOKUP(G160,NGPREVPRICES,4,FALSE),HLOOKUP(D160,PREVVOLS,VLOOKUP(G160,MOVE_DOWN2,2,FALSE),FALSE),VLOOKUP(G160,NGPREVPRICES,3,FALSE),HLOOKUP(D160,Correllate,VLOOKUP(G160,CorMove,2,FALSE),FALSE),Q160-$CD$3,R160,$CD$5)*H160-CJ160</f>
        <v>0</v>
      </c>
      <c r="CE160" s="234">
        <f>_xll.xSPRDOPT((VLOOKUP(G160,NGPREVPRICES,2,FALSE)+HLOOKUP(D160,PREVCURVES,VLOOKUP(G160,MOVE_DOWN2,2,FALSE),FALSE)),VLOOKUP(G160,NGPREVPRICES,2,FALSE),CK160,VLOOKUP(G160,NGPrices,4,FALSE),HLOOKUP(D160,PREVVOLS,VLOOKUP(G160,MOVE_DOWN2,2,FALSE),FALSE),VLOOKUP(G160,NGPREVPRICES,3,FALSE),HLOOKUP(D160,Correllate,VLOOKUP(G160,CorMove,2,FALSE),FALSE),Q160-$CD$3,R160,$CJ$5)*H160-CJ160</f>
        <v>0</v>
      </c>
      <c r="CF160" s="10">
        <f t="shared" si="223"/>
        <v>-4.8355372135847574</v>
      </c>
      <c r="CG160" s="234">
        <f>_xll.xSPRDOPT((VLOOKUP(G160,NGPREVPRICES,2,FALSE)+HLOOKUP(D160,PREVCURVES,VLOOKUP(G160,MOVE_DOWN2,2,FALSE),FALSE)),VLOOKUP(G160,NGPREVPRICES,2,FALSE),CK160,VLOOKUP(G160,NGPREVPRICES,4,FALSE),HLOOKUP(D160,VOLS,VLOOKUP(G160,move_down,2,FALSE),FALSE),VLOOKUP(G160,NGPrices,3,FALSE),HLOOKUP(D160,Correllate,VLOOKUP(G160,CorMove,2,FALSE),FALSE),Q160-$CD$3,R160,$CJ$5)*H160-CJ160</f>
        <v>0</v>
      </c>
      <c r="CH160" s="234">
        <f>_xll.xSPRDOPT((VLOOKUP(G160,NGPREVPRICES,2,FALSE)+HLOOKUP(D160,PREVCURVES,VLOOKUP(G160,MOVE_DOWN2,2,FALSE),FALSE)),VLOOKUP(G160,NGPREVPRICES,2,FALSE),CK160,VLOOKUP(G160,NGPREVPRICES,4,FALSE),HLOOKUP(D160,PREVVOLS,VLOOKUP(G160,MOVE_DOWN2,2,FALSE),FALSE),VLOOKUP(G160,NGPREVPRICES,3,FALSE),HLOOKUP(D160,Correllate,VLOOKUP(G160,CorMove,2,FALSE),FALSE),Q160-$C$3,R160,$CJ$5)*H160-CJ160</f>
        <v>-351.66070275745733</v>
      </c>
      <c r="CI160" s="234">
        <f t="shared" si="224"/>
        <v>-356.49623997104209</v>
      </c>
      <c r="CJ160" s="234">
        <f>_xll.xSPRDOPT((VLOOKUP(G160,NGPREVPRICES,2,FALSE)+HLOOKUP(D160,PREVCURVES,VLOOKUP(G160,MOVE_DOWN2,2,FALSE),FALSE)),VLOOKUP(G160,NGPREVPRICES,2,FALSE),CK160,VLOOKUP(G160,NGPREVPRICES,4,FALSE),HLOOKUP(D160,PREVVOLS,VLOOKUP(G160,MOVE_DOWN2,2,FALSE),FALSE),VLOOKUP(G160,NGPREVPRICES,3,FALSE),HLOOKUP(D160,Correllate,VLOOKUP(G160,CorMove,2,FALSE),FALSE),Q160-$CD$3,R160,$CJ$5)*H160</f>
        <v>26038.018439554951</v>
      </c>
      <c r="CK160" s="235">
        <f t="shared" si="193"/>
        <v>-0.27</v>
      </c>
      <c r="CL160" s="234"/>
      <c r="CM160" t="str">
        <f t="shared" si="225"/>
        <v>36831Curve Shift/Gamma</v>
      </c>
      <c r="CN160" t="str">
        <f t="shared" si="176"/>
        <v>36831Rho</v>
      </c>
      <c r="CO160" t="str">
        <f t="shared" si="177"/>
        <v>36831Drift</v>
      </c>
      <c r="CP160" t="str">
        <f t="shared" si="178"/>
        <v>36831Vega</v>
      </c>
      <c r="CQ160" t="str">
        <f t="shared" si="179"/>
        <v>36831Theta</v>
      </c>
    </row>
    <row r="161" spans="1:95" ht="12" customHeight="1" x14ac:dyDescent="0.25">
      <c r="A161" s="382" t="s">
        <v>294</v>
      </c>
      <c r="B161" t="s">
        <v>250</v>
      </c>
      <c r="C161" t="s">
        <v>332</v>
      </c>
      <c r="D161" s="4" t="s">
        <v>9</v>
      </c>
      <c r="E161" t="s">
        <v>20</v>
      </c>
      <c r="F161" t="s">
        <v>21</v>
      </c>
      <c r="G161" s="5">
        <v>36800</v>
      </c>
      <c r="H161" s="130">
        <v>310000</v>
      </c>
      <c r="I161">
        <v>-0.27</v>
      </c>
      <c r="J161" s="53">
        <f t="shared" si="200"/>
        <v>4.6920000000000002</v>
      </c>
      <c r="K161" s="7">
        <f t="shared" si="201"/>
        <v>-0.80500000000000005</v>
      </c>
      <c r="L161" s="53">
        <f t="shared" si="202"/>
        <v>3.887</v>
      </c>
      <c r="M161" s="157">
        <f t="shared" si="217"/>
        <v>6.8050789414654006E-2</v>
      </c>
      <c r="N161" s="4">
        <f t="shared" si="218"/>
        <v>0.57499999999999996</v>
      </c>
      <c r="O161" s="4">
        <f t="shared" si="219"/>
        <v>0.55200000000000005</v>
      </c>
      <c r="P161" s="9">
        <f t="shared" si="220"/>
        <v>0.84</v>
      </c>
      <c r="Q161" s="5">
        <f t="shared" si="194"/>
        <v>36797</v>
      </c>
      <c r="R161" s="4">
        <f t="shared" si="186"/>
        <v>1</v>
      </c>
      <c r="S161" s="158">
        <f>_xll.xSPRDOPT($L161,$J161,$I161,$M161,$O161,$N161,$P161,$Q161-$C$3,$R161,0)</f>
        <v>1.6276737752907444E-2</v>
      </c>
      <c r="T161" s="159">
        <f>_xll.xSPRDOPT($L161,$J161,$I161,$M161,$O161,$N161,$P161,$Q161-$C$3,$R161,1)*H161</f>
        <v>29830.264803692346</v>
      </c>
      <c r="U161" s="160">
        <f t="shared" si="187"/>
        <v>5045.7887034013074</v>
      </c>
      <c r="V161" s="159">
        <f>_xll.xSPRDOPT($L161,$J161,$I161,$M161,$O161,$N161,$P161,$Q161-$C$3,$R161,2)*H161</f>
        <v>-25302.754178583364</v>
      </c>
      <c r="W161" s="159">
        <f t="shared" si="188"/>
        <v>4527.5106251089819</v>
      </c>
      <c r="X161" s="51" t="str">
        <f t="shared" si="195"/>
        <v>36800IF-NWPL_ROCKY_M</v>
      </c>
      <c r="Y161" s="418">
        <f t="shared" si="196"/>
        <v>31</v>
      </c>
      <c r="Z161" s="456">
        <f t="shared" si="197"/>
        <v>9.6226660657072083E-2</v>
      </c>
      <c r="AA161" s="456">
        <f>_xll.xSPRDOPT($L161,$J161,$I161,$M161,$O161,$N161,$P161,$Q161-$C$3,$R161,3)</f>
        <v>0.45633096984746047</v>
      </c>
      <c r="AB161" s="456">
        <f>((_xll.xSPRDOPT($L161+AB$5,$J161,$I161,$M161,$O161,$N161,$P161,$Q161-$C$3,$R161,3)*$H161)/10000)/100</f>
        <v>0.14146260065271274</v>
      </c>
      <c r="AC161" s="456">
        <f>((_xll.xSPRDOPT($L161+$AB$5,$J161,$I161,$M161,$O161,$N161,$P161,$Q161-$C$3,$R161,7)*$H161)/100)</f>
        <v>-594.99753377274214</v>
      </c>
      <c r="AD161" s="456">
        <f>(_xll.xSPRDOPT($L161+$AB$5,$J161,$I161,$M161,$O161,$N161,$P161,$Q161-$C$3,$R161,9)/365)*$H161</f>
        <v>-327.98274933578739</v>
      </c>
      <c r="AE161">
        <f t="shared" si="198"/>
        <v>0</v>
      </c>
      <c r="AF161" s="456">
        <f t="shared" si="199"/>
        <v>342.98959559640264</v>
      </c>
      <c r="AG161" s="456">
        <f>((_xll.xSPRDOPT($L161,$J161,$I161,$M161,$O161,$N161,$P161,$Q161-$C$3,$R161,6)*$H161)/100)</f>
        <v>281.93690028448839</v>
      </c>
      <c r="AH161" s="456">
        <f>((_xll.xSPRDOPT($L161,$J161,$I161,$M161,$O161,$N161,$P161,$Q161-$C$3,$R161,5)*$H161)/100)</f>
        <v>63.596557616577321</v>
      </c>
      <c r="AI161" s="456">
        <f>(((_xll.xSPRDOPT($L161,$J161,$I161,$M161,$O161,$N161,$P161,$Q161-$C$3,$R161,4)*$H161)/10000)/100)-AB161</f>
        <v>-3.0743561046078699E-2</v>
      </c>
      <c r="AJ161" s="456"/>
      <c r="AK161" s="456"/>
      <c r="AL161" s="456"/>
      <c r="AM161" s="472"/>
      <c r="AN161" s="41">
        <f t="shared" si="203"/>
        <v>41426</v>
      </c>
      <c r="AO161" s="43">
        <f t="shared" si="221"/>
        <v>0</v>
      </c>
      <c r="AP161" s="43">
        <f t="shared" si="221"/>
        <v>0</v>
      </c>
      <c r="AQ161" s="43">
        <f t="shared" si="221"/>
        <v>0</v>
      </c>
      <c r="AR161" s="43">
        <f t="shared" si="221"/>
        <v>0</v>
      </c>
      <c r="AS161" s="43">
        <f t="shared" si="221"/>
        <v>0</v>
      </c>
      <c r="AT161" s="43">
        <f t="shared" si="221"/>
        <v>0</v>
      </c>
      <c r="AU161" s="43">
        <f t="shared" si="221"/>
        <v>0</v>
      </c>
      <c r="AV161" s="43">
        <f t="shared" si="221"/>
        <v>0</v>
      </c>
      <c r="AW161" s="43">
        <f t="shared" si="221"/>
        <v>0</v>
      </c>
      <c r="AX161" s="43">
        <f t="shared" si="221"/>
        <v>0</v>
      </c>
      <c r="AY161" s="43">
        <f t="shared" si="221"/>
        <v>0</v>
      </c>
      <c r="AZ161" s="43">
        <f t="shared" si="221"/>
        <v>0</v>
      </c>
      <c r="BA161" s="44">
        <f t="shared" si="221"/>
        <v>0</v>
      </c>
      <c r="BB161" s="41">
        <f t="shared" si="204"/>
        <v>41426</v>
      </c>
      <c r="BC161" s="44">
        <f t="shared" si="205"/>
        <v>0</v>
      </c>
      <c r="BE161" s="41">
        <f t="shared" si="206"/>
        <v>41426</v>
      </c>
      <c r="BF161" s="43">
        <f t="shared" si="222"/>
        <v>0</v>
      </c>
      <c r="BG161" s="43">
        <f t="shared" si="222"/>
        <v>0</v>
      </c>
      <c r="BH161" s="43">
        <f t="shared" si="222"/>
        <v>0</v>
      </c>
      <c r="BI161" s="43">
        <f t="shared" si="222"/>
        <v>0</v>
      </c>
      <c r="BJ161" s="43">
        <f t="shared" si="222"/>
        <v>0</v>
      </c>
      <c r="BK161" s="43">
        <f t="shared" si="222"/>
        <v>0</v>
      </c>
      <c r="BL161" s="43">
        <f t="shared" si="222"/>
        <v>0</v>
      </c>
      <c r="BM161" s="43">
        <f t="shared" si="222"/>
        <v>0</v>
      </c>
      <c r="BN161" s="43">
        <f t="shared" si="222"/>
        <v>0</v>
      </c>
      <c r="BO161" s="43">
        <f t="shared" si="222"/>
        <v>0</v>
      </c>
      <c r="BP161" s="43">
        <f t="shared" si="222"/>
        <v>0</v>
      </c>
      <c r="BQ161" s="43">
        <f t="shared" si="222"/>
        <v>0</v>
      </c>
      <c r="BR161" s="44">
        <f t="shared" si="222"/>
        <v>0</v>
      </c>
      <c r="BS161" s="41">
        <f t="shared" si="207"/>
        <v>41426</v>
      </c>
      <c r="BT161" s="44">
        <f t="shared" si="208"/>
        <v>0</v>
      </c>
      <c r="CC161" s="141">
        <f t="shared" si="192"/>
        <v>36800</v>
      </c>
      <c r="CD161" s="234">
        <f>_xll.xSPRDOPT((VLOOKUP(G161,NGPrices,2,FALSE)+HLOOKUP(D161,Prices,VLOOKUP(G161,move_down,2,FALSE),FALSE)),VLOOKUP(G161,NGPrices,2,FALSE),I161,VLOOKUP(G161,NGPREVPRICES,4,FALSE),HLOOKUP(D161,PREVVOLS,VLOOKUP(G161,MOVE_DOWN2,2,FALSE),FALSE),VLOOKUP(G161,NGPREVPRICES,3,FALSE),HLOOKUP(D161,Correllate,VLOOKUP(G161,CorMove,2,FALSE),FALSE),Q161-$CD$3,R161,$CD$5)*H161-CJ161</f>
        <v>0</v>
      </c>
      <c r="CE161" s="234">
        <f>_xll.xSPRDOPT((VLOOKUP(G161,NGPREVPRICES,2,FALSE)+HLOOKUP(D161,PREVCURVES,VLOOKUP(G161,MOVE_DOWN2,2,FALSE),FALSE)),VLOOKUP(G161,NGPREVPRICES,2,FALSE),CK161,VLOOKUP(G161,NGPrices,4,FALSE),HLOOKUP(D161,PREVVOLS,VLOOKUP(G161,MOVE_DOWN2,2,FALSE),FALSE),VLOOKUP(G161,NGPREVPRICES,3,FALSE),HLOOKUP(D161,Correllate,VLOOKUP(G161,CorMove,2,FALSE),FALSE),Q161-$CD$3,R161,$CJ$5)*H161-CJ161</f>
        <v>0</v>
      </c>
      <c r="CF161" s="10">
        <f t="shared" si="223"/>
        <v>-0.99102966923783242</v>
      </c>
      <c r="CG161" s="234">
        <f>_xll.xSPRDOPT((VLOOKUP(G161,NGPREVPRICES,2,FALSE)+HLOOKUP(D161,PREVCURVES,VLOOKUP(G161,MOVE_DOWN2,2,FALSE),FALSE)),VLOOKUP(G161,NGPREVPRICES,2,FALSE),CK161,VLOOKUP(G161,NGPREVPRICES,4,FALSE),HLOOKUP(D161,VOLS,VLOOKUP(G161,move_down,2,FALSE),FALSE),VLOOKUP(G161,NGPrices,3,FALSE),HLOOKUP(D161,Correllate,VLOOKUP(G161,CorMove,2,FALSE),FALSE),Q161-$CD$3,R161,$CJ$5)*H161-CJ161</f>
        <v>0</v>
      </c>
      <c r="CH161" s="234">
        <f>_xll.xSPRDOPT((VLOOKUP(G161,NGPREVPRICES,2,FALSE)+HLOOKUP(D161,PREVCURVES,VLOOKUP(G161,MOVE_DOWN2,2,FALSE),FALSE)),VLOOKUP(G161,NGPREVPRICES,2,FALSE),CK161,VLOOKUP(G161,NGPREVPRICES,4,FALSE),HLOOKUP(D161,PREVVOLS,VLOOKUP(G161,MOVE_DOWN2,2,FALSE),FALSE),VLOOKUP(G161,NGPREVPRICES,3,FALSE),HLOOKUP(D161,Correllate,VLOOKUP(G161,CorMove,2,FALSE),FALSE),Q161-$C$3,R161,$CJ$5)*H161-CJ161</f>
        <v>-329.8490457276157</v>
      </c>
      <c r="CI161" s="234">
        <f t="shared" si="224"/>
        <v>-330.84007539685354</v>
      </c>
      <c r="CJ161" s="234">
        <f>_xll.xSPRDOPT((VLOOKUP(G161,NGPREVPRICES,2,FALSE)+HLOOKUP(D161,PREVCURVES,VLOOKUP(G161,MOVE_DOWN2,2,FALSE),FALSE)),VLOOKUP(G161,NGPREVPRICES,2,FALSE),CK161,VLOOKUP(G161,NGPREVPRICES,4,FALSE),HLOOKUP(D161,PREVVOLS,VLOOKUP(G161,MOVE_DOWN2,2,FALSE),FALSE),VLOOKUP(G161,NGPREVPRICES,3,FALSE),HLOOKUP(D161,Correllate,VLOOKUP(G161,CorMove,2,FALSE),FALSE),Q161-$CD$3,R161,$CJ$5)*H161</f>
        <v>5375.6377491289231</v>
      </c>
      <c r="CK161" s="235">
        <f t="shared" si="193"/>
        <v>-0.27</v>
      </c>
      <c r="CL161" s="234"/>
      <c r="CM161" t="str">
        <f t="shared" si="225"/>
        <v>36800Curve Shift/Gamma</v>
      </c>
      <c r="CN161" t="str">
        <f t="shared" si="176"/>
        <v>36800Rho</v>
      </c>
      <c r="CO161" t="str">
        <f t="shared" si="177"/>
        <v>36800Drift</v>
      </c>
      <c r="CP161" t="str">
        <f t="shared" si="178"/>
        <v>36800Vega</v>
      </c>
      <c r="CQ161" t="str">
        <f t="shared" si="179"/>
        <v>36800Theta</v>
      </c>
    </row>
    <row r="162" spans="1:95" ht="12" customHeight="1" x14ac:dyDescent="0.25">
      <c r="A162" s="382" t="s">
        <v>294</v>
      </c>
      <c r="B162" t="s">
        <v>250</v>
      </c>
      <c r="C162" t="s">
        <v>332</v>
      </c>
      <c r="D162" s="4" t="s">
        <v>9</v>
      </c>
      <c r="E162" t="s">
        <v>20</v>
      </c>
      <c r="F162" t="s">
        <v>21</v>
      </c>
      <c r="G162" s="5">
        <v>36770</v>
      </c>
      <c r="H162" s="130">
        <v>300000</v>
      </c>
      <c r="I162">
        <v>-0.27</v>
      </c>
      <c r="J162" s="53">
        <f t="shared" si="200"/>
        <v>4.6849999999999996</v>
      </c>
      <c r="K162" s="7">
        <f t="shared" si="201"/>
        <v>-1.24</v>
      </c>
      <c r="L162" s="53">
        <f t="shared" si="202"/>
        <v>3.4449999999999994</v>
      </c>
      <c r="M162" s="157">
        <f t="shared" si="217"/>
        <v>6.7216196212184998E-2</v>
      </c>
      <c r="N162" s="4">
        <f t="shared" si="218"/>
        <v>0.4</v>
      </c>
      <c r="O162" s="4">
        <f t="shared" si="219"/>
        <v>0.38400000000000001</v>
      </c>
      <c r="P162" s="9">
        <f t="shared" si="220"/>
        <v>0.84</v>
      </c>
      <c r="Q162" s="5">
        <f t="shared" si="194"/>
        <v>36768</v>
      </c>
      <c r="R162" s="4">
        <f t="shared" si="186"/>
        <v>1</v>
      </c>
      <c r="S162" s="158">
        <f>_xll.xSPRDOPT($L162,$J162,$I162,$M162,$O162,$N162,$P162,$Q162-$C$3,$R162,0)</f>
        <v>1.2716040576066234E-7</v>
      </c>
      <c r="T162" s="159">
        <f>_xll.xSPRDOPT($L162,$J162,$I162,$M162,$O162,$N162,$P162,$Q162-$C$3,$R162,1)*H162</f>
        <v>-5.0898722836478782E-2</v>
      </c>
      <c r="U162" s="160">
        <f t="shared" si="187"/>
        <v>3.8148121728198703E-2</v>
      </c>
      <c r="V162" s="159">
        <f>_xll.xSPRDOPT($L162,$J162,$I162,$M162,$O162,$N162,$P162,$Q162-$C$3,$R162,2)*H162</f>
        <v>3.9320339284554251E-2</v>
      </c>
      <c r="W162" s="159">
        <f t="shared" si="188"/>
        <v>-1.1578383551924532E-2</v>
      </c>
      <c r="X162" s="51" t="str">
        <f t="shared" si="195"/>
        <v>36770IF-NWPL_ROCKY_M</v>
      </c>
      <c r="Y162" s="418">
        <f t="shared" si="196"/>
        <v>30</v>
      </c>
      <c r="Z162" s="456">
        <f t="shared" si="197"/>
        <v>-1.6966240945492927E-7</v>
      </c>
      <c r="AA162" s="456">
        <f>_xll.xSPRDOPT($L162,$J162,$I162,$M162,$O162,$N162,$P162,$Q162-$C$3,$R162,3)</f>
        <v>-4.1014597561821454E-5</v>
      </c>
      <c r="AB162" s="456">
        <f>((_xll.xSPRDOPT($L162+AB$5,$J162,$I162,$M162,$O162,$N162,$P162,$Q162-$C$3,$R162,3)*$H162)/10000)/100</f>
        <v>-1.2304379268546435E-5</v>
      </c>
      <c r="AC162" s="456">
        <f>((_xll.xSPRDOPT($L162+$AB$5,$J162,$I162,$M162,$O162,$N162,$P162,$Q162-$C$3,$R162,7)*$H162)/100)</f>
        <v>5.6373863931772174E-5</v>
      </c>
      <c r="AD162" s="456">
        <f>(_xll.xSPRDOPT($L162+$AB$5,$J162,$I162,$M162,$O162,$N162,$P162,$Q162-$C$3,$R162,9)/365)*$H162</f>
        <v>8.7691589035871915E-6</v>
      </c>
      <c r="AE162">
        <f t="shared" si="198"/>
        <v>0</v>
      </c>
      <c r="AF162" s="456">
        <f t="shared" si="199"/>
        <v>-5.8373377236795294E-8</v>
      </c>
      <c r="AG162" s="456">
        <f>((_xll.xSPRDOPT($L162,$J162,$I162,$M162,$O162,$N162,$P162,$Q162-$C$3,$R162,6)*$H162)/100)</f>
        <v>-2.1982379402464099E-6</v>
      </c>
      <c r="AH162" s="456">
        <f>((_xll.xSPRDOPT($L162,$J162,$I162,$M162,$O162,$N162,$P162,$Q162-$C$3,$R162,5)*$H162)/100)</f>
        <v>2.2290255864683487E-6</v>
      </c>
      <c r="AI162" s="456">
        <f>(((_xll.xSPRDOPT($L162,$J162,$I162,$M162,$O162,$N162,$P162,$Q162-$C$3,$R162,4)*$H162)/10000)/100)-AB162</f>
        <v>1.2304379268546435E-5</v>
      </c>
      <c r="AJ162" s="456"/>
      <c r="AK162" s="456"/>
      <c r="AL162" s="456"/>
      <c r="AM162" s="472"/>
      <c r="AN162" s="41">
        <f t="shared" si="203"/>
        <v>41456</v>
      </c>
      <c r="AO162" s="43">
        <f t="shared" si="221"/>
        <v>0</v>
      </c>
      <c r="AP162" s="43">
        <f t="shared" si="221"/>
        <v>0</v>
      </c>
      <c r="AQ162" s="43">
        <f t="shared" si="221"/>
        <v>0</v>
      </c>
      <c r="AR162" s="43">
        <f t="shared" si="221"/>
        <v>0</v>
      </c>
      <c r="AS162" s="43">
        <f t="shared" si="221"/>
        <v>0</v>
      </c>
      <c r="AT162" s="43">
        <f t="shared" si="221"/>
        <v>0</v>
      </c>
      <c r="AU162" s="43">
        <f t="shared" si="221"/>
        <v>0</v>
      </c>
      <c r="AV162" s="43">
        <f t="shared" si="221"/>
        <v>0</v>
      </c>
      <c r="AW162" s="43">
        <f t="shared" si="221"/>
        <v>0</v>
      </c>
      <c r="AX162" s="43">
        <f t="shared" si="221"/>
        <v>0</v>
      </c>
      <c r="AY162" s="43">
        <f t="shared" si="221"/>
        <v>0</v>
      </c>
      <c r="AZ162" s="43">
        <f t="shared" si="221"/>
        <v>0</v>
      </c>
      <c r="BA162" s="44">
        <f t="shared" si="221"/>
        <v>0</v>
      </c>
      <c r="BB162" s="41">
        <f t="shared" si="204"/>
        <v>41456</v>
      </c>
      <c r="BC162" s="44">
        <f t="shared" si="205"/>
        <v>0</v>
      </c>
      <c r="BE162" s="41">
        <f t="shared" si="206"/>
        <v>41456</v>
      </c>
      <c r="BF162" s="43">
        <f t="shared" si="222"/>
        <v>0</v>
      </c>
      <c r="BG162" s="43">
        <f t="shared" si="222"/>
        <v>0</v>
      </c>
      <c r="BH162" s="43">
        <f t="shared" si="222"/>
        <v>0</v>
      </c>
      <c r="BI162" s="43">
        <f t="shared" si="222"/>
        <v>0</v>
      </c>
      <c r="BJ162" s="43">
        <f t="shared" si="222"/>
        <v>0</v>
      </c>
      <c r="BK162" s="43">
        <f t="shared" si="222"/>
        <v>0</v>
      </c>
      <c r="BL162" s="43">
        <f t="shared" si="222"/>
        <v>0</v>
      </c>
      <c r="BM162" s="43">
        <f t="shared" si="222"/>
        <v>0</v>
      </c>
      <c r="BN162" s="43">
        <f t="shared" si="222"/>
        <v>0</v>
      </c>
      <c r="BO162" s="43">
        <f t="shared" si="222"/>
        <v>0</v>
      </c>
      <c r="BP162" s="43">
        <f t="shared" si="222"/>
        <v>0</v>
      </c>
      <c r="BQ162" s="43">
        <f t="shared" si="222"/>
        <v>0</v>
      </c>
      <c r="BR162" s="44">
        <f t="shared" si="222"/>
        <v>0</v>
      </c>
      <c r="BS162" s="41">
        <f t="shared" si="207"/>
        <v>41456</v>
      </c>
      <c r="BT162" s="44">
        <f t="shared" si="208"/>
        <v>0</v>
      </c>
      <c r="CC162" s="141">
        <f t="shared" ref="CC162:CC193" si="226">G162</f>
        <v>36770</v>
      </c>
      <c r="CD162" s="234">
        <f>_xll.xSPRDOPT((VLOOKUP(G162,NGPrices,2,FALSE)+HLOOKUP(D162,Prices,VLOOKUP(G162,move_down,2,FALSE),FALSE)),VLOOKUP(G162,NGPrices,2,FALSE),I162,VLOOKUP(G162,NGPREVPRICES,4,FALSE),HLOOKUP(D162,PREVVOLS,VLOOKUP(G162,MOVE_DOWN2,2,FALSE),FALSE),VLOOKUP(G162,NGPREVPRICES,3,FALSE),HLOOKUP(D162,Correllate,VLOOKUP(G162,CorMove,2,FALSE),FALSE),Q162-$CD$3,R162,$CD$5)*H162-CJ162</f>
        <v>0</v>
      </c>
      <c r="CE162" s="234">
        <f>_xll.xSPRDOPT((VLOOKUP(G162,NGPREVPRICES,2,FALSE)+HLOOKUP(D162,PREVCURVES,VLOOKUP(G162,MOVE_DOWN2,2,FALSE),FALSE)),VLOOKUP(G162,NGPREVPRICES,2,FALSE),CK162,VLOOKUP(G162,NGPrices,4,FALSE),HLOOKUP(D162,PREVVOLS,VLOOKUP(G162,MOVE_DOWN2,2,FALSE),FALSE),VLOOKUP(G162,NGPREVPRICES,3,FALSE),HLOOKUP(D162,Correllate,VLOOKUP(G162,CorMove,2,FALSE),FALSE),Q162-$CD$3,R162,$CJ$5)*H162-CJ162</f>
        <v>0</v>
      </c>
      <c r="CF162" s="10">
        <f t="shared" si="223"/>
        <v>-6.9499720777924101E-6</v>
      </c>
      <c r="CG162" s="234">
        <f>_xll.xSPRDOPT((VLOOKUP(G162,NGPREVPRICES,2,FALSE)+HLOOKUP(D162,PREVCURVES,VLOOKUP(G162,MOVE_DOWN2,2,FALSE),FALSE)),VLOOKUP(G162,NGPREVPRICES,2,FALSE),CK162,VLOOKUP(G162,NGPREVPRICES,4,FALSE),HLOOKUP(D162,VOLS,VLOOKUP(G162,move_down,2,FALSE),FALSE),VLOOKUP(G162,NGPrices,3,FALSE),HLOOKUP(D162,Correllate,VLOOKUP(G162,CorMove,2,FALSE),FALSE),Q162-$CD$3,R162,$CJ$5)*H162-CJ162</f>
        <v>0</v>
      </c>
      <c r="CH162" s="234">
        <f>_xll.xSPRDOPT((VLOOKUP(G162,NGPREVPRICES,2,FALSE)+HLOOKUP(D162,PREVCURVES,VLOOKUP(G162,MOVE_DOWN2,2,FALSE),FALSE)),VLOOKUP(G162,NGPREVPRICES,2,FALSE),CK162,VLOOKUP(G162,NGPREVPRICES,4,FALSE),HLOOKUP(D162,PREVVOLS,VLOOKUP(G162,MOVE_DOWN2,2,FALSE),FALSE),VLOOKUP(G162,NGPREVPRICES,3,FALSE),HLOOKUP(D162,Correllate,VLOOKUP(G162,CorMove,2,FALSE),FALSE),Q162-$C$3,R162,$CJ$5)*H162-CJ162</f>
        <v>8.7668872161827949E-6</v>
      </c>
      <c r="CI162" s="234">
        <f t="shared" si="224"/>
        <v>1.8169151383903848E-6</v>
      </c>
      <c r="CJ162" s="234">
        <f>_xll.xSPRDOPT((VLOOKUP(G162,NGPREVPRICES,2,FALSE)+HLOOKUP(D162,PREVCURVES,VLOOKUP(G162,MOVE_DOWN2,2,FALSE),FALSE)),VLOOKUP(G162,NGPREVPRICES,2,FALSE),CK162,VLOOKUP(G162,NGPREVPRICES,4,FALSE),HLOOKUP(D162,PREVVOLS,VLOOKUP(G162,MOVE_DOWN2,2,FALSE),FALSE),VLOOKUP(G162,NGPREVPRICES,3,FALSE),HLOOKUP(D162,Correllate,VLOOKUP(G162,CorMove,2,FALSE),FALSE),Q162-$CD$3,R162,$CJ$5)*H162</f>
        <v>3.813935484098252E-2</v>
      </c>
      <c r="CK162" s="235">
        <f t="shared" ref="CK162:CK193" si="227">I162</f>
        <v>-0.27</v>
      </c>
      <c r="CL162" s="234"/>
      <c r="CM162" t="str">
        <f t="shared" si="225"/>
        <v>36770Curve Shift/Gamma</v>
      </c>
      <c r="CN162" t="str">
        <f t="shared" si="176"/>
        <v>36770Rho</v>
      </c>
      <c r="CO162" t="str">
        <f t="shared" si="177"/>
        <v>36770Drift</v>
      </c>
      <c r="CP162" t="str">
        <f t="shared" si="178"/>
        <v>36770Vega</v>
      </c>
      <c r="CQ162" t="str">
        <f t="shared" si="179"/>
        <v>36770Theta</v>
      </c>
    </row>
    <row r="163" spans="1:95" ht="12" customHeight="1" x14ac:dyDescent="0.25">
      <c r="A163" s="382" t="s">
        <v>279</v>
      </c>
      <c r="B163" t="s">
        <v>250</v>
      </c>
      <c r="C163" t="s">
        <v>347</v>
      </c>
      <c r="D163" s="4" t="s">
        <v>7</v>
      </c>
      <c r="E163" t="s">
        <v>20</v>
      </c>
      <c r="F163" t="s">
        <v>21</v>
      </c>
      <c r="G163" s="5">
        <v>36951</v>
      </c>
      <c r="H163" s="130">
        <v>-1000000</v>
      </c>
      <c r="I163">
        <v>1.1499999999999999</v>
      </c>
      <c r="J163" s="53">
        <f t="shared" si="200"/>
        <v>4.2130000000000001</v>
      </c>
      <c r="K163" s="7">
        <f t="shared" si="201"/>
        <v>1.075</v>
      </c>
      <c r="L163" s="53">
        <f t="shared" si="202"/>
        <v>5.2880000000000003</v>
      </c>
      <c r="M163" s="157">
        <f t="shared" si="217"/>
        <v>6.8879814952706994E-2</v>
      </c>
      <c r="N163" s="4">
        <f t="shared" si="218"/>
        <v>0.53249999999999997</v>
      </c>
      <c r="O163" s="4">
        <f t="shared" si="219"/>
        <v>0.61199999999999999</v>
      </c>
      <c r="P163" s="9">
        <f t="shared" si="220"/>
        <v>0.83</v>
      </c>
      <c r="Q163" s="5">
        <f t="shared" si="194"/>
        <v>36949</v>
      </c>
      <c r="R163" s="4">
        <f t="shared" si="186"/>
        <v>1</v>
      </c>
      <c r="S163" s="158">
        <f>_xll.xSPRDOPT($L163,$J163,$I163,$M163,$O163,$N163,$P163,$Q163-$C$3,$R163,0)</f>
        <v>0.47535272679038493</v>
      </c>
      <c r="T163" s="159">
        <f>_xll.xSPRDOPT($L163,$J163,$I163,$M163,$O163,$N163,$P163,$Q163-$C$3,$R163,1)*H163</f>
        <v>-510656.62510384788</v>
      </c>
      <c r="U163" s="160">
        <f t="shared" si="187"/>
        <v>-475352.72679038491</v>
      </c>
      <c r="V163" s="159">
        <f>_xll.xSPRDOPT($L163,$J163,$I163,$M163,$O163,$N163,$P163,$Q163-$C$3,$R163,2)*H163</f>
        <v>422647.79444936372</v>
      </c>
      <c r="W163" s="159">
        <f t="shared" si="188"/>
        <v>-88008.830654484162</v>
      </c>
      <c r="X163" s="51" t="str">
        <f t="shared" si="195"/>
        <v>36951IF-TRANSCO/Z6</v>
      </c>
      <c r="Y163" s="418">
        <f t="shared" si="196"/>
        <v>-100</v>
      </c>
      <c r="Z163" s="456">
        <f t="shared" si="197"/>
        <v>0.51065662510384791</v>
      </c>
      <c r="AA163" s="456">
        <f>_xll.xSPRDOPT($L163,$J163,$I163,$M163,$O163,$N163,$P163,$Q163-$C$3,$R163,3)</f>
        <v>0.29184141966594901</v>
      </c>
      <c r="AB163" s="456">
        <f>((_xll.xSPRDOPT($L163+AB$5,$J163,$I163,$M163,$O163,$N163,$P163,$Q163-$C$3,$R163,3)*$H163)/10000)/100</f>
        <v>-0.29184141966594901</v>
      </c>
      <c r="AC163" s="456">
        <f>((_xll.xSPRDOPT($L163+$AB$5,$J163,$I163,$M163,$O163,$N163,$P163,$Q163-$C$3,$R163,7)*$H163)/100)</f>
        <v>10472.443888326232</v>
      </c>
      <c r="AD163" s="456">
        <f>(_xll.xSPRDOPT($L163+$AB$5,$J163,$I163,$M163,$O163,$N163,$P163,$Q163-$C$3,$R163,9)/365)*$H163</f>
        <v>1308.9085495107424</v>
      </c>
      <c r="AE163">
        <f t="shared" si="198"/>
        <v>0</v>
      </c>
      <c r="AF163" s="456">
        <f t="shared" si="199"/>
        <v>-9553.9297186454387</v>
      </c>
      <c r="AG163" s="456">
        <f>((_xll.xSPRDOPT($L163,$J163,$I163,$M163,$O163,$N163,$P163,$Q163-$C$3,$R163,6)*$H163)/100)</f>
        <v>2724.6746487887299</v>
      </c>
      <c r="AH163" s="456">
        <f>((_xll.xSPRDOPT($L163,$J163,$I163,$M163,$O163,$N163,$P163,$Q163-$C$3,$R163,5)*$H163)/100)</f>
        <v>-10683.589584409632</v>
      </c>
      <c r="AI163" s="456">
        <f>(((_xll.xSPRDOPT($L163,$J163,$I163,$M163,$O163,$N163,$P163,$Q163-$C$3,$R163,4)*$H163)/10000)/100)-AB163</f>
        <v>3.099146233118466E-3</v>
      </c>
      <c r="AJ163" s="456"/>
      <c r="AK163" s="456"/>
      <c r="AL163" s="456"/>
      <c r="AM163" s="472"/>
      <c r="AN163" s="41">
        <f t="shared" si="203"/>
        <v>41487</v>
      </c>
      <c r="AO163" s="43">
        <f t="shared" si="221"/>
        <v>0</v>
      </c>
      <c r="AP163" s="43">
        <f t="shared" si="221"/>
        <v>0</v>
      </c>
      <c r="AQ163" s="43">
        <f t="shared" si="221"/>
        <v>0</v>
      </c>
      <c r="AR163" s="43">
        <f t="shared" si="221"/>
        <v>0</v>
      </c>
      <c r="AS163" s="43">
        <f t="shared" si="221"/>
        <v>0</v>
      </c>
      <c r="AT163" s="43">
        <f t="shared" si="221"/>
        <v>0</v>
      </c>
      <c r="AU163" s="43">
        <f t="shared" si="221"/>
        <v>0</v>
      </c>
      <c r="AV163" s="43">
        <f t="shared" si="221"/>
        <v>0</v>
      </c>
      <c r="AW163" s="43">
        <f t="shared" si="221"/>
        <v>0</v>
      </c>
      <c r="AX163" s="43">
        <f t="shared" si="221"/>
        <v>0</v>
      </c>
      <c r="AY163" s="43">
        <f t="shared" si="221"/>
        <v>0</v>
      </c>
      <c r="AZ163" s="43">
        <f t="shared" si="221"/>
        <v>0</v>
      </c>
      <c r="BA163" s="44">
        <f t="shared" si="221"/>
        <v>0</v>
      </c>
      <c r="BB163" s="41">
        <f t="shared" si="204"/>
        <v>41487</v>
      </c>
      <c r="BC163" s="44">
        <f t="shared" si="205"/>
        <v>0</v>
      </c>
      <c r="BE163" s="41">
        <f t="shared" si="206"/>
        <v>41487</v>
      </c>
      <c r="BF163" s="43">
        <f t="shared" si="222"/>
        <v>0</v>
      </c>
      <c r="BG163" s="43">
        <f t="shared" si="222"/>
        <v>0</v>
      </c>
      <c r="BH163" s="43">
        <f t="shared" si="222"/>
        <v>0</v>
      </c>
      <c r="BI163" s="43">
        <f t="shared" si="222"/>
        <v>0</v>
      </c>
      <c r="BJ163" s="43">
        <f t="shared" si="222"/>
        <v>0</v>
      </c>
      <c r="BK163" s="43">
        <f t="shared" si="222"/>
        <v>0</v>
      </c>
      <c r="BL163" s="43">
        <f t="shared" si="222"/>
        <v>0</v>
      </c>
      <c r="BM163" s="43">
        <f t="shared" si="222"/>
        <v>0</v>
      </c>
      <c r="BN163" s="43">
        <f t="shared" si="222"/>
        <v>0</v>
      </c>
      <c r="BO163" s="43">
        <f t="shared" si="222"/>
        <v>0</v>
      </c>
      <c r="BP163" s="43">
        <f t="shared" si="222"/>
        <v>0</v>
      </c>
      <c r="BQ163" s="43">
        <f t="shared" si="222"/>
        <v>0</v>
      </c>
      <c r="BR163" s="44">
        <f t="shared" si="222"/>
        <v>0</v>
      </c>
      <c r="BS163" s="41">
        <f t="shared" si="207"/>
        <v>41487</v>
      </c>
      <c r="BT163" s="44">
        <f t="shared" si="208"/>
        <v>0</v>
      </c>
      <c r="CC163" s="141">
        <f t="shared" si="226"/>
        <v>36951</v>
      </c>
      <c r="CD163" s="234">
        <f>_xll.xSPRDOPT((VLOOKUP(G163,NGPrices,2,FALSE)+HLOOKUP(D163,Prices,VLOOKUP(G163,move_down,2,FALSE),FALSE)),VLOOKUP(G163,NGPrices,2,FALSE),I163,VLOOKUP(G163,NGPREVPRICES,4,FALSE),HLOOKUP(D163,PREVVOLS,VLOOKUP(G163,MOVE_DOWN2,2,FALSE),FALSE),VLOOKUP(G163,NGPREVPRICES,3,FALSE),HLOOKUP(D163,Correllate,VLOOKUP(G163,CorMove,2,FALSE),FALSE),Q163-$CD$3,R163,$CD$5)*H163-CJ163</f>
        <v>0</v>
      </c>
      <c r="CE163" s="234">
        <f>_xll.xSPRDOPT((VLOOKUP(G163,NGPREVPRICES,2,FALSE)+HLOOKUP(D163,PREVCURVES,VLOOKUP(G163,MOVE_DOWN2,2,FALSE),FALSE)),VLOOKUP(G163,NGPREVPRICES,2,FALSE),CK163,VLOOKUP(G163,NGPrices,4,FALSE),HLOOKUP(D163,PREVVOLS,VLOOKUP(G163,MOVE_DOWN2,2,FALSE),FALSE),VLOOKUP(G163,NGPREVPRICES,3,FALSE),HLOOKUP(D163,Correllate,VLOOKUP(G163,CorMove,2,FALSE),FALSE),Q163-$CD$3,R163,$CJ$5)*H163-CJ163</f>
        <v>0</v>
      </c>
      <c r="CF163" s="10">
        <f t="shared" si="223"/>
        <v>91.415988853492308</v>
      </c>
      <c r="CG163" s="234">
        <f>_xll.xSPRDOPT((VLOOKUP(G163,NGPREVPRICES,2,FALSE)+HLOOKUP(D163,PREVCURVES,VLOOKUP(G163,MOVE_DOWN2,2,FALSE),FALSE)),VLOOKUP(G163,NGPREVPRICES,2,FALSE),CK163,VLOOKUP(G163,NGPREVPRICES,4,FALSE),HLOOKUP(D163,VOLS,VLOOKUP(G163,move_down,2,FALSE),FALSE),VLOOKUP(G163,NGPrices,3,FALSE),HLOOKUP(D163,Correllate,VLOOKUP(G163,CorMove,2,FALSE),FALSE),Q163-$CD$3,R163,$CJ$5)*H163-CJ163</f>
        <v>0</v>
      </c>
      <c r="CH163" s="234">
        <f>_xll.xSPRDOPT((VLOOKUP(G163,NGPREVPRICES,2,FALSE)+HLOOKUP(D163,PREVCURVES,VLOOKUP(G163,MOVE_DOWN2,2,FALSE),FALSE)),VLOOKUP(G163,NGPREVPRICES,2,FALSE),CK163,VLOOKUP(G163,NGPREVPRICES,4,FALSE),HLOOKUP(D163,PREVVOLS,VLOOKUP(G163,MOVE_DOWN2,2,FALSE),FALSE),VLOOKUP(G163,NGPREVPRICES,3,FALSE),HLOOKUP(D163,Correllate,VLOOKUP(G163,CorMove,2,FALSE),FALSE),Q163-$C$3,R163,$CJ$5)*H163-CJ163</f>
        <v>1305.8347485320992</v>
      </c>
      <c r="CI163" s="234">
        <f t="shared" si="224"/>
        <v>1397.2507373855915</v>
      </c>
      <c r="CJ163" s="234">
        <f>_xll.xSPRDOPT((VLOOKUP(G163,NGPREVPRICES,2,FALSE)+HLOOKUP(D163,PREVCURVES,VLOOKUP(G163,MOVE_DOWN2,2,FALSE),FALSE)),VLOOKUP(G163,NGPREVPRICES,2,FALSE),CK163,VLOOKUP(G163,NGPREVPRICES,4,FALSE),HLOOKUP(D163,PREVVOLS,VLOOKUP(G163,MOVE_DOWN2,2,FALSE),FALSE),VLOOKUP(G163,NGPREVPRICES,3,FALSE),HLOOKUP(D163,Correllate,VLOOKUP(G163,CorMove,2,FALSE),FALSE),Q163-$CD$3,R163,$CJ$5)*H163</f>
        <v>-476658.56153891701</v>
      </c>
      <c r="CK163" s="235">
        <f t="shared" si="227"/>
        <v>1.1499999999999999</v>
      </c>
      <c r="CL163" s="234"/>
      <c r="CM163" t="str">
        <f t="shared" si="225"/>
        <v>36951Curve Shift/Gamma</v>
      </c>
      <c r="CN163" t="str">
        <f t="shared" si="176"/>
        <v>36951Rho</v>
      </c>
      <c r="CO163" t="str">
        <f t="shared" si="177"/>
        <v>36951Drift</v>
      </c>
      <c r="CP163" t="str">
        <f t="shared" si="178"/>
        <v>36951Vega</v>
      </c>
      <c r="CQ163" t="str">
        <f t="shared" si="179"/>
        <v>36951Theta</v>
      </c>
    </row>
    <row r="164" spans="1:95" ht="12" customHeight="1" x14ac:dyDescent="0.25">
      <c r="A164" s="382" t="s">
        <v>279</v>
      </c>
      <c r="B164" t="s">
        <v>250</v>
      </c>
      <c r="C164" t="s">
        <v>347</v>
      </c>
      <c r="D164" s="4" t="s">
        <v>7</v>
      </c>
      <c r="E164" t="s">
        <v>20</v>
      </c>
      <c r="F164" t="s">
        <v>21</v>
      </c>
      <c r="G164" s="5">
        <v>36923</v>
      </c>
      <c r="H164" s="130">
        <v>-1000000</v>
      </c>
      <c r="I164">
        <v>1.1499999999999999</v>
      </c>
      <c r="J164" s="53">
        <f t="shared" si="200"/>
        <v>4.4800000000000004</v>
      </c>
      <c r="K164" s="7">
        <f t="shared" si="201"/>
        <v>2.09</v>
      </c>
      <c r="L164" s="53">
        <f t="shared" si="202"/>
        <v>6.57</v>
      </c>
      <c r="M164" s="157">
        <f t="shared" si="217"/>
        <v>6.8640161611372E-2</v>
      </c>
      <c r="N164" s="4">
        <f t="shared" si="218"/>
        <v>0.59250000000000003</v>
      </c>
      <c r="O164" s="4">
        <f t="shared" si="219"/>
        <v>0.68100000000000005</v>
      </c>
      <c r="P164" s="9">
        <f t="shared" si="220"/>
        <v>0.83</v>
      </c>
      <c r="Q164" s="5">
        <f t="shared" si="194"/>
        <v>36921</v>
      </c>
      <c r="R164" s="4">
        <f t="shared" si="186"/>
        <v>1</v>
      </c>
      <c r="S164" s="158">
        <f>_xll.xSPRDOPT($L164,$J164,$I164,$M164,$O164,$N164,$P164,$Q164-$C$3,$R164,0)</f>
        <v>1.1637603397326721</v>
      </c>
      <c r="T164" s="159">
        <f>_xll.xSPRDOPT($L164,$J164,$I164,$M164,$O164,$N164,$P164,$Q164-$C$3,$R164,1)*H164</f>
        <v>-747334.70018480474</v>
      </c>
      <c r="U164" s="160">
        <f t="shared" si="187"/>
        <v>-1163760.3397326721</v>
      </c>
      <c r="V164" s="159">
        <f>_xll.xSPRDOPT($L164,$J164,$I164,$M164,$O164,$N164,$P164,$Q164-$C$3,$R164,2)*H164</f>
        <v>672462.68769038329</v>
      </c>
      <c r="W164" s="159">
        <f t="shared" si="188"/>
        <v>-74872.012494421448</v>
      </c>
      <c r="X164" s="51" t="str">
        <f t="shared" si="195"/>
        <v>36923IF-TRANSCO/Z6</v>
      </c>
      <c r="Y164" s="418">
        <f t="shared" si="196"/>
        <v>-100</v>
      </c>
      <c r="Z164" s="456">
        <f t="shared" si="197"/>
        <v>0.74733470018480475</v>
      </c>
      <c r="AA164" s="456">
        <f>_xll.xSPRDOPT($L164,$J164,$I164,$M164,$O164,$N164,$P164,$Q164-$C$3,$R164,3)</f>
        <v>0.17629992042757986</v>
      </c>
      <c r="AB164" s="456">
        <f>((_xll.xSPRDOPT($L164+AB$5,$J164,$I164,$M164,$O164,$N164,$P164,$Q164-$C$3,$R164,3)*$H164)/10000)/100</f>
        <v>-0.17629992042757986</v>
      </c>
      <c r="AC164" s="456">
        <f>((_xll.xSPRDOPT($L164+$AB$5,$J164,$I164,$M164,$O164,$N164,$P164,$Q164-$C$3,$R164,7)*$H164)/100)</f>
        <v>10226.60351225074</v>
      </c>
      <c r="AD164" s="456">
        <f>(_xll.xSPRDOPT($L164+$AB$5,$J164,$I164,$M164,$O164,$N164,$P164,$Q164-$C$3,$R164,9)/365)*$H164</f>
        <v>1397.9201882281943</v>
      </c>
      <c r="AE164">
        <f t="shared" si="198"/>
        <v>0</v>
      </c>
      <c r="AF164" s="456">
        <f t="shared" si="199"/>
        <v>-8398.7300619829275</v>
      </c>
      <c r="AG164" s="456">
        <f>((_xll.xSPRDOPT($L164,$J164,$I164,$M164,$O164,$N164,$P164,$Q164-$C$3,$R164,6)*$H164)/100)</f>
        <v>2389.6532145765655</v>
      </c>
      <c r="AH164" s="456">
        <f>((_xll.xSPRDOPT($L164,$J164,$I164,$M164,$O164,$N164,$P164,$Q164-$C$3,$R164,5)*$H164)/100)</f>
        <v>-9386.3687097819366</v>
      </c>
      <c r="AI164" s="456">
        <f>(((_xll.xSPRDOPT($L164,$J164,$I164,$M164,$O164,$N164,$P164,$Q164-$C$3,$R164,4)*$H164)/10000)/100)-AB164</f>
        <v>-6.176092618014295E-2</v>
      </c>
      <c r="AJ164" s="456"/>
      <c r="AK164" s="456"/>
      <c r="AL164" s="456"/>
      <c r="AM164" s="472"/>
      <c r="AN164" s="41">
        <f t="shared" si="203"/>
        <v>41518</v>
      </c>
      <c r="AO164" s="43">
        <f t="shared" si="221"/>
        <v>0</v>
      </c>
      <c r="AP164" s="43">
        <f t="shared" si="221"/>
        <v>0</v>
      </c>
      <c r="AQ164" s="43">
        <f t="shared" si="221"/>
        <v>0</v>
      </c>
      <c r="AR164" s="43">
        <f t="shared" si="221"/>
        <v>0</v>
      </c>
      <c r="AS164" s="43">
        <f t="shared" si="221"/>
        <v>0</v>
      </c>
      <c r="AT164" s="43">
        <f t="shared" si="221"/>
        <v>0</v>
      </c>
      <c r="AU164" s="43">
        <f t="shared" si="221"/>
        <v>0</v>
      </c>
      <c r="AV164" s="43">
        <f t="shared" si="221"/>
        <v>0</v>
      </c>
      <c r="AW164" s="43">
        <f t="shared" si="221"/>
        <v>0</v>
      </c>
      <c r="AX164" s="43">
        <f t="shared" si="221"/>
        <v>0</v>
      </c>
      <c r="AY164" s="43">
        <f t="shared" si="221"/>
        <v>0</v>
      </c>
      <c r="AZ164" s="43">
        <f t="shared" si="221"/>
        <v>0</v>
      </c>
      <c r="BA164" s="44">
        <f t="shared" si="221"/>
        <v>0</v>
      </c>
      <c r="BB164" s="41">
        <f t="shared" si="204"/>
        <v>41518</v>
      </c>
      <c r="BC164" s="44">
        <f t="shared" si="205"/>
        <v>0</v>
      </c>
      <c r="BE164" s="41">
        <f t="shared" si="206"/>
        <v>41518</v>
      </c>
      <c r="BF164" s="43">
        <f t="shared" si="222"/>
        <v>0</v>
      </c>
      <c r="BG164" s="43">
        <f t="shared" si="222"/>
        <v>0</v>
      </c>
      <c r="BH164" s="43">
        <f t="shared" si="222"/>
        <v>0</v>
      </c>
      <c r="BI164" s="43">
        <f t="shared" si="222"/>
        <v>0</v>
      </c>
      <c r="BJ164" s="43">
        <f t="shared" si="222"/>
        <v>0</v>
      </c>
      <c r="BK164" s="43">
        <f t="shared" si="222"/>
        <v>0</v>
      </c>
      <c r="BL164" s="43">
        <f t="shared" si="222"/>
        <v>0</v>
      </c>
      <c r="BM164" s="43">
        <f t="shared" si="222"/>
        <v>0</v>
      </c>
      <c r="BN164" s="43">
        <f t="shared" si="222"/>
        <v>0</v>
      </c>
      <c r="BO164" s="43">
        <f t="shared" si="222"/>
        <v>0</v>
      </c>
      <c r="BP164" s="43">
        <f t="shared" si="222"/>
        <v>0</v>
      </c>
      <c r="BQ164" s="43">
        <f t="shared" si="222"/>
        <v>0</v>
      </c>
      <c r="BR164" s="44">
        <f t="shared" si="222"/>
        <v>0</v>
      </c>
      <c r="BS164" s="41">
        <f t="shared" si="207"/>
        <v>41518</v>
      </c>
      <c r="BT164" s="44">
        <f t="shared" si="208"/>
        <v>0</v>
      </c>
      <c r="CC164" s="141">
        <f t="shared" si="226"/>
        <v>36923</v>
      </c>
      <c r="CD164" s="234">
        <f>_xll.xSPRDOPT((VLOOKUP(G164,NGPrices,2,FALSE)+HLOOKUP(D164,Prices,VLOOKUP(G164,move_down,2,FALSE),FALSE)),VLOOKUP(G164,NGPrices,2,FALSE),I164,VLOOKUP(G164,NGPREVPRICES,4,FALSE),HLOOKUP(D164,PREVVOLS,VLOOKUP(G164,MOVE_DOWN2,2,FALSE),FALSE),VLOOKUP(G164,NGPREVPRICES,3,FALSE),HLOOKUP(D164,Correllate,VLOOKUP(G164,CorMove,2,FALSE),FALSE),Q164-$CD$3,R164,$CD$5)*H164-CJ164</f>
        <v>0</v>
      </c>
      <c r="CE164" s="234">
        <f>_xll.xSPRDOPT((VLOOKUP(G164,NGPREVPRICES,2,FALSE)+HLOOKUP(D164,PREVCURVES,VLOOKUP(G164,MOVE_DOWN2,2,FALSE),FALSE)),VLOOKUP(G164,NGPREVPRICES,2,FALSE),CK164,VLOOKUP(G164,NGPrices,4,FALSE),HLOOKUP(D164,PREVVOLS,VLOOKUP(G164,MOVE_DOWN2,2,FALSE),FALSE),VLOOKUP(G164,NGPREVPRICES,3,FALSE),HLOOKUP(D164,Correllate,VLOOKUP(G164,CorMove,2,FALSE),FALSE),Q164-$CD$3,R164,$CJ$5)*H164-CJ164</f>
        <v>0</v>
      </c>
      <c r="CF164" s="10">
        <f t="shared" si="223"/>
        <v>221.59910771716386</v>
      </c>
      <c r="CG164" s="234">
        <f>_xll.xSPRDOPT((VLOOKUP(G164,NGPREVPRICES,2,FALSE)+HLOOKUP(D164,PREVCURVES,VLOOKUP(G164,MOVE_DOWN2,2,FALSE),FALSE)),VLOOKUP(G164,NGPREVPRICES,2,FALSE),CK164,VLOOKUP(G164,NGPREVPRICES,4,FALSE),HLOOKUP(D164,VOLS,VLOOKUP(G164,move_down,2,FALSE),FALSE),VLOOKUP(G164,NGPrices,3,FALSE),HLOOKUP(D164,Correllate,VLOOKUP(G164,CorMove,2,FALSE),FALSE),Q164-$CD$3,R164,$CJ$5)*H164-CJ164</f>
        <v>0</v>
      </c>
      <c r="CH164" s="234">
        <f>_xll.xSPRDOPT((VLOOKUP(G164,NGPREVPRICES,2,FALSE)+HLOOKUP(D164,PREVCURVES,VLOOKUP(G164,MOVE_DOWN2,2,FALSE),FALSE)),VLOOKUP(G164,NGPREVPRICES,2,FALSE),CK164,VLOOKUP(G164,NGPREVPRICES,4,FALSE),HLOOKUP(D164,PREVVOLS,VLOOKUP(G164,MOVE_DOWN2,2,FALSE),FALSE),VLOOKUP(G164,NGPREVPRICES,3,FALSE),HLOOKUP(D164,Correllate,VLOOKUP(G164,CorMove,2,FALSE),FALSE),Q164-$C$3,R164,$CJ$5)*H164-CJ164</f>
        <v>1395.0056811438408</v>
      </c>
      <c r="CI164" s="234">
        <f t="shared" si="224"/>
        <v>1616.6047888610046</v>
      </c>
      <c r="CJ164" s="234">
        <f>_xll.xSPRDOPT((VLOOKUP(G164,NGPREVPRICES,2,FALSE)+HLOOKUP(D164,PREVCURVES,VLOOKUP(G164,MOVE_DOWN2,2,FALSE),FALSE)),VLOOKUP(G164,NGPREVPRICES,2,FALSE),CK164,VLOOKUP(G164,NGPREVPRICES,4,FALSE),HLOOKUP(D164,PREVVOLS,VLOOKUP(G164,MOVE_DOWN2,2,FALSE),FALSE),VLOOKUP(G164,NGPREVPRICES,3,FALSE),HLOOKUP(D164,Correllate,VLOOKUP(G164,CorMove,2,FALSE),FALSE),Q164-$CD$3,R164,$CJ$5)*H164</f>
        <v>-1165155.3454138159</v>
      </c>
      <c r="CK164" s="235">
        <f t="shared" si="227"/>
        <v>1.1499999999999999</v>
      </c>
      <c r="CL164" s="234"/>
      <c r="CM164" t="str">
        <f t="shared" si="225"/>
        <v>36923Curve Shift/Gamma</v>
      </c>
      <c r="CN164" t="str">
        <f t="shared" si="176"/>
        <v>36923Rho</v>
      </c>
      <c r="CO164" t="str">
        <f t="shared" si="177"/>
        <v>36923Drift</v>
      </c>
      <c r="CP164" t="str">
        <f t="shared" si="178"/>
        <v>36923Vega</v>
      </c>
      <c r="CQ164" t="str">
        <f t="shared" si="179"/>
        <v>36923Theta</v>
      </c>
    </row>
    <row r="165" spans="1:95" ht="12" customHeight="1" x14ac:dyDescent="0.25">
      <c r="A165" s="382" t="s">
        <v>279</v>
      </c>
      <c r="B165" t="s">
        <v>250</v>
      </c>
      <c r="C165" t="s">
        <v>347</v>
      </c>
      <c r="D165" s="4" t="s">
        <v>7</v>
      </c>
      <c r="E165" t="s">
        <v>20</v>
      </c>
      <c r="F165" t="s">
        <v>21</v>
      </c>
      <c r="G165" s="5">
        <v>36892</v>
      </c>
      <c r="H165" s="130">
        <v>-1000000</v>
      </c>
      <c r="I165">
        <v>1.1499999999999999</v>
      </c>
      <c r="J165" s="53">
        <f t="shared" si="200"/>
        <v>4.7439999999999998</v>
      </c>
      <c r="K165" s="7">
        <f t="shared" si="201"/>
        <v>2.17</v>
      </c>
      <c r="L165" s="53">
        <f t="shared" si="202"/>
        <v>6.9139999999999997</v>
      </c>
      <c r="M165" s="157">
        <f t="shared" si="217"/>
        <v>6.8374831148490994E-2</v>
      </c>
      <c r="N165" s="4">
        <f t="shared" si="218"/>
        <v>0.60499999999999998</v>
      </c>
      <c r="O165" s="4">
        <f t="shared" si="219"/>
        <v>0.69599999999999995</v>
      </c>
      <c r="P165" s="9">
        <f t="shared" si="220"/>
        <v>0.83</v>
      </c>
      <c r="Q165" s="5">
        <f t="shared" si="194"/>
        <v>36888</v>
      </c>
      <c r="R165" s="4">
        <f t="shared" si="186"/>
        <v>1</v>
      </c>
      <c r="S165" s="158">
        <f>_xll.xSPRDOPT($L165,$J165,$I165,$M165,$O165,$N165,$P165,$Q165-$C$3,$R165,0)</f>
        <v>1.2038189306132381</v>
      </c>
      <c r="T165" s="159">
        <f>_xll.xSPRDOPT($L165,$J165,$I165,$M165,$O165,$N165,$P165,$Q165-$C$3,$R165,1)*H165</f>
        <v>-773665.12061825604</v>
      </c>
      <c r="U165" s="160">
        <f t="shared" si="187"/>
        <v>-1203818.9306132381</v>
      </c>
      <c r="V165" s="159">
        <f>_xll.xSPRDOPT($L165,$J165,$I165,$M165,$O165,$N165,$P165,$Q165-$C$3,$R165,2)*H165</f>
        <v>708854.16760678065</v>
      </c>
      <c r="W165" s="159">
        <f t="shared" si="188"/>
        <v>-64810.953011475387</v>
      </c>
      <c r="X165" s="51" t="str">
        <f t="shared" si="195"/>
        <v>36892IF-TRANSCO/Z6</v>
      </c>
      <c r="Y165" s="418">
        <f t="shared" si="196"/>
        <v>-100</v>
      </c>
      <c r="Z165" s="456">
        <f t="shared" si="197"/>
        <v>0.7736651206182561</v>
      </c>
      <c r="AA165" s="456">
        <f>_xll.xSPRDOPT($L165,$J165,$I165,$M165,$O165,$N165,$P165,$Q165-$C$3,$R165,3)</f>
        <v>0.17621191536190761</v>
      </c>
      <c r="AB165" s="456">
        <f>((_xll.xSPRDOPT($L165+AB$5,$J165,$I165,$M165,$O165,$N165,$P165,$Q165-$C$3,$R165,3)*$H165)/10000)/100</f>
        <v>-0.17621191536190761</v>
      </c>
      <c r="AC165" s="456">
        <f>((_xll.xSPRDOPT($L165+$AB$5,$J165,$I165,$M165,$O165,$N165,$P165,$Q165-$C$3,$R165,7)*$H165)/100)</f>
        <v>9382.8740556956182</v>
      </c>
      <c r="AD165" s="456">
        <f>(_xll.xSPRDOPT($L165+$AB$5,$J165,$I165,$M165,$O165,$N165,$P165,$Q165-$C$3,$R165,9)/365)*$H165</f>
        <v>1629.5426747658421</v>
      </c>
      <c r="AE165">
        <f t="shared" si="198"/>
        <v>0</v>
      </c>
      <c r="AF165" s="456">
        <f t="shared" si="199"/>
        <v>-7415.1292688953672</v>
      </c>
      <c r="AG165" s="456">
        <f>((_xll.xSPRDOPT($L165,$J165,$I165,$M165,$O165,$N165,$P165,$Q165-$C$3,$R165,6)*$H165)/100)</f>
        <v>2056.110145501505</v>
      </c>
      <c r="AH165" s="456">
        <f>((_xll.xSPRDOPT($L165,$J165,$I165,$M165,$O165,$N165,$P165,$Q165-$C$3,$R165,5)*$H165)/100)</f>
        <v>-8232.902077169696</v>
      </c>
      <c r="AI165" s="456">
        <f>(((_xll.xSPRDOPT($L165,$J165,$I165,$M165,$O165,$N165,$P165,$Q165-$C$3,$R165,4)*$H165)/10000)/100)-AB165</f>
        <v>-6.3580259585084065E-2</v>
      </c>
      <c r="AJ165" s="456"/>
      <c r="AK165" s="456"/>
      <c r="AL165" s="456"/>
      <c r="AM165" s="472"/>
      <c r="AN165" s="41">
        <f t="shared" si="203"/>
        <v>41548</v>
      </c>
      <c r="AO165" s="43">
        <f t="shared" si="221"/>
        <v>0</v>
      </c>
      <c r="AP165" s="43">
        <f t="shared" si="221"/>
        <v>0</v>
      </c>
      <c r="AQ165" s="43">
        <f t="shared" si="221"/>
        <v>0</v>
      </c>
      <c r="AR165" s="43">
        <f t="shared" si="221"/>
        <v>0</v>
      </c>
      <c r="AS165" s="43">
        <f t="shared" si="221"/>
        <v>0</v>
      </c>
      <c r="AT165" s="43">
        <f t="shared" si="221"/>
        <v>0</v>
      </c>
      <c r="AU165" s="43">
        <f t="shared" si="221"/>
        <v>0</v>
      </c>
      <c r="AV165" s="43">
        <f t="shared" si="221"/>
        <v>0</v>
      </c>
      <c r="AW165" s="43">
        <f t="shared" si="221"/>
        <v>0</v>
      </c>
      <c r="AX165" s="43">
        <f t="shared" si="221"/>
        <v>0</v>
      </c>
      <c r="AY165" s="43">
        <f t="shared" si="221"/>
        <v>0</v>
      </c>
      <c r="AZ165" s="43">
        <f t="shared" si="221"/>
        <v>0</v>
      </c>
      <c r="BA165" s="44">
        <f t="shared" si="221"/>
        <v>0</v>
      </c>
      <c r="BB165" s="41">
        <f t="shared" si="204"/>
        <v>41548</v>
      </c>
      <c r="BC165" s="44">
        <f t="shared" si="205"/>
        <v>0</v>
      </c>
      <c r="BE165" s="41">
        <f t="shared" si="206"/>
        <v>41548</v>
      </c>
      <c r="BF165" s="43">
        <f t="shared" si="222"/>
        <v>0</v>
      </c>
      <c r="BG165" s="43">
        <f t="shared" si="222"/>
        <v>0</v>
      </c>
      <c r="BH165" s="43">
        <f t="shared" si="222"/>
        <v>0</v>
      </c>
      <c r="BI165" s="43">
        <f t="shared" si="222"/>
        <v>0</v>
      </c>
      <c r="BJ165" s="43">
        <f t="shared" si="222"/>
        <v>0</v>
      </c>
      <c r="BK165" s="43">
        <f t="shared" si="222"/>
        <v>0</v>
      </c>
      <c r="BL165" s="43">
        <f t="shared" si="222"/>
        <v>0</v>
      </c>
      <c r="BM165" s="43">
        <f t="shared" si="222"/>
        <v>0</v>
      </c>
      <c r="BN165" s="43">
        <f t="shared" si="222"/>
        <v>0</v>
      </c>
      <c r="BO165" s="43">
        <f t="shared" si="222"/>
        <v>0</v>
      </c>
      <c r="BP165" s="43">
        <f t="shared" si="222"/>
        <v>0</v>
      </c>
      <c r="BQ165" s="43">
        <f t="shared" si="222"/>
        <v>0</v>
      </c>
      <c r="BR165" s="44">
        <f t="shared" si="222"/>
        <v>0</v>
      </c>
      <c r="BS165" s="41">
        <f t="shared" si="207"/>
        <v>41548</v>
      </c>
      <c r="BT165" s="44">
        <f t="shared" si="208"/>
        <v>0</v>
      </c>
      <c r="CC165" s="141">
        <f t="shared" si="226"/>
        <v>36892</v>
      </c>
      <c r="CD165" s="234">
        <f>_xll.xSPRDOPT((VLOOKUP(G165,NGPrices,2,FALSE)+HLOOKUP(D165,Prices,VLOOKUP(G165,move_down,2,FALSE),FALSE)),VLOOKUP(G165,NGPrices,2,FALSE),I165,VLOOKUP(G165,NGPREVPRICES,4,FALSE),HLOOKUP(D165,PREVVOLS,VLOOKUP(G165,MOVE_DOWN2,2,FALSE),FALSE),VLOOKUP(G165,NGPREVPRICES,3,FALSE),HLOOKUP(D165,Correllate,VLOOKUP(G165,CorMove,2,FALSE),FALSE),Q165-$CD$3,R165,$CD$5)*H165-CJ165</f>
        <v>0</v>
      </c>
      <c r="CE165" s="234">
        <f>_xll.xSPRDOPT((VLOOKUP(G165,NGPREVPRICES,2,FALSE)+HLOOKUP(D165,PREVCURVES,VLOOKUP(G165,MOVE_DOWN2,2,FALSE),FALSE)),VLOOKUP(G165,NGPREVPRICES,2,FALSE),CK165,VLOOKUP(G165,NGPrices,4,FALSE),HLOOKUP(D165,PREVVOLS,VLOOKUP(G165,MOVE_DOWN2,2,FALSE),FALSE),VLOOKUP(G165,NGPREVPRICES,3,FALSE),HLOOKUP(D165,Correllate,VLOOKUP(G165,CorMove,2,FALSE),FALSE),Q165-$CD$3,R165,$CJ$5)*H165-CJ165</f>
        <v>0</v>
      </c>
      <c r="CF165" s="10">
        <f t="shared" si="223"/>
        <v>227.15546441730112</v>
      </c>
      <c r="CG165" s="234">
        <f>_xll.xSPRDOPT((VLOOKUP(G165,NGPREVPRICES,2,FALSE)+HLOOKUP(D165,PREVCURVES,VLOOKUP(G165,MOVE_DOWN2,2,FALSE),FALSE)),VLOOKUP(G165,NGPREVPRICES,2,FALSE),CK165,VLOOKUP(G165,NGPREVPRICES,4,FALSE),HLOOKUP(D165,VOLS,VLOOKUP(G165,move_down,2,FALSE),FALSE),VLOOKUP(G165,NGPrices,3,FALSE),HLOOKUP(D165,Correllate,VLOOKUP(G165,CorMove,2,FALSE),FALSE),Q165-$CD$3,R165,$CJ$5)*H165-CJ165</f>
        <v>0</v>
      </c>
      <c r="CH165" s="234">
        <f>_xll.xSPRDOPT((VLOOKUP(G165,NGPREVPRICES,2,FALSE)+HLOOKUP(D165,PREVCURVES,VLOOKUP(G165,MOVE_DOWN2,2,FALSE),FALSE)),VLOOKUP(G165,NGPREVPRICES,2,FALSE),CK165,VLOOKUP(G165,NGPREVPRICES,4,FALSE),HLOOKUP(D165,PREVVOLS,VLOOKUP(G165,MOVE_DOWN2,2,FALSE),FALSE),VLOOKUP(G165,NGPREVPRICES,3,FALSE),HLOOKUP(D165,Correllate,VLOOKUP(G165,CorMove,2,FALSE),FALSE),Q165-$C$3,R165,$CJ$5)*H165-CJ165</f>
        <v>1626.0973562670406</v>
      </c>
      <c r="CI165" s="234">
        <f t="shared" si="224"/>
        <v>1853.2528206843417</v>
      </c>
      <c r="CJ165" s="234">
        <f>_xll.xSPRDOPT((VLOOKUP(G165,NGPREVPRICES,2,FALSE)+HLOOKUP(D165,PREVCURVES,VLOOKUP(G165,MOVE_DOWN2,2,FALSE),FALSE)),VLOOKUP(G165,NGPREVPRICES,2,FALSE),CK165,VLOOKUP(G165,NGPREVPRICES,4,FALSE),HLOOKUP(D165,PREVVOLS,VLOOKUP(G165,MOVE_DOWN2,2,FALSE),FALSE),VLOOKUP(G165,NGPREVPRICES,3,FALSE),HLOOKUP(D165,Correllate,VLOOKUP(G165,CorMove,2,FALSE),FALSE),Q165-$CD$3,R165,$CJ$5)*H165</f>
        <v>-1205445.0279695052</v>
      </c>
      <c r="CK165" s="235">
        <f t="shared" si="227"/>
        <v>1.1499999999999999</v>
      </c>
      <c r="CL165" s="234"/>
      <c r="CM165" t="str">
        <f t="shared" si="225"/>
        <v>36892Curve Shift/Gamma</v>
      </c>
      <c r="CN165" t="str">
        <f t="shared" si="176"/>
        <v>36892Rho</v>
      </c>
      <c r="CO165" t="str">
        <f t="shared" si="177"/>
        <v>36892Drift</v>
      </c>
      <c r="CP165" t="str">
        <f t="shared" si="178"/>
        <v>36892Vega</v>
      </c>
      <c r="CQ165" t="str">
        <f t="shared" si="179"/>
        <v>36892Theta</v>
      </c>
    </row>
    <row r="166" spans="1:95" ht="12" customHeight="1" x14ac:dyDescent="0.25">
      <c r="A166" s="382" t="s">
        <v>279</v>
      </c>
      <c r="B166" t="s">
        <v>250</v>
      </c>
      <c r="C166" t="s">
        <v>347</v>
      </c>
      <c r="D166" s="4" t="s">
        <v>7</v>
      </c>
      <c r="E166" t="s">
        <v>20</v>
      </c>
      <c r="F166" t="s">
        <v>21</v>
      </c>
      <c r="G166" s="5">
        <v>36861</v>
      </c>
      <c r="H166" s="130">
        <v>-1000000</v>
      </c>
      <c r="I166">
        <v>1.1499999999999999</v>
      </c>
      <c r="J166" s="53">
        <f t="shared" si="200"/>
        <v>4.8</v>
      </c>
      <c r="K166" s="7">
        <f t="shared" si="201"/>
        <v>1.645</v>
      </c>
      <c r="L166" s="53">
        <f t="shared" si="202"/>
        <v>6.4450000000000003</v>
      </c>
      <c r="M166" s="157">
        <f t="shared" si="217"/>
        <v>6.8314027999354002E-2</v>
      </c>
      <c r="N166" s="4">
        <f t="shared" si="218"/>
        <v>0.6</v>
      </c>
      <c r="O166" s="4">
        <f t="shared" si="219"/>
        <v>0.69</v>
      </c>
      <c r="P166" s="9">
        <f t="shared" si="220"/>
        <v>0.83</v>
      </c>
      <c r="Q166" s="5">
        <f t="shared" si="194"/>
        <v>36859</v>
      </c>
      <c r="R166" s="4">
        <f t="shared" si="186"/>
        <v>1</v>
      </c>
      <c r="S166" s="158">
        <f>_xll.xSPRDOPT($L166,$J166,$I166,$M166,$O166,$N166,$P166,$Q166-$C$3,$R166,0)</f>
        <v>0.76336341489400872</v>
      </c>
      <c r="T166" s="159">
        <f>_xll.xSPRDOPT($L166,$J166,$I166,$M166,$O166,$N166,$P166,$Q166-$C$3,$R166,1)*H166</f>
        <v>-680970.14776427147</v>
      </c>
      <c r="U166" s="160">
        <f t="shared" si="187"/>
        <v>-763363.41489400878</v>
      </c>
      <c r="V166" s="159">
        <f>_xll.xSPRDOPT($L166,$J166,$I166,$M166,$O166,$N166,$P166,$Q166-$C$3,$R166,2)*H166</f>
        <v>614444.09374067257</v>
      </c>
      <c r="W166" s="159">
        <f t="shared" si="188"/>
        <v>-66526.054023598903</v>
      </c>
      <c r="X166" s="51" t="str">
        <f t="shared" si="195"/>
        <v>36861IF-TRANSCO/Z6</v>
      </c>
      <c r="Y166" s="418">
        <f t="shared" si="196"/>
        <v>-100</v>
      </c>
      <c r="Z166" s="456">
        <f t="shared" si="197"/>
        <v>0.68097014776427145</v>
      </c>
      <c r="AA166" s="456">
        <f>_xll.xSPRDOPT($L166,$J166,$I166,$M166,$O166,$N166,$P166,$Q166-$C$3,$R166,3)</f>
        <v>0.26984689871019807</v>
      </c>
      <c r="AB166" s="456">
        <f>((_xll.xSPRDOPT($L166+AB$5,$J166,$I166,$M166,$O166,$N166,$P166,$Q166-$C$3,$R166,3)*$H166)/10000)/100</f>
        <v>-0.26984689871019807</v>
      </c>
      <c r="AC166" s="456">
        <f>((_xll.xSPRDOPT($L166+$AB$5,$J166,$I166,$M166,$O166,$N166,$P166,$Q166-$C$3,$R166,7)*$H166)/100)</f>
        <v>9401.9174601199029</v>
      </c>
      <c r="AD166" s="456">
        <f>(_xll.xSPRDOPT($L166+$AB$5,$J166,$I166,$M166,$O166,$N166,$P166,$Q166-$C$3,$R166,9)/365)*$H166</f>
        <v>2267.8359843348899</v>
      </c>
      <c r="AE166">
        <f t="shared" si="198"/>
        <v>0</v>
      </c>
      <c r="AF166" s="456">
        <f t="shared" si="199"/>
        <v>-7387.7789340855015</v>
      </c>
      <c r="AG166" s="456">
        <f>((_xll.xSPRDOPT($L166,$J166,$I166,$M166,$O166,$N166,$P166,$Q166-$C$3,$R166,6)*$H166)/100)</f>
        <v>2009.334084619662</v>
      </c>
      <c r="AH166" s="456">
        <f>((_xll.xSPRDOPT($L166,$J166,$I166,$M166,$O166,$N166,$P166,$Q166-$C$3,$R166,5)*$H166)/100)</f>
        <v>-8171.4026249610133</v>
      </c>
      <c r="AI166" s="456">
        <f>(((_xll.xSPRDOPT($L166,$J166,$I166,$M166,$O166,$N166,$P166,$Q166-$C$3,$R166,4)*$H166)/10000)/100)-AB166</f>
        <v>-4.5963185344268187E-2</v>
      </c>
      <c r="AJ166" s="456"/>
      <c r="AK166" s="456"/>
      <c r="AL166" s="456"/>
      <c r="AM166" s="472"/>
      <c r="AN166" s="41">
        <f t="shared" si="203"/>
        <v>41579</v>
      </c>
      <c r="AO166" s="43">
        <f t="shared" si="221"/>
        <v>0</v>
      </c>
      <c r="AP166" s="43">
        <f t="shared" si="221"/>
        <v>0</v>
      </c>
      <c r="AQ166" s="43">
        <f t="shared" si="221"/>
        <v>0</v>
      </c>
      <c r="AR166" s="43">
        <f t="shared" si="221"/>
        <v>0</v>
      </c>
      <c r="AS166" s="43">
        <f t="shared" si="221"/>
        <v>0</v>
      </c>
      <c r="AT166" s="43">
        <f t="shared" si="221"/>
        <v>0</v>
      </c>
      <c r="AU166" s="43">
        <f t="shared" si="221"/>
        <v>0</v>
      </c>
      <c r="AV166" s="43">
        <f t="shared" si="221"/>
        <v>0</v>
      </c>
      <c r="AW166" s="43">
        <f t="shared" si="221"/>
        <v>0</v>
      </c>
      <c r="AX166" s="43">
        <f t="shared" si="221"/>
        <v>0</v>
      </c>
      <c r="AY166" s="43">
        <f t="shared" si="221"/>
        <v>0</v>
      </c>
      <c r="AZ166" s="43">
        <f t="shared" si="221"/>
        <v>0</v>
      </c>
      <c r="BA166" s="44">
        <f t="shared" si="221"/>
        <v>0</v>
      </c>
      <c r="BB166" s="41">
        <f t="shared" si="204"/>
        <v>41579</v>
      </c>
      <c r="BC166" s="44">
        <f t="shared" si="205"/>
        <v>0</v>
      </c>
      <c r="BE166" s="41">
        <f t="shared" si="206"/>
        <v>41579</v>
      </c>
      <c r="BF166" s="43">
        <f t="shared" si="222"/>
        <v>0</v>
      </c>
      <c r="BG166" s="43">
        <f t="shared" si="222"/>
        <v>0</v>
      </c>
      <c r="BH166" s="43">
        <f t="shared" si="222"/>
        <v>0</v>
      </c>
      <c r="BI166" s="43">
        <f t="shared" si="222"/>
        <v>0</v>
      </c>
      <c r="BJ166" s="43">
        <f t="shared" si="222"/>
        <v>0</v>
      </c>
      <c r="BK166" s="43">
        <f t="shared" si="222"/>
        <v>0</v>
      </c>
      <c r="BL166" s="43">
        <f t="shared" si="222"/>
        <v>0</v>
      </c>
      <c r="BM166" s="43">
        <f t="shared" si="222"/>
        <v>0</v>
      </c>
      <c r="BN166" s="43">
        <f t="shared" si="222"/>
        <v>0</v>
      </c>
      <c r="BO166" s="43">
        <f t="shared" si="222"/>
        <v>0</v>
      </c>
      <c r="BP166" s="43">
        <f t="shared" si="222"/>
        <v>0</v>
      </c>
      <c r="BQ166" s="43">
        <f t="shared" si="222"/>
        <v>0</v>
      </c>
      <c r="BR166" s="44">
        <f t="shared" si="222"/>
        <v>0</v>
      </c>
      <c r="BS166" s="41">
        <f t="shared" si="207"/>
        <v>41579</v>
      </c>
      <c r="BT166" s="44">
        <f t="shared" si="208"/>
        <v>0</v>
      </c>
      <c r="CC166" s="141">
        <f t="shared" si="226"/>
        <v>36861</v>
      </c>
      <c r="CD166" s="234">
        <f>_xll.xSPRDOPT((VLOOKUP(G166,NGPrices,2,FALSE)+HLOOKUP(D166,Prices,VLOOKUP(G166,move_down,2,FALSE),FALSE)),VLOOKUP(G166,NGPrices,2,FALSE),I166,VLOOKUP(G166,NGPREVPRICES,4,FALSE),HLOOKUP(D166,PREVVOLS,VLOOKUP(G166,MOVE_DOWN2,2,FALSE),FALSE),VLOOKUP(G166,NGPREVPRICES,3,FALSE),HLOOKUP(D166,Correllate,VLOOKUP(G166,CorMove,2,FALSE),FALSE),Q166-$CD$3,R166,$CD$5)*H166-CJ166</f>
        <v>0</v>
      </c>
      <c r="CE166" s="234">
        <f>_xll.xSPRDOPT((VLOOKUP(G166,NGPREVPRICES,2,FALSE)+HLOOKUP(D166,PREVCURVES,VLOOKUP(G166,MOVE_DOWN2,2,FALSE),FALSE)),VLOOKUP(G166,NGPREVPRICES,2,FALSE),CK166,VLOOKUP(G166,NGPrices,4,FALSE),HLOOKUP(D166,PREVVOLS,VLOOKUP(G166,MOVE_DOWN2,2,FALSE),FALSE),VLOOKUP(G166,NGPREVPRICES,3,FALSE),HLOOKUP(D166,Correllate,VLOOKUP(G166,CorMove,2,FALSE),FALSE),Q166-$CD$3,R166,$CJ$5)*H166-CJ166</f>
        <v>0</v>
      </c>
      <c r="CF166" s="10">
        <f t="shared" si="223"/>
        <v>143.43037680606358</v>
      </c>
      <c r="CG166" s="234">
        <f>_xll.xSPRDOPT((VLOOKUP(G166,NGPREVPRICES,2,FALSE)+HLOOKUP(D166,PREVCURVES,VLOOKUP(G166,MOVE_DOWN2,2,FALSE),FALSE)),VLOOKUP(G166,NGPREVPRICES,2,FALSE),CK166,VLOOKUP(G166,NGPREVPRICES,4,FALSE),HLOOKUP(D166,VOLS,VLOOKUP(G166,move_down,2,FALSE),FALSE),VLOOKUP(G166,NGPrices,3,FALSE),HLOOKUP(D166,Correllate,VLOOKUP(G166,CorMove,2,FALSE),FALSE),Q166-$CD$3,R166,$CJ$5)*H166-CJ166</f>
        <v>0</v>
      </c>
      <c r="CH166" s="234">
        <f>_xll.xSPRDOPT((VLOOKUP(G166,NGPREVPRICES,2,FALSE)+HLOOKUP(D166,PREVCURVES,VLOOKUP(G166,MOVE_DOWN2,2,FALSE),FALSE)),VLOOKUP(G166,NGPREVPRICES,2,FALSE),CK166,VLOOKUP(G166,NGPREVPRICES,4,FALSE),HLOOKUP(D166,PREVVOLS,VLOOKUP(G166,MOVE_DOWN2,2,FALSE),FALSE),VLOOKUP(G166,NGPREVPRICES,3,FALSE),HLOOKUP(D166,Correllate,VLOOKUP(G166,CorMove,2,FALSE),FALSE),Q166-$C$3,R166,$CJ$5)*H166-CJ166</f>
        <v>2260.3584579650778</v>
      </c>
      <c r="CI166" s="234">
        <f t="shared" si="224"/>
        <v>2403.7888347711414</v>
      </c>
      <c r="CJ166" s="234">
        <f>_xll.xSPRDOPT((VLOOKUP(G166,NGPREVPRICES,2,FALSE)+HLOOKUP(D166,PREVCURVES,VLOOKUP(G166,MOVE_DOWN2,2,FALSE),FALSE)),VLOOKUP(G166,NGPREVPRICES,2,FALSE),CK166,VLOOKUP(G166,NGPREVPRICES,4,FALSE),HLOOKUP(D166,PREVVOLS,VLOOKUP(G166,MOVE_DOWN2,2,FALSE),FALSE),VLOOKUP(G166,NGPREVPRICES,3,FALSE),HLOOKUP(D166,Correllate,VLOOKUP(G166,CorMove,2,FALSE),FALSE),Q166-$CD$3,R166,$CJ$5)*H166</f>
        <v>-765623.77335197385</v>
      </c>
      <c r="CK166" s="235">
        <f t="shared" si="227"/>
        <v>1.1499999999999999</v>
      </c>
      <c r="CL166" s="234"/>
      <c r="CM166" t="str">
        <f t="shared" si="225"/>
        <v>36861Curve Shift/Gamma</v>
      </c>
      <c r="CN166" t="str">
        <f t="shared" si="176"/>
        <v>36861Rho</v>
      </c>
      <c r="CO166" t="str">
        <f t="shared" si="177"/>
        <v>36861Drift</v>
      </c>
      <c r="CP166" t="str">
        <f t="shared" si="178"/>
        <v>36861Vega</v>
      </c>
      <c r="CQ166" t="str">
        <f t="shared" si="179"/>
        <v>36861Theta</v>
      </c>
    </row>
    <row r="167" spans="1:95" ht="12" customHeight="1" thickBot="1" x14ac:dyDescent="0.3">
      <c r="A167" s="382" t="s">
        <v>279</v>
      </c>
      <c r="B167" t="s">
        <v>250</v>
      </c>
      <c r="C167" t="s">
        <v>347</v>
      </c>
      <c r="D167" s="4" t="s">
        <v>7</v>
      </c>
      <c r="E167" t="s">
        <v>20</v>
      </c>
      <c r="F167" t="s">
        <v>21</v>
      </c>
      <c r="G167" s="5">
        <v>36831</v>
      </c>
      <c r="H167" s="130">
        <v>-1000000</v>
      </c>
      <c r="I167">
        <v>1.1499999999999999</v>
      </c>
      <c r="J167" s="53">
        <f t="shared" si="200"/>
        <v>4.7359999999999998</v>
      </c>
      <c r="K167" s="7">
        <f t="shared" si="201"/>
        <v>0.77</v>
      </c>
      <c r="L167" s="53">
        <f t="shared" si="202"/>
        <v>5.5060000000000002</v>
      </c>
      <c r="M167" s="157">
        <f t="shared" si="217"/>
        <v>6.810675983792E-2</v>
      </c>
      <c r="N167" s="4">
        <f t="shared" si="218"/>
        <v>0.59499999999999997</v>
      </c>
      <c r="O167" s="4">
        <f t="shared" si="219"/>
        <v>0.625</v>
      </c>
      <c r="P167" s="9">
        <f t="shared" si="220"/>
        <v>0.89</v>
      </c>
      <c r="Q167" s="5">
        <f t="shared" si="194"/>
        <v>36829</v>
      </c>
      <c r="R167" s="4">
        <f t="shared" si="186"/>
        <v>1</v>
      </c>
      <c r="S167" s="158">
        <f>_xll.xSPRDOPT($L167,$J167,$I167,$M167,$O167,$N167,$P167,$Q167-$C$3,$R167,0)</f>
        <v>0.1252644448904148</v>
      </c>
      <c r="T167" s="159">
        <f>_xll.xSPRDOPT($L167,$J167,$I167,$M167,$O167,$N167,$P167,$Q167-$C$3,$R167,1)*H167</f>
        <v>-310108.6427444545</v>
      </c>
      <c r="U167" s="160">
        <f t="shared" si="187"/>
        <v>-125264.4448904148</v>
      </c>
      <c r="V167" s="159">
        <f>_xll.xSPRDOPT($L167,$J167,$I167,$M167,$O167,$N167,$P167,$Q167-$C$3,$R167,2)*H167</f>
        <v>272753.30029787315</v>
      </c>
      <c r="W167" s="159">
        <f t="shared" si="188"/>
        <v>-37355.342446581344</v>
      </c>
      <c r="X167" s="51" t="str">
        <f t="shared" ref="X167:X198" si="228">CONCATENATE(G167,D167)</f>
        <v>36831IF-TRANSCO/Z6</v>
      </c>
      <c r="Y167" s="418">
        <f t="shared" ref="Y167:Y198" si="229">H167/10000</f>
        <v>-100</v>
      </c>
      <c r="Z167" s="456">
        <f t="shared" ref="Z167:Z198" si="230">T167/H167</f>
        <v>0.31010864274445449</v>
      </c>
      <c r="AA167" s="456">
        <f>_xll.xSPRDOPT($L167,$J167,$I167,$M167,$O167,$N167,$P167,$Q167-$C$3,$R167,3)</f>
        <v>0.52444067857825138</v>
      </c>
      <c r="AB167" s="456">
        <f>((_xll.xSPRDOPT($L167+AB$5,$J167,$I167,$M167,$O167,$N167,$P167,$Q167-$C$3,$R167,3)*$H167)/10000)/100</f>
        <v>-0.52444067857825138</v>
      </c>
      <c r="AC167" s="456">
        <f>((_xll.xSPRDOPT($L167+$AB$5,$J167,$I167,$M167,$O167,$N167,$P167,$Q167-$C$3,$R167,7)*$H167)/100)</f>
        <v>8142.6866004537706</v>
      </c>
      <c r="AD167" s="456">
        <f>(_xll.xSPRDOPT($L167+$AB$5,$J167,$I167,$M167,$O167,$N167,$P167,$Q167-$C$3,$R167,9)/365)*$H167</f>
        <v>1872.6801948881071</v>
      </c>
      <c r="AE167">
        <f t="shared" si="198"/>
        <v>0</v>
      </c>
      <c r="AF167" s="456">
        <f t="shared" si="199"/>
        <v>-3948.7351616239384</v>
      </c>
      <c r="AG167" s="456">
        <f>((_xll.xSPRDOPT($L167,$J167,$I167,$M167,$O167,$N167,$P167,$Q167-$C$3,$R167,6)*$H167)/100)</f>
        <v>1589.3987641852609</v>
      </c>
      <c r="AH167" s="456">
        <f>((_xll.xSPRDOPT($L167,$J167,$I167,$M167,$O167,$N167,$P167,$Q167-$C$3,$R167,5)*$H167)/100)</f>
        <v>-5272.3034973703579</v>
      </c>
      <c r="AI167" s="456">
        <f>(((_xll.xSPRDOPT($L167,$J167,$I167,$M167,$O167,$N167,$P167,$Q167-$C$3,$R167,4)*$H167)/10000)/100)-AB167</f>
        <v>5.6954251745898854E-2</v>
      </c>
      <c r="AJ167" s="456"/>
      <c r="AK167" s="456"/>
      <c r="AL167" s="456"/>
      <c r="AM167" s="472"/>
      <c r="AN167" s="42">
        <f t="shared" si="203"/>
        <v>41609</v>
      </c>
      <c r="AO167" s="43">
        <f t="shared" si="221"/>
        <v>0</v>
      </c>
      <c r="AP167" s="43">
        <f t="shared" si="221"/>
        <v>0</v>
      </c>
      <c r="AQ167" s="43">
        <f t="shared" si="221"/>
        <v>0</v>
      </c>
      <c r="AR167" s="43">
        <f t="shared" si="221"/>
        <v>0</v>
      </c>
      <c r="AS167" s="43">
        <f t="shared" si="221"/>
        <v>0</v>
      </c>
      <c r="AT167" s="43">
        <f t="shared" si="221"/>
        <v>0</v>
      </c>
      <c r="AU167" s="43">
        <f t="shared" si="221"/>
        <v>0</v>
      </c>
      <c r="AV167" s="43">
        <f t="shared" si="221"/>
        <v>0</v>
      </c>
      <c r="AW167" s="43">
        <f t="shared" si="221"/>
        <v>0</v>
      </c>
      <c r="AX167" s="43">
        <f t="shared" si="221"/>
        <v>0</v>
      </c>
      <c r="AY167" s="43">
        <f t="shared" si="221"/>
        <v>0</v>
      </c>
      <c r="AZ167" s="43">
        <f t="shared" si="221"/>
        <v>0</v>
      </c>
      <c r="BA167" s="44">
        <f t="shared" si="221"/>
        <v>0</v>
      </c>
      <c r="BB167" s="42">
        <f t="shared" si="204"/>
        <v>41609</v>
      </c>
      <c r="BC167" s="44">
        <f t="shared" si="205"/>
        <v>0</v>
      </c>
      <c r="BE167" s="42">
        <f t="shared" si="206"/>
        <v>41609</v>
      </c>
      <c r="BF167" s="45">
        <f t="shared" si="222"/>
        <v>0</v>
      </c>
      <c r="BG167" s="45">
        <f t="shared" si="222"/>
        <v>0</v>
      </c>
      <c r="BH167" s="45">
        <f t="shared" si="222"/>
        <v>0</v>
      </c>
      <c r="BI167" s="45">
        <f t="shared" si="222"/>
        <v>0</v>
      </c>
      <c r="BJ167" s="45">
        <f t="shared" si="222"/>
        <v>0</v>
      </c>
      <c r="BK167" s="45">
        <f t="shared" si="222"/>
        <v>0</v>
      </c>
      <c r="BL167" s="45">
        <f t="shared" si="222"/>
        <v>0</v>
      </c>
      <c r="BM167" s="43">
        <f t="shared" si="222"/>
        <v>0</v>
      </c>
      <c r="BN167" s="43">
        <f t="shared" si="222"/>
        <v>0</v>
      </c>
      <c r="BO167" s="43">
        <f t="shared" si="222"/>
        <v>0</v>
      </c>
      <c r="BP167" s="43">
        <f t="shared" si="222"/>
        <v>0</v>
      </c>
      <c r="BQ167" s="43">
        <f t="shared" si="222"/>
        <v>0</v>
      </c>
      <c r="BR167" s="44">
        <f t="shared" si="222"/>
        <v>0</v>
      </c>
      <c r="BS167" s="42">
        <f t="shared" si="207"/>
        <v>41609</v>
      </c>
      <c r="BT167" s="44">
        <f t="shared" si="208"/>
        <v>0</v>
      </c>
      <c r="CC167" s="141">
        <f t="shared" si="226"/>
        <v>36831</v>
      </c>
      <c r="CD167" s="234">
        <f>_xll.xSPRDOPT((VLOOKUP(G167,NGPrices,2,FALSE)+HLOOKUP(D167,Prices,VLOOKUP(G167,move_down,2,FALSE),FALSE)),VLOOKUP(G167,NGPrices,2,FALSE),I167,VLOOKUP(G167,NGPREVPRICES,4,FALSE),HLOOKUP(D167,PREVVOLS,VLOOKUP(G167,MOVE_DOWN2,2,FALSE),FALSE),VLOOKUP(G167,NGPREVPRICES,3,FALSE),HLOOKUP(D167,Correllate,VLOOKUP(G167,CorMove,2,FALSE),FALSE),Q167-$CD$3,R167,$CD$5)*H167-CJ167</f>
        <v>0</v>
      </c>
      <c r="CE167" s="234">
        <f>_xll.xSPRDOPT((VLOOKUP(G167,NGPREVPRICES,2,FALSE)+HLOOKUP(D167,PREVCURVES,VLOOKUP(G167,MOVE_DOWN2,2,FALSE),FALSE)),VLOOKUP(G167,NGPREVPRICES,2,FALSE),CK167,VLOOKUP(G167,NGPrices,4,FALSE),HLOOKUP(D167,PREVVOLS,VLOOKUP(G167,MOVE_DOWN2,2,FALSE),FALSE),VLOOKUP(G167,NGPREVPRICES,3,FALSE),HLOOKUP(D167,Correllate,VLOOKUP(G167,CorMove,2,FALSE),FALSE),Q167-$CD$3,R167,$CJ$5)*H167-CJ167</f>
        <v>0</v>
      </c>
      <c r="CF167" s="10">
        <f t="shared" si="223"/>
        <v>23.60943178270827</v>
      </c>
      <c r="CG167" s="234">
        <f>_xll.xSPRDOPT((VLOOKUP(G167,NGPREVPRICES,2,FALSE)+HLOOKUP(D167,PREVCURVES,VLOOKUP(G167,MOVE_DOWN2,2,FALSE),FALSE)),VLOOKUP(G167,NGPREVPRICES,2,FALSE),CK167,VLOOKUP(G167,NGPREVPRICES,4,FALSE),HLOOKUP(D167,VOLS,VLOOKUP(G167,move_down,2,FALSE),FALSE),VLOOKUP(G167,NGPrices,3,FALSE),HLOOKUP(D167,Correllate,VLOOKUP(G167,CorMove,2,FALSE),FALSE),Q167-$CD$3,R167,$CJ$5)*H167-CJ167</f>
        <v>0</v>
      </c>
      <c r="CH167" s="234">
        <f>_xll.xSPRDOPT((VLOOKUP(G167,NGPREVPRICES,2,FALSE)+HLOOKUP(D167,PREVCURVES,VLOOKUP(G167,MOVE_DOWN2,2,FALSE),FALSE)),VLOOKUP(G167,NGPREVPRICES,2,FALSE),CK167,VLOOKUP(G167,NGPREVPRICES,4,FALSE),HLOOKUP(D167,PREVVOLS,VLOOKUP(G167,MOVE_DOWN2,2,FALSE),FALSE),VLOOKUP(G167,NGPREVPRICES,3,FALSE),HLOOKUP(D167,Correllate,VLOOKUP(G167,CorMove,2,FALSE),FALSE),Q167-$C$3,R167,$CJ$5)*H167-CJ167</f>
        <v>1865.7565644707211</v>
      </c>
      <c r="CI167" s="234">
        <f t="shared" si="224"/>
        <v>1889.3659962534293</v>
      </c>
      <c r="CJ167" s="234">
        <f>_xll.xSPRDOPT((VLOOKUP(G167,NGPREVPRICES,2,FALSE)+HLOOKUP(D167,PREVCURVES,VLOOKUP(G167,MOVE_DOWN2,2,FALSE),FALSE)),VLOOKUP(G167,NGPREVPRICES,2,FALSE),CK167,VLOOKUP(G167,NGPREVPRICES,4,FALSE),HLOOKUP(D167,PREVVOLS,VLOOKUP(G167,MOVE_DOWN2,2,FALSE),FALSE),VLOOKUP(G167,NGPREVPRICES,3,FALSE),HLOOKUP(D167,Correllate,VLOOKUP(G167,CorMove,2,FALSE),FALSE),Q167-$CD$3,R167,$CJ$5)*H167</f>
        <v>-127130.20145488552</v>
      </c>
      <c r="CK167" s="235">
        <f t="shared" si="227"/>
        <v>1.1499999999999999</v>
      </c>
      <c r="CL167" s="234"/>
      <c r="CM167" t="str">
        <f t="shared" si="225"/>
        <v>36831Curve Shift/Gamma</v>
      </c>
      <c r="CN167" t="str">
        <f t="shared" si="176"/>
        <v>36831Rho</v>
      </c>
      <c r="CO167" t="str">
        <f t="shared" si="177"/>
        <v>36831Drift</v>
      </c>
      <c r="CP167" t="str">
        <f t="shared" si="178"/>
        <v>36831Vega</v>
      </c>
      <c r="CQ167" t="str">
        <f t="shared" si="179"/>
        <v>36831Theta</v>
      </c>
    </row>
    <row r="168" spans="1:95" ht="12" customHeight="1" x14ac:dyDescent="0.25">
      <c r="A168" s="382" t="s">
        <v>348</v>
      </c>
      <c r="B168" t="s">
        <v>250</v>
      </c>
      <c r="C168" t="s">
        <v>349</v>
      </c>
      <c r="D168" s="4" t="s">
        <v>7</v>
      </c>
      <c r="E168" t="s">
        <v>20</v>
      </c>
      <c r="F168" t="s">
        <v>21</v>
      </c>
      <c r="G168" s="5">
        <v>36800</v>
      </c>
      <c r="H168" s="130">
        <v>-1000000</v>
      </c>
      <c r="I168">
        <v>0.32</v>
      </c>
      <c r="J168" s="53">
        <f t="shared" si="200"/>
        <v>4.6920000000000002</v>
      </c>
      <c r="K168" s="7">
        <f t="shared" si="201"/>
        <v>0.41499999999999998</v>
      </c>
      <c r="L168" s="53">
        <f t="shared" si="202"/>
        <v>5.1070000000000002</v>
      </c>
      <c r="M168" s="157">
        <f t="shared" ref="M168:M177" si="231">VLOOKUP(G168,NGPrices,4,FALSE)</f>
        <v>6.8050789414654006E-2</v>
      </c>
      <c r="N168" s="4">
        <f t="shared" ref="N168:N177" si="232">VLOOKUP(G168,NGPrices,3,FALSE)</f>
        <v>0.57499999999999996</v>
      </c>
      <c r="O168" s="4">
        <f t="shared" ref="O168:O177" si="233">HLOOKUP(D168,VOLS,VLOOKUP(G168,move_down,2,FALSE),FALSE)</f>
        <v>0.56399999999999995</v>
      </c>
      <c r="P168" s="9">
        <f t="shared" ref="P168:P177" si="234">HLOOKUP(D168,Correllate,VLOOKUP(G168,CorMove,2,FALSE),FALSE)</f>
        <v>0.99250000000000005</v>
      </c>
      <c r="Q168" s="5">
        <f t="shared" si="194"/>
        <v>36797</v>
      </c>
      <c r="R168" s="4">
        <f t="shared" ref="R168:R177" si="235">IF(F168="P",0,1)</f>
        <v>1</v>
      </c>
      <c r="S168" s="158">
        <f>_xll.xSPRDOPT($L168,$J168,$I168,$M168,$O168,$N168,$P168,$Q168-$C$3,$R168,0)</f>
        <v>0.10491825683788182</v>
      </c>
      <c r="T168" s="159">
        <f>_xll.xSPRDOPT($L168,$J168,$I168,$M168,$O168,$N168,$P168,$Q168-$C$3,$R168,1)*H168</f>
        <v>-816014.10172920895</v>
      </c>
      <c r="U168" s="160">
        <f t="shared" ref="U168:U177" si="236">S168*H168</f>
        <v>-104918.25683788183</v>
      </c>
      <c r="V168" s="159">
        <f>_xll.xSPRDOPT($L168,$J168,$I168,$M168,$O168,$N168,$P168,$Q168-$C$3,$R168,2)*H168</f>
        <v>811460.59400927764</v>
      </c>
      <c r="W168" s="159">
        <f t="shared" ref="W168:W177" si="237">+V168+T168</f>
        <v>-4553.5077199313091</v>
      </c>
      <c r="X168" s="51" t="str">
        <f t="shared" si="228"/>
        <v>36800IF-TRANSCO/Z6</v>
      </c>
      <c r="Y168" s="418">
        <f t="shared" si="229"/>
        <v>-100</v>
      </c>
      <c r="Z168" s="456">
        <f t="shared" si="230"/>
        <v>0.81601410172920896</v>
      </c>
      <c r="AA168" s="456">
        <f>_xll.xSPRDOPT($L168,$J168,$I168,$M168,$O168,$N168,$P168,$Q168-$C$3,$R168,3)</f>
        <v>2.4449078158410655</v>
      </c>
      <c r="AB168" s="456">
        <f>((_xll.xSPRDOPT($L168+AB$5,$J168,$I168,$M168,$O168,$N168,$P168,$Q168-$C$3,$R168,3)*$H168)/10000)/100</f>
        <v>-2.4449078158410655</v>
      </c>
      <c r="AC168" s="456">
        <f>((_xll.xSPRDOPT($L168+$AB$5,$J168,$I168,$M168,$O168,$N168,$P168,$Q168-$C$3,$R168,7)*$H168)/100)</f>
        <v>15857.303996484463</v>
      </c>
      <c r="AD168" s="456">
        <f>(_xll.xSPRDOPT($L168+$AB$5,$J168,$I168,$M168,$O168,$N168,$P168,$Q168-$C$3,$R168,9)/365)*$H168</f>
        <v>444.56814767185347</v>
      </c>
      <c r="AE168">
        <f t="shared" si="198"/>
        <v>0</v>
      </c>
      <c r="AF168" s="456">
        <f t="shared" si="199"/>
        <v>-483.97718513534414</v>
      </c>
      <c r="AG168" s="456">
        <f>((_xll.xSPRDOPT($L168,$J168,$I168,$M168,$O168,$N168,$P168,$Q168-$C$3,$R168,6)*$H168)/100)</f>
        <v>1119.3709705094579</v>
      </c>
      <c r="AH168" s="456">
        <f>((_xll.xSPRDOPT($L168,$J168,$I168,$M168,$O168,$N168,$P168,$Q168-$C$3,$R168,5)*$H168)/100)</f>
        <v>-1634.6191303116334</v>
      </c>
      <c r="AI168" s="456">
        <f>(((_xll.xSPRDOPT($L168,$J168,$I168,$M168,$O168,$N168,$P168,$Q168-$C$3,$R168,4)*$H168)/10000)/100)-AB168</f>
        <v>-7.9990770511661591E-2</v>
      </c>
      <c r="AJ168" s="456"/>
      <c r="AK168" s="456"/>
      <c r="AL168" s="456"/>
      <c r="AM168" s="472"/>
      <c r="CC168" s="141">
        <f t="shared" si="226"/>
        <v>36800</v>
      </c>
      <c r="CD168" s="234">
        <f>_xll.xSPRDOPT((VLOOKUP(G168,NGPrices,2,FALSE)+HLOOKUP(D168,Prices,VLOOKUP(G168,move_down,2,FALSE),FALSE)),VLOOKUP(G168,NGPrices,2,FALSE),I168,VLOOKUP(G168,NGPREVPRICES,4,FALSE),HLOOKUP(D168,PREVVOLS,VLOOKUP(G168,MOVE_DOWN2,2,FALSE),FALSE),VLOOKUP(G168,NGPREVPRICES,3,FALSE),HLOOKUP(D168,Correllate,VLOOKUP(G168,CorMove,2,FALSE),FALSE),Q168-$CD$3,R168,$CD$5)*H168-CJ168</f>
        <v>0</v>
      </c>
      <c r="CE168" s="234">
        <f>_xll.xSPRDOPT((VLOOKUP(G168,NGPREVPRICES,2,FALSE)+HLOOKUP(D168,PREVCURVES,VLOOKUP(G168,MOVE_DOWN2,2,FALSE),FALSE)),VLOOKUP(G168,NGPREVPRICES,2,FALSE),CK168,VLOOKUP(G168,NGPrices,4,FALSE),HLOOKUP(D168,PREVVOLS,VLOOKUP(G168,MOVE_DOWN2,2,FALSE),FALSE),VLOOKUP(G168,NGPREVPRICES,3,FALSE),HLOOKUP(D168,Correllate,VLOOKUP(G168,CorMove,2,FALSE),FALSE),Q168-$CD$3,R168,$CJ$5)*H168-CJ168</f>
        <v>0</v>
      </c>
      <c r="CF168" s="10">
        <f t="shared" si="223"/>
        <v>19.424040320489439</v>
      </c>
      <c r="CG168" s="234">
        <f>_xll.xSPRDOPT((VLOOKUP(G168,NGPREVPRICES,2,FALSE)+HLOOKUP(D168,PREVCURVES,VLOOKUP(G168,MOVE_DOWN2,2,FALSE),FALSE)),VLOOKUP(G168,NGPREVPRICES,2,FALSE),CK168,VLOOKUP(G168,NGPREVPRICES,4,FALSE),HLOOKUP(D168,VOLS,VLOOKUP(G168,move_down,2,FALSE),FALSE),VLOOKUP(G168,NGPrices,3,FALSE),HLOOKUP(D168,Correllate,VLOOKUP(G168,CorMove,2,FALSE),FALSE),Q168-$CD$3,R168,$CJ$5)*H168-CJ168</f>
        <v>0</v>
      </c>
      <c r="CH168" s="234">
        <f>_xll.xSPRDOPT((VLOOKUP(G168,NGPREVPRICES,2,FALSE)+HLOOKUP(D168,PREVCURVES,VLOOKUP(G168,MOVE_DOWN2,2,FALSE),FALSE)),VLOOKUP(G168,NGPREVPRICES,2,FALSE),CK168,VLOOKUP(G168,NGPREVPRICES,4,FALSE),HLOOKUP(D168,PREVVOLS,VLOOKUP(G168,MOVE_DOWN2,2,FALSE),FALSE),VLOOKUP(G168,NGPREVPRICES,3,FALSE),HLOOKUP(D168,Correllate,VLOOKUP(G168,CorMove,2,FALSE),FALSE),Q168-$C$3,R168,$CJ$5)*H168-CJ168</f>
        <v>443.47715302815777</v>
      </c>
      <c r="CI168" s="234">
        <f t="shared" si="224"/>
        <v>462.90119334864721</v>
      </c>
      <c r="CJ168" s="234">
        <f>_xll.xSPRDOPT((VLOOKUP(G168,NGPREVPRICES,2,FALSE)+HLOOKUP(D168,PREVCURVES,VLOOKUP(G168,MOVE_DOWN2,2,FALSE),FALSE)),VLOOKUP(G168,NGPREVPRICES,2,FALSE),CK168,VLOOKUP(G168,NGPREVPRICES,4,FALSE),HLOOKUP(D168,PREVVOLS,VLOOKUP(G168,MOVE_DOWN2,2,FALSE),FALSE),VLOOKUP(G168,NGPREVPRICES,3,FALSE),HLOOKUP(D168,Correllate,VLOOKUP(G168,CorMove,2,FALSE),FALSE),Q168-$CD$3,R168,$CJ$5)*H168</f>
        <v>-105361.73399090998</v>
      </c>
      <c r="CK168" s="235">
        <f t="shared" si="227"/>
        <v>0.32</v>
      </c>
      <c r="CL168" s="234"/>
      <c r="CM168" t="str">
        <f t="shared" si="225"/>
        <v>36800Curve Shift/Gamma</v>
      </c>
      <c r="CN168" t="str">
        <f t="shared" si="176"/>
        <v>36800Rho</v>
      </c>
      <c r="CO168" t="str">
        <f t="shared" si="177"/>
        <v>36800Drift</v>
      </c>
      <c r="CP168" t="str">
        <f t="shared" si="178"/>
        <v>36800Vega</v>
      </c>
      <c r="CQ168" t="str">
        <f t="shared" si="179"/>
        <v>36800Theta</v>
      </c>
    </row>
    <row r="169" spans="1:95" ht="12" customHeight="1" x14ac:dyDescent="0.25">
      <c r="A169" s="382" t="s">
        <v>348</v>
      </c>
      <c r="B169" t="s">
        <v>250</v>
      </c>
      <c r="C169" t="s">
        <v>349</v>
      </c>
      <c r="D169" s="4" t="s">
        <v>7</v>
      </c>
      <c r="E169" t="s">
        <v>20</v>
      </c>
      <c r="F169" t="s">
        <v>21</v>
      </c>
      <c r="G169" s="5">
        <v>36770</v>
      </c>
      <c r="H169" s="130">
        <v>-1000000</v>
      </c>
      <c r="I169">
        <v>0.32</v>
      </c>
      <c r="J169" s="53">
        <f t="shared" si="200"/>
        <v>4.6849999999999996</v>
      </c>
      <c r="K169" s="7">
        <f t="shared" si="201"/>
        <v>0.315</v>
      </c>
      <c r="L169" s="53">
        <f t="shared" si="202"/>
        <v>5</v>
      </c>
      <c r="M169" s="157">
        <f t="shared" si="231"/>
        <v>6.7216196212184998E-2</v>
      </c>
      <c r="N169" s="4">
        <f t="shared" si="232"/>
        <v>0.4</v>
      </c>
      <c r="O169" s="4">
        <f t="shared" si="233"/>
        <v>0.39200000000000002</v>
      </c>
      <c r="P169" s="9">
        <f t="shared" si="234"/>
        <v>0.99250000000000005</v>
      </c>
      <c r="Q169" s="5">
        <f t="shared" si="194"/>
        <v>36768</v>
      </c>
      <c r="R169" s="4">
        <f t="shared" si="235"/>
        <v>1</v>
      </c>
      <c r="S169" s="158">
        <f>_xll.xSPRDOPT($L169,$J169,$I169,$M169,$O169,$N169,$P169,$Q169-$C$3,$R169,0)</f>
        <v>3.1065839194979335E-3</v>
      </c>
      <c r="T169" s="159">
        <f>_xll.xSPRDOPT($L169,$J169,$I169,$M169,$O169,$N169,$P169,$Q169-$C$3,$R169,1)*H169</f>
        <v>-352070.85269108712</v>
      </c>
      <c r="U169" s="160">
        <f t="shared" si="236"/>
        <v>-3106.5839194979335</v>
      </c>
      <c r="V169" s="159">
        <f>_xll.xSPRDOPT($L169,$J169,$I169,$M169,$O169,$N169,$P169,$Q169-$C$3,$R169,2)*H169</f>
        <v>351242.73280161445</v>
      </c>
      <c r="W169" s="159">
        <f t="shared" si="237"/>
        <v>-828.11988947266946</v>
      </c>
      <c r="X169" s="51" t="str">
        <f t="shared" si="228"/>
        <v>36770IF-TRANSCO/Z6</v>
      </c>
      <c r="Y169" s="418">
        <f t="shared" si="229"/>
        <v>-100</v>
      </c>
      <c r="Z169" s="456">
        <f t="shared" si="230"/>
        <v>0.35207085269108712</v>
      </c>
      <c r="AA169" s="456">
        <f>_xll.xSPRDOPT($L169,$J169,$I169,$M169,$O169,$N169,$P169,$Q169-$C$3,$R169,3)</f>
        <v>28.322335583295395</v>
      </c>
      <c r="AB169" s="456">
        <f>((_xll.xSPRDOPT($L169+AB$5,$J169,$I169,$M169,$O169,$N169,$P169,$Q169-$C$3,$R169,3)*$H169)/10000)/100</f>
        <v>-28.322335583295395</v>
      </c>
      <c r="AC169" s="456">
        <f>((_xll.xSPRDOPT($L169+$AB$5,$J169,$I169,$M169,$O169,$N169,$P169,$Q169-$C$3,$R169,7)*$H169)/100)</f>
        <v>2845.7695580521181</v>
      </c>
      <c r="AD169" s="456">
        <f>(_xll.xSPRDOPT($L169+$AB$5,$J169,$I169,$M169,$O169,$N169,$P169,$Q169-$C$3,$R169,9)/365)*$H169</f>
        <v>2433.0733462956464</v>
      </c>
      <c r="AE169">
        <f t="shared" si="198"/>
        <v>0</v>
      </c>
      <c r="AF169" s="456">
        <f t="shared" si="199"/>
        <v>-121.59759208381973</v>
      </c>
      <c r="AG169" s="456">
        <f>((_xll.xSPRDOPT($L169,$J169,$I169,$M169,$O169,$N169,$P169,$Q169-$C$3,$R169,6)*$H169)/100)</f>
        <v>264.54321558065988</v>
      </c>
      <c r="AH169" s="456">
        <f>((_xll.xSPRDOPT($L169,$J169,$I169,$M169,$O169,$N169,$P169,$Q169-$C$3,$R169,5)*$H169)/100)</f>
        <v>-394.02123231069351</v>
      </c>
      <c r="AI169" s="456">
        <f>(((_xll.xSPRDOPT($L169,$J169,$I169,$M169,$O169,$N169,$P169,$Q169-$C$3,$R169,4)*$H169)/10000)/100)-AB169</f>
        <v>4.7847166550091913E-2</v>
      </c>
      <c r="AJ169" s="456"/>
      <c r="AK169" s="456"/>
      <c r="AL169" s="456"/>
      <c r="AM169" s="472"/>
      <c r="CC169" s="141">
        <f t="shared" si="226"/>
        <v>36770</v>
      </c>
      <c r="CD169" s="234">
        <f>_xll.xSPRDOPT((VLOOKUP(G169,NGPrices,2,FALSE)+HLOOKUP(D169,Prices,VLOOKUP(G169,move_down,2,FALSE),FALSE)),VLOOKUP(G169,NGPrices,2,FALSE),I169,VLOOKUP(G169,NGPREVPRICES,4,FALSE),HLOOKUP(D169,PREVVOLS,VLOOKUP(G169,MOVE_DOWN2,2,FALSE),FALSE),VLOOKUP(G169,NGPREVPRICES,3,FALSE),HLOOKUP(D169,Correllate,VLOOKUP(G169,CorMove,2,FALSE),FALSE),Q169-$CD$3,R169,$CD$5)*H169-CJ169</f>
        <v>0</v>
      </c>
      <c r="CE169" s="234">
        <f>_xll.xSPRDOPT((VLOOKUP(G169,NGPREVPRICES,2,FALSE)+HLOOKUP(D169,PREVCURVES,VLOOKUP(G169,MOVE_DOWN2,2,FALSE),FALSE)),VLOOKUP(G169,NGPREVPRICES,2,FALSE),CK169,VLOOKUP(G169,NGPrices,4,FALSE),HLOOKUP(D169,PREVVOLS,VLOOKUP(G169,MOVE_DOWN2,2,FALSE),FALSE),VLOOKUP(G169,NGPREVPRICES,3,FALSE),HLOOKUP(D169,Correllate,VLOOKUP(G169,CorMove,2,FALSE),FALSE),Q169-$CD$3,R169,$CJ$5)*H169-CJ169</f>
        <v>0</v>
      </c>
      <c r="CF169" s="10">
        <f t="shared" si="223"/>
        <v>0.94098727176424291</v>
      </c>
      <c r="CG169" s="234">
        <f>_xll.xSPRDOPT((VLOOKUP(G169,NGPREVPRICES,2,FALSE)+HLOOKUP(D169,PREVCURVES,VLOOKUP(G169,MOVE_DOWN2,2,FALSE),FALSE)),VLOOKUP(G169,NGPREVPRICES,2,FALSE),CK169,VLOOKUP(G169,NGPREVPRICES,4,FALSE),HLOOKUP(D169,VOLS,VLOOKUP(G169,move_down,2,FALSE),FALSE),VLOOKUP(G169,NGPrices,3,FALSE),HLOOKUP(D169,Correllate,VLOOKUP(G169,CorMove,2,FALSE),FALSE),Q169-$CD$3,R169,$CJ$5)*H169-CJ169</f>
        <v>0</v>
      </c>
      <c r="CH169" s="234">
        <f>_xll.xSPRDOPT((VLOOKUP(G169,NGPREVPRICES,2,FALSE)+HLOOKUP(D169,PREVCURVES,VLOOKUP(G169,MOVE_DOWN2,2,FALSE),FALSE)),VLOOKUP(G169,NGPREVPRICES,2,FALSE),CK169,VLOOKUP(G169,NGPREVPRICES,4,FALSE),HLOOKUP(D169,PREVVOLS,VLOOKUP(G169,MOVE_DOWN2,2,FALSE),FALSE),VLOOKUP(G169,NGPREVPRICES,3,FALSE),HLOOKUP(D169,Correllate,VLOOKUP(G169,CorMove,2,FALSE),FALSE),Q169-$C$3,R169,$CJ$5)*H169-CJ169</f>
        <v>2057.2709934352997</v>
      </c>
      <c r="CI169" s="234">
        <f t="shared" si="224"/>
        <v>2058.211980707064</v>
      </c>
      <c r="CJ169" s="234">
        <f>_xll.xSPRDOPT((VLOOKUP(G169,NGPREVPRICES,2,FALSE)+HLOOKUP(D169,PREVCURVES,VLOOKUP(G169,MOVE_DOWN2,2,FALSE),FALSE)),VLOOKUP(G169,NGPREVPRICES,2,FALSE),CK169,VLOOKUP(G169,NGPREVPRICES,4,FALSE),HLOOKUP(D169,PREVVOLS,VLOOKUP(G169,MOVE_DOWN2,2,FALSE),FALSE),VLOOKUP(G169,NGPREVPRICES,3,FALSE),HLOOKUP(D169,Correllate,VLOOKUP(G169,CorMove,2,FALSE),FALSE),Q169-$CD$3,R169,$CJ$5)*H169</f>
        <v>-5163.8549129332332</v>
      </c>
      <c r="CK169" s="235">
        <f t="shared" si="227"/>
        <v>0.32</v>
      </c>
      <c r="CL169" s="234"/>
      <c r="CM169" t="str">
        <f t="shared" si="225"/>
        <v>36770Curve Shift/Gamma</v>
      </c>
      <c r="CN169" t="str">
        <f t="shared" si="176"/>
        <v>36770Rho</v>
      </c>
      <c r="CO169" t="str">
        <f t="shared" si="177"/>
        <v>36770Drift</v>
      </c>
      <c r="CP169" t="str">
        <f t="shared" si="178"/>
        <v>36770Vega</v>
      </c>
      <c r="CQ169" t="str">
        <f t="shared" si="179"/>
        <v>36770Theta</v>
      </c>
    </row>
    <row r="170" spans="1:95" ht="12" customHeight="1" x14ac:dyDescent="0.25">
      <c r="A170" s="382" t="s">
        <v>348</v>
      </c>
      <c r="B170" t="s">
        <v>250</v>
      </c>
      <c r="C170" t="s">
        <v>350</v>
      </c>
      <c r="D170" s="4" t="s">
        <v>7</v>
      </c>
      <c r="E170" t="s">
        <v>20</v>
      </c>
      <c r="F170" t="s">
        <v>1</v>
      </c>
      <c r="G170" s="5">
        <v>36800</v>
      </c>
      <c r="H170" s="130">
        <v>-1000000</v>
      </c>
      <c r="I170">
        <v>0.32</v>
      </c>
      <c r="J170" s="53">
        <f t="shared" si="200"/>
        <v>4.6920000000000002</v>
      </c>
      <c r="K170" s="7">
        <f t="shared" si="201"/>
        <v>0.41499999999999998</v>
      </c>
      <c r="L170" s="53">
        <f t="shared" si="202"/>
        <v>5.1070000000000002</v>
      </c>
      <c r="M170" s="157">
        <f t="shared" si="231"/>
        <v>6.8050789414654006E-2</v>
      </c>
      <c r="N170" s="4">
        <f t="shared" si="232"/>
        <v>0.57499999999999996</v>
      </c>
      <c r="O170" s="4">
        <f t="shared" si="233"/>
        <v>0.56399999999999995</v>
      </c>
      <c r="P170" s="9">
        <f t="shared" si="234"/>
        <v>0.99250000000000005</v>
      </c>
      <c r="Q170" s="5">
        <f t="shared" si="194"/>
        <v>36797</v>
      </c>
      <c r="R170" s="4">
        <f t="shared" si="235"/>
        <v>0</v>
      </c>
      <c r="S170" s="158">
        <f>_xll.xSPRDOPT($L170,$J170,$I170,$M170,$O170,$N170,$P170,$Q170-$C$3,$R170,0)</f>
        <v>1.044776742546677E-2</v>
      </c>
      <c r="T170" s="159">
        <f>_xll.xSPRDOPT($L170,$J170,$I170,$M170,$O170,$N170,$P170,$Q170-$C$3,$R170,1)*H170</f>
        <v>178412.10261200936</v>
      </c>
      <c r="U170" s="160">
        <f t="shared" si="236"/>
        <v>-10447.767425466769</v>
      </c>
      <c r="V170" s="159">
        <f>_xll.xSPRDOPT($L170,$J170,$I170,$M170,$O170,$N170,$P170,$Q170-$C$3,$R170,2)*H170</f>
        <v>-182965.6103319407</v>
      </c>
      <c r="W170" s="159">
        <f t="shared" si="237"/>
        <v>-4553.5077199313382</v>
      </c>
      <c r="X170" s="51" t="str">
        <f t="shared" si="228"/>
        <v>36800IF-TRANSCO/Z6</v>
      </c>
      <c r="Y170" s="418">
        <f t="shared" si="229"/>
        <v>-100</v>
      </c>
      <c r="Z170" s="456">
        <f t="shared" si="230"/>
        <v>-0.17841210261200935</v>
      </c>
      <c r="AA170" s="456">
        <f>_xll.xSPRDOPT($L170,$J170,$I170,$M170,$O170,$N170,$P170,$Q170-$C$3,$R170,3)</f>
        <v>2.4449078158410655</v>
      </c>
      <c r="AB170" s="456">
        <f>((_xll.xSPRDOPT($L170+AB$5,$J170,$I170,$M170,$O170,$N170,$P170,$Q170-$C$3,$R170,3)*$H170)/10000)/100</f>
        <v>-2.4449078158410655</v>
      </c>
      <c r="AC170" s="456">
        <f>((_xll.xSPRDOPT($L170+$AB$5,$J170,$I170,$M170,$O170,$N170,$P170,$Q170-$C$3,$R170,7)*$H170)/100)</f>
        <v>15857.303996484463</v>
      </c>
      <c r="AD170" s="456">
        <f>(_xll.xSPRDOPT($L170+$AB$5,$J170,$I170,$M170,$O170,$N170,$P170,$Q170-$C$3,$R170,9)/365)*$H170</f>
        <v>462.18127474282215</v>
      </c>
      <c r="AE170">
        <f t="shared" si="198"/>
        <v>0</v>
      </c>
      <c r="AF170" s="456">
        <f t="shared" si="199"/>
        <v>-483.97718513534414</v>
      </c>
      <c r="AG170" s="456">
        <f>((_xll.xSPRDOPT($L170,$J170,$I170,$M170,$O170,$N170,$P170,$Q170-$C$3,$R170,6)*$H170)/100)</f>
        <v>1119.3709705094579</v>
      </c>
      <c r="AH170" s="456">
        <f>((_xll.xSPRDOPT($L170,$J170,$I170,$M170,$O170,$N170,$P170,$Q170-$C$3,$R170,5)*$H170)/100)</f>
        <v>-1634.6191303116334</v>
      </c>
      <c r="AI170" s="456">
        <f>(((_xll.xSPRDOPT($L170,$J170,$I170,$M170,$O170,$N170,$P170,$Q170-$C$3,$R170,4)*$H170)/10000)/100)-AB170</f>
        <v>-7.9990770511661591E-2</v>
      </c>
      <c r="AJ170" s="456"/>
      <c r="AK170" s="456"/>
      <c r="AL170" s="456"/>
      <c r="AM170" s="472"/>
      <c r="CC170" s="141">
        <f t="shared" si="226"/>
        <v>36800</v>
      </c>
      <c r="CD170" s="234">
        <f>_xll.xSPRDOPT((VLOOKUP(G170,NGPrices,2,FALSE)+HLOOKUP(D170,Prices,VLOOKUP(G170,move_down,2,FALSE),FALSE)),VLOOKUP(G170,NGPrices,2,FALSE),I170,VLOOKUP(G170,NGPREVPRICES,4,FALSE),HLOOKUP(D170,PREVVOLS,VLOOKUP(G170,MOVE_DOWN2,2,FALSE),FALSE),VLOOKUP(G170,NGPREVPRICES,3,FALSE),HLOOKUP(D170,Correllate,VLOOKUP(G170,CorMove,2,FALSE),FALSE),Q170-$CD$3,R170,$CD$5)*H170-CJ170</f>
        <v>0</v>
      </c>
      <c r="CE170" s="234">
        <f>_xll.xSPRDOPT((VLOOKUP(G170,NGPREVPRICES,2,FALSE)+HLOOKUP(D170,PREVCURVES,VLOOKUP(G170,MOVE_DOWN2,2,FALSE),FALSE)),VLOOKUP(G170,NGPREVPRICES,2,FALSE),CK170,VLOOKUP(G170,NGPrices,4,FALSE),HLOOKUP(D170,PREVVOLS,VLOOKUP(G170,MOVE_DOWN2,2,FALSE),FALSE),VLOOKUP(G170,NGPREVPRICES,3,FALSE),HLOOKUP(D170,Correllate,VLOOKUP(G170,CorMove,2,FALSE),FALSE),Q170-$CD$3,R170,$CJ$5)*H170-CJ170</f>
        <v>0</v>
      </c>
      <c r="CF170" s="10">
        <f t="shared" si="223"/>
        <v>2.0111079979742499</v>
      </c>
      <c r="CG170" s="234">
        <f>_xll.xSPRDOPT((VLOOKUP(G170,NGPREVPRICES,2,FALSE)+HLOOKUP(D170,PREVCURVES,VLOOKUP(G170,MOVE_DOWN2,2,FALSE),FALSE)),VLOOKUP(G170,NGPREVPRICES,2,FALSE),CK170,VLOOKUP(G170,NGPREVPRICES,4,FALSE),HLOOKUP(D170,VOLS,VLOOKUP(G170,move_down,2,FALSE),FALSE),VLOOKUP(G170,NGPrices,3,FALSE),HLOOKUP(D170,Correllate,VLOOKUP(G170,CorMove,2,FALSE),FALSE),Q170-$CD$3,R170,$CJ$5)*H170-CJ170</f>
        <v>0</v>
      </c>
      <c r="CH170" s="234">
        <f>_xll.xSPRDOPT((VLOOKUP(G170,NGPREVPRICES,2,FALSE)+HLOOKUP(D170,PREVCURVES,VLOOKUP(G170,MOVE_DOWN2,2,FALSE),FALSE)),VLOOKUP(G170,NGPREVPRICES,2,FALSE),CK170,VLOOKUP(G170,NGPREVPRICES,4,FALSE),HLOOKUP(D170,PREVVOLS,VLOOKUP(G170,MOVE_DOWN2,2,FALSE),FALSE),VLOOKUP(G170,NGPREVPRICES,3,FALSE),HLOOKUP(D170,Correllate,VLOOKUP(G170,CorMove,2,FALSE),FALSE),Q170-$C$3,R170,$CJ$5)*H170-CJ170</f>
        <v>461.07658501909464</v>
      </c>
      <c r="CI170" s="234">
        <f t="shared" si="224"/>
        <v>463.08769301706889</v>
      </c>
      <c r="CJ170" s="234">
        <f>_xll.xSPRDOPT((VLOOKUP(G170,NGPREVPRICES,2,FALSE)+HLOOKUP(D170,PREVCURVES,VLOOKUP(G170,MOVE_DOWN2,2,FALSE),FALSE)),VLOOKUP(G170,NGPREVPRICES,2,FALSE),CK170,VLOOKUP(G170,NGPREVPRICES,4,FALSE),HLOOKUP(D170,PREVVOLS,VLOOKUP(G170,MOVE_DOWN2,2,FALSE),FALSE),VLOOKUP(G170,NGPREVPRICES,3,FALSE),HLOOKUP(D170,Correllate,VLOOKUP(G170,CorMove,2,FALSE),FALSE),Q170-$CD$3,R170,$CJ$5)*H170</f>
        <v>-10908.844010485864</v>
      </c>
      <c r="CK170" s="235">
        <f t="shared" si="227"/>
        <v>0.32</v>
      </c>
      <c r="CL170" s="234"/>
      <c r="CM170" t="str">
        <f t="shared" si="225"/>
        <v>36800Curve Shift/Gamma</v>
      </c>
      <c r="CN170" t="str">
        <f t="shared" si="176"/>
        <v>36800Rho</v>
      </c>
      <c r="CO170" t="str">
        <f t="shared" si="177"/>
        <v>36800Drift</v>
      </c>
      <c r="CP170" t="str">
        <f t="shared" si="178"/>
        <v>36800Vega</v>
      </c>
      <c r="CQ170" t="str">
        <f t="shared" si="179"/>
        <v>36800Theta</v>
      </c>
    </row>
    <row r="171" spans="1:95" ht="12" customHeight="1" x14ac:dyDescent="0.25">
      <c r="A171" s="382" t="s">
        <v>348</v>
      </c>
      <c r="B171" t="s">
        <v>250</v>
      </c>
      <c r="C171" t="s">
        <v>350</v>
      </c>
      <c r="D171" s="4" t="s">
        <v>7</v>
      </c>
      <c r="E171" t="s">
        <v>20</v>
      </c>
      <c r="F171" t="s">
        <v>1</v>
      </c>
      <c r="G171" s="5">
        <v>36770</v>
      </c>
      <c r="H171" s="130">
        <v>-1000000</v>
      </c>
      <c r="I171">
        <v>0.32</v>
      </c>
      <c r="J171" s="53">
        <f t="shared" si="200"/>
        <v>4.6849999999999996</v>
      </c>
      <c r="K171" s="7">
        <f t="shared" si="201"/>
        <v>0.315</v>
      </c>
      <c r="L171" s="53">
        <f t="shared" si="202"/>
        <v>5</v>
      </c>
      <c r="M171" s="157">
        <f t="shared" si="231"/>
        <v>6.7216196212184998E-2</v>
      </c>
      <c r="N171" s="4">
        <f t="shared" si="232"/>
        <v>0.4</v>
      </c>
      <c r="O171" s="4">
        <f t="shared" si="233"/>
        <v>0.39200000000000002</v>
      </c>
      <c r="P171" s="9">
        <f t="shared" si="234"/>
        <v>0.99250000000000005</v>
      </c>
      <c r="Q171" s="5">
        <f t="shared" si="194"/>
        <v>36768</v>
      </c>
      <c r="R171" s="4">
        <f t="shared" si="235"/>
        <v>0</v>
      </c>
      <c r="S171" s="158">
        <f>_xll.xSPRDOPT($L171,$J171,$I171,$M171,$O171,$N171,$P171,$Q171-$C$3,$R171,0)</f>
        <v>8.1056638645802259E-3</v>
      </c>
      <c r="T171" s="159">
        <f>_xll.xSPRDOPT($L171,$J171,$I171,$M171,$O171,$N171,$P171,$Q171-$C$3,$R171,1)*H171</f>
        <v>647745.13632530347</v>
      </c>
      <c r="U171" s="160">
        <f t="shared" si="236"/>
        <v>-8105.6638645802259</v>
      </c>
      <c r="V171" s="159">
        <f>_xll.xSPRDOPT($L171,$J171,$I171,$M171,$O171,$N171,$P171,$Q171-$C$3,$R171,2)*H171</f>
        <v>-648573.25621477619</v>
      </c>
      <c r="W171" s="159">
        <f t="shared" si="237"/>
        <v>-828.11988947272766</v>
      </c>
      <c r="X171" s="51" t="str">
        <f t="shared" si="228"/>
        <v>36770IF-TRANSCO/Z6</v>
      </c>
      <c r="Y171" s="418">
        <f t="shared" si="229"/>
        <v>-100</v>
      </c>
      <c r="Z171" s="456">
        <f t="shared" si="230"/>
        <v>-0.64774513632530351</v>
      </c>
      <c r="AA171" s="456">
        <f>_xll.xSPRDOPT($L171,$J171,$I171,$M171,$O171,$N171,$P171,$Q171-$C$3,$R171,3)</f>
        <v>28.322335583295395</v>
      </c>
      <c r="AB171" s="456">
        <f>((_xll.xSPRDOPT($L171+AB$5,$J171,$I171,$M171,$O171,$N171,$P171,$Q171-$C$3,$R171,3)*$H171)/10000)/100</f>
        <v>-28.322335583295395</v>
      </c>
      <c r="AC171" s="456">
        <f>((_xll.xSPRDOPT($L171+$AB$5,$J171,$I171,$M171,$O171,$N171,$P171,$Q171-$C$3,$R171,7)*$H171)/100)</f>
        <v>2845.7695580521181</v>
      </c>
      <c r="AD171" s="456">
        <f>(_xll.xSPRDOPT($L171+$AB$5,$J171,$I171,$M171,$O171,$N171,$P171,$Q171-$C$3,$R171,9)/365)*$H171</f>
        <v>2432.1527459162789</v>
      </c>
      <c r="AE171">
        <f t="shared" si="198"/>
        <v>0</v>
      </c>
      <c r="AF171" s="456">
        <f t="shared" si="199"/>
        <v>-121.59759208381973</v>
      </c>
      <c r="AG171" s="456">
        <f>((_xll.xSPRDOPT($L171,$J171,$I171,$M171,$O171,$N171,$P171,$Q171-$C$3,$R171,6)*$H171)/100)</f>
        <v>264.54321558065988</v>
      </c>
      <c r="AH171" s="456">
        <f>((_xll.xSPRDOPT($L171,$J171,$I171,$M171,$O171,$N171,$P171,$Q171-$C$3,$R171,5)*$H171)/100)</f>
        <v>-394.02123231069351</v>
      </c>
      <c r="AI171" s="456">
        <f>(((_xll.xSPRDOPT($L171,$J171,$I171,$M171,$O171,$N171,$P171,$Q171-$C$3,$R171,4)*$H171)/10000)/100)-AB171</f>
        <v>4.7847166550091913E-2</v>
      </c>
      <c r="AJ171" s="456"/>
      <c r="AK171" s="456"/>
      <c r="AL171" s="456"/>
      <c r="AM171" s="472"/>
      <c r="CC171" s="141">
        <f t="shared" si="226"/>
        <v>36770</v>
      </c>
      <c r="CD171" s="234">
        <f>_xll.xSPRDOPT((VLOOKUP(G171,NGPrices,2,FALSE)+HLOOKUP(D171,Prices,VLOOKUP(G171,move_down,2,FALSE),FALSE)),VLOOKUP(G171,NGPrices,2,FALSE),I171,VLOOKUP(G171,NGPREVPRICES,4,FALSE),HLOOKUP(D171,PREVVOLS,VLOOKUP(G171,MOVE_DOWN2,2,FALSE),FALSE),VLOOKUP(G171,NGPREVPRICES,3,FALSE),HLOOKUP(D171,Correllate,VLOOKUP(G171,CorMove,2,FALSE),FALSE),Q171-$CD$3,R171,$CD$5)*H171-CJ171</f>
        <v>0</v>
      </c>
      <c r="CE171" s="234">
        <f>_xll.xSPRDOPT((VLOOKUP(G171,NGPREVPRICES,2,FALSE)+HLOOKUP(D171,PREVCURVES,VLOOKUP(G171,MOVE_DOWN2,2,FALSE),FALSE)),VLOOKUP(G171,NGPREVPRICES,2,FALSE),CK171,VLOOKUP(G171,NGPrices,4,FALSE),HLOOKUP(D171,PREVVOLS,VLOOKUP(G171,MOVE_DOWN2,2,FALSE),FALSE),VLOOKUP(G171,NGPREVPRICES,3,FALSE),HLOOKUP(D171,Correllate,VLOOKUP(G171,CorMove,2,FALSE),FALSE),Q171-$CD$3,R171,$CJ$5)*H171-CJ171</f>
        <v>0</v>
      </c>
      <c r="CF171" s="10">
        <f t="shared" si="223"/>
        <v>1.8517806765939895</v>
      </c>
      <c r="CG171" s="234">
        <f>_xll.xSPRDOPT((VLOOKUP(G171,NGPREVPRICES,2,FALSE)+HLOOKUP(D171,PREVCURVES,VLOOKUP(G171,MOVE_DOWN2,2,FALSE),FALSE)),VLOOKUP(G171,NGPREVPRICES,2,FALSE),CK171,VLOOKUP(G171,NGPREVPRICES,4,FALSE),HLOOKUP(D171,VOLS,VLOOKUP(G171,move_down,2,FALSE),FALSE),VLOOKUP(G171,NGPrices,3,FALSE),HLOOKUP(D171,Correllate,VLOOKUP(G171,CorMove,2,FALSE),FALSE),Q171-$CD$3,R171,$CJ$5)*H171-CJ171</f>
        <v>0</v>
      </c>
      <c r="CH171" s="234">
        <f>_xll.xSPRDOPT((VLOOKUP(G171,NGPREVPRICES,2,FALSE)+HLOOKUP(D171,PREVCURVES,VLOOKUP(G171,MOVE_DOWN2,2,FALSE),FALSE)),VLOOKUP(G171,NGPREVPRICES,2,FALSE),CK171,VLOOKUP(G171,NGPREVPRICES,4,FALSE),HLOOKUP(D171,PREVVOLS,VLOOKUP(G171,MOVE_DOWN2,2,FALSE),FALSE),VLOOKUP(G171,NGPREVPRICES,3,FALSE),HLOOKUP(D171,Correllate,VLOOKUP(G171,CorMove,2,FALSE),FALSE),Q171-$C$3,R171,$CJ$5)*H171-CJ171</f>
        <v>2056.3511078167112</v>
      </c>
      <c r="CI171" s="234">
        <f t="shared" si="224"/>
        <v>2058.2028884933052</v>
      </c>
      <c r="CJ171" s="234">
        <f>_xll.xSPRDOPT((VLOOKUP(G171,NGPREVPRICES,2,FALSE)+HLOOKUP(D171,PREVCURVES,VLOOKUP(G171,MOVE_DOWN2,2,FALSE),FALSE)),VLOOKUP(G171,NGPREVPRICES,2,FALSE),CK171,VLOOKUP(G171,NGPREVPRICES,4,FALSE),HLOOKUP(D171,PREVVOLS,VLOOKUP(G171,MOVE_DOWN2,2,FALSE),FALSE),VLOOKUP(G171,NGPREVPRICES,3,FALSE),HLOOKUP(D171,Correllate,VLOOKUP(G171,CorMove,2,FALSE),FALSE),Q171-$CD$3,R171,$CJ$5)*H171</f>
        <v>-10162.014972396937</v>
      </c>
      <c r="CK171" s="235">
        <f t="shared" si="227"/>
        <v>0.32</v>
      </c>
      <c r="CL171" s="234"/>
      <c r="CM171" t="str">
        <f t="shared" si="225"/>
        <v>36770Curve Shift/Gamma</v>
      </c>
      <c r="CN171" t="str">
        <f t="shared" si="176"/>
        <v>36770Rho</v>
      </c>
      <c r="CO171" t="str">
        <f t="shared" si="177"/>
        <v>36770Drift</v>
      </c>
      <c r="CP171" t="str">
        <f t="shared" si="178"/>
        <v>36770Vega</v>
      </c>
      <c r="CQ171" t="str">
        <f t="shared" si="179"/>
        <v>36770Theta</v>
      </c>
    </row>
    <row r="172" spans="1:95" ht="12" customHeight="1" x14ac:dyDescent="0.25">
      <c r="A172" s="382" t="s">
        <v>351</v>
      </c>
      <c r="B172" t="s">
        <v>250</v>
      </c>
      <c r="C172" t="s">
        <v>352</v>
      </c>
      <c r="D172" s="4" t="s">
        <v>9</v>
      </c>
      <c r="E172" t="s">
        <v>20</v>
      </c>
      <c r="F172" t="s">
        <v>1</v>
      </c>
      <c r="G172" s="5">
        <v>36800</v>
      </c>
      <c r="H172" s="130">
        <v>500000</v>
      </c>
      <c r="I172">
        <v>-0.4</v>
      </c>
      <c r="J172" s="53">
        <f t="shared" si="200"/>
        <v>4.6920000000000002</v>
      </c>
      <c r="K172" s="7">
        <f t="shared" si="201"/>
        <v>-0.80500000000000005</v>
      </c>
      <c r="L172" s="53">
        <f t="shared" si="202"/>
        <v>3.887</v>
      </c>
      <c r="M172" s="157">
        <f t="shared" si="231"/>
        <v>6.8050789414654006E-2</v>
      </c>
      <c r="N172" s="4">
        <f t="shared" si="232"/>
        <v>0.57499999999999996</v>
      </c>
      <c r="O172" s="4">
        <f t="shared" si="233"/>
        <v>0.55200000000000005</v>
      </c>
      <c r="P172" s="9">
        <f t="shared" si="234"/>
        <v>0.84</v>
      </c>
      <c r="Q172" s="5">
        <f t="shared" si="194"/>
        <v>36797</v>
      </c>
      <c r="R172" s="4">
        <f t="shared" si="235"/>
        <v>0</v>
      </c>
      <c r="S172" s="158">
        <f>_xll.xSPRDOPT($L172,$J172,$I172,$M172,$O172,$N172,$P172,$Q172-$C$3,$R172,0)</f>
        <v>0.43551011206983281</v>
      </c>
      <c r="T172" s="159">
        <f>_xll.xSPRDOPT($L172,$J172,$I172,$M172,$O172,$N172,$P172,$Q172-$C$3,$R172,1)*H172</f>
        <v>-413703.3209400099</v>
      </c>
      <c r="U172" s="160">
        <f t="shared" si="236"/>
        <v>217755.0560349164</v>
      </c>
      <c r="V172" s="159">
        <f>_xll.xSPRDOPT($L172,$J172,$I172,$M172,$O172,$N172,$P172,$Q172-$C$3,$R172,2)*H172</f>
        <v>424496.83263885323</v>
      </c>
      <c r="W172" s="159">
        <f t="shared" si="237"/>
        <v>10793.511698843329</v>
      </c>
      <c r="X172" s="51" t="str">
        <f t="shared" si="228"/>
        <v>36800IF-NWPL_ROCKY_M</v>
      </c>
      <c r="Y172" s="418">
        <f t="shared" si="229"/>
        <v>50</v>
      </c>
      <c r="Z172" s="456">
        <f t="shared" si="230"/>
        <v>-0.82740664188001978</v>
      </c>
      <c r="AA172" s="456">
        <f>_xll.xSPRDOPT($L172,$J172,$I172,$M172,$O172,$N172,$P172,$Q172-$C$3,$R172,3)</f>
        <v>0.65088362517321363</v>
      </c>
      <c r="AB172" s="456">
        <f>((_xll.xSPRDOPT($L172+AB$5,$J172,$I172,$M172,$O172,$N172,$P172,$Q172-$C$3,$R172,3)*$H172)/10000)/100</f>
        <v>0.32544181258660687</v>
      </c>
      <c r="AC172" s="456">
        <f>((_xll.xSPRDOPT($L172+$AB$5,$J172,$I172,$M172,$O172,$N172,$P172,$Q172-$C$3,$R172,7)*$H172)/100)</f>
        <v>-1412.3684253139272</v>
      </c>
      <c r="AD172" s="456">
        <f>(_xll.xSPRDOPT($L172+$AB$5,$J172,$I172,$M172,$O172,$N172,$P172,$Q172-$C$3,$R172,9)/365)*$H172</f>
        <v>-758.56180351699629</v>
      </c>
      <c r="AE172">
        <f t="shared" si="198"/>
        <v>0</v>
      </c>
      <c r="AF172" s="456">
        <f t="shared" si="199"/>
        <v>833.33549504570124</v>
      </c>
      <c r="AG172" s="456">
        <f>((_xll.xSPRDOPT($L172,$J172,$I172,$M172,$O172,$N172,$P172,$Q172-$C$3,$R172,6)*$H172)/100)</f>
        <v>756.47131408949417</v>
      </c>
      <c r="AH172" s="456">
        <f>((_xll.xSPRDOPT($L172,$J172,$I172,$M172,$O172,$N172,$P172,$Q172-$C$3,$R172,5)*$H172)/100)</f>
        <v>80.066855162715612</v>
      </c>
      <c r="AI172" s="456">
        <f>(((_xll.xSPRDOPT($L172,$J172,$I172,$M172,$O172,$N172,$P172,$Q172-$C$3,$R172,4)*$H172)/10000)/100)-AB172</f>
        <v>-5.4236631467586061E-2</v>
      </c>
      <c r="AJ172" s="456"/>
      <c r="AK172" s="456"/>
      <c r="AL172" s="456"/>
      <c r="AM172" s="472"/>
      <c r="CC172" s="141">
        <f t="shared" si="226"/>
        <v>36800</v>
      </c>
      <c r="CD172" s="234">
        <f>_xll.xSPRDOPT((VLOOKUP(G172,NGPrices,2,FALSE)+HLOOKUP(D172,Prices,VLOOKUP(G172,move_down,2,FALSE),FALSE)),VLOOKUP(G172,NGPrices,2,FALSE),I172,VLOOKUP(G172,NGPREVPRICES,4,FALSE),HLOOKUP(D172,PREVVOLS,VLOOKUP(G172,MOVE_DOWN2,2,FALSE),FALSE),VLOOKUP(G172,NGPREVPRICES,3,FALSE),HLOOKUP(D172,Correllate,VLOOKUP(G172,CorMove,2,FALSE),FALSE),Q172-$CD$3,R172,$CD$5)*H172-CJ172</f>
        <v>0</v>
      </c>
      <c r="CE172" s="234">
        <f>_xll.xSPRDOPT((VLOOKUP(G172,NGPREVPRICES,2,FALSE)+HLOOKUP(D172,PREVCURVES,VLOOKUP(G172,MOVE_DOWN2,2,FALSE),FALSE)),VLOOKUP(G172,NGPREVPRICES,2,FALSE),CK172,VLOOKUP(G172,NGPrices,4,FALSE),HLOOKUP(D172,PREVVOLS,VLOOKUP(G172,MOVE_DOWN2,2,FALSE),FALSE),VLOOKUP(G172,NGPREVPRICES,3,FALSE),HLOOKUP(D172,Correllate,VLOOKUP(G172,CorMove,2,FALSE),FALSE),Q172-$CD$3,R172,$CJ$5)*H172-CJ172</f>
        <v>0</v>
      </c>
      <c r="CF172" s="10">
        <f t="shared" si="223"/>
        <v>-40.28412168668001</v>
      </c>
      <c r="CG172" s="234">
        <f>_xll.xSPRDOPT((VLOOKUP(G172,NGPREVPRICES,2,FALSE)+HLOOKUP(D172,PREVCURVES,VLOOKUP(G172,MOVE_DOWN2,2,FALSE),FALSE)),VLOOKUP(G172,NGPREVPRICES,2,FALSE),CK172,VLOOKUP(G172,NGPREVPRICES,4,FALSE),HLOOKUP(D172,VOLS,VLOOKUP(G172,move_down,2,FALSE),FALSE),VLOOKUP(G172,NGPrices,3,FALSE),HLOOKUP(D172,Correllate,VLOOKUP(G172,CorMove,2,FALSE),FALSE),Q172-$CD$3,R172,$CJ$5)*H172-CJ172</f>
        <v>0</v>
      </c>
      <c r="CH172" s="234">
        <f>_xll.xSPRDOPT((VLOOKUP(G172,NGPREVPRICES,2,FALSE)+HLOOKUP(D172,PREVCURVES,VLOOKUP(G172,MOVE_DOWN2,2,FALSE),FALSE)),VLOOKUP(G172,NGPREVPRICES,2,FALSE),CK172,VLOOKUP(G172,NGPREVPRICES,4,FALSE),HLOOKUP(D172,PREVVOLS,VLOOKUP(G172,MOVE_DOWN2,2,FALSE),FALSE),VLOOKUP(G172,NGPREVPRICES,3,FALSE),HLOOKUP(D172,Correllate,VLOOKUP(G172,CorMove,2,FALSE),FALSE),Q172-$C$3,R172,$CJ$5)*H172-CJ172</f>
        <v>-757.92289119772613</v>
      </c>
      <c r="CI172" s="234">
        <f t="shared" si="224"/>
        <v>-798.20701288440614</v>
      </c>
      <c r="CJ172" s="234">
        <f>_xll.xSPRDOPT((VLOOKUP(G172,NGPREVPRICES,2,FALSE)+HLOOKUP(D172,PREVCURVES,VLOOKUP(G172,MOVE_DOWN2,2,FALSE),FALSE)),VLOOKUP(G172,NGPREVPRICES,2,FALSE),CK172,VLOOKUP(G172,NGPREVPRICES,4,FALSE),HLOOKUP(D172,PREVVOLS,VLOOKUP(G172,MOVE_DOWN2,2,FALSE),FALSE),VLOOKUP(G172,NGPREVPRICES,3,FALSE),HLOOKUP(D172,Correllate,VLOOKUP(G172,CorMove,2,FALSE),FALSE),Q172-$CD$3,R172,$CJ$5)*H172</f>
        <v>218512.97892611413</v>
      </c>
      <c r="CK172" s="235">
        <f t="shared" si="227"/>
        <v>-0.4</v>
      </c>
      <c r="CL172" s="234"/>
      <c r="CM172" t="str">
        <f t="shared" si="225"/>
        <v>36800Curve Shift/Gamma</v>
      </c>
      <c r="CN172" t="str">
        <f t="shared" si="176"/>
        <v>36800Rho</v>
      </c>
      <c r="CO172" t="str">
        <f t="shared" si="177"/>
        <v>36800Drift</v>
      </c>
      <c r="CP172" t="str">
        <f t="shared" si="178"/>
        <v>36800Vega</v>
      </c>
      <c r="CQ172" t="str">
        <f t="shared" si="179"/>
        <v>36800Theta</v>
      </c>
    </row>
    <row r="173" spans="1:95" ht="12" customHeight="1" x14ac:dyDescent="0.25">
      <c r="A173" s="382" t="s">
        <v>351</v>
      </c>
      <c r="B173" t="s">
        <v>250</v>
      </c>
      <c r="C173" t="s">
        <v>352</v>
      </c>
      <c r="D173" s="4" t="s">
        <v>9</v>
      </c>
      <c r="E173" t="s">
        <v>20</v>
      </c>
      <c r="F173" t="s">
        <v>1</v>
      </c>
      <c r="G173" s="5">
        <v>36770</v>
      </c>
      <c r="H173" s="130">
        <v>500000</v>
      </c>
      <c r="I173">
        <v>-0.4</v>
      </c>
      <c r="J173" s="53">
        <f t="shared" si="200"/>
        <v>4.6849999999999996</v>
      </c>
      <c r="K173" s="7">
        <f t="shared" si="201"/>
        <v>-1.24</v>
      </c>
      <c r="L173" s="53">
        <f t="shared" si="202"/>
        <v>3.4449999999999994</v>
      </c>
      <c r="M173" s="157">
        <f t="shared" si="231"/>
        <v>6.7216196212184998E-2</v>
      </c>
      <c r="N173" s="4">
        <f t="shared" si="232"/>
        <v>0.4</v>
      </c>
      <c r="O173" s="4">
        <f t="shared" si="233"/>
        <v>0.38400000000000001</v>
      </c>
      <c r="P173" s="9">
        <f t="shared" si="234"/>
        <v>0.84</v>
      </c>
      <c r="Q173" s="5">
        <f t="shared" si="194"/>
        <v>36768</v>
      </c>
      <c r="R173" s="4">
        <f t="shared" si="235"/>
        <v>0</v>
      </c>
      <c r="S173" s="158">
        <f>_xll.xSPRDOPT($L173,$J173,$I173,$M173,$O173,$N173,$P173,$Q173-$C$3,$R173,0)</f>
        <v>0.83984554089127716</v>
      </c>
      <c r="T173" s="159">
        <f>_xll.xSPRDOPT($L173,$J173,$I173,$M173,$O173,$N173,$P173,$Q173-$C$3,$R173,1)*H173</f>
        <v>-499908.0793393997</v>
      </c>
      <c r="U173" s="160">
        <f t="shared" si="236"/>
        <v>419922.77044563857</v>
      </c>
      <c r="V173" s="159">
        <f>_xll.xSPRDOPT($L173,$J173,$I173,$M173,$O173,$N173,$P173,$Q173-$C$3,$R173,2)*H173</f>
        <v>499908.06004209415</v>
      </c>
      <c r="W173" s="159">
        <f t="shared" si="237"/>
        <v>-1.9297305552754551E-2</v>
      </c>
      <c r="X173" s="51" t="str">
        <f t="shared" si="228"/>
        <v>36770IF-NWPL_ROCKY_M</v>
      </c>
      <c r="Y173" s="418">
        <f t="shared" si="229"/>
        <v>50</v>
      </c>
      <c r="Z173" s="456">
        <f t="shared" si="230"/>
        <v>-0.99981615867879936</v>
      </c>
      <c r="AA173" s="456">
        <f>_xll.xSPRDOPT($L173,$J173,$I173,$M173,$O173,$N173,$P173,$Q173-$C$3,$R173,3)</f>
        <v>-3.5500395084824186E-5</v>
      </c>
      <c r="AB173" s="456">
        <f>((_xll.xSPRDOPT($L173+AB$5,$J173,$I173,$M173,$O173,$N173,$P173,$Q173-$C$3,$R173,3)*$H173)/10000)/100</f>
        <v>-1.7750197542412093E-5</v>
      </c>
      <c r="AC173" s="456">
        <f>((_xll.xSPRDOPT($L173+$AB$5,$J173,$I173,$M173,$O173,$N173,$P173,$Q173-$C$3,$R173,7)*$H173)/100)</f>
        <v>0</v>
      </c>
      <c r="AD173" s="456">
        <f>(_xll.xSPRDOPT($L173+$AB$5,$J173,$I173,$M173,$O173,$N173,$P173,$Q173-$C$3,$R173,9)/365)*$H173</f>
        <v>77.330444904417647</v>
      </c>
      <c r="AE173">
        <f t="shared" si="198"/>
        <v>0</v>
      </c>
      <c r="AF173" s="456">
        <f t="shared" si="199"/>
        <v>-4.7207724206972725E-8</v>
      </c>
      <c r="AG173" s="456">
        <f>((_xll.xSPRDOPT($L173,$J173,$I173,$M173,$O173,$N173,$P173,$Q173-$C$3,$R173,6)*$H173)/100)</f>
        <v>-3.6432048029293912E-6</v>
      </c>
      <c r="AH173" s="456">
        <f>((_xll.xSPRDOPT($L173,$J173,$I173,$M173,$O173,$N173,$P173,$Q173-$C$3,$R173,5)*$H173)/100)</f>
        <v>3.7458302903358526E-6</v>
      </c>
      <c r="AI173" s="456">
        <f>(((_xll.xSPRDOPT($L173,$J173,$I173,$M173,$O173,$N173,$P173,$Q173-$C$3,$R173,4)*$H173)/10000)/100)-AB173</f>
        <v>1.7750197542412093E-5</v>
      </c>
      <c r="AJ173" s="456"/>
      <c r="AK173" s="456"/>
      <c r="AL173" s="456"/>
      <c r="AM173" s="472"/>
      <c r="CC173" s="141">
        <f t="shared" si="226"/>
        <v>36770</v>
      </c>
      <c r="CD173" s="234">
        <f>_xll.xSPRDOPT((VLOOKUP(G173,NGPrices,2,FALSE)+HLOOKUP(D173,Prices,VLOOKUP(G173,move_down,2,FALSE),FALSE)),VLOOKUP(G173,NGPrices,2,FALSE),I173,VLOOKUP(G173,NGPREVPRICES,4,FALSE),HLOOKUP(D173,PREVVOLS,VLOOKUP(G173,MOVE_DOWN2,2,FALSE),FALSE),VLOOKUP(G173,NGPREVPRICES,3,FALSE),HLOOKUP(D173,Correllate,VLOOKUP(G173,CorMove,2,FALSE),FALSE),Q173-$CD$3,R173,$CD$5)*H173-CJ173</f>
        <v>0</v>
      </c>
      <c r="CE173" s="234">
        <f>_xll.xSPRDOPT((VLOOKUP(G173,NGPREVPRICES,2,FALSE)+HLOOKUP(D173,PREVCURVES,VLOOKUP(G173,MOVE_DOWN2,2,FALSE),FALSE)),VLOOKUP(G173,NGPREVPRICES,2,FALSE),CK173,VLOOKUP(G173,NGPrices,4,FALSE),HLOOKUP(D173,PREVVOLS,VLOOKUP(G173,MOVE_DOWN2,2,FALSE),FALSE),VLOOKUP(G173,NGPREVPRICES,3,FALSE),HLOOKUP(D173,Correllate,VLOOKUP(G173,CorMove,2,FALSE),FALSE),Q173-$CD$3,R173,$CJ$5)*H173-CJ173</f>
        <v>0</v>
      </c>
      <c r="CF173" s="10">
        <f t="shared" si="223"/>
        <v>-76.506656036421191</v>
      </c>
      <c r="CG173" s="234">
        <f>_xll.xSPRDOPT((VLOOKUP(G173,NGPREVPRICES,2,FALSE)+HLOOKUP(D173,PREVCURVES,VLOOKUP(G173,MOVE_DOWN2,2,FALSE),FALSE)),VLOOKUP(G173,NGPREVPRICES,2,FALSE),CK173,VLOOKUP(G173,NGPREVPRICES,4,FALSE),HLOOKUP(D173,VOLS,VLOOKUP(G173,move_down,2,FALSE),FALSE),VLOOKUP(G173,NGPrices,3,FALSE),HLOOKUP(D173,Correllate,VLOOKUP(G173,CorMove,2,FALSE),FALSE),Q173-$CD$3,R173,$CJ$5)*H173-CJ173</f>
        <v>0</v>
      </c>
      <c r="CH173" s="234">
        <f>_xll.xSPRDOPT((VLOOKUP(G173,NGPREVPRICES,2,FALSE)+HLOOKUP(D173,PREVCURVES,VLOOKUP(G173,MOVE_DOWN2,2,FALSE),FALSE)),VLOOKUP(G173,NGPREVPRICES,2,FALSE),CK173,VLOOKUP(G173,NGPREVPRICES,4,FALSE),HLOOKUP(D173,PREVVOLS,VLOOKUP(G173,MOVE_DOWN2,2,FALSE),FALSE),VLOOKUP(G173,NGPREVPRICES,3,FALSE),HLOOKUP(D173,Correllate,VLOOKUP(G173,CorMove,2,FALSE),FALSE),Q173-$C$3,R173,$CJ$5)*H173-CJ173</f>
        <v>77.270404941402376</v>
      </c>
      <c r="CI173" s="234">
        <f t="shared" si="224"/>
        <v>0.76374890498118475</v>
      </c>
      <c r="CJ173" s="234">
        <f>_xll.xSPRDOPT((VLOOKUP(G173,NGPREVPRICES,2,FALSE)+HLOOKUP(D173,PREVCURVES,VLOOKUP(G173,MOVE_DOWN2,2,FALSE),FALSE)),VLOOKUP(G173,NGPREVPRICES,2,FALSE),CK173,VLOOKUP(G173,NGPREVPRICES,4,FALSE),HLOOKUP(D173,PREVVOLS,VLOOKUP(G173,MOVE_DOWN2,2,FALSE),FALSE),VLOOKUP(G173,NGPREVPRICES,3,FALSE),HLOOKUP(D173,Correllate,VLOOKUP(G173,CorMove,2,FALSE),FALSE),Q173-$CD$3,R173,$CJ$5)*H173</f>
        <v>419845.50004069717</v>
      </c>
      <c r="CK173" s="235">
        <f t="shared" si="227"/>
        <v>-0.4</v>
      </c>
      <c r="CL173" s="234"/>
      <c r="CM173" t="str">
        <f t="shared" si="225"/>
        <v>36770Curve Shift/Gamma</v>
      </c>
      <c r="CN173" t="str">
        <f t="shared" si="176"/>
        <v>36770Rho</v>
      </c>
      <c r="CO173" t="str">
        <f t="shared" si="177"/>
        <v>36770Drift</v>
      </c>
      <c r="CP173" t="str">
        <f t="shared" si="178"/>
        <v>36770Vega</v>
      </c>
      <c r="CQ173" t="str">
        <f t="shared" si="179"/>
        <v>36770Theta</v>
      </c>
    </row>
    <row r="174" spans="1:95" ht="12" customHeight="1" x14ac:dyDescent="0.25">
      <c r="A174" s="382" t="s">
        <v>348</v>
      </c>
      <c r="B174" t="s">
        <v>250</v>
      </c>
      <c r="C174" t="s">
        <v>358</v>
      </c>
      <c r="D174" s="4" t="s">
        <v>190</v>
      </c>
      <c r="E174" t="s">
        <v>20</v>
      </c>
      <c r="F174" t="s">
        <v>21</v>
      </c>
      <c r="G174" s="5">
        <v>36800</v>
      </c>
      <c r="H174" s="130">
        <v>-500000</v>
      </c>
      <c r="I174">
        <v>0.1</v>
      </c>
      <c r="J174" s="53">
        <f t="shared" si="200"/>
        <v>4.6920000000000002</v>
      </c>
      <c r="K174" s="7">
        <f t="shared" si="201"/>
        <v>1.99</v>
      </c>
      <c r="L174" s="53">
        <f t="shared" si="202"/>
        <v>6.6820000000000004</v>
      </c>
      <c r="M174" s="157">
        <f t="shared" si="231"/>
        <v>6.8050789414654006E-2</v>
      </c>
      <c r="N174" s="4">
        <f t="shared" si="232"/>
        <v>0.57499999999999996</v>
      </c>
      <c r="O174" s="4">
        <f t="shared" si="233"/>
        <v>0.54100000000000004</v>
      </c>
      <c r="P174" s="9">
        <f t="shared" si="234"/>
        <v>0.83</v>
      </c>
      <c r="Q174" s="5">
        <f t="shared" si="194"/>
        <v>36797</v>
      </c>
      <c r="R174" s="4">
        <f t="shared" si="235"/>
        <v>1</v>
      </c>
      <c r="S174" s="158">
        <f>_xll.xSPRDOPT($L174,$J174,$I174,$M174,$O174,$N174,$P174,$Q174-$C$3,$R174,0)</f>
        <v>1.8794867815216949</v>
      </c>
      <c r="T174" s="159">
        <f>_xll.xSPRDOPT($L174,$J174,$I174,$M174,$O174,$N174,$P174,$Q174-$C$3,$R174,1)*H174</f>
        <v>-497144.99009846308</v>
      </c>
      <c r="U174" s="160">
        <f t="shared" si="236"/>
        <v>-939743.39076084748</v>
      </c>
      <c r="V174" s="159">
        <f>_xll.xSPRDOPT($L174,$J174,$I174,$M174,$O174,$N174,$P174,$Q174-$C$3,$R174,2)*H174</f>
        <v>497115.52399579366</v>
      </c>
      <c r="W174" s="159">
        <f t="shared" si="237"/>
        <v>-29.46610266942298</v>
      </c>
      <c r="X174" s="51" t="str">
        <f t="shared" si="228"/>
        <v>36800NGI-SOCAL</v>
      </c>
      <c r="Y174" s="418">
        <f t="shared" si="229"/>
        <v>-50</v>
      </c>
      <c r="Z174" s="456">
        <f t="shared" si="230"/>
        <v>0.99428998019692616</v>
      </c>
      <c r="AA174" s="456">
        <f>_xll.xSPRDOPT($L174,$J174,$I174,$M174,$O174,$N174,$P174,$Q174-$C$3,$R174,3)</f>
        <v>8.5470943476702896E-4</v>
      </c>
      <c r="AB174" s="456">
        <f>((_xll.xSPRDOPT($L174+AB$5,$J174,$I174,$M174,$O174,$N174,$P174,$Q174-$C$3,$R174,3)*$H174)/10000)/100</f>
        <v>-4.2735471738351448E-4</v>
      </c>
      <c r="AC174" s="456">
        <f>((_xll.xSPRDOPT($L174+$AB$5,$J174,$I174,$M174,$O174,$N174,$P174,$Q174-$C$3,$R174,7)*$H174)/100)</f>
        <v>4.7889597410040468</v>
      </c>
      <c r="AD174" s="456">
        <f>(_xll.xSPRDOPT($L174+$AB$5,$J174,$I174,$M174,$O174,$N174,$P174,$Q174-$C$3,$R174,9)/365)*$H174</f>
        <v>-172.47510223967268</v>
      </c>
      <c r="AE174">
        <f t="shared" si="198"/>
        <v>0</v>
      </c>
      <c r="AF174" s="456">
        <f t="shared" si="199"/>
        <v>-2.8479366661780201</v>
      </c>
      <c r="AG174" s="456">
        <f>((_xll.xSPRDOPT($L174,$J174,$I174,$M174,$O174,$N174,$P174,$Q174-$C$3,$R174,6)*$H174)/100)</f>
        <v>-1.7902053240483422</v>
      </c>
      <c r="AH174" s="456">
        <f>((_xll.xSPRDOPT($L174,$J174,$I174,$M174,$O174,$N174,$P174,$Q174-$C$3,$R174,5)*$H174)/100)</f>
        <v>-1.1242061399714691</v>
      </c>
      <c r="AI174" s="456">
        <f>(((_xll.xSPRDOPT($L174,$J174,$I174,$M174,$O174,$N174,$P174,$Q174-$C$3,$R174,4)*$H174)/10000)/100)-AB174</f>
        <v>-4.0996621478294403E-4</v>
      </c>
      <c r="AJ174" s="456"/>
      <c r="AK174" s="456"/>
      <c r="AL174" s="456"/>
      <c r="AM174" s="472"/>
      <c r="CC174" s="141">
        <f t="shared" si="226"/>
        <v>36800</v>
      </c>
      <c r="CD174" s="486">
        <f>_xll.xSPRDOPT((VLOOKUP(G174,NGPrices,2,FALSE)+HLOOKUP(D174,Prices,VLOOKUP(G174,move_down,2,FALSE),FALSE)),VLOOKUP(G174,NGPrices,2,FALSE),I174,VLOOKUP(G174,NGPREVPRICES,4,FALSE),HLOOKUP(D174,PREVVOLS,VLOOKUP(G174,MOVE_DOWN2,2,FALSE),FALSE),VLOOKUP(G174,NGPREVPRICES,3,FALSE),HLOOKUP(D174,Correllate,VLOOKUP(G174,CorMove,2,FALSE),FALSE),Q174-$CD$3,R174,$CD$5)*H174-CJ174</f>
        <v>0</v>
      </c>
      <c r="CE174" s="486">
        <f>_xll.xSPRDOPT((VLOOKUP(G174,NGPREVPRICES,2,FALSE)+HLOOKUP(D174,PREVCURVES,VLOOKUP(G174,MOVE_DOWN2,2,FALSE),FALSE)),VLOOKUP(G174,NGPREVPRICES,2,FALSE),CK174,VLOOKUP(G174,NGPrices,4,FALSE),HLOOKUP(D174,PREVVOLS,VLOOKUP(G174,MOVE_DOWN2,2,FALSE),FALSE),VLOOKUP(G174,NGPREVPRICES,3,FALSE),HLOOKUP(D174,Correllate,VLOOKUP(G174,CorMove,2,FALSE),FALSE),Q174-$CD$3,R174,$CJ$5)*H174-CJ174</f>
        <v>0</v>
      </c>
      <c r="CF174" s="487">
        <f t="shared" si="223"/>
        <v>173.2153671416454</v>
      </c>
      <c r="CG174" s="486">
        <f>_xll.xSPRDOPT((VLOOKUP(G174,NGPREVPRICES,2,FALSE)+HLOOKUP(D174,PREVCURVES,VLOOKUP(G174,MOVE_DOWN2,2,FALSE),FALSE)),VLOOKUP(G174,NGPREVPRICES,2,FALSE),CK174,VLOOKUP(G174,NGPREVPRICES,4,FALSE),HLOOKUP(D174,VOLS,VLOOKUP(G174,move_down,2,FALSE),FALSE),VLOOKUP(G174,NGPrices,3,FALSE),HLOOKUP(D174,Correllate,VLOOKUP(G174,CorMove,2,FALSE),FALSE),Q174-$CD$3,R174,$CJ$5)*H174-CJ174</f>
        <v>0</v>
      </c>
      <c r="CH174" s="486">
        <f>_xll.xSPRDOPT((VLOOKUP(G174,NGPREVPRICES,2,FALSE)+HLOOKUP(D174,PREVCURVES,VLOOKUP(G174,MOVE_DOWN2,2,FALSE),FALSE)),VLOOKUP(G174,NGPREVPRICES,2,FALSE),CK174,VLOOKUP(G174,NGPREVPRICES,4,FALSE),HLOOKUP(D174,PREVVOLS,VLOOKUP(G174,MOVE_DOWN2,2,FALSE),FALSE),VLOOKUP(G174,NGPREVPRICES,3,FALSE),HLOOKUP(D174,Correllate,VLOOKUP(G174,CorMove,2,FALSE),FALSE),Q174-$C$3,R174,$CJ$5)*H174-CJ174</f>
        <v>-172.05880324810278</v>
      </c>
      <c r="CI174" s="486">
        <f t="shared" si="224"/>
        <v>1.156563893542625</v>
      </c>
      <c r="CJ174" s="486">
        <f>_xll.xSPRDOPT((VLOOKUP(G174,NGPREVPRICES,2,FALSE)+HLOOKUP(D174,PREVCURVES,VLOOKUP(G174,MOVE_DOWN2,2,FALSE),FALSE)),VLOOKUP(G174,NGPREVPRICES,2,FALSE),CK174,VLOOKUP(G174,NGPREVPRICES,4,FALSE),HLOOKUP(D174,PREVVOLS,VLOOKUP(G174,MOVE_DOWN2,2,FALSE),FALSE),VLOOKUP(G174,NGPREVPRICES,3,FALSE),HLOOKUP(D174,Correllate,VLOOKUP(G174,CorMove,2,FALSE),FALSE),Q174-$CD$3,R174,$CJ$5)*H174</f>
        <v>-939571.33195759938</v>
      </c>
      <c r="CK174" s="235">
        <f t="shared" si="227"/>
        <v>0.1</v>
      </c>
      <c r="CL174" s="234"/>
      <c r="CM174" t="str">
        <f t="shared" si="225"/>
        <v>36800Curve Shift/Gamma</v>
      </c>
      <c r="CN174" t="str">
        <f>CONCATENATE($CC174,$CE$6)</f>
        <v>36800Rho</v>
      </c>
      <c r="CO174" t="str">
        <f>CONCATENATE($CC174,$CF$6)</f>
        <v>36800Drift</v>
      </c>
      <c r="CP174" t="str">
        <f>CONCATENATE($CC174,$CG$6)</f>
        <v>36800Vega</v>
      </c>
      <c r="CQ174" t="str">
        <f>CONCATENATE($CC174,$CH$6)</f>
        <v>36800Theta</v>
      </c>
    </row>
    <row r="175" spans="1:95" ht="12" customHeight="1" x14ac:dyDescent="0.25">
      <c r="A175" s="382" t="s">
        <v>348</v>
      </c>
      <c r="B175" t="s">
        <v>250</v>
      </c>
      <c r="C175" t="s">
        <v>358</v>
      </c>
      <c r="D175" s="4" t="s">
        <v>190</v>
      </c>
      <c r="E175" t="s">
        <v>20</v>
      </c>
      <c r="F175" t="s">
        <v>21</v>
      </c>
      <c r="G175" s="5">
        <v>36770</v>
      </c>
      <c r="H175" s="130">
        <v>-500000</v>
      </c>
      <c r="I175">
        <v>0.1</v>
      </c>
      <c r="J175" s="53">
        <f t="shared" si="200"/>
        <v>4.6849999999999996</v>
      </c>
      <c r="K175" s="7">
        <f t="shared" si="201"/>
        <v>2.5</v>
      </c>
      <c r="L175" s="53">
        <f t="shared" si="202"/>
        <v>7.1849999999999996</v>
      </c>
      <c r="M175" s="157">
        <f t="shared" si="231"/>
        <v>6.7216196212184998E-2</v>
      </c>
      <c r="N175" s="4">
        <f t="shared" si="232"/>
        <v>0.4</v>
      </c>
      <c r="O175" s="4">
        <f t="shared" si="233"/>
        <v>0.376</v>
      </c>
      <c r="P175" s="9">
        <f t="shared" si="234"/>
        <v>0.83</v>
      </c>
      <c r="Q175" s="5">
        <f t="shared" si="194"/>
        <v>36768</v>
      </c>
      <c r="R175" s="4">
        <f t="shared" si="235"/>
        <v>1</v>
      </c>
      <c r="S175" s="158">
        <f>_xll.xSPRDOPT($L175,$J175,$I175,$M175,$O175,$N175,$P175,$Q175-$C$3,$R175,0)</f>
        <v>2.3995586882912909</v>
      </c>
      <c r="T175" s="159">
        <f>_xll.xSPRDOPT($L175,$J175,$I175,$M175,$O175,$N175,$P175,$Q175-$C$3,$R175,1)*H175</f>
        <v>-499908.06004425068</v>
      </c>
      <c r="U175" s="160">
        <f t="shared" si="236"/>
        <v>-1199779.3441456454</v>
      </c>
      <c r="V175" s="159">
        <f>_xll.xSPRDOPT($L175,$J175,$I175,$M175,$O175,$N175,$P175,$Q175-$C$3,$R175,2)*H175</f>
        <v>499908.08000699634</v>
      </c>
      <c r="W175" s="159">
        <f t="shared" si="237"/>
        <v>1.996274566045031E-2</v>
      </c>
      <c r="X175" s="51" t="str">
        <f t="shared" si="228"/>
        <v>36770NGI-SOCAL</v>
      </c>
      <c r="Y175" s="418">
        <f t="shared" si="229"/>
        <v>-50</v>
      </c>
      <c r="Z175" s="456">
        <f t="shared" si="230"/>
        <v>0.9998161200885014</v>
      </c>
      <c r="AA175" s="456">
        <f>_xll.xSPRDOPT($L175,$J175,$I175,$M175,$O175,$N175,$P175,$Q175-$C$3,$R175,3)</f>
        <v>9.2200115215252244E-270</v>
      </c>
      <c r="AB175" s="456">
        <f>((_xll.xSPRDOPT($L175+AB$5,$J175,$I175,$M175,$O175,$N175,$P175,$Q175-$C$3,$R175,3)*$H175)/10000)/100</f>
        <v>-4.6100057607626122E-270</v>
      </c>
      <c r="AC175" s="456">
        <f>((_xll.xSPRDOPT($L175+$AB$5,$J175,$I175,$M175,$O175,$N175,$P175,$Q175-$C$3,$R175,7)*$H175)/100)</f>
        <v>0</v>
      </c>
      <c r="AD175" s="456">
        <f>(_xll.xSPRDOPT($L175+$AB$5,$J175,$I175,$M175,$O175,$N175,$P175,$Q175-$C$3,$R175,9)/365)*$H175</f>
        <v>-220.94411312741488</v>
      </c>
      <c r="AE175">
        <f t="shared" si="198"/>
        <v>0</v>
      </c>
      <c r="AF175" s="456">
        <f t="shared" si="199"/>
        <v>-3.9736588723781998E-7</v>
      </c>
      <c r="AG175" s="456">
        <f>((_xll.xSPRDOPT($L175,$J175,$I175,$M175,$O175,$N175,$P175,$Q175-$C$3,$R175,6)*$H175)/100)</f>
        <v>-5.3365253451360085E-6</v>
      </c>
      <c r="AH175" s="456">
        <f>((_xll.xSPRDOPT($L175,$J175,$I175,$M175,$O175,$N175,$P175,$Q175-$C$3,$R175,5)*$H175)/100)</f>
        <v>5.2544249552108392E-6</v>
      </c>
      <c r="AI175" s="456">
        <f>(((_xll.xSPRDOPT($L175,$J175,$I175,$M175,$O175,$N175,$P175,$Q175-$C$3,$R175,4)*$H175)/10000)/100)-AB175</f>
        <v>2.5317012314589047E-5</v>
      </c>
      <c r="AJ175" s="456"/>
      <c r="AK175" s="456"/>
      <c r="AL175" s="456"/>
      <c r="AM175" s="472"/>
      <c r="CC175" s="141">
        <f t="shared" si="226"/>
        <v>36770</v>
      </c>
      <c r="CD175" s="234">
        <f>_xll.xSPRDOPT((VLOOKUP(G175,NGPrices,2,FALSE)+HLOOKUP(D175,Prices,VLOOKUP(G175,move_down,2,FALSE),FALSE)),VLOOKUP(G175,NGPrices,2,FALSE),I175,VLOOKUP(G175,NGPREVPRICES,4,FALSE),HLOOKUP(D175,PREVVOLS,VLOOKUP(G175,MOVE_DOWN2,2,FALSE),FALSE),VLOOKUP(G175,NGPREVPRICES,3,FALSE),HLOOKUP(D175,Correllate,VLOOKUP(G175,CorMove,2,FALSE),FALSE),Q175-$CD$3,R175,$CD$5)*H175-CJ175</f>
        <v>0</v>
      </c>
      <c r="CE175" s="234">
        <f>_xll.xSPRDOPT((VLOOKUP(G175,NGPREVPRICES,2,FALSE)+HLOOKUP(D175,PREVCURVES,VLOOKUP(G175,MOVE_DOWN2,2,FALSE),FALSE)),VLOOKUP(G175,NGPREVPRICES,2,FALSE),CK175,VLOOKUP(G175,NGPrices,4,FALSE),HLOOKUP(D175,PREVVOLS,VLOOKUP(G175,MOVE_DOWN2,2,FALSE),FALSE),VLOOKUP(G175,NGPREVPRICES,3,FALSE),HLOOKUP(D175,Correllate,VLOOKUP(G175,CorMove,2,FALSE),FALSE),Q175-$CD$3,R175,$CJ$5)*H175-CJ175</f>
        <v>0</v>
      </c>
      <c r="CF175" s="10">
        <f t="shared" si="223"/>
        <v>218.59044582396746</v>
      </c>
      <c r="CG175" s="234">
        <f>_xll.xSPRDOPT((VLOOKUP(G175,NGPREVPRICES,2,FALSE)+HLOOKUP(D175,PREVCURVES,VLOOKUP(G175,MOVE_DOWN2,2,FALSE),FALSE)),VLOOKUP(G175,NGPREVPRICES,2,FALSE),CK175,VLOOKUP(G175,NGPREVPRICES,4,FALSE),HLOOKUP(D175,VOLS,VLOOKUP(G175,move_down,2,FALSE),FALSE),VLOOKUP(G175,NGPrices,3,FALSE),HLOOKUP(D175,Correllate,VLOOKUP(G175,CorMove,2,FALSE),FALSE),Q175-$CD$3,R175,$CJ$5)*H175-CJ175</f>
        <v>0</v>
      </c>
      <c r="CH175" s="234">
        <f>_xll.xSPRDOPT((VLOOKUP(G175,NGPREVPRICES,2,FALSE)+HLOOKUP(D175,PREVCURVES,VLOOKUP(G175,MOVE_DOWN2,2,FALSE),FALSE)),VLOOKUP(G175,NGPREVPRICES,2,FALSE),CK175,VLOOKUP(G175,NGPREVPRICES,4,FALSE),HLOOKUP(D175,PREVVOLS,VLOOKUP(G175,MOVE_DOWN2,2,FALSE),FALSE),VLOOKUP(G175,NGPREVPRICES,3,FALSE),HLOOKUP(D175,Correllate,VLOOKUP(G175,CorMove,2,FALSE),FALSE),Q175-$C$3,R175,$CJ$5)*H175-CJ175</f>
        <v>-220.77257030270994</v>
      </c>
      <c r="CI175" s="234">
        <f t="shared" si="224"/>
        <v>-2.1821244787424803</v>
      </c>
      <c r="CJ175" s="234">
        <f>_xll.xSPRDOPT((VLOOKUP(G175,NGPREVPRICES,2,FALSE)+HLOOKUP(D175,PREVCURVES,VLOOKUP(G175,MOVE_DOWN2,2,FALSE),FALSE)),VLOOKUP(G175,NGPREVPRICES,2,FALSE),CK175,VLOOKUP(G175,NGPREVPRICES,4,FALSE),HLOOKUP(D175,PREVVOLS,VLOOKUP(G175,MOVE_DOWN2,2,FALSE),FALSE),VLOOKUP(G175,NGPREVPRICES,3,FALSE),HLOOKUP(D175,Correllate,VLOOKUP(G175,CorMove,2,FALSE),FALSE),Q175-$CD$3,R175,$CJ$5)*H175</f>
        <v>-1199558.5715753427</v>
      </c>
      <c r="CK175" s="235">
        <f t="shared" si="227"/>
        <v>0.1</v>
      </c>
      <c r="CL175" s="234"/>
      <c r="CM175" t="str">
        <f t="shared" si="225"/>
        <v>36770Curve Shift/Gamma</v>
      </c>
      <c r="CN175" t="str">
        <f>CONCATENATE($CC175,$CE$6)</f>
        <v>36770Rho</v>
      </c>
      <c r="CO175" t="str">
        <f>CONCATENATE($CC175,$CF$6)</f>
        <v>36770Drift</v>
      </c>
      <c r="CP175" t="str">
        <f>CONCATENATE($CC175,$CG$6)</f>
        <v>36770Vega</v>
      </c>
      <c r="CQ175" t="str">
        <f>CONCATENATE($CC175,$CH$6)</f>
        <v>36770Theta</v>
      </c>
    </row>
    <row r="176" spans="1:95" ht="12" customHeight="1" x14ac:dyDescent="0.25">
      <c r="A176" s="140" t="s">
        <v>320</v>
      </c>
      <c r="B176" t="s">
        <v>250</v>
      </c>
      <c r="C176" t="s">
        <v>359</v>
      </c>
      <c r="D176" s="4" t="s">
        <v>7</v>
      </c>
      <c r="E176" t="s">
        <v>20</v>
      </c>
      <c r="F176" t="s">
        <v>21</v>
      </c>
      <c r="G176" s="5">
        <v>36951</v>
      </c>
      <c r="H176" s="130">
        <v>310000</v>
      </c>
      <c r="I176">
        <v>1.1499999999999999</v>
      </c>
      <c r="J176" s="53">
        <f t="shared" si="200"/>
        <v>4.2130000000000001</v>
      </c>
      <c r="K176" s="7">
        <f t="shared" si="201"/>
        <v>1.075</v>
      </c>
      <c r="L176" s="53">
        <f t="shared" si="202"/>
        <v>5.2880000000000003</v>
      </c>
      <c r="M176" s="157">
        <f t="shared" si="231"/>
        <v>6.8879814952706994E-2</v>
      </c>
      <c r="N176" s="4">
        <f t="shared" si="232"/>
        <v>0.53249999999999997</v>
      </c>
      <c r="O176" s="4">
        <f t="shared" si="233"/>
        <v>0.61199999999999999</v>
      </c>
      <c r="P176" s="9">
        <f t="shared" si="234"/>
        <v>0.83</v>
      </c>
      <c r="Q176" s="5">
        <f t="shared" si="194"/>
        <v>36949</v>
      </c>
      <c r="R176" s="4">
        <f t="shared" si="235"/>
        <v>1</v>
      </c>
      <c r="S176" s="158">
        <f>_xll.xSPRDOPT($L176,$J176,$I176,$M176,$O176,$N176,$P176,$Q176-$C$3,$R176,0)</f>
        <v>0.47535272679038493</v>
      </c>
      <c r="T176" s="159">
        <f>_xll.xSPRDOPT($L176,$J176,$I176,$M176,$O176,$N176,$P176,$Q176-$C$3,$R176,1)*H176</f>
        <v>158303.55378219284</v>
      </c>
      <c r="U176" s="160">
        <f t="shared" si="236"/>
        <v>147359.34530501932</v>
      </c>
      <c r="V176" s="159">
        <f>_xll.xSPRDOPT($L176,$J176,$I176,$M176,$O176,$N176,$P176,$Q176-$C$3,$R176,2)*H176</f>
        <v>-131020.81627930276</v>
      </c>
      <c r="W176" s="159">
        <f t="shared" si="237"/>
        <v>27282.737502890086</v>
      </c>
      <c r="X176" s="51" t="str">
        <f t="shared" si="228"/>
        <v>36951IF-TRANSCO/Z6</v>
      </c>
      <c r="Y176" s="418">
        <f t="shared" si="229"/>
        <v>31</v>
      </c>
      <c r="Z176" s="456">
        <f t="shared" si="230"/>
        <v>0.51065662510384791</v>
      </c>
      <c r="AA176" s="456">
        <f>_xll.xSPRDOPT($L176,$J176,$I176,$M176,$O176,$N176,$P176,$Q176-$C$3,$R176,3)</f>
        <v>0.29184141966594901</v>
      </c>
      <c r="AB176" s="456">
        <f>((_xll.xSPRDOPT($L176+AB$5,$J176,$I176,$M176,$O176,$N176,$P176,$Q176-$C$3,$R176,3)*$H176)/10000)/100</f>
        <v>9.0470840096444197E-2</v>
      </c>
      <c r="AC176" s="456">
        <f>((_xll.xSPRDOPT($L176+$AB$5,$J176,$I176,$M176,$O176,$N176,$P176,$Q176-$C$3,$R176,7)*$H176)/100)</f>
        <v>-3246.457605381132</v>
      </c>
      <c r="AD176" s="456">
        <f>(_xll.xSPRDOPT($L176+$AB$5,$J176,$I176,$M176,$O176,$N176,$P176,$Q176-$C$3,$R176,9)/365)*$H176</f>
        <v>-405.76165034833014</v>
      </c>
      <c r="AE176">
        <f t="shared" si="198"/>
        <v>0</v>
      </c>
      <c r="AF176" s="456">
        <f t="shared" si="199"/>
        <v>2961.7182127800861</v>
      </c>
      <c r="AG176" s="456">
        <f>((_xll.xSPRDOPT($L176,$J176,$I176,$M176,$O176,$N176,$P176,$Q176-$C$3,$R176,6)*$H176)/100)</f>
        <v>-844.64914112450617</v>
      </c>
      <c r="AH176" s="456">
        <f>((_xll.xSPRDOPT($L176,$J176,$I176,$M176,$O176,$N176,$P176,$Q176-$C$3,$R176,5)*$H176)/100)</f>
        <v>3311.9127711669857</v>
      </c>
      <c r="AI176" s="456">
        <f>(((_xll.xSPRDOPT($L176,$J176,$I176,$M176,$O176,$N176,$P176,$Q176-$C$3,$R176,4)*$H176)/10000)/100)-AB176</f>
        <v>-9.6073533226671837E-4</v>
      </c>
      <c r="AJ176" s="456"/>
      <c r="AK176" s="456"/>
      <c r="AL176" s="456"/>
      <c r="AM176" s="472"/>
      <c r="CC176" s="141">
        <f t="shared" si="226"/>
        <v>36951</v>
      </c>
      <c r="CD176" s="234">
        <f>_xll.xSPRDOPT((VLOOKUP(G176,NGPrices,2,FALSE)+HLOOKUP(D176,Prices,VLOOKUP(G176,move_down,2,FALSE),FALSE)),VLOOKUP(G176,NGPrices,2,FALSE),I176,VLOOKUP(G176,NGPREVPRICES,4,FALSE),HLOOKUP(D176,PREVVOLS,VLOOKUP(G176,MOVE_DOWN2,2,FALSE),FALSE),VLOOKUP(G176,NGPREVPRICES,3,FALSE),HLOOKUP(D176,Correllate,VLOOKUP(G176,CorMove,2,FALSE),FALSE),Q176-$CD$3,R176,$CD$5)*H176-CJ176</f>
        <v>0</v>
      </c>
      <c r="CE176" s="234">
        <f>_xll.xSPRDOPT((VLOOKUP(G176,NGPREVPRICES,2,FALSE)+HLOOKUP(D176,PREVCURVES,VLOOKUP(G176,MOVE_DOWN2,2,FALSE),FALSE)),VLOOKUP(G176,NGPREVPRICES,2,FALSE),CK176,VLOOKUP(G176,NGPrices,4,FALSE),HLOOKUP(D176,PREVVOLS,VLOOKUP(G176,MOVE_DOWN2,2,FALSE),FALSE),VLOOKUP(G176,NGPREVPRICES,3,FALSE),HLOOKUP(D176,Correllate,VLOOKUP(G176,CorMove,2,FALSE),FALSE),Q176-$CD$3,R176,$CJ$5)*H176-CJ176</f>
        <v>0</v>
      </c>
      <c r="CF176" s="10">
        <f t="shared" si="223"/>
        <v>-28.338956544583198</v>
      </c>
      <c r="CG176" s="234">
        <f>_xll.xSPRDOPT((VLOOKUP(G176,NGPREVPRICES,2,FALSE)+HLOOKUP(D176,PREVCURVES,VLOOKUP(G176,MOVE_DOWN2,2,FALSE),FALSE)),VLOOKUP(G176,NGPREVPRICES,2,FALSE),CK176,VLOOKUP(G176,NGPREVPRICES,4,FALSE),HLOOKUP(D176,VOLS,VLOOKUP(G176,move_down,2,FALSE),FALSE),VLOOKUP(G176,NGPrices,3,FALSE),HLOOKUP(D176,Correllate,VLOOKUP(G176,CorMove,2,FALSE),FALSE),Q176-$CD$3,R176,$CJ$5)*H176-CJ176</f>
        <v>0</v>
      </c>
      <c r="CH176" s="234">
        <f>_xll.xSPRDOPT((VLOOKUP(G176,NGPREVPRICES,2,FALSE)+HLOOKUP(D176,PREVCURVES,VLOOKUP(G176,MOVE_DOWN2,2,FALSE),FALSE)),VLOOKUP(G176,NGPREVPRICES,2,FALSE),CK176,VLOOKUP(G176,NGPREVPRICES,4,FALSE),HLOOKUP(D176,PREVVOLS,VLOOKUP(G176,MOVE_DOWN2,2,FALSE),FALSE),VLOOKUP(G176,NGPREVPRICES,3,FALSE),HLOOKUP(D176,Correllate,VLOOKUP(G176,CorMove,2,FALSE),FALSE),Q176-$C$3,R176,$CJ$5)*H176-CJ176</f>
        <v>-404.80877204495482</v>
      </c>
      <c r="CI176" s="234">
        <f t="shared" si="224"/>
        <v>-433.14772858953802</v>
      </c>
      <c r="CJ176" s="234">
        <f>_xll.xSPRDOPT((VLOOKUP(G176,NGPREVPRICES,2,FALSE)+HLOOKUP(D176,PREVCURVES,VLOOKUP(G176,MOVE_DOWN2,2,FALSE),FALSE)),VLOOKUP(G176,NGPREVPRICES,2,FALSE),CK176,VLOOKUP(G176,NGPREVPRICES,4,FALSE),HLOOKUP(D176,PREVVOLS,VLOOKUP(G176,MOVE_DOWN2,2,FALSE),FALSE),VLOOKUP(G176,NGPREVPRICES,3,FALSE),HLOOKUP(D176,Correllate,VLOOKUP(G176,CorMove,2,FALSE),FALSE),Q176-$CD$3,R176,$CJ$5)*H176</f>
        <v>147764.15407706428</v>
      </c>
      <c r="CK176" s="235">
        <f t="shared" si="227"/>
        <v>1.1499999999999999</v>
      </c>
      <c r="CL176" s="234"/>
      <c r="CM176" t="str">
        <f t="shared" si="225"/>
        <v>36951Curve Shift/Gamma</v>
      </c>
      <c r="CN176" t="str">
        <f>CONCATENATE($CC176,$CE$6)</f>
        <v>36951Rho</v>
      </c>
      <c r="CO176" t="str">
        <f>CONCATENATE($CC176,$CF$6)</f>
        <v>36951Drift</v>
      </c>
      <c r="CP176" t="str">
        <f>CONCATENATE($CC176,$CG$6)</f>
        <v>36951Vega</v>
      </c>
      <c r="CQ176" t="str">
        <f>CONCATENATE($CC176,$CH$6)</f>
        <v>36951Theta</v>
      </c>
    </row>
    <row r="177" spans="1:95" ht="12" customHeight="1" x14ac:dyDescent="0.25">
      <c r="A177" s="140" t="s">
        <v>320</v>
      </c>
      <c r="B177" t="s">
        <v>250</v>
      </c>
      <c r="C177" t="s">
        <v>359</v>
      </c>
      <c r="D177" s="4" t="s">
        <v>7</v>
      </c>
      <c r="E177" t="s">
        <v>20</v>
      </c>
      <c r="F177" t="s">
        <v>21</v>
      </c>
      <c r="G177" s="5">
        <v>36923</v>
      </c>
      <c r="H177" s="130">
        <v>280000</v>
      </c>
      <c r="I177">
        <v>1.1499999999999999</v>
      </c>
      <c r="J177" s="53">
        <f t="shared" si="200"/>
        <v>4.4800000000000004</v>
      </c>
      <c r="K177" s="7">
        <f t="shared" si="201"/>
        <v>2.09</v>
      </c>
      <c r="L177" s="53">
        <f t="shared" si="202"/>
        <v>6.57</v>
      </c>
      <c r="M177" s="157">
        <f t="shared" si="231"/>
        <v>6.8640161611372E-2</v>
      </c>
      <c r="N177" s="4">
        <f t="shared" si="232"/>
        <v>0.59250000000000003</v>
      </c>
      <c r="O177" s="4">
        <f t="shared" si="233"/>
        <v>0.68100000000000005</v>
      </c>
      <c r="P177" s="9">
        <f t="shared" si="234"/>
        <v>0.83</v>
      </c>
      <c r="Q177" s="5">
        <f t="shared" si="194"/>
        <v>36921</v>
      </c>
      <c r="R177" s="4">
        <f t="shared" si="235"/>
        <v>1</v>
      </c>
      <c r="S177" s="158">
        <f>_xll.xSPRDOPT($L177,$J177,$I177,$M177,$O177,$N177,$P177,$Q177-$C$3,$R177,0)</f>
        <v>1.1637603397326721</v>
      </c>
      <c r="T177" s="159">
        <f>_xll.xSPRDOPT($L177,$J177,$I177,$M177,$O177,$N177,$P177,$Q177-$C$3,$R177,1)*H177</f>
        <v>209253.71605174532</v>
      </c>
      <c r="U177" s="160">
        <f t="shared" si="236"/>
        <v>325852.89512514818</v>
      </c>
      <c r="V177" s="159">
        <f>_xll.xSPRDOPT($L177,$J177,$I177,$M177,$O177,$N177,$P177,$Q177-$C$3,$R177,2)*H177</f>
        <v>-188289.55255330732</v>
      </c>
      <c r="W177" s="159">
        <f t="shared" si="237"/>
        <v>20964.163498437993</v>
      </c>
      <c r="X177" s="51" t="str">
        <f t="shared" si="228"/>
        <v>36923IF-TRANSCO/Z6</v>
      </c>
      <c r="Y177" s="418">
        <f t="shared" si="229"/>
        <v>28</v>
      </c>
      <c r="Z177" s="456">
        <f t="shared" si="230"/>
        <v>0.74733470018480475</v>
      </c>
      <c r="AA177" s="456">
        <f>_xll.xSPRDOPT($L177,$J177,$I177,$M177,$O177,$N177,$P177,$Q177-$C$3,$R177,3)</f>
        <v>0.17629992042757986</v>
      </c>
      <c r="AB177" s="456">
        <f>((_xll.xSPRDOPT($L177+AB$5,$J177,$I177,$M177,$O177,$N177,$P177,$Q177-$C$3,$R177,3)*$H177)/10000)/100</f>
        <v>4.9363977719722361E-2</v>
      </c>
      <c r="AC177" s="456">
        <f>((_xll.xSPRDOPT($L177+$AB$5,$J177,$I177,$M177,$O177,$N177,$P177,$Q177-$C$3,$R177,7)*$H177)/100)</f>
        <v>-2863.4489834302076</v>
      </c>
      <c r="AD177" s="456">
        <f>(_xll.xSPRDOPT($L177+$AB$5,$J177,$I177,$M177,$O177,$N177,$P177,$Q177-$C$3,$R177,9)/365)*$H177</f>
        <v>-391.41765270389442</v>
      </c>
      <c r="AE177">
        <f t="shared" si="198"/>
        <v>0</v>
      </c>
      <c r="AF177" s="456">
        <f t="shared" si="199"/>
        <v>2351.6444173552195</v>
      </c>
      <c r="AG177" s="456">
        <f>((_xll.xSPRDOPT($L177,$J177,$I177,$M177,$O177,$N177,$P177,$Q177-$C$3,$R177,6)*$H177)/100)</f>
        <v>-669.10290008143841</v>
      </c>
      <c r="AH177" s="456">
        <f>((_xll.xSPRDOPT($L177,$J177,$I177,$M177,$O177,$N177,$P177,$Q177-$C$3,$R177,5)*$H177)/100)</f>
        <v>2628.1832387389422</v>
      </c>
      <c r="AI177" s="456">
        <f>(((_xll.xSPRDOPT($L177,$J177,$I177,$M177,$O177,$N177,$P177,$Q177-$C$3,$R177,4)*$H177)/10000)/100)-AB177</f>
        <v>1.7293059330440015E-2</v>
      </c>
      <c r="AJ177" s="456"/>
      <c r="AK177" s="456"/>
      <c r="AL177" s="456"/>
      <c r="AM177" s="472"/>
      <c r="CC177" s="141">
        <f t="shared" si="226"/>
        <v>36923</v>
      </c>
      <c r="CD177" s="234">
        <f>_xll.xSPRDOPT((VLOOKUP(G177,NGPrices,2,FALSE)+HLOOKUP(D177,Prices,VLOOKUP(G177,move_down,2,FALSE),FALSE)),VLOOKUP(G177,NGPrices,2,FALSE),I177,VLOOKUP(G177,NGPREVPRICES,4,FALSE),HLOOKUP(D177,PREVVOLS,VLOOKUP(G177,MOVE_DOWN2,2,FALSE),FALSE),VLOOKUP(G177,NGPREVPRICES,3,FALSE),HLOOKUP(D177,Correllate,VLOOKUP(G177,CorMove,2,FALSE),FALSE),Q177-$CD$3,R177,$CD$5)*H177-CJ177</f>
        <v>0</v>
      </c>
      <c r="CE177" s="234">
        <f>_xll.xSPRDOPT((VLOOKUP(G177,NGPREVPRICES,2,FALSE)+HLOOKUP(D177,PREVCURVES,VLOOKUP(G177,MOVE_DOWN2,2,FALSE),FALSE)),VLOOKUP(G177,NGPREVPRICES,2,FALSE),CK177,VLOOKUP(G177,NGPrices,4,FALSE),HLOOKUP(D177,PREVVOLS,VLOOKUP(G177,MOVE_DOWN2,2,FALSE),FALSE),VLOOKUP(G177,NGPREVPRICES,3,FALSE),HLOOKUP(D177,Correllate,VLOOKUP(G177,CorMove,2,FALSE),FALSE),Q177-$CD$3,R177,$CJ$5)*H177-CJ177</f>
        <v>0</v>
      </c>
      <c r="CF177" s="10">
        <f t="shared" si="223"/>
        <v>-62.047750160796568</v>
      </c>
      <c r="CG177" s="234">
        <f>_xll.xSPRDOPT((VLOOKUP(G177,NGPREVPRICES,2,FALSE)+HLOOKUP(D177,PREVCURVES,VLOOKUP(G177,MOVE_DOWN2,2,FALSE),FALSE)),VLOOKUP(G177,NGPREVPRICES,2,FALSE),CK177,VLOOKUP(G177,NGPREVPRICES,4,FALSE),HLOOKUP(D177,VOLS,VLOOKUP(G177,move_down,2,FALSE),FALSE),VLOOKUP(G177,NGPrices,3,FALSE),HLOOKUP(D177,Correllate,VLOOKUP(G177,CorMove,2,FALSE),FALSE),Q177-$CD$3,R177,$CJ$5)*H177-CJ177</f>
        <v>0</v>
      </c>
      <c r="CH177" s="234">
        <f>_xll.xSPRDOPT((VLOOKUP(G177,NGPREVPRICES,2,FALSE)+HLOOKUP(D177,PREVCURVES,VLOOKUP(G177,MOVE_DOWN2,2,FALSE),FALSE)),VLOOKUP(G177,NGPREVPRICES,2,FALSE),CK177,VLOOKUP(G177,NGPREVPRICES,4,FALSE),HLOOKUP(D177,PREVVOLS,VLOOKUP(G177,MOVE_DOWN2,2,FALSE),FALSE),VLOOKUP(G177,NGPREVPRICES,3,FALSE),HLOOKUP(D177,Correllate,VLOOKUP(G177,CorMove,2,FALSE),FALSE),Q177-$C$3,R177,$CJ$5)*H177-CJ177</f>
        <v>-390.60159072029637</v>
      </c>
      <c r="CI177" s="234">
        <f t="shared" si="224"/>
        <v>-452.64934088109294</v>
      </c>
      <c r="CJ177" s="234">
        <f>_xll.xSPRDOPT((VLOOKUP(G177,NGPREVPRICES,2,FALSE)+HLOOKUP(D177,PREVCURVES,VLOOKUP(G177,MOVE_DOWN2,2,FALSE),FALSE)),VLOOKUP(G177,NGPREVPRICES,2,FALSE),CK177,VLOOKUP(G177,NGPREVPRICES,4,FALSE),HLOOKUP(D177,PREVVOLS,VLOOKUP(G177,MOVE_DOWN2,2,FALSE),FALSE),VLOOKUP(G177,NGPREVPRICES,3,FALSE),HLOOKUP(D177,Correllate,VLOOKUP(G177,CorMove,2,FALSE),FALSE),Q177-$CD$3,R177,$CJ$5)*H177</f>
        <v>326243.49671586847</v>
      </c>
      <c r="CK177" s="235">
        <f t="shared" si="227"/>
        <v>1.1499999999999999</v>
      </c>
      <c r="CL177" s="234"/>
      <c r="CM177" t="str">
        <f t="shared" si="225"/>
        <v>36923Curve Shift/Gamma</v>
      </c>
      <c r="CN177" t="str">
        <f>CONCATENATE($CC177,$CE$6)</f>
        <v>36923Rho</v>
      </c>
      <c r="CO177" t="str">
        <f>CONCATENATE($CC177,$CF$6)</f>
        <v>36923Drift</v>
      </c>
      <c r="CP177" t="str">
        <f>CONCATENATE($CC177,$CG$6)</f>
        <v>36923Vega</v>
      </c>
      <c r="CQ177" t="str">
        <f>CONCATENATE($CC177,$CH$6)</f>
        <v>36923Theta</v>
      </c>
    </row>
    <row r="178" spans="1:95" ht="12" customHeight="1" x14ac:dyDescent="0.25">
      <c r="A178" s="140" t="s">
        <v>320</v>
      </c>
      <c r="B178" t="s">
        <v>250</v>
      </c>
      <c r="C178" t="s">
        <v>359</v>
      </c>
      <c r="D178" s="4" t="s">
        <v>7</v>
      </c>
      <c r="E178" t="s">
        <v>20</v>
      </c>
      <c r="F178" t="s">
        <v>21</v>
      </c>
      <c r="G178" s="5">
        <v>36892</v>
      </c>
      <c r="H178" s="130">
        <v>310000</v>
      </c>
      <c r="I178">
        <v>1.1499999999999999</v>
      </c>
      <c r="J178" s="53">
        <f t="shared" si="200"/>
        <v>4.7439999999999998</v>
      </c>
      <c r="K178" s="7">
        <f t="shared" si="201"/>
        <v>2.17</v>
      </c>
      <c r="L178" s="53">
        <f t="shared" si="202"/>
        <v>6.9139999999999997</v>
      </c>
      <c r="M178" s="157">
        <f t="shared" ref="M178:M209" si="238">VLOOKUP(G178,NGPrices,4,FALSE)</f>
        <v>6.8374831148490994E-2</v>
      </c>
      <c r="N178" s="4">
        <f t="shared" ref="N178:N209" si="239">VLOOKUP(G178,NGPrices,3,FALSE)</f>
        <v>0.60499999999999998</v>
      </c>
      <c r="O178" s="4">
        <f t="shared" ref="O178:O209" si="240">HLOOKUP(D178,VOLS,VLOOKUP(G178,move_down,2,FALSE),FALSE)</f>
        <v>0.69599999999999995</v>
      </c>
      <c r="P178" s="9">
        <f t="shared" ref="P178:P209" si="241">HLOOKUP(D178,Correllate,VLOOKUP(G178,CorMove,2,FALSE),FALSE)</f>
        <v>0.83</v>
      </c>
      <c r="Q178" s="5">
        <f t="shared" si="194"/>
        <v>36888</v>
      </c>
      <c r="R178" s="4">
        <f t="shared" ref="R178:R209" si="242">IF(F178="P",0,1)</f>
        <v>1</v>
      </c>
      <c r="S178" s="158">
        <f>_xll.xSPRDOPT($L178,$J178,$I178,$M178,$O178,$N178,$P178,$Q178-$C$3,$R178,0)</f>
        <v>1.2038189306132381</v>
      </c>
      <c r="T178" s="159">
        <f>_xll.xSPRDOPT($L178,$J178,$I178,$M178,$O178,$N178,$P178,$Q178-$C$3,$R178,1)*H178</f>
        <v>239836.18739165939</v>
      </c>
      <c r="U178" s="160">
        <f t="shared" ref="U178:U209" si="243">S178*H178</f>
        <v>373183.86849010381</v>
      </c>
      <c r="V178" s="159">
        <f>_xll.xSPRDOPT($L178,$J178,$I178,$M178,$O178,$N178,$P178,$Q178-$C$3,$R178,2)*H178</f>
        <v>-219744.791958102</v>
      </c>
      <c r="W178" s="159">
        <f t="shared" ref="W178:W209" si="244">+V178+T178</f>
        <v>20091.395433557394</v>
      </c>
      <c r="X178" s="51" t="str">
        <f t="shared" si="228"/>
        <v>36892IF-TRANSCO/Z6</v>
      </c>
      <c r="Y178" s="418">
        <f t="shared" si="229"/>
        <v>31</v>
      </c>
      <c r="Z178" s="456">
        <f t="shared" si="230"/>
        <v>0.7736651206182561</v>
      </c>
      <c r="AA178" s="456">
        <f>_xll.xSPRDOPT($L178,$J178,$I178,$M178,$O178,$N178,$P178,$Q178-$C$3,$R178,3)</f>
        <v>0.17621191536190761</v>
      </c>
      <c r="AB178" s="456">
        <f>((_xll.xSPRDOPT($L178+AB$5,$J178,$I178,$M178,$O178,$N178,$P178,$Q178-$C$3,$R178,3)*$H178)/10000)/100</f>
        <v>5.4625693762191362E-2</v>
      </c>
      <c r="AC178" s="456">
        <f>((_xll.xSPRDOPT($L178+$AB$5,$J178,$I178,$M178,$O178,$N178,$P178,$Q178-$C$3,$R178,7)*$H178)/100)</f>
        <v>-2908.6909572656418</v>
      </c>
      <c r="AD178" s="456">
        <f>(_xll.xSPRDOPT($L178+$AB$5,$J178,$I178,$M178,$O178,$N178,$P178,$Q178-$C$3,$R178,9)/365)*$H178</f>
        <v>-505.15822917741104</v>
      </c>
      <c r="AE178">
        <f t="shared" si="198"/>
        <v>0</v>
      </c>
      <c r="AF178" s="456">
        <f t="shared" si="199"/>
        <v>2298.6900733575644</v>
      </c>
      <c r="AG178" s="456">
        <f>((_xll.xSPRDOPT($L178,$J178,$I178,$M178,$O178,$N178,$P178,$Q178-$C$3,$R178,6)*$H178)/100)</f>
        <v>-637.39414510546658</v>
      </c>
      <c r="AH178" s="456">
        <f>((_xll.xSPRDOPT($L178,$J178,$I178,$M178,$O178,$N178,$P178,$Q178-$C$3,$R178,5)*$H178)/100)</f>
        <v>2552.1996439226064</v>
      </c>
      <c r="AI178" s="456">
        <f>(((_xll.xSPRDOPT($L178,$J178,$I178,$M178,$O178,$N178,$P178,$Q178-$C$3,$R178,4)*$H178)/10000)/100)-AB178</f>
        <v>1.9709880471376055E-2</v>
      </c>
      <c r="AJ178" s="456"/>
      <c r="AK178" s="456"/>
      <c r="AL178" s="456"/>
      <c r="AM178" s="472"/>
      <c r="CC178" s="141">
        <f t="shared" si="226"/>
        <v>36892</v>
      </c>
      <c r="CD178" s="234">
        <f>_xll.xSPRDOPT((VLOOKUP(G178,NGPrices,2,FALSE)+HLOOKUP(D178,Prices,VLOOKUP(G178,move_down,2,FALSE),FALSE)),VLOOKUP(G178,NGPrices,2,FALSE),I178,VLOOKUP(G178,NGPREVPRICES,4,FALSE),HLOOKUP(D178,PREVVOLS,VLOOKUP(G178,MOVE_DOWN2,2,FALSE),FALSE),VLOOKUP(G178,NGPREVPRICES,3,FALSE),HLOOKUP(D178,Correllate,VLOOKUP(G178,CorMove,2,FALSE),FALSE),Q178-$CD$3,R178,$CD$5)*H178-CJ178</f>
        <v>0</v>
      </c>
      <c r="CE178" s="234">
        <f>_xll.xSPRDOPT((VLOOKUP(G178,NGPREVPRICES,2,FALSE)+HLOOKUP(D178,PREVCURVES,VLOOKUP(G178,MOVE_DOWN2,2,FALSE),FALSE)),VLOOKUP(G178,NGPREVPRICES,2,FALSE),CK178,VLOOKUP(G178,NGPrices,4,FALSE),HLOOKUP(D178,PREVVOLS,VLOOKUP(G178,MOVE_DOWN2,2,FALSE),FALSE),VLOOKUP(G178,NGPREVPRICES,3,FALSE),HLOOKUP(D178,Correllate,VLOOKUP(G178,CorMove,2,FALSE),FALSE),Q178-$CD$3,R178,$CJ$5)*H178-CJ178</f>
        <v>0</v>
      </c>
      <c r="CF178" s="10">
        <f t="shared" ref="CF178:CF203" si="245">(CJ178/VLOOKUP(CC178,discount,3,FALSE))-(CJ178/VLOOKUP(CC178,discount,2,FALSE))</f>
        <v>-70.418193969409913</v>
      </c>
      <c r="CG178" s="234">
        <f>_xll.xSPRDOPT((VLOOKUP(G178,NGPREVPRICES,2,FALSE)+HLOOKUP(D178,PREVCURVES,VLOOKUP(G178,MOVE_DOWN2,2,FALSE),FALSE)),VLOOKUP(G178,NGPREVPRICES,2,FALSE),CK178,VLOOKUP(G178,NGPREVPRICES,4,FALSE),HLOOKUP(D178,VOLS,VLOOKUP(G178,move_down,2,FALSE),FALSE),VLOOKUP(G178,NGPrices,3,FALSE),HLOOKUP(D178,Correllate,VLOOKUP(G178,CorMove,2,FALSE),FALSE),Q178-$CD$3,R178,$CJ$5)*H178-CJ178</f>
        <v>0</v>
      </c>
      <c r="CH178" s="234">
        <f>_xll.xSPRDOPT((VLOOKUP(G178,NGPREVPRICES,2,FALSE)+HLOOKUP(D178,PREVCURVES,VLOOKUP(G178,MOVE_DOWN2,2,FALSE),FALSE)),VLOOKUP(G178,NGPREVPRICES,2,FALSE),CK178,VLOOKUP(G178,NGPREVPRICES,4,FALSE),HLOOKUP(D178,PREVVOLS,VLOOKUP(G178,MOVE_DOWN2,2,FALSE),FALSE),VLOOKUP(G178,NGPREVPRICES,3,FALSE),HLOOKUP(D178,Correllate,VLOOKUP(G178,CorMove,2,FALSE),FALSE),Q178-$C$3,R178,$CJ$5)*H178-CJ178</f>
        <v>-504.09018044284312</v>
      </c>
      <c r="CI178" s="234">
        <f t="shared" ref="CI178:CI203" si="246">SUM(CD178:CH178)</f>
        <v>-574.50837441225303</v>
      </c>
      <c r="CJ178" s="234">
        <f>_xll.xSPRDOPT((VLOOKUP(G178,NGPREVPRICES,2,FALSE)+HLOOKUP(D178,PREVCURVES,VLOOKUP(G178,MOVE_DOWN2,2,FALSE),FALSE)),VLOOKUP(G178,NGPREVPRICES,2,FALSE),CK178,VLOOKUP(G178,NGPREVPRICES,4,FALSE),HLOOKUP(D178,PREVVOLS,VLOOKUP(G178,MOVE_DOWN2,2,FALSE),FALSE),VLOOKUP(G178,NGPREVPRICES,3,FALSE),HLOOKUP(D178,Correllate,VLOOKUP(G178,CorMove,2,FALSE),FALSE),Q178-$CD$3,R178,$CJ$5)*H178</f>
        <v>373687.95867054665</v>
      </c>
      <c r="CK178" s="235">
        <f t="shared" si="227"/>
        <v>1.1499999999999999</v>
      </c>
      <c r="CL178" s="234"/>
      <c r="CM178" t="str">
        <f t="shared" ref="CM178:CM203" si="247">CONCATENATE(CC178,$CD$6)</f>
        <v>36892Curve Shift/Gamma</v>
      </c>
      <c r="CN178" t="str">
        <f t="shared" ref="CN178:CN237" si="248">CONCATENATE($CC178,$CE$6)</f>
        <v>36892Rho</v>
      </c>
      <c r="CO178" t="str">
        <f t="shared" ref="CO178:CO237" si="249">CONCATENATE($CC178,$CF$6)</f>
        <v>36892Drift</v>
      </c>
      <c r="CP178" t="str">
        <f t="shared" ref="CP178:CP237" si="250">CONCATENATE($CC178,$CG$6)</f>
        <v>36892Vega</v>
      </c>
      <c r="CQ178" t="str">
        <f t="shared" ref="CQ178:CQ237" si="251">CONCATENATE($CC178,$CH$6)</f>
        <v>36892Theta</v>
      </c>
    </row>
    <row r="179" spans="1:95" ht="12" customHeight="1" x14ac:dyDescent="0.25">
      <c r="A179" s="140" t="s">
        <v>320</v>
      </c>
      <c r="B179" t="s">
        <v>250</v>
      </c>
      <c r="C179" t="s">
        <v>359</v>
      </c>
      <c r="D179" s="4" t="s">
        <v>7</v>
      </c>
      <c r="E179" t="s">
        <v>20</v>
      </c>
      <c r="F179" t="s">
        <v>21</v>
      </c>
      <c r="G179" s="5">
        <v>36861</v>
      </c>
      <c r="H179" s="130">
        <v>310000</v>
      </c>
      <c r="I179">
        <v>1.1499999999999999</v>
      </c>
      <c r="J179" s="53">
        <f t="shared" si="200"/>
        <v>4.8</v>
      </c>
      <c r="K179" s="7">
        <f t="shared" si="201"/>
        <v>1.645</v>
      </c>
      <c r="L179" s="53">
        <f t="shared" si="202"/>
        <v>6.4450000000000003</v>
      </c>
      <c r="M179" s="157">
        <f t="shared" si="238"/>
        <v>6.8314027999354002E-2</v>
      </c>
      <c r="N179" s="4">
        <f t="shared" si="239"/>
        <v>0.6</v>
      </c>
      <c r="O179" s="4">
        <f t="shared" si="240"/>
        <v>0.69</v>
      </c>
      <c r="P179" s="9">
        <f t="shared" si="241"/>
        <v>0.83</v>
      </c>
      <c r="Q179" s="5">
        <f t="shared" si="194"/>
        <v>36859</v>
      </c>
      <c r="R179" s="4">
        <f t="shared" si="242"/>
        <v>1</v>
      </c>
      <c r="S179" s="158">
        <f>_xll.xSPRDOPT($L179,$J179,$I179,$M179,$O179,$N179,$P179,$Q179-$C$3,$R179,0)</f>
        <v>0.76336341489400872</v>
      </c>
      <c r="T179" s="159">
        <f>_xll.xSPRDOPT($L179,$J179,$I179,$M179,$O179,$N179,$P179,$Q179-$C$3,$R179,1)*H179</f>
        <v>211100.74580692415</v>
      </c>
      <c r="U179" s="160">
        <f t="shared" si="243"/>
        <v>236642.6586171427</v>
      </c>
      <c r="V179" s="159">
        <f>_xll.xSPRDOPT($L179,$J179,$I179,$M179,$O179,$N179,$P179,$Q179-$C$3,$R179,2)*H179</f>
        <v>-190477.66905960848</v>
      </c>
      <c r="W179" s="159">
        <f t="shared" si="244"/>
        <v>20623.076747315674</v>
      </c>
      <c r="X179" s="51" t="str">
        <f t="shared" si="228"/>
        <v>36861IF-TRANSCO/Z6</v>
      </c>
      <c r="Y179" s="418">
        <f t="shared" si="229"/>
        <v>31</v>
      </c>
      <c r="Z179" s="456">
        <f t="shared" si="230"/>
        <v>0.68097014776427145</v>
      </c>
      <c r="AA179" s="456">
        <f>_xll.xSPRDOPT($L179,$J179,$I179,$M179,$O179,$N179,$P179,$Q179-$C$3,$R179,3)</f>
        <v>0.26984689871019807</v>
      </c>
      <c r="AB179" s="456">
        <f>((_xll.xSPRDOPT($L179+AB$5,$J179,$I179,$M179,$O179,$N179,$P179,$Q179-$C$3,$R179,3)*$H179)/10000)/100</f>
        <v>8.3652538600161391E-2</v>
      </c>
      <c r="AC179" s="456">
        <f>((_xll.xSPRDOPT($L179+$AB$5,$J179,$I179,$M179,$O179,$N179,$P179,$Q179-$C$3,$R179,7)*$H179)/100)</f>
        <v>-2914.5944126371701</v>
      </c>
      <c r="AD179" s="456">
        <f>(_xll.xSPRDOPT($L179+$AB$5,$J179,$I179,$M179,$O179,$N179,$P179,$Q179-$C$3,$R179,9)/365)*$H179</f>
        <v>-703.02915514381584</v>
      </c>
      <c r="AE179">
        <f t="shared" si="198"/>
        <v>0</v>
      </c>
      <c r="AF179" s="456">
        <f t="shared" si="199"/>
        <v>2290.2114695665059</v>
      </c>
      <c r="AG179" s="456">
        <f>((_xll.xSPRDOPT($L179,$J179,$I179,$M179,$O179,$N179,$P179,$Q179-$C$3,$R179,6)*$H179)/100)</f>
        <v>-622.89356623209517</v>
      </c>
      <c r="AH179" s="456">
        <f>((_xll.xSPRDOPT($L179,$J179,$I179,$M179,$O179,$N179,$P179,$Q179-$C$3,$R179,5)*$H179)/100)</f>
        <v>2533.1348137379141</v>
      </c>
      <c r="AI179" s="456">
        <f>(((_xll.xSPRDOPT($L179,$J179,$I179,$M179,$O179,$N179,$P179,$Q179-$C$3,$R179,4)*$H179)/10000)/100)-AB179</f>
        <v>1.4248587456723152E-2</v>
      </c>
      <c r="AJ179" s="456"/>
      <c r="AK179" s="456"/>
      <c r="AL179" s="456"/>
      <c r="AM179" s="472"/>
      <c r="CC179" s="141">
        <f t="shared" si="226"/>
        <v>36861</v>
      </c>
      <c r="CD179" s="234">
        <f>_xll.xSPRDOPT((VLOOKUP(G179,NGPrices,2,FALSE)+HLOOKUP(D179,Prices,VLOOKUP(G179,move_down,2,FALSE),FALSE)),VLOOKUP(G179,NGPrices,2,FALSE),I179,VLOOKUP(G179,NGPREVPRICES,4,FALSE),HLOOKUP(D179,PREVVOLS,VLOOKUP(G179,MOVE_DOWN2,2,FALSE),FALSE),VLOOKUP(G179,NGPREVPRICES,3,FALSE),HLOOKUP(D179,Correllate,VLOOKUP(G179,CorMove,2,FALSE),FALSE),Q179-$CD$3,R179,$CD$5)*H179-CJ179</f>
        <v>0</v>
      </c>
      <c r="CE179" s="234">
        <f>_xll.xSPRDOPT((VLOOKUP(G179,NGPREVPRICES,2,FALSE)+HLOOKUP(D179,PREVCURVES,VLOOKUP(G179,MOVE_DOWN2,2,FALSE),FALSE)),VLOOKUP(G179,NGPREVPRICES,2,FALSE),CK179,VLOOKUP(G179,NGPrices,4,FALSE),HLOOKUP(D179,PREVVOLS,VLOOKUP(G179,MOVE_DOWN2,2,FALSE),FALSE),VLOOKUP(G179,NGPREVPRICES,3,FALSE),HLOOKUP(D179,Correllate,VLOOKUP(G179,CorMove,2,FALSE),FALSE),Q179-$CD$3,R179,$CJ$5)*H179-CJ179</f>
        <v>0</v>
      </c>
      <c r="CF179" s="10">
        <f t="shared" si="245"/>
        <v>-44.463416809856426</v>
      </c>
      <c r="CG179" s="234">
        <f>_xll.xSPRDOPT((VLOOKUP(G179,NGPREVPRICES,2,FALSE)+HLOOKUP(D179,PREVCURVES,VLOOKUP(G179,MOVE_DOWN2,2,FALSE),FALSE)),VLOOKUP(G179,NGPREVPRICES,2,FALSE),CK179,VLOOKUP(G179,NGPREVPRICES,4,FALSE),HLOOKUP(D179,VOLS,VLOOKUP(G179,move_down,2,FALSE),FALSE),VLOOKUP(G179,NGPrices,3,FALSE),HLOOKUP(D179,Correllate,VLOOKUP(G179,CorMove,2,FALSE),FALSE),Q179-$CD$3,R179,$CJ$5)*H179-CJ179</f>
        <v>0</v>
      </c>
      <c r="CH179" s="234">
        <f>_xll.xSPRDOPT((VLOOKUP(G179,NGPREVPRICES,2,FALSE)+HLOOKUP(D179,PREVCURVES,VLOOKUP(G179,MOVE_DOWN2,2,FALSE),FALSE)),VLOOKUP(G179,NGPREVPRICES,2,FALSE),CK179,VLOOKUP(G179,NGPREVPRICES,4,FALSE),HLOOKUP(D179,PREVVOLS,VLOOKUP(G179,MOVE_DOWN2,2,FALSE),FALSE),VLOOKUP(G179,NGPREVPRICES,3,FALSE),HLOOKUP(D179,Correllate,VLOOKUP(G179,CorMove,2,FALSE),FALSE),Q179-$C$3,R179,$CJ$5)*H179-CJ179</f>
        <v>-700.71112196918693</v>
      </c>
      <c r="CI179" s="234">
        <f t="shared" si="246"/>
        <v>-745.17453877904336</v>
      </c>
      <c r="CJ179" s="234">
        <f>_xll.xSPRDOPT((VLOOKUP(G179,NGPREVPRICES,2,FALSE)+HLOOKUP(D179,PREVCURVES,VLOOKUP(G179,MOVE_DOWN2,2,FALSE),FALSE)),VLOOKUP(G179,NGPREVPRICES,2,FALSE),CK179,VLOOKUP(G179,NGPREVPRICES,4,FALSE),HLOOKUP(D179,PREVVOLS,VLOOKUP(G179,MOVE_DOWN2,2,FALSE),FALSE),VLOOKUP(G179,NGPREVPRICES,3,FALSE),HLOOKUP(D179,Correllate,VLOOKUP(G179,CorMove,2,FALSE),FALSE),Q179-$CD$3,R179,$CJ$5)*H179</f>
        <v>237343.36973911189</v>
      </c>
      <c r="CK179" s="235">
        <f t="shared" si="227"/>
        <v>1.1499999999999999</v>
      </c>
      <c r="CL179" s="234"/>
      <c r="CM179" t="str">
        <f t="shared" si="247"/>
        <v>36861Curve Shift/Gamma</v>
      </c>
      <c r="CN179" t="str">
        <f t="shared" si="248"/>
        <v>36861Rho</v>
      </c>
      <c r="CO179" t="str">
        <f t="shared" si="249"/>
        <v>36861Drift</v>
      </c>
      <c r="CP179" t="str">
        <f t="shared" si="250"/>
        <v>36861Vega</v>
      </c>
      <c r="CQ179" t="str">
        <f t="shared" si="251"/>
        <v>36861Theta</v>
      </c>
    </row>
    <row r="180" spans="1:95" ht="12" customHeight="1" x14ac:dyDescent="0.25">
      <c r="A180" t="s">
        <v>320</v>
      </c>
      <c r="B180" t="s">
        <v>250</v>
      </c>
      <c r="C180" t="s">
        <v>359</v>
      </c>
      <c r="D180" s="4" t="s">
        <v>7</v>
      </c>
      <c r="E180" t="s">
        <v>20</v>
      </c>
      <c r="F180" t="s">
        <v>21</v>
      </c>
      <c r="G180" s="5">
        <v>36831</v>
      </c>
      <c r="H180" s="130">
        <v>300000</v>
      </c>
      <c r="I180">
        <v>1.1499999999999999</v>
      </c>
      <c r="J180" s="53">
        <f t="shared" si="200"/>
        <v>4.7359999999999998</v>
      </c>
      <c r="K180" s="7">
        <f t="shared" si="201"/>
        <v>0.77</v>
      </c>
      <c r="L180" s="53">
        <f t="shared" si="202"/>
        <v>5.5060000000000002</v>
      </c>
      <c r="M180" s="157">
        <f t="shared" si="238"/>
        <v>6.810675983792E-2</v>
      </c>
      <c r="N180" s="4">
        <f t="shared" si="239"/>
        <v>0.59499999999999997</v>
      </c>
      <c r="O180" s="4">
        <f t="shared" si="240"/>
        <v>0.625</v>
      </c>
      <c r="P180" s="9">
        <f t="shared" si="241"/>
        <v>0.89</v>
      </c>
      <c r="Q180" s="5">
        <f t="shared" si="194"/>
        <v>36829</v>
      </c>
      <c r="R180" s="4">
        <f t="shared" si="242"/>
        <v>1</v>
      </c>
      <c r="S180" s="158">
        <f>_xll.xSPRDOPT($L180,$J180,$I180,$M180,$O180,$N180,$P180,$Q180-$C$3,$R180,0)</f>
        <v>0.1252644448904148</v>
      </c>
      <c r="T180" s="159">
        <f>_xll.xSPRDOPT($L180,$J180,$I180,$M180,$O180,$N180,$P180,$Q180-$C$3,$R180,1)*H180</f>
        <v>93032.592823336352</v>
      </c>
      <c r="U180" s="160">
        <f t="shared" si="243"/>
        <v>37579.333467124437</v>
      </c>
      <c r="V180" s="159">
        <f>_xll.xSPRDOPT($L180,$J180,$I180,$M180,$O180,$N180,$P180,$Q180-$C$3,$R180,2)*H180</f>
        <v>-81825.990089361949</v>
      </c>
      <c r="W180" s="159">
        <f t="shared" si="244"/>
        <v>11206.602733974403</v>
      </c>
      <c r="X180" s="51" t="str">
        <f t="shared" si="228"/>
        <v>36831IF-TRANSCO/Z6</v>
      </c>
      <c r="Y180" s="418">
        <f t="shared" si="229"/>
        <v>30</v>
      </c>
      <c r="Z180" s="456">
        <f t="shared" si="230"/>
        <v>0.31010864274445449</v>
      </c>
      <c r="AA180" s="456">
        <f>_xll.xSPRDOPT($L180,$J180,$I180,$M180,$O180,$N180,$P180,$Q180-$C$3,$R180,3)</f>
        <v>0.52444067857825138</v>
      </c>
      <c r="AB180" s="456">
        <f>((_xll.xSPRDOPT($L180+AB$5,$J180,$I180,$M180,$O180,$N180,$P180,$Q180-$C$3,$R180,3)*$H180)/10000)/100</f>
        <v>0.15733220357347541</v>
      </c>
      <c r="AC180" s="456">
        <f>((_xll.xSPRDOPT($L180+$AB$5,$J180,$I180,$M180,$O180,$N180,$P180,$Q180-$C$3,$R180,7)*$H180)/100)</f>
        <v>-2442.8059801361314</v>
      </c>
      <c r="AD180" s="456">
        <f>(_xll.xSPRDOPT($L180+$AB$5,$J180,$I180,$M180,$O180,$N180,$P180,$Q180-$C$3,$R180,9)/365)*$H180</f>
        <v>-561.80405846643214</v>
      </c>
      <c r="AE180">
        <f t="shared" si="198"/>
        <v>0</v>
      </c>
      <c r="AF180" s="456">
        <f t="shared" si="199"/>
        <v>1184.6205484871816</v>
      </c>
      <c r="AG180" s="456">
        <f>((_xll.xSPRDOPT($L180,$J180,$I180,$M180,$O180,$N180,$P180,$Q180-$C$3,$R180,6)*$H180)/100)</f>
        <v>-476.81962925557826</v>
      </c>
      <c r="AH180" s="456">
        <f>((_xll.xSPRDOPT($L180,$J180,$I180,$M180,$O180,$N180,$P180,$Q180-$C$3,$R180,5)*$H180)/100)</f>
        <v>1581.6910492111074</v>
      </c>
      <c r="AI180" s="456">
        <f>(((_xll.xSPRDOPT($L180,$J180,$I180,$M180,$O180,$N180,$P180,$Q180-$C$3,$R180,4)*$H180)/10000)/100)-AB180</f>
        <v>-1.7086275523769678E-2</v>
      </c>
      <c r="AJ180" s="456"/>
      <c r="AK180" s="456"/>
      <c r="AL180" s="456"/>
      <c r="AM180" s="472"/>
      <c r="CC180" s="141">
        <f t="shared" si="226"/>
        <v>36831</v>
      </c>
      <c r="CD180" s="234">
        <f>_xll.xSPRDOPT((VLOOKUP(G180,NGPrices,2,FALSE)+HLOOKUP(D180,Prices,VLOOKUP(G180,move_down,2,FALSE),FALSE)),VLOOKUP(G180,NGPrices,2,FALSE),I180,VLOOKUP(G180,NGPREVPRICES,4,FALSE),HLOOKUP(D180,PREVVOLS,VLOOKUP(G180,MOVE_DOWN2,2,FALSE),FALSE),VLOOKUP(G180,NGPREVPRICES,3,FALSE),HLOOKUP(D180,Correllate,VLOOKUP(G180,CorMove,2,FALSE),FALSE),Q180-$CD$3,R180,$CD$5)*H180-CJ180</f>
        <v>0</v>
      </c>
      <c r="CE180" s="234">
        <f>_xll.xSPRDOPT((VLOOKUP(G180,NGPREVPRICES,2,FALSE)+HLOOKUP(D180,PREVCURVES,VLOOKUP(G180,MOVE_DOWN2,2,FALSE),FALSE)),VLOOKUP(G180,NGPREVPRICES,2,FALSE),CK180,VLOOKUP(G180,NGPrices,4,FALSE),HLOOKUP(D180,PREVVOLS,VLOOKUP(G180,MOVE_DOWN2,2,FALSE),FALSE),VLOOKUP(G180,NGPREVPRICES,3,FALSE),HLOOKUP(D180,Correllate,VLOOKUP(G180,CorMove,2,FALSE),FALSE),Q180-$CD$3,R180,$CJ$5)*H180-CJ180</f>
        <v>0</v>
      </c>
      <c r="CF180" s="10">
        <f t="shared" si="245"/>
        <v>-7.082829534811026</v>
      </c>
      <c r="CG180" s="234">
        <f>_xll.xSPRDOPT((VLOOKUP(G180,NGPREVPRICES,2,FALSE)+HLOOKUP(D180,PREVCURVES,VLOOKUP(G180,MOVE_DOWN2,2,FALSE),FALSE)),VLOOKUP(G180,NGPREVPRICES,2,FALSE),CK180,VLOOKUP(G180,NGPREVPRICES,4,FALSE),HLOOKUP(D180,VOLS,VLOOKUP(G180,move_down,2,FALSE),FALSE),VLOOKUP(G180,NGPrices,3,FALSE),HLOOKUP(D180,Correllate,VLOOKUP(G180,CorMove,2,FALSE),FALSE),Q180-$CD$3,R180,$CJ$5)*H180-CJ180</f>
        <v>0</v>
      </c>
      <c r="CH180" s="234">
        <f>_xll.xSPRDOPT((VLOOKUP(G180,NGPREVPRICES,2,FALSE)+HLOOKUP(D180,PREVCURVES,VLOOKUP(G180,MOVE_DOWN2,2,FALSE),FALSE)),VLOOKUP(G180,NGPREVPRICES,2,FALSE),CK180,VLOOKUP(G180,NGPREVPRICES,4,FALSE),HLOOKUP(D180,PREVVOLS,VLOOKUP(G180,MOVE_DOWN2,2,FALSE),FALSE),VLOOKUP(G180,NGPREVPRICES,3,FALSE),HLOOKUP(D180,Correllate,VLOOKUP(G180,CorMove,2,FALSE),FALSE),Q180-$C$3,R180,$CJ$5)*H180-CJ180</f>
        <v>-559.72696934121632</v>
      </c>
      <c r="CI180" s="234">
        <f t="shared" si="246"/>
        <v>-566.80979887602734</v>
      </c>
      <c r="CJ180" s="234">
        <f>_xll.xSPRDOPT((VLOOKUP(G180,NGPREVPRICES,2,FALSE)+HLOOKUP(D180,PREVCURVES,VLOOKUP(G180,MOVE_DOWN2,2,FALSE),FALSE)),VLOOKUP(G180,NGPREVPRICES,2,FALSE),CK180,VLOOKUP(G180,NGPREVPRICES,4,FALSE),HLOOKUP(D180,PREVVOLS,VLOOKUP(G180,MOVE_DOWN2,2,FALSE),FALSE),VLOOKUP(G180,NGPREVPRICES,3,FALSE),HLOOKUP(D180,Correllate,VLOOKUP(G180,CorMove,2,FALSE),FALSE),Q180-$CD$3,R180,$CJ$5)*H180</f>
        <v>38139.060436465654</v>
      </c>
      <c r="CK180" s="235">
        <f t="shared" si="227"/>
        <v>1.1499999999999999</v>
      </c>
      <c r="CL180" s="234"/>
      <c r="CM180" t="str">
        <f t="shared" si="247"/>
        <v>36831Curve Shift/Gamma</v>
      </c>
      <c r="CN180" t="str">
        <f t="shared" si="248"/>
        <v>36831Rho</v>
      </c>
      <c r="CO180" t="str">
        <f t="shared" si="249"/>
        <v>36831Drift</v>
      </c>
      <c r="CP180" t="str">
        <f t="shared" si="250"/>
        <v>36831Vega</v>
      </c>
      <c r="CQ180" t="str">
        <f t="shared" si="251"/>
        <v>36831Theta</v>
      </c>
    </row>
    <row r="181" spans="1:95" ht="12" customHeight="1" x14ac:dyDescent="0.25">
      <c r="A181" s="140" t="s">
        <v>276</v>
      </c>
      <c r="B181" t="s">
        <v>250</v>
      </c>
      <c r="C181" t="s">
        <v>362</v>
      </c>
      <c r="D181" s="4" t="s">
        <v>7</v>
      </c>
      <c r="E181" t="s">
        <v>20</v>
      </c>
      <c r="F181" t="s">
        <v>21</v>
      </c>
      <c r="G181" s="5">
        <v>36800</v>
      </c>
      <c r="H181" s="130">
        <v>310000</v>
      </c>
      <c r="I181">
        <v>0.33750000000000002</v>
      </c>
      <c r="J181" s="53">
        <f t="shared" si="200"/>
        <v>4.6920000000000002</v>
      </c>
      <c r="K181" s="7">
        <f t="shared" si="201"/>
        <v>0.41499999999999998</v>
      </c>
      <c r="L181" s="53">
        <f t="shared" si="202"/>
        <v>5.1070000000000002</v>
      </c>
      <c r="M181" s="157">
        <f t="shared" si="238"/>
        <v>6.8050789414654006E-2</v>
      </c>
      <c r="N181" s="4">
        <f t="shared" si="239"/>
        <v>0.57499999999999996</v>
      </c>
      <c r="O181" s="4">
        <f t="shared" si="240"/>
        <v>0.56399999999999995</v>
      </c>
      <c r="P181" s="9">
        <f t="shared" si="241"/>
        <v>0.99250000000000005</v>
      </c>
      <c r="Q181" s="5">
        <f t="shared" si="194"/>
        <v>36797</v>
      </c>
      <c r="R181" s="4">
        <f t="shared" si="242"/>
        <v>1</v>
      </c>
      <c r="S181" s="158">
        <f>_xll.xSPRDOPT($L181,$J181,$I181,$M181,$O181,$N181,$P181,$Q181-$C$3,$R181,0)</f>
        <v>9.1416088600081644E-2</v>
      </c>
      <c r="T181" s="159">
        <f>_xll.xSPRDOPT($L181,$J181,$I181,$M181,$O181,$N181,$P181,$Q181-$C$3,$R181,1)*H181</f>
        <v>237943.96053131163</v>
      </c>
      <c r="U181" s="160">
        <f t="shared" si="243"/>
        <v>28338.987466025308</v>
      </c>
      <c r="V181" s="159">
        <f>_xll.xSPRDOPT($L181,$J181,$I181,$M181,$O181,$N181,$P181,$Q181-$C$3,$R181,2)*H181</f>
        <v>-236338.69025358293</v>
      </c>
      <c r="W181" s="159">
        <f t="shared" si="244"/>
        <v>1605.270277728705</v>
      </c>
      <c r="X181" s="51" t="str">
        <f t="shared" si="228"/>
        <v>36800IF-TRANSCO/Z6</v>
      </c>
      <c r="Y181" s="418">
        <f t="shared" si="229"/>
        <v>31</v>
      </c>
      <c r="Z181" s="456">
        <f t="shared" si="230"/>
        <v>0.76756116300423105</v>
      </c>
      <c r="AA181" s="456">
        <f>_xll.xSPRDOPT($L181,$J181,$I181,$M181,$O181,$N181,$P181,$Q181-$C$3,$R181,3)</f>
        <v>2.8009794070865066</v>
      </c>
      <c r="AB181" s="456">
        <f>((_xll.xSPRDOPT($L181+AB$5,$J181,$I181,$M181,$O181,$N181,$P181,$Q181-$C$3,$R181,3)*$H181)/10000)/100</f>
        <v>0.86830361619681695</v>
      </c>
      <c r="AC181" s="456">
        <f>((_xll.xSPRDOPT($L181+$AB$5,$J181,$I181,$M181,$O181,$N181,$P181,$Q181-$C$3,$R181,7)*$H181)/100)</f>
        <v>-5614.0954385118221</v>
      </c>
      <c r="AD181" s="456">
        <f>(_xll.xSPRDOPT($L181+$AB$5,$J181,$I181,$M181,$O181,$N181,$P181,$Q181-$C$3,$R181,9)/365)*$H181</f>
        <v>-162.08227061167105</v>
      </c>
      <c r="AE181">
        <f t="shared" si="198"/>
        <v>0</v>
      </c>
      <c r="AF181" s="456">
        <f t="shared" si="199"/>
        <v>174.52303459630809</v>
      </c>
      <c r="AG181" s="456">
        <f>((_xll.xSPRDOPT($L181,$J181,$I181,$M181,$O181,$N181,$P181,$Q181-$C$3,$R181,6)*$H181)/100)</f>
        <v>-425.28649823902617</v>
      </c>
      <c r="AH181" s="456">
        <f>((_xll.xSPRDOPT($L181,$J181,$I181,$M181,$O181,$N181,$P181,$Q181-$C$3,$R181,5)*$H181)/100)</f>
        <v>611.50794570978223</v>
      </c>
      <c r="AI181" s="456">
        <f>(((_xll.xSPRDOPT($L181,$J181,$I181,$M181,$O181,$N181,$P181,$Q181-$C$3,$R181,4)*$H181)/10000)/100)-AB181</f>
        <v>2.2817193775681699E-2</v>
      </c>
      <c r="AJ181" s="456"/>
      <c r="AK181" s="456"/>
      <c r="AL181" s="456"/>
      <c r="AM181" s="472"/>
      <c r="CC181" s="141">
        <f t="shared" si="226"/>
        <v>36800</v>
      </c>
      <c r="CD181" s="234">
        <f>_xll.xSPRDOPT((VLOOKUP(G181,NGPrices,2,FALSE)+HLOOKUP(D181,Prices,VLOOKUP(G181,move_down,2,FALSE),FALSE)),VLOOKUP(G181,NGPrices,2,FALSE),I181,VLOOKUP(G181,NGPREVPRICES,4,FALSE),HLOOKUP(D181,PREVVOLS,VLOOKUP(G181,MOVE_DOWN2,2,FALSE),FALSE),VLOOKUP(G181,NGPREVPRICES,3,FALSE),HLOOKUP(D181,Correllate,VLOOKUP(G181,CorMove,2,FALSE),FALSE),Q181-$CD$3,R181,$CD$5)*H181-CJ181</f>
        <v>0</v>
      </c>
      <c r="CE181" s="234">
        <f>_xll.xSPRDOPT((VLOOKUP(G181,NGPREVPRICES,2,FALSE)+HLOOKUP(D181,PREVCURVES,VLOOKUP(G181,MOVE_DOWN2,2,FALSE),FALSE)),VLOOKUP(G181,NGPREVPRICES,2,FALSE),CK181,VLOOKUP(G181,NGPrices,4,FALSE),HLOOKUP(D181,PREVVOLS,VLOOKUP(G181,MOVE_DOWN2,2,FALSE),FALSE),VLOOKUP(G181,NGPREVPRICES,3,FALSE),HLOOKUP(D181,Correllate,VLOOKUP(G181,CorMove,2,FALSE),FALSE),Q181-$CD$3,R181,$CJ$5)*H181-CJ181</f>
        <v>0</v>
      </c>
      <c r="CF181" s="10">
        <f t="shared" si="245"/>
        <v>-5.2541919359682652</v>
      </c>
      <c r="CG181" s="234">
        <f>_xll.xSPRDOPT((VLOOKUP(G181,NGPREVPRICES,2,FALSE)+HLOOKUP(D181,PREVCURVES,VLOOKUP(G181,MOVE_DOWN2,2,FALSE),FALSE)),VLOOKUP(G181,NGPREVPRICES,2,FALSE),CK181,VLOOKUP(G181,NGPREVPRICES,4,FALSE),HLOOKUP(D181,VOLS,VLOOKUP(G181,move_down,2,FALSE),FALSE),VLOOKUP(G181,NGPrices,3,FALSE),HLOOKUP(D181,Correllate,VLOOKUP(G181,CorMove,2,FALSE),FALSE),Q181-$CD$3,R181,$CJ$5)*H181-CJ181</f>
        <v>0</v>
      </c>
      <c r="CH181" s="234">
        <f>_xll.xSPRDOPT((VLOOKUP(G181,NGPREVPRICES,2,FALSE)+HLOOKUP(D181,PREVCURVES,VLOOKUP(G181,MOVE_DOWN2,2,FALSE),FALSE)),VLOOKUP(G181,NGPREVPRICES,2,FALSE),CK181,VLOOKUP(G181,NGPREVPRICES,4,FALSE),HLOOKUP(D181,PREVVOLS,VLOOKUP(G181,MOVE_DOWN2,2,FALSE),FALSE),VLOOKUP(G181,NGPREVPRICES,3,FALSE),HLOOKUP(D181,Correllate,VLOOKUP(G181,CorMove,2,FALSE),FALSE),Q181-$C$3,R181,$CJ$5)*H181-CJ181</f>
        <v>-161.30207007209538</v>
      </c>
      <c r="CI181" s="234">
        <f t="shared" si="246"/>
        <v>-166.55626200806364</v>
      </c>
      <c r="CJ181" s="234">
        <f>_xll.xSPRDOPT((VLOOKUP(G181,NGPREVPRICES,2,FALSE)+HLOOKUP(D181,PREVCURVES,VLOOKUP(G181,MOVE_DOWN2,2,FALSE),FALSE)),VLOOKUP(G181,NGPREVPRICES,2,FALSE),CK181,VLOOKUP(G181,NGPREVPRICES,4,FALSE),HLOOKUP(D181,PREVVOLS,VLOOKUP(G181,MOVE_DOWN2,2,FALSE),FALSE),VLOOKUP(G181,NGPREVPRICES,3,FALSE),HLOOKUP(D181,Correllate,VLOOKUP(G181,CorMove,2,FALSE),FALSE),Q181-$CD$3,R181,$CJ$5)*H181</f>
        <v>28500.289536097403</v>
      </c>
      <c r="CK181" s="235">
        <f t="shared" si="227"/>
        <v>0.33750000000000002</v>
      </c>
      <c r="CL181" s="234"/>
      <c r="CM181" t="str">
        <f t="shared" si="247"/>
        <v>36800Curve Shift/Gamma</v>
      </c>
      <c r="CN181" t="str">
        <f t="shared" si="248"/>
        <v>36800Rho</v>
      </c>
      <c r="CO181" t="str">
        <f t="shared" si="249"/>
        <v>36800Drift</v>
      </c>
      <c r="CP181" t="str">
        <f t="shared" si="250"/>
        <v>36800Vega</v>
      </c>
      <c r="CQ181" t="str">
        <f t="shared" si="251"/>
        <v>36800Theta</v>
      </c>
    </row>
    <row r="182" spans="1:95" ht="12" customHeight="1" x14ac:dyDescent="0.25">
      <c r="A182" s="140" t="s">
        <v>276</v>
      </c>
      <c r="B182" t="s">
        <v>250</v>
      </c>
      <c r="C182" t="s">
        <v>362</v>
      </c>
      <c r="D182" s="4" t="s">
        <v>7</v>
      </c>
      <c r="E182" t="s">
        <v>20</v>
      </c>
      <c r="F182" t="s">
        <v>21</v>
      </c>
      <c r="G182" s="5">
        <v>36770</v>
      </c>
      <c r="H182" s="130">
        <v>300000</v>
      </c>
      <c r="I182">
        <v>0.33750000000000002</v>
      </c>
      <c r="J182" s="53">
        <f t="shared" si="200"/>
        <v>4.6849999999999996</v>
      </c>
      <c r="K182" s="7">
        <f t="shared" si="201"/>
        <v>0.315</v>
      </c>
      <c r="L182" s="53">
        <f t="shared" si="202"/>
        <v>5</v>
      </c>
      <c r="M182" s="157">
        <f t="shared" si="238"/>
        <v>6.7216196212184998E-2</v>
      </c>
      <c r="N182" s="4">
        <f t="shared" si="239"/>
        <v>0.4</v>
      </c>
      <c r="O182" s="4">
        <f t="shared" si="240"/>
        <v>0.39200000000000002</v>
      </c>
      <c r="P182" s="9">
        <f t="shared" si="241"/>
        <v>0.99250000000000005</v>
      </c>
      <c r="Q182" s="5">
        <f t="shared" si="194"/>
        <v>36768</v>
      </c>
      <c r="R182" s="4">
        <f t="shared" si="242"/>
        <v>1</v>
      </c>
      <c r="S182" s="158">
        <f>_xll.xSPRDOPT($L182,$J182,$I182,$M182,$O182,$N182,$P182,$Q182-$C$3,$R182,0)</f>
        <v>2.4157618282098401E-4</v>
      </c>
      <c r="T182" s="159">
        <f>_xll.xSPRDOPT($L182,$J182,$I182,$M182,$O182,$N182,$P182,$Q182-$C$3,$R182,1)*H182</f>
        <v>13402.145082854624</v>
      </c>
      <c r="U182" s="160">
        <f t="shared" si="243"/>
        <v>72.472854846295206</v>
      </c>
      <c r="V182" s="159">
        <f>_xll.xSPRDOPT($L182,$J182,$I182,$M182,$O182,$N182,$P182,$Q182-$C$3,$R182,2)*H182</f>
        <v>-13339.913569199764</v>
      </c>
      <c r="W182" s="159">
        <f t="shared" si="244"/>
        <v>62.231513654860464</v>
      </c>
      <c r="X182" s="51" t="str">
        <f t="shared" si="228"/>
        <v>36770IF-TRANSCO/Z6</v>
      </c>
      <c r="Y182" s="418">
        <f t="shared" si="229"/>
        <v>30</v>
      </c>
      <c r="Z182" s="456">
        <f t="shared" si="230"/>
        <v>4.4673816942848749E-2</v>
      </c>
      <c r="AA182" s="456">
        <f>_xll.xSPRDOPT($L182,$J182,$I182,$M182,$O182,$N182,$P182,$Q182-$C$3,$R182,3)</f>
        <v>7.1441790053003018</v>
      </c>
      <c r="AB182" s="456">
        <f>((_xll.xSPRDOPT($L182+AB$5,$J182,$I182,$M182,$O182,$N182,$P182,$Q182-$C$3,$R182,3)*$H182)/10000)/100</f>
        <v>2.1432537015900905</v>
      </c>
      <c r="AC182" s="456">
        <f>((_xll.xSPRDOPT($L182+$AB$5,$J182,$I182,$M182,$O182,$N182,$P182,$Q182-$C$3,$R182,7)*$H182)/100)</f>
        <v>-214.72771610677512</v>
      </c>
      <c r="AD182" s="456">
        <f>(_xll.xSPRDOPT($L182+$AB$5,$J182,$I182,$M182,$O182,$N182,$P182,$Q182-$C$3,$R182,9)/365)*$H182</f>
        <v>-186.54907294703227</v>
      </c>
      <c r="AE182">
        <f t="shared" si="198"/>
        <v>0</v>
      </c>
      <c r="AF182" s="456">
        <f t="shared" si="199"/>
        <v>9.3220263116908448</v>
      </c>
      <c r="AG182" s="456">
        <f>((_xll.xSPRDOPT($L182,$J182,$I182,$M182,$O182,$N182,$P182,$Q182-$C$3,$R182,6)*$H182)/100)</f>
        <v>-21.445136957336377</v>
      </c>
      <c r="AH182" s="456">
        <f>((_xll.xSPRDOPT($L182,$J182,$I182,$M182,$O182,$N182,$P182,$Q182-$C$3,$R182,5)*$H182)/100)</f>
        <v>31.395064560231859</v>
      </c>
      <c r="AI182" s="456">
        <f>(((_xll.xSPRDOPT($L182,$J182,$I182,$M182,$O182,$N182,$P182,$Q182-$C$3,$R182,4)*$H182)/10000)/100)-AB182</f>
        <v>-1.5989695809830007E-2</v>
      </c>
      <c r="AJ182" s="456"/>
      <c r="AK182" s="456"/>
      <c r="AL182" s="456"/>
      <c r="AM182" s="472"/>
      <c r="CC182" s="141">
        <f t="shared" si="226"/>
        <v>36770</v>
      </c>
      <c r="CD182" s="234">
        <f>_xll.xSPRDOPT((VLOOKUP(G182,NGPrices,2,FALSE)+HLOOKUP(D182,Prices,VLOOKUP(G182,move_down,2,FALSE),FALSE)),VLOOKUP(G182,NGPrices,2,FALSE),I182,VLOOKUP(G182,NGPREVPRICES,4,FALSE),HLOOKUP(D182,PREVVOLS,VLOOKUP(G182,MOVE_DOWN2,2,FALSE),FALSE),VLOOKUP(G182,NGPREVPRICES,3,FALSE),HLOOKUP(D182,Correllate,VLOOKUP(G182,CorMove,2,FALSE),FALSE),Q182-$CD$3,R182,$CD$5)*H182-CJ182</f>
        <v>0</v>
      </c>
      <c r="CE182" s="234">
        <f>_xll.xSPRDOPT((VLOOKUP(G182,NGPREVPRICES,2,FALSE)+HLOOKUP(D182,PREVCURVES,VLOOKUP(G182,MOVE_DOWN2,2,FALSE),FALSE)),VLOOKUP(G182,NGPREVPRICES,2,FALSE),CK182,VLOOKUP(G182,NGPrices,4,FALSE),HLOOKUP(D182,PREVVOLS,VLOOKUP(G182,MOVE_DOWN2,2,FALSE),FALSE),VLOOKUP(G182,NGPREVPRICES,3,FALSE),HLOOKUP(D182,Correllate,VLOOKUP(G182,CorMove,2,FALSE),FALSE),Q182-$CD$3,R182,$CJ$5)*H182-CJ182</f>
        <v>0</v>
      </c>
      <c r="CF182" s="10">
        <f t="shared" si="245"/>
        <v>-5.7077006708823319E-2</v>
      </c>
      <c r="CG182" s="234">
        <f>_xll.xSPRDOPT((VLOOKUP(G182,NGPREVPRICES,2,FALSE)+HLOOKUP(D182,PREVCURVES,VLOOKUP(G182,MOVE_DOWN2,2,FALSE),FALSE)),VLOOKUP(G182,NGPREVPRICES,2,FALSE),CK182,VLOOKUP(G182,NGPREVPRICES,4,FALSE),HLOOKUP(D182,VOLS,VLOOKUP(G182,move_down,2,FALSE),FALSE),VLOOKUP(G182,NGPrices,3,FALSE),HLOOKUP(D182,Correllate,VLOOKUP(G182,CorMove,2,FALSE),FALSE),Q182-$CD$3,R182,$CJ$5)*H182-CJ182</f>
        <v>0</v>
      </c>
      <c r="CH182" s="234">
        <f>_xll.xSPRDOPT((VLOOKUP(G182,NGPREVPRICES,2,FALSE)+HLOOKUP(D182,PREVCURVES,VLOOKUP(G182,MOVE_DOWN2,2,FALSE),FALSE)),VLOOKUP(G182,NGPREVPRICES,2,FALSE),CK182,VLOOKUP(G182,NGPREVPRICES,4,FALSE),HLOOKUP(D182,PREVVOLS,VLOOKUP(G182,MOVE_DOWN2,2,FALSE),FALSE),VLOOKUP(G182,NGPREVPRICES,3,FALSE),HLOOKUP(D182,Correllate,VLOOKUP(G182,CorMove,2,FALSE),FALSE),Q182-$C$3,R182,$CJ$5)*H182-CJ182</f>
        <v>-240.74857795386373</v>
      </c>
      <c r="CI182" s="234">
        <f t="shared" si="246"/>
        <v>-240.80565496057255</v>
      </c>
      <c r="CJ182" s="234">
        <f>_xll.xSPRDOPT((VLOOKUP(G182,NGPREVPRICES,2,FALSE)+HLOOKUP(D182,PREVCURVES,VLOOKUP(G182,MOVE_DOWN2,2,FALSE),FALSE)),VLOOKUP(G182,NGPREVPRICES,2,FALSE),CK182,VLOOKUP(G182,NGPREVPRICES,4,FALSE),HLOOKUP(D182,PREVVOLS,VLOOKUP(G182,MOVE_DOWN2,2,FALSE),FALSE),VLOOKUP(G182,NGPREVPRICES,3,FALSE),HLOOKUP(D182,Correllate,VLOOKUP(G182,CorMove,2,FALSE),FALSE),Q182-$CD$3,R182,$CJ$5)*H182</f>
        <v>313.22143280015894</v>
      </c>
      <c r="CK182" s="235">
        <f t="shared" si="227"/>
        <v>0.33750000000000002</v>
      </c>
      <c r="CL182" s="234"/>
      <c r="CM182" t="str">
        <f t="shared" si="247"/>
        <v>36770Curve Shift/Gamma</v>
      </c>
      <c r="CN182" t="str">
        <f t="shared" si="248"/>
        <v>36770Rho</v>
      </c>
      <c r="CO182" t="str">
        <f t="shared" si="249"/>
        <v>36770Drift</v>
      </c>
      <c r="CP182" t="str">
        <f t="shared" si="250"/>
        <v>36770Vega</v>
      </c>
      <c r="CQ182" t="str">
        <f t="shared" si="251"/>
        <v>36770Theta</v>
      </c>
    </row>
    <row r="183" spans="1:95" ht="12" customHeight="1" x14ac:dyDescent="0.25">
      <c r="A183" s="140" t="s">
        <v>348</v>
      </c>
      <c r="B183" t="s">
        <v>250</v>
      </c>
      <c r="C183" t="s">
        <v>365</v>
      </c>
      <c r="D183" s="4" t="s">
        <v>190</v>
      </c>
      <c r="E183" t="s">
        <v>20</v>
      </c>
      <c r="F183" t="s">
        <v>21</v>
      </c>
      <c r="G183" s="5">
        <v>36800</v>
      </c>
      <c r="H183" s="130">
        <v>-500000</v>
      </c>
      <c r="I183">
        <v>0.1</v>
      </c>
      <c r="J183" s="53">
        <f t="shared" si="200"/>
        <v>4.6920000000000002</v>
      </c>
      <c r="K183" s="7">
        <f t="shared" si="201"/>
        <v>1.99</v>
      </c>
      <c r="L183" s="53">
        <f t="shared" si="202"/>
        <v>6.6820000000000004</v>
      </c>
      <c r="M183" s="157">
        <f t="shared" si="238"/>
        <v>6.8050789414654006E-2</v>
      </c>
      <c r="N183" s="4">
        <f t="shared" si="239"/>
        <v>0.57499999999999996</v>
      </c>
      <c r="O183" s="4">
        <f t="shared" si="240"/>
        <v>0.54100000000000004</v>
      </c>
      <c r="P183" s="9">
        <f t="shared" si="241"/>
        <v>0.83</v>
      </c>
      <c r="Q183" s="5">
        <f t="shared" si="194"/>
        <v>36797</v>
      </c>
      <c r="R183" s="4">
        <f t="shared" si="242"/>
        <v>1</v>
      </c>
      <c r="S183" s="158">
        <f>_xll.xSPRDOPT($L183,$J183,$I183,$M183,$O183,$N183,$P183,$Q183-$C$3,$R183,0)</f>
        <v>1.8794867815216949</v>
      </c>
      <c r="T183" s="159">
        <f>_xll.xSPRDOPT($L183,$J183,$I183,$M183,$O183,$N183,$P183,$Q183-$C$3,$R183,1)*H183</f>
        <v>-497144.99009846308</v>
      </c>
      <c r="U183" s="160">
        <f t="shared" si="243"/>
        <v>-939743.39076084748</v>
      </c>
      <c r="V183" s="159">
        <f>_xll.xSPRDOPT($L183,$J183,$I183,$M183,$O183,$N183,$P183,$Q183-$C$3,$R183,2)*H183</f>
        <v>497115.52399579366</v>
      </c>
      <c r="W183" s="159">
        <f t="shared" si="244"/>
        <v>-29.46610266942298</v>
      </c>
      <c r="X183" s="51" t="str">
        <f t="shared" si="228"/>
        <v>36800NGI-SOCAL</v>
      </c>
      <c r="Y183" s="418">
        <f t="shared" si="229"/>
        <v>-50</v>
      </c>
      <c r="Z183" s="456">
        <f t="shared" si="230"/>
        <v>0.99428998019692616</v>
      </c>
      <c r="AA183" s="456">
        <f>_xll.xSPRDOPT($L183,$J183,$I183,$M183,$O183,$N183,$P183,$Q183-$C$3,$R183,3)</f>
        <v>8.5470943476702896E-4</v>
      </c>
      <c r="AB183" s="456">
        <f>((_xll.xSPRDOPT($L183+AB$5,$J183,$I183,$M183,$O183,$N183,$P183,$Q183-$C$3,$R183,3)*$H183)/10000)/100</f>
        <v>-4.2735471738351448E-4</v>
      </c>
      <c r="AC183" s="456">
        <f>((_xll.xSPRDOPT($L183+$AB$5,$J183,$I183,$M183,$O183,$N183,$P183,$Q183-$C$3,$R183,7)*$H183)/100)</f>
        <v>4.7889597410040468</v>
      </c>
      <c r="AD183" s="456">
        <f>(_xll.xSPRDOPT($L183+$AB$5,$J183,$I183,$M183,$O183,$N183,$P183,$Q183-$C$3,$R183,9)/365)*$H183</f>
        <v>-172.47510223967268</v>
      </c>
      <c r="AE183">
        <f t="shared" si="198"/>
        <v>0</v>
      </c>
      <c r="AF183" s="456">
        <f t="shared" si="199"/>
        <v>-2.8479366661780201</v>
      </c>
      <c r="AG183" s="456">
        <f>((_xll.xSPRDOPT($L183,$J183,$I183,$M183,$O183,$N183,$P183,$Q183-$C$3,$R183,6)*$H183)/100)</f>
        <v>-1.7902053240483422</v>
      </c>
      <c r="AH183" s="456">
        <f>((_xll.xSPRDOPT($L183,$J183,$I183,$M183,$O183,$N183,$P183,$Q183-$C$3,$R183,5)*$H183)/100)</f>
        <v>-1.1242061399714691</v>
      </c>
      <c r="AI183" s="456">
        <f>(((_xll.xSPRDOPT($L183,$J183,$I183,$M183,$O183,$N183,$P183,$Q183-$C$3,$R183,4)*$H183)/10000)/100)-AB183</f>
        <v>-4.0996621478294403E-4</v>
      </c>
      <c r="AJ183" s="456"/>
      <c r="AK183" s="456"/>
      <c r="AL183" s="456"/>
      <c r="AM183" s="472"/>
      <c r="CC183" s="141">
        <f t="shared" si="226"/>
        <v>36800</v>
      </c>
      <c r="CD183" s="234">
        <f>_xll.xSPRDOPT((VLOOKUP(G183,NGPrices,2,FALSE)+HLOOKUP(D183,Prices,VLOOKUP(G183,move_down,2,FALSE),FALSE)),VLOOKUP(G183,NGPrices,2,FALSE),I183,VLOOKUP(G183,NGPREVPRICES,4,FALSE),HLOOKUP(D183,PREVVOLS,VLOOKUP(G183,MOVE_DOWN2,2,FALSE),FALSE),VLOOKUP(G183,NGPREVPRICES,3,FALSE),HLOOKUP(D183,Correllate,VLOOKUP(G183,CorMove,2,FALSE),FALSE),Q183-$CD$3,R183,$CD$5)*H183-CJ183</f>
        <v>0</v>
      </c>
      <c r="CE183" s="234">
        <f>_xll.xSPRDOPT((VLOOKUP(G183,NGPREVPRICES,2,FALSE)+HLOOKUP(D183,PREVCURVES,VLOOKUP(G183,MOVE_DOWN2,2,FALSE),FALSE)),VLOOKUP(G183,NGPREVPRICES,2,FALSE),CK183,VLOOKUP(G183,NGPrices,4,FALSE),HLOOKUP(D183,PREVVOLS,VLOOKUP(G183,MOVE_DOWN2,2,FALSE),FALSE),VLOOKUP(G183,NGPREVPRICES,3,FALSE),HLOOKUP(D183,Correllate,VLOOKUP(G183,CorMove,2,FALSE),FALSE),Q183-$CD$3,R183,$CJ$5)*H183-CJ183</f>
        <v>0</v>
      </c>
      <c r="CF183" s="10">
        <f t="shared" si="245"/>
        <v>173.2153671416454</v>
      </c>
      <c r="CG183" s="234">
        <f>_xll.xSPRDOPT((VLOOKUP(G183,NGPREVPRICES,2,FALSE)+HLOOKUP(D183,PREVCURVES,VLOOKUP(G183,MOVE_DOWN2,2,FALSE),FALSE)),VLOOKUP(G183,NGPREVPRICES,2,FALSE),CK183,VLOOKUP(G183,NGPREVPRICES,4,FALSE),HLOOKUP(D183,VOLS,VLOOKUP(G183,move_down,2,FALSE),FALSE),VLOOKUP(G183,NGPrices,3,FALSE),HLOOKUP(D183,Correllate,VLOOKUP(G183,CorMove,2,FALSE),FALSE),Q183-$CD$3,R183,$CJ$5)*H183-CJ183</f>
        <v>0</v>
      </c>
      <c r="CH183" s="234">
        <f>_xll.xSPRDOPT((VLOOKUP(G183,NGPREVPRICES,2,FALSE)+HLOOKUP(D183,PREVCURVES,VLOOKUP(G183,MOVE_DOWN2,2,FALSE),FALSE)),VLOOKUP(G183,NGPREVPRICES,2,FALSE),CK183,VLOOKUP(G183,NGPREVPRICES,4,FALSE),HLOOKUP(D183,PREVVOLS,VLOOKUP(G183,MOVE_DOWN2,2,FALSE),FALSE),VLOOKUP(G183,NGPREVPRICES,3,FALSE),HLOOKUP(D183,Correllate,VLOOKUP(G183,CorMove,2,FALSE),FALSE),Q183-$C$3,R183,$CJ$5)*H183-CJ183</f>
        <v>-172.05880324810278</v>
      </c>
      <c r="CI183" s="234">
        <f t="shared" si="246"/>
        <v>1.156563893542625</v>
      </c>
      <c r="CJ183" s="234">
        <f>_xll.xSPRDOPT((VLOOKUP(G183,NGPREVPRICES,2,FALSE)+HLOOKUP(D183,PREVCURVES,VLOOKUP(G183,MOVE_DOWN2,2,FALSE),FALSE)),VLOOKUP(G183,NGPREVPRICES,2,FALSE),CK183,VLOOKUP(G183,NGPREVPRICES,4,FALSE),HLOOKUP(D183,PREVVOLS,VLOOKUP(G183,MOVE_DOWN2,2,FALSE),FALSE),VLOOKUP(G183,NGPREVPRICES,3,FALSE),HLOOKUP(D183,Correllate,VLOOKUP(G183,CorMove,2,FALSE),FALSE),Q183-$CD$3,R183,$CJ$5)*H183</f>
        <v>-939571.33195759938</v>
      </c>
      <c r="CK183" s="235">
        <f t="shared" si="227"/>
        <v>0.1</v>
      </c>
      <c r="CL183" s="234"/>
      <c r="CM183" t="str">
        <f t="shared" si="247"/>
        <v>36800Curve Shift/Gamma</v>
      </c>
      <c r="CN183" t="str">
        <f t="shared" si="248"/>
        <v>36800Rho</v>
      </c>
      <c r="CO183" t="str">
        <f t="shared" si="249"/>
        <v>36800Drift</v>
      </c>
      <c r="CP183" t="str">
        <f t="shared" si="250"/>
        <v>36800Vega</v>
      </c>
      <c r="CQ183" t="str">
        <f t="shared" si="251"/>
        <v>36800Theta</v>
      </c>
    </row>
    <row r="184" spans="1:95" ht="12" customHeight="1" x14ac:dyDescent="0.25">
      <c r="A184" s="140" t="s">
        <v>348</v>
      </c>
      <c r="B184" t="s">
        <v>250</v>
      </c>
      <c r="C184" t="s">
        <v>365</v>
      </c>
      <c r="D184" s="4" t="s">
        <v>190</v>
      </c>
      <c r="E184" t="s">
        <v>20</v>
      </c>
      <c r="F184" t="s">
        <v>21</v>
      </c>
      <c r="G184" s="5">
        <v>36770</v>
      </c>
      <c r="H184" s="130">
        <v>-500000</v>
      </c>
      <c r="I184">
        <v>0.1</v>
      </c>
      <c r="J184" s="53">
        <f t="shared" si="200"/>
        <v>4.6849999999999996</v>
      </c>
      <c r="K184" s="7">
        <f t="shared" si="201"/>
        <v>2.5</v>
      </c>
      <c r="L184" s="53">
        <f t="shared" si="202"/>
        <v>7.1849999999999996</v>
      </c>
      <c r="M184" s="157">
        <f t="shared" si="238"/>
        <v>6.7216196212184998E-2</v>
      </c>
      <c r="N184" s="4">
        <f t="shared" si="239"/>
        <v>0.4</v>
      </c>
      <c r="O184" s="4">
        <f t="shared" si="240"/>
        <v>0.376</v>
      </c>
      <c r="P184" s="9">
        <f t="shared" si="241"/>
        <v>0.83</v>
      </c>
      <c r="Q184" s="5">
        <f t="shared" si="194"/>
        <v>36768</v>
      </c>
      <c r="R184" s="4">
        <f t="shared" si="242"/>
        <v>1</v>
      </c>
      <c r="S184" s="158">
        <f>_xll.xSPRDOPT($L184,$J184,$I184,$M184,$O184,$N184,$P184,$Q184-$C$3,$R184,0)</f>
        <v>2.3995586882912909</v>
      </c>
      <c r="T184" s="159">
        <f>_xll.xSPRDOPT($L184,$J184,$I184,$M184,$O184,$N184,$P184,$Q184-$C$3,$R184,1)*H184</f>
        <v>-499908.06004425068</v>
      </c>
      <c r="U184" s="160">
        <f t="shared" si="243"/>
        <v>-1199779.3441456454</v>
      </c>
      <c r="V184" s="159">
        <f>_xll.xSPRDOPT($L184,$J184,$I184,$M184,$O184,$N184,$P184,$Q184-$C$3,$R184,2)*H184</f>
        <v>499908.08000699634</v>
      </c>
      <c r="W184" s="159">
        <f t="shared" si="244"/>
        <v>1.996274566045031E-2</v>
      </c>
      <c r="X184" s="51" t="str">
        <f t="shared" si="228"/>
        <v>36770NGI-SOCAL</v>
      </c>
      <c r="Y184" s="418">
        <f t="shared" si="229"/>
        <v>-50</v>
      </c>
      <c r="Z184" s="456">
        <f t="shared" si="230"/>
        <v>0.9998161200885014</v>
      </c>
      <c r="AA184" s="456">
        <f>_xll.xSPRDOPT($L184,$J184,$I184,$M184,$O184,$N184,$P184,$Q184-$C$3,$R184,3)</f>
        <v>9.2200115215252244E-270</v>
      </c>
      <c r="AB184" s="456">
        <f>((_xll.xSPRDOPT($L184+AB$5,$J184,$I184,$M184,$O184,$N184,$P184,$Q184-$C$3,$R184,3)*$H184)/10000)/100</f>
        <v>-4.6100057607626122E-270</v>
      </c>
      <c r="AC184" s="456">
        <f>((_xll.xSPRDOPT($L184+$AB$5,$J184,$I184,$M184,$O184,$N184,$P184,$Q184-$C$3,$R184,7)*$H184)/100)</f>
        <v>0</v>
      </c>
      <c r="AD184" s="456">
        <f>(_xll.xSPRDOPT($L184+$AB$5,$J184,$I184,$M184,$O184,$N184,$P184,$Q184-$C$3,$R184,9)/365)*$H184</f>
        <v>-220.94411312741488</v>
      </c>
      <c r="AE184">
        <f t="shared" si="198"/>
        <v>0</v>
      </c>
      <c r="AF184" s="456">
        <f t="shared" si="199"/>
        <v>-3.9736588723781998E-7</v>
      </c>
      <c r="AG184" s="456">
        <f>((_xll.xSPRDOPT($L184,$J184,$I184,$M184,$O184,$N184,$P184,$Q184-$C$3,$R184,6)*$H184)/100)</f>
        <v>-5.3365253451360085E-6</v>
      </c>
      <c r="AH184" s="456">
        <f>((_xll.xSPRDOPT($L184,$J184,$I184,$M184,$O184,$N184,$P184,$Q184-$C$3,$R184,5)*$H184)/100)</f>
        <v>5.2544249552108392E-6</v>
      </c>
      <c r="AI184" s="456">
        <f>(((_xll.xSPRDOPT($L184,$J184,$I184,$M184,$O184,$N184,$P184,$Q184-$C$3,$R184,4)*$H184)/10000)/100)-AB184</f>
        <v>2.5317012314589047E-5</v>
      </c>
      <c r="AJ184" s="456"/>
      <c r="AK184" s="456"/>
      <c r="AL184" s="456"/>
      <c r="AM184" s="472"/>
      <c r="CC184" s="141">
        <f t="shared" si="226"/>
        <v>36770</v>
      </c>
      <c r="CD184" s="234">
        <f>_xll.xSPRDOPT((VLOOKUP(G184,NGPrices,2,FALSE)+HLOOKUP(D184,Prices,VLOOKUP(G184,move_down,2,FALSE),FALSE)),VLOOKUP(G184,NGPrices,2,FALSE),I184,VLOOKUP(G184,NGPREVPRICES,4,FALSE),HLOOKUP(D184,PREVVOLS,VLOOKUP(G184,MOVE_DOWN2,2,FALSE),FALSE),VLOOKUP(G184,NGPREVPRICES,3,FALSE),HLOOKUP(D184,Correllate,VLOOKUP(G184,CorMove,2,FALSE),FALSE),Q184-$CD$3,R184,$CD$5)*H184-CJ184</f>
        <v>0</v>
      </c>
      <c r="CE184" s="234">
        <f>_xll.xSPRDOPT((VLOOKUP(G184,NGPREVPRICES,2,FALSE)+HLOOKUP(D184,PREVCURVES,VLOOKUP(G184,MOVE_DOWN2,2,FALSE),FALSE)),VLOOKUP(G184,NGPREVPRICES,2,FALSE),CK184,VLOOKUP(G184,NGPrices,4,FALSE),HLOOKUP(D184,PREVVOLS,VLOOKUP(G184,MOVE_DOWN2,2,FALSE),FALSE),VLOOKUP(G184,NGPREVPRICES,3,FALSE),HLOOKUP(D184,Correllate,VLOOKUP(G184,CorMove,2,FALSE),FALSE),Q184-$CD$3,R184,$CJ$5)*H184-CJ184</f>
        <v>0</v>
      </c>
      <c r="CF184" s="10">
        <f t="shared" si="245"/>
        <v>218.59044582396746</v>
      </c>
      <c r="CG184" s="234">
        <f>_xll.xSPRDOPT((VLOOKUP(G184,NGPREVPRICES,2,FALSE)+HLOOKUP(D184,PREVCURVES,VLOOKUP(G184,MOVE_DOWN2,2,FALSE),FALSE)),VLOOKUP(G184,NGPREVPRICES,2,FALSE),CK184,VLOOKUP(G184,NGPREVPRICES,4,FALSE),HLOOKUP(D184,VOLS,VLOOKUP(G184,move_down,2,FALSE),FALSE),VLOOKUP(G184,NGPrices,3,FALSE),HLOOKUP(D184,Correllate,VLOOKUP(G184,CorMove,2,FALSE),FALSE),Q184-$CD$3,R184,$CJ$5)*H184-CJ184</f>
        <v>0</v>
      </c>
      <c r="CH184" s="234">
        <f>_xll.xSPRDOPT((VLOOKUP(G184,NGPREVPRICES,2,FALSE)+HLOOKUP(D184,PREVCURVES,VLOOKUP(G184,MOVE_DOWN2,2,FALSE),FALSE)),VLOOKUP(G184,NGPREVPRICES,2,FALSE),CK184,VLOOKUP(G184,NGPREVPRICES,4,FALSE),HLOOKUP(D184,PREVVOLS,VLOOKUP(G184,MOVE_DOWN2,2,FALSE),FALSE),VLOOKUP(G184,NGPREVPRICES,3,FALSE),HLOOKUP(D184,Correllate,VLOOKUP(G184,CorMove,2,FALSE),FALSE),Q184-$C$3,R184,$CJ$5)*H184-CJ184</f>
        <v>-220.77257030270994</v>
      </c>
      <c r="CI184" s="234">
        <f t="shared" si="246"/>
        <v>-2.1821244787424803</v>
      </c>
      <c r="CJ184" s="234">
        <f>_xll.xSPRDOPT((VLOOKUP(G184,NGPREVPRICES,2,FALSE)+HLOOKUP(D184,PREVCURVES,VLOOKUP(G184,MOVE_DOWN2,2,FALSE),FALSE)),VLOOKUP(G184,NGPREVPRICES,2,FALSE),CK184,VLOOKUP(G184,NGPREVPRICES,4,FALSE),HLOOKUP(D184,PREVVOLS,VLOOKUP(G184,MOVE_DOWN2,2,FALSE),FALSE),VLOOKUP(G184,NGPREVPRICES,3,FALSE),HLOOKUP(D184,Correllate,VLOOKUP(G184,CorMove,2,FALSE),FALSE),Q184-$CD$3,R184,$CJ$5)*H184</f>
        <v>-1199558.5715753427</v>
      </c>
      <c r="CK184" s="235">
        <f t="shared" si="227"/>
        <v>0.1</v>
      </c>
      <c r="CL184" s="234"/>
      <c r="CM184" t="str">
        <f t="shared" si="247"/>
        <v>36770Curve Shift/Gamma</v>
      </c>
      <c r="CN184" t="str">
        <f t="shared" si="248"/>
        <v>36770Rho</v>
      </c>
      <c r="CO184" t="str">
        <f t="shared" si="249"/>
        <v>36770Drift</v>
      </c>
      <c r="CP184" t="str">
        <f t="shared" si="250"/>
        <v>36770Vega</v>
      </c>
      <c r="CQ184" t="str">
        <f t="shared" si="251"/>
        <v>36770Theta</v>
      </c>
    </row>
    <row r="185" spans="1:95" ht="12" customHeight="1" x14ac:dyDescent="0.25">
      <c r="A185" s="140" t="s">
        <v>371</v>
      </c>
      <c r="B185" t="s">
        <v>250</v>
      </c>
      <c r="C185" t="s">
        <v>372</v>
      </c>
      <c r="D185" s="4" t="s">
        <v>190</v>
      </c>
      <c r="E185" t="s">
        <v>20</v>
      </c>
      <c r="F185" t="s">
        <v>21</v>
      </c>
      <c r="G185" s="5">
        <v>36800</v>
      </c>
      <c r="H185" s="130">
        <v>-310000</v>
      </c>
      <c r="I185">
        <v>4.4999999999999998E-2</v>
      </c>
      <c r="J185" s="53">
        <f t="shared" si="200"/>
        <v>4.6920000000000002</v>
      </c>
      <c r="K185" s="7">
        <f t="shared" si="201"/>
        <v>1.99</v>
      </c>
      <c r="L185" s="53">
        <f t="shared" si="202"/>
        <v>6.6820000000000004</v>
      </c>
      <c r="M185" s="157">
        <f t="shared" si="238"/>
        <v>6.8050789414654006E-2</v>
      </c>
      <c r="N185" s="4">
        <f t="shared" si="239"/>
        <v>0.57499999999999996</v>
      </c>
      <c r="O185" s="4">
        <f t="shared" si="240"/>
        <v>0.54100000000000004</v>
      </c>
      <c r="P185" s="9">
        <f t="shared" si="241"/>
        <v>0.83</v>
      </c>
      <c r="Q185" s="5">
        <f t="shared" si="194"/>
        <v>36797</v>
      </c>
      <c r="R185" s="4">
        <f t="shared" si="242"/>
        <v>1</v>
      </c>
      <c r="S185" s="158">
        <f>_xll.xSPRDOPT($L185,$J185,$I185,$M185,$O185,$N185,$P185,$Q185-$C$3,$R185,0)</f>
        <v>1.9341731691243667</v>
      </c>
      <c r="T185" s="159">
        <f>_xll.xSPRDOPT($L185,$J185,$I185,$M185,$O185,$N185,$P185,$Q185-$C$3,$R185,1)*H185</f>
        <v>-308243.63839538035</v>
      </c>
      <c r="U185" s="160">
        <f t="shared" si="243"/>
        <v>-599593.6824285537</v>
      </c>
      <c r="V185" s="159">
        <f>_xll.xSPRDOPT($L185,$J185,$I185,$M185,$O185,$N185,$P185,$Q185-$C$3,$R185,2)*H185</f>
        <v>308230.94488484546</v>
      </c>
      <c r="W185" s="159">
        <f t="shared" si="244"/>
        <v>-12.69351053488208</v>
      </c>
      <c r="X185" s="51" t="str">
        <f t="shared" si="228"/>
        <v>36800NGI-SOCAL</v>
      </c>
      <c r="Y185" s="418">
        <f t="shared" si="229"/>
        <v>-31</v>
      </c>
      <c r="Z185" s="456">
        <f t="shared" si="230"/>
        <v>0.99433431740445277</v>
      </c>
      <c r="AA185" s="456">
        <f>_xll.xSPRDOPT($L185,$J185,$I185,$M185,$O185,$N185,$P185,$Q185-$C$3,$R185,3)</f>
        <v>5.8727166428212767E-4</v>
      </c>
      <c r="AB185" s="456">
        <f>((_xll.xSPRDOPT($L185+AB$5,$J185,$I185,$M185,$O185,$N185,$P185,$Q185-$C$3,$R185,3)*$H185)/10000)/100</f>
        <v>-1.820542159274596E-4</v>
      </c>
      <c r="AC185" s="456">
        <f>((_xll.xSPRDOPT($L185+$AB$5,$J185,$I185,$M185,$O185,$N185,$P185,$Q185-$C$3,$R185,7)*$H185)/100)</f>
        <v>2.0593209636447241</v>
      </c>
      <c r="AD185" s="456">
        <f>(_xll.xSPRDOPT($L185+$AB$5,$J185,$I185,$M185,$O185,$N185,$P185,$Q185-$C$3,$R185,9)/365)*$H185</f>
        <v>-110.61097847496372</v>
      </c>
      <c r="AE185">
        <f t="shared" si="198"/>
        <v>0</v>
      </c>
      <c r="AF185" s="456">
        <f t="shared" si="199"/>
        <v>-1.2279362072454951</v>
      </c>
      <c r="AG185" s="456">
        <f>((_xll.xSPRDOPT($L185,$J185,$I185,$M185,$O185,$N185,$P185,$Q185-$C$3,$R185,6)*$H185)/100)</f>
        <v>-0.80553010091939259</v>
      </c>
      <c r="AH185" s="456">
        <f>((_xll.xSPRDOPT($L185,$J185,$I185,$M185,$O185,$N185,$P185,$Q185-$C$3,$R185,5)*$H185)/100)</f>
        <v>-0.44895288565158781</v>
      </c>
      <c r="AI185" s="456">
        <f>(((_xll.xSPRDOPT($L185,$J185,$I185,$M185,$O185,$N185,$P185,$Q185-$C$3,$R185,4)*$H185)/10000)/100)-AB185</f>
        <v>-1.8142113075741688E-4</v>
      </c>
      <c r="AJ185" s="456"/>
      <c r="AK185" s="456"/>
      <c r="AL185" s="456"/>
      <c r="AM185" s="472"/>
      <c r="CC185" s="141">
        <f t="shared" si="226"/>
        <v>36800</v>
      </c>
      <c r="CD185" s="234">
        <f>_xll.xSPRDOPT((VLOOKUP(G185,NGPrices,2,FALSE)+HLOOKUP(D185,Prices,VLOOKUP(G185,move_down,2,FALSE),FALSE)),VLOOKUP(G185,NGPrices,2,FALSE),I185,VLOOKUP(G185,NGPREVPRICES,4,FALSE),HLOOKUP(D185,PREVVOLS,VLOOKUP(G185,MOVE_DOWN2,2,FALSE),FALSE),VLOOKUP(G185,NGPREVPRICES,3,FALSE),HLOOKUP(D185,Correllate,VLOOKUP(G185,CorMove,2,FALSE),FALSE),Q185-$CD$3,R185,$CD$5)*H185-CJ185</f>
        <v>0</v>
      </c>
      <c r="CE185" s="234">
        <f>_xll.xSPRDOPT((VLOOKUP(G185,NGPREVPRICES,2,FALSE)+HLOOKUP(D185,PREVCURVES,VLOOKUP(G185,MOVE_DOWN2,2,FALSE),FALSE)),VLOOKUP(G185,NGPREVPRICES,2,FALSE),CK185,VLOOKUP(G185,NGPrices,4,FALSE),HLOOKUP(D185,PREVVOLS,VLOOKUP(G185,MOVE_DOWN2,2,FALSE),FALSE),VLOOKUP(G185,NGPREVPRICES,3,FALSE),HLOOKUP(D185,Correllate,VLOOKUP(G185,CorMove,2,FALSE),FALSE),Q185-$CD$3,R185,$CJ$5)*H185-CJ185</f>
        <v>0</v>
      </c>
      <c r="CF185" s="10">
        <f t="shared" si="245"/>
        <v>110.51818434731103</v>
      </c>
      <c r="CG185" s="234">
        <f>_xll.xSPRDOPT((VLOOKUP(G185,NGPREVPRICES,2,FALSE)+HLOOKUP(D185,PREVCURVES,VLOOKUP(G185,MOVE_DOWN2,2,FALSE),FALSE)),VLOOKUP(G185,NGPREVPRICES,2,FALSE),CK185,VLOOKUP(G185,NGPREVPRICES,4,FALSE),HLOOKUP(D185,VOLS,VLOOKUP(G185,move_down,2,FALSE),FALSE),VLOOKUP(G185,NGPrices,3,FALSE),HLOOKUP(D185,Correllate,VLOOKUP(G185,CorMove,2,FALSE),FALSE),Q185-$CD$3,R185,$CJ$5)*H185-CJ185</f>
        <v>0</v>
      </c>
      <c r="CH185" s="234">
        <f>_xll.xSPRDOPT((VLOOKUP(G185,NGPREVPRICES,2,FALSE)+HLOOKUP(D185,PREVCURVES,VLOOKUP(G185,MOVE_DOWN2,2,FALSE),FALSE)),VLOOKUP(G185,NGPREVPRICES,2,FALSE),CK185,VLOOKUP(G185,NGPREVPRICES,4,FALSE),HLOOKUP(D185,PREVVOLS,VLOOKUP(G185,MOVE_DOWN2,2,FALSE),FALSE),VLOOKUP(G185,NGPREVPRICES,3,FALSE),HLOOKUP(D185,Correllate,VLOOKUP(G185,CorMove,2,FALSE),FALSE),Q185-$C$3,R185,$CJ$5)*H185-CJ185</f>
        <v>-110.39531484316103</v>
      </c>
      <c r="CI185" s="234">
        <f t="shared" si="246"/>
        <v>0.12286950415000319</v>
      </c>
      <c r="CJ185" s="234">
        <f>_xll.xSPRDOPT((VLOOKUP(G185,NGPREVPRICES,2,FALSE)+HLOOKUP(D185,PREVCURVES,VLOOKUP(G185,MOVE_DOWN2,2,FALSE),FALSE)),VLOOKUP(G185,NGPREVPRICES,2,FALSE),CK185,VLOOKUP(G185,NGPREVPRICES,4,FALSE),HLOOKUP(D185,PREVVOLS,VLOOKUP(G185,MOVE_DOWN2,2,FALSE),FALSE),VLOOKUP(G185,NGPREVPRICES,3,FALSE),HLOOKUP(D185,Correllate,VLOOKUP(G185,CorMove,2,FALSE),FALSE),Q185-$CD$3,R185,$CJ$5)*H185</f>
        <v>-599483.28711371054</v>
      </c>
      <c r="CK185" s="235">
        <f t="shared" si="227"/>
        <v>4.4999999999999998E-2</v>
      </c>
      <c r="CL185" s="234"/>
      <c r="CM185" t="str">
        <f t="shared" si="247"/>
        <v>36800Curve Shift/Gamma</v>
      </c>
      <c r="CN185" t="str">
        <f t="shared" si="248"/>
        <v>36800Rho</v>
      </c>
      <c r="CO185" t="str">
        <f t="shared" si="249"/>
        <v>36800Drift</v>
      </c>
      <c r="CP185" t="str">
        <f t="shared" si="250"/>
        <v>36800Vega</v>
      </c>
      <c r="CQ185" t="str">
        <f t="shared" si="251"/>
        <v>36800Theta</v>
      </c>
    </row>
    <row r="186" spans="1:95" ht="12" customHeight="1" x14ac:dyDescent="0.25">
      <c r="A186" s="140" t="s">
        <v>371</v>
      </c>
      <c r="B186" t="s">
        <v>250</v>
      </c>
      <c r="C186" t="s">
        <v>372</v>
      </c>
      <c r="D186" s="4" t="s">
        <v>190</v>
      </c>
      <c r="E186" t="s">
        <v>20</v>
      </c>
      <c r="F186" t="s">
        <v>1</v>
      </c>
      <c r="G186" s="5">
        <v>36800</v>
      </c>
      <c r="H186" s="130">
        <v>-310000</v>
      </c>
      <c r="I186">
        <v>4.4999999999999998E-2</v>
      </c>
      <c r="J186" s="53">
        <f t="shared" si="200"/>
        <v>4.6920000000000002</v>
      </c>
      <c r="K186" s="7">
        <f t="shared" si="201"/>
        <v>1.99</v>
      </c>
      <c r="L186" s="53">
        <f t="shared" si="202"/>
        <v>6.6820000000000004</v>
      </c>
      <c r="M186" s="157">
        <f t="shared" si="238"/>
        <v>6.8050789414654006E-2</v>
      </c>
      <c r="N186" s="4">
        <f t="shared" si="239"/>
        <v>0.57499999999999996</v>
      </c>
      <c r="O186" s="4">
        <f t="shared" si="240"/>
        <v>0.54100000000000004</v>
      </c>
      <c r="P186" s="9">
        <f t="shared" si="241"/>
        <v>0.83</v>
      </c>
      <c r="Q186" s="5">
        <f t="shared" si="194"/>
        <v>36797</v>
      </c>
      <c r="R186" s="4">
        <f t="shared" si="242"/>
        <v>0</v>
      </c>
      <c r="S186" s="158">
        <f>_xll.xSPRDOPT($L186,$J186,$I186,$M186,$O186,$N186,$P186,$Q186-$C$3,$R186,0)</f>
        <v>1.4201680697108199E-5</v>
      </c>
      <c r="T186" s="159">
        <f>_xll.xSPRDOPT($L186,$J186,$I186,$M186,$O186,$N186,$P186,$Q186-$C$3,$R186,1)*H186</f>
        <v>28.48495039735166</v>
      </c>
      <c r="U186" s="160">
        <f t="shared" si="243"/>
        <v>-4.4025210161035417</v>
      </c>
      <c r="V186" s="159">
        <f>_xll.xSPRDOPT($L186,$J186,$I186,$M186,$O186,$N186,$P186,$Q186-$C$3,$R186,2)*H186</f>
        <v>-41.178460932190795</v>
      </c>
      <c r="W186" s="159">
        <f t="shared" si="244"/>
        <v>-12.693510534839135</v>
      </c>
      <c r="X186" s="51" t="str">
        <f t="shared" si="228"/>
        <v>36800NGI-SOCAL</v>
      </c>
      <c r="Y186" s="418">
        <f t="shared" si="229"/>
        <v>-31</v>
      </c>
      <c r="Z186" s="456">
        <f t="shared" si="230"/>
        <v>-9.1886936765650518E-5</v>
      </c>
      <c r="AA186" s="456">
        <f>_xll.xSPRDOPT($L186,$J186,$I186,$M186,$O186,$N186,$P186,$Q186-$C$3,$R186,3)</f>
        <v>5.8727166428212767E-4</v>
      </c>
      <c r="AB186" s="456">
        <f>((_xll.xSPRDOPT($L186+AB$5,$J186,$I186,$M186,$O186,$N186,$P186,$Q186-$C$3,$R186,3)*$H186)/10000)/100</f>
        <v>-1.820542159274596E-4</v>
      </c>
      <c r="AC186" s="456">
        <f>((_xll.xSPRDOPT($L186+$AB$5,$J186,$I186,$M186,$O186,$N186,$P186,$Q186-$C$3,$R186,7)*$H186)/100)</f>
        <v>2.0593209636447241</v>
      </c>
      <c r="AD186" s="456">
        <f>(_xll.xSPRDOPT($L186+$AB$5,$J186,$I186,$M186,$O186,$N186,$P186,$Q186-$C$3,$R186,9)/365)*$H186</f>
        <v>1.1767580244112696</v>
      </c>
      <c r="AE186">
        <f t="shared" si="198"/>
        <v>0</v>
      </c>
      <c r="AF186" s="456">
        <f t="shared" si="199"/>
        <v>-1.2279362072454951</v>
      </c>
      <c r="AG186" s="456">
        <f>((_xll.xSPRDOPT($L186,$J186,$I186,$M186,$O186,$N186,$P186,$Q186-$C$3,$R186,6)*$H186)/100)</f>
        <v>-0.80553010091939259</v>
      </c>
      <c r="AH186" s="456">
        <f>((_xll.xSPRDOPT($L186,$J186,$I186,$M186,$O186,$N186,$P186,$Q186-$C$3,$R186,5)*$H186)/100)</f>
        <v>-0.44895288565158781</v>
      </c>
      <c r="AI186" s="456">
        <f>(((_xll.xSPRDOPT($L186,$J186,$I186,$M186,$O186,$N186,$P186,$Q186-$C$3,$R186,4)*$H186)/10000)/100)-AB186</f>
        <v>-1.8142113075741688E-4</v>
      </c>
      <c r="AJ186" s="456"/>
      <c r="AK186" s="456"/>
      <c r="AL186" s="456"/>
      <c r="AM186" s="472"/>
      <c r="CC186" s="141">
        <f t="shared" si="226"/>
        <v>36800</v>
      </c>
      <c r="CD186" s="234">
        <f>_xll.xSPRDOPT((VLOOKUP(G186,NGPrices,2,FALSE)+HLOOKUP(D186,Prices,VLOOKUP(G186,move_down,2,FALSE),FALSE)),VLOOKUP(G186,NGPrices,2,FALSE),I186,VLOOKUP(G186,NGPREVPRICES,4,FALSE),HLOOKUP(D186,PREVVOLS,VLOOKUP(G186,MOVE_DOWN2,2,FALSE),FALSE),VLOOKUP(G186,NGPREVPRICES,3,FALSE),HLOOKUP(D186,Correllate,VLOOKUP(G186,CorMove,2,FALSE),FALSE),Q186-$CD$3,R186,$CD$5)*H186-CJ186</f>
        <v>0</v>
      </c>
      <c r="CE186" s="234">
        <f>_xll.xSPRDOPT((VLOOKUP(G186,NGPREVPRICES,2,FALSE)+HLOOKUP(D186,PREVCURVES,VLOOKUP(G186,MOVE_DOWN2,2,FALSE),FALSE)),VLOOKUP(G186,NGPREVPRICES,2,FALSE),CK186,VLOOKUP(G186,NGPrices,4,FALSE),HLOOKUP(D186,PREVVOLS,VLOOKUP(G186,MOVE_DOWN2,2,FALSE),FALSE),VLOOKUP(G186,NGPREVPRICES,3,FALSE),HLOOKUP(D186,Correllate,VLOOKUP(G186,CorMove,2,FALSE),FALSE),Q186-$CD$3,R186,$CJ$5)*H186-CJ186</f>
        <v>0</v>
      </c>
      <c r="CF186" s="10">
        <f t="shared" si="245"/>
        <v>1.0523066432064354E-3</v>
      </c>
      <c r="CG186" s="234">
        <f>_xll.xSPRDOPT((VLOOKUP(G186,NGPREVPRICES,2,FALSE)+HLOOKUP(D186,PREVCURVES,VLOOKUP(G186,MOVE_DOWN2,2,FALSE),FALSE)),VLOOKUP(G186,NGPREVPRICES,2,FALSE),CK186,VLOOKUP(G186,NGPREVPRICES,4,FALSE),HLOOKUP(D186,VOLS,VLOOKUP(G186,move_down,2,FALSE),FALSE),VLOOKUP(G186,NGPrices,3,FALSE),HLOOKUP(D186,Correllate,VLOOKUP(G186,CorMove,2,FALSE),FALSE),Q186-$CD$3,R186,$CJ$5)*H186-CJ186</f>
        <v>0</v>
      </c>
      <c r="CH186" s="234">
        <f>_xll.xSPRDOPT((VLOOKUP(G186,NGPREVPRICES,2,FALSE)+HLOOKUP(D186,PREVCURVES,VLOOKUP(G186,MOVE_DOWN2,2,FALSE),FALSE)),VLOOKUP(G186,NGPREVPRICES,2,FALSE),CK186,VLOOKUP(G186,NGPREVPRICES,4,FALSE),HLOOKUP(D186,PREVVOLS,VLOOKUP(G186,MOVE_DOWN2,2,FALSE),FALSE),VLOOKUP(G186,NGPREVPRICES,3,FALSE),HLOOKUP(D186,Correllate,VLOOKUP(G186,CorMove,2,FALSE),FALSE),Q186-$C$3,R186,$CJ$5)*H186-CJ186</f>
        <v>1.3055011455610774</v>
      </c>
      <c r="CI186" s="234">
        <f t="shared" si="246"/>
        <v>1.3065534522042839</v>
      </c>
      <c r="CJ186" s="234">
        <f>_xll.xSPRDOPT((VLOOKUP(G186,NGPREVPRICES,2,FALSE)+HLOOKUP(D186,PREVCURVES,VLOOKUP(G186,MOVE_DOWN2,2,FALSE),FALSE)),VLOOKUP(G186,NGPREVPRICES,2,FALSE),CK186,VLOOKUP(G186,NGPREVPRICES,4,FALSE),HLOOKUP(D186,PREVVOLS,VLOOKUP(G186,MOVE_DOWN2,2,FALSE),FALSE),VLOOKUP(G186,NGPREVPRICES,3,FALSE),HLOOKUP(D186,Correllate,VLOOKUP(G186,CorMove,2,FALSE),FALSE),Q186-$CD$3,R186,$CJ$5)*H186</f>
        <v>-5.7080221616646192</v>
      </c>
      <c r="CK186" s="235">
        <f t="shared" si="227"/>
        <v>4.4999999999999998E-2</v>
      </c>
      <c r="CL186" s="234"/>
      <c r="CM186" t="str">
        <f t="shared" si="247"/>
        <v>36800Curve Shift/Gamma</v>
      </c>
      <c r="CN186" t="str">
        <f t="shared" si="248"/>
        <v>36800Rho</v>
      </c>
      <c r="CO186" t="str">
        <f t="shared" si="249"/>
        <v>36800Drift</v>
      </c>
      <c r="CP186" t="str">
        <f t="shared" si="250"/>
        <v>36800Vega</v>
      </c>
      <c r="CQ186" t="str">
        <f t="shared" si="251"/>
        <v>36800Theta</v>
      </c>
    </row>
    <row r="187" spans="1:95" ht="12" customHeight="1" x14ac:dyDescent="0.25">
      <c r="A187" s="140" t="s">
        <v>371</v>
      </c>
      <c r="B187" t="s">
        <v>250</v>
      </c>
      <c r="C187" t="s">
        <v>372</v>
      </c>
      <c r="D187" s="4" t="s">
        <v>190</v>
      </c>
      <c r="E187" t="s">
        <v>20</v>
      </c>
      <c r="F187" t="s">
        <v>21</v>
      </c>
      <c r="G187" s="5">
        <v>36770</v>
      </c>
      <c r="H187" s="130">
        <v>-300000</v>
      </c>
      <c r="I187">
        <v>4.4999999999999998E-2</v>
      </c>
      <c r="J187" s="53">
        <f t="shared" si="200"/>
        <v>4.6849999999999996</v>
      </c>
      <c r="K187" s="7">
        <f t="shared" si="201"/>
        <v>2.5</v>
      </c>
      <c r="L187" s="53">
        <f t="shared" si="202"/>
        <v>7.1849999999999996</v>
      </c>
      <c r="M187" s="157">
        <f t="shared" si="238"/>
        <v>6.7216196212184998E-2</v>
      </c>
      <c r="N187" s="4">
        <f t="shared" si="239"/>
        <v>0.4</v>
      </c>
      <c r="O187" s="4">
        <f t="shared" si="240"/>
        <v>0.376</v>
      </c>
      <c r="P187" s="9">
        <f t="shared" si="241"/>
        <v>0.83</v>
      </c>
      <c r="Q187" s="5">
        <f t="shared" si="194"/>
        <v>36768</v>
      </c>
      <c r="R187" s="4">
        <f t="shared" si="242"/>
        <v>1</v>
      </c>
      <c r="S187" s="158">
        <f>_xll.xSPRDOPT($L187,$J187,$I187,$M187,$O187,$N187,$P187,$Q187-$C$3,$R187,0)</f>
        <v>2.4545485748976499</v>
      </c>
      <c r="T187" s="159">
        <f>_xll.xSPRDOPT($L187,$J187,$I187,$M187,$O187,$N187,$P187,$Q187-$C$3,$R187,1)*H187</f>
        <v>-299944.83602655045</v>
      </c>
      <c r="U187" s="160">
        <f t="shared" si="243"/>
        <v>-736364.572469295</v>
      </c>
      <c r="V187" s="159">
        <f>_xll.xSPRDOPT($L187,$J187,$I187,$M187,$O187,$N187,$P187,$Q187-$C$3,$R187,2)*H187</f>
        <v>299944.84800419852</v>
      </c>
      <c r="W187" s="159">
        <f t="shared" si="244"/>
        <v>1.1977648071479052E-2</v>
      </c>
      <c r="X187" s="51" t="str">
        <f t="shared" si="228"/>
        <v>36770NGI-SOCAL</v>
      </c>
      <c r="Y187" s="418">
        <f t="shared" si="229"/>
        <v>-30</v>
      </c>
      <c r="Z187" s="456">
        <f t="shared" si="230"/>
        <v>0.99981612008850151</v>
      </c>
      <c r="AA187" s="456">
        <f>_xll.xSPRDOPT($L187,$J187,$I187,$M187,$O187,$N187,$P187,$Q187-$C$3,$R187,3)</f>
        <v>8.0947481440195719E-284</v>
      </c>
      <c r="AB187" s="456">
        <f>((_xll.xSPRDOPT($L187+AB$5,$J187,$I187,$M187,$O187,$N187,$P187,$Q187-$C$3,$R187,3)*$H187)/10000)/100</f>
        <v>-2.4284244432058716E-284</v>
      </c>
      <c r="AC187" s="456">
        <f>((_xll.xSPRDOPT($L187+$AB$5,$J187,$I187,$M187,$O187,$N187,$P187,$Q187-$C$3,$R187,7)*$H187)/100)</f>
        <v>-7.5165151909029575E-5</v>
      </c>
      <c r="AD187" s="456">
        <f>(_xll.xSPRDOPT($L187+$AB$5,$J187,$I187,$M187,$O187,$N187,$P187,$Q187-$C$3,$R187,9)/365)*$H187</f>
        <v>-135.60444950647076</v>
      </c>
      <c r="AE187">
        <f t="shared" si="198"/>
        <v>0</v>
      </c>
      <c r="AF187" s="456">
        <f t="shared" si="199"/>
        <v>-1.6452918141003949E-7</v>
      </c>
      <c r="AG187" s="456">
        <f>((_xll.xSPRDOPT($L187,$J187,$I187,$M187,$O187,$N187,$P187,$Q187-$C$3,$R187,6)*$H187)/100)</f>
        <v>-3.1280248561489528E-6</v>
      </c>
      <c r="AH187" s="456">
        <f>((_xll.xSPRDOPT($L187,$J187,$I187,$M187,$O187,$N187,$P187,$Q187-$C$3,$R187,5)*$H187)/100)</f>
        <v>3.1526549731265035E-6</v>
      </c>
      <c r="AI187" s="456">
        <f>(((_xll.xSPRDOPT($L187,$J187,$I187,$M187,$O187,$N187,$P187,$Q187-$C$3,$R187,4)*$H187)/10000)/100)-AB187</f>
        <v>1.5538966066496249E-5</v>
      </c>
      <c r="AJ187" s="456"/>
      <c r="AK187" s="456"/>
      <c r="AL187" s="456"/>
      <c r="AM187" s="472"/>
      <c r="CC187" s="141">
        <f t="shared" si="226"/>
        <v>36770</v>
      </c>
      <c r="CD187" s="234">
        <f>_xll.xSPRDOPT((VLOOKUP(G187,NGPrices,2,FALSE)+HLOOKUP(D187,Prices,VLOOKUP(G187,move_down,2,FALSE),FALSE)),VLOOKUP(G187,NGPrices,2,FALSE),I187,VLOOKUP(G187,NGPREVPRICES,4,FALSE),HLOOKUP(D187,PREVVOLS,VLOOKUP(G187,MOVE_DOWN2,2,FALSE),FALSE),VLOOKUP(G187,NGPREVPRICES,3,FALSE),HLOOKUP(D187,Correllate,VLOOKUP(G187,CorMove,2,FALSE),FALSE),Q187-$CD$3,R187,$CD$5)*H187-CJ187</f>
        <v>0</v>
      </c>
      <c r="CE187" s="234">
        <f>_xll.xSPRDOPT((VLOOKUP(G187,NGPREVPRICES,2,FALSE)+HLOOKUP(D187,PREVCURVES,VLOOKUP(G187,MOVE_DOWN2,2,FALSE),FALSE)),VLOOKUP(G187,NGPREVPRICES,2,FALSE),CK187,VLOOKUP(G187,NGPrices,4,FALSE),HLOOKUP(D187,PREVVOLS,VLOOKUP(G187,MOVE_DOWN2,2,FALSE),FALSE),VLOOKUP(G187,NGPREVPRICES,3,FALSE),HLOOKUP(D187,Correllate,VLOOKUP(G187,CorMove,2,FALSE),FALSE),Q187-$CD$3,R187,$CJ$5)*H187-CJ187</f>
        <v>0</v>
      </c>
      <c r="CF187" s="10">
        <f t="shared" si="245"/>
        <v>134.15988612442743</v>
      </c>
      <c r="CG187" s="234">
        <f>_xll.xSPRDOPT((VLOOKUP(G187,NGPREVPRICES,2,FALSE)+HLOOKUP(D187,PREVCURVES,VLOOKUP(G187,MOVE_DOWN2,2,FALSE),FALSE)),VLOOKUP(G187,NGPREVPRICES,2,FALSE),CK187,VLOOKUP(G187,NGPREVPRICES,4,FALSE),HLOOKUP(D187,VOLS,VLOOKUP(G187,move_down,2,FALSE),FALSE),VLOOKUP(G187,NGPrices,3,FALSE),HLOOKUP(D187,Correllate,VLOOKUP(G187,CorMove,2,FALSE),FALSE),Q187-$CD$3,R187,$CJ$5)*H187-CJ187</f>
        <v>0</v>
      </c>
      <c r="CH187" s="234">
        <f>_xll.xSPRDOPT((VLOOKUP(G187,NGPREVPRICES,2,FALSE)+HLOOKUP(D187,PREVCURVES,VLOOKUP(G187,MOVE_DOWN2,2,FALSE),FALSE)),VLOOKUP(G187,NGPREVPRICES,2,FALSE),CK187,VLOOKUP(G187,NGPREVPRICES,4,FALSE),HLOOKUP(D187,PREVVOLS,VLOOKUP(G187,MOVE_DOWN2,2,FALSE),FALSE),VLOOKUP(G187,NGPREVPRICES,3,FALSE),HLOOKUP(D187,Correllate,VLOOKUP(G187,CorMove,2,FALSE),FALSE),Q187-$C$3,R187,$CJ$5)*H187-CJ187</f>
        <v>-135.49916511867195</v>
      </c>
      <c r="CI187" s="234">
        <f t="shared" si="246"/>
        <v>-1.3392789942445233</v>
      </c>
      <c r="CJ187" s="234">
        <f>_xll.xSPRDOPT((VLOOKUP(G187,NGPREVPRICES,2,FALSE)+HLOOKUP(D187,PREVCURVES,VLOOKUP(G187,MOVE_DOWN2,2,FALSE),FALSE)),VLOOKUP(G187,NGPREVPRICES,2,FALSE),CK187,VLOOKUP(G187,NGPREVPRICES,4,FALSE),HLOOKUP(D187,PREVVOLS,VLOOKUP(G187,MOVE_DOWN2,2,FALSE),FALSE),VLOOKUP(G187,NGPREVPRICES,3,FALSE),HLOOKUP(D187,Correllate,VLOOKUP(G187,CorMove,2,FALSE),FALSE),Q187-$CD$3,R187,$CJ$5)*H187</f>
        <v>-736229.07330417633</v>
      </c>
      <c r="CK187" s="235">
        <f t="shared" si="227"/>
        <v>4.4999999999999998E-2</v>
      </c>
      <c r="CL187" s="234"/>
      <c r="CM187" t="str">
        <f t="shared" si="247"/>
        <v>36770Curve Shift/Gamma</v>
      </c>
      <c r="CN187" t="str">
        <f t="shared" si="248"/>
        <v>36770Rho</v>
      </c>
      <c r="CO187" t="str">
        <f t="shared" si="249"/>
        <v>36770Drift</v>
      </c>
      <c r="CP187" t="str">
        <f t="shared" si="250"/>
        <v>36770Vega</v>
      </c>
      <c r="CQ187" t="str">
        <f t="shared" si="251"/>
        <v>36770Theta</v>
      </c>
    </row>
    <row r="188" spans="1:95" ht="12" customHeight="1" x14ac:dyDescent="0.25">
      <c r="A188" s="140" t="s">
        <v>371</v>
      </c>
      <c r="B188" t="s">
        <v>250</v>
      </c>
      <c r="C188" t="s">
        <v>372</v>
      </c>
      <c r="D188" s="4" t="s">
        <v>190</v>
      </c>
      <c r="E188" t="s">
        <v>20</v>
      </c>
      <c r="F188" t="s">
        <v>1</v>
      </c>
      <c r="G188" s="5">
        <v>36770</v>
      </c>
      <c r="H188" s="130">
        <v>-300000</v>
      </c>
      <c r="I188">
        <v>4.4999999999999998E-2</v>
      </c>
      <c r="J188" s="53">
        <f t="shared" si="200"/>
        <v>4.6849999999999996</v>
      </c>
      <c r="K188" s="7">
        <f t="shared" si="201"/>
        <v>2.5</v>
      </c>
      <c r="L188" s="53">
        <f t="shared" si="202"/>
        <v>7.1849999999999996</v>
      </c>
      <c r="M188" s="157">
        <f t="shared" si="238"/>
        <v>6.7216196212184998E-2</v>
      </c>
      <c r="N188" s="4">
        <f t="shared" si="239"/>
        <v>0.4</v>
      </c>
      <c r="O188" s="4">
        <f t="shared" si="240"/>
        <v>0.376</v>
      </c>
      <c r="P188" s="9">
        <f t="shared" si="241"/>
        <v>0.83</v>
      </c>
      <c r="Q188" s="5">
        <f t="shared" si="194"/>
        <v>36768</v>
      </c>
      <c r="R188" s="4">
        <f t="shared" si="242"/>
        <v>0</v>
      </c>
      <c r="S188" s="158">
        <f>_xll.xSPRDOPT($L188,$J188,$I188,$M188,$O188,$N188,$P188,$Q188-$C$3,$R188,0)</f>
        <v>3.2186241086251677E-7</v>
      </c>
      <c r="T188" s="159">
        <f>_xll.xSPRDOPT($L188,$J188,$I188,$M188,$O188,$N188,$P188,$Q188-$C$3,$R188,1)*H188</f>
        <v>-3.9321633216182761E-2</v>
      </c>
      <c r="U188" s="160">
        <f t="shared" si="243"/>
        <v>-9.655872325875503E-2</v>
      </c>
      <c r="V188" s="159">
        <f>_xll.xSPRDOPT($L188,$J188,$I188,$M188,$O188,$N188,$P188,$Q188-$C$3,$R188,2)*H188</f>
        <v>5.1299281322858548E-2</v>
      </c>
      <c r="W188" s="159">
        <f t="shared" si="244"/>
        <v>1.1977648106675787E-2</v>
      </c>
      <c r="X188" s="51" t="str">
        <f t="shared" si="228"/>
        <v>36770NGI-SOCAL</v>
      </c>
      <c r="Y188" s="418">
        <f t="shared" si="229"/>
        <v>-30</v>
      </c>
      <c r="Z188" s="456">
        <f t="shared" si="230"/>
        <v>1.310721107206092E-7</v>
      </c>
      <c r="AA188" s="456">
        <f>_xll.xSPRDOPT($L188,$J188,$I188,$M188,$O188,$N188,$P188,$Q188-$C$3,$R188,3)</f>
        <v>8.0947481440195719E-284</v>
      </c>
      <c r="AB188" s="456">
        <f>((_xll.xSPRDOPT($L188+AB$5,$J188,$I188,$M188,$O188,$N188,$P188,$Q188-$C$3,$R188,3)*$H188)/10000)/100</f>
        <v>-2.4284244432058716E-284</v>
      </c>
      <c r="AC188" s="456">
        <f>((_xll.xSPRDOPT($L188+$AB$5,$J188,$I188,$M188,$O188,$N188,$P188,$Q188-$C$3,$R188,7)*$H188)/100)</f>
        <v>-7.5165151909029575E-5</v>
      </c>
      <c r="AD188" s="456">
        <f>(_xll.xSPRDOPT($L188+$AB$5,$J188,$I188,$M188,$O188,$N188,$P188,$Q188-$C$3,$R188,9)/365)*$H188</f>
        <v>-1.3625682363227172E-5</v>
      </c>
      <c r="AE188">
        <f t="shared" si="198"/>
        <v>0</v>
      </c>
      <c r="AF188" s="456">
        <f t="shared" si="199"/>
        <v>-1.6452918141003949E-7</v>
      </c>
      <c r="AG188" s="456">
        <f>((_xll.xSPRDOPT($L188,$J188,$I188,$M188,$O188,$N188,$P188,$Q188-$C$3,$R188,6)*$H188)/100)</f>
        <v>-3.1280248561489528E-6</v>
      </c>
      <c r="AH188" s="456">
        <f>((_xll.xSPRDOPT($L188,$J188,$I188,$M188,$O188,$N188,$P188,$Q188-$C$3,$R188,5)*$H188)/100)</f>
        <v>3.1526549731265035E-6</v>
      </c>
      <c r="AI188" s="456">
        <f>(((_xll.xSPRDOPT($L188,$J188,$I188,$M188,$O188,$N188,$P188,$Q188-$C$3,$R188,4)*$H188)/10000)/100)-AB188</f>
        <v>1.5538966066496249E-5</v>
      </c>
      <c r="AJ188" s="456"/>
      <c r="AK188" s="456"/>
      <c r="AL188" s="456"/>
      <c r="AM188" s="472"/>
      <c r="CC188" s="141">
        <f t="shared" si="226"/>
        <v>36770</v>
      </c>
      <c r="CD188" s="234">
        <f>_xll.xSPRDOPT((VLOOKUP(G188,NGPrices,2,FALSE)+HLOOKUP(D188,Prices,VLOOKUP(G188,move_down,2,FALSE),FALSE)),VLOOKUP(G188,NGPrices,2,FALSE),I188,VLOOKUP(G188,NGPREVPRICES,4,FALSE),HLOOKUP(D188,PREVVOLS,VLOOKUP(G188,MOVE_DOWN2,2,FALSE),FALSE),VLOOKUP(G188,NGPREVPRICES,3,FALSE),HLOOKUP(D188,Correllate,VLOOKUP(G188,CorMove,2,FALSE),FALSE),Q188-$CD$3,R188,$CD$5)*H188-CJ188</f>
        <v>0</v>
      </c>
      <c r="CE188" s="234">
        <f>_xll.xSPRDOPT((VLOOKUP(G188,NGPREVPRICES,2,FALSE)+HLOOKUP(D188,PREVCURVES,VLOOKUP(G188,MOVE_DOWN2,2,FALSE),FALSE)),VLOOKUP(G188,NGPREVPRICES,2,FALSE),CK188,VLOOKUP(G188,NGPrices,4,FALSE),HLOOKUP(D188,PREVVOLS,VLOOKUP(G188,MOVE_DOWN2,2,FALSE),FALSE),VLOOKUP(G188,NGPREVPRICES,3,FALSE),HLOOKUP(D188,Correllate,VLOOKUP(G188,CorMove,2,FALSE),FALSE),Q188-$CD$3,R188,$CJ$5)*H188-CJ188</f>
        <v>0</v>
      </c>
      <c r="CF188" s="10">
        <f t="shared" si="245"/>
        <v>1.7593004281599156E-5</v>
      </c>
      <c r="CG188" s="234">
        <f>_xll.xSPRDOPT((VLOOKUP(G188,NGPREVPRICES,2,FALSE)+HLOOKUP(D188,PREVCURVES,VLOOKUP(G188,MOVE_DOWN2,2,FALSE),FALSE)),VLOOKUP(G188,NGPREVPRICES,2,FALSE),CK188,VLOOKUP(G188,NGPREVPRICES,4,FALSE),HLOOKUP(D188,VOLS,VLOOKUP(G188,move_down,2,FALSE),FALSE),VLOOKUP(G188,NGPrices,3,FALSE),HLOOKUP(D188,Correllate,VLOOKUP(G188,CorMove,2,FALSE),FALSE),Q188-$CD$3,R188,$CJ$5)*H188-CJ188</f>
        <v>0</v>
      </c>
      <c r="CH188" s="234">
        <f>_xll.xSPRDOPT((VLOOKUP(G188,NGPREVPRICES,2,FALSE)+HLOOKUP(D188,PREVCURVES,VLOOKUP(G188,MOVE_DOWN2,2,FALSE),FALSE)),VLOOKUP(G188,NGPREVPRICES,2,FALSE),CK188,VLOOKUP(G188,NGPREVPRICES,4,FALSE),HLOOKUP(D188,PREVVOLS,VLOOKUP(G188,MOVE_DOWN2,2,FALSE),FALSE),VLOOKUP(G188,NGPREVPRICES,3,FALSE),HLOOKUP(D188,Correllate,VLOOKUP(G188,CorMove,2,FALSE),FALSE),Q188-$C$3,R188,$CJ$5)*H188-CJ188</f>
        <v>-1.3611205912367197E-5</v>
      </c>
      <c r="CI188" s="234">
        <f t="shared" si="246"/>
        <v>3.9817983692319592E-6</v>
      </c>
      <c r="CJ188" s="234">
        <f>_xll.xSPRDOPT((VLOOKUP(G188,NGPREVPRICES,2,FALSE)+HLOOKUP(D188,PREVCURVES,VLOOKUP(G188,MOVE_DOWN2,2,FALSE),FALSE)),VLOOKUP(G188,NGPREVPRICES,2,FALSE),CK188,VLOOKUP(G188,NGPREVPRICES,4,FALSE),HLOOKUP(D188,PREVVOLS,VLOOKUP(G188,MOVE_DOWN2,2,FALSE),FALSE),VLOOKUP(G188,NGPREVPRICES,3,FALSE),HLOOKUP(D188,Correllate,VLOOKUP(G188,CorMove,2,FALSE),FALSE),Q188-$CD$3,R188,$CJ$5)*H188</f>
        <v>-9.6545112052842663E-2</v>
      </c>
      <c r="CK188" s="235">
        <f t="shared" si="227"/>
        <v>4.4999999999999998E-2</v>
      </c>
      <c r="CL188" s="234"/>
      <c r="CM188" t="str">
        <f t="shared" si="247"/>
        <v>36770Curve Shift/Gamma</v>
      </c>
      <c r="CN188" t="str">
        <f t="shared" si="248"/>
        <v>36770Rho</v>
      </c>
      <c r="CO188" t="str">
        <f t="shared" si="249"/>
        <v>36770Drift</v>
      </c>
      <c r="CP188" t="str">
        <f t="shared" si="250"/>
        <v>36770Vega</v>
      </c>
      <c r="CQ188" t="str">
        <f t="shared" si="251"/>
        <v>36770Theta</v>
      </c>
    </row>
    <row r="189" spans="1:95" ht="12" customHeight="1" x14ac:dyDescent="0.25">
      <c r="A189" s="140" t="s">
        <v>284</v>
      </c>
      <c r="B189" t="s">
        <v>250</v>
      </c>
      <c r="C189" t="s">
        <v>373</v>
      </c>
      <c r="D189" s="4" t="s">
        <v>7</v>
      </c>
      <c r="E189" t="s">
        <v>20</v>
      </c>
      <c r="F189" t="s">
        <v>21</v>
      </c>
      <c r="G189" s="5">
        <v>36951</v>
      </c>
      <c r="H189" s="130">
        <v>1000000</v>
      </c>
      <c r="I189">
        <v>2</v>
      </c>
      <c r="J189" s="53">
        <f t="shared" si="200"/>
        <v>4.2130000000000001</v>
      </c>
      <c r="K189" s="7">
        <f t="shared" si="201"/>
        <v>1.075</v>
      </c>
      <c r="L189" s="53">
        <f t="shared" si="202"/>
        <v>5.2880000000000003</v>
      </c>
      <c r="M189" s="157">
        <f t="shared" si="238"/>
        <v>6.8879814952706994E-2</v>
      </c>
      <c r="N189" s="4">
        <f t="shared" si="239"/>
        <v>0.53249999999999997</v>
      </c>
      <c r="O189" s="4">
        <f t="shared" si="240"/>
        <v>0.61199999999999999</v>
      </c>
      <c r="P189" s="9">
        <f t="shared" si="241"/>
        <v>0.83</v>
      </c>
      <c r="Q189" s="5">
        <f t="shared" si="194"/>
        <v>36949</v>
      </c>
      <c r="R189" s="4">
        <f t="shared" si="242"/>
        <v>1</v>
      </c>
      <c r="S189" s="158">
        <f>_xll.xSPRDOPT($L189,$J189,$I189,$M189,$O189,$N189,$P189,$Q189-$C$3,$R189,0)</f>
        <v>0.23621710702013918</v>
      </c>
      <c r="T189" s="159">
        <f>_xll.xSPRDOPT($L189,$J189,$I189,$M189,$O189,$N189,$P189,$Q189-$C$3,$R189,1)*H189</f>
        <v>305476.59214795387</v>
      </c>
      <c r="U189" s="160">
        <f t="shared" si="243"/>
        <v>236217.10702013917</v>
      </c>
      <c r="V189" s="159">
        <f>_xll.xSPRDOPT($L189,$J189,$I189,$M189,$O189,$N189,$P189,$Q189-$C$3,$R189,2)*H189</f>
        <v>-234808.84099524279</v>
      </c>
      <c r="W189" s="159">
        <f t="shared" si="244"/>
        <v>70667.751152711076</v>
      </c>
      <c r="X189" s="51" t="str">
        <f t="shared" si="228"/>
        <v>36951IF-TRANSCO/Z6</v>
      </c>
      <c r="Y189" s="418">
        <f t="shared" si="229"/>
        <v>100</v>
      </c>
      <c r="Z189" s="456">
        <f t="shared" si="230"/>
        <v>0.30547659214795386</v>
      </c>
      <c r="AA189" s="456">
        <f>_xll.xSPRDOPT($L189,$J189,$I189,$M189,$O189,$N189,$P189,$Q189-$C$3,$R189,3)</f>
        <v>0.25076203847426992</v>
      </c>
      <c r="AB189" s="456">
        <f>((_xll.xSPRDOPT($L189+AB$5,$J189,$I189,$M189,$O189,$N189,$P189,$Q189-$C$3,$R189,3)*$H189)/10000)/100</f>
        <v>0.25076203847426992</v>
      </c>
      <c r="AC189" s="456">
        <f>((_xll.xSPRDOPT($L189+$AB$5,$J189,$I189,$M189,$O189,$N189,$P189,$Q189-$C$3,$R189,7)*$H189)/100)</f>
        <v>-8009.6240026431806</v>
      </c>
      <c r="AD189" s="456">
        <f>(_xll.xSPRDOPT($L189+$AB$5,$J189,$I189,$M189,$O189,$N189,$P189,$Q189-$C$3,$R189,9)/365)*$H189</f>
        <v>-1258.6774168954018</v>
      </c>
      <c r="AE189">
        <f t="shared" si="198"/>
        <v>0</v>
      </c>
      <c r="AF189" s="456">
        <f t="shared" si="199"/>
        <v>8902.5332209965327</v>
      </c>
      <c r="AG189" s="456">
        <f>((_xll.xSPRDOPT($L189,$J189,$I189,$M189,$O189,$N189,$P189,$Q189-$C$3,$R189,6)*$H189)/100)</f>
        <v>-3188.8675565458475</v>
      </c>
      <c r="AH189" s="456">
        <f>((_xll.xSPRDOPT($L189,$J189,$I189,$M189,$O189,$N189,$P189,$Q189-$C$3,$R189,5)*$H189)/100)</f>
        <v>10520.704107910649</v>
      </c>
      <c r="AI189" s="456">
        <f>(((_xll.xSPRDOPT($L189,$J189,$I189,$M189,$O189,$N189,$P189,$Q189-$C$3,$R189,4)*$H189)/10000)/100)-AB189</f>
        <v>-5.3386395132699882E-2</v>
      </c>
      <c r="AJ189" s="456"/>
      <c r="AK189" s="456"/>
      <c r="AL189" s="456"/>
      <c r="AM189" s="472"/>
      <c r="CC189" s="141">
        <f t="shared" si="226"/>
        <v>36951</v>
      </c>
      <c r="CD189" s="234">
        <f>_xll.xSPRDOPT((VLOOKUP(G189,NGPrices,2,FALSE)+HLOOKUP(D189,Prices,VLOOKUP(G189,move_down,2,FALSE),FALSE)),VLOOKUP(G189,NGPrices,2,FALSE),I189,VLOOKUP(G189,NGPREVPRICES,4,FALSE),HLOOKUP(D189,PREVVOLS,VLOOKUP(G189,MOVE_DOWN2,2,FALSE),FALSE),VLOOKUP(G189,NGPREVPRICES,3,FALSE),HLOOKUP(D189,Correllate,VLOOKUP(G189,CorMove,2,FALSE),FALSE),Q189-$CD$3,R189,$CD$5)*H189-CJ189</f>
        <v>0</v>
      </c>
      <c r="CE189" s="234">
        <f>_xll.xSPRDOPT((VLOOKUP(G189,NGPREVPRICES,2,FALSE)+HLOOKUP(D189,PREVCURVES,VLOOKUP(G189,MOVE_DOWN2,2,FALSE),FALSE)),VLOOKUP(G189,NGPREVPRICES,2,FALSE),CK189,VLOOKUP(G189,NGPrices,4,FALSE),HLOOKUP(D189,PREVVOLS,VLOOKUP(G189,MOVE_DOWN2,2,FALSE),FALSE),VLOOKUP(G189,NGPREVPRICES,3,FALSE),HLOOKUP(D189,Correllate,VLOOKUP(G189,CorMove,2,FALSE),FALSE),Q189-$CD$3,R189,$CJ$5)*H189-CJ189</f>
        <v>0</v>
      </c>
      <c r="CF189" s="10">
        <f t="shared" si="245"/>
        <v>-45.543879362056032</v>
      </c>
      <c r="CG189" s="234">
        <f>_xll.xSPRDOPT((VLOOKUP(G189,NGPREVPRICES,2,FALSE)+HLOOKUP(D189,PREVCURVES,VLOOKUP(G189,MOVE_DOWN2,2,FALSE),FALSE)),VLOOKUP(G189,NGPREVPRICES,2,FALSE),CK189,VLOOKUP(G189,NGPREVPRICES,4,FALSE),HLOOKUP(D189,VOLS,VLOOKUP(G189,move_down,2,FALSE),FALSE),VLOOKUP(G189,NGPrices,3,FALSE),HLOOKUP(D189,Correllate,VLOOKUP(G189,CorMove,2,FALSE),FALSE),Q189-$CD$3,R189,$CJ$5)*H189-CJ189</f>
        <v>0</v>
      </c>
      <c r="CH189" s="234">
        <f>_xll.xSPRDOPT((VLOOKUP(G189,NGPREVPRICES,2,FALSE)+HLOOKUP(D189,PREVCURVES,VLOOKUP(G189,MOVE_DOWN2,2,FALSE),FALSE)),VLOOKUP(G189,NGPREVPRICES,2,FALSE),CK189,VLOOKUP(G189,NGPREVPRICES,4,FALSE),HLOOKUP(D189,PREVVOLS,VLOOKUP(G189,MOVE_DOWN2,2,FALSE),FALSE),VLOOKUP(G189,NGPREVPRICES,3,FALSE),HLOOKUP(D189,Correllate,VLOOKUP(G189,CorMove,2,FALSE),FALSE),Q189-$C$3,R189,$CJ$5)*H189-CJ189</f>
        <v>-1256.4498038526799</v>
      </c>
      <c r="CI189" s="234">
        <f t="shared" si="246"/>
        <v>-1301.9936832147359</v>
      </c>
      <c r="CJ189" s="234">
        <f>_xll.xSPRDOPT((VLOOKUP(G189,NGPREVPRICES,2,FALSE)+HLOOKUP(D189,PREVCURVES,VLOOKUP(G189,MOVE_DOWN2,2,FALSE),FALSE)),VLOOKUP(G189,NGPREVPRICES,2,FALSE),CK189,VLOOKUP(G189,NGPREVPRICES,4,FALSE),HLOOKUP(D189,PREVVOLS,VLOOKUP(G189,MOVE_DOWN2,2,FALSE),FALSE),VLOOKUP(G189,NGPREVPRICES,3,FALSE),HLOOKUP(D189,Correllate,VLOOKUP(G189,CorMove,2,FALSE),FALSE),Q189-$CD$3,R189,$CJ$5)*H189</f>
        <v>237473.55682399185</v>
      </c>
      <c r="CK189" s="235">
        <f t="shared" si="227"/>
        <v>2</v>
      </c>
      <c r="CL189" s="234"/>
      <c r="CM189" t="str">
        <f t="shared" si="247"/>
        <v>36951Curve Shift/Gamma</v>
      </c>
      <c r="CN189" t="str">
        <f t="shared" si="248"/>
        <v>36951Rho</v>
      </c>
      <c r="CO189" t="str">
        <f t="shared" si="249"/>
        <v>36951Drift</v>
      </c>
      <c r="CP189" t="str">
        <f t="shared" si="250"/>
        <v>36951Vega</v>
      </c>
      <c r="CQ189" t="str">
        <f t="shared" si="251"/>
        <v>36951Theta</v>
      </c>
    </row>
    <row r="190" spans="1:95" ht="12" customHeight="1" x14ac:dyDescent="0.25">
      <c r="A190" s="140" t="s">
        <v>284</v>
      </c>
      <c r="B190" t="s">
        <v>250</v>
      </c>
      <c r="C190" t="s">
        <v>373</v>
      </c>
      <c r="D190" s="4" t="s">
        <v>7</v>
      </c>
      <c r="E190" t="s">
        <v>20</v>
      </c>
      <c r="F190" t="s">
        <v>21</v>
      </c>
      <c r="G190" s="5">
        <v>36923</v>
      </c>
      <c r="H190" s="130">
        <v>1000000</v>
      </c>
      <c r="I190">
        <v>2</v>
      </c>
      <c r="J190" s="53">
        <f t="shared" si="200"/>
        <v>4.4800000000000004</v>
      </c>
      <c r="K190" s="7">
        <f t="shared" si="201"/>
        <v>2.09</v>
      </c>
      <c r="L190" s="53">
        <f t="shared" si="202"/>
        <v>6.57</v>
      </c>
      <c r="M190" s="157">
        <f t="shared" si="238"/>
        <v>6.8640161611372E-2</v>
      </c>
      <c r="N190" s="4">
        <f t="shared" si="239"/>
        <v>0.59250000000000003</v>
      </c>
      <c r="O190" s="4">
        <f t="shared" si="240"/>
        <v>0.68100000000000005</v>
      </c>
      <c r="P190" s="9">
        <f t="shared" si="241"/>
        <v>0.83</v>
      </c>
      <c r="Q190" s="5">
        <f t="shared" si="194"/>
        <v>36921</v>
      </c>
      <c r="R190" s="4">
        <f t="shared" si="242"/>
        <v>1</v>
      </c>
      <c r="S190" s="158">
        <f>_xll.xSPRDOPT($L190,$J190,$I190,$M190,$O190,$N190,$P190,$Q190-$C$3,$R190,0)</f>
        <v>0.71775283053724559</v>
      </c>
      <c r="T190" s="159">
        <f>_xll.xSPRDOPT($L190,$J190,$I190,$M190,$O190,$N190,$P190,$Q190-$C$3,$R190,1)*H190</f>
        <v>560334.76840318274</v>
      </c>
      <c r="U190" s="160">
        <f t="shared" si="243"/>
        <v>717752.83053724561</v>
      </c>
      <c r="V190" s="159">
        <f>_xll.xSPRDOPT($L190,$J190,$I190,$M190,$O190,$N190,$P190,$Q190-$C$3,$R190,2)*H190</f>
        <v>-474592.71324941411</v>
      </c>
      <c r="W190" s="159">
        <f t="shared" si="244"/>
        <v>85742.055153768626</v>
      </c>
      <c r="X190" s="51" t="str">
        <f t="shared" si="228"/>
        <v>36923IF-TRANSCO/Z6</v>
      </c>
      <c r="Y190" s="418">
        <f t="shared" si="229"/>
        <v>100</v>
      </c>
      <c r="Z190" s="456">
        <f t="shared" si="230"/>
        <v>0.56033476840318275</v>
      </c>
      <c r="AA190" s="456">
        <f>_xll.xSPRDOPT($L190,$J190,$I190,$M190,$O190,$N190,$P190,$Q190-$C$3,$R190,3)</f>
        <v>0.21739972323566359</v>
      </c>
      <c r="AB190" s="456">
        <f>((_xll.xSPRDOPT($L190+AB$5,$J190,$I190,$M190,$O190,$N190,$P190,$Q190-$C$3,$R190,3)*$H190)/10000)/100</f>
        <v>0.21739972323566359</v>
      </c>
      <c r="AC190" s="456">
        <f>((_xll.xSPRDOPT($L190+$AB$5,$J190,$I190,$M190,$O190,$N190,$P190,$Q190-$C$3,$R190,7)*$H190)/100)</f>
        <v>-11134.365472703274</v>
      </c>
      <c r="AD190" s="456">
        <f>(_xll.xSPRDOPT($L190+$AB$5,$J190,$I190,$M190,$O190,$N190,$P190,$Q190-$C$3,$R190,9)/365)*$H190</f>
        <v>-2041.1172594362608</v>
      </c>
      <c r="AE190">
        <f t="shared" si="198"/>
        <v>0</v>
      </c>
      <c r="AF190" s="456">
        <f t="shared" si="199"/>
        <v>11304.275676016925</v>
      </c>
      <c r="AG190" s="456">
        <f>((_xll.xSPRDOPT($L190,$J190,$I190,$M190,$O190,$N190,$P190,$Q190-$C$3,$R190,6)*$H190)/100)</f>
        <v>-4067.1349304089044</v>
      </c>
      <c r="AH190" s="456">
        <f>((_xll.xSPRDOPT($L190,$J190,$I190,$M190,$O190,$N190,$P190,$Q190-$C$3,$R190,5)*$H190)/100)</f>
        <v>13373.804382242735</v>
      </c>
      <c r="AI190" s="456">
        <f>(((_xll.xSPRDOPT($L190,$J190,$I190,$M190,$O190,$N190,$P190,$Q190-$C$3,$R190,4)*$H190)/10000)/100)-AB190</f>
        <v>1.2568818192359055E-2</v>
      </c>
      <c r="AJ190" s="456"/>
      <c r="AK190" s="456"/>
      <c r="AL190" s="456"/>
      <c r="AM190" s="472"/>
      <c r="CC190" s="141">
        <f t="shared" si="226"/>
        <v>36923</v>
      </c>
      <c r="CD190" s="234">
        <f>_xll.xSPRDOPT((VLOOKUP(G190,NGPrices,2,FALSE)+HLOOKUP(D190,Prices,VLOOKUP(G190,move_down,2,FALSE),FALSE)),VLOOKUP(G190,NGPrices,2,FALSE),I190,VLOOKUP(G190,NGPREVPRICES,4,FALSE),HLOOKUP(D190,PREVVOLS,VLOOKUP(G190,MOVE_DOWN2,2,FALSE),FALSE),VLOOKUP(G190,NGPREVPRICES,3,FALSE),HLOOKUP(D190,Correllate,VLOOKUP(G190,CorMove,2,FALSE),FALSE),Q190-$CD$3,R190,$CD$5)*H190-CJ190</f>
        <v>0</v>
      </c>
      <c r="CE190" s="234">
        <f>_xll.xSPRDOPT((VLOOKUP(G190,NGPREVPRICES,2,FALSE)+HLOOKUP(D190,PREVCURVES,VLOOKUP(G190,MOVE_DOWN2,2,FALSE),FALSE)),VLOOKUP(G190,NGPREVPRICES,2,FALSE),CK190,VLOOKUP(G190,NGPrices,4,FALSE),HLOOKUP(D190,PREVVOLS,VLOOKUP(G190,MOVE_DOWN2,2,FALSE),FALSE),VLOOKUP(G190,NGPREVPRICES,3,FALSE),HLOOKUP(D190,Correllate,VLOOKUP(G190,CorMove,2,FALSE),FALSE),Q190-$CD$3,R190,$CJ$5)*H190-CJ190</f>
        <v>0</v>
      </c>
      <c r="CF190" s="10">
        <f t="shared" si="245"/>
        <v>-136.89549061830621</v>
      </c>
      <c r="CG190" s="234">
        <f>_xll.xSPRDOPT((VLOOKUP(G190,NGPREVPRICES,2,FALSE)+HLOOKUP(D190,PREVCURVES,VLOOKUP(G190,MOVE_DOWN2,2,FALSE),FALSE)),VLOOKUP(G190,NGPREVPRICES,2,FALSE),CK190,VLOOKUP(G190,NGPREVPRICES,4,FALSE),HLOOKUP(D190,VOLS,VLOOKUP(G190,move_down,2,FALSE),FALSE),VLOOKUP(G190,NGPrices,3,FALSE),HLOOKUP(D190,Correllate,VLOOKUP(G190,CorMove,2,FALSE),FALSE),Q190-$CD$3,R190,$CJ$5)*H190-CJ190</f>
        <v>0</v>
      </c>
      <c r="CH190" s="234">
        <f>_xll.xSPRDOPT((VLOOKUP(G190,NGPREVPRICES,2,FALSE)+HLOOKUP(D190,PREVCURVES,VLOOKUP(G190,MOVE_DOWN2,2,FALSE),FALSE)),VLOOKUP(G190,NGPREVPRICES,2,FALSE),CK190,VLOOKUP(G190,NGPREVPRICES,4,FALSE),HLOOKUP(D190,PREVVOLS,VLOOKUP(G190,MOVE_DOWN2,2,FALSE),FALSE),VLOOKUP(G190,NGPREVPRICES,3,FALSE),HLOOKUP(D190,Correllate,VLOOKUP(G190,CorMove,2,FALSE),FALSE),Q190-$C$3,R190,$CJ$5)*H190-CJ190</f>
        <v>-2035.7746614883654</v>
      </c>
      <c r="CI190" s="234">
        <f t="shared" si="246"/>
        <v>-2172.6701521066716</v>
      </c>
      <c r="CJ190" s="234">
        <f>_xll.xSPRDOPT((VLOOKUP(G190,NGPREVPRICES,2,FALSE)+HLOOKUP(D190,PREVCURVES,VLOOKUP(G190,MOVE_DOWN2,2,FALSE),FALSE)),VLOOKUP(G190,NGPREVPRICES,2,FALSE),CK190,VLOOKUP(G190,NGPREVPRICES,4,FALSE),HLOOKUP(D190,PREVVOLS,VLOOKUP(G190,MOVE_DOWN2,2,FALSE),FALSE),VLOOKUP(G190,NGPREVPRICES,3,FALSE),HLOOKUP(D190,Correllate,VLOOKUP(G190,CorMove,2,FALSE),FALSE),Q190-$CD$3,R190,$CJ$5)*H190</f>
        <v>719788.60519873397</v>
      </c>
      <c r="CK190" s="235">
        <f t="shared" si="227"/>
        <v>2</v>
      </c>
      <c r="CL190" s="234"/>
      <c r="CM190" t="str">
        <f t="shared" si="247"/>
        <v>36923Curve Shift/Gamma</v>
      </c>
      <c r="CN190" t="str">
        <f t="shared" si="248"/>
        <v>36923Rho</v>
      </c>
      <c r="CO190" t="str">
        <f t="shared" si="249"/>
        <v>36923Drift</v>
      </c>
      <c r="CP190" t="str">
        <f t="shared" si="250"/>
        <v>36923Vega</v>
      </c>
      <c r="CQ190" t="str">
        <f t="shared" si="251"/>
        <v>36923Theta</v>
      </c>
    </row>
    <row r="191" spans="1:95" ht="12" customHeight="1" x14ac:dyDescent="0.25">
      <c r="A191" s="140" t="s">
        <v>284</v>
      </c>
      <c r="B191" t="s">
        <v>250</v>
      </c>
      <c r="C191" t="s">
        <v>373</v>
      </c>
      <c r="D191" s="4" t="s">
        <v>7</v>
      </c>
      <c r="E191" t="s">
        <v>20</v>
      </c>
      <c r="F191" t="s">
        <v>21</v>
      </c>
      <c r="G191" s="5">
        <v>36892</v>
      </c>
      <c r="H191" s="130">
        <v>1000000</v>
      </c>
      <c r="I191">
        <v>2</v>
      </c>
      <c r="J191" s="53">
        <f t="shared" si="200"/>
        <v>4.7439999999999998</v>
      </c>
      <c r="K191" s="7">
        <f t="shared" si="201"/>
        <v>2.17</v>
      </c>
      <c r="L191" s="53">
        <f t="shared" si="202"/>
        <v>6.9139999999999997</v>
      </c>
      <c r="M191" s="157">
        <f t="shared" si="238"/>
        <v>6.8374831148490994E-2</v>
      </c>
      <c r="N191" s="4">
        <f t="shared" si="239"/>
        <v>0.60499999999999998</v>
      </c>
      <c r="O191" s="4">
        <f t="shared" si="240"/>
        <v>0.69599999999999995</v>
      </c>
      <c r="P191" s="9">
        <f t="shared" si="241"/>
        <v>0.83</v>
      </c>
      <c r="Q191" s="5">
        <f t="shared" si="194"/>
        <v>36888</v>
      </c>
      <c r="R191" s="4">
        <f t="shared" si="242"/>
        <v>1</v>
      </c>
      <c r="S191" s="158">
        <f>_xll.xSPRDOPT($L191,$J191,$I191,$M191,$O191,$N191,$P191,$Q191-$C$3,$R191,0)</f>
        <v>0.72526828429363588</v>
      </c>
      <c r="T191" s="159">
        <f>_xll.xSPRDOPT($L191,$J191,$I191,$M191,$O191,$N191,$P191,$Q191-$C$3,$R191,1)*H191</f>
        <v>578057.84734840132</v>
      </c>
      <c r="U191" s="160">
        <f t="shared" si="243"/>
        <v>725268.28429363586</v>
      </c>
      <c r="V191" s="159">
        <f>_xll.xSPRDOPT($L191,$J191,$I191,$M191,$O191,$N191,$P191,$Q191-$C$3,$R191,2)*H191</f>
        <v>-499784.46518652653</v>
      </c>
      <c r="W191" s="159">
        <f t="shared" si="244"/>
        <v>78273.38216187479</v>
      </c>
      <c r="X191" s="51" t="str">
        <f t="shared" si="228"/>
        <v>36892IF-TRANSCO/Z6</v>
      </c>
      <c r="Y191" s="418">
        <f t="shared" si="229"/>
        <v>100</v>
      </c>
      <c r="Z191" s="456">
        <f t="shared" si="230"/>
        <v>0.57805784734840138</v>
      </c>
      <c r="AA191" s="456">
        <f>_xll.xSPRDOPT($L191,$J191,$I191,$M191,$O191,$N191,$P191,$Q191-$C$3,$R191,3)</f>
        <v>0.22881199088655041</v>
      </c>
      <c r="AB191" s="456">
        <f>((_xll.xSPRDOPT($L191+AB$5,$J191,$I191,$M191,$O191,$N191,$P191,$Q191-$C$3,$R191,3)*$H191)/10000)/100</f>
        <v>0.22881199088655041</v>
      </c>
      <c r="AC191" s="456">
        <f>((_xll.xSPRDOPT($L191+$AB$5,$J191,$I191,$M191,$O191,$N191,$P191,$Q191-$C$3,$R191,7)*$H191)/100)</f>
        <v>-10783.019499831858</v>
      </c>
      <c r="AD191" s="456">
        <f>(_xll.xSPRDOPT($L191+$AB$5,$J191,$I191,$M191,$O191,$N191,$P191,$Q191-$C$3,$R191,9)/365)*$H191</f>
        <v>-2483.8864086589424</v>
      </c>
      <c r="AE191">
        <f t="shared" si="198"/>
        <v>0</v>
      </c>
      <c r="AF191" s="456">
        <f t="shared" si="199"/>
        <v>10471.826244660906</v>
      </c>
      <c r="AG191" s="456">
        <f>((_xll.xSPRDOPT($L191,$J191,$I191,$M191,$O191,$N191,$P191,$Q191-$C$3,$R191,6)*$H191)/100)</f>
        <v>-3748.1419171656748</v>
      </c>
      <c r="AH191" s="456">
        <f>((_xll.xSPRDOPT($L191,$J191,$I191,$M191,$O191,$N191,$P191,$Q191-$C$3,$R191,5)*$H191)/100)</f>
        <v>12360.748186645233</v>
      </c>
      <c r="AI191" s="456">
        <f>(((_xll.xSPRDOPT($L191,$J191,$I191,$M191,$O191,$N191,$P191,$Q191-$C$3,$R191,4)*$H191)/10000)/100)-AB191</f>
        <v>1.60547346540027E-2</v>
      </c>
      <c r="AJ191" s="456"/>
      <c r="AK191" s="456"/>
      <c r="AL191" s="456"/>
      <c r="AM191" s="472"/>
      <c r="CC191" s="141">
        <f t="shared" si="226"/>
        <v>36892</v>
      </c>
      <c r="CD191" s="234">
        <f>_xll.xSPRDOPT((VLOOKUP(G191,NGPrices,2,FALSE)+HLOOKUP(D191,Prices,VLOOKUP(G191,move_down,2,FALSE),FALSE)),VLOOKUP(G191,NGPrices,2,FALSE),I191,VLOOKUP(G191,NGPREVPRICES,4,FALSE),HLOOKUP(D191,PREVVOLS,VLOOKUP(G191,MOVE_DOWN2,2,FALSE),FALSE),VLOOKUP(G191,NGPREVPRICES,3,FALSE),HLOOKUP(D191,Correllate,VLOOKUP(G191,CorMove,2,FALSE),FALSE),Q191-$CD$3,R191,$CD$5)*H191-CJ191</f>
        <v>0</v>
      </c>
      <c r="CE191" s="234">
        <f>_xll.xSPRDOPT((VLOOKUP(G191,NGPREVPRICES,2,FALSE)+HLOOKUP(D191,PREVCURVES,VLOOKUP(G191,MOVE_DOWN2,2,FALSE),FALSE)),VLOOKUP(G191,NGPREVPRICES,2,FALSE),CK191,VLOOKUP(G191,NGPrices,4,FALSE),HLOOKUP(D191,PREVVOLS,VLOOKUP(G191,MOVE_DOWN2,2,FALSE),FALSE),VLOOKUP(G191,NGPREVPRICES,3,FALSE),HLOOKUP(D191,Correllate,VLOOKUP(G191,CorMove,2,FALSE),FALSE),Q191-$CD$3,R191,$CJ$5)*H191-CJ191</f>
        <v>0</v>
      </c>
      <c r="CF191" s="10">
        <f t="shared" si="245"/>
        <v>-137.13704300159588</v>
      </c>
      <c r="CG191" s="234">
        <f>_xll.xSPRDOPT((VLOOKUP(G191,NGPREVPRICES,2,FALSE)+HLOOKUP(D191,PREVCURVES,VLOOKUP(G191,MOVE_DOWN2,2,FALSE),FALSE)),VLOOKUP(G191,NGPREVPRICES,2,FALSE),CK191,VLOOKUP(G191,NGPREVPRICES,4,FALSE),HLOOKUP(D191,VOLS,VLOOKUP(G191,move_down,2,FALSE),FALSE),VLOOKUP(G191,NGPrices,3,FALSE),HLOOKUP(D191,Correllate,VLOOKUP(G191,CorMove,2,FALSE),FALSE),Q191-$CD$3,R191,$CJ$5)*H191-CJ191</f>
        <v>0</v>
      </c>
      <c r="CH191" s="234">
        <f>_xll.xSPRDOPT((VLOOKUP(G191,NGPREVPRICES,2,FALSE)+HLOOKUP(D191,PREVCURVES,VLOOKUP(G191,MOVE_DOWN2,2,FALSE),FALSE)),VLOOKUP(G191,NGPREVPRICES,2,FALSE),CK191,VLOOKUP(G191,NGPREVPRICES,4,FALSE),HLOOKUP(D191,PREVVOLS,VLOOKUP(G191,MOVE_DOWN2,2,FALSE),FALSE),VLOOKUP(G191,NGPREVPRICES,3,FALSE),HLOOKUP(D191,Correllate,VLOOKUP(G191,CorMove,2,FALSE),FALSE),Q191-$C$3,R191,$CJ$5)*H191-CJ191</f>
        <v>-2476.3335201349109</v>
      </c>
      <c r="CI191" s="234">
        <f t="shared" si="246"/>
        <v>-2613.4705631365068</v>
      </c>
      <c r="CJ191" s="234">
        <f>_xll.xSPRDOPT((VLOOKUP(G191,NGPREVPRICES,2,FALSE)+HLOOKUP(D191,PREVCURVES,VLOOKUP(G191,MOVE_DOWN2,2,FALSE),FALSE)),VLOOKUP(G191,NGPREVPRICES,2,FALSE),CK191,VLOOKUP(G191,NGPREVPRICES,4,FALSE),HLOOKUP(D191,PREVVOLS,VLOOKUP(G191,MOVE_DOWN2,2,FALSE),FALSE),VLOOKUP(G191,NGPREVPRICES,3,FALSE),HLOOKUP(D191,Correllate,VLOOKUP(G191,CorMove,2,FALSE),FALSE),Q191-$CD$3,R191,$CJ$5)*H191</f>
        <v>727744.61781377078</v>
      </c>
      <c r="CK191" s="235">
        <f t="shared" si="227"/>
        <v>2</v>
      </c>
      <c r="CL191" s="234"/>
      <c r="CM191" t="str">
        <f t="shared" si="247"/>
        <v>36892Curve Shift/Gamma</v>
      </c>
      <c r="CN191" t="str">
        <f t="shared" si="248"/>
        <v>36892Rho</v>
      </c>
      <c r="CO191" t="str">
        <f t="shared" si="249"/>
        <v>36892Drift</v>
      </c>
      <c r="CP191" t="str">
        <f t="shared" si="250"/>
        <v>36892Vega</v>
      </c>
      <c r="CQ191" t="str">
        <f t="shared" si="251"/>
        <v>36892Theta</v>
      </c>
    </row>
    <row r="192" spans="1:95" ht="12" customHeight="1" x14ac:dyDescent="0.25">
      <c r="A192" s="140" t="s">
        <v>284</v>
      </c>
      <c r="B192" t="s">
        <v>250</v>
      </c>
      <c r="C192" t="s">
        <v>373</v>
      </c>
      <c r="D192" s="4" t="s">
        <v>7</v>
      </c>
      <c r="E192" t="s">
        <v>20</v>
      </c>
      <c r="F192" t="s">
        <v>21</v>
      </c>
      <c r="G192" s="5">
        <v>36861</v>
      </c>
      <c r="H192" s="130">
        <v>1000000</v>
      </c>
      <c r="I192">
        <v>2</v>
      </c>
      <c r="J192" s="53">
        <f t="shared" si="200"/>
        <v>4.8</v>
      </c>
      <c r="K192" s="7">
        <f t="shared" si="201"/>
        <v>1.645</v>
      </c>
      <c r="L192" s="53">
        <f t="shared" si="202"/>
        <v>6.4450000000000003</v>
      </c>
      <c r="M192" s="157">
        <f t="shared" si="238"/>
        <v>6.8314027999354002E-2</v>
      </c>
      <c r="N192" s="4">
        <f t="shared" si="239"/>
        <v>0.6</v>
      </c>
      <c r="O192" s="4">
        <f t="shared" si="240"/>
        <v>0.69</v>
      </c>
      <c r="P192" s="9">
        <f t="shared" si="241"/>
        <v>0.83</v>
      </c>
      <c r="Q192" s="5">
        <f t="shared" si="194"/>
        <v>36859</v>
      </c>
      <c r="R192" s="4">
        <f t="shared" si="242"/>
        <v>1</v>
      </c>
      <c r="S192" s="158">
        <f>_xll.xSPRDOPT($L192,$J192,$I192,$M192,$O192,$N192,$P192,$Q192-$C$3,$R192,0)</f>
        <v>0.38000555969410471</v>
      </c>
      <c r="T192" s="159">
        <f>_xll.xSPRDOPT($L192,$J192,$I192,$M192,$O192,$N192,$P192,$Q192-$C$3,$R192,1)*H192</f>
        <v>432935.9224858128</v>
      </c>
      <c r="U192" s="160">
        <f t="shared" si="243"/>
        <v>380005.55969410471</v>
      </c>
      <c r="V192" s="159">
        <f>_xll.xSPRDOPT($L192,$J192,$I192,$M192,$O192,$N192,$P192,$Q192-$C$3,$R192,2)*H192</f>
        <v>-365840.14734624943</v>
      </c>
      <c r="W192" s="159">
        <f t="shared" si="244"/>
        <v>67095.775139563368</v>
      </c>
      <c r="X192" s="51" t="str">
        <f t="shared" si="228"/>
        <v>36861IF-TRANSCO/Z6</v>
      </c>
      <c r="Y192" s="418">
        <f t="shared" si="229"/>
        <v>100</v>
      </c>
      <c r="Z192" s="456">
        <f t="shared" si="230"/>
        <v>0.43293592248581281</v>
      </c>
      <c r="AA192" s="456">
        <f>_xll.xSPRDOPT($L192,$J192,$I192,$M192,$O192,$N192,$P192,$Q192-$C$3,$R192,3)</f>
        <v>0.29150437158642167</v>
      </c>
      <c r="AB192" s="456">
        <f>((_xll.xSPRDOPT($L192+AB$5,$J192,$I192,$M192,$O192,$N192,$P192,$Q192-$C$3,$R192,3)*$H192)/10000)/100</f>
        <v>0.29150437158642167</v>
      </c>
      <c r="AC192" s="456">
        <f>((_xll.xSPRDOPT($L192+$AB$5,$J192,$I192,$M192,$O192,$N192,$P192,$Q192-$C$3,$R192,7)*$H192)/100)</f>
        <v>-9037.9920353378748</v>
      </c>
      <c r="AD192" s="456">
        <f>(_xll.xSPRDOPT($L192+$AB$5,$J192,$I192,$M192,$O192,$N192,$P192,$Q192-$C$3,$R192,9)/365)*$H192</f>
        <v>-2744.6407255499034</v>
      </c>
      <c r="AE192">
        <f t="shared" si="198"/>
        <v>0</v>
      </c>
      <c r="AF192" s="456">
        <f t="shared" si="199"/>
        <v>8629.0968455177244</v>
      </c>
      <c r="AG192" s="456">
        <f>((_xll.xSPRDOPT($L192,$J192,$I192,$M192,$O192,$N192,$P192,$Q192-$C$3,$R192,6)*$H192)/100)</f>
        <v>-3069.4622519425234</v>
      </c>
      <c r="AH192" s="456">
        <f>((_xll.xSPRDOPT($L192,$J192,$I192,$M192,$O192,$N192,$P192,$Q192-$C$3,$R192,5)*$H192)/100)</f>
        <v>10172.660084748042</v>
      </c>
      <c r="AI192" s="456">
        <f>(((_xll.xSPRDOPT($L192,$J192,$I192,$M192,$O192,$N192,$P192,$Q192-$C$3,$R192,4)*$H192)/10000)/100)-AB192</f>
        <v>-2.059567255482192E-2</v>
      </c>
      <c r="AJ192" s="456"/>
      <c r="AK192" s="456"/>
      <c r="AL192" s="456"/>
      <c r="AM192" s="472"/>
      <c r="CC192" s="141">
        <f t="shared" si="226"/>
        <v>36861</v>
      </c>
      <c r="CD192" s="234">
        <f>_xll.xSPRDOPT((VLOOKUP(G192,NGPrices,2,FALSE)+HLOOKUP(D192,Prices,VLOOKUP(G192,move_down,2,FALSE),FALSE)),VLOOKUP(G192,NGPrices,2,FALSE),I192,VLOOKUP(G192,NGPREVPRICES,4,FALSE),HLOOKUP(D192,PREVVOLS,VLOOKUP(G192,MOVE_DOWN2,2,FALSE),FALSE),VLOOKUP(G192,NGPREVPRICES,3,FALSE),HLOOKUP(D192,Correllate,VLOOKUP(G192,CorMove,2,FALSE),FALSE),Q192-$CD$3,R192,$CD$5)*H192-CJ192</f>
        <v>0</v>
      </c>
      <c r="CE192" s="234">
        <f>_xll.xSPRDOPT((VLOOKUP(G192,NGPREVPRICES,2,FALSE)+HLOOKUP(D192,PREVCURVES,VLOOKUP(G192,MOVE_DOWN2,2,FALSE),FALSE)),VLOOKUP(G192,NGPREVPRICES,2,FALSE),CK192,VLOOKUP(G192,NGPrices,4,FALSE),HLOOKUP(D192,PREVVOLS,VLOOKUP(G192,MOVE_DOWN2,2,FALSE),FALSE),VLOOKUP(G192,NGPREVPRICES,3,FALSE),HLOOKUP(D192,Correllate,VLOOKUP(G192,CorMove,2,FALSE),FALSE),Q192-$CD$3,R192,$CJ$5)*H192-CJ192</f>
        <v>0</v>
      </c>
      <c r="CF192" s="10">
        <f t="shared" si="245"/>
        <v>-71.701844964409247</v>
      </c>
      <c r="CG192" s="234">
        <f>_xll.xSPRDOPT((VLOOKUP(G192,NGPREVPRICES,2,FALSE)+HLOOKUP(D192,PREVCURVES,VLOOKUP(G192,MOVE_DOWN2,2,FALSE),FALSE)),VLOOKUP(G192,NGPREVPRICES,2,FALSE),CK192,VLOOKUP(G192,NGPREVPRICES,4,FALSE),HLOOKUP(D192,VOLS,VLOOKUP(G192,move_down,2,FALSE),FALSE),VLOOKUP(G192,NGPrices,3,FALSE),HLOOKUP(D192,Correllate,VLOOKUP(G192,CorMove,2,FALSE),FALSE),Q192-$CD$3,R192,$CJ$5)*H192-CJ192</f>
        <v>0</v>
      </c>
      <c r="CH192" s="234">
        <f>_xll.xSPRDOPT((VLOOKUP(G192,NGPREVPRICES,2,FALSE)+HLOOKUP(D192,PREVCURVES,VLOOKUP(G192,MOVE_DOWN2,2,FALSE),FALSE)),VLOOKUP(G192,NGPREVPRICES,2,FALSE),CK192,VLOOKUP(G192,NGPREVPRICES,4,FALSE),HLOOKUP(D192,PREVVOLS,VLOOKUP(G192,MOVE_DOWN2,2,FALSE),FALSE),VLOOKUP(G192,NGPREVPRICES,3,FALSE),HLOOKUP(D192,Correllate,VLOOKUP(G192,CorMove,2,FALSE),FALSE),Q192-$C$3,R192,$CJ$5)*H192-CJ192</f>
        <v>-2735.1004115151009</v>
      </c>
      <c r="CI192" s="234">
        <f t="shared" si="246"/>
        <v>-2806.8022564795101</v>
      </c>
      <c r="CJ192" s="234">
        <f>_xll.xSPRDOPT((VLOOKUP(G192,NGPREVPRICES,2,FALSE)+HLOOKUP(D192,PREVCURVES,VLOOKUP(G192,MOVE_DOWN2,2,FALSE),FALSE)),VLOOKUP(G192,NGPREVPRICES,2,FALSE),CK192,VLOOKUP(G192,NGPREVPRICES,4,FALSE),HLOOKUP(D192,PREVVOLS,VLOOKUP(G192,MOVE_DOWN2,2,FALSE),FALSE),VLOOKUP(G192,NGPREVPRICES,3,FALSE),HLOOKUP(D192,Correllate,VLOOKUP(G192,CorMove,2,FALSE),FALSE),Q192-$CD$3,R192,$CJ$5)*H192</f>
        <v>382740.66010561981</v>
      </c>
      <c r="CK192" s="235">
        <f t="shared" si="227"/>
        <v>2</v>
      </c>
      <c r="CL192" s="234"/>
      <c r="CM192" t="str">
        <f t="shared" si="247"/>
        <v>36861Curve Shift/Gamma</v>
      </c>
      <c r="CN192" t="str">
        <f t="shared" si="248"/>
        <v>36861Rho</v>
      </c>
      <c r="CO192" t="str">
        <f t="shared" si="249"/>
        <v>36861Drift</v>
      </c>
      <c r="CP192" t="str">
        <f t="shared" si="250"/>
        <v>36861Vega</v>
      </c>
      <c r="CQ192" t="str">
        <f t="shared" si="251"/>
        <v>36861Theta</v>
      </c>
    </row>
    <row r="193" spans="1:95" ht="12" customHeight="1" x14ac:dyDescent="0.25">
      <c r="A193" s="140" t="s">
        <v>284</v>
      </c>
      <c r="B193" t="s">
        <v>250</v>
      </c>
      <c r="C193" t="s">
        <v>373</v>
      </c>
      <c r="D193" s="4" t="s">
        <v>7</v>
      </c>
      <c r="E193" t="s">
        <v>20</v>
      </c>
      <c r="F193" t="s">
        <v>21</v>
      </c>
      <c r="G193" s="5">
        <v>36831</v>
      </c>
      <c r="H193" s="130">
        <v>1000000</v>
      </c>
      <c r="I193">
        <v>2</v>
      </c>
      <c r="J193" s="53">
        <f t="shared" si="200"/>
        <v>4.7359999999999998</v>
      </c>
      <c r="K193" s="7">
        <f t="shared" si="201"/>
        <v>0.77</v>
      </c>
      <c r="L193" s="53">
        <f t="shared" si="202"/>
        <v>5.5060000000000002</v>
      </c>
      <c r="M193" s="157">
        <f t="shared" si="238"/>
        <v>6.810675983792E-2</v>
      </c>
      <c r="N193" s="4">
        <f t="shared" si="239"/>
        <v>0.59499999999999997</v>
      </c>
      <c r="O193" s="4">
        <f t="shared" si="240"/>
        <v>0.625</v>
      </c>
      <c r="P193" s="9">
        <f t="shared" si="241"/>
        <v>0.89</v>
      </c>
      <c r="Q193" s="5">
        <f t="shared" si="194"/>
        <v>36829</v>
      </c>
      <c r="R193" s="4">
        <f t="shared" si="242"/>
        <v>1</v>
      </c>
      <c r="S193" s="158">
        <f>_xll.xSPRDOPT($L193,$J193,$I193,$M193,$O193,$N193,$P193,$Q193-$C$3,$R193,0)</f>
        <v>1.9600022197568796E-2</v>
      </c>
      <c r="T193" s="159">
        <f>_xll.xSPRDOPT($L193,$J193,$I193,$M193,$O193,$N193,$P193,$Q193-$C$3,$R193,1)*H193</f>
        <v>67017.252373587806</v>
      </c>
      <c r="U193" s="160">
        <f t="shared" si="243"/>
        <v>19600.022197568796</v>
      </c>
      <c r="V193" s="159">
        <f>_xll.xSPRDOPT($L193,$J193,$I193,$M193,$O193,$N193,$P193,$Q193-$C$3,$R193,2)*H193</f>
        <v>-54754.515372261179</v>
      </c>
      <c r="W193" s="159">
        <f t="shared" si="244"/>
        <v>12262.737001326626</v>
      </c>
      <c r="X193" s="51" t="str">
        <f t="shared" si="228"/>
        <v>36831IF-TRANSCO/Z6</v>
      </c>
      <c r="Y193" s="418">
        <f t="shared" si="229"/>
        <v>100</v>
      </c>
      <c r="Z193" s="456">
        <f t="shared" si="230"/>
        <v>6.7017252373587799E-2</v>
      </c>
      <c r="AA193" s="456">
        <f>_xll.xSPRDOPT($L193,$J193,$I193,$M193,$O193,$N193,$P193,$Q193-$C$3,$R193,3)</f>
        <v>0.18472810394847208</v>
      </c>
      <c r="AB193" s="456">
        <f>((_xll.xSPRDOPT($L193+AB$5,$J193,$I193,$M193,$O193,$N193,$P193,$Q193-$C$3,$R193,3)*$H193)/10000)/100</f>
        <v>0.18472810394847208</v>
      </c>
      <c r="AC193" s="456">
        <f>((_xll.xSPRDOPT($L193+$AB$5,$J193,$I193,$M193,$O193,$N193,$P193,$Q193-$C$3,$R193,7)*$H193)/100)</f>
        <v>-2601.1056453047504</v>
      </c>
      <c r="AD193" s="456">
        <f>(_xll.xSPRDOPT($L193+$AB$5,$J193,$I193,$M193,$O193,$N193,$P193,$Q193-$C$3,$R193,9)/365)*$H193</f>
        <v>-731.59867713351707</v>
      </c>
      <c r="AE193">
        <f t="shared" si="198"/>
        <v>0</v>
      </c>
      <c r="AF193" s="456">
        <f t="shared" si="199"/>
        <v>1531.2492658356136</v>
      </c>
      <c r="AG193" s="456">
        <f>((_xll.xSPRDOPT($L193,$J193,$I193,$M193,$O193,$N193,$P193,$Q193-$C$3,$R193,6)*$H193)/100)</f>
        <v>-818.96066691882254</v>
      </c>
      <c r="AH193" s="456">
        <f>((_xll.xSPRDOPT($L193,$J193,$I193,$M193,$O193,$N193,$P193,$Q193-$C$3,$R193,5)*$H193)/100)</f>
        <v>2237.399855982223</v>
      </c>
      <c r="AI193" s="456">
        <f>(((_xll.xSPRDOPT($L193,$J193,$I193,$M193,$O193,$N193,$P193,$Q193-$C$3,$R193,4)*$H193)/10000)/100)-AB193</f>
        <v>-4.91330911017899E-2</v>
      </c>
      <c r="AJ193" s="456"/>
      <c r="AK193" s="456"/>
      <c r="AL193" s="456"/>
      <c r="AM193" s="472"/>
      <c r="CC193" s="141">
        <f t="shared" si="226"/>
        <v>36831</v>
      </c>
      <c r="CD193" s="234">
        <f>_xll.xSPRDOPT((VLOOKUP(G193,NGPrices,2,FALSE)+HLOOKUP(D193,Prices,VLOOKUP(G193,move_down,2,FALSE),FALSE)),VLOOKUP(G193,NGPrices,2,FALSE),I193,VLOOKUP(G193,NGPREVPRICES,4,FALSE),HLOOKUP(D193,PREVVOLS,VLOOKUP(G193,MOVE_DOWN2,2,FALSE),FALSE),VLOOKUP(G193,NGPREVPRICES,3,FALSE),HLOOKUP(D193,Correllate,VLOOKUP(G193,CorMove,2,FALSE),FALSE),Q193-$CD$3,R193,$CD$5)*H193-CJ193</f>
        <v>0</v>
      </c>
      <c r="CE193" s="234">
        <f>_xll.xSPRDOPT((VLOOKUP(G193,NGPREVPRICES,2,FALSE)+HLOOKUP(D193,PREVCURVES,VLOOKUP(G193,MOVE_DOWN2,2,FALSE),FALSE)),VLOOKUP(G193,NGPREVPRICES,2,FALSE),CK193,VLOOKUP(G193,NGPrices,4,FALSE),HLOOKUP(D193,PREVVOLS,VLOOKUP(G193,MOVE_DOWN2,2,FALSE),FALSE),VLOOKUP(G193,NGPREVPRICES,3,FALSE),HLOOKUP(D193,Correllate,VLOOKUP(G193,CorMove,2,FALSE),FALSE),Q193-$CD$3,R193,$CJ$5)*H193-CJ193</f>
        <v>0</v>
      </c>
      <c r="CF193" s="10">
        <f t="shared" si="245"/>
        <v>-3.7764698099454108</v>
      </c>
      <c r="CG193" s="234">
        <f>_xll.xSPRDOPT((VLOOKUP(G193,NGPREVPRICES,2,FALSE)+HLOOKUP(D193,PREVCURVES,VLOOKUP(G193,MOVE_DOWN2,2,FALSE),FALSE)),VLOOKUP(G193,NGPREVPRICES,2,FALSE),CK193,VLOOKUP(G193,NGPREVPRICES,4,FALSE),HLOOKUP(D193,VOLS,VLOOKUP(G193,move_down,2,FALSE),FALSE),VLOOKUP(G193,NGPrices,3,FALSE),HLOOKUP(D193,Correllate,VLOOKUP(G193,CorMove,2,FALSE),FALSE),Q193-$CD$3,R193,$CJ$5)*H193-CJ193</f>
        <v>0</v>
      </c>
      <c r="CH193" s="234">
        <f>_xll.xSPRDOPT((VLOOKUP(G193,NGPREVPRICES,2,FALSE)+HLOOKUP(D193,PREVCURVES,VLOOKUP(G193,MOVE_DOWN2,2,FALSE),FALSE)),VLOOKUP(G193,NGPREVPRICES,2,FALSE),CK193,VLOOKUP(G193,NGPREVPRICES,4,FALSE),HLOOKUP(D193,PREVVOLS,VLOOKUP(G193,MOVE_DOWN2,2,FALSE),FALSE),VLOOKUP(G193,NGPREVPRICES,3,FALSE),HLOOKUP(D193,Correllate,VLOOKUP(G193,CorMove,2,FALSE),FALSE),Q193-$C$3,R193,$CJ$5)*H193-CJ193</f>
        <v>-735.21382780840213</v>
      </c>
      <c r="CI193" s="234">
        <f t="shared" si="246"/>
        <v>-738.99029761834754</v>
      </c>
      <c r="CJ193" s="234">
        <f>_xll.xSPRDOPT((VLOOKUP(G193,NGPREVPRICES,2,FALSE)+HLOOKUP(D193,PREVCURVES,VLOOKUP(G193,MOVE_DOWN2,2,FALSE),FALSE)),VLOOKUP(G193,NGPREVPRICES,2,FALSE),CK193,VLOOKUP(G193,NGPREVPRICES,4,FALSE),HLOOKUP(D193,PREVVOLS,VLOOKUP(G193,MOVE_DOWN2,2,FALSE),FALSE),VLOOKUP(G193,NGPREVPRICES,3,FALSE),HLOOKUP(D193,Correllate,VLOOKUP(G193,CorMove,2,FALSE),FALSE),Q193-$CD$3,R193,$CJ$5)*H193</f>
        <v>20335.236025377199</v>
      </c>
      <c r="CK193" s="235">
        <f t="shared" si="227"/>
        <v>2</v>
      </c>
      <c r="CL193" s="234"/>
      <c r="CM193" t="str">
        <f t="shared" si="247"/>
        <v>36831Curve Shift/Gamma</v>
      </c>
      <c r="CN193" t="str">
        <f t="shared" si="248"/>
        <v>36831Rho</v>
      </c>
      <c r="CO193" t="str">
        <f t="shared" si="249"/>
        <v>36831Drift</v>
      </c>
      <c r="CP193" t="str">
        <f t="shared" si="250"/>
        <v>36831Vega</v>
      </c>
      <c r="CQ193" t="str">
        <f t="shared" si="251"/>
        <v>36831Theta</v>
      </c>
    </row>
    <row r="194" spans="1:95" ht="12" customHeight="1" x14ac:dyDescent="0.25">
      <c r="A194" s="140" t="s">
        <v>320</v>
      </c>
      <c r="B194" t="s">
        <v>250</v>
      </c>
      <c r="C194" t="s">
        <v>374</v>
      </c>
      <c r="D194" s="4" t="s">
        <v>7</v>
      </c>
      <c r="E194" t="s">
        <v>20</v>
      </c>
      <c r="F194" t="s">
        <v>21</v>
      </c>
      <c r="G194" s="5">
        <v>36800</v>
      </c>
      <c r="H194" s="130">
        <v>310000</v>
      </c>
      <c r="I194">
        <v>0.34</v>
      </c>
      <c r="J194" s="53">
        <f t="shared" si="200"/>
        <v>4.6920000000000002</v>
      </c>
      <c r="K194" s="7">
        <f t="shared" si="201"/>
        <v>0.41499999999999998</v>
      </c>
      <c r="L194" s="53">
        <f t="shared" si="202"/>
        <v>5.1070000000000002</v>
      </c>
      <c r="M194" s="157">
        <f t="shared" si="238"/>
        <v>6.8050789414654006E-2</v>
      </c>
      <c r="N194" s="4">
        <f t="shared" si="239"/>
        <v>0.57499999999999996</v>
      </c>
      <c r="O194" s="4">
        <f t="shared" si="240"/>
        <v>0.56399999999999995</v>
      </c>
      <c r="P194" s="9">
        <f t="shared" si="241"/>
        <v>0.99250000000000005</v>
      </c>
      <c r="Q194" s="5">
        <f t="shared" si="194"/>
        <v>36797</v>
      </c>
      <c r="R194" s="4">
        <f t="shared" si="242"/>
        <v>1</v>
      </c>
      <c r="S194" s="158">
        <f>_xll.xSPRDOPT($L194,$J194,$I194,$M194,$O194,$N194,$P194,$Q194-$C$3,$R194,0)</f>
        <v>8.9563619150269461E-2</v>
      </c>
      <c r="T194" s="159">
        <f>_xll.xSPRDOPT($L194,$J194,$I194,$M194,$O194,$N194,$P194,$Q194-$C$3,$R194,1)*H194</f>
        <v>235649.22737779634</v>
      </c>
      <c r="U194" s="160">
        <f t="shared" si="243"/>
        <v>27764.721936583534</v>
      </c>
      <c r="V194" s="159">
        <f>_xll.xSPRDOPT($L194,$J194,$I194,$M194,$O194,$N194,$P194,$Q194-$C$3,$R194,2)*H194</f>
        <v>-234018.43276630636</v>
      </c>
      <c r="W194" s="159">
        <f t="shared" si="244"/>
        <v>1630.7946114899823</v>
      </c>
      <c r="X194" s="51" t="str">
        <f t="shared" si="228"/>
        <v>36800IF-TRANSCO/Z6</v>
      </c>
      <c r="Y194" s="418">
        <f t="shared" si="229"/>
        <v>31</v>
      </c>
      <c r="Z194" s="456">
        <f t="shared" si="230"/>
        <v>0.76015879799289143</v>
      </c>
      <c r="AA194" s="456">
        <f>_xll.xSPRDOPT($L194,$J194,$I194,$M194,$O194,$N194,$P194,$Q194-$C$3,$R194,3)</f>
        <v>2.8484490638057527</v>
      </c>
      <c r="AB194" s="456">
        <f>((_xll.xSPRDOPT($L194+AB$5,$J194,$I194,$M194,$O194,$N194,$P194,$Q194-$C$3,$R194,3)*$H194)/10000)/100</f>
        <v>0.88301920977978343</v>
      </c>
      <c r="AC194" s="456">
        <f>((_xll.xSPRDOPT($L194+$AB$5,$J194,$I194,$M194,$O194,$N194,$P194,$Q194-$C$3,$R194,7)*$H194)/100)</f>
        <v>-5706.7496220189469</v>
      </c>
      <c r="AD194" s="456">
        <f>(_xll.xSPRDOPT($L194+$AB$5,$J194,$I194,$M194,$O194,$N194,$P194,$Q194-$C$3,$R194,9)/365)*$H194</f>
        <v>-165.39787923457266</v>
      </c>
      <c r="AE194">
        <f t="shared" si="198"/>
        <v>0</v>
      </c>
      <c r="AF194" s="456">
        <f t="shared" si="199"/>
        <v>177.86878641706988</v>
      </c>
      <c r="AG194" s="456">
        <f>((_xll.xSPRDOPT($L194,$J194,$I194,$M194,$O194,$N194,$P194,$Q194-$C$3,$R194,6)*$H194)/100)</f>
        <v>-436.4074265506585</v>
      </c>
      <c r="AH194" s="456">
        <f>((_xll.xSPRDOPT($L194,$J194,$I194,$M194,$O194,$N194,$P194,$Q194-$C$3,$R194,5)*$H194)/100)</f>
        <v>626.25677740504227</v>
      </c>
      <c r="AI194" s="456">
        <f>(((_xll.xSPRDOPT($L194,$J194,$I194,$M194,$O194,$N194,$P194,$Q194-$C$3,$R194,4)*$H194)/10000)/100)-AB194</f>
        <v>2.2414451316039807E-2</v>
      </c>
      <c r="AJ194" s="456"/>
      <c r="AK194" s="456"/>
      <c r="AL194" s="456"/>
      <c r="AM194" s="472"/>
      <c r="CC194" s="141">
        <f t="shared" ref="CC194:CC203" si="252">G194</f>
        <v>36800</v>
      </c>
      <c r="CD194" s="234">
        <f>_xll.xSPRDOPT((VLOOKUP(G194,NGPrices,2,FALSE)+HLOOKUP(D194,Prices,VLOOKUP(G194,move_down,2,FALSE),FALSE)),VLOOKUP(G194,NGPrices,2,FALSE),I194,VLOOKUP(G194,NGPREVPRICES,4,FALSE),HLOOKUP(D194,PREVVOLS,VLOOKUP(G194,MOVE_DOWN2,2,FALSE),FALSE),VLOOKUP(G194,NGPREVPRICES,3,FALSE),HLOOKUP(D194,Correllate,VLOOKUP(G194,CorMove,2,FALSE),FALSE),Q194-$CD$3,R194,$CD$5)*H194-CJ194</f>
        <v>0</v>
      </c>
      <c r="CE194" s="234">
        <f>_xll.xSPRDOPT((VLOOKUP(G194,NGPREVPRICES,2,FALSE)+HLOOKUP(D194,PREVCURVES,VLOOKUP(G194,MOVE_DOWN2,2,FALSE),FALSE)),VLOOKUP(G194,NGPREVPRICES,2,FALSE),CK194,VLOOKUP(G194,NGPrices,4,FALSE),HLOOKUP(D194,PREVVOLS,VLOOKUP(G194,MOVE_DOWN2,2,FALSE),FALSE),VLOOKUP(G194,NGPREVPRICES,3,FALSE),HLOOKUP(D194,Correllate,VLOOKUP(G194,CorMove,2,FALSE),FALSE),Q194-$CD$3,R194,$CJ$5)*H194-CJ194</f>
        <v>0</v>
      </c>
      <c r="CF194" s="10">
        <f t="shared" si="245"/>
        <v>-5.1489222700656683</v>
      </c>
      <c r="CG194" s="234">
        <f>_xll.xSPRDOPT((VLOOKUP(G194,NGPREVPRICES,2,FALSE)+HLOOKUP(D194,PREVCURVES,VLOOKUP(G194,MOVE_DOWN2,2,FALSE),FALSE)),VLOOKUP(G194,NGPREVPRICES,2,FALSE),CK194,VLOOKUP(G194,NGPREVPRICES,4,FALSE),HLOOKUP(D194,VOLS,VLOOKUP(G194,move_down,2,FALSE),FALSE),VLOOKUP(G194,NGPrices,3,FALSE),HLOOKUP(D194,Correllate,VLOOKUP(G194,CorMove,2,FALSE),FALSE),Q194-$CD$3,R194,$CJ$5)*H194-CJ194</f>
        <v>0</v>
      </c>
      <c r="CH194" s="234">
        <f>_xll.xSPRDOPT((VLOOKUP(G194,NGPREVPRICES,2,FALSE)+HLOOKUP(D194,PREVCURVES,VLOOKUP(G194,MOVE_DOWN2,2,FALSE),FALSE)),VLOOKUP(G194,NGPREVPRICES,2,FALSE),CK194,VLOOKUP(G194,NGPREVPRICES,4,FALSE),HLOOKUP(D194,PREVVOLS,VLOOKUP(G194,MOVE_DOWN2,2,FALSE),FALSE),VLOOKUP(G194,NGPREVPRICES,3,FALSE),HLOOKUP(D194,Correllate,VLOOKUP(G194,CorMove,2,FALSE),FALSE),Q194-$C$3,R194,$CJ$5)*H194-CJ194</f>
        <v>-164.55382724387528</v>
      </c>
      <c r="CI194" s="234">
        <f t="shared" si="246"/>
        <v>-169.70274951394094</v>
      </c>
      <c r="CJ194" s="234">
        <f>_xll.xSPRDOPT((VLOOKUP(G194,NGPREVPRICES,2,FALSE)+HLOOKUP(D194,PREVCURVES,VLOOKUP(G194,MOVE_DOWN2,2,FALSE),FALSE)),VLOOKUP(G194,NGPREVPRICES,2,FALSE),CK194,VLOOKUP(G194,NGPREVPRICES,4,FALSE),HLOOKUP(D194,PREVVOLS,VLOOKUP(G194,MOVE_DOWN2,2,FALSE),FALSE),VLOOKUP(G194,NGPREVPRICES,3,FALSE),HLOOKUP(D194,Correllate,VLOOKUP(G194,CorMove,2,FALSE),FALSE),Q194-$CD$3,R194,$CJ$5)*H194</f>
        <v>27929.275763827409</v>
      </c>
      <c r="CK194" s="235">
        <f t="shared" ref="CK194:CK203" si="253">I194</f>
        <v>0.34</v>
      </c>
      <c r="CL194" s="234"/>
      <c r="CM194" t="str">
        <f t="shared" si="247"/>
        <v>36800Curve Shift/Gamma</v>
      </c>
      <c r="CN194" t="str">
        <f t="shared" si="248"/>
        <v>36800Rho</v>
      </c>
      <c r="CO194" t="str">
        <f t="shared" si="249"/>
        <v>36800Drift</v>
      </c>
      <c r="CP194" t="str">
        <f t="shared" si="250"/>
        <v>36800Vega</v>
      </c>
      <c r="CQ194" t="str">
        <f t="shared" si="251"/>
        <v>36800Theta</v>
      </c>
    </row>
    <row r="195" spans="1:95" ht="12" customHeight="1" x14ac:dyDescent="0.25">
      <c r="A195" s="140" t="s">
        <v>320</v>
      </c>
      <c r="B195" t="s">
        <v>250</v>
      </c>
      <c r="C195" t="s">
        <v>374</v>
      </c>
      <c r="D195" s="4" t="s">
        <v>7</v>
      </c>
      <c r="E195" t="s">
        <v>20</v>
      </c>
      <c r="F195" t="s">
        <v>21</v>
      </c>
      <c r="G195" s="5">
        <v>36770</v>
      </c>
      <c r="H195" s="130">
        <v>300000</v>
      </c>
      <c r="I195">
        <v>0.34</v>
      </c>
      <c r="J195" s="53">
        <f t="shared" si="200"/>
        <v>4.6849999999999996</v>
      </c>
      <c r="K195" s="7">
        <f t="shared" si="201"/>
        <v>0.315</v>
      </c>
      <c r="L195" s="53">
        <f t="shared" si="202"/>
        <v>5</v>
      </c>
      <c r="M195" s="157">
        <f t="shared" si="238"/>
        <v>6.7216196212184998E-2</v>
      </c>
      <c r="N195" s="4">
        <f t="shared" si="239"/>
        <v>0.4</v>
      </c>
      <c r="O195" s="4">
        <f t="shared" si="240"/>
        <v>0.39200000000000002</v>
      </c>
      <c r="P195" s="9">
        <f t="shared" si="241"/>
        <v>0.99250000000000005</v>
      </c>
      <c r="Q195" s="5">
        <f t="shared" si="194"/>
        <v>36768</v>
      </c>
      <c r="R195" s="4">
        <f t="shared" si="242"/>
        <v>1</v>
      </c>
      <c r="S195" s="158">
        <f>_xll.xSPRDOPT($L195,$J195,$I195,$M195,$O195,$N195,$P195,$Q195-$C$3,$R195,0)</f>
        <v>1.5140624402867987E-4</v>
      </c>
      <c r="T195" s="159">
        <f>_xll.xSPRDOPT($L195,$J195,$I195,$M195,$O195,$N195,$P195,$Q195-$C$3,$R195,1)*H195</f>
        <v>8907.6806008952171</v>
      </c>
      <c r="U195" s="160">
        <f t="shared" si="243"/>
        <v>45.421873208603962</v>
      </c>
      <c r="V195" s="159">
        <f>_xll.xSPRDOPT($L195,$J195,$I195,$M195,$O195,$N195,$P195,$Q195-$C$3,$R195,2)*H195</f>
        <v>-8863.2087829563843</v>
      </c>
      <c r="W195" s="159">
        <f t="shared" si="244"/>
        <v>44.471817938832828</v>
      </c>
      <c r="X195" s="51" t="str">
        <f t="shared" si="228"/>
        <v>36770IF-TRANSCO/Z6</v>
      </c>
      <c r="Y195" s="418">
        <f t="shared" si="229"/>
        <v>30</v>
      </c>
      <c r="Z195" s="456">
        <f t="shared" si="230"/>
        <v>2.9692268669650725E-2</v>
      </c>
      <c r="AA195" s="456">
        <f>_xll.xSPRDOPT($L195,$J195,$I195,$M195,$O195,$N195,$P195,$Q195-$C$3,$R195,3)</f>
        <v>5.1098411977884126</v>
      </c>
      <c r="AB195" s="456">
        <f>((_xll.xSPRDOPT($L195+AB$5,$J195,$I195,$M195,$O195,$N195,$P195,$Q195-$C$3,$R195,3)*$H195)/10000)/100</f>
        <v>1.5329523593365237</v>
      </c>
      <c r="AC195" s="456">
        <f>((_xll.xSPRDOPT($L195+$AB$5,$J195,$I195,$M195,$O195,$N195,$P195,$Q195-$C$3,$R195,7)*$H195)/100)</f>
        <v>-153.52250961068498</v>
      </c>
      <c r="AD195" s="456">
        <f>(_xll.xSPRDOPT($L195+$AB$5,$J195,$I195,$M195,$O195,$N195,$P195,$Q195-$C$3,$R195,9)/365)*$H195</f>
        <v>-133.68040036259112</v>
      </c>
      <c r="AE195">
        <f t="shared" si="198"/>
        <v>0</v>
      </c>
      <c r="AF195" s="456">
        <f t="shared" si="199"/>
        <v>6.6800614949695394</v>
      </c>
      <c r="AG195" s="456">
        <f>((_xll.xSPRDOPT($L195,$J195,$I195,$M195,$O195,$N195,$P195,$Q195-$C$3,$R195,6)*$H195)/100)</f>
        <v>-15.480137935863961</v>
      </c>
      <c r="AH195" s="456">
        <f>((_xll.xSPRDOPT($L195,$J195,$I195,$M195,$O195,$N195,$P195,$Q195-$C$3,$R195,5)*$H195)/100)</f>
        <v>22.612448398809697</v>
      </c>
      <c r="AI195" s="456">
        <f>(((_xll.xSPRDOPT($L195,$J195,$I195,$M195,$O195,$N195,$P195,$Q195-$C$3,$R195,4)*$H195)/10000)/100)-AB195</f>
        <v>-1.2665696731204434E-2</v>
      </c>
      <c r="AJ195" s="456"/>
      <c r="AK195" s="456"/>
      <c r="AL195" s="456"/>
      <c r="AM195" s="472"/>
      <c r="CC195" s="141">
        <f t="shared" si="252"/>
        <v>36770</v>
      </c>
      <c r="CD195" s="234">
        <f>_xll.xSPRDOPT((VLOOKUP(G195,NGPrices,2,FALSE)+HLOOKUP(D195,Prices,VLOOKUP(G195,move_down,2,FALSE),FALSE)),VLOOKUP(G195,NGPrices,2,FALSE),I195,VLOOKUP(G195,NGPREVPRICES,4,FALSE),HLOOKUP(D195,PREVVOLS,VLOOKUP(G195,MOVE_DOWN2,2,FALSE),FALSE),VLOOKUP(G195,NGPREVPRICES,3,FALSE),HLOOKUP(D195,Correllate,VLOOKUP(G195,CorMove,2,FALSE),FALSE),Q195-$CD$3,R195,$CD$5)*H195-CJ195</f>
        <v>0</v>
      </c>
      <c r="CE195" s="234">
        <f>_xll.xSPRDOPT((VLOOKUP(G195,NGPREVPRICES,2,FALSE)+HLOOKUP(D195,PREVCURVES,VLOOKUP(G195,MOVE_DOWN2,2,FALSE),FALSE)),VLOOKUP(G195,NGPREVPRICES,2,FALSE),CK195,VLOOKUP(G195,NGPrices,4,FALSE),HLOOKUP(D195,PREVVOLS,VLOOKUP(G195,MOVE_DOWN2,2,FALSE),FALSE),VLOOKUP(G195,NGPREVPRICES,3,FALSE),HLOOKUP(D195,Correllate,VLOOKUP(G195,CorMove,2,FALSE),FALSE),Q195-$CD$3,R195,$CJ$5)*H195-CJ195</f>
        <v>0</v>
      </c>
      <c r="CF195" s="10">
        <f t="shared" si="245"/>
        <v>-4.3312509363829577E-2</v>
      </c>
      <c r="CG195" s="234">
        <f>_xll.xSPRDOPT((VLOOKUP(G195,NGPREVPRICES,2,FALSE)+HLOOKUP(D195,PREVCURVES,VLOOKUP(G195,MOVE_DOWN2,2,FALSE),FALSE)),VLOOKUP(G195,NGPREVPRICES,2,FALSE),CK195,VLOOKUP(G195,NGPREVPRICES,4,FALSE),HLOOKUP(D195,VOLS,VLOOKUP(G195,move_down,2,FALSE),FALSE),VLOOKUP(G195,NGPrices,3,FALSE),HLOOKUP(D195,Correllate,VLOOKUP(G195,CorMove,2,FALSE),FALSE),Q195-$CD$3,R195,$CJ$5)*H195-CJ195</f>
        <v>0</v>
      </c>
      <c r="CH195" s="234">
        <f>_xll.xSPRDOPT((VLOOKUP(G195,NGPREVPRICES,2,FALSE)+HLOOKUP(D195,PREVCURVES,VLOOKUP(G195,MOVE_DOWN2,2,FALSE),FALSE)),VLOOKUP(G195,NGPREVPRICES,2,FALSE),CK195,VLOOKUP(G195,NGPREVPRICES,4,FALSE),HLOOKUP(D195,PREVVOLS,VLOOKUP(G195,MOVE_DOWN2,2,FALSE),FALSE),VLOOKUP(G195,NGPREVPRICES,3,FALSE),HLOOKUP(D195,Correllate,VLOOKUP(G195,CorMove,2,FALSE),FALSE),Q195-$C$3,R195,$CJ$5)*H195-CJ195</f>
        <v>-192.26414123713377</v>
      </c>
      <c r="CI195" s="234">
        <f t="shared" si="246"/>
        <v>-192.3074537464976</v>
      </c>
      <c r="CJ195" s="234">
        <f>_xll.xSPRDOPT((VLOOKUP(G195,NGPREVPRICES,2,FALSE)+HLOOKUP(D195,PREVCURVES,VLOOKUP(G195,MOVE_DOWN2,2,FALSE),FALSE)),VLOOKUP(G195,NGPREVPRICES,2,FALSE),CK195,VLOOKUP(G195,NGPREVPRICES,4,FALSE),HLOOKUP(D195,PREVVOLS,VLOOKUP(G195,MOVE_DOWN2,2,FALSE),FALSE),VLOOKUP(G195,NGPREVPRICES,3,FALSE),HLOOKUP(D195,Correllate,VLOOKUP(G195,CorMove,2,FALSE),FALSE),Q195-$CD$3,R195,$CJ$5)*H195</f>
        <v>237.68601444573773</v>
      </c>
      <c r="CK195" s="235">
        <f t="shared" si="253"/>
        <v>0.34</v>
      </c>
      <c r="CL195" s="234"/>
      <c r="CM195" t="str">
        <f t="shared" si="247"/>
        <v>36770Curve Shift/Gamma</v>
      </c>
      <c r="CN195" t="str">
        <f t="shared" si="248"/>
        <v>36770Rho</v>
      </c>
      <c r="CO195" t="str">
        <f t="shared" si="249"/>
        <v>36770Drift</v>
      </c>
      <c r="CP195" t="str">
        <f t="shared" si="250"/>
        <v>36770Vega</v>
      </c>
      <c r="CQ195" t="str">
        <f t="shared" si="251"/>
        <v>36770Theta</v>
      </c>
    </row>
    <row r="196" spans="1:95" ht="12" customHeight="1" x14ac:dyDescent="0.25">
      <c r="A196" s="140" t="s">
        <v>277</v>
      </c>
      <c r="B196" t="s">
        <v>250</v>
      </c>
      <c r="C196" t="s">
        <v>414</v>
      </c>
      <c r="D196" s="4" t="s">
        <v>384</v>
      </c>
      <c r="E196" t="s">
        <v>20</v>
      </c>
      <c r="F196" t="s">
        <v>21</v>
      </c>
      <c r="G196" s="5">
        <v>36800</v>
      </c>
      <c r="H196" s="130">
        <v>310000</v>
      </c>
      <c r="I196">
        <v>0.30249999999999999</v>
      </c>
      <c r="J196" s="53">
        <f t="shared" si="200"/>
        <v>4.6920000000000002</v>
      </c>
      <c r="K196" s="7">
        <f t="shared" si="201"/>
        <v>0.36</v>
      </c>
      <c r="L196" s="53">
        <f t="shared" si="202"/>
        <v>5.0520000000000005</v>
      </c>
      <c r="M196" s="157">
        <f t="shared" si="238"/>
        <v>6.8050789414654006E-2</v>
      </c>
      <c r="N196" s="4">
        <f t="shared" si="239"/>
        <v>0.57499999999999996</v>
      </c>
      <c r="O196" s="4">
        <f t="shared" si="240"/>
        <v>0.56399999999999995</v>
      </c>
      <c r="P196" s="9">
        <f t="shared" si="241"/>
        <v>0.99250000000000005</v>
      </c>
      <c r="Q196" s="5">
        <f t="shared" si="194"/>
        <v>36797</v>
      </c>
      <c r="R196" s="4">
        <f t="shared" si="242"/>
        <v>1</v>
      </c>
      <c r="S196" s="158">
        <f>_xll.xSPRDOPT($L196,$J196,$I196,$M196,$O196,$N196,$P196,$Q196-$C$3,$R196,0)</f>
        <v>7.5820901163855495E-2</v>
      </c>
      <c r="T196" s="159">
        <f>_xll.xSPRDOPT($L196,$J196,$I196,$M196,$O196,$N196,$P196,$Q196-$C$3,$R196,1)*H196</f>
        <v>220530.40580030877</v>
      </c>
      <c r="U196" s="160">
        <f t="shared" si="243"/>
        <v>23504.479360795205</v>
      </c>
      <c r="V196" s="159">
        <f>_xll.xSPRDOPT($L196,$J196,$I196,$M196,$O196,$N196,$P196,$Q196-$C$3,$R196,2)*H196</f>
        <v>-218669.63742964965</v>
      </c>
      <c r="W196" s="159">
        <f t="shared" si="244"/>
        <v>1860.7683706591197</v>
      </c>
      <c r="X196" s="51" t="str">
        <f t="shared" si="228"/>
        <v>36800IF-TETCO/M3</v>
      </c>
      <c r="Y196" s="418">
        <f t="shared" si="229"/>
        <v>31</v>
      </c>
      <c r="Z196" s="456">
        <f t="shared" si="230"/>
        <v>0.71138840580744767</v>
      </c>
      <c r="AA196" s="456">
        <f>_xll.xSPRDOPT($L196,$J196,$I196,$M196,$O196,$N196,$P196,$Q196-$C$3,$R196,3)</f>
        <v>3.2380435665936775</v>
      </c>
      <c r="AB196" s="456">
        <f>((_xll.xSPRDOPT($L196+AB$5,$J196,$I196,$M196,$O196,$N196,$P196,$Q196-$C$3,$R196,3)*$H196)/10000)/100</f>
        <v>1.0037935056440401</v>
      </c>
      <c r="AC196" s="456">
        <f>((_xll.xSPRDOPT($L196+$AB$5,$J196,$I196,$M196,$O196,$N196,$P196,$Q196-$C$3,$R196,7)*$H196)/100)</f>
        <v>-6402.4330847501724</v>
      </c>
      <c r="AD196" s="456">
        <f>(_xll.xSPRDOPT($L196+$AB$5,$J196,$I196,$M196,$O196,$N196,$P196,$Q196-$C$3,$R196,9)/365)*$H196</f>
        <v>-177.92240852597249</v>
      </c>
      <c r="AE196">
        <f t="shared" si="198"/>
        <v>0</v>
      </c>
      <c r="AF196" s="456">
        <f t="shared" si="199"/>
        <v>190.10066278431805</v>
      </c>
      <c r="AG196" s="456">
        <f>((_xll.xSPRDOPT($L196,$J196,$I196,$M196,$O196,$N196,$P196,$Q196-$C$3,$R196,6)*$H196)/100)</f>
        <v>-399.82549259306506</v>
      </c>
      <c r="AH196" s="456">
        <f>((_xll.xSPRDOPT($L196,$J196,$I196,$M196,$O196,$N196,$P196,$Q196-$C$3,$R196,5)*$H196)/100)</f>
        <v>601.43180734396321</v>
      </c>
      <c r="AI196" s="456">
        <f>(((_xll.xSPRDOPT($L196,$J196,$I196,$M196,$O196,$N196,$P196,$Q196-$C$3,$R196,4)*$H196)/10000)/100)-AB196</f>
        <v>2.0648538330573007E-2</v>
      </c>
      <c r="AJ196" s="456"/>
      <c r="AK196" s="456"/>
      <c r="AL196" s="456"/>
      <c r="AM196" s="472"/>
      <c r="CC196" s="141">
        <f t="shared" si="252"/>
        <v>36800</v>
      </c>
      <c r="CD196" s="234">
        <f>_xll.xSPRDOPT((VLOOKUP(G196,NGPrices,2,FALSE)+HLOOKUP(D196,Prices,VLOOKUP(G196,move_down,2,FALSE),FALSE)),VLOOKUP(G196,NGPrices,2,FALSE),I196,VLOOKUP(G196,NGPREVPRICES,4,FALSE),HLOOKUP(D196,PREVVOLS,VLOOKUP(G196,MOVE_DOWN2,2,FALSE),FALSE),VLOOKUP(G196,NGPREVPRICES,3,FALSE),HLOOKUP(D196,Correllate,VLOOKUP(G196,CorMove,2,FALSE),FALSE),Q196-$CD$3,R196,$CD$5)*H196-CJ196</f>
        <v>0</v>
      </c>
      <c r="CE196" s="234">
        <f>_xll.xSPRDOPT((VLOOKUP(G196,NGPREVPRICES,2,FALSE)+HLOOKUP(D196,PREVCURVES,VLOOKUP(G196,MOVE_DOWN2,2,FALSE),FALSE)),VLOOKUP(G196,NGPREVPRICES,2,FALSE),CK196,VLOOKUP(G196,NGPrices,4,FALSE),HLOOKUP(D196,PREVVOLS,VLOOKUP(G196,MOVE_DOWN2,2,FALSE),FALSE),VLOOKUP(G196,NGPREVPRICES,3,FALSE),HLOOKUP(D196,Correllate,VLOOKUP(G196,CorMove,2,FALSE),FALSE),Q196-$CD$3,R196,$CJ$5)*H196-CJ196</f>
        <v>0</v>
      </c>
      <c r="CF196" s="10">
        <f t="shared" si="245"/>
        <v>-4.365768650885002</v>
      </c>
      <c r="CG196" s="234">
        <f>_xll.xSPRDOPT((VLOOKUP(G196,NGPREVPRICES,2,FALSE)+HLOOKUP(D196,PREVCURVES,VLOOKUP(G196,MOVE_DOWN2,2,FALSE),FALSE)),VLOOKUP(G196,NGPREVPRICES,2,FALSE),CK196,VLOOKUP(G196,NGPREVPRICES,4,FALSE),HLOOKUP(D196,VOLS,VLOOKUP(G196,move_down,2,FALSE),FALSE),VLOOKUP(G196,NGPrices,3,FALSE),HLOOKUP(D196,Correllate,VLOOKUP(G196,CorMove,2,FALSE),FALSE),Q196-$CD$3,R196,$CJ$5)*H196-CJ196</f>
        <v>0</v>
      </c>
      <c r="CH196" s="234">
        <f>_xll.xSPRDOPT((VLOOKUP(G196,NGPREVPRICES,2,FALSE)+HLOOKUP(D196,PREVCURVES,VLOOKUP(G196,MOVE_DOWN2,2,FALSE),FALSE)),VLOOKUP(G196,NGPREVPRICES,2,FALSE),CK196,VLOOKUP(G196,NGPREVPRICES,4,FALSE),HLOOKUP(D196,PREVVOLS,VLOOKUP(G196,MOVE_DOWN2,2,FALSE),FALSE),VLOOKUP(G196,NGPREVPRICES,3,FALSE),HLOOKUP(D196,Correllate,VLOOKUP(G196,CorMove,2,FALSE),FALSE),Q196-$C$3,R196,$CJ$5)*H196-CJ196</f>
        <v>-176.7397713131395</v>
      </c>
      <c r="CI196" s="234">
        <f t="shared" si="246"/>
        <v>-181.1055399640245</v>
      </c>
      <c r="CJ196" s="234">
        <f>_xll.xSPRDOPT((VLOOKUP(G196,NGPREVPRICES,2,FALSE)+HLOOKUP(D196,PREVCURVES,VLOOKUP(G196,MOVE_DOWN2,2,FALSE),FALSE)),VLOOKUP(G196,NGPREVPRICES,2,FALSE),CK196,VLOOKUP(G196,NGPREVPRICES,4,FALSE),HLOOKUP(D196,PREVVOLS,VLOOKUP(G196,MOVE_DOWN2,2,FALSE),FALSE),VLOOKUP(G196,NGPREVPRICES,3,FALSE),HLOOKUP(D196,Correllate,VLOOKUP(G196,CorMove,2,FALSE),FALSE),Q196-$CD$3,R196,$CJ$5)*H196</f>
        <v>23681.219132108345</v>
      </c>
      <c r="CK196" s="235">
        <f t="shared" si="253"/>
        <v>0.30249999999999999</v>
      </c>
      <c r="CL196" s="234"/>
      <c r="CM196" t="str">
        <f t="shared" si="247"/>
        <v>36800Curve Shift/Gamma</v>
      </c>
      <c r="CN196" t="str">
        <f t="shared" si="248"/>
        <v>36800Rho</v>
      </c>
      <c r="CO196" t="str">
        <f t="shared" si="249"/>
        <v>36800Drift</v>
      </c>
      <c r="CP196" t="str">
        <f t="shared" si="250"/>
        <v>36800Vega</v>
      </c>
      <c r="CQ196" t="str">
        <f t="shared" si="251"/>
        <v>36800Theta</v>
      </c>
    </row>
    <row r="197" spans="1:95" ht="12" customHeight="1" x14ac:dyDescent="0.25">
      <c r="A197" s="140" t="s">
        <v>277</v>
      </c>
      <c r="B197" t="s">
        <v>250</v>
      </c>
      <c r="C197" t="s">
        <v>414</v>
      </c>
      <c r="D197" s="4" t="s">
        <v>384</v>
      </c>
      <c r="E197" t="s">
        <v>20</v>
      </c>
      <c r="F197" t="s">
        <v>21</v>
      </c>
      <c r="G197" s="5">
        <v>36770</v>
      </c>
      <c r="H197" s="130">
        <v>300000</v>
      </c>
      <c r="I197">
        <v>0.30249999999999999</v>
      </c>
      <c r="J197" s="53">
        <f t="shared" si="200"/>
        <v>4.6849999999999996</v>
      </c>
      <c r="K197" s="7">
        <f t="shared" si="201"/>
        <v>0.30499999999999999</v>
      </c>
      <c r="L197" s="53">
        <f t="shared" si="202"/>
        <v>4.9899999999999993</v>
      </c>
      <c r="M197" s="157">
        <f t="shared" si="238"/>
        <v>6.7216196212184998E-2</v>
      </c>
      <c r="N197" s="4">
        <f t="shared" si="239"/>
        <v>0.4</v>
      </c>
      <c r="O197" s="4">
        <f t="shared" si="240"/>
        <v>0.39200000000000002</v>
      </c>
      <c r="P197" s="9">
        <f t="shared" si="241"/>
        <v>0.99250000000000005</v>
      </c>
      <c r="Q197" s="5">
        <f t="shared" si="194"/>
        <v>36768</v>
      </c>
      <c r="R197" s="4">
        <f t="shared" si="242"/>
        <v>1</v>
      </c>
      <c r="S197" s="158">
        <f>_xll.xSPRDOPT($L197,$J197,$I197,$M197,$O197,$N197,$P197,$Q197-$C$3,$R197,0)</f>
        <v>6.5244303401764958E-3</v>
      </c>
      <c r="T197" s="159">
        <f>_xll.xSPRDOPT($L197,$J197,$I197,$M197,$O197,$N197,$P197,$Q197-$C$3,$R197,1)*H197</f>
        <v>173064.09617921634</v>
      </c>
      <c r="U197" s="160">
        <f t="shared" si="243"/>
        <v>1957.3291020529487</v>
      </c>
      <c r="V197" s="159">
        <f>_xll.xSPRDOPT($L197,$J197,$I197,$M197,$O197,$N197,$P197,$Q197-$C$3,$R197,2)*H197</f>
        <v>-172798.4341592156</v>
      </c>
      <c r="W197" s="159">
        <f t="shared" si="244"/>
        <v>265.66202000074554</v>
      </c>
      <c r="X197" s="51" t="str">
        <f t="shared" si="228"/>
        <v>36770IF-TETCO/M3</v>
      </c>
      <c r="Y197" s="418">
        <f t="shared" si="229"/>
        <v>30</v>
      </c>
      <c r="Z197" s="456">
        <f t="shared" si="230"/>
        <v>0.57688032059738781</v>
      </c>
      <c r="AA197" s="456">
        <f>_xll.xSPRDOPT($L197,$J197,$I197,$M197,$O197,$N197,$P197,$Q197-$C$3,$R197,3)</f>
        <v>30.136661074672691</v>
      </c>
      <c r="AB197" s="456">
        <f>((_xll.xSPRDOPT($L197+AB$5,$J197,$I197,$M197,$O197,$N197,$P197,$Q197-$C$3,$R197,3)*$H197)/10000)/100</f>
        <v>9.0409983224018067</v>
      </c>
      <c r="AC197" s="456">
        <f>((_xll.xSPRDOPT($L197+$AB$5,$J197,$I197,$M197,$O197,$N197,$P197,$Q197-$C$3,$R197,7)*$H197)/100)</f>
        <v>-907.77013784361975</v>
      </c>
      <c r="AD197" s="456">
        <f>(_xll.xSPRDOPT($L197+$AB$5,$J197,$I197,$M197,$O197,$N197,$P197,$Q197-$C$3,$R197,9)/365)*$H197</f>
        <v>-762.77027001771819</v>
      </c>
      <c r="AE197">
        <f t="shared" si="198"/>
        <v>0</v>
      </c>
      <c r="AF197" s="456">
        <f t="shared" si="199"/>
        <v>38.130572877006898</v>
      </c>
      <c r="AG197" s="456">
        <f>((_xll.xSPRDOPT($L197,$J197,$I197,$M197,$O197,$N197,$P197,$Q197-$C$3,$R197,6)*$H197)/100)</f>
        <v>-77.22489802883797</v>
      </c>
      <c r="AH197" s="456">
        <f>((_xll.xSPRDOPT($L197,$J197,$I197,$M197,$O197,$N197,$P197,$Q197-$C$3,$R197,5)*$H197)/100)</f>
        <v>117.70966418963762</v>
      </c>
      <c r="AI197" s="456">
        <f>(((_xll.xSPRDOPT($L197,$J197,$I197,$M197,$O197,$N197,$P197,$Q197-$C$3,$R197,4)*$H197)/10000)/100)-AB197</f>
        <v>7.968212229767957E-3</v>
      </c>
      <c r="AJ197" s="456"/>
      <c r="AK197" s="456"/>
      <c r="AL197" s="456"/>
      <c r="AM197" s="472"/>
      <c r="CC197" s="141">
        <f t="shared" si="252"/>
        <v>36770</v>
      </c>
      <c r="CD197" s="234">
        <f>_xll.xSPRDOPT((VLOOKUP(G197,NGPrices,2,FALSE)+HLOOKUP(D197,Prices,VLOOKUP(G197,move_down,2,FALSE),FALSE)),VLOOKUP(G197,NGPrices,2,FALSE),I197,VLOOKUP(G197,NGPREVPRICES,4,FALSE),HLOOKUP(D197,PREVVOLS,VLOOKUP(G197,MOVE_DOWN2,2,FALSE),FALSE),VLOOKUP(G197,NGPREVPRICES,3,FALSE),HLOOKUP(D197,Correllate,VLOOKUP(G197,CorMove,2,FALSE),FALSE),Q197-$CD$3,R197,$CD$5)*H197-CJ197</f>
        <v>0</v>
      </c>
      <c r="CE197" s="234">
        <f>_xll.xSPRDOPT((VLOOKUP(G197,NGPREVPRICES,2,FALSE)+HLOOKUP(D197,PREVCURVES,VLOOKUP(G197,MOVE_DOWN2,2,FALSE),FALSE)),VLOOKUP(G197,NGPREVPRICES,2,FALSE),CK197,VLOOKUP(G197,NGPrices,4,FALSE),HLOOKUP(D197,PREVVOLS,VLOOKUP(G197,MOVE_DOWN2,2,FALSE),FALSE),VLOOKUP(G197,NGPREVPRICES,3,FALSE),HLOOKUP(D197,Correllate,VLOOKUP(G197,CorMove,2,FALSE),FALSE),Q197-$CD$3,R197,$CJ$5)*H197-CJ197</f>
        <v>0</v>
      </c>
      <c r="CF197" s="10">
        <f t="shared" si="245"/>
        <v>-0.47234229682180739</v>
      </c>
      <c r="CG197" s="234">
        <f>_xll.xSPRDOPT((VLOOKUP(G197,NGPREVPRICES,2,FALSE)+HLOOKUP(D197,PREVCURVES,VLOOKUP(G197,MOVE_DOWN2,2,FALSE),FALSE)),VLOOKUP(G197,NGPREVPRICES,2,FALSE),CK197,VLOOKUP(G197,NGPREVPRICES,4,FALSE),HLOOKUP(D197,VOLS,VLOOKUP(G197,move_down,2,FALSE),FALSE),VLOOKUP(G197,NGPrices,3,FALSE),HLOOKUP(D197,Correllate,VLOOKUP(G197,CorMove,2,FALSE),FALSE),Q197-$CD$3,R197,$CJ$5)*H197-CJ197</f>
        <v>0</v>
      </c>
      <c r="CH197" s="234">
        <f>_xll.xSPRDOPT((VLOOKUP(G197,NGPREVPRICES,2,FALSE)+HLOOKUP(D197,PREVCURVES,VLOOKUP(G197,MOVE_DOWN2,2,FALSE),FALSE)),VLOOKUP(G197,NGPREVPRICES,2,FALSE),CK197,VLOOKUP(G197,NGPREVPRICES,4,FALSE),HLOOKUP(D197,PREVVOLS,VLOOKUP(G197,MOVE_DOWN2,2,FALSE),FALSE),VLOOKUP(G197,NGPREVPRICES,3,FALSE),HLOOKUP(D197,Correllate,VLOOKUP(G197,CorMove,2,FALSE),FALSE),Q197-$C$3,R197,$CJ$5)*H197-CJ197</f>
        <v>-634.74324920991694</v>
      </c>
      <c r="CI197" s="234">
        <f t="shared" si="246"/>
        <v>-635.21559150673875</v>
      </c>
      <c r="CJ197" s="234">
        <f>_xll.xSPRDOPT((VLOOKUP(G197,NGPREVPRICES,2,FALSE)+HLOOKUP(D197,PREVCURVES,VLOOKUP(G197,MOVE_DOWN2,2,FALSE),FALSE)),VLOOKUP(G197,NGPREVPRICES,2,FALSE),CK197,VLOOKUP(G197,NGPREVPRICES,4,FALSE),HLOOKUP(D197,PREVVOLS,VLOOKUP(G197,MOVE_DOWN2,2,FALSE),FALSE),VLOOKUP(G197,NGPREVPRICES,3,FALSE),HLOOKUP(D197,Correllate,VLOOKUP(G197,CorMove,2,FALSE),FALSE),Q197-$CD$3,R197,$CJ$5)*H197</f>
        <v>2592.0723512628656</v>
      </c>
      <c r="CK197" s="235">
        <f t="shared" si="253"/>
        <v>0.30249999999999999</v>
      </c>
      <c r="CL197" s="234"/>
      <c r="CM197" t="str">
        <f t="shared" si="247"/>
        <v>36770Curve Shift/Gamma</v>
      </c>
      <c r="CN197" t="str">
        <f t="shared" si="248"/>
        <v>36770Rho</v>
      </c>
      <c r="CO197" t="str">
        <f t="shared" si="249"/>
        <v>36770Drift</v>
      </c>
      <c r="CP197" t="str">
        <f t="shared" si="250"/>
        <v>36770Vega</v>
      </c>
      <c r="CQ197" t="str">
        <f t="shared" si="251"/>
        <v>36770Theta</v>
      </c>
    </row>
    <row r="198" spans="1:95" ht="12" customHeight="1" x14ac:dyDescent="0.25">
      <c r="A198" s="140" t="s">
        <v>277</v>
      </c>
      <c r="B198" t="s">
        <v>250</v>
      </c>
      <c r="C198" t="s">
        <v>415</v>
      </c>
      <c r="D198" s="4" t="s">
        <v>10</v>
      </c>
      <c r="E198" t="s">
        <v>20</v>
      </c>
      <c r="F198" t="s">
        <v>1</v>
      </c>
      <c r="G198" s="5">
        <v>36800</v>
      </c>
      <c r="H198" s="130">
        <v>310000</v>
      </c>
      <c r="I198">
        <v>0.16750000000000001</v>
      </c>
      <c r="J198" s="53">
        <f t="shared" si="200"/>
        <v>4.6920000000000002</v>
      </c>
      <c r="K198" s="7">
        <f t="shared" si="201"/>
        <v>0.185</v>
      </c>
      <c r="L198" s="53">
        <f t="shared" si="202"/>
        <v>4.8769999999999998</v>
      </c>
      <c r="M198" s="157">
        <f t="shared" si="238"/>
        <v>6.8050789414654006E-2</v>
      </c>
      <c r="N198" s="4">
        <f t="shared" si="239"/>
        <v>0.57499999999999996</v>
      </c>
      <c r="O198" s="4">
        <f t="shared" si="240"/>
        <v>0.56399999999999995</v>
      </c>
      <c r="P198" s="9">
        <f t="shared" si="241"/>
        <v>0.995</v>
      </c>
      <c r="Q198" s="5">
        <f t="shared" si="194"/>
        <v>36797</v>
      </c>
      <c r="R198" s="4">
        <f t="shared" si="242"/>
        <v>0</v>
      </c>
      <c r="S198" s="158">
        <f>_xll.xSPRDOPT($L198,$J198,$I198,$M198,$O198,$N198,$P198,$Q198-$C$3,$R198,0)</f>
        <v>2.3444360988145646E-2</v>
      </c>
      <c r="T198" s="159">
        <f>_xll.xSPRDOPT($L198,$J198,$I198,$M198,$O198,$N198,$P198,$Q198-$C$3,$R198,1)*H198</f>
        <v>-126129.69115530858</v>
      </c>
      <c r="U198" s="160">
        <f t="shared" si="243"/>
        <v>7267.7519063251502</v>
      </c>
      <c r="V198" s="159">
        <f>_xll.xSPRDOPT($L198,$J198,$I198,$M198,$O198,$N198,$P198,$Q198-$C$3,$R198,2)*H198</f>
        <v>128003.59543446725</v>
      </c>
      <c r="W198" s="159">
        <f t="shared" si="244"/>
        <v>1873.9042791586689</v>
      </c>
      <c r="X198" s="51" t="str">
        <f t="shared" si="228"/>
        <v>36800IF-CGT/APPALAC</v>
      </c>
      <c r="Y198" s="418">
        <f t="shared" si="229"/>
        <v>31</v>
      </c>
      <c r="Z198" s="456">
        <f t="shared" si="230"/>
        <v>-0.40686997146873738</v>
      </c>
      <c r="AA198" s="456">
        <f>_xll.xSPRDOPT($L198,$J198,$I198,$M198,$O198,$N198,$P198,$Q198-$C$3,$R198,3)</f>
        <v>4.8757654619569424</v>
      </c>
      <c r="AB198" s="456">
        <f>((_xll.xSPRDOPT($L198+AB$5,$J198,$I198,$M198,$O198,$N198,$P198,$Q198-$C$3,$R198,3)*$H198)/10000)/100</f>
        <v>1.5114872932066521</v>
      </c>
      <c r="AC198" s="456">
        <f>((_xll.xSPRDOPT($L198+$AB$5,$J198,$I198,$M198,$O198,$N198,$P198,$Q198-$C$3,$R198,7)*$H198)/100)</f>
        <v>-9245.1122360963527</v>
      </c>
      <c r="AD198" s="456">
        <f>(_xll.xSPRDOPT($L198+$AB$5,$J198,$I198,$M198,$O198,$N198,$P198,$Q198-$C$3,$R198,9)/365)*$H198</f>
        <v>-157.2060364204805</v>
      </c>
      <c r="AE198">
        <f t="shared" si="198"/>
        <v>0</v>
      </c>
      <c r="AF198" s="456">
        <f t="shared" si="199"/>
        <v>165.34172418274645</v>
      </c>
      <c r="AG198" s="456">
        <f>((_xll.xSPRDOPT($L198,$J198,$I198,$M198,$O198,$N198,$P198,$Q198-$C$3,$R198,6)*$H198)/100)</f>
        <v>-172.00445431721121</v>
      </c>
      <c r="AH198" s="456">
        <f>((_xll.xSPRDOPT($L198,$J198,$I198,$M198,$O198,$N198,$P198,$Q198-$C$3,$R198,5)*$H198)/100)</f>
        <v>343.92562524375114</v>
      </c>
      <c r="AI198" s="456">
        <f>(((_xll.xSPRDOPT($L198,$J198,$I198,$M198,$O198,$N198,$P198,$Q198-$C$3,$R198,4)*$H198)/10000)/100)-AB198</f>
        <v>1.0672977009544171E-2</v>
      </c>
      <c r="AJ198" s="456"/>
      <c r="AK198" s="456"/>
      <c r="AL198" s="456"/>
      <c r="AM198" s="472"/>
      <c r="CC198" s="141">
        <f t="shared" si="252"/>
        <v>36800</v>
      </c>
      <c r="CD198" s="234">
        <f>_xll.xSPRDOPT((VLOOKUP(G198,NGPrices,2,FALSE)+HLOOKUP(D198,Prices,VLOOKUP(G198,move_down,2,FALSE),FALSE)),VLOOKUP(G198,NGPrices,2,FALSE),I198,VLOOKUP(G198,NGPREVPRICES,4,FALSE),HLOOKUP(D198,PREVVOLS,VLOOKUP(G198,MOVE_DOWN2,2,FALSE),FALSE),VLOOKUP(G198,NGPREVPRICES,3,FALSE),HLOOKUP(D198,Correllate,VLOOKUP(G198,CorMove,2,FALSE),FALSE),Q198-$CD$3,R198,$CD$5)*H198-CJ198</f>
        <v>0</v>
      </c>
      <c r="CE198" s="234">
        <f>_xll.xSPRDOPT((VLOOKUP(G198,NGPREVPRICES,2,FALSE)+HLOOKUP(D198,PREVCURVES,VLOOKUP(G198,MOVE_DOWN2,2,FALSE),FALSE)),VLOOKUP(G198,NGPREVPRICES,2,FALSE),CK198,VLOOKUP(G198,NGPrices,4,FALSE),HLOOKUP(D198,PREVVOLS,VLOOKUP(G198,MOVE_DOWN2,2,FALSE),FALSE),VLOOKUP(G198,NGPREVPRICES,3,FALSE),HLOOKUP(D198,Correllate,VLOOKUP(G198,CorMove,2,FALSE),FALSE),Q198-$CD$3,R198,$CJ$5)*H198-CJ198</f>
        <v>0</v>
      </c>
      <c r="CF198" s="10">
        <f t="shared" si="245"/>
        <v>-1.368581581208673</v>
      </c>
      <c r="CG198" s="234">
        <f>_xll.xSPRDOPT((VLOOKUP(G198,NGPREVPRICES,2,FALSE)+HLOOKUP(D198,PREVCURVES,VLOOKUP(G198,MOVE_DOWN2,2,FALSE),FALSE)),VLOOKUP(G198,NGPREVPRICES,2,FALSE),CK198,VLOOKUP(G198,NGPREVPRICES,4,FALSE),HLOOKUP(D198,VOLS,VLOOKUP(G198,move_down,2,FALSE),FALSE),VLOOKUP(G198,NGPrices,3,FALSE),HLOOKUP(D198,Correllate,VLOOKUP(G198,CorMove,2,FALSE),FALSE),Q198-$CD$3,R198,$CJ$5)*H198-CJ198</f>
        <v>0</v>
      </c>
      <c r="CH198" s="234">
        <f>_xll.xSPRDOPT((VLOOKUP(G198,NGPREVPRICES,2,FALSE)+HLOOKUP(D198,PREVCURVES,VLOOKUP(G198,MOVE_DOWN2,2,FALSE),FALSE)),VLOOKUP(G198,NGPREVPRICES,2,FALSE),CK198,VLOOKUP(G198,NGPREVPRICES,4,FALSE),HLOOKUP(D198,PREVVOLS,VLOOKUP(G198,MOVE_DOWN2,2,FALSE),FALSE),VLOOKUP(G198,NGPREVPRICES,3,FALSE),HLOOKUP(D198,Correllate,VLOOKUP(G198,CorMove,2,FALSE),FALSE),Q198-$C$3,R198,$CJ$5)*H198-CJ198</f>
        <v>-155.83896998430464</v>
      </c>
      <c r="CI198" s="234">
        <f t="shared" si="246"/>
        <v>-157.20755156551331</v>
      </c>
      <c r="CJ198" s="234">
        <f>_xll.xSPRDOPT((VLOOKUP(G198,NGPREVPRICES,2,FALSE)+HLOOKUP(D198,PREVCURVES,VLOOKUP(G198,MOVE_DOWN2,2,FALSE),FALSE)),VLOOKUP(G198,NGPREVPRICES,2,FALSE),CK198,VLOOKUP(G198,NGPREVPRICES,4,FALSE),HLOOKUP(D198,PREVVOLS,VLOOKUP(G198,MOVE_DOWN2,2,FALSE),FALSE),VLOOKUP(G198,NGPREVPRICES,3,FALSE),HLOOKUP(D198,Correllate,VLOOKUP(G198,CorMove,2,FALSE),FALSE),Q198-$CD$3,R198,$CJ$5)*H198</f>
        <v>7423.5908763094549</v>
      </c>
      <c r="CK198" s="235">
        <f t="shared" si="253"/>
        <v>0.16750000000000001</v>
      </c>
      <c r="CL198" s="234"/>
      <c r="CM198" t="str">
        <f t="shared" si="247"/>
        <v>36800Curve Shift/Gamma</v>
      </c>
      <c r="CN198" t="str">
        <f t="shared" si="248"/>
        <v>36800Rho</v>
      </c>
      <c r="CO198" t="str">
        <f t="shared" si="249"/>
        <v>36800Drift</v>
      </c>
      <c r="CP198" t="str">
        <f t="shared" si="250"/>
        <v>36800Vega</v>
      </c>
      <c r="CQ198" t="str">
        <f t="shared" si="251"/>
        <v>36800Theta</v>
      </c>
    </row>
    <row r="199" spans="1:95" ht="12" customHeight="1" x14ac:dyDescent="0.25">
      <c r="A199" s="140" t="s">
        <v>277</v>
      </c>
      <c r="B199" t="s">
        <v>250</v>
      </c>
      <c r="C199" t="s">
        <v>415</v>
      </c>
      <c r="D199" s="4" t="s">
        <v>10</v>
      </c>
      <c r="E199" t="s">
        <v>20</v>
      </c>
      <c r="F199" t="s">
        <v>1</v>
      </c>
      <c r="G199" s="5">
        <v>36770</v>
      </c>
      <c r="H199" s="130">
        <v>300000</v>
      </c>
      <c r="I199">
        <v>0.16750000000000001</v>
      </c>
      <c r="J199" s="53">
        <f t="shared" si="200"/>
        <v>4.6849999999999996</v>
      </c>
      <c r="K199" s="7">
        <f t="shared" si="201"/>
        <v>0.17</v>
      </c>
      <c r="L199" s="53">
        <f t="shared" si="202"/>
        <v>4.8549999999999995</v>
      </c>
      <c r="M199" s="157">
        <f t="shared" si="238"/>
        <v>6.7216196212184998E-2</v>
      </c>
      <c r="N199" s="4">
        <f t="shared" si="239"/>
        <v>0.4</v>
      </c>
      <c r="O199" s="4">
        <f t="shared" si="240"/>
        <v>0.39200000000000002</v>
      </c>
      <c r="P199" s="9">
        <f t="shared" si="241"/>
        <v>0.995</v>
      </c>
      <c r="Q199" s="5">
        <f t="shared" ref="Q199:Q262" si="254">WORKDAY(G199,-2)</f>
        <v>36768</v>
      </c>
      <c r="R199" s="4">
        <f t="shared" si="242"/>
        <v>0</v>
      </c>
      <c r="S199" s="158">
        <f>_xll.xSPRDOPT($L199,$J199,$I199,$M199,$O199,$N199,$P199,$Q199-$C$3,$R199,0)</f>
        <v>2.859542735050763E-3</v>
      </c>
      <c r="T199" s="159">
        <f>_xll.xSPRDOPT($L199,$J199,$I199,$M199,$O199,$N199,$P199,$Q199-$C$3,$R199,1)*H199</f>
        <v>-120217.29585598118</v>
      </c>
      <c r="U199" s="160">
        <f t="shared" si="243"/>
        <v>857.86282051522892</v>
      </c>
      <c r="V199" s="159">
        <f>_xll.xSPRDOPT($L199,$J199,$I199,$M199,$O199,$N199,$P199,$Q199-$C$3,$R199,2)*H199</f>
        <v>120447.80879468314</v>
      </c>
      <c r="W199" s="159">
        <f t="shared" si="244"/>
        <v>230.51293870195514</v>
      </c>
      <c r="X199" s="51" t="str">
        <f t="shared" ref="X199:X262" si="255">CONCATENATE(G199,D199)</f>
        <v>36770IF-CGT/APPALAC</v>
      </c>
      <c r="Y199" s="418">
        <f t="shared" ref="Y199:Y262" si="256">H199/10000</f>
        <v>30</v>
      </c>
      <c r="Z199" s="456">
        <f t="shared" ref="Z199:Z262" si="257">T199/H199</f>
        <v>-0.40072431951993726</v>
      </c>
      <c r="AA199" s="456">
        <f>_xll.xSPRDOPT($L199,$J199,$I199,$M199,$O199,$N199,$P199,$Q199-$C$3,$R199,3)</f>
        <v>38.67078157672546</v>
      </c>
      <c r="AB199" s="456">
        <f>((_xll.xSPRDOPT($L199+AB$5,$J199,$I199,$M199,$O199,$N199,$P199,$Q199-$C$3,$R199,3)*$H199)/10000)/100</f>
        <v>11.601234473017639</v>
      </c>
      <c r="AC199" s="456">
        <f>((_xll.xSPRDOPT($L199+$AB$5,$J199,$I199,$M199,$O199,$N199,$P199,$Q199-$C$3,$R199,7)*$H199)/100)</f>
        <v>-1133.3959725181305</v>
      </c>
      <c r="AD199" s="456">
        <f>(_xll.xSPRDOPT($L199+$AB$5,$J199,$I199,$M199,$O199,$N199,$P199,$Q199-$C$3,$R199,9)/365)*$H199</f>
        <v>-579.61640625819769</v>
      </c>
      <c r="AE199">
        <f t="shared" ref="AE199:AE262" si="258">CD199</f>
        <v>0</v>
      </c>
      <c r="AF199" s="456">
        <f t="shared" ref="AF199:AF262" si="259">((O199/N199)*AH199)+AG199</f>
        <v>28.968534208518047</v>
      </c>
      <c r="AG199" s="456">
        <f>((_xll.xSPRDOPT($L199,$J199,$I199,$M199,$O199,$N199,$P199,$Q199-$C$3,$R199,6)*$H199)/100)</f>
        <v>-27.856199228471599</v>
      </c>
      <c r="AH199" s="456">
        <f>((_xll.xSPRDOPT($L199,$J199,$I199,$M199,$O199,$N199,$P199,$Q199-$C$3,$R199,5)*$H199)/100)</f>
        <v>57.984421874479231</v>
      </c>
      <c r="AI199" s="456">
        <f>(((_xll.xSPRDOPT($L199,$J199,$I199,$M199,$O199,$N199,$P199,$Q199-$C$3,$R199,4)*$H199)/10000)/100)-AB199</f>
        <v>1.1566398936331268E-2</v>
      </c>
      <c r="AJ199" s="456"/>
      <c r="AK199" s="456"/>
      <c r="AL199" s="456"/>
      <c r="AM199" s="472"/>
      <c r="CC199" s="141">
        <f t="shared" si="252"/>
        <v>36770</v>
      </c>
      <c r="CD199" s="234">
        <f>_xll.xSPRDOPT((VLOOKUP(G199,NGPrices,2,FALSE)+HLOOKUP(D199,Prices,VLOOKUP(G199,move_down,2,FALSE),FALSE)),VLOOKUP(G199,NGPrices,2,FALSE),I199,VLOOKUP(G199,NGPREVPRICES,4,FALSE),HLOOKUP(D199,PREVVOLS,VLOOKUP(G199,MOVE_DOWN2,2,FALSE),FALSE),VLOOKUP(G199,NGPREVPRICES,3,FALSE),HLOOKUP(D199,Correllate,VLOOKUP(G199,CorMove,2,FALSE),FALSE),Q199-$CD$3,R199,$CD$5)*H199-CJ199</f>
        <v>0</v>
      </c>
      <c r="CE199" s="234">
        <f>_xll.xSPRDOPT((VLOOKUP(G199,NGPREVPRICES,2,FALSE)+HLOOKUP(D199,PREVCURVES,VLOOKUP(G199,MOVE_DOWN2,2,FALSE),FALSE)),VLOOKUP(G199,NGPREVPRICES,2,FALSE),CK199,VLOOKUP(G199,NGPrices,4,FALSE),HLOOKUP(D199,PREVVOLS,VLOOKUP(G199,MOVE_DOWN2,2,FALSE),FALSE),VLOOKUP(G199,NGPREVPRICES,3,FALSE),HLOOKUP(D199,Correllate,VLOOKUP(G199,CorMove,2,FALSE),FALSE),Q199-$CD$3,R199,$CJ$5)*H199-CJ199</f>
        <v>0</v>
      </c>
      <c r="CF199" s="10">
        <f t="shared" si="245"/>
        <v>-0.24454995322503237</v>
      </c>
      <c r="CG199" s="234">
        <f>_xll.xSPRDOPT((VLOOKUP(G199,NGPREVPRICES,2,FALSE)+HLOOKUP(D199,PREVCURVES,VLOOKUP(G199,MOVE_DOWN2,2,FALSE),FALSE)),VLOOKUP(G199,NGPREVPRICES,2,FALSE),CK199,VLOOKUP(G199,NGPREVPRICES,4,FALSE),HLOOKUP(D199,VOLS,VLOOKUP(G199,move_down,2,FALSE),FALSE),VLOOKUP(G199,NGPrices,3,FALSE),HLOOKUP(D199,Correllate,VLOOKUP(G199,CorMove,2,FALSE),FALSE),Q199-$CD$3,R199,$CJ$5)*H199-CJ199</f>
        <v>0</v>
      </c>
      <c r="CH199" s="234">
        <f>_xll.xSPRDOPT((VLOOKUP(G199,NGPREVPRICES,2,FALSE)+HLOOKUP(D199,PREVCURVES,VLOOKUP(G199,MOVE_DOWN2,2,FALSE),FALSE)),VLOOKUP(G199,NGPREVPRICES,2,FALSE),CK199,VLOOKUP(G199,NGPREVPRICES,4,FALSE),HLOOKUP(D199,PREVVOLS,VLOOKUP(G199,MOVE_DOWN2,2,FALSE),FALSE),VLOOKUP(G199,NGPREVPRICES,3,FALSE),HLOOKUP(D199,Correllate,VLOOKUP(G199,CorMove,2,FALSE),FALSE),Q199-$C$3,R199,$CJ$5)*H199-CJ199</f>
        <v>-484.15371393812632</v>
      </c>
      <c r="CI199" s="234">
        <f t="shared" si="246"/>
        <v>-484.39826389135135</v>
      </c>
      <c r="CJ199" s="234">
        <f>_xll.xSPRDOPT((VLOOKUP(G199,NGPREVPRICES,2,FALSE)+HLOOKUP(D199,PREVCURVES,VLOOKUP(G199,MOVE_DOWN2,2,FALSE),FALSE)),VLOOKUP(G199,NGPREVPRICES,2,FALSE),CK199,VLOOKUP(G199,NGPREVPRICES,4,FALSE),HLOOKUP(D199,PREVVOLS,VLOOKUP(G199,MOVE_DOWN2,2,FALSE),FALSE),VLOOKUP(G199,NGPREVPRICES,3,FALSE),HLOOKUP(D199,Correllate,VLOOKUP(G199,CorMove,2,FALSE),FALSE),Q199-$CD$3,R199,$CJ$5)*H199</f>
        <v>1342.0165344533552</v>
      </c>
      <c r="CK199" s="235">
        <f t="shared" si="253"/>
        <v>0.16750000000000001</v>
      </c>
      <c r="CL199" s="234"/>
      <c r="CM199" t="str">
        <f t="shared" si="247"/>
        <v>36770Curve Shift/Gamma</v>
      </c>
      <c r="CN199" t="str">
        <f t="shared" si="248"/>
        <v>36770Rho</v>
      </c>
      <c r="CO199" t="str">
        <f t="shared" si="249"/>
        <v>36770Drift</v>
      </c>
      <c r="CP199" t="str">
        <f t="shared" si="250"/>
        <v>36770Vega</v>
      </c>
      <c r="CQ199" t="str">
        <f t="shared" si="251"/>
        <v>36770Theta</v>
      </c>
    </row>
    <row r="200" spans="1:95" ht="12" customHeight="1" x14ac:dyDescent="0.25">
      <c r="A200" s="384" t="s">
        <v>268</v>
      </c>
      <c r="B200" t="s">
        <v>250</v>
      </c>
      <c r="C200" t="s">
        <v>375</v>
      </c>
      <c r="D200" s="4" t="s">
        <v>190</v>
      </c>
      <c r="E200" t="s">
        <v>20</v>
      </c>
      <c r="F200" t="s">
        <v>21</v>
      </c>
      <c r="G200" s="5">
        <v>36800</v>
      </c>
      <c r="H200" s="130">
        <v>155000</v>
      </c>
      <c r="I200">
        <v>0.1</v>
      </c>
      <c r="J200" s="53">
        <f t="shared" ref="J200:J263" si="260">VLOOKUP(G200,NGPrices,2,FALSE)</f>
        <v>4.6920000000000002</v>
      </c>
      <c r="K200" s="7">
        <f t="shared" ref="K200:K263" si="261">HLOOKUP(D200,Prices,VLOOKUP(G200,move_down,2,FALSE),FALSE)+VLOOKUP(G200,CHANGE,HLOOKUP(D200,CHANGE,2,FALSE),FALSE)</f>
        <v>1.99</v>
      </c>
      <c r="L200" s="53">
        <f t="shared" ref="L200:L263" si="262">K200+J200</f>
        <v>6.6820000000000004</v>
      </c>
      <c r="M200" s="157">
        <f t="shared" si="238"/>
        <v>6.8050789414654006E-2</v>
      </c>
      <c r="N200" s="4">
        <f t="shared" si="239"/>
        <v>0.57499999999999996</v>
      </c>
      <c r="O200" s="4">
        <f t="shared" si="240"/>
        <v>0.54100000000000004</v>
      </c>
      <c r="P200" s="9">
        <f t="shared" si="241"/>
        <v>0.83</v>
      </c>
      <c r="Q200" s="5">
        <f t="shared" si="254"/>
        <v>36797</v>
      </c>
      <c r="R200" s="4">
        <f t="shared" si="242"/>
        <v>1</v>
      </c>
      <c r="S200" s="158">
        <f>_xll.xSPRDOPT($L200,$J200,$I200,$M200,$O200,$N200,$P200,$Q200-$C$3,$R200,0)</f>
        <v>1.8794867815216949</v>
      </c>
      <c r="T200" s="159">
        <f>_xll.xSPRDOPT($L200,$J200,$I200,$M200,$O200,$N200,$P200,$Q200-$C$3,$R200,1)*H200</f>
        <v>154114.94693052355</v>
      </c>
      <c r="U200" s="160">
        <f t="shared" si="243"/>
        <v>291320.45113586274</v>
      </c>
      <c r="V200" s="159">
        <f>_xll.xSPRDOPT($L200,$J200,$I200,$M200,$O200,$N200,$P200,$Q200-$C$3,$R200,2)*H200</f>
        <v>-154105.81243869604</v>
      </c>
      <c r="W200" s="159">
        <f t="shared" si="244"/>
        <v>9.1344918275135569</v>
      </c>
      <c r="X200" s="51" t="str">
        <f t="shared" si="255"/>
        <v>36800NGI-SOCAL</v>
      </c>
      <c r="Y200" s="418">
        <f t="shared" si="256"/>
        <v>15.5</v>
      </c>
      <c r="Z200" s="456">
        <f t="shared" si="257"/>
        <v>0.99428998019692616</v>
      </c>
      <c r="AA200" s="456">
        <f>_xll.xSPRDOPT($L200,$J200,$I200,$M200,$O200,$N200,$P200,$Q200-$C$3,$R200,3)</f>
        <v>8.5470943476702896E-4</v>
      </c>
      <c r="AB200" s="456">
        <f>((_xll.xSPRDOPT($L200+AB$5,$J200,$I200,$M200,$O200,$N200,$P200,$Q200-$C$3,$R200,3)*$H200)/10000)/100</f>
        <v>1.3247996238888949E-4</v>
      </c>
      <c r="AC200" s="456">
        <f>((_xll.xSPRDOPT($L200+$AB$5,$J200,$I200,$M200,$O200,$N200,$P200,$Q200-$C$3,$R200,7)*$H200)/100)</f>
        <v>-1.4845775197112545</v>
      </c>
      <c r="AD200" s="456">
        <f>(_xll.xSPRDOPT($L200+$AB$5,$J200,$I200,$M200,$O200,$N200,$P200,$Q200-$C$3,$R200,9)/365)*$H200</f>
        <v>53.467281694298528</v>
      </c>
      <c r="AE200">
        <f t="shared" si="258"/>
        <v>0</v>
      </c>
      <c r="AF200" s="456">
        <f t="shared" si="259"/>
        <v>0.88286036651518629</v>
      </c>
      <c r="AG200" s="456">
        <f>((_xll.xSPRDOPT($L200,$J200,$I200,$M200,$O200,$N200,$P200,$Q200-$C$3,$R200,6)*$H200)/100)</f>
        <v>0.55496365045498608</v>
      </c>
      <c r="AH200" s="456">
        <f>((_xll.xSPRDOPT($L200,$J200,$I200,$M200,$O200,$N200,$P200,$Q200-$C$3,$R200,5)*$H200)/100)</f>
        <v>0.34850390339115545</v>
      </c>
      <c r="AI200" s="456">
        <f>(((_xll.xSPRDOPT($L200,$J200,$I200,$M200,$O200,$N200,$P200,$Q200-$C$3,$R200,4)*$H200)/10000)/100)-AB200</f>
        <v>1.2708952658271256E-4</v>
      </c>
      <c r="AJ200" s="456"/>
      <c r="AK200" s="456"/>
      <c r="AL200" s="456"/>
      <c r="AM200" s="472"/>
      <c r="CC200" s="141">
        <f t="shared" si="252"/>
        <v>36800</v>
      </c>
      <c r="CD200" s="234">
        <f>_xll.xSPRDOPT((VLOOKUP(G200,NGPrices,2,FALSE)+HLOOKUP(D200,Prices,VLOOKUP(G200,move_down,2,FALSE),FALSE)),VLOOKUP(G200,NGPrices,2,FALSE),I200,VLOOKUP(G200,NGPREVPRICES,4,FALSE),HLOOKUP(D200,PREVVOLS,VLOOKUP(G200,MOVE_DOWN2,2,FALSE),FALSE),VLOOKUP(G200,NGPREVPRICES,3,FALSE),HLOOKUP(D200,Correllate,VLOOKUP(G200,CorMove,2,FALSE),FALSE),Q200-$CD$3,R200,$CD$5)*H200-CJ200</f>
        <v>0</v>
      </c>
      <c r="CE200" s="234">
        <f>_xll.xSPRDOPT((VLOOKUP(G200,NGPREVPRICES,2,FALSE)+HLOOKUP(D200,PREVCURVES,VLOOKUP(G200,MOVE_DOWN2,2,FALSE),FALSE)),VLOOKUP(G200,NGPREVPRICES,2,FALSE),CK200,VLOOKUP(G200,NGPrices,4,FALSE),HLOOKUP(D200,PREVVOLS,VLOOKUP(G200,MOVE_DOWN2,2,FALSE),FALSE),VLOOKUP(G200,NGPREVPRICES,3,FALSE),HLOOKUP(D200,Correllate,VLOOKUP(G200,CorMove,2,FALSE),FALSE),Q200-$CD$3,R200,$CJ$5)*H200-CJ200</f>
        <v>0</v>
      </c>
      <c r="CF200" s="10">
        <f t="shared" si="245"/>
        <v>-53.69676381390309</v>
      </c>
      <c r="CG200" s="234">
        <f>_xll.xSPRDOPT((VLOOKUP(G200,NGPREVPRICES,2,FALSE)+HLOOKUP(D200,PREVCURVES,VLOOKUP(G200,MOVE_DOWN2,2,FALSE),FALSE)),VLOOKUP(G200,NGPREVPRICES,2,FALSE),CK200,VLOOKUP(G200,NGPREVPRICES,4,FALSE),HLOOKUP(D200,VOLS,VLOOKUP(G200,move_down,2,FALSE),FALSE),VLOOKUP(G200,NGPrices,3,FALSE),HLOOKUP(D200,Correllate,VLOOKUP(G200,CorMove,2,FALSE),FALSE),Q200-$CD$3,R200,$CJ$5)*H200-CJ200</f>
        <v>0</v>
      </c>
      <c r="CH200" s="234">
        <f>_xll.xSPRDOPT((VLOOKUP(G200,NGPREVPRICES,2,FALSE)+HLOOKUP(D200,PREVCURVES,VLOOKUP(G200,MOVE_DOWN2,2,FALSE),FALSE)),VLOOKUP(G200,NGPREVPRICES,2,FALSE),CK200,VLOOKUP(G200,NGPREVPRICES,4,FALSE),HLOOKUP(D200,PREVVOLS,VLOOKUP(G200,MOVE_DOWN2,2,FALSE),FALSE),VLOOKUP(G200,NGPREVPRICES,3,FALSE),HLOOKUP(D200,Correllate,VLOOKUP(G200,CorMove,2,FALSE),FALSE),Q200-$C$3,R200,$CJ$5)*H200-CJ200</f>
        <v>53.338229006913025</v>
      </c>
      <c r="CI200" s="234">
        <f t="shared" si="246"/>
        <v>-0.35853480699006468</v>
      </c>
      <c r="CJ200" s="234">
        <f>_xll.xSPRDOPT((VLOOKUP(G200,NGPREVPRICES,2,FALSE)+HLOOKUP(D200,PREVCURVES,VLOOKUP(G200,MOVE_DOWN2,2,FALSE),FALSE)),VLOOKUP(G200,NGPREVPRICES,2,FALSE),CK200,VLOOKUP(G200,NGPREVPRICES,4,FALSE),HLOOKUP(D200,PREVVOLS,VLOOKUP(G200,MOVE_DOWN2,2,FALSE),FALSE),VLOOKUP(G200,NGPREVPRICES,3,FALSE),HLOOKUP(D200,Correllate,VLOOKUP(G200,CorMove,2,FALSE),FALSE),Q200-$CD$3,R200,$CJ$5)*H200</f>
        <v>291267.11290685582</v>
      </c>
      <c r="CK200" s="235">
        <f t="shared" si="253"/>
        <v>0.1</v>
      </c>
      <c r="CL200" s="234"/>
      <c r="CM200" t="str">
        <f t="shared" si="247"/>
        <v>36800Curve Shift/Gamma</v>
      </c>
      <c r="CN200" t="str">
        <f t="shared" si="248"/>
        <v>36800Rho</v>
      </c>
      <c r="CO200" t="str">
        <f t="shared" si="249"/>
        <v>36800Drift</v>
      </c>
      <c r="CP200" t="str">
        <f t="shared" si="250"/>
        <v>36800Vega</v>
      </c>
      <c r="CQ200" t="str">
        <f t="shared" si="251"/>
        <v>36800Theta</v>
      </c>
    </row>
    <row r="201" spans="1:95" ht="12" customHeight="1" x14ac:dyDescent="0.25">
      <c r="A201" s="384" t="s">
        <v>268</v>
      </c>
      <c r="B201" t="s">
        <v>250</v>
      </c>
      <c r="C201" t="s">
        <v>375</v>
      </c>
      <c r="D201" s="4" t="s">
        <v>190</v>
      </c>
      <c r="E201" t="s">
        <v>20</v>
      </c>
      <c r="F201" t="s">
        <v>21</v>
      </c>
      <c r="G201" s="5">
        <v>36770</v>
      </c>
      <c r="H201" s="130">
        <v>150000</v>
      </c>
      <c r="I201">
        <v>0.1</v>
      </c>
      <c r="J201" s="53">
        <f t="shared" si="260"/>
        <v>4.6849999999999996</v>
      </c>
      <c r="K201" s="7">
        <f t="shared" si="261"/>
        <v>2.5</v>
      </c>
      <c r="L201" s="53">
        <f t="shared" si="262"/>
        <v>7.1849999999999996</v>
      </c>
      <c r="M201" s="157">
        <f t="shared" si="238"/>
        <v>6.7216196212184998E-2</v>
      </c>
      <c r="N201" s="4">
        <f t="shared" si="239"/>
        <v>0.4</v>
      </c>
      <c r="O201" s="4">
        <f t="shared" si="240"/>
        <v>0.376</v>
      </c>
      <c r="P201" s="9">
        <f t="shared" si="241"/>
        <v>0.83</v>
      </c>
      <c r="Q201" s="5">
        <f t="shared" si="254"/>
        <v>36768</v>
      </c>
      <c r="R201" s="4">
        <f t="shared" si="242"/>
        <v>1</v>
      </c>
      <c r="S201" s="158">
        <f>_xll.xSPRDOPT($L201,$J201,$I201,$M201,$O201,$N201,$P201,$Q201-$C$3,$R201,0)</f>
        <v>2.3995586882912909</v>
      </c>
      <c r="T201" s="159">
        <f>_xll.xSPRDOPT($L201,$J201,$I201,$M201,$O201,$N201,$P201,$Q201-$C$3,$R201,1)*H201</f>
        <v>149972.41801327522</v>
      </c>
      <c r="U201" s="160">
        <f t="shared" si="243"/>
        <v>359933.80324369366</v>
      </c>
      <c r="V201" s="159">
        <f>_xll.xSPRDOPT($L201,$J201,$I201,$M201,$O201,$N201,$P201,$Q201-$C$3,$R201,2)*H201</f>
        <v>-149972.42400209891</v>
      </c>
      <c r="W201" s="159">
        <f t="shared" si="244"/>
        <v>-5.9888236864935607E-3</v>
      </c>
      <c r="X201" s="51" t="str">
        <f t="shared" si="255"/>
        <v>36770NGI-SOCAL</v>
      </c>
      <c r="Y201" s="418">
        <f t="shared" si="256"/>
        <v>15</v>
      </c>
      <c r="Z201" s="456">
        <f t="shared" si="257"/>
        <v>0.99981612008850151</v>
      </c>
      <c r="AA201" s="456">
        <f>_xll.xSPRDOPT($L201,$J201,$I201,$M201,$O201,$N201,$P201,$Q201-$C$3,$R201,3)</f>
        <v>9.2200115215252244E-270</v>
      </c>
      <c r="AB201" s="456">
        <f>((_xll.xSPRDOPT($L201+AB$5,$J201,$I201,$M201,$O201,$N201,$P201,$Q201-$C$3,$R201,3)*$H201)/10000)/100</f>
        <v>1.3830017282287836E-270</v>
      </c>
      <c r="AC201" s="456">
        <f>((_xll.xSPRDOPT($L201+$AB$5,$J201,$I201,$M201,$O201,$N201,$P201,$Q201-$C$3,$R201,7)*$H201)/100)</f>
        <v>0</v>
      </c>
      <c r="AD201" s="456">
        <f>(_xll.xSPRDOPT($L201+$AB$5,$J201,$I201,$M201,$O201,$N201,$P201,$Q201-$C$3,$R201,9)/365)*$H201</f>
        <v>66.283233938224456</v>
      </c>
      <c r="AE201">
        <f t="shared" si="258"/>
        <v>0</v>
      </c>
      <c r="AF201" s="456">
        <f t="shared" si="259"/>
        <v>1.19209766171346E-7</v>
      </c>
      <c r="AG201" s="456">
        <f>((_xll.xSPRDOPT($L201,$J201,$I201,$M201,$O201,$N201,$P201,$Q201-$C$3,$R201,6)*$H201)/100)</f>
        <v>1.6009576035408026E-6</v>
      </c>
      <c r="AH201" s="456">
        <f>((_xll.xSPRDOPT($L201,$J201,$I201,$M201,$O201,$N201,$P201,$Q201-$C$3,$R201,5)*$H201)/100)</f>
        <v>-1.5763274865632517E-6</v>
      </c>
      <c r="AI201" s="456">
        <f>(((_xll.xSPRDOPT($L201,$J201,$I201,$M201,$O201,$N201,$P201,$Q201-$C$3,$R201,4)*$H201)/10000)/100)-AB201</f>
        <v>-7.5951036943767158E-6</v>
      </c>
      <c r="AJ201" s="456"/>
      <c r="AK201" s="456"/>
      <c r="AL201" s="456"/>
      <c r="AM201" s="472"/>
      <c r="CC201" s="141">
        <f t="shared" si="252"/>
        <v>36770</v>
      </c>
      <c r="CD201" s="234">
        <f>_xll.xSPRDOPT((VLOOKUP(G201,NGPrices,2,FALSE)+HLOOKUP(D201,Prices,VLOOKUP(G201,move_down,2,FALSE),FALSE)),VLOOKUP(G201,NGPrices,2,FALSE),I201,VLOOKUP(G201,NGPREVPRICES,4,FALSE),HLOOKUP(D201,PREVVOLS,VLOOKUP(G201,MOVE_DOWN2,2,FALSE),FALSE),VLOOKUP(G201,NGPREVPRICES,3,FALSE),HLOOKUP(D201,Correllate,VLOOKUP(G201,CorMove,2,FALSE),FALSE),Q201-$CD$3,R201,$CD$5)*H201-CJ201</f>
        <v>0</v>
      </c>
      <c r="CE201" s="234">
        <f>_xll.xSPRDOPT((VLOOKUP(G201,NGPREVPRICES,2,FALSE)+HLOOKUP(D201,PREVCURVES,VLOOKUP(G201,MOVE_DOWN2,2,FALSE),FALSE)),VLOOKUP(G201,NGPREVPRICES,2,FALSE),CK201,VLOOKUP(G201,NGPrices,4,FALSE),HLOOKUP(D201,PREVVOLS,VLOOKUP(G201,MOVE_DOWN2,2,FALSE),FALSE),VLOOKUP(G201,NGPREVPRICES,3,FALSE),HLOOKUP(D201,Correllate,VLOOKUP(G201,CorMove,2,FALSE),FALSE),Q201-$CD$3,R201,$CJ$5)*H201-CJ201</f>
        <v>0</v>
      </c>
      <c r="CF201" s="10">
        <f t="shared" si="245"/>
        <v>-65.577133747225162</v>
      </c>
      <c r="CG201" s="234">
        <f>_xll.xSPRDOPT((VLOOKUP(G201,NGPREVPRICES,2,FALSE)+HLOOKUP(D201,PREVCURVES,VLOOKUP(G201,MOVE_DOWN2,2,FALSE),FALSE)),VLOOKUP(G201,NGPREVPRICES,2,FALSE),CK201,VLOOKUP(G201,NGPREVPRICES,4,FALSE),HLOOKUP(D201,VOLS,VLOOKUP(G201,move_down,2,FALSE),FALSE),VLOOKUP(G201,NGPrices,3,FALSE),HLOOKUP(D201,Correllate,VLOOKUP(G201,CorMove,2,FALSE),FALSE),Q201-$CD$3,R201,$CJ$5)*H201-CJ201</f>
        <v>0</v>
      </c>
      <c r="CH201" s="234">
        <f>_xll.xSPRDOPT((VLOOKUP(G201,NGPREVPRICES,2,FALSE)+HLOOKUP(D201,PREVCURVES,VLOOKUP(G201,MOVE_DOWN2,2,FALSE),FALSE)),VLOOKUP(G201,NGPREVPRICES,2,FALSE),CK201,VLOOKUP(G201,NGPREVPRICES,4,FALSE),HLOOKUP(D201,PREVVOLS,VLOOKUP(G201,MOVE_DOWN2,2,FALSE),FALSE),VLOOKUP(G201,NGPREVPRICES,3,FALSE),HLOOKUP(D201,Correllate,VLOOKUP(G201,CorMove,2,FALSE),FALSE),Q201-$C$3,R201,$CJ$5)*H201-CJ201</f>
        <v>66.231771090824623</v>
      </c>
      <c r="CI201" s="234">
        <f t="shared" si="246"/>
        <v>0.65463734359946102</v>
      </c>
      <c r="CJ201" s="234">
        <f>_xll.xSPRDOPT((VLOOKUP(G201,NGPREVPRICES,2,FALSE)+HLOOKUP(D201,PREVCURVES,VLOOKUP(G201,MOVE_DOWN2,2,FALSE),FALSE)),VLOOKUP(G201,NGPREVPRICES,2,FALSE),CK201,VLOOKUP(G201,NGPREVPRICES,4,FALSE),HLOOKUP(D201,PREVVOLS,VLOOKUP(G201,MOVE_DOWN2,2,FALSE),FALSE),VLOOKUP(G201,NGPREVPRICES,3,FALSE),HLOOKUP(D201,Correllate,VLOOKUP(G201,CorMove,2,FALSE),FALSE),Q201-$CD$3,R201,$CJ$5)*H201</f>
        <v>359867.57147260284</v>
      </c>
      <c r="CK201" s="235">
        <f t="shared" si="253"/>
        <v>0.1</v>
      </c>
      <c r="CL201" s="234"/>
      <c r="CM201" t="str">
        <f t="shared" si="247"/>
        <v>36770Curve Shift/Gamma</v>
      </c>
      <c r="CN201" t="str">
        <f t="shared" si="248"/>
        <v>36770Rho</v>
      </c>
      <c r="CO201" t="str">
        <f t="shared" si="249"/>
        <v>36770Drift</v>
      </c>
      <c r="CP201" t="str">
        <f t="shared" si="250"/>
        <v>36770Vega</v>
      </c>
      <c r="CQ201" t="str">
        <f t="shared" si="251"/>
        <v>36770Theta</v>
      </c>
    </row>
    <row r="202" spans="1:95" ht="12" customHeight="1" x14ac:dyDescent="0.25">
      <c r="A202" s="140" t="s">
        <v>320</v>
      </c>
      <c r="B202" t="s">
        <v>250</v>
      </c>
      <c r="C202" t="s">
        <v>377</v>
      </c>
      <c r="D202" s="4" t="s">
        <v>7</v>
      </c>
      <c r="E202" t="s">
        <v>20</v>
      </c>
      <c r="F202" t="s">
        <v>21</v>
      </c>
      <c r="G202" s="5">
        <v>36951</v>
      </c>
      <c r="H202" s="130">
        <v>-310000</v>
      </c>
      <c r="I202">
        <v>2.2000000000000002</v>
      </c>
      <c r="J202" s="53">
        <f t="shared" si="260"/>
        <v>4.2130000000000001</v>
      </c>
      <c r="K202" s="7">
        <f t="shared" si="261"/>
        <v>1.075</v>
      </c>
      <c r="L202" s="53">
        <f t="shared" si="262"/>
        <v>5.2880000000000003</v>
      </c>
      <c r="M202" s="157">
        <f t="shared" si="238"/>
        <v>6.8879814952706994E-2</v>
      </c>
      <c r="N202" s="4">
        <f t="shared" si="239"/>
        <v>0.53249999999999997</v>
      </c>
      <c r="O202" s="4">
        <f t="shared" si="240"/>
        <v>0.61199999999999999</v>
      </c>
      <c r="P202" s="9">
        <f t="shared" si="241"/>
        <v>0.83</v>
      </c>
      <c r="Q202" s="5">
        <f t="shared" si="254"/>
        <v>36949</v>
      </c>
      <c r="R202" s="4">
        <f t="shared" si="242"/>
        <v>1</v>
      </c>
      <c r="S202" s="158">
        <f>_xll.xSPRDOPT($L202,$J202,$I202,$M202,$O202,$N202,$P202,$Q202-$C$3,$R202,0)</f>
        <v>0.2003143234200282</v>
      </c>
      <c r="T202" s="159">
        <f>_xll.xSPRDOPT($L202,$J202,$I202,$M202,$O202,$N202,$P202,$Q202-$C$3,$R202,1)*H202</f>
        <v>-83159.492054908929</v>
      </c>
      <c r="U202" s="160">
        <f t="shared" si="243"/>
        <v>-62097.440260208743</v>
      </c>
      <c r="V202" s="159">
        <f>_xll.xSPRDOPT($L202,$J202,$I202,$M202,$O202,$N202,$P202,$Q202-$C$3,$R202,2)*H202</f>
        <v>62947.674997547132</v>
      </c>
      <c r="W202" s="159">
        <f t="shared" si="244"/>
        <v>-20211.817057361797</v>
      </c>
      <c r="X202" s="51" t="str">
        <f t="shared" si="255"/>
        <v>36951IF-TRANSCO/Z6</v>
      </c>
      <c r="Y202" s="418">
        <f t="shared" si="256"/>
        <v>-31</v>
      </c>
      <c r="Z202" s="456">
        <f t="shared" si="257"/>
        <v>0.26825642598357718</v>
      </c>
      <c r="AA202" s="456">
        <f>_xll.xSPRDOPT($L202,$J202,$I202,$M202,$O202,$N202,$P202,$Q202-$C$3,$R202,3)</f>
        <v>0.23431084970764515</v>
      </c>
      <c r="AB202" s="456">
        <f>((_xll.xSPRDOPT($L202+AB$5,$J202,$I202,$M202,$O202,$N202,$P202,$Q202-$C$3,$R202,3)*$H202)/10000)/100</f>
        <v>-7.2636363409369992E-2</v>
      </c>
      <c r="AC202" s="456">
        <f>((_xll.xSPRDOPT($L202+$AB$5,$J202,$I202,$M202,$O202,$N202,$P202,$Q202-$C$3,$R202,7)*$H202)/100)</f>
        <v>2269.122539323334</v>
      </c>
      <c r="AD202" s="456">
        <f>(_xll.xSPRDOPT($L202+$AB$5,$J202,$I202,$M202,$O202,$N202,$P202,$Q202-$C$3,$R202,9)/365)*$H202</f>
        <v>372.19697997495166</v>
      </c>
      <c r="AE202">
        <f t="shared" si="258"/>
        <v>0</v>
      </c>
      <c r="AF202" s="456">
        <f t="shared" si="259"/>
        <v>-2622.5275441136037</v>
      </c>
      <c r="AG202" s="456">
        <f>((_xll.xSPRDOPT($L202,$J202,$I202,$M202,$O202,$N202,$P202,$Q202-$C$3,$R202,6)*$H202)/100)</f>
        <v>959.337230696093</v>
      </c>
      <c r="AH202" s="456">
        <f>((_xll.xSPRDOPT($L202,$J202,$I202,$M202,$O202,$N202,$P202,$Q202-$C$3,$R202,5)*$H202)/100)</f>
        <v>-3116.5735172976524</v>
      </c>
      <c r="AI202" s="456">
        <f>(((_xll.xSPRDOPT($L202,$J202,$I202,$M202,$O202,$N202,$P202,$Q202-$C$3,$R202,4)*$H202)/10000)/100)-AB202</f>
        <v>1.7907518364919654E-2</v>
      </c>
      <c r="AJ202" s="456"/>
      <c r="AK202" s="456"/>
      <c r="AL202" s="456"/>
      <c r="AM202" s="472"/>
      <c r="CC202" s="141">
        <f t="shared" si="252"/>
        <v>36951</v>
      </c>
      <c r="CD202" s="234">
        <f>_xll.xSPRDOPT((VLOOKUP(G202,NGPrices,2,FALSE)+HLOOKUP(D202,Prices,VLOOKUP(G202,move_down,2,FALSE),FALSE)),VLOOKUP(G202,NGPrices,2,FALSE),I202,VLOOKUP(G202,NGPREVPRICES,4,FALSE),HLOOKUP(D202,PREVVOLS,VLOOKUP(G202,MOVE_DOWN2,2,FALSE),FALSE),VLOOKUP(G202,NGPREVPRICES,3,FALSE),HLOOKUP(D202,Correllate,VLOOKUP(G202,CorMove,2,FALSE),FALSE),Q202-$CD$3,R202,$CD$5)*H202-CJ202</f>
        <v>0</v>
      </c>
      <c r="CE202" s="234">
        <f>_xll.xSPRDOPT((VLOOKUP(G202,NGPREVPRICES,2,FALSE)+HLOOKUP(D202,PREVCURVES,VLOOKUP(G202,MOVE_DOWN2,2,FALSE),FALSE)),VLOOKUP(G202,NGPREVPRICES,2,FALSE),CK202,VLOOKUP(G202,NGPrices,4,FALSE),HLOOKUP(D202,PREVVOLS,VLOOKUP(G202,MOVE_DOWN2,2,FALSE),FALSE),VLOOKUP(G202,NGPREVPRICES,3,FALSE),HLOOKUP(D202,Correllate,VLOOKUP(G202,CorMove,2,FALSE),FALSE),Q202-$CD$3,R202,$CJ$5)*H202-CJ202</f>
        <v>0</v>
      </c>
      <c r="CF202" s="10">
        <f t="shared" si="245"/>
        <v>11.980632126273122</v>
      </c>
      <c r="CG202" s="234">
        <f>_xll.xSPRDOPT((VLOOKUP(G202,NGPREVPRICES,2,FALSE)+HLOOKUP(D202,PREVCURVES,VLOOKUP(G202,MOVE_DOWN2,2,FALSE),FALSE)),VLOOKUP(G202,NGPREVPRICES,2,FALSE),CK202,VLOOKUP(G202,NGPREVPRICES,4,FALSE),HLOOKUP(D202,VOLS,VLOOKUP(G202,move_down,2,FALSE),FALSE),VLOOKUP(G202,NGPrices,3,FALSE),HLOOKUP(D202,Correllate,VLOOKUP(G202,CorMove,2,FALSE),FALSE),Q202-$CD$3,R202,$CJ$5)*H202-CJ202</f>
        <v>0</v>
      </c>
      <c r="CH202" s="234">
        <f>_xll.xSPRDOPT((VLOOKUP(G202,NGPREVPRICES,2,FALSE)+HLOOKUP(D202,PREVCURVES,VLOOKUP(G202,MOVE_DOWN2,2,FALSE),FALSE)),VLOOKUP(G202,NGPREVPRICES,2,FALSE),CK202,VLOOKUP(G202,NGPREVPRICES,4,FALSE),HLOOKUP(D202,PREVVOLS,VLOOKUP(G202,MOVE_DOWN2,2,FALSE),FALSE),VLOOKUP(G202,NGPREVPRICES,3,FALSE),HLOOKUP(D202,Correllate,VLOOKUP(G202,CorMove,2,FALSE),FALSE),Q202-$C$3,R202,$CJ$5)*H202-CJ202</f>
        <v>371.61955370970099</v>
      </c>
      <c r="CI202" s="234">
        <f t="shared" si="246"/>
        <v>383.60018583597412</v>
      </c>
      <c r="CJ202" s="234">
        <f>_xll.xSPRDOPT((VLOOKUP(G202,NGPREVPRICES,2,FALSE)+HLOOKUP(D202,PREVCURVES,VLOOKUP(G202,MOVE_DOWN2,2,FALSE),FALSE)),VLOOKUP(G202,NGPREVPRICES,2,FALSE),CK202,VLOOKUP(G202,NGPREVPRICES,4,FALSE),HLOOKUP(D202,PREVVOLS,VLOOKUP(G202,MOVE_DOWN2,2,FALSE),FALSE),VLOOKUP(G202,NGPREVPRICES,3,FALSE),HLOOKUP(D202,Correllate,VLOOKUP(G202,CorMove,2,FALSE),FALSE),Q202-$CD$3,R202,$CJ$5)*H202</f>
        <v>-62469.059813918444</v>
      </c>
      <c r="CK202" s="235">
        <f t="shared" si="253"/>
        <v>2.2000000000000002</v>
      </c>
      <c r="CL202" s="234"/>
      <c r="CM202" t="str">
        <f t="shared" si="247"/>
        <v>36951Curve Shift/Gamma</v>
      </c>
      <c r="CN202" t="str">
        <f t="shared" si="248"/>
        <v>36951Rho</v>
      </c>
      <c r="CO202" t="str">
        <f t="shared" si="249"/>
        <v>36951Drift</v>
      </c>
      <c r="CP202" t="str">
        <f t="shared" si="250"/>
        <v>36951Vega</v>
      </c>
      <c r="CQ202" t="str">
        <f t="shared" si="251"/>
        <v>36951Theta</v>
      </c>
    </row>
    <row r="203" spans="1:95" ht="12" customHeight="1" x14ac:dyDescent="0.25">
      <c r="A203" s="140" t="s">
        <v>320</v>
      </c>
      <c r="B203" t="s">
        <v>250</v>
      </c>
      <c r="C203" t="s">
        <v>377</v>
      </c>
      <c r="D203" s="4" t="s">
        <v>7</v>
      </c>
      <c r="E203" t="s">
        <v>20</v>
      </c>
      <c r="F203" t="s">
        <v>21</v>
      </c>
      <c r="G203" s="5">
        <v>36923</v>
      </c>
      <c r="H203" s="130">
        <v>-280000</v>
      </c>
      <c r="I203">
        <v>2.2000000000000002</v>
      </c>
      <c r="J203" s="53">
        <f t="shared" si="260"/>
        <v>4.4800000000000004</v>
      </c>
      <c r="K203" s="7">
        <f t="shared" si="261"/>
        <v>2.09</v>
      </c>
      <c r="L203" s="53">
        <f t="shared" si="262"/>
        <v>6.57</v>
      </c>
      <c r="M203" s="157">
        <f t="shared" si="238"/>
        <v>6.8640161611372E-2</v>
      </c>
      <c r="N203" s="4">
        <f t="shared" si="239"/>
        <v>0.59250000000000003</v>
      </c>
      <c r="O203" s="4">
        <f t="shared" si="240"/>
        <v>0.68100000000000005</v>
      </c>
      <c r="P203" s="9">
        <f t="shared" si="241"/>
        <v>0.83</v>
      </c>
      <c r="Q203" s="5">
        <f t="shared" si="254"/>
        <v>36921</v>
      </c>
      <c r="R203" s="4">
        <f t="shared" si="242"/>
        <v>1</v>
      </c>
      <c r="S203" s="158">
        <f>_xll.xSPRDOPT($L203,$J203,$I203,$M203,$O203,$N203,$P203,$Q203-$C$3,$R203,0)</f>
        <v>0.63843612413412965</v>
      </c>
      <c r="T203" s="159">
        <f>_xll.xSPRDOPT($L203,$J203,$I203,$M203,$O203,$N203,$P203,$Q203-$C$3,$R203,1)*H203</f>
        <v>-144997.90667427494</v>
      </c>
      <c r="U203" s="160">
        <f t="shared" si="243"/>
        <v>-178762.11475755629</v>
      </c>
      <c r="V203" s="159">
        <f>_xll.xSPRDOPT($L203,$J203,$I203,$M203,$O203,$N203,$P203,$Q203-$C$3,$R203,2)*H203</f>
        <v>121172.86831221035</v>
      </c>
      <c r="W203" s="159">
        <f t="shared" si="244"/>
        <v>-23825.038362064588</v>
      </c>
      <c r="X203" s="51" t="str">
        <f t="shared" si="255"/>
        <v>36923IF-TRANSCO/Z6</v>
      </c>
      <c r="Y203" s="418">
        <f t="shared" si="256"/>
        <v>-28</v>
      </c>
      <c r="Z203" s="456">
        <f t="shared" si="257"/>
        <v>0.51784966669383903</v>
      </c>
      <c r="AA203" s="456">
        <f>_xll.xSPRDOPT($L203,$J203,$I203,$M203,$O203,$N203,$P203,$Q203-$C$3,$R203,3)</f>
        <v>0.21876872127234742</v>
      </c>
      <c r="AB203" s="456">
        <f>((_xll.xSPRDOPT($L203+AB$5,$J203,$I203,$M203,$O203,$N203,$P203,$Q203-$C$3,$R203,3)*$H203)/10000)/100</f>
        <v>-6.1255241956257277E-2</v>
      </c>
      <c r="AC203" s="456">
        <f>((_xll.xSPRDOPT($L203+$AB$5,$J203,$I203,$M203,$O203,$N203,$P203,$Q203-$C$3,$R203,7)*$H203)/100)</f>
        <v>3063.1925399141196</v>
      </c>
      <c r="AD203" s="456">
        <f>(_xll.xSPRDOPT($L203+$AB$5,$J203,$I203,$M203,$O203,$N203,$P203,$Q203-$C$3,$R203,9)/365)*$H203</f>
        <v>590.81626934172539</v>
      </c>
      <c r="AE203">
        <f t="shared" si="258"/>
        <v>0</v>
      </c>
      <c r="AF203" s="456">
        <f t="shared" si="259"/>
        <v>-3243.778124387155</v>
      </c>
      <c r="AG203" s="456">
        <f>((_xll.xSPRDOPT($L203,$J203,$I203,$M203,$O203,$N203,$P203,$Q203-$C$3,$R203,6)*$H203)/100)</f>
        <v>1191.0677028400742</v>
      </c>
      <c r="AH203" s="456">
        <f>((_xll.xSPRDOPT($L203,$J203,$I203,$M203,$O203,$N203,$P203,$Q203-$C$3,$R203,5)*$H203)/100)</f>
        <v>-3858.5112373452762</v>
      </c>
      <c r="AI203" s="456">
        <f>(((_xll.xSPRDOPT($L203,$J203,$I203,$M203,$O203,$N203,$P203,$Q203-$C$3,$R203,4)*$H203)/10000)/100)-AB203</f>
        <v>-5.7285185506099345E-4</v>
      </c>
      <c r="AJ203" s="456"/>
      <c r="AK203" s="456"/>
      <c r="AL203" s="456"/>
      <c r="AM203" s="472"/>
      <c r="CC203" s="141">
        <f t="shared" si="252"/>
        <v>36923</v>
      </c>
      <c r="CD203" s="234">
        <f>_xll.xSPRDOPT((VLOOKUP(G203,NGPrices,2,FALSE)+HLOOKUP(D203,Prices,VLOOKUP(G203,move_down,2,FALSE),FALSE)),VLOOKUP(G203,NGPrices,2,FALSE),I203,VLOOKUP(G203,NGPREVPRICES,4,FALSE),HLOOKUP(D203,PREVVOLS,VLOOKUP(G203,MOVE_DOWN2,2,FALSE),FALSE),VLOOKUP(G203,NGPREVPRICES,3,FALSE),HLOOKUP(D203,Correllate,VLOOKUP(G203,CorMove,2,FALSE),FALSE),Q203-$CD$3,R203,$CD$5)*H203-CJ203</f>
        <v>0</v>
      </c>
      <c r="CE203" s="234">
        <f>_xll.xSPRDOPT((VLOOKUP(G203,NGPREVPRICES,2,FALSE)+HLOOKUP(D203,PREVCURVES,VLOOKUP(G203,MOVE_DOWN2,2,FALSE),FALSE)),VLOOKUP(G203,NGPREVPRICES,2,FALSE),CK203,VLOOKUP(G203,NGPrices,4,FALSE),HLOOKUP(D203,PREVVOLS,VLOOKUP(G203,MOVE_DOWN2,2,FALSE),FALSE),VLOOKUP(G203,NGPREVPRICES,3,FALSE),HLOOKUP(D203,Correllate,VLOOKUP(G203,CorMove,2,FALSE),FALSE),Q203-$CD$3,R203,$CJ$5)*H203-CJ203</f>
        <v>0</v>
      </c>
      <c r="CF203" s="10">
        <f t="shared" si="245"/>
        <v>34.110566448041936</v>
      </c>
      <c r="CG203" s="234">
        <f>_xll.xSPRDOPT((VLOOKUP(G203,NGPREVPRICES,2,FALSE)+HLOOKUP(D203,PREVCURVES,VLOOKUP(G203,MOVE_DOWN2,2,FALSE),FALSE)),VLOOKUP(G203,NGPREVPRICES,2,FALSE),CK203,VLOOKUP(G203,NGPREVPRICES,4,FALSE),HLOOKUP(D203,VOLS,VLOOKUP(G203,move_down,2,FALSE),FALSE),VLOOKUP(G203,NGPrices,3,FALSE),HLOOKUP(D203,Correllate,VLOOKUP(G203,CorMove,2,FALSE),FALSE),Q203-$CD$3,R203,$CJ$5)*H203-CJ203</f>
        <v>0</v>
      </c>
      <c r="CH203" s="234">
        <f>_xll.xSPRDOPT((VLOOKUP(G203,NGPREVPRICES,2,FALSE)+HLOOKUP(D203,PREVCURVES,VLOOKUP(G203,MOVE_DOWN2,2,FALSE),FALSE)),VLOOKUP(G203,NGPREVPRICES,2,FALSE),CK203,VLOOKUP(G203,NGPREVPRICES,4,FALSE),HLOOKUP(D203,PREVVOLS,VLOOKUP(G203,MOVE_DOWN2,2,FALSE),FALSE),VLOOKUP(G203,NGPREVPRICES,3,FALSE),HLOOKUP(D203,Correllate,VLOOKUP(G203,CorMove,2,FALSE),FALSE),Q203-$C$3,R203,$CJ$5)*H203-CJ203</f>
        <v>589.27903398947092</v>
      </c>
      <c r="CI203" s="234">
        <f t="shared" si="246"/>
        <v>623.38960043751285</v>
      </c>
      <c r="CJ203" s="234">
        <f>_xll.xSPRDOPT((VLOOKUP(G203,NGPREVPRICES,2,FALSE)+HLOOKUP(D203,PREVCURVES,VLOOKUP(G203,MOVE_DOWN2,2,FALSE),FALSE)),VLOOKUP(G203,NGPREVPRICES,2,FALSE),CK203,VLOOKUP(G203,NGPREVPRICES,4,FALSE),HLOOKUP(D203,PREVVOLS,VLOOKUP(G203,MOVE_DOWN2,2,FALSE),FALSE),VLOOKUP(G203,NGPREVPRICES,3,FALSE),HLOOKUP(D203,Correllate,VLOOKUP(G203,CorMove,2,FALSE),FALSE),Q203-$CD$3,R203,$CJ$5)*H203</f>
        <v>-179351.39379154576</v>
      </c>
      <c r="CK203" s="235">
        <f t="shared" si="253"/>
        <v>2.2000000000000002</v>
      </c>
      <c r="CL203" s="234"/>
      <c r="CM203" t="str">
        <f t="shared" si="247"/>
        <v>36923Curve Shift/Gamma</v>
      </c>
      <c r="CN203" t="str">
        <f t="shared" si="248"/>
        <v>36923Rho</v>
      </c>
      <c r="CO203" t="str">
        <f t="shared" si="249"/>
        <v>36923Drift</v>
      </c>
      <c r="CP203" t="str">
        <f t="shared" si="250"/>
        <v>36923Vega</v>
      </c>
      <c r="CQ203" t="str">
        <f t="shared" si="251"/>
        <v>36923Theta</v>
      </c>
    </row>
    <row r="204" spans="1:95" ht="12" customHeight="1" x14ac:dyDescent="0.25">
      <c r="A204" s="140" t="s">
        <v>320</v>
      </c>
      <c r="B204" t="s">
        <v>250</v>
      </c>
      <c r="C204" t="s">
        <v>377</v>
      </c>
      <c r="D204" s="4" t="s">
        <v>7</v>
      </c>
      <c r="E204" t="s">
        <v>20</v>
      </c>
      <c r="F204" t="s">
        <v>21</v>
      </c>
      <c r="G204" s="5">
        <v>36892</v>
      </c>
      <c r="H204" s="130">
        <v>-310000</v>
      </c>
      <c r="I204">
        <v>2.2000000000000002</v>
      </c>
      <c r="J204" s="53">
        <f t="shared" si="260"/>
        <v>4.7439999999999998</v>
      </c>
      <c r="K204" s="7">
        <f t="shared" si="261"/>
        <v>2.17</v>
      </c>
      <c r="L204" s="53">
        <f t="shared" si="262"/>
        <v>6.9139999999999997</v>
      </c>
      <c r="M204" s="157">
        <f t="shared" si="238"/>
        <v>6.8374831148490994E-2</v>
      </c>
      <c r="N204" s="4">
        <f t="shared" si="239"/>
        <v>0.60499999999999998</v>
      </c>
      <c r="O204" s="4">
        <f t="shared" si="240"/>
        <v>0.69599999999999995</v>
      </c>
      <c r="P204" s="9">
        <f t="shared" si="241"/>
        <v>0.83</v>
      </c>
      <c r="Q204" s="5">
        <f t="shared" si="254"/>
        <v>36888</v>
      </c>
      <c r="R204" s="4">
        <f t="shared" si="242"/>
        <v>1</v>
      </c>
      <c r="S204" s="158">
        <f>_xll.xSPRDOPT($L204,$J204,$I204,$M204,$O204,$N204,$P204,$Q204-$C$3,$R204,0)</f>
        <v>0.640054264498777</v>
      </c>
      <c r="T204" s="159">
        <f>_xll.xSPRDOPT($L204,$J204,$I204,$M204,$O204,$N204,$P204,$Q204-$C$3,$R204,1)*H204</f>
        <v>-165004.78989441859</v>
      </c>
      <c r="U204" s="160">
        <f t="shared" si="243"/>
        <v>-198416.82199462087</v>
      </c>
      <c r="V204" s="159">
        <f>_xll.xSPRDOPT($L204,$J204,$I204,$M204,$O204,$N204,$P204,$Q204-$C$3,$R204,2)*H204</f>
        <v>140793.05875901046</v>
      </c>
      <c r="W204" s="159">
        <f t="shared" si="244"/>
        <v>-24211.731135408132</v>
      </c>
      <c r="X204" s="51" t="str">
        <f t="shared" si="255"/>
        <v>36892IF-TRANSCO/Z6</v>
      </c>
      <c r="Y204" s="418">
        <f t="shared" si="256"/>
        <v>-31</v>
      </c>
      <c r="Z204" s="456">
        <f t="shared" si="257"/>
        <v>0.53227351578844706</v>
      </c>
      <c r="AA204" s="456">
        <f>_xll.xSPRDOPT($L204,$J204,$I204,$M204,$O204,$N204,$P204,$Q204-$C$3,$R204,3)</f>
        <v>0.23147374508885857</v>
      </c>
      <c r="AB204" s="456">
        <f>((_xll.xSPRDOPT($L204+AB$5,$J204,$I204,$M204,$O204,$N204,$P204,$Q204-$C$3,$R204,3)*$H204)/10000)/100</f>
        <v>-7.1756860977546147E-2</v>
      </c>
      <c r="AC204" s="456">
        <f>((_xll.xSPRDOPT($L204+$AB$5,$J204,$I204,$M204,$O204,$N204,$P204,$Q204-$C$3,$R204,7)*$H204)/100)</f>
        <v>3302.6616947238526</v>
      </c>
      <c r="AD204" s="456">
        <f>(_xll.xSPRDOPT($L204+$AB$5,$J204,$I204,$M204,$O204,$N204,$P204,$Q204-$C$3,$R204,9)/365)*$H204</f>
        <v>799.21122260779191</v>
      </c>
      <c r="AE204">
        <f t="shared" si="258"/>
        <v>0</v>
      </c>
      <c r="AF204" s="456">
        <f t="shared" si="259"/>
        <v>-3343.231347652044</v>
      </c>
      <c r="AG204" s="456">
        <f>((_xll.xSPRDOPT($L204,$J204,$I204,$M204,$O204,$N204,$P204,$Q204-$C$3,$R204,6)*$H204)/100)</f>
        <v>1224.5663519553966</v>
      </c>
      <c r="AH204" s="456">
        <f>((_xll.xSPRDOPT($L204,$J204,$I204,$M204,$O204,$N204,$P204,$Q204-$C$3,$R204,5)*$H204)/100)</f>
        <v>-3970.5712762392268</v>
      </c>
      <c r="AI204" s="456">
        <f>(((_xll.xSPRDOPT($L204,$J204,$I204,$M204,$O204,$N204,$P204,$Q204-$C$3,$R204,4)*$H204)/10000)/100)-AB204</f>
        <v>-1.5442585378306062E-3</v>
      </c>
      <c r="AJ204" s="456"/>
      <c r="AK204" s="456"/>
      <c r="AL204" s="456"/>
      <c r="AM204" s="472"/>
      <c r="CC204" s="141">
        <f t="shared" ref="CC204:CC236" si="263">G204</f>
        <v>36892</v>
      </c>
      <c r="CD204" s="234">
        <f>_xll.xSPRDOPT((VLOOKUP(G204,NGPrices,2,FALSE)+HLOOKUP(D204,Prices,VLOOKUP(G204,move_down,2,FALSE),FALSE)),VLOOKUP(G204,NGPrices,2,FALSE),I204,VLOOKUP(G204,NGPREVPRICES,4,FALSE),HLOOKUP(D204,PREVVOLS,VLOOKUP(G204,MOVE_DOWN2,2,FALSE),FALSE),VLOOKUP(G204,NGPREVPRICES,3,FALSE),HLOOKUP(D204,Correllate,VLOOKUP(G204,CorMove,2,FALSE),FALSE),Q204-$CD$3,R204,$CD$5)*H204-CJ204</f>
        <v>0</v>
      </c>
      <c r="CE204" s="234">
        <f>_xll.xSPRDOPT((VLOOKUP(G204,NGPREVPRICES,2,FALSE)+HLOOKUP(D204,PREVCURVES,VLOOKUP(G204,MOVE_DOWN2,2,FALSE),FALSE)),VLOOKUP(G204,NGPREVPRICES,2,FALSE),CK204,VLOOKUP(G204,NGPrices,4,FALSE),HLOOKUP(D204,PREVVOLS,VLOOKUP(G204,MOVE_DOWN2,2,FALSE),FALSE),VLOOKUP(G204,NGPREVPRICES,3,FALSE),HLOOKUP(D204,Correllate,VLOOKUP(G204,CorMove,2,FALSE),FALSE),Q204-$CD$3,R204,$CJ$5)*H204-CJ204</f>
        <v>0</v>
      </c>
      <c r="CF204" s="10">
        <f t="shared" ref="CF204:CF236" si="264">(CJ204/VLOOKUP(CC204,discount,3,FALSE))-(CJ204/VLOOKUP(CC204,discount,2,FALSE))</f>
        <v>37.540042225824436</v>
      </c>
      <c r="CG204" s="234">
        <f>_xll.xSPRDOPT((VLOOKUP(G204,NGPREVPRICES,2,FALSE)+HLOOKUP(D204,PREVCURVES,VLOOKUP(G204,MOVE_DOWN2,2,FALSE),FALSE)),VLOOKUP(G204,NGPREVPRICES,2,FALSE),CK204,VLOOKUP(G204,NGPREVPRICES,4,FALSE),HLOOKUP(D204,VOLS,VLOOKUP(G204,move_down,2,FALSE),FALSE),VLOOKUP(G204,NGPrices,3,FALSE),HLOOKUP(D204,Correllate,VLOOKUP(G204,CorMove,2,FALSE),FALSE),Q204-$CD$3,R204,$CJ$5)*H204-CJ204</f>
        <v>0</v>
      </c>
      <c r="CH204" s="234">
        <f>_xll.xSPRDOPT((VLOOKUP(G204,NGPREVPRICES,2,FALSE)+HLOOKUP(D204,PREVCURVES,VLOOKUP(G204,MOVE_DOWN2,2,FALSE),FALSE)),VLOOKUP(G204,NGPREVPRICES,2,FALSE),CK204,VLOOKUP(G204,NGPREVPRICES,4,FALSE),HLOOKUP(D204,PREVVOLS,VLOOKUP(G204,MOVE_DOWN2,2,FALSE),FALSE),VLOOKUP(G204,NGPREVPRICES,3,FALSE),HLOOKUP(D204,Correllate,VLOOKUP(G204,CorMove,2,FALSE),FALSE),Q204-$C$3,R204,$CJ$5)*H204-CJ204</f>
        <v>796.77547233042424</v>
      </c>
      <c r="CI204" s="234">
        <f t="shared" ref="CI204:CI236" si="265">SUM(CD204:CH204)</f>
        <v>834.31551455624867</v>
      </c>
      <c r="CJ204" s="486">
        <f>_xll.xSPRDOPT((VLOOKUP(G204,NGPREVPRICES,2,FALSE)+HLOOKUP(D204,PREVCURVES,VLOOKUP(G204,MOVE_DOWN2,2,FALSE),FALSE)),VLOOKUP(G204,NGPREVPRICES,2,FALSE),CK204,VLOOKUP(G204,NGPREVPRICES,4,FALSE),HLOOKUP(D204,PREVVOLS,VLOOKUP(G204,MOVE_DOWN2,2,FALSE),FALSE),VLOOKUP(G204,NGPREVPRICES,3,FALSE),HLOOKUP(D204,Correllate,VLOOKUP(G204,CorMove,2,FALSE),FALSE),Q204-$CD$3,R204,$CJ$5)*H204</f>
        <v>-199213.59746695129</v>
      </c>
      <c r="CK204" s="235">
        <f t="shared" ref="CK204:CK236" si="266">I204</f>
        <v>2.2000000000000002</v>
      </c>
      <c r="CL204" s="234"/>
      <c r="CM204" t="str">
        <f t="shared" ref="CM204:CM236" si="267">CONCATENATE(CC204,$CD$6)</f>
        <v>36892Curve Shift/Gamma</v>
      </c>
      <c r="CN204" t="str">
        <f t="shared" si="248"/>
        <v>36892Rho</v>
      </c>
      <c r="CO204" t="str">
        <f t="shared" si="249"/>
        <v>36892Drift</v>
      </c>
      <c r="CP204" t="str">
        <f t="shared" si="250"/>
        <v>36892Vega</v>
      </c>
      <c r="CQ204" t="str">
        <f t="shared" si="251"/>
        <v>36892Theta</v>
      </c>
    </row>
    <row r="205" spans="1:95" ht="12" customHeight="1" x14ac:dyDescent="0.25">
      <c r="A205" s="140" t="s">
        <v>320</v>
      </c>
      <c r="B205" t="s">
        <v>250</v>
      </c>
      <c r="C205" t="s">
        <v>377</v>
      </c>
      <c r="D205" s="4" t="s">
        <v>7</v>
      </c>
      <c r="E205" t="s">
        <v>20</v>
      </c>
      <c r="F205" t="s">
        <v>21</v>
      </c>
      <c r="G205" s="5">
        <v>36861</v>
      </c>
      <c r="H205" s="130">
        <v>-310000</v>
      </c>
      <c r="I205">
        <v>2.2000000000000002</v>
      </c>
      <c r="J205" s="53">
        <f t="shared" si="260"/>
        <v>4.8</v>
      </c>
      <c r="K205" s="7">
        <f t="shared" si="261"/>
        <v>1.645</v>
      </c>
      <c r="L205" s="53">
        <f t="shared" si="262"/>
        <v>6.4450000000000003</v>
      </c>
      <c r="M205" s="157">
        <f t="shared" si="238"/>
        <v>6.8314027999354002E-2</v>
      </c>
      <c r="N205" s="4">
        <f t="shared" si="239"/>
        <v>0.6</v>
      </c>
      <c r="O205" s="4">
        <f t="shared" si="240"/>
        <v>0.69</v>
      </c>
      <c r="P205" s="9">
        <f t="shared" si="241"/>
        <v>0.83</v>
      </c>
      <c r="Q205" s="5">
        <f t="shared" si="254"/>
        <v>36859</v>
      </c>
      <c r="R205" s="4">
        <f t="shared" si="242"/>
        <v>1</v>
      </c>
      <c r="S205" s="158">
        <f>_xll.xSPRDOPT($L205,$J205,$I205,$M205,$O205,$N205,$P205,$Q205-$C$3,$R205,0)</f>
        <v>0.31946885047076623</v>
      </c>
      <c r="T205" s="159">
        <f>_xll.xSPRDOPT($L205,$J205,$I205,$M205,$O205,$N205,$P205,$Q205-$C$3,$R205,1)*H205</f>
        <v>-118266.37459191107</v>
      </c>
      <c r="U205" s="160">
        <f t="shared" si="243"/>
        <v>-99035.343645937537</v>
      </c>
      <c r="V205" s="159">
        <f>_xll.xSPRDOPT($L205,$J205,$I205,$M205,$O205,$N205,$P205,$Q205-$C$3,$R205,2)*H205</f>
        <v>98492.81172045588</v>
      </c>
      <c r="W205" s="159">
        <f t="shared" si="244"/>
        <v>-19773.562871455186</v>
      </c>
      <c r="X205" s="51" t="str">
        <f t="shared" si="255"/>
        <v>36861IF-TRANSCO/Z6</v>
      </c>
      <c r="Y205" s="418">
        <f t="shared" si="256"/>
        <v>-31</v>
      </c>
      <c r="Z205" s="456">
        <f t="shared" si="257"/>
        <v>0.38150443416745505</v>
      </c>
      <c r="AA205" s="456">
        <f>_xll.xSPRDOPT($L205,$J205,$I205,$M205,$O205,$N205,$P205,$Q205-$C$3,$R205,3)</f>
        <v>0.28076777129705804</v>
      </c>
      <c r="AB205" s="456">
        <f>((_xll.xSPRDOPT($L205+AB$5,$J205,$I205,$M205,$O205,$N205,$P205,$Q205-$C$3,$R205,3)*$H205)/10000)/100</f>
        <v>-8.7038009102087976E-2</v>
      </c>
      <c r="AC205" s="456">
        <f>((_xll.xSPRDOPT($L205+$AB$5,$J205,$I205,$M205,$O205,$N205,$P205,$Q205-$C$3,$R205,7)*$H205)/100)</f>
        <v>2638.2207100652827</v>
      </c>
      <c r="AD205" s="456">
        <f>(_xll.xSPRDOPT($L205+$AB$5,$J205,$I205,$M205,$O205,$N205,$P205,$Q205-$C$3,$R205,9)/365)*$H205</f>
        <v>836.49760667134478</v>
      </c>
      <c r="AE205">
        <f t="shared" si="258"/>
        <v>0</v>
      </c>
      <c r="AF205" s="456">
        <f t="shared" si="259"/>
        <v>-2620.3071744243407</v>
      </c>
      <c r="AG205" s="456">
        <f>((_xll.xSPRDOPT($L205,$J205,$I205,$M205,$O205,$N205,$P205,$Q205-$C$3,$R205,6)*$H205)/100)</f>
        <v>956.17767621339806</v>
      </c>
      <c r="AH205" s="456">
        <f>((_xll.xSPRDOPT($L205,$J205,$I205,$M205,$O205,$N205,$P205,$Q205-$C$3,$R205,5)*$H205)/100)</f>
        <v>-3109.9868266415124</v>
      </c>
      <c r="AI205" s="456">
        <f>(((_xll.xSPRDOPT($L205,$J205,$I205,$M205,$O205,$N205,$P205,$Q205-$C$3,$R205,4)*$H205)/10000)/100)-AB205</f>
        <v>9.6876029211774434E-3</v>
      </c>
      <c r="AJ205" s="456"/>
      <c r="AK205" s="456"/>
      <c r="AL205" s="456"/>
      <c r="AM205" s="472"/>
      <c r="CC205" s="141">
        <f t="shared" si="263"/>
        <v>36861</v>
      </c>
      <c r="CD205" s="486">
        <f>_xll.xSPRDOPT((VLOOKUP(G205,NGPrices,2,FALSE)+HLOOKUP(D205,Prices,VLOOKUP(G205,move_down,2,FALSE),FALSE)),VLOOKUP(G205,NGPrices,2,FALSE),I205,VLOOKUP(G205,NGPREVPRICES,4,FALSE),HLOOKUP(D205,PREVVOLS,VLOOKUP(G205,MOVE_DOWN2,2,FALSE),FALSE),VLOOKUP(G205,NGPREVPRICES,3,FALSE),HLOOKUP(D205,Correllate,VLOOKUP(G205,CorMove,2,FALSE),FALSE),Q205-$CD$3,R205,$CD$5)*H205-CJ205</f>
        <v>0</v>
      </c>
      <c r="CE205" s="486">
        <f>_xll.xSPRDOPT((VLOOKUP(G205,NGPREVPRICES,2,FALSE)+HLOOKUP(D205,PREVCURVES,VLOOKUP(G205,MOVE_DOWN2,2,FALSE),FALSE)),VLOOKUP(G205,NGPREVPRICES,2,FALSE),CK205,VLOOKUP(G205,NGPrices,4,FALSE),HLOOKUP(D205,PREVVOLS,VLOOKUP(G205,MOVE_DOWN2,2,FALSE),FALSE),VLOOKUP(G205,NGPREVPRICES,3,FALSE),HLOOKUP(D205,Correllate,VLOOKUP(G205,CorMove,2,FALSE),FALSE),Q205-$CD$3,R205,$CJ$5)*H205-CJ205</f>
        <v>0</v>
      </c>
      <c r="CF205" s="487">
        <f>(CJ205/VLOOKUP(CC205,discount,3,FALSE))-(CJ205/VLOOKUP(CC205,discount,2,FALSE))</f>
        <v>18.709279454327771</v>
      </c>
      <c r="CG205" s="486">
        <f>_xll.xSPRDOPT((VLOOKUP(G205,NGPREVPRICES,2,FALSE)+HLOOKUP(D205,PREVCURVES,VLOOKUP(G205,MOVE_DOWN2,2,FALSE),FALSE)),VLOOKUP(G205,NGPREVPRICES,2,FALSE),CK205,VLOOKUP(G205,NGPREVPRICES,4,FALSE),HLOOKUP(D205,VOLS,VLOOKUP(G205,move_down,2,FALSE),FALSE),VLOOKUP(G205,NGPrices,3,FALSE),HLOOKUP(D205,Correllate,VLOOKUP(G205,CorMove,2,FALSE),FALSE),Q205-$CD$3,R205,$CJ$5)*H205-CJ205</f>
        <v>0</v>
      </c>
      <c r="CH205" s="486">
        <f>_xll.xSPRDOPT((VLOOKUP(G205,NGPREVPRICES,2,FALSE)+HLOOKUP(D205,PREVCURVES,VLOOKUP(G205,MOVE_DOWN2,2,FALSE),FALSE)),VLOOKUP(G205,NGPREVPRICES,2,FALSE),CK205,VLOOKUP(G205,NGPREVPRICES,4,FALSE),HLOOKUP(D205,PREVVOLS,VLOOKUP(G205,MOVE_DOWN2,2,FALSE),FALSE),VLOOKUP(G205,NGPREVPRICES,3,FALSE),HLOOKUP(D205,Correllate,VLOOKUP(G205,CorMove,2,FALSE),FALSE),Q205-$C$3,R205,$CJ$5)*H205-CJ205</f>
        <v>833.80159023724264</v>
      </c>
      <c r="CI205" s="486">
        <f>SUM(CD205:CH205)</f>
        <v>852.51086969157041</v>
      </c>
      <c r="CJ205" s="234">
        <f>_xll.xSPRDOPT((VLOOKUP(G205,NGPREVPRICES,2,FALSE)+HLOOKUP(D205,PREVCURVES,VLOOKUP(G205,MOVE_DOWN2,2,FALSE),FALSE)),VLOOKUP(G205,NGPREVPRICES,2,FALSE),CK205,VLOOKUP(G205,NGPREVPRICES,4,FALSE),HLOOKUP(D205,PREVVOLS,VLOOKUP(G205,MOVE_DOWN2,2,FALSE),FALSE),VLOOKUP(G205,NGPREVPRICES,3,FALSE),HLOOKUP(D205,Correllate,VLOOKUP(G205,CorMove,2,FALSE),FALSE),Q205-$CD$3,R205,$CJ$5)*H205</f>
        <v>-99869.14523617478</v>
      </c>
      <c r="CK205" s="235">
        <f t="shared" si="266"/>
        <v>2.2000000000000002</v>
      </c>
      <c r="CL205" s="234"/>
      <c r="CM205" t="str">
        <f t="shared" si="267"/>
        <v>36861Curve Shift/Gamma</v>
      </c>
      <c r="CN205" t="str">
        <f t="shared" si="248"/>
        <v>36861Rho</v>
      </c>
      <c r="CO205" t="str">
        <f t="shared" si="249"/>
        <v>36861Drift</v>
      </c>
      <c r="CP205" t="str">
        <f t="shared" si="250"/>
        <v>36861Vega</v>
      </c>
      <c r="CQ205" t="str">
        <f t="shared" si="251"/>
        <v>36861Theta</v>
      </c>
    </row>
    <row r="206" spans="1:95" ht="12" customHeight="1" x14ac:dyDescent="0.25">
      <c r="A206" s="140" t="s">
        <v>320</v>
      </c>
      <c r="B206" t="s">
        <v>250</v>
      </c>
      <c r="C206" t="s">
        <v>377</v>
      </c>
      <c r="D206" s="4" t="s">
        <v>7</v>
      </c>
      <c r="E206" t="s">
        <v>20</v>
      </c>
      <c r="F206" t="s">
        <v>21</v>
      </c>
      <c r="G206" s="5">
        <v>36831</v>
      </c>
      <c r="H206" s="130">
        <v>-300000</v>
      </c>
      <c r="I206">
        <v>2.2000000000000002</v>
      </c>
      <c r="J206" s="53">
        <f t="shared" si="260"/>
        <v>4.7359999999999998</v>
      </c>
      <c r="K206" s="7">
        <f t="shared" si="261"/>
        <v>0.77</v>
      </c>
      <c r="L206" s="53">
        <f t="shared" si="262"/>
        <v>5.5060000000000002</v>
      </c>
      <c r="M206" s="157">
        <f t="shared" si="238"/>
        <v>6.810675983792E-2</v>
      </c>
      <c r="N206" s="4">
        <f t="shared" si="239"/>
        <v>0.59499999999999997</v>
      </c>
      <c r="O206" s="4">
        <f t="shared" si="240"/>
        <v>0.625</v>
      </c>
      <c r="P206" s="9">
        <f t="shared" si="241"/>
        <v>0.89</v>
      </c>
      <c r="Q206" s="5">
        <f t="shared" si="254"/>
        <v>36829</v>
      </c>
      <c r="R206" s="4">
        <f t="shared" si="242"/>
        <v>1</v>
      </c>
      <c r="S206" s="158">
        <f>_xll.xSPRDOPT($L206,$J206,$I206,$M206,$O206,$N206,$P206,$Q206-$C$3,$R206,0)</f>
        <v>1.2339927985641069E-2</v>
      </c>
      <c r="T206" s="159">
        <f>_xll.xSPRDOPT($L206,$J206,$I206,$M206,$O206,$N206,$P206,$Q206-$C$3,$R206,1)*H206</f>
        <v>-13381.104032246996</v>
      </c>
      <c r="U206" s="160">
        <f t="shared" si="243"/>
        <v>-3701.9783956923206</v>
      </c>
      <c r="V206" s="159">
        <f>_xll.xSPRDOPT($L206,$J206,$I206,$M206,$O206,$N206,$P206,$Q206-$C$3,$R206,2)*H206</f>
        <v>10772.925717359469</v>
      </c>
      <c r="W206" s="159">
        <f t="shared" si="244"/>
        <v>-2608.1783148875274</v>
      </c>
      <c r="X206" s="51" t="str">
        <f t="shared" si="255"/>
        <v>36831IF-TRANSCO/Z6</v>
      </c>
      <c r="Y206" s="418">
        <f t="shared" si="256"/>
        <v>-30</v>
      </c>
      <c r="Z206" s="456">
        <f t="shared" si="257"/>
        <v>4.4603680107489989E-2</v>
      </c>
      <c r="AA206" s="456">
        <f>_xll.xSPRDOPT($L206,$J206,$I206,$M206,$O206,$N206,$P206,$Q206-$C$3,$R206,3)</f>
        <v>0.13263819415725464</v>
      </c>
      <c r="AB206" s="456">
        <f>((_xll.xSPRDOPT($L206+AB$5,$J206,$I206,$M206,$O206,$N206,$P206,$Q206-$C$3,$R206,3)*$H206)/10000)/100</f>
        <v>-3.9791458247176392E-2</v>
      </c>
      <c r="AC206" s="456">
        <f>((_xll.xSPRDOPT($L206+$AB$5,$J206,$I206,$M206,$O206,$N206,$P206,$Q206-$C$3,$R206,7)*$H206)/100)</f>
        <v>550.31981287068857</v>
      </c>
      <c r="AD206" s="456">
        <f>(_xll.xSPRDOPT($L206+$AB$5,$J206,$I206,$M206,$O206,$N206,$P206,$Q206-$C$3,$R206,9)/365)*$H206</f>
        <v>160.86763535679125</v>
      </c>
      <c r="AE206">
        <f t="shared" si="258"/>
        <v>0</v>
      </c>
      <c r="AF206" s="456">
        <f t="shared" si="259"/>
        <v>-336.46269009984326</v>
      </c>
      <c r="AG206" s="456">
        <f>((_xll.xSPRDOPT($L206,$J206,$I206,$M206,$O206,$N206,$P206,$Q206-$C$3,$R206,6)*$H206)/100)</f>
        <v>184.70891628330494</v>
      </c>
      <c r="AH206" s="456">
        <f>((_xll.xSPRDOPT($L206,$J206,$I206,$M206,$O206,$N206,$P206,$Q206-$C$3,$R206,5)*$H206)/100)</f>
        <v>-496.15536927675703</v>
      </c>
      <c r="AI206" s="456">
        <f>(((_xll.xSPRDOPT($L206,$J206,$I206,$M206,$O206,$N206,$P206,$Q206-$C$3,$R206,4)*$H206)/10000)/100)-AB206</f>
        <v>1.1608688861982484E-2</v>
      </c>
      <c r="AJ206" s="456"/>
      <c r="AK206" s="456"/>
      <c r="AL206" s="456"/>
      <c r="AM206" s="472"/>
      <c r="CC206" s="141">
        <f t="shared" si="263"/>
        <v>36831</v>
      </c>
      <c r="CD206" s="234">
        <f>_xll.xSPRDOPT((VLOOKUP(G206,NGPrices,2,FALSE)+HLOOKUP(D206,Prices,VLOOKUP(G206,move_down,2,FALSE),FALSE)),VLOOKUP(G206,NGPrices,2,FALSE),I206,VLOOKUP(G206,NGPREVPRICES,4,FALSE),HLOOKUP(D206,PREVVOLS,VLOOKUP(G206,MOVE_DOWN2,2,FALSE),FALSE),VLOOKUP(G206,NGPREVPRICES,3,FALSE),HLOOKUP(D206,Correllate,VLOOKUP(G206,CorMove,2,FALSE),FALSE),Q206-$CD$3,R206,$CD$5)*H206-CJ206</f>
        <v>0</v>
      </c>
      <c r="CE206" s="234">
        <f>_xll.xSPRDOPT((VLOOKUP(G206,NGPREVPRICES,2,FALSE)+HLOOKUP(D206,PREVCURVES,VLOOKUP(G206,MOVE_DOWN2,2,FALSE),FALSE)),VLOOKUP(G206,NGPREVPRICES,2,FALSE),CK206,VLOOKUP(G206,NGPrices,4,FALSE),HLOOKUP(D206,PREVVOLS,VLOOKUP(G206,MOVE_DOWN2,2,FALSE),FALSE),VLOOKUP(G206,NGPREVPRICES,3,FALSE),HLOOKUP(D206,Correllate,VLOOKUP(G206,CorMove,2,FALSE),FALSE),Q206-$CD$3,R206,$CJ$5)*H206-CJ206</f>
        <v>0</v>
      </c>
      <c r="CF206" s="10">
        <f t="shared" si="264"/>
        <v>0.71760098404774908</v>
      </c>
      <c r="CG206" s="234">
        <f>_xll.xSPRDOPT((VLOOKUP(G206,NGPREVPRICES,2,FALSE)+HLOOKUP(D206,PREVCURVES,VLOOKUP(G206,MOVE_DOWN2,2,FALSE),FALSE)),VLOOKUP(G206,NGPREVPRICES,2,FALSE),CK206,VLOOKUP(G206,NGPREVPRICES,4,FALSE),HLOOKUP(D206,VOLS,VLOOKUP(G206,move_down,2,FALSE),FALSE),VLOOKUP(G206,NGPrices,3,FALSE),HLOOKUP(D206,Correllate,VLOOKUP(G206,CorMove,2,FALSE),FALSE),Q206-$CD$3,R206,$CJ$5)*H206-CJ206</f>
        <v>0</v>
      </c>
      <c r="CH206" s="234">
        <f>_xll.xSPRDOPT((VLOOKUP(G206,NGPREVPRICES,2,FALSE)+HLOOKUP(D206,PREVCURVES,VLOOKUP(G206,MOVE_DOWN2,2,FALSE),FALSE)),VLOOKUP(G206,NGPREVPRICES,2,FALSE),CK206,VLOOKUP(G206,NGPREVPRICES,4,FALSE),HLOOKUP(D206,PREVVOLS,VLOOKUP(G206,MOVE_DOWN2,2,FALSE),FALSE),VLOOKUP(G206,NGPREVPRICES,3,FALSE),HLOOKUP(D206,Correllate,VLOOKUP(G206,CorMove,2,FALSE),FALSE),Q206-$C$3,R206,$CJ$5)*H206-CJ206</f>
        <v>162.10264216918222</v>
      </c>
      <c r="CI206" s="234">
        <f t="shared" si="265"/>
        <v>162.82024315322997</v>
      </c>
      <c r="CJ206" s="234">
        <f>_xll.xSPRDOPT((VLOOKUP(G206,NGPREVPRICES,2,FALSE)+HLOOKUP(D206,PREVCURVES,VLOOKUP(G206,MOVE_DOWN2,2,FALSE),FALSE)),VLOOKUP(G206,NGPREVPRICES,2,FALSE),CK206,VLOOKUP(G206,NGPREVPRICES,4,FALSE),HLOOKUP(D206,PREVVOLS,VLOOKUP(G206,MOVE_DOWN2,2,FALSE),FALSE),VLOOKUP(G206,NGPREVPRICES,3,FALSE),HLOOKUP(D206,Correllate,VLOOKUP(G206,CorMove,2,FALSE),FALSE),Q206-$CD$3,R206,$CJ$5)*H206</f>
        <v>-3864.0810378615029</v>
      </c>
      <c r="CK206" s="235">
        <f t="shared" si="266"/>
        <v>2.2000000000000002</v>
      </c>
      <c r="CL206" s="234"/>
      <c r="CM206" t="str">
        <f t="shared" si="267"/>
        <v>36831Curve Shift/Gamma</v>
      </c>
      <c r="CN206" t="str">
        <f t="shared" si="248"/>
        <v>36831Rho</v>
      </c>
      <c r="CO206" t="str">
        <f t="shared" si="249"/>
        <v>36831Drift</v>
      </c>
      <c r="CP206" t="str">
        <f t="shared" si="250"/>
        <v>36831Vega</v>
      </c>
      <c r="CQ206" t="str">
        <f t="shared" si="251"/>
        <v>36831Theta</v>
      </c>
    </row>
    <row r="207" spans="1:95" ht="12" customHeight="1" x14ac:dyDescent="0.25">
      <c r="A207" s="140" t="s">
        <v>281</v>
      </c>
      <c r="B207" t="s">
        <v>250</v>
      </c>
      <c r="C207" t="s">
        <v>378</v>
      </c>
      <c r="D207" s="4" t="s">
        <v>7</v>
      </c>
      <c r="E207" t="s">
        <v>20</v>
      </c>
      <c r="F207" t="s">
        <v>21</v>
      </c>
      <c r="G207" s="5">
        <v>36951</v>
      </c>
      <c r="H207" s="130">
        <v>-500000</v>
      </c>
      <c r="I207">
        <v>1.6</v>
      </c>
      <c r="J207" s="53">
        <f t="shared" si="260"/>
        <v>4.2130000000000001</v>
      </c>
      <c r="K207" s="7">
        <f t="shared" si="261"/>
        <v>1.075</v>
      </c>
      <c r="L207" s="53">
        <f t="shared" si="262"/>
        <v>5.2880000000000003</v>
      </c>
      <c r="M207" s="157">
        <f t="shared" si="238"/>
        <v>6.8879814952706994E-2</v>
      </c>
      <c r="N207" s="4">
        <f t="shared" si="239"/>
        <v>0.53249999999999997</v>
      </c>
      <c r="O207" s="4">
        <f t="shared" si="240"/>
        <v>0.61199999999999999</v>
      </c>
      <c r="P207" s="9">
        <f t="shared" si="241"/>
        <v>0.83</v>
      </c>
      <c r="Q207" s="5">
        <f t="shared" si="254"/>
        <v>36949</v>
      </c>
      <c r="R207" s="4">
        <f t="shared" si="242"/>
        <v>1</v>
      </c>
      <c r="S207" s="158">
        <f>_xll.xSPRDOPT($L207,$J207,$I207,$M207,$O207,$N207,$P207,$Q207-$C$3,$R207,0)</f>
        <v>0.32865712182356605</v>
      </c>
      <c r="T207" s="159">
        <f>_xll.xSPRDOPT($L207,$J207,$I207,$M207,$O207,$N207,$P207,$Q207-$C$3,$R207,1)*H207</f>
        <v>-196390.40631295045</v>
      </c>
      <c r="U207" s="160">
        <f t="shared" si="243"/>
        <v>-164328.56091178302</v>
      </c>
      <c r="V207" s="159">
        <f>_xll.xSPRDOPT($L207,$J207,$I207,$M207,$O207,$N207,$P207,$Q207-$C$3,$R207,2)*H207</f>
        <v>156022.52794599545</v>
      </c>
      <c r="W207" s="159">
        <f t="shared" si="244"/>
        <v>-40367.878366955003</v>
      </c>
      <c r="X207" s="51" t="str">
        <f t="shared" si="255"/>
        <v>36951IF-TRANSCO/Z6</v>
      </c>
      <c r="Y207" s="418">
        <f t="shared" si="256"/>
        <v>-50</v>
      </c>
      <c r="Z207" s="456">
        <f t="shared" si="257"/>
        <v>0.39278081262590092</v>
      </c>
      <c r="AA207" s="456">
        <f>_xll.xSPRDOPT($L207,$J207,$I207,$M207,$O207,$N207,$P207,$Q207-$C$3,$R207,3)</f>
        <v>0.27838187776051626</v>
      </c>
      <c r="AB207" s="456">
        <f>((_xll.xSPRDOPT($L207+AB$5,$J207,$I207,$M207,$O207,$N207,$P207,$Q207-$C$3,$R207,3)*$H207)/10000)/100</f>
        <v>-0.13919093888025813</v>
      </c>
      <c r="AC207" s="456">
        <f>((_xll.xSPRDOPT($L207+$AB$5,$J207,$I207,$M207,$O207,$N207,$P207,$Q207-$C$3,$R207,7)*$H207)/100)</f>
        <v>4672.8043226816735</v>
      </c>
      <c r="AD207" s="456">
        <f>(_xll.xSPRDOPT($L207+$AB$5,$J207,$I207,$M207,$O207,$N207,$P207,$Q207-$C$3,$R207,9)/365)*$H207</f>
        <v>666.47489308900913</v>
      </c>
      <c r="AE207">
        <f t="shared" si="258"/>
        <v>0</v>
      </c>
      <c r="AF207" s="456">
        <f t="shared" si="259"/>
        <v>-4764.5257485153224</v>
      </c>
      <c r="AG207" s="456">
        <f>((_xll.xSPRDOPT($L207,$J207,$I207,$M207,$O207,$N207,$P207,$Q207-$C$3,$R207,6)*$H207)/100)</f>
        <v>1593.4217697894862</v>
      </c>
      <c r="AH207" s="456">
        <f>((_xll.xSPRDOPT($L207,$J207,$I207,$M207,$O207,$N207,$P207,$Q207-$C$3,$R207,5)*$H207)/100)</f>
        <v>-5532.0376691132524</v>
      </c>
      <c r="AI207" s="456">
        <f>(((_xll.xSPRDOPT($L207,$J207,$I207,$M207,$O207,$N207,$P207,$Q207-$C$3,$R207,4)*$H207)/10000)/100)-AB207</f>
        <v>1.8373882565995384E-2</v>
      </c>
      <c r="AJ207" s="456"/>
      <c r="AK207" s="456"/>
      <c r="AL207" s="456"/>
      <c r="AM207" s="472"/>
      <c r="CC207" s="141">
        <f t="shared" si="263"/>
        <v>36951</v>
      </c>
      <c r="CD207" s="234">
        <f>_xll.xSPRDOPT((VLOOKUP(G207,NGPrices,2,FALSE)+HLOOKUP(D207,Prices,VLOOKUP(G207,move_down,2,FALSE),FALSE)),VLOOKUP(G207,NGPrices,2,FALSE),I207,VLOOKUP(G207,NGPREVPRICES,4,FALSE),HLOOKUP(D207,PREVVOLS,VLOOKUP(G207,MOVE_DOWN2,2,FALSE),FALSE),VLOOKUP(G207,NGPREVPRICES,3,FALSE),HLOOKUP(D207,Correllate,VLOOKUP(G207,CorMove,2,FALSE),FALSE),Q207-$CD$3,R207,$CD$5)*H207-CJ207</f>
        <v>0</v>
      </c>
      <c r="CE207" s="234">
        <f>_xll.xSPRDOPT((VLOOKUP(G207,NGPREVPRICES,2,FALSE)+HLOOKUP(D207,PREVCURVES,VLOOKUP(G207,MOVE_DOWN2,2,FALSE),FALSE)),VLOOKUP(G207,NGPREVPRICES,2,FALSE),CK207,VLOOKUP(G207,NGPrices,4,FALSE),HLOOKUP(D207,PREVVOLS,VLOOKUP(G207,MOVE_DOWN2,2,FALSE),FALSE),VLOOKUP(G207,NGPREVPRICES,3,FALSE),HLOOKUP(D207,Correllate,VLOOKUP(G207,CorMove,2,FALSE),FALSE),Q207-$CD$3,R207,$CJ$5)*H207-CJ207</f>
        <v>0</v>
      </c>
      <c r="CF207" s="10">
        <f t="shared" si="264"/>
        <v>31.643310363811906</v>
      </c>
      <c r="CG207" s="234">
        <f>_xll.xSPRDOPT((VLOOKUP(G207,NGPREVPRICES,2,FALSE)+HLOOKUP(D207,PREVCURVES,VLOOKUP(G207,MOVE_DOWN2,2,FALSE),FALSE)),VLOOKUP(G207,NGPREVPRICES,2,FALSE),CK207,VLOOKUP(G207,NGPREVPRICES,4,FALSE),HLOOKUP(D207,VOLS,VLOOKUP(G207,move_down,2,FALSE),FALSE),VLOOKUP(G207,NGPrices,3,FALSE),HLOOKUP(D207,Correllate,VLOOKUP(G207,CorMove,2,FALSE),FALSE),Q207-$CD$3,R207,$CJ$5)*H207-CJ207</f>
        <v>0</v>
      </c>
      <c r="CH207" s="234">
        <f>_xll.xSPRDOPT((VLOOKUP(G207,NGPREVPRICES,2,FALSE)+HLOOKUP(D207,PREVCURVES,VLOOKUP(G207,MOVE_DOWN2,2,FALSE),FALSE)),VLOOKUP(G207,NGPREVPRICES,2,FALSE),CK207,VLOOKUP(G207,NGPREVPRICES,4,FALSE),HLOOKUP(D207,PREVVOLS,VLOOKUP(G207,MOVE_DOWN2,2,FALSE),FALSE),VLOOKUP(G207,NGPREVPRICES,3,FALSE),HLOOKUP(D207,Correllate,VLOOKUP(G207,CorMove,2,FALSE),FALSE),Q207-$C$3,R207,$CJ$5)*H207-CJ207</f>
        <v>665.05770476773614</v>
      </c>
      <c r="CI207" s="234">
        <f t="shared" si="265"/>
        <v>696.70101513154805</v>
      </c>
      <c r="CJ207" s="234">
        <f>_xll.xSPRDOPT((VLOOKUP(G207,NGPREVPRICES,2,FALSE)+HLOOKUP(D207,PREVCURVES,VLOOKUP(G207,MOVE_DOWN2,2,FALSE),FALSE)),VLOOKUP(G207,NGPREVPRICES,2,FALSE),CK207,VLOOKUP(G207,NGPREVPRICES,4,FALSE),HLOOKUP(D207,PREVVOLS,VLOOKUP(G207,MOVE_DOWN2,2,FALSE),FALSE),VLOOKUP(G207,NGPREVPRICES,3,FALSE),HLOOKUP(D207,Correllate,VLOOKUP(G207,CorMove,2,FALSE),FALSE),Q207-$CD$3,R207,$CJ$5)*H207</f>
        <v>-164993.61861655075</v>
      </c>
      <c r="CK207" s="235">
        <f t="shared" si="266"/>
        <v>1.6</v>
      </c>
      <c r="CL207" s="234"/>
      <c r="CM207" t="str">
        <f t="shared" si="267"/>
        <v>36951Curve Shift/Gamma</v>
      </c>
      <c r="CN207" t="str">
        <f t="shared" si="248"/>
        <v>36951Rho</v>
      </c>
      <c r="CO207" t="str">
        <f t="shared" si="249"/>
        <v>36951Drift</v>
      </c>
      <c r="CP207" t="str">
        <f t="shared" si="250"/>
        <v>36951Vega</v>
      </c>
      <c r="CQ207" t="str">
        <f t="shared" si="251"/>
        <v>36951Theta</v>
      </c>
    </row>
    <row r="208" spans="1:95" ht="12" customHeight="1" x14ac:dyDescent="0.25">
      <c r="A208" s="140" t="s">
        <v>281</v>
      </c>
      <c r="B208" t="s">
        <v>250</v>
      </c>
      <c r="C208" t="s">
        <v>378</v>
      </c>
      <c r="D208" s="4" t="s">
        <v>7</v>
      </c>
      <c r="E208" t="s">
        <v>20</v>
      </c>
      <c r="F208" t="s">
        <v>21</v>
      </c>
      <c r="G208" s="5">
        <v>36923</v>
      </c>
      <c r="H208" s="130">
        <v>-500000</v>
      </c>
      <c r="I208">
        <v>1.6</v>
      </c>
      <c r="J208" s="53">
        <f t="shared" si="260"/>
        <v>4.4800000000000004</v>
      </c>
      <c r="K208" s="7">
        <f t="shared" si="261"/>
        <v>2.09</v>
      </c>
      <c r="L208" s="53">
        <f t="shared" si="262"/>
        <v>6.57</v>
      </c>
      <c r="M208" s="157">
        <f t="shared" si="238"/>
        <v>6.8640161611372E-2</v>
      </c>
      <c r="N208" s="4">
        <f t="shared" si="239"/>
        <v>0.59250000000000003</v>
      </c>
      <c r="O208" s="4">
        <f t="shared" si="240"/>
        <v>0.68100000000000005</v>
      </c>
      <c r="P208" s="9">
        <f t="shared" si="241"/>
        <v>0.83</v>
      </c>
      <c r="Q208" s="5">
        <f t="shared" si="254"/>
        <v>36921</v>
      </c>
      <c r="R208" s="4">
        <f t="shared" si="242"/>
        <v>1</v>
      </c>
      <c r="S208" s="158">
        <f>_xll.xSPRDOPT($L208,$J208,$I208,$M208,$O208,$N208,$P208,$Q208-$C$3,$R208,0)</f>
        <v>0.90434668378695238</v>
      </c>
      <c r="T208" s="159">
        <f>_xll.xSPRDOPT($L208,$J208,$I208,$M208,$O208,$N208,$P208,$Q208-$C$3,$R208,1)*H208</f>
        <v>-324304.27091843303</v>
      </c>
      <c r="U208" s="160">
        <f t="shared" si="243"/>
        <v>-452173.3418934762</v>
      </c>
      <c r="V208" s="159">
        <f>_xll.xSPRDOPT($L208,$J208,$I208,$M208,$O208,$N208,$P208,$Q208-$C$3,$R208,2)*H208</f>
        <v>282459.90666030475</v>
      </c>
      <c r="W208" s="159">
        <f t="shared" si="244"/>
        <v>-41844.364258128277</v>
      </c>
      <c r="X208" s="51" t="str">
        <f t="shared" si="255"/>
        <v>36923IF-TRANSCO/Z6</v>
      </c>
      <c r="Y208" s="418">
        <f t="shared" si="256"/>
        <v>-50</v>
      </c>
      <c r="Z208" s="456">
        <f t="shared" si="257"/>
        <v>0.64860854183686611</v>
      </c>
      <c r="AA208" s="456">
        <f>_xll.xSPRDOPT($L208,$J208,$I208,$M208,$O208,$N208,$P208,$Q208-$C$3,$R208,3)</f>
        <v>0.20562130469864384</v>
      </c>
      <c r="AB208" s="456">
        <f>((_xll.xSPRDOPT($L208+AB$5,$J208,$I208,$M208,$O208,$N208,$P208,$Q208-$C$3,$R208,3)*$H208)/10000)/100</f>
        <v>-0.10281065234932191</v>
      </c>
      <c r="AC208" s="456">
        <f>((_xll.xSPRDOPT($L208+$AB$5,$J208,$I208,$M208,$O208,$N208,$P208,$Q208-$C$3,$R208,7)*$H208)/100)</f>
        <v>5554.6647006338935</v>
      </c>
      <c r="AD208" s="456">
        <f>(_xll.xSPRDOPT($L208+$AB$5,$J208,$I208,$M208,$O208,$N208,$P208,$Q208-$C$3,$R208,9)/365)*$H208</f>
        <v>904.17825356218725</v>
      </c>
      <c r="AE208">
        <f t="shared" si="258"/>
        <v>0</v>
      </c>
      <c r="AF208" s="456">
        <f t="shared" si="259"/>
        <v>-5138.712227410897</v>
      </c>
      <c r="AG208" s="456">
        <f>((_xll.xSPRDOPT($L208,$J208,$I208,$M208,$O208,$N208,$P208,$Q208-$C$3,$R208,6)*$H208)/100)</f>
        <v>1725.6111133841791</v>
      </c>
      <c r="AH208" s="456">
        <f>((_xll.xSPRDOPT($L208,$J208,$I208,$M208,$O208,$N208,$P208,$Q208-$C$3,$R208,5)*$H208)/100)</f>
        <v>-5972.2636995904286</v>
      </c>
      <c r="AI208" s="456">
        <f>(((_xll.xSPRDOPT($L208,$J208,$I208,$M208,$O208,$N208,$P208,$Q208-$C$3,$R208,4)*$H208)/10000)/100)-AB208</f>
        <v>-1.7965238590623586E-2</v>
      </c>
      <c r="AJ208" s="456"/>
      <c r="AK208" s="456"/>
      <c r="AL208" s="456"/>
      <c r="AM208" s="472"/>
      <c r="CC208" s="141">
        <f t="shared" si="263"/>
        <v>36923</v>
      </c>
      <c r="CD208" s="234">
        <f>_xll.xSPRDOPT((VLOOKUP(G208,NGPrices,2,FALSE)+HLOOKUP(D208,Prices,VLOOKUP(G208,move_down,2,FALSE),FALSE)),VLOOKUP(G208,NGPrices,2,FALSE),I208,VLOOKUP(G208,NGPREVPRICES,4,FALSE),HLOOKUP(D208,PREVVOLS,VLOOKUP(G208,MOVE_DOWN2,2,FALSE),FALSE),VLOOKUP(G208,NGPREVPRICES,3,FALSE),HLOOKUP(D208,Correllate,VLOOKUP(G208,CorMove,2,FALSE),FALSE),Q208-$CD$3,R208,$CD$5)*H208-CJ208</f>
        <v>0</v>
      </c>
      <c r="CE208" s="234">
        <f>_xll.xSPRDOPT((VLOOKUP(G208,NGPREVPRICES,2,FALSE)+HLOOKUP(D208,PREVCURVES,VLOOKUP(G208,MOVE_DOWN2,2,FALSE),FALSE)),VLOOKUP(G208,NGPREVPRICES,2,FALSE),CK208,VLOOKUP(G208,NGPrices,4,FALSE),HLOOKUP(D208,PREVVOLS,VLOOKUP(G208,MOVE_DOWN2,2,FALSE),FALSE),VLOOKUP(G208,NGPREVPRICES,3,FALSE),HLOOKUP(D208,Correllate,VLOOKUP(G208,CorMove,2,FALSE),FALSE),Q208-$CD$3,R208,$CJ$5)*H208-CJ208</f>
        <v>0</v>
      </c>
      <c r="CF208" s="10">
        <f t="shared" si="264"/>
        <v>86.169686789158732</v>
      </c>
      <c r="CG208" s="234">
        <f>_xll.xSPRDOPT((VLOOKUP(G208,NGPREVPRICES,2,FALSE)+HLOOKUP(D208,PREVCURVES,VLOOKUP(G208,MOVE_DOWN2,2,FALSE),FALSE)),VLOOKUP(G208,NGPREVPRICES,2,FALSE),CK208,VLOOKUP(G208,NGPREVPRICES,4,FALSE),HLOOKUP(D208,VOLS,VLOOKUP(G208,move_down,2,FALSE),FALSE),VLOOKUP(G208,NGPrices,3,FALSE),HLOOKUP(D208,Correllate,VLOOKUP(G208,CorMove,2,FALSE),FALSE),Q208-$CD$3,R208,$CJ$5)*H208-CJ208</f>
        <v>0</v>
      </c>
      <c r="CH208" s="234">
        <f>_xll.xSPRDOPT((VLOOKUP(G208,NGPREVPRICES,2,FALSE)+HLOOKUP(D208,PREVCURVES,VLOOKUP(G208,MOVE_DOWN2,2,FALSE),FALSE)),VLOOKUP(G208,NGPREVPRICES,2,FALSE),CK208,VLOOKUP(G208,NGPREVPRICES,4,FALSE),HLOOKUP(D208,PREVVOLS,VLOOKUP(G208,MOVE_DOWN2,2,FALSE),FALSE),VLOOKUP(G208,NGPREVPRICES,3,FALSE),HLOOKUP(D208,Correllate,VLOOKUP(G208,CorMove,2,FALSE),FALSE),Q208-$C$3,R208,$CJ$5)*H208-CJ208</f>
        <v>901.90831540949875</v>
      </c>
      <c r="CI208" s="234">
        <f t="shared" si="265"/>
        <v>988.07800219865749</v>
      </c>
      <c r="CJ208" s="234">
        <f>_xll.xSPRDOPT((VLOOKUP(G208,NGPREVPRICES,2,FALSE)+HLOOKUP(D208,PREVCURVES,VLOOKUP(G208,MOVE_DOWN2,2,FALSE),FALSE)),VLOOKUP(G208,NGPREVPRICES,2,FALSE),CK208,VLOOKUP(G208,NGPREVPRICES,4,FALSE),HLOOKUP(D208,PREVVOLS,VLOOKUP(G208,MOVE_DOWN2,2,FALSE),FALSE),VLOOKUP(G208,NGPREVPRICES,3,FALSE),HLOOKUP(D208,Correllate,VLOOKUP(G208,CorMove,2,FALSE),FALSE),Q208-$CD$3,R208,$CJ$5)*H208</f>
        <v>-453075.2502088857</v>
      </c>
      <c r="CK208" s="235">
        <f t="shared" si="266"/>
        <v>1.6</v>
      </c>
      <c r="CL208" s="234"/>
      <c r="CM208" t="str">
        <f t="shared" si="267"/>
        <v>36923Curve Shift/Gamma</v>
      </c>
      <c r="CN208" t="str">
        <f t="shared" si="248"/>
        <v>36923Rho</v>
      </c>
      <c r="CO208" t="str">
        <f t="shared" si="249"/>
        <v>36923Drift</v>
      </c>
      <c r="CP208" t="str">
        <f t="shared" si="250"/>
        <v>36923Vega</v>
      </c>
      <c r="CQ208" t="str">
        <f t="shared" si="251"/>
        <v>36923Theta</v>
      </c>
    </row>
    <row r="209" spans="1:95" ht="12" customHeight="1" x14ac:dyDescent="0.25">
      <c r="A209" s="140" t="s">
        <v>281</v>
      </c>
      <c r="B209" t="s">
        <v>250</v>
      </c>
      <c r="C209" t="s">
        <v>378</v>
      </c>
      <c r="D209" s="4" t="s">
        <v>7</v>
      </c>
      <c r="E209" t="s">
        <v>20</v>
      </c>
      <c r="F209" t="s">
        <v>21</v>
      </c>
      <c r="G209" s="5">
        <v>36892</v>
      </c>
      <c r="H209" s="130">
        <v>-500000</v>
      </c>
      <c r="I209">
        <v>1.6</v>
      </c>
      <c r="J209" s="53">
        <f t="shared" si="260"/>
        <v>4.7439999999999998</v>
      </c>
      <c r="K209" s="7">
        <f t="shared" si="261"/>
        <v>2.17</v>
      </c>
      <c r="L209" s="53">
        <f t="shared" si="262"/>
        <v>6.9139999999999997</v>
      </c>
      <c r="M209" s="157">
        <f t="shared" si="238"/>
        <v>6.8374831148490994E-2</v>
      </c>
      <c r="N209" s="4">
        <f t="shared" si="239"/>
        <v>0.60499999999999998</v>
      </c>
      <c r="O209" s="4">
        <f t="shared" si="240"/>
        <v>0.69599999999999995</v>
      </c>
      <c r="P209" s="9">
        <f t="shared" si="241"/>
        <v>0.83</v>
      </c>
      <c r="Q209" s="5">
        <f t="shared" si="254"/>
        <v>36888</v>
      </c>
      <c r="R209" s="4">
        <f t="shared" si="242"/>
        <v>1</v>
      </c>
      <c r="S209" s="158">
        <f>_xll.xSPRDOPT($L209,$J209,$I209,$M209,$O209,$N209,$P209,$Q209-$C$3,$R209,0)</f>
        <v>0.92593922821099572</v>
      </c>
      <c r="T209" s="159">
        <f>_xll.xSPRDOPT($L209,$J209,$I209,$M209,$O209,$N209,$P209,$Q209-$C$3,$R209,1)*H209</f>
        <v>-335938.6494050764</v>
      </c>
      <c r="U209" s="160">
        <f t="shared" si="243"/>
        <v>-462969.61410549784</v>
      </c>
      <c r="V209" s="159">
        <f>_xll.xSPRDOPT($L209,$J209,$I209,$M209,$O209,$N209,$P209,$Q209-$C$3,$R209,2)*H209</f>
        <v>298434.51204525173</v>
      </c>
      <c r="W209" s="159">
        <f t="shared" si="244"/>
        <v>-37504.137359824672</v>
      </c>
      <c r="X209" s="51" t="str">
        <f t="shared" si="255"/>
        <v>36892IF-TRANSCO/Z6</v>
      </c>
      <c r="Y209" s="418">
        <f t="shared" si="256"/>
        <v>-50</v>
      </c>
      <c r="Z209" s="456">
        <f t="shared" si="257"/>
        <v>0.67187729881015279</v>
      </c>
      <c r="AA209" s="456">
        <f>_xll.xSPRDOPT($L209,$J209,$I209,$M209,$O209,$N209,$P209,$Q209-$C$3,$R209,3)</f>
        <v>0.21258143875178478</v>
      </c>
      <c r="AB209" s="456">
        <f>((_xll.xSPRDOPT($L209+AB$5,$J209,$I209,$M209,$O209,$N209,$P209,$Q209-$C$3,$R209,3)*$H209)/10000)/100</f>
        <v>-0.10629071937589239</v>
      </c>
      <c r="AC209" s="456">
        <f>((_xll.xSPRDOPT($L209+$AB$5,$J209,$I209,$M209,$O209,$N209,$P209,$Q209-$C$3,$R209,7)*$H209)/100)</f>
        <v>5279.9366967826572</v>
      </c>
      <c r="AD209" s="456">
        <f>(_xll.xSPRDOPT($L209+$AB$5,$J209,$I209,$M209,$O209,$N209,$P209,$Q209-$C$3,$R209,9)/365)*$H209</f>
        <v>1084.4711419958712</v>
      </c>
      <c r="AE209">
        <f t="shared" si="258"/>
        <v>0</v>
      </c>
      <c r="AF209" s="456">
        <f t="shared" si="259"/>
        <v>-4681.5872442152022</v>
      </c>
      <c r="AG209" s="456">
        <f>((_xll.xSPRDOPT($L209,$J209,$I209,$M209,$O209,$N209,$P209,$Q209-$C$3,$R209,6)*$H209)/100)</f>
        <v>1552.4671085031514</v>
      </c>
      <c r="AH209" s="456">
        <f>((_xll.xSPRDOPT($L209,$J209,$I209,$M209,$O209,$N209,$P209,$Q209-$C$3,$R209,5)*$H209)/100)</f>
        <v>-5418.9696600497191</v>
      </c>
      <c r="AI209" s="456">
        <f>(((_xll.xSPRDOPT($L209,$J209,$I209,$M209,$O209,$N209,$P209,$Q209-$C$3,$R209,4)*$H209)/10000)/100)-AB209</f>
        <v>-1.9878090689224151E-2</v>
      </c>
      <c r="AJ209" s="456"/>
      <c r="AK209" s="456"/>
      <c r="AL209" s="456"/>
      <c r="AM209" s="472"/>
      <c r="CC209" s="141">
        <f t="shared" si="263"/>
        <v>36892</v>
      </c>
      <c r="CD209" s="234">
        <f>_xll.xSPRDOPT((VLOOKUP(G209,NGPrices,2,FALSE)+HLOOKUP(D209,Prices,VLOOKUP(G209,move_down,2,FALSE),FALSE)),VLOOKUP(G209,NGPrices,2,FALSE),I209,VLOOKUP(G209,NGPREVPRICES,4,FALSE),HLOOKUP(D209,PREVVOLS,VLOOKUP(G209,MOVE_DOWN2,2,FALSE),FALSE),VLOOKUP(G209,NGPREVPRICES,3,FALSE),HLOOKUP(D209,Correllate,VLOOKUP(G209,CorMove,2,FALSE),FALSE),Q209-$CD$3,R209,$CD$5)*H209-CJ209</f>
        <v>0</v>
      </c>
      <c r="CE209" s="234">
        <f>_xll.xSPRDOPT((VLOOKUP(G209,NGPREVPRICES,2,FALSE)+HLOOKUP(D209,PREVCURVES,VLOOKUP(G209,MOVE_DOWN2,2,FALSE),FALSE)),VLOOKUP(G209,NGPREVPRICES,2,FALSE),CK209,VLOOKUP(G209,NGPrices,4,FALSE),HLOOKUP(D209,PREVVOLS,VLOOKUP(G209,MOVE_DOWN2,2,FALSE),FALSE),VLOOKUP(G209,NGPREVPRICES,3,FALSE),HLOOKUP(D209,Correllate,VLOOKUP(G209,CorMove,2,FALSE),FALSE),Q209-$CD$3,R209,$CJ$5)*H209-CJ209</f>
        <v>0</v>
      </c>
      <c r="CF209" s="10">
        <f t="shared" si="264"/>
        <v>87.446315992216114</v>
      </c>
      <c r="CG209" s="234">
        <f>_xll.xSPRDOPT((VLOOKUP(G209,NGPREVPRICES,2,FALSE)+HLOOKUP(D209,PREVCURVES,VLOOKUP(G209,MOVE_DOWN2,2,FALSE),FALSE)),VLOOKUP(G209,NGPREVPRICES,2,FALSE),CK209,VLOOKUP(G209,NGPREVPRICES,4,FALSE),HLOOKUP(D209,VOLS,VLOOKUP(G209,move_down,2,FALSE),FALSE),VLOOKUP(G209,NGPrices,3,FALSE),HLOOKUP(D209,Correllate,VLOOKUP(G209,CorMove,2,FALSE),FALSE),Q209-$CD$3,R209,$CJ$5)*H209-CJ209</f>
        <v>0</v>
      </c>
      <c r="CH209" s="234">
        <f>_xll.xSPRDOPT((VLOOKUP(G209,NGPREVPRICES,2,FALSE)+HLOOKUP(D209,PREVCURVES,VLOOKUP(G209,MOVE_DOWN2,2,FALSE),FALSE)),VLOOKUP(G209,NGPREVPRICES,2,FALSE),CK209,VLOOKUP(G209,NGPREVPRICES,4,FALSE),HLOOKUP(D209,PREVVOLS,VLOOKUP(G209,MOVE_DOWN2,2,FALSE),FALSE),VLOOKUP(G209,NGPREVPRICES,3,FALSE),HLOOKUP(D209,Correllate,VLOOKUP(G209,CorMove,2,FALSE),FALSE),Q209-$C$3,R209,$CJ$5)*H209-CJ209</f>
        <v>1081.4141072871862</v>
      </c>
      <c r="CI209" s="234">
        <f t="shared" si="265"/>
        <v>1168.8604232794023</v>
      </c>
      <c r="CJ209" s="234">
        <f>_xll.xSPRDOPT((VLOOKUP(G209,NGPREVPRICES,2,FALSE)+HLOOKUP(D209,PREVCURVES,VLOOKUP(G209,MOVE_DOWN2,2,FALSE),FALSE)),VLOOKUP(G209,NGPREVPRICES,2,FALSE),CK209,VLOOKUP(G209,NGPREVPRICES,4,FALSE),HLOOKUP(D209,PREVVOLS,VLOOKUP(G209,MOVE_DOWN2,2,FALSE),FALSE),VLOOKUP(G209,NGPREVPRICES,3,FALSE),HLOOKUP(D209,Correllate,VLOOKUP(G209,CorMove,2,FALSE),FALSE),Q209-$CD$3,R209,$CJ$5)*H209</f>
        <v>-464051.02821278502</v>
      </c>
      <c r="CK209" s="235">
        <f t="shared" si="266"/>
        <v>1.6</v>
      </c>
      <c r="CL209" s="234"/>
      <c r="CM209" t="str">
        <f t="shared" si="267"/>
        <v>36892Curve Shift/Gamma</v>
      </c>
      <c r="CN209" t="str">
        <f t="shared" si="248"/>
        <v>36892Rho</v>
      </c>
      <c r="CO209" t="str">
        <f t="shared" si="249"/>
        <v>36892Drift</v>
      </c>
      <c r="CP209" t="str">
        <f t="shared" si="250"/>
        <v>36892Vega</v>
      </c>
      <c r="CQ209" t="str">
        <f t="shared" si="251"/>
        <v>36892Theta</v>
      </c>
    </row>
    <row r="210" spans="1:95" ht="12" customHeight="1" x14ac:dyDescent="0.25">
      <c r="A210" s="140" t="s">
        <v>281</v>
      </c>
      <c r="B210" t="s">
        <v>250</v>
      </c>
      <c r="C210" t="s">
        <v>378</v>
      </c>
      <c r="D210" s="4" t="s">
        <v>7</v>
      </c>
      <c r="E210" t="s">
        <v>20</v>
      </c>
      <c r="F210" t="s">
        <v>21</v>
      </c>
      <c r="G210" s="5">
        <v>36861</v>
      </c>
      <c r="H210" s="130">
        <v>-500000</v>
      </c>
      <c r="I210">
        <v>1.6</v>
      </c>
      <c r="J210" s="53">
        <f t="shared" si="260"/>
        <v>4.8</v>
      </c>
      <c r="K210" s="7">
        <f t="shared" si="261"/>
        <v>1.645</v>
      </c>
      <c r="L210" s="53">
        <f t="shared" si="262"/>
        <v>6.4450000000000003</v>
      </c>
      <c r="M210" s="157">
        <f t="shared" ref="M210:M236" si="268">VLOOKUP(G210,NGPrices,4,FALSE)</f>
        <v>6.8314027999354002E-2</v>
      </c>
      <c r="N210" s="4">
        <f t="shared" ref="N210:N236" si="269">VLOOKUP(G210,NGPrices,3,FALSE)</f>
        <v>0.6</v>
      </c>
      <c r="O210" s="4">
        <f t="shared" ref="O210:O236" si="270">HLOOKUP(D210,VOLS,VLOOKUP(G210,move_down,2,FALSE),FALSE)</f>
        <v>0.69</v>
      </c>
      <c r="P210" s="9">
        <f t="shared" ref="P210:P236" si="271">HLOOKUP(D210,Correllate,VLOOKUP(G210,CorMove,2,FALSE),FALSE)</f>
        <v>0.83</v>
      </c>
      <c r="Q210" s="5">
        <f t="shared" si="254"/>
        <v>36859</v>
      </c>
      <c r="R210" s="4">
        <f t="shared" ref="R210:R236" si="272">IF(F210="P",0,1)</f>
        <v>1</v>
      </c>
      <c r="S210" s="158">
        <f>_xll.xSPRDOPT($L210,$J210,$I210,$M210,$O210,$N210,$P210,$Q210-$C$3,$R210,0)</f>
        <v>0.53268342050603656</v>
      </c>
      <c r="T210" s="159">
        <f>_xll.xSPRDOPT($L210,$J210,$I210,$M210,$O210,$N210,$P210,$Q210-$C$3,$R210,1)*H210</f>
        <v>-273085.18779679958</v>
      </c>
      <c r="U210" s="160">
        <f t="shared" ref="U210:U236" si="273">S210*H210</f>
        <v>-266341.7102530183</v>
      </c>
      <c r="V210" s="159">
        <f>_xll.xSPRDOPT($L210,$J210,$I210,$M210,$O210,$N210,$P210,$Q210-$C$3,$R210,2)*H210</f>
        <v>237868.49307894084</v>
      </c>
      <c r="W210" s="159">
        <f t="shared" ref="W210:W236" si="274">+V210+T210</f>
        <v>-35216.694717858743</v>
      </c>
      <c r="X210" s="51" t="str">
        <f t="shared" si="255"/>
        <v>36861IF-TRANSCO/Z6</v>
      </c>
      <c r="Y210" s="418">
        <f t="shared" si="256"/>
        <v>-50</v>
      </c>
      <c r="Z210" s="456">
        <f t="shared" si="257"/>
        <v>0.54617037559359916</v>
      </c>
      <c r="AA210" s="456">
        <f>_xll.xSPRDOPT($L210,$J210,$I210,$M210,$O210,$N210,$P210,$Q210-$C$3,$R210,3)</f>
        <v>0.29714880405850658</v>
      </c>
      <c r="AB210" s="456">
        <f>((_xll.xSPRDOPT($L210+AB$5,$J210,$I210,$M210,$O210,$N210,$P210,$Q210-$C$3,$R210,3)*$H210)/10000)/100</f>
        <v>-0.14857440202925329</v>
      </c>
      <c r="AC210" s="456">
        <f>((_xll.xSPRDOPT($L210+$AB$5,$J210,$I210,$M210,$O210,$N210,$P210,$Q210-$C$3,$R210,7)*$H210)/100)</f>
        <v>4844.3605137473232</v>
      </c>
      <c r="AD210" s="456">
        <f>(_xll.xSPRDOPT($L210+$AB$5,$J210,$I210,$M210,$O210,$N210,$P210,$Q210-$C$3,$R210,9)/365)*$H210</f>
        <v>1334.685800503742</v>
      </c>
      <c r="AE210">
        <f t="shared" si="258"/>
        <v>0</v>
      </c>
      <c r="AF210" s="456">
        <f t="shared" si="259"/>
        <v>-4243.0004612647135</v>
      </c>
      <c r="AG210" s="456">
        <f>((_xll.xSPRDOPT($L210,$J210,$I210,$M210,$O210,$N210,$P210,$Q210-$C$3,$R210,6)*$H210)/100)</f>
        <v>1390.4905351003306</v>
      </c>
      <c r="AH210" s="456">
        <f>((_xll.xSPRDOPT($L210,$J210,$I210,$M210,$O210,$N210,$P210,$Q210-$C$3,$R210,5)*$H210)/100)</f>
        <v>-4898.6878229261256</v>
      </c>
      <c r="AI210" s="456">
        <f>(((_xll.xSPRDOPT($L210,$J210,$I210,$M210,$O210,$N210,$P210,$Q210-$C$3,$R210,4)*$H210)/10000)/100)-AB210</f>
        <v>-3.9490858649893767E-3</v>
      </c>
      <c r="AJ210" s="456"/>
      <c r="AK210" s="456"/>
      <c r="AL210" s="456"/>
      <c r="AM210" s="472"/>
      <c r="CC210" s="141">
        <f t="shared" si="263"/>
        <v>36861</v>
      </c>
      <c r="CD210" s="234">
        <f>_xll.xSPRDOPT((VLOOKUP(G210,NGPrices,2,FALSE)+HLOOKUP(D210,Prices,VLOOKUP(G210,move_down,2,FALSE),FALSE)),VLOOKUP(G210,NGPrices,2,FALSE),I210,VLOOKUP(G210,NGPREVPRICES,4,FALSE),HLOOKUP(D210,PREVVOLS,VLOOKUP(G210,MOVE_DOWN2,2,FALSE),FALSE),VLOOKUP(G210,NGPREVPRICES,3,FALSE),HLOOKUP(D210,Correllate,VLOOKUP(G210,CorMove,2,FALSE),FALSE),Q210-$CD$3,R210,$CD$5)*H210-CJ210</f>
        <v>0</v>
      </c>
      <c r="CE210" s="234">
        <f>_xll.xSPRDOPT((VLOOKUP(G210,NGPREVPRICES,2,FALSE)+HLOOKUP(D210,PREVCURVES,VLOOKUP(G210,MOVE_DOWN2,2,FALSE),FALSE)),VLOOKUP(G210,NGPREVPRICES,2,FALSE),CK210,VLOOKUP(G210,NGPrices,4,FALSE),HLOOKUP(D210,PREVVOLS,VLOOKUP(G210,MOVE_DOWN2,2,FALSE),FALSE),VLOOKUP(G210,NGPREVPRICES,3,FALSE),HLOOKUP(D210,Correllate,VLOOKUP(G210,CorMove,2,FALSE),FALSE),Q210-$CD$3,R210,$CJ$5)*H210-CJ210</f>
        <v>0</v>
      </c>
      <c r="CF210" s="10">
        <f t="shared" si="264"/>
        <v>50.145021510426886</v>
      </c>
      <c r="CG210" s="234">
        <f>_xll.xSPRDOPT((VLOOKUP(G210,NGPREVPRICES,2,FALSE)+HLOOKUP(D210,PREVCURVES,VLOOKUP(G210,MOVE_DOWN2,2,FALSE),FALSE)),VLOOKUP(G210,NGPREVPRICES,2,FALSE),CK210,VLOOKUP(G210,NGPREVPRICES,4,FALSE),HLOOKUP(D210,VOLS,VLOOKUP(G210,move_down,2,FALSE),FALSE),VLOOKUP(G210,NGPrices,3,FALSE),HLOOKUP(D210,Correllate,VLOOKUP(G210,CorMove,2,FALSE),FALSE),Q210-$CD$3,R210,$CJ$5)*H210-CJ210</f>
        <v>0</v>
      </c>
      <c r="CH210" s="234">
        <f>_xll.xSPRDOPT((VLOOKUP(G210,NGPREVPRICES,2,FALSE)+HLOOKUP(D210,PREVCURVES,VLOOKUP(G210,MOVE_DOWN2,2,FALSE),FALSE)),VLOOKUP(G210,NGPREVPRICES,2,FALSE),CK210,VLOOKUP(G210,NGPREVPRICES,4,FALSE),HLOOKUP(D210,PREVVOLS,VLOOKUP(G210,MOVE_DOWN2,2,FALSE),FALSE),VLOOKUP(G210,NGPREVPRICES,3,FALSE),HLOOKUP(D210,Correllate,VLOOKUP(G210,CorMove,2,FALSE),FALSE),Q210-$C$3,R210,$CJ$5)*H210-CJ210</f>
        <v>1329.7651941083022</v>
      </c>
      <c r="CI210" s="234">
        <f t="shared" si="265"/>
        <v>1379.9102156187291</v>
      </c>
      <c r="CJ210" s="234">
        <f>_xll.xSPRDOPT((VLOOKUP(G210,NGPREVPRICES,2,FALSE)+HLOOKUP(D210,PREVCURVES,VLOOKUP(G210,MOVE_DOWN2,2,FALSE),FALSE)),VLOOKUP(G210,NGPREVPRICES,2,FALSE),CK210,VLOOKUP(G210,NGPREVPRICES,4,FALSE),HLOOKUP(D210,PREVVOLS,VLOOKUP(G210,MOVE_DOWN2,2,FALSE),FALSE),VLOOKUP(G210,NGPREVPRICES,3,FALSE),HLOOKUP(D210,Correllate,VLOOKUP(G210,CorMove,2,FALSE),FALSE),Q210-$CD$3,R210,$CJ$5)*H210</f>
        <v>-267671.47544712661</v>
      </c>
      <c r="CK210" s="235">
        <f t="shared" si="266"/>
        <v>1.6</v>
      </c>
      <c r="CL210" s="234"/>
      <c r="CM210" t="str">
        <f t="shared" si="267"/>
        <v>36861Curve Shift/Gamma</v>
      </c>
      <c r="CN210" t="str">
        <f t="shared" si="248"/>
        <v>36861Rho</v>
      </c>
      <c r="CO210" t="str">
        <f t="shared" si="249"/>
        <v>36861Drift</v>
      </c>
      <c r="CP210" t="str">
        <f t="shared" si="250"/>
        <v>36861Vega</v>
      </c>
      <c r="CQ210" t="str">
        <f t="shared" si="251"/>
        <v>36861Theta</v>
      </c>
    </row>
    <row r="211" spans="1:95" ht="12" customHeight="1" x14ac:dyDescent="0.25">
      <c r="A211" s="140" t="s">
        <v>281</v>
      </c>
      <c r="B211" t="s">
        <v>250</v>
      </c>
      <c r="C211" t="s">
        <v>378</v>
      </c>
      <c r="D211" s="4" t="s">
        <v>7</v>
      </c>
      <c r="E211" t="s">
        <v>20</v>
      </c>
      <c r="F211" t="s">
        <v>21</v>
      </c>
      <c r="G211" s="5">
        <v>36831</v>
      </c>
      <c r="H211" s="130">
        <v>-500000</v>
      </c>
      <c r="I211">
        <v>1.6</v>
      </c>
      <c r="J211" s="53">
        <f t="shared" si="260"/>
        <v>4.7359999999999998</v>
      </c>
      <c r="K211" s="7">
        <f t="shared" si="261"/>
        <v>0.77</v>
      </c>
      <c r="L211" s="53">
        <f t="shared" si="262"/>
        <v>5.5060000000000002</v>
      </c>
      <c r="M211" s="157">
        <f t="shared" si="268"/>
        <v>6.810675983792E-2</v>
      </c>
      <c r="N211" s="4">
        <f t="shared" si="269"/>
        <v>0.59499999999999997</v>
      </c>
      <c r="O211" s="4">
        <f t="shared" si="270"/>
        <v>0.625</v>
      </c>
      <c r="P211" s="9">
        <f t="shared" si="271"/>
        <v>0.89</v>
      </c>
      <c r="Q211" s="5">
        <f t="shared" si="254"/>
        <v>36829</v>
      </c>
      <c r="R211" s="4">
        <f t="shared" si="272"/>
        <v>1</v>
      </c>
      <c r="S211" s="158">
        <f>_xll.xSPRDOPT($L211,$J211,$I211,$M211,$O211,$N211,$P211,$Q211-$C$3,$R211,0)</f>
        <v>4.8303483936106333E-2</v>
      </c>
      <c r="T211" s="159">
        <f>_xll.xSPRDOPT($L211,$J211,$I211,$M211,$O211,$N211,$P211,$Q211-$C$3,$R211,1)*H211</f>
        <v>-72402.183264638632</v>
      </c>
      <c r="U211" s="160">
        <f t="shared" si="273"/>
        <v>-24151.741968053168</v>
      </c>
      <c r="V211" s="159">
        <f>_xll.xSPRDOPT($L211,$J211,$I211,$M211,$O211,$N211,$P211,$Q211-$C$3,$R211,2)*H211</f>
        <v>61101.144293502584</v>
      </c>
      <c r="W211" s="159">
        <f t="shared" si="274"/>
        <v>-11301.038971136048</v>
      </c>
      <c r="X211" s="51" t="str">
        <f t="shared" si="255"/>
        <v>36831IF-TRANSCO/Z6</v>
      </c>
      <c r="Y211" s="418">
        <f t="shared" si="256"/>
        <v>-50</v>
      </c>
      <c r="Z211" s="456">
        <f t="shared" si="257"/>
        <v>0.14480436652927725</v>
      </c>
      <c r="AA211" s="456">
        <f>_xll.xSPRDOPT($L211,$J211,$I211,$M211,$O211,$N211,$P211,$Q211-$C$3,$R211,3)</f>
        <v>0.33065335827695025</v>
      </c>
      <c r="AB211" s="456">
        <f>((_xll.xSPRDOPT($L211+AB$5,$J211,$I211,$M211,$O211,$N211,$P211,$Q211-$C$3,$R211,3)*$H211)/10000)/100</f>
        <v>-0.16532667913847512</v>
      </c>
      <c r="AC211" s="456">
        <f>((_xll.xSPRDOPT($L211+$AB$5,$J211,$I211,$M211,$O211,$N211,$P211,$Q211-$C$3,$R211,7)*$H211)/100)</f>
        <v>2425.4419605565913</v>
      </c>
      <c r="AD211" s="456">
        <f>(_xll.xSPRDOPT($L211+$AB$5,$J211,$I211,$M211,$O211,$N211,$P211,$Q211-$C$3,$R211,9)/365)*$H211</f>
        <v>625.64745835230121</v>
      </c>
      <c r="AE211">
        <f t="shared" si="258"/>
        <v>0</v>
      </c>
      <c r="AF211" s="456">
        <f t="shared" si="259"/>
        <v>-1312.3632933907788</v>
      </c>
      <c r="AG211" s="456">
        <f>((_xll.xSPRDOPT($L211,$J211,$I211,$M211,$O211,$N211,$P211,$Q211-$C$3,$R211,6)*$H211)/100)</f>
        <v>645.12910727896497</v>
      </c>
      <c r="AH211" s="456">
        <f>((_xll.xSPRDOPT($L211,$J211,$I211,$M211,$O211,$N211,$P211,$Q211-$C$3,$R211,5)*$H211)/100)</f>
        <v>-1863.532765437596</v>
      </c>
      <c r="AI211" s="456">
        <f>(((_xll.xSPRDOPT($L211,$J211,$I211,$M211,$O211,$N211,$P211,$Q211-$C$3,$R211,4)*$H211)/10000)/100)-AB211</f>
        <v>3.3655213655945898E-2</v>
      </c>
      <c r="AJ211" s="456"/>
      <c r="AK211" s="456"/>
      <c r="AL211" s="456"/>
      <c r="AM211" s="472"/>
      <c r="CC211" s="141">
        <f t="shared" si="263"/>
        <v>36831</v>
      </c>
      <c r="CD211" s="234">
        <f>_xll.xSPRDOPT((VLOOKUP(G211,NGPrices,2,FALSE)+HLOOKUP(D211,Prices,VLOOKUP(G211,move_down,2,FALSE),FALSE)),VLOOKUP(G211,NGPrices,2,FALSE),I211,VLOOKUP(G211,NGPREVPRICES,4,FALSE),HLOOKUP(D211,PREVVOLS,VLOOKUP(G211,MOVE_DOWN2,2,FALSE),FALSE),VLOOKUP(G211,NGPREVPRICES,3,FALSE),HLOOKUP(D211,Correllate,VLOOKUP(G211,CorMove,2,FALSE),FALSE),Q211-$CD$3,R211,$CD$5)*H211-CJ211</f>
        <v>0</v>
      </c>
      <c r="CE211" s="234">
        <f>_xll.xSPRDOPT((VLOOKUP(G211,NGPREVPRICES,2,FALSE)+HLOOKUP(D211,PREVCURVES,VLOOKUP(G211,MOVE_DOWN2,2,FALSE),FALSE)),VLOOKUP(G211,NGPREVPRICES,2,FALSE),CK211,VLOOKUP(G211,NGPrices,4,FALSE),HLOOKUP(D211,PREVVOLS,VLOOKUP(G211,MOVE_DOWN2,2,FALSE),FALSE),VLOOKUP(G211,NGPREVPRICES,3,FALSE),HLOOKUP(D211,Correllate,VLOOKUP(G211,CorMove,2,FALSE),FALSE),Q211-$CD$3,R211,$CJ$5)*H211-CJ211</f>
        <v>0</v>
      </c>
      <c r="CF211" s="10">
        <f t="shared" si="264"/>
        <v>4.6014413042175875</v>
      </c>
      <c r="CG211" s="234">
        <f>_xll.xSPRDOPT((VLOOKUP(G211,NGPREVPRICES,2,FALSE)+HLOOKUP(D211,PREVCURVES,VLOOKUP(G211,MOVE_DOWN2,2,FALSE),FALSE)),VLOOKUP(G211,NGPREVPRICES,2,FALSE),CK211,VLOOKUP(G211,NGPREVPRICES,4,FALSE),HLOOKUP(D211,VOLS,VLOOKUP(G211,move_down,2,FALSE),FALSE),VLOOKUP(G211,NGPrices,3,FALSE),HLOOKUP(D211,Correllate,VLOOKUP(G211,CorMove,2,FALSE),FALSE),Q211-$CD$3,R211,$CJ$5)*H211-CJ211</f>
        <v>0</v>
      </c>
      <c r="CH211" s="234">
        <f>_xll.xSPRDOPT((VLOOKUP(G211,NGPREVPRICES,2,FALSE)+HLOOKUP(D211,PREVCURVES,VLOOKUP(G211,MOVE_DOWN2,2,FALSE),FALSE)),VLOOKUP(G211,NGPREVPRICES,2,FALSE),CK211,VLOOKUP(G211,NGPREVPRICES,4,FALSE),HLOOKUP(D211,PREVVOLS,VLOOKUP(G211,MOVE_DOWN2,2,FALSE),FALSE),VLOOKUP(G211,NGPREVPRICES,3,FALSE),HLOOKUP(D211,Correllate,VLOOKUP(G211,CorMove,2,FALSE),FALSE),Q211-$C$3,R211,$CJ$5)*H211-CJ211</f>
        <v>625.73532882458312</v>
      </c>
      <c r="CI211" s="234">
        <f t="shared" si="265"/>
        <v>630.33677012880071</v>
      </c>
      <c r="CJ211" s="234">
        <f>_xll.xSPRDOPT((VLOOKUP(G211,NGPREVPRICES,2,FALSE)+HLOOKUP(D211,PREVCURVES,VLOOKUP(G211,MOVE_DOWN2,2,FALSE),FALSE)),VLOOKUP(G211,NGPREVPRICES,2,FALSE),CK211,VLOOKUP(G211,NGPREVPRICES,4,FALSE),HLOOKUP(D211,PREVVOLS,VLOOKUP(G211,MOVE_DOWN2,2,FALSE),FALSE),VLOOKUP(G211,NGPREVPRICES,3,FALSE),HLOOKUP(D211,Correllate,VLOOKUP(G211,CorMove,2,FALSE),FALSE),Q211-$CD$3,R211,$CJ$5)*H211</f>
        <v>-24777.477296877751</v>
      </c>
      <c r="CK211" s="235">
        <f t="shared" si="266"/>
        <v>1.6</v>
      </c>
      <c r="CL211" s="234"/>
      <c r="CM211" t="str">
        <f t="shared" si="267"/>
        <v>36831Curve Shift/Gamma</v>
      </c>
      <c r="CN211" t="str">
        <f t="shared" si="248"/>
        <v>36831Rho</v>
      </c>
      <c r="CO211" t="str">
        <f t="shared" si="249"/>
        <v>36831Drift</v>
      </c>
      <c r="CP211" t="str">
        <f t="shared" si="250"/>
        <v>36831Vega</v>
      </c>
      <c r="CQ211" t="str">
        <f t="shared" si="251"/>
        <v>36831Theta</v>
      </c>
    </row>
    <row r="212" spans="1:95" ht="12" customHeight="1" x14ac:dyDescent="0.25">
      <c r="A212" s="140" t="s">
        <v>281</v>
      </c>
      <c r="B212" t="s">
        <v>250</v>
      </c>
      <c r="C212" t="s">
        <v>379</v>
      </c>
      <c r="D212" s="4" t="s">
        <v>7</v>
      </c>
      <c r="E212" t="s">
        <v>20</v>
      </c>
      <c r="F212" t="s">
        <v>21</v>
      </c>
      <c r="G212" s="5">
        <v>36951</v>
      </c>
      <c r="H212" s="130">
        <v>500000</v>
      </c>
      <c r="I212">
        <v>2.1</v>
      </c>
      <c r="J212" s="53">
        <f t="shared" si="260"/>
        <v>4.2130000000000001</v>
      </c>
      <c r="K212" s="7">
        <f t="shared" si="261"/>
        <v>1.075</v>
      </c>
      <c r="L212" s="53">
        <f t="shared" si="262"/>
        <v>5.2880000000000003</v>
      </c>
      <c r="M212" s="157">
        <f t="shared" si="268"/>
        <v>6.8879814952706994E-2</v>
      </c>
      <c r="N212" s="4">
        <f t="shared" si="269"/>
        <v>0.53249999999999997</v>
      </c>
      <c r="O212" s="4">
        <f t="shared" si="270"/>
        <v>0.61199999999999999</v>
      </c>
      <c r="P212" s="9">
        <f t="shared" si="271"/>
        <v>0.83</v>
      </c>
      <c r="Q212" s="5">
        <f t="shared" si="254"/>
        <v>36949</v>
      </c>
      <c r="R212" s="4">
        <f t="shared" si="272"/>
        <v>1</v>
      </c>
      <c r="S212" s="158">
        <f>_xll.xSPRDOPT($L212,$J212,$I212,$M212,$O212,$N212,$P212,$Q212-$C$3,$R212,0)</f>
        <v>0.21751449148587743</v>
      </c>
      <c r="T212" s="159">
        <f>_xll.xSPRDOPT($L212,$J212,$I212,$M212,$O212,$N212,$P212,$Q212-$C$3,$R212,1)*H212</f>
        <v>143171.8616723133</v>
      </c>
      <c r="U212" s="160">
        <f t="shared" si="273"/>
        <v>108757.24574293871</v>
      </c>
      <c r="V212" s="159">
        <f>_xll.xSPRDOPT($L212,$J212,$I212,$M212,$O212,$N212,$P212,$Q212-$C$3,$R212,2)*H212</f>
        <v>-109199.3776451642</v>
      </c>
      <c r="W212" s="159">
        <f t="shared" si="274"/>
        <v>33972.484027149098</v>
      </c>
      <c r="X212" s="51" t="str">
        <f t="shared" si="255"/>
        <v>36951IF-TRANSCO/Z6</v>
      </c>
      <c r="Y212" s="418">
        <f t="shared" si="256"/>
        <v>50</v>
      </c>
      <c r="Z212" s="456">
        <f t="shared" si="257"/>
        <v>0.2863437233446266</v>
      </c>
      <c r="AA212" s="456">
        <f>_xll.xSPRDOPT($L212,$J212,$I212,$M212,$O212,$N212,$P212,$Q212-$C$3,$R212,3)</f>
        <v>0.24266426337892652</v>
      </c>
      <c r="AB212" s="456">
        <f>((_xll.xSPRDOPT($L212+AB$5,$J212,$I212,$M212,$O212,$N212,$P212,$Q212-$C$3,$R212,3)*$H212)/10000)/100</f>
        <v>0.12133213168946327</v>
      </c>
      <c r="AC212" s="456">
        <f>((_xll.xSPRDOPT($L212+$AB$5,$J212,$I212,$M212,$O212,$N212,$P212,$Q212-$C$3,$R212,7)*$H212)/100)</f>
        <v>-3831.9149030944</v>
      </c>
      <c r="AD212" s="456">
        <f>(_xll.xSPRDOPT($L212+$AB$5,$J212,$I212,$M212,$O212,$N212,$P212,$Q212-$C$3,$R212,9)/365)*$H212</f>
        <v>-615.46787026246216</v>
      </c>
      <c r="AE212">
        <f t="shared" si="258"/>
        <v>0</v>
      </c>
      <c r="AF212" s="456">
        <f t="shared" si="259"/>
        <v>4344.4602022579456</v>
      </c>
      <c r="AG212" s="456">
        <f>((_xll.xSPRDOPT($L212,$J212,$I212,$M212,$O212,$N212,$P212,$Q212-$C$3,$R212,6)*$H212)/100)</f>
        <v>-1573.9224594948216</v>
      </c>
      <c r="AH212" s="456">
        <f>((_xll.xSPRDOPT($L212,$J212,$I212,$M212,$O212,$N212,$P212,$Q212-$C$3,$R212,5)*$H212)/100)</f>
        <v>5149.573149319197</v>
      </c>
      <c r="AI212" s="456">
        <f>(((_xll.xSPRDOPT($L212,$J212,$I212,$M212,$O212,$N212,$P212,$Q212-$C$3,$R212,4)*$H212)/10000)/100)-AB212</f>
        <v>-2.79309200401264E-2</v>
      </c>
      <c r="AJ212" s="456"/>
      <c r="AK212" s="456"/>
      <c r="AL212" s="456"/>
      <c r="AM212" s="472"/>
      <c r="CC212" s="141">
        <f t="shared" si="263"/>
        <v>36951</v>
      </c>
      <c r="CD212" s="234">
        <f>_xll.xSPRDOPT((VLOOKUP(G212,NGPrices,2,FALSE)+HLOOKUP(D212,Prices,VLOOKUP(G212,move_down,2,FALSE),FALSE)),VLOOKUP(G212,NGPrices,2,FALSE),I212,VLOOKUP(G212,NGPREVPRICES,4,FALSE),HLOOKUP(D212,PREVVOLS,VLOOKUP(G212,MOVE_DOWN2,2,FALSE),FALSE),VLOOKUP(G212,NGPREVPRICES,3,FALSE),HLOOKUP(D212,Correllate,VLOOKUP(G212,CorMove,2,FALSE),FALSE),Q212-$CD$3,R212,$CD$5)*H212-CJ212</f>
        <v>0</v>
      </c>
      <c r="CE212" s="234">
        <f>_xll.xSPRDOPT((VLOOKUP(G212,NGPREVPRICES,2,FALSE)+HLOOKUP(D212,PREVCURVES,VLOOKUP(G212,MOVE_DOWN2,2,FALSE),FALSE)),VLOOKUP(G212,NGPREVPRICES,2,FALSE),CK212,VLOOKUP(G212,NGPrices,4,FALSE),HLOOKUP(D212,PREVVOLS,VLOOKUP(G212,MOVE_DOWN2,2,FALSE),FALSE),VLOOKUP(G212,NGPREVPRICES,3,FALSE),HLOOKUP(D212,Correllate,VLOOKUP(G212,CorMove,2,FALSE),FALSE),Q212-$CD$3,R212,$CJ$5)*H212-CJ212</f>
        <v>0</v>
      </c>
      <c r="CF212" s="10">
        <f t="shared" si="264"/>
        <v>-20.975855642973329</v>
      </c>
      <c r="CG212" s="234">
        <f>_xll.xSPRDOPT((VLOOKUP(G212,NGPREVPRICES,2,FALSE)+HLOOKUP(D212,PREVCURVES,VLOOKUP(G212,MOVE_DOWN2,2,FALSE),FALSE)),VLOOKUP(G212,NGPREVPRICES,2,FALSE),CK212,VLOOKUP(G212,NGPREVPRICES,4,FALSE),HLOOKUP(D212,VOLS,VLOOKUP(G212,move_down,2,FALSE),FALSE),VLOOKUP(G212,NGPrices,3,FALSE),HLOOKUP(D212,Correllate,VLOOKUP(G212,CorMove,2,FALSE),FALSE),Q212-$CD$3,R212,$CJ$5)*H212-CJ212</f>
        <v>0</v>
      </c>
      <c r="CH212" s="234">
        <f>_xll.xSPRDOPT((VLOOKUP(G212,NGPREVPRICES,2,FALSE)+HLOOKUP(D212,PREVCURVES,VLOOKUP(G212,MOVE_DOWN2,2,FALSE),FALSE)),VLOOKUP(G212,NGPREVPRICES,2,FALSE),CK212,VLOOKUP(G212,NGPREVPRICES,4,FALSE),HLOOKUP(D212,PREVVOLS,VLOOKUP(G212,MOVE_DOWN2,2,FALSE),FALSE),VLOOKUP(G212,NGPREVPRICES,3,FALSE),HLOOKUP(D212,Correllate,VLOOKUP(G212,CorMove,2,FALSE),FALSE),Q212-$C$3,R212,$CJ$5)*H212-CJ212</f>
        <v>-614.44408093842503</v>
      </c>
      <c r="CI212" s="234">
        <f t="shared" si="265"/>
        <v>-635.41993658139836</v>
      </c>
      <c r="CJ212" s="234">
        <f>_xll.xSPRDOPT((VLOOKUP(G212,NGPREVPRICES,2,FALSE)+HLOOKUP(D212,PREVCURVES,VLOOKUP(G212,MOVE_DOWN2,2,FALSE),FALSE)),VLOOKUP(G212,NGPREVPRICES,2,FALSE),CK212,VLOOKUP(G212,NGPREVPRICES,4,FALSE),HLOOKUP(D212,PREVVOLS,VLOOKUP(G212,MOVE_DOWN2,2,FALSE),FALSE),VLOOKUP(G212,NGPREVPRICES,3,FALSE),HLOOKUP(D212,Correllate,VLOOKUP(G212,CorMove,2,FALSE),FALSE),Q212-$CD$3,R212,$CJ$5)*H212</f>
        <v>109371.68982387714</v>
      </c>
      <c r="CK212" s="235">
        <f t="shared" si="266"/>
        <v>2.1</v>
      </c>
      <c r="CL212" s="234"/>
      <c r="CM212" t="str">
        <f t="shared" si="267"/>
        <v>36951Curve Shift/Gamma</v>
      </c>
      <c r="CN212" t="str">
        <f t="shared" si="248"/>
        <v>36951Rho</v>
      </c>
      <c r="CO212" t="str">
        <f t="shared" si="249"/>
        <v>36951Drift</v>
      </c>
      <c r="CP212" t="str">
        <f t="shared" si="250"/>
        <v>36951Vega</v>
      </c>
      <c r="CQ212" t="str">
        <f t="shared" si="251"/>
        <v>36951Theta</v>
      </c>
    </row>
    <row r="213" spans="1:95" ht="12" customHeight="1" x14ac:dyDescent="0.25">
      <c r="A213" s="140" t="s">
        <v>281</v>
      </c>
      <c r="B213" t="s">
        <v>250</v>
      </c>
      <c r="C213" t="s">
        <v>379</v>
      </c>
      <c r="D213" s="4" t="s">
        <v>7</v>
      </c>
      <c r="E213" t="s">
        <v>20</v>
      </c>
      <c r="F213" t="s">
        <v>21</v>
      </c>
      <c r="G213" s="5">
        <v>36923</v>
      </c>
      <c r="H213" s="130">
        <v>500000</v>
      </c>
      <c r="I213">
        <v>2.1</v>
      </c>
      <c r="J213" s="53">
        <f t="shared" si="260"/>
        <v>4.4800000000000004</v>
      </c>
      <c r="K213" s="7">
        <f t="shared" si="261"/>
        <v>2.09</v>
      </c>
      <c r="L213" s="53">
        <f t="shared" si="262"/>
        <v>6.57</v>
      </c>
      <c r="M213" s="157">
        <f t="shared" si="268"/>
        <v>6.8640161611372E-2</v>
      </c>
      <c r="N213" s="4">
        <f t="shared" si="269"/>
        <v>0.59250000000000003</v>
      </c>
      <c r="O213" s="4">
        <f t="shared" si="270"/>
        <v>0.68100000000000005</v>
      </c>
      <c r="P213" s="9">
        <f t="shared" si="271"/>
        <v>0.83</v>
      </c>
      <c r="Q213" s="5">
        <f t="shared" si="254"/>
        <v>36921</v>
      </c>
      <c r="R213" s="4">
        <f t="shared" si="272"/>
        <v>1</v>
      </c>
      <c r="S213" s="158">
        <f>_xll.xSPRDOPT($L213,$J213,$I213,$M213,$O213,$N213,$P213,$Q213-$C$3,$R213,0)</f>
        <v>0.67700182770897255</v>
      </c>
      <c r="T213" s="159">
        <f>_xll.xSPRDOPT($L213,$J213,$I213,$M213,$O213,$N213,$P213,$Q213-$C$3,$R213,1)*H213</f>
        <v>269450.30917204655</v>
      </c>
      <c r="U213" s="160">
        <f t="shared" si="273"/>
        <v>338500.91385448625</v>
      </c>
      <c r="V213" s="159">
        <f>_xll.xSPRDOPT($L213,$J213,$I213,$M213,$O213,$N213,$P213,$Q213-$C$3,$R213,2)*H213</f>
        <v>-226681.47158698126</v>
      </c>
      <c r="W213" s="159">
        <f t="shared" si="274"/>
        <v>42768.837585065281</v>
      </c>
      <c r="X213" s="51" t="str">
        <f t="shared" si="255"/>
        <v>36923IF-TRANSCO/Z6</v>
      </c>
      <c r="Y213" s="418">
        <f t="shared" si="256"/>
        <v>50</v>
      </c>
      <c r="Z213" s="456">
        <f t="shared" si="257"/>
        <v>0.53890061834409309</v>
      </c>
      <c r="AA213" s="456">
        <f>_xll.xSPRDOPT($L213,$J213,$I213,$M213,$O213,$N213,$P213,$Q213-$C$3,$R213,3)</f>
        <v>0.21842576980063325</v>
      </c>
      <c r="AB213" s="456">
        <f>((_xll.xSPRDOPT($L213+AB$5,$J213,$I213,$M213,$O213,$N213,$P213,$Q213-$C$3,$R213,3)*$H213)/10000)/100</f>
        <v>0.10921288490031662</v>
      </c>
      <c r="AC213" s="456">
        <f>((_xll.xSPRDOPT($L213+$AB$5,$J213,$I213,$M213,$O213,$N213,$P213,$Q213-$C$3,$R213,7)*$H213)/100)</f>
        <v>-5525.8540545012293</v>
      </c>
      <c r="AD213" s="456">
        <f>(_xll.xSPRDOPT($L213+$AB$5,$J213,$I213,$M213,$O213,$N213,$P213,$Q213-$C$3,$R213,9)/365)*$H213</f>
        <v>-1039.6875755965946</v>
      </c>
      <c r="AE213">
        <f t="shared" si="258"/>
        <v>0</v>
      </c>
      <c r="AF213" s="456">
        <f t="shared" si="259"/>
        <v>5731.6031675154245</v>
      </c>
      <c r="AG213" s="456">
        <f>((_xll.xSPRDOPT($L213,$J213,$I213,$M213,$O213,$N213,$P213,$Q213-$C$3,$R213,6)*$H213)/100)</f>
        <v>-2085.0778432548591</v>
      </c>
      <c r="AH213" s="456">
        <f>((_xll.xSPRDOPT($L213,$J213,$I213,$M213,$O213,$N213,$P213,$Q213-$C$3,$R213,5)*$H213)/100)</f>
        <v>6800.8568265512376</v>
      </c>
      <c r="AI213" s="456">
        <f>(((_xll.xSPRDOPT($L213,$J213,$I213,$M213,$O213,$N213,$P213,$Q213-$C$3,$R213,4)*$H213)/10000)/100)-AB213</f>
        <v>3.5895526083561807E-3</v>
      </c>
      <c r="AJ213" s="456"/>
      <c r="AK213" s="456"/>
      <c r="AL213" s="456"/>
      <c r="AM213" s="472"/>
      <c r="CC213" s="141">
        <f t="shared" si="263"/>
        <v>36923</v>
      </c>
      <c r="CD213" s="234">
        <f>_xll.xSPRDOPT((VLOOKUP(G213,NGPrices,2,FALSE)+HLOOKUP(D213,Prices,VLOOKUP(G213,move_down,2,FALSE),FALSE)),VLOOKUP(G213,NGPrices,2,FALSE),I213,VLOOKUP(G213,NGPREVPRICES,4,FALSE),HLOOKUP(D213,PREVVOLS,VLOOKUP(G213,MOVE_DOWN2,2,FALSE),FALSE),VLOOKUP(G213,NGPREVPRICES,3,FALSE),HLOOKUP(D213,Correllate,VLOOKUP(G213,CorMove,2,FALSE),FALSE),Q213-$CD$3,R213,$CD$5)*H213-CJ213</f>
        <v>0</v>
      </c>
      <c r="CE213" s="234">
        <f>_xll.xSPRDOPT((VLOOKUP(G213,NGPREVPRICES,2,FALSE)+HLOOKUP(D213,PREVCURVES,VLOOKUP(G213,MOVE_DOWN2,2,FALSE),FALSE)),VLOOKUP(G213,NGPREVPRICES,2,FALSE),CK213,VLOOKUP(G213,NGPrices,4,FALSE),HLOOKUP(D213,PREVVOLS,VLOOKUP(G213,MOVE_DOWN2,2,FALSE),FALSE),VLOOKUP(G213,NGPREVPRICES,3,FALSE),HLOOKUP(D213,Correllate,VLOOKUP(G213,CorMove,2,FALSE),FALSE),Q213-$CD$3,R213,$CJ$5)*H213-CJ213</f>
        <v>0</v>
      </c>
      <c r="CF213" s="10">
        <f t="shared" si="264"/>
        <v>-64.576189092709683</v>
      </c>
      <c r="CG213" s="234">
        <f>_xll.xSPRDOPT((VLOOKUP(G213,NGPREVPRICES,2,FALSE)+HLOOKUP(D213,PREVCURVES,VLOOKUP(G213,MOVE_DOWN2,2,FALSE),FALSE)),VLOOKUP(G213,NGPREVPRICES,2,FALSE),CK213,VLOOKUP(G213,NGPREVPRICES,4,FALSE),HLOOKUP(D213,VOLS,VLOOKUP(G213,move_down,2,FALSE),FALSE),VLOOKUP(G213,NGPrices,3,FALSE),HLOOKUP(D213,Correllate,VLOOKUP(G213,CorMove,2,FALSE),FALSE),Q213-$CD$3,R213,$CJ$5)*H213-CJ213</f>
        <v>0</v>
      </c>
      <c r="CH213" s="234">
        <f>_xll.xSPRDOPT((VLOOKUP(G213,NGPREVPRICES,2,FALSE)+HLOOKUP(D213,PREVCURVES,VLOOKUP(G213,MOVE_DOWN2,2,FALSE),FALSE)),VLOOKUP(G213,NGPREVPRICES,2,FALSE),CK213,VLOOKUP(G213,NGPREVPRICES,4,FALSE),HLOOKUP(D213,PREVVOLS,VLOOKUP(G213,MOVE_DOWN2,2,FALSE),FALSE),VLOOKUP(G213,NGPREVPRICES,3,FALSE),HLOOKUP(D213,Correllate,VLOOKUP(G213,CorMove,2,FALSE),FALSE),Q213-$C$3,R213,$CJ$5)*H213-CJ213</f>
        <v>-1036.969140406698</v>
      </c>
      <c r="CI213" s="234">
        <f t="shared" si="265"/>
        <v>-1101.5453294994077</v>
      </c>
      <c r="CJ213" s="234">
        <f>_xll.xSPRDOPT((VLOOKUP(G213,NGPREVPRICES,2,FALSE)+HLOOKUP(D213,PREVCURVES,VLOOKUP(G213,MOVE_DOWN2,2,FALSE),FALSE)),VLOOKUP(G213,NGPREVPRICES,2,FALSE),CK213,VLOOKUP(G213,NGPREVPRICES,4,FALSE),HLOOKUP(D213,PREVVOLS,VLOOKUP(G213,MOVE_DOWN2,2,FALSE),FALSE),VLOOKUP(G213,NGPREVPRICES,3,FALSE),HLOOKUP(D213,Correllate,VLOOKUP(G213,CorMove,2,FALSE),FALSE),Q213-$CD$3,R213,$CJ$5)*H213</f>
        <v>339537.88299489295</v>
      </c>
      <c r="CK213" s="235">
        <f t="shared" si="266"/>
        <v>2.1</v>
      </c>
      <c r="CL213" s="234"/>
      <c r="CM213" t="str">
        <f t="shared" si="267"/>
        <v>36923Curve Shift/Gamma</v>
      </c>
      <c r="CN213" t="str">
        <f t="shared" si="248"/>
        <v>36923Rho</v>
      </c>
      <c r="CO213" t="str">
        <f t="shared" si="249"/>
        <v>36923Drift</v>
      </c>
      <c r="CP213" t="str">
        <f t="shared" si="250"/>
        <v>36923Vega</v>
      </c>
      <c r="CQ213" t="str">
        <f t="shared" si="251"/>
        <v>36923Theta</v>
      </c>
    </row>
    <row r="214" spans="1:95" ht="12" customHeight="1" x14ac:dyDescent="0.25">
      <c r="A214" s="140" t="s">
        <v>281</v>
      </c>
      <c r="B214" t="s">
        <v>250</v>
      </c>
      <c r="C214" t="s">
        <v>379</v>
      </c>
      <c r="D214" s="4" t="s">
        <v>7</v>
      </c>
      <c r="E214" t="s">
        <v>20</v>
      </c>
      <c r="F214" t="s">
        <v>21</v>
      </c>
      <c r="G214" s="5">
        <v>36892</v>
      </c>
      <c r="H214" s="130">
        <v>500000</v>
      </c>
      <c r="I214">
        <v>2.1</v>
      </c>
      <c r="J214" s="53">
        <f t="shared" si="260"/>
        <v>4.7439999999999998</v>
      </c>
      <c r="K214" s="7">
        <f t="shared" si="261"/>
        <v>2.17</v>
      </c>
      <c r="L214" s="53">
        <f t="shared" si="262"/>
        <v>6.9139999999999997</v>
      </c>
      <c r="M214" s="157">
        <f t="shared" si="268"/>
        <v>6.8374831148490994E-2</v>
      </c>
      <c r="N214" s="4">
        <f t="shared" si="269"/>
        <v>0.60499999999999998</v>
      </c>
      <c r="O214" s="4">
        <f t="shared" si="270"/>
        <v>0.69599999999999995</v>
      </c>
      <c r="P214" s="9">
        <f t="shared" si="271"/>
        <v>0.83</v>
      </c>
      <c r="Q214" s="5">
        <f t="shared" si="254"/>
        <v>36888</v>
      </c>
      <c r="R214" s="4">
        <f t="shared" si="272"/>
        <v>1</v>
      </c>
      <c r="S214" s="158">
        <f>_xll.xSPRDOPT($L214,$J214,$I214,$M214,$O214,$N214,$P214,$Q214-$C$3,$R214,0)</f>
        <v>0.6814679884537268</v>
      </c>
      <c r="T214" s="159">
        <f>_xll.xSPRDOPT($L214,$J214,$I214,$M214,$O214,$N214,$P214,$Q214-$C$3,$R214,1)*H214</f>
        <v>277499.724437289</v>
      </c>
      <c r="U214" s="160">
        <f t="shared" si="273"/>
        <v>340733.99422686337</v>
      </c>
      <c r="V214" s="159">
        <f>_xll.xSPRDOPT($L214,$J214,$I214,$M214,$O214,$N214,$P214,$Q214-$C$3,$R214,2)*H214</f>
        <v>-238338.62408756564</v>
      </c>
      <c r="W214" s="159">
        <f t="shared" si="274"/>
        <v>39161.100349723361</v>
      </c>
      <c r="X214" s="51" t="str">
        <f t="shared" si="255"/>
        <v>36892IF-TRANSCO/Z6</v>
      </c>
      <c r="Y214" s="418">
        <f t="shared" si="256"/>
        <v>50</v>
      </c>
      <c r="Z214" s="456">
        <f t="shared" si="257"/>
        <v>0.55499944887457797</v>
      </c>
      <c r="AA214" s="456">
        <f>_xll.xSPRDOPT($L214,$J214,$I214,$M214,$O214,$N214,$P214,$Q214-$C$3,$R214,3)</f>
        <v>0.23056467019795601</v>
      </c>
      <c r="AB214" s="456">
        <f>((_xll.xSPRDOPT($L214+AB$5,$J214,$I214,$M214,$O214,$N214,$P214,$Q214-$C$3,$R214,3)*$H214)/10000)/100</f>
        <v>0.11528233509897801</v>
      </c>
      <c r="AC214" s="456">
        <f>((_xll.xSPRDOPT($L214+$AB$5,$J214,$I214,$M214,$O214,$N214,$P214,$Q214-$C$3,$R214,7)*$H214)/100)</f>
        <v>-5367.9026306558608</v>
      </c>
      <c r="AD214" s="456">
        <f>(_xll.xSPRDOPT($L214+$AB$5,$J214,$I214,$M214,$O214,$N214,$P214,$Q214-$C$3,$R214,9)/365)*$H214</f>
        <v>-1268.0761111542993</v>
      </c>
      <c r="AE214">
        <f t="shared" si="258"/>
        <v>0</v>
      </c>
      <c r="AF214" s="456">
        <f t="shared" si="259"/>
        <v>5323.974363201376</v>
      </c>
      <c r="AG214" s="456">
        <f>((_xll.xSPRDOPT($L214,$J214,$I214,$M214,$O214,$N214,$P214,$Q214-$C$3,$R214,6)*$H214)/100)</f>
        <v>-1929.517758535108</v>
      </c>
      <c r="AH214" s="456">
        <f>((_xll.xSPRDOPT($L214,$J214,$I214,$M214,$O214,$N214,$P214,$Q214-$C$3,$R214,5)*$H214)/100)</f>
        <v>6305.1188701876044</v>
      </c>
      <c r="AI214" s="456">
        <f>(((_xll.xSPRDOPT($L214,$J214,$I214,$M214,$O214,$N214,$P214,$Q214-$C$3,$R214,4)*$H214)/10000)/100)-AB214</f>
        <v>5.203732088644844E-3</v>
      </c>
      <c r="AJ214" s="456"/>
      <c r="AK214" s="456"/>
      <c r="AL214" s="456"/>
      <c r="AM214" s="472"/>
      <c r="CC214" s="141">
        <f t="shared" si="263"/>
        <v>36892</v>
      </c>
      <c r="CD214" s="234">
        <f>_xll.xSPRDOPT((VLOOKUP(G214,NGPrices,2,FALSE)+HLOOKUP(D214,Prices,VLOOKUP(G214,move_down,2,FALSE),FALSE)),VLOOKUP(G214,NGPrices,2,FALSE),I214,VLOOKUP(G214,NGPREVPRICES,4,FALSE),HLOOKUP(D214,PREVVOLS,VLOOKUP(G214,MOVE_DOWN2,2,FALSE),FALSE),VLOOKUP(G214,NGPREVPRICES,3,FALSE),HLOOKUP(D214,Correllate,VLOOKUP(G214,CorMove,2,FALSE),FALSE),Q214-$CD$3,R214,$CD$5)*H214-CJ214</f>
        <v>0</v>
      </c>
      <c r="CE214" s="234">
        <f>_xll.xSPRDOPT((VLOOKUP(G214,NGPREVPRICES,2,FALSE)+HLOOKUP(D214,PREVCURVES,VLOOKUP(G214,MOVE_DOWN2,2,FALSE),FALSE)),VLOOKUP(G214,NGPREVPRICES,2,FALSE),CK214,VLOOKUP(G214,NGPrices,4,FALSE),HLOOKUP(D214,PREVVOLS,VLOOKUP(G214,MOVE_DOWN2,2,FALSE),FALSE),VLOOKUP(G214,NGPREVPRICES,3,FALSE),HLOOKUP(D214,Correllate,VLOOKUP(G214,CorMove,2,FALSE),FALSE),Q214-$CD$3,R214,$CJ$5)*H214-CJ214</f>
        <v>0</v>
      </c>
      <c r="CF214" s="10">
        <f t="shared" si="264"/>
        <v>-64.446539041993674</v>
      </c>
      <c r="CG214" s="234">
        <f>_xll.xSPRDOPT((VLOOKUP(G214,NGPREVPRICES,2,FALSE)+HLOOKUP(D214,PREVCURVES,VLOOKUP(G214,MOVE_DOWN2,2,FALSE),FALSE)),VLOOKUP(G214,NGPREVPRICES,2,FALSE),CK214,VLOOKUP(G214,NGPREVPRICES,4,FALSE),HLOOKUP(D214,VOLS,VLOOKUP(G214,move_down,2,FALSE),FALSE),VLOOKUP(G214,NGPrices,3,FALSE),HLOOKUP(D214,Correllate,VLOOKUP(G214,CorMove,2,FALSE),FALSE),Q214-$CD$3,R214,$CJ$5)*H214-CJ214</f>
        <v>0</v>
      </c>
      <c r="CH214" s="234">
        <f>_xll.xSPRDOPT((VLOOKUP(G214,NGPREVPRICES,2,FALSE)+HLOOKUP(D214,PREVCURVES,VLOOKUP(G214,MOVE_DOWN2,2,FALSE),FALSE)),VLOOKUP(G214,NGPREVPRICES,2,FALSE),CK214,VLOOKUP(G214,NGPREVPRICES,4,FALSE),HLOOKUP(D214,PREVVOLS,VLOOKUP(G214,MOVE_DOWN2,2,FALSE),FALSE),VLOOKUP(G214,NGPREVPRICES,3,FALSE),HLOOKUP(D214,Correllate,VLOOKUP(G214,CorMove,2,FALSE),FALSE),Q214-$C$3,R214,$CJ$5)*H214-CJ214</f>
        <v>-1264.2062445867923</v>
      </c>
      <c r="CI214" s="234">
        <f t="shared" si="265"/>
        <v>-1328.652783628786</v>
      </c>
      <c r="CJ214" s="234">
        <f>_xll.xSPRDOPT((VLOOKUP(G214,NGPREVPRICES,2,FALSE)+HLOOKUP(D214,PREVCURVES,VLOOKUP(G214,MOVE_DOWN2,2,FALSE),FALSE)),VLOOKUP(G214,NGPREVPRICES,2,FALSE),CK214,VLOOKUP(G214,NGPREVPRICES,4,FALSE),HLOOKUP(D214,PREVVOLS,VLOOKUP(G214,MOVE_DOWN2,2,FALSE),FALSE),VLOOKUP(G214,NGPREVPRICES,3,FALSE),HLOOKUP(D214,Correllate,VLOOKUP(G214,CorMove,2,FALSE),FALSE),Q214-$CD$3,R214,$CJ$5)*H214</f>
        <v>341998.20047145017</v>
      </c>
      <c r="CK214" s="235">
        <f t="shared" si="266"/>
        <v>2.1</v>
      </c>
      <c r="CL214" s="234"/>
      <c r="CM214" t="str">
        <f t="shared" si="267"/>
        <v>36892Curve Shift/Gamma</v>
      </c>
      <c r="CN214" t="str">
        <f t="shared" si="248"/>
        <v>36892Rho</v>
      </c>
      <c r="CO214" t="str">
        <f t="shared" si="249"/>
        <v>36892Drift</v>
      </c>
      <c r="CP214" t="str">
        <f t="shared" si="250"/>
        <v>36892Vega</v>
      </c>
      <c r="CQ214" t="str">
        <f t="shared" si="251"/>
        <v>36892Theta</v>
      </c>
    </row>
    <row r="215" spans="1:95" ht="12" customHeight="1" x14ac:dyDescent="0.25">
      <c r="A215" s="140" t="s">
        <v>281</v>
      </c>
      <c r="B215" t="s">
        <v>250</v>
      </c>
      <c r="C215" t="s">
        <v>379</v>
      </c>
      <c r="D215" s="4" t="s">
        <v>7</v>
      </c>
      <c r="E215" t="s">
        <v>20</v>
      </c>
      <c r="F215" t="s">
        <v>21</v>
      </c>
      <c r="G215" s="5">
        <v>36861</v>
      </c>
      <c r="H215" s="130">
        <v>500000</v>
      </c>
      <c r="I215">
        <v>2.1</v>
      </c>
      <c r="J215" s="53">
        <f t="shared" si="260"/>
        <v>4.8</v>
      </c>
      <c r="K215" s="7">
        <f t="shared" si="261"/>
        <v>1.645</v>
      </c>
      <c r="L215" s="53">
        <f t="shared" si="262"/>
        <v>6.4450000000000003</v>
      </c>
      <c r="M215" s="157">
        <f t="shared" si="268"/>
        <v>6.8314027999354002E-2</v>
      </c>
      <c r="N215" s="4">
        <f t="shared" si="269"/>
        <v>0.6</v>
      </c>
      <c r="O215" s="4">
        <f t="shared" si="270"/>
        <v>0.69</v>
      </c>
      <c r="P215" s="9">
        <f t="shared" si="271"/>
        <v>0.83</v>
      </c>
      <c r="Q215" s="5">
        <f t="shared" si="254"/>
        <v>36859</v>
      </c>
      <c r="R215" s="4">
        <f t="shared" si="272"/>
        <v>1</v>
      </c>
      <c r="S215" s="158">
        <f>_xll.xSPRDOPT($L215,$J215,$I215,$M215,$O215,$N215,$P215,$Q215-$C$3,$R215,0)</f>
        <v>0.34853972883781353</v>
      </c>
      <c r="T215" s="159">
        <f>_xll.xSPRDOPT($L215,$J215,$I215,$M215,$O215,$N215,$P215,$Q215-$C$3,$R215,1)*H215</f>
        <v>203359.19356300906</v>
      </c>
      <c r="U215" s="160">
        <f t="shared" si="273"/>
        <v>174269.86441890677</v>
      </c>
      <c r="V215" s="159">
        <f>_xll.xSPRDOPT($L215,$J215,$I215,$M215,$O215,$N215,$P215,$Q215-$C$3,$R215,2)*H215</f>
        <v>-170586.77076056658</v>
      </c>
      <c r="W215" s="159">
        <f t="shared" si="274"/>
        <v>32772.422802442481</v>
      </c>
      <c r="X215" s="51" t="str">
        <f t="shared" si="255"/>
        <v>36861IF-TRANSCO/Z6</v>
      </c>
      <c r="Y215" s="418">
        <f t="shared" si="256"/>
        <v>50</v>
      </c>
      <c r="Z215" s="456">
        <f t="shared" si="257"/>
        <v>0.4067183871260181</v>
      </c>
      <c r="AA215" s="456">
        <f>_xll.xSPRDOPT($L215,$J215,$I215,$M215,$O215,$N215,$P215,$Q215-$C$3,$R215,3)</f>
        <v>0.28666758583460461</v>
      </c>
      <c r="AB215" s="456">
        <f>((_xll.xSPRDOPT($L215+AB$5,$J215,$I215,$M215,$O215,$N215,$P215,$Q215-$C$3,$R215,3)*$H215)/10000)/100</f>
        <v>0.14333379291730231</v>
      </c>
      <c r="AC215" s="456">
        <f>((_xll.xSPRDOPT($L215+$AB$5,$J215,$I215,$M215,$O215,$N215,$P215,$Q215-$C$3,$R215,7)*$H215)/100)</f>
        <v>-4393.1801078133021</v>
      </c>
      <c r="AD215" s="456">
        <f>(_xll.xSPRDOPT($L215+$AB$5,$J215,$I215,$M215,$O215,$N215,$P215,$Q215-$C$3,$R215,9)/365)*$H215</f>
        <v>-1363.7643556481414</v>
      </c>
      <c r="AE215">
        <f t="shared" si="258"/>
        <v>0</v>
      </c>
      <c r="AF215" s="456">
        <f t="shared" si="259"/>
        <v>4279.3040362737411</v>
      </c>
      <c r="AG215" s="456">
        <f>((_xll.xSPRDOPT($L215,$J215,$I215,$M215,$O215,$N215,$P215,$Q215-$C$3,$R215,6)*$H215)/100)</f>
        <v>-1543.2445774789912</v>
      </c>
      <c r="AH215" s="456">
        <f>((_xll.xSPRDOPT($L215,$J215,$I215,$M215,$O215,$N215,$P215,$Q215-$C$3,$R215,5)*$H215)/100)</f>
        <v>5063.0857510893329</v>
      </c>
      <c r="AI215" s="456">
        <f>(((_xll.xSPRDOPT($L215,$J215,$I215,$M215,$O215,$N215,$P215,$Q215-$C$3,$R215,4)*$H215)/10000)/100)-AB215</f>
        <v>-1.3122633365344666E-2</v>
      </c>
      <c r="AJ215" s="456"/>
      <c r="AK215" s="456"/>
      <c r="AL215" s="456"/>
      <c r="AM215" s="472"/>
      <c r="CC215" s="141">
        <f t="shared" si="263"/>
        <v>36861</v>
      </c>
      <c r="CD215" s="234">
        <f>_xll.xSPRDOPT((VLOOKUP(G215,NGPrices,2,FALSE)+HLOOKUP(D215,Prices,VLOOKUP(G215,move_down,2,FALSE),FALSE)),VLOOKUP(G215,NGPrices,2,FALSE),I215,VLOOKUP(G215,NGPREVPRICES,4,FALSE),HLOOKUP(D215,PREVVOLS,VLOOKUP(G215,MOVE_DOWN2,2,FALSE),FALSE),VLOOKUP(G215,NGPREVPRICES,3,FALSE),HLOOKUP(D215,Correllate,VLOOKUP(G215,CorMove,2,FALSE),FALSE),Q215-$CD$3,R215,$CD$5)*H215-CJ215</f>
        <v>0</v>
      </c>
      <c r="CE215" s="234">
        <f>_xll.xSPRDOPT((VLOOKUP(G215,NGPREVPRICES,2,FALSE)+HLOOKUP(D215,PREVCURVES,VLOOKUP(G215,MOVE_DOWN2,2,FALSE),FALSE)),VLOOKUP(G215,NGPREVPRICES,2,FALSE),CK215,VLOOKUP(G215,NGPrices,4,FALSE),HLOOKUP(D215,PREVVOLS,VLOOKUP(G215,MOVE_DOWN2,2,FALSE),FALSE),VLOOKUP(G215,NGPREVPRICES,3,FALSE),HLOOKUP(D215,Correllate,VLOOKUP(G215,CorMove,2,FALSE),FALSE),Q215-$CD$3,R215,$CJ$5)*H215-CJ215</f>
        <v>0</v>
      </c>
      <c r="CF215" s="10">
        <f t="shared" si="264"/>
        <v>-32.901982871699147</v>
      </c>
      <c r="CG215" s="234">
        <f>_xll.xSPRDOPT((VLOOKUP(G215,NGPREVPRICES,2,FALSE)+HLOOKUP(D215,PREVCURVES,VLOOKUP(G215,MOVE_DOWN2,2,FALSE),FALSE)),VLOOKUP(G215,NGPREVPRICES,2,FALSE),CK215,VLOOKUP(G215,NGPREVPRICES,4,FALSE),HLOOKUP(D215,VOLS,VLOOKUP(G215,move_down,2,FALSE),FALSE),VLOOKUP(G215,NGPrices,3,FALSE),HLOOKUP(D215,Correllate,VLOOKUP(G215,CorMove,2,FALSE),FALSE),Q215-$CD$3,R215,$CJ$5)*H215-CJ215</f>
        <v>0</v>
      </c>
      <c r="CH215" s="234">
        <f>_xll.xSPRDOPT((VLOOKUP(G215,NGPREVPRICES,2,FALSE)+HLOOKUP(D215,PREVCURVES,VLOOKUP(G215,MOVE_DOWN2,2,FALSE),FALSE)),VLOOKUP(G215,NGPREVPRICES,2,FALSE),CK215,VLOOKUP(G215,NGPREVPRICES,4,FALSE),HLOOKUP(D215,PREVVOLS,VLOOKUP(G215,MOVE_DOWN2,2,FALSE),FALSE),VLOOKUP(G215,NGPREVPRICES,3,FALSE),HLOOKUP(D215,Correllate,VLOOKUP(G215,CorMove,2,FALSE),FALSE),Q215-$C$3,R215,$CJ$5)*H215-CJ215</f>
        <v>-1359.1817980472406</v>
      </c>
      <c r="CI215" s="234">
        <f t="shared" si="265"/>
        <v>-1392.0837809189397</v>
      </c>
      <c r="CJ215" s="234">
        <f>_xll.xSPRDOPT((VLOOKUP(G215,NGPREVPRICES,2,FALSE)+HLOOKUP(D215,PREVCURVES,VLOOKUP(G215,MOVE_DOWN2,2,FALSE),FALSE)),VLOOKUP(G215,NGPREVPRICES,2,FALSE),CK215,VLOOKUP(G215,NGPREVPRICES,4,FALSE),HLOOKUP(D215,PREVVOLS,VLOOKUP(G215,MOVE_DOWN2,2,FALSE),FALSE),VLOOKUP(G215,NGPREVPRICES,3,FALSE),HLOOKUP(D215,Correllate,VLOOKUP(G215,CorMove,2,FALSE),FALSE),Q215-$CD$3,R215,$CJ$5)*H215</f>
        <v>175629.04621695401</v>
      </c>
      <c r="CK215" s="235">
        <f t="shared" si="266"/>
        <v>2.1</v>
      </c>
      <c r="CL215" s="234"/>
      <c r="CM215" t="str">
        <f t="shared" si="267"/>
        <v>36861Curve Shift/Gamma</v>
      </c>
      <c r="CN215" t="str">
        <f t="shared" si="248"/>
        <v>36861Rho</v>
      </c>
      <c r="CO215" t="str">
        <f t="shared" si="249"/>
        <v>36861Drift</v>
      </c>
      <c r="CP215" t="str">
        <f t="shared" si="250"/>
        <v>36861Vega</v>
      </c>
      <c r="CQ215" t="str">
        <f t="shared" si="251"/>
        <v>36861Theta</v>
      </c>
    </row>
    <row r="216" spans="1:95" ht="12" customHeight="1" x14ac:dyDescent="0.25">
      <c r="A216" s="140" t="s">
        <v>281</v>
      </c>
      <c r="B216" t="s">
        <v>250</v>
      </c>
      <c r="C216" t="s">
        <v>379</v>
      </c>
      <c r="D216" s="4" t="s">
        <v>7</v>
      </c>
      <c r="E216" t="s">
        <v>20</v>
      </c>
      <c r="F216" t="s">
        <v>21</v>
      </c>
      <c r="G216" s="5">
        <v>36831</v>
      </c>
      <c r="H216" s="130">
        <v>500000</v>
      </c>
      <c r="I216">
        <v>2.1</v>
      </c>
      <c r="J216" s="53">
        <f t="shared" si="260"/>
        <v>4.7359999999999998</v>
      </c>
      <c r="K216" s="7">
        <f t="shared" si="261"/>
        <v>0.77</v>
      </c>
      <c r="L216" s="53">
        <f t="shared" si="262"/>
        <v>5.5060000000000002</v>
      </c>
      <c r="M216" s="157">
        <f t="shared" si="268"/>
        <v>6.810675983792E-2</v>
      </c>
      <c r="N216" s="4">
        <f t="shared" si="269"/>
        <v>0.59499999999999997</v>
      </c>
      <c r="O216" s="4">
        <f t="shared" si="270"/>
        <v>0.625</v>
      </c>
      <c r="P216" s="9">
        <f t="shared" si="271"/>
        <v>0.89</v>
      </c>
      <c r="Q216" s="5">
        <f t="shared" si="254"/>
        <v>36829</v>
      </c>
      <c r="R216" s="4">
        <f t="shared" si="272"/>
        <v>1</v>
      </c>
      <c r="S216" s="158">
        <f>_xll.xSPRDOPT($L216,$J216,$I216,$M216,$O216,$N216,$P216,$Q216-$C$3,$R216,0)</f>
        <v>1.5563316234256138E-2</v>
      </c>
      <c r="T216" s="159">
        <f>_xll.xSPRDOPT($L216,$J216,$I216,$M216,$O216,$N216,$P216,$Q216-$C$3,$R216,1)*H216</f>
        <v>27377.111769453681</v>
      </c>
      <c r="U216" s="160">
        <f t="shared" si="273"/>
        <v>7781.6581171280686</v>
      </c>
      <c r="V216" s="159">
        <f>_xll.xSPRDOPT($L216,$J216,$I216,$M216,$O216,$N216,$P216,$Q216-$C$3,$R216,2)*H216</f>
        <v>-22201.104350093967</v>
      </c>
      <c r="W216" s="159">
        <f t="shared" si="274"/>
        <v>5176.0074193597138</v>
      </c>
      <c r="X216" s="51" t="str">
        <f t="shared" si="255"/>
        <v>36831IF-TRANSCO/Z6</v>
      </c>
      <c r="Y216" s="418">
        <f t="shared" si="256"/>
        <v>50</v>
      </c>
      <c r="Z216" s="456">
        <f t="shared" si="257"/>
        <v>5.4754223538907361E-2</v>
      </c>
      <c r="AA216" s="456">
        <f>_xll.xSPRDOPT($L216,$J216,$I216,$M216,$O216,$N216,$P216,$Q216-$C$3,$R216,3)</f>
        <v>0.15695901916470609</v>
      </c>
      <c r="AB216" s="456">
        <f>((_xll.xSPRDOPT($L216+AB$5,$J216,$I216,$M216,$O216,$N216,$P216,$Q216-$C$3,$R216,3)*$H216)/10000)/100</f>
        <v>7.8479509582353044E-2</v>
      </c>
      <c r="AC216" s="456">
        <f>((_xll.xSPRDOPT($L216+$AB$5,$J216,$I216,$M216,$O216,$N216,$P216,$Q216-$C$3,$R216,7)*$H216)/100)</f>
        <v>-1094.9634441469432</v>
      </c>
      <c r="AD216" s="456">
        <f>(_xll.xSPRDOPT($L216+$AB$5,$J216,$I216,$M216,$O216,$N216,$P216,$Q216-$C$3,$R216,9)/365)*$H216</f>
        <v>-314.0802830047387</v>
      </c>
      <c r="AE216">
        <f t="shared" si="258"/>
        <v>0</v>
      </c>
      <c r="AF216" s="456">
        <f t="shared" si="259"/>
        <v>657.12982183672534</v>
      </c>
      <c r="AG216" s="456">
        <f>((_xll.xSPRDOPT($L216,$J216,$I216,$M216,$O216,$N216,$P216,$Q216-$C$3,$R216,6)*$H216)/100)</f>
        <v>-356.41918222314308</v>
      </c>
      <c r="AH216" s="456">
        <f>((_xll.xSPRDOPT($L216,$J216,$I216,$M216,$O216,$N216,$P216,$Q216-$C$3,$R216,5)*$H216)/100)</f>
        <v>964.8986518649948</v>
      </c>
      <c r="AI216" s="456">
        <f>(((_xll.xSPRDOPT($L216,$J216,$I216,$M216,$O216,$N216,$P216,$Q216-$C$3,$R216,4)*$H216)/10000)/100)-AB216</f>
        <v>-2.1914718120996116E-2</v>
      </c>
      <c r="AJ216" s="456"/>
      <c r="AK216" s="456"/>
      <c r="AL216" s="456"/>
      <c r="AM216" s="472"/>
      <c r="CC216" s="141">
        <f t="shared" si="263"/>
        <v>36831</v>
      </c>
      <c r="CD216" s="234">
        <f>_xll.xSPRDOPT((VLOOKUP(G216,NGPrices,2,FALSE)+HLOOKUP(D216,Prices,VLOOKUP(G216,move_down,2,FALSE),FALSE)),VLOOKUP(G216,NGPrices,2,FALSE),I216,VLOOKUP(G216,NGPREVPRICES,4,FALSE),HLOOKUP(D216,PREVVOLS,VLOOKUP(G216,MOVE_DOWN2,2,FALSE),FALSE),VLOOKUP(G216,NGPREVPRICES,3,FALSE),HLOOKUP(D216,Correllate,VLOOKUP(G216,CorMove,2,FALSE),FALSE),Q216-$CD$3,R216,$CD$5)*H216-CJ216</f>
        <v>0</v>
      </c>
      <c r="CE216" s="234">
        <f>_xll.xSPRDOPT((VLOOKUP(G216,NGPREVPRICES,2,FALSE)+HLOOKUP(D216,PREVCURVES,VLOOKUP(G216,MOVE_DOWN2,2,FALSE),FALSE)),VLOOKUP(G216,NGPREVPRICES,2,FALSE),CK216,VLOOKUP(G216,NGPrices,4,FALSE),HLOOKUP(D216,PREVVOLS,VLOOKUP(G216,MOVE_DOWN2,2,FALSE),FALSE),VLOOKUP(G216,NGPREVPRICES,3,FALSE),HLOOKUP(D216,Correllate,VLOOKUP(G216,CorMove,2,FALSE),FALSE),Q216-$CD$3,R216,$CJ$5)*H216-CJ216</f>
        <v>0</v>
      </c>
      <c r="CF216" s="10">
        <f t="shared" si="264"/>
        <v>-1.5038314583998726</v>
      </c>
      <c r="CG216" s="234">
        <f>_xll.xSPRDOPT((VLOOKUP(G216,NGPREVPRICES,2,FALSE)+HLOOKUP(D216,PREVCURVES,VLOOKUP(G216,MOVE_DOWN2,2,FALSE),FALSE)),VLOOKUP(G216,NGPREVPRICES,2,FALSE),CK216,VLOOKUP(G216,NGPREVPRICES,4,FALSE),HLOOKUP(D216,VOLS,VLOOKUP(G216,move_down,2,FALSE),FALSE),VLOOKUP(G216,NGPrices,3,FALSE),HLOOKUP(D216,Correllate,VLOOKUP(G216,CorMove,2,FALSE),FALSE),Q216-$CD$3,R216,$CJ$5)*H216-CJ216</f>
        <v>0</v>
      </c>
      <c r="CH216" s="234">
        <f>_xll.xSPRDOPT((VLOOKUP(G216,NGPREVPRICES,2,FALSE)+HLOOKUP(D216,PREVCURVES,VLOOKUP(G216,MOVE_DOWN2,2,FALSE),FALSE)),VLOOKUP(G216,NGPREVPRICES,2,FALSE),CK216,VLOOKUP(G216,NGPREVPRICES,4,FALSE),HLOOKUP(D216,PREVVOLS,VLOOKUP(G216,MOVE_DOWN2,2,FALSE),FALSE),VLOOKUP(G216,NGPREVPRICES,3,FALSE),HLOOKUP(D216,Correllate,VLOOKUP(G216,CorMove,2,FALSE),FALSE),Q216-$C$3,R216,$CJ$5)*H216-CJ216</f>
        <v>-316.0546114176932</v>
      </c>
      <c r="CI216" s="234">
        <f t="shared" si="265"/>
        <v>-317.55844287609307</v>
      </c>
      <c r="CJ216" s="234">
        <f>_xll.xSPRDOPT((VLOOKUP(G216,NGPREVPRICES,2,FALSE)+HLOOKUP(D216,PREVCURVES,VLOOKUP(G216,MOVE_DOWN2,2,FALSE),FALSE)),VLOOKUP(G216,NGPREVPRICES,2,FALSE),CK216,VLOOKUP(G216,NGPREVPRICES,4,FALSE),HLOOKUP(D216,PREVVOLS,VLOOKUP(G216,MOVE_DOWN2,2,FALSE),FALSE),VLOOKUP(G216,NGPREVPRICES,3,FALSE),HLOOKUP(D216,Correllate,VLOOKUP(G216,CorMove,2,FALSE),FALSE),Q216-$CD$3,R216,$CJ$5)*H216</f>
        <v>8097.7127285457618</v>
      </c>
      <c r="CK216" s="235">
        <f t="shared" si="266"/>
        <v>2.1</v>
      </c>
      <c r="CL216" s="234"/>
      <c r="CM216" t="str">
        <f t="shared" si="267"/>
        <v>36831Curve Shift/Gamma</v>
      </c>
      <c r="CN216" t="str">
        <f t="shared" si="248"/>
        <v>36831Rho</v>
      </c>
      <c r="CO216" t="str">
        <f t="shared" si="249"/>
        <v>36831Drift</v>
      </c>
      <c r="CP216" t="str">
        <f t="shared" si="250"/>
        <v>36831Vega</v>
      </c>
      <c r="CQ216" t="str">
        <f t="shared" si="251"/>
        <v>36831Theta</v>
      </c>
    </row>
    <row r="217" spans="1:95" ht="12" customHeight="1" x14ac:dyDescent="0.25">
      <c r="A217" s="140" t="s">
        <v>286</v>
      </c>
      <c r="B217" t="s">
        <v>250</v>
      </c>
      <c r="C217" t="s">
        <v>380</v>
      </c>
      <c r="D217" s="4" t="s">
        <v>7</v>
      </c>
      <c r="E217" t="s">
        <v>20</v>
      </c>
      <c r="F217" t="s">
        <v>21</v>
      </c>
      <c r="G217" s="5">
        <v>36831</v>
      </c>
      <c r="H217" s="130">
        <v>1000000</v>
      </c>
      <c r="I217">
        <v>1</v>
      </c>
      <c r="J217" s="53">
        <f t="shared" si="260"/>
        <v>4.7359999999999998</v>
      </c>
      <c r="K217" s="7">
        <f t="shared" si="261"/>
        <v>0.77</v>
      </c>
      <c r="L217" s="53">
        <f t="shared" si="262"/>
        <v>5.5060000000000002</v>
      </c>
      <c r="M217" s="157">
        <f t="shared" si="268"/>
        <v>6.810675983792E-2</v>
      </c>
      <c r="N217" s="4">
        <f t="shared" si="269"/>
        <v>0.59499999999999997</v>
      </c>
      <c r="O217" s="4">
        <f t="shared" si="270"/>
        <v>0.625</v>
      </c>
      <c r="P217" s="9">
        <f t="shared" si="271"/>
        <v>0.89</v>
      </c>
      <c r="Q217" s="5">
        <f t="shared" si="254"/>
        <v>36829</v>
      </c>
      <c r="R217" s="4">
        <f t="shared" si="272"/>
        <v>1</v>
      </c>
      <c r="S217" s="158">
        <f>_xll.xSPRDOPT($L217,$J217,$I217,$M217,$O217,$N217,$P217,$Q217-$C$3,$R217,0)</f>
        <v>0.16844177648588188</v>
      </c>
      <c r="T217" s="159">
        <f>_xll.xSPRDOPT($L217,$J217,$I217,$M217,$O217,$N217,$P217,$Q217-$C$3,$R217,1)*H217</f>
        <v>386136.45574664604</v>
      </c>
      <c r="U217" s="160">
        <f t="shared" si="273"/>
        <v>168441.77648588188</v>
      </c>
      <c r="V217" s="159">
        <f>_xll.xSPRDOPT($L217,$J217,$I217,$M217,$O217,$N217,$P217,$Q217-$C$3,$R217,2)*H217</f>
        <v>-344685.89366286009</v>
      </c>
      <c r="W217" s="159">
        <f t="shared" si="274"/>
        <v>41450.562083785946</v>
      </c>
      <c r="X217" s="51" t="str">
        <f t="shared" si="255"/>
        <v>36831IF-TRANSCO/Z6</v>
      </c>
      <c r="Y217" s="418">
        <f t="shared" si="256"/>
        <v>100</v>
      </c>
      <c r="Z217" s="456">
        <f t="shared" si="257"/>
        <v>0.38613645574664601</v>
      </c>
      <c r="AA217" s="456">
        <f>_xll.xSPRDOPT($L217,$J217,$I217,$M217,$O217,$N217,$P217,$Q217-$C$3,$R217,3)</f>
        <v>0.57258794695311976</v>
      </c>
      <c r="AB217" s="456">
        <f>((_xll.xSPRDOPT($L217+AB$5,$J217,$I217,$M217,$O217,$N217,$P217,$Q217-$C$3,$R217,3)*$H217)/10000)/100</f>
        <v>0.57258794695311965</v>
      </c>
      <c r="AC217" s="456">
        <f>((_xll.xSPRDOPT($L217+$AB$5,$J217,$I217,$M217,$O217,$N217,$P217,$Q217-$C$3,$R217,7)*$H217)/100)</f>
        <v>-9087.8127664351177</v>
      </c>
      <c r="AD217" s="456">
        <f>(_xll.xSPRDOPT($L217+$AB$5,$J217,$I217,$M217,$O217,$N217,$P217,$Q217-$C$3,$R217,9)/365)*$H217</f>
        <v>-2002.7140312594049</v>
      </c>
      <c r="AE217">
        <f t="shared" si="258"/>
        <v>0</v>
      </c>
      <c r="AF217" s="456">
        <f t="shared" si="259"/>
        <v>4236.3233387389027</v>
      </c>
      <c r="AG217" s="456">
        <f>((_xll.xSPRDOPT($L217,$J217,$I217,$M217,$O217,$N217,$P217,$Q217-$C$3,$R217,6)*$H217)/100)</f>
        <v>-1514.7017230021625</v>
      </c>
      <c r="AH217" s="456">
        <f>((_xll.xSPRDOPT($L217,$J217,$I217,$M217,$O217,$N217,$P217,$Q217-$C$3,$R217,5)*$H217)/100)</f>
        <v>5474.9758587774941</v>
      </c>
      <c r="AI217" s="456">
        <f>(((_xll.xSPRDOPT($L217,$J217,$I217,$M217,$O217,$N217,$P217,$Q217-$C$3,$R217,4)*$H217)/10000)/100)-AB217</f>
        <v>-3.9392921170871564E-2</v>
      </c>
      <c r="AJ217" s="456"/>
      <c r="AK217" s="456"/>
      <c r="AL217" s="456"/>
      <c r="AM217" s="472"/>
      <c r="CC217" s="141">
        <f t="shared" si="263"/>
        <v>36831</v>
      </c>
      <c r="CD217" s="234">
        <f>_xll.xSPRDOPT((VLOOKUP(G217,NGPrices,2,FALSE)+HLOOKUP(D217,Prices,VLOOKUP(G217,move_down,2,FALSE),FALSE)),VLOOKUP(G217,NGPrices,2,FALSE),I217,VLOOKUP(G217,NGPREVPRICES,4,FALSE),HLOOKUP(D217,PREVVOLS,VLOOKUP(G217,MOVE_DOWN2,2,FALSE),FALSE),VLOOKUP(G217,NGPREVPRICES,3,FALSE),HLOOKUP(D217,Correllate,VLOOKUP(G217,CorMove,2,FALSE),FALSE),Q217-$CD$3,R217,$CD$5)*H217-CJ217</f>
        <v>0</v>
      </c>
      <c r="CE217" s="234">
        <f>_xll.xSPRDOPT((VLOOKUP(G217,NGPREVPRICES,2,FALSE)+HLOOKUP(D217,PREVCURVES,VLOOKUP(G217,MOVE_DOWN2,2,FALSE),FALSE)),VLOOKUP(G217,NGPREVPRICES,2,FALSE),CK217,VLOOKUP(G217,NGPrices,4,FALSE),HLOOKUP(D217,PREVVOLS,VLOOKUP(G217,MOVE_DOWN2,2,FALSE),FALSE),VLOOKUP(G217,NGPREVPRICES,3,FALSE),HLOOKUP(D217,Correllate,VLOOKUP(G217,CorMove,2,FALSE),FALSE),Q217-$CD$3,R217,$CJ$5)*H217-CJ217</f>
        <v>0</v>
      </c>
      <c r="CF217" s="10">
        <f t="shared" si="264"/>
        <v>-31.651698591507738</v>
      </c>
      <c r="CG217" s="234">
        <f>_xll.xSPRDOPT((VLOOKUP(G217,NGPREVPRICES,2,FALSE)+HLOOKUP(D217,PREVCURVES,VLOOKUP(G217,MOVE_DOWN2,2,FALSE),FALSE)),VLOOKUP(G217,NGPREVPRICES,2,FALSE),CK217,VLOOKUP(G217,NGPREVPRICES,4,FALSE),HLOOKUP(D217,VOLS,VLOOKUP(G217,move_down,2,FALSE),FALSE),VLOOKUP(G217,NGPrices,3,FALSE),HLOOKUP(D217,Correllate,VLOOKUP(G217,CorMove,2,FALSE),FALSE),Q217-$CD$3,R217,$CJ$5)*H217-CJ217</f>
        <v>0</v>
      </c>
      <c r="CH217" s="234">
        <f>_xll.xSPRDOPT((VLOOKUP(G217,NGPREVPRICES,2,FALSE)+HLOOKUP(D217,PREVCURVES,VLOOKUP(G217,MOVE_DOWN2,2,FALSE),FALSE)),VLOOKUP(G217,NGPREVPRICES,2,FALSE),CK217,VLOOKUP(G217,NGPREVPRICES,4,FALSE),HLOOKUP(D217,PREVVOLS,VLOOKUP(G217,MOVE_DOWN2,2,FALSE),FALSE),VLOOKUP(G217,NGPREVPRICES,3,FALSE),HLOOKUP(D217,Correllate,VLOOKUP(G217,CorMove,2,FALSE),FALSE),Q217-$C$3,R217,$CJ$5)*H217-CJ217</f>
        <v>-1993.787375289161</v>
      </c>
      <c r="CI217" s="234">
        <f t="shared" si="265"/>
        <v>-2025.4390738806687</v>
      </c>
      <c r="CJ217" s="234">
        <f>_xll.xSPRDOPT((VLOOKUP(G217,NGPREVPRICES,2,FALSE)+HLOOKUP(D217,PREVCURVES,VLOOKUP(G217,MOVE_DOWN2,2,FALSE),FALSE)),VLOOKUP(G217,NGPREVPRICES,2,FALSE),CK217,VLOOKUP(G217,NGPREVPRICES,4,FALSE),HLOOKUP(D217,PREVVOLS,VLOOKUP(G217,MOVE_DOWN2,2,FALSE),FALSE),VLOOKUP(G217,NGPREVPRICES,3,FALSE),HLOOKUP(D217,Correllate,VLOOKUP(G217,CorMove,2,FALSE),FALSE),Q217-$CD$3,R217,$CJ$5)*H217</f>
        <v>170435.56386117105</v>
      </c>
      <c r="CK217" s="235">
        <f t="shared" si="266"/>
        <v>1</v>
      </c>
      <c r="CL217" s="234"/>
      <c r="CM217" t="str">
        <f t="shared" si="267"/>
        <v>36831Curve Shift/Gamma</v>
      </c>
      <c r="CN217" t="str">
        <f t="shared" si="248"/>
        <v>36831Rho</v>
      </c>
      <c r="CO217" t="str">
        <f t="shared" si="249"/>
        <v>36831Drift</v>
      </c>
      <c r="CP217" t="str">
        <f t="shared" si="250"/>
        <v>36831Vega</v>
      </c>
      <c r="CQ217" t="str">
        <f t="shared" si="251"/>
        <v>36831Theta</v>
      </c>
    </row>
    <row r="218" spans="1:95" ht="12" customHeight="1" x14ac:dyDescent="0.25">
      <c r="A218" s="140" t="s">
        <v>383</v>
      </c>
      <c r="B218" t="s">
        <v>250</v>
      </c>
      <c r="C218" t="s">
        <v>381</v>
      </c>
      <c r="D218" s="4" t="s">
        <v>7</v>
      </c>
      <c r="E218" t="s">
        <v>20</v>
      </c>
      <c r="F218" t="s">
        <v>21</v>
      </c>
      <c r="G218" s="5">
        <v>36951</v>
      </c>
      <c r="H218" s="130">
        <v>-310000</v>
      </c>
      <c r="I218">
        <v>1.6</v>
      </c>
      <c r="J218" s="53">
        <f t="shared" si="260"/>
        <v>4.2130000000000001</v>
      </c>
      <c r="K218" s="7">
        <f t="shared" si="261"/>
        <v>1.075</v>
      </c>
      <c r="L218" s="53">
        <f t="shared" si="262"/>
        <v>5.2880000000000003</v>
      </c>
      <c r="M218" s="157">
        <f t="shared" si="268"/>
        <v>6.8879814952706994E-2</v>
      </c>
      <c r="N218" s="4">
        <f t="shared" si="269"/>
        <v>0.53249999999999997</v>
      </c>
      <c r="O218" s="4">
        <f t="shared" si="270"/>
        <v>0.61199999999999999</v>
      </c>
      <c r="P218" s="9">
        <f t="shared" si="271"/>
        <v>0.83</v>
      </c>
      <c r="Q218" s="5">
        <f t="shared" si="254"/>
        <v>36949</v>
      </c>
      <c r="R218" s="4">
        <f t="shared" si="272"/>
        <v>1</v>
      </c>
      <c r="S218" s="158">
        <f>_xll.xSPRDOPT($L218,$J218,$I218,$M218,$O218,$N218,$P218,$Q218-$C$3,$R218,0)</f>
        <v>0.32865712182356605</v>
      </c>
      <c r="T218" s="159">
        <f>_xll.xSPRDOPT($L218,$J218,$I218,$M218,$O218,$N218,$P218,$Q218-$C$3,$R218,1)*H218</f>
        <v>-121762.05191402929</v>
      </c>
      <c r="U218" s="160">
        <f t="shared" si="273"/>
        <v>-101883.70776530547</v>
      </c>
      <c r="V218" s="159">
        <f>_xll.xSPRDOPT($L218,$J218,$I218,$M218,$O218,$N218,$P218,$Q218-$C$3,$R218,2)*H218</f>
        <v>96733.967326517173</v>
      </c>
      <c r="W218" s="159">
        <f t="shared" si="274"/>
        <v>-25028.084587512116</v>
      </c>
      <c r="X218" s="51" t="str">
        <f t="shared" si="255"/>
        <v>36951IF-TRANSCO/Z6</v>
      </c>
      <c r="Y218" s="418">
        <f t="shared" si="256"/>
        <v>-31</v>
      </c>
      <c r="Z218" s="456">
        <f t="shared" si="257"/>
        <v>0.39278081262590092</v>
      </c>
      <c r="AA218" s="456">
        <f>_xll.xSPRDOPT($L218,$J218,$I218,$M218,$O218,$N218,$P218,$Q218-$C$3,$R218,3)</f>
        <v>0.27838187776051626</v>
      </c>
      <c r="AB218" s="456">
        <f>((_xll.xSPRDOPT($L218+AB$5,$J218,$I218,$M218,$O218,$N218,$P218,$Q218-$C$3,$R218,3)*$H218)/10000)/100</f>
        <v>-8.6298382105760046E-2</v>
      </c>
      <c r="AC218" s="456">
        <f>((_xll.xSPRDOPT($L218+$AB$5,$J218,$I218,$M218,$O218,$N218,$P218,$Q218-$C$3,$R218,7)*$H218)/100)</f>
        <v>2897.1386800626374</v>
      </c>
      <c r="AD218" s="456">
        <f>(_xll.xSPRDOPT($L218+$AB$5,$J218,$I218,$M218,$O218,$N218,$P218,$Q218-$C$3,$R218,9)/365)*$H218</f>
        <v>413.21443371518563</v>
      </c>
      <c r="AE218">
        <f t="shared" si="258"/>
        <v>0</v>
      </c>
      <c r="AF218" s="456">
        <f t="shared" si="259"/>
        <v>-2954.0059640794998</v>
      </c>
      <c r="AG218" s="456">
        <f>((_xll.xSPRDOPT($L218,$J218,$I218,$M218,$O218,$N218,$P218,$Q218-$C$3,$R218,6)*$H218)/100)</f>
        <v>987.92149726948151</v>
      </c>
      <c r="AH218" s="456">
        <f>((_xll.xSPRDOPT($L218,$J218,$I218,$M218,$O218,$N218,$P218,$Q218-$C$3,$R218,5)*$H218)/100)</f>
        <v>-3429.8633548502166</v>
      </c>
      <c r="AI218" s="456">
        <f>(((_xll.xSPRDOPT($L218,$J218,$I218,$M218,$O218,$N218,$P218,$Q218-$C$3,$R218,4)*$H218)/10000)/100)-AB218</f>
        <v>1.1391807190917161E-2</v>
      </c>
      <c r="AJ218" s="456"/>
      <c r="AK218" s="456"/>
      <c r="AL218" s="456"/>
      <c r="AM218" s="472"/>
      <c r="CC218" s="141">
        <f t="shared" si="263"/>
        <v>36951</v>
      </c>
      <c r="CD218" s="234">
        <f>_xll.xSPRDOPT((VLOOKUP(G218,NGPrices,2,FALSE)+HLOOKUP(D218,Prices,VLOOKUP(G218,move_down,2,FALSE),FALSE)),VLOOKUP(G218,NGPrices,2,FALSE),I218,VLOOKUP(G218,NGPREVPRICES,4,FALSE),HLOOKUP(D218,PREVVOLS,VLOOKUP(G218,MOVE_DOWN2,2,FALSE),FALSE),VLOOKUP(G218,NGPREVPRICES,3,FALSE),HLOOKUP(D218,Correllate,VLOOKUP(G218,CorMove,2,FALSE),FALSE),Q218-$CD$3,R218,$CD$5)*H218-CJ218</f>
        <v>0</v>
      </c>
      <c r="CE218" s="234">
        <f>_xll.xSPRDOPT((VLOOKUP(G218,NGPREVPRICES,2,FALSE)+HLOOKUP(D218,PREVCURVES,VLOOKUP(G218,MOVE_DOWN2,2,FALSE),FALSE)),VLOOKUP(G218,NGPREVPRICES,2,FALSE),CK218,VLOOKUP(G218,NGPrices,4,FALSE),HLOOKUP(D218,PREVVOLS,VLOOKUP(G218,MOVE_DOWN2,2,FALSE),FALSE),VLOOKUP(G218,NGPREVPRICES,3,FALSE),HLOOKUP(D218,Correllate,VLOOKUP(G218,CorMove,2,FALSE),FALSE),Q218-$CD$3,R218,$CJ$5)*H218-CJ218</f>
        <v>0</v>
      </c>
      <c r="CF218" s="10">
        <f t="shared" si="264"/>
        <v>19.618852425570367</v>
      </c>
      <c r="CG218" s="234">
        <f>_xll.xSPRDOPT((VLOOKUP(G218,NGPREVPRICES,2,FALSE)+HLOOKUP(D218,PREVCURVES,VLOOKUP(G218,MOVE_DOWN2,2,FALSE),FALSE)),VLOOKUP(G218,NGPREVPRICES,2,FALSE),CK218,VLOOKUP(G218,NGPREVPRICES,4,FALSE),HLOOKUP(D218,VOLS,VLOOKUP(G218,move_down,2,FALSE),FALSE),VLOOKUP(G218,NGPrices,3,FALSE),HLOOKUP(D218,Correllate,VLOOKUP(G218,CorMove,2,FALSE),FALSE),Q218-$CD$3,R218,$CJ$5)*H218-CJ218</f>
        <v>0</v>
      </c>
      <c r="CH218" s="234">
        <f>_xll.xSPRDOPT((VLOOKUP(G218,NGPREVPRICES,2,FALSE)+HLOOKUP(D218,PREVCURVES,VLOOKUP(G218,MOVE_DOWN2,2,FALSE),FALSE)),VLOOKUP(G218,NGPREVPRICES,2,FALSE),CK218,VLOOKUP(G218,NGPREVPRICES,4,FALSE),HLOOKUP(D218,PREVVOLS,VLOOKUP(G218,MOVE_DOWN2,2,FALSE),FALSE),VLOOKUP(G218,NGPREVPRICES,3,FALSE),HLOOKUP(D218,Correllate,VLOOKUP(G218,CorMove,2,FALSE),FALSE),Q218-$C$3,R218,$CJ$5)*H218-CJ218</f>
        <v>412.33577695599524</v>
      </c>
      <c r="CI218" s="234">
        <f t="shared" si="265"/>
        <v>431.95462938156561</v>
      </c>
      <c r="CJ218" s="234">
        <f>_xll.xSPRDOPT((VLOOKUP(G218,NGPREVPRICES,2,FALSE)+HLOOKUP(D218,PREVCURVES,VLOOKUP(G218,MOVE_DOWN2,2,FALSE),FALSE)),VLOOKUP(G218,NGPREVPRICES,2,FALSE),CK218,VLOOKUP(G218,NGPREVPRICES,4,FALSE),HLOOKUP(D218,PREVVOLS,VLOOKUP(G218,MOVE_DOWN2,2,FALSE),FALSE),VLOOKUP(G218,NGPREVPRICES,3,FALSE),HLOOKUP(D218,Correllate,VLOOKUP(G218,CorMove,2,FALSE),FALSE),Q218-$CD$3,R218,$CJ$5)*H218</f>
        <v>-102296.04354226147</v>
      </c>
      <c r="CK218" s="235">
        <f t="shared" si="266"/>
        <v>1.6</v>
      </c>
      <c r="CL218" s="234"/>
      <c r="CM218" t="str">
        <f t="shared" si="267"/>
        <v>36951Curve Shift/Gamma</v>
      </c>
      <c r="CN218" t="str">
        <f t="shared" si="248"/>
        <v>36951Rho</v>
      </c>
      <c r="CO218" t="str">
        <f t="shared" si="249"/>
        <v>36951Drift</v>
      </c>
      <c r="CP218" t="str">
        <f t="shared" si="250"/>
        <v>36951Vega</v>
      </c>
      <c r="CQ218" t="str">
        <f t="shared" si="251"/>
        <v>36951Theta</v>
      </c>
    </row>
    <row r="219" spans="1:95" ht="12" customHeight="1" x14ac:dyDescent="0.25">
      <c r="A219" s="140" t="s">
        <v>383</v>
      </c>
      <c r="B219" t="s">
        <v>250</v>
      </c>
      <c r="C219" t="s">
        <v>381</v>
      </c>
      <c r="D219" s="4" t="s">
        <v>7</v>
      </c>
      <c r="E219" t="s">
        <v>20</v>
      </c>
      <c r="F219" t="s">
        <v>21</v>
      </c>
      <c r="G219" s="5">
        <v>36923</v>
      </c>
      <c r="H219" s="130">
        <v>-280000</v>
      </c>
      <c r="I219">
        <v>1.6</v>
      </c>
      <c r="J219" s="53">
        <f t="shared" si="260"/>
        <v>4.4800000000000004</v>
      </c>
      <c r="K219" s="7">
        <f t="shared" si="261"/>
        <v>2.09</v>
      </c>
      <c r="L219" s="53">
        <f t="shared" si="262"/>
        <v>6.57</v>
      </c>
      <c r="M219" s="157">
        <f t="shared" si="268"/>
        <v>6.8640161611372E-2</v>
      </c>
      <c r="N219" s="4">
        <f t="shared" si="269"/>
        <v>0.59250000000000003</v>
      </c>
      <c r="O219" s="4">
        <f t="shared" si="270"/>
        <v>0.68100000000000005</v>
      </c>
      <c r="P219" s="9">
        <f t="shared" si="271"/>
        <v>0.83</v>
      </c>
      <c r="Q219" s="5">
        <f t="shared" si="254"/>
        <v>36921</v>
      </c>
      <c r="R219" s="4">
        <f t="shared" si="272"/>
        <v>1</v>
      </c>
      <c r="S219" s="158">
        <f>_xll.xSPRDOPT($L219,$J219,$I219,$M219,$O219,$N219,$P219,$Q219-$C$3,$R219,0)</f>
        <v>0.90434668378695238</v>
      </c>
      <c r="T219" s="159">
        <f>_xll.xSPRDOPT($L219,$J219,$I219,$M219,$O219,$N219,$P219,$Q219-$C$3,$R219,1)*H219</f>
        <v>-181610.39171432247</v>
      </c>
      <c r="U219" s="160">
        <f t="shared" si="273"/>
        <v>-253217.07146034666</v>
      </c>
      <c r="V219" s="159">
        <f>_xll.xSPRDOPT($L219,$J219,$I219,$M219,$O219,$N219,$P219,$Q219-$C$3,$R219,2)*H219</f>
        <v>158177.54772977065</v>
      </c>
      <c r="W219" s="159">
        <f t="shared" si="274"/>
        <v>-23432.843984551815</v>
      </c>
      <c r="X219" s="51" t="str">
        <f t="shared" si="255"/>
        <v>36923IF-TRANSCO/Z6</v>
      </c>
      <c r="Y219" s="418">
        <f t="shared" si="256"/>
        <v>-28</v>
      </c>
      <c r="Z219" s="456">
        <f t="shared" si="257"/>
        <v>0.648608541836866</v>
      </c>
      <c r="AA219" s="456">
        <f>_xll.xSPRDOPT($L219,$J219,$I219,$M219,$O219,$N219,$P219,$Q219-$C$3,$R219,3)</f>
        <v>0.20562130469864384</v>
      </c>
      <c r="AB219" s="456">
        <f>((_xll.xSPRDOPT($L219+AB$5,$J219,$I219,$M219,$O219,$N219,$P219,$Q219-$C$3,$R219,3)*$H219)/10000)/100</f>
        <v>-5.7573965315620271E-2</v>
      </c>
      <c r="AC219" s="456">
        <f>((_xll.xSPRDOPT($L219+$AB$5,$J219,$I219,$M219,$O219,$N219,$P219,$Q219-$C$3,$R219,7)*$H219)/100)</f>
        <v>3110.6122323549803</v>
      </c>
      <c r="AD219" s="456">
        <f>(_xll.xSPRDOPT($L219+$AB$5,$J219,$I219,$M219,$O219,$N219,$P219,$Q219-$C$3,$R219,9)/365)*$H219</f>
        <v>506.33982199482489</v>
      </c>
      <c r="AE219">
        <f t="shared" si="258"/>
        <v>0</v>
      </c>
      <c r="AF219" s="456">
        <f t="shared" si="259"/>
        <v>-2877.6788473501024</v>
      </c>
      <c r="AG219" s="456">
        <f>((_xll.xSPRDOPT($L219,$J219,$I219,$M219,$O219,$N219,$P219,$Q219-$C$3,$R219,6)*$H219)/100)</f>
        <v>966.34222349514039</v>
      </c>
      <c r="AH219" s="456">
        <f>((_xll.xSPRDOPT($L219,$J219,$I219,$M219,$O219,$N219,$P219,$Q219-$C$3,$R219,5)*$H219)/100)</f>
        <v>-3344.4676717706402</v>
      </c>
      <c r="AI219" s="456">
        <f>(((_xll.xSPRDOPT($L219,$J219,$I219,$M219,$O219,$N219,$P219,$Q219-$C$3,$R219,4)*$H219)/10000)/100)-AB219</f>
        <v>-1.0060533610749198E-2</v>
      </c>
      <c r="AJ219" s="456"/>
      <c r="AK219" s="456"/>
      <c r="AL219" s="456"/>
      <c r="AM219" s="472"/>
      <c r="CC219" s="141">
        <f t="shared" si="263"/>
        <v>36923</v>
      </c>
      <c r="CD219" s="234">
        <f>_xll.xSPRDOPT((VLOOKUP(G219,NGPrices,2,FALSE)+HLOOKUP(D219,Prices,VLOOKUP(G219,move_down,2,FALSE),FALSE)),VLOOKUP(G219,NGPrices,2,FALSE),I219,VLOOKUP(G219,NGPREVPRICES,4,FALSE),HLOOKUP(D219,PREVVOLS,VLOOKUP(G219,MOVE_DOWN2,2,FALSE),FALSE),VLOOKUP(G219,NGPREVPRICES,3,FALSE),HLOOKUP(D219,Correllate,VLOOKUP(G219,CorMove,2,FALSE),FALSE),Q219-$CD$3,R219,$CD$5)*H219-CJ219</f>
        <v>0</v>
      </c>
      <c r="CE219" s="234">
        <f>_xll.xSPRDOPT((VLOOKUP(G219,NGPREVPRICES,2,FALSE)+HLOOKUP(D219,PREVCURVES,VLOOKUP(G219,MOVE_DOWN2,2,FALSE),FALSE)),VLOOKUP(G219,NGPREVPRICES,2,FALSE),CK219,VLOOKUP(G219,NGPrices,4,FALSE),HLOOKUP(D219,PREVVOLS,VLOOKUP(G219,MOVE_DOWN2,2,FALSE),FALSE),VLOOKUP(G219,NGPREVPRICES,3,FALSE),HLOOKUP(D219,Correllate,VLOOKUP(G219,CorMove,2,FALSE),FALSE),Q219-$CD$3,R219,$CJ$5)*H219-CJ219</f>
        <v>0</v>
      </c>
      <c r="CF219" s="10">
        <f t="shared" si="264"/>
        <v>48.255024601938203</v>
      </c>
      <c r="CG219" s="234">
        <f>_xll.xSPRDOPT((VLOOKUP(G219,NGPREVPRICES,2,FALSE)+HLOOKUP(D219,PREVCURVES,VLOOKUP(G219,MOVE_DOWN2,2,FALSE),FALSE)),VLOOKUP(G219,NGPREVPRICES,2,FALSE),CK219,VLOOKUP(G219,NGPREVPRICES,4,FALSE),HLOOKUP(D219,VOLS,VLOOKUP(G219,move_down,2,FALSE),FALSE),VLOOKUP(G219,NGPrices,3,FALSE),HLOOKUP(D219,Correllate,VLOOKUP(G219,CorMove,2,FALSE),FALSE),Q219-$CD$3,R219,$CJ$5)*H219-CJ219</f>
        <v>0</v>
      </c>
      <c r="CH219" s="234">
        <f>_xll.xSPRDOPT((VLOOKUP(G219,NGPREVPRICES,2,FALSE)+HLOOKUP(D219,PREVCURVES,VLOOKUP(G219,MOVE_DOWN2,2,FALSE),FALSE)),VLOOKUP(G219,NGPREVPRICES,2,FALSE),CK219,VLOOKUP(G219,NGPREVPRICES,4,FALSE),HLOOKUP(D219,PREVVOLS,VLOOKUP(G219,MOVE_DOWN2,2,FALSE),FALSE),VLOOKUP(G219,NGPREVPRICES,3,FALSE),HLOOKUP(D219,Correllate,VLOOKUP(G219,CorMove,2,FALSE),FALSE),Q219-$C$3,R219,$CJ$5)*H219-CJ219</f>
        <v>505.06865662935888</v>
      </c>
      <c r="CI219" s="234">
        <f t="shared" si="265"/>
        <v>553.32368123129709</v>
      </c>
      <c r="CJ219" s="234">
        <f>_xll.xSPRDOPT((VLOOKUP(G219,NGPREVPRICES,2,FALSE)+HLOOKUP(D219,PREVCURVES,VLOOKUP(G219,MOVE_DOWN2,2,FALSE),FALSE)),VLOOKUP(G219,NGPREVPRICES,2,FALSE),CK219,VLOOKUP(G219,NGPREVPRICES,4,FALSE),HLOOKUP(D219,PREVVOLS,VLOOKUP(G219,MOVE_DOWN2,2,FALSE),FALSE),VLOOKUP(G219,NGPREVPRICES,3,FALSE),HLOOKUP(D219,Correllate,VLOOKUP(G219,CorMove,2,FALSE),FALSE),Q219-$CD$3,R219,$CJ$5)*H219</f>
        <v>-253722.14011697602</v>
      </c>
      <c r="CK219" s="235">
        <f t="shared" si="266"/>
        <v>1.6</v>
      </c>
      <c r="CL219" s="234"/>
      <c r="CM219" t="str">
        <f t="shared" si="267"/>
        <v>36923Curve Shift/Gamma</v>
      </c>
      <c r="CN219" t="str">
        <f t="shared" si="248"/>
        <v>36923Rho</v>
      </c>
      <c r="CO219" t="str">
        <f t="shared" si="249"/>
        <v>36923Drift</v>
      </c>
      <c r="CP219" t="str">
        <f t="shared" si="250"/>
        <v>36923Vega</v>
      </c>
      <c r="CQ219" t="str">
        <f t="shared" si="251"/>
        <v>36923Theta</v>
      </c>
    </row>
    <row r="220" spans="1:95" ht="12" customHeight="1" x14ac:dyDescent="0.25">
      <c r="A220" s="140" t="s">
        <v>383</v>
      </c>
      <c r="B220" t="s">
        <v>250</v>
      </c>
      <c r="C220" t="s">
        <v>381</v>
      </c>
      <c r="D220" s="4" t="s">
        <v>7</v>
      </c>
      <c r="E220" t="s">
        <v>20</v>
      </c>
      <c r="F220" t="s">
        <v>21</v>
      </c>
      <c r="G220" s="5">
        <v>36892</v>
      </c>
      <c r="H220" s="130">
        <v>-310000</v>
      </c>
      <c r="I220">
        <v>1.6</v>
      </c>
      <c r="J220" s="53">
        <f t="shared" si="260"/>
        <v>4.7439999999999998</v>
      </c>
      <c r="K220" s="7">
        <f t="shared" si="261"/>
        <v>2.17</v>
      </c>
      <c r="L220" s="53">
        <f t="shared" si="262"/>
        <v>6.9139999999999997</v>
      </c>
      <c r="M220" s="157">
        <f t="shared" si="268"/>
        <v>6.8374831148490994E-2</v>
      </c>
      <c r="N220" s="4">
        <f t="shared" si="269"/>
        <v>0.60499999999999998</v>
      </c>
      <c r="O220" s="4">
        <f t="shared" si="270"/>
        <v>0.69599999999999995</v>
      </c>
      <c r="P220" s="9">
        <f t="shared" si="271"/>
        <v>0.83</v>
      </c>
      <c r="Q220" s="5">
        <f t="shared" si="254"/>
        <v>36888</v>
      </c>
      <c r="R220" s="4">
        <f t="shared" si="272"/>
        <v>1</v>
      </c>
      <c r="S220" s="158">
        <f>_xll.xSPRDOPT($L220,$J220,$I220,$M220,$O220,$N220,$P220,$Q220-$C$3,$R220,0)</f>
        <v>0.92593922821099572</v>
      </c>
      <c r="T220" s="159">
        <f>_xll.xSPRDOPT($L220,$J220,$I220,$M220,$O220,$N220,$P220,$Q220-$C$3,$R220,1)*H220</f>
        <v>-208281.96263114735</v>
      </c>
      <c r="U220" s="160">
        <f t="shared" si="273"/>
        <v>-287041.16074540868</v>
      </c>
      <c r="V220" s="159">
        <f>_xll.xSPRDOPT($L220,$J220,$I220,$M220,$O220,$N220,$P220,$Q220-$C$3,$R220,2)*H220</f>
        <v>185029.39746805606</v>
      </c>
      <c r="W220" s="159">
        <f t="shared" si="274"/>
        <v>-23252.565163091291</v>
      </c>
      <c r="X220" s="51" t="str">
        <f t="shared" si="255"/>
        <v>36892IF-TRANSCO/Z6</v>
      </c>
      <c r="Y220" s="418">
        <f t="shared" si="256"/>
        <v>-31</v>
      </c>
      <c r="Z220" s="456">
        <f t="shared" si="257"/>
        <v>0.67187729881015279</v>
      </c>
      <c r="AA220" s="456">
        <f>_xll.xSPRDOPT($L220,$J220,$I220,$M220,$O220,$N220,$P220,$Q220-$C$3,$R220,3)</f>
        <v>0.21258143875178478</v>
      </c>
      <c r="AB220" s="456">
        <f>((_xll.xSPRDOPT($L220+AB$5,$J220,$I220,$M220,$O220,$N220,$P220,$Q220-$C$3,$R220,3)*$H220)/10000)/100</f>
        <v>-6.590024601305329E-2</v>
      </c>
      <c r="AC220" s="456">
        <f>((_xll.xSPRDOPT($L220+$AB$5,$J220,$I220,$M220,$O220,$N220,$P220,$Q220-$C$3,$R220,7)*$H220)/100)</f>
        <v>3273.5607520052472</v>
      </c>
      <c r="AD220" s="456">
        <f>(_xll.xSPRDOPT($L220+$AB$5,$J220,$I220,$M220,$O220,$N220,$P220,$Q220-$C$3,$R220,9)/365)*$H220</f>
        <v>672.37210803744017</v>
      </c>
      <c r="AE220">
        <f t="shared" si="258"/>
        <v>0</v>
      </c>
      <c r="AF220" s="456">
        <f t="shared" si="259"/>
        <v>-2902.5840914134251</v>
      </c>
      <c r="AG220" s="456">
        <f>((_xll.xSPRDOPT($L220,$J220,$I220,$M220,$O220,$N220,$P220,$Q220-$C$3,$R220,6)*$H220)/100)</f>
        <v>962.52960727195386</v>
      </c>
      <c r="AH220" s="456">
        <f>((_xll.xSPRDOPT($L220,$J220,$I220,$M220,$O220,$N220,$P220,$Q220-$C$3,$R220,5)*$H220)/100)</f>
        <v>-3359.7611892308255</v>
      </c>
      <c r="AI220" s="456">
        <f>(((_xll.xSPRDOPT($L220,$J220,$I220,$M220,$O220,$N220,$P220,$Q220-$C$3,$R220,4)*$H220)/10000)/100)-AB220</f>
        <v>-1.232441622731896E-2</v>
      </c>
      <c r="AJ220" s="456"/>
      <c r="AK220" s="456"/>
      <c r="AL220" s="456"/>
      <c r="AM220" s="472"/>
      <c r="CC220" s="141">
        <f t="shared" si="263"/>
        <v>36892</v>
      </c>
      <c r="CD220" s="234">
        <f>_xll.xSPRDOPT((VLOOKUP(G220,NGPrices,2,FALSE)+HLOOKUP(D220,Prices,VLOOKUP(G220,move_down,2,FALSE),FALSE)),VLOOKUP(G220,NGPrices,2,FALSE),I220,VLOOKUP(G220,NGPREVPRICES,4,FALSE),HLOOKUP(D220,PREVVOLS,VLOOKUP(G220,MOVE_DOWN2,2,FALSE),FALSE),VLOOKUP(G220,NGPREVPRICES,3,FALSE),HLOOKUP(D220,Correllate,VLOOKUP(G220,CorMove,2,FALSE),FALSE),Q220-$CD$3,R220,$CD$5)*H220-CJ220</f>
        <v>0</v>
      </c>
      <c r="CE220" s="234">
        <f>_xll.xSPRDOPT((VLOOKUP(G220,NGPREVPRICES,2,FALSE)+HLOOKUP(D220,PREVCURVES,VLOOKUP(G220,MOVE_DOWN2,2,FALSE),FALSE)),VLOOKUP(G220,NGPREVPRICES,2,FALSE),CK220,VLOOKUP(G220,NGPrices,4,FALSE),HLOOKUP(D220,PREVVOLS,VLOOKUP(G220,MOVE_DOWN2,2,FALSE),FALSE),VLOOKUP(G220,NGPREVPRICES,3,FALSE),HLOOKUP(D220,Correllate,VLOOKUP(G220,CorMove,2,FALSE),FALSE),Q220-$CD$3,R220,$CJ$5)*H220-CJ220</f>
        <v>0</v>
      </c>
      <c r="CF220" s="10">
        <f t="shared" si="264"/>
        <v>54.216715915128589</v>
      </c>
      <c r="CG220" s="234">
        <f>_xll.xSPRDOPT((VLOOKUP(G220,NGPREVPRICES,2,FALSE)+HLOOKUP(D220,PREVCURVES,VLOOKUP(G220,MOVE_DOWN2,2,FALSE),FALSE)),VLOOKUP(G220,NGPREVPRICES,2,FALSE),CK220,VLOOKUP(G220,NGPREVPRICES,4,FALSE),HLOOKUP(D220,VOLS,VLOOKUP(G220,move_down,2,FALSE),FALSE),VLOOKUP(G220,NGPrices,3,FALSE),HLOOKUP(D220,Correllate,VLOOKUP(G220,CorMove,2,FALSE),FALSE),Q220-$CD$3,R220,$CJ$5)*H220-CJ220</f>
        <v>0</v>
      </c>
      <c r="CH220" s="234">
        <f>_xll.xSPRDOPT((VLOOKUP(G220,NGPREVPRICES,2,FALSE)+HLOOKUP(D220,PREVCURVES,VLOOKUP(G220,MOVE_DOWN2,2,FALSE),FALSE)),VLOOKUP(G220,NGPREVPRICES,2,FALSE),CK220,VLOOKUP(G220,NGPREVPRICES,4,FALSE),HLOOKUP(D220,PREVVOLS,VLOOKUP(G220,MOVE_DOWN2,2,FALSE),FALSE),VLOOKUP(G220,NGPREVPRICES,3,FALSE),HLOOKUP(D220,Correllate,VLOOKUP(G220,CorMove,2,FALSE),FALSE),Q220-$C$3,R220,$CJ$5)*H220-CJ220</f>
        <v>670.47674651804846</v>
      </c>
      <c r="CI220" s="234">
        <f t="shared" si="265"/>
        <v>724.69346243317705</v>
      </c>
      <c r="CJ220" s="234">
        <f>_xll.xSPRDOPT((VLOOKUP(G220,NGPREVPRICES,2,FALSE)+HLOOKUP(D220,PREVCURVES,VLOOKUP(G220,MOVE_DOWN2,2,FALSE),FALSE)),VLOOKUP(G220,NGPREVPRICES,2,FALSE),CK220,VLOOKUP(G220,NGPREVPRICES,4,FALSE),HLOOKUP(D220,PREVVOLS,VLOOKUP(G220,MOVE_DOWN2,2,FALSE),FALSE),VLOOKUP(G220,NGPREVPRICES,3,FALSE),HLOOKUP(D220,Correllate,VLOOKUP(G220,CorMove,2,FALSE),FALSE),Q220-$CD$3,R220,$CJ$5)*H220</f>
        <v>-287711.63749192673</v>
      </c>
      <c r="CK220" s="235">
        <f t="shared" si="266"/>
        <v>1.6</v>
      </c>
      <c r="CL220" s="234"/>
      <c r="CM220" t="str">
        <f t="shared" si="267"/>
        <v>36892Curve Shift/Gamma</v>
      </c>
      <c r="CN220" t="str">
        <f t="shared" si="248"/>
        <v>36892Rho</v>
      </c>
      <c r="CO220" t="str">
        <f t="shared" si="249"/>
        <v>36892Drift</v>
      </c>
      <c r="CP220" t="str">
        <f t="shared" si="250"/>
        <v>36892Vega</v>
      </c>
      <c r="CQ220" t="str">
        <f t="shared" si="251"/>
        <v>36892Theta</v>
      </c>
    </row>
    <row r="221" spans="1:95" ht="12" customHeight="1" x14ac:dyDescent="0.25">
      <c r="A221" s="140" t="s">
        <v>383</v>
      </c>
      <c r="B221" t="s">
        <v>250</v>
      </c>
      <c r="C221" t="s">
        <v>381</v>
      </c>
      <c r="D221" s="4" t="s">
        <v>7</v>
      </c>
      <c r="E221" t="s">
        <v>20</v>
      </c>
      <c r="F221" t="s">
        <v>21</v>
      </c>
      <c r="G221" s="5">
        <v>36861</v>
      </c>
      <c r="H221" s="130">
        <v>-310000</v>
      </c>
      <c r="I221">
        <v>1.6</v>
      </c>
      <c r="J221" s="53">
        <f t="shared" si="260"/>
        <v>4.8</v>
      </c>
      <c r="K221" s="7">
        <f t="shared" si="261"/>
        <v>1.645</v>
      </c>
      <c r="L221" s="53">
        <f t="shared" si="262"/>
        <v>6.4450000000000003</v>
      </c>
      <c r="M221" s="157">
        <f t="shared" si="268"/>
        <v>6.8314027999354002E-2</v>
      </c>
      <c r="N221" s="4">
        <f t="shared" si="269"/>
        <v>0.6</v>
      </c>
      <c r="O221" s="4">
        <f t="shared" si="270"/>
        <v>0.69</v>
      </c>
      <c r="P221" s="9">
        <f t="shared" si="271"/>
        <v>0.83</v>
      </c>
      <c r="Q221" s="5">
        <f t="shared" si="254"/>
        <v>36859</v>
      </c>
      <c r="R221" s="4">
        <f t="shared" si="272"/>
        <v>1</v>
      </c>
      <c r="S221" s="158">
        <f>_xll.xSPRDOPT($L221,$J221,$I221,$M221,$O221,$N221,$P221,$Q221-$C$3,$R221,0)</f>
        <v>0.53268342050603656</v>
      </c>
      <c r="T221" s="159">
        <f>_xll.xSPRDOPT($L221,$J221,$I221,$M221,$O221,$N221,$P221,$Q221-$C$3,$R221,1)*H221</f>
        <v>-169312.81643401575</v>
      </c>
      <c r="U221" s="160">
        <f t="shared" si="273"/>
        <v>-165131.86035687133</v>
      </c>
      <c r="V221" s="159">
        <f>_xll.xSPRDOPT($L221,$J221,$I221,$M221,$O221,$N221,$P221,$Q221-$C$3,$R221,2)*H221</f>
        <v>147478.46570894332</v>
      </c>
      <c r="W221" s="159">
        <f t="shared" si="274"/>
        <v>-21834.350725072436</v>
      </c>
      <c r="X221" s="51" t="str">
        <f t="shared" si="255"/>
        <v>36861IF-TRANSCO/Z6</v>
      </c>
      <c r="Y221" s="418">
        <f t="shared" si="256"/>
        <v>-31</v>
      </c>
      <c r="Z221" s="456">
        <f t="shared" si="257"/>
        <v>0.54617037559359916</v>
      </c>
      <c r="AA221" s="456">
        <f>_xll.xSPRDOPT($L221,$J221,$I221,$M221,$O221,$N221,$P221,$Q221-$C$3,$R221,3)</f>
        <v>0.29714880405850658</v>
      </c>
      <c r="AB221" s="456">
        <f>((_xll.xSPRDOPT($L221+AB$5,$J221,$I221,$M221,$O221,$N221,$P221,$Q221-$C$3,$R221,3)*$H221)/10000)/100</f>
        <v>-9.2116129258137031E-2</v>
      </c>
      <c r="AC221" s="456">
        <f>((_xll.xSPRDOPT($L221+$AB$5,$J221,$I221,$M221,$O221,$N221,$P221,$Q221-$C$3,$R221,7)*$H221)/100)</f>
        <v>3003.5035185233405</v>
      </c>
      <c r="AD221" s="456">
        <f>(_xll.xSPRDOPT($L221+$AB$5,$J221,$I221,$M221,$O221,$N221,$P221,$Q221-$C$3,$R221,9)/365)*$H221</f>
        <v>827.50519631232009</v>
      </c>
      <c r="AE221">
        <f t="shared" si="258"/>
        <v>0</v>
      </c>
      <c r="AF221" s="456">
        <f t="shared" si="259"/>
        <v>-2630.6602859841228</v>
      </c>
      <c r="AG221" s="456">
        <f>((_xll.xSPRDOPT($L221,$J221,$I221,$M221,$O221,$N221,$P221,$Q221-$C$3,$R221,6)*$H221)/100)</f>
        <v>862.10413176220493</v>
      </c>
      <c r="AH221" s="456">
        <f>((_xll.xSPRDOPT($L221,$J221,$I221,$M221,$O221,$N221,$P221,$Q221-$C$3,$R221,5)*$H221)/100)</f>
        <v>-3037.186450214198</v>
      </c>
      <c r="AI221" s="456">
        <f>(((_xll.xSPRDOPT($L221,$J221,$I221,$M221,$O221,$N221,$P221,$Q221-$C$3,$R221,4)*$H221)/10000)/100)-AB221</f>
        <v>-2.4484332362934152E-3</v>
      </c>
      <c r="AJ221" s="456"/>
      <c r="AK221" s="456"/>
      <c r="AL221" s="456"/>
      <c r="AM221" s="472"/>
      <c r="CC221" s="141">
        <f t="shared" si="263"/>
        <v>36861</v>
      </c>
      <c r="CD221" s="234">
        <f>_xll.xSPRDOPT((VLOOKUP(G221,NGPrices,2,FALSE)+HLOOKUP(D221,Prices,VLOOKUP(G221,move_down,2,FALSE),FALSE)),VLOOKUP(G221,NGPrices,2,FALSE),I221,VLOOKUP(G221,NGPREVPRICES,4,FALSE),HLOOKUP(D221,PREVVOLS,VLOOKUP(G221,MOVE_DOWN2,2,FALSE),FALSE),VLOOKUP(G221,NGPREVPRICES,3,FALSE),HLOOKUP(D221,Correllate,VLOOKUP(G221,CorMove,2,FALSE),FALSE),Q221-$CD$3,R221,$CD$5)*H221-CJ221</f>
        <v>0</v>
      </c>
      <c r="CE221" s="234">
        <f>_xll.xSPRDOPT((VLOOKUP(G221,NGPREVPRICES,2,FALSE)+HLOOKUP(D221,PREVCURVES,VLOOKUP(G221,MOVE_DOWN2,2,FALSE),FALSE)),VLOOKUP(G221,NGPREVPRICES,2,FALSE),CK221,VLOOKUP(G221,NGPrices,4,FALSE),HLOOKUP(D221,PREVVOLS,VLOOKUP(G221,MOVE_DOWN2,2,FALSE),FALSE),VLOOKUP(G221,NGPREVPRICES,3,FALSE),HLOOKUP(D221,Correllate,VLOOKUP(G221,CorMove,2,FALSE),FALSE),Q221-$CD$3,R221,$CJ$5)*H221-CJ221</f>
        <v>0</v>
      </c>
      <c r="CF221" s="10">
        <f t="shared" si="264"/>
        <v>31.089913336443715</v>
      </c>
      <c r="CG221" s="234">
        <f>_xll.xSPRDOPT((VLOOKUP(G221,NGPREVPRICES,2,FALSE)+HLOOKUP(D221,PREVCURVES,VLOOKUP(G221,MOVE_DOWN2,2,FALSE),FALSE)),VLOOKUP(G221,NGPREVPRICES,2,FALSE),CK221,VLOOKUP(G221,NGPREVPRICES,4,FALSE),HLOOKUP(D221,VOLS,VLOOKUP(G221,move_down,2,FALSE),FALSE),VLOOKUP(G221,NGPrices,3,FALSE),HLOOKUP(D221,Correllate,VLOOKUP(G221,CorMove,2,FALSE),FALSE),Q221-$CD$3,R221,$CJ$5)*H221-CJ221</f>
        <v>0</v>
      </c>
      <c r="CH221" s="234">
        <f>_xll.xSPRDOPT((VLOOKUP(G221,NGPREVPRICES,2,FALSE)+HLOOKUP(D221,PREVCURVES,VLOOKUP(G221,MOVE_DOWN2,2,FALSE),FALSE)),VLOOKUP(G221,NGPREVPRICES,2,FALSE),CK221,VLOOKUP(G221,NGPREVPRICES,4,FALSE),HLOOKUP(D221,PREVVOLS,VLOOKUP(G221,MOVE_DOWN2,2,FALSE),FALSE),VLOOKUP(G221,NGPREVPRICES,3,FALSE),HLOOKUP(D221,Correllate,VLOOKUP(G221,CorMove,2,FALSE),FALSE),Q221-$C$3,R221,$CJ$5)*H221-CJ221</f>
        <v>824.45442034717416</v>
      </c>
      <c r="CI221" s="234">
        <f t="shared" si="265"/>
        <v>855.54433368361788</v>
      </c>
      <c r="CJ221" s="234">
        <f>_xll.xSPRDOPT((VLOOKUP(G221,NGPREVPRICES,2,FALSE)+HLOOKUP(D221,PREVCURVES,VLOOKUP(G221,MOVE_DOWN2,2,FALSE),FALSE)),VLOOKUP(G221,NGPREVPRICES,2,FALSE),CK221,VLOOKUP(G221,NGPREVPRICES,4,FALSE),HLOOKUP(D221,PREVVOLS,VLOOKUP(G221,MOVE_DOWN2,2,FALSE),FALSE),VLOOKUP(G221,NGPREVPRICES,3,FALSE),HLOOKUP(D221,Correllate,VLOOKUP(G221,CorMove,2,FALSE),FALSE),Q221-$CD$3,R221,$CJ$5)*H221</f>
        <v>-165956.3147772185</v>
      </c>
      <c r="CK221" s="235">
        <f t="shared" si="266"/>
        <v>1.6</v>
      </c>
      <c r="CL221" s="234"/>
      <c r="CM221" t="str">
        <f t="shared" si="267"/>
        <v>36861Curve Shift/Gamma</v>
      </c>
      <c r="CN221" t="str">
        <f t="shared" si="248"/>
        <v>36861Rho</v>
      </c>
      <c r="CO221" t="str">
        <f t="shared" si="249"/>
        <v>36861Drift</v>
      </c>
      <c r="CP221" t="str">
        <f t="shared" si="250"/>
        <v>36861Vega</v>
      </c>
      <c r="CQ221" t="str">
        <f t="shared" si="251"/>
        <v>36861Theta</v>
      </c>
    </row>
    <row r="222" spans="1:95" ht="12" customHeight="1" x14ac:dyDescent="0.25">
      <c r="A222" s="140" t="s">
        <v>383</v>
      </c>
      <c r="B222" t="s">
        <v>250</v>
      </c>
      <c r="C222" t="s">
        <v>381</v>
      </c>
      <c r="D222" s="4" t="s">
        <v>7</v>
      </c>
      <c r="E222" t="s">
        <v>20</v>
      </c>
      <c r="F222" t="s">
        <v>21</v>
      </c>
      <c r="G222" s="5">
        <v>36831</v>
      </c>
      <c r="H222" s="130">
        <v>-300000</v>
      </c>
      <c r="I222">
        <v>1.6</v>
      </c>
      <c r="J222" s="53">
        <f t="shared" si="260"/>
        <v>4.7359999999999998</v>
      </c>
      <c r="K222" s="7">
        <f t="shared" si="261"/>
        <v>0.77</v>
      </c>
      <c r="L222" s="53">
        <f t="shared" si="262"/>
        <v>5.5060000000000002</v>
      </c>
      <c r="M222" s="157">
        <f t="shared" si="268"/>
        <v>6.810675983792E-2</v>
      </c>
      <c r="N222" s="4">
        <f t="shared" si="269"/>
        <v>0.59499999999999997</v>
      </c>
      <c r="O222" s="4">
        <f t="shared" si="270"/>
        <v>0.625</v>
      </c>
      <c r="P222" s="9">
        <f t="shared" si="271"/>
        <v>0.89</v>
      </c>
      <c r="Q222" s="5">
        <f t="shared" si="254"/>
        <v>36829</v>
      </c>
      <c r="R222" s="4">
        <f t="shared" si="272"/>
        <v>1</v>
      </c>
      <c r="S222" s="158">
        <f>_xll.xSPRDOPT($L222,$J222,$I222,$M222,$O222,$N222,$P222,$Q222-$C$3,$R222,0)</f>
        <v>4.8303483936106333E-2</v>
      </c>
      <c r="T222" s="159">
        <f>_xll.xSPRDOPT($L222,$J222,$I222,$M222,$O222,$N222,$P222,$Q222-$C$3,$R222,1)*H222</f>
        <v>-43441.309958783175</v>
      </c>
      <c r="U222" s="160">
        <f t="shared" si="273"/>
        <v>-14491.045180831899</v>
      </c>
      <c r="V222" s="159">
        <f>_xll.xSPRDOPT($L222,$J222,$I222,$M222,$O222,$N222,$P222,$Q222-$C$3,$R222,2)*H222</f>
        <v>36660.686576101551</v>
      </c>
      <c r="W222" s="159">
        <f t="shared" si="274"/>
        <v>-6780.6233826816242</v>
      </c>
      <c r="X222" s="51" t="str">
        <f t="shared" si="255"/>
        <v>36831IF-TRANSCO/Z6</v>
      </c>
      <c r="Y222" s="418">
        <f t="shared" si="256"/>
        <v>-30</v>
      </c>
      <c r="Z222" s="456">
        <f t="shared" si="257"/>
        <v>0.14480436652927725</v>
      </c>
      <c r="AA222" s="456">
        <f>_xll.xSPRDOPT($L222,$J222,$I222,$M222,$O222,$N222,$P222,$Q222-$C$3,$R222,3)</f>
        <v>0.33065335827695025</v>
      </c>
      <c r="AB222" s="456">
        <f>((_xll.xSPRDOPT($L222+AB$5,$J222,$I222,$M222,$O222,$N222,$P222,$Q222-$C$3,$R222,3)*$H222)/10000)/100</f>
        <v>-9.9196007483085075E-2</v>
      </c>
      <c r="AC222" s="456">
        <f>((_xll.xSPRDOPT($L222+$AB$5,$J222,$I222,$M222,$O222,$N222,$P222,$Q222-$C$3,$R222,7)*$H222)/100)</f>
        <v>1455.265176333955</v>
      </c>
      <c r="AD222" s="456">
        <f>(_xll.xSPRDOPT($L222+$AB$5,$J222,$I222,$M222,$O222,$N222,$P222,$Q222-$C$3,$R222,9)/365)*$H222</f>
        <v>375.38847501138071</v>
      </c>
      <c r="AE222">
        <f t="shared" si="258"/>
        <v>0</v>
      </c>
      <c r="AF222" s="456">
        <f t="shared" si="259"/>
        <v>-787.4179760344673</v>
      </c>
      <c r="AG222" s="456">
        <f>((_xll.xSPRDOPT($L222,$J222,$I222,$M222,$O222,$N222,$P222,$Q222-$C$3,$R222,6)*$H222)/100)</f>
        <v>387.07746436737898</v>
      </c>
      <c r="AH222" s="456">
        <f>((_xll.xSPRDOPT($L222,$J222,$I222,$M222,$O222,$N222,$P222,$Q222-$C$3,$R222,5)*$H222)/100)</f>
        <v>-1118.1196592625577</v>
      </c>
      <c r="AI222" s="456">
        <f>(((_xll.xSPRDOPT($L222,$J222,$I222,$M222,$O222,$N222,$P222,$Q222-$C$3,$R222,4)*$H222)/10000)/100)-AB222</f>
        <v>2.0193128193567528E-2</v>
      </c>
      <c r="AJ222" s="456"/>
      <c r="AK222" s="456"/>
      <c r="AL222" s="456"/>
      <c r="AM222" s="472"/>
      <c r="CC222" s="141">
        <f t="shared" si="263"/>
        <v>36831</v>
      </c>
      <c r="CD222" s="234">
        <f>_xll.xSPRDOPT((VLOOKUP(G222,NGPrices,2,FALSE)+HLOOKUP(D222,Prices,VLOOKUP(G222,move_down,2,FALSE),FALSE)),VLOOKUP(G222,NGPrices,2,FALSE),I222,VLOOKUP(G222,NGPREVPRICES,4,FALSE),HLOOKUP(D222,PREVVOLS,VLOOKUP(G222,MOVE_DOWN2,2,FALSE),FALSE),VLOOKUP(G222,NGPREVPRICES,3,FALSE),HLOOKUP(D222,Correllate,VLOOKUP(G222,CorMove,2,FALSE),FALSE),Q222-$CD$3,R222,$CD$5)*H222-CJ222</f>
        <v>0</v>
      </c>
      <c r="CE222" s="234">
        <f>_xll.xSPRDOPT((VLOOKUP(G222,NGPREVPRICES,2,FALSE)+HLOOKUP(D222,PREVCURVES,VLOOKUP(G222,MOVE_DOWN2,2,FALSE),FALSE)),VLOOKUP(G222,NGPREVPRICES,2,FALSE),CK222,VLOOKUP(G222,NGPrices,4,FALSE),HLOOKUP(D222,PREVVOLS,VLOOKUP(G222,MOVE_DOWN2,2,FALSE),FALSE),VLOOKUP(G222,NGPREVPRICES,3,FALSE),HLOOKUP(D222,Correllate,VLOOKUP(G222,CorMove,2,FALSE),FALSE),Q222-$CD$3,R222,$CJ$5)*H222-CJ222</f>
        <v>0</v>
      </c>
      <c r="CF222" s="10">
        <f t="shared" si="264"/>
        <v>2.7608647825309163</v>
      </c>
      <c r="CG222" s="234">
        <f>_xll.xSPRDOPT((VLOOKUP(G222,NGPREVPRICES,2,FALSE)+HLOOKUP(D222,PREVCURVES,VLOOKUP(G222,MOVE_DOWN2,2,FALSE),FALSE)),VLOOKUP(G222,NGPREVPRICES,2,FALSE),CK222,VLOOKUP(G222,NGPREVPRICES,4,FALSE),HLOOKUP(D222,VOLS,VLOOKUP(G222,move_down,2,FALSE),FALSE),VLOOKUP(G222,NGPrices,3,FALSE),HLOOKUP(D222,Correllate,VLOOKUP(G222,CorMove,2,FALSE),FALSE),Q222-$CD$3,R222,$CJ$5)*H222-CJ222</f>
        <v>0</v>
      </c>
      <c r="CH222" s="234">
        <f>_xll.xSPRDOPT((VLOOKUP(G222,NGPREVPRICES,2,FALSE)+HLOOKUP(D222,PREVCURVES,VLOOKUP(G222,MOVE_DOWN2,2,FALSE),FALSE)),VLOOKUP(G222,NGPREVPRICES,2,FALSE),CK222,VLOOKUP(G222,NGPREVPRICES,4,FALSE),HLOOKUP(D222,PREVVOLS,VLOOKUP(G222,MOVE_DOWN2,2,FALSE),FALSE),VLOOKUP(G222,NGPREVPRICES,3,FALSE),HLOOKUP(D222,Correllate,VLOOKUP(G222,CorMove,2,FALSE),FALSE),Q222-$C$3,R222,$CJ$5)*H222-CJ222</f>
        <v>375.44119729475096</v>
      </c>
      <c r="CI222" s="234">
        <f t="shared" si="265"/>
        <v>378.20206207728188</v>
      </c>
      <c r="CJ222" s="234">
        <f>_xll.xSPRDOPT((VLOOKUP(G222,NGPREVPRICES,2,FALSE)+HLOOKUP(D222,PREVCURVES,VLOOKUP(G222,MOVE_DOWN2,2,FALSE),FALSE)),VLOOKUP(G222,NGPREVPRICES,2,FALSE),CK222,VLOOKUP(G222,NGPREVPRICES,4,FALSE),HLOOKUP(D222,PREVVOLS,VLOOKUP(G222,MOVE_DOWN2,2,FALSE),FALSE),VLOOKUP(G222,NGPREVPRICES,3,FALSE),HLOOKUP(D222,Correllate,VLOOKUP(G222,CorMove,2,FALSE),FALSE),Q222-$CD$3,R222,$CJ$5)*H222</f>
        <v>-14866.48637812665</v>
      </c>
      <c r="CK222" s="235">
        <f t="shared" si="266"/>
        <v>1.6</v>
      </c>
      <c r="CL222" s="234"/>
      <c r="CM222" t="str">
        <f t="shared" si="267"/>
        <v>36831Curve Shift/Gamma</v>
      </c>
      <c r="CN222" t="str">
        <f t="shared" si="248"/>
        <v>36831Rho</v>
      </c>
      <c r="CO222" t="str">
        <f t="shared" si="249"/>
        <v>36831Drift</v>
      </c>
      <c r="CP222" t="str">
        <f t="shared" si="250"/>
        <v>36831Vega</v>
      </c>
      <c r="CQ222" t="str">
        <f t="shared" si="251"/>
        <v>36831Theta</v>
      </c>
    </row>
    <row r="223" spans="1:95" ht="12" customHeight="1" x14ac:dyDescent="0.25">
      <c r="A223" s="140" t="s">
        <v>383</v>
      </c>
      <c r="B223" t="s">
        <v>250</v>
      </c>
      <c r="C223" t="s">
        <v>382</v>
      </c>
      <c r="D223" s="4" t="s">
        <v>7</v>
      </c>
      <c r="E223" t="s">
        <v>20</v>
      </c>
      <c r="F223" t="s">
        <v>21</v>
      </c>
      <c r="G223" s="5">
        <v>36951</v>
      </c>
      <c r="H223" s="130">
        <v>310000</v>
      </c>
      <c r="I223">
        <v>2.1</v>
      </c>
      <c r="J223" s="53">
        <f t="shared" si="260"/>
        <v>4.2130000000000001</v>
      </c>
      <c r="K223" s="7">
        <f t="shared" si="261"/>
        <v>1.075</v>
      </c>
      <c r="L223" s="53">
        <f t="shared" si="262"/>
        <v>5.2880000000000003</v>
      </c>
      <c r="M223" s="157">
        <f t="shared" si="268"/>
        <v>6.8879814952706994E-2</v>
      </c>
      <c r="N223" s="4">
        <f t="shared" si="269"/>
        <v>0.53249999999999997</v>
      </c>
      <c r="O223" s="4">
        <f t="shared" si="270"/>
        <v>0.61199999999999999</v>
      </c>
      <c r="P223" s="9">
        <f t="shared" si="271"/>
        <v>0.83</v>
      </c>
      <c r="Q223" s="5">
        <f t="shared" si="254"/>
        <v>36949</v>
      </c>
      <c r="R223" s="4">
        <f t="shared" si="272"/>
        <v>1</v>
      </c>
      <c r="S223" s="158">
        <f>_xll.xSPRDOPT($L223,$J223,$I223,$M223,$O223,$N223,$P223,$Q223-$C$3,$R223,0)</f>
        <v>0.21751449148587743</v>
      </c>
      <c r="T223" s="159">
        <f>_xll.xSPRDOPT($L223,$J223,$I223,$M223,$O223,$N223,$P223,$Q223-$C$3,$R223,1)*H223</f>
        <v>88766.554236834243</v>
      </c>
      <c r="U223" s="160">
        <f t="shared" si="273"/>
        <v>67429.492360621996</v>
      </c>
      <c r="V223" s="159">
        <f>_xll.xSPRDOPT($L223,$J223,$I223,$M223,$O223,$N223,$P223,$Q223-$C$3,$R223,2)*H223</f>
        <v>-67703.61414000181</v>
      </c>
      <c r="W223" s="159">
        <f t="shared" si="274"/>
        <v>21062.940096832433</v>
      </c>
      <c r="X223" s="51" t="str">
        <f t="shared" si="255"/>
        <v>36951IF-TRANSCO/Z6</v>
      </c>
      <c r="Y223" s="418">
        <f t="shared" si="256"/>
        <v>31</v>
      </c>
      <c r="Z223" s="456">
        <f t="shared" si="257"/>
        <v>0.2863437233446266</v>
      </c>
      <c r="AA223" s="456">
        <f>_xll.xSPRDOPT($L223,$J223,$I223,$M223,$O223,$N223,$P223,$Q223-$C$3,$R223,3)</f>
        <v>0.24266426337892652</v>
      </c>
      <c r="AB223" s="456">
        <f>((_xll.xSPRDOPT($L223+AB$5,$J223,$I223,$M223,$O223,$N223,$P223,$Q223-$C$3,$R223,3)*$H223)/10000)/100</f>
        <v>7.522592164746722E-2</v>
      </c>
      <c r="AC223" s="456">
        <f>((_xll.xSPRDOPT($L223+$AB$5,$J223,$I223,$M223,$O223,$N223,$P223,$Q223-$C$3,$R223,7)*$H223)/100)</f>
        <v>-2375.787239918528</v>
      </c>
      <c r="AD223" s="456">
        <f>(_xll.xSPRDOPT($L223+$AB$5,$J223,$I223,$M223,$O223,$N223,$P223,$Q223-$C$3,$R223,9)/365)*$H223</f>
        <v>-381.59007956272649</v>
      </c>
      <c r="AE223">
        <f t="shared" si="258"/>
        <v>0</v>
      </c>
      <c r="AF223" s="456">
        <f t="shared" si="259"/>
        <v>2693.5653253999262</v>
      </c>
      <c r="AG223" s="456">
        <f>((_xll.xSPRDOPT($L223,$J223,$I223,$M223,$O223,$N223,$P223,$Q223-$C$3,$R223,6)*$H223)/100)</f>
        <v>-975.83192488678947</v>
      </c>
      <c r="AH223" s="456">
        <f>((_xll.xSPRDOPT($L223,$J223,$I223,$M223,$O223,$N223,$P223,$Q223-$C$3,$R223,5)*$H223)/100)</f>
        <v>3192.7353525779022</v>
      </c>
      <c r="AI223" s="456">
        <f>(((_xll.xSPRDOPT($L223,$J223,$I223,$M223,$O223,$N223,$P223,$Q223-$C$3,$R223,4)*$H223)/10000)/100)-AB223</f>
        <v>-1.7317170424878348E-2</v>
      </c>
      <c r="AJ223" s="456"/>
      <c r="AK223" s="456"/>
      <c r="AL223" s="456"/>
      <c r="AM223" s="472"/>
      <c r="CC223" s="141">
        <f t="shared" si="263"/>
        <v>36951</v>
      </c>
      <c r="CD223" s="234">
        <f>_xll.xSPRDOPT((VLOOKUP(G223,NGPrices,2,FALSE)+HLOOKUP(D223,Prices,VLOOKUP(G223,move_down,2,FALSE),FALSE)),VLOOKUP(G223,NGPrices,2,FALSE),I223,VLOOKUP(G223,NGPREVPRICES,4,FALSE),HLOOKUP(D223,PREVVOLS,VLOOKUP(G223,MOVE_DOWN2,2,FALSE),FALSE),VLOOKUP(G223,NGPREVPRICES,3,FALSE),HLOOKUP(D223,Correllate,VLOOKUP(G223,CorMove,2,FALSE),FALSE),Q223-$CD$3,R223,$CD$5)*H223-CJ223</f>
        <v>0</v>
      </c>
      <c r="CE223" s="234">
        <f>_xll.xSPRDOPT((VLOOKUP(G223,NGPREVPRICES,2,FALSE)+HLOOKUP(D223,PREVCURVES,VLOOKUP(G223,MOVE_DOWN2,2,FALSE),FALSE)),VLOOKUP(G223,NGPREVPRICES,2,FALSE),CK223,VLOOKUP(G223,NGPrices,4,FALSE),HLOOKUP(D223,PREVVOLS,VLOOKUP(G223,MOVE_DOWN2,2,FALSE),FALSE),VLOOKUP(G223,NGPREVPRICES,3,FALSE),HLOOKUP(D223,Correllate,VLOOKUP(G223,CorMove,2,FALSE),FALSE),Q223-$CD$3,R223,$CJ$5)*H223-CJ223</f>
        <v>0</v>
      </c>
      <c r="CF223" s="10">
        <f t="shared" si="264"/>
        <v>-13.005030498636188</v>
      </c>
      <c r="CG223" s="234">
        <f>_xll.xSPRDOPT((VLOOKUP(G223,NGPREVPRICES,2,FALSE)+HLOOKUP(D223,PREVCURVES,VLOOKUP(G223,MOVE_DOWN2,2,FALSE),FALSE)),VLOOKUP(G223,NGPREVPRICES,2,FALSE),CK223,VLOOKUP(G223,NGPREVPRICES,4,FALSE),HLOOKUP(D223,VOLS,VLOOKUP(G223,move_down,2,FALSE),FALSE),VLOOKUP(G223,NGPrices,3,FALSE),HLOOKUP(D223,Correllate,VLOOKUP(G223,CorMove,2,FALSE),FALSE),Q223-$CD$3,R223,$CJ$5)*H223-CJ223</f>
        <v>0</v>
      </c>
      <c r="CH223" s="234">
        <f>_xll.xSPRDOPT((VLOOKUP(G223,NGPREVPRICES,2,FALSE)+HLOOKUP(D223,PREVCURVES,VLOOKUP(G223,MOVE_DOWN2,2,FALSE),FALSE)),VLOOKUP(G223,NGPREVPRICES,2,FALSE),CK223,VLOOKUP(G223,NGPREVPRICES,4,FALSE),HLOOKUP(D223,PREVVOLS,VLOOKUP(G223,MOVE_DOWN2,2,FALSE),FALSE),VLOOKUP(G223,NGPREVPRICES,3,FALSE),HLOOKUP(D223,Correllate,VLOOKUP(G223,CorMove,2,FALSE),FALSE),Q223-$C$3,R223,$CJ$5)*H223-CJ223</f>
        <v>-380.95533018183778</v>
      </c>
      <c r="CI223" s="234">
        <f t="shared" si="265"/>
        <v>-393.96036068047397</v>
      </c>
      <c r="CJ223" s="234">
        <f>_xll.xSPRDOPT((VLOOKUP(G223,NGPREVPRICES,2,FALSE)+HLOOKUP(D223,PREVCURVES,VLOOKUP(G223,MOVE_DOWN2,2,FALSE),FALSE)),VLOOKUP(G223,NGPREVPRICES,2,FALSE),CK223,VLOOKUP(G223,NGPREVPRICES,4,FALSE),HLOOKUP(D223,PREVVOLS,VLOOKUP(G223,MOVE_DOWN2,2,FALSE),FALSE),VLOOKUP(G223,NGPREVPRICES,3,FALSE),HLOOKUP(D223,Correllate,VLOOKUP(G223,CorMove,2,FALSE),FALSE),Q223-$CD$3,R223,$CJ$5)*H223</f>
        <v>67810.447690803834</v>
      </c>
      <c r="CK223" s="235">
        <f t="shared" si="266"/>
        <v>2.1</v>
      </c>
      <c r="CL223" s="234"/>
      <c r="CM223" t="str">
        <f t="shared" si="267"/>
        <v>36951Curve Shift/Gamma</v>
      </c>
      <c r="CN223" t="str">
        <f t="shared" si="248"/>
        <v>36951Rho</v>
      </c>
      <c r="CO223" t="str">
        <f t="shared" si="249"/>
        <v>36951Drift</v>
      </c>
      <c r="CP223" t="str">
        <f t="shared" si="250"/>
        <v>36951Vega</v>
      </c>
      <c r="CQ223" t="str">
        <f t="shared" si="251"/>
        <v>36951Theta</v>
      </c>
    </row>
    <row r="224" spans="1:95" ht="12" customHeight="1" x14ac:dyDescent="0.25">
      <c r="A224" s="140" t="s">
        <v>383</v>
      </c>
      <c r="B224" t="s">
        <v>250</v>
      </c>
      <c r="C224" t="s">
        <v>382</v>
      </c>
      <c r="D224" s="4" t="s">
        <v>7</v>
      </c>
      <c r="E224" t="s">
        <v>20</v>
      </c>
      <c r="F224" t="s">
        <v>21</v>
      </c>
      <c r="G224" s="5">
        <v>36923</v>
      </c>
      <c r="H224" s="130">
        <v>280000</v>
      </c>
      <c r="I224">
        <v>2.1</v>
      </c>
      <c r="J224" s="53">
        <f t="shared" si="260"/>
        <v>4.4800000000000004</v>
      </c>
      <c r="K224" s="7">
        <f t="shared" si="261"/>
        <v>2.09</v>
      </c>
      <c r="L224" s="53">
        <f t="shared" si="262"/>
        <v>6.57</v>
      </c>
      <c r="M224" s="157">
        <f t="shared" si="268"/>
        <v>6.8640161611372E-2</v>
      </c>
      <c r="N224" s="4">
        <f t="shared" si="269"/>
        <v>0.59250000000000003</v>
      </c>
      <c r="O224" s="4">
        <f t="shared" si="270"/>
        <v>0.68100000000000005</v>
      </c>
      <c r="P224" s="9">
        <f t="shared" si="271"/>
        <v>0.83</v>
      </c>
      <c r="Q224" s="5">
        <f t="shared" si="254"/>
        <v>36921</v>
      </c>
      <c r="R224" s="4">
        <f t="shared" si="272"/>
        <v>1</v>
      </c>
      <c r="S224" s="158">
        <f>_xll.xSPRDOPT($L224,$J224,$I224,$M224,$O224,$N224,$P224,$Q224-$C$3,$R224,0)</f>
        <v>0.67700182770897255</v>
      </c>
      <c r="T224" s="159">
        <f>_xll.xSPRDOPT($L224,$J224,$I224,$M224,$O224,$N224,$P224,$Q224-$C$3,$R224,1)*H224</f>
        <v>150892.17313634607</v>
      </c>
      <c r="U224" s="160">
        <f t="shared" si="273"/>
        <v>189560.51175851232</v>
      </c>
      <c r="V224" s="159">
        <f>_xll.xSPRDOPT($L224,$J224,$I224,$M224,$O224,$N224,$P224,$Q224-$C$3,$R224,2)*H224</f>
        <v>-126941.6240887095</v>
      </c>
      <c r="W224" s="159">
        <f t="shared" si="274"/>
        <v>23950.549047636567</v>
      </c>
      <c r="X224" s="51" t="str">
        <f t="shared" si="255"/>
        <v>36923IF-TRANSCO/Z6</v>
      </c>
      <c r="Y224" s="418">
        <f t="shared" si="256"/>
        <v>28</v>
      </c>
      <c r="Z224" s="456">
        <f t="shared" si="257"/>
        <v>0.53890061834409309</v>
      </c>
      <c r="AA224" s="456">
        <f>_xll.xSPRDOPT($L224,$J224,$I224,$M224,$O224,$N224,$P224,$Q224-$C$3,$R224,3)</f>
        <v>0.21842576980063325</v>
      </c>
      <c r="AB224" s="456">
        <f>((_xll.xSPRDOPT($L224+AB$5,$J224,$I224,$M224,$O224,$N224,$P224,$Q224-$C$3,$R224,3)*$H224)/10000)/100</f>
        <v>6.1159215544177303E-2</v>
      </c>
      <c r="AC224" s="456">
        <f>((_xll.xSPRDOPT($L224+$AB$5,$J224,$I224,$M224,$O224,$N224,$P224,$Q224-$C$3,$R224,7)*$H224)/100)</f>
        <v>-3094.4782705206885</v>
      </c>
      <c r="AD224" s="456">
        <f>(_xll.xSPRDOPT($L224+$AB$5,$J224,$I224,$M224,$O224,$N224,$P224,$Q224-$C$3,$R224,9)/365)*$H224</f>
        <v>-582.2250423340929</v>
      </c>
      <c r="AE224">
        <f t="shared" si="258"/>
        <v>0</v>
      </c>
      <c r="AF224" s="456">
        <f t="shared" si="259"/>
        <v>3209.697773808638</v>
      </c>
      <c r="AG224" s="456">
        <f>((_xll.xSPRDOPT($L224,$J224,$I224,$M224,$O224,$N224,$P224,$Q224-$C$3,$R224,6)*$H224)/100)</f>
        <v>-1167.6435922227213</v>
      </c>
      <c r="AH224" s="456">
        <f>((_xll.xSPRDOPT($L224,$J224,$I224,$M224,$O224,$N224,$P224,$Q224-$C$3,$R224,5)*$H224)/100)</f>
        <v>3808.4798228686932</v>
      </c>
      <c r="AI224" s="456">
        <f>(((_xll.xSPRDOPT($L224,$J224,$I224,$M224,$O224,$N224,$P224,$Q224-$C$3,$R224,4)*$H224)/10000)/100)-AB224</f>
        <v>2.0101494606794557E-3</v>
      </c>
      <c r="AJ224" s="456"/>
      <c r="AK224" s="456"/>
      <c r="AL224" s="456"/>
      <c r="AM224" s="472"/>
      <c r="CC224" s="141">
        <f t="shared" si="263"/>
        <v>36923</v>
      </c>
      <c r="CD224" s="234">
        <f>_xll.xSPRDOPT((VLOOKUP(G224,NGPrices,2,FALSE)+HLOOKUP(D224,Prices,VLOOKUP(G224,move_down,2,FALSE),FALSE)),VLOOKUP(G224,NGPrices,2,FALSE),I224,VLOOKUP(G224,NGPREVPRICES,4,FALSE),HLOOKUP(D224,PREVVOLS,VLOOKUP(G224,MOVE_DOWN2,2,FALSE),FALSE),VLOOKUP(G224,NGPREVPRICES,3,FALSE),HLOOKUP(D224,Correllate,VLOOKUP(G224,CorMove,2,FALSE),FALSE),Q224-$CD$3,R224,$CD$5)*H224-CJ224</f>
        <v>0</v>
      </c>
      <c r="CE224" s="234">
        <f>_xll.xSPRDOPT((VLOOKUP(G224,NGPREVPRICES,2,FALSE)+HLOOKUP(D224,PREVCURVES,VLOOKUP(G224,MOVE_DOWN2,2,FALSE),FALSE)),VLOOKUP(G224,NGPREVPRICES,2,FALSE),CK224,VLOOKUP(G224,NGPrices,4,FALSE),HLOOKUP(D224,PREVVOLS,VLOOKUP(G224,MOVE_DOWN2,2,FALSE),FALSE),VLOOKUP(G224,NGPREVPRICES,3,FALSE),HLOOKUP(D224,Correllate,VLOOKUP(G224,CorMove,2,FALSE),FALSE),Q224-$CD$3,R224,$CJ$5)*H224-CJ224</f>
        <v>0</v>
      </c>
      <c r="CF224" s="10">
        <f t="shared" si="264"/>
        <v>-36.162665891897632</v>
      </c>
      <c r="CG224" s="234">
        <f>_xll.xSPRDOPT((VLOOKUP(G224,NGPREVPRICES,2,FALSE)+HLOOKUP(D224,PREVCURVES,VLOOKUP(G224,MOVE_DOWN2,2,FALSE),FALSE)),VLOOKUP(G224,NGPREVPRICES,2,FALSE),CK224,VLOOKUP(G224,NGPREVPRICES,4,FALSE),HLOOKUP(D224,VOLS,VLOOKUP(G224,move_down,2,FALSE),FALSE),VLOOKUP(G224,NGPrices,3,FALSE),HLOOKUP(D224,Correllate,VLOOKUP(G224,CorMove,2,FALSE),FALSE),Q224-$CD$3,R224,$CJ$5)*H224-CJ224</f>
        <v>0</v>
      </c>
      <c r="CH224" s="234">
        <f>_xll.xSPRDOPT((VLOOKUP(G224,NGPREVPRICES,2,FALSE)+HLOOKUP(D224,PREVCURVES,VLOOKUP(G224,MOVE_DOWN2,2,FALSE),FALSE)),VLOOKUP(G224,NGPREVPRICES,2,FALSE),CK224,VLOOKUP(G224,NGPREVPRICES,4,FALSE),HLOOKUP(D224,PREVVOLS,VLOOKUP(G224,MOVE_DOWN2,2,FALSE),FALSE),VLOOKUP(G224,NGPREVPRICES,3,FALSE),HLOOKUP(D224,Correllate,VLOOKUP(G224,CorMove,2,FALSE),FALSE),Q224-$C$3,R224,$CJ$5)*H224-CJ224</f>
        <v>-580.70271862772643</v>
      </c>
      <c r="CI224" s="234">
        <f t="shared" si="265"/>
        <v>-616.86538451962406</v>
      </c>
      <c r="CJ224" s="234">
        <f>_xll.xSPRDOPT((VLOOKUP(G224,NGPREVPRICES,2,FALSE)+HLOOKUP(D224,PREVCURVES,VLOOKUP(G224,MOVE_DOWN2,2,FALSE),FALSE)),VLOOKUP(G224,NGPREVPRICES,2,FALSE),CK224,VLOOKUP(G224,NGPREVPRICES,4,FALSE),HLOOKUP(D224,PREVVOLS,VLOOKUP(G224,MOVE_DOWN2,2,FALSE),FALSE),VLOOKUP(G224,NGPREVPRICES,3,FALSE),HLOOKUP(D224,Correllate,VLOOKUP(G224,CorMove,2,FALSE),FALSE),Q224-$CD$3,R224,$CJ$5)*H224</f>
        <v>190141.21447714005</v>
      </c>
      <c r="CK224" s="235">
        <f t="shared" si="266"/>
        <v>2.1</v>
      </c>
      <c r="CL224" s="234"/>
      <c r="CM224" t="str">
        <f t="shared" si="267"/>
        <v>36923Curve Shift/Gamma</v>
      </c>
      <c r="CN224" t="str">
        <f t="shared" si="248"/>
        <v>36923Rho</v>
      </c>
      <c r="CO224" t="str">
        <f t="shared" si="249"/>
        <v>36923Drift</v>
      </c>
      <c r="CP224" t="str">
        <f t="shared" si="250"/>
        <v>36923Vega</v>
      </c>
      <c r="CQ224" t="str">
        <f t="shared" si="251"/>
        <v>36923Theta</v>
      </c>
    </row>
    <row r="225" spans="1:95" ht="12" customHeight="1" x14ac:dyDescent="0.25">
      <c r="A225" s="140" t="s">
        <v>383</v>
      </c>
      <c r="B225" t="s">
        <v>250</v>
      </c>
      <c r="C225" t="s">
        <v>382</v>
      </c>
      <c r="D225" s="4" t="s">
        <v>7</v>
      </c>
      <c r="E225" t="s">
        <v>20</v>
      </c>
      <c r="F225" t="s">
        <v>21</v>
      </c>
      <c r="G225" s="5">
        <v>36892</v>
      </c>
      <c r="H225" s="130">
        <v>310000</v>
      </c>
      <c r="I225">
        <v>2.1</v>
      </c>
      <c r="J225" s="53">
        <f t="shared" si="260"/>
        <v>4.7439999999999998</v>
      </c>
      <c r="K225" s="7">
        <f t="shared" si="261"/>
        <v>2.17</v>
      </c>
      <c r="L225" s="53">
        <f t="shared" si="262"/>
        <v>6.9139999999999997</v>
      </c>
      <c r="M225" s="157">
        <f t="shared" si="268"/>
        <v>6.8374831148490994E-2</v>
      </c>
      <c r="N225" s="4">
        <f t="shared" si="269"/>
        <v>0.60499999999999998</v>
      </c>
      <c r="O225" s="4">
        <f t="shared" si="270"/>
        <v>0.69599999999999995</v>
      </c>
      <c r="P225" s="9">
        <f t="shared" si="271"/>
        <v>0.83</v>
      </c>
      <c r="Q225" s="5">
        <f t="shared" si="254"/>
        <v>36888</v>
      </c>
      <c r="R225" s="4">
        <f t="shared" si="272"/>
        <v>1</v>
      </c>
      <c r="S225" s="158">
        <f>_xll.xSPRDOPT($L225,$J225,$I225,$M225,$O225,$N225,$P225,$Q225-$C$3,$R225,0)</f>
        <v>0.6814679884537268</v>
      </c>
      <c r="T225" s="159">
        <f>_xll.xSPRDOPT($L225,$J225,$I225,$M225,$O225,$N225,$P225,$Q225-$C$3,$R225,1)*H225</f>
        <v>172049.82915111916</v>
      </c>
      <c r="U225" s="160">
        <f t="shared" si="273"/>
        <v>211255.0764206553</v>
      </c>
      <c r="V225" s="159">
        <f>_xll.xSPRDOPT($L225,$J225,$I225,$M225,$O225,$N225,$P225,$Q225-$C$3,$R225,2)*H225</f>
        <v>-147769.9469342907</v>
      </c>
      <c r="W225" s="159">
        <f t="shared" si="274"/>
        <v>24279.882216828468</v>
      </c>
      <c r="X225" s="51" t="str">
        <f t="shared" si="255"/>
        <v>36892IF-TRANSCO/Z6</v>
      </c>
      <c r="Y225" s="418">
        <f t="shared" si="256"/>
        <v>31</v>
      </c>
      <c r="Z225" s="456">
        <f t="shared" si="257"/>
        <v>0.55499944887457797</v>
      </c>
      <c r="AA225" s="456">
        <f>_xll.xSPRDOPT($L225,$J225,$I225,$M225,$O225,$N225,$P225,$Q225-$C$3,$R225,3)</f>
        <v>0.23056467019795601</v>
      </c>
      <c r="AB225" s="456">
        <f>((_xll.xSPRDOPT($L225+AB$5,$J225,$I225,$M225,$O225,$N225,$P225,$Q225-$C$3,$R225,3)*$H225)/10000)/100</f>
        <v>7.1475047761366359E-2</v>
      </c>
      <c r="AC225" s="456">
        <f>((_xll.xSPRDOPT($L225+$AB$5,$J225,$I225,$M225,$O225,$N225,$P225,$Q225-$C$3,$R225,7)*$H225)/100)</f>
        <v>-3328.0996310066339</v>
      </c>
      <c r="AD225" s="456">
        <f>(_xll.xSPRDOPT($L225+$AB$5,$J225,$I225,$M225,$O225,$N225,$P225,$Q225-$C$3,$R225,9)/365)*$H225</f>
        <v>-786.20718891566548</v>
      </c>
      <c r="AE225">
        <f t="shared" si="258"/>
        <v>0</v>
      </c>
      <c r="AF225" s="456">
        <f t="shared" si="259"/>
        <v>3300.8641051848517</v>
      </c>
      <c r="AG225" s="456">
        <f>((_xll.xSPRDOPT($L225,$J225,$I225,$M225,$O225,$N225,$P225,$Q225-$C$3,$R225,6)*$H225)/100)</f>
        <v>-1196.3010102917669</v>
      </c>
      <c r="AH225" s="456">
        <f>((_xll.xSPRDOPT($L225,$J225,$I225,$M225,$O225,$N225,$P225,$Q225-$C$3,$R225,5)*$H225)/100)</f>
        <v>3909.1736995163142</v>
      </c>
      <c r="AI225" s="456">
        <f>(((_xll.xSPRDOPT($L225,$J225,$I225,$M225,$O225,$N225,$P225,$Q225-$C$3,$R225,4)*$H225)/10000)/100)-AB225</f>
        <v>3.2263138949598091E-3</v>
      </c>
      <c r="AJ225" s="456"/>
      <c r="AK225" s="456"/>
      <c r="AL225" s="456"/>
      <c r="AM225" s="472"/>
      <c r="CC225" s="141">
        <f t="shared" si="263"/>
        <v>36892</v>
      </c>
      <c r="CD225" s="234">
        <f>_xll.xSPRDOPT((VLOOKUP(G225,NGPrices,2,FALSE)+HLOOKUP(D225,Prices,VLOOKUP(G225,move_down,2,FALSE),FALSE)),VLOOKUP(G225,NGPrices,2,FALSE),I225,VLOOKUP(G225,NGPREVPRICES,4,FALSE),HLOOKUP(D225,PREVVOLS,VLOOKUP(G225,MOVE_DOWN2,2,FALSE),FALSE),VLOOKUP(G225,NGPREVPRICES,3,FALSE),HLOOKUP(D225,Correllate,VLOOKUP(G225,CorMove,2,FALSE),FALSE),Q225-$CD$3,R225,$CD$5)*H225-CJ225</f>
        <v>0</v>
      </c>
      <c r="CE225" s="234">
        <f>_xll.xSPRDOPT((VLOOKUP(G225,NGPREVPRICES,2,FALSE)+HLOOKUP(D225,PREVCURVES,VLOOKUP(G225,MOVE_DOWN2,2,FALSE),FALSE)),VLOOKUP(G225,NGPREVPRICES,2,FALSE),CK225,VLOOKUP(G225,NGPrices,4,FALSE),HLOOKUP(D225,PREVVOLS,VLOOKUP(G225,MOVE_DOWN2,2,FALSE),FALSE),VLOOKUP(G225,NGPREVPRICES,3,FALSE),HLOOKUP(D225,Correllate,VLOOKUP(G225,CorMove,2,FALSE),FALSE),Q225-$CD$3,R225,$CJ$5)*H225-CJ225</f>
        <v>0</v>
      </c>
      <c r="CF225" s="10">
        <f t="shared" si="264"/>
        <v>-39.956854206015123</v>
      </c>
      <c r="CG225" s="234">
        <f>_xll.xSPRDOPT((VLOOKUP(G225,NGPREVPRICES,2,FALSE)+HLOOKUP(D225,PREVCURVES,VLOOKUP(G225,MOVE_DOWN2,2,FALSE),FALSE)),VLOOKUP(G225,NGPREVPRICES,2,FALSE),CK225,VLOOKUP(G225,NGPREVPRICES,4,FALSE),HLOOKUP(D225,VOLS,VLOOKUP(G225,move_down,2,FALSE),FALSE),VLOOKUP(G225,NGPrices,3,FALSE),HLOOKUP(D225,Correllate,VLOOKUP(G225,CorMove,2,FALSE),FALSE),Q225-$CD$3,R225,$CJ$5)*H225-CJ225</f>
        <v>0</v>
      </c>
      <c r="CH225" s="234">
        <f>_xll.xSPRDOPT((VLOOKUP(G225,NGPREVPRICES,2,FALSE)+HLOOKUP(D225,PREVCURVES,VLOOKUP(G225,MOVE_DOWN2,2,FALSE),FALSE)),VLOOKUP(G225,NGPREVPRICES,2,FALSE),CK225,VLOOKUP(G225,NGPREVPRICES,4,FALSE),HLOOKUP(D225,PREVVOLS,VLOOKUP(G225,MOVE_DOWN2,2,FALSE),FALSE),VLOOKUP(G225,NGPREVPRICES,3,FALSE),HLOOKUP(D225,Correllate,VLOOKUP(G225,CorMove,2,FALSE),FALSE),Q225-$C$3,R225,$CJ$5)*H225-CJ225</f>
        <v>-783.80787164380308</v>
      </c>
      <c r="CI225" s="234">
        <f t="shared" si="265"/>
        <v>-823.76472584981821</v>
      </c>
      <c r="CJ225" s="234">
        <f>_xll.xSPRDOPT((VLOOKUP(G225,NGPREVPRICES,2,FALSE)+HLOOKUP(D225,PREVCURVES,VLOOKUP(G225,MOVE_DOWN2,2,FALSE),FALSE)),VLOOKUP(G225,NGPREVPRICES,2,FALSE),CK225,VLOOKUP(G225,NGPREVPRICES,4,FALSE),HLOOKUP(D225,PREVVOLS,VLOOKUP(G225,MOVE_DOWN2,2,FALSE),FALSE),VLOOKUP(G225,NGPREVPRICES,3,FALSE),HLOOKUP(D225,Correllate,VLOOKUP(G225,CorMove,2,FALSE),FALSE),Q225-$CD$3,R225,$CJ$5)*H225</f>
        <v>212038.8842922991</v>
      </c>
      <c r="CK225" s="235">
        <f t="shared" si="266"/>
        <v>2.1</v>
      </c>
      <c r="CL225" s="234"/>
      <c r="CM225" t="str">
        <f t="shared" si="267"/>
        <v>36892Curve Shift/Gamma</v>
      </c>
      <c r="CN225" t="str">
        <f t="shared" si="248"/>
        <v>36892Rho</v>
      </c>
      <c r="CO225" t="str">
        <f t="shared" si="249"/>
        <v>36892Drift</v>
      </c>
      <c r="CP225" t="str">
        <f t="shared" si="250"/>
        <v>36892Vega</v>
      </c>
      <c r="CQ225" t="str">
        <f t="shared" si="251"/>
        <v>36892Theta</v>
      </c>
    </row>
    <row r="226" spans="1:95" ht="12" customHeight="1" x14ac:dyDescent="0.25">
      <c r="A226" s="140" t="s">
        <v>383</v>
      </c>
      <c r="B226" t="s">
        <v>250</v>
      </c>
      <c r="C226" t="s">
        <v>382</v>
      </c>
      <c r="D226" s="4" t="s">
        <v>7</v>
      </c>
      <c r="E226" t="s">
        <v>20</v>
      </c>
      <c r="F226" t="s">
        <v>21</v>
      </c>
      <c r="G226" s="5">
        <v>36861</v>
      </c>
      <c r="H226" s="130">
        <v>310000</v>
      </c>
      <c r="I226">
        <v>2.1</v>
      </c>
      <c r="J226" s="53">
        <f t="shared" si="260"/>
        <v>4.8</v>
      </c>
      <c r="K226" s="7">
        <f t="shared" si="261"/>
        <v>1.645</v>
      </c>
      <c r="L226" s="53">
        <f t="shared" si="262"/>
        <v>6.4450000000000003</v>
      </c>
      <c r="M226" s="157">
        <f t="shared" si="268"/>
        <v>6.8314027999354002E-2</v>
      </c>
      <c r="N226" s="4">
        <f t="shared" si="269"/>
        <v>0.6</v>
      </c>
      <c r="O226" s="4">
        <f t="shared" si="270"/>
        <v>0.69</v>
      </c>
      <c r="P226" s="9">
        <f t="shared" si="271"/>
        <v>0.83</v>
      </c>
      <c r="Q226" s="5">
        <f t="shared" si="254"/>
        <v>36859</v>
      </c>
      <c r="R226" s="4">
        <f t="shared" si="272"/>
        <v>1</v>
      </c>
      <c r="S226" s="158">
        <f>_xll.xSPRDOPT($L226,$J226,$I226,$M226,$O226,$N226,$P226,$Q226-$C$3,$R226,0)</f>
        <v>0.34853972883781353</v>
      </c>
      <c r="T226" s="159">
        <f>_xll.xSPRDOPT($L226,$J226,$I226,$M226,$O226,$N226,$P226,$Q226-$C$3,$R226,1)*H226</f>
        <v>126082.70000906561</v>
      </c>
      <c r="U226" s="160">
        <f t="shared" si="273"/>
        <v>108047.31593972219</v>
      </c>
      <c r="V226" s="159">
        <f>_xll.xSPRDOPT($L226,$J226,$I226,$M226,$O226,$N226,$P226,$Q226-$C$3,$R226,2)*H226</f>
        <v>-105763.79787155129</v>
      </c>
      <c r="W226" s="159">
        <f t="shared" si="274"/>
        <v>20318.90213751432</v>
      </c>
      <c r="X226" s="51" t="str">
        <f t="shared" si="255"/>
        <v>36861IF-TRANSCO/Z6</v>
      </c>
      <c r="Y226" s="418">
        <f t="shared" si="256"/>
        <v>31</v>
      </c>
      <c r="Z226" s="456">
        <f t="shared" si="257"/>
        <v>0.4067183871260181</v>
      </c>
      <c r="AA226" s="456">
        <f>_xll.xSPRDOPT($L226,$J226,$I226,$M226,$O226,$N226,$P226,$Q226-$C$3,$R226,3)</f>
        <v>0.28666758583460461</v>
      </c>
      <c r="AB226" s="456">
        <f>((_xll.xSPRDOPT($L226+AB$5,$J226,$I226,$M226,$O226,$N226,$P226,$Q226-$C$3,$R226,3)*$H226)/10000)/100</f>
        <v>8.8866951608727429E-2</v>
      </c>
      <c r="AC226" s="456">
        <f>((_xll.xSPRDOPT($L226+$AB$5,$J226,$I226,$M226,$O226,$N226,$P226,$Q226-$C$3,$R226,7)*$H226)/100)</f>
        <v>-2723.7716668442472</v>
      </c>
      <c r="AD226" s="456">
        <f>(_xll.xSPRDOPT($L226+$AB$5,$J226,$I226,$M226,$O226,$N226,$P226,$Q226-$C$3,$R226,9)/365)*$H226</f>
        <v>-845.5339005018476</v>
      </c>
      <c r="AE226">
        <f t="shared" si="258"/>
        <v>0</v>
      </c>
      <c r="AF226" s="456">
        <f t="shared" si="259"/>
        <v>2653.1685024897188</v>
      </c>
      <c r="AG226" s="456">
        <f>((_xll.xSPRDOPT($L226,$J226,$I226,$M226,$O226,$N226,$P226,$Q226-$C$3,$R226,6)*$H226)/100)</f>
        <v>-956.8116380369745</v>
      </c>
      <c r="AH226" s="456">
        <f>((_xll.xSPRDOPT($L226,$J226,$I226,$M226,$O226,$N226,$P226,$Q226-$C$3,$R226,5)*$H226)/100)</f>
        <v>3139.113165675386</v>
      </c>
      <c r="AI226" s="456">
        <f>(((_xll.xSPRDOPT($L226,$J226,$I226,$M226,$O226,$N226,$P226,$Q226-$C$3,$R226,4)*$H226)/10000)/100)-AB226</f>
        <v>-8.1360326865136945E-3</v>
      </c>
      <c r="AJ226" s="456"/>
      <c r="AK226" s="456"/>
      <c r="AL226" s="456"/>
      <c r="AM226" s="472"/>
      <c r="CC226" s="141">
        <f t="shared" si="263"/>
        <v>36861</v>
      </c>
      <c r="CD226" s="234">
        <f>_xll.xSPRDOPT((VLOOKUP(G226,NGPrices,2,FALSE)+HLOOKUP(D226,Prices,VLOOKUP(G226,move_down,2,FALSE),FALSE)),VLOOKUP(G226,NGPrices,2,FALSE),I226,VLOOKUP(G226,NGPREVPRICES,4,FALSE),HLOOKUP(D226,PREVVOLS,VLOOKUP(G226,MOVE_DOWN2,2,FALSE),FALSE),VLOOKUP(G226,NGPREVPRICES,3,FALSE),HLOOKUP(D226,Correllate,VLOOKUP(G226,CorMove,2,FALSE),FALSE),Q226-$CD$3,R226,$CD$5)*H226-CJ226</f>
        <v>0</v>
      </c>
      <c r="CE226" s="234">
        <f>_xll.xSPRDOPT((VLOOKUP(G226,NGPREVPRICES,2,FALSE)+HLOOKUP(D226,PREVCURVES,VLOOKUP(G226,MOVE_DOWN2,2,FALSE),FALSE)),VLOOKUP(G226,NGPREVPRICES,2,FALSE),CK226,VLOOKUP(G226,NGPrices,4,FALSE),HLOOKUP(D226,PREVVOLS,VLOOKUP(G226,MOVE_DOWN2,2,FALSE),FALSE),VLOOKUP(G226,NGPREVPRICES,3,FALSE),HLOOKUP(D226,Correllate,VLOOKUP(G226,CorMove,2,FALSE),FALSE),Q226-$CD$3,R226,$CJ$5)*H226-CJ226</f>
        <v>0</v>
      </c>
      <c r="CF226" s="10">
        <f t="shared" si="264"/>
        <v>-20.39922938044765</v>
      </c>
      <c r="CG226" s="234">
        <f>_xll.xSPRDOPT((VLOOKUP(G226,NGPREVPRICES,2,FALSE)+HLOOKUP(D226,PREVCURVES,VLOOKUP(G226,MOVE_DOWN2,2,FALSE),FALSE)),VLOOKUP(G226,NGPREVPRICES,2,FALSE),CK226,VLOOKUP(G226,NGPREVPRICES,4,FALSE),HLOOKUP(D226,VOLS,VLOOKUP(G226,move_down,2,FALSE),FALSE),VLOOKUP(G226,NGPrices,3,FALSE),HLOOKUP(D226,Correllate,VLOOKUP(G226,CorMove,2,FALSE),FALSE),Q226-$CD$3,R226,$CJ$5)*H226-CJ226</f>
        <v>0</v>
      </c>
      <c r="CH226" s="234">
        <f>_xll.xSPRDOPT((VLOOKUP(G226,NGPREVPRICES,2,FALSE)+HLOOKUP(D226,PREVCURVES,VLOOKUP(G226,MOVE_DOWN2,2,FALSE),FALSE)),VLOOKUP(G226,NGPREVPRICES,2,FALSE),CK226,VLOOKUP(G226,NGPREVPRICES,4,FALSE),HLOOKUP(D226,PREVVOLS,VLOOKUP(G226,MOVE_DOWN2,2,FALSE),FALSE),VLOOKUP(G226,NGPREVPRICES,3,FALSE),HLOOKUP(D226,Correllate,VLOOKUP(G226,CorMove,2,FALSE),FALSE),Q226-$C$3,R226,$CJ$5)*H226-CJ226</f>
        <v>-842.69271478930023</v>
      </c>
      <c r="CI226" s="234">
        <f t="shared" si="265"/>
        <v>-863.09194416974788</v>
      </c>
      <c r="CJ226" s="234">
        <f>_xll.xSPRDOPT((VLOOKUP(G226,NGPREVPRICES,2,FALSE)+HLOOKUP(D226,PREVCURVES,VLOOKUP(G226,MOVE_DOWN2,2,FALSE),FALSE)),VLOOKUP(G226,NGPREVPRICES,2,FALSE),CK226,VLOOKUP(G226,NGPREVPRICES,4,FALSE),HLOOKUP(D226,PREVVOLS,VLOOKUP(G226,MOVE_DOWN2,2,FALSE),FALSE),VLOOKUP(G226,NGPREVPRICES,3,FALSE),HLOOKUP(D226,Correllate,VLOOKUP(G226,CorMove,2,FALSE),FALSE),Q226-$CD$3,R226,$CJ$5)*H226</f>
        <v>108890.00865451149</v>
      </c>
      <c r="CK226" s="235">
        <f t="shared" si="266"/>
        <v>2.1</v>
      </c>
      <c r="CL226" s="234"/>
      <c r="CM226" t="str">
        <f t="shared" si="267"/>
        <v>36861Curve Shift/Gamma</v>
      </c>
      <c r="CN226" t="str">
        <f t="shared" si="248"/>
        <v>36861Rho</v>
      </c>
      <c r="CO226" t="str">
        <f t="shared" si="249"/>
        <v>36861Drift</v>
      </c>
      <c r="CP226" t="str">
        <f t="shared" si="250"/>
        <v>36861Vega</v>
      </c>
      <c r="CQ226" t="str">
        <f t="shared" si="251"/>
        <v>36861Theta</v>
      </c>
    </row>
    <row r="227" spans="1:95" ht="12" customHeight="1" x14ac:dyDescent="0.25">
      <c r="A227" s="140" t="s">
        <v>383</v>
      </c>
      <c r="B227" t="s">
        <v>250</v>
      </c>
      <c r="C227" t="s">
        <v>382</v>
      </c>
      <c r="D227" s="4" t="s">
        <v>7</v>
      </c>
      <c r="E227" t="s">
        <v>20</v>
      </c>
      <c r="F227" t="s">
        <v>21</v>
      </c>
      <c r="G227" s="5">
        <v>36831</v>
      </c>
      <c r="H227" s="130">
        <v>300000</v>
      </c>
      <c r="I227">
        <v>2.1</v>
      </c>
      <c r="J227" s="53">
        <f t="shared" si="260"/>
        <v>4.7359999999999998</v>
      </c>
      <c r="K227" s="7">
        <f t="shared" si="261"/>
        <v>0.77</v>
      </c>
      <c r="L227" s="53">
        <f t="shared" si="262"/>
        <v>5.5060000000000002</v>
      </c>
      <c r="M227" s="157">
        <f t="shared" si="268"/>
        <v>6.810675983792E-2</v>
      </c>
      <c r="N227" s="4">
        <f t="shared" si="269"/>
        <v>0.59499999999999997</v>
      </c>
      <c r="O227" s="4">
        <f t="shared" si="270"/>
        <v>0.625</v>
      </c>
      <c r="P227" s="9">
        <f t="shared" si="271"/>
        <v>0.89</v>
      </c>
      <c r="Q227" s="5">
        <f t="shared" si="254"/>
        <v>36829</v>
      </c>
      <c r="R227" s="4">
        <f t="shared" si="272"/>
        <v>1</v>
      </c>
      <c r="S227" s="158">
        <f>_xll.xSPRDOPT($L227,$J227,$I227,$M227,$O227,$N227,$P227,$Q227-$C$3,$R227,0)</f>
        <v>1.5563316234256138E-2</v>
      </c>
      <c r="T227" s="159">
        <f>_xll.xSPRDOPT($L227,$J227,$I227,$M227,$O227,$N227,$P227,$Q227-$C$3,$R227,1)*H227</f>
        <v>16426.26706167221</v>
      </c>
      <c r="U227" s="160">
        <f t="shared" si="273"/>
        <v>4668.9948702768415</v>
      </c>
      <c r="V227" s="159">
        <f>_xll.xSPRDOPT($L227,$J227,$I227,$M227,$O227,$N227,$P227,$Q227-$C$3,$R227,2)*H227</f>
        <v>-13320.662610056381</v>
      </c>
      <c r="W227" s="159">
        <f t="shared" si="274"/>
        <v>3105.604451615829</v>
      </c>
      <c r="X227" s="51" t="str">
        <f t="shared" si="255"/>
        <v>36831IF-TRANSCO/Z6</v>
      </c>
      <c r="Y227" s="418">
        <f t="shared" si="256"/>
        <v>30</v>
      </c>
      <c r="Z227" s="456">
        <f t="shared" si="257"/>
        <v>5.4754223538907368E-2</v>
      </c>
      <c r="AA227" s="456">
        <f>_xll.xSPRDOPT($L227,$J227,$I227,$M227,$O227,$N227,$P227,$Q227-$C$3,$R227,3)</f>
        <v>0.15695901916470609</v>
      </c>
      <c r="AB227" s="456">
        <f>((_xll.xSPRDOPT($L227+AB$5,$J227,$I227,$M227,$O227,$N227,$P227,$Q227-$C$3,$R227,3)*$H227)/10000)/100</f>
        <v>4.7087705749411832E-2</v>
      </c>
      <c r="AC227" s="456">
        <f>((_xll.xSPRDOPT($L227+$AB$5,$J227,$I227,$M227,$O227,$N227,$P227,$Q227-$C$3,$R227,7)*$H227)/100)</f>
        <v>-656.97806648816584</v>
      </c>
      <c r="AD227" s="456">
        <f>(_xll.xSPRDOPT($L227+$AB$5,$J227,$I227,$M227,$O227,$N227,$P227,$Q227-$C$3,$R227,9)/365)*$H227</f>
        <v>-188.44816980284321</v>
      </c>
      <c r="AE227">
        <f t="shared" si="258"/>
        <v>0</v>
      </c>
      <c r="AF227" s="456">
        <f t="shared" si="259"/>
        <v>394.27789310203525</v>
      </c>
      <c r="AG227" s="456">
        <f>((_xll.xSPRDOPT($L227,$J227,$I227,$M227,$O227,$N227,$P227,$Q227-$C$3,$R227,6)*$H227)/100)</f>
        <v>-213.85150933388584</v>
      </c>
      <c r="AH227" s="456">
        <f>((_xll.xSPRDOPT($L227,$J227,$I227,$M227,$O227,$N227,$P227,$Q227-$C$3,$R227,5)*$H227)/100)</f>
        <v>578.93919111899686</v>
      </c>
      <c r="AI227" s="456">
        <f>(((_xll.xSPRDOPT($L227,$J227,$I227,$M227,$O227,$N227,$P227,$Q227-$C$3,$R227,4)*$H227)/10000)/100)-AB227</f>
        <v>-1.3148830872597675E-2</v>
      </c>
      <c r="AJ227" s="456"/>
      <c r="AK227" s="456"/>
      <c r="AL227" s="456"/>
      <c r="AM227" s="472"/>
      <c r="CC227" s="141">
        <f t="shared" si="263"/>
        <v>36831</v>
      </c>
      <c r="CD227" s="234">
        <f>_xll.xSPRDOPT((VLOOKUP(G227,NGPrices,2,FALSE)+HLOOKUP(D227,Prices,VLOOKUP(G227,move_down,2,FALSE),FALSE)),VLOOKUP(G227,NGPrices,2,FALSE),I227,VLOOKUP(G227,NGPREVPRICES,4,FALSE),HLOOKUP(D227,PREVVOLS,VLOOKUP(G227,MOVE_DOWN2,2,FALSE),FALSE),VLOOKUP(G227,NGPREVPRICES,3,FALSE),HLOOKUP(D227,Correllate,VLOOKUP(G227,CorMove,2,FALSE),FALSE),Q227-$CD$3,R227,$CD$5)*H227-CJ227</f>
        <v>0</v>
      </c>
      <c r="CE227" s="234">
        <f>_xll.xSPRDOPT((VLOOKUP(G227,NGPREVPRICES,2,FALSE)+HLOOKUP(D227,PREVCURVES,VLOOKUP(G227,MOVE_DOWN2,2,FALSE),FALSE)),VLOOKUP(G227,NGPREVPRICES,2,FALSE),CK227,VLOOKUP(G227,NGPrices,4,FALSE),HLOOKUP(D227,PREVVOLS,VLOOKUP(G227,MOVE_DOWN2,2,FALSE),FALSE),VLOOKUP(G227,NGPREVPRICES,3,FALSE),HLOOKUP(D227,Correllate,VLOOKUP(G227,CorMove,2,FALSE),FALSE),Q227-$CD$3,R227,$CJ$5)*H227-CJ227</f>
        <v>0</v>
      </c>
      <c r="CF227" s="10">
        <f t="shared" si="264"/>
        <v>-0.90229887504028738</v>
      </c>
      <c r="CG227" s="234">
        <f>_xll.xSPRDOPT((VLOOKUP(G227,NGPREVPRICES,2,FALSE)+HLOOKUP(D227,PREVCURVES,VLOOKUP(G227,MOVE_DOWN2,2,FALSE),FALSE)),VLOOKUP(G227,NGPREVPRICES,2,FALSE),CK227,VLOOKUP(G227,NGPREVPRICES,4,FALSE),HLOOKUP(D227,VOLS,VLOOKUP(G227,move_down,2,FALSE),FALSE),VLOOKUP(G227,NGPrices,3,FALSE),HLOOKUP(D227,Correllate,VLOOKUP(G227,CorMove,2,FALSE),FALSE),Q227-$CD$3,R227,$CJ$5)*H227-CJ227</f>
        <v>0</v>
      </c>
      <c r="CH227" s="234">
        <f>_xll.xSPRDOPT((VLOOKUP(G227,NGPREVPRICES,2,FALSE)+HLOOKUP(D227,PREVCURVES,VLOOKUP(G227,MOVE_DOWN2,2,FALSE),FALSE)),VLOOKUP(G227,NGPREVPRICES,2,FALSE),CK227,VLOOKUP(G227,NGPREVPRICES,4,FALSE),HLOOKUP(D227,PREVVOLS,VLOOKUP(G227,MOVE_DOWN2,2,FALSE),FALSE),VLOOKUP(G227,NGPREVPRICES,3,FALSE),HLOOKUP(D227,Correllate,VLOOKUP(G227,CorMove,2,FALSE),FALSE),Q227-$C$3,R227,$CJ$5)*H227-CJ227</f>
        <v>-189.63276685061555</v>
      </c>
      <c r="CI227" s="234">
        <f t="shared" si="265"/>
        <v>-190.53506572565584</v>
      </c>
      <c r="CJ227" s="234">
        <f>_xll.xSPRDOPT((VLOOKUP(G227,NGPREVPRICES,2,FALSE)+HLOOKUP(D227,PREVCURVES,VLOOKUP(G227,MOVE_DOWN2,2,FALSE),FALSE)),VLOOKUP(G227,NGPREVPRICES,2,FALSE),CK227,VLOOKUP(G227,NGPREVPRICES,4,FALSE),HLOOKUP(D227,PREVVOLS,VLOOKUP(G227,MOVE_DOWN2,2,FALSE),FALSE),VLOOKUP(G227,NGPREVPRICES,3,FALSE),HLOOKUP(D227,Correllate,VLOOKUP(G227,CorMove,2,FALSE),FALSE),Q227-$CD$3,R227,$CJ$5)*H227</f>
        <v>4858.6276371274571</v>
      </c>
      <c r="CK227" s="235">
        <f t="shared" si="266"/>
        <v>2.1</v>
      </c>
      <c r="CL227" s="234"/>
      <c r="CM227" t="str">
        <f t="shared" si="267"/>
        <v>36831Curve Shift/Gamma</v>
      </c>
      <c r="CN227" t="str">
        <f t="shared" si="248"/>
        <v>36831Rho</v>
      </c>
      <c r="CO227" t="str">
        <f t="shared" si="249"/>
        <v>36831Drift</v>
      </c>
      <c r="CP227" t="str">
        <f t="shared" si="250"/>
        <v>36831Vega</v>
      </c>
      <c r="CQ227" t="str">
        <f t="shared" si="251"/>
        <v>36831Theta</v>
      </c>
    </row>
    <row r="228" spans="1:95" ht="12" customHeight="1" x14ac:dyDescent="0.25">
      <c r="A228" s="140" t="s">
        <v>395</v>
      </c>
      <c r="B228" t="s">
        <v>250</v>
      </c>
      <c r="C228" t="s">
        <v>396</v>
      </c>
      <c r="D228" s="4" t="s">
        <v>74</v>
      </c>
      <c r="E228" t="s">
        <v>20</v>
      </c>
      <c r="F228" t="s">
        <v>21</v>
      </c>
      <c r="G228" s="5">
        <v>36892</v>
      </c>
      <c r="H228" s="130">
        <v>465000</v>
      </c>
      <c r="I228">
        <v>0.15</v>
      </c>
      <c r="J228" s="53">
        <f t="shared" si="260"/>
        <v>4.7439999999999998</v>
      </c>
      <c r="K228" s="7">
        <f t="shared" si="261"/>
        <v>0.1275</v>
      </c>
      <c r="L228" s="53">
        <f t="shared" si="262"/>
        <v>4.8715000000000002</v>
      </c>
      <c r="M228" s="157">
        <f t="shared" si="268"/>
        <v>6.8374831148490994E-2</v>
      </c>
      <c r="N228" s="4">
        <f t="shared" si="269"/>
        <v>0.60499999999999998</v>
      </c>
      <c r="O228" s="4">
        <f t="shared" si="270"/>
        <v>0.60499999999999998</v>
      </c>
      <c r="P228" s="9">
        <f t="shared" si="271"/>
        <v>0.997</v>
      </c>
      <c r="Q228" s="5">
        <f t="shared" si="254"/>
        <v>36888</v>
      </c>
      <c r="R228" s="4">
        <f t="shared" si="272"/>
        <v>1</v>
      </c>
      <c r="S228" s="158">
        <f>_xll.xSPRDOPT($L228,$J228,$I228,$M228,$O228,$N228,$P228,$Q228-$C$3,$R228,0)</f>
        <v>4.428805516998615E-2</v>
      </c>
      <c r="T228" s="159">
        <f>_xll.xSPRDOPT($L228,$J228,$I228,$M228,$O228,$N228,$P228,$Q228-$C$3,$R228,1)*H228</f>
        <v>202140.40528631641</v>
      </c>
      <c r="U228" s="160">
        <f t="shared" si="273"/>
        <v>20593.94565404356</v>
      </c>
      <c r="V228" s="159">
        <f>_xll.xSPRDOPT($L228,$J228,$I228,$M228,$O228,$N228,$P228,$Q228-$C$3,$R228,2)*H228</f>
        <v>-197641.42367349932</v>
      </c>
      <c r="W228" s="159">
        <f t="shared" si="274"/>
        <v>4498.9816128170933</v>
      </c>
      <c r="X228" s="51" t="str">
        <f t="shared" si="255"/>
        <v>36892NGI/CHI. GATE</v>
      </c>
      <c r="Y228" s="418">
        <f t="shared" si="256"/>
        <v>46.5</v>
      </c>
      <c r="Z228" s="456">
        <f t="shared" si="257"/>
        <v>0.43471054900283101</v>
      </c>
      <c r="AA228" s="456">
        <f>_xll.xSPRDOPT($L228,$J228,$I228,$M228,$O228,$N228,$P228,$Q228-$C$3,$R228,3)</f>
        <v>2.7753049195088875</v>
      </c>
      <c r="AB228" s="456">
        <f>((_xll.xSPRDOPT($L228+AB$5,$J228,$I228,$M228,$O228,$N228,$P228,$Q228-$C$3,$R228,3)*$H228)/10000)/100</f>
        <v>1.2905167875716328</v>
      </c>
      <c r="AC228" s="456">
        <f>((_xll.xSPRDOPT($L228+$AB$5,$J228,$I228,$M228,$O228,$N228,$P228,$Q228-$C$3,$R228,7)*$H228)/100)</f>
        <v>-36040.036730115738</v>
      </c>
      <c r="AD228" s="456">
        <f>(_xll.xSPRDOPT($L228+$AB$5,$J228,$I228,$M228,$O228,$N228,$P228,$Q228-$C$3,$R228,9)/365)*$H228</f>
        <v>-100.26298772237801</v>
      </c>
      <c r="AE228">
        <f t="shared" si="258"/>
        <v>0</v>
      </c>
      <c r="AF228" s="456">
        <f t="shared" si="259"/>
        <v>416.19813611254972</v>
      </c>
      <c r="AG228" s="456">
        <f>((_xll.xSPRDOPT($L228,$J228,$I228,$M228,$O228,$N228,$P228,$Q228-$C$3,$R228,6)*$H228)/100)</f>
        <v>-1573.9828960287778</v>
      </c>
      <c r="AH228" s="456">
        <f>((_xll.xSPRDOPT($L228,$J228,$I228,$M228,$O228,$N228,$P228,$Q228-$C$3,$R228,5)*$H228)/100)</f>
        <v>1990.1810321413275</v>
      </c>
      <c r="AI228" s="456">
        <f>(((_xll.xSPRDOPT($L228,$J228,$I228,$M228,$O228,$N228,$P228,$Q228-$C$3,$R228,4)*$H228)/10000)/100)-AB228</f>
        <v>-8.716560255530359E-3</v>
      </c>
      <c r="AJ228" s="456"/>
      <c r="AK228" s="456"/>
      <c r="AL228" s="456"/>
      <c r="AM228" s="472"/>
      <c r="CC228" s="141">
        <f t="shared" si="263"/>
        <v>36892</v>
      </c>
      <c r="CD228" s="234">
        <f>_xll.xSPRDOPT((VLOOKUP(G228,NGPrices,2,FALSE)+HLOOKUP(D228,Prices,VLOOKUP(G228,move_down,2,FALSE),FALSE)),VLOOKUP(G228,NGPrices,2,FALSE),I228,VLOOKUP(G228,NGPREVPRICES,4,FALSE),HLOOKUP(D228,PREVVOLS,VLOOKUP(G228,MOVE_DOWN2,2,FALSE),FALSE),VLOOKUP(G228,NGPREVPRICES,3,FALSE),HLOOKUP(D228,Correllate,VLOOKUP(G228,CorMove,2,FALSE),FALSE),Q228-$CD$3,R228,$CD$5)*H228-CJ228</f>
        <v>0</v>
      </c>
      <c r="CE228" s="234">
        <f>_xll.xSPRDOPT((VLOOKUP(G228,NGPREVPRICES,2,FALSE)+HLOOKUP(D228,PREVCURVES,VLOOKUP(G228,MOVE_DOWN2,2,FALSE),FALSE)),VLOOKUP(G228,NGPREVPRICES,2,FALSE),CK228,VLOOKUP(G228,NGPrices,4,FALSE),HLOOKUP(D228,PREVVOLS,VLOOKUP(G228,MOVE_DOWN2,2,FALSE),FALSE),VLOOKUP(G228,NGPREVPRICES,3,FALSE),HLOOKUP(D228,Correllate,VLOOKUP(G228,CorMove,2,FALSE),FALSE),Q228-$CD$3,R228,$CJ$5)*H228-CJ228</f>
        <v>0</v>
      </c>
      <c r="CF228" s="10">
        <f t="shared" si="264"/>
        <v>-3.8995855182947707</v>
      </c>
      <c r="CG228" s="234">
        <f>_xll.xSPRDOPT((VLOOKUP(G228,NGPREVPRICES,2,FALSE)+HLOOKUP(D228,PREVCURVES,VLOOKUP(G228,MOVE_DOWN2,2,FALSE),FALSE)),VLOOKUP(G228,NGPREVPRICES,2,FALSE),CK228,VLOOKUP(G228,NGPREVPRICES,4,FALSE),HLOOKUP(D228,VOLS,VLOOKUP(G228,move_down,2,FALSE),FALSE),VLOOKUP(G228,NGPrices,3,FALSE),HLOOKUP(D228,Correllate,VLOOKUP(G228,CorMove,2,FALSE),FALSE),Q228-$CD$3,R228,$CJ$5)*H228-CJ228</f>
        <v>0</v>
      </c>
      <c r="CH228" s="234">
        <f>_xll.xSPRDOPT((VLOOKUP(G228,NGPREVPRICES,2,FALSE)+HLOOKUP(D228,PREVCURVES,VLOOKUP(G228,MOVE_DOWN2,2,FALSE),FALSE)),VLOOKUP(G228,NGPREVPRICES,2,FALSE),CK228,VLOOKUP(G228,NGPREVPRICES,4,FALSE),HLOOKUP(D228,PREVVOLS,VLOOKUP(G228,MOVE_DOWN2,2,FALSE),FALSE),VLOOKUP(G228,NGPREVPRICES,3,FALSE),HLOOKUP(D228,Correllate,VLOOKUP(G228,CorMove,2,FALSE),FALSE),Q228-$C$3,R228,$CJ$5)*H228-CJ228</f>
        <v>-99.9697938096906</v>
      </c>
      <c r="CI228" s="234">
        <f t="shared" si="265"/>
        <v>-103.86937932798537</v>
      </c>
      <c r="CJ228" s="234">
        <f>_xll.xSPRDOPT((VLOOKUP(G228,NGPREVPRICES,2,FALSE)+HLOOKUP(D228,PREVCURVES,VLOOKUP(G228,MOVE_DOWN2,2,FALSE),FALSE)),VLOOKUP(G228,NGPREVPRICES,2,FALSE),CK228,VLOOKUP(G228,NGPREVPRICES,4,FALSE),HLOOKUP(D228,PREVVOLS,VLOOKUP(G228,MOVE_DOWN2,2,FALSE),FALSE),VLOOKUP(G228,NGPREVPRICES,3,FALSE),HLOOKUP(D228,Correllate,VLOOKUP(G228,CorMove,2,FALSE),FALSE),Q228-$CD$3,R228,$CJ$5)*H228</f>
        <v>20693.915447853251</v>
      </c>
      <c r="CK228" s="235">
        <f t="shared" si="266"/>
        <v>0.15</v>
      </c>
      <c r="CL228" s="234"/>
      <c r="CM228" t="str">
        <f t="shared" si="267"/>
        <v>36892Curve Shift/Gamma</v>
      </c>
      <c r="CN228" t="str">
        <f t="shared" si="248"/>
        <v>36892Rho</v>
      </c>
      <c r="CO228" t="str">
        <f t="shared" si="249"/>
        <v>36892Drift</v>
      </c>
      <c r="CP228" t="str">
        <f t="shared" si="250"/>
        <v>36892Vega</v>
      </c>
      <c r="CQ228" t="str">
        <f t="shared" si="251"/>
        <v>36892Theta</v>
      </c>
    </row>
    <row r="229" spans="1:95" ht="12" customHeight="1" x14ac:dyDescent="0.25">
      <c r="A229" s="140" t="s">
        <v>395</v>
      </c>
      <c r="B229" t="s">
        <v>250</v>
      </c>
      <c r="C229" t="s">
        <v>396</v>
      </c>
      <c r="D229" s="4" t="s">
        <v>74</v>
      </c>
      <c r="E229" t="s">
        <v>20</v>
      </c>
      <c r="F229" t="s">
        <v>21</v>
      </c>
      <c r="G229" s="5">
        <v>36861</v>
      </c>
      <c r="H229" s="130">
        <v>465000</v>
      </c>
      <c r="I229">
        <v>0.15</v>
      </c>
      <c r="J229" s="53">
        <f t="shared" si="260"/>
        <v>4.8</v>
      </c>
      <c r="K229" s="7">
        <f t="shared" si="261"/>
        <v>0.1</v>
      </c>
      <c r="L229" s="53">
        <f t="shared" si="262"/>
        <v>4.8999999999999995</v>
      </c>
      <c r="M229" s="157">
        <f t="shared" si="268"/>
        <v>6.8314027999354002E-2</v>
      </c>
      <c r="N229" s="4">
        <f t="shared" si="269"/>
        <v>0.6</v>
      </c>
      <c r="O229" s="4">
        <f t="shared" si="270"/>
        <v>0.6</v>
      </c>
      <c r="P229" s="9">
        <f t="shared" si="271"/>
        <v>0.997</v>
      </c>
      <c r="Q229" s="5">
        <f t="shared" si="254"/>
        <v>36859</v>
      </c>
      <c r="R229" s="4">
        <f t="shared" si="272"/>
        <v>1</v>
      </c>
      <c r="S229" s="158">
        <f>_xll.xSPRDOPT($L229,$J229,$I229,$M229,$O229,$N229,$P229,$Q229-$C$3,$R229,0)</f>
        <v>2.7108270418358397E-2</v>
      </c>
      <c r="T229" s="159">
        <f>_xll.xSPRDOPT($L229,$J229,$I229,$M229,$O229,$N229,$P229,$Q229-$C$3,$R229,1)*H229</f>
        <v>158692.48203413057</v>
      </c>
      <c r="U229" s="160">
        <f t="shared" si="273"/>
        <v>12605.345744536655</v>
      </c>
      <c r="V229" s="159">
        <f>_xll.xSPRDOPT($L229,$J229,$I229,$M229,$O229,$N229,$P229,$Q229-$C$3,$R229,2)*H229</f>
        <v>-155030.14307928702</v>
      </c>
      <c r="W229" s="159">
        <f t="shared" si="274"/>
        <v>3662.3389548435516</v>
      </c>
      <c r="X229" s="51" t="str">
        <f t="shared" si="255"/>
        <v>36861NGI/CHI. GATE</v>
      </c>
      <c r="Y229" s="418">
        <f t="shared" si="256"/>
        <v>46.5</v>
      </c>
      <c r="Z229" s="456">
        <f t="shared" si="257"/>
        <v>0.34127415491210877</v>
      </c>
      <c r="AA229" s="456">
        <f>_xll.xSPRDOPT($L229,$J229,$I229,$M229,$O229,$N229,$P229,$Q229-$C$3,$R229,3)</f>
        <v>3.010063694198406</v>
      </c>
      <c r="AB229" s="456">
        <f>((_xll.xSPRDOPT($L229+AB$5,$J229,$I229,$M229,$O229,$N229,$P229,$Q229-$C$3,$R229,3)*$H229)/10000)/100</f>
        <v>1.399679617802259</v>
      </c>
      <c r="AC229" s="456">
        <f>((_xll.xSPRDOPT($L229+$AB$5,$J229,$I229,$M229,$O229,$N229,$P229,$Q229-$C$3,$R229,7)*$H229)/100)</f>
        <v>-29597.449655715445</v>
      </c>
      <c r="AD229" s="456">
        <f>(_xll.xSPRDOPT($L229+$AB$5,$J229,$I229,$M229,$O229,$N229,$P229,$Q229-$C$3,$R229,9)/365)*$H229</f>
        <v>-108.92397642719177</v>
      </c>
      <c r="AE229">
        <f t="shared" si="258"/>
        <v>0</v>
      </c>
      <c r="AF229" s="456">
        <f t="shared" si="259"/>
        <v>341.03489019946528</v>
      </c>
      <c r="AG229" s="456">
        <f>((_xll.xSPRDOPT($L229,$J229,$I229,$M229,$O229,$N229,$P229,$Q229-$C$3,$R229,6)*$H229)/100)</f>
        <v>-1266.8723912726352</v>
      </c>
      <c r="AH229" s="456">
        <f>((_xll.xSPRDOPT($L229,$J229,$I229,$M229,$O229,$N229,$P229,$Q229-$C$3,$R229,5)*$H229)/100)</f>
        <v>1607.9072814721005</v>
      </c>
      <c r="AI229" s="456">
        <f>(((_xll.xSPRDOPT($L229,$J229,$I229,$M229,$O229,$N229,$P229,$Q229-$C$3,$R229,4)*$H229)/10000)/100)-AB229</f>
        <v>-2.3632437200389322E-2</v>
      </c>
      <c r="AJ229" s="456"/>
      <c r="AK229" s="456"/>
      <c r="AL229" s="456"/>
      <c r="AM229" s="472"/>
      <c r="CC229" s="141">
        <f t="shared" si="263"/>
        <v>36861</v>
      </c>
      <c r="CD229" s="234">
        <f>_xll.xSPRDOPT((VLOOKUP(G229,NGPrices,2,FALSE)+HLOOKUP(D229,Prices,VLOOKUP(G229,move_down,2,FALSE),FALSE)),VLOOKUP(G229,NGPrices,2,FALSE),I229,VLOOKUP(G229,NGPREVPRICES,4,FALSE),HLOOKUP(D229,PREVVOLS,VLOOKUP(G229,MOVE_DOWN2,2,FALSE),FALSE),VLOOKUP(G229,NGPREVPRICES,3,FALSE),HLOOKUP(D229,Correllate,VLOOKUP(G229,CorMove,2,FALSE),FALSE),Q229-$CD$3,R229,$CD$5)*H229-CJ229</f>
        <v>0</v>
      </c>
      <c r="CE229" s="234">
        <f>_xll.xSPRDOPT((VLOOKUP(G229,NGPREVPRICES,2,FALSE)+HLOOKUP(D229,PREVCURVES,VLOOKUP(G229,MOVE_DOWN2,2,FALSE),FALSE)),VLOOKUP(G229,NGPREVPRICES,2,FALSE),CK229,VLOOKUP(G229,NGPrices,4,FALSE),HLOOKUP(D229,PREVVOLS,VLOOKUP(G229,MOVE_DOWN2,2,FALSE),FALSE),VLOOKUP(G229,NGPREVPRICES,3,FALSE),HLOOKUP(D229,Correllate,VLOOKUP(G229,CorMove,2,FALSE),FALSE),Q229-$CD$3,R229,$CJ$5)*H229-CJ229</f>
        <v>0</v>
      </c>
      <c r="CF229" s="10">
        <f t="shared" si="264"/>
        <v>-2.3818010069262527</v>
      </c>
      <c r="CG229" s="234">
        <f>_xll.xSPRDOPT((VLOOKUP(G229,NGPREVPRICES,2,FALSE)+HLOOKUP(D229,PREVCURVES,VLOOKUP(G229,MOVE_DOWN2,2,FALSE),FALSE)),VLOOKUP(G229,NGPREVPRICES,2,FALSE),CK229,VLOOKUP(G229,NGPREVPRICES,4,FALSE),HLOOKUP(D229,VOLS,VLOOKUP(G229,move_down,2,FALSE),FALSE),VLOOKUP(G229,NGPrices,3,FALSE),HLOOKUP(D229,Correllate,VLOOKUP(G229,CorMove,2,FALSE),FALSE),Q229-$CD$3,R229,$CJ$5)*H229-CJ229</f>
        <v>0</v>
      </c>
      <c r="CH229" s="234">
        <f>_xll.xSPRDOPT((VLOOKUP(G229,NGPREVPRICES,2,FALSE)+HLOOKUP(D229,PREVCURVES,VLOOKUP(G229,MOVE_DOWN2,2,FALSE),FALSE)),VLOOKUP(G229,NGPREVPRICES,2,FALSE),CK229,VLOOKUP(G229,NGPREVPRICES,4,FALSE),HLOOKUP(D229,PREVVOLS,VLOOKUP(G229,MOVE_DOWN2,2,FALSE),FALSE),VLOOKUP(G229,NGPREVPRICES,3,FALSE),HLOOKUP(D229,Correllate,VLOOKUP(G229,CorMove,2,FALSE),FALSE),Q229-$C$3,R229,$CJ$5)*H229-CJ229</f>
        <v>-108.58218972824579</v>
      </c>
      <c r="CI229" s="234">
        <f t="shared" si="265"/>
        <v>-110.96399073517205</v>
      </c>
      <c r="CJ229" s="234">
        <f>_xll.xSPRDOPT((VLOOKUP(G229,NGPREVPRICES,2,FALSE)+HLOOKUP(D229,PREVCURVES,VLOOKUP(G229,MOVE_DOWN2,2,FALSE),FALSE)),VLOOKUP(G229,NGPREVPRICES,2,FALSE),CK229,VLOOKUP(G229,NGPREVPRICES,4,FALSE),HLOOKUP(D229,PREVVOLS,VLOOKUP(G229,MOVE_DOWN2,2,FALSE),FALSE),VLOOKUP(G229,NGPREVPRICES,3,FALSE),HLOOKUP(D229,Correllate,VLOOKUP(G229,CorMove,2,FALSE),FALSE),Q229-$CD$3,R229,$CJ$5)*H229</f>
        <v>12713.927934264901</v>
      </c>
      <c r="CK229" s="235">
        <f t="shared" si="266"/>
        <v>0.15</v>
      </c>
      <c r="CL229" s="234"/>
      <c r="CM229" t="str">
        <f t="shared" si="267"/>
        <v>36861Curve Shift/Gamma</v>
      </c>
      <c r="CN229" t="str">
        <f t="shared" si="248"/>
        <v>36861Rho</v>
      </c>
      <c r="CO229" t="str">
        <f t="shared" si="249"/>
        <v>36861Drift</v>
      </c>
      <c r="CP229" t="str">
        <f t="shared" si="250"/>
        <v>36861Vega</v>
      </c>
      <c r="CQ229" t="str">
        <f t="shared" si="251"/>
        <v>36861Theta</v>
      </c>
    </row>
    <row r="230" spans="1:95" ht="12" customHeight="1" x14ac:dyDescent="0.25">
      <c r="A230" s="140" t="s">
        <v>284</v>
      </c>
      <c r="B230" t="s">
        <v>250</v>
      </c>
      <c r="C230" t="s">
        <v>397</v>
      </c>
      <c r="D230" s="4" t="s">
        <v>7</v>
      </c>
      <c r="E230" t="s">
        <v>20</v>
      </c>
      <c r="F230" t="s">
        <v>1</v>
      </c>
      <c r="G230" s="5">
        <v>36800</v>
      </c>
      <c r="H230" s="130">
        <v>1550000</v>
      </c>
      <c r="I230">
        <v>0.3</v>
      </c>
      <c r="J230" s="53">
        <f t="shared" si="260"/>
        <v>4.6920000000000002</v>
      </c>
      <c r="K230" s="7">
        <f t="shared" si="261"/>
        <v>0.41499999999999998</v>
      </c>
      <c r="L230" s="53">
        <f t="shared" si="262"/>
        <v>5.1070000000000002</v>
      </c>
      <c r="M230" s="157">
        <f t="shared" si="268"/>
        <v>6.8050789414654006E-2</v>
      </c>
      <c r="N230" s="4">
        <f t="shared" si="269"/>
        <v>0.57499999999999996</v>
      </c>
      <c r="O230" s="4">
        <f t="shared" si="270"/>
        <v>0.56399999999999995</v>
      </c>
      <c r="P230" s="9">
        <f t="shared" si="271"/>
        <v>0.99250000000000005</v>
      </c>
      <c r="Q230" s="5">
        <f t="shared" si="254"/>
        <v>36797</v>
      </c>
      <c r="R230" s="4">
        <f t="shared" si="272"/>
        <v>0</v>
      </c>
      <c r="S230" s="158">
        <f>_xll.xSPRDOPT($L230,$J230,$I230,$M230,$O230,$N230,$P230,$Q230-$C$3,$R230,0)</f>
        <v>7.0349436722563774E-3</v>
      </c>
      <c r="T230" s="159">
        <f>_xll.xSPRDOPT($L230,$J230,$I230,$M230,$O230,$N230,$P230,$Q230-$C$3,$R230,1)*H230</f>
        <v>-202951.28545109445</v>
      </c>
      <c r="U230" s="160">
        <f t="shared" si="273"/>
        <v>10904.162691997384</v>
      </c>
      <c r="V230" s="159">
        <f>_xll.xSPRDOPT($L230,$J230,$I230,$M230,$O230,$N230,$P230,$Q230-$C$3,$R230,2)*H230</f>
        <v>208803.9967046559</v>
      </c>
      <c r="W230" s="159">
        <f t="shared" si="274"/>
        <v>5852.7112535614579</v>
      </c>
      <c r="X230" s="51" t="str">
        <f t="shared" si="255"/>
        <v>36800IF-TRANSCO/Z6</v>
      </c>
      <c r="Y230" s="418">
        <f t="shared" si="256"/>
        <v>155</v>
      </c>
      <c r="Z230" s="456">
        <f t="shared" si="257"/>
        <v>-0.13093631319425447</v>
      </c>
      <c r="AA230" s="456">
        <f>_xll.xSPRDOPT($L230,$J230,$I230,$M230,$O230,$N230,$P230,$Q230-$C$3,$R230,3)</f>
        <v>2.0096109927708925</v>
      </c>
      <c r="AB230" s="456">
        <f>((_xll.xSPRDOPT($L230+AB$5,$J230,$I230,$M230,$O230,$N230,$P230,$Q230-$C$3,$R230,3)*$H230)/10000)/100</f>
        <v>3.1148970387948833</v>
      </c>
      <c r="AC230" s="456">
        <f>((_xll.xSPRDOPT($L230+$AB$5,$J230,$I230,$M230,$O230,$N230,$P230,$Q230-$C$3,$R230,7)*$H230)/100)</f>
        <v>-20278.503765613725</v>
      </c>
      <c r="AD230" s="456">
        <f>(_xll.xSPRDOPT($L230+$AB$5,$J230,$I230,$M230,$O230,$N230,$P230,$Q230-$C$3,$R230,9)/365)*$H230</f>
        <v>-579.19646680401547</v>
      </c>
      <c r="AE230">
        <f t="shared" si="258"/>
        <v>0</v>
      </c>
      <c r="AF230" s="456">
        <f t="shared" si="259"/>
        <v>606.08516963497982</v>
      </c>
      <c r="AG230" s="456">
        <f>((_xll.xSPRDOPT($L230,$J230,$I230,$M230,$O230,$N230,$P230,$Q230-$C$3,$R230,6)*$H230)/100)</f>
        <v>-1305.7644560504073</v>
      </c>
      <c r="AH230" s="456">
        <f>((_xll.xSPRDOPT($L230,$J230,$I230,$M230,$O230,$N230,$P230,$Q230-$C$3,$R230,5)*$H230)/100)</f>
        <v>1949.1374729948539</v>
      </c>
      <c r="AI230" s="456">
        <f>(((_xll.xSPRDOPT($L230,$J230,$I230,$M230,$O230,$N230,$P230,$Q230-$C$3,$R230,4)*$H230)/10000)/100)-AB230</f>
        <v>0.1260728984362669</v>
      </c>
      <c r="AJ230" s="456"/>
      <c r="AK230" s="456"/>
      <c r="AL230" s="456"/>
      <c r="AM230" s="472"/>
      <c r="CC230" s="141">
        <f t="shared" si="263"/>
        <v>36800</v>
      </c>
      <c r="CD230" s="234">
        <f>_xll.xSPRDOPT((VLOOKUP(G230,NGPrices,2,FALSE)+HLOOKUP(D230,Prices,VLOOKUP(G230,move_down,2,FALSE),FALSE)),VLOOKUP(G230,NGPrices,2,FALSE),I230,VLOOKUP(G230,NGPREVPRICES,4,FALSE),HLOOKUP(D230,PREVVOLS,VLOOKUP(G230,MOVE_DOWN2,2,FALSE),FALSE),VLOOKUP(G230,NGPREVPRICES,3,FALSE),HLOOKUP(D230,Correllate,VLOOKUP(G230,CorMove,2,FALSE),FALSE),Q230-$CD$3,R230,$CD$5)*H230-CJ230</f>
        <v>0</v>
      </c>
      <c r="CE230" s="234">
        <f>_xll.xSPRDOPT((VLOOKUP(G230,NGPREVPRICES,2,FALSE)+HLOOKUP(D230,PREVCURVES,VLOOKUP(G230,MOVE_DOWN2,2,FALSE),FALSE)),VLOOKUP(G230,NGPREVPRICES,2,FALSE),CK230,VLOOKUP(G230,NGPrices,4,FALSE),HLOOKUP(D230,PREVVOLS,VLOOKUP(G230,MOVE_DOWN2,2,FALSE),FALSE),VLOOKUP(G230,NGPREVPRICES,3,FALSE),HLOOKUP(D230,Correllate,VLOOKUP(G230,CorMove,2,FALSE),FALSE),Q230-$CD$3,R230,$CJ$5)*H230-CJ230</f>
        <v>0</v>
      </c>
      <c r="CF230" s="10">
        <f t="shared" si="264"/>
        <v>-2.1171224193949456</v>
      </c>
      <c r="CG230" s="234">
        <f>_xll.xSPRDOPT((VLOOKUP(G230,NGPREVPRICES,2,FALSE)+HLOOKUP(D230,PREVCURVES,VLOOKUP(G230,MOVE_DOWN2,2,FALSE),FALSE)),VLOOKUP(G230,NGPREVPRICES,2,FALSE),CK230,VLOOKUP(G230,NGPREVPRICES,4,FALSE),HLOOKUP(D230,VOLS,VLOOKUP(G230,move_down,2,FALSE),FALSE),VLOOKUP(G230,NGPrices,3,FALSE),HLOOKUP(D230,Correllate,VLOOKUP(G230,CorMove,2,FALSE),FALSE),Q230-$CD$3,R230,$CJ$5)*H230-CJ230</f>
        <v>0</v>
      </c>
      <c r="CH230" s="234">
        <f>_xll.xSPRDOPT((VLOOKUP(G230,NGPREVPRICES,2,FALSE)+HLOOKUP(D230,PREVCURVES,VLOOKUP(G230,MOVE_DOWN2,2,FALSE),FALSE)),VLOOKUP(G230,NGPREVPRICES,2,FALSE),CK230,VLOOKUP(G230,NGPREVPRICES,4,FALSE),HLOOKUP(D230,PREVVOLS,VLOOKUP(G230,MOVE_DOWN2,2,FALSE),FALSE),VLOOKUP(G230,NGPREVPRICES,3,FALSE),HLOOKUP(D230,Correllate,VLOOKUP(G230,CorMove,2,FALSE),FALSE),Q230-$C$3,R230,$CJ$5)*H230-CJ230</f>
        <v>-579.73486474309539</v>
      </c>
      <c r="CI230" s="234">
        <f t="shared" si="265"/>
        <v>-581.85198716249033</v>
      </c>
      <c r="CJ230" s="234">
        <f>_xll.xSPRDOPT((VLOOKUP(G230,NGPREVPRICES,2,FALSE)+HLOOKUP(D230,PREVCURVES,VLOOKUP(G230,MOVE_DOWN2,2,FALSE),FALSE)),VLOOKUP(G230,NGPREVPRICES,2,FALSE),CK230,VLOOKUP(G230,NGPREVPRICES,4,FALSE),HLOOKUP(D230,PREVVOLS,VLOOKUP(G230,MOVE_DOWN2,2,FALSE),FALSE),VLOOKUP(G230,NGPREVPRICES,3,FALSE),HLOOKUP(D230,Correllate,VLOOKUP(G230,CorMove,2,FALSE),FALSE),Q230-$CD$3,R230,$CJ$5)*H230</f>
        <v>11483.89755674048</v>
      </c>
      <c r="CK230" s="235">
        <f t="shared" si="266"/>
        <v>0.3</v>
      </c>
      <c r="CL230" s="234"/>
      <c r="CM230" t="str">
        <f t="shared" si="267"/>
        <v>36800Curve Shift/Gamma</v>
      </c>
      <c r="CN230" t="str">
        <f t="shared" si="248"/>
        <v>36800Rho</v>
      </c>
      <c r="CO230" t="str">
        <f t="shared" si="249"/>
        <v>36800Drift</v>
      </c>
      <c r="CP230" t="str">
        <f t="shared" si="250"/>
        <v>36800Vega</v>
      </c>
      <c r="CQ230" t="str">
        <f t="shared" si="251"/>
        <v>36800Theta</v>
      </c>
    </row>
    <row r="231" spans="1:95" ht="12" customHeight="1" x14ac:dyDescent="0.25">
      <c r="A231" s="140" t="s">
        <v>284</v>
      </c>
      <c r="B231" t="s">
        <v>250</v>
      </c>
      <c r="C231" t="s">
        <v>397</v>
      </c>
      <c r="D231" s="4" t="s">
        <v>7</v>
      </c>
      <c r="E231" t="s">
        <v>20</v>
      </c>
      <c r="F231" t="s">
        <v>1</v>
      </c>
      <c r="G231" s="5">
        <v>36770</v>
      </c>
      <c r="H231" s="130">
        <v>1500000</v>
      </c>
      <c r="I231">
        <v>0.3</v>
      </c>
      <c r="J231" s="53">
        <f t="shared" si="260"/>
        <v>4.6849999999999996</v>
      </c>
      <c r="K231" s="7">
        <f t="shared" si="261"/>
        <v>0.315</v>
      </c>
      <c r="L231" s="53">
        <f t="shared" si="262"/>
        <v>5</v>
      </c>
      <c r="M231" s="157">
        <f t="shared" si="268"/>
        <v>6.7216196212184998E-2</v>
      </c>
      <c r="N231" s="4">
        <f t="shared" si="269"/>
        <v>0.4</v>
      </c>
      <c r="O231" s="4">
        <f t="shared" si="270"/>
        <v>0.39200000000000002</v>
      </c>
      <c r="P231" s="9">
        <f t="shared" si="271"/>
        <v>0.99250000000000005</v>
      </c>
      <c r="Q231" s="5">
        <f t="shared" si="254"/>
        <v>36768</v>
      </c>
      <c r="R231" s="4">
        <f t="shared" si="272"/>
        <v>0</v>
      </c>
      <c r="S231" s="158">
        <f>_xll.xSPRDOPT($L231,$J231,$I231,$M231,$O231,$N231,$P231,$Q231-$C$3,$R231,0)</f>
        <v>7.9788269410402402E-4</v>
      </c>
      <c r="T231" s="159">
        <f>_xll.xSPRDOPT($L231,$J231,$I231,$M231,$O231,$N231,$P231,$Q231-$C$3,$R231,1)*H231</f>
        <v>-185473.64621443007</v>
      </c>
      <c r="U231" s="160">
        <f t="shared" si="273"/>
        <v>1196.8240411560359</v>
      </c>
      <c r="V231" s="159">
        <f>_xll.xSPRDOPT($L231,$J231,$I231,$M231,$O231,$N231,$P231,$Q231-$C$3,$R231,2)*H231</f>
        <v>186168.15714962382</v>
      </c>
      <c r="W231" s="159">
        <f t="shared" si="274"/>
        <v>694.51093519374263</v>
      </c>
      <c r="X231" s="51" t="str">
        <f t="shared" si="255"/>
        <v>36770IF-TRANSCO/Z6</v>
      </c>
      <c r="Y231" s="418">
        <f t="shared" si="256"/>
        <v>150</v>
      </c>
      <c r="Z231" s="456">
        <f t="shared" si="257"/>
        <v>-0.12364909747628672</v>
      </c>
      <c r="AA231" s="456">
        <f>_xll.xSPRDOPT($L231,$J231,$I231,$M231,$O231,$N231,$P231,$Q231-$C$3,$R231,3)</f>
        <v>15.702680426473698</v>
      </c>
      <c r="AB231" s="456">
        <f>((_xll.xSPRDOPT($L231+AB$5,$J231,$I231,$M231,$O231,$N231,$P231,$Q231-$C$3,$R231,3)*$H231)/10000)/100</f>
        <v>23.554020639710547</v>
      </c>
      <c r="AC231" s="456">
        <f>((_xll.xSPRDOPT($L231+$AB$5,$J231,$I231,$M231,$O231,$N231,$P231,$Q231-$C$3,$R231,7)*$H231)/100)</f>
        <v>-2374.8602155725084</v>
      </c>
      <c r="AD231" s="456">
        <f>(_xll.xSPRDOPT($L231+$AB$5,$J231,$I231,$M231,$O231,$N231,$P231,$Q231-$C$3,$R231,9)/365)*$H231</f>
        <v>-1994.4194910477374</v>
      </c>
      <c r="AE231">
        <f t="shared" si="258"/>
        <v>0</v>
      </c>
      <c r="AF231" s="456">
        <f t="shared" si="259"/>
        <v>99.665379921679175</v>
      </c>
      <c r="AG231" s="456">
        <f>((_xll.xSPRDOPT($L231,$J231,$I231,$M231,$O231,$N231,$P231,$Q231-$C$3,$R231,6)*$H231)/100)</f>
        <v>-201.08658274160348</v>
      </c>
      <c r="AH231" s="456">
        <f>((_xll.xSPRDOPT($L231,$J231,$I231,$M231,$O231,$N231,$P231,$Q231-$C$3,$R231,5)*$H231)/100)</f>
        <v>306.88975781967616</v>
      </c>
      <c r="AI231" s="456">
        <f>(((_xll.xSPRDOPT($L231,$J231,$I231,$M231,$O231,$N231,$P231,$Q231-$C$3,$R231,4)*$H231)/10000)/100)-AB231</f>
        <v>0.12373203085575923</v>
      </c>
      <c r="AJ231" s="456"/>
      <c r="AK231" s="456"/>
      <c r="AL231" s="456"/>
      <c r="AM231" s="472"/>
      <c r="CC231" s="141">
        <f t="shared" si="263"/>
        <v>36770</v>
      </c>
      <c r="CD231" s="234">
        <f>_xll.xSPRDOPT((VLOOKUP(G231,NGPrices,2,FALSE)+HLOOKUP(D231,Prices,VLOOKUP(G231,move_down,2,FALSE),FALSE)),VLOOKUP(G231,NGPrices,2,FALSE),I231,VLOOKUP(G231,NGPREVPRICES,4,FALSE),HLOOKUP(D231,PREVVOLS,VLOOKUP(G231,MOVE_DOWN2,2,FALSE),FALSE),VLOOKUP(G231,NGPREVPRICES,3,FALSE),HLOOKUP(D231,Correllate,VLOOKUP(G231,CorMove,2,FALSE),FALSE),Q231-$CD$3,R231,$CD$5)*H231-CJ231</f>
        <v>0</v>
      </c>
      <c r="CE231" s="234">
        <f>_xll.xSPRDOPT((VLOOKUP(G231,NGPREVPRICES,2,FALSE)+HLOOKUP(D231,PREVCURVES,VLOOKUP(G231,MOVE_DOWN2,2,FALSE),FALSE)),VLOOKUP(G231,NGPREVPRICES,2,FALSE),CK231,VLOOKUP(G231,NGPrices,4,FALSE),HLOOKUP(D231,PREVVOLS,VLOOKUP(G231,MOVE_DOWN2,2,FALSE),FALSE),VLOOKUP(G231,NGPREVPRICES,3,FALSE),HLOOKUP(D231,Correllate,VLOOKUP(G231,CorMove,2,FALSE),FALSE),Q231-$CD$3,R231,$CJ$5)*H231-CJ231</f>
        <v>0</v>
      </c>
      <c r="CF231" s="10">
        <f t="shared" si="264"/>
        <v>-0.58548521404691201</v>
      </c>
      <c r="CG231" s="234">
        <f>_xll.xSPRDOPT((VLOOKUP(G231,NGPREVPRICES,2,FALSE)+HLOOKUP(D231,PREVCURVES,VLOOKUP(G231,MOVE_DOWN2,2,FALSE),FALSE)),VLOOKUP(G231,NGPREVPRICES,2,FALSE),CK231,VLOOKUP(G231,NGPREVPRICES,4,FALSE),HLOOKUP(D231,VOLS,VLOOKUP(G231,move_down,2,FALSE),FALSE),VLOOKUP(G231,NGPrices,3,FALSE),HLOOKUP(D231,Correllate,VLOOKUP(G231,CorMove,2,FALSE),FALSE),Q231-$CD$3,R231,$CJ$5)*H231-CJ231</f>
        <v>0</v>
      </c>
      <c r="CH231" s="234">
        <f>_xll.xSPRDOPT((VLOOKUP(G231,NGPREVPRICES,2,FALSE)+HLOOKUP(D231,PREVCURVES,VLOOKUP(G231,MOVE_DOWN2,2,FALSE),FALSE)),VLOOKUP(G231,NGPREVPRICES,2,FALSE),CK231,VLOOKUP(G231,NGPREVPRICES,4,FALSE),HLOOKUP(D231,PREVVOLS,VLOOKUP(G231,MOVE_DOWN2,2,FALSE),FALSE),VLOOKUP(G231,NGPREVPRICES,3,FALSE),HLOOKUP(D231,Correllate,VLOOKUP(G231,CorMove,2,FALSE),FALSE),Q231-$C$3,R231,$CJ$5)*H231-CJ231</f>
        <v>-2016.1425841362657</v>
      </c>
      <c r="CI231" s="234">
        <f t="shared" si="265"/>
        <v>-2016.7280693503126</v>
      </c>
      <c r="CJ231" s="234">
        <f>_xll.xSPRDOPT((VLOOKUP(G231,NGPREVPRICES,2,FALSE)+HLOOKUP(D231,PREVCURVES,VLOOKUP(G231,MOVE_DOWN2,2,FALSE),FALSE)),VLOOKUP(G231,NGPREVPRICES,2,FALSE),CK231,VLOOKUP(G231,NGPREVPRICES,4,FALSE),HLOOKUP(D231,PREVVOLS,VLOOKUP(G231,MOVE_DOWN2,2,FALSE),FALSE),VLOOKUP(G231,NGPREVPRICES,3,FALSE),HLOOKUP(D231,Correllate,VLOOKUP(G231,CorMove,2,FALSE),FALSE),Q231-$CD$3,R231,$CJ$5)*H231</f>
        <v>3212.9666252923016</v>
      </c>
      <c r="CK231" s="235">
        <f t="shared" si="266"/>
        <v>0.3</v>
      </c>
      <c r="CL231" s="234"/>
      <c r="CM231" t="str">
        <f t="shared" si="267"/>
        <v>36770Curve Shift/Gamma</v>
      </c>
      <c r="CN231" t="str">
        <f t="shared" si="248"/>
        <v>36770Rho</v>
      </c>
      <c r="CO231" t="str">
        <f t="shared" si="249"/>
        <v>36770Drift</v>
      </c>
      <c r="CP231" t="str">
        <f t="shared" si="250"/>
        <v>36770Vega</v>
      </c>
      <c r="CQ231" t="str">
        <f t="shared" si="251"/>
        <v>36770Theta</v>
      </c>
    </row>
    <row r="232" spans="1:95" ht="12" customHeight="1" x14ac:dyDescent="0.25">
      <c r="A232" s="140" t="s">
        <v>399</v>
      </c>
      <c r="B232" t="s">
        <v>250</v>
      </c>
      <c r="C232" t="s">
        <v>400</v>
      </c>
      <c r="D232" s="4" t="s">
        <v>74</v>
      </c>
      <c r="E232" t="s">
        <v>20</v>
      </c>
      <c r="F232" t="s">
        <v>21</v>
      </c>
      <c r="G232" s="5">
        <v>36951</v>
      </c>
      <c r="H232" s="130">
        <v>310000</v>
      </c>
      <c r="I232">
        <v>0.15</v>
      </c>
      <c r="J232" s="53">
        <f t="shared" si="260"/>
        <v>4.2130000000000001</v>
      </c>
      <c r="K232" s="7">
        <f t="shared" si="261"/>
        <v>0.1225</v>
      </c>
      <c r="L232" s="53">
        <f t="shared" si="262"/>
        <v>4.3354999999999997</v>
      </c>
      <c r="M232" s="157">
        <f t="shared" si="268"/>
        <v>6.8879814952706994E-2</v>
      </c>
      <c r="N232" s="4">
        <f t="shared" si="269"/>
        <v>0.53249999999999997</v>
      </c>
      <c r="O232" s="4">
        <f t="shared" si="270"/>
        <v>0.53300000000000003</v>
      </c>
      <c r="P232" s="9">
        <f t="shared" si="271"/>
        <v>0.997</v>
      </c>
      <c r="Q232" s="5">
        <f t="shared" si="254"/>
        <v>36949</v>
      </c>
      <c r="R232" s="4">
        <f t="shared" si="272"/>
        <v>1</v>
      </c>
      <c r="S232" s="158">
        <f>_xll.xSPRDOPT($L232,$J232,$I232,$M232,$O232,$N232,$P232,$Q232-$C$3,$R232,0)</f>
        <v>4.0723005471356676E-2</v>
      </c>
      <c r="T232" s="159">
        <f>_xll.xSPRDOPT($L232,$J232,$I232,$M232,$O232,$N232,$P232,$Q232-$C$3,$R232,1)*H232</f>
        <v>129142.3326287871</v>
      </c>
      <c r="U232" s="160">
        <f t="shared" si="273"/>
        <v>12624.13169612057</v>
      </c>
      <c r="V232" s="159">
        <f>_xll.xSPRDOPT($L232,$J232,$I232,$M232,$O232,$N232,$P232,$Q232-$C$3,$R232,2)*H232</f>
        <v>-126003.54028048414</v>
      </c>
      <c r="W232" s="159">
        <f t="shared" si="274"/>
        <v>3138.792348302959</v>
      </c>
      <c r="X232" s="51" t="str">
        <f t="shared" si="255"/>
        <v>36951NGI/CHI. GATE</v>
      </c>
      <c r="Y232" s="418">
        <f t="shared" si="256"/>
        <v>31</v>
      </c>
      <c r="Z232" s="456">
        <f t="shared" si="257"/>
        <v>0.41658816977028096</v>
      </c>
      <c r="AA232" s="456">
        <f>_xll.xSPRDOPT($L232,$J232,$I232,$M232,$O232,$N232,$P232,$Q232-$C$3,$R232,3)</f>
        <v>2.7889064827494936</v>
      </c>
      <c r="AB232" s="456">
        <f>((_xll.xSPRDOPT($L232+AB$5,$J232,$I232,$M232,$O232,$N232,$P232,$Q232-$C$3,$R232,3)*$H232)/10000)/100</f>
        <v>0.86456100965234295</v>
      </c>
      <c r="AC232" s="456">
        <f>((_xll.xSPRDOPT($L232+$AB$5,$J232,$I232,$M232,$O232,$N232,$P232,$Q232-$C$3,$R232,7)*$H232)/100)</f>
        <v>-22234.401221537912</v>
      </c>
      <c r="AD232" s="456">
        <f>(_xll.xSPRDOPT($L232+$AB$5,$J232,$I232,$M232,$O232,$N232,$P232,$Q232-$C$3,$R232,9)/365)*$H232</f>
        <v>-42.11028502579304</v>
      </c>
      <c r="AE232">
        <f t="shared" si="258"/>
        <v>0</v>
      </c>
      <c r="AF232" s="456">
        <f t="shared" si="259"/>
        <v>303.92905502284043</v>
      </c>
      <c r="AG232" s="456">
        <f>((_xll.xSPRDOPT($L232,$J232,$I232,$M232,$O232,$N232,$P232,$Q232-$C$3,$R232,6)*$H232)/100)</f>
        <v>-1267.2249174562569</v>
      </c>
      <c r="AH232" s="456">
        <f>((_xll.xSPRDOPT($L232,$J232,$I232,$M232,$O232,$N232,$P232,$Q232-$C$3,$R232,5)*$H232)/100)</f>
        <v>1569.6800944561335</v>
      </c>
      <c r="AI232" s="456">
        <f>(((_xll.xSPRDOPT($L232,$J232,$I232,$M232,$O232,$N232,$P232,$Q232-$C$3,$R232,4)*$H232)/10000)/100)-AB232</f>
        <v>-7.5381765969205761E-3</v>
      </c>
      <c r="AJ232" s="456"/>
      <c r="AK232" s="456"/>
      <c r="AL232" s="456"/>
      <c r="AM232" s="472"/>
      <c r="CC232" s="141">
        <f t="shared" si="263"/>
        <v>36951</v>
      </c>
      <c r="CD232" s="234">
        <f>_xll.xSPRDOPT((VLOOKUP(G232,NGPrices,2,FALSE)+HLOOKUP(D232,Prices,VLOOKUP(G232,move_down,2,FALSE),FALSE)),VLOOKUP(G232,NGPrices,2,FALSE),I232,VLOOKUP(G232,NGPREVPRICES,4,FALSE),HLOOKUP(D232,PREVVOLS,VLOOKUP(G232,MOVE_DOWN2,2,FALSE),FALSE),VLOOKUP(G232,NGPREVPRICES,3,FALSE),HLOOKUP(D232,Correllate,VLOOKUP(G232,CorMove,2,FALSE),FALSE),Q232-$CD$3,R232,$CD$5)*H232-CJ232</f>
        <v>0</v>
      </c>
      <c r="CE232" s="234">
        <f>_xll.xSPRDOPT((VLOOKUP(G232,NGPREVPRICES,2,FALSE)+HLOOKUP(D232,PREVCURVES,VLOOKUP(G232,MOVE_DOWN2,2,FALSE),FALSE)),VLOOKUP(G232,NGPREVPRICES,2,FALSE),CK232,VLOOKUP(G232,NGPrices,4,FALSE),HLOOKUP(D232,PREVVOLS,VLOOKUP(G232,MOVE_DOWN2,2,FALSE),FALSE),VLOOKUP(G232,NGPREVPRICES,3,FALSE),HLOOKUP(D232,Correllate,VLOOKUP(G232,CorMove,2,FALSE),FALSE),Q232-$CD$3,R232,$CJ$5)*H232-CJ232</f>
        <v>0</v>
      </c>
      <c r="CF232" s="10">
        <f t="shared" si="264"/>
        <v>-2.4291778175029322</v>
      </c>
      <c r="CG232" s="234">
        <f>_xll.xSPRDOPT((VLOOKUP(G232,NGPREVPRICES,2,FALSE)+HLOOKUP(D232,PREVCURVES,VLOOKUP(G232,MOVE_DOWN2,2,FALSE),FALSE)),VLOOKUP(G232,NGPREVPRICES,2,FALSE),CK232,VLOOKUP(G232,NGPREVPRICES,4,FALSE),HLOOKUP(D232,VOLS,VLOOKUP(G232,move_down,2,FALSE),FALSE),VLOOKUP(G232,NGPrices,3,FALSE),HLOOKUP(D232,Correllate,VLOOKUP(G232,CorMove,2,FALSE),FALSE),Q232-$CD$3,R232,$CJ$5)*H232-CJ232</f>
        <v>0</v>
      </c>
      <c r="CH232" s="234">
        <f>_xll.xSPRDOPT((VLOOKUP(G232,NGPREVPRICES,2,FALSE)+HLOOKUP(D232,PREVCURVES,VLOOKUP(G232,MOVE_DOWN2,2,FALSE),FALSE)),VLOOKUP(G232,NGPREVPRICES,2,FALSE),CK232,VLOOKUP(G232,NGPREVPRICES,4,FALSE),HLOOKUP(D232,PREVVOLS,VLOOKUP(G232,MOVE_DOWN2,2,FALSE),FALSE),VLOOKUP(G232,NGPREVPRICES,3,FALSE),HLOOKUP(D232,Correllate,VLOOKUP(G232,CorMove,2,FALSE),FALSE),Q232-$C$3,R232,$CJ$5)*H232-CJ232</f>
        <v>-42.015864445211264</v>
      </c>
      <c r="CI232" s="234">
        <f t="shared" si="265"/>
        <v>-44.445042262714196</v>
      </c>
      <c r="CJ232" s="234">
        <f>_xll.xSPRDOPT((VLOOKUP(G232,NGPREVPRICES,2,FALSE)+HLOOKUP(D232,PREVCURVES,VLOOKUP(G232,MOVE_DOWN2,2,FALSE),FALSE)),VLOOKUP(G232,NGPREVPRICES,2,FALSE),CK232,VLOOKUP(G232,NGPREVPRICES,4,FALSE),HLOOKUP(D232,PREVVOLS,VLOOKUP(G232,MOVE_DOWN2,2,FALSE),FALSE),VLOOKUP(G232,NGPREVPRICES,3,FALSE),HLOOKUP(D232,Correllate,VLOOKUP(G232,CorMove,2,FALSE),FALSE),Q232-$CD$3,R232,$CJ$5)*H232</f>
        <v>12666.147560565782</v>
      </c>
      <c r="CK232" s="235">
        <f t="shared" si="266"/>
        <v>0.15</v>
      </c>
      <c r="CL232" s="234"/>
      <c r="CM232" t="str">
        <f t="shared" si="267"/>
        <v>36951Curve Shift/Gamma</v>
      </c>
      <c r="CN232" t="str">
        <f t="shared" si="248"/>
        <v>36951Rho</v>
      </c>
      <c r="CO232" t="str">
        <f t="shared" si="249"/>
        <v>36951Drift</v>
      </c>
      <c r="CP232" t="str">
        <f t="shared" si="250"/>
        <v>36951Vega</v>
      </c>
      <c r="CQ232" t="str">
        <f t="shared" si="251"/>
        <v>36951Theta</v>
      </c>
    </row>
    <row r="233" spans="1:95" ht="12" customHeight="1" x14ac:dyDescent="0.25">
      <c r="A233" s="140" t="s">
        <v>399</v>
      </c>
      <c r="B233" t="s">
        <v>250</v>
      </c>
      <c r="C233" t="s">
        <v>400</v>
      </c>
      <c r="D233" s="4" t="s">
        <v>74</v>
      </c>
      <c r="E233" t="s">
        <v>20</v>
      </c>
      <c r="F233" t="s">
        <v>21</v>
      </c>
      <c r="G233" s="5">
        <v>36923</v>
      </c>
      <c r="H233" s="130">
        <v>280000</v>
      </c>
      <c r="I233">
        <v>0.15</v>
      </c>
      <c r="J233" s="53">
        <f t="shared" si="260"/>
        <v>4.4800000000000004</v>
      </c>
      <c r="K233" s="7">
        <f t="shared" si="261"/>
        <v>0.13750000000000001</v>
      </c>
      <c r="L233" s="53">
        <f t="shared" si="262"/>
        <v>4.6175000000000006</v>
      </c>
      <c r="M233" s="157">
        <f t="shared" si="268"/>
        <v>6.8640161611372E-2</v>
      </c>
      <c r="N233" s="4">
        <f t="shared" si="269"/>
        <v>0.59250000000000003</v>
      </c>
      <c r="O233" s="4">
        <f t="shared" si="270"/>
        <v>0.59299999999999997</v>
      </c>
      <c r="P233" s="9">
        <f t="shared" si="271"/>
        <v>0.997</v>
      </c>
      <c r="Q233" s="5">
        <f t="shared" si="254"/>
        <v>36921</v>
      </c>
      <c r="R233" s="4">
        <f t="shared" si="272"/>
        <v>1</v>
      </c>
      <c r="S233" s="158">
        <f>_xll.xSPRDOPT($L233,$J233,$I233,$M233,$O233,$N233,$P233,$Q233-$C$3,$R233,0)</f>
        <v>5.1601903862221528E-2</v>
      </c>
      <c r="T233" s="159">
        <f>_xll.xSPRDOPT($L233,$J233,$I233,$M233,$O233,$N233,$P233,$Q233-$C$3,$R233,1)*H233</f>
        <v>129684.97346307428</v>
      </c>
      <c r="U233" s="160">
        <f t="shared" si="273"/>
        <v>14448.533081422027</v>
      </c>
      <c r="V233" s="159">
        <f>_xll.xSPRDOPT($L233,$J233,$I233,$M233,$O233,$N233,$P233,$Q233-$C$3,$R233,2)*H233</f>
        <v>-126705.48503538528</v>
      </c>
      <c r="W233" s="159">
        <f t="shared" si="274"/>
        <v>2979.4884276889934</v>
      </c>
      <c r="X233" s="51" t="str">
        <f t="shared" si="255"/>
        <v>36923NGI/CHI. GATE</v>
      </c>
      <c r="Y233" s="418">
        <f t="shared" si="256"/>
        <v>28</v>
      </c>
      <c r="Z233" s="456">
        <f t="shared" si="257"/>
        <v>0.46316061951097953</v>
      </c>
      <c r="AA233" s="456">
        <f>_xll.xSPRDOPT($L233,$J233,$I233,$M233,$O233,$N233,$P233,$Q233-$C$3,$R233,3)</f>
        <v>2.6234575744327917</v>
      </c>
      <c r="AB233" s="456">
        <f>((_xll.xSPRDOPT($L233+AB$5,$J233,$I233,$M233,$O233,$N233,$P233,$Q233-$C$3,$R233,3)*$H233)/10000)/100</f>
        <v>0.73456812084118173</v>
      </c>
      <c r="AC233" s="456">
        <f>((_xll.xSPRDOPT($L233+$AB$5,$J233,$I233,$M233,$O233,$N233,$P233,$Q233-$C$3,$R233,7)*$H233)/100)</f>
        <v>-22478.122338744019</v>
      </c>
      <c r="AD233" s="456">
        <f>(_xll.xSPRDOPT($L233+$AB$5,$J233,$I233,$M233,$O233,$N233,$P233,$Q233-$C$3,$R233,9)/365)*$H233</f>
        <v>-49.695761016680237</v>
      </c>
      <c r="AE233">
        <f t="shared" si="258"/>
        <v>0</v>
      </c>
      <c r="AF233" s="456">
        <f t="shared" si="259"/>
        <v>272.27200353757894</v>
      </c>
      <c r="AG233" s="456">
        <f>((_xll.xSPRDOPT($L233,$J233,$I233,$M233,$O233,$N233,$P233,$Q233-$C$3,$R233,6)*$H233)/100)</f>
        <v>-1095.7600345254891</v>
      </c>
      <c r="AH233" s="456">
        <f>((_xll.xSPRDOPT($L233,$J233,$I233,$M233,$O233,$N233,$P233,$Q233-$C$3,$R233,5)*$H233)/100)</f>
        <v>1366.8785540512106</v>
      </c>
      <c r="AI233" s="456">
        <f>(((_xll.xSPRDOPT($L233,$J233,$I233,$M233,$O233,$N233,$P233,$Q233-$C$3,$R233,4)*$H233)/10000)/100)-AB233</f>
        <v>-2.038904812277198E-3</v>
      </c>
      <c r="AJ233" s="456"/>
      <c r="AK233" s="456"/>
      <c r="AL233" s="456"/>
      <c r="AM233" s="472"/>
      <c r="CC233" s="141">
        <f t="shared" si="263"/>
        <v>36923</v>
      </c>
      <c r="CD233" s="234">
        <f>_xll.xSPRDOPT((VLOOKUP(G233,NGPrices,2,FALSE)+HLOOKUP(D233,Prices,VLOOKUP(G233,move_down,2,FALSE),FALSE)),VLOOKUP(G233,NGPrices,2,FALSE),I233,VLOOKUP(G233,NGPREVPRICES,4,FALSE),HLOOKUP(D233,PREVVOLS,VLOOKUP(G233,MOVE_DOWN2,2,FALSE),FALSE),VLOOKUP(G233,NGPREVPRICES,3,FALSE),HLOOKUP(D233,Correllate,VLOOKUP(G233,CorMove,2,FALSE),FALSE),Q233-$CD$3,R233,$CD$5)*H233-CJ233</f>
        <v>0</v>
      </c>
      <c r="CE233" s="234">
        <f>_xll.xSPRDOPT((VLOOKUP(G233,NGPREVPRICES,2,FALSE)+HLOOKUP(D233,PREVCURVES,VLOOKUP(G233,MOVE_DOWN2,2,FALSE),FALSE)),VLOOKUP(G233,NGPREVPRICES,2,FALSE),CK233,VLOOKUP(G233,NGPrices,4,FALSE),HLOOKUP(D233,PREVVOLS,VLOOKUP(G233,MOVE_DOWN2,2,FALSE),FALSE),VLOOKUP(G233,NGPREVPRICES,3,FALSE),HLOOKUP(D233,Correllate,VLOOKUP(G233,CorMove,2,FALSE),FALSE),Q233-$CD$3,R233,$CJ$5)*H233-CJ233</f>
        <v>0</v>
      </c>
      <c r="CF233" s="10">
        <f t="shared" si="264"/>
        <v>-2.7573718849689612</v>
      </c>
      <c r="CG233" s="234">
        <f>_xll.xSPRDOPT((VLOOKUP(G233,NGPREVPRICES,2,FALSE)+HLOOKUP(D233,PREVCURVES,VLOOKUP(G233,MOVE_DOWN2,2,FALSE),FALSE)),VLOOKUP(G233,NGPREVPRICES,2,FALSE),CK233,VLOOKUP(G233,NGPREVPRICES,4,FALSE),HLOOKUP(D233,VOLS,VLOOKUP(G233,move_down,2,FALSE),FALSE),VLOOKUP(G233,NGPrices,3,FALSE),HLOOKUP(D233,Correllate,VLOOKUP(G233,CorMove,2,FALSE),FALSE),Q233-$CD$3,R233,$CJ$5)*H233-CJ233</f>
        <v>0</v>
      </c>
      <c r="CH233" s="234">
        <f>_xll.xSPRDOPT((VLOOKUP(G233,NGPREVPRICES,2,FALSE)+HLOOKUP(D233,PREVCURVES,VLOOKUP(G233,MOVE_DOWN2,2,FALSE),FALSE)),VLOOKUP(G233,NGPREVPRICES,2,FALSE),CK233,VLOOKUP(G233,NGPREVPRICES,4,FALSE),HLOOKUP(D233,PREVVOLS,VLOOKUP(G233,MOVE_DOWN2,2,FALSE),FALSE),VLOOKUP(G233,NGPREVPRICES,3,FALSE),HLOOKUP(D233,Correllate,VLOOKUP(G233,CorMove,2,FALSE),FALSE),Q233-$C$3,R233,$CJ$5)*H233-CJ233</f>
        <v>-49.569479386060266</v>
      </c>
      <c r="CI233" s="234">
        <f t="shared" si="265"/>
        <v>-52.326851271029227</v>
      </c>
      <c r="CJ233" s="234">
        <f>_xll.xSPRDOPT((VLOOKUP(G233,NGPREVPRICES,2,FALSE)+HLOOKUP(D233,PREVCURVES,VLOOKUP(G233,MOVE_DOWN2,2,FALSE),FALSE)),VLOOKUP(G233,NGPREVPRICES,2,FALSE),CK233,VLOOKUP(G233,NGPREVPRICES,4,FALSE),HLOOKUP(D233,PREVVOLS,VLOOKUP(G233,MOVE_DOWN2,2,FALSE),FALSE),VLOOKUP(G233,NGPREVPRICES,3,FALSE),HLOOKUP(D233,Correllate,VLOOKUP(G233,CorMove,2,FALSE),FALSE),Q233-$CD$3,R233,$CJ$5)*H233</f>
        <v>14498.102560808087</v>
      </c>
      <c r="CK233" s="235">
        <f t="shared" si="266"/>
        <v>0.15</v>
      </c>
      <c r="CL233" s="234"/>
      <c r="CM233" t="str">
        <f t="shared" si="267"/>
        <v>36923Curve Shift/Gamma</v>
      </c>
      <c r="CN233" t="str">
        <f t="shared" si="248"/>
        <v>36923Rho</v>
      </c>
      <c r="CO233" t="str">
        <f t="shared" si="249"/>
        <v>36923Drift</v>
      </c>
      <c r="CP233" t="str">
        <f t="shared" si="250"/>
        <v>36923Vega</v>
      </c>
      <c r="CQ233" t="str">
        <f t="shared" si="251"/>
        <v>36923Theta</v>
      </c>
    </row>
    <row r="234" spans="1:95" ht="12" customHeight="1" x14ac:dyDescent="0.25">
      <c r="A234" s="140" t="s">
        <v>399</v>
      </c>
      <c r="B234" t="s">
        <v>250</v>
      </c>
      <c r="C234" t="s">
        <v>400</v>
      </c>
      <c r="D234" s="4" t="s">
        <v>74</v>
      </c>
      <c r="E234" t="s">
        <v>20</v>
      </c>
      <c r="F234" t="s">
        <v>21</v>
      </c>
      <c r="G234" s="5">
        <v>36892</v>
      </c>
      <c r="H234" s="130">
        <v>310000</v>
      </c>
      <c r="I234">
        <v>0.15</v>
      </c>
      <c r="J234" s="53">
        <f t="shared" si="260"/>
        <v>4.7439999999999998</v>
      </c>
      <c r="K234" s="7">
        <f t="shared" si="261"/>
        <v>0.1275</v>
      </c>
      <c r="L234" s="53">
        <f t="shared" si="262"/>
        <v>4.8715000000000002</v>
      </c>
      <c r="M234" s="157">
        <f t="shared" si="268"/>
        <v>6.8374831148490994E-2</v>
      </c>
      <c r="N234" s="4">
        <f t="shared" si="269"/>
        <v>0.60499999999999998</v>
      </c>
      <c r="O234" s="4">
        <f t="shared" si="270"/>
        <v>0.60499999999999998</v>
      </c>
      <c r="P234" s="9">
        <f t="shared" si="271"/>
        <v>0.997</v>
      </c>
      <c r="Q234" s="5">
        <f t="shared" si="254"/>
        <v>36888</v>
      </c>
      <c r="R234" s="4">
        <f t="shared" si="272"/>
        <v>1</v>
      </c>
      <c r="S234" s="158">
        <f>_xll.xSPRDOPT($L234,$J234,$I234,$M234,$O234,$N234,$P234,$Q234-$C$3,$R234,0)</f>
        <v>4.428805516998615E-2</v>
      </c>
      <c r="T234" s="159">
        <f>_xll.xSPRDOPT($L234,$J234,$I234,$M234,$O234,$N234,$P234,$Q234-$C$3,$R234,1)*H234</f>
        <v>134760.27019087761</v>
      </c>
      <c r="U234" s="160">
        <f t="shared" si="273"/>
        <v>13729.297102695706</v>
      </c>
      <c r="V234" s="159">
        <f>_xll.xSPRDOPT($L234,$J234,$I234,$M234,$O234,$N234,$P234,$Q234-$C$3,$R234,2)*H234</f>
        <v>-131760.94911566621</v>
      </c>
      <c r="W234" s="159">
        <f t="shared" si="274"/>
        <v>2999.3210752113955</v>
      </c>
      <c r="X234" s="51" t="str">
        <f t="shared" si="255"/>
        <v>36892NGI/CHI. GATE</v>
      </c>
      <c r="Y234" s="418">
        <f t="shared" si="256"/>
        <v>31</v>
      </c>
      <c r="Z234" s="456">
        <f t="shared" si="257"/>
        <v>0.43471054900283101</v>
      </c>
      <c r="AA234" s="456">
        <f>_xll.xSPRDOPT($L234,$J234,$I234,$M234,$O234,$N234,$P234,$Q234-$C$3,$R234,3)</f>
        <v>2.7753049195088875</v>
      </c>
      <c r="AB234" s="456">
        <f>((_xll.xSPRDOPT($L234+AB$5,$J234,$I234,$M234,$O234,$N234,$P234,$Q234-$C$3,$R234,3)*$H234)/10000)/100</f>
        <v>0.86034452504775516</v>
      </c>
      <c r="AC234" s="456">
        <f>((_xll.xSPRDOPT($L234+$AB$5,$J234,$I234,$M234,$O234,$N234,$P234,$Q234-$C$3,$R234,7)*$H234)/100)</f>
        <v>-24026.691153410487</v>
      </c>
      <c r="AD234" s="456">
        <f>(_xll.xSPRDOPT($L234+$AB$5,$J234,$I234,$M234,$O234,$N234,$P234,$Q234-$C$3,$R234,9)/365)*$H234</f>
        <v>-66.841991814918686</v>
      </c>
      <c r="AE234">
        <f t="shared" si="258"/>
        <v>0</v>
      </c>
      <c r="AF234" s="456">
        <f t="shared" si="259"/>
        <v>277.46542407503352</v>
      </c>
      <c r="AG234" s="456">
        <f>((_xll.xSPRDOPT($L234,$J234,$I234,$M234,$O234,$N234,$P234,$Q234-$C$3,$R234,6)*$H234)/100)</f>
        <v>-1049.3219306858516</v>
      </c>
      <c r="AH234" s="456">
        <f>((_xll.xSPRDOPT($L234,$J234,$I234,$M234,$O234,$N234,$P234,$Q234-$C$3,$R234,5)*$H234)/100)</f>
        <v>1326.7873547608851</v>
      </c>
      <c r="AI234" s="456">
        <f>(((_xll.xSPRDOPT($L234,$J234,$I234,$M234,$O234,$N234,$P234,$Q234-$C$3,$R234,4)*$H234)/10000)/100)-AB234</f>
        <v>-5.8110401703533876E-3</v>
      </c>
      <c r="AJ234" s="456"/>
      <c r="AK234" s="456"/>
      <c r="AL234" s="456"/>
      <c r="AM234" s="472"/>
      <c r="CC234" s="141">
        <f t="shared" si="263"/>
        <v>36892</v>
      </c>
      <c r="CD234" s="234">
        <f>_xll.xSPRDOPT((VLOOKUP(G234,NGPrices,2,FALSE)+HLOOKUP(D234,Prices,VLOOKUP(G234,move_down,2,FALSE),FALSE)),VLOOKUP(G234,NGPrices,2,FALSE),I234,VLOOKUP(G234,NGPREVPRICES,4,FALSE),HLOOKUP(D234,PREVVOLS,VLOOKUP(G234,MOVE_DOWN2,2,FALSE),FALSE),VLOOKUP(G234,NGPREVPRICES,3,FALSE),HLOOKUP(D234,Correllate,VLOOKUP(G234,CorMove,2,FALSE),FALSE),Q234-$CD$3,R234,$CD$5)*H234-CJ234</f>
        <v>0</v>
      </c>
      <c r="CE234" s="234">
        <f>_xll.xSPRDOPT((VLOOKUP(G234,NGPREVPRICES,2,FALSE)+HLOOKUP(D234,PREVCURVES,VLOOKUP(G234,MOVE_DOWN2,2,FALSE),FALSE)),VLOOKUP(G234,NGPREVPRICES,2,FALSE),CK234,VLOOKUP(G234,NGPrices,4,FALSE),HLOOKUP(D234,PREVVOLS,VLOOKUP(G234,MOVE_DOWN2,2,FALSE),FALSE),VLOOKUP(G234,NGPREVPRICES,3,FALSE),HLOOKUP(D234,Correllate,VLOOKUP(G234,CorMove,2,FALSE),FALSE),Q234-$CD$3,R234,$CJ$5)*H234-CJ234</f>
        <v>0</v>
      </c>
      <c r="CF234" s="10">
        <f t="shared" si="264"/>
        <v>-2.5997236788643932</v>
      </c>
      <c r="CG234" s="234">
        <f>_xll.xSPRDOPT((VLOOKUP(G234,NGPREVPRICES,2,FALSE)+HLOOKUP(D234,PREVCURVES,VLOOKUP(G234,MOVE_DOWN2,2,FALSE),FALSE)),VLOOKUP(G234,NGPREVPRICES,2,FALSE),CK234,VLOOKUP(G234,NGPREVPRICES,4,FALSE),HLOOKUP(D234,VOLS,VLOOKUP(G234,move_down,2,FALSE),FALSE),VLOOKUP(G234,NGPrices,3,FALSE),HLOOKUP(D234,Correllate,VLOOKUP(G234,CorMove,2,FALSE),FALSE),Q234-$CD$3,R234,$CJ$5)*H234-CJ234</f>
        <v>0</v>
      </c>
      <c r="CH234" s="234">
        <f>_xll.xSPRDOPT((VLOOKUP(G234,NGPREVPRICES,2,FALSE)+HLOOKUP(D234,PREVCURVES,VLOOKUP(G234,MOVE_DOWN2,2,FALSE),FALSE)),VLOOKUP(G234,NGPREVPRICES,2,FALSE),CK234,VLOOKUP(G234,NGPREVPRICES,4,FALSE),HLOOKUP(D234,PREVVOLS,VLOOKUP(G234,MOVE_DOWN2,2,FALSE),FALSE),VLOOKUP(G234,NGPREVPRICES,3,FALSE),HLOOKUP(D234,Correllate,VLOOKUP(G234,CorMove,2,FALSE),FALSE),Q234-$C$3,R234,$CJ$5)*H234-CJ234</f>
        <v>-66.6465292064604</v>
      </c>
      <c r="CI234" s="234">
        <f t="shared" si="265"/>
        <v>-69.246252885324793</v>
      </c>
      <c r="CJ234" s="234">
        <f>_xll.xSPRDOPT((VLOOKUP(G234,NGPREVPRICES,2,FALSE)+HLOOKUP(D234,PREVCURVES,VLOOKUP(G234,MOVE_DOWN2,2,FALSE),FALSE)),VLOOKUP(G234,NGPREVPRICES,2,FALSE),CK234,VLOOKUP(G234,NGPREVPRICES,4,FALSE),HLOOKUP(D234,PREVVOLS,VLOOKUP(G234,MOVE_DOWN2,2,FALSE),FALSE),VLOOKUP(G234,NGPREVPRICES,3,FALSE),HLOOKUP(D234,Correllate,VLOOKUP(G234,CorMove,2,FALSE),FALSE),Q234-$CD$3,R234,$CJ$5)*H234</f>
        <v>13795.943631902166</v>
      </c>
      <c r="CK234" s="235">
        <f t="shared" si="266"/>
        <v>0.15</v>
      </c>
      <c r="CL234" s="234"/>
      <c r="CM234" t="str">
        <f t="shared" si="267"/>
        <v>36892Curve Shift/Gamma</v>
      </c>
      <c r="CN234" t="str">
        <f t="shared" si="248"/>
        <v>36892Rho</v>
      </c>
      <c r="CO234" t="str">
        <f t="shared" si="249"/>
        <v>36892Drift</v>
      </c>
      <c r="CP234" t="str">
        <f t="shared" si="250"/>
        <v>36892Vega</v>
      </c>
      <c r="CQ234" t="str">
        <f t="shared" si="251"/>
        <v>36892Theta</v>
      </c>
    </row>
    <row r="235" spans="1:95" ht="12" customHeight="1" x14ac:dyDescent="0.25">
      <c r="A235" s="140" t="s">
        <v>399</v>
      </c>
      <c r="B235" t="s">
        <v>250</v>
      </c>
      <c r="C235" t="s">
        <v>400</v>
      </c>
      <c r="D235" s="4" t="s">
        <v>74</v>
      </c>
      <c r="E235" t="s">
        <v>20</v>
      </c>
      <c r="F235" t="s">
        <v>21</v>
      </c>
      <c r="G235" s="5">
        <v>36861</v>
      </c>
      <c r="H235" s="130">
        <v>310000</v>
      </c>
      <c r="I235">
        <v>0.15</v>
      </c>
      <c r="J235" s="53">
        <f t="shared" si="260"/>
        <v>4.8</v>
      </c>
      <c r="K235" s="7">
        <f t="shared" si="261"/>
        <v>0.1</v>
      </c>
      <c r="L235" s="53">
        <f t="shared" si="262"/>
        <v>4.8999999999999995</v>
      </c>
      <c r="M235" s="157">
        <f t="shared" si="268"/>
        <v>6.8314027999354002E-2</v>
      </c>
      <c r="N235" s="4">
        <f t="shared" si="269"/>
        <v>0.6</v>
      </c>
      <c r="O235" s="4">
        <f t="shared" si="270"/>
        <v>0.6</v>
      </c>
      <c r="P235" s="9">
        <f t="shared" si="271"/>
        <v>0.997</v>
      </c>
      <c r="Q235" s="5">
        <f t="shared" si="254"/>
        <v>36859</v>
      </c>
      <c r="R235" s="4">
        <f t="shared" si="272"/>
        <v>1</v>
      </c>
      <c r="S235" s="158">
        <f>_xll.xSPRDOPT($L235,$J235,$I235,$M235,$O235,$N235,$P235,$Q235-$C$3,$R235,0)</f>
        <v>2.7108270418358397E-2</v>
      </c>
      <c r="T235" s="159">
        <f>_xll.xSPRDOPT($L235,$J235,$I235,$M235,$O235,$N235,$P235,$Q235-$C$3,$R235,1)*H235</f>
        <v>105794.98802275372</v>
      </c>
      <c r="U235" s="160">
        <f t="shared" si="273"/>
        <v>8403.5638296911038</v>
      </c>
      <c r="V235" s="159">
        <f>_xll.xSPRDOPT($L235,$J235,$I235,$M235,$O235,$N235,$P235,$Q235-$C$3,$R235,2)*H235</f>
        <v>-103353.42871952469</v>
      </c>
      <c r="W235" s="159">
        <f t="shared" si="274"/>
        <v>2441.5593032290344</v>
      </c>
      <c r="X235" s="51" t="str">
        <f t="shared" si="255"/>
        <v>36861NGI/CHI. GATE</v>
      </c>
      <c r="Y235" s="418">
        <f t="shared" si="256"/>
        <v>31</v>
      </c>
      <c r="Z235" s="456">
        <f t="shared" si="257"/>
        <v>0.34127415491210877</v>
      </c>
      <c r="AA235" s="456">
        <f>_xll.xSPRDOPT($L235,$J235,$I235,$M235,$O235,$N235,$P235,$Q235-$C$3,$R235,3)</f>
        <v>3.010063694198406</v>
      </c>
      <c r="AB235" s="456">
        <f>((_xll.xSPRDOPT($L235+AB$5,$J235,$I235,$M235,$O235,$N235,$P235,$Q235-$C$3,$R235,3)*$H235)/10000)/100</f>
        <v>0.93311974520150587</v>
      </c>
      <c r="AC235" s="456">
        <f>((_xll.xSPRDOPT($L235+$AB$5,$J235,$I235,$M235,$O235,$N235,$P235,$Q235-$C$3,$R235,7)*$H235)/100)</f>
        <v>-19731.633103810298</v>
      </c>
      <c r="AD235" s="456">
        <f>(_xll.xSPRDOPT($L235+$AB$5,$J235,$I235,$M235,$O235,$N235,$P235,$Q235-$C$3,$R235,9)/365)*$H235</f>
        <v>-72.615984284794521</v>
      </c>
      <c r="AE235">
        <f t="shared" si="258"/>
        <v>0</v>
      </c>
      <c r="AF235" s="456">
        <f t="shared" si="259"/>
        <v>227.35659346631019</v>
      </c>
      <c r="AG235" s="456">
        <f>((_xll.xSPRDOPT($L235,$J235,$I235,$M235,$O235,$N235,$P235,$Q235-$C$3,$R235,6)*$H235)/100)</f>
        <v>-844.58159418175683</v>
      </c>
      <c r="AH235" s="456">
        <f>((_xll.xSPRDOPT($L235,$J235,$I235,$M235,$O235,$N235,$P235,$Q235-$C$3,$R235,5)*$H235)/100)</f>
        <v>1071.938187648067</v>
      </c>
      <c r="AI235" s="456">
        <f>(((_xll.xSPRDOPT($L235,$J235,$I235,$M235,$O235,$N235,$P235,$Q235-$C$3,$R235,4)*$H235)/10000)/100)-AB235</f>
        <v>-1.5754958133592734E-2</v>
      </c>
      <c r="AJ235" s="456"/>
      <c r="AK235" s="456"/>
      <c r="AL235" s="456"/>
      <c r="AM235" s="472"/>
      <c r="CC235" s="141">
        <f t="shared" si="263"/>
        <v>36861</v>
      </c>
      <c r="CD235" s="234">
        <f>_xll.xSPRDOPT((VLOOKUP(G235,NGPrices,2,FALSE)+HLOOKUP(D235,Prices,VLOOKUP(G235,move_down,2,FALSE),FALSE)),VLOOKUP(G235,NGPrices,2,FALSE),I235,VLOOKUP(G235,NGPREVPRICES,4,FALSE),HLOOKUP(D235,PREVVOLS,VLOOKUP(G235,MOVE_DOWN2,2,FALSE),FALSE),VLOOKUP(G235,NGPREVPRICES,3,FALSE),HLOOKUP(D235,Correllate,VLOOKUP(G235,CorMove,2,FALSE),FALSE),Q235-$CD$3,R235,$CD$5)*H235-CJ235</f>
        <v>0</v>
      </c>
      <c r="CE235" s="234">
        <f>_xll.xSPRDOPT((VLOOKUP(G235,NGPREVPRICES,2,FALSE)+HLOOKUP(D235,PREVCURVES,VLOOKUP(G235,MOVE_DOWN2,2,FALSE),FALSE)),VLOOKUP(G235,NGPREVPRICES,2,FALSE),CK235,VLOOKUP(G235,NGPrices,4,FALSE),HLOOKUP(D235,PREVVOLS,VLOOKUP(G235,MOVE_DOWN2,2,FALSE),FALSE),VLOOKUP(G235,NGPREVPRICES,3,FALSE),HLOOKUP(D235,Correllate,VLOOKUP(G235,CorMove,2,FALSE),FALSE),Q235-$CD$3,R235,$CJ$5)*H235-CJ235</f>
        <v>0</v>
      </c>
      <c r="CF235" s="10">
        <f t="shared" si="264"/>
        <v>-1.5878673379502288</v>
      </c>
      <c r="CG235" s="234">
        <f>_xll.xSPRDOPT((VLOOKUP(G235,NGPREVPRICES,2,FALSE)+HLOOKUP(D235,PREVCURVES,VLOOKUP(G235,MOVE_DOWN2,2,FALSE),FALSE)),VLOOKUP(G235,NGPREVPRICES,2,FALSE),CK235,VLOOKUP(G235,NGPREVPRICES,4,FALSE),HLOOKUP(D235,VOLS,VLOOKUP(G235,move_down,2,FALSE),FALSE),VLOOKUP(G235,NGPrices,3,FALSE),HLOOKUP(D235,Correllate,VLOOKUP(G235,CorMove,2,FALSE),FALSE),Q235-$CD$3,R235,$CJ$5)*H235-CJ235</f>
        <v>0</v>
      </c>
      <c r="CH235" s="234">
        <f>_xll.xSPRDOPT((VLOOKUP(G235,NGPREVPRICES,2,FALSE)+HLOOKUP(D235,PREVCURVES,VLOOKUP(G235,MOVE_DOWN2,2,FALSE),FALSE)),VLOOKUP(G235,NGPREVPRICES,2,FALSE),CK235,VLOOKUP(G235,NGPREVPRICES,4,FALSE),HLOOKUP(D235,PREVVOLS,VLOOKUP(G235,MOVE_DOWN2,2,FALSE),FALSE),VLOOKUP(G235,NGPREVPRICES,3,FALSE),HLOOKUP(D235,Correllate,VLOOKUP(G235,CorMove,2,FALSE),FALSE),Q235-$C$3,R235,$CJ$5)*H235-CJ235</f>
        <v>-72.388126485495377</v>
      </c>
      <c r="CI235" s="234">
        <f t="shared" si="265"/>
        <v>-73.975993823445606</v>
      </c>
      <c r="CJ235" s="234">
        <f>_xll.xSPRDOPT((VLOOKUP(G235,NGPREVPRICES,2,FALSE)+HLOOKUP(D235,PREVCURVES,VLOOKUP(G235,MOVE_DOWN2,2,FALSE),FALSE)),VLOOKUP(G235,NGPREVPRICES,2,FALSE),CK235,VLOOKUP(G235,NGPREVPRICES,4,FALSE),HLOOKUP(D235,PREVVOLS,VLOOKUP(G235,MOVE_DOWN2,2,FALSE),FALSE),VLOOKUP(G235,NGPREVPRICES,3,FALSE),HLOOKUP(D235,Correllate,VLOOKUP(G235,CorMove,2,FALSE),FALSE),Q235-$CD$3,R235,$CJ$5)*H235</f>
        <v>8475.9519561765992</v>
      </c>
      <c r="CK235" s="235">
        <f t="shared" si="266"/>
        <v>0.15</v>
      </c>
      <c r="CL235" s="234"/>
      <c r="CM235" t="str">
        <f t="shared" si="267"/>
        <v>36861Curve Shift/Gamma</v>
      </c>
      <c r="CN235" t="str">
        <f t="shared" si="248"/>
        <v>36861Rho</v>
      </c>
      <c r="CO235" t="str">
        <f t="shared" si="249"/>
        <v>36861Drift</v>
      </c>
      <c r="CP235" t="str">
        <f t="shared" si="250"/>
        <v>36861Vega</v>
      </c>
      <c r="CQ235" t="str">
        <f t="shared" si="251"/>
        <v>36861Theta</v>
      </c>
    </row>
    <row r="236" spans="1:95" ht="12" customHeight="1" x14ac:dyDescent="0.25">
      <c r="A236" s="140" t="s">
        <v>399</v>
      </c>
      <c r="B236" t="s">
        <v>250</v>
      </c>
      <c r="C236" t="s">
        <v>400</v>
      </c>
      <c r="D236" s="4" t="s">
        <v>74</v>
      </c>
      <c r="E236" t="s">
        <v>20</v>
      </c>
      <c r="F236" t="s">
        <v>21</v>
      </c>
      <c r="G236" s="5">
        <v>36831</v>
      </c>
      <c r="H236" s="130">
        <v>300000</v>
      </c>
      <c r="I236">
        <v>0.15</v>
      </c>
      <c r="J236" s="53">
        <f t="shared" si="260"/>
        <v>4.7359999999999998</v>
      </c>
      <c r="K236" s="7">
        <f t="shared" si="261"/>
        <v>8.7499999999999994E-2</v>
      </c>
      <c r="L236" s="53">
        <f t="shared" si="262"/>
        <v>4.8235000000000001</v>
      </c>
      <c r="M236" s="157">
        <f t="shared" si="268"/>
        <v>6.810675983792E-2</v>
      </c>
      <c r="N236" s="4">
        <f t="shared" si="269"/>
        <v>0.59499999999999997</v>
      </c>
      <c r="O236" s="4">
        <f t="shared" si="270"/>
        <v>0.59499999999999997</v>
      </c>
      <c r="P236" s="9">
        <f t="shared" si="271"/>
        <v>0.997</v>
      </c>
      <c r="Q236" s="5">
        <f t="shared" si="254"/>
        <v>36829</v>
      </c>
      <c r="R236" s="4">
        <f t="shared" si="272"/>
        <v>1</v>
      </c>
      <c r="S236" s="158">
        <f>_xll.xSPRDOPT($L236,$J236,$I236,$M236,$O236,$N236,$P236,$Q236-$C$3,$R236,0)</f>
        <v>1.5250320595656583E-2</v>
      </c>
      <c r="T236" s="159">
        <f>_xll.xSPRDOPT($L236,$J236,$I236,$M236,$O236,$N236,$P236,$Q236-$C$3,$R236,1)*H236</f>
        <v>78849.76466463189</v>
      </c>
      <c r="U236" s="160">
        <f t="shared" si="273"/>
        <v>4575.0961786969747</v>
      </c>
      <c r="V236" s="159">
        <f>_xll.xSPRDOPT($L236,$J236,$I236,$M236,$O236,$N236,$P236,$Q236-$C$3,$R236,2)*H236</f>
        <v>-77133.889443530643</v>
      </c>
      <c r="W236" s="159">
        <f t="shared" si="274"/>
        <v>1715.875221101247</v>
      </c>
      <c r="X236" s="51" t="str">
        <f t="shared" si="255"/>
        <v>36831NGI/CHI. GATE</v>
      </c>
      <c r="Y236" s="418">
        <f t="shared" si="256"/>
        <v>30</v>
      </c>
      <c r="Z236" s="456">
        <f t="shared" si="257"/>
        <v>0.26283254888210628</v>
      </c>
      <c r="AA236" s="456">
        <f>_xll.xSPRDOPT($L236,$J236,$I236,$M236,$O236,$N236,$P236,$Q236-$C$3,$R236,3)</f>
        <v>3.3553439431036649</v>
      </c>
      <c r="AB236" s="456">
        <f>((_xll.xSPRDOPT($L236+AB$5,$J236,$I236,$M236,$O236,$N236,$P236,$Q236-$C$3,$R236,3)*$H236)/10000)/100</f>
        <v>1.0066031829310993</v>
      </c>
      <c r="AC236" s="456">
        <f>((_xll.xSPRDOPT($L236+$AB$5,$J236,$I236,$M236,$O236,$N236,$P236,$Q236-$C$3,$R236,7)*$H236)/100)</f>
        <v>-13666.47341596898</v>
      </c>
      <c r="AD236" s="456">
        <f>(_xll.xSPRDOPT($L236+$AB$5,$J236,$I236,$M236,$O236,$N236,$P236,$Q236-$C$3,$R236,9)/365)*$H236</f>
        <v>-75.305118852392226</v>
      </c>
      <c r="AE236">
        <f t="shared" si="258"/>
        <v>0</v>
      </c>
      <c r="AF236" s="456">
        <f t="shared" si="259"/>
        <v>158.60885072883264</v>
      </c>
      <c r="AG236" s="456">
        <f>((_xll.xSPRDOPT($L236,$J236,$I236,$M236,$O236,$N236,$P236,$Q236-$C$3,$R236,6)*$H236)/100)</f>
        <v>-595.27151436878648</v>
      </c>
      <c r="AH236" s="456">
        <f>((_xll.xSPRDOPT($L236,$J236,$I236,$M236,$O236,$N236,$P236,$Q236-$C$3,$R236,5)*$H236)/100)</f>
        <v>753.88036509761912</v>
      </c>
      <c r="AI236" s="456">
        <f>(((_xll.xSPRDOPT($L236,$J236,$I236,$M236,$O236,$N236,$P236,$Q236-$C$3,$R236,4)*$H236)/10000)/100)-AB236</f>
        <v>-2.2016779360807148E-2</v>
      </c>
      <c r="AJ236" s="456"/>
      <c r="AK236" s="456"/>
      <c r="AL236" s="456"/>
      <c r="AM236" s="472"/>
      <c r="CC236" s="141">
        <f t="shared" si="263"/>
        <v>36831</v>
      </c>
      <c r="CD236" s="234">
        <f>_xll.xSPRDOPT((VLOOKUP(G236,NGPrices,2,FALSE)+HLOOKUP(D236,Prices,VLOOKUP(G236,move_down,2,FALSE),FALSE)),VLOOKUP(G236,NGPrices,2,FALSE),I236,VLOOKUP(G236,NGPREVPRICES,4,FALSE),HLOOKUP(D236,PREVVOLS,VLOOKUP(G236,MOVE_DOWN2,2,FALSE),FALSE),VLOOKUP(G236,NGPREVPRICES,3,FALSE),HLOOKUP(D236,Correllate,VLOOKUP(G236,CorMove,2,FALSE),FALSE),Q236-$CD$3,R236,$CD$5)*H236-CJ236</f>
        <v>0</v>
      </c>
      <c r="CE236" s="234">
        <f>_xll.xSPRDOPT((VLOOKUP(G236,NGPREVPRICES,2,FALSE)+HLOOKUP(D236,PREVCURVES,VLOOKUP(G236,MOVE_DOWN2,2,FALSE),FALSE)),VLOOKUP(G236,NGPREVPRICES,2,FALSE),CK236,VLOOKUP(G236,NGPrices,4,FALSE),HLOOKUP(D236,PREVVOLS,VLOOKUP(G236,MOVE_DOWN2,2,FALSE),FALSE),VLOOKUP(G236,NGPREVPRICES,3,FALSE),HLOOKUP(D236,Correllate,VLOOKUP(G236,CorMove,2,FALSE),FALSE),Q236-$CD$3,R236,$CJ$5)*H236-CJ236</f>
        <v>0</v>
      </c>
      <c r="CF236" s="10">
        <f t="shared" si="264"/>
        <v>-0.86358376220232458</v>
      </c>
      <c r="CG236" s="234">
        <f>_xll.xSPRDOPT((VLOOKUP(G236,NGPREVPRICES,2,FALSE)+HLOOKUP(D236,PREVCURVES,VLOOKUP(G236,MOVE_DOWN2,2,FALSE),FALSE)),VLOOKUP(G236,NGPREVPRICES,2,FALSE),CK236,VLOOKUP(G236,NGPREVPRICES,4,FALSE),HLOOKUP(D236,VOLS,VLOOKUP(G236,move_down,2,FALSE),FALSE),VLOOKUP(G236,NGPrices,3,FALSE),HLOOKUP(D236,Correllate,VLOOKUP(G236,CorMove,2,FALSE),FALSE),Q236-$CD$3,R236,$CJ$5)*H236-CJ236</f>
        <v>0</v>
      </c>
      <c r="CH236" s="234">
        <f>_xll.xSPRDOPT((VLOOKUP(G236,NGPREVPRICES,2,FALSE)+HLOOKUP(D236,PREVCURVES,VLOOKUP(G236,MOVE_DOWN2,2,FALSE),FALSE)),VLOOKUP(G236,NGPREVPRICES,2,FALSE),CK236,VLOOKUP(G236,NGPREVPRICES,4,FALSE),HLOOKUP(D236,PREVVOLS,VLOOKUP(G236,MOVE_DOWN2,2,FALSE),FALSE),VLOOKUP(G236,NGPREVPRICES,3,FALSE),HLOOKUP(D236,Correllate,VLOOKUP(G236,CorMove,2,FALSE),FALSE),Q236-$C$3,R236,$CJ$5)*H236-CJ236</f>
        <v>-75.061380048358842</v>
      </c>
      <c r="CI236" s="234">
        <f t="shared" si="265"/>
        <v>-75.924963810561167</v>
      </c>
      <c r="CJ236" s="234">
        <f>_xll.xSPRDOPT((VLOOKUP(G236,NGPREVPRICES,2,FALSE)+HLOOKUP(D236,PREVCURVES,VLOOKUP(G236,MOVE_DOWN2,2,FALSE),FALSE)),VLOOKUP(G236,NGPREVPRICES,2,FALSE),CK236,VLOOKUP(G236,NGPREVPRICES,4,FALSE),HLOOKUP(D236,PREVVOLS,VLOOKUP(G236,MOVE_DOWN2,2,FALSE),FALSE),VLOOKUP(G236,NGPREVPRICES,3,FALSE),HLOOKUP(D236,Correllate,VLOOKUP(G236,CorMove,2,FALSE),FALSE),Q236-$CD$3,R236,$CJ$5)*H236</f>
        <v>4650.1575587453335</v>
      </c>
      <c r="CK236" s="235">
        <f t="shared" si="266"/>
        <v>0.15</v>
      </c>
      <c r="CL236" s="234"/>
      <c r="CM236" t="str">
        <f t="shared" si="267"/>
        <v>36831Curve Shift/Gamma</v>
      </c>
      <c r="CN236" t="str">
        <f t="shared" si="248"/>
        <v>36831Rho</v>
      </c>
      <c r="CO236" t="str">
        <f t="shared" si="249"/>
        <v>36831Drift</v>
      </c>
      <c r="CP236" t="str">
        <f t="shared" si="250"/>
        <v>36831Vega</v>
      </c>
      <c r="CQ236" t="str">
        <f t="shared" si="251"/>
        <v>36831Theta</v>
      </c>
    </row>
    <row r="237" spans="1:95" ht="12" customHeight="1" x14ac:dyDescent="0.25">
      <c r="A237" s="140" t="s">
        <v>324</v>
      </c>
      <c r="B237" t="s">
        <v>250</v>
      </c>
      <c r="C237" t="s">
        <v>404</v>
      </c>
      <c r="D237" s="4" t="s">
        <v>74</v>
      </c>
      <c r="E237" t="s">
        <v>20</v>
      </c>
      <c r="F237" t="s">
        <v>21</v>
      </c>
      <c r="G237" s="5">
        <v>36951</v>
      </c>
      <c r="H237" s="130">
        <v>310000</v>
      </c>
      <c r="I237">
        <v>0.15</v>
      </c>
      <c r="J237" s="53">
        <f t="shared" si="260"/>
        <v>4.2130000000000001</v>
      </c>
      <c r="K237" s="7">
        <f t="shared" si="261"/>
        <v>0.1225</v>
      </c>
      <c r="L237" s="53">
        <f t="shared" si="262"/>
        <v>4.3354999999999997</v>
      </c>
      <c r="M237" s="157">
        <f t="shared" ref="M237:M246" si="275">VLOOKUP(G237,NGPrices,4,FALSE)</f>
        <v>6.8879814952706994E-2</v>
      </c>
      <c r="N237" s="4">
        <f t="shared" ref="N237:N246" si="276">VLOOKUP(G237,NGPrices,3,FALSE)</f>
        <v>0.53249999999999997</v>
      </c>
      <c r="O237" s="4">
        <f t="shared" ref="O237:O246" si="277">HLOOKUP(D237,VOLS,VLOOKUP(G237,move_down,2,FALSE),FALSE)</f>
        <v>0.53300000000000003</v>
      </c>
      <c r="P237" s="9">
        <f t="shared" ref="P237:P246" si="278">HLOOKUP(D237,Correllate,VLOOKUP(G237,CorMove,2,FALSE),FALSE)</f>
        <v>0.997</v>
      </c>
      <c r="Q237" s="5">
        <f t="shared" si="254"/>
        <v>36949</v>
      </c>
      <c r="R237" s="4">
        <f t="shared" ref="R237:R246" si="279">IF(F237="P",0,1)</f>
        <v>1</v>
      </c>
      <c r="S237" s="158">
        <f>_xll.xSPRDOPT($L237,$J237,$I237,$M237,$O237,$N237,$P237,$Q237-$C$3,$R237,0)</f>
        <v>4.0723005471356676E-2</v>
      </c>
      <c r="T237" s="159">
        <f>_xll.xSPRDOPT($L237,$J237,$I237,$M237,$O237,$N237,$P237,$Q237-$C$3,$R237,1)*H237</f>
        <v>129142.3326287871</v>
      </c>
      <c r="U237" s="160">
        <f t="shared" ref="U237:U246" si="280">S237*H237</f>
        <v>12624.13169612057</v>
      </c>
      <c r="V237" s="159">
        <f>_xll.xSPRDOPT($L237,$J237,$I237,$M237,$O237,$N237,$P237,$Q237-$C$3,$R237,2)*H237</f>
        <v>-126003.54028048414</v>
      </c>
      <c r="W237" s="159">
        <f t="shared" ref="W237:W246" si="281">+V237+T237</f>
        <v>3138.792348302959</v>
      </c>
      <c r="X237" s="51" t="str">
        <f t="shared" si="255"/>
        <v>36951NGI/CHI. GATE</v>
      </c>
      <c r="Y237" s="418">
        <f t="shared" si="256"/>
        <v>31</v>
      </c>
      <c r="Z237" s="456">
        <f t="shared" si="257"/>
        <v>0.41658816977028096</v>
      </c>
      <c r="AA237" s="456">
        <f>_xll.xSPRDOPT($L237,$J237,$I237,$M237,$O237,$N237,$P237,$Q237-$C$3,$R237,3)</f>
        <v>2.7889064827494936</v>
      </c>
      <c r="AB237" s="456">
        <f>((_xll.xSPRDOPT($L237+AB$5,$J237,$I237,$M237,$O237,$N237,$P237,$Q237-$C$3,$R237,3)*$H237)/10000)/100</f>
        <v>0.86456100965234295</v>
      </c>
      <c r="AC237" s="456">
        <f>((_xll.xSPRDOPT($L237+$AB$5,$J237,$I237,$M237,$O237,$N237,$P237,$Q237-$C$3,$R237,7)*$H237)/100)</f>
        <v>-22234.401221537912</v>
      </c>
      <c r="AD237" s="456">
        <f>(_xll.xSPRDOPT($L237+$AB$5,$J237,$I237,$M237,$O237,$N237,$P237,$Q237-$C$3,$R237,9)/365)*$H237</f>
        <v>-42.11028502579304</v>
      </c>
      <c r="AE237">
        <f t="shared" si="258"/>
        <v>0</v>
      </c>
      <c r="AF237" s="456">
        <f t="shared" si="259"/>
        <v>303.92905502284043</v>
      </c>
      <c r="AG237" s="456">
        <f>((_xll.xSPRDOPT($L237,$J237,$I237,$M237,$O237,$N237,$P237,$Q237-$C$3,$R237,6)*$H237)/100)</f>
        <v>-1267.2249174562569</v>
      </c>
      <c r="AH237" s="456">
        <f>((_xll.xSPRDOPT($L237,$J237,$I237,$M237,$O237,$N237,$P237,$Q237-$C$3,$R237,5)*$H237)/100)</f>
        <v>1569.6800944561335</v>
      </c>
      <c r="AI237" s="456">
        <f>(((_xll.xSPRDOPT($L237,$J237,$I237,$M237,$O237,$N237,$P237,$Q237-$C$3,$R237,4)*$H237)/10000)/100)-AB237</f>
        <v>-7.5381765969205761E-3</v>
      </c>
      <c r="AJ237" s="456"/>
      <c r="AK237" s="456"/>
      <c r="AL237" s="456"/>
      <c r="AM237" s="472"/>
      <c r="CC237" s="141">
        <f t="shared" ref="CC237:CC251" si="282">G237</f>
        <v>36951</v>
      </c>
      <c r="CD237" s="234">
        <f>_xll.xSPRDOPT((VLOOKUP(G237,NGPrices,2,FALSE)+HLOOKUP(D237,Prices,VLOOKUP(G237,move_down,2,FALSE),FALSE)),VLOOKUP(G237,NGPrices,2,FALSE),I237,VLOOKUP(G237,NGPREVPRICES,4,FALSE),HLOOKUP(D237,PREVVOLS,VLOOKUP(G237,MOVE_DOWN2,2,FALSE),FALSE),VLOOKUP(G237,NGPREVPRICES,3,FALSE),HLOOKUP(D237,Correllate,VLOOKUP(G237,CorMove,2,FALSE),FALSE),Q237-$CD$3,R237,$CD$5)*H237-CJ237</f>
        <v>0</v>
      </c>
      <c r="CE237" s="234">
        <f>_xll.xSPRDOPT((VLOOKUP(G237,NGPREVPRICES,2,FALSE)+HLOOKUP(D237,PREVCURVES,VLOOKUP(G237,MOVE_DOWN2,2,FALSE),FALSE)),VLOOKUP(G237,NGPREVPRICES,2,FALSE),CK237,VLOOKUP(G237,NGPrices,4,FALSE),HLOOKUP(D237,PREVVOLS,VLOOKUP(G237,MOVE_DOWN2,2,FALSE),FALSE),VLOOKUP(G237,NGPREVPRICES,3,FALSE),HLOOKUP(D237,Correllate,VLOOKUP(G237,CorMove,2,FALSE),FALSE),Q237-$CD$3,R237,$CJ$5)*H237-CJ237</f>
        <v>0</v>
      </c>
      <c r="CF237" s="10">
        <f t="shared" ref="CF237:CF246" si="283">(CJ237/VLOOKUP(CC237,discount,3,FALSE))-(CJ237/VLOOKUP(CC237,discount,2,FALSE))</f>
        <v>-2.4291778175029322</v>
      </c>
      <c r="CG237" s="234">
        <f>_xll.xSPRDOPT((VLOOKUP(G237,NGPREVPRICES,2,FALSE)+HLOOKUP(D237,PREVCURVES,VLOOKUP(G237,MOVE_DOWN2,2,FALSE),FALSE)),VLOOKUP(G237,NGPREVPRICES,2,FALSE),CK237,VLOOKUP(G237,NGPREVPRICES,4,FALSE),HLOOKUP(D237,VOLS,VLOOKUP(G237,move_down,2,FALSE),FALSE),VLOOKUP(G237,NGPrices,3,FALSE),HLOOKUP(D237,Correllate,VLOOKUP(G237,CorMove,2,FALSE),FALSE),Q237-$CD$3,R237,$CJ$5)*H237-CJ237</f>
        <v>0</v>
      </c>
      <c r="CH237" s="234">
        <f>_xll.xSPRDOPT((VLOOKUP(G237,NGPREVPRICES,2,FALSE)+HLOOKUP(D237,PREVCURVES,VLOOKUP(G237,MOVE_DOWN2,2,FALSE),FALSE)),VLOOKUP(G237,NGPREVPRICES,2,FALSE),CK237,VLOOKUP(G237,NGPREVPRICES,4,FALSE),HLOOKUP(D237,PREVVOLS,VLOOKUP(G237,MOVE_DOWN2,2,FALSE),FALSE),VLOOKUP(G237,NGPREVPRICES,3,FALSE),HLOOKUP(D237,Correllate,VLOOKUP(G237,CorMove,2,FALSE),FALSE),Q237-$C$3,R237,$CJ$5)*H237-CJ237</f>
        <v>-42.015864445211264</v>
      </c>
      <c r="CI237" s="234">
        <f t="shared" ref="CI237:CI246" si="284">SUM(CD237:CH237)</f>
        <v>-44.445042262714196</v>
      </c>
      <c r="CJ237" s="234">
        <f>_xll.xSPRDOPT((VLOOKUP(G237,NGPREVPRICES,2,FALSE)+HLOOKUP(D237,PREVCURVES,VLOOKUP(G237,MOVE_DOWN2,2,FALSE),FALSE)),VLOOKUP(G237,NGPREVPRICES,2,FALSE),CK237,VLOOKUP(G237,NGPREVPRICES,4,FALSE),HLOOKUP(D237,PREVVOLS,VLOOKUP(G237,MOVE_DOWN2,2,FALSE),FALSE),VLOOKUP(G237,NGPREVPRICES,3,FALSE),HLOOKUP(D237,Correllate,VLOOKUP(G237,CorMove,2,FALSE),FALSE),Q237-$CD$3,R237,$CJ$5)*H237</f>
        <v>12666.147560565782</v>
      </c>
      <c r="CK237" s="235">
        <f t="shared" ref="CK237:CK251" si="285">I237</f>
        <v>0.15</v>
      </c>
      <c r="CL237" s="234"/>
      <c r="CM237" t="str">
        <f t="shared" ref="CM237:CM246" si="286">CONCATENATE(CC237,$CD$6)</f>
        <v>36951Curve Shift/Gamma</v>
      </c>
      <c r="CN237" t="str">
        <f t="shared" si="248"/>
        <v>36951Rho</v>
      </c>
      <c r="CO237" t="str">
        <f t="shared" si="249"/>
        <v>36951Drift</v>
      </c>
      <c r="CP237" t="str">
        <f t="shared" si="250"/>
        <v>36951Vega</v>
      </c>
      <c r="CQ237" t="str">
        <f t="shared" si="251"/>
        <v>36951Theta</v>
      </c>
    </row>
    <row r="238" spans="1:95" ht="12" customHeight="1" x14ac:dyDescent="0.25">
      <c r="A238" s="140" t="s">
        <v>324</v>
      </c>
      <c r="B238" t="s">
        <v>250</v>
      </c>
      <c r="C238" t="s">
        <v>404</v>
      </c>
      <c r="D238" s="4" t="s">
        <v>74</v>
      </c>
      <c r="E238" t="s">
        <v>20</v>
      </c>
      <c r="F238" t="s">
        <v>21</v>
      </c>
      <c r="G238" s="5">
        <v>36923</v>
      </c>
      <c r="H238" s="130">
        <v>280000</v>
      </c>
      <c r="I238">
        <v>0.15</v>
      </c>
      <c r="J238" s="53">
        <f t="shared" si="260"/>
        <v>4.4800000000000004</v>
      </c>
      <c r="K238" s="7">
        <f t="shared" si="261"/>
        <v>0.13750000000000001</v>
      </c>
      <c r="L238" s="53">
        <f t="shared" si="262"/>
        <v>4.6175000000000006</v>
      </c>
      <c r="M238" s="157">
        <f t="shared" si="275"/>
        <v>6.8640161611372E-2</v>
      </c>
      <c r="N238" s="4">
        <f t="shared" si="276"/>
        <v>0.59250000000000003</v>
      </c>
      <c r="O238" s="4">
        <f t="shared" si="277"/>
        <v>0.59299999999999997</v>
      </c>
      <c r="P238" s="9">
        <f t="shared" si="278"/>
        <v>0.997</v>
      </c>
      <c r="Q238" s="5">
        <f t="shared" si="254"/>
        <v>36921</v>
      </c>
      <c r="R238" s="4">
        <f t="shared" si="279"/>
        <v>1</v>
      </c>
      <c r="S238" s="158">
        <f>_xll.xSPRDOPT($L238,$J238,$I238,$M238,$O238,$N238,$P238,$Q238-$C$3,$R238,0)</f>
        <v>5.1601903862221528E-2</v>
      </c>
      <c r="T238" s="159">
        <f>_xll.xSPRDOPT($L238,$J238,$I238,$M238,$O238,$N238,$P238,$Q238-$C$3,$R238,1)*H238</f>
        <v>129684.97346307428</v>
      </c>
      <c r="U238" s="160">
        <f t="shared" si="280"/>
        <v>14448.533081422027</v>
      </c>
      <c r="V238" s="159">
        <f>_xll.xSPRDOPT($L238,$J238,$I238,$M238,$O238,$N238,$P238,$Q238-$C$3,$R238,2)*H238</f>
        <v>-126705.48503538528</v>
      </c>
      <c r="W238" s="159">
        <f t="shared" si="281"/>
        <v>2979.4884276889934</v>
      </c>
      <c r="X238" s="51" t="str">
        <f t="shared" si="255"/>
        <v>36923NGI/CHI. GATE</v>
      </c>
      <c r="Y238" s="418">
        <f t="shared" si="256"/>
        <v>28</v>
      </c>
      <c r="Z238" s="456">
        <f t="shared" si="257"/>
        <v>0.46316061951097953</v>
      </c>
      <c r="AA238" s="456">
        <f>_xll.xSPRDOPT($L238,$J238,$I238,$M238,$O238,$N238,$P238,$Q238-$C$3,$R238,3)</f>
        <v>2.6234575744327917</v>
      </c>
      <c r="AB238" s="456">
        <f>((_xll.xSPRDOPT($L238+AB$5,$J238,$I238,$M238,$O238,$N238,$P238,$Q238-$C$3,$R238,3)*$H238)/10000)/100</f>
        <v>0.73456812084118173</v>
      </c>
      <c r="AC238" s="456">
        <f>((_xll.xSPRDOPT($L238+$AB$5,$J238,$I238,$M238,$O238,$N238,$P238,$Q238-$C$3,$R238,7)*$H238)/100)</f>
        <v>-22478.122338744019</v>
      </c>
      <c r="AD238" s="456">
        <f>(_xll.xSPRDOPT($L238+$AB$5,$J238,$I238,$M238,$O238,$N238,$P238,$Q238-$C$3,$R238,9)/365)*$H238</f>
        <v>-49.695761016680237</v>
      </c>
      <c r="AE238">
        <f t="shared" si="258"/>
        <v>0</v>
      </c>
      <c r="AF238" s="456">
        <f t="shared" si="259"/>
        <v>272.27200353757894</v>
      </c>
      <c r="AG238" s="456">
        <f>((_xll.xSPRDOPT($L238,$J238,$I238,$M238,$O238,$N238,$P238,$Q238-$C$3,$R238,6)*$H238)/100)</f>
        <v>-1095.7600345254891</v>
      </c>
      <c r="AH238" s="456">
        <f>((_xll.xSPRDOPT($L238,$J238,$I238,$M238,$O238,$N238,$P238,$Q238-$C$3,$R238,5)*$H238)/100)</f>
        <v>1366.8785540512106</v>
      </c>
      <c r="AI238" s="456">
        <f>(((_xll.xSPRDOPT($L238,$J238,$I238,$M238,$O238,$N238,$P238,$Q238-$C$3,$R238,4)*$H238)/10000)/100)-AB238</f>
        <v>-2.038904812277198E-3</v>
      </c>
      <c r="AJ238" s="456"/>
      <c r="AK238" s="456"/>
      <c r="AL238" s="456"/>
      <c r="AM238" s="472"/>
      <c r="CC238" s="141">
        <f t="shared" si="282"/>
        <v>36923</v>
      </c>
      <c r="CD238" s="234">
        <f>_xll.xSPRDOPT((VLOOKUP(G238,NGPrices,2,FALSE)+HLOOKUP(D238,Prices,VLOOKUP(G238,move_down,2,FALSE),FALSE)),VLOOKUP(G238,NGPrices,2,FALSE),I238,VLOOKUP(G238,NGPREVPRICES,4,FALSE),HLOOKUP(D238,PREVVOLS,VLOOKUP(G238,MOVE_DOWN2,2,FALSE),FALSE),VLOOKUP(G238,NGPREVPRICES,3,FALSE),HLOOKUP(D238,Correllate,VLOOKUP(G238,CorMove,2,FALSE),FALSE),Q238-$CD$3,R238,$CD$5)*H238-CJ238</f>
        <v>0</v>
      </c>
      <c r="CE238" s="234">
        <f>_xll.xSPRDOPT((VLOOKUP(G238,NGPREVPRICES,2,FALSE)+HLOOKUP(D238,PREVCURVES,VLOOKUP(G238,MOVE_DOWN2,2,FALSE),FALSE)),VLOOKUP(G238,NGPREVPRICES,2,FALSE),CK238,VLOOKUP(G238,NGPrices,4,FALSE),HLOOKUP(D238,PREVVOLS,VLOOKUP(G238,MOVE_DOWN2,2,FALSE),FALSE),VLOOKUP(G238,NGPREVPRICES,3,FALSE),HLOOKUP(D238,Correllate,VLOOKUP(G238,CorMove,2,FALSE),FALSE),Q238-$CD$3,R238,$CJ$5)*H238-CJ238</f>
        <v>0</v>
      </c>
      <c r="CF238" s="10">
        <f t="shared" si="283"/>
        <v>-2.7573718849689612</v>
      </c>
      <c r="CG238" s="234">
        <f>_xll.xSPRDOPT((VLOOKUP(G238,NGPREVPRICES,2,FALSE)+HLOOKUP(D238,PREVCURVES,VLOOKUP(G238,MOVE_DOWN2,2,FALSE),FALSE)),VLOOKUP(G238,NGPREVPRICES,2,FALSE),CK238,VLOOKUP(G238,NGPREVPRICES,4,FALSE),HLOOKUP(D238,VOLS,VLOOKUP(G238,move_down,2,FALSE),FALSE),VLOOKUP(G238,NGPrices,3,FALSE),HLOOKUP(D238,Correllate,VLOOKUP(G238,CorMove,2,FALSE),FALSE),Q238-$CD$3,R238,$CJ$5)*H238-CJ238</f>
        <v>0</v>
      </c>
      <c r="CH238" s="234">
        <f>_xll.xSPRDOPT((VLOOKUP(G238,NGPREVPRICES,2,FALSE)+HLOOKUP(D238,PREVCURVES,VLOOKUP(G238,MOVE_DOWN2,2,FALSE),FALSE)),VLOOKUP(G238,NGPREVPRICES,2,FALSE),CK238,VLOOKUP(G238,NGPREVPRICES,4,FALSE),HLOOKUP(D238,PREVVOLS,VLOOKUP(G238,MOVE_DOWN2,2,FALSE),FALSE),VLOOKUP(G238,NGPREVPRICES,3,FALSE),HLOOKUP(D238,Correllate,VLOOKUP(G238,CorMove,2,FALSE),FALSE),Q238-$C$3,R238,$CJ$5)*H238-CJ238</f>
        <v>-49.569479386060266</v>
      </c>
      <c r="CI238" s="234">
        <f t="shared" si="284"/>
        <v>-52.326851271029227</v>
      </c>
      <c r="CJ238" s="234">
        <f>_xll.xSPRDOPT((VLOOKUP(G238,NGPREVPRICES,2,FALSE)+HLOOKUP(D238,PREVCURVES,VLOOKUP(G238,MOVE_DOWN2,2,FALSE),FALSE)),VLOOKUP(G238,NGPREVPRICES,2,FALSE),CK238,VLOOKUP(G238,NGPREVPRICES,4,FALSE),HLOOKUP(D238,PREVVOLS,VLOOKUP(G238,MOVE_DOWN2,2,FALSE),FALSE),VLOOKUP(G238,NGPREVPRICES,3,FALSE),HLOOKUP(D238,Correllate,VLOOKUP(G238,CorMove,2,FALSE),FALSE),Q238-$CD$3,R238,$CJ$5)*H238</f>
        <v>14498.102560808087</v>
      </c>
      <c r="CK238" s="235">
        <f t="shared" si="285"/>
        <v>0.15</v>
      </c>
      <c r="CL238" s="234"/>
      <c r="CM238" t="str">
        <f t="shared" si="286"/>
        <v>36923Curve Shift/Gamma</v>
      </c>
      <c r="CN238" t="str">
        <f t="shared" ref="CN238:CN301" si="287">CONCATENATE($CC238,$CE$6)</f>
        <v>36923Rho</v>
      </c>
      <c r="CO238" t="str">
        <f t="shared" ref="CO238:CO301" si="288">CONCATENATE($CC238,$CF$6)</f>
        <v>36923Drift</v>
      </c>
      <c r="CP238" t="str">
        <f t="shared" ref="CP238:CP301" si="289">CONCATENATE($CC238,$CG$6)</f>
        <v>36923Vega</v>
      </c>
      <c r="CQ238" t="str">
        <f t="shared" ref="CQ238:CQ301" si="290">CONCATENATE($CC238,$CH$6)</f>
        <v>36923Theta</v>
      </c>
    </row>
    <row r="239" spans="1:95" ht="12" customHeight="1" x14ac:dyDescent="0.25">
      <c r="A239" s="140" t="s">
        <v>324</v>
      </c>
      <c r="B239" t="s">
        <v>250</v>
      </c>
      <c r="C239" t="s">
        <v>404</v>
      </c>
      <c r="D239" s="4" t="s">
        <v>74</v>
      </c>
      <c r="E239" t="s">
        <v>20</v>
      </c>
      <c r="F239" t="s">
        <v>21</v>
      </c>
      <c r="G239" s="5">
        <v>36892</v>
      </c>
      <c r="H239" s="130">
        <v>310000</v>
      </c>
      <c r="I239">
        <v>0.15</v>
      </c>
      <c r="J239" s="53">
        <f t="shared" si="260"/>
        <v>4.7439999999999998</v>
      </c>
      <c r="K239" s="7">
        <f t="shared" si="261"/>
        <v>0.1275</v>
      </c>
      <c r="L239" s="53">
        <f t="shared" si="262"/>
        <v>4.8715000000000002</v>
      </c>
      <c r="M239" s="157">
        <f t="shared" si="275"/>
        <v>6.8374831148490994E-2</v>
      </c>
      <c r="N239" s="4">
        <f t="shared" si="276"/>
        <v>0.60499999999999998</v>
      </c>
      <c r="O239" s="4">
        <f t="shared" si="277"/>
        <v>0.60499999999999998</v>
      </c>
      <c r="P239" s="9">
        <f t="shared" si="278"/>
        <v>0.997</v>
      </c>
      <c r="Q239" s="5">
        <f t="shared" si="254"/>
        <v>36888</v>
      </c>
      <c r="R239" s="4">
        <f t="shared" si="279"/>
        <v>1</v>
      </c>
      <c r="S239" s="158">
        <f>_xll.xSPRDOPT($L239,$J239,$I239,$M239,$O239,$N239,$P239,$Q239-$C$3,$R239,0)</f>
        <v>4.428805516998615E-2</v>
      </c>
      <c r="T239" s="159">
        <f>_xll.xSPRDOPT($L239,$J239,$I239,$M239,$O239,$N239,$P239,$Q239-$C$3,$R239,1)*H239</f>
        <v>134760.27019087761</v>
      </c>
      <c r="U239" s="160">
        <f t="shared" si="280"/>
        <v>13729.297102695706</v>
      </c>
      <c r="V239" s="159">
        <f>_xll.xSPRDOPT($L239,$J239,$I239,$M239,$O239,$N239,$P239,$Q239-$C$3,$R239,2)*H239</f>
        <v>-131760.94911566621</v>
      </c>
      <c r="W239" s="159">
        <f t="shared" si="281"/>
        <v>2999.3210752113955</v>
      </c>
      <c r="X239" s="51" t="str">
        <f t="shared" si="255"/>
        <v>36892NGI/CHI. GATE</v>
      </c>
      <c r="Y239" s="418">
        <f t="shared" si="256"/>
        <v>31</v>
      </c>
      <c r="Z239" s="456">
        <f t="shared" si="257"/>
        <v>0.43471054900283101</v>
      </c>
      <c r="AA239" s="456">
        <f>_xll.xSPRDOPT($L239,$J239,$I239,$M239,$O239,$N239,$P239,$Q239-$C$3,$R239,3)</f>
        <v>2.7753049195088875</v>
      </c>
      <c r="AB239" s="456">
        <f>((_xll.xSPRDOPT($L239+AB$5,$J239,$I239,$M239,$O239,$N239,$P239,$Q239-$C$3,$R239,3)*$H239)/10000)/100</f>
        <v>0.86034452504775516</v>
      </c>
      <c r="AC239" s="456">
        <f>((_xll.xSPRDOPT($L239+$AB$5,$J239,$I239,$M239,$O239,$N239,$P239,$Q239-$C$3,$R239,7)*$H239)/100)</f>
        <v>-24026.691153410487</v>
      </c>
      <c r="AD239" s="456">
        <f>(_xll.xSPRDOPT($L239+$AB$5,$J239,$I239,$M239,$O239,$N239,$P239,$Q239-$C$3,$R239,9)/365)*$H239</f>
        <v>-66.841991814918686</v>
      </c>
      <c r="AE239">
        <f t="shared" si="258"/>
        <v>0</v>
      </c>
      <c r="AF239" s="456">
        <f t="shared" si="259"/>
        <v>277.46542407503352</v>
      </c>
      <c r="AG239" s="456">
        <f>((_xll.xSPRDOPT($L239,$J239,$I239,$M239,$O239,$N239,$P239,$Q239-$C$3,$R239,6)*$H239)/100)</f>
        <v>-1049.3219306858516</v>
      </c>
      <c r="AH239" s="456">
        <f>((_xll.xSPRDOPT($L239,$J239,$I239,$M239,$O239,$N239,$P239,$Q239-$C$3,$R239,5)*$H239)/100)</f>
        <v>1326.7873547608851</v>
      </c>
      <c r="AI239" s="456">
        <f>(((_xll.xSPRDOPT($L239,$J239,$I239,$M239,$O239,$N239,$P239,$Q239-$C$3,$R239,4)*$H239)/10000)/100)-AB239</f>
        <v>-5.8110401703533876E-3</v>
      </c>
      <c r="AJ239" s="456"/>
      <c r="AK239" s="456"/>
      <c r="AL239" s="456"/>
      <c r="AM239" s="472"/>
      <c r="CC239" s="141">
        <f t="shared" si="282"/>
        <v>36892</v>
      </c>
      <c r="CD239" s="234">
        <f>_xll.xSPRDOPT((VLOOKUP(G239,NGPrices,2,FALSE)+HLOOKUP(D239,Prices,VLOOKUP(G239,move_down,2,FALSE),FALSE)),VLOOKUP(G239,NGPrices,2,FALSE),I239,VLOOKUP(G239,NGPREVPRICES,4,FALSE),HLOOKUP(D239,PREVVOLS,VLOOKUP(G239,MOVE_DOWN2,2,FALSE),FALSE),VLOOKUP(G239,NGPREVPRICES,3,FALSE),HLOOKUP(D239,Correllate,VLOOKUP(G239,CorMove,2,FALSE),FALSE),Q239-$CD$3,R239,$CD$5)*H239-CJ239</f>
        <v>0</v>
      </c>
      <c r="CE239" s="234">
        <f>_xll.xSPRDOPT((VLOOKUP(G239,NGPREVPRICES,2,FALSE)+HLOOKUP(D239,PREVCURVES,VLOOKUP(G239,MOVE_DOWN2,2,FALSE),FALSE)),VLOOKUP(G239,NGPREVPRICES,2,FALSE),CK239,VLOOKUP(G239,NGPrices,4,FALSE),HLOOKUP(D239,PREVVOLS,VLOOKUP(G239,MOVE_DOWN2,2,FALSE),FALSE),VLOOKUP(G239,NGPREVPRICES,3,FALSE),HLOOKUP(D239,Correllate,VLOOKUP(G239,CorMove,2,FALSE),FALSE),Q239-$CD$3,R239,$CJ$5)*H239-CJ239</f>
        <v>0</v>
      </c>
      <c r="CF239" s="10">
        <f t="shared" si="283"/>
        <v>-2.5997236788643932</v>
      </c>
      <c r="CG239" s="234">
        <f>_xll.xSPRDOPT((VLOOKUP(G239,NGPREVPRICES,2,FALSE)+HLOOKUP(D239,PREVCURVES,VLOOKUP(G239,MOVE_DOWN2,2,FALSE),FALSE)),VLOOKUP(G239,NGPREVPRICES,2,FALSE),CK239,VLOOKUP(G239,NGPREVPRICES,4,FALSE),HLOOKUP(D239,VOLS,VLOOKUP(G239,move_down,2,FALSE),FALSE),VLOOKUP(G239,NGPrices,3,FALSE),HLOOKUP(D239,Correllate,VLOOKUP(G239,CorMove,2,FALSE),FALSE),Q239-$CD$3,R239,$CJ$5)*H239-CJ239</f>
        <v>0</v>
      </c>
      <c r="CH239" s="234">
        <f>_xll.xSPRDOPT((VLOOKUP(G239,NGPREVPRICES,2,FALSE)+HLOOKUP(D239,PREVCURVES,VLOOKUP(G239,MOVE_DOWN2,2,FALSE),FALSE)),VLOOKUP(G239,NGPREVPRICES,2,FALSE),CK239,VLOOKUP(G239,NGPREVPRICES,4,FALSE),HLOOKUP(D239,PREVVOLS,VLOOKUP(G239,MOVE_DOWN2,2,FALSE),FALSE),VLOOKUP(G239,NGPREVPRICES,3,FALSE),HLOOKUP(D239,Correllate,VLOOKUP(G239,CorMove,2,FALSE),FALSE),Q239-$C$3,R239,$CJ$5)*H239-CJ239</f>
        <v>-66.6465292064604</v>
      </c>
      <c r="CI239" s="234">
        <f t="shared" si="284"/>
        <v>-69.246252885324793</v>
      </c>
      <c r="CJ239" s="234">
        <f>_xll.xSPRDOPT((VLOOKUP(G239,NGPREVPRICES,2,FALSE)+HLOOKUP(D239,PREVCURVES,VLOOKUP(G239,MOVE_DOWN2,2,FALSE),FALSE)),VLOOKUP(G239,NGPREVPRICES,2,FALSE),CK239,VLOOKUP(G239,NGPREVPRICES,4,FALSE),HLOOKUP(D239,PREVVOLS,VLOOKUP(G239,MOVE_DOWN2,2,FALSE),FALSE),VLOOKUP(G239,NGPREVPRICES,3,FALSE),HLOOKUP(D239,Correllate,VLOOKUP(G239,CorMove,2,FALSE),FALSE),Q239-$CD$3,R239,$CJ$5)*H239</f>
        <v>13795.943631902166</v>
      </c>
      <c r="CK239" s="235">
        <f t="shared" si="285"/>
        <v>0.15</v>
      </c>
      <c r="CL239" s="234"/>
      <c r="CM239" t="str">
        <f t="shared" si="286"/>
        <v>36892Curve Shift/Gamma</v>
      </c>
      <c r="CN239" t="str">
        <f t="shared" si="287"/>
        <v>36892Rho</v>
      </c>
      <c r="CO239" t="str">
        <f t="shared" si="288"/>
        <v>36892Drift</v>
      </c>
      <c r="CP239" t="str">
        <f t="shared" si="289"/>
        <v>36892Vega</v>
      </c>
      <c r="CQ239" t="str">
        <f t="shared" si="290"/>
        <v>36892Theta</v>
      </c>
    </row>
    <row r="240" spans="1:95" ht="12" customHeight="1" x14ac:dyDescent="0.25">
      <c r="A240" s="140" t="s">
        <v>324</v>
      </c>
      <c r="B240" t="s">
        <v>250</v>
      </c>
      <c r="C240" t="s">
        <v>404</v>
      </c>
      <c r="D240" s="4" t="s">
        <v>74</v>
      </c>
      <c r="E240" t="s">
        <v>20</v>
      </c>
      <c r="F240" t="s">
        <v>21</v>
      </c>
      <c r="G240" s="5">
        <v>36861</v>
      </c>
      <c r="H240" s="130">
        <v>310000</v>
      </c>
      <c r="I240">
        <v>0.15</v>
      </c>
      <c r="J240" s="53">
        <f t="shared" si="260"/>
        <v>4.8</v>
      </c>
      <c r="K240" s="7">
        <f t="shared" si="261"/>
        <v>0.1</v>
      </c>
      <c r="L240" s="53">
        <f t="shared" si="262"/>
        <v>4.8999999999999995</v>
      </c>
      <c r="M240" s="157">
        <f t="shared" si="275"/>
        <v>6.8314027999354002E-2</v>
      </c>
      <c r="N240" s="4">
        <f t="shared" si="276"/>
        <v>0.6</v>
      </c>
      <c r="O240" s="4">
        <f t="shared" si="277"/>
        <v>0.6</v>
      </c>
      <c r="P240" s="9">
        <f t="shared" si="278"/>
        <v>0.997</v>
      </c>
      <c r="Q240" s="5">
        <f t="shared" si="254"/>
        <v>36859</v>
      </c>
      <c r="R240" s="4">
        <f t="shared" si="279"/>
        <v>1</v>
      </c>
      <c r="S240" s="158">
        <f>_xll.xSPRDOPT($L240,$J240,$I240,$M240,$O240,$N240,$P240,$Q240-$C$3,$R240,0)</f>
        <v>2.7108270418358397E-2</v>
      </c>
      <c r="T240" s="159">
        <f>_xll.xSPRDOPT($L240,$J240,$I240,$M240,$O240,$N240,$P240,$Q240-$C$3,$R240,1)*H240</f>
        <v>105794.98802275372</v>
      </c>
      <c r="U240" s="160">
        <f t="shared" si="280"/>
        <v>8403.5638296911038</v>
      </c>
      <c r="V240" s="159">
        <f>_xll.xSPRDOPT($L240,$J240,$I240,$M240,$O240,$N240,$P240,$Q240-$C$3,$R240,2)*H240</f>
        <v>-103353.42871952469</v>
      </c>
      <c r="W240" s="159">
        <f t="shared" si="281"/>
        <v>2441.5593032290344</v>
      </c>
      <c r="X240" s="51" t="str">
        <f t="shared" si="255"/>
        <v>36861NGI/CHI. GATE</v>
      </c>
      <c r="Y240" s="418">
        <f t="shared" si="256"/>
        <v>31</v>
      </c>
      <c r="Z240" s="456">
        <f t="shared" si="257"/>
        <v>0.34127415491210877</v>
      </c>
      <c r="AA240" s="456">
        <f>_xll.xSPRDOPT($L240,$J240,$I240,$M240,$O240,$N240,$P240,$Q240-$C$3,$R240,3)</f>
        <v>3.010063694198406</v>
      </c>
      <c r="AB240" s="456">
        <f>((_xll.xSPRDOPT($L240+AB$5,$J240,$I240,$M240,$O240,$N240,$P240,$Q240-$C$3,$R240,3)*$H240)/10000)/100</f>
        <v>0.93311974520150587</v>
      </c>
      <c r="AC240" s="456">
        <f>((_xll.xSPRDOPT($L240+$AB$5,$J240,$I240,$M240,$O240,$N240,$P240,$Q240-$C$3,$R240,7)*$H240)/100)</f>
        <v>-19731.633103810298</v>
      </c>
      <c r="AD240" s="456">
        <f>(_xll.xSPRDOPT($L240+$AB$5,$J240,$I240,$M240,$O240,$N240,$P240,$Q240-$C$3,$R240,9)/365)*$H240</f>
        <v>-72.615984284794521</v>
      </c>
      <c r="AE240">
        <f t="shared" si="258"/>
        <v>0</v>
      </c>
      <c r="AF240" s="456">
        <f t="shared" si="259"/>
        <v>227.35659346631019</v>
      </c>
      <c r="AG240" s="456">
        <f>((_xll.xSPRDOPT($L240,$J240,$I240,$M240,$O240,$N240,$P240,$Q240-$C$3,$R240,6)*$H240)/100)</f>
        <v>-844.58159418175683</v>
      </c>
      <c r="AH240" s="456">
        <f>((_xll.xSPRDOPT($L240,$J240,$I240,$M240,$O240,$N240,$P240,$Q240-$C$3,$R240,5)*$H240)/100)</f>
        <v>1071.938187648067</v>
      </c>
      <c r="AI240" s="456">
        <f>(((_xll.xSPRDOPT($L240,$J240,$I240,$M240,$O240,$N240,$P240,$Q240-$C$3,$R240,4)*$H240)/10000)/100)-AB240</f>
        <v>-1.5754958133592734E-2</v>
      </c>
      <c r="AJ240" s="456"/>
      <c r="AK240" s="456"/>
      <c r="AL240" s="456"/>
      <c r="AM240" s="472"/>
      <c r="CC240" s="141">
        <f t="shared" si="282"/>
        <v>36861</v>
      </c>
      <c r="CD240" s="234">
        <f>_xll.xSPRDOPT((VLOOKUP(G240,NGPrices,2,FALSE)+HLOOKUP(D240,Prices,VLOOKUP(G240,move_down,2,FALSE),FALSE)),VLOOKUP(G240,NGPrices,2,FALSE),I240,VLOOKUP(G240,NGPREVPRICES,4,FALSE),HLOOKUP(D240,PREVVOLS,VLOOKUP(G240,MOVE_DOWN2,2,FALSE),FALSE),VLOOKUP(G240,NGPREVPRICES,3,FALSE),HLOOKUP(D240,Correllate,VLOOKUP(G240,CorMove,2,FALSE),FALSE),Q240-$CD$3,R240,$CD$5)*H240-CJ240</f>
        <v>0</v>
      </c>
      <c r="CE240" s="234">
        <f>_xll.xSPRDOPT((VLOOKUP(G240,NGPREVPRICES,2,FALSE)+HLOOKUP(D240,PREVCURVES,VLOOKUP(G240,MOVE_DOWN2,2,FALSE),FALSE)),VLOOKUP(G240,NGPREVPRICES,2,FALSE),CK240,VLOOKUP(G240,NGPrices,4,FALSE),HLOOKUP(D240,PREVVOLS,VLOOKUP(G240,MOVE_DOWN2,2,FALSE),FALSE),VLOOKUP(G240,NGPREVPRICES,3,FALSE),HLOOKUP(D240,Correllate,VLOOKUP(G240,CorMove,2,FALSE),FALSE),Q240-$CD$3,R240,$CJ$5)*H240-CJ240</f>
        <v>0</v>
      </c>
      <c r="CF240" s="10">
        <f t="shared" si="283"/>
        <v>-1.5878673379502288</v>
      </c>
      <c r="CG240" s="234">
        <f>_xll.xSPRDOPT((VLOOKUP(G240,NGPREVPRICES,2,FALSE)+HLOOKUP(D240,PREVCURVES,VLOOKUP(G240,MOVE_DOWN2,2,FALSE),FALSE)),VLOOKUP(G240,NGPREVPRICES,2,FALSE),CK240,VLOOKUP(G240,NGPREVPRICES,4,FALSE),HLOOKUP(D240,VOLS,VLOOKUP(G240,move_down,2,FALSE),FALSE),VLOOKUP(G240,NGPrices,3,FALSE),HLOOKUP(D240,Correllate,VLOOKUP(G240,CorMove,2,FALSE),FALSE),Q240-$CD$3,R240,$CJ$5)*H240-CJ240</f>
        <v>0</v>
      </c>
      <c r="CH240" s="234">
        <f>_xll.xSPRDOPT((VLOOKUP(G240,NGPREVPRICES,2,FALSE)+HLOOKUP(D240,PREVCURVES,VLOOKUP(G240,MOVE_DOWN2,2,FALSE),FALSE)),VLOOKUP(G240,NGPREVPRICES,2,FALSE),CK240,VLOOKUP(G240,NGPREVPRICES,4,FALSE),HLOOKUP(D240,PREVVOLS,VLOOKUP(G240,MOVE_DOWN2,2,FALSE),FALSE),VLOOKUP(G240,NGPREVPRICES,3,FALSE),HLOOKUP(D240,Correllate,VLOOKUP(G240,CorMove,2,FALSE),FALSE),Q240-$C$3,R240,$CJ$5)*H240-CJ240</f>
        <v>-72.388126485495377</v>
      </c>
      <c r="CI240" s="234">
        <f t="shared" si="284"/>
        <v>-73.975993823445606</v>
      </c>
      <c r="CJ240" s="234">
        <f>_xll.xSPRDOPT((VLOOKUP(G240,NGPREVPRICES,2,FALSE)+HLOOKUP(D240,PREVCURVES,VLOOKUP(G240,MOVE_DOWN2,2,FALSE),FALSE)),VLOOKUP(G240,NGPREVPRICES,2,FALSE),CK240,VLOOKUP(G240,NGPREVPRICES,4,FALSE),HLOOKUP(D240,PREVVOLS,VLOOKUP(G240,MOVE_DOWN2,2,FALSE),FALSE),VLOOKUP(G240,NGPREVPRICES,3,FALSE),HLOOKUP(D240,Correllate,VLOOKUP(G240,CorMove,2,FALSE),FALSE),Q240-$CD$3,R240,$CJ$5)*H240</f>
        <v>8475.9519561765992</v>
      </c>
      <c r="CK240" s="235">
        <f t="shared" si="285"/>
        <v>0.15</v>
      </c>
      <c r="CL240" s="234"/>
      <c r="CM240" t="str">
        <f t="shared" si="286"/>
        <v>36861Curve Shift/Gamma</v>
      </c>
      <c r="CN240" t="str">
        <f t="shared" si="287"/>
        <v>36861Rho</v>
      </c>
      <c r="CO240" t="str">
        <f t="shared" si="288"/>
        <v>36861Drift</v>
      </c>
      <c r="CP240" t="str">
        <f t="shared" si="289"/>
        <v>36861Vega</v>
      </c>
      <c r="CQ240" t="str">
        <f t="shared" si="290"/>
        <v>36861Theta</v>
      </c>
    </row>
    <row r="241" spans="1:95" ht="12" customHeight="1" x14ac:dyDescent="0.25">
      <c r="A241" s="140" t="s">
        <v>324</v>
      </c>
      <c r="B241" t="s">
        <v>250</v>
      </c>
      <c r="C241" t="s">
        <v>404</v>
      </c>
      <c r="D241" s="4" t="s">
        <v>74</v>
      </c>
      <c r="E241" t="s">
        <v>20</v>
      </c>
      <c r="F241" t="s">
        <v>21</v>
      </c>
      <c r="G241" s="5">
        <v>36831</v>
      </c>
      <c r="H241" s="130">
        <v>300000</v>
      </c>
      <c r="I241">
        <v>0.15</v>
      </c>
      <c r="J241" s="53">
        <f t="shared" si="260"/>
        <v>4.7359999999999998</v>
      </c>
      <c r="K241" s="7">
        <f t="shared" si="261"/>
        <v>8.7499999999999994E-2</v>
      </c>
      <c r="L241" s="53">
        <f t="shared" si="262"/>
        <v>4.8235000000000001</v>
      </c>
      <c r="M241" s="157">
        <f t="shared" si="275"/>
        <v>6.810675983792E-2</v>
      </c>
      <c r="N241" s="4">
        <f t="shared" si="276"/>
        <v>0.59499999999999997</v>
      </c>
      <c r="O241" s="4">
        <f t="shared" si="277"/>
        <v>0.59499999999999997</v>
      </c>
      <c r="P241" s="9">
        <f t="shared" si="278"/>
        <v>0.997</v>
      </c>
      <c r="Q241" s="5">
        <f t="shared" si="254"/>
        <v>36829</v>
      </c>
      <c r="R241" s="4">
        <f t="shared" si="279"/>
        <v>1</v>
      </c>
      <c r="S241" s="158">
        <f>_xll.xSPRDOPT($L241,$J241,$I241,$M241,$O241,$N241,$P241,$Q241-$C$3,$R241,0)</f>
        <v>1.5250320595656583E-2</v>
      </c>
      <c r="T241" s="159">
        <f>_xll.xSPRDOPT($L241,$J241,$I241,$M241,$O241,$N241,$P241,$Q241-$C$3,$R241,1)*H241</f>
        <v>78849.76466463189</v>
      </c>
      <c r="U241" s="160">
        <f t="shared" si="280"/>
        <v>4575.0961786969747</v>
      </c>
      <c r="V241" s="159">
        <f>_xll.xSPRDOPT($L241,$J241,$I241,$M241,$O241,$N241,$P241,$Q241-$C$3,$R241,2)*H241</f>
        <v>-77133.889443530643</v>
      </c>
      <c r="W241" s="159">
        <f t="shared" si="281"/>
        <v>1715.875221101247</v>
      </c>
      <c r="X241" s="51" t="str">
        <f t="shared" si="255"/>
        <v>36831NGI/CHI. GATE</v>
      </c>
      <c r="Y241" s="418">
        <f t="shared" si="256"/>
        <v>30</v>
      </c>
      <c r="Z241" s="456">
        <f t="shared" si="257"/>
        <v>0.26283254888210628</v>
      </c>
      <c r="AA241" s="456">
        <f>_xll.xSPRDOPT($L241,$J241,$I241,$M241,$O241,$N241,$P241,$Q241-$C$3,$R241,3)</f>
        <v>3.3553439431036649</v>
      </c>
      <c r="AB241" s="456">
        <f>((_xll.xSPRDOPT($L241+AB$5,$J241,$I241,$M241,$O241,$N241,$P241,$Q241-$C$3,$R241,3)*$H241)/10000)/100</f>
        <v>1.0066031829310993</v>
      </c>
      <c r="AC241" s="456">
        <f>((_xll.xSPRDOPT($L241+$AB$5,$J241,$I241,$M241,$O241,$N241,$P241,$Q241-$C$3,$R241,7)*$H241)/100)</f>
        <v>-13666.47341596898</v>
      </c>
      <c r="AD241" s="456">
        <f>(_xll.xSPRDOPT($L241+$AB$5,$J241,$I241,$M241,$O241,$N241,$P241,$Q241-$C$3,$R241,9)/365)*$H241</f>
        <v>-75.305118852392226</v>
      </c>
      <c r="AE241">
        <f t="shared" si="258"/>
        <v>0</v>
      </c>
      <c r="AF241" s="456">
        <f t="shared" si="259"/>
        <v>158.60885072883264</v>
      </c>
      <c r="AG241" s="456">
        <f>((_xll.xSPRDOPT($L241,$J241,$I241,$M241,$O241,$N241,$P241,$Q241-$C$3,$R241,6)*$H241)/100)</f>
        <v>-595.27151436878648</v>
      </c>
      <c r="AH241" s="456">
        <f>((_xll.xSPRDOPT($L241,$J241,$I241,$M241,$O241,$N241,$P241,$Q241-$C$3,$R241,5)*$H241)/100)</f>
        <v>753.88036509761912</v>
      </c>
      <c r="AI241" s="456">
        <f>(((_xll.xSPRDOPT($L241,$J241,$I241,$M241,$O241,$N241,$P241,$Q241-$C$3,$R241,4)*$H241)/10000)/100)-AB241</f>
        <v>-2.2016779360807148E-2</v>
      </c>
      <c r="AJ241" s="456"/>
      <c r="AK241" s="456"/>
      <c r="AL241" s="456"/>
      <c r="AM241" s="472"/>
      <c r="CC241" s="141">
        <f t="shared" si="282"/>
        <v>36831</v>
      </c>
      <c r="CD241" s="234">
        <f>_xll.xSPRDOPT((VLOOKUP(G241,NGPrices,2,FALSE)+HLOOKUP(D241,Prices,VLOOKUP(G241,move_down,2,FALSE),FALSE)),VLOOKUP(G241,NGPrices,2,FALSE),I241,VLOOKUP(G241,NGPREVPRICES,4,FALSE),HLOOKUP(D241,PREVVOLS,VLOOKUP(G241,MOVE_DOWN2,2,FALSE),FALSE),VLOOKUP(G241,NGPREVPRICES,3,FALSE),HLOOKUP(D241,Correllate,VLOOKUP(G241,CorMove,2,FALSE),FALSE),Q241-$CD$3,R241,$CD$5)*H241-CJ241</f>
        <v>0</v>
      </c>
      <c r="CE241" s="234">
        <f>_xll.xSPRDOPT((VLOOKUP(G241,NGPREVPRICES,2,FALSE)+HLOOKUP(D241,PREVCURVES,VLOOKUP(G241,MOVE_DOWN2,2,FALSE),FALSE)),VLOOKUP(G241,NGPREVPRICES,2,FALSE),CK241,VLOOKUP(G241,NGPrices,4,FALSE),HLOOKUP(D241,PREVVOLS,VLOOKUP(G241,MOVE_DOWN2,2,FALSE),FALSE),VLOOKUP(G241,NGPREVPRICES,3,FALSE),HLOOKUP(D241,Correllate,VLOOKUP(G241,CorMove,2,FALSE),FALSE),Q241-$CD$3,R241,$CJ$5)*H241-CJ241</f>
        <v>0</v>
      </c>
      <c r="CF241" s="10">
        <f t="shared" si="283"/>
        <v>-0.86358376220232458</v>
      </c>
      <c r="CG241" s="234">
        <f>_xll.xSPRDOPT((VLOOKUP(G241,NGPREVPRICES,2,FALSE)+HLOOKUP(D241,PREVCURVES,VLOOKUP(G241,MOVE_DOWN2,2,FALSE),FALSE)),VLOOKUP(G241,NGPREVPRICES,2,FALSE),CK241,VLOOKUP(G241,NGPREVPRICES,4,FALSE),HLOOKUP(D241,VOLS,VLOOKUP(G241,move_down,2,FALSE),FALSE),VLOOKUP(G241,NGPrices,3,FALSE),HLOOKUP(D241,Correllate,VLOOKUP(G241,CorMove,2,FALSE),FALSE),Q241-$CD$3,R241,$CJ$5)*H241-CJ241</f>
        <v>0</v>
      </c>
      <c r="CH241" s="234">
        <f>_xll.xSPRDOPT((VLOOKUP(G241,NGPREVPRICES,2,FALSE)+HLOOKUP(D241,PREVCURVES,VLOOKUP(G241,MOVE_DOWN2,2,FALSE),FALSE)),VLOOKUP(G241,NGPREVPRICES,2,FALSE),CK241,VLOOKUP(G241,NGPREVPRICES,4,FALSE),HLOOKUP(D241,PREVVOLS,VLOOKUP(G241,MOVE_DOWN2,2,FALSE),FALSE),VLOOKUP(G241,NGPREVPRICES,3,FALSE),HLOOKUP(D241,Correllate,VLOOKUP(G241,CorMove,2,FALSE),FALSE),Q241-$C$3,R241,$CJ$5)*H241-CJ241</f>
        <v>-75.061380048358842</v>
      </c>
      <c r="CI241" s="234">
        <f t="shared" si="284"/>
        <v>-75.924963810561167</v>
      </c>
      <c r="CJ241" s="234">
        <f>_xll.xSPRDOPT((VLOOKUP(G241,NGPREVPRICES,2,FALSE)+HLOOKUP(D241,PREVCURVES,VLOOKUP(G241,MOVE_DOWN2,2,FALSE),FALSE)),VLOOKUP(G241,NGPREVPRICES,2,FALSE),CK241,VLOOKUP(G241,NGPREVPRICES,4,FALSE),HLOOKUP(D241,PREVVOLS,VLOOKUP(G241,MOVE_DOWN2,2,FALSE),FALSE),VLOOKUP(G241,NGPREVPRICES,3,FALSE),HLOOKUP(D241,Correllate,VLOOKUP(G241,CorMove,2,FALSE),FALSE),Q241-$CD$3,R241,$CJ$5)*H241</f>
        <v>4650.1575587453335</v>
      </c>
      <c r="CK241" s="235">
        <f t="shared" si="285"/>
        <v>0.15</v>
      </c>
      <c r="CL241" s="234"/>
      <c r="CM241" t="str">
        <f t="shared" si="286"/>
        <v>36831Curve Shift/Gamma</v>
      </c>
      <c r="CN241" t="str">
        <f t="shared" si="287"/>
        <v>36831Rho</v>
      </c>
      <c r="CO241" t="str">
        <f t="shared" si="288"/>
        <v>36831Drift</v>
      </c>
      <c r="CP241" t="str">
        <f t="shared" si="289"/>
        <v>36831Vega</v>
      </c>
      <c r="CQ241" t="str">
        <f t="shared" si="290"/>
        <v>36831Theta</v>
      </c>
    </row>
    <row r="242" spans="1:95" ht="12" customHeight="1" x14ac:dyDescent="0.25">
      <c r="A242" s="140" t="s">
        <v>320</v>
      </c>
      <c r="B242" t="s">
        <v>250</v>
      </c>
      <c r="C242" t="s">
        <v>405</v>
      </c>
      <c r="D242" s="4" t="s">
        <v>7</v>
      </c>
      <c r="E242" t="s">
        <v>20</v>
      </c>
      <c r="F242" t="s">
        <v>1</v>
      </c>
      <c r="G242" s="5">
        <v>36951</v>
      </c>
      <c r="H242" s="130">
        <v>1000000</v>
      </c>
      <c r="I242">
        <v>0.75</v>
      </c>
      <c r="J242" s="53">
        <f t="shared" si="260"/>
        <v>4.2130000000000001</v>
      </c>
      <c r="K242" s="7">
        <f t="shared" si="261"/>
        <v>1.075</v>
      </c>
      <c r="L242" s="53">
        <f t="shared" si="262"/>
        <v>5.2880000000000003</v>
      </c>
      <c r="M242" s="157">
        <f t="shared" si="275"/>
        <v>6.8879814952706994E-2</v>
      </c>
      <c r="N242" s="4">
        <f t="shared" si="276"/>
        <v>0.53249999999999997</v>
      </c>
      <c r="O242" s="4">
        <f t="shared" si="277"/>
        <v>0.61199999999999999</v>
      </c>
      <c r="P242" s="9">
        <f t="shared" si="278"/>
        <v>0.83</v>
      </c>
      <c r="Q242" s="5">
        <f t="shared" si="254"/>
        <v>36949</v>
      </c>
      <c r="R242" s="4">
        <f t="shared" si="279"/>
        <v>0</v>
      </c>
      <c r="S242" s="158">
        <f>_xll.xSPRDOPT($L242,$J242,$I242,$M242,$O242,$N242,$P242,$Q242-$C$3,$R242,0)</f>
        <v>0.34094497957691405</v>
      </c>
      <c r="T242" s="159">
        <f>_xll.xSPRDOPT($L242,$J242,$I242,$M242,$O242,$N242,$P242,$Q242-$C$3,$R242,1)*H242</f>
        <v>-339087.85346668866</v>
      </c>
      <c r="U242" s="160">
        <f t="shared" si="280"/>
        <v>340944.97957691405</v>
      </c>
      <c r="V242" s="159">
        <f>_xll.xSPRDOPT($L242,$J242,$I242,$M242,$O242,$N242,$P242,$Q242-$C$3,$R242,2)*H242</f>
        <v>426270.51849451294</v>
      </c>
      <c r="W242" s="159">
        <f t="shared" si="281"/>
        <v>87182.665027824289</v>
      </c>
      <c r="X242" s="51" t="str">
        <f t="shared" si="255"/>
        <v>36951IF-TRANSCO/Z6</v>
      </c>
      <c r="Y242" s="418">
        <f t="shared" si="256"/>
        <v>100</v>
      </c>
      <c r="Z242" s="456">
        <f t="shared" si="257"/>
        <v>-0.33908785346668868</v>
      </c>
      <c r="AA242" s="456">
        <f>_xll.xSPRDOPT($L242,$J242,$I242,$M242,$O242,$N242,$P242,$Q242-$C$3,$R242,3)</f>
        <v>0.27707202713581769</v>
      </c>
      <c r="AB242" s="456">
        <f>((_xll.xSPRDOPT($L242+AB$5,$J242,$I242,$M242,$O242,$N242,$P242,$Q242-$C$3,$R242,3)*$H242)/10000)/100</f>
        <v>0.27707202713581769</v>
      </c>
      <c r="AC242" s="456">
        <f>((_xll.xSPRDOPT($L242+$AB$5,$J242,$I242,$M242,$O242,$N242,$P242,$Q242-$C$3,$R242,7)*$H242)/100)</f>
        <v>-10675.887485742693</v>
      </c>
      <c r="AD242" s="456">
        <f>(_xll.xSPRDOPT($L242+$AB$5,$J242,$I242,$M242,$O242,$N242,$P242,$Q242-$C$3,$R242,9)/365)*$H242</f>
        <v>-1212.6266802212181</v>
      </c>
      <c r="AE242">
        <f t="shared" si="258"/>
        <v>0</v>
      </c>
      <c r="AF242" s="456">
        <f t="shared" si="259"/>
        <v>8722.9642822009027</v>
      </c>
      <c r="AG242" s="456">
        <f>((_xll.xSPRDOPT($L242,$J242,$I242,$M242,$O242,$N242,$P242,$Q242-$C$3,$R242,6)*$H242)/100)</f>
        <v>-1791.0181131467791</v>
      </c>
      <c r="AH242" s="456">
        <f>((_xll.xSPRDOPT($L242,$J242,$I242,$M242,$O242,$N242,$P242,$Q242-$C$3,$R242,5)*$H242)/100)</f>
        <v>9148.1954665402627</v>
      </c>
      <c r="AI242" s="456">
        <f>(((_xll.xSPRDOPT($L242,$J242,$I242,$M242,$O242,$N242,$P242,$Q242-$C$3,$R242,4)*$H242)/10000)/100)-AB242</f>
        <v>3.8229803650455751E-2</v>
      </c>
      <c r="AJ242" s="456"/>
      <c r="AK242" s="456"/>
      <c r="AL242" s="456"/>
      <c r="AM242" s="472"/>
      <c r="CC242" s="141">
        <f t="shared" si="282"/>
        <v>36951</v>
      </c>
      <c r="CD242" s="234">
        <f>_xll.xSPRDOPT((VLOOKUP(G242,NGPrices,2,FALSE)+HLOOKUP(D242,Prices,VLOOKUP(G242,move_down,2,FALSE),FALSE)),VLOOKUP(G242,NGPrices,2,FALSE),I242,VLOOKUP(G242,NGPREVPRICES,4,FALSE),HLOOKUP(D242,PREVVOLS,VLOOKUP(G242,MOVE_DOWN2,2,FALSE),FALSE),VLOOKUP(G242,NGPREVPRICES,3,FALSE),HLOOKUP(D242,Correllate,VLOOKUP(G242,CorMove,2,FALSE),FALSE),Q242-$CD$3,R242,$CD$5)*H242-CJ242</f>
        <v>0</v>
      </c>
      <c r="CE242" s="234">
        <f>_xll.xSPRDOPT((VLOOKUP(G242,NGPREVPRICES,2,FALSE)+HLOOKUP(D242,PREVCURVES,VLOOKUP(G242,MOVE_DOWN2,2,FALSE),FALSE)),VLOOKUP(G242,NGPREVPRICES,2,FALSE),CK242,VLOOKUP(G242,NGPrices,4,FALSE),HLOOKUP(D242,PREVVOLS,VLOOKUP(G242,MOVE_DOWN2,2,FALSE),FALSE),VLOOKUP(G242,NGPREVPRICES,3,FALSE),HLOOKUP(D242,Correllate,VLOOKUP(G242,CorMove,2,FALSE),FALSE),Q242-$CD$3,R242,$CJ$5)*H242-CJ242</f>
        <v>0</v>
      </c>
      <c r="CF242" s="10">
        <f t="shared" si="283"/>
        <v>-65.620196025061887</v>
      </c>
      <c r="CG242" s="234">
        <f>_xll.xSPRDOPT((VLOOKUP(G242,NGPREVPRICES,2,FALSE)+HLOOKUP(D242,PREVCURVES,VLOOKUP(G242,MOVE_DOWN2,2,FALSE),FALSE)),VLOOKUP(G242,NGPREVPRICES,2,FALSE),CK242,VLOOKUP(G242,NGPREVPRICES,4,FALSE),HLOOKUP(D242,VOLS,VLOOKUP(G242,move_down,2,FALSE),FALSE),VLOOKUP(G242,NGPrices,3,FALSE),HLOOKUP(D242,Correllate,VLOOKUP(G242,CorMove,2,FALSE),FALSE),Q242-$CD$3,R242,$CJ$5)*H242-CJ242</f>
        <v>0</v>
      </c>
      <c r="CH242" s="234">
        <f>_xll.xSPRDOPT((VLOOKUP(G242,NGPREVPRICES,2,FALSE)+HLOOKUP(D242,PREVCURVES,VLOOKUP(G242,MOVE_DOWN2,2,FALSE),FALSE)),VLOOKUP(G242,NGPREVPRICES,2,FALSE),CK242,VLOOKUP(G242,NGPREVPRICES,4,FALSE),HLOOKUP(D242,PREVVOLS,VLOOKUP(G242,MOVE_DOWN2,2,FALSE),FALSE),VLOOKUP(G242,NGPREVPRICES,3,FALSE),HLOOKUP(D242,Correllate,VLOOKUP(G242,CorMove,2,FALSE),FALSE),Q242-$C$3,R242,$CJ$5)*H242-CJ242</f>
        <v>-1209.9173673397745</v>
      </c>
      <c r="CI242" s="234">
        <f t="shared" si="284"/>
        <v>-1275.5375633648364</v>
      </c>
      <c r="CJ242" s="234">
        <f>_xll.xSPRDOPT((VLOOKUP(G242,NGPREVPRICES,2,FALSE)+HLOOKUP(D242,PREVCURVES,VLOOKUP(G242,MOVE_DOWN2,2,FALSE),FALSE)),VLOOKUP(G242,NGPREVPRICES,2,FALSE),CK242,VLOOKUP(G242,NGPREVPRICES,4,FALSE),HLOOKUP(D242,PREVVOLS,VLOOKUP(G242,MOVE_DOWN2,2,FALSE),FALSE),VLOOKUP(G242,NGPREVPRICES,3,FALSE),HLOOKUP(D242,Correllate,VLOOKUP(G242,CorMove,2,FALSE),FALSE),Q242-$CD$3,R242,$CJ$5)*H242</f>
        <v>342154.89694425382</v>
      </c>
      <c r="CK242" s="235">
        <f t="shared" si="285"/>
        <v>0.75</v>
      </c>
      <c r="CL242" s="234"/>
      <c r="CM242" t="str">
        <f t="shared" si="286"/>
        <v>36951Curve Shift/Gamma</v>
      </c>
      <c r="CN242" t="str">
        <f t="shared" si="287"/>
        <v>36951Rho</v>
      </c>
      <c r="CO242" t="str">
        <f t="shared" si="288"/>
        <v>36951Drift</v>
      </c>
      <c r="CP242" t="str">
        <f t="shared" si="289"/>
        <v>36951Vega</v>
      </c>
      <c r="CQ242" t="str">
        <f t="shared" si="290"/>
        <v>36951Theta</v>
      </c>
    </row>
    <row r="243" spans="1:95" ht="12" customHeight="1" x14ac:dyDescent="0.25">
      <c r="A243" s="140" t="s">
        <v>320</v>
      </c>
      <c r="B243" t="s">
        <v>250</v>
      </c>
      <c r="C243" t="s">
        <v>405</v>
      </c>
      <c r="D243" s="4" t="s">
        <v>7</v>
      </c>
      <c r="E243" t="s">
        <v>20</v>
      </c>
      <c r="F243" t="s">
        <v>1</v>
      </c>
      <c r="G243" s="5">
        <v>36923</v>
      </c>
      <c r="H243" s="130">
        <v>1000000</v>
      </c>
      <c r="I243">
        <v>0.75</v>
      </c>
      <c r="J243" s="53">
        <f t="shared" si="260"/>
        <v>4.4800000000000004</v>
      </c>
      <c r="K243" s="7">
        <f t="shared" si="261"/>
        <v>2.09</v>
      </c>
      <c r="L243" s="53">
        <f t="shared" si="262"/>
        <v>6.57</v>
      </c>
      <c r="M243" s="157">
        <f t="shared" si="275"/>
        <v>6.8640161611372E-2</v>
      </c>
      <c r="N243" s="4">
        <f t="shared" si="276"/>
        <v>0.59250000000000003</v>
      </c>
      <c r="O243" s="4">
        <f t="shared" si="277"/>
        <v>0.68100000000000005</v>
      </c>
      <c r="P243" s="9">
        <f t="shared" si="278"/>
        <v>0.83</v>
      </c>
      <c r="Q243" s="5">
        <f t="shared" si="254"/>
        <v>36921</v>
      </c>
      <c r="R243" s="4">
        <f t="shared" si="279"/>
        <v>0</v>
      </c>
      <c r="S243" s="158">
        <f>_xll.xSPRDOPT($L243,$J243,$I243,$M243,$O243,$N243,$P243,$Q243-$C$3,$R243,0)</f>
        <v>0.13906565808994997</v>
      </c>
      <c r="T243" s="159">
        <f>_xll.xSPRDOPT($L243,$J243,$I243,$M243,$O243,$N243,$P243,$Q243-$C$3,$R243,1)*H243</f>
        <v>-145235.89268997984</v>
      </c>
      <c r="U243" s="160">
        <f t="shared" si="280"/>
        <v>139065.65808994998</v>
      </c>
      <c r="V243" s="159">
        <f>_xll.xSPRDOPT($L243,$J243,$I243,$M243,$O243,$N243,$P243,$Q243-$C$3,$R243,2)*H243</f>
        <v>206354.74700744738</v>
      </c>
      <c r="W243" s="159">
        <f t="shared" si="281"/>
        <v>61118.854317467543</v>
      </c>
      <c r="X243" s="51" t="str">
        <f t="shared" si="255"/>
        <v>36923IF-TRANSCO/Z6</v>
      </c>
      <c r="Y243" s="418">
        <f t="shared" si="256"/>
        <v>100</v>
      </c>
      <c r="Z243" s="456">
        <f t="shared" si="257"/>
        <v>-0.14523589268997983</v>
      </c>
      <c r="AA243" s="456">
        <f>_xll.xSPRDOPT($L243,$J243,$I243,$M243,$O243,$N243,$P243,$Q243-$C$3,$R243,3)</f>
        <v>0.13751360448045827</v>
      </c>
      <c r="AB243" s="456">
        <f>((_xll.xSPRDOPT($L243+AB$5,$J243,$I243,$M243,$O243,$N243,$P243,$Q243-$C$3,$R243,3)*$H243)/10000)/100</f>
        <v>0.13751360448045827</v>
      </c>
      <c r="AC243" s="456">
        <f>((_xll.xSPRDOPT($L243+$AB$5,$J243,$I243,$M243,$O243,$N243,$P243,$Q243-$C$3,$R243,7)*$H243)/100)</f>
        <v>-8594.2244949821543</v>
      </c>
      <c r="AD243" s="456">
        <f>(_xll.xSPRDOPT($L243+$AB$5,$J243,$I243,$M243,$O243,$N243,$P243,$Q243-$C$3,$R243,9)/365)*$H243</f>
        <v>-1184.2206942223947</v>
      </c>
      <c r="AE243">
        <f t="shared" si="258"/>
        <v>0</v>
      </c>
      <c r="AF243" s="456">
        <f t="shared" si="259"/>
        <v>6287.5887448547146</v>
      </c>
      <c r="AG243" s="456">
        <f>((_xll.xSPRDOPT($L243,$J243,$I243,$M243,$O243,$N243,$P243,$Q243-$C$3,$R243,6)*$H243)/100)</f>
        <v>-1262.2750116744944</v>
      </c>
      <c r="AH243" s="456">
        <f>((_xll.xSPRDOPT($L243,$J243,$I243,$M243,$O243,$N243,$P243,$Q243-$C$3,$R243,5)*$H243)/100)</f>
        <v>6568.714061297439</v>
      </c>
      <c r="AI243" s="456">
        <f>(((_xll.xSPRDOPT($L243,$J243,$I243,$M243,$O243,$N243,$P243,$Q243-$C$3,$R243,4)*$H243)/10000)/100)-AB243</f>
        <v>7.742821393307861E-2</v>
      </c>
      <c r="AJ243" s="456"/>
      <c r="AK243" s="456"/>
      <c r="AL243" s="456"/>
      <c r="AM243" s="472"/>
      <c r="CC243" s="141">
        <f t="shared" si="282"/>
        <v>36923</v>
      </c>
      <c r="CD243" s="234">
        <f>_xll.xSPRDOPT((VLOOKUP(G243,NGPrices,2,FALSE)+HLOOKUP(D243,Prices,VLOOKUP(G243,move_down,2,FALSE),FALSE)),VLOOKUP(G243,NGPrices,2,FALSE),I243,VLOOKUP(G243,NGPREVPRICES,4,FALSE),HLOOKUP(D243,PREVVOLS,VLOOKUP(G243,MOVE_DOWN2,2,FALSE),FALSE),VLOOKUP(G243,NGPREVPRICES,3,FALSE),HLOOKUP(D243,Correllate,VLOOKUP(G243,CorMove,2,FALSE),FALSE),Q243-$CD$3,R243,$CD$5)*H243-CJ243</f>
        <v>0</v>
      </c>
      <c r="CE243" s="234">
        <f>_xll.xSPRDOPT((VLOOKUP(G243,NGPREVPRICES,2,FALSE)+HLOOKUP(D243,PREVCURVES,VLOOKUP(G243,MOVE_DOWN2,2,FALSE),FALSE)),VLOOKUP(G243,NGPREVPRICES,2,FALSE),CK243,VLOOKUP(G243,NGPrices,4,FALSE),HLOOKUP(D243,PREVVOLS,VLOOKUP(G243,MOVE_DOWN2,2,FALSE),FALSE),VLOOKUP(G243,NGPREVPRICES,3,FALSE),HLOOKUP(D243,Correllate,VLOOKUP(G243,CorMove,2,FALSE),FALSE),Q243-$CD$3,R243,$CJ$5)*H243-CJ243</f>
        <v>0</v>
      </c>
      <c r="CF243" s="10">
        <f t="shared" si="283"/>
        <v>-26.673646916402504</v>
      </c>
      <c r="CG243" s="234">
        <f>_xll.xSPRDOPT((VLOOKUP(G243,NGPREVPRICES,2,FALSE)+HLOOKUP(D243,PREVCURVES,VLOOKUP(G243,MOVE_DOWN2,2,FALSE),FALSE)),VLOOKUP(G243,NGPREVPRICES,2,FALSE),CK243,VLOOKUP(G243,NGPREVPRICES,4,FALSE),HLOOKUP(D243,VOLS,VLOOKUP(G243,move_down,2,FALSE),FALSE),VLOOKUP(G243,NGPrices,3,FALSE),HLOOKUP(D243,Correllate,VLOOKUP(G243,CorMove,2,FALSE),FALSE),Q243-$CD$3,R243,$CJ$5)*H243-CJ243</f>
        <v>0</v>
      </c>
      <c r="CH243" s="234">
        <f>_xll.xSPRDOPT((VLOOKUP(G243,NGPREVPRICES,2,FALSE)+HLOOKUP(D243,PREVCURVES,VLOOKUP(G243,MOVE_DOWN2,2,FALSE),FALSE)),VLOOKUP(G243,NGPREVPRICES,2,FALSE),CK243,VLOOKUP(G243,NGPREVPRICES,4,FALSE),HLOOKUP(D243,PREVVOLS,VLOOKUP(G243,MOVE_DOWN2,2,FALSE),FALSE),VLOOKUP(G243,NGPREVPRICES,3,FALSE),HLOOKUP(D243,Correllate,VLOOKUP(G243,CorMove,2,FALSE),FALSE),Q243-$C$3,R243,$CJ$5)*H243-CJ243</f>
        <v>-1182.841132367088</v>
      </c>
      <c r="CI243" s="234">
        <f t="shared" si="284"/>
        <v>-1209.5147792834905</v>
      </c>
      <c r="CJ243" s="234">
        <f>_xll.xSPRDOPT((VLOOKUP(G243,NGPREVPRICES,2,FALSE)+HLOOKUP(D243,PREVCURVES,VLOOKUP(G243,MOVE_DOWN2,2,FALSE),FALSE)),VLOOKUP(G243,NGPREVPRICES,2,FALSE),CK243,VLOOKUP(G243,NGPREVPRICES,4,FALSE),HLOOKUP(D243,PREVVOLS,VLOOKUP(G243,MOVE_DOWN2,2,FALSE),FALSE),VLOOKUP(G243,NGPREVPRICES,3,FALSE),HLOOKUP(D243,Correllate,VLOOKUP(G243,CorMove,2,FALSE),FALSE),Q243-$CD$3,R243,$CJ$5)*H243</f>
        <v>140248.49922231707</v>
      </c>
      <c r="CK243" s="235">
        <f t="shared" si="285"/>
        <v>0.75</v>
      </c>
      <c r="CL243" s="234"/>
      <c r="CM243" t="str">
        <f t="shared" si="286"/>
        <v>36923Curve Shift/Gamma</v>
      </c>
      <c r="CN243" t="str">
        <f t="shared" si="287"/>
        <v>36923Rho</v>
      </c>
      <c r="CO243" t="str">
        <f t="shared" si="288"/>
        <v>36923Drift</v>
      </c>
      <c r="CP243" t="str">
        <f t="shared" si="289"/>
        <v>36923Vega</v>
      </c>
      <c r="CQ243" t="str">
        <f t="shared" si="290"/>
        <v>36923Theta</v>
      </c>
    </row>
    <row r="244" spans="1:95" ht="12" customHeight="1" x14ac:dyDescent="0.25">
      <c r="A244" s="140" t="s">
        <v>320</v>
      </c>
      <c r="B244" t="s">
        <v>250</v>
      </c>
      <c r="C244" t="s">
        <v>405</v>
      </c>
      <c r="D244" s="4" t="s">
        <v>7</v>
      </c>
      <c r="E244" t="s">
        <v>20</v>
      </c>
      <c r="F244" t="s">
        <v>1</v>
      </c>
      <c r="G244" s="5">
        <v>36892</v>
      </c>
      <c r="H244" s="130">
        <v>1000000</v>
      </c>
      <c r="I244">
        <v>0.75</v>
      </c>
      <c r="J244" s="53">
        <f t="shared" si="260"/>
        <v>4.7439999999999998</v>
      </c>
      <c r="K244" s="7">
        <f t="shared" si="261"/>
        <v>2.17</v>
      </c>
      <c r="L244" s="53">
        <f t="shared" si="262"/>
        <v>6.9139999999999997</v>
      </c>
      <c r="M244" s="157">
        <f t="shared" si="275"/>
        <v>6.8374831148490994E-2</v>
      </c>
      <c r="N244" s="4">
        <f t="shared" si="276"/>
        <v>0.60499999999999998</v>
      </c>
      <c r="O244" s="4">
        <f t="shared" si="277"/>
        <v>0.69599999999999995</v>
      </c>
      <c r="P244" s="9">
        <f t="shared" si="278"/>
        <v>0.83</v>
      </c>
      <c r="Q244" s="5">
        <f t="shared" si="254"/>
        <v>36888</v>
      </c>
      <c r="R244" s="4">
        <f t="shared" si="279"/>
        <v>0</v>
      </c>
      <c r="S244" s="158">
        <f>_xll.xSPRDOPT($L244,$J244,$I244,$M244,$O244,$N244,$P244,$Q244-$C$3,$R244,0)</f>
        <v>0.10942744498145573</v>
      </c>
      <c r="T244" s="159">
        <f>_xll.xSPRDOPT($L244,$J244,$I244,$M244,$O244,$N244,$P244,$Q244-$C$3,$R244,1)*H244</f>
        <v>-126179.38493628922</v>
      </c>
      <c r="U244" s="160">
        <f t="shared" si="280"/>
        <v>109427.44498145573</v>
      </c>
      <c r="V244" s="159">
        <f>_xll.xSPRDOPT($L244,$J244,$I244,$M244,$O244,$N244,$P244,$Q244-$C$3,$R244,2)*H244</f>
        <v>176743.15467141199</v>
      </c>
      <c r="W244" s="159">
        <f t="shared" si="281"/>
        <v>50563.769735122769</v>
      </c>
      <c r="X244" s="51" t="str">
        <f t="shared" si="255"/>
        <v>36892IF-TRANSCO/Z6</v>
      </c>
      <c r="Y244" s="418">
        <f t="shared" si="256"/>
        <v>100</v>
      </c>
      <c r="Z244" s="456">
        <f t="shared" si="257"/>
        <v>-0.12617938493628922</v>
      </c>
      <c r="AA244" s="456">
        <f>_xll.xSPRDOPT($L244,$J244,$I244,$M244,$O244,$N244,$P244,$Q244-$C$3,$R244,3)</f>
        <v>0.13157412676368174</v>
      </c>
      <c r="AB244" s="456">
        <f>((_xll.xSPRDOPT($L244+AB$5,$J244,$I244,$M244,$O244,$N244,$P244,$Q244-$C$3,$R244,3)*$H244)/10000)/100</f>
        <v>0.13157412676368174</v>
      </c>
      <c r="AC244" s="456">
        <f>((_xll.xSPRDOPT($L244+$AB$5,$J244,$I244,$M244,$O244,$N244,$P244,$Q244-$C$3,$R244,7)*$H244)/100)</f>
        <v>-7529.2813655784403</v>
      </c>
      <c r="AD244" s="456">
        <f>(_xll.xSPRDOPT($L244+$AB$5,$J244,$I244,$M244,$O244,$N244,$P244,$Q244-$C$3,$R244,9)/365)*$H244</f>
        <v>-1313.3194267133731</v>
      </c>
      <c r="AE244">
        <f t="shared" si="258"/>
        <v>0</v>
      </c>
      <c r="AF244" s="456">
        <f t="shared" si="259"/>
        <v>5331.6213411289245</v>
      </c>
      <c r="AG244" s="456">
        <f>((_xll.xSPRDOPT($L244,$J244,$I244,$M244,$O244,$N244,$P244,$Q244-$C$3,$R244,6)*$H244)/100)</f>
        <v>-1022.4140631057328</v>
      </c>
      <c r="AH244" s="456">
        <f>((_xll.xSPRDOPT($L244,$J244,$I244,$M244,$O244,$N244,$P244,$Q244-$C$3,$R244,5)*$H244)/100)</f>
        <v>5523.2635338534019</v>
      </c>
      <c r="AI244" s="456">
        <f>(((_xll.xSPRDOPT($L244,$J244,$I244,$M244,$O244,$N244,$P244,$Q244-$C$3,$R244,4)*$H244)/10000)/100)-AB244</f>
        <v>7.4761927743649287E-2</v>
      </c>
      <c r="AJ244" s="456"/>
      <c r="AK244" s="456"/>
      <c r="AL244" s="456"/>
      <c r="AM244" s="472"/>
      <c r="CC244" s="141">
        <f t="shared" si="282"/>
        <v>36892</v>
      </c>
      <c r="CD244" s="234">
        <f>_xll.xSPRDOPT((VLOOKUP(G244,NGPrices,2,FALSE)+HLOOKUP(D244,Prices,VLOOKUP(G244,move_down,2,FALSE),FALSE)),VLOOKUP(G244,NGPrices,2,FALSE),I244,VLOOKUP(G244,NGPREVPRICES,4,FALSE),HLOOKUP(D244,PREVVOLS,VLOOKUP(G244,MOVE_DOWN2,2,FALSE),FALSE),VLOOKUP(G244,NGPREVPRICES,3,FALSE),HLOOKUP(D244,Correllate,VLOOKUP(G244,CorMove,2,FALSE),FALSE),Q244-$CD$3,R244,$CD$5)*H244-CJ244</f>
        <v>0</v>
      </c>
      <c r="CE244" s="234">
        <f>_xll.xSPRDOPT((VLOOKUP(G244,NGPREVPRICES,2,FALSE)+HLOOKUP(D244,PREVCURVES,VLOOKUP(G244,MOVE_DOWN2,2,FALSE),FALSE)),VLOOKUP(G244,NGPREVPRICES,2,FALSE),CK244,VLOOKUP(G244,NGPrices,4,FALSE),HLOOKUP(D244,PREVVOLS,VLOOKUP(G244,MOVE_DOWN2,2,FALSE),FALSE),VLOOKUP(G244,NGPREVPRICES,3,FALSE),HLOOKUP(D244,Correllate,VLOOKUP(G244,CorMove,2,FALSE),FALSE),Q244-$CD$3,R244,$CJ$5)*H244-CJ244</f>
        <v>0</v>
      </c>
      <c r="CF244" s="10">
        <f t="shared" si="283"/>
        <v>-20.867916000075638</v>
      </c>
      <c r="CG244" s="234">
        <f>_xll.xSPRDOPT((VLOOKUP(G244,NGPREVPRICES,2,FALSE)+HLOOKUP(D244,PREVCURVES,VLOOKUP(G244,MOVE_DOWN2,2,FALSE),FALSE)),VLOOKUP(G244,NGPREVPRICES,2,FALSE),CK244,VLOOKUP(G244,NGPREVPRICES,4,FALSE),HLOOKUP(D244,VOLS,VLOOKUP(G244,move_down,2,FALSE),FALSE),VLOOKUP(G244,NGPrices,3,FALSE),HLOOKUP(D244,Correllate,VLOOKUP(G244,CorMove,2,FALSE),FALSE),Q244-$CD$3,R244,$CJ$5)*H244-CJ244</f>
        <v>0</v>
      </c>
      <c r="CH244" s="234">
        <f>_xll.xSPRDOPT((VLOOKUP(G244,NGPREVPRICES,2,FALSE)+HLOOKUP(D244,PREVCURVES,VLOOKUP(G244,MOVE_DOWN2,2,FALSE),FALSE)),VLOOKUP(G244,NGPREVPRICES,2,FALSE),CK244,VLOOKUP(G244,NGPREVPRICES,4,FALSE),HLOOKUP(D244,PREVVOLS,VLOOKUP(G244,MOVE_DOWN2,2,FALSE),FALSE),VLOOKUP(G244,NGPREVPRICES,3,FALSE),HLOOKUP(D244,Correllate,VLOOKUP(G244,CorMove,2,FALSE),FALSE),Q244-$C$3,R244,$CJ$5)*H244-CJ244</f>
        <v>-1312.2444681681372</v>
      </c>
      <c r="CI244" s="234">
        <f t="shared" si="284"/>
        <v>-1333.1123841682129</v>
      </c>
      <c r="CJ244" s="234">
        <f>_xll.xSPRDOPT((VLOOKUP(G244,NGPREVPRICES,2,FALSE)+HLOOKUP(D244,PREVCURVES,VLOOKUP(G244,MOVE_DOWN2,2,FALSE),FALSE)),VLOOKUP(G244,NGPREVPRICES,2,FALSE),CK244,VLOOKUP(G244,NGPREVPRICES,4,FALSE),HLOOKUP(D244,PREVVOLS,VLOOKUP(G244,MOVE_DOWN2,2,FALSE),FALSE),VLOOKUP(G244,NGPREVPRICES,3,FALSE),HLOOKUP(D244,Correllate,VLOOKUP(G244,CorMove,2,FALSE),FALSE),Q244-$CD$3,R244,$CJ$5)*H244</f>
        <v>110739.68944962387</v>
      </c>
      <c r="CK244" s="235">
        <f t="shared" si="285"/>
        <v>0.75</v>
      </c>
      <c r="CL244" s="234"/>
      <c r="CM244" t="str">
        <f t="shared" si="286"/>
        <v>36892Curve Shift/Gamma</v>
      </c>
      <c r="CN244" t="str">
        <f t="shared" si="287"/>
        <v>36892Rho</v>
      </c>
      <c r="CO244" t="str">
        <f t="shared" si="288"/>
        <v>36892Drift</v>
      </c>
      <c r="CP244" t="str">
        <f t="shared" si="289"/>
        <v>36892Vega</v>
      </c>
      <c r="CQ244" t="str">
        <f t="shared" si="290"/>
        <v>36892Theta</v>
      </c>
    </row>
    <row r="245" spans="1:95" ht="12" customHeight="1" x14ac:dyDescent="0.25">
      <c r="A245" t="s">
        <v>320</v>
      </c>
      <c r="B245" t="s">
        <v>250</v>
      </c>
      <c r="C245" t="s">
        <v>405</v>
      </c>
      <c r="D245" s="4" t="s">
        <v>7</v>
      </c>
      <c r="E245" t="s">
        <v>20</v>
      </c>
      <c r="F245" t="s">
        <v>1</v>
      </c>
      <c r="G245" s="5">
        <v>36861</v>
      </c>
      <c r="H245" s="130">
        <v>1000000</v>
      </c>
      <c r="I245">
        <v>0.75</v>
      </c>
      <c r="J245" s="53">
        <f t="shared" si="260"/>
        <v>4.8</v>
      </c>
      <c r="K245" s="7">
        <f t="shared" si="261"/>
        <v>1.645</v>
      </c>
      <c r="L245" s="53">
        <f t="shared" si="262"/>
        <v>6.4450000000000003</v>
      </c>
      <c r="M245" s="157">
        <f t="shared" si="275"/>
        <v>6.8314027999354002E-2</v>
      </c>
      <c r="N245" s="4">
        <f t="shared" si="276"/>
        <v>0.6</v>
      </c>
      <c r="O245" s="4">
        <f t="shared" si="277"/>
        <v>0.69</v>
      </c>
      <c r="P245" s="9">
        <f t="shared" si="278"/>
        <v>0.83</v>
      </c>
      <c r="Q245" s="5">
        <f t="shared" si="254"/>
        <v>36859</v>
      </c>
      <c r="R245" s="4">
        <f t="shared" si="279"/>
        <v>0</v>
      </c>
      <c r="S245" s="158">
        <f>_xll.xSPRDOPT($L245,$J245,$I245,$M245,$O245,$N245,$P245,$Q245-$C$3,$R245,0)</f>
        <v>0.14609680639816691</v>
      </c>
      <c r="T245" s="159">
        <f>_xll.xSPRDOPT($L245,$J245,$I245,$M245,$O245,$N245,$P245,$Q245-$C$3,$R245,1)*H245</f>
        <v>-190487.82904294558</v>
      </c>
      <c r="U245" s="160">
        <f t="shared" si="280"/>
        <v>146096.80639816693</v>
      </c>
      <c r="V245" s="159">
        <f>_xll.xSPRDOPT($L245,$J245,$I245,$M245,$O245,$N245,$P245,$Q245-$C$3,$R245,2)*H245</f>
        <v>245608.40960750708</v>
      </c>
      <c r="W245" s="159">
        <f t="shared" si="281"/>
        <v>55120.580564561504</v>
      </c>
      <c r="X245" s="51" t="str">
        <f t="shared" si="255"/>
        <v>36861IF-TRANSCO/Z6</v>
      </c>
      <c r="Y245" s="418">
        <f t="shared" si="256"/>
        <v>100</v>
      </c>
      <c r="Z245" s="456">
        <f t="shared" si="257"/>
        <v>-0.19048782904294559</v>
      </c>
      <c r="AA245" s="456">
        <f>_xll.xSPRDOPT($L245,$J245,$I245,$M245,$O245,$N245,$P245,$Q245-$C$3,$R245,3)</f>
        <v>0.21448030125474993</v>
      </c>
      <c r="AB245" s="456">
        <f>((_xll.xSPRDOPT($L245+AB$5,$J245,$I245,$M245,$O245,$N245,$P245,$Q245-$C$3,$R245,3)*$H245)/10000)/100</f>
        <v>0.21448030125474993</v>
      </c>
      <c r="AC245" s="456">
        <f>((_xll.xSPRDOPT($L245+$AB$5,$J245,$I245,$M245,$O245,$N245,$P245,$Q245-$C$3,$R245,7)*$H245)/100)</f>
        <v>-8005.6976413173661</v>
      </c>
      <c r="AD245" s="456">
        <f>(_xll.xSPRDOPT($L245+$AB$5,$J245,$I245,$M245,$O245,$N245,$P245,$Q245-$C$3,$R245,9)/365)*$H245</f>
        <v>-1823.8746650681944</v>
      </c>
      <c r="AE245">
        <f t="shared" si="258"/>
        <v>0</v>
      </c>
      <c r="AF245" s="456">
        <f t="shared" si="259"/>
        <v>5673.1839936589658</v>
      </c>
      <c r="AG245" s="456">
        <f>((_xll.xSPRDOPT($L245,$J245,$I245,$M245,$O245,$N245,$P245,$Q245-$C$3,$R245,6)*$H245)/100)</f>
        <v>-1058.8091778230669</v>
      </c>
      <c r="AH245" s="456">
        <f>((_xll.xSPRDOPT($L245,$J245,$I245,$M245,$O245,$N245,$P245,$Q245-$C$3,$R245,5)*$H245)/100)</f>
        <v>5853.907105636551</v>
      </c>
      <c r="AI245" s="456">
        <f>(((_xll.xSPRDOPT($L245,$J245,$I245,$M245,$O245,$N245,$P245,$Q245-$C$3,$R245,4)*$H245)/10000)/100)-AB245</f>
        <v>7.3159970942077324E-2</v>
      </c>
      <c r="AJ245" s="456"/>
      <c r="AK245" s="456"/>
      <c r="AL245" s="456"/>
      <c r="AM245" s="472"/>
      <c r="CC245" s="141">
        <f t="shared" si="282"/>
        <v>36861</v>
      </c>
      <c r="CD245" s="234">
        <f>_xll.xSPRDOPT((VLOOKUP(G245,NGPrices,2,FALSE)+HLOOKUP(D245,Prices,VLOOKUP(G245,move_down,2,FALSE),FALSE)),VLOOKUP(G245,NGPrices,2,FALSE),I245,VLOOKUP(G245,NGPREVPRICES,4,FALSE),HLOOKUP(D245,PREVVOLS,VLOOKUP(G245,MOVE_DOWN2,2,FALSE),FALSE),VLOOKUP(G245,NGPREVPRICES,3,FALSE),HLOOKUP(D245,Correllate,VLOOKUP(G245,CorMove,2,FALSE),FALSE),Q245-$CD$3,R245,$CD$5)*H245-CJ245</f>
        <v>0</v>
      </c>
      <c r="CE245" s="234">
        <f>_xll.xSPRDOPT((VLOOKUP(G245,NGPREVPRICES,2,FALSE)+HLOOKUP(D245,PREVCURVES,VLOOKUP(G245,MOVE_DOWN2,2,FALSE),FALSE)),VLOOKUP(G245,NGPREVPRICES,2,FALSE),CK245,VLOOKUP(G245,NGPrices,4,FALSE),HLOOKUP(D245,PREVVOLS,VLOOKUP(G245,MOVE_DOWN2,2,FALSE),FALSE),VLOOKUP(G245,NGPREVPRICES,3,FALSE),HLOOKUP(D245,Correllate,VLOOKUP(G245,CorMove,2,FALSE),FALSE),Q245-$CD$3,R245,$CJ$5)*H245-CJ245</f>
        <v>0</v>
      </c>
      <c r="CF245" s="10">
        <f t="shared" si="283"/>
        <v>-27.710462576476857</v>
      </c>
      <c r="CG245" s="234">
        <f>_xll.xSPRDOPT((VLOOKUP(G245,NGPREVPRICES,2,FALSE)+HLOOKUP(D245,PREVCURVES,VLOOKUP(G245,MOVE_DOWN2,2,FALSE),FALSE)),VLOOKUP(G245,NGPREVPRICES,2,FALSE),CK245,VLOOKUP(G245,NGPREVPRICES,4,FALSE),HLOOKUP(D245,VOLS,VLOOKUP(G245,move_down,2,FALSE),FALSE),VLOOKUP(G245,NGPrices,3,FALSE),HLOOKUP(D245,Correllate,VLOOKUP(G245,CorMove,2,FALSE),FALSE),Q245-$CD$3,R245,$CJ$5)*H245-CJ245</f>
        <v>0</v>
      </c>
      <c r="CH245" s="234">
        <f>_xll.xSPRDOPT((VLOOKUP(G245,NGPREVPRICES,2,FALSE)+HLOOKUP(D245,PREVCURVES,VLOOKUP(G245,MOVE_DOWN2,2,FALSE),FALSE)),VLOOKUP(G245,NGPREVPRICES,2,FALSE),CK245,VLOOKUP(G245,NGPREVPRICES,4,FALSE),HLOOKUP(D245,PREVVOLS,VLOOKUP(G245,MOVE_DOWN2,2,FALSE),FALSE),VLOOKUP(G245,NGPREVPRICES,3,FALSE),HLOOKUP(D245,Correllate,VLOOKUP(G245,CorMove,2,FALSE),FALSE),Q245-$C$3,R245,$CJ$5)*H245-CJ245</f>
        <v>-1820.1787731060176</v>
      </c>
      <c r="CI245" s="234">
        <f t="shared" si="284"/>
        <v>-1847.8892356824945</v>
      </c>
      <c r="CJ245" s="234">
        <f>_xll.xSPRDOPT((VLOOKUP(G245,NGPREVPRICES,2,FALSE)+HLOOKUP(D245,PREVCURVES,VLOOKUP(G245,MOVE_DOWN2,2,FALSE),FALSE)),VLOOKUP(G245,NGPREVPRICES,2,FALSE),CK245,VLOOKUP(G245,NGPREVPRICES,4,FALSE),HLOOKUP(D245,PREVVOLS,VLOOKUP(G245,MOVE_DOWN2,2,FALSE),FALSE),VLOOKUP(G245,NGPREVPRICES,3,FALSE),HLOOKUP(D245,Correllate,VLOOKUP(G245,CorMove,2,FALSE),FALSE),Q245-$CD$3,R245,$CJ$5)*H245</f>
        <v>147916.98517127294</v>
      </c>
      <c r="CK245" s="235">
        <f t="shared" si="285"/>
        <v>0.75</v>
      </c>
      <c r="CL245" s="234"/>
      <c r="CM245" t="str">
        <f t="shared" si="286"/>
        <v>36861Curve Shift/Gamma</v>
      </c>
      <c r="CN245" t="str">
        <f t="shared" si="287"/>
        <v>36861Rho</v>
      </c>
      <c r="CO245" t="str">
        <f t="shared" si="288"/>
        <v>36861Drift</v>
      </c>
      <c r="CP245" t="str">
        <f t="shared" si="289"/>
        <v>36861Vega</v>
      </c>
      <c r="CQ245" t="str">
        <f t="shared" si="290"/>
        <v>36861Theta</v>
      </c>
    </row>
    <row r="246" spans="1:95" ht="12" customHeight="1" x14ac:dyDescent="0.25">
      <c r="A246" s="140" t="s">
        <v>320</v>
      </c>
      <c r="B246" t="s">
        <v>250</v>
      </c>
      <c r="C246" t="s">
        <v>405</v>
      </c>
      <c r="D246" s="4" t="s">
        <v>7</v>
      </c>
      <c r="E246" t="s">
        <v>20</v>
      </c>
      <c r="F246" t="s">
        <v>1</v>
      </c>
      <c r="G246" s="5">
        <v>36831</v>
      </c>
      <c r="H246" s="130">
        <v>1000000</v>
      </c>
      <c r="I246">
        <v>0.75</v>
      </c>
      <c r="J246" s="53">
        <f t="shared" si="260"/>
        <v>4.7359999999999998</v>
      </c>
      <c r="K246" s="7">
        <f t="shared" si="261"/>
        <v>0.77</v>
      </c>
      <c r="L246" s="53">
        <f t="shared" si="262"/>
        <v>5.5060000000000002</v>
      </c>
      <c r="M246" s="157">
        <f t="shared" si="275"/>
        <v>6.810675983792E-2</v>
      </c>
      <c r="N246" s="4">
        <f t="shared" si="276"/>
        <v>0.59499999999999997</v>
      </c>
      <c r="O246" s="4">
        <f t="shared" si="277"/>
        <v>0.625</v>
      </c>
      <c r="P246" s="9">
        <f t="shared" si="278"/>
        <v>0.89</v>
      </c>
      <c r="Q246" s="5">
        <f t="shared" si="254"/>
        <v>36829</v>
      </c>
      <c r="R246" s="4">
        <f t="shared" si="279"/>
        <v>0</v>
      </c>
      <c r="S246" s="158">
        <f>_xll.xSPRDOPT($L246,$J246,$I246,$M246,$O246,$N246,$P246,$Q246-$C$3,$R246,0)</f>
        <v>0.24759733949464924</v>
      </c>
      <c r="T246" s="159">
        <f>_xll.xSPRDOPT($L246,$J246,$I246,$M246,$O246,$N246,$P246,$Q246-$C$3,$R246,1)*H246</f>
        <v>-458511.96912970324</v>
      </c>
      <c r="U246" s="160">
        <f t="shared" si="280"/>
        <v>247597.33949464923</v>
      </c>
      <c r="V246" s="159">
        <f>_xll.xSPRDOPT($L246,$J246,$I246,$M246,$O246,$N246,$P246,$Q246-$C$3,$R246,2)*H246</f>
        <v>503311.33679967822</v>
      </c>
      <c r="W246" s="159">
        <f t="shared" si="281"/>
        <v>44799.367669974978</v>
      </c>
      <c r="X246" s="51" t="str">
        <f t="shared" si="255"/>
        <v>36831IF-TRANSCO/Z6</v>
      </c>
      <c r="Y246" s="418">
        <f t="shared" si="256"/>
        <v>100</v>
      </c>
      <c r="Z246" s="456">
        <f t="shared" si="257"/>
        <v>-0.45851196912970327</v>
      </c>
      <c r="AA246" s="456">
        <f>_xll.xSPRDOPT($L246,$J246,$I246,$M246,$O246,$N246,$P246,$Q246-$C$3,$R246,3)</f>
        <v>0.60041672407622559</v>
      </c>
      <c r="AB246" s="456">
        <f>((_xll.xSPRDOPT($L246+AB$5,$J246,$I246,$M246,$O246,$N246,$P246,$Q246-$C$3,$R246,3)*$H246)/10000)/100</f>
        <v>0.60041672407622559</v>
      </c>
      <c r="AC246" s="456">
        <f>((_xll.xSPRDOPT($L246+$AB$5,$J246,$I246,$M246,$O246,$N246,$P246,$Q246-$C$3,$R246,7)*$H246)/100)</f>
        <v>-9924.3873148176463</v>
      </c>
      <c r="AD246" s="456">
        <f>(_xll.xSPRDOPT($L246+$AB$5,$J246,$I246,$M246,$O246,$N246,$P246,$Q246-$C$3,$R246,9)/365)*$H246</f>
        <v>-2030.6081555507101</v>
      </c>
      <c r="AE246">
        <f t="shared" si="258"/>
        <v>0</v>
      </c>
      <c r="AF246" s="456">
        <f t="shared" si="259"/>
        <v>4325.1758225766325</v>
      </c>
      <c r="AG246" s="456">
        <f>((_xll.xSPRDOPT($L246,$J246,$I246,$M246,$O246,$N246,$P246,$Q246-$C$3,$R246,6)*$H246)/100)</f>
        <v>-1114.7069746339384</v>
      </c>
      <c r="AH246" s="456">
        <f>((_xll.xSPRDOPT($L246,$J246,$I246,$M246,$O246,$N246,$P246,$Q246-$C$3,$R246,5)*$H246)/100)</f>
        <v>5178.7684229444631</v>
      </c>
      <c r="AI246" s="456">
        <f>(((_xll.xSPRDOPT($L246,$J246,$I246,$M246,$O246,$N246,$P246,$Q246-$C$3,$R246,4)*$H246)/10000)/100)-AB246</f>
        <v>5.6672515353827224E-3</v>
      </c>
      <c r="AJ246" s="456"/>
      <c r="AK246" s="456"/>
      <c r="AL246" s="456"/>
      <c r="AM246" s="472"/>
      <c r="CC246" s="141">
        <f t="shared" si="282"/>
        <v>36831</v>
      </c>
      <c r="CD246" s="234">
        <f>_xll.xSPRDOPT((VLOOKUP(G246,NGPrices,2,FALSE)+HLOOKUP(D246,Prices,VLOOKUP(G246,move_down,2,FALSE),FALSE)),VLOOKUP(G246,NGPrices,2,FALSE),I246,VLOOKUP(G246,NGPREVPRICES,4,FALSE),HLOOKUP(D246,PREVVOLS,VLOOKUP(G246,MOVE_DOWN2,2,FALSE),FALSE),VLOOKUP(G246,NGPREVPRICES,3,FALSE),HLOOKUP(D246,Correllate,VLOOKUP(G246,CorMove,2,FALSE),FALSE),Q246-$CD$3,R246,$CD$5)*H246-CJ246</f>
        <v>0</v>
      </c>
      <c r="CE246" s="234">
        <f>_xll.xSPRDOPT((VLOOKUP(G246,NGPREVPRICES,2,FALSE)+HLOOKUP(D246,PREVCURVES,VLOOKUP(G246,MOVE_DOWN2,2,FALSE),FALSE)),VLOOKUP(G246,NGPREVPRICES,2,FALSE),CK246,VLOOKUP(G246,NGPrices,4,FALSE),HLOOKUP(D246,PREVVOLS,VLOOKUP(G246,MOVE_DOWN2,2,FALSE),FALSE),VLOOKUP(G246,NGPREVPRICES,3,FALSE),HLOOKUP(D246,Correllate,VLOOKUP(G246,CorMove,2,FALSE),FALSE),Q246-$CD$3,R246,$CJ$5)*H246-CJ246</f>
        <v>0</v>
      </c>
      <c r="CF246" s="10">
        <f t="shared" si="283"/>
        <v>-46.356699975847732</v>
      </c>
      <c r="CG246" s="234">
        <f>_xll.xSPRDOPT((VLOOKUP(G246,NGPREVPRICES,2,FALSE)+HLOOKUP(D246,PREVCURVES,VLOOKUP(G246,MOVE_DOWN2,2,FALSE),FALSE)),VLOOKUP(G246,NGPREVPRICES,2,FALSE),CK246,VLOOKUP(G246,NGPREVPRICES,4,FALSE),HLOOKUP(D246,VOLS,VLOOKUP(G246,move_down,2,FALSE),FALSE),VLOOKUP(G246,NGPrices,3,FALSE),HLOOKUP(D246,Correllate,VLOOKUP(G246,CorMove,2,FALSE),FALSE),Q246-$CD$3,R246,$CJ$5)*H246-CJ246</f>
        <v>0</v>
      </c>
      <c r="CH246" s="234">
        <f>_xll.xSPRDOPT((VLOOKUP(G246,NGPREVPRICES,2,FALSE)+HLOOKUP(D246,PREVCURVES,VLOOKUP(G246,MOVE_DOWN2,2,FALSE),FALSE)),VLOOKUP(G246,NGPREVPRICES,2,FALSE),CK246,VLOOKUP(G246,NGPREVPRICES,4,FALSE),HLOOKUP(D246,PREVVOLS,VLOOKUP(G246,MOVE_DOWN2,2,FALSE),FALSE),VLOOKUP(G246,NGPREVPRICES,3,FALSE),HLOOKUP(D246,Correllate,VLOOKUP(G246,CorMove,2,FALSE),FALSE),Q246-$C$3,R246,$CJ$5)*H246-CJ246</f>
        <v>-2020.5530897623394</v>
      </c>
      <c r="CI246" s="234">
        <f t="shared" si="284"/>
        <v>-2066.9097897381871</v>
      </c>
      <c r="CJ246" s="234">
        <f>_xll.xSPRDOPT((VLOOKUP(G246,NGPREVPRICES,2,FALSE)+HLOOKUP(D246,PREVCURVES,VLOOKUP(G246,MOVE_DOWN2,2,FALSE),FALSE)),VLOOKUP(G246,NGPREVPRICES,2,FALSE),CK246,VLOOKUP(G246,NGPREVPRICES,4,FALSE),HLOOKUP(D246,PREVVOLS,VLOOKUP(G246,MOVE_DOWN2,2,FALSE),FALSE),VLOOKUP(G246,NGPREVPRICES,3,FALSE),HLOOKUP(D246,Correllate,VLOOKUP(G246,CorMove,2,FALSE),FALSE),Q246-$CD$3,R246,$CJ$5)*H246</f>
        <v>249617.89258441157</v>
      </c>
      <c r="CK246" s="235">
        <f t="shared" si="285"/>
        <v>0.75</v>
      </c>
      <c r="CL246" s="234"/>
      <c r="CM246" t="str">
        <f t="shared" si="286"/>
        <v>36831Curve Shift/Gamma</v>
      </c>
      <c r="CN246" t="str">
        <f t="shared" si="287"/>
        <v>36831Rho</v>
      </c>
      <c r="CO246" t="str">
        <f t="shared" si="288"/>
        <v>36831Drift</v>
      </c>
      <c r="CP246" t="str">
        <f t="shared" si="289"/>
        <v>36831Vega</v>
      </c>
      <c r="CQ246" t="str">
        <f t="shared" si="290"/>
        <v>36831Theta</v>
      </c>
    </row>
    <row r="247" spans="1:95" x14ac:dyDescent="0.25">
      <c r="A247" s="382" t="s">
        <v>279</v>
      </c>
      <c r="B247" t="s">
        <v>250</v>
      </c>
      <c r="C247" t="s">
        <v>406</v>
      </c>
      <c r="D247" s="4" t="s">
        <v>7</v>
      </c>
      <c r="E247" t="s">
        <v>20</v>
      </c>
      <c r="F247" t="s">
        <v>1</v>
      </c>
      <c r="G247" s="5">
        <v>36951</v>
      </c>
      <c r="H247" s="130">
        <v>-620000</v>
      </c>
      <c r="I247">
        <v>1.1499999999999999</v>
      </c>
      <c r="J247" s="53">
        <f t="shared" si="260"/>
        <v>4.2130000000000001</v>
      </c>
      <c r="K247" s="7">
        <f t="shared" si="261"/>
        <v>1.075</v>
      </c>
      <c r="L247" s="53">
        <f t="shared" si="262"/>
        <v>5.2880000000000003</v>
      </c>
      <c r="M247" s="157">
        <f t="shared" ref="M247:M256" si="291">VLOOKUP(G247,NGPrices,4,FALSE)</f>
        <v>6.8879814952706994E-2</v>
      </c>
      <c r="N247" s="4">
        <f t="shared" ref="N247:N256" si="292">VLOOKUP(G247,NGPrices,3,FALSE)</f>
        <v>0.53249999999999997</v>
      </c>
      <c r="O247" s="4">
        <f t="shared" ref="O247:O256" si="293">HLOOKUP(D247,VOLS,VLOOKUP(G247,move_down,2,FALSE),FALSE)</f>
        <v>0.61199999999999999</v>
      </c>
      <c r="P247" s="9">
        <f t="shared" ref="P247:P256" si="294">HLOOKUP(D247,Correllate,VLOOKUP(G247,CorMove,2,FALSE),FALSE)</f>
        <v>0.83</v>
      </c>
      <c r="Q247" s="5">
        <f t="shared" si="254"/>
        <v>36949</v>
      </c>
      <c r="R247" s="4">
        <f t="shared" ref="R247:R256" si="295">IF(F247="P",0,1)</f>
        <v>0</v>
      </c>
      <c r="S247" s="158">
        <f>_xll.xSPRDOPT($L247,$J247,$I247,$M247,$O247,$N247,$P247,$Q247-$C$3,$R247,0)</f>
        <v>0.54782224755499853</v>
      </c>
      <c r="T247" s="159">
        <f>_xll.xSPRDOPT($L247,$J247,$I247,$M247,$O247,$N247,$P247,$Q247-$C$3,$R247,1)*H247</f>
        <v>282474.26408975211</v>
      </c>
      <c r="U247" s="160">
        <f t="shared" ref="U247:U256" si="296">S247*H247</f>
        <v>-339649.79348409909</v>
      </c>
      <c r="V247" s="159">
        <f>_xll.xSPRDOPT($L247,$J247,$I247,$M247,$O247,$N247,$P247,$Q247-$C$3,$R247,2)*H247</f>
        <v>-337039.73909553228</v>
      </c>
      <c r="W247" s="159">
        <f t="shared" ref="W247:W256" si="297">+V247+T247</f>
        <v>-54565.475005780172</v>
      </c>
      <c r="X247" s="51" t="str">
        <f t="shared" si="255"/>
        <v>36951IF-TRANSCO/Z6</v>
      </c>
      <c r="Y247" s="418">
        <f t="shared" si="256"/>
        <v>-62</v>
      </c>
      <c r="Z247" s="456">
        <f t="shared" si="257"/>
        <v>-0.45560365175766471</v>
      </c>
      <c r="AA247" s="456">
        <f>_xll.xSPRDOPT($L247,$J247,$I247,$M247,$O247,$N247,$P247,$Q247-$C$3,$R247,3)</f>
        <v>0.29184141966594901</v>
      </c>
      <c r="AB247" s="456">
        <f>((_xll.xSPRDOPT($L247+AB$5,$J247,$I247,$M247,$O247,$N247,$P247,$Q247-$C$3,$R247,3)*$H247)/10000)/100</f>
        <v>-0.18094168019288839</v>
      </c>
      <c r="AC247" s="456">
        <f>((_xll.xSPRDOPT($L247+$AB$5,$J247,$I247,$M247,$O247,$N247,$P247,$Q247-$C$3,$R247,7)*$H247)/100)</f>
        <v>6492.915210762264</v>
      </c>
      <c r="AD247" s="456">
        <f>(_xll.xSPRDOPT($L247+$AB$5,$J247,$I247,$M247,$O247,$N247,$P247,$Q247-$C$3,$R247,9)/365)*$H247</f>
        <v>803.04427041834163</v>
      </c>
      <c r="AE247">
        <f t="shared" si="258"/>
        <v>0</v>
      </c>
      <c r="AF247" s="456">
        <f t="shared" si="259"/>
        <v>-5923.4364255601722</v>
      </c>
      <c r="AG247" s="456">
        <f>((_xll.xSPRDOPT($L247,$J247,$I247,$M247,$O247,$N247,$P247,$Q247-$C$3,$R247,6)*$H247)/100)</f>
        <v>1689.2982822490123</v>
      </c>
      <c r="AH247" s="456">
        <f>((_xll.xSPRDOPT($L247,$J247,$I247,$M247,$O247,$N247,$P247,$Q247-$C$3,$R247,5)*$H247)/100)</f>
        <v>-6623.8255423339715</v>
      </c>
      <c r="AI247" s="456">
        <f>(((_xll.xSPRDOPT($L247,$J247,$I247,$M247,$O247,$N247,$P247,$Q247-$C$3,$R247,4)*$H247)/10000)/100)-AB247</f>
        <v>1.9214706645334367E-3</v>
      </c>
      <c r="AJ247" s="456"/>
      <c r="AK247" s="456"/>
      <c r="AL247" s="456"/>
      <c r="AM247" s="472"/>
      <c r="CC247" s="141">
        <f t="shared" si="282"/>
        <v>36951</v>
      </c>
      <c r="CD247" s="234">
        <f>_xll.xSPRDOPT((VLOOKUP(G247,NGPrices,2,FALSE)+HLOOKUP(D247,Prices,VLOOKUP(G247,move_down,2,FALSE),FALSE)),VLOOKUP(G247,NGPrices,2,FALSE),I247,VLOOKUP(G247,NGPREVPRICES,4,FALSE),HLOOKUP(D247,PREVVOLS,VLOOKUP(G247,MOVE_DOWN2,2,FALSE),FALSE),VLOOKUP(G247,NGPREVPRICES,3,FALSE),HLOOKUP(D247,Correllate,VLOOKUP(G247,CorMove,2,FALSE),FALSE),Q247-$CD$3,R247,$CD$5)*H247-CJ247</f>
        <v>0</v>
      </c>
      <c r="CE247" s="234">
        <f>_xll.xSPRDOPT((VLOOKUP(G247,NGPREVPRICES,2,FALSE)+HLOOKUP(D247,PREVCURVES,VLOOKUP(G247,MOVE_DOWN2,2,FALSE),FALSE)),VLOOKUP(G247,NGPREVPRICES,2,FALSE),CK247,VLOOKUP(G247,NGPrices,4,FALSE),HLOOKUP(D247,PREVVOLS,VLOOKUP(G247,MOVE_DOWN2,2,FALSE),FALSE),VLOOKUP(G247,NGPREVPRICES,3,FALSE),HLOOKUP(D247,Correllate,VLOOKUP(G247,CorMove,2,FALSE),FALSE),Q247-$CD$3,R247,$CJ$5)*H247-CJ247</f>
        <v>0</v>
      </c>
      <c r="CF247" s="10">
        <f>(CJ247/VLOOKUP(CC247,discount,3,FALSE))-(CJ247/VLOOKUP(CC247,discount,2,FALSE))</f>
        <v>65.293402278970461</v>
      </c>
      <c r="CG247" s="234">
        <f>_xll.xSPRDOPT((VLOOKUP(G247,NGPREVPRICES,2,FALSE)+HLOOKUP(D247,PREVCURVES,VLOOKUP(G247,MOVE_DOWN2,2,FALSE),FALSE)),VLOOKUP(G247,NGPREVPRICES,2,FALSE),CK247,VLOOKUP(G247,NGPREVPRICES,4,FALSE),HLOOKUP(D247,VOLS,VLOOKUP(G247,move_down,2,FALSE),FALSE),VLOOKUP(G247,NGPrices,3,FALSE),HLOOKUP(D247,Correllate,VLOOKUP(G247,CorMove,2,FALSE),FALSE),Q247-$CD$3,R247,$CJ$5)*H247-CJ247</f>
        <v>0</v>
      </c>
      <c r="CH247" s="234">
        <f>_xll.xSPRDOPT((VLOOKUP(G247,NGPREVPRICES,2,FALSE)+HLOOKUP(D247,PREVCURVES,VLOOKUP(G247,MOVE_DOWN2,2,FALSE),FALSE)),VLOOKUP(G247,NGPREVPRICES,2,FALSE),CK247,VLOOKUP(G247,NGPREVPRICES,4,FALSE),HLOOKUP(D247,PREVVOLS,VLOOKUP(G247,MOVE_DOWN2,2,FALSE),FALSE),VLOOKUP(G247,NGPREVPRICES,3,FALSE),HLOOKUP(D247,Correllate,VLOOKUP(G247,CorMove,2,FALSE),FALSE),Q247-$C$3,R247,$CJ$5)*H247-CJ247</f>
        <v>801.14511629292974</v>
      </c>
      <c r="CI247" s="234">
        <f>SUM(CD247:CH247)</f>
        <v>866.4385185719002</v>
      </c>
      <c r="CJ247" s="234">
        <f>_xll.xSPRDOPT((VLOOKUP(G247,NGPREVPRICES,2,FALSE)+HLOOKUP(D247,PREVCURVES,VLOOKUP(G247,MOVE_DOWN2,2,FALSE),FALSE)),VLOOKUP(G247,NGPREVPRICES,2,FALSE),CK247,VLOOKUP(G247,NGPREVPRICES,4,FALSE),HLOOKUP(D247,PREVVOLS,VLOOKUP(G247,MOVE_DOWN2,2,FALSE),FALSE),VLOOKUP(G247,NGPREVPRICES,3,FALSE),HLOOKUP(D247,Correllate,VLOOKUP(G247,CorMove,2,FALSE),FALSE),Q247-$CD$3,R247,$CJ$5)*H247</f>
        <v>-340450.93860039202</v>
      </c>
      <c r="CK247" s="235">
        <f t="shared" si="285"/>
        <v>1.1499999999999999</v>
      </c>
      <c r="CL247" s="234"/>
      <c r="CM247" t="str">
        <f>CONCATENATE(CC247,$CD$6)</f>
        <v>36951Curve Shift/Gamma</v>
      </c>
      <c r="CN247" t="str">
        <f t="shared" si="287"/>
        <v>36951Rho</v>
      </c>
      <c r="CO247" t="str">
        <f t="shared" si="288"/>
        <v>36951Drift</v>
      </c>
      <c r="CP247" t="str">
        <f t="shared" si="289"/>
        <v>36951Vega</v>
      </c>
      <c r="CQ247" t="str">
        <f t="shared" si="290"/>
        <v>36951Theta</v>
      </c>
    </row>
    <row r="248" spans="1:95" x14ac:dyDescent="0.25">
      <c r="A248" s="382" t="s">
        <v>279</v>
      </c>
      <c r="B248" t="s">
        <v>250</v>
      </c>
      <c r="C248" t="s">
        <v>406</v>
      </c>
      <c r="D248" s="4" t="s">
        <v>7</v>
      </c>
      <c r="E248" t="s">
        <v>20</v>
      </c>
      <c r="F248" t="s">
        <v>1</v>
      </c>
      <c r="G248" s="5">
        <v>36923</v>
      </c>
      <c r="H248" s="130">
        <v>-560000</v>
      </c>
      <c r="I248">
        <v>1.1499999999999999</v>
      </c>
      <c r="J248" s="53">
        <f t="shared" si="260"/>
        <v>4.4800000000000004</v>
      </c>
      <c r="K248" s="7">
        <f t="shared" si="261"/>
        <v>2.09</v>
      </c>
      <c r="L248" s="53">
        <f t="shared" si="262"/>
        <v>6.57</v>
      </c>
      <c r="M248" s="157">
        <f t="shared" si="291"/>
        <v>6.8640161611372E-2</v>
      </c>
      <c r="N248" s="4">
        <f t="shared" si="292"/>
        <v>0.59250000000000003</v>
      </c>
      <c r="O248" s="4">
        <f t="shared" si="293"/>
        <v>0.68100000000000005</v>
      </c>
      <c r="P248" s="9">
        <f t="shared" si="294"/>
        <v>0.83</v>
      </c>
      <c r="Q248" s="5">
        <f t="shared" si="254"/>
        <v>36921</v>
      </c>
      <c r="R248" s="4">
        <f t="shared" si="295"/>
        <v>0</v>
      </c>
      <c r="S248" s="158">
        <f>_xll.xSPRDOPT($L248,$J248,$I248,$M248,$O248,$N248,$P248,$Q248-$C$3,$R248,0)</f>
        <v>0.25057469836387858</v>
      </c>
      <c r="T248" s="159">
        <f>_xll.xSPRDOPT($L248,$J248,$I248,$M248,$O248,$N248,$P248,$Q248-$C$3,$R248,1)*H248</f>
        <v>125518.05637153545</v>
      </c>
      <c r="U248" s="160">
        <f t="shared" si="296"/>
        <v>-140321.83108377201</v>
      </c>
      <c r="V248" s="159">
        <f>_xll.xSPRDOPT($L248,$J248,$I248,$M248,$O248,$N248,$P248,$Q248-$C$3,$R248,2)*H248</f>
        <v>-167446.38336841145</v>
      </c>
      <c r="W248" s="159">
        <f t="shared" si="297"/>
        <v>-41928.326996876</v>
      </c>
      <c r="X248" s="51" t="str">
        <f t="shared" si="255"/>
        <v>36923IF-TRANSCO/Z6</v>
      </c>
      <c r="Y248" s="418">
        <f t="shared" si="256"/>
        <v>-56</v>
      </c>
      <c r="Z248" s="456">
        <f t="shared" si="257"/>
        <v>-0.22413938637774189</v>
      </c>
      <c r="AA248" s="456">
        <f>_xll.xSPRDOPT($L248,$J248,$I248,$M248,$O248,$N248,$P248,$Q248-$C$3,$R248,3)</f>
        <v>0.17629992042757986</v>
      </c>
      <c r="AB248" s="456">
        <f>((_xll.xSPRDOPT($L248+AB$5,$J248,$I248,$M248,$O248,$N248,$P248,$Q248-$C$3,$R248,3)*$H248)/10000)/100</f>
        <v>-9.8727955439444723E-2</v>
      </c>
      <c r="AC248" s="456">
        <f>((_xll.xSPRDOPT($L248+$AB$5,$J248,$I248,$M248,$O248,$N248,$P248,$Q248-$C$3,$R248,7)*$H248)/100)</f>
        <v>5726.8979668604152</v>
      </c>
      <c r="AD248" s="456">
        <f>(_xll.xSPRDOPT($L248+$AB$5,$J248,$I248,$M248,$O248,$N248,$P248,$Q248-$C$3,$R248,9)/365)*$H248</f>
        <v>879.00373719588049</v>
      </c>
      <c r="AE248">
        <f t="shared" si="258"/>
        <v>0</v>
      </c>
      <c r="AF248" s="456">
        <f t="shared" si="259"/>
        <v>-4703.288834710439</v>
      </c>
      <c r="AG248" s="456">
        <f>((_xll.xSPRDOPT($L248,$J248,$I248,$M248,$O248,$N248,$P248,$Q248-$C$3,$R248,6)*$H248)/100)</f>
        <v>1338.2058001628768</v>
      </c>
      <c r="AH248" s="456">
        <f>((_xll.xSPRDOPT($L248,$J248,$I248,$M248,$O248,$N248,$P248,$Q248-$C$3,$R248,5)*$H248)/100)</f>
        <v>-5256.3664774778845</v>
      </c>
      <c r="AI248" s="456">
        <f>(((_xll.xSPRDOPT($L248,$J248,$I248,$M248,$O248,$N248,$P248,$Q248-$C$3,$R248,4)*$H248)/10000)/100)-AB248</f>
        <v>-3.458611866088003E-2</v>
      </c>
      <c r="AJ248" s="456"/>
      <c r="AK248" s="456"/>
      <c r="AL248" s="456"/>
      <c r="AM248" s="472"/>
      <c r="CC248" s="141">
        <f t="shared" si="282"/>
        <v>36923</v>
      </c>
      <c r="CD248" s="234">
        <f>_xll.xSPRDOPT((VLOOKUP(G248,NGPrices,2,FALSE)+HLOOKUP(D248,Prices,VLOOKUP(G248,move_down,2,FALSE),FALSE)),VLOOKUP(G248,NGPrices,2,FALSE),I248,VLOOKUP(G248,NGPREVPRICES,4,FALSE),HLOOKUP(D248,PREVVOLS,VLOOKUP(G248,MOVE_DOWN2,2,FALSE),FALSE),VLOOKUP(G248,NGPREVPRICES,3,FALSE),HLOOKUP(D248,Correllate,VLOOKUP(G248,CorMove,2,FALSE),FALSE),Q248-$CD$3,R248,$CD$5)*H248-CJ248</f>
        <v>0</v>
      </c>
      <c r="CE248" s="234">
        <f>_xll.xSPRDOPT((VLOOKUP(G248,NGPREVPRICES,2,FALSE)+HLOOKUP(D248,PREVCURVES,VLOOKUP(G248,MOVE_DOWN2,2,FALSE),FALSE)),VLOOKUP(G248,NGPREVPRICES,2,FALSE),CK248,VLOOKUP(G248,NGPrices,4,FALSE),HLOOKUP(D248,PREVVOLS,VLOOKUP(G248,MOVE_DOWN2,2,FALSE),FALSE),VLOOKUP(G248,NGPREVPRICES,3,FALSE),HLOOKUP(D248,Correllate,VLOOKUP(G248,CorMove,2,FALSE),FALSE),Q248-$CD$3,R248,$CJ$5)*H248-CJ248</f>
        <v>0</v>
      </c>
      <c r="CF248" s="10">
        <f>(CJ248/VLOOKUP(CC248,discount,3,FALSE))-(CJ248/VLOOKUP(CC248,discount,2,FALSE))</f>
        <v>26.854445515578846</v>
      </c>
      <c r="CG248" s="234">
        <f>_xll.xSPRDOPT((VLOOKUP(G248,NGPREVPRICES,2,FALSE)+HLOOKUP(D248,PREVCURVES,VLOOKUP(G248,MOVE_DOWN2,2,FALSE),FALSE)),VLOOKUP(G248,NGPREVPRICES,2,FALSE),CK248,VLOOKUP(G248,NGPREVPRICES,4,FALSE),HLOOKUP(D248,VOLS,VLOOKUP(G248,move_down,2,FALSE),FALSE),VLOOKUP(G248,NGPrices,3,FALSE),HLOOKUP(D248,Correllate,VLOOKUP(G248,CorMove,2,FALSE),FALSE),Q248-$CD$3,R248,$CJ$5)*H248-CJ248</f>
        <v>0</v>
      </c>
      <c r="CH248" s="234">
        <f>_xll.xSPRDOPT((VLOOKUP(G248,NGPREVPRICES,2,FALSE)+HLOOKUP(D248,PREVCURVES,VLOOKUP(G248,MOVE_DOWN2,2,FALSE),FALSE)),VLOOKUP(G248,NGPREVPRICES,2,FALSE),CK248,VLOOKUP(G248,NGPREVPRICES,4,FALSE),HLOOKUP(D248,PREVVOLS,VLOOKUP(G248,MOVE_DOWN2,2,FALSE),FALSE),VLOOKUP(G248,NGPREVPRICES,3,FALSE),HLOOKUP(D248,Correllate,VLOOKUP(G248,CorMove,2,FALSE),FALSE),Q248-$C$3,R248,$CJ$5)*H248-CJ248</f>
        <v>877.29675997540471</v>
      </c>
      <c r="CI248" s="234">
        <f>SUM(CD248:CH248)</f>
        <v>904.15120549098356</v>
      </c>
      <c r="CJ248" s="234">
        <f>_xll.xSPRDOPT((VLOOKUP(G248,NGPREVPRICES,2,FALSE)+HLOOKUP(D248,PREVCURVES,VLOOKUP(G248,MOVE_DOWN2,2,FALSE),FALSE)),VLOOKUP(G248,NGPREVPRICES,2,FALSE),CK248,VLOOKUP(G248,NGPREVPRICES,4,FALSE),HLOOKUP(D248,PREVVOLS,VLOOKUP(G248,MOVE_DOWN2,2,FALSE),FALSE),VLOOKUP(G248,NGPREVPRICES,3,FALSE),HLOOKUP(D248,Correllate,VLOOKUP(G248,CorMove,2,FALSE),FALSE),Q248-$CD$3,R248,$CJ$5)*H248</f>
        <v>-141199.12784374741</v>
      </c>
      <c r="CK248" s="235">
        <f t="shared" si="285"/>
        <v>1.1499999999999999</v>
      </c>
      <c r="CL248" s="234"/>
      <c r="CM248" t="str">
        <f>CONCATENATE(CC248,$CD$6)</f>
        <v>36923Curve Shift/Gamma</v>
      </c>
      <c r="CN248" t="str">
        <f t="shared" si="287"/>
        <v>36923Rho</v>
      </c>
      <c r="CO248" t="str">
        <f t="shared" si="288"/>
        <v>36923Drift</v>
      </c>
      <c r="CP248" t="str">
        <f t="shared" si="289"/>
        <v>36923Vega</v>
      </c>
      <c r="CQ248" t="str">
        <f t="shared" si="290"/>
        <v>36923Theta</v>
      </c>
    </row>
    <row r="249" spans="1:95" x14ac:dyDescent="0.25">
      <c r="A249" s="382" t="s">
        <v>279</v>
      </c>
      <c r="B249" t="s">
        <v>250</v>
      </c>
      <c r="C249" t="s">
        <v>406</v>
      </c>
      <c r="D249" s="4" t="s">
        <v>7</v>
      </c>
      <c r="E249" t="s">
        <v>20</v>
      </c>
      <c r="F249" t="s">
        <v>1</v>
      </c>
      <c r="G249" s="5">
        <v>36892</v>
      </c>
      <c r="H249" s="130">
        <v>-620000</v>
      </c>
      <c r="I249">
        <v>1.1499999999999999</v>
      </c>
      <c r="J249" s="53">
        <f t="shared" si="260"/>
        <v>4.7439999999999998</v>
      </c>
      <c r="K249" s="7">
        <f t="shared" si="261"/>
        <v>2.17</v>
      </c>
      <c r="L249" s="53">
        <f t="shared" si="262"/>
        <v>6.9139999999999997</v>
      </c>
      <c r="M249" s="157">
        <f t="shared" si="291"/>
        <v>6.8374831148490994E-2</v>
      </c>
      <c r="N249" s="4">
        <f t="shared" si="292"/>
        <v>0.60499999999999998</v>
      </c>
      <c r="O249" s="4">
        <f t="shared" si="293"/>
        <v>0.69599999999999995</v>
      </c>
      <c r="P249" s="9">
        <f t="shared" si="294"/>
        <v>0.83</v>
      </c>
      <c r="Q249" s="5">
        <f t="shared" si="254"/>
        <v>36888</v>
      </c>
      <c r="R249" s="4">
        <f t="shared" si="295"/>
        <v>0</v>
      </c>
      <c r="S249" s="158">
        <f>_xll.xSPRDOPT($L249,$J249,$I249,$M249,$O249,$N249,$P249,$Q249-$C$3,$R249,0)</f>
        <v>0.20666346027300397</v>
      </c>
      <c r="T249" s="159">
        <f>_xll.xSPRDOPT($L249,$J249,$I249,$M249,$O249,$N249,$P249,$Q249-$C$3,$R249,1)*H249</f>
        <v>126441.73463917653</v>
      </c>
      <c r="U249" s="160">
        <f t="shared" si="296"/>
        <v>-128131.34536926246</v>
      </c>
      <c r="V249" s="159">
        <f>_xll.xSPRDOPT($L249,$J249,$I249,$M249,$O249,$N249,$P249,$Q249-$C$3,$R249,2)*H249</f>
        <v>-166624.52550629131</v>
      </c>
      <c r="W249" s="159">
        <f t="shared" si="297"/>
        <v>-40182.790867114774</v>
      </c>
      <c r="X249" s="51" t="str">
        <f t="shared" si="255"/>
        <v>36892IF-TRANSCO/Z6</v>
      </c>
      <c r="Y249" s="418">
        <f t="shared" si="256"/>
        <v>-62</v>
      </c>
      <c r="Z249" s="456">
        <f t="shared" si="257"/>
        <v>-0.20393828167609118</v>
      </c>
      <c r="AA249" s="456">
        <f>_xll.xSPRDOPT($L249,$J249,$I249,$M249,$O249,$N249,$P249,$Q249-$C$3,$R249,3)</f>
        <v>0.17621191536190761</v>
      </c>
      <c r="AB249" s="456">
        <f>((_xll.xSPRDOPT($L249+AB$5,$J249,$I249,$M249,$O249,$N249,$P249,$Q249-$C$3,$R249,3)*$H249)/10000)/100</f>
        <v>-0.10925138752438272</v>
      </c>
      <c r="AC249" s="456">
        <f>((_xll.xSPRDOPT($L249+$AB$5,$J249,$I249,$M249,$O249,$N249,$P249,$Q249-$C$3,$R249,7)*$H249)/100)</f>
        <v>5817.3819145312837</v>
      </c>
      <c r="AD249" s="456">
        <f>(_xll.xSPRDOPT($L249+$AB$5,$J249,$I249,$M249,$O249,$N249,$P249,$Q249-$C$3,$R249,9)/365)*$H249</f>
        <v>1126.1296333856458</v>
      </c>
      <c r="AE249">
        <f t="shared" si="258"/>
        <v>0</v>
      </c>
      <c r="AF249" s="456">
        <f t="shared" si="259"/>
        <v>-4597.3801467151288</v>
      </c>
      <c r="AG249" s="456">
        <f>((_xll.xSPRDOPT($L249,$J249,$I249,$M249,$O249,$N249,$P249,$Q249-$C$3,$R249,6)*$H249)/100)</f>
        <v>1274.7882902109332</v>
      </c>
      <c r="AH249" s="456">
        <f>((_xll.xSPRDOPT($L249,$J249,$I249,$M249,$O249,$N249,$P249,$Q249-$C$3,$R249,5)*$H249)/100)</f>
        <v>-5104.3992878452127</v>
      </c>
      <c r="AI249" s="456">
        <f>(((_xll.xSPRDOPT($L249,$J249,$I249,$M249,$O249,$N249,$P249,$Q249-$C$3,$R249,4)*$H249)/10000)/100)-AB249</f>
        <v>-3.9419760942752111E-2</v>
      </c>
      <c r="AJ249" s="456"/>
      <c r="AK249" s="456"/>
      <c r="AL249" s="456"/>
      <c r="AM249" s="472"/>
      <c r="CC249" s="141">
        <f t="shared" si="282"/>
        <v>36892</v>
      </c>
      <c r="CD249" s="234">
        <f>_xll.xSPRDOPT((VLOOKUP(G249,NGPrices,2,FALSE)+HLOOKUP(D249,Prices,VLOOKUP(G249,move_down,2,FALSE),FALSE)),VLOOKUP(G249,NGPrices,2,FALSE),I249,VLOOKUP(G249,NGPREVPRICES,4,FALSE),HLOOKUP(D249,PREVVOLS,VLOOKUP(G249,MOVE_DOWN2,2,FALSE),FALSE),VLOOKUP(G249,NGPREVPRICES,3,FALSE),HLOOKUP(D249,Correllate,VLOOKUP(G249,CorMove,2,FALSE),FALSE),Q249-$CD$3,R249,$CD$5)*H249-CJ249</f>
        <v>0</v>
      </c>
      <c r="CE249" s="234">
        <f>_xll.xSPRDOPT((VLOOKUP(G249,NGPREVPRICES,2,FALSE)+HLOOKUP(D249,PREVCURVES,VLOOKUP(G249,MOVE_DOWN2,2,FALSE),FALSE)),VLOOKUP(G249,NGPREVPRICES,2,FALSE),CK249,VLOOKUP(G249,NGPrices,4,FALSE),HLOOKUP(D249,PREVVOLS,VLOOKUP(G249,MOVE_DOWN2,2,FALSE),FALSE),VLOOKUP(G249,NGPREVPRICES,3,FALSE),HLOOKUP(D249,Correllate,VLOOKUP(G249,CorMove,2,FALSE),FALSE),Q249-$CD$3,R249,$CJ$5)*H249-CJ249</f>
        <v>0</v>
      </c>
      <c r="CF249" s="10">
        <f>(CJ249/VLOOKUP(CC249,discount,3,FALSE))-(CJ249/VLOOKUP(CC249,discount,2,FALSE))</f>
        <v>24.357009560015285</v>
      </c>
      <c r="CG249" s="234">
        <f>_xll.xSPRDOPT((VLOOKUP(G249,NGPREVPRICES,2,FALSE)+HLOOKUP(D249,PREVCURVES,VLOOKUP(G249,MOVE_DOWN2,2,FALSE),FALSE)),VLOOKUP(G249,NGPREVPRICES,2,FALSE),CK249,VLOOKUP(G249,NGPREVPRICES,4,FALSE),HLOOKUP(D249,VOLS,VLOOKUP(G249,move_down,2,FALSE),FALSE),VLOOKUP(G249,NGPrices,3,FALSE),HLOOKUP(D249,Correllate,VLOOKUP(G249,CorMove,2,FALSE),FALSE),Q249-$CD$3,R249,$CJ$5)*H249-CJ249</f>
        <v>0</v>
      </c>
      <c r="CH249" s="234">
        <f>_xll.xSPRDOPT((VLOOKUP(G249,NGPREVPRICES,2,FALSE)+HLOOKUP(D249,PREVCURVES,VLOOKUP(G249,MOVE_DOWN2,2,FALSE),FALSE)),VLOOKUP(G249,NGPREVPRICES,2,FALSE),CK249,VLOOKUP(G249,NGPREVPRICES,4,FALSE),HLOOKUP(D249,PREVVOLS,VLOOKUP(G249,MOVE_DOWN2,2,FALSE),FALSE),VLOOKUP(G249,NGPREVPRICES,3,FALSE),HLOOKUP(D249,Correllate,VLOOKUP(G249,CorMove,2,FALSE),FALSE),Q249-$C$3,R249,$CJ$5)*H249-CJ249</f>
        <v>1123.9034340952931</v>
      </c>
      <c r="CI249" s="234">
        <f>SUM(CD249:CH249)</f>
        <v>1148.2604436553083</v>
      </c>
      <c r="CJ249" s="234">
        <f>_xll.xSPRDOPT((VLOOKUP(G249,NGPREVPRICES,2,FALSE)+HLOOKUP(D249,PREVCURVES,VLOOKUP(G249,MOVE_DOWN2,2,FALSE),FALSE)),VLOOKUP(G249,NGPREVPRICES,2,FALSE),CK249,VLOOKUP(G249,NGPREVPRICES,4,FALSE),HLOOKUP(D249,PREVVOLS,VLOOKUP(G249,MOVE_DOWN2,2,FALSE),FALSE),VLOOKUP(G249,NGPREVPRICES,3,FALSE),HLOOKUP(D249,Correllate,VLOOKUP(G249,CorMove,2,FALSE),FALSE),Q249-$CD$3,R249,$CJ$5)*H249</f>
        <v>-129255.24880335775</v>
      </c>
      <c r="CK249" s="235">
        <f t="shared" si="285"/>
        <v>1.1499999999999999</v>
      </c>
      <c r="CL249" s="234"/>
      <c r="CM249" t="str">
        <f>CONCATENATE(CC249,$CD$6)</f>
        <v>36892Curve Shift/Gamma</v>
      </c>
      <c r="CN249" t="str">
        <f t="shared" si="287"/>
        <v>36892Rho</v>
      </c>
      <c r="CO249" t="str">
        <f t="shared" si="288"/>
        <v>36892Drift</v>
      </c>
      <c r="CP249" t="str">
        <f t="shared" si="289"/>
        <v>36892Vega</v>
      </c>
      <c r="CQ249" t="str">
        <f t="shared" si="290"/>
        <v>36892Theta</v>
      </c>
    </row>
    <row r="250" spans="1:95" x14ac:dyDescent="0.25">
      <c r="A250" s="382" t="s">
        <v>279</v>
      </c>
      <c r="B250" t="s">
        <v>250</v>
      </c>
      <c r="C250" t="s">
        <v>406</v>
      </c>
      <c r="D250" s="4" t="s">
        <v>7</v>
      </c>
      <c r="E250" t="s">
        <v>20</v>
      </c>
      <c r="F250" t="s">
        <v>1</v>
      </c>
      <c r="G250" s="5">
        <v>36861</v>
      </c>
      <c r="H250" s="130">
        <v>-620000</v>
      </c>
      <c r="I250">
        <v>1.1499999999999999</v>
      </c>
      <c r="J250" s="53">
        <f t="shared" si="260"/>
        <v>4.8</v>
      </c>
      <c r="K250" s="7">
        <f t="shared" si="261"/>
        <v>1.645</v>
      </c>
      <c r="L250" s="53">
        <f t="shared" si="262"/>
        <v>6.4450000000000003</v>
      </c>
      <c r="M250" s="157">
        <f t="shared" si="291"/>
        <v>6.8314027999354002E-2</v>
      </c>
      <c r="N250" s="4">
        <f t="shared" si="292"/>
        <v>0.6</v>
      </c>
      <c r="O250" s="4">
        <f t="shared" si="293"/>
        <v>0.69</v>
      </c>
      <c r="P250" s="9">
        <f t="shared" si="294"/>
        <v>0.83</v>
      </c>
      <c r="Q250" s="5">
        <f t="shared" si="254"/>
        <v>36859</v>
      </c>
      <c r="R250" s="4">
        <f t="shared" si="295"/>
        <v>0</v>
      </c>
      <c r="S250" s="158">
        <f>_xll.xSPRDOPT($L250,$J250,$I250,$M250,$O250,$N250,$P250,$Q250-$C$3,$R250,0)</f>
        <v>0.27680806345180731</v>
      </c>
      <c r="T250" s="159">
        <f>_xll.xSPRDOPT($L250,$J250,$I250,$M250,$O250,$N250,$P250,$Q250-$C$3,$R250,1)*H250</f>
        <v>187221.37281880848</v>
      </c>
      <c r="U250" s="160">
        <f t="shared" si="296"/>
        <v>-171620.99934012053</v>
      </c>
      <c r="V250" s="159">
        <f>_xll.xSPRDOPT($L250,$J250,$I250,$M250,$O250,$N250,$P250,$Q250-$C$3,$R250,2)*H250</f>
        <v>-228467.5263134398</v>
      </c>
      <c r="W250" s="159">
        <f t="shared" si="297"/>
        <v>-41246.153494631319</v>
      </c>
      <c r="X250" s="51" t="str">
        <f t="shared" si="255"/>
        <v>36861IF-TRANSCO/Z6</v>
      </c>
      <c r="Y250" s="418">
        <f t="shared" si="256"/>
        <v>-62</v>
      </c>
      <c r="Z250" s="456">
        <f t="shared" si="257"/>
        <v>-0.3019699561593685</v>
      </c>
      <c r="AA250" s="456">
        <f>_xll.xSPRDOPT($L250,$J250,$I250,$M250,$O250,$N250,$P250,$Q250-$C$3,$R250,3)</f>
        <v>0.26984689871019807</v>
      </c>
      <c r="AB250" s="456">
        <f>((_xll.xSPRDOPT($L250+AB$5,$J250,$I250,$M250,$O250,$N250,$P250,$Q250-$C$3,$R250,3)*$H250)/10000)/100</f>
        <v>-0.16730507720032278</v>
      </c>
      <c r="AC250" s="456">
        <f>((_xll.xSPRDOPT($L250+$AB$5,$J250,$I250,$M250,$O250,$N250,$P250,$Q250-$C$3,$R250,7)*$H250)/100)</f>
        <v>5829.1888252743402</v>
      </c>
      <c r="AD250" s="456">
        <f>(_xll.xSPRDOPT($L250+$AB$5,$J250,$I250,$M250,$O250,$N250,$P250,$Q250-$C$3,$R250,9)/365)*$H250</f>
        <v>1462.518323052092</v>
      </c>
      <c r="AE250">
        <f t="shared" si="258"/>
        <v>0</v>
      </c>
      <c r="AF250" s="456">
        <f t="shared" si="259"/>
        <v>-4580.4229391330118</v>
      </c>
      <c r="AG250" s="456">
        <f>((_xll.xSPRDOPT($L250,$J250,$I250,$M250,$O250,$N250,$P250,$Q250-$C$3,$R250,6)*$H250)/100)</f>
        <v>1245.7871324641903</v>
      </c>
      <c r="AH250" s="456">
        <f>((_xll.xSPRDOPT($L250,$J250,$I250,$M250,$O250,$N250,$P250,$Q250-$C$3,$R250,5)*$H250)/100)</f>
        <v>-5066.2696274758282</v>
      </c>
      <c r="AI250" s="456">
        <f>(((_xll.xSPRDOPT($L250,$J250,$I250,$M250,$O250,$N250,$P250,$Q250-$C$3,$R250,4)*$H250)/10000)/100)-AB250</f>
        <v>-2.8497174913446305E-2</v>
      </c>
      <c r="AJ250" s="456"/>
      <c r="AK250" s="456"/>
      <c r="AL250" s="456"/>
      <c r="AM250" s="472"/>
      <c r="CC250" s="141">
        <f t="shared" si="282"/>
        <v>36861</v>
      </c>
      <c r="CD250" s="234">
        <f>_xll.xSPRDOPT((VLOOKUP(G250,NGPrices,2,FALSE)+HLOOKUP(D250,Prices,VLOOKUP(G250,move_down,2,FALSE),FALSE)),VLOOKUP(G250,NGPrices,2,FALSE),I250,VLOOKUP(G250,NGPREVPRICES,4,FALSE),HLOOKUP(D250,PREVVOLS,VLOOKUP(G250,MOVE_DOWN2,2,FALSE),FALSE),VLOOKUP(G250,NGPREVPRICES,3,FALSE),HLOOKUP(D250,Correllate,VLOOKUP(G250,CorMove,2,FALSE),FALSE),Q250-$CD$3,R250,$CD$5)*H250-CJ250</f>
        <v>0</v>
      </c>
      <c r="CE250" s="234">
        <f>_xll.xSPRDOPT((VLOOKUP(G250,NGPREVPRICES,2,FALSE)+HLOOKUP(D250,PREVCURVES,VLOOKUP(G250,MOVE_DOWN2,2,FALSE),FALSE)),VLOOKUP(G250,NGPREVPRICES,2,FALSE),CK250,VLOOKUP(G250,NGPrices,4,FALSE),HLOOKUP(D250,PREVVOLS,VLOOKUP(G250,MOVE_DOWN2,2,FALSE),FALSE),VLOOKUP(G250,NGPREVPRICES,3,FALSE),HLOOKUP(D250,Correllate,VLOOKUP(G250,CorMove,2,FALSE),FALSE),Q250-$CD$3,R250,$CJ$5)*H250-CJ250</f>
        <v>0</v>
      </c>
      <c r="CF250" s="10">
        <f>(CJ250/VLOOKUP(CC250,discount,3,FALSE))-(CJ250/VLOOKUP(CC250,discount,2,FALSE))</f>
        <v>32.424232069432037</v>
      </c>
      <c r="CG250" s="234">
        <f>_xll.xSPRDOPT((VLOOKUP(G250,NGPREVPRICES,2,FALSE)+HLOOKUP(D250,PREVCURVES,VLOOKUP(G250,MOVE_DOWN2,2,FALSE),FALSE)),VLOOKUP(G250,NGPREVPRICES,2,FALSE),CK250,VLOOKUP(G250,NGPREVPRICES,4,FALSE),HLOOKUP(D250,VOLS,VLOOKUP(G250,move_down,2,FALSE),FALSE),VLOOKUP(G250,NGPrices,3,FALSE),HLOOKUP(D250,Correllate,VLOOKUP(G250,CorMove,2,FALSE),FALSE),Q250-$CD$3,R250,$CJ$5)*H250-CJ250</f>
        <v>0</v>
      </c>
      <c r="CH250" s="234">
        <f>_xll.xSPRDOPT((VLOOKUP(G250,NGPREVPRICES,2,FALSE)+HLOOKUP(D250,PREVCURVES,VLOOKUP(G250,MOVE_DOWN2,2,FALSE),FALSE)),VLOOKUP(G250,NGPREVPRICES,2,FALSE),CK250,VLOOKUP(G250,NGPREVPRICES,4,FALSE),HLOOKUP(D250,PREVVOLS,VLOOKUP(G250,MOVE_DOWN2,2,FALSE),FALSE),VLOOKUP(G250,NGPREVPRICES,3,FALSE),HLOOKUP(D250,Correllate,VLOOKUP(G250,CorMove,2,FALSE),FALSE),Q250-$C$3,R250,$CJ$5)*H250-CJ250</f>
        <v>1457.8383359125291</v>
      </c>
      <c r="CI250" s="234">
        <f>SUM(CD250:CH250)</f>
        <v>1490.2625679819612</v>
      </c>
      <c r="CJ250" s="234">
        <f>_xll.xSPRDOPT((VLOOKUP(G250,NGPREVPRICES,2,FALSE)+HLOOKUP(D250,PREVCURVES,VLOOKUP(G250,MOVE_DOWN2,2,FALSE),FALSE)),VLOOKUP(G250,NGPREVPRICES,2,FALSE),CK250,VLOOKUP(G250,NGPREVPRICES,4,FALSE),HLOOKUP(D250,PREVVOLS,VLOOKUP(G250,MOVE_DOWN2,2,FALSE),FALSE),VLOOKUP(G250,NGPREVPRICES,3,FALSE),HLOOKUP(D250,Correllate,VLOOKUP(G250,CorMove,2,FALSE),FALSE),Q250-$CD$3,R250,$CJ$5)*H250</f>
        <v>-173078.83767603306</v>
      </c>
      <c r="CK250" s="235">
        <f t="shared" si="285"/>
        <v>1.1499999999999999</v>
      </c>
      <c r="CL250" s="234"/>
      <c r="CM250" t="str">
        <f>CONCATENATE(CC250,$CD$6)</f>
        <v>36861Curve Shift/Gamma</v>
      </c>
      <c r="CN250" t="str">
        <f t="shared" si="287"/>
        <v>36861Rho</v>
      </c>
      <c r="CO250" t="str">
        <f t="shared" si="288"/>
        <v>36861Drift</v>
      </c>
      <c r="CP250" t="str">
        <f t="shared" si="289"/>
        <v>36861Vega</v>
      </c>
      <c r="CQ250" t="str">
        <f t="shared" si="290"/>
        <v>36861Theta</v>
      </c>
    </row>
    <row r="251" spans="1:95" x14ac:dyDescent="0.25">
      <c r="A251" s="382" t="s">
        <v>279</v>
      </c>
      <c r="B251" t="s">
        <v>250</v>
      </c>
      <c r="C251" t="s">
        <v>406</v>
      </c>
      <c r="D251" s="4" t="s">
        <v>7</v>
      </c>
      <c r="E251" t="s">
        <v>20</v>
      </c>
      <c r="F251" t="s">
        <v>1</v>
      </c>
      <c r="G251" s="5">
        <v>36831</v>
      </c>
      <c r="H251" s="130">
        <v>-600000</v>
      </c>
      <c r="I251">
        <v>1.1499999999999999</v>
      </c>
      <c r="J251" s="53">
        <f t="shared" si="260"/>
        <v>4.7359999999999998</v>
      </c>
      <c r="K251" s="7">
        <f t="shared" si="261"/>
        <v>0.77</v>
      </c>
      <c r="L251" s="53">
        <f t="shared" si="262"/>
        <v>5.5060000000000002</v>
      </c>
      <c r="M251" s="157">
        <f t="shared" si="291"/>
        <v>6.810675983792E-2</v>
      </c>
      <c r="N251" s="4">
        <f t="shared" si="292"/>
        <v>0.59499999999999997</v>
      </c>
      <c r="O251" s="4">
        <f t="shared" si="293"/>
        <v>0.625</v>
      </c>
      <c r="P251" s="9">
        <f t="shared" si="294"/>
        <v>0.89</v>
      </c>
      <c r="Q251" s="5">
        <f t="shared" si="254"/>
        <v>36829</v>
      </c>
      <c r="R251" s="4">
        <f t="shared" si="295"/>
        <v>0</v>
      </c>
      <c r="S251" s="158">
        <f>_xll.xSPRDOPT($L251,$J251,$I251,$M251,$O251,$N251,$P251,$Q251-$C$3,$R251,0)</f>
        <v>0.50089659925391516</v>
      </c>
      <c r="T251" s="159">
        <f>_xll.xSPRDOPT($L251,$J251,$I251,$M251,$O251,$N251,$P251,$Q251-$C$3,$R251,1)*H251</f>
        <v>407038.2159799072</v>
      </c>
      <c r="U251" s="160">
        <f t="shared" si="296"/>
        <v>-300537.95955234912</v>
      </c>
      <c r="V251" s="159">
        <f>_xll.xSPRDOPT($L251,$J251,$I251,$M251,$O251,$N251,$P251,$Q251-$C$3,$R251,2)*H251</f>
        <v>-429451.421447856</v>
      </c>
      <c r="W251" s="159">
        <f t="shared" si="297"/>
        <v>-22413.205467948806</v>
      </c>
      <c r="X251" s="51" t="str">
        <f t="shared" si="255"/>
        <v>36831IF-TRANSCO/Z6</v>
      </c>
      <c r="Y251" s="418">
        <f t="shared" si="256"/>
        <v>-60</v>
      </c>
      <c r="Z251" s="456">
        <f t="shared" si="257"/>
        <v>-0.67839702663317869</v>
      </c>
      <c r="AA251" s="456">
        <f>_xll.xSPRDOPT($L251,$J251,$I251,$M251,$O251,$N251,$P251,$Q251-$C$3,$R251,3)</f>
        <v>0.52444067857825138</v>
      </c>
      <c r="AB251" s="456">
        <f>((_xll.xSPRDOPT($L251+AB$5,$J251,$I251,$M251,$O251,$N251,$P251,$Q251-$C$3,$R251,3)*$H251)/10000)/100</f>
        <v>-0.31466440714695082</v>
      </c>
      <c r="AC251" s="456">
        <f>((_xll.xSPRDOPT($L251+$AB$5,$J251,$I251,$M251,$O251,$N251,$P251,$Q251-$C$3,$R251,7)*$H251)/100)</f>
        <v>4885.6119602722629</v>
      </c>
      <c r="AD251" s="456">
        <f>(_xll.xSPRDOPT($L251+$AB$5,$J251,$I251,$M251,$O251,$N251,$P251,$Q251-$C$3,$R251,9)/365)*$H251</f>
        <v>1081.5537241800387</v>
      </c>
      <c r="AE251">
        <f t="shared" si="258"/>
        <v>0</v>
      </c>
      <c r="AF251" s="456">
        <f t="shared" si="259"/>
        <v>-2369.2410969743632</v>
      </c>
      <c r="AG251" s="456">
        <f>((_xll.xSPRDOPT($L251,$J251,$I251,$M251,$O251,$N251,$P251,$Q251-$C$3,$R251,6)*$H251)/100)</f>
        <v>953.63925851115653</v>
      </c>
      <c r="AH251" s="456">
        <f>((_xll.xSPRDOPT($L251,$J251,$I251,$M251,$O251,$N251,$P251,$Q251-$C$3,$R251,5)*$H251)/100)</f>
        <v>-3163.3820984222148</v>
      </c>
      <c r="AI251" s="456">
        <f>(((_xll.xSPRDOPT($L251,$J251,$I251,$M251,$O251,$N251,$P251,$Q251-$C$3,$R251,4)*$H251)/10000)/100)-AB251</f>
        <v>3.4172551047539357E-2</v>
      </c>
      <c r="AJ251" s="456"/>
      <c r="AK251" s="456"/>
      <c r="AL251" s="456"/>
      <c r="AM251" s="472"/>
      <c r="CC251" s="141">
        <f t="shared" si="282"/>
        <v>36831</v>
      </c>
      <c r="CD251" s="234">
        <f>_xll.xSPRDOPT((VLOOKUP(G251,NGPrices,2,FALSE)+HLOOKUP(D251,Prices,VLOOKUP(G251,move_down,2,FALSE),FALSE)),VLOOKUP(G251,NGPrices,2,FALSE),I251,VLOOKUP(G251,NGPREVPRICES,4,FALSE),HLOOKUP(D251,PREVVOLS,VLOOKUP(G251,MOVE_DOWN2,2,FALSE),FALSE),VLOOKUP(G251,NGPREVPRICES,3,FALSE),HLOOKUP(D251,Correllate,VLOOKUP(G251,CorMove,2,FALSE),FALSE),Q251-$CD$3,R251,$CD$5)*H251-CJ251</f>
        <v>0</v>
      </c>
      <c r="CE251" s="234">
        <f>_xll.xSPRDOPT((VLOOKUP(G251,NGPREVPRICES,2,FALSE)+HLOOKUP(D251,PREVCURVES,VLOOKUP(G251,MOVE_DOWN2,2,FALSE),FALSE)),VLOOKUP(G251,NGPREVPRICES,2,FALSE),CK251,VLOOKUP(G251,NGPrices,4,FALSE),HLOOKUP(D251,PREVVOLS,VLOOKUP(G251,MOVE_DOWN2,2,FALSE),FALSE),VLOOKUP(G251,NGPREVPRICES,3,FALSE),HLOOKUP(D251,Correllate,VLOOKUP(G251,CorMove,2,FALSE),FALSE),Q251-$CD$3,R251,$CJ$5)*H251-CJ251</f>
        <v>0</v>
      </c>
      <c r="CF251" s="10">
        <f>(CJ251/VLOOKUP(CC251,discount,3,FALSE))-(CJ251/VLOOKUP(CC251,discount,2,FALSE))</f>
        <v>56.013189123012125</v>
      </c>
      <c r="CG251" s="234">
        <f>_xll.xSPRDOPT((VLOOKUP(G251,NGPREVPRICES,2,FALSE)+HLOOKUP(D251,PREVCURVES,VLOOKUP(G251,MOVE_DOWN2,2,FALSE),FALSE)),VLOOKUP(G251,NGPREVPRICES,2,FALSE),CK251,VLOOKUP(G251,NGPREVPRICES,4,FALSE),HLOOKUP(D251,VOLS,VLOOKUP(G251,move_down,2,FALSE),FALSE),VLOOKUP(G251,NGPrices,3,FALSE),HLOOKUP(D251,Correllate,VLOOKUP(G251,CorMove,2,FALSE),FALSE),Q251-$CD$3,R251,$CJ$5)*H251-CJ251</f>
        <v>0</v>
      </c>
      <c r="CH251" s="234">
        <f>_xll.xSPRDOPT((VLOOKUP(G251,NGPREVPRICES,2,FALSE)+HLOOKUP(D251,PREVCURVES,VLOOKUP(G251,MOVE_DOWN2,2,FALSE),FALSE)),VLOOKUP(G251,NGPREVPRICES,2,FALSE),CK251,VLOOKUP(G251,NGPREVPRICES,4,FALSE),HLOOKUP(D251,PREVVOLS,VLOOKUP(G251,MOVE_DOWN2,2,FALSE),FALSE),VLOOKUP(G251,NGPREVPRICES,3,FALSE),HLOOKUP(D251,Correllate,VLOOKUP(G251,CorMove,2,FALSE),FALSE),Q251-$C$3,R251,$CJ$5)*H251-CJ251</f>
        <v>1077.4322485256125</v>
      </c>
      <c r="CI251" s="234">
        <f>SUM(CD251:CH251)</f>
        <v>1133.4454376486246</v>
      </c>
      <c r="CJ251" s="234">
        <f>_xll.xSPRDOPT((VLOOKUP(G251,NGPREVPRICES,2,FALSE)+HLOOKUP(D251,PREVCURVES,VLOOKUP(G251,MOVE_DOWN2,2,FALSE),FALSE)),VLOOKUP(G251,NGPREVPRICES,2,FALSE),CK251,VLOOKUP(G251,NGPREVPRICES,4,FALSE),HLOOKUP(D251,PREVVOLS,VLOOKUP(G251,MOVE_DOWN2,2,FALSE),FALSE),VLOOKUP(G251,NGPREVPRICES,3,FALSE),HLOOKUP(D251,Correllate,VLOOKUP(G251,CorMove,2,FALSE),FALSE),Q251-$CD$3,R251,$CJ$5)*H251</f>
        <v>-301615.39180087473</v>
      </c>
      <c r="CK251" s="235">
        <f t="shared" si="285"/>
        <v>1.1499999999999999</v>
      </c>
      <c r="CL251" s="234"/>
      <c r="CM251" t="str">
        <f>CONCATENATE(CC251,$CD$6)</f>
        <v>36831Curve Shift/Gamma</v>
      </c>
      <c r="CN251" t="str">
        <f t="shared" si="287"/>
        <v>36831Rho</v>
      </c>
      <c r="CO251" t="str">
        <f t="shared" si="288"/>
        <v>36831Drift</v>
      </c>
      <c r="CP251" t="str">
        <f t="shared" si="289"/>
        <v>36831Vega</v>
      </c>
      <c r="CQ251" t="str">
        <f t="shared" si="290"/>
        <v>36831Theta</v>
      </c>
    </row>
    <row r="252" spans="1:95" x14ac:dyDescent="0.25">
      <c r="A252" s="382" t="s">
        <v>279</v>
      </c>
      <c r="B252" t="s">
        <v>250</v>
      </c>
      <c r="C252" t="s">
        <v>407</v>
      </c>
      <c r="D252" s="4" t="s">
        <v>7</v>
      </c>
      <c r="E252" t="s">
        <v>20</v>
      </c>
      <c r="F252" t="s">
        <v>1</v>
      </c>
      <c r="G252" s="5">
        <v>36951</v>
      </c>
      <c r="H252" s="130">
        <v>-1000000</v>
      </c>
      <c r="I252">
        <v>1</v>
      </c>
      <c r="J252" s="53">
        <f t="shared" si="260"/>
        <v>4.2130000000000001</v>
      </c>
      <c r="K252" s="7">
        <f t="shared" si="261"/>
        <v>1.075</v>
      </c>
      <c r="L252" s="53">
        <f t="shared" si="262"/>
        <v>5.2880000000000003</v>
      </c>
      <c r="M252" s="157">
        <f t="shared" si="291"/>
        <v>6.8879814952706994E-2</v>
      </c>
      <c r="N252" s="4">
        <f t="shared" si="292"/>
        <v>0.53249999999999997</v>
      </c>
      <c r="O252" s="4">
        <f t="shared" si="293"/>
        <v>0.61199999999999999</v>
      </c>
      <c r="P252" s="9">
        <f t="shared" si="294"/>
        <v>0.83</v>
      </c>
      <c r="Q252" s="5">
        <f t="shared" si="254"/>
        <v>36949</v>
      </c>
      <c r="R252" s="4">
        <f t="shared" si="295"/>
        <v>0</v>
      </c>
      <c r="S252" s="158">
        <f>_xll.xSPRDOPT($L252,$J252,$I252,$M252,$O252,$N252,$P252,$Q252-$C$3,$R252,0)</f>
        <v>0.46423253044064883</v>
      </c>
      <c r="T252" s="159">
        <f>_xll.xSPRDOPT($L252,$J252,$I252,$M252,$O252,$N252,$P252,$Q252-$C$3,$R252,1)*H252</f>
        <v>412664.57893835718</v>
      </c>
      <c r="U252" s="160">
        <f t="shared" si="296"/>
        <v>-464232.53044064884</v>
      </c>
      <c r="V252" s="159">
        <f>_xll.xSPRDOPT($L252,$J252,$I252,$M252,$O252,$N252,$P252,$Q252-$C$3,$R252,2)*H252</f>
        <v>-501374.78737026098</v>
      </c>
      <c r="W252" s="159">
        <f t="shared" si="297"/>
        <v>-88710.208431903797</v>
      </c>
      <c r="X252" s="51" t="str">
        <f t="shared" si="255"/>
        <v>36951IF-TRANSCO/Z6</v>
      </c>
      <c r="Y252" s="418">
        <f t="shared" si="256"/>
        <v>-100</v>
      </c>
      <c r="Z252" s="456">
        <f t="shared" si="257"/>
        <v>-0.41266457893835717</v>
      </c>
      <c r="AA252" s="456">
        <f>_xll.xSPRDOPT($L252,$J252,$I252,$M252,$O252,$N252,$P252,$Q252-$C$3,$R252,3)</f>
        <v>0.28979330776443896</v>
      </c>
      <c r="AB252" s="456">
        <f>((_xll.xSPRDOPT($L252+AB$5,$J252,$I252,$M252,$O252,$N252,$P252,$Q252-$C$3,$R252,3)*$H252)/10000)/100</f>
        <v>-0.28979330776443901</v>
      </c>
      <c r="AC252" s="456">
        <f>((_xll.xSPRDOPT($L252+$AB$5,$J252,$I252,$M252,$O252,$N252,$P252,$Q252-$C$3,$R252,7)*$H252)/100)</f>
        <v>10664.804822557091</v>
      </c>
      <c r="AD252" s="456">
        <f>(_xll.xSPRDOPT($L252+$AB$5,$J252,$I252,$M252,$O252,$N252,$P252,$Q252-$C$3,$R252,9)/365)*$H252</f>
        <v>1280.3925574088119</v>
      </c>
      <c r="AE252">
        <f t="shared" si="258"/>
        <v>0</v>
      </c>
      <c r="AF252" s="456">
        <f t="shared" si="259"/>
        <v>-9344.8019757083639</v>
      </c>
      <c r="AG252" s="456">
        <f>((_xll.xSPRDOPT($L252,$J252,$I252,$M252,$O252,$N252,$P252,$Q252-$C$3,$R252,6)*$H252)/100)</f>
        <v>2433.233319343929</v>
      </c>
      <c r="AH252" s="456">
        <f>((_xll.xSPRDOPT($L252,$J252,$I252,$M252,$O252,$N252,$P252,$Q252-$C$3,$R252,5)*$H252)/100)</f>
        <v>-10248.045416038147</v>
      </c>
      <c r="AI252" s="456">
        <f>(((_xll.xSPRDOPT($L252,$J252,$I252,$M252,$O252,$N252,$P252,$Q252-$C$3,$R252,4)*$H252)/10000)/100)-AB252</f>
        <v>-1.1505130574366362E-2</v>
      </c>
      <c r="AJ252" s="456"/>
      <c r="AK252" s="456"/>
      <c r="AL252" s="456"/>
      <c r="AM252" s="472"/>
      <c r="CC252" s="141">
        <f t="shared" ref="CC252:CC266" si="298">G252</f>
        <v>36951</v>
      </c>
      <c r="CD252" s="234">
        <f>_xll.xSPRDOPT((VLOOKUP(G252,NGPrices,2,FALSE)+HLOOKUP(D252,Prices,VLOOKUP(G252,move_down,2,FALSE),FALSE)),VLOOKUP(G252,NGPrices,2,FALSE),I252,VLOOKUP(G252,NGPREVPRICES,4,FALSE),HLOOKUP(D252,PREVVOLS,VLOOKUP(G252,MOVE_DOWN2,2,FALSE),FALSE),VLOOKUP(G252,NGPREVPRICES,3,FALSE),HLOOKUP(D252,Correllate,VLOOKUP(G252,CorMove,2,FALSE),FALSE),Q252-$CD$3,R252,$CD$5)*H252-CJ252</f>
        <v>0</v>
      </c>
      <c r="CE252" s="234">
        <f>_xll.xSPRDOPT((VLOOKUP(G252,NGPREVPRICES,2,FALSE)+HLOOKUP(D252,PREVCURVES,VLOOKUP(G252,MOVE_DOWN2,2,FALSE),FALSE)),VLOOKUP(G252,NGPREVPRICES,2,FALSE),CK252,VLOOKUP(G252,NGPrices,4,FALSE),HLOOKUP(D252,PREVVOLS,VLOOKUP(G252,MOVE_DOWN2,2,FALSE),FALSE),VLOOKUP(G252,NGPREVPRICES,3,FALSE),HLOOKUP(D252,Correllate,VLOOKUP(G252,CorMove,2,FALSE),FALSE),Q252-$CD$3,R252,$CJ$5)*H252-CJ252</f>
        <v>0</v>
      </c>
      <c r="CF252" s="10">
        <f t="shared" ref="CF252:CF266" si="299">(CJ252/VLOOKUP(CC252,discount,3,FALSE))-(CJ252/VLOOKUP(CC252,discount,2,FALSE))</f>
        <v>89.277845385950059</v>
      </c>
      <c r="CG252" s="234">
        <f>_xll.xSPRDOPT((VLOOKUP(G252,NGPREVPRICES,2,FALSE)+HLOOKUP(D252,PREVCURVES,VLOOKUP(G252,MOVE_DOWN2,2,FALSE),FALSE)),VLOOKUP(G252,NGPREVPRICES,2,FALSE),CK252,VLOOKUP(G252,NGPREVPRICES,4,FALSE),HLOOKUP(D252,VOLS,VLOOKUP(G252,move_down,2,FALSE),FALSE),VLOOKUP(G252,NGPrices,3,FALSE),HLOOKUP(D252,Correllate,VLOOKUP(G252,CorMove,2,FALSE),FALSE),Q252-$CD$3,R252,$CJ$5)*H252-CJ252</f>
        <v>0</v>
      </c>
      <c r="CH252" s="234">
        <f>_xll.xSPRDOPT((VLOOKUP(G252,NGPREVPRICES,2,FALSE)+HLOOKUP(D252,PREVCURVES,VLOOKUP(G252,MOVE_DOWN2,2,FALSE),FALSE)),VLOOKUP(G252,NGPREVPRICES,2,FALSE),CK252,VLOOKUP(G252,NGPREVPRICES,4,FALSE),HLOOKUP(D252,PREVVOLS,VLOOKUP(G252,MOVE_DOWN2,2,FALSE),FALSE),VLOOKUP(G252,NGPREVPRICES,3,FALSE),HLOOKUP(D252,Correllate,VLOOKUP(G252,CorMove,2,FALSE),FALSE),Q252-$C$3,R252,$CJ$5)*H252-CJ252</f>
        <v>1277.3862891665194</v>
      </c>
      <c r="CI252" s="234">
        <f t="shared" ref="CI252:CI266" si="300">SUM(CD252:CH252)</f>
        <v>1366.6641345524695</v>
      </c>
      <c r="CJ252" s="234">
        <f>_xll.xSPRDOPT((VLOOKUP(G252,NGPREVPRICES,2,FALSE)+HLOOKUP(D252,PREVCURVES,VLOOKUP(G252,MOVE_DOWN2,2,FALSE),FALSE)),VLOOKUP(G252,NGPREVPRICES,2,FALSE),CK252,VLOOKUP(G252,NGPREVPRICES,4,FALSE),HLOOKUP(D252,PREVVOLS,VLOOKUP(G252,MOVE_DOWN2,2,FALSE),FALSE),VLOOKUP(G252,NGPREVPRICES,3,FALSE),HLOOKUP(D252,Correllate,VLOOKUP(G252,CorMove,2,FALSE),FALSE),Q252-$CD$3,R252,$CJ$5)*H252</f>
        <v>-465509.91672981536</v>
      </c>
      <c r="CK252" s="235">
        <f t="shared" ref="CK252:CK266" si="301">I252</f>
        <v>1</v>
      </c>
      <c r="CL252" s="234"/>
      <c r="CM252" t="str">
        <f t="shared" ref="CM252:CM266" si="302">CONCATENATE(CC252,$CD$6)</f>
        <v>36951Curve Shift/Gamma</v>
      </c>
      <c r="CN252" t="str">
        <f t="shared" si="287"/>
        <v>36951Rho</v>
      </c>
      <c r="CO252" t="str">
        <f t="shared" si="288"/>
        <v>36951Drift</v>
      </c>
      <c r="CP252" t="str">
        <f t="shared" si="289"/>
        <v>36951Vega</v>
      </c>
      <c r="CQ252" t="str">
        <f t="shared" si="290"/>
        <v>36951Theta</v>
      </c>
    </row>
    <row r="253" spans="1:95" x14ac:dyDescent="0.25">
      <c r="A253" s="382" t="s">
        <v>279</v>
      </c>
      <c r="B253" t="s">
        <v>250</v>
      </c>
      <c r="C253" t="s">
        <v>409</v>
      </c>
      <c r="D253" s="4" t="s">
        <v>7</v>
      </c>
      <c r="E253" t="s">
        <v>20</v>
      </c>
      <c r="F253" t="s">
        <v>1</v>
      </c>
      <c r="G253" s="5">
        <v>36951</v>
      </c>
      <c r="H253" s="130">
        <v>1000000</v>
      </c>
      <c r="I253">
        <v>0.75</v>
      </c>
      <c r="J253" s="53">
        <f t="shared" si="260"/>
        <v>4.2130000000000001</v>
      </c>
      <c r="K253" s="7">
        <f t="shared" si="261"/>
        <v>1.075</v>
      </c>
      <c r="L253" s="53">
        <f t="shared" si="262"/>
        <v>5.2880000000000003</v>
      </c>
      <c r="M253" s="157">
        <f t="shared" si="291"/>
        <v>6.8879814952706994E-2</v>
      </c>
      <c r="N253" s="4">
        <f t="shared" si="292"/>
        <v>0.53249999999999997</v>
      </c>
      <c r="O253" s="4">
        <f t="shared" si="293"/>
        <v>0.61199999999999999</v>
      </c>
      <c r="P253" s="9">
        <f t="shared" si="294"/>
        <v>0.83</v>
      </c>
      <c r="Q253" s="5">
        <f t="shared" si="254"/>
        <v>36949</v>
      </c>
      <c r="R253" s="4">
        <f t="shared" si="295"/>
        <v>0</v>
      </c>
      <c r="S253" s="158">
        <f>_xll.xSPRDOPT($L253,$J253,$I253,$M253,$O253,$N253,$P253,$Q253-$C$3,$R253,0)</f>
        <v>0.34094497957691405</v>
      </c>
      <c r="T253" s="159">
        <f>_xll.xSPRDOPT($L253,$J253,$I253,$M253,$O253,$N253,$P253,$Q253-$C$3,$R253,1)*H253</f>
        <v>-339087.85346668866</v>
      </c>
      <c r="U253" s="160">
        <f t="shared" si="296"/>
        <v>340944.97957691405</v>
      </c>
      <c r="V253" s="159">
        <f>_xll.xSPRDOPT($L253,$J253,$I253,$M253,$O253,$N253,$P253,$Q253-$C$3,$R253,2)*H253</f>
        <v>426270.51849451294</v>
      </c>
      <c r="W253" s="159">
        <f t="shared" si="297"/>
        <v>87182.665027824289</v>
      </c>
      <c r="X253" s="51" t="str">
        <f t="shared" si="255"/>
        <v>36951IF-TRANSCO/Z6</v>
      </c>
      <c r="Y253" s="418">
        <f t="shared" si="256"/>
        <v>100</v>
      </c>
      <c r="Z253" s="456">
        <f t="shared" si="257"/>
        <v>-0.33908785346668868</v>
      </c>
      <c r="AA253" s="456">
        <f>_xll.xSPRDOPT($L253,$J253,$I253,$M253,$O253,$N253,$P253,$Q253-$C$3,$R253,3)</f>
        <v>0.27707202713581769</v>
      </c>
      <c r="AB253" s="456">
        <f>((_xll.xSPRDOPT($L253+AB$5,$J253,$I253,$M253,$O253,$N253,$P253,$Q253-$C$3,$R253,3)*$H253)/10000)/100</f>
        <v>0.27707202713581769</v>
      </c>
      <c r="AC253" s="456">
        <f>((_xll.xSPRDOPT($L253+$AB$5,$J253,$I253,$M253,$O253,$N253,$P253,$Q253-$C$3,$R253,7)*$H253)/100)</f>
        <v>-10675.887485742693</v>
      </c>
      <c r="AD253" s="456">
        <f>(_xll.xSPRDOPT($L253+$AB$5,$J253,$I253,$M253,$O253,$N253,$P253,$Q253-$C$3,$R253,9)/365)*$H253</f>
        <v>-1212.6266802212181</v>
      </c>
      <c r="AE253">
        <f t="shared" si="258"/>
        <v>0</v>
      </c>
      <c r="AF253" s="456">
        <f t="shared" si="259"/>
        <v>8722.9642822009027</v>
      </c>
      <c r="AG253" s="456">
        <f>((_xll.xSPRDOPT($L253,$J253,$I253,$M253,$O253,$N253,$P253,$Q253-$C$3,$R253,6)*$H253)/100)</f>
        <v>-1791.0181131467791</v>
      </c>
      <c r="AH253" s="456">
        <f>((_xll.xSPRDOPT($L253,$J253,$I253,$M253,$O253,$N253,$P253,$Q253-$C$3,$R253,5)*$H253)/100)</f>
        <v>9148.1954665402627</v>
      </c>
      <c r="AI253" s="456">
        <f>(((_xll.xSPRDOPT($L253,$J253,$I253,$M253,$O253,$N253,$P253,$Q253-$C$3,$R253,4)*$H253)/10000)/100)-AB253</f>
        <v>3.8229803650455751E-2</v>
      </c>
      <c r="AJ253" s="456"/>
      <c r="AK253" s="456"/>
      <c r="AL253" s="456"/>
      <c r="AM253" s="472"/>
      <c r="CC253" s="141">
        <f t="shared" si="298"/>
        <v>36951</v>
      </c>
      <c r="CD253" s="234">
        <f>_xll.xSPRDOPT((VLOOKUP(G253,NGPrices,2,FALSE)+HLOOKUP(D253,Prices,VLOOKUP(G253,move_down,2,FALSE),FALSE)),VLOOKUP(G253,NGPrices,2,FALSE),I253,VLOOKUP(G253,NGPREVPRICES,4,FALSE),HLOOKUP(D253,PREVVOLS,VLOOKUP(G253,MOVE_DOWN2,2,FALSE),FALSE),VLOOKUP(G253,NGPREVPRICES,3,FALSE),HLOOKUP(D253,Correllate,VLOOKUP(G253,CorMove,2,FALSE),FALSE),Q253-$CD$3,R253,$CD$5)*H253-CJ253</f>
        <v>0</v>
      </c>
      <c r="CE253" s="234">
        <f>_xll.xSPRDOPT((VLOOKUP(G253,NGPREVPRICES,2,FALSE)+HLOOKUP(D253,PREVCURVES,VLOOKUP(G253,MOVE_DOWN2,2,FALSE),FALSE)),VLOOKUP(G253,NGPREVPRICES,2,FALSE),CK253,VLOOKUP(G253,NGPrices,4,FALSE),HLOOKUP(D253,PREVVOLS,VLOOKUP(G253,MOVE_DOWN2,2,FALSE),FALSE),VLOOKUP(G253,NGPREVPRICES,3,FALSE),HLOOKUP(D253,Correllate,VLOOKUP(G253,CorMove,2,FALSE),FALSE),Q253-$CD$3,R253,$CJ$5)*H253-CJ253</f>
        <v>0</v>
      </c>
      <c r="CF253" s="10">
        <f t="shared" si="299"/>
        <v>-65.620196025061887</v>
      </c>
      <c r="CG253" s="234">
        <f>_xll.xSPRDOPT((VLOOKUP(G253,NGPREVPRICES,2,FALSE)+HLOOKUP(D253,PREVCURVES,VLOOKUP(G253,MOVE_DOWN2,2,FALSE),FALSE)),VLOOKUP(G253,NGPREVPRICES,2,FALSE),CK253,VLOOKUP(G253,NGPREVPRICES,4,FALSE),HLOOKUP(D253,VOLS,VLOOKUP(G253,move_down,2,FALSE),FALSE),VLOOKUP(G253,NGPrices,3,FALSE),HLOOKUP(D253,Correllate,VLOOKUP(G253,CorMove,2,FALSE),FALSE),Q253-$CD$3,R253,$CJ$5)*H253-CJ253</f>
        <v>0</v>
      </c>
      <c r="CH253" s="234">
        <f>_xll.xSPRDOPT((VLOOKUP(G253,NGPREVPRICES,2,FALSE)+HLOOKUP(D253,PREVCURVES,VLOOKUP(G253,MOVE_DOWN2,2,FALSE),FALSE)),VLOOKUP(G253,NGPREVPRICES,2,FALSE),CK253,VLOOKUP(G253,NGPREVPRICES,4,FALSE),HLOOKUP(D253,PREVVOLS,VLOOKUP(G253,MOVE_DOWN2,2,FALSE),FALSE),VLOOKUP(G253,NGPREVPRICES,3,FALSE),HLOOKUP(D253,Correllate,VLOOKUP(G253,CorMove,2,FALSE),FALSE),Q253-$C$3,R253,$CJ$5)*H253-CJ253</f>
        <v>-1209.9173673397745</v>
      </c>
      <c r="CI253" s="234">
        <f t="shared" si="300"/>
        <v>-1275.5375633648364</v>
      </c>
      <c r="CJ253" s="234">
        <f>_xll.xSPRDOPT((VLOOKUP(G253,NGPREVPRICES,2,FALSE)+HLOOKUP(D253,PREVCURVES,VLOOKUP(G253,MOVE_DOWN2,2,FALSE),FALSE)),VLOOKUP(G253,NGPREVPRICES,2,FALSE),CK253,VLOOKUP(G253,NGPREVPRICES,4,FALSE),HLOOKUP(D253,PREVVOLS,VLOOKUP(G253,MOVE_DOWN2,2,FALSE),FALSE),VLOOKUP(G253,NGPREVPRICES,3,FALSE),HLOOKUP(D253,Correllate,VLOOKUP(G253,CorMove,2,FALSE),FALSE),Q253-$CD$3,R253,$CJ$5)*H253</f>
        <v>342154.89694425382</v>
      </c>
      <c r="CK253" s="235">
        <f t="shared" si="301"/>
        <v>0.75</v>
      </c>
      <c r="CL253" s="234"/>
      <c r="CM253" t="str">
        <f t="shared" si="302"/>
        <v>36951Curve Shift/Gamma</v>
      </c>
      <c r="CN253" t="str">
        <f t="shared" si="287"/>
        <v>36951Rho</v>
      </c>
      <c r="CO253" t="str">
        <f t="shared" si="288"/>
        <v>36951Drift</v>
      </c>
      <c r="CP253" t="str">
        <f t="shared" si="289"/>
        <v>36951Vega</v>
      </c>
      <c r="CQ253" t="str">
        <f t="shared" si="290"/>
        <v>36951Theta</v>
      </c>
    </row>
    <row r="254" spans="1:95" x14ac:dyDescent="0.25">
      <c r="A254" s="382" t="s">
        <v>279</v>
      </c>
      <c r="B254" t="s">
        <v>250</v>
      </c>
      <c r="C254" t="s">
        <v>409</v>
      </c>
      <c r="D254" s="4" t="s">
        <v>7</v>
      </c>
      <c r="E254" t="s">
        <v>20</v>
      </c>
      <c r="F254" t="s">
        <v>1</v>
      </c>
      <c r="G254" s="5">
        <v>36923</v>
      </c>
      <c r="H254" s="130">
        <v>1000000</v>
      </c>
      <c r="I254">
        <v>0.75</v>
      </c>
      <c r="J254" s="53">
        <f t="shared" si="260"/>
        <v>4.4800000000000004</v>
      </c>
      <c r="K254" s="7">
        <f t="shared" si="261"/>
        <v>2.09</v>
      </c>
      <c r="L254" s="53">
        <f t="shared" si="262"/>
        <v>6.57</v>
      </c>
      <c r="M254" s="157">
        <f t="shared" si="291"/>
        <v>6.8640161611372E-2</v>
      </c>
      <c r="N254" s="4">
        <f t="shared" si="292"/>
        <v>0.59250000000000003</v>
      </c>
      <c r="O254" s="4">
        <f t="shared" si="293"/>
        <v>0.68100000000000005</v>
      </c>
      <c r="P254" s="9">
        <f t="shared" si="294"/>
        <v>0.83</v>
      </c>
      <c r="Q254" s="5">
        <f t="shared" si="254"/>
        <v>36921</v>
      </c>
      <c r="R254" s="4">
        <f t="shared" si="295"/>
        <v>0</v>
      </c>
      <c r="S254" s="158">
        <f>_xll.xSPRDOPT($L254,$J254,$I254,$M254,$O254,$N254,$P254,$Q254-$C$3,$R254,0)</f>
        <v>0.13906565808994997</v>
      </c>
      <c r="T254" s="159">
        <f>_xll.xSPRDOPT($L254,$J254,$I254,$M254,$O254,$N254,$P254,$Q254-$C$3,$R254,1)*H254</f>
        <v>-145235.89268997984</v>
      </c>
      <c r="U254" s="160">
        <f t="shared" si="296"/>
        <v>139065.65808994998</v>
      </c>
      <c r="V254" s="159">
        <f>_xll.xSPRDOPT($L254,$J254,$I254,$M254,$O254,$N254,$P254,$Q254-$C$3,$R254,2)*H254</f>
        <v>206354.74700744738</v>
      </c>
      <c r="W254" s="159">
        <f t="shared" si="297"/>
        <v>61118.854317467543</v>
      </c>
      <c r="X254" s="51" t="str">
        <f t="shared" si="255"/>
        <v>36923IF-TRANSCO/Z6</v>
      </c>
      <c r="Y254" s="418">
        <f t="shared" si="256"/>
        <v>100</v>
      </c>
      <c r="Z254" s="456">
        <f t="shared" si="257"/>
        <v>-0.14523589268997983</v>
      </c>
      <c r="AA254" s="456">
        <f>_xll.xSPRDOPT($L254,$J254,$I254,$M254,$O254,$N254,$P254,$Q254-$C$3,$R254,3)</f>
        <v>0.13751360448045827</v>
      </c>
      <c r="AB254" s="456">
        <f>((_xll.xSPRDOPT($L254+AB$5,$J254,$I254,$M254,$O254,$N254,$P254,$Q254-$C$3,$R254,3)*$H254)/10000)/100</f>
        <v>0.13751360448045827</v>
      </c>
      <c r="AC254" s="456">
        <f>((_xll.xSPRDOPT($L254+$AB$5,$J254,$I254,$M254,$O254,$N254,$P254,$Q254-$C$3,$R254,7)*$H254)/100)</f>
        <v>-8594.2244949821543</v>
      </c>
      <c r="AD254" s="456">
        <f>(_xll.xSPRDOPT($L254+$AB$5,$J254,$I254,$M254,$O254,$N254,$P254,$Q254-$C$3,$R254,9)/365)*$H254</f>
        <v>-1184.2206942223947</v>
      </c>
      <c r="AE254">
        <f t="shared" si="258"/>
        <v>0</v>
      </c>
      <c r="AF254" s="456">
        <f t="shared" si="259"/>
        <v>6287.5887448547146</v>
      </c>
      <c r="AG254" s="456">
        <f>((_xll.xSPRDOPT($L254,$J254,$I254,$M254,$O254,$N254,$P254,$Q254-$C$3,$R254,6)*$H254)/100)</f>
        <v>-1262.2750116744944</v>
      </c>
      <c r="AH254" s="456">
        <f>((_xll.xSPRDOPT($L254,$J254,$I254,$M254,$O254,$N254,$P254,$Q254-$C$3,$R254,5)*$H254)/100)</f>
        <v>6568.714061297439</v>
      </c>
      <c r="AI254" s="456">
        <f>(((_xll.xSPRDOPT($L254,$J254,$I254,$M254,$O254,$N254,$P254,$Q254-$C$3,$R254,4)*$H254)/10000)/100)-AB254</f>
        <v>7.742821393307861E-2</v>
      </c>
      <c r="AJ254" s="456"/>
      <c r="AK254" s="456"/>
      <c r="AL254" s="456"/>
      <c r="AM254" s="472"/>
      <c r="CC254" s="141">
        <f t="shared" si="298"/>
        <v>36923</v>
      </c>
      <c r="CD254" s="234">
        <f>_xll.xSPRDOPT((VLOOKUP(G254,NGPrices,2,FALSE)+HLOOKUP(D254,Prices,VLOOKUP(G254,move_down,2,FALSE),FALSE)),VLOOKUP(G254,NGPrices,2,FALSE),I254,VLOOKUP(G254,NGPREVPRICES,4,FALSE),HLOOKUP(D254,PREVVOLS,VLOOKUP(G254,MOVE_DOWN2,2,FALSE),FALSE),VLOOKUP(G254,NGPREVPRICES,3,FALSE),HLOOKUP(D254,Correllate,VLOOKUP(G254,CorMove,2,FALSE),FALSE),Q254-$CD$3,R254,$CD$5)*H254-CJ254</f>
        <v>0</v>
      </c>
      <c r="CE254" s="234">
        <f>_xll.xSPRDOPT((VLOOKUP(G254,NGPREVPRICES,2,FALSE)+HLOOKUP(D254,PREVCURVES,VLOOKUP(G254,MOVE_DOWN2,2,FALSE),FALSE)),VLOOKUP(G254,NGPREVPRICES,2,FALSE),CK254,VLOOKUP(G254,NGPrices,4,FALSE),HLOOKUP(D254,PREVVOLS,VLOOKUP(G254,MOVE_DOWN2,2,FALSE),FALSE),VLOOKUP(G254,NGPREVPRICES,3,FALSE),HLOOKUP(D254,Correllate,VLOOKUP(G254,CorMove,2,FALSE),FALSE),Q254-$CD$3,R254,$CJ$5)*H254-CJ254</f>
        <v>0</v>
      </c>
      <c r="CF254" s="10">
        <f t="shared" si="299"/>
        <v>-26.673646916402504</v>
      </c>
      <c r="CG254" s="234">
        <f>_xll.xSPRDOPT((VLOOKUP(G254,NGPREVPRICES,2,FALSE)+HLOOKUP(D254,PREVCURVES,VLOOKUP(G254,MOVE_DOWN2,2,FALSE),FALSE)),VLOOKUP(G254,NGPREVPRICES,2,FALSE),CK254,VLOOKUP(G254,NGPREVPRICES,4,FALSE),HLOOKUP(D254,VOLS,VLOOKUP(G254,move_down,2,FALSE),FALSE),VLOOKUP(G254,NGPrices,3,FALSE),HLOOKUP(D254,Correllate,VLOOKUP(G254,CorMove,2,FALSE),FALSE),Q254-$CD$3,R254,$CJ$5)*H254-CJ254</f>
        <v>0</v>
      </c>
      <c r="CH254" s="234">
        <f>_xll.xSPRDOPT((VLOOKUP(G254,NGPREVPRICES,2,FALSE)+HLOOKUP(D254,PREVCURVES,VLOOKUP(G254,MOVE_DOWN2,2,FALSE),FALSE)),VLOOKUP(G254,NGPREVPRICES,2,FALSE),CK254,VLOOKUP(G254,NGPREVPRICES,4,FALSE),HLOOKUP(D254,PREVVOLS,VLOOKUP(G254,MOVE_DOWN2,2,FALSE),FALSE),VLOOKUP(G254,NGPREVPRICES,3,FALSE),HLOOKUP(D254,Correllate,VLOOKUP(G254,CorMove,2,FALSE),FALSE),Q254-$C$3,R254,$CJ$5)*H254-CJ254</f>
        <v>-1182.841132367088</v>
      </c>
      <c r="CI254" s="234">
        <f t="shared" si="300"/>
        <v>-1209.5147792834905</v>
      </c>
      <c r="CJ254" s="234">
        <f>_xll.xSPRDOPT((VLOOKUP(G254,NGPREVPRICES,2,FALSE)+HLOOKUP(D254,PREVCURVES,VLOOKUP(G254,MOVE_DOWN2,2,FALSE),FALSE)),VLOOKUP(G254,NGPREVPRICES,2,FALSE),CK254,VLOOKUP(G254,NGPREVPRICES,4,FALSE),HLOOKUP(D254,PREVVOLS,VLOOKUP(G254,MOVE_DOWN2,2,FALSE),FALSE),VLOOKUP(G254,NGPREVPRICES,3,FALSE),HLOOKUP(D254,Correllate,VLOOKUP(G254,CorMove,2,FALSE),FALSE),Q254-$CD$3,R254,$CJ$5)*H254</f>
        <v>140248.49922231707</v>
      </c>
      <c r="CK254" s="235">
        <f t="shared" si="301"/>
        <v>0.75</v>
      </c>
      <c r="CL254" s="234"/>
      <c r="CM254" t="str">
        <f t="shared" si="302"/>
        <v>36923Curve Shift/Gamma</v>
      </c>
      <c r="CN254" t="str">
        <f t="shared" si="287"/>
        <v>36923Rho</v>
      </c>
      <c r="CO254" t="str">
        <f t="shared" si="288"/>
        <v>36923Drift</v>
      </c>
      <c r="CP254" t="str">
        <f t="shared" si="289"/>
        <v>36923Vega</v>
      </c>
      <c r="CQ254" t="str">
        <f t="shared" si="290"/>
        <v>36923Theta</v>
      </c>
    </row>
    <row r="255" spans="1:95" x14ac:dyDescent="0.25">
      <c r="A255" s="382" t="s">
        <v>279</v>
      </c>
      <c r="B255" t="s">
        <v>250</v>
      </c>
      <c r="C255" t="s">
        <v>409</v>
      </c>
      <c r="D255" s="4" t="s">
        <v>7</v>
      </c>
      <c r="E255" t="s">
        <v>20</v>
      </c>
      <c r="F255" t="s">
        <v>1</v>
      </c>
      <c r="G255" s="5">
        <v>36892</v>
      </c>
      <c r="H255" s="130">
        <v>1000000</v>
      </c>
      <c r="I255">
        <v>0.75</v>
      </c>
      <c r="J255" s="53">
        <f t="shared" si="260"/>
        <v>4.7439999999999998</v>
      </c>
      <c r="K255" s="7">
        <f t="shared" si="261"/>
        <v>2.17</v>
      </c>
      <c r="L255" s="53">
        <f t="shared" si="262"/>
        <v>6.9139999999999997</v>
      </c>
      <c r="M255" s="157">
        <f t="shared" si="291"/>
        <v>6.8374831148490994E-2</v>
      </c>
      <c r="N255" s="4">
        <f t="shared" si="292"/>
        <v>0.60499999999999998</v>
      </c>
      <c r="O255" s="4">
        <f t="shared" si="293"/>
        <v>0.69599999999999995</v>
      </c>
      <c r="P255" s="9">
        <f t="shared" si="294"/>
        <v>0.83</v>
      </c>
      <c r="Q255" s="5">
        <f t="shared" si="254"/>
        <v>36888</v>
      </c>
      <c r="R255" s="4">
        <f t="shared" si="295"/>
        <v>0</v>
      </c>
      <c r="S255" s="158">
        <f>_xll.xSPRDOPT($L255,$J255,$I255,$M255,$O255,$N255,$P255,$Q255-$C$3,$R255,0)</f>
        <v>0.10942744498145573</v>
      </c>
      <c r="T255" s="159">
        <f>_xll.xSPRDOPT($L255,$J255,$I255,$M255,$O255,$N255,$P255,$Q255-$C$3,$R255,1)*H255</f>
        <v>-126179.38493628922</v>
      </c>
      <c r="U255" s="160">
        <f t="shared" si="296"/>
        <v>109427.44498145573</v>
      </c>
      <c r="V255" s="159">
        <f>_xll.xSPRDOPT($L255,$J255,$I255,$M255,$O255,$N255,$P255,$Q255-$C$3,$R255,2)*H255</f>
        <v>176743.15467141199</v>
      </c>
      <c r="W255" s="159">
        <f t="shared" si="297"/>
        <v>50563.769735122769</v>
      </c>
      <c r="X255" s="51" t="str">
        <f t="shared" si="255"/>
        <v>36892IF-TRANSCO/Z6</v>
      </c>
      <c r="Y255" s="418">
        <f t="shared" si="256"/>
        <v>100</v>
      </c>
      <c r="Z255" s="456">
        <f t="shared" si="257"/>
        <v>-0.12617938493628922</v>
      </c>
      <c r="AA255" s="456">
        <f>_xll.xSPRDOPT($L255,$J255,$I255,$M255,$O255,$N255,$P255,$Q255-$C$3,$R255,3)</f>
        <v>0.13157412676368174</v>
      </c>
      <c r="AB255" s="456">
        <f>((_xll.xSPRDOPT($L255+AB$5,$J255,$I255,$M255,$O255,$N255,$P255,$Q255-$C$3,$R255,3)*$H255)/10000)/100</f>
        <v>0.13157412676368174</v>
      </c>
      <c r="AC255" s="456">
        <f>((_xll.xSPRDOPT($L255+$AB$5,$J255,$I255,$M255,$O255,$N255,$P255,$Q255-$C$3,$R255,7)*$H255)/100)</f>
        <v>-7529.2813655784403</v>
      </c>
      <c r="AD255" s="456">
        <f>(_xll.xSPRDOPT($L255+$AB$5,$J255,$I255,$M255,$O255,$N255,$P255,$Q255-$C$3,$R255,9)/365)*$H255</f>
        <v>-1313.3194267133731</v>
      </c>
      <c r="AE255">
        <f t="shared" si="258"/>
        <v>0</v>
      </c>
      <c r="AF255" s="456">
        <f t="shared" si="259"/>
        <v>5331.6213411289245</v>
      </c>
      <c r="AG255" s="456">
        <f>((_xll.xSPRDOPT($L255,$J255,$I255,$M255,$O255,$N255,$P255,$Q255-$C$3,$R255,6)*$H255)/100)</f>
        <v>-1022.4140631057328</v>
      </c>
      <c r="AH255" s="456">
        <f>((_xll.xSPRDOPT($L255,$J255,$I255,$M255,$O255,$N255,$P255,$Q255-$C$3,$R255,5)*$H255)/100)</f>
        <v>5523.2635338534019</v>
      </c>
      <c r="AI255" s="456">
        <f>(((_xll.xSPRDOPT($L255,$J255,$I255,$M255,$O255,$N255,$P255,$Q255-$C$3,$R255,4)*$H255)/10000)/100)-AB255</f>
        <v>7.4761927743649287E-2</v>
      </c>
      <c r="AJ255" s="456"/>
      <c r="AK255" s="456"/>
      <c r="AL255" s="456"/>
      <c r="AM255" s="472"/>
      <c r="CC255" s="141">
        <f t="shared" si="298"/>
        <v>36892</v>
      </c>
      <c r="CD255" s="234">
        <f>_xll.xSPRDOPT((VLOOKUP(G255,NGPrices,2,FALSE)+HLOOKUP(D255,Prices,VLOOKUP(G255,move_down,2,FALSE),FALSE)),VLOOKUP(G255,NGPrices,2,FALSE),I255,VLOOKUP(G255,NGPREVPRICES,4,FALSE),HLOOKUP(D255,PREVVOLS,VLOOKUP(G255,MOVE_DOWN2,2,FALSE),FALSE),VLOOKUP(G255,NGPREVPRICES,3,FALSE),HLOOKUP(D255,Correllate,VLOOKUP(G255,CorMove,2,FALSE),FALSE),Q255-$CD$3,R255,$CD$5)*H255-CJ255</f>
        <v>0</v>
      </c>
      <c r="CE255" s="234">
        <f>_xll.xSPRDOPT((VLOOKUP(G255,NGPREVPRICES,2,FALSE)+HLOOKUP(D255,PREVCURVES,VLOOKUP(G255,MOVE_DOWN2,2,FALSE),FALSE)),VLOOKUP(G255,NGPREVPRICES,2,FALSE),CK255,VLOOKUP(G255,NGPrices,4,FALSE),HLOOKUP(D255,PREVVOLS,VLOOKUP(G255,MOVE_DOWN2,2,FALSE),FALSE),VLOOKUP(G255,NGPREVPRICES,3,FALSE),HLOOKUP(D255,Correllate,VLOOKUP(G255,CorMove,2,FALSE),FALSE),Q255-$CD$3,R255,$CJ$5)*H255-CJ255</f>
        <v>0</v>
      </c>
      <c r="CF255" s="10">
        <f t="shared" si="299"/>
        <v>-20.867916000075638</v>
      </c>
      <c r="CG255" s="234">
        <f>_xll.xSPRDOPT((VLOOKUP(G255,NGPREVPRICES,2,FALSE)+HLOOKUP(D255,PREVCURVES,VLOOKUP(G255,MOVE_DOWN2,2,FALSE),FALSE)),VLOOKUP(G255,NGPREVPRICES,2,FALSE),CK255,VLOOKUP(G255,NGPREVPRICES,4,FALSE),HLOOKUP(D255,VOLS,VLOOKUP(G255,move_down,2,FALSE),FALSE),VLOOKUP(G255,NGPrices,3,FALSE),HLOOKUP(D255,Correllate,VLOOKUP(G255,CorMove,2,FALSE),FALSE),Q255-$CD$3,R255,$CJ$5)*H255-CJ255</f>
        <v>0</v>
      </c>
      <c r="CH255" s="234">
        <f>_xll.xSPRDOPT((VLOOKUP(G255,NGPREVPRICES,2,FALSE)+HLOOKUP(D255,PREVCURVES,VLOOKUP(G255,MOVE_DOWN2,2,FALSE),FALSE)),VLOOKUP(G255,NGPREVPRICES,2,FALSE),CK255,VLOOKUP(G255,NGPREVPRICES,4,FALSE),HLOOKUP(D255,PREVVOLS,VLOOKUP(G255,MOVE_DOWN2,2,FALSE),FALSE),VLOOKUP(G255,NGPREVPRICES,3,FALSE),HLOOKUP(D255,Correllate,VLOOKUP(G255,CorMove,2,FALSE),FALSE),Q255-$C$3,R255,$CJ$5)*H255-CJ255</f>
        <v>-1312.2444681681372</v>
      </c>
      <c r="CI255" s="234">
        <f t="shared" si="300"/>
        <v>-1333.1123841682129</v>
      </c>
      <c r="CJ255" s="234">
        <f>_xll.xSPRDOPT((VLOOKUP(G255,NGPREVPRICES,2,FALSE)+HLOOKUP(D255,PREVCURVES,VLOOKUP(G255,MOVE_DOWN2,2,FALSE),FALSE)),VLOOKUP(G255,NGPREVPRICES,2,FALSE),CK255,VLOOKUP(G255,NGPREVPRICES,4,FALSE),HLOOKUP(D255,PREVVOLS,VLOOKUP(G255,MOVE_DOWN2,2,FALSE),FALSE),VLOOKUP(G255,NGPREVPRICES,3,FALSE),HLOOKUP(D255,Correllate,VLOOKUP(G255,CorMove,2,FALSE),FALSE),Q255-$CD$3,R255,$CJ$5)*H255</f>
        <v>110739.68944962387</v>
      </c>
      <c r="CK255" s="235">
        <f t="shared" si="301"/>
        <v>0.75</v>
      </c>
      <c r="CL255" s="234"/>
      <c r="CM255" t="str">
        <f t="shared" si="302"/>
        <v>36892Curve Shift/Gamma</v>
      </c>
      <c r="CN255" t="str">
        <f t="shared" si="287"/>
        <v>36892Rho</v>
      </c>
      <c r="CO255" t="str">
        <f t="shared" si="288"/>
        <v>36892Drift</v>
      </c>
      <c r="CP255" t="str">
        <f t="shared" si="289"/>
        <v>36892Vega</v>
      </c>
      <c r="CQ255" t="str">
        <f t="shared" si="290"/>
        <v>36892Theta</v>
      </c>
    </row>
    <row r="256" spans="1:95" x14ac:dyDescent="0.25">
      <c r="A256" s="382" t="s">
        <v>279</v>
      </c>
      <c r="B256" t="s">
        <v>250</v>
      </c>
      <c r="C256" t="s">
        <v>409</v>
      </c>
      <c r="D256" s="4" t="s">
        <v>7</v>
      </c>
      <c r="E256" t="s">
        <v>20</v>
      </c>
      <c r="F256" t="s">
        <v>1</v>
      </c>
      <c r="G256" s="5">
        <v>36861</v>
      </c>
      <c r="H256" s="130">
        <v>1000000</v>
      </c>
      <c r="I256">
        <v>0.75</v>
      </c>
      <c r="J256" s="53">
        <f t="shared" si="260"/>
        <v>4.8</v>
      </c>
      <c r="K256" s="7">
        <f t="shared" si="261"/>
        <v>1.645</v>
      </c>
      <c r="L256" s="53">
        <f t="shared" si="262"/>
        <v>6.4450000000000003</v>
      </c>
      <c r="M256" s="157">
        <f t="shared" si="291"/>
        <v>6.8314027999354002E-2</v>
      </c>
      <c r="N256" s="4">
        <f t="shared" si="292"/>
        <v>0.6</v>
      </c>
      <c r="O256" s="4">
        <f t="shared" si="293"/>
        <v>0.69</v>
      </c>
      <c r="P256" s="9">
        <f t="shared" si="294"/>
        <v>0.83</v>
      </c>
      <c r="Q256" s="5">
        <f t="shared" si="254"/>
        <v>36859</v>
      </c>
      <c r="R256" s="4">
        <f t="shared" si="295"/>
        <v>0</v>
      </c>
      <c r="S256" s="158">
        <f>_xll.xSPRDOPT($L256,$J256,$I256,$M256,$O256,$N256,$P256,$Q256-$C$3,$R256,0)</f>
        <v>0.14609680639816691</v>
      </c>
      <c r="T256" s="159">
        <f>_xll.xSPRDOPT($L256,$J256,$I256,$M256,$O256,$N256,$P256,$Q256-$C$3,$R256,1)*H256</f>
        <v>-190487.82904294558</v>
      </c>
      <c r="U256" s="160">
        <f t="shared" si="296"/>
        <v>146096.80639816693</v>
      </c>
      <c r="V256" s="159">
        <f>_xll.xSPRDOPT($L256,$J256,$I256,$M256,$O256,$N256,$P256,$Q256-$C$3,$R256,2)*H256</f>
        <v>245608.40960750708</v>
      </c>
      <c r="W256" s="159">
        <f t="shared" si="297"/>
        <v>55120.580564561504</v>
      </c>
      <c r="X256" s="51" t="str">
        <f t="shared" si="255"/>
        <v>36861IF-TRANSCO/Z6</v>
      </c>
      <c r="Y256" s="418">
        <f t="shared" si="256"/>
        <v>100</v>
      </c>
      <c r="Z256" s="456">
        <f t="shared" si="257"/>
        <v>-0.19048782904294559</v>
      </c>
      <c r="AA256" s="456">
        <f>_xll.xSPRDOPT($L256,$J256,$I256,$M256,$O256,$N256,$P256,$Q256-$C$3,$R256,3)</f>
        <v>0.21448030125474993</v>
      </c>
      <c r="AB256" s="456">
        <f>((_xll.xSPRDOPT($L256+AB$5,$J256,$I256,$M256,$O256,$N256,$P256,$Q256-$C$3,$R256,3)*$H256)/10000)/100</f>
        <v>0.21448030125474993</v>
      </c>
      <c r="AC256" s="456">
        <f>((_xll.xSPRDOPT($L256+$AB$5,$J256,$I256,$M256,$O256,$N256,$P256,$Q256-$C$3,$R256,7)*$H256)/100)</f>
        <v>-8005.6976413173661</v>
      </c>
      <c r="AD256" s="456">
        <f>(_xll.xSPRDOPT($L256+$AB$5,$J256,$I256,$M256,$O256,$N256,$P256,$Q256-$C$3,$R256,9)/365)*$H256</f>
        <v>-1823.8746650681944</v>
      </c>
      <c r="AE256">
        <f t="shared" si="258"/>
        <v>0</v>
      </c>
      <c r="AF256" s="456">
        <f t="shared" si="259"/>
        <v>5673.1839936589658</v>
      </c>
      <c r="AG256" s="456">
        <f>((_xll.xSPRDOPT($L256,$J256,$I256,$M256,$O256,$N256,$P256,$Q256-$C$3,$R256,6)*$H256)/100)</f>
        <v>-1058.8091778230669</v>
      </c>
      <c r="AH256" s="456">
        <f>((_xll.xSPRDOPT($L256,$J256,$I256,$M256,$O256,$N256,$P256,$Q256-$C$3,$R256,5)*$H256)/100)</f>
        <v>5853.907105636551</v>
      </c>
      <c r="AI256" s="456">
        <f>(((_xll.xSPRDOPT($L256,$J256,$I256,$M256,$O256,$N256,$P256,$Q256-$C$3,$R256,4)*$H256)/10000)/100)-AB256</f>
        <v>7.3159970942077324E-2</v>
      </c>
      <c r="AJ256" s="456"/>
      <c r="AK256" s="456"/>
      <c r="AL256" s="456"/>
      <c r="AM256" s="472"/>
      <c r="CC256" s="141">
        <f t="shared" si="298"/>
        <v>36861</v>
      </c>
      <c r="CD256" s="234">
        <f>_xll.xSPRDOPT((VLOOKUP(G256,NGPrices,2,FALSE)+HLOOKUP(D256,Prices,VLOOKUP(G256,move_down,2,FALSE),FALSE)),VLOOKUP(G256,NGPrices,2,FALSE),I256,VLOOKUP(G256,NGPREVPRICES,4,FALSE),HLOOKUP(D256,PREVVOLS,VLOOKUP(G256,MOVE_DOWN2,2,FALSE),FALSE),VLOOKUP(G256,NGPREVPRICES,3,FALSE),HLOOKUP(D256,Correllate,VLOOKUP(G256,CorMove,2,FALSE),FALSE),Q256-$CD$3,R256,$CD$5)*H256-CJ256</f>
        <v>0</v>
      </c>
      <c r="CE256" s="234">
        <f>_xll.xSPRDOPT((VLOOKUP(G256,NGPREVPRICES,2,FALSE)+HLOOKUP(D256,PREVCURVES,VLOOKUP(G256,MOVE_DOWN2,2,FALSE),FALSE)),VLOOKUP(G256,NGPREVPRICES,2,FALSE),CK256,VLOOKUP(G256,NGPrices,4,FALSE),HLOOKUP(D256,PREVVOLS,VLOOKUP(G256,MOVE_DOWN2,2,FALSE),FALSE),VLOOKUP(G256,NGPREVPRICES,3,FALSE),HLOOKUP(D256,Correllate,VLOOKUP(G256,CorMove,2,FALSE),FALSE),Q256-$CD$3,R256,$CJ$5)*H256-CJ256</f>
        <v>0</v>
      </c>
      <c r="CF256" s="10">
        <f t="shared" si="299"/>
        <v>-27.710462576476857</v>
      </c>
      <c r="CG256" s="234">
        <f>_xll.xSPRDOPT((VLOOKUP(G256,NGPREVPRICES,2,FALSE)+HLOOKUP(D256,PREVCURVES,VLOOKUP(G256,MOVE_DOWN2,2,FALSE),FALSE)),VLOOKUP(G256,NGPREVPRICES,2,FALSE),CK256,VLOOKUP(G256,NGPREVPRICES,4,FALSE),HLOOKUP(D256,VOLS,VLOOKUP(G256,move_down,2,FALSE),FALSE),VLOOKUP(G256,NGPrices,3,FALSE),HLOOKUP(D256,Correllate,VLOOKUP(G256,CorMove,2,FALSE),FALSE),Q256-$CD$3,R256,$CJ$5)*H256-CJ256</f>
        <v>0</v>
      </c>
      <c r="CH256" s="234">
        <f>_xll.xSPRDOPT((VLOOKUP(G256,NGPREVPRICES,2,FALSE)+HLOOKUP(D256,PREVCURVES,VLOOKUP(G256,MOVE_DOWN2,2,FALSE),FALSE)),VLOOKUP(G256,NGPREVPRICES,2,FALSE),CK256,VLOOKUP(G256,NGPREVPRICES,4,FALSE),HLOOKUP(D256,PREVVOLS,VLOOKUP(G256,MOVE_DOWN2,2,FALSE),FALSE),VLOOKUP(G256,NGPREVPRICES,3,FALSE),HLOOKUP(D256,Correllate,VLOOKUP(G256,CorMove,2,FALSE),FALSE),Q256-$C$3,R256,$CJ$5)*H256-CJ256</f>
        <v>-1820.1787731060176</v>
      </c>
      <c r="CI256" s="234">
        <f t="shared" si="300"/>
        <v>-1847.8892356824945</v>
      </c>
      <c r="CJ256" s="234">
        <f>_xll.xSPRDOPT((VLOOKUP(G256,NGPREVPRICES,2,FALSE)+HLOOKUP(D256,PREVCURVES,VLOOKUP(G256,MOVE_DOWN2,2,FALSE),FALSE)),VLOOKUP(G256,NGPREVPRICES,2,FALSE),CK256,VLOOKUP(G256,NGPREVPRICES,4,FALSE),HLOOKUP(D256,PREVVOLS,VLOOKUP(G256,MOVE_DOWN2,2,FALSE),FALSE),VLOOKUP(G256,NGPREVPRICES,3,FALSE),HLOOKUP(D256,Correllate,VLOOKUP(G256,CorMove,2,FALSE),FALSE),Q256-$CD$3,R256,$CJ$5)*H256</f>
        <v>147916.98517127294</v>
      </c>
      <c r="CK256" s="235">
        <f t="shared" si="301"/>
        <v>0.75</v>
      </c>
      <c r="CL256" s="234"/>
      <c r="CM256" t="str">
        <f t="shared" si="302"/>
        <v>36861Curve Shift/Gamma</v>
      </c>
      <c r="CN256" t="str">
        <f t="shared" si="287"/>
        <v>36861Rho</v>
      </c>
      <c r="CO256" t="str">
        <f t="shared" si="288"/>
        <v>36861Drift</v>
      </c>
      <c r="CP256" t="str">
        <f t="shared" si="289"/>
        <v>36861Vega</v>
      </c>
      <c r="CQ256" t="str">
        <f t="shared" si="290"/>
        <v>36861Theta</v>
      </c>
    </row>
    <row r="257" spans="1:95" x14ac:dyDescent="0.25">
      <c r="A257" s="382" t="s">
        <v>279</v>
      </c>
      <c r="B257" t="s">
        <v>250</v>
      </c>
      <c r="C257" t="s">
        <v>409</v>
      </c>
      <c r="D257" s="4" t="s">
        <v>7</v>
      </c>
      <c r="E257" t="s">
        <v>20</v>
      </c>
      <c r="F257" t="s">
        <v>1</v>
      </c>
      <c r="G257" s="5">
        <v>36831</v>
      </c>
      <c r="H257" s="130">
        <v>1000000</v>
      </c>
      <c r="I257">
        <v>0.75</v>
      </c>
      <c r="J257" s="53">
        <f t="shared" si="260"/>
        <v>4.7359999999999998</v>
      </c>
      <c r="K257" s="7">
        <f t="shared" si="261"/>
        <v>0.77</v>
      </c>
      <c r="L257" s="53">
        <f t="shared" si="262"/>
        <v>5.5060000000000002</v>
      </c>
      <c r="M257" s="157">
        <f t="shared" ref="M257:M266" si="303">VLOOKUP(G257,NGPrices,4,FALSE)</f>
        <v>6.810675983792E-2</v>
      </c>
      <c r="N257" s="4">
        <f t="shared" ref="N257:N266" si="304">VLOOKUP(G257,NGPrices,3,FALSE)</f>
        <v>0.59499999999999997</v>
      </c>
      <c r="O257" s="4">
        <f t="shared" ref="O257:O266" si="305">HLOOKUP(D257,VOLS,VLOOKUP(G257,move_down,2,FALSE),FALSE)</f>
        <v>0.625</v>
      </c>
      <c r="P257" s="9">
        <f t="shared" ref="P257:P266" si="306">HLOOKUP(D257,Correllate,VLOOKUP(G257,CorMove,2,FALSE),FALSE)</f>
        <v>0.89</v>
      </c>
      <c r="Q257" s="5">
        <f t="shared" si="254"/>
        <v>36829</v>
      </c>
      <c r="R257" s="4">
        <f t="shared" ref="R257:R266" si="307">IF(F257="P",0,1)</f>
        <v>0</v>
      </c>
      <c r="S257" s="158">
        <f>_xll.xSPRDOPT($L257,$J257,$I257,$M257,$O257,$N257,$P257,$Q257-$C$3,$R257,0)</f>
        <v>0.24759733949464924</v>
      </c>
      <c r="T257" s="159">
        <f>_xll.xSPRDOPT($L257,$J257,$I257,$M257,$O257,$N257,$P257,$Q257-$C$3,$R257,1)*H257</f>
        <v>-458511.96912970324</v>
      </c>
      <c r="U257" s="160">
        <f t="shared" ref="U257:U266" si="308">S257*H257</f>
        <v>247597.33949464923</v>
      </c>
      <c r="V257" s="159">
        <f>_xll.xSPRDOPT($L257,$J257,$I257,$M257,$O257,$N257,$P257,$Q257-$C$3,$R257,2)*H257</f>
        <v>503311.33679967822</v>
      </c>
      <c r="W257" s="159">
        <f t="shared" ref="W257:W266" si="309">+V257+T257</f>
        <v>44799.367669974978</v>
      </c>
      <c r="X257" s="51" t="str">
        <f t="shared" si="255"/>
        <v>36831IF-TRANSCO/Z6</v>
      </c>
      <c r="Y257" s="418">
        <f t="shared" si="256"/>
        <v>100</v>
      </c>
      <c r="Z257" s="456">
        <f t="shared" si="257"/>
        <v>-0.45851196912970327</v>
      </c>
      <c r="AA257" s="456">
        <f>_xll.xSPRDOPT($L257,$J257,$I257,$M257,$O257,$N257,$P257,$Q257-$C$3,$R257,3)</f>
        <v>0.60041672407622559</v>
      </c>
      <c r="AB257" s="456">
        <f>((_xll.xSPRDOPT($L257+AB$5,$J257,$I257,$M257,$O257,$N257,$P257,$Q257-$C$3,$R257,3)*$H257)/10000)/100</f>
        <v>0.60041672407622559</v>
      </c>
      <c r="AC257" s="456">
        <f>((_xll.xSPRDOPT($L257+$AB$5,$J257,$I257,$M257,$O257,$N257,$P257,$Q257-$C$3,$R257,7)*$H257)/100)</f>
        <v>-9924.3873148176463</v>
      </c>
      <c r="AD257" s="456">
        <f>(_xll.xSPRDOPT($L257+$AB$5,$J257,$I257,$M257,$O257,$N257,$P257,$Q257-$C$3,$R257,9)/365)*$H257</f>
        <v>-2030.6081555507101</v>
      </c>
      <c r="AE257">
        <f t="shared" si="258"/>
        <v>0</v>
      </c>
      <c r="AF257" s="456">
        <f t="shared" si="259"/>
        <v>4325.1758225766325</v>
      </c>
      <c r="AG257" s="456">
        <f>((_xll.xSPRDOPT($L257,$J257,$I257,$M257,$O257,$N257,$P257,$Q257-$C$3,$R257,6)*$H257)/100)</f>
        <v>-1114.7069746339384</v>
      </c>
      <c r="AH257" s="456">
        <f>((_xll.xSPRDOPT($L257,$J257,$I257,$M257,$O257,$N257,$P257,$Q257-$C$3,$R257,5)*$H257)/100)</f>
        <v>5178.7684229444631</v>
      </c>
      <c r="AI257" s="456">
        <f>(((_xll.xSPRDOPT($L257,$J257,$I257,$M257,$O257,$N257,$P257,$Q257-$C$3,$R257,4)*$H257)/10000)/100)-AB257</f>
        <v>5.6672515353827224E-3</v>
      </c>
      <c r="AJ257" s="456"/>
      <c r="AK257" s="456"/>
      <c r="AL257" s="456"/>
      <c r="AM257" s="472"/>
      <c r="CC257" s="141">
        <f t="shared" si="298"/>
        <v>36831</v>
      </c>
      <c r="CD257" s="234">
        <f>_xll.xSPRDOPT((VLOOKUP(G257,NGPrices,2,FALSE)+HLOOKUP(D257,Prices,VLOOKUP(G257,move_down,2,FALSE),FALSE)),VLOOKUP(G257,NGPrices,2,FALSE),I257,VLOOKUP(G257,NGPREVPRICES,4,FALSE),HLOOKUP(D257,PREVVOLS,VLOOKUP(G257,MOVE_DOWN2,2,FALSE),FALSE),VLOOKUP(G257,NGPREVPRICES,3,FALSE),HLOOKUP(D257,Correllate,VLOOKUP(G257,CorMove,2,FALSE),FALSE),Q257-$CD$3,R257,$CD$5)*H257-CJ257</f>
        <v>0</v>
      </c>
      <c r="CE257" s="234">
        <f>_xll.xSPRDOPT((VLOOKUP(G257,NGPREVPRICES,2,FALSE)+HLOOKUP(D257,PREVCURVES,VLOOKUP(G257,MOVE_DOWN2,2,FALSE),FALSE)),VLOOKUP(G257,NGPREVPRICES,2,FALSE),CK257,VLOOKUP(G257,NGPrices,4,FALSE),HLOOKUP(D257,PREVVOLS,VLOOKUP(G257,MOVE_DOWN2,2,FALSE),FALSE),VLOOKUP(G257,NGPREVPRICES,3,FALSE),HLOOKUP(D257,Correllate,VLOOKUP(G257,CorMove,2,FALSE),FALSE),Q257-$CD$3,R257,$CJ$5)*H257-CJ257</f>
        <v>0</v>
      </c>
      <c r="CF257" s="10">
        <f t="shared" si="299"/>
        <v>-46.356699975847732</v>
      </c>
      <c r="CG257" s="234">
        <f>_xll.xSPRDOPT((VLOOKUP(G257,NGPREVPRICES,2,FALSE)+HLOOKUP(D257,PREVCURVES,VLOOKUP(G257,MOVE_DOWN2,2,FALSE),FALSE)),VLOOKUP(G257,NGPREVPRICES,2,FALSE),CK257,VLOOKUP(G257,NGPREVPRICES,4,FALSE),HLOOKUP(D257,VOLS,VLOOKUP(G257,move_down,2,FALSE),FALSE),VLOOKUP(G257,NGPrices,3,FALSE),HLOOKUP(D257,Correllate,VLOOKUP(G257,CorMove,2,FALSE),FALSE),Q257-$CD$3,R257,$CJ$5)*H257-CJ257</f>
        <v>0</v>
      </c>
      <c r="CH257" s="234">
        <f>_xll.xSPRDOPT((VLOOKUP(G257,NGPREVPRICES,2,FALSE)+HLOOKUP(D257,PREVCURVES,VLOOKUP(G257,MOVE_DOWN2,2,FALSE),FALSE)),VLOOKUP(G257,NGPREVPRICES,2,FALSE),CK257,VLOOKUP(G257,NGPREVPRICES,4,FALSE),HLOOKUP(D257,PREVVOLS,VLOOKUP(G257,MOVE_DOWN2,2,FALSE),FALSE),VLOOKUP(G257,NGPREVPRICES,3,FALSE),HLOOKUP(D257,Correllate,VLOOKUP(G257,CorMove,2,FALSE),FALSE),Q257-$C$3,R257,$CJ$5)*H257-CJ257</f>
        <v>-2020.5530897623394</v>
      </c>
      <c r="CI257" s="234">
        <f t="shared" si="300"/>
        <v>-2066.9097897381871</v>
      </c>
      <c r="CJ257" s="234">
        <f>_xll.xSPRDOPT((VLOOKUP(G257,NGPREVPRICES,2,FALSE)+HLOOKUP(D257,PREVCURVES,VLOOKUP(G257,MOVE_DOWN2,2,FALSE),FALSE)),VLOOKUP(G257,NGPREVPRICES,2,FALSE),CK257,VLOOKUP(G257,NGPREVPRICES,4,FALSE),HLOOKUP(D257,PREVVOLS,VLOOKUP(G257,MOVE_DOWN2,2,FALSE),FALSE),VLOOKUP(G257,NGPREVPRICES,3,FALSE),HLOOKUP(D257,Correllate,VLOOKUP(G257,CorMove,2,FALSE),FALSE),Q257-$CD$3,R257,$CJ$5)*H257</f>
        <v>249617.89258441157</v>
      </c>
      <c r="CK257" s="235">
        <f t="shared" si="301"/>
        <v>0.75</v>
      </c>
      <c r="CL257" s="234"/>
      <c r="CM257" t="str">
        <f t="shared" si="302"/>
        <v>36831Curve Shift/Gamma</v>
      </c>
      <c r="CN257" t="str">
        <f t="shared" si="287"/>
        <v>36831Rho</v>
      </c>
      <c r="CO257" t="str">
        <f t="shared" si="288"/>
        <v>36831Drift</v>
      </c>
      <c r="CP257" t="str">
        <f t="shared" si="289"/>
        <v>36831Vega</v>
      </c>
      <c r="CQ257" t="str">
        <f t="shared" si="290"/>
        <v>36831Theta</v>
      </c>
    </row>
    <row r="258" spans="1:95" x14ac:dyDescent="0.25">
      <c r="A258" s="382" t="s">
        <v>279</v>
      </c>
      <c r="B258" t="s">
        <v>250</v>
      </c>
      <c r="C258" t="s">
        <v>410</v>
      </c>
      <c r="D258" s="4" t="s">
        <v>7</v>
      </c>
      <c r="E258" t="s">
        <v>20</v>
      </c>
      <c r="F258" t="s">
        <v>21</v>
      </c>
      <c r="G258" s="5">
        <v>36951</v>
      </c>
      <c r="H258" s="130">
        <v>-310000</v>
      </c>
      <c r="I258">
        <v>3</v>
      </c>
      <c r="J258" s="53">
        <f t="shared" si="260"/>
        <v>4.2130000000000001</v>
      </c>
      <c r="K258" s="7">
        <f t="shared" si="261"/>
        <v>1.075</v>
      </c>
      <c r="L258" s="53">
        <f t="shared" si="262"/>
        <v>5.2880000000000003</v>
      </c>
      <c r="M258" s="157">
        <f t="shared" si="303"/>
        <v>6.8879814952706994E-2</v>
      </c>
      <c r="N258" s="4">
        <f t="shared" si="304"/>
        <v>0.53249999999999997</v>
      </c>
      <c r="O258" s="4">
        <f t="shared" si="305"/>
        <v>0.61199999999999999</v>
      </c>
      <c r="P258" s="9">
        <f t="shared" si="306"/>
        <v>0.83</v>
      </c>
      <c r="Q258" s="5">
        <f t="shared" si="254"/>
        <v>36949</v>
      </c>
      <c r="R258" s="4">
        <f t="shared" si="307"/>
        <v>1</v>
      </c>
      <c r="S258" s="158">
        <f>_xll.xSPRDOPT($L258,$J258,$I258,$M258,$O258,$N258,$P258,$Q258-$C$3,$R258,0)</f>
        <v>0.10436035305282036</v>
      </c>
      <c r="T258" s="159">
        <f>_xll.xSPRDOPT($L258,$J258,$I258,$M258,$O258,$N258,$P258,$Q258-$C$3,$R258,1)*H258</f>
        <v>-48693.342368857069</v>
      </c>
      <c r="U258" s="160">
        <f t="shared" si="308"/>
        <v>-32351.709446374312</v>
      </c>
      <c r="V258" s="159">
        <f>_xll.xSPRDOPT($L258,$J258,$I258,$M258,$O258,$N258,$P258,$Q258-$C$3,$R258,2)*H258</f>
        <v>34894.693562582012</v>
      </c>
      <c r="W258" s="159">
        <f t="shared" si="309"/>
        <v>-13798.648806275058</v>
      </c>
      <c r="X258" s="51" t="str">
        <f t="shared" si="255"/>
        <v>36951IF-TRANSCO/Z6</v>
      </c>
      <c r="Y258" s="418">
        <f t="shared" si="256"/>
        <v>-31</v>
      </c>
      <c r="Z258" s="456">
        <f t="shared" si="257"/>
        <v>0.15707529796405506</v>
      </c>
      <c r="AA258" s="456">
        <f>_xll.xSPRDOPT($L258,$J258,$I258,$M258,$O258,$N258,$P258,$Q258-$C$3,$R258,3)</f>
        <v>0.16689996764371509</v>
      </c>
      <c r="AB258" s="456">
        <f>((_xll.xSPRDOPT($L258+AB$5,$J258,$I258,$M258,$O258,$N258,$P258,$Q258-$C$3,$R258,3)*$H258)/10000)/100</f>
        <v>-5.1738989969551674E-2</v>
      </c>
      <c r="AC258" s="456">
        <f>((_xll.xSPRDOPT($L258+$AB$5,$J258,$I258,$M258,$O258,$N258,$P258,$Q258-$C$3,$R258,7)*$H258)/100)</f>
        <v>1499.0240555954872</v>
      </c>
      <c r="AD258" s="456">
        <f>(_xll.xSPRDOPT($L258+$AB$5,$J258,$I258,$M258,$O258,$N258,$P258,$Q258-$C$3,$R258,9)/365)*$H258</f>
        <v>283.8411515054284</v>
      </c>
      <c r="AE258">
        <f t="shared" si="258"/>
        <v>0</v>
      </c>
      <c r="AF258" s="456">
        <f t="shared" si="259"/>
        <v>-1980.6237572262187</v>
      </c>
      <c r="AG258" s="456">
        <f>((_xll.xSPRDOPT($L258,$J258,$I258,$M258,$O258,$N258,$P258,$Q258-$C$3,$R258,6)*$H258)/100)</f>
        <v>753.53709064071677</v>
      </c>
      <c r="AH258" s="456">
        <f>((_xll.xSPRDOPT($L258,$J258,$I258,$M258,$O258,$N258,$P258,$Q258-$C$3,$R258,5)*$H258)/100)</f>
        <v>-2378.9879926293188</v>
      </c>
      <c r="AI258" s="456">
        <f>(((_xll.xSPRDOPT($L258,$J258,$I258,$M258,$O258,$N258,$P258,$Q258-$C$3,$R258,4)*$H258)/10000)/100)-AB258</f>
        <v>1.8127347281547773E-2</v>
      </c>
      <c r="AJ258" s="456"/>
      <c r="AK258" s="456"/>
      <c r="AL258" s="456"/>
      <c r="AM258" s="472"/>
      <c r="CC258" s="141">
        <f t="shared" si="298"/>
        <v>36951</v>
      </c>
      <c r="CD258" s="234">
        <f>_xll.xSPRDOPT((VLOOKUP(G258,NGPrices,2,FALSE)+HLOOKUP(D258,Prices,VLOOKUP(G258,move_down,2,FALSE),FALSE)),VLOOKUP(G258,NGPrices,2,FALSE),I258,VLOOKUP(G258,NGPREVPRICES,4,FALSE),HLOOKUP(D258,PREVVOLS,VLOOKUP(G258,MOVE_DOWN2,2,FALSE),FALSE),VLOOKUP(G258,NGPREVPRICES,3,FALSE),HLOOKUP(D258,Correllate,VLOOKUP(G258,CorMove,2,FALSE),FALSE),Q258-$CD$3,R258,$CD$5)*H258-CJ258</f>
        <v>0</v>
      </c>
      <c r="CE258" s="234">
        <f>_xll.xSPRDOPT((VLOOKUP(G258,NGPREVPRICES,2,FALSE)+HLOOKUP(D258,PREVCURVES,VLOOKUP(G258,MOVE_DOWN2,2,FALSE),FALSE)),VLOOKUP(G258,NGPREVPRICES,2,FALSE),CK258,VLOOKUP(G258,NGPrices,4,FALSE),HLOOKUP(D258,PREVVOLS,VLOOKUP(G258,MOVE_DOWN2,2,FALSE),FALSE),VLOOKUP(G258,NGPREVPRICES,3,FALSE),HLOOKUP(D258,Correllate,VLOOKUP(G258,CorMove,2,FALSE),FALSE),Q258-$CD$3,R258,$CJ$5)*H258-CJ258</f>
        <v>0</v>
      </c>
      <c r="CF258" s="10">
        <f t="shared" si="299"/>
        <v>6.2589835189064615</v>
      </c>
      <c r="CG258" s="234">
        <f>_xll.xSPRDOPT((VLOOKUP(G258,NGPREVPRICES,2,FALSE)+HLOOKUP(D258,PREVCURVES,VLOOKUP(G258,MOVE_DOWN2,2,FALSE),FALSE)),VLOOKUP(G258,NGPREVPRICES,2,FALSE),CK258,VLOOKUP(G258,NGPREVPRICES,4,FALSE),HLOOKUP(D258,VOLS,VLOOKUP(G258,move_down,2,FALSE),FALSE),VLOOKUP(G258,NGPrices,3,FALSE),HLOOKUP(D258,Correllate,VLOOKUP(G258,CorMove,2,FALSE),FALSE),Q258-$CD$3,R258,$CJ$5)*H258-CJ258</f>
        <v>0</v>
      </c>
      <c r="CH258" s="234">
        <f>_xll.xSPRDOPT((VLOOKUP(G258,NGPREVPRICES,2,FALSE)+HLOOKUP(D258,PREVCURVES,VLOOKUP(G258,MOVE_DOWN2,2,FALSE),FALSE)),VLOOKUP(G258,NGPREVPRICES,2,FALSE),CK258,VLOOKUP(G258,NGPREVPRICES,4,FALSE),HLOOKUP(D258,PREVVOLS,VLOOKUP(G258,MOVE_DOWN2,2,FALSE),FALSE),VLOOKUP(G258,NGPREVPRICES,3,FALSE),HLOOKUP(D258,Correllate,VLOOKUP(G258,CorMove,2,FALSE),FALSE),Q258-$C$3,R258,$CJ$5)*H258-CJ258</f>
        <v>283.69840988190117</v>
      </c>
      <c r="CI258" s="234">
        <f t="shared" si="300"/>
        <v>289.95739340080763</v>
      </c>
      <c r="CJ258" s="234">
        <f>_xll.xSPRDOPT((VLOOKUP(G258,NGPREVPRICES,2,FALSE)+HLOOKUP(D258,PREVCURVES,VLOOKUP(G258,MOVE_DOWN2,2,FALSE),FALSE)),VLOOKUP(G258,NGPREVPRICES,2,FALSE),CK258,VLOOKUP(G258,NGPREVPRICES,4,FALSE),HLOOKUP(D258,PREVVOLS,VLOOKUP(G258,MOVE_DOWN2,2,FALSE),FALSE),VLOOKUP(G258,NGPREVPRICES,3,FALSE),HLOOKUP(D258,Correllate,VLOOKUP(G258,CorMove,2,FALSE),FALSE),Q258-$CD$3,R258,$CJ$5)*H258</f>
        <v>-32635.407856256214</v>
      </c>
      <c r="CK258" s="235">
        <f t="shared" si="301"/>
        <v>3</v>
      </c>
      <c r="CL258" s="234"/>
      <c r="CM258" t="str">
        <f t="shared" si="302"/>
        <v>36951Curve Shift/Gamma</v>
      </c>
      <c r="CN258" t="str">
        <f t="shared" si="287"/>
        <v>36951Rho</v>
      </c>
      <c r="CO258" t="str">
        <f t="shared" si="288"/>
        <v>36951Drift</v>
      </c>
      <c r="CP258" t="str">
        <f t="shared" si="289"/>
        <v>36951Vega</v>
      </c>
      <c r="CQ258" t="str">
        <f t="shared" si="290"/>
        <v>36951Theta</v>
      </c>
    </row>
    <row r="259" spans="1:95" x14ac:dyDescent="0.25">
      <c r="A259" s="382" t="s">
        <v>279</v>
      </c>
      <c r="B259" t="s">
        <v>250</v>
      </c>
      <c r="C259" t="s">
        <v>410</v>
      </c>
      <c r="D259" s="4" t="s">
        <v>7</v>
      </c>
      <c r="E259" t="s">
        <v>20</v>
      </c>
      <c r="F259" t="s">
        <v>21</v>
      </c>
      <c r="G259" s="5">
        <v>36923</v>
      </c>
      <c r="H259" s="130">
        <v>-280000</v>
      </c>
      <c r="I259">
        <v>3</v>
      </c>
      <c r="J259" s="53">
        <f t="shared" si="260"/>
        <v>4.4800000000000004</v>
      </c>
      <c r="K259" s="7">
        <f t="shared" si="261"/>
        <v>2.09</v>
      </c>
      <c r="L259" s="53">
        <f t="shared" si="262"/>
        <v>6.57</v>
      </c>
      <c r="M259" s="157">
        <f t="shared" si="303"/>
        <v>6.8640161611372E-2</v>
      </c>
      <c r="N259" s="4">
        <f t="shared" si="304"/>
        <v>0.59250000000000003</v>
      </c>
      <c r="O259" s="4">
        <f t="shared" si="305"/>
        <v>0.68100000000000005</v>
      </c>
      <c r="P259" s="9">
        <f t="shared" si="306"/>
        <v>0.83</v>
      </c>
      <c r="Q259" s="5">
        <f t="shared" si="254"/>
        <v>36921</v>
      </c>
      <c r="R259" s="4">
        <f t="shared" si="307"/>
        <v>1</v>
      </c>
      <c r="S259" s="158">
        <f>_xll.xSPRDOPT($L259,$J259,$I259,$M259,$O259,$N259,$P259,$Q259-$C$3,$R259,0)</f>
        <v>0.39776106179396853</v>
      </c>
      <c r="T259" s="159">
        <f>_xll.xSPRDOPT($L259,$J259,$I259,$M259,$O259,$N259,$P259,$Q259-$C$3,$R259,1)*H259</f>
        <v>-102929.19891046209</v>
      </c>
      <c r="U259" s="160">
        <f t="shared" si="308"/>
        <v>-111373.09730231119</v>
      </c>
      <c r="V259" s="159">
        <f>_xll.xSPRDOPT($L259,$J259,$I259,$M259,$O259,$N259,$P259,$Q259-$C$3,$R259,2)*H259</f>
        <v>81850.978690657226</v>
      </c>
      <c r="W259" s="159">
        <f t="shared" si="309"/>
        <v>-21078.220219804862</v>
      </c>
      <c r="X259" s="51" t="str">
        <f t="shared" si="255"/>
        <v>36923IF-TRANSCO/Z6</v>
      </c>
      <c r="Y259" s="418">
        <f t="shared" si="256"/>
        <v>-28</v>
      </c>
      <c r="Z259" s="456">
        <f t="shared" si="257"/>
        <v>0.36760428182307886</v>
      </c>
      <c r="AA259" s="456">
        <f>_xll.xSPRDOPT($L259,$J259,$I259,$M259,$O259,$N259,$P259,$Q259-$C$3,$R259,3)</f>
        <v>0.20276399524083444</v>
      </c>
      <c r="AB259" s="456">
        <f>((_xll.xSPRDOPT($L259+AB$5,$J259,$I259,$M259,$O259,$N259,$P259,$Q259-$C$3,$R259,3)*$H259)/10000)/100</f>
        <v>-5.6773918667433643E-2</v>
      </c>
      <c r="AC259" s="456">
        <f>((_xll.xSPRDOPT($L259+$AB$5,$J259,$I259,$M259,$O259,$N259,$P259,$Q259-$C$3,$R259,7)*$H259)/100)</f>
        <v>2618.2410970529791</v>
      </c>
      <c r="AD259" s="456">
        <f>(_xll.xSPRDOPT($L259+$AB$5,$J259,$I259,$M259,$O259,$N259,$P259,$Q259-$C$3,$R259,9)/365)*$H259</f>
        <v>595.53065270345951</v>
      </c>
      <c r="AE259">
        <f t="shared" si="258"/>
        <v>0</v>
      </c>
      <c r="AF259" s="456">
        <f t="shared" si="259"/>
        <v>-3202.4358068741876</v>
      </c>
      <c r="AG259" s="456">
        <f>((_xll.xSPRDOPT($L259,$J259,$I259,$M259,$O259,$N259,$P259,$Q259-$C$3,$R259,6)*$H259)/100)</f>
        <v>1217.3490700174427</v>
      </c>
      <c r="AH259" s="456">
        <f>((_xll.xSPRDOPT($L259,$J259,$I259,$M259,$O259,$N259,$P259,$Q259-$C$3,$R259,5)*$H259)/100)</f>
        <v>-3845.4075470753164</v>
      </c>
      <c r="AI259" s="456">
        <f>(((_xll.xSPRDOPT($L259,$J259,$I259,$M259,$O259,$N259,$P259,$Q259-$C$3,$R259,4)*$H259)/10000)/100)-AB259</f>
        <v>7.9016735906094274E-3</v>
      </c>
      <c r="AJ259" s="456"/>
      <c r="AK259" s="456"/>
      <c r="AL259" s="456"/>
      <c r="AM259" s="472"/>
      <c r="CC259" s="141">
        <f t="shared" si="298"/>
        <v>36923</v>
      </c>
      <c r="CD259" s="234">
        <f>_xll.xSPRDOPT((VLOOKUP(G259,NGPrices,2,FALSE)+HLOOKUP(D259,Prices,VLOOKUP(G259,move_down,2,FALSE),FALSE)),VLOOKUP(G259,NGPrices,2,FALSE),I259,VLOOKUP(G259,NGPREVPRICES,4,FALSE),HLOOKUP(D259,PREVVOLS,VLOOKUP(G259,MOVE_DOWN2,2,FALSE),FALSE),VLOOKUP(G259,NGPREVPRICES,3,FALSE),HLOOKUP(D259,Correllate,VLOOKUP(G259,CorMove,2,FALSE),FALSE),Q259-$CD$3,R259,$CD$5)*H259-CJ259</f>
        <v>0</v>
      </c>
      <c r="CE259" s="234">
        <f>_xll.xSPRDOPT((VLOOKUP(G259,NGPREVPRICES,2,FALSE)+HLOOKUP(D259,PREVCURVES,VLOOKUP(G259,MOVE_DOWN2,2,FALSE),FALSE)),VLOOKUP(G259,NGPREVPRICES,2,FALSE),CK259,VLOOKUP(G259,NGPrices,4,FALSE),HLOOKUP(D259,PREVVOLS,VLOOKUP(G259,MOVE_DOWN2,2,FALSE),FALSE),VLOOKUP(G259,NGPREVPRICES,3,FALSE),HLOOKUP(D259,Correllate,VLOOKUP(G259,CorMove,2,FALSE),FALSE),Q259-$CD$3,R259,$CJ$5)*H259-CJ259</f>
        <v>0</v>
      </c>
      <c r="CF259" s="10">
        <f t="shared" si="299"/>
        <v>21.294889984928886</v>
      </c>
      <c r="CG259" s="234">
        <f>_xll.xSPRDOPT((VLOOKUP(G259,NGPREVPRICES,2,FALSE)+HLOOKUP(D259,PREVCURVES,VLOOKUP(G259,MOVE_DOWN2,2,FALSE),FALSE)),VLOOKUP(G259,NGPREVPRICES,2,FALSE),CK259,VLOOKUP(G259,NGPREVPRICES,4,FALSE),HLOOKUP(D259,VOLS,VLOOKUP(G259,move_down,2,FALSE),FALSE),VLOOKUP(G259,NGPrices,3,FALSE),HLOOKUP(D259,Correllate,VLOOKUP(G259,CorMove,2,FALSE),FALSE),Q259-$CD$3,R259,$CJ$5)*H259-CJ259</f>
        <v>0</v>
      </c>
      <c r="CH259" s="234">
        <f>_xll.xSPRDOPT((VLOOKUP(G259,NGPREVPRICES,2,FALSE)+HLOOKUP(D259,PREVCURVES,VLOOKUP(G259,MOVE_DOWN2,2,FALSE),FALSE)),VLOOKUP(G259,NGPREVPRICES,2,FALSE),CK259,VLOOKUP(G259,NGPREVPRICES,4,FALSE),HLOOKUP(D259,PREVVOLS,VLOOKUP(G259,MOVE_DOWN2,2,FALSE),FALSE),VLOOKUP(G259,NGPREVPRICES,3,FALSE),HLOOKUP(D259,Correllate,VLOOKUP(G259,CorMove,2,FALSE),FALSE),Q259-$C$3,R259,$CJ$5)*H259-CJ259</f>
        <v>594.20776291986112</v>
      </c>
      <c r="CI259" s="234">
        <f t="shared" si="300"/>
        <v>615.50265290479001</v>
      </c>
      <c r="CJ259" s="234">
        <f>_xll.xSPRDOPT((VLOOKUP(G259,NGPREVPRICES,2,FALSE)+HLOOKUP(D259,PREVCURVES,VLOOKUP(G259,MOVE_DOWN2,2,FALSE),FALSE)),VLOOKUP(G259,NGPREVPRICES,2,FALSE),CK259,VLOOKUP(G259,NGPREVPRICES,4,FALSE),HLOOKUP(D259,PREVVOLS,VLOOKUP(G259,MOVE_DOWN2,2,FALSE),FALSE),VLOOKUP(G259,NGPREVPRICES,3,FALSE),HLOOKUP(D259,Correllate,VLOOKUP(G259,CorMove,2,FALSE),FALSE),Q259-$CD$3,R259,$CJ$5)*H259</f>
        <v>-111967.30506523105</v>
      </c>
      <c r="CK259" s="235">
        <f t="shared" si="301"/>
        <v>3</v>
      </c>
      <c r="CL259" s="234"/>
      <c r="CM259" t="str">
        <f t="shared" si="302"/>
        <v>36923Curve Shift/Gamma</v>
      </c>
      <c r="CN259" t="str">
        <f t="shared" si="287"/>
        <v>36923Rho</v>
      </c>
      <c r="CO259" t="str">
        <f t="shared" si="288"/>
        <v>36923Drift</v>
      </c>
      <c r="CP259" t="str">
        <f t="shared" si="289"/>
        <v>36923Vega</v>
      </c>
      <c r="CQ259" t="str">
        <f t="shared" si="290"/>
        <v>36923Theta</v>
      </c>
    </row>
    <row r="260" spans="1:95" x14ac:dyDescent="0.25">
      <c r="A260" s="382" t="s">
        <v>279</v>
      </c>
      <c r="B260" t="s">
        <v>250</v>
      </c>
      <c r="C260" t="s">
        <v>410</v>
      </c>
      <c r="D260" s="4" t="s">
        <v>7</v>
      </c>
      <c r="E260" t="s">
        <v>20</v>
      </c>
      <c r="F260" t="s">
        <v>21</v>
      </c>
      <c r="G260" s="5">
        <v>36892</v>
      </c>
      <c r="H260" s="130">
        <v>-310000</v>
      </c>
      <c r="I260">
        <v>3</v>
      </c>
      <c r="J260" s="53">
        <f t="shared" si="260"/>
        <v>4.7439999999999998</v>
      </c>
      <c r="K260" s="7">
        <f t="shared" si="261"/>
        <v>2.17</v>
      </c>
      <c r="L260" s="53">
        <f t="shared" si="262"/>
        <v>6.9139999999999997</v>
      </c>
      <c r="M260" s="157">
        <f t="shared" si="303"/>
        <v>6.8374831148490994E-2</v>
      </c>
      <c r="N260" s="4">
        <f t="shared" si="304"/>
        <v>0.60499999999999998</v>
      </c>
      <c r="O260" s="4">
        <f t="shared" si="305"/>
        <v>0.69599999999999995</v>
      </c>
      <c r="P260" s="9">
        <f t="shared" si="306"/>
        <v>0.83</v>
      </c>
      <c r="Q260" s="5">
        <f t="shared" si="254"/>
        <v>36888</v>
      </c>
      <c r="R260" s="4">
        <f t="shared" si="307"/>
        <v>1</v>
      </c>
      <c r="S260" s="158">
        <f>_xll.xSPRDOPT($L260,$J260,$I260,$M260,$O260,$N260,$P260,$Q260-$C$3,$R260,0)</f>
        <v>0.38362792668504803</v>
      </c>
      <c r="T260" s="159">
        <f>_xll.xSPRDOPT($L260,$J260,$I260,$M260,$O260,$N260,$P260,$Q260-$C$3,$R260,1)*H260</f>
        <v>-114339.59566863702</v>
      </c>
      <c r="U260" s="160">
        <f t="shared" si="308"/>
        <v>-118924.65727236489</v>
      </c>
      <c r="V260" s="159">
        <f>_xll.xSPRDOPT($L260,$J260,$I260,$M260,$O260,$N260,$P260,$Q260-$C$3,$R260,2)*H260</f>
        <v>92863.261787927957</v>
      </c>
      <c r="W260" s="159">
        <f t="shared" si="309"/>
        <v>-21476.333880709062</v>
      </c>
      <c r="X260" s="51" t="str">
        <f t="shared" si="255"/>
        <v>36892IF-TRANSCO/Z6</v>
      </c>
      <c r="Y260" s="418">
        <f t="shared" si="256"/>
        <v>-31</v>
      </c>
      <c r="Z260" s="456">
        <f t="shared" si="257"/>
        <v>0.36883740538270005</v>
      </c>
      <c r="AA260" s="456">
        <f>_xll.xSPRDOPT($L260,$J260,$I260,$M260,$O260,$N260,$P260,$Q260-$C$3,$R260,3)</f>
        <v>0.21502122720377706</v>
      </c>
      <c r="AB260" s="456">
        <f>((_xll.xSPRDOPT($L260+AB$5,$J260,$I260,$M260,$O260,$N260,$P260,$Q260-$C$3,$R260,3)*$H260)/10000)/100</f>
        <v>-6.6656580433170895E-2</v>
      </c>
      <c r="AC260" s="456">
        <f>((_xll.xSPRDOPT($L260+$AB$5,$J260,$I260,$M260,$O260,$N260,$P260,$Q260-$C$3,$R260,7)*$H260)/100)</f>
        <v>2830.9171148251899</v>
      </c>
      <c r="AD260" s="456">
        <f>(_xll.xSPRDOPT($L260+$AB$5,$J260,$I260,$M260,$O260,$N260,$P260,$Q260-$C$3,$R260,9)/365)*$H260</f>
        <v>804.73367164994272</v>
      </c>
      <c r="AE260">
        <f t="shared" si="258"/>
        <v>0</v>
      </c>
      <c r="AF260" s="456">
        <f t="shared" si="259"/>
        <v>-3305.7822649129685</v>
      </c>
      <c r="AG260" s="456">
        <f>((_xll.xSPRDOPT($L260,$J260,$I260,$M260,$O260,$N260,$P260,$Q260-$C$3,$R260,6)*$H260)/100)</f>
        <v>1262.4913809067057</v>
      </c>
      <c r="AH260" s="456">
        <f>((_xll.xSPRDOPT($L260,$J260,$I260,$M260,$O260,$N260,$P260,$Q260-$C$3,$R260,5)*$H260)/100)</f>
        <v>-3970.9849938518723</v>
      </c>
      <c r="AI260" s="456">
        <f>(((_xll.xSPRDOPT($L260,$J260,$I260,$M260,$O260,$N260,$P260,$Q260-$C$3,$R260,4)*$H260)/10000)/100)-AB260</f>
        <v>8.5442090212719396E-3</v>
      </c>
      <c r="AJ260" s="456"/>
      <c r="AK260" s="456"/>
      <c r="AL260" s="456"/>
      <c r="AM260" s="472"/>
      <c r="CC260" s="141">
        <f t="shared" si="298"/>
        <v>36892</v>
      </c>
      <c r="CD260" s="234">
        <f>_xll.xSPRDOPT((VLOOKUP(G260,NGPrices,2,FALSE)+HLOOKUP(D260,Prices,VLOOKUP(G260,move_down,2,FALSE),FALSE)),VLOOKUP(G260,NGPrices,2,FALSE),I260,VLOOKUP(G260,NGPREVPRICES,4,FALSE),HLOOKUP(D260,PREVVOLS,VLOOKUP(G260,MOVE_DOWN2,2,FALSE),FALSE),VLOOKUP(G260,NGPREVPRICES,3,FALSE),HLOOKUP(D260,Correllate,VLOOKUP(G260,CorMove,2,FALSE),FALSE),Q260-$CD$3,R260,$CD$5)*H260-CJ260</f>
        <v>0</v>
      </c>
      <c r="CE260" s="234">
        <f>_xll.xSPRDOPT((VLOOKUP(G260,NGPREVPRICES,2,FALSE)+HLOOKUP(D260,PREVCURVES,VLOOKUP(G260,MOVE_DOWN2,2,FALSE),FALSE)),VLOOKUP(G260,NGPREVPRICES,2,FALSE),CK260,VLOOKUP(G260,NGPrices,4,FALSE),HLOOKUP(D260,PREVVOLS,VLOOKUP(G260,MOVE_DOWN2,2,FALSE),FALSE),VLOOKUP(G260,NGPREVPRICES,3,FALSE),HLOOKUP(D260,Correllate,VLOOKUP(G260,CorMove,2,FALSE),FALSE),Q260-$CD$3,R260,$CJ$5)*H260-CJ260</f>
        <v>0</v>
      </c>
      <c r="CF260" s="10">
        <f t="shared" si="299"/>
        <v>22.561553095947602</v>
      </c>
      <c r="CG260" s="234">
        <f>_xll.xSPRDOPT((VLOOKUP(G260,NGPREVPRICES,2,FALSE)+HLOOKUP(D260,PREVCURVES,VLOOKUP(G260,MOVE_DOWN2,2,FALSE),FALSE)),VLOOKUP(G260,NGPREVPRICES,2,FALSE),CK260,VLOOKUP(G260,NGPREVPRICES,4,FALSE),HLOOKUP(D260,VOLS,VLOOKUP(G260,move_down,2,FALSE),FALSE),VLOOKUP(G260,NGPrices,3,FALSE),HLOOKUP(D260,Correllate,VLOOKUP(G260,CorMove,2,FALSE),FALSE),Q260-$CD$3,R260,$CJ$5)*H260-CJ260</f>
        <v>0</v>
      </c>
      <c r="CH260" s="234">
        <f>_xll.xSPRDOPT((VLOOKUP(G260,NGPREVPRICES,2,FALSE)+HLOOKUP(D260,PREVCURVES,VLOOKUP(G260,MOVE_DOWN2,2,FALSE),FALSE)),VLOOKUP(G260,NGPREVPRICES,2,FALSE),CK260,VLOOKUP(G260,NGPREVPRICES,4,FALSE),HLOOKUP(D260,PREVVOLS,VLOOKUP(G260,MOVE_DOWN2,2,FALSE),FALSE),VLOOKUP(G260,NGPREVPRICES,3,FALSE),HLOOKUP(D260,Correllate,VLOOKUP(G260,CorMove,2,FALSE),FALSE),Q260-$C$3,R260,$CJ$5)*H260-CJ260</f>
        <v>802.64962969104818</v>
      </c>
      <c r="CI260" s="234">
        <f t="shared" si="300"/>
        <v>825.21118278699578</v>
      </c>
      <c r="CJ260" s="234">
        <f>_xll.xSPRDOPT((VLOOKUP(G260,NGPREVPRICES,2,FALSE)+HLOOKUP(D260,PREVCURVES,VLOOKUP(G260,MOVE_DOWN2,2,FALSE),FALSE)),VLOOKUP(G260,NGPREVPRICES,2,FALSE),CK260,VLOOKUP(G260,NGPREVPRICES,4,FALSE),HLOOKUP(D260,PREVVOLS,VLOOKUP(G260,MOVE_DOWN2,2,FALSE),FALSE),VLOOKUP(G260,NGPREVPRICES,3,FALSE),HLOOKUP(D260,Correllate,VLOOKUP(G260,CorMove,2,FALSE),FALSE),Q260-$CD$3,R260,$CJ$5)*H260</f>
        <v>-119727.30690205593</v>
      </c>
      <c r="CK260" s="235">
        <f t="shared" si="301"/>
        <v>3</v>
      </c>
      <c r="CL260" s="234"/>
      <c r="CM260" t="str">
        <f t="shared" si="302"/>
        <v>36892Curve Shift/Gamma</v>
      </c>
      <c r="CN260" t="str">
        <f t="shared" si="287"/>
        <v>36892Rho</v>
      </c>
      <c r="CO260" t="str">
        <f t="shared" si="288"/>
        <v>36892Drift</v>
      </c>
      <c r="CP260" t="str">
        <f t="shared" si="289"/>
        <v>36892Vega</v>
      </c>
      <c r="CQ260" t="str">
        <f t="shared" si="290"/>
        <v>36892Theta</v>
      </c>
    </row>
    <row r="261" spans="1:95" x14ac:dyDescent="0.25">
      <c r="A261" s="382" t="s">
        <v>279</v>
      </c>
      <c r="B261" t="s">
        <v>250</v>
      </c>
      <c r="C261" t="s">
        <v>410</v>
      </c>
      <c r="D261" s="4" t="s">
        <v>7</v>
      </c>
      <c r="E261" t="s">
        <v>20</v>
      </c>
      <c r="F261" t="s">
        <v>21</v>
      </c>
      <c r="G261" s="5">
        <v>36861</v>
      </c>
      <c r="H261" s="130">
        <v>-310000</v>
      </c>
      <c r="I261">
        <v>3</v>
      </c>
      <c r="J261" s="53">
        <f t="shared" si="260"/>
        <v>4.8</v>
      </c>
      <c r="K261" s="7">
        <f t="shared" si="261"/>
        <v>1.645</v>
      </c>
      <c r="L261" s="53">
        <f t="shared" si="262"/>
        <v>6.4450000000000003</v>
      </c>
      <c r="M261" s="157">
        <f t="shared" si="303"/>
        <v>6.8314027999354002E-2</v>
      </c>
      <c r="N261" s="4">
        <f t="shared" si="304"/>
        <v>0.6</v>
      </c>
      <c r="O261" s="4">
        <f t="shared" si="305"/>
        <v>0.69</v>
      </c>
      <c r="P261" s="9">
        <f t="shared" si="306"/>
        <v>0.83</v>
      </c>
      <c r="Q261" s="5">
        <f t="shared" si="254"/>
        <v>36859</v>
      </c>
      <c r="R261" s="4">
        <f t="shared" si="307"/>
        <v>1</v>
      </c>
      <c r="S261" s="158">
        <f>_xll.xSPRDOPT($L261,$J261,$I261,$M261,$O261,$N261,$P261,$Q261-$C$3,$R261,0)</f>
        <v>0.1564994254337741</v>
      </c>
      <c r="T261" s="159">
        <f>_xll.xSPRDOPT($L261,$J261,$I261,$M261,$O261,$N261,$P261,$Q261-$C$3,$R261,1)*H261</f>
        <v>-67847.730591480547</v>
      </c>
      <c r="U261" s="160">
        <f t="shared" si="308"/>
        <v>-48514.821884469973</v>
      </c>
      <c r="V261" s="159">
        <f>_xll.xSPRDOPT($L261,$J261,$I261,$M261,$O261,$N261,$P261,$Q261-$C$3,$R261,2)*H261</f>
        <v>53553.566991686625</v>
      </c>
      <c r="W261" s="159">
        <f t="shared" si="309"/>
        <v>-14294.163599793923</v>
      </c>
      <c r="X261" s="51" t="str">
        <f t="shared" si="255"/>
        <v>36861IF-TRANSCO/Z6</v>
      </c>
      <c r="Y261" s="418">
        <f t="shared" si="256"/>
        <v>-31</v>
      </c>
      <c r="Z261" s="456">
        <f t="shared" si="257"/>
        <v>0.21886364706929209</v>
      </c>
      <c r="AA261" s="456">
        <f>_xll.xSPRDOPT($L261,$J261,$I261,$M261,$O261,$N261,$P261,$Q261-$C$3,$R261,3)</f>
        <v>0.21208847684681123</v>
      </c>
      <c r="AB261" s="456">
        <f>((_xll.xSPRDOPT($L261+AB$5,$J261,$I261,$M261,$O261,$N261,$P261,$Q261-$C$3,$R261,3)*$H261)/10000)/100</f>
        <v>-6.5747427822511473E-2</v>
      </c>
      <c r="AC261" s="456">
        <f>((_xll.xSPRDOPT($L261+$AB$5,$J261,$I261,$M261,$O261,$N261,$P261,$Q261-$C$3,$R261,7)*$H261)/100)</f>
        <v>1844.8684690265914</v>
      </c>
      <c r="AD261" s="456">
        <f>(_xll.xSPRDOPT($L261+$AB$5,$J261,$I261,$M261,$O261,$N261,$P261,$Q261-$C$3,$R261,9)/365)*$H261</f>
        <v>676.42365788880045</v>
      </c>
      <c r="AE261">
        <f t="shared" si="258"/>
        <v>0</v>
      </c>
      <c r="AF261" s="456">
        <f t="shared" si="259"/>
        <v>-2100.7726904774668</v>
      </c>
      <c r="AG261" s="456">
        <f>((_xll.xSPRDOPT($L261,$J261,$I261,$M261,$O261,$N261,$P261,$Q261-$C$3,$R261,6)*$H261)/100)</f>
        <v>805.6064142442284</v>
      </c>
      <c r="AH261" s="456">
        <f>((_xll.xSPRDOPT($L261,$J261,$I261,$M261,$O261,$N261,$P261,$Q261-$C$3,$R261,5)*$H261)/100)</f>
        <v>-2527.2861780188655</v>
      </c>
      <c r="AI261" s="456">
        <f>(((_xll.xSPRDOPT($L261,$J261,$I261,$M261,$O261,$N261,$P261,$Q261-$C$3,$R261,4)*$H261)/10000)/100)-AB261</f>
        <v>1.5590862249582775E-2</v>
      </c>
      <c r="AJ261" s="456"/>
      <c r="AK261" s="456"/>
      <c r="AL261" s="456"/>
      <c r="AM261" s="472"/>
      <c r="CC261" s="141">
        <f t="shared" si="298"/>
        <v>36861</v>
      </c>
      <c r="CD261" s="234">
        <f>_xll.xSPRDOPT((VLOOKUP(G261,NGPrices,2,FALSE)+HLOOKUP(D261,Prices,VLOOKUP(G261,move_down,2,FALSE),FALSE)),VLOOKUP(G261,NGPrices,2,FALSE),I261,VLOOKUP(G261,NGPREVPRICES,4,FALSE),HLOOKUP(D261,PREVVOLS,VLOOKUP(G261,MOVE_DOWN2,2,FALSE),FALSE),VLOOKUP(G261,NGPREVPRICES,3,FALSE),HLOOKUP(D261,Correllate,VLOOKUP(G261,CorMove,2,FALSE),FALSE),Q261-$CD$3,R261,$CD$5)*H261-CJ261</f>
        <v>0</v>
      </c>
      <c r="CE261" s="234">
        <f>_xll.xSPRDOPT((VLOOKUP(G261,NGPREVPRICES,2,FALSE)+HLOOKUP(D261,PREVCURVES,VLOOKUP(G261,MOVE_DOWN2,2,FALSE),FALSE)),VLOOKUP(G261,NGPREVPRICES,2,FALSE),CK261,VLOOKUP(G261,NGPrices,4,FALSE),HLOOKUP(D261,PREVVOLS,VLOOKUP(G261,MOVE_DOWN2,2,FALSE),FALSE),VLOOKUP(G261,NGPREVPRICES,3,FALSE),HLOOKUP(D261,Correllate,VLOOKUP(G261,CorMove,2,FALSE),FALSE),Q261-$CD$3,R261,$CJ$5)*H261-CJ261</f>
        <v>0</v>
      </c>
      <c r="CF261" s="10">
        <f t="shared" si="299"/>
        <v>9.215193762043782</v>
      </c>
      <c r="CG261" s="234">
        <f>_xll.xSPRDOPT((VLOOKUP(G261,NGPREVPRICES,2,FALSE)+HLOOKUP(D261,PREVCURVES,VLOOKUP(G261,MOVE_DOWN2,2,FALSE),FALSE)),VLOOKUP(G261,NGPREVPRICES,2,FALSE),CK261,VLOOKUP(G261,NGPREVPRICES,4,FALSE),HLOOKUP(D261,VOLS,VLOOKUP(G261,move_down,2,FALSE),FALSE),VLOOKUP(G261,NGPrices,3,FALSE),HLOOKUP(D261,Correllate,VLOOKUP(G261,CorMove,2,FALSE),FALSE),Q261-$CD$3,R261,$CJ$5)*H261-CJ261</f>
        <v>0</v>
      </c>
      <c r="CH261" s="234">
        <f>_xll.xSPRDOPT((VLOOKUP(G261,NGPREVPRICES,2,FALSE)+HLOOKUP(D261,PREVCURVES,VLOOKUP(G261,MOVE_DOWN2,2,FALSE),FALSE)),VLOOKUP(G261,NGPREVPRICES,2,FALSE),CK261,VLOOKUP(G261,NGPREVPRICES,4,FALSE),HLOOKUP(D261,PREVVOLS,VLOOKUP(G261,MOVE_DOWN2,2,FALSE),FALSE),VLOOKUP(G261,NGPREVPRICES,3,FALSE),HLOOKUP(D261,Correllate,VLOOKUP(G261,CorMove,2,FALSE),FALSE),Q261-$C$3,R261,$CJ$5)*H261-CJ261</f>
        <v>675.39553932884883</v>
      </c>
      <c r="CI261" s="234">
        <f t="shared" si="300"/>
        <v>684.61073309089261</v>
      </c>
      <c r="CJ261" s="234">
        <f>_xll.xSPRDOPT((VLOOKUP(G261,NGPREVPRICES,2,FALSE)+HLOOKUP(D261,PREVCURVES,VLOOKUP(G261,MOVE_DOWN2,2,FALSE),FALSE)),VLOOKUP(G261,NGPREVPRICES,2,FALSE),CK261,VLOOKUP(G261,NGPREVPRICES,4,FALSE),HLOOKUP(D261,PREVVOLS,VLOOKUP(G261,MOVE_DOWN2,2,FALSE),FALSE),VLOOKUP(G261,NGPREVPRICES,3,FALSE),HLOOKUP(D261,Correllate,VLOOKUP(G261,CorMove,2,FALSE),FALSE),Q261-$CD$3,R261,$CJ$5)*H261</f>
        <v>-49190.217423798822</v>
      </c>
      <c r="CK261" s="235">
        <f t="shared" si="301"/>
        <v>3</v>
      </c>
      <c r="CL261" s="234"/>
      <c r="CM261" t="str">
        <f t="shared" si="302"/>
        <v>36861Curve Shift/Gamma</v>
      </c>
      <c r="CN261" t="str">
        <f t="shared" si="287"/>
        <v>36861Rho</v>
      </c>
      <c r="CO261" t="str">
        <f t="shared" si="288"/>
        <v>36861Drift</v>
      </c>
      <c r="CP261" t="str">
        <f t="shared" si="289"/>
        <v>36861Vega</v>
      </c>
      <c r="CQ261" t="str">
        <f t="shared" si="290"/>
        <v>36861Theta</v>
      </c>
    </row>
    <row r="262" spans="1:95" x14ac:dyDescent="0.25">
      <c r="A262" s="382" t="s">
        <v>279</v>
      </c>
      <c r="B262" t="s">
        <v>250</v>
      </c>
      <c r="C262" t="s">
        <v>410</v>
      </c>
      <c r="D262" s="4" t="s">
        <v>7</v>
      </c>
      <c r="E262" t="s">
        <v>20</v>
      </c>
      <c r="F262" t="s">
        <v>21</v>
      </c>
      <c r="G262" s="5">
        <v>36831</v>
      </c>
      <c r="H262" s="130">
        <v>-300000</v>
      </c>
      <c r="I262">
        <v>3</v>
      </c>
      <c r="J262" s="53">
        <f t="shared" si="260"/>
        <v>4.7359999999999998</v>
      </c>
      <c r="K262" s="7">
        <f t="shared" si="261"/>
        <v>0.77</v>
      </c>
      <c r="L262" s="53">
        <f t="shared" si="262"/>
        <v>5.5060000000000002</v>
      </c>
      <c r="M262" s="157">
        <f t="shared" si="303"/>
        <v>6.810675983792E-2</v>
      </c>
      <c r="N262" s="4">
        <f t="shared" si="304"/>
        <v>0.59499999999999997</v>
      </c>
      <c r="O262" s="4">
        <f t="shared" si="305"/>
        <v>0.625</v>
      </c>
      <c r="P262" s="9">
        <f t="shared" si="306"/>
        <v>0.89</v>
      </c>
      <c r="Q262" s="5">
        <f t="shared" si="254"/>
        <v>36829</v>
      </c>
      <c r="R262" s="4">
        <f t="shared" si="307"/>
        <v>1</v>
      </c>
      <c r="S262" s="158">
        <f>_xll.xSPRDOPT($L262,$J262,$I262,$M262,$O262,$N262,$P262,$Q262-$C$3,$R262,0)</f>
        <v>1.8752703849743671E-3</v>
      </c>
      <c r="T262" s="159">
        <f>_xll.xSPRDOPT($L262,$J262,$I262,$M262,$O262,$N262,$P262,$Q262-$C$3,$R262,1)*H262</f>
        <v>-2421.6716305178443</v>
      </c>
      <c r="U262" s="160">
        <f t="shared" si="308"/>
        <v>-562.58111549231012</v>
      </c>
      <c r="V262" s="159">
        <f>_xll.xSPRDOPT($L262,$J262,$I262,$M262,$O262,$N262,$P262,$Q262-$C$3,$R262,2)*H262</f>
        <v>1853.4418622508642</v>
      </c>
      <c r="W262" s="159">
        <f t="shared" si="309"/>
        <v>-568.22976826698005</v>
      </c>
      <c r="X262" s="51" t="str">
        <f t="shared" si="255"/>
        <v>36831IF-TRANSCO/Z6</v>
      </c>
      <c r="Y262" s="418">
        <f t="shared" si="256"/>
        <v>-30</v>
      </c>
      <c r="Z262" s="456">
        <f t="shared" si="257"/>
        <v>8.0722387683928136E-3</v>
      </c>
      <c r="AA262" s="456">
        <f>_xll.xSPRDOPT($L262,$J262,$I262,$M262,$O262,$N262,$P262,$Q262-$C$3,$R262,3)</f>
        <v>3.0118794226120859E-2</v>
      </c>
      <c r="AB262" s="456">
        <f>((_xll.xSPRDOPT($L262+AB$5,$J262,$I262,$M262,$O262,$N262,$P262,$Q262-$C$3,$R262,3)*$H262)/10000)/100</f>
        <v>-9.035638267836257E-3</v>
      </c>
      <c r="AC262" s="456">
        <f>((_xll.xSPRDOPT($L262+$AB$5,$J262,$I262,$M262,$O262,$N262,$P262,$Q262-$C$3,$R262,7)*$H262)/100)</f>
        <v>117.74960295360596</v>
      </c>
      <c r="AD262" s="456">
        <f>(_xll.xSPRDOPT($L262+$AB$5,$J262,$I262,$M262,$O262,$N262,$P262,$Q262-$C$3,$R262,9)/365)*$H262</f>
        <v>39.175274731553081</v>
      </c>
      <c r="AE262">
        <f t="shared" si="258"/>
        <v>0</v>
      </c>
      <c r="AF262" s="456">
        <f t="shared" si="259"/>
        <v>-81.805330503790856</v>
      </c>
      <c r="AG262" s="456">
        <f>((_xll.xSPRDOPT($L262,$J262,$I262,$M262,$O262,$N262,$P262,$Q262-$C$3,$R262,6)*$H262)/100)</f>
        <v>47.328486789796585</v>
      </c>
      <c r="AH262" s="456">
        <f>((_xll.xSPRDOPT($L262,$J262,$I262,$M262,$O262,$N262,$P262,$Q262-$C$3,$R262,5)*$H262)/100)</f>
        <v>-122.93539406349524</v>
      </c>
      <c r="AI262" s="456">
        <f>(((_xll.xSPRDOPT($L262,$J262,$I262,$M262,$O262,$N262,$P262,$Q262-$C$3,$R262,4)*$H262)/10000)/100)-AB262</f>
        <v>3.3498143466456709E-3</v>
      </c>
      <c r="AJ262" s="456"/>
      <c r="AK262" s="456"/>
      <c r="AL262" s="456"/>
      <c r="AM262" s="472"/>
      <c r="CC262" s="141">
        <f t="shared" si="298"/>
        <v>36831</v>
      </c>
      <c r="CD262" s="234">
        <f>_xll.xSPRDOPT((VLOOKUP(G262,NGPrices,2,FALSE)+HLOOKUP(D262,Prices,VLOOKUP(G262,move_down,2,FALSE),FALSE)),VLOOKUP(G262,NGPrices,2,FALSE),I262,VLOOKUP(G262,NGPREVPRICES,4,FALSE),HLOOKUP(D262,PREVVOLS,VLOOKUP(G262,MOVE_DOWN2,2,FALSE),FALSE),VLOOKUP(G262,NGPREVPRICES,3,FALSE),HLOOKUP(D262,Correllate,VLOOKUP(G262,CorMove,2,FALSE),FALSE),Q262-$CD$3,R262,$CD$5)*H262-CJ262</f>
        <v>0</v>
      </c>
      <c r="CE262" s="234">
        <f>_xll.xSPRDOPT((VLOOKUP(G262,NGPREVPRICES,2,FALSE)+HLOOKUP(D262,PREVCURVES,VLOOKUP(G262,MOVE_DOWN2,2,FALSE),FALSE)),VLOOKUP(G262,NGPREVPRICES,2,FALSE),CK262,VLOOKUP(G262,NGPrices,4,FALSE),HLOOKUP(D262,PREVVOLS,VLOOKUP(G262,MOVE_DOWN2,2,FALSE),FALSE),VLOOKUP(G262,NGPREVPRICES,3,FALSE),HLOOKUP(D262,Correllate,VLOOKUP(G262,CorMove,2,FALSE),FALSE),Q262-$CD$3,R262,$CJ$5)*H262-CJ262</f>
        <v>0</v>
      </c>
      <c r="CF262" s="10">
        <f t="shared" si="299"/>
        <v>0.11189815246564194</v>
      </c>
      <c r="CG262" s="234">
        <f>_xll.xSPRDOPT((VLOOKUP(G262,NGPREVPRICES,2,FALSE)+HLOOKUP(D262,PREVCURVES,VLOOKUP(G262,MOVE_DOWN2,2,FALSE),FALSE)),VLOOKUP(G262,NGPREVPRICES,2,FALSE),CK262,VLOOKUP(G262,NGPREVPRICES,4,FALSE),HLOOKUP(D262,VOLS,VLOOKUP(G262,move_down,2,FALSE),FALSE),VLOOKUP(G262,NGPrices,3,FALSE),HLOOKUP(D262,Correllate,VLOOKUP(G262,CorMove,2,FALSE),FALSE),Q262-$CD$3,R262,$CJ$5)*H262-CJ262</f>
        <v>0</v>
      </c>
      <c r="CH262" s="234">
        <f>_xll.xSPRDOPT((VLOOKUP(G262,NGPREVPRICES,2,FALSE)+HLOOKUP(D262,PREVCURVES,VLOOKUP(G262,MOVE_DOWN2,2,FALSE),FALSE)),VLOOKUP(G262,NGPREVPRICES,2,FALSE),CK262,VLOOKUP(G262,NGPREVPRICES,4,FALSE),HLOOKUP(D262,PREVVOLS,VLOOKUP(G262,MOVE_DOWN2,2,FALSE),FALSE),VLOOKUP(G262,NGPREVPRICES,3,FALSE),HLOOKUP(D262,Correllate,VLOOKUP(G262,CorMove,2,FALSE),FALSE),Q262-$C$3,R262,$CJ$5)*H262-CJ262</f>
        <v>39.959208066284191</v>
      </c>
      <c r="CI262" s="234">
        <f t="shared" si="300"/>
        <v>40.071106218749833</v>
      </c>
      <c r="CJ262" s="234">
        <f>_xll.xSPRDOPT((VLOOKUP(G262,NGPREVPRICES,2,FALSE)+HLOOKUP(D262,PREVCURVES,VLOOKUP(G262,MOVE_DOWN2,2,FALSE),FALSE)),VLOOKUP(G262,NGPREVPRICES,2,FALSE),CK262,VLOOKUP(G262,NGPREVPRICES,4,FALSE),HLOOKUP(D262,PREVVOLS,VLOOKUP(G262,MOVE_DOWN2,2,FALSE),FALSE),VLOOKUP(G262,NGPREVPRICES,3,FALSE),HLOOKUP(D262,Correllate,VLOOKUP(G262,CorMove,2,FALSE),FALSE),Q262-$CD$3,R262,$CJ$5)*H262</f>
        <v>-602.54032355859431</v>
      </c>
      <c r="CK262" s="235">
        <f t="shared" si="301"/>
        <v>3</v>
      </c>
      <c r="CL262" s="234"/>
      <c r="CM262" t="str">
        <f t="shared" si="302"/>
        <v>36831Curve Shift/Gamma</v>
      </c>
      <c r="CN262" t="str">
        <f t="shared" si="287"/>
        <v>36831Rho</v>
      </c>
      <c r="CO262" t="str">
        <f t="shared" si="288"/>
        <v>36831Drift</v>
      </c>
      <c r="CP262" t="str">
        <f t="shared" si="289"/>
        <v>36831Vega</v>
      </c>
      <c r="CQ262" t="str">
        <f t="shared" si="290"/>
        <v>36831Theta</v>
      </c>
    </row>
    <row r="263" spans="1:95" x14ac:dyDescent="0.25">
      <c r="A263" s="382" t="s">
        <v>279</v>
      </c>
      <c r="B263" t="s">
        <v>250</v>
      </c>
      <c r="C263" t="s">
        <v>411</v>
      </c>
      <c r="D263" s="4" t="s">
        <v>7</v>
      </c>
      <c r="E263" t="s">
        <v>20</v>
      </c>
      <c r="F263" t="s">
        <v>1</v>
      </c>
      <c r="G263" s="5">
        <v>36951</v>
      </c>
      <c r="H263" s="130">
        <v>500000</v>
      </c>
      <c r="I263">
        <v>0.75</v>
      </c>
      <c r="J263" s="53">
        <f t="shared" si="260"/>
        <v>4.2130000000000001</v>
      </c>
      <c r="K263" s="7">
        <f t="shared" si="261"/>
        <v>1.075</v>
      </c>
      <c r="L263" s="53">
        <f t="shared" si="262"/>
        <v>5.2880000000000003</v>
      </c>
      <c r="M263" s="157">
        <f t="shared" si="303"/>
        <v>6.8879814952706994E-2</v>
      </c>
      <c r="N263" s="4">
        <f t="shared" si="304"/>
        <v>0.53249999999999997</v>
      </c>
      <c r="O263" s="4">
        <f t="shared" si="305"/>
        <v>0.61199999999999999</v>
      </c>
      <c r="P263" s="9">
        <f t="shared" si="306"/>
        <v>0.83</v>
      </c>
      <c r="Q263" s="5">
        <f t="shared" ref="Q263:Q326" si="310">WORKDAY(G263,-2)</f>
        <v>36949</v>
      </c>
      <c r="R263" s="4">
        <f t="shared" si="307"/>
        <v>0</v>
      </c>
      <c r="S263" s="158">
        <f>_xll.xSPRDOPT($L263,$J263,$I263,$M263,$O263,$N263,$P263,$Q263-$C$3,$R263,0)</f>
        <v>0.34094497957691405</v>
      </c>
      <c r="T263" s="159">
        <f>_xll.xSPRDOPT($L263,$J263,$I263,$M263,$O263,$N263,$P263,$Q263-$C$3,$R263,1)*H263</f>
        <v>-169543.92673334433</v>
      </c>
      <c r="U263" s="160">
        <f t="shared" si="308"/>
        <v>170472.48978845702</v>
      </c>
      <c r="V263" s="159">
        <f>_xll.xSPRDOPT($L263,$J263,$I263,$M263,$O263,$N263,$P263,$Q263-$C$3,$R263,2)*H263</f>
        <v>213135.25924725647</v>
      </c>
      <c r="W263" s="159">
        <f t="shared" si="309"/>
        <v>43591.332513912144</v>
      </c>
      <c r="X263" s="51" t="str">
        <f t="shared" ref="X263:X294" si="311">CONCATENATE(G263,D263)</f>
        <v>36951IF-TRANSCO/Z6</v>
      </c>
      <c r="Y263" s="418">
        <f t="shared" ref="Y263:Y294" si="312">H263/10000</f>
        <v>50</v>
      </c>
      <c r="Z263" s="456">
        <f t="shared" ref="Z263:Z294" si="313">T263/H263</f>
        <v>-0.33908785346668868</v>
      </c>
      <c r="AA263" s="456">
        <f>_xll.xSPRDOPT($L263,$J263,$I263,$M263,$O263,$N263,$P263,$Q263-$C$3,$R263,3)</f>
        <v>0.27707202713581769</v>
      </c>
      <c r="AB263" s="456">
        <f>((_xll.xSPRDOPT($L263+AB$5,$J263,$I263,$M263,$O263,$N263,$P263,$Q263-$C$3,$R263,3)*$H263)/10000)/100</f>
        <v>0.13853601356790884</v>
      </c>
      <c r="AC263" s="456">
        <f>((_xll.xSPRDOPT($L263+$AB$5,$J263,$I263,$M263,$O263,$N263,$P263,$Q263-$C$3,$R263,7)*$H263)/100)</f>
        <v>-5337.9437428713463</v>
      </c>
      <c r="AD263" s="456">
        <f>(_xll.xSPRDOPT($L263+$AB$5,$J263,$I263,$M263,$O263,$N263,$P263,$Q263-$C$3,$R263,9)/365)*$H263</f>
        <v>-606.31334011060903</v>
      </c>
      <c r="AE263">
        <f t="shared" ref="AE263:AE326" si="314">CD263</f>
        <v>0</v>
      </c>
      <c r="AF263" s="456">
        <f t="shared" ref="AF263:AF326" si="315">((O263/N263)*AH263)+AG263</f>
        <v>4361.4821411004514</v>
      </c>
      <c r="AG263" s="456">
        <f>((_xll.xSPRDOPT($L263,$J263,$I263,$M263,$O263,$N263,$P263,$Q263-$C$3,$R263,6)*$H263)/100)</f>
        <v>-895.50905657338956</v>
      </c>
      <c r="AH263" s="456">
        <f>((_xll.xSPRDOPT($L263,$J263,$I263,$M263,$O263,$N263,$P263,$Q263-$C$3,$R263,5)*$H263)/100)</f>
        <v>4574.0977332701314</v>
      </c>
      <c r="AI263" s="456">
        <f>(((_xll.xSPRDOPT($L263,$J263,$I263,$M263,$O263,$N263,$P263,$Q263-$C$3,$R263,4)*$H263)/10000)/100)-AB263</f>
        <v>1.9114901825227876E-2</v>
      </c>
      <c r="AJ263" s="456"/>
      <c r="AK263" s="456"/>
      <c r="AL263" s="456"/>
      <c r="AM263" s="472"/>
      <c r="CC263" s="141">
        <f t="shared" si="298"/>
        <v>36951</v>
      </c>
      <c r="CD263" s="234">
        <f>_xll.xSPRDOPT((VLOOKUP(G263,NGPrices,2,FALSE)+HLOOKUP(D263,Prices,VLOOKUP(G263,move_down,2,FALSE),FALSE)),VLOOKUP(G263,NGPrices,2,FALSE),I263,VLOOKUP(G263,NGPREVPRICES,4,FALSE),HLOOKUP(D263,PREVVOLS,VLOOKUP(G263,MOVE_DOWN2,2,FALSE),FALSE),VLOOKUP(G263,NGPREVPRICES,3,FALSE),HLOOKUP(D263,Correllate,VLOOKUP(G263,CorMove,2,FALSE),FALSE),Q263-$CD$3,R263,$CD$5)*H263-CJ263</f>
        <v>0</v>
      </c>
      <c r="CE263" s="234">
        <f>_xll.xSPRDOPT((VLOOKUP(G263,NGPREVPRICES,2,FALSE)+HLOOKUP(D263,PREVCURVES,VLOOKUP(G263,MOVE_DOWN2,2,FALSE),FALSE)),VLOOKUP(G263,NGPREVPRICES,2,FALSE),CK263,VLOOKUP(G263,NGPrices,4,FALSE),HLOOKUP(D263,PREVVOLS,VLOOKUP(G263,MOVE_DOWN2,2,FALSE),FALSE),VLOOKUP(G263,NGPREVPRICES,3,FALSE),HLOOKUP(D263,Correllate,VLOOKUP(G263,CorMove,2,FALSE),FALSE),Q263-$CD$3,R263,$CJ$5)*H263-CJ263</f>
        <v>0</v>
      </c>
      <c r="CF263" s="10">
        <f t="shared" si="299"/>
        <v>-32.810098012530943</v>
      </c>
      <c r="CG263" s="234">
        <f>_xll.xSPRDOPT((VLOOKUP(G263,NGPREVPRICES,2,FALSE)+HLOOKUP(D263,PREVCURVES,VLOOKUP(G263,MOVE_DOWN2,2,FALSE),FALSE)),VLOOKUP(G263,NGPREVPRICES,2,FALSE),CK263,VLOOKUP(G263,NGPREVPRICES,4,FALSE),HLOOKUP(D263,VOLS,VLOOKUP(G263,move_down,2,FALSE),FALSE),VLOOKUP(G263,NGPrices,3,FALSE),HLOOKUP(D263,Correllate,VLOOKUP(G263,CorMove,2,FALSE),FALSE),Q263-$CD$3,R263,$CJ$5)*H263-CJ263</f>
        <v>0</v>
      </c>
      <c r="CH263" s="234">
        <f>_xll.xSPRDOPT((VLOOKUP(G263,NGPREVPRICES,2,FALSE)+HLOOKUP(D263,PREVCURVES,VLOOKUP(G263,MOVE_DOWN2,2,FALSE),FALSE)),VLOOKUP(G263,NGPREVPRICES,2,FALSE),CK263,VLOOKUP(G263,NGPREVPRICES,4,FALSE),HLOOKUP(D263,PREVVOLS,VLOOKUP(G263,MOVE_DOWN2,2,FALSE),FALSE),VLOOKUP(G263,NGPREVPRICES,3,FALSE),HLOOKUP(D263,Correllate,VLOOKUP(G263,CorMove,2,FALSE),FALSE),Q263-$C$3,R263,$CJ$5)*H263-CJ263</f>
        <v>-604.95868366988725</v>
      </c>
      <c r="CI263" s="234">
        <f t="shared" si="300"/>
        <v>-637.76878168241819</v>
      </c>
      <c r="CJ263" s="234">
        <f>_xll.xSPRDOPT((VLOOKUP(G263,NGPREVPRICES,2,FALSE)+HLOOKUP(D263,PREVCURVES,VLOOKUP(G263,MOVE_DOWN2,2,FALSE),FALSE)),VLOOKUP(G263,NGPREVPRICES,2,FALSE),CK263,VLOOKUP(G263,NGPREVPRICES,4,FALSE),HLOOKUP(D263,PREVVOLS,VLOOKUP(G263,MOVE_DOWN2,2,FALSE),FALSE),VLOOKUP(G263,NGPREVPRICES,3,FALSE),HLOOKUP(D263,Correllate,VLOOKUP(G263,CorMove,2,FALSE),FALSE),Q263-$CD$3,R263,$CJ$5)*H263</f>
        <v>171077.44847212691</v>
      </c>
      <c r="CK263" s="235">
        <f t="shared" si="301"/>
        <v>0.75</v>
      </c>
      <c r="CL263" s="234"/>
      <c r="CM263" t="str">
        <f t="shared" si="302"/>
        <v>36951Curve Shift/Gamma</v>
      </c>
      <c r="CN263" t="str">
        <f t="shared" si="287"/>
        <v>36951Rho</v>
      </c>
      <c r="CO263" t="str">
        <f t="shared" si="288"/>
        <v>36951Drift</v>
      </c>
      <c r="CP263" t="str">
        <f t="shared" si="289"/>
        <v>36951Vega</v>
      </c>
      <c r="CQ263" t="str">
        <f t="shared" si="290"/>
        <v>36951Theta</v>
      </c>
    </row>
    <row r="264" spans="1:95" x14ac:dyDescent="0.25">
      <c r="A264" s="382" t="s">
        <v>279</v>
      </c>
      <c r="B264" t="s">
        <v>250</v>
      </c>
      <c r="C264" t="s">
        <v>416</v>
      </c>
      <c r="D264" s="4" t="s">
        <v>7</v>
      </c>
      <c r="E264" t="s">
        <v>20</v>
      </c>
      <c r="F264" t="s">
        <v>21</v>
      </c>
      <c r="G264" s="5">
        <v>36951</v>
      </c>
      <c r="H264" s="130">
        <v>-1000000</v>
      </c>
      <c r="I264">
        <v>1.75</v>
      </c>
      <c r="J264" s="53">
        <f t="shared" ref="J264:J327" si="316">VLOOKUP(G264,NGPrices,2,FALSE)</f>
        <v>4.2130000000000001</v>
      </c>
      <c r="K264" s="7">
        <f t="shared" ref="K264:K327" si="317">HLOOKUP(D264,Prices,VLOOKUP(G264,move_down,2,FALSE),FALSE)+VLOOKUP(G264,CHANGE,HLOOKUP(D264,CHANGE,2,FALSE),FALSE)</f>
        <v>1.075</v>
      </c>
      <c r="L264" s="53">
        <f t="shared" ref="L264:L327" si="318">K264+J264</f>
        <v>5.2880000000000003</v>
      </c>
      <c r="M264" s="157">
        <f t="shared" si="303"/>
        <v>6.8879814952706994E-2</v>
      </c>
      <c r="N264" s="4">
        <f t="shared" si="304"/>
        <v>0.53249999999999997</v>
      </c>
      <c r="O264" s="4">
        <f t="shared" si="305"/>
        <v>0.61199999999999999</v>
      </c>
      <c r="P264" s="9">
        <f t="shared" si="306"/>
        <v>0.83</v>
      </c>
      <c r="Q264" s="5">
        <f t="shared" si="310"/>
        <v>36949</v>
      </c>
      <c r="R264" s="4">
        <f t="shared" si="307"/>
        <v>1</v>
      </c>
      <c r="S264" s="158">
        <f>_xll.xSPRDOPT($L264,$J264,$I264,$M264,$O264,$N264,$P264,$Q264-$C$3,$R264,0)</f>
        <v>0.29038289106023812</v>
      </c>
      <c r="T264" s="159">
        <f>_xll.xSPRDOPT($L264,$J264,$I264,$M264,$O264,$N264,$P264,$Q264-$C$3,$R264,1)*H264</f>
        <v>-358009.86243673461</v>
      </c>
      <c r="U264" s="160">
        <f t="shared" si="308"/>
        <v>-290382.89106023812</v>
      </c>
      <c r="V264" s="159">
        <f>_xll.xSPRDOPT($L264,$J264,$I264,$M264,$O264,$N264,$P264,$Q264-$C$3,$R264,2)*H264</f>
        <v>280819.81108652084</v>
      </c>
      <c r="W264" s="159">
        <f t="shared" si="309"/>
        <v>-77190.051350213762</v>
      </c>
      <c r="X264" s="51" t="str">
        <f t="shared" si="311"/>
        <v>36951IF-TRANSCO/Z6</v>
      </c>
      <c r="Y264" s="418">
        <f t="shared" si="312"/>
        <v>-100</v>
      </c>
      <c r="Z264" s="456">
        <f t="shared" si="313"/>
        <v>0.3580098624367346</v>
      </c>
      <c r="AA264" s="456">
        <f>_xll.xSPRDOPT($L264,$J264,$I264,$M264,$O264,$N264,$P264,$Q264-$C$3,$R264,3)</f>
        <v>0.26919112940106144</v>
      </c>
      <c r="AB264" s="456">
        <f>((_xll.xSPRDOPT($L264+AB$5,$J264,$I264,$M264,$O264,$N264,$P264,$Q264-$C$3,$R264,3)*$H264)/10000)/100</f>
        <v>-0.26919112940106144</v>
      </c>
      <c r="AC264" s="456">
        <f>((_xll.xSPRDOPT($L264+$AB$5,$J264,$I264,$M264,$O264,$N264,$P264,$Q264-$C$3,$R264,7)*$H264)/100)</f>
        <v>8861.8250885788711</v>
      </c>
      <c r="AD264" s="456">
        <f>(_xll.xSPRDOPT($L264+$AB$5,$J264,$I264,$M264,$O264,$N264,$P264,$Q264-$C$3,$R264,9)/365)*$H264</f>
        <v>1313.2792037300935</v>
      </c>
      <c r="AE264">
        <f t="shared" si="314"/>
        <v>0</v>
      </c>
      <c r="AF264" s="456">
        <f t="shared" si="315"/>
        <v>-9345.3427499269255</v>
      </c>
      <c r="AG264" s="456">
        <f>((_xll.xSPRDOPT($L264,$J264,$I264,$M264,$O264,$N264,$P264,$Q264-$C$3,$R264,6)*$H264)/100)</f>
        <v>3223.8817037018239</v>
      </c>
      <c r="AH264" s="456">
        <f>((_xll.xSPRDOPT($L264,$J264,$I264,$M264,$O264,$N264,$P264,$Q264-$C$3,$R264,5)*$H264)/100)</f>
        <v>-10936.45755156423</v>
      </c>
      <c r="AI264" s="456">
        <f>(((_xll.xSPRDOPT($L264,$J264,$I264,$M264,$O264,$N264,$P264,$Q264-$C$3,$R264,4)*$H264)/10000)/100)-AB264</f>
        <v>4.4354610403646272E-2</v>
      </c>
      <c r="AJ264" s="456"/>
      <c r="AK264" s="456"/>
      <c r="AL264" s="456"/>
      <c r="AM264" s="472"/>
      <c r="CC264" s="141">
        <f t="shared" si="298"/>
        <v>36951</v>
      </c>
      <c r="CD264" s="234">
        <f>_xll.xSPRDOPT((VLOOKUP(G264,NGPrices,2,FALSE)+HLOOKUP(D264,Prices,VLOOKUP(G264,move_down,2,FALSE),FALSE)),VLOOKUP(G264,NGPrices,2,FALSE),I264,VLOOKUP(G264,NGPREVPRICES,4,FALSE),HLOOKUP(D264,PREVVOLS,VLOOKUP(G264,MOVE_DOWN2,2,FALSE),FALSE),VLOOKUP(G264,NGPREVPRICES,3,FALSE),HLOOKUP(D264,Correllate,VLOOKUP(G264,CorMove,2,FALSE),FALSE),Q264-$CD$3,R264,$CD$5)*H264-CJ264</f>
        <v>0</v>
      </c>
      <c r="CE264" s="234">
        <f>_xll.xSPRDOPT((VLOOKUP(G264,NGPREVPRICES,2,FALSE)+HLOOKUP(D264,PREVCURVES,VLOOKUP(G264,MOVE_DOWN2,2,FALSE),FALSE)),VLOOKUP(G264,NGPREVPRICES,2,FALSE),CK264,VLOOKUP(G264,NGPrices,4,FALSE),HLOOKUP(D264,PREVVOLS,VLOOKUP(G264,MOVE_DOWN2,2,FALSE),FALSE),VLOOKUP(G264,NGPREVPRICES,3,FALSE),HLOOKUP(D264,Correllate,VLOOKUP(G264,CorMove,2,FALSE),FALSE),Q264-$CD$3,R264,$CJ$5)*H264-CJ264</f>
        <v>0</v>
      </c>
      <c r="CF264" s="10">
        <f t="shared" si="299"/>
        <v>55.942460796621162</v>
      </c>
      <c r="CG264" s="234">
        <f>_xll.xSPRDOPT((VLOOKUP(G264,NGPREVPRICES,2,FALSE)+HLOOKUP(D264,PREVCURVES,VLOOKUP(G264,MOVE_DOWN2,2,FALSE),FALSE)),VLOOKUP(G264,NGPREVPRICES,2,FALSE),CK264,VLOOKUP(G264,NGPREVPRICES,4,FALSE),HLOOKUP(D264,VOLS,VLOOKUP(G264,move_down,2,FALSE),FALSE),VLOOKUP(G264,NGPrices,3,FALSE),HLOOKUP(D264,Correllate,VLOOKUP(G264,CorMove,2,FALSE),FALSE),Q264-$CD$3,R264,$CJ$5)*H264-CJ264</f>
        <v>0</v>
      </c>
      <c r="CH264" s="234">
        <f>_xll.xSPRDOPT((VLOOKUP(G264,NGPREVPRICES,2,FALSE)+HLOOKUP(D264,PREVCURVES,VLOOKUP(G264,MOVE_DOWN2,2,FALSE),FALSE)),VLOOKUP(G264,NGPREVPRICES,2,FALSE),CK264,VLOOKUP(G264,NGPREVPRICES,4,FALSE),HLOOKUP(D264,PREVVOLS,VLOOKUP(G264,MOVE_DOWN2,2,FALSE),FALSE),VLOOKUP(G264,NGPREVPRICES,3,FALSE),HLOOKUP(D264,Correllate,VLOOKUP(G264,CorMove,2,FALSE),FALSE),Q264-$C$3,R264,$CJ$5)*H264-CJ264</f>
        <v>1310.6433717447799</v>
      </c>
      <c r="CI264" s="234">
        <f t="shared" si="300"/>
        <v>1366.585832541401</v>
      </c>
      <c r="CJ264" s="234">
        <f>_xll.xSPRDOPT((VLOOKUP(G264,NGPREVPRICES,2,FALSE)+HLOOKUP(D264,PREVCURVES,VLOOKUP(G264,MOVE_DOWN2,2,FALSE),FALSE)),VLOOKUP(G264,NGPREVPRICES,2,FALSE),CK264,VLOOKUP(G264,NGPREVPRICES,4,FALSE),HLOOKUP(D264,PREVVOLS,VLOOKUP(G264,MOVE_DOWN2,2,FALSE),FALSE),VLOOKUP(G264,NGPREVPRICES,3,FALSE),HLOOKUP(D264,Correllate,VLOOKUP(G264,CorMove,2,FALSE),FALSE),Q264-$CD$3,R264,$CJ$5)*H264</f>
        <v>-291693.5344319829</v>
      </c>
      <c r="CK264" s="235">
        <f t="shared" si="301"/>
        <v>1.75</v>
      </c>
      <c r="CL264" s="234"/>
      <c r="CM264" t="str">
        <f t="shared" si="302"/>
        <v>36951Curve Shift/Gamma</v>
      </c>
      <c r="CN264" t="str">
        <f t="shared" si="287"/>
        <v>36951Rho</v>
      </c>
      <c r="CO264" t="str">
        <f t="shared" si="288"/>
        <v>36951Drift</v>
      </c>
      <c r="CP264" t="str">
        <f t="shared" si="289"/>
        <v>36951Vega</v>
      </c>
      <c r="CQ264" t="str">
        <f t="shared" si="290"/>
        <v>36951Theta</v>
      </c>
    </row>
    <row r="265" spans="1:95" x14ac:dyDescent="0.25">
      <c r="A265" s="382" t="s">
        <v>279</v>
      </c>
      <c r="B265" t="s">
        <v>250</v>
      </c>
      <c r="C265" t="s">
        <v>416</v>
      </c>
      <c r="D265" s="4" t="s">
        <v>7</v>
      </c>
      <c r="E265" t="s">
        <v>20</v>
      </c>
      <c r="F265" t="s">
        <v>21</v>
      </c>
      <c r="G265" s="5">
        <v>36923</v>
      </c>
      <c r="H265" s="130">
        <v>-1000000</v>
      </c>
      <c r="I265">
        <v>1.75</v>
      </c>
      <c r="J265" s="53">
        <f t="shared" si="316"/>
        <v>4.4800000000000004</v>
      </c>
      <c r="K265" s="7">
        <f t="shared" si="317"/>
        <v>2.09</v>
      </c>
      <c r="L265" s="53">
        <f t="shared" si="318"/>
        <v>6.57</v>
      </c>
      <c r="M265" s="157">
        <f t="shared" si="303"/>
        <v>6.8640161611372E-2</v>
      </c>
      <c r="N265" s="4">
        <f t="shared" si="304"/>
        <v>0.59250000000000003</v>
      </c>
      <c r="O265" s="4">
        <f t="shared" si="305"/>
        <v>0.68100000000000005</v>
      </c>
      <c r="P265" s="9">
        <f t="shared" si="306"/>
        <v>0.83</v>
      </c>
      <c r="Q265" s="5">
        <f t="shared" si="310"/>
        <v>36921</v>
      </c>
      <c r="R265" s="4">
        <f t="shared" si="307"/>
        <v>1</v>
      </c>
      <c r="S265" s="158">
        <f>_xll.xSPRDOPT($L265,$J265,$I265,$M265,$O265,$N265,$P265,$Q265-$C$3,$R265,0)</f>
        <v>0.82976979142903007</v>
      </c>
      <c r="T265" s="159">
        <f>_xll.xSPRDOPT($L265,$J265,$I265,$M265,$O265,$N265,$P265,$Q265-$C$3,$R265,1)*H265</f>
        <v>-615194.89245709346</v>
      </c>
      <c r="U265" s="160">
        <f t="shared" si="308"/>
        <v>-829769.79142903001</v>
      </c>
      <c r="V265" s="159">
        <f>_xll.xSPRDOPT($L265,$J265,$I265,$M265,$O265,$N265,$P265,$Q265-$C$3,$R265,2)*H265</f>
        <v>530152.99002230237</v>
      </c>
      <c r="W265" s="159">
        <f t="shared" si="309"/>
        <v>-85041.902434791089</v>
      </c>
      <c r="X265" s="51" t="str">
        <f t="shared" si="311"/>
        <v>36923IF-TRANSCO/Z6</v>
      </c>
      <c r="Y265" s="418">
        <f t="shared" si="312"/>
        <v>-100</v>
      </c>
      <c r="Z265" s="456">
        <f t="shared" si="313"/>
        <v>0.61519489245709347</v>
      </c>
      <c r="AA265" s="456">
        <f>_xll.xSPRDOPT($L265,$J265,$I265,$M265,$O265,$N265,$P265,$Q265-$C$3,$R265,3)</f>
        <v>0.2115570038217256</v>
      </c>
      <c r="AB265" s="456">
        <f>((_xll.xSPRDOPT($L265+AB$5,$J265,$I265,$M265,$O265,$N265,$P265,$Q265-$C$3,$R265,3)*$H265)/10000)/100</f>
        <v>-0.21155700382172563</v>
      </c>
      <c r="AC265" s="456">
        <f>((_xll.xSPRDOPT($L265+$AB$5,$J265,$I265,$M265,$O265,$N265,$P265,$Q265-$C$3,$R265,7)*$H265)/100)</f>
        <v>11192.415018421605</v>
      </c>
      <c r="AD265" s="456">
        <f>(_xll.xSPRDOPT($L265+$AB$5,$J265,$I265,$M265,$O265,$N265,$P265,$Q265-$C$3,$R265,9)/365)*$H265</f>
        <v>1910.8276173440001</v>
      </c>
      <c r="AE265">
        <f t="shared" si="314"/>
        <v>0</v>
      </c>
      <c r="AF265" s="456">
        <f t="shared" si="315"/>
        <v>-10736.882463105499</v>
      </c>
      <c r="AG265" s="456">
        <f>((_xll.xSPRDOPT($L265,$J265,$I265,$M265,$O265,$N265,$P265,$Q265-$C$3,$R265,6)*$H265)/100)</f>
        <v>3720.9109640617394</v>
      </c>
      <c r="AH265" s="456">
        <f>((_xll.xSPRDOPT($L265,$J265,$I265,$M265,$O265,$N265,$P265,$Q265-$C$3,$R265,5)*$H265)/100)</f>
        <v>-12578.91718883493</v>
      </c>
      <c r="AI265" s="456">
        <f>(((_xll.xSPRDOPT($L265,$J265,$I265,$M265,$O265,$N265,$P265,$Q265-$C$3,$R265,4)*$H265)/10000)/100)-AB265</f>
        <v>-2.6938172555963313E-2</v>
      </c>
      <c r="AJ265" s="456"/>
      <c r="AK265" s="456"/>
      <c r="AL265" s="456"/>
      <c r="AM265" s="472"/>
      <c r="CC265" s="141">
        <f t="shared" si="298"/>
        <v>36923</v>
      </c>
      <c r="CD265" s="234">
        <f>_xll.xSPRDOPT((VLOOKUP(G265,NGPrices,2,FALSE)+HLOOKUP(D265,Prices,VLOOKUP(G265,move_down,2,FALSE),FALSE)),VLOOKUP(G265,NGPrices,2,FALSE),I265,VLOOKUP(G265,NGPREVPRICES,4,FALSE),HLOOKUP(D265,PREVVOLS,VLOOKUP(G265,MOVE_DOWN2,2,FALSE),FALSE),VLOOKUP(G265,NGPREVPRICES,3,FALSE),HLOOKUP(D265,Correllate,VLOOKUP(G265,CorMove,2,FALSE),FALSE),Q265-$CD$3,R265,$CD$5)*H265-CJ265</f>
        <v>0</v>
      </c>
      <c r="CE265" s="234">
        <f>_xll.xSPRDOPT((VLOOKUP(G265,NGPREVPRICES,2,FALSE)+HLOOKUP(D265,PREVCURVES,VLOOKUP(G265,MOVE_DOWN2,2,FALSE),FALSE)),VLOOKUP(G265,NGPREVPRICES,2,FALSE),CK265,VLOOKUP(G265,NGPrices,4,FALSE),HLOOKUP(D265,PREVVOLS,VLOOKUP(G265,MOVE_DOWN2,2,FALSE),FALSE),VLOOKUP(G265,NGPREVPRICES,3,FALSE),HLOOKUP(D265,Correllate,VLOOKUP(G265,CorMove,2,FALSE),FALSE),Q265-$CD$3,R265,$CJ$5)*H265-CJ265</f>
        <v>0</v>
      </c>
      <c r="CF265" s="10">
        <f t="shared" si="299"/>
        <v>158.17512524384074</v>
      </c>
      <c r="CG265" s="234">
        <f>_xll.xSPRDOPT((VLOOKUP(G265,NGPREVPRICES,2,FALSE)+HLOOKUP(D265,PREVCURVES,VLOOKUP(G265,MOVE_DOWN2,2,FALSE),FALSE)),VLOOKUP(G265,NGPREVPRICES,2,FALSE),CK265,VLOOKUP(G265,NGPREVPRICES,4,FALSE),HLOOKUP(D265,VOLS,VLOOKUP(G265,move_down,2,FALSE),FALSE),VLOOKUP(G265,NGPrices,3,FALSE),HLOOKUP(D265,Correllate,VLOOKUP(G265,CorMove,2,FALSE),FALSE),Q265-$CD$3,R265,$CJ$5)*H265-CJ265</f>
        <v>0</v>
      </c>
      <c r="CH265" s="234">
        <f>_xll.xSPRDOPT((VLOOKUP(G265,NGPREVPRICES,2,FALSE)+HLOOKUP(D265,PREVCURVES,VLOOKUP(G265,MOVE_DOWN2,2,FALSE),FALSE)),VLOOKUP(G265,NGPREVPRICES,2,FALSE),CK265,VLOOKUP(G265,NGPREVPRICES,4,FALSE),HLOOKUP(D265,PREVVOLS,VLOOKUP(G265,MOVE_DOWN2,2,FALSE),FALSE),VLOOKUP(G265,NGPREVPRICES,3,FALSE),HLOOKUP(D265,Correllate,VLOOKUP(G265,CorMove,2,FALSE),FALSE),Q265-$C$3,R265,$CJ$5)*H265-CJ265</f>
        <v>1905.9070336318109</v>
      </c>
      <c r="CI265" s="234">
        <f t="shared" si="300"/>
        <v>2064.0821588756517</v>
      </c>
      <c r="CJ265" s="234">
        <f>_xll.xSPRDOPT((VLOOKUP(G265,NGPREVPRICES,2,FALSE)+HLOOKUP(D265,PREVCURVES,VLOOKUP(G265,MOVE_DOWN2,2,FALSE),FALSE)),VLOOKUP(G265,NGPREVPRICES,2,FALSE),CK265,VLOOKUP(G265,NGPREVPRICES,4,FALSE),HLOOKUP(D265,PREVVOLS,VLOOKUP(G265,MOVE_DOWN2,2,FALSE),FALSE),VLOOKUP(G265,NGPREVPRICES,3,FALSE),HLOOKUP(D265,Correllate,VLOOKUP(G265,CorMove,2,FALSE),FALSE),Q265-$CD$3,R265,$CJ$5)*H265</f>
        <v>-831675.69846266182</v>
      </c>
      <c r="CK265" s="235">
        <f t="shared" si="301"/>
        <v>1.75</v>
      </c>
      <c r="CL265" s="234"/>
      <c r="CM265" t="str">
        <f t="shared" si="302"/>
        <v>36923Curve Shift/Gamma</v>
      </c>
      <c r="CN265" t="str">
        <f t="shared" si="287"/>
        <v>36923Rho</v>
      </c>
      <c r="CO265" t="str">
        <f t="shared" si="288"/>
        <v>36923Drift</v>
      </c>
      <c r="CP265" t="str">
        <f t="shared" si="289"/>
        <v>36923Vega</v>
      </c>
      <c r="CQ265" t="str">
        <f t="shared" si="290"/>
        <v>36923Theta</v>
      </c>
    </row>
    <row r="266" spans="1:95" x14ac:dyDescent="0.25">
      <c r="A266" s="382" t="s">
        <v>279</v>
      </c>
      <c r="B266" t="s">
        <v>250</v>
      </c>
      <c r="C266" t="s">
        <v>416</v>
      </c>
      <c r="D266" s="4" t="s">
        <v>7</v>
      </c>
      <c r="E266" t="s">
        <v>20</v>
      </c>
      <c r="F266" t="s">
        <v>21</v>
      </c>
      <c r="G266" s="5">
        <v>36892</v>
      </c>
      <c r="H266" s="130">
        <v>-1000000</v>
      </c>
      <c r="I266">
        <v>1.75</v>
      </c>
      <c r="J266" s="53">
        <f t="shared" si="316"/>
        <v>4.7439999999999998</v>
      </c>
      <c r="K266" s="7">
        <f t="shared" si="317"/>
        <v>2.17</v>
      </c>
      <c r="L266" s="53">
        <f t="shared" si="318"/>
        <v>6.9139999999999997</v>
      </c>
      <c r="M266" s="157">
        <f t="shared" si="303"/>
        <v>6.8374831148490994E-2</v>
      </c>
      <c r="N266" s="4">
        <f t="shared" si="304"/>
        <v>0.60499999999999998</v>
      </c>
      <c r="O266" s="4">
        <f t="shared" si="305"/>
        <v>0.69599999999999995</v>
      </c>
      <c r="P266" s="9">
        <f t="shared" si="306"/>
        <v>0.83</v>
      </c>
      <c r="Q266" s="5">
        <f t="shared" si="310"/>
        <v>36888</v>
      </c>
      <c r="R266" s="4">
        <f t="shared" si="307"/>
        <v>1</v>
      </c>
      <c r="S266" s="158">
        <f>_xll.xSPRDOPT($L266,$J266,$I266,$M266,$O266,$N266,$P266,$Q266-$C$3,$R266,0)</f>
        <v>0.84575346105479265</v>
      </c>
      <c r="T266" s="159">
        <f>_xll.xSPRDOPT($L266,$J266,$I266,$M266,$O266,$N266,$P266,$Q266-$C$3,$R266,1)*H266</f>
        <v>-636612.98584401258</v>
      </c>
      <c r="U266" s="160">
        <f t="shared" si="308"/>
        <v>-845753.46105479263</v>
      </c>
      <c r="V266" s="159">
        <f>_xll.xSPRDOPT($L266,$J266,$I266,$M266,$O266,$N266,$P266,$Q266-$C$3,$R266,2)*H266</f>
        <v>559768.14776485111</v>
      </c>
      <c r="W266" s="159">
        <f t="shared" si="309"/>
        <v>-76844.838079161476</v>
      </c>
      <c r="X266" s="51" t="str">
        <f t="shared" si="311"/>
        <v>36892IF-TRANSCO/Z6</v>
      </c>
      <c r="Y266" s="418">
        <f t="shared" si="312"/>
        <v>-100</v>
      </c>
      <c r="Z266" s="456">
        <f t="shared" si="313"/>
        <v>0.6366129858440126</v>
      </c>
      <c r="AA266" s="456">
        <f>_xll.xSPRDOPT($L266,$J266,$I266,$M266,$O266,$N266,$P266,$Q266-$C$3,$R266,3)</f>
        <v>0.2204598112510438</v>
      </c>
      <c r="AB266" s="456">
        <f>((_xll.xSPRDOPT($L266+AB$5,$J266,$I266,$M266,$O266,$N266,$P266,$Q266-$C$3,$R266,3)*$H266)/10000)/100</f>
        <v>-0.2204598112510438</v>
      </c>
      <c r="AC266" s="456">
        <f>((_xll.xSPRDOPT($L266+$AB$5,$J266,$I266,$M266,$O266,$N266,$P266,$Q266-$C$3,$R266,7)*$H266)/100)</f>
        <v>10727.278714392041</v>
      </c>
      <c r="AD266" s="456">
        <f>(_xll.xSPRDOPT($L266+$AB$5,$J266,$I266,$M266,$O266,$N266,$P266,$Q266-$C$3,$R266,9)/365)*$H266</f>
        <v>2306.8554372541771</v>
      </c>
      <c r="AE266">
        <f t="shared" si="314"/>
        <v>0</v>
      </c>
      <c r="AF266" s="456">
        <f t="shared" si="315"/>
        <v>-9854.4063854806318</v>
      </c>
      <c r="AG266" s="456">
        <f>((_xll.xSPRDOPT($L266,$J266,$I266,$M266,$O266,$N266,$P266,$Q266-$C$3,$R266,6)*$H266)/100)</f>
        <v>3382.9974715303192</v>
      </c>
      <c r="AH266" s="456">
        <f>((_xll.xSPRDOPT($L266,$J266,$I266,$M266,$O266,$N266,$P266,$Q266-$C$3,$R266,5)*$H266)/100)</f>
        <v>-11506.651341223602</v>
      </c>
      <c r="AI266" s="456">
        <f>(((_xll.xSPRDOPT($L266,$J266,$I266,$M266,$O266,$N266,$P266,$Q266-$C$3,$R266,4)*$H266)/10000)/100)-AB266</f>
        <v>-3.0805692041019073E-2</v>
      </c>
      <c r="AJ266" s="456"/>
      <c r="AK266" s="456"/>
      <c r="AL266" s="456"/>
      <c r="AM266" s="472"/>
      <c r="CC266" s="141">
        <f t="shared" si="298"/>
        <v>36892</v>
      </c>
      <c r="CD266" s="234">
        <f>_xll.xSPRDOPT((VLOOKUP(G266,NGPrices,2,FALSE)+HLOOKUP(D266,Prices,VLOOKUP(G266,move_down,2,FALSE),FALSE)),VLOOKUP(G266,NGPrices,2,FALSE),I266,VLOOKUP(G266,NGPREVPRICES,4,FALSE),HLOOKUP(D266,PREVVOLS,VLOOKUP(G266,MOVE_DOWN2,2,FALSE),FALSE),VLOOKUP(G266,NGPREVPRICES,3,FALSE),HLOOKUP(D266,Correllate,VLOOKUP(G266,CorMove,2,FALSE),FALSE),Q266-$CD$3,R266,$CD$5)*H266-CJ266</f>
        <v>0</v>
      </c>
      <c r="CE266" s="234">
        <f>_xll.xSPRDOPT((VLOOKUP(G266,NGPREVPRICES,2,FALSE)+HLOOKUP(D266,PREVCURVES,VLOOKUP(G266,MOVE_DOWN2,2,FALSE),FALSE)),VLOOKUP(G266,NGPREVPRICES,2,FALSE),CK266,VLOOKUP(G266,NGPrices,4,FALSE),HLOOKUP(D266,PREVVOLS,VLOOKUP(G266,MOVE_DOWN2,2,FALSE),FALSE),VLOOKUP(G266,NGPREVPRICES,3,FALSE),HLOOKUP(D266,Correllate,VLOOKUP(G266,CorMove,2,FALSE),FALSE),Q266-$CD$3,R266,$CJ$5)*H266-CJ266</f>
        <v>0</v>
      </c>
      <c r="CF266" s="10">
        <f t="shared" si="299"/>
        <v>159.80819581844844</v>
      </c>
      <c r="CG266" s="234">
        <f>_xll.xSPRDOPT((VLOOKUP(G266,NGPREVPRICES,2,FALSE)+HLOOKUP(D266,PREVCURVES,VLOOKUP(G266,MOVE_DOWN2,2,FALSE),FALSE)),VLOOKUP(G266,NGPREVPRICES,2,FALSE),CK266,VLOOKUP(G266,NGPREVPRICES,4,FALSE),HLOOKUP(D266,VOLS,VLOOKUP(G266,move_down,2,FALSE),FALSE),VLOOKUP(G266,NGPrices,3,FALSE),HLOOKUP(D266,Correllate,VLOOKUP(G266,CorMove,2,FALSE),FALSE),Q266-$CD$3,R266,$CJ$5)*H266-CJ266</f>
        <v>0</v>
      </c>
      <c r="CH266" s="234">
        <f>_xll.xSPRDOPT((VLOOKUP(G266,NGPREVPRICES,2,FALSE)+HLOOKUP(D266,PREVCURVES,VLOOKUP(G266,MOVE_DOWN2,2,FALSE),FALSE)),VLOOKUP(G266,NGPREVPRICES,2,FALSE),CK266,VLOOKUP(G266,NGPREVPRICES,4,FALSE),HLOOKUP(D266,PREVVOLS,VLOOKUP(G266,MOVE_DOWN2,2,FALSE),FALSE),VLOOKUP(G266,NGPREVPRICES,3,FALSE),HLOOKUP(D266,Correllate,VLOOKUP(G266,CorMove,2,FALSE),FALSE),Q266-$C$3,R266,$CJ$5)*H266-CJ266</f>
        <v>2300.0760772394715</v>
      </c>
      <c r="CI266" s="234">
        <f t="shared" si="300"/>
        <v>2459.8842730579199</v>
      </c>
      <c r="CJ266" s="234">
        <f>_xll.xSPRDOPT((VLOOKUP(G266,NGPREVPRICES,2,FALSE)+HLOOKUP(D266,PREVCURVES,VLOOKUP(G266,MOVE_DOWN2,2,FALSE),FALSE)),VLOOKUP(G266,NGPREVPRICES,2,FALSE),CK266,VLOOKUP(G266,NGPREVPRICES,4,FALSE),HLOOKUP(D266,PREVVOLS,VLOOKUP(G266,MOVE_DOWN2,2,FALSE),FALSE),VLOOKUP(G266,NGPREVPRICES,3,FALSE),HLOOKUP(D266,Correllate,VLOOKUP(G266,CorMove,2,FALSE),FALSE),Q266-$CD$3,R266,$CJ$5)*H266</f>
        <v>-848053.5371320321</v>
      </c>
      <c r="CK266" s="235">
        <f t="shared" si="301"/>
        <v>1.75</v>
      </c>
      <c r="CL266" s="234"/>
      <c r="CM266" t="str">
        <f t="shared" si="302"/>
        <v>36892Curve Shift/Gamma</v>
      </c>
      <c r="CN266" t="str">
        <f t="shared" si="287"/>
        <v>36892Rho</v>
      </c>
      <c r="CO266" t="str">
        <f t="shared" si="288"/>
        <v>36892Drift</v>
      </c>
      <c r="CP266" t="str">
        <f t="shared" si="289"/>
        <v>36892Vega</v>
      </c>
      <c r="CQ266" t="str">
        <f t="shared" si="290"/>
        <v>36892Theta</v>
      </c>
    </row>
    <row r="267" spans="1:95" x14ac:dyDescent="0.25">
      <c r="A267" s="382" t="s">
        <v>279</v>
      </c>
      <c r="B267" t="s">
        <v>250</v>
      </c>
      <c r="C267" t="s">
        <v>416</v>
      </c>
      <c r="D267" s="4" t="s">
        <v>7</v>
      </c>
      <c r="E267" t="s">
        <v>20</v>
      </c>
      <c r="F267" t="s">
        <v>21</v>
      </c>
      <c r="G267" s="5">
        <v>36861</v>
      </c>
      <c r="H267" s="130">
        <v>-1000000</v>
      </c>
      <c r="I267">
        <v>1.75</v>
      </c>
      <c r="J267" s="53">
        <f t="shared" si="316"/>
        <v>4.8</v>
      </c>
      <c r="K267" s="7">
        <f t="shared" si="317"/>
        <v>1.645</v>
      </c>
      <c r="L267" s="53">
        <f t="shared" si="318"/>
        <v>6.4450000000000003</v>
      </c>
      <c r="M267" s="157">
        <f t="shared" ref="M267:M298" si="319">VLOOKUP(G267,NGPrices,4,FALSE)</f>
        <v>6.8314027999354002E-2</v>
      </c>
      <c r="N267" s="4">
        <f t="shared" ref="N267:N298" si="320">VLOOKUP(G267,NGPrices,3,FALSE)</f>
        <v>0.6</v>
      </c>
      <c r="O267" s="4">
        <f t="shared" ref="O267:O298" si="321">HLOOKUP(D267,VOLS,VLOOKUP(G267,move_down,2,FALSE),FALSE)</f>
        <v>0.69</v>
      </c>
      <c r="P267" s="9">
        <f t="shared" ref="P267:P298" si="322">HLOOKUP(D267,Correllate,VLOOKUP(G267,CorMove,2,FALSE),FALSE)</f>
        <v>0.83</v>
      </c>
      <c r="Q267" s="5">
        <f t="shared" si="310"/>
        <v>36859</v>
      </c>
      <c r="R267" s="4">
        <f t="shared" ref="R267:R298" si="323">IF(F267="P",0,1)</f>
        <v>1</v>
      </c>
      <c r="S267" s="158">
        <f>_xll.xSPRDOPT($L267,$J267,$I267,$M267,$O267,$N267,$P267,$Q267-$C$3,$R267,0)</f>
        <v>0.47009575539155257</v>
      </c>
      <c r="T267" s="159">
        <f>_xll.xSPRDOPT($L267,$J267,$I267,$M267,$O267,$N267,$P267,$Q267-$C$3,$R267,1)*H267</f>
        <v>-502374.21741884371</v>
      </c>
      <c r="U267" s="160">
        <f t="shared" ref="U267:U298" si="324">S267*H267</f>
        <v>-470095.75539155258</v>
      </c>
      <c r="V267" s="159">
        <f>_xll.xSPRDOPT($L267,$J267,$I267,$M267,$O267,$N267,$P267,$Q267-$C$3,$R267,2)*H267</f>
        <v>432568.44829273515</v>
      </c>
      <c r="W267" s="159">
        <f t="shared" ref="W267:W298" si="325">+V267+T267</f>
        <v>-69805.769126108557</v>
      </c>
      <c r="X267" s="51" t="str">
        <f t="shared" si="311"/>
        <v>36861IF-TRANSCO/Z6</v>
      </c>
      <c r="Y267" s="418">
        <f t="shared" si="312"/>
        <v>-100</v>
      </c>
      <c r="Z267" s="456">
        <f t="shared" si="313"/>
        <v>0.50237421741884369</v>
      </c>
      <c r="AA267" s="456">
        <f>_xll.xSPRDOPT($L267,$J267,$I267,$M267,$O267,$N267,$P267,$Q267-$C$3,$R267,3)</f>
        <v>0.29792626931110988</v>
      </c>
      <c r="AB267" s="456">
        <f>((_xll.xSPRDOPT($L267+AB$5,$J267,$I267,$M267,$O267,$N267,$P267,$Q267-$C$3,$R267,3)*$H267)/10000)/100</f>
        <v>-0.29792626931110994</v>
      </c>
      <c r="AC267" s="456">
        <f>((_xll.xSPRDOPT($L267+$AB$5,$J267,$I267,$M267,$O267,$N267,$P267,$Q267-$C$3,$R267,7)*$H267)/100)</f>
        <v>9524.1783401595621</v>
      </c>
      <c r="AD267" s="456">
        <f>(_xll.xSPRDOPT($L267+$AB$5,$J267,$I267,$M267,$O267,$N267,$P267,$Q267-$C$3,$R267,9)/365)*$H267</f>
        <v>2726.8094824102909</v>
      </c>
      <c r="AE267">
        <f t="shared" si="314"/>
        <v>0</v>
      </c>
      <c r="AF267" s="456">
        <f t="shared" si="315"/>
        <v>-8626.1248041396248</v>
      </c>
      <c r="AG267" s="456">
        <f>((_xll.xSPRDOPT($L267,$J267,$I267,$M267,$O267,$N267,$P267,$Q267-$C$3,$R267,6)*$H267)/100)</f>
        <v>2933.026465449725</v>
      </c>
      <c r="AH267" s="456">
        <f>((_xll.xSPRDOPT($L267,$J267,$I267,$M267,$O267,$N267,$P267,$Q267-$C$3,$R267,5)*$H267)/100)</f>
        <v>-10051.435886599436</v>
      </c>
      <c r="AI267" s="456">
        <f>(((_xll.xSPRDOPT($L267,$J267,$I267,$M267,$O267,$N267,$P267,$Q267-$C$3,$R267,4)*$H267)/10000)/100)-AB267</f>
        <v>3.7832097464262637E-3</v>
      </c>
      <c r="AJ267" s="456"/>
      <c r="AK267" s="456"/>
      <c r="AL267" s="456"/>
      <c r="AM267" s="472"/>
      <c r="CC267" s="141">
        <f t="shared" ref="CC267:CC276" si="326">G267</f>
        <v>36861</v>
      </c>
      <c r="CD267" s="234">
        <f>_xll.xSPRDOPT((VLOOKUP(G267,NGPrices,2,FALSE)+HLOOKUP(D267,Prices,VLOOKUP(G267,move_down,2,FALSE),FALSE)),VLOOKUP(G267,NGPrices,2,FALSE),I267,VLOOKUP(G267,NGPREVPRICES,4,FALSE),HLOOKUP(D267,PREVVOLS,VLOOKUP(G267,MOVE_DOWN2,2,FALSE),FALSE),VLOOKUP(G267,NGPREVPRICES,3,FALSE),HLOOKUP(D267,Correllate,VLOOKUP(G267,CorMove,2,FALSE),FALSE),Q267-$CD$3,R267,$CD$5)*H267-CJ267</f>
        <v>0</v>
      </c>
      <c r="CE267" s="234">
        <f>_xll.xSPRDOPT((VLOOKUP(G267,NGPREVPRICES,2,FALSE)+HLOOKUP(D267,PREVCURVES,VLOOKUP(G267,MOVE_DOWN2,2,FALSE),FALSE)),VLOOKUP(G267,NGPREVPRICES,2,FALSE),CK267,VLOOKUP(G267,NGPrices,4,FALSE),HLOOKUP(D267,PREVVOLS,VLOOKUP(G267,MOVE_DOWN2,2,FALSE),FALSE),VLOOKUP(G267,NGPREVPRICES,3,FALSE),HLOOKUP(D267,Correllate,VLOOKUP(G267,CorMove,2,FALSE),FALSE),Q267-$CD$3,R267,$CJ$5)*H267-CJ267</f>
        <v>0</v>
      </c>
      <c r="CF267" s="10">
        <f t="shared" ref="CF267:CF276" si="327">(CJ267/VLOOKUP(CC267,discount,3,FALSE))-(CJ267/VLOOKUP(CC267,discount,2,FALSE))</f>
        <v>88.575733606063295</v>
      </c>
      <c r="CG267" s="234">
        <f>_xll.xSPRDOPT((VLOOKUP(G267,NGPREVPRICES,2,FALSE)+HLOOKUP(D267,PREVCURVES,VLOOKUP(G267,MOVE_DOWN2,2,FALSE),FALSE)),VLOOKUP(G267,NGPREVPRICES,2,FALSE),CK267,VLOOKUP(G267,NGPREVPRICES,4,FALSE),HLOOKUP(D267,VOLS,VLOOKUP(G267,move_down,2,FALSE),FALSE),VLOOKUP(G267,NGPrices,3,FALSE),HLOOKUP(D267,Correllate,VLOOKUP(G267,CorMove,2,FALSE),FALSE),Q267-$CD$3,R267,$CJ$5)*H267-CJ267</f>
        <v>0</v>
      </c>
      <c r="CH267" s="234">
        <f>_xll.xSPRDOPT((VLOOKUP(G267,NGPREVPRICES,2,FALSE)+HLOOKUP(D267,PREVCURVES,VLOOKUP(G267,MOVE_DOWN2,2,FALSE),FALSE)),VLOOKUP(G267,NGPREVPRICES,2,FALSE),CK267,VLOOKUP(G267,NGPREVPRICES,4,FALSE),HLOOKUP(D267,PREVVOLS,VLOOKUP(G267,MOVE_DOWN2,2,FALSE),FALSE),VLOOKUP(G267,NGPREVPRICES,3,FALSE),HLOOKUP(D267,Correllate,VLOOKUP(G267,CorMove,2,FALSE),FALSE),Q267-$C$3,R267,$CJ$5)*H267-CJ267</f>
        <v>2716.8307635813253</v>
      </c>
      <c r="CI267" s="234">
        <f t="shared" ref="CI267:CI276" si="328">SUM(CD267:CH267)</f>
        <v>2805.4064971873886</v>
      </c>
      <c r="CJ267" s="234">
        <f>_xll.xSPRDOPT((VLOOKUP(G267,NGPREVPRICES,2,FALSE)+HLOOKUP(D267,PREVCURVES,VLOOKUP(G267,MOVE_DOWN2,2,FALSE),FALSE)),VLOOKUP(G267,NGPREVPRICES,2,FALSE),CK267,VLOOKUP(G267,NGPREVPRICES,4,FALSE),HLOOKUP(D267,PREVVOLS,VLOOKUP(G267,MOVE_DOWN2,2,FALSE),FALSE),VLOOKUP(G267,NGPREVPRICES,3,FALSE),HLOOKUP(D267,Correllate,VLOOKUP(G267,CorMove,2,FALSE),FALSE),Q267-$CD$3,R267,$CJ$5)*H267</f>
        <v>-472812.5861551339</v>
      </c>
      <c r="CK267" s="235">
        <f t="shared" ref="CK267:CK276" si="329">I267</f>
        <v>1.75</v>
      </c>
      <c r="CL267" s="234"/>
      <c r="CM267" t="str">
        <f t="shared" ref="CM267:CM276" si="330">CONCATENATE(CC267,$CD$6)</f>
        <v>36861Curve Shift/Gamma</v>
      </c>
      <c r="CN267" t="str">
        <f t="shared" si="287"/>
        <v>36861Rho</v>
      </c>
      <c r="CO267" t="str">
        <f t="shared" si="288"/>
        <v>36861Drift</v>
      </c>
      <c r="CP267" t="str">
        <f t="shared" si="289"/>
        <v>36861Vega</v>
      </c>
      <c r="CQ267" t="str">
        <f t="shared" si="290"/>
        <v>36861Theta</v>
      </c>
    </row>
    <row r="268" spans="1:95" x14ac:dyDescent="0.25">
      <c r="A268" s="382" t="s">
        <v>279</v>
      </c>
      <c r="B268" t="s">
        <v>250</v>
      </c>
      <c r="C268" t="s">
        <v>416</v>
      </c>
      <c r="D268" s="4" t="s">
        <v>7</v>
      </c>
      <c r="E268" t="s">
        <v>20</v>
      </c>
      <c r="F268" t="s">
        <v>21</v>
      </c>
      <c r="G268" s="5">
        <v>36831</v>
      </c>
      <c r="H268" s="130">
        <v>-1000000</v>
      </c>
      <c r="I268">
        <v>1.75</v>
      </c>
      <c r="J268" s="53">
        <f t="shared" si="316"/>
        <v>4.7359999999999998</v>
      </c>
      <c r="K268" s="7">
        <f t="shared" si="317"/>
        <v>0.77</v>
      </c>
      <c r="L268" s="53">
        <f t="shared" si="318"/>
        <v>5.5060000000000002</v>
      </c>
      <c r="M268" s="157">
        <f t="shared" si="319"/>
        <v>6.810675983792E-2</v>
      </c>
      <c r="N268" s="4">
        <f t="shared" si="320"/>
        <v>0.59499999999999997</v>
      </c>
      <c r="O268" s="4">
        <f t="shared" si="321"/>
        <v>0.625</v>
      </c>
      <c r="P268" s="9">
        <f t="shared" si="322"/>
        <v>0.89</v>
      </c>
      <c r="Q268" s="5">
        <f t="shared" si="310"/>
        <v>36829</v>
      </c>
      <c r="R268" s="4">
        <f t="shared" si="323"/>
        <v>1</v>
      </c>
      <c r="S268" s="158">
        <f>_xll.xSPRDOPT($L268,$J268,$I268,$M268,$O268,$N268,$P268,$Q268-$C$3,$R268,0)</f>
        <v>3.4598703912061421E-2</v>
      </c>
      <c r="T268" s="159">
        <f>_xll.xSPRDOPT($L268,$J268,$I268,$M268,$O268,$N268,$P268,$Q268-$C$3,$R268,1)*H268</f>
        <v>-109357.173043207</v>
      </c>
      <c r="U268" s="160">
        <f t="shared" si="324"/>
        <v>-34598.703912061421</v>
      </c>
      <c r="V268" s="159">
        <f>_xll.xSPRDOPT($L268,$J268,$I268,$M268,$O268,$N268,$P268,$Q268-$C$3,$R268,2)*H268</f>
        <v>91130.185630452965</v>
      </c>
      <c r="W268" s="159">
        <f t="shared" si="325"/>
        <v>-18226.987412754039</v>
      </c>
      <c r="X268" s="51" t="str">
        <f t="shared" si="311"/>
        <v>36831IF-TRANSCO/Z6</v>
      </c>
      <c r="Y268" s="418">
        <f t="shared" si="312"/>
        <v>-100</v>
      </c>
      <c r="Z268" s="456">
        <f t="shared" si="313"/>
        <v>0.10935717304320701</v>
      </c>
      <c r="AA268" s="456">
        <f>_xll.xSPRDOPT($L268,$J268,$I268,$M268,$O268,$N268,$P268,$Q268-$C$3,$R268,3)</f>
        <v>0.26977918106987692</v>
      </c>
      <c r="AB268" s="456">
        <f>((_xll.xSPRDOPT($L268+AB$5,$J268,$I268,$M268,$O268,$N268,$P268,$Q268-$C$3,$R268,3)*$H268)/10000)/100</f>
        <v>-0.26977918106987692</v>
      </c>
      <c r="AC268" s="456">
        <f>((_xll.xSPRDOPT($L268+$AB$5,$J268,$I268,$M268,$O268,$N268,$P268,$Q268-$C$3,$R268,7)*$H268)/100)</f>
        <v>3893.9125238632882</v>
      </c>
      <c r="AD268" s="456">
        <f>(_xll.xSPRDOPT($L268+$AB$5,$J268,$I268,$M268,$O268,$N268,$P268,$Q268-$C$3,$R268,9)/365)*$H268</f>
        <v>1039.2112337738879</v>
      </c>
      <c r="AE268">
        <f t="shared" si="314"/>
        <v>0</v>
      </c>
      <c r="AF268" s="456">
        <f t="shared" si="315"/>
        <v>-2177.7138914802208</v>
      </c>
      <c r="AG268" s="456">
        <f>((_xll.xSPRDOPT($L268,$J268,$I268,$M268,$O268,$N268,$P268,$Q268-$C$3,$R268,6)*$H268)/100)</f>
        <v>1112.1008065971489</v>
      </c>
      <c r="AH268" s="456">
        <f>((_xll.xSPRDOPT($L268,$J268,$I268,$M268,$O268,$N268,$P268,$Q268-$C$3,$R268,5)*$H268)/100)</f>
        <v>-3131.9035925696558</v>
      </c>
      <c r="AI268" s="456">
        <f>(((_xll.xSPRDOPT($L268,$J268,$I268,$M268,$O268,$N268,$P268,$Q268-$C$3,$R268,4)*$H268)/10000)/100)-AB268</f>
        <v>6.1760097152618681E-2</v>
      </c>
      <c r="AJ268" s="456"/>
      <c r="AK268" s="456"/>
      <c r="AL268" s="456"/>
      <c r="AM268" s="472"/>
      <c r="CC268" s="141">
        <f t="shared" si="326"/>
        <v>36831</v>
      </c>
      <c r="CD268" s="234">
        <f>_xll.xSPRDOPT((VLOOKUP(G268,NGPrices,2,FALSE)+HLOOKUP(D268,Prices,VLOOKUP(G268,move_down,2,FALSE),FALSE)),VLOOKUP(G268,NGPrices,2,FALSE),I268,VLOOKUP(G268,NGPREVPRICES,4,FALSE),HLOOKUP(D268,PREVVOLS,VLOOKUP(G268,MOVE_DOWN2,2,FALSE),FALSE),VLOOKUP(G268,NGPREVPRICES,3,FALSE),HLOOKUP(D268,Correllate,VLOOKUP(G268,CorMove,2,FALSE),FALSE),Q268-$CD$3,R268,$CD$5)*H268-CJ268</f>
        <v>0</v>
      </c>
      <c r="CE268" s="234">
        <f>_xll.xSPRDOPT((VLOOKUP(G268,NGPREVPRICES,2,FALSE)+HLOOKUP(D268,PREVCURVES,VLOOKUP(G268,MOVE_DOWN2,2,FALSE),FALSE)),VLOOKUP(G268,NGPREVPRICES,2,FALSE),CK268,VLOOKUP(G268,NGPrices,4,FALSE),HLOOKUP(D268,PREVVOLS,VLOOKUP(G268,MOVE_DOWN2,2,FALSE),FALSE),VLOOKUP(G268,NGPREVPRICES,3,FALSE),HLOOKUP(D268,Correllate,VLOOKUP(G268,CorMove,2,FALSE),FALSE),Q268-$CD$3,R268,$CJ$5)*H268-CJ268</f>
        <v>0</v>
      </c>
      <c r="CF268" s="10">
        <f t="shared" si="327"/>
        <v>6.618691206247604</v>
      </c>
      <c r="CG268" s="234">
        <f>_xll.xSPRDOPT((VLOOKUP(G268,NGPREVPRICES,2,FALSE)+HLOOKUP(D268,PREVCURVES,VLOOKUP(G268,MOVE_DOWN2,2,FALSE),FALSE)),VLOOKUP(G268,NGPREVPRICES,2,FALSE),CK268,VLOOKUP(G268,NGPREVPRICES,4,FALSE),HLOOKUP(D268,VOLS,VLOOKUP(G268,move_down,2,FALSE),FALSE),VLOOKUP(G268,NGPrices,3,FALSE),HLOOKUP(D268,Correllate,VLOOKUP(G268,CorMove,2,FALSE),FALSE),Q268-$CD$3,R268,$CJ$5)*H268-CJ268</f>
        <v>0</v>
      </c>
      <c r="CH268" s="234">
        <f>_xll.xSPRDOPT((VLOOKUP(G268,NGPREVPRICES,2,FALSE)+HLOOKUP(D268,PREVCURVES,VLOOKUP(G268,MOVE_DOWN2,2,FALSE),FALSE)),VLOOKUP(G268,NGPREVPRICES,2,FALSE),CK268,VLOOKUP(G268,NGPREVPRICES,4,FALSE),HLOOKUP(D268,PREVVOLS,VLOOKUP(G268,MOVE_DOWN2,2,FALSE),FALSE),VLOOKUP(G268,NGPREVPRICES,3,FALSE),HLOOKUP(D268,Correllate,VLOOKUP(G268,CorMove,2,FALSE),FALSE),Q268-$C$3,R268,$CJ$5)*H268-CJ268</f>
        <v>1041.1011523847847</v>
      </c>
      <c r="CI268" s="234">
        <f t="shared" si="328"/>
        <v>1047.7198435910323</v>
      </c>
      <c r="CJ268" s="234">
        <f>_xll.xSPRDOPT((VLOOKUP(G268,NGPREVPRICES,2,FALSE)+HLOOKUP(D268,PREVCURVES,VLOOKUP(G268,MOVE_DOWN2,2,FALSE),FALSE)),VLOOKUP(G268,NGPREVPRICES,2,FALSE),CK268,VLOOKUP(G268,NGPREVPRICES,4,FALSE),HLOOKUP(D268,PREVVOLS,VLOOKUP(G268,MOVE_DOWN2,2,FALSE),FALSE),VLOOKUP(G268,NGPREVPRICES,3,FALSE),HLOOKUP(D268,Correllate,VLOOKUP(G268,CorMove,2,FALSE),FALSE),Q268-$CD$3,R268,$CJ$5)*H268</f>
        <v>-35639.805064446206</v>
      </c>
      <c r="CK268" s="235">
        <f t="shared" si="329"/>
        <v>1.75</v>
      </c>
      <c r="CL268" s="234"/>
      <c r="CM268" t="str">
        <f t="shared" si="330"/>
        <v>36831Curve Shift/Gamma</v>
      </c>
      <c r="CN268" t="str">
        <f t="shared" si="287"/>
        <v>36831Rho</v>
      </c>
      <c r="CO268" t="str">
        <f t="shared" si="288"/>
        <v>36831Drift</v>
      </c>
      <c r="CP268" t="str">
        <f t="shared" si="289"/>
        <v>36831Vega</v>
      </c>
      <c r="CQ268" t="str">
        <f t="shared" si="290"/>
        <v>36831Theta</v>
      </c>
    </row>
    <row r="269" spans="1:95" x14ac:dyDescent="0.25">
      <c r="A269" s="382" t="s">
        <v>279</v>
      </c>
      <c r="B269" t="s">
        <v>250</v>
      </c>
      <c r="C269" t="s">
        <v>417</v>
      </c>
      <c r="D269" s="4" t="s">
        <v>7</v>
      </c>
      <c r="E269" t="s">
        <v>20</v>
      </c>
      <c r="F269" t="s">
        <v>21</v>
      </c>
      <c r="G269" s="5">
        <v>36951</v>
      </c>
      <c r="H269" s="130">
        <v>1000000</v>
      </c>
      <c r="I269">
        <v>2.5</v>
      </c>
      <c r="J269" s="53">
        <f t="shared" si="316"/>
        <v>4.2130000000000001</v>
      </c>
      <c r="K269" s="7">
        <f t="shared" si="317"/>
        <v>1.075</v>
      </c>
      <c r="L269" s="53">
        <f t="shared" si="318"/>
        <v>5.2880000000000003</v>
      </c>
      <c r="M269" s="157">
        <f t="shared" si="319"/>
        <v>6.8879814952706994E-2</v>
      </c>
      <c r="N269" s="4">
        <f t="shared" si="320"/>
        <v>0.53249999999999997</v>
      </c>
      <c r="O269" s="4">
        <f t="shared" si="321"/>
        <v>0.61199999999999999</v>
      </c>
      <c r="P269" s="9">
        <f t="shared" si="322"/>
        <v>0.83</v>
      </c>
      <c r="Q269" s="5">
        <f t="shared" si="310"/>
        <v>36949</v>
      </c>
      <c r="R269" s="4">
        <f t="shared" si="323"/>
        <v>1</v>
      </c>
      <c r="S269" s="158">
        <f>_xll.xSPRDOPT($L269,$J269,$I269,$M269,$O269,$N269,$P269,$Q269-$C$3,$R269,0)</f>
        <v>0.15660034057175656</v>
      </c>
      <c r="T269" s="159">
        <f>_xll.xSPRDOPT($L269,$J269,$I269,$M269,$O269,$N269,$P269,$Q269-$C$3,$R269,1)*H269</f>
        <v>219961.18533066681</v>
      </c>
      <c r="U269" s="160">
        <f t="shared" si="324"/>
        <v>156600.34057175656</v>
      </c>
      <c r="V269" s="159">
        <f>_xll.xSPRDOPT($L269,$J269,$I269,$M269,$O269,$N269,$P269,$Q269-$C$3,$R269,2)*H269</f>
        <v>-162923.34028084954</v>
      </c>
      <c r="W269" s="159">
        <f t="shared" si="325"/>
        <v>57037.845049817261</v>
      </c>
      <c r="X269" s="51" t="str">
        <f t="shared" si="311"/>
        <v>36951IF-TRANSCO/Z6</v>
      </c>
      <c r="Y269" s="418">
        <f t="shared" si="312"/>
        <v>100</v>
      </c>
      <c r="Z269" s="456">
        <f t="shared" si="313"/>
        <v>0.2199611853306668</v>
      </c>
      <c r="AA269" s="456">
        <f>_xll.xSPRDOPT($L269,$J269,$I269,$M269,$O269,$N269,$P269,$Q269-$C$3,$R269,3)</f>
        <v>0.20855990404016209</v>
      </c>
      <c r="AB269" s="456">
        <f>((_xll.xSPRDOPT($L269+AB$5,$J269,$I269,$M269,$O269,$N269,$P269,$Q269-$C$3,$R269,3)*$H269)/10000)/100</f>
        <v>0.20855990404016209</v>
      </c>
      <c r="AC269" s="456">
        <f>((_xll.xSPRDOPT($L269+$AB$5,$J269,$I269,$M269,$O269,$N269,$P269,$Q269-$C$3,$R269,7)*$H269)/100)</f>
        <v>-6319.3375957498092</v>
      </c>
      <c r="AD269" s="456">
        <f>(_xll.xSPRDOPT($L269+$AB$5,$J269,$I269,$M269,$O269,$N269,$P269,$Q269-$C$3,$R269,9)/365)*$H269</f>
        <v>-1099.0294684775465</v>
      </c>
      <c r="AE269">
        <f t="shared" si="314"/>
        <v>0</v>
      </c>
      <c r="AF269" s="456">
        <f t="shared" si="315"/>
        <v>7709.3445266222434</v>
      </c>
      <c r="AG269" s="456">
        <f>((_xll.xSPRDOPT($L269,$J269,$I269,$M269,$O269,$N269,$P269,$Q269-$C$3,$R269,6)*$H269)/100)</f>
        <v>-2880.6666390194978</v>
      </c>
      <c r="AH269" s="456">
        <f>((_xll.xSPRDOPT($L269,$J269,$I269,$M269,$O269,$N269,$P269,$Q269-$C$3,$R269,5)*$H269)/100)</f>
        <v>9214.3479504971037</v>
      </c>
      <c r="AI269" s="456">
        <f>(((_xll.xSPRDOPT($L269,$J269,$I269,$M269,$O269,$N269,$P269,$Q269-$C$3,$R269,4)*$H269)/10000)/100)-AB269</f>
        <v>-6.0581352505890695E-2</v>
      </c>
      <c r="AJ269" s="456"/>
      <c r="AK269" s="456"/>
      <c r="AL269" s="456"/>
      <c r="AM269" s="472"/>
      <c r="CC269" s="141">
        <f t="shared" si="326"/>
        <v>36951</v>
      </c>
      <c r="CD269" s="234">
        <f>_xll.xSPRDOPT((VLOOKUP(G269,NGPrices,2,FALSE)+HLOOKUP(D269,Prices,VLOOKUP(G269,move_down,2,FALSE),FALSE)),VLOOKUP(G269,NGPrices,2,FALSE),I269,VLOOKUP(G269,NGPREVPRICES,4,FALSE),HLOOKUP(D269,PREVVOLS,VLOOKUP(G269,MOVE_DOWN2,2,FALSE),FALSE),VLOOKUP(G269,NGPREVPRICES,3,FALSE),HLOOKUP(D269,Correllate,VLOOKUP(G269,CorMove,2,FALSE),FALSE),Q269-$CD$3,R269,$CD$5)*H269-CJ269</f>
        <v>0</v>
      </c>
      <c r="CE269" s="234">
        <f>_xll.xSPRDOPT((VLOOKUP(G269,NGPREVPRICES,2,FALSE)+HLOOKUP(D269,PREVCURVES,VLOOKUP(G269,MOVE_DOWN2,2,FALSE),FALSE)),VLOOKUP(G269,NGPREVPRICES,2,FALSE),CK269,VLOOKUP(G269,NGPrices,4,FALSE),HLOOKUP(D269,PREVVOLS,VLOOKUP(G269,MOVE_DOWN2,2,FALSE),FALSE),VLOOKUP(G269,NGPREVPRICES,3,FALSE),HLOOKUP(D269,Correllate,VLOOKUP(G269,CorMove,2,FALSE),FALSE),Q269-$CD$3,R269,$CJ$5)*H269-CJ269</f>
        <v>0</v>
      </c>
      <c r="CF269" s="10">
        <f t="shared" si="327"/>
        <v>-30.244132504070876</v>
      </c>
      <c r="CG269" s="234">
        <f>_xll.xSPRDOPT((VLOOKUP(G269,NGPREVPRICES,2,FALSE)+HLOOKUP(D269,PREVCURVES,VLOOKUP(G269,MOVE_DOWN2,2,FALSE),FALSE)),VLOOKUP(G269,NGPREVPRICES,2,FALSE),CK269,VLOOKUP(G269,NGPREVPRICES,4,FALSE),HLOOKUP(D269,VOLS,VLOOKUP(G269,move_down,2,FALSE),FALSE),VLOOKUP(G269,NGPrices,3,FALSE),HLOOKUP(D269,Correllate,VLOOKUP(G269,CorMove,2,FALSE),FALSE),Q269-$CD$3,R269,$CJ$5)*H269-CJ269</f>
        <v>0</v>
      </c>
      <c r="CH269" s="234">
        <f>_xll.xSPRDOPT((VLOOKUP(G269,NGPREVPRICES,2,FALSE)+HLOOKUP(D269,PREVCURVES,VLOOKUP(G269,MOVE_DOWN2,2,FALSE),FALSE)),VLOOKUP(G269,NGPREVPRICES,2,FALSE),CK269,VLOOKUP(G269,NGPREVPRICES,4,FALSE),HLOOKUP(D269,PREVVOLS,VLOOKUP(G269,MOVE_DOWN2,2,FALSE),FALSE),VLOOKUP(G269,NGPREVPRICES,3,FALSE),HLOOKUP(D269,Correllate,VLOOKUP(G269,CorMove,2,FALSE),FALSE),Q269-$C$3,R269,$CJ$5)*H269-CJ269</f>
        <v>-1097.7259829331306</v>
      </c>
      <c r="CI269" s="234">
        <f t="shared" si="328"/>
        <v>-1127.9701154372015</v>
      </c>
      <c r="CJ269" s="234">
        <f>_xll.xSPRDOPT((VLOOKUP(G269,NGPREVPRICES,2,FALSE)+HLOOKUP(D269,PREVCURVES,VLOOKUP(G269,MOVE_DOWN2,2,FALSE),FALSE)),VLOOKUP(G269,NGPREVPRICES,2,FALSE),CK269,VLOOKUP(G269,NGPREVPRICES,4,FALSE),HLOOKUP(D269,PREVVOLS,VLOOKUP(G269,MOVE_DOWN2,2,FALSE),FALSE),VLOOKUP(G269,NGPREVPRICES,3,FALSE),HLOOKUP(D269,Correllate,VLOOKUP(G269,CorMove,2,FALSE),FALSE),Q269-$CD$3,R269,$CJ$5)*H269</f>
        <v>157698.06655468969</v>
      </c>
      <c r="CK269" s="235">
        <f t="shared" si="329"/>
        <v>2.5</v>
      </c>
      <c r="CL269" s="234"/>
      <c r="CM269" t="str">
        <f t="shared" si="330"/>
        <v>36951Curve Shift/Gamma</v>
      </c>
      <c r="CN269" t="str">
        <f t="shared" si="287"/>
        <v>36951Rho</v>
      </c>
      <c r="CO269" t="str">
        <f t="shared" si="288"/>
        <v>36951Drift</v>
      </c>
      <c r="CP269" t="str">
        <f t="shared" si="289"/>
        <v>36951Vega</v>
      </c>
      <c r="CQ269" t="str">
        <f t="shared" si="290"/>
        <v>36951Theta</v>
      </c>
    </row>
    <row r="270" spans="1:95" x14ac:dyDescent="0.25">
      <c r="A270" s="382" t="s">
        <v>279</v>
      </c>
      <c r="B270" t="s">
        <v>250</v>
      </c>
      <c r="C270" t="s">
        <v>417</v>
      </c>
      <c r="D270" s="4" t="s">
        <v>7</v>
      </c>
      <c r="E270" t="s">
        <v>20</v>
      </c>
      <c r="F270" t="s">
        <v>21</v>
      </c>
      <c r="G270" s="5">
        <v>36923</v>
      </c>
      <c r="H270" s="130">
        <v>1000000</v>
      </c>
      <c r="I270">
        <v>2.5</v>
      </c>
      <c r="J270" s="53">
        <f t="shared" si="316"/>
        <v>4.4800000000000004</v>
      </c>
      <c r="K270" s="7">
        <f t="shared" si="317"/>
        <v>2.09</v>
      </c>
      <c r="L270" s="53">
        <f t="shared" si="318"/>
        <v>6.57</v>
      </c>
      <c r="M270" s="157">
        <f t="shared" si="319"/>
        <v>6.8640161611372E-2</v>
      </c>
      <c r="N270" s="4">
        <f t="shared" si="320"/>
        <v>0.59250000000000003</v>
      </c>
      <c r="O270" s="4">
        <f t="shared" si="321"/>
        <v>0.68100000000000005</v>
      </c>
      <c r="P270" s="9">
        <f t="shared" si="322"/>
        <v>0.83</v>
      </c>
      <c r="Q270" s="5">
        <f t="shared" si="310"/>
        <v>36921</v>
      </c>
      <c r="R270" s="4">
        <f t="shared" si="323"/>
        <v>1</v>
      </c>
      <c r="S270" s="158">
        <f>_xll.xSPRDOPT($L270,$J270,$I270,$M270,$O270,$N270,$P270,$Q270-$C$3,$R270,0)</f>
        <v>0.53494168201694325</v>
      </c>
      <c r="T270" s="159">
        <f>_xll.xSPRDOPT($L270,$J270,$I270,$M270,$O270,$N270,$P270,$Q270-$C$3,$R270,1)*H270</f>
        <v>457447.94588454423</v>
      </c>
      <c r="U270" s="160">
        <f t="shared" si="324"/>
        <v>534941.68201694323</v>
      </c>
      <c r="V270" s="159">
        <f>_xll.xSPRDOPT($L270,$J270,$I270,$M270,$O270,$N270,$P270,$Q270-$C$3,$R270,2)*H270</f>
        <v>-374945.27178092016</v>
      </c>
      <c r="W270" s="159">
        <f t="shared" si="325"/>
        <v>82502.674103624071</v>
      </c>
      <c r="X270" s="51" t="str">
        <f t="shared" si="311"/>
        <v>36923IF-TRANSCO/Z6</v>
      </c>
      <c r="Y270" s="418">
        <f t="shared" si="312"/>
        <v>100</v>
      </c>
      <c r="Z270" s="456">
        <f t="shared" si="313"/>
        <v>0.45744794588454424</v>
      </c>
      <c r="AA270" s="456">
        <f>_xll.xSPRDOPT($L270,$J270,$I270,$M270,$O270,$N270,$P270,$Q270-$C$3,$R270,3)</f>
        <v>0.21618551080216697</v>
      </c>
      <c r="AB270" s="456">
        <f>((_xll.xSPRDOPT($L270+AB$5,$J270,$I270,$M270,$O270,$N270,$P270,$Q270-$C$3,$R270,3)*$H270)/10000)/100</f>
        <v>0.21618551080216697</v>
      </c>
      <c r="AC270" s="456">
        <f>((_xll.xSPRDOPT($L270+$AB$5,$J270,$I270,$M270,$O270,$N270,$P270,$Q270-$C$3,$R270,7)*$H270)/100)</f>
        <v>-10461.427464430752</v>
      </c>
      <c r="AD270" s="456">
        <f>(_xll.xSPRDOPT($L270+$AB$5,$J270,$I270,$M270,$O270,$N270,$P270,$Q270-$C$3,$R270,9)/365)*$H270</f>
        <v>-2159.9986055118929</v>
      </c>
      <c r="AE270">
        <f t="shared" si="314"/>
        <v>0</v>
      </c>
      <c r="AF270" s="456">
        <f t="shared" si="315"/>
        <v>11743.246702183875</v>
      </c>
      <c r="AG270" s="456">
        <f>((_xll.xSPRDOPT($L270,$J270,$I270,$M270,$O270,$N270,$P270,$Q270-$C$3,$R270,6)*$H270)/100)</f>
        <v>-4397.8753590187125</v>
      </c>
      <c r="AH270" s="456">
        <f>((_xll.xSPRDOPT($L270,$J270,$I270,$M270,$O270,$N270,$P270,$Q270-$C$3,$R270,5)*$H270)/100)</f>
        <v>14043.487255892116</v>
      </c>
      <c r="AI270" s="456">
        <f>(((_xll.xSPRDOPT($L270,$J270,$I270,$M270,$O270,$N270,$P270,$Q270-$C$3,$R270,4)*$H270)/10000)/100)-AB270</f>
        <v>-1.1614325479483517E-2</v>
      </c>
      <c r="AJ270" s="456"/>
      <c r="AK270" s="456"/>
      <c r="AL270" s="456"/>
      <c r="AM270" s="472"/>
      <c r="CC270" s="141">
        <f t="shared" si="326"/>
        <v>36923</v>
      </c>
      <c r="CD270" s="234">
        <f>_xll.xSPRDOPT((VLOOKUP(G270,NGPrices,2,FALSE)+HLOOKUP(D270,Prices,VLOOKUP(G270,move_down,2,FALSE),FALSE)),VLOOKUP(G270,NGPrices,2,FALSE),I270,VLOOKUP(G270,NGPREVPRICES,4,FALSE),HLOOKUP(D270,PREVVOLS,VLOOKUP(G270,MOVE_DOWN2,2,FALSE),FALSE),VLOOKUP(G270,NGPREVPRICES,3,FALSE),HLOOKUP(D270,Correllate,VLOOKUP(G270,CorMove,2,FALSE),FALSE),Q270-$CD$3,R270,$CD$5)*H270-CJ270</f>
        <v>0</v>
      </c>
      <c r="CE270" s="234">
        <f>_xll.xSPRDOPT((VLOOKUP(G270,NGPREVPRICES,2,FALSE)+HLOOKUP(D270,PREVCURVES,VLOOKUP(G270,MOVE_DOWN2,2,FALSE),FALSE)),VLOOKUP(G270,NGPREVPRICES,2,FALSE),CK270,VLOOKUP(G270,NGPrices,4,FALSE),HLOOKUP(D270,PREVVOLS,VLOOKUP(G270,MOVE_DOWN2,2,FALSE),FALSE),VLOOKUP(G270,NGPREVPRICES,3,FALSE),HLOOKUP(D270,Correllate,VLOOKUP(G270,CorMove,2,FALSE),FALSE),Q270-$CD$3,R270,$CJ$5)*H270-CJ270</f>
        <v>0</v>
      </c>
      <c r="CF270" s="10">
        <f t="shared" si="327"/>
        <v>-102.14951304753777</v>
      </c>
      <c r="CG270" s="234">
        <f>_xll.xSPRDOPT((VLOOKUP(G270,NGPREVPRICES,2,FALSE)+HLOOKUP(D270,PREVCURVES,VLOOKUP(G270,MOVE_DOWN2,2,FALSE),FALSE)),VLOOKUP(G270,NGPREVPRICES,2,FALSE),CK270,VLOOKUP(G270,NGPREVPRICES,4,FALSE),HLOOKUP(D270,VOLS,VLOOKUP(G270,move_down,2,FALSE),FALSE),VLOOKUP(G270,NGPrices,3,FALSE),HLOOKUP(D270,Correllate,VLOOKUP(G270,CorMove,2,FALSE),FALSE),Q270-$CD$3,R270,$CJ$5)*H270-CJ270</f>
        <v>0</v>
      </c>
      <c r="CH270" s="234">
        <f>_xll.xSPRDOPT((VLOOKUP(G270,NGPREVPRICES,2,FALSE)+HLOOKUP(D270,PREVCURVES,VLOOKUP(G270,MOVE_DOWN2,2,FALSE),FALSE)),VLOOKUP(G270,NGPREVPRICES,2,FALSE),CK270,VLOOKUP(G270,NGPREVPRICES,4,FALSE),HLOOKUP(D270,PREVVOLS,VLOOKUP(G270,MOVE_DOWN2,2,FALSE),FALSE),VLOOKUP(G270,NGPREVPRICES,3,FALSE),HLOOKUP(D270,Correllate,VLOOKUP(G270,CorMove,2,FALSE),FALSE),Q270-$C$3,R270,$CJ$5)*H270-CJ270</f>
        <v>-2154.5743027278222</v>
      </c>
      <c r="CI270" s="234">
        <f t="shared" si="328"/>
        <v>-2256.72381577536</v>
      </c>
      <c r="CJ270" s="234">
        <f>_xll.xSPRDOPT((VLOOKUP(G270,NGPREVPRICES,2,FALSE)+HLOOKUP(D270,PREVCURVES,VLOOKUP(G270,MOVE_DOWN2,2,FALSE),FALSE)),VLOOKUP(G270,NGPREVPRICES,2,FALSE),CK270,VLOOKUP(G270,NGPREVPRICES,4,FALSE),HLOOKUP(D270,PREVVOLS,VLOOKUP(G270,MOVE_DOWN2,2,FALSE),FALSE),VLOOKUP(G270,NGPREVPRICES,3,FALSE),HLOOKUP(D270,Correllate,VLOOKUP(G270,CorMove,2,FALSE),FALSE),Q270-$CD$3,R270,$CJ$5)*H270</f>
        <v>537096.25631967105</v>
      </c>
      <c r="CK270" s="235">
        <f t="shared" si="329"/>
        <v>2.5</v>
      </c>
      <c r="CL270" s="234"/>
      <c r="CM270" t="str">
        <f t="shared" si="330"/>
        <v>36923Curve Shift/Gamma</v>
      </c>
      <c r="CN270" t="str">
        <f t="shared" si="287"/>
        <v>36923Rho</v>
      </c>
      <c r="CO270" t="str">
        <f t="shared" si="288"/>
        <v>36923Drift</v>
      </c>
      <c r="CP270" t="str">
        <f t="shared" si="289"/>
        <v>36923Vega</v>
      </c>
      <c r="CQ270" t="str">
        <f t="shared" si="290"/>
        <v>36923Theta</v>
      </c>
    </row>
    <row r="271" spans="1:95" x14ac:dyDescent="0.25">
      <c r="A271" s="382" t="s">
        <v>279</v>
      </c>
      <c r="B271" t="s">
        <v>250</v>
      </c>
      <c r="C271" t="s">
        <v>417</v>
      </c>
      <c r="D271" s="4" t="s">
        <v>7</v>
      </c>
      <c r="E271" t="s">
        <v>20</v>
      </c>
      <c r="F271" t="s">
        <v>21</v>
      </c>
      <c r="G271" s="5">
        <v>36892</v>
      </c>
      <c r="H271" s="130">
        <v>1000000</v>
      </c>
      <c r="I271">
        <v>2.5</v>
      </c>
      <c r="J271" s="53">
        <f t="shared" si="316"/>
        <v>4.7439999999999998</v>
      </c>
      <c r="K271" s="7">
        <f t="shared" si="317"/>
        <v>2.17</v>
      </c>
      <c r="L271" s="53">
        <f t="shared" si="318"/>
        <v>6.9139999999999997</v>
      </c>
      <c r="M271" s="157">
        <f t="shared" si="319"/>
        <v>6.8374831148490994E-2</v>
      </c>
      <c r="N271" s="4">
        <f t="shared" si="320"/>
        <v>0.60499999999999998</v>
      </c>
      <c r="O271" s="4">
        <f t="shared" si="321"/>
        <v>0.69599999999999995</v>
      </c>
      <c r="P271" s="9">
        <f t="shared" si="322"/>
        <v>0.83</v>
      </c>
      <c r="Q271" s="5">
        <f t="shared" si="310"/>
        <v>36888</v>
      </c>
      <c r="R271" s="4">
        <f t="shared" si="323"/>
        <v>1</v>
      </c>
      <c r="S271" s="158">
        <f>_xll.xSPRDOPT($L271,$J271,$I271,$M271,$O271,$N271,$P271,$Q271-$C$3,$R271,0)</f>
        <v>0.52922812131883945</v>
      </c>
      <c r="T271" s="159">
        <f>_xll.xSPRDOPT($L271,$J271,$I271,$M271,$O271,$N271,$P271,$Q271-$C$3,$R271,1)*H271</f>
        <v>466734.24582752411</v>
      </c>
      <c r="U271" s="160">
        <f t="shared" si="324"/>
        <v>529228.12131883949</v>
      </c>
      <c r="V271" s="159">
        <f>_xll.xSPRDOPT($L271,$J271,$I271,$M271,$O271,$N271,$P271,$Q271-$C$3,$R271,2)*H271</f>
        <v>-390684.73759908043</v>
      </c>
      <c r="W271" s="159">
        <f t="shared" si="325"/>
        <v>76049.508228443679</v>
      </c>
      <c r="X271" s="51" t="str">
        <f t="shared" si="311"/>
        <v>36892IF-TRANSCO/Z6</v>
      </c>
      <c r="Y271" s="418">
        <f t="shared" si="312"/>
        <v>100</v>
      </c>
      <c r="Z271" s="456">
        <f t="shared" si="313"/>
        <v>0.4667342458275241</v>
      </c>
      <c r="AA271" s="456">
        <f>_xll.xSPRDOPT($L271,$J271,$I271,$M271,$O271,$N271,$P271,$Q271-$C$3,$R271,3)</f>
        <v>0.22967006797299966</v>
      </c>
      <c r="AB271" s="456">
        <f>((_xll.xSPRDOPT($L271+AB$5,$J271,$I271,$M271,$O271,$N271,$P271,$Q271-$C$3,$R271,3)*$H271)/10000)/100</f>
        <v>0.22967006797299966</v>
      </c>
      <c r="AC271" s="456">
        <f>((_xll.xSPRDOPT($L271+$AB$5,$J271,$I271,$M271,$O271,$N271,$P271,$Q271-$C$3,$R271,7)*$H271)/100)</f>
        <v>-10232.06623362217</v>
      </c>
      <c r="AD271" s="456">
        <f>(_xll.xSPRDOPT($L271+$AB$5,$J271,$I271,$M271,$O271,$N271,$P271,$Q271-$C$3,$R271,9)/365)*$H271</f>
        <v>-2645.803401920783</v>
      </c>
      <c r="AE271">
        <f t="shared" si="314"/>
        <v>0</v>
      </c>
      <c r="AF271" s="456">
        <f t="shared" si="315"/>
        <v>10972.255973004998</v>
      </c>
      <c r="AG271" s="456">
        <f>((_xll.xSPRDOPT($L271,$J271,$I271,$M271,$O271,$N271,$P271,$Q271-$C$3,$R271,6)*$H271)/100)</f>
        <v>-4112.3687327772159</v>
      </c>
      <c r="AH271" s="456">
        <f>((_xll.xSPRDOPT($L271,$J271,$I271,$M271,$O271,$N271,$P271,$Q271-$C$3,$R271,5)*$H271)/100)</f>
        <v>13112.353372123909</v>
      </c>
      <c r="AI271" s="456">
        <f>(((_xll.xSPRDOPT($L271,$J271,$I271,$M271,$O271,$N271,$P271,$Q271-$C$3,$R271,4)*$H271)/10000)/100)-AB271</f>
        <v>-9.6349483218458598E-3</v>
      </c>
      <c r="AJ271" s="456"/>
      <c r="AK271" s="456"/>
      <c r="AL271" s="456"/>
      <c r="AM271" s="472"/>
      <c r="CC271" s="141">
        <f t="shared" si="326"/>
        <v>36892</v>
      </c>
      <c r="CD271" s="234">
        <f>_xll.xSPRDOPT((VLOOKUP(G271,NGPrices,2,FALSE)+HLOOKUP(D271,Prices,VLOOKUP(G271,move_down,2,FALSE),FALSE)),VLOOKUP(G271,NGPrices,2,FALSE),I271,VLOOKUP(G271,NGPREVPRICES,4,FALSE),HLOOKUP(D271,PREVVOLS,VLOOKUP(G271,MOVE_DOWN2,2,FALSE),FALSE),VLOOKUP(G271,NGPREVPRICES,3,FALSE),HLOOKUP(D271,Correllate,VLOOKUP(G271,CorMove,2,FALSE),FALSE),Q271-$CD$3,R271,$CD$5)*H271-CJ271</f>
        <v>0</v>
      </c>
      <c r="CE271" s="234">
        <f>_xll.xSPRDOPT((VLOOKUP(G271,NGPREVPRICES,2,FALSE)+HLOOKUP(D271,PREVCURVES,VLOOKUP(G271,MOVE_DOWN2,2,FALSE),FALSE)),VLOOKUP(G271,NGPREVPRICES,2,FALSE),CK271,VLOOKUP(G271,NGPrices,4,FALSE),HLOOKUP(D271,PREVVOLS,VLOOKUP(G271,MOVE_DOWN2,2,FALSE),FALSE),VLOOKUP(G271,NGPREVPRICES,3,FALSE),HLOOKUP(D271,Correllate,VLOOKUP(G271,CorMove,2,FALSE),FALSE),Q271-$CD$3,R271,$CJ$5)*H271-CJ271</f>
        <v>0</v>
      </c>
      <c r="CF271" s="10">
        <f t="shared" si="327"/>
        <v>-100.22546781646088</v>
      </c>
      <c r="CG271" s="234">
        <f>_xll.xSPRDOPT((VLOOKUP(G271,NGPREVPRICES,2,FALSE)+HLOOKUP(D271,PREVCURVES,VLOOKUP(G271,MOVE_DOWN2,2,FALSE),FALSE)),VLOOKUP(G271,NGPREVPRICES,2,FALSE),CK271,VLOOKUP(G271,NGPREVPRICES,4,FALSE),HLOOKUP(D271,VOLS,VLOOKUP(G271,move_down,2,FALSE),FALSE),VLOOKUP(G271,NGPrices,3,FALSE),HLOOKUP(D271,Correllate,VLOOKUP(G271,CorMove,2,FALSE),FALSE),Q271-$CD$3,R271,$CJ$5)*H271-CJ271</f>
        <v>0</v>
      </c>
      <c r="CH271" s="234">
        <f>_xll.xSPRDOPT((VLOOKUP(G271,NGPREVPRICES,2,FALSE)+HLOOKUP(D271,PREVCURVES,VLOOKUP(G271,MOVE_DOWN2,2,FALSE),FALSE)),VLOOKUP(G271,NGPREVPRICES,2,FALSE),CK271,VLOOKUP(G271,NGPREVPRICES,4,FALSE),HLOOKUP(D271,PREVVOLS,VLOOKUP(G271,MOVE_DOWN2,2,FALSE),FALSE),VLOOKUP(G271,NGPREVPRICES,3,FALSE),HLOOKUP(D271,Correllate,VLOOKUP(G271,CorMove,2,FALSE),FALSE),Q271-$C$3,R271,$CJ$5)*H271-CJ271</f>
        <v>-2637.9826520932838</v>
      </c>
      <c r="CI271" s="234">
        <f t="shared" si="328"/>
        <v>-2738.2081199097447</v>
      </c>
      <c r="CJ271" s="234">
        <f>_xll.xSPRDOPT((VLOOKUP(G271,NGPREVPRICES,2,FALSE)+HLOOKUP(D271,PREVCURVES,VLOOKUP(G271,MOVE_DOWN2,2,FALSE),FALSE)),VLOOKUP(G271,NGPREVPRICES,2,FALSE),CK271,VLOOKUP(G271,NGPREVPRICES,4,FALSE),HLOOKUP(D271,PREVVOLS,VLOOKUP(G271,MOVE_DOWN2,2,FALSE),FALSE),VLOOKUP(G271,NGPREVPRICES,3,FALSE),HLOOKUP(D271,Correllate,VLOOKUP(G271,CorMove,2,FALSE),FALSE),Q271-$CD$3,R271,$CJ$5)*H271</f>
        <v>531866.10397093277</v>
      </c>
      <c r="CK271" s="235">
        <f t="shared" si="329"/>
        <v>2.5</v>
      </c>
      <c r="CL271" s="234"/>
      <c r="CM271" t="str">
        <f t="shared" si="330"/>
        <v>36892Curve Shift/Gamma</v>
      </c>
      <c r="CN271" t="str">
        <f t="shared" si="287"/>
        <v>36892Rho</v>
      </c>
      <c r="CO271" t="str">
        <f t="shared" si="288"/>
        <v>36892Drift</v>
      </c>
      <c r="CP271" t="str">
        <f t="shared" si="289"/>
        <v>36892Vega</v>
      </c>
      <c r="CQ271" t="str">
        <f t="shared" si="290"/>
        <v>36892Theta</v>
      </c>
    </row>
    <row r="272" spans="1:95" x14ac:dyDescent="0.25">
      <c r="A272" s="382" t="s">
        <v>279</v>
      </c>
      <c r="B272" t="s">
        <v>250</v>
      </c>
      <c r="C272" t="s">
        <v>417</v>
      </c>
      <c r="D272" s="4" t="s">
        <v>7</v>
      </c>
      <c r="E272" t="s">
        <v>20</v>
      </c>
      <c r="F272" t="s">
        <v>21</v>
      </c>
      <c r="G272" s="5">
        <v>36861</v>
      </c>
      <c r="H272" s="130">
        <v>1000000</v>
      </c>
      <c r="I272">
        <v>2.5</v>
      </c>
      <c r="J272" s="53">
        <f t="shared" si="316"/>
        <v>4.8</v>
      </c>
      <c r="K272" s="7">
        <f t="shared" si="317"/>
        <v>1.645</v>
      </c>
      <c r="L272" s="53">
        <f t="shared" si="318"/>
        <v>6.4450000000000003</v>
      </c>
      <c r="M272" s="157">
        <f t="shared" si="319"/>
        <v>6.8314027999354002E-2</v>
      </c>
      <c r="N272" s="4">
        <f t="shared" si="320"/>
        <v>0.6</v>
      </c>
      <c r="O272" s="4">
        <f t="shared" si="321"/>
        <v>0.69</v>
      </c>
      <c r="P272" s="9">
        <f t="shared" si="322"/>
        <v>0.83</v>
      </c>
      <c r="Q272" s="5">
        <f t="shared" si="310"/>
        <v>36859</v>
      </c>
      <c r="R272" s="4">
        <f t="shared" si="323"/>
        <v>1</v>
      </c>
      <c r="S272" s="158">
        <f>_xll.xSPRDOPT($L272,$J272,$I272,$M272,$O272,$N272,$P272,$Q272-$C$3,$R272,0)</f>
        <v>0.24519282370785345</v>
      </c>
      <c r="T272" s="159">
        <f>_xll.xSPRDOPT($L272,$J272,$I272,$M272,$O272,$N272,$P272,$Q272-$C$3,$R272,1)*H272</f>
        <v>312298.45071367471</v>
      </c>
      <c r="U272" s="160">
        <f t="shared" si="324"/>
        <v>245192.82370785344</v>
      </c>
      <c r="V272" s="159">
        <f>_xll.xSPRDOPT($L272,$J272,$I272,$M272,$O272,$N272,$P272,$Q272-$C$3,$R272,2)*H272</f>
        <v>-254681.89449335411</v>
      </c>
      <c r="W272" s="159">
        <f t="shared" si="325"/>
        <v>57616.556220320606</v>
      </c>
      <c r="X272" s="51" t="str">
        <f t="shared" si="311"/>
        <v>36861IF-TRANSCO/Z6</v>
      </c>
      <c r="Y272" s="418">
        <f t="shared" si="312"/>
        <v>100</v>
      </c>
      <c r="Z272" s="456">
        <f t="shared" si="313"/>
        <v>0.31229845071367474</v>
      </c>
      <c r="AA272" s="456">
        <f>_xll.xSPRDOPT($L272,$J272,$I272,$M272,$O272,$N272,$P272,$Q272-$C$3,$R272,3)</f>
        <v>0.25819289510904975</v>
      </c>
      <c r="AB272" s="456">
        <f>((_xll.xSPRDOPT($L272+AB$5,$J272,$I272,$M272,$O272,$N272,$P272,$Q272-$C$3,$R272,3)*$H272)/10000)/100</f>
        <v>0.25819289510904975</v>
      </c>
      <c r="AC272" s="456">
        <f>((_xll.xSPRDOPT($L272+$AB$5,$J272,$I272,$M272,$O272,$N272,$P272,$Q272-$C$3,$R272,7)*$H272)/100)</f>
        <v>-7585.5759772531692</v>
      </c>
      <c r="AD272" s="456">
        <f>(_xll.xSPRDOPT($L272+$AB$5,$J272,$I272,$M272,$O272,$N272,$P272,$Q272-$C$3,$R272,9)/365)*$H272</f>
        <v>-2551.5798237673962</v>
      </c>
      <c r="AE272">
        <f t="shared" si="314"/>
        <v>0</v>
      </c>
      <c r="AF272" s="456">
        <f t="shared" si="315"/>
        <v>7960.1241509930123</v>
      </c>
      <c r="AG272" s="456">
        <f>((_xll.xSPRDOPT($L272,$J272,$I272,$M272,$O272,$N272,$P272,$Q272-$C$3,$R272,6)*$H272)/100)</f>
        <v>-2982.0511492554551</v>
      </c>
      <c r="AH272" s="456">
        <f>((_xll.xSPRDOPT($L272,$J272,$I272,$M272,$O272,$N272,$P272,$Q272-$C$3,$R272,5)*$H272)/100)</f>
        <v>9514.9350436943205</v>
      </c>
      <c r="AI272" s="456">
        <f>(((_xll.xSPRDOPT($L272,$J272,$I272,$M272,$O272,$N272,$P272,$Q272-$C$3,$R272,4)*$H272)/10000)/100)-AB272</f>
        <v>-4.2475983234708636E-2</v>
      </c>
      <c r="AJ272" s="456"/>
      <c r="AK272" s="456"/>
      <c r="AL272" s="456"/>
      <c r="AM272" s="472"/>
      <c r="CC272" s="141">
        <f t="shared" si="326"/>
        <v>36861</v>
      </c>
      <c r="CD272" s="234">
        <f>_xll.xSPRDOPT((VLOOKUP(G272,NGPrices,2,FALSE)+HLOOKUP(D272,Prices,VLOOKUP(G272,move_down,2,FALSE),FALSE)),VLOOKUP(G272,NGPrices,2,FALSE),I272,VLOOKUP(G272,NGPREVPRICES,4,FALSE),HLOOKUP(D272,PREVVOLS,VLOOKUP(G272,MOVE_DOWN2,2,FALSE),FALSE),VLOOKUP(G272,NGPREVPRICES,3,FALSE),HLOOKUP(D272,Correllate,VLOOKUP(G272,CorMove,2,FALSE),FALSE),Q272-$CD$3,R272,$CD$5)*H272-CJ272</f>
        <v>0</v>
      </c>
      <c r="CE272" s="234">
        <f>_xll.xSPRDOPT((VLOOKUP(G272,NGPREVPRICES,2,FALSE)+HLOOKUP(D272,PREVCURVES,VLOOKUP(G272,MOVE_DOWN2,2,FALSE),FALSE)),VLOOKUP(G272,NGPREVPRICES,2,FALSE),CK272,VLOOKUP(G272,NGPrices,4,FALSE),HLOOKUP(D272,PREVVOLS,VLOOKUP(G272,MOVE_DOWN2,2,FALSE),FALSE),VLOOKUP(G272,NGPREVPRICES,3,FALSE),HLOOKUP(D272,Correllate,VLOOKUP(G272,CorMove,2,FALSE),FALSE),Q272-$CD$3,R272,$CJ$5)*H272-CJ272</f>
        <v>0</v>
      </c>
      <c r="CF272" s="10">
        <f t="shared" si="327"/>
        <v>-46.410635420092149</v>
      </c>
      <c r="CG272" s="234">
        <f>_xll.xSPRDOPT((VLOOKUP(G272,NGPREVPRICES,2,FALSE)+HLOOKUP(D272,PREVCURVES,VLOOKUP(G272,MOVE_DOWN2,2,FALSE),FALSE)),VLOOKUP(G272,NGPREVPRICES,2,FALSE),CK272,VLOOKUP(G272,NGPREVPRICES,4,FALSE),HLOOKUP(D272,VOLS,VLOOKUP(G272,move_down,2,FALSE),FALSE),VLOOKUP(G272,NGPrices,3,FALSE),HLOOKUP(D272,Correllate,VLOOKUP(G272,CorMove,2,FALSE),FALSE),Q272-$CD$3,R272,$CJ$5)*H272-CJ272</f>
        <v>0</v>
      </c>
      <c r="CH272" s="234">
        <f>_xll.xSPRDOPT((VLOOKUP(G272,NGPREVPRICES,2,FALSE)+HLOOKUP(D272,PREVCURVES,VLOOKUP(G272,MOVE_DOWN2,2,FALSE),FALSE)),VLOOKUP(G272,NGPREVPRICES,2,FALSE),CK272,VLOOKUP(G272,NGPREVPRICES,4,FALSE),HLOOKUP(D272,PREVVOLS,VLOOKUP(G272,MOVE_DOWN2,2,FALSE),FALSE),VLOOKUP(G272,NGPREVPRICES,3,FALSE),HLOOKUP(D272,Correllate,VLOOKUP(G272,CorMove,2,FALSE),FALSE),Q272-$C$3,R272,$CJ$5)*H272-CJ272</f>
        <v>-2544.6960927027685</v>
      </c>
      <c r="CI272" s="234">
        <f t="shared" si="328"/>
        <v>-2591.1067281228607</v>
      </c>
      <c r="CJ272" s="234">
        <f>_xll.xSPRDOPT((VLOOKUP(G272,NGPREVPRICES,2,FALSE)+HLOOKUP(D272,PREVCURVES,VLOOKUP(G272,MOVE_DOWN2,2,FALSE),FALSE)),VLOOKUP(G272,NGPREVPRICES,2,FALSE),CK272,VLOOKUP(G272,NGPREVPRICES,4,FALSE),HLOOKUP(D272,PREVVOLS,VLOOKUP(G272,MOVE_DOWN2,2,FALSE),FALSE),VLOOKUP(G272,NGPREVPRICES,3,FALSE),HLOOKUP(D272,Correllate,VLOOKUP(G272,CorMove,2,FALSE),FALSE),Q272-$CD$3,R272,$CJ$5)*H272</f>
        <v>247737.51980055621</v>
      </c>
      <c r="CK272" s="235">
        <f t="shared" si="329"/>
        <v>2.5</v>
      </c>
      <c r="CL272" s="234"/>
      <c r="CM272" t="str">
        <f t="shared" si="330"/>
        <v>36861Curve Shift/Gamma</v>
      </c>
      <c r="CN272" t="str">
        <f t="shared" si="287"/>
        <v>36861Rho</v>
      </c>
      <c r="CO272" t="str">
        <f t="shared" si="288"/>
        <v>36861Drift</v>
      </c>
      <c r="CP272" t="str">
        <f t="shared" si="289"/>
        <v>36861Vega</v>
      </c>
      <c r="CQ272" t="str">
        <f t="shared" si="290"/>
        <v>36861Theta</v>
      </c>
    </row>
    <row r="273" spans="1:95" x14ac:dyDescent="0.25">
      <c r="A273" s="382" t="s">
        <v>279</v>
      </c>
      <c r="B273" t="s">
        <v>250</v>
      </c>
      <c r="C273" t="s">
        <v>417</v>
      </c>
      <c r="D273" s="4" t="s">
        <v>7</v>
      </c>
      <c r="E273" t="s">
        <v>20</v>
      </c>
      <c r="F273" t="s">
        <v>21</v>
      </c>
      <c r="G273" s="5">
        <v>36831</v>
      </c>
      <c r="H273" s="130">
        <v>1000000</v>
      </c>
      <c r="I273">
        <v>2.5</v>
      </c>
      <c r="J273" s="53">
        <f t="shared" si="316"/>
        <v>4.7359999999999998</v>
      </c>
      <c r="K273" s="7">
        <f t="shared" si="317"/>
        <v>0.77</v>
      </c>
      <c r="L273" s="53">
        <f t="shared" si="318"/>
        <v>5.5060000000000002</v>
      </c>
      <c r="M273" s="157">
        <f t="shared" si="319"/>
        <v>6.810675983792E-2</v>
      </c>
      <c r="N273" s="4">
        <f t="shared" si="320"/>
        <v>0.59499999999999997</v>
      </c>
      <c r="O273" s="4">
        <f t="shared" si="321"/>
        <v>0.625</v>
      </c>
      <c r="P273" s="9">
        <f t="shared" si="322"/>
        <v>0.89</v>
      </c>
      <c r="Q273" s="5">
        <f t="shared" si="310"/>
        <v>36829</v>
      </c>
      <c r="R273" s="4">
        <f t="shared" si="323"/>
        <v>1</v>
      </c>
      <c r="S273" s="158">
        <f>_xll.xSPRDOPT($L273,$J273,$I273,$M273,$O273,$N273,$P273,$Q273-$C$3,$R273,0)</f>
        <v>6.1115926235317444E-3</v>
      </c>
      <c r="T273" s="159">
        <f>_xll.xSPRDOPT($L273,$J273,$I273,$M273,$O273,$N273,$P273,$Q273-$C$3,$R273,1)*H273</f>
        <v>23771.339462969612</v>
      </c>
      <c r="U273" s="160">
        <f t="shared" si="324"/>
        <v>6111.5926235317447</v>
      </c>
      <c r="V273" s="159">
        <f>_xll.xSPRDOPT($L273,$J273,$I273,$M273,$O273,$N273,$P273,$Q273-$C$3,$R273,2)*H273</f>
        <v>-18751.155965189384</v>
      </c>
      <c r="W273" s="159">
        <f t="shared" si="325"/>
        <v>5020.1834977802282</v>
      </c>
      <c r="X273" s="51" t="str">
        <f t="shared" si="311"/>
        <v>36831IF-TRANSCO/Z6</v>
      </c>
      <c r="Y273" s="418">
        <f t="shared" si="312"/>
        <v>100</v>
      </c>
      <c r="Z273" s="456">
        <f t="shared" si="313"/>
        <v>2.3771339462969613E-2</v>
      </c>
      <c r="AA273" s="456">
        <f>_xll.xSPRDOPT($L273,$J273,$I273,$M273,$O273,$N273,$P273,$Q273-$C$3,$R273,3)</f>
        <v>7.7908481785274333E-2</v>
      </c>
      <c r="AB273" s="456">
        <f>((_xll.xSPRDOPT($L273+AB$5,$J273,$I273,$M273,$O273,$N273,$P273,$Q273-$C$3,$R273,3)*$H273)/10000)/100</f>
        <v>7.7908481785274333E-2</v>
      </c>
      <c r="AC273" s="456">
        <f>((_xll.xSPRDOPT($L273+$AB$5,$J273,$I273,$M273,$O273,$N273,$P273,$Q273-$C$3,$R273,7)*$H273)/100)</f>
        <v>-1051.5497074078276</v>
      </c>
      <c r="AD273" s="456">
        <f>(_xll.xSPRDOPT($L273+$AB$5,$J273,$I273,$M273,$O273,$N273,$P273,$Q273-$C$3,$R273,9)/365)*$H273</f>
        <v>-324.03877789911849</v>
      </c>
      <c r="AE273">
        <f t="shared" si="314"/>
        <v>0</v>
      </c>
      <c r="AF273" s="456">
        <f t="shared" si="315"/>
        <v>677.22047007914193</v>
      </c>
      <c r="AG273" s="456">
        <f>((_xll.xSPRDOPT($L273,$J273,$I273,$M273,$O273,$N273,$P273,$Q273-$C$3,$R273,6)*$H273)/100)</f>
        <v>-381.99672805988826</v>
      </c>
      <c r="AH273" s="456">
        <f>((_xll.xSPRDOPT($L273,$J273,$I273,$M273,$O273,$N273,$P273,$Q273-$C$3,$R273,5)*$H273)/100)</f>
        <v>1008.3747726283567</v>
      </c>
      <c r="AI273" s="456">
        <f>(((_xll.xSPRDOPT($L273,$J273,$I273,$M273,$O273,$N273,$P273,$Q273-$C$3,$R273,4)*$H273)/10000)/100)-AB273</f>
        <v>-2.5339572166545241E-2</v>
      </c>
      <c r="AJ273" s="456"/>
      <c r="AK273" s="456"/>
      <c r="AL273" s="456"/>
      <c r="AM273" s="472"/>
      <c r="CC273" s="141">
        <f t="shared" si="326"/>
        <v>36831</v>
      </c>
      <c r="CD273" s="234">
        <f>_xll.xSPRDOPT((VLOOKUP(G273,NGPrices,2,FALSE)+HLOOKUP(D273,Prices,VLOOKUP(G273,move_down,2,FALSE),FALSE)),VLOOKUP(G273,NGPrices,2,FALSE),I273,VLOOKUP(G273,NGPREVPRICES,4,FALSE),HLOOKUP(D273,PREVVOLS,VLOOKUP(G273,MOVE_DOWN2,2,FALSE),FALSE),VLOOKUP(G273,NGPREVPRICES,3,FALSE),HLOOKUP(D273,Correllate,VLOOKUP(G273,CorMove,2,FALSE),FALSE),Q273-$CD$3,R273,$CD$5)*H273-CJ273</f>
        <v>0</v>
      </c>
      <c r="CE273" s="234">
        <f>_xll.xSPRDOPT((VLOOKUP(G273,NGPREVPRICES,2,FALSE)+HLOOKUP(D273,PREVCURVES,VLOOKUP(G273,MOVE_DOWN2,2,FALSE),FALSE)),VLOOKUP(G273,NGPREVPRICES,2,FALSE),CK273,VLOOKUP(G273,NGPrices,4,FALSE),HLOOKUP(D273,PREVVOLS,VLOOKUP(G273,MOVE_DOWN2,2,FALSE),FALSE),VLOOKUP(G273,NGPREVPRICES,3,FALSE),HLOOKUP(D273,Correllate,VLOOKUP(G273,CorMove,2,FALSE),FALSE),Q273-$CD$3,R273,$CJ$5)*H273-CJ273</f>
        <v>0</v>
      </c>
      <c r="CF273" s="10">
        <f t="shared" si="327"/>
        <v>-1.19589252512651</v>
      </c>
      <c r="CG273" s="234">
        <f>_xll.xSPRDOPT((VLOOKUP(G273,NGPREVPRICES,2,FALSE)+HLOOKUP(D273,PREVCURVES,VLOOKUP(G273,MOVE_DOWN2,2,FALSE),FALSE)),VLOOKUP(G273,NGPREVPRICES,2,FALSE),CK273,VLOOKUP(G273,NGPREVPRICES,4,FALSE),HLOOKUP(D273,VOLS,VLOOKUP(G273,move_down,2,FALSE),FALSE),VLOOKUP(G273,NGPrices,3,FALSE),HLOOKUP(D273,Correllate,VLOOKUP(G273,CorMove,2,FALSE),FALSE),Q273-$CD$3,R273,$CJ$5)*H273-CJ273</f>
        <v>0</v>
      </c>
      <c r="CH273" s="234">
        <f>_xll.xSPRDOPT((VLOOKUP(G273,NGPREVPRICES,2,FALSE)+HLOOKUP(D273,PREVCURVES,VLOOKUP(G273,MOVE_DOWN2,2,FALSE),FALSE)),VLOOKUP(G273,NGPREVPRICES,2,FALSE),CK273,VLOOKUP(G273,NGPREVPRICES,4,FALSE),HLOOKUP(D273,PREVVOLS,VLOOKUP(G273,MOVE_DOWN2,2,FALSE),FALSE),VLOOKUP(G273,NGPREVPRICES,3,FALSE),HLOOKUP(D273,Correllate,VLOOKUP(G273,CorMove,2,FALSE),FALSE),Q273-$C$3,R273,$CJ$5)*H273-CJ273</f>
        <v>-327.95488599732562</v>
      </c>
      <c r="CI273" s="234">
        <f t="shared" si="328"/>
        <v>-329.15077852245213</v>
      </c>
      <c r="CJ273" s="234">
        <f>_xll.xSPRDOPT((VLOOKUP(G273,NGPREVPRICES,2,FALSE)+HLOOKUP(D273,PREVCURVES,VLOOKUP(G273,MOVE_DOWN2,2,FALSE),FALSE)),VLOOKUP(G273,NGPREVPRICES,2,FALSE),CK273,VLOOKUP(G273,NGPREVPRICES,4,FALSE),HLOOKUP(D273,PREVVOLS,VLOOKUP(G273,MOVE_DOWN2,2,FALSE),FALSE),VLOOKUP(G273,NGPREVPRICES,3,FALSE),HLOOKUP(D273,Correllate,VLOOKUP(G273,CorMove,2,FALSE),FALSE),Q273-$CD$3,R273,$CJ$5)*H273</f>
        <v>6439.5475095290703</v>
      </c>
      <c r="CK273" s="235">
        <f t="shared" si="329"/>
        <v>2.5</v>
      </c>
      <c r="CL273" s="234"/>
      <c r="CM273" t="str">
        <f t="shared" si="330"/>
        <v>36831Curve Shift/Gamma</v>
      </c>
      <c r="CN273" t="str">
        <f t="shared" si="287"/>
        <v>36831Rho</v>
      </c>
      <c r="CO273" t="str">
        <f t="shared" si="288"/>
        <v>36831Drift</v>
      </c>
      <c r="CP273" t="str">
        <f t="shared" si="289"/>
        <v>36831Vega</v>
      </c>
      <c r="CQ273" t="str">
        <f t="shared" si="290"/>
        <v>36831Theta</v>
      </c>
    </row>
    <row r="274" spans="1:95" x14ac:dyDescent="0.25">
      <c r="A274" s="382" t="s">
        <v>279</v>
      </c>
      <c r="B274" t="s">
        <v>250</v>
      </c>
      <c r="C274" t="s">
        <v>418</v>
      </c>
      <c r="D274" s="4" t="s">
        <v>7</v>
      </c>
      <c r="E274" t="s">
        <v>20</v>
      </c>
      <c r="F274" t="s">
        <v>1</v>
      </c>
      <c r="G274" s="5">
        <v>36800</v>
      </c>
      <c r="H274" s="130">
        <v>-1000000</v>
      </c>
      <c r="I274">
        <v>0.5</v>
      </c>
      <c r="J274" s="53">
        <f t="shared" si="316"/>
        <v>4.6920000000000002</v>
      </c>
      <c r="K274" s="7">
        <f t="shared" si="317"/>
        <v>0.41499999999999998</v>
      </c>
      <c r="L274" s="53">
        <f t="shared" si="318"/>
        <v>5.1070000000000002</v>
      </c>
      <c r="M274" s="157">
        <f t="shared" si="319"/>
        <v>6.8050789414654006E-2</v>
      </c>
      <c r="N274" s="4">
        <f t="shared" si="320"/>
        <v>0.57499999999999996</v>
      </c>
      <c r="O274" s="4">
        <f t="shared" si="321"/>
        <v>0.56399999999999995</v>
      </c>
      <c r="P274" s="9">
        <f t="shared" si="322"/>
        <v>0.99250000000000005</v>
      </c>
      <c r="Q274" s="5">
        <f t="shared" si="310"/>
        <v>36797</v>
      </c>
      <c r="R274" s="4">
        <f t="shared" si="323"/>
        <v>0</v>
      </c>
      <c r="S274" s="158">
        <f>_xll.xSPRDOPT($L274,$J274,$I274,$M274,$O274,$N274,$P274,$Q274-$C$3,$R274,0)</f>
        <v>0.10036268679784216</v>
      </c>
      <c r="T274" s="159">
        <f>_xll.xSPRDOPT($L274,$J274,$I274,$M274,$O274,$N274,$P274,$Q274-$C$3,$R274,1)*H274</f>
        <v>755270.11946207576</v>
      </c>
      <c r="U274" s="160">
        <f t="shared" si="324"/>
        <v>-100362.68679784217</v>
      </c>
      <c r="V274" s="159">
        <f>_xll.xSPRDOPT($L274,$J274,$I274,$M274,$O274,$N274,$P274,$Q274-$C$3,$R274,2)*H274</f>
        <v>-759991.01727807289</v>
      </c>
      <c r="W274" s="159">
        <f t="shared" si="325"/>
        <v>-4720.8978159971302</v>
      </c>
      <c r="X274" s="51" t="str">
        <f t="shared" si="311"/>
        <v>36800IF-TRANSCO/Z6</v>
      </c>
      <c r="Y274" s="418">
        <f t="shared" si="312"/>
        <v>-100</v>
      </c>
      <c r="Z274" s="456">
        <f t="shared" si="313"/>
        <v>-0.75527011946207578</v>
      </c>
      <c r="AA274" s="456">
        <f>_xll.xSPRDOPT($L274,$J274,$I274,$M274,$O274,$N274,$P274,$Q274-$C$3,$R274,3)</f>
        <v>2.699227102646506</v>
      </c>
      <c r="AB274" s="456">
        <f>((_xll.xSPRDOPT($L274+AB$5,$J274,$I274,$M274,$O274,$N274,$P274,$Q274-$C$3,$R274,3)*$H274)/10000)/100</f>
        <v>-2.699227102646506</v>
      </c>
      <c r="AC274" s="456">
        <f>((_xll.xSPRDOPT($L274+$AB$5,$J274,$I274,$M274,$O274,$N274,$P274,$Q274-$C$3,$R274,7)*$H274)/100)</f>
        <v>17049.829015541378</v>
      </c>
      <c r="AD274" s="456">
        <f>(_xll.xSPRDOPT($L274+$AB$5,$J274,$I274,$M274,$O274,$N274,$P274,$Q274-$C$3,$R274,9)/365)*$H274</f>
        <v>575.78226891417989</v>
      </c>
      <c r="AE274">
        <f t="shared" si="314"/>
        <v>0</v>
      </c>
      <c r="AF274" s="456">
        <f t="shared" si="315"/>
        <v>-619.91687143640661</v>
      </c>
      <c r="AG274" s="456">
        <f>((_xll.xSPRDOPT($L274,$J274,$I274,$M274,$O274,$N274,$P274,$Q274-$C$3,$R274,6)*$H274)/100)</f>
        <v>1938.999313995482</v>
      </c>
      <c r="AH274" s="456">
        <f>((_xll.xSPRDOPT($L274,$J274,$I274,$M274,$O274,$N274,$P274,$Q274-$C$3,$R274,5)*$H274)/100)</f>
        <v>-2608.8241252186808</v>
      </c>
      <c r="AI274" s="456">
        <f>(((_xll.xSPRDOPT($L274,$J274,$I274,$M274,$O274,$N274,$P274,$Q274-$C$3,$R274,4)*$H274)/10000)/100)-AB274</f>
        <v>5.5188586297164388E-2</v>
      </c>
      <c r="AJ274" s="456"/>
      <c r="AK274" s="456"/>
      <c r="AL274" s="456"/>
      <c r="AM274" s="472"/>
      <c r="CC274" s="141">
        <f t="shared" si="326"/>
        <v>36800</v>
      </c>
      <c r="CD274" s="234">
        <f>_xll.xSPRDOPT((VLOOKUP(G274,NGPrices,2,FALSE)+HLOOKUP(D274,Prices,VLOOKUP(G274,move_down,2,FALSE),FALSE)),VLOOKUP(G274,NGPrices,2,FALSE),I274,VLOOKUP(G274,NGPREVPRICES,4,FALSE),HLOOKUP(D274,PREVVOLS,VLOOKUP(G274,MOVE_DOWN2,2,FALSE),FALSE),VLOOKUP(G274,NGPREVPRICES,3,FALSE),HLOOKUP(D274,Correllate,VLOOKUP(G274,CorMove,2,FALSE),FALSE),Q274-$CD$3,R274,$CD$5)*H274-CJ274</f>
        <v>0</v>
      </c>
      <c r="CE274" s="234">
        <f>_xll.xSPRDOPT((VLOOKUP(G274,NGPREVPRICES,2,FALSE)+HLOOKUP(D274,PREVCURVES,VLOOKUP(G274,MOVE_DOWN2,2,FALSE),FALSE)),VLOOKUP(G274,NGPREVPRICES,2,FALSE),CK274,VLOOKUP(G274,NGPrices,4,FALSE),HLOOKUP(D274,PREVVOLS,VLOOKUP(G274,MOVE_DOWN2,2,FALSE),FALSE),VLOOKUP(G274,NGPREVPRICES,3,FALSE),HLOOKUP(D274,Correllate,VLOOKUP(G274,CorMove,2,FALSE),FALSE),Q274-$CD$3,R274,$CJ$5)*H274-CJ274</f>
        <v>0</v>
      </c>
      <c r="CF274" s="10">
        <f t="shared" si="327"/>
        <v>18.608071413007565</v>
      </c>
      <c r="CG274" s="234">
        <f>_xll.xSPRDOPT((VLOOKUP(G274,NGPREVPRICES,2,FALSE)+HLOOKUP(D274,PREVCURVES,VLOOKUP(G274,MOVE_DOWN2,2,FALSE),FALSE)),VLOOKUP(G274,NGPREVPRICES,2,FALSE),CK274,VLOOKUP(G274,NGPREVPRICES,4,FALSE),HLOOKUP(D274,VOLS,VLOOKUP(G274,move_down,2,FALSE),FALSE),VLOOKUP(G274,NGPrices,3,FALSE),HLOOKUP(D274,Correllate,VLOOKUP(G274,CorMove,2,FALSE),FALSE),Q274-$CD$3,R274,$CJ$5)*H274-CJ274</f>
        <v>0</v>
      </c>
      <c r="CH274" s="234">
        <f>_xll.xSPRDOPT((VLOOKUP(G274,NGPREVPRICES,2,FALSE)+HLOOKUP(D274,PREVCURVES,VLOOKUP(G274,MOVE_DOWN2,2,FALSE),FALSE)),VLOOKUP(G274,NGPREVPRICES,2,FALSE),CK274,VLOOKUP(G274,NGPREVPRICES,4,FALSE),HLOOKUP(D274,PREVVOLS,VLOOKUP(G274,MOVE_DOWN2,2,FALSE),FALSE),VLOOKUP(G274,NGPREVPRICES,3,FALSE),HLOOKUP(D274,Correllate,VLOOKUP(G274,CorMove,2,FALSE),FALSE),Q274-$C$3,R274,$CJ$5)*H274-CJ274</f>
        <v>572.99074153354741</v>
      </c>
      <c r="CI274" s="234">
        <f t="shared" si="328"/>
        <v>591.59881294655497</v>
      </c>
      <c r="CJ274" s="234">
        <f>_xll.xSPRDOPT((VLOOKUP(G274,NGPREVPRICES,2,FALSE)+HLOOKUP(D274,PREVCURVES,VLOOKUP(G274,MOVE_DOWN2,2,FALSE),FALSE)),VLOOKUP(G274,NGPREVPRICES,2,FALSE),CK274,VLOOKUP(G274,NGPREVPRICES,4,FALSE),HLOOKUP(D274,PREVVOLS,VLOOKUP(G274,MOVE_DOWN2,2,FALSE),FALSE),VLOOKUP(G274,NGPREVPRICES,3,FALSE),HLOOKUP(D274,Correllate,VLOOKUP(G274,CorMove,2,FALSE),FALSE),Q274-$CD$3,R274,$CJ$5)*H274</f>
        <v>-100935.67753937571</v>
      </c>
      <c r="CK274" s="235">
        <f t="shared" si="329"/>
        <v>0.5</v>
      </c>
      <c r="CL274" s="234"/>
      <c r="CM274" t="str">
        <f t="shared" si="330"/>
        <v>36800Curve Shift/Gamma</v>
      </c>
      <c r="CN274" t="str">
        <f t="shared" si="287"/>
        <v>36800Rho</v>
      </c>
      <c r="CO274" t="str">
        <f t="shared" si="288"/>
        <v>36800Drift</v>
      </c>
      <c r="CP274" t="str">
        <f t="shared" si="289"/>
        <v>36800Vega</v>
      </c>
      <c r="CQ274" t="str">
        <f t="shared" si="290"/>
        <v>36800Theta</v>
      </c>
    </row>
    <row r="275" spans="1:95" x14ac:dyDescent="0.25">
      <c r="A275" s="382" t="s">
        <v>279</v>
      </c>
      <c r="B275" t="s">
        <v>250</v>
      </c>
      <c r="C275" t="s">
        <v>418</v>
      </c>
      <c r="D275" s="4" t="s">
        <v>7</v>
      </c>
      <c r="E275" t="s">
        <v>20</v>
      </c>
      <c r="F275" t="s">
        <v>1</v>
      </c>
      <c r="G275" s="5">
        <v>36770</v>
      </c>
      <c r="H275" s="130">
        <v>-1000000</v>
      </c>
      <c r="I275">
        <v>0.5</v>
      </c>
      <c r="J275" s="53">
        <f t="shared" si="316"/>
        <v>4.6849999999999996</v>
      </c>
      <c r="K275" s="7">
        <f t="shared" si="317"/>
        <v>0.315</v>
      </c>
      <c r="L275" s="53">
        <f t="shared" si="318"/>
        <v>5</v>
      </c>
      <c r="M275" s="157">
        <f t="shared" si="319"/>
        <v>6.7216196212184998E-2</v>
      </c>
      <c r="N275" s="4">
        <f t="shared" si="320"/>
        <v>0.4</v>
      </c>
      <c r="O275" s="4">
        <f t="shared" si="321"/>
        <v>0.39200000000000002</v>
      </c>
      <c r="P275" s="9">
        <f t="shared" si="322"/>
        <v>0.99250000000000005</v>
      </c>
      <c r="Q275" s="5">
        <f t="shared" si="310"/>
        <v>36768</v>
      </c>
      <c r="R275" s="4">
        <f t="shared" si="323"/>
        <v>0</v>
      </c>
      <c r="S275" s="158">
        <f>_xll.xSPRDOPT($L275,$J275,$I275,$M275,$O275,$N275,$P275,$Q275-$C$3,$R275,0)</f>
        <v>0.18496595796803217</v>
      </c>
      <c r="T275" s="159">
        <f>_xll.xSPRDOPT($L275,$J275,$I275,$M275,$O275,$N275,$P275,$Q275-$C$3,$R275,1)*H275</f>
        <v>999815.98901639064</v>
      </c>
      <c r="U275" s="160">
        <f t="shared" si="324"/>
        <v>-184965.95796803216</v>
      </c>
      <c r="V275" s="159">
        <f>_xll.xSPRDOPT($L275,$J275,$I275,$M275,$O275,$N275,$P275,$Q275-$C$3,$R275,2)*H275</f>
        <v>-999815.98901639064</v>
      </c>
      <c r="W275" s="159">
        <f t="shared" si="325"/>
        <v>0</v>
      </c>
      <c r="X275" s="51" t="str">
        <f t="shared" si="311"/>
        <v>36770IF-TRANSCO/Z6</v>
      </c>
      <c r="Y275" s="418">
        <f t="shared" si="312"/>
        <v>-100</v>
      </c>
      <c r="Z275" s="456">
        <f t="shared" si="313"/>
        <v>-0.99981598901639068</v>
      </c>
      <c r="AA275" s="456">
        <f>_xll.xSPRDOPT($L275,$J275,$I275,$M275,$O275,$N275,$P275,$Q275-$C$3,$R275,3)</f>
        <v>8.2857997385504607E-35</v>
      </c>
      <c r="AB275" s="456">
        <f>((_xll.xSPRDOPT($L275+AB$5,$J275,$I275,$M275,$O275,$N275,$P275,$Q275-$C$3,$R275,3)*$H275)/10000)/100</f>
        <v>-8.2857997385504607E-35</v>
      </c>
      <c r="AC275" s="456">
        <f>((_xll.xSPRDOPT($L275+$AB$5,$J275,$I275,$M275,$O275,$N275,$P275,$Q275-$C$3,$R275,7)*$H275)/100)</f>
        <v>7.8277779509111282E-33</v>
      </c>
      <c r="AD275" s="456">
        <f>(_xll.xSPRDOPT($L275+$AB$5,$J275,$I275,$M275,$O275,$N275,$P275,$Q275-$C$3,$R275,9)/365)*$H275</f>
        <v>-34.06221403658634</v>
      </c>
      <c r="AE275">
        <f t="shared" si="314"/>
        <v>0</v>
      </c>
      <c r="AF275" s="456">
        <f t="shared" si="315"/>
        <v>-3.8631063862229422E-34</v>
      </c>
      <c r="AG275" s="456">
        <f>((_xll.xSPRDOPT($L275,$J275,$I275,$M275,$O275,$N275,$P275,$Q275-$C$3,$R275,6)*$H275)/100)</f>
        <v>1.1193526101559748E-33</v>
      </c>
      <c r="AH275" s="456">
        <f>((_xll.xSPRDOPT($L275,$J275,$I275,$M275,$O275,$N275,$P275,$Q275-$C$3,$R275,5)*$H275)/100)</f>
        <v>-1.5363910701819072E-33</v>
      </c>
      <c r="AI275" s="456">
        <f>(((_xll.xSPRDOPT($L275,$J275,$I275,$M275,$O275,$N275,$P275,$Q275-$C$3,$R275,4)*$H275)/10000)/100)-AB275</f>
        <v>3.9087342093086407E-36</v>
      </c>
      <c r="AJ275" s="456"/>
      <c r="AK275" s="456"/>
      <c r="AL275" s="456"/>
      <c r="AM275" s="472"/>
      <c r="CC275" s="141">
        <f t="shared" si="326"/>
        <v>36770</v>
      </c>
      <c r="CD275" s="234">
        <f>_xll.xSPRDOPT((VLOOKUP(G275,NGPrices,2,FALSE)+HLOOKUP(D275,Prices,VLOOKUP(G275,move_down,2,FALSE),FALSE)),VLOOKUP(G275,NGPrices,2,FALSE),I275,VLOOKUP(G275,NGPREVPRICES,4,FALSE),HLOOKUP(D275,PREVVOLS,VLOOKUP(G275,MOVE_DOWN2,2,FALSE),FALSE),VLOOKUP(G275,NGPREVPRICES,3,FALSE),HLOOKUP(D275,Correllate,VLOOKUP(G275,CorMove,2,FALSE),FALSE),Q275-$CD$3,R275,$CD$5)*H275-CJ275</f>
        <v>0</v>
      </c>
      <c r="CE275" s="234">
        <f>_xll.xSPRDOPT((VLOOKUP(G275,NGPREVPRICES,2,FALSE)+HLOOKUP(D275,PREVCURVES,VLOOKUP(G275,MOVE_DOWN2,2,FALSE),FALSE)),VLOOKUP(G275,NGPREVPRICES,2,FALSE),CK275,VLOOKUP(G275,NGPrices,4,FALSE),HLOOKUP(D275,PREVVOLS,VLOOKUP(G275,MOVE_DOWN2,2,FALSE),FALSE),VLOOKUP(G275,NGPREVPRICES,3,FALSE),HLOOKUP(D275,Correllate,VLOOKUP(G275,CorMove,2,FALSE),FALSE),Q275-$CD$3,R275,$CJ$5)*H275-CJ275</f>
        <v>0</v>
      </c>
      <c r="CF275" s="10">
        <f t="shared" si="327"/>
        <v>33.699355978722451</v>
      </c>
      <c r="CG275" s="234">
        <f>_xll.xSPRDOPT((VLOOKUP(G275,NGPREVPRICES,2,FALSE)+HLOOKUP(D275,PREVCURVES,VLOOKUP(G275,MOVE_DOWN2,2,FALSE),FALSE)),VLOOKUP(G275,NGPREVPRICES,2,FALSE),CK275,VLOOKUP(G275,NGPREVPRICES,4,FALSE),HLOOKUP(D275,VOLS,VLOOKUP(G275,move_down,2,FALSE),FALSE),VLOOKUP(G275,NGPrices,3,FALSE),HLOOKUP(D275,Correllate,VLOOKUP(G275,CorMove,2,FALSE),FALSE),Q275-$CD$3,R275,$CJ$5)*H275-CJ275</f>
        <v>0</v>
      </c>
      <c r="CH275" s="234">
        <f>_xll.xSPRDOPT((VLOOKUP(G275,NGPREVPRICES,2,FALSE)+HLOOKUP(D275,PREVCURVES,VLOOKUP(G275,MOVE_DOWN2,2,FALSE),FALSE)),VLOOKUP(G275,NGPREVPRICES,2,FALSE),CK275,VLOOKUP(G275,NGPREVPRICES,4,FALSE),HLOOKUP(D275,PREVVOLS,VLOOKUP(G275,MOVE_DOWN2,2,FALSE),FALSE),VLOOKUP(G275,NGPREVPRICES,3,FALSE),HLOOKUP(D275,Correllate,VLOOKUP(G275,CorMove,2,FALSE),FALSE),Q275-$C$3,R275,$CJ$5)*H275-CJ275</f>
        <v>-34.035767859924817</v>
      </c>
      <c r="CI275" s="234">
        <f t="shared" si="328"/>
        <v>-0.3364118812023662</v>
      </c>
      <c r="CJ275" s="234">
        <f>_xll.xSPRDOPT((VLOOKUP(G275,NGPREVPRICES,2,FALSE)+HLOOKUP(D275,PREVCURVES,VLOOKUP(G275,MOVE_DOWN2,2,FALSE),FALSE)),VLOOKUP(G275,NGPREVPRICES,2,FALSE),CK275,VLOOKUP(G275,NGPREVPRICES,4,FALSE),HLOOKUP(D275,PREVVOLS,VLOOKUP(G275,MOVE_DOWN2,2,FALSE),FALSE),VLOOKUP(G275,NGPREVPRICES,3,FALSE),HLOOKUP(D275,Correllate,VLOOKUP(G275,CorMove,2,FALSE),FALSE),Q275-$CD$3,R275,$CJ$5)*H275</f>
        <v>-184931.92220017224</v>
      </c>
      <c r="CK275" s="235">
        <f t="shared" si="329"/>
        <v>0.5</v>
      </c>
      <c r="CL275" s="234"/>
      <c r="CM275" t="str">
        <f t="shared" si="330"/>
        <v>36770Curve Shift/Gamma</v>
      </c>
      <c r="CN275" t="str">
        <f t="shared" si="287"/>
        <v>36770Rho</v>
      </c>
      <c r="CO275" t="str">
        <f t="shared" si="288"/>
        <v>36770Drift</v>
      </c>
      <c r="CP275" t="str">
        <f t="shared" si="289"/>
        <v>36770Vega</v>
      </c>
      <c r="CQ275" t="str">
        <f t="shared" si="290"/>
        <v>36770Theta</v>
      </c>
    </row>
    <row r="276" spans="1:95" x14ac:dyDescent="0.25">
      <c r="A276" s="382" t="s">
        <v>279</v>
      </c>
      <c r="B276" t="s">
        <v>250</v>
      </c>
      <c r="C276" t="s">
        <v>419</v>
      </c>
      <c r="D276" s="4" t="s">
        <v>7</v>
      </c>
      <c r="E276" t="s">
        <v>20</v>
      </c>
      <c r="F276" t="s">
        <v>1</v>
      </c>
      <c r="G276" s="5">
        <v>36800</v>
      </c>
      <c r="H276" s="130">
        <v>1000000</v>
      </c>
      <c r="I276">
        <v>0.3</v>
      </c>
      <c r="J276" s="53">
        <f t="shared" si="316"/>
        <v>4.6920000000000002</v>
      </c>
      <c r="K276" s="7">
        <f t="shared" si="317"/>
        <v>0.41499999999999998</v>
      </c>
      <c r="L276" s="53">
        <f t="shared" si="318"/>
        <v>5.1070000000000002</v>
      </c>
      <c r="M276" s="157">
        <f t="shared" si="319"/>
        <v>6.8050789414654006E-2</v>
      </c>
      <c r="N276" s="4">
        <f t="shared" si="320"/>
        <v>0.57499999999999996</v>
      </c>
      <c r="O276" s="4">
        <f t="shared" si="321"/>
        <v>0.56399999999999995</v>
      </c>
      <c r="P276" s="9">
        <f t="shared" si="322"/>
        <v>0.99250000000000005</v>
      </c>
      <c r="Q276" s="5">
        <f t="shared" si="310"/>
        <v>36797</v>
      </c>
      <c r="R276" s="4">
        <f t="shared" si="323"/>
        <v>0</v>
      </c>
      <c r="S276" s="158">
        <f>_xll.xSPRDOPT($L276,$J276,$I276,$M276,$O276,$N276,$P276,$Q276-$C$3,$R276,0)</f>
        <v>7.0349436722563774E-3</v>
      </c>
      <c r="T276" s="159">
        <f>_xll.xSPRDOPT($L276,$J276,$I276,$M276,$O276,$N276,$P276,$Q276-$C$3,$R276,1)*H276</f>
        <v>-130936.31319425447</v>
      </c>
      <c r="U276" s="160">
        <f t="shared" si="324"/>
        <v>7034.9436722563778</v>
      </c>
      <c r="V276" s="159">
        <f>_xll.xSPRDOPT($L276,$J276,$I276,$M276,$O276,$N276,$P276,$Q276-$C$3,$R276,2)*H276</f>
        <v>134712.25593848768</v>
      </c>
      <c r="W276" s="159">
        <f t="shared" si="325"/>
        <v>3775.9427442332089</v>
      </c>
      <c r="X276" s="51" t="str">
        <f t="shared" si="311"/>
        <v>36800IF-TRANSCO/Z6</v>
      </c>
      <c r="Y276" s="418">
        <f t="shared" si="312"/>
        <v>100</v>
      </c>
      <c r="Z276" s="456">
        <f t="shared" si="313"/>
        <v>-0.13093631319425447</v>
      </c>
      <c r="AA276" s="456">
        <f>_xll.xSPRDOPT($L276,$J276,$I276,$M276,$O276,$N276,$P276,$Q276-$C$3,$R276,3)</f>
        <v>2.0096109927708925</v>
      </c>
      <c r="AB276" s="456">
        <f>((_xll.xSPRDOPT($L276+AB$5,$J276,$I276,$M276,$O276,$N276,$P276,$Q276-$C$3,$R276,3)*$H276)/10000)/100</f>
        <v>2.0096109927708925</v>
      </c>
      <c r="AC276" s="456">
        <f>((_xll.xSPRDOPT($L276+$AB$5,$J276,$I276,$M276,$O276,$N276,$P276,$Q276-$C$3,$R276,7)*$H276)/100)</f>
        <v>-13082.905655234661</v>
      </c>
      <c r="AD276" s="456">
        <f>(_xll.xSPRDOPT($L276+$AB$5,$J276,$I276,$M276,$O276,$N276,$P276,$Q276-$C$3,$R276,9)/365)*$H276</f>
        <v>-373.67513987355835</v>
      </c>
      <c r="AE276">
        <f t="shared" si="314"/>
        <v>0</v>
      </c>
      <c r="AF276" s="456">
        <f t="shared" si="315"/>
        <v>391.02269008708379</v>
      </c>
      <c r="AG276" s="456">
        <f>((_xll.xSPRDOPT($L276,$J276,$I276,$M276,$O276,$N276,$P276,$Q276-$C$3,$R276,6)*$H276)/100)</f>
        <v>-842.42868132284332</v>
      </c>
      <c r="AH276" s="456">
        <f>((_xll.xSPRDOPT($L276,$J276,$I276,$M276,$O276,$N276,$P276,$Q276-$C$3,$R276,5)*$H276)/100)</f>
        <v>1257.508047093454</v>
      </c>
      <c r="AI276" s="456">
        <f>(((_xll.xSPRDOPT($L276,$J276,$I276,$M276,$O276,$N276,$P276,$Q276-$C$3,$R276,4)*$H276)/10000)/100)-AB276</f>
        <v>8.1337353829849413E-2</v>
      </c>
      <c r="AJ276" s="456"/>
      <c r="AK276" s="456"/>
      <c r="AL276" s="456"/>
      <c r="AM276" s="472"/>
      <c r="CC276" s="141">
        <f t="shared" si="326"/>
        <v>36800</v>
      </c>
      <c r="CD276" s="234">
        <f>_xll.xSPRDOPT((VLOOKUP(G276,NGPrices,2,FALSE)+HLOOKUP(D276,Prices,VLOOKUP(G276,move_down,2,FALSE),FALSE)),VLOOKUP(G276,NGPrices,2,FALSE),I276,VLOOKUP(G276,NGPREVPRICES,4,FALSE),HLOOKUP(D276,PREVVOLS,VLOOKUP(G276,MOVE_DOWN2,2,FALSE),FALSE),VLOOKUP(G276,NGPREVPRICES,3,FALSE),HLOOKUP(D276,Correllate,VLOOKUP(G276,CorMove,2,FALSE),FALSE),Q276-$CD$3,R276,$CD$5)*H276-CJ276</f>
        <v>0</v>
      </c>
      <c r="CE276" s="234">
        <f>_xll.xSPRDOPT((VLOOKUP(G276,NGPREVPRICES,2,FALSE)+HLOOKUP(D276,PREVCURVES,VLOOKUP(G276,MOVE_DOWN2,2,FALSE),FALSE)),VLOOKUP(G276,NGPREVPRICES,2,FALSE),CK276,VLOOKUP(G276,NGPrices,4,FALSE),HLOOKUP(D276,PREVVOLS,VLOOKUP(G276,MOVE_DOWN2,2,FALSE),FALSE),VLOOKUP(G276,NGPREVPRICES,3,FALSE),HLOOKUP(D276,Correllate,VLOOKUP(G276,CorMove,2,FALSE),FALSE),Q276-$CD$3,R276,$CJ$5)*H276-CJ276</f>
        <v>0</v>
      </c>
      <c r="CF276" s="10">
        <f t="shared" si="327"/>
        <v>-1.3658854318673548</v>
      </c>
      <c r="CG276" s="234">
        <f>_xll.xSPRDOPT((VLOOKUP(G276,NGPREVPRICES,2,FALSE)+HLOOKUP(D276,PREVCURVES,VLOOKUP(G276,MOVE_DOWN2,2,FALSE),FALSE)),VLOOKUP(G276,NGPREVPRICES,2,FALSE),CK276,VLOOKUP(G276,NGPREVPRICES,4,FALSE),HLOOKUP(D276,VOLS,VLOOKUP(G276,move_down,2,FALSE),FALSE),VLOOKUP(G276,NGPrices,3,FALSE),HLOOKUP(D276,Correllate,VLOOKUP(G276,CorMove,2,FALSE),FALSE),Q276-$CD$3,R276,$CJ$5)*H276-CJ276</f>
        <v>0</v>
      </c>
      <c r="CH276" s="234">
        <f>_xll.xSPRDOPT((VLOOKUP(G276,NGPREVPRICES,2,FALSE)+HLOOKUP(D276,PREVCURVES,VLOOKUP(G276,MOVE_DOWN2,2,FALSE),FALSE)),VLOOKUP(G276,NGPREVPRICES,2,FALSE),CK276,VLOOKUP(G276,NGPREVPRICES,4,FALSE),HLOOKUP(D276,PREVVOLS,VLOOKUP(G276,MOVE_DOWN2,2,FALSE),FALSE),VLOOKUP(G276,NGPREVPRICES,3,FALSE),HLOOKUP(D276,Correllate,VLOOKUP(G276,CorMove,2,FALSE),FALSE),Q276-$C$3,R276,$CJ$5)*H276-CJ276</f>
        <v>-374.02249338264119</v>
      </c>
      <c r="CI276" s="234">
        <f t="shared" si="328"/>
        <v>-375.38837881450854</v>
      </c>
      <c r="CJ276" s="234">
        <f>_xll.xSPRDOPT((VLOOKUP(G276,NGPREVPRICES,2,FALSE)+HLOOKUP(D276,PREVCURVES,VLOOKUP(G276,MOVE_DOWN2,2,FALSE),FALSE)),VLOOKUP(G276,NGPREVPRICES,2,FALSE),CK276,VLOOKUP(G276,NGPREVPRICES,4,FALSE),HLOOKUP(D276,PREVVOLS,VLOOKUP(G276,MOVE_DOWN2,2,FALSE),FALSE),VLOOKUP(G276,NGPREVPRICES,3,FALSE),HLOOKUP(D276,Correllate,VLOOKUP(G276,CorMove,2,FALSE),FALSE),Q276-$CD$3,R276,$CJ$5)*H276</f>
        <v>7408.966165639019</v>
      </c>
      <c r="CK276" s="235">
        <f t="shared" si="329"/>
        <v>0.3</v>
      </c>
      <c r="CL276" s="234"/>
      <c r="CM276" t="str">
        <f t="shared" si="330"/>
        <v>36800Curve Shift/Gamma</v>
      </c>
      <c r="CN276" t="str">
        <f t="shared" si="287"/>
        <v>36800Rho</v>
      </c>
      <c r="CO276" t="str">
        <f t="shared" si="288"/>
        <v>36800Drift</v>
      </c>
      <c r="CP276" t="str">
        <f t="shared" si="289"/>
        <v>36800Vega</v>
      </c>
      <c r="CQ276" t="str">
        <f t="shared" si="290"/>
        <v>36800Theta</v>
      </c>
    </row>
    <row r="277" spans="1:95" x14ac:dyDescent="0.25">
      <c r="A277" s="382" t="s">
        <v>279</v>
      </c>
      <c r="B277" t="s">
        <v>250</v>
      </c>
      <c r="C277" t="s">
        <v>419</v>
      </c>
      <c r="D277" s="4" t="s">
        <v>7</v>
      </c>
      <c r="E277" t="s">
        <v>20</v>
      </c>
      <c r="F277" t="s">
        <v>1</v>
      </c>
      <c r="G277" s="5">
        <v>36770</v>
      </c>
      <c r="H277" s="130">
        <v>1000000</v>
      </c>
      <c r="I277">
        <v>0.3</v>
      </c>
      <c r="J277" s="53">
        <f t="shared" si="316"/>
        <v>4.6849999999999996</v>
      </c>
      <c r="K277" s="7">
        <f t="shared" si="317"/>
        <v>0.315</v>
      </c>
      <c r="L277" s="53">
        <f t="shared" si="318"/>
        <v>5</v>
      </c>
      <c r="M277" s="157">
        <f t="shared" si="319"/>
        <v>6.7216196212184998E-2</v>
      </c>
      <c r="N277" s="4">
        <f t="shared" si="320"/>
        <v>0.4</v>
      </c>
      <c r="O277" s="4">
        <f t="shared" si="321"/>
        <v>0.39200000000000002</v>
      </c>
      <c r="P277" s="9">
        <f t="shared" si="322"/>
        <v>0.99250000000000005</v>
      </c>
      <c r="Q277" s="5">
        <f t="shared" si="310"/>
        <v>36768</v>
      </c>
      <c r="R277" s="4">
        <f t="shared" si="323"/>
        <v>0</v>
      </c>
      <c r="S277" s="158">
        <f>_xll.xSPRDOPT($L277,$J277,$I277,$M277,$O277,$N277,$P277,$Q277-$C$3,$R277,0)</f>
        <v>7.9788269410402402E-4</v>
      </c>
      <c r="T277" s="159">
        <f>_xll.xSPRDOPT($L277,$J277,$I277,$M277,$O277,$N277,$P277,$Q277-$C$3,$R277,1)*H277</f>
        <v>-123649.09747628671</v>
      </c>
      <c r="U277" s="160">
        <f t="shared" si="324"/>
        <v>797.88269410402404</v>
      </c>
      <c r="V277" s="159">
        <f>_xll.xSPRDOPT($L277,$J277,$I277,$M277,$O277,$N277,$P277,$Q277-$C$3,$R277,2)*H277</f>
        <v>124112.10476641588</v>
      </c>
      <c r="W277" s="159">
        <f t="shared" si="325"/>
        <v>463.00729012917145</v>
      </c>
      <c r="X277" s="51" t="str">
        <f t="shared" si="311"/>
        <v>36770IF-TRANSCO/Z6</v>
      </c>
      <c r="Y277" s="418">
        <f t="shared" si="312"/>
        <v>100</v>
      </c>
      <c r="Z277" s="456">
        <f t="shared" si="313"/>
        <v>-0.12364909747628672</v>
      </c>
      <c r="AA277" s="456">
        <f>_xll.xSPRDOPT($L277,$J277,$I277,$M277,$O277,$N277,$P277,$Q277-$C$3,$R277,3)</f>
        <v>15.702680426473698</v>
      </c>
      <c r="AB277" s="456">
        <f>((_xll.xSPRDOPT($L277+AB$5,$J277,$I277,$M277,$O277,$N277,$P277,$Q277-$C$3,$R277,3)*$H277)/10000)/100</f>
        <v>15.702680426473698</v>
      </c>
      <c r="AC277" s="456">
        <f>((_xll.xSPRDOPT($L277+$AB$5,$J277,$I277,$M277,$O277,$N277,$P277,$Q277-$C$3,$R277,7)*$H277)/100)</f>
        <v>-1583.2401437150056</v>
      </c>
      <c r="AD277" s="456">
        <f>(_xll.xSPRDOPT($L277+$AB$5,$J277,$I277,$M277,$O277,$N277,$P277,$Q277-$C$3,$R277,9)/365)*$H277</f>
        <v>-1329.6129940318249</v>
      </c>
      <c r="AE277">
        <f t="shared" si="314"/>
        <v>0</v>
      </c>
      <c r="AF277" s="456">
        <f t="shared" si="315"/>
        <v>66.443586614452755</v>
      </c>
      <c r="AG277" s="456">
        <f>((_xll.xSPRDOPT($L277,$J277,$I277,$M277,$O277,$N277,$P277,$Q277-$C$3,$R277,6)*$H277)/100)</f>
        <v>-134.05772182773569</v>
      </c>
      <c r="AH277" s="456">
        <f>((_xll.xSPRDOPT($L277,$J277,$I277,$M277,$O277,$N277,$P277,$Q277-$C$3,$R277,5)*$H277)/100)</f>
        <v>204.59317187978414</v>
      </c>
      <c r="AI277" s="456">
        <f>(((_xll.xSPRDOPT($L277,$J277,$I277,$M277,$O277,$N277,$P277,$Q277-$C$3,$R277,4)*$H277)/10000)/100)-AB277</f>
        <v>8.2488020570506748E-2</v>
      </c>
      <c r="AJ277" s="456"/>
      <c r="AK277" s="456"/>
      <c r="AL277" s="456"/>
      <c r="AM277" s="472"/>
      <c r="CC277" s="141">
        <f t="shared" ref="CC277:CC283" si="331">G277</f>
        <v>36770</v>
      </c>
      <c r="CD277" s="234">
        <f>_xll.xSPRDOPT((VLOOKUP(G277,NGPrices,2,FALSE)+HLOOKUP(D277,Prices,VLOOKUP(G277,move_down,2,FALSE),FALSE)),VLOOKUP(G277,NGPrices,2,FALSE),I277,VLOOKUP(G277,NGPREVPRICES,4,FALSE),HLOOKUP(D277,PREVVOLS,VLOOKUP(G277,MOVE_DOWN2,2,FALSE),FALSE),VLOOKUP(G277,NGPREVPRICES,3,FALSE),HLOOKUP(D277,Correllate,VLOOKUP(G277,CorMove,2,FALSE),FALSE),Q277-$CD$3,R277,$CD$5)*H277-CJ277</f>
        <v>0</v>
      </c>
      <c r="CE277" s="234">
        <f>_xll.xSPRDOPT((VLOOKUP(G277,NGPREVPRICES,2,FALSE)+HLOOKUP(D277,PREVCURVES,VLOOKUP(G277,MOVE_DOWN2,2,FALSE),FALSE)),VLOOKUP(G277,NGPREVPRICES,2,FALSE),CK277,VLOOKUP(G277,NGPrices,4,FALSE),HLOOKUP(D277,PREVVOLS,VLOOKUP(G277,MOVE_DOWN2,2,FALSE),FALSE),VLOOKUP(G277,NGPREVPRICES,3,FALSE),HLOOKUP(D277,Correllate,VLOOKUP(G277,CorMove,2,FALSE),FALSE),Q277-$CD$3,R277,$CJ$5)*H277-CJ277</f>
        <v>0</v>
      </c>
      <c r="CF277" s="10">
        <f t="shared" ref="CF277:CF283" si="332">(CJ277/VLOOKUP(CC277,discount,3,FALSE))-(CJ277/VLOOKUP(CC277,discount,2,FALSE))</f>
        <v>-0.39032347603142625</v>
      </c>
      <c r="CG277" s="234">
        <f>_xll.xSPRDOPT((VLOOKUP(G277,NGPREVPRICES,2,FALSE)+HLOOKUP(D277,PREVCURVES,VLOOKUP(G277,MOVE_DOWN2,2,FALSE),FALSE)),VLOOKUP(G277,NGPREVPRICES,2,FALSE),CK277,VLOOKUP(G277,NGPREVPRICES,4,FALSE),HLOOKUP(D277,VOLS,VLOOKUP(G277,move_down,2,FALSE),FALSE),VLOOKUP(G277,NGPrices,3,FALSE),HLOOKUP(D277,Correllate,VLOOKUP(G277,CorMove,2,FALSE),FALSE),Q277-$CD$3,R277,$CJ$5)*H277-CJ277</f>
        <v>0</v>
      </c>
      <c r="CH277" s="234">
        <f>_xll.xSPRDOPT((VLOOKUP(G277,NGPREVPRICES,2,FALSE)+HLOOKUP(D277,PREVCURVES,VLOOKUP(G277,MOVE_DOWN2,2,FALSE),FALSE)),VLOOKUP(G277,NGPREVPRICES,2,FALSE),CK277,VLOOKUP(G277,NGPREVPRICES,4,FALSE),HLOOKUP(D277,PREVVOLS,VLOOKUP(G277,MOVE_DOWN2,2,FALSE),FALSE),VLOOKUP(G277,NGPREVPRICES,3,FALSE),HLOOKUP(D277,Correllate,VLOOKUP(G277,CorMove,2,FALSE),FALSE),Q277-$C$3,R277,$CJ$5)*H277-CJ277</f>
        <v>-1344.0950560908439</v>
      </c>
      <c r="CI277" s="234">
        <f t="shared" ref="CI277:CI283" si="333">SUM(CD277:CH277)</f>
        <v>-1344.4853795668753</v>
      </c>
      <c r="CJ277" s="234">
        <f>_xll.xSPRDOPT((VLOOKUP(G277,NGPREVPRICES,2,FALSE)+HLOOKUP(D277,PREVCURVES,VLOOKUP(G277,MOVE_DOWN2,2,FALSE),FALSE)),VLOOKUP(G277,NGPREVPRICES,2,FALSE),CK277,VLOOKUP(G277,NGPREVPRICES,4,FALSE),HLOOKUP(D277,PREVVOLS,VLOOKUP(G277,MOVE_DOWN2,2,FALSE),FALSE),VLOOKUP(G277,NGPREVPRICES,3,FALSE),HLOOKUP(D277,Correllate,VLOOKUP(G277,CorMove,2,FALSE),FALSE),Q277-$CD$3,R277,$CJ$5)*H277</f>
        <v>2141.9777501948679</v>
      </c>
      <c r="CK277" s="235">
        <f t="shared" ref="CK277:CK283" si="334">I277</f>
        <v>0.3</v>
      </c>
      <c r="CL277" s="234"/>
      <c r="CM277" t="str">
        <f t="shared" ref="CM277:CM283" si="335">CONCATENATE(CC277,$CD$6)</f>
        <v>36770Curve Shift/Gamma</v>
      </c>
      <c r="CN277" t="str">
        <f t="shared" si="287"/>
        <v>36770Rho</v>
      </c>
      <c r="CO277" t="str">
        <f t="shared" si="288"/>
        <v>36770Drift</v>
      </c>
      <c r="CP277" t="str">
        <f t="shared" si="289"/>
        <v>36770Vega</v>
      </c>
      <c r="CQ277" t="str">
        <f t="shared" si="290"/>
        <v>36770Theta</v>
      </c>
    </row>
    <row r="278" spans="1:95" x14ac:dyDescent="0.25">
      <c r="A278" s="382" t="s">
        <v>279</v>
      </c>
      <c r="B278" t="s">
        <v>250</v>
      </c>
      <c r="C278" t="s">
        <v>420</v>
      </c>
      <c r="D278" s="4" t="s">
        <v>7</v>
      </c>
      <c r="E278" t="s">
        <v>20</v>
      </c>
      <c r="F278" t="s">
        <v>21</v>
      </c>
      <c r="G278" s="5">
        <v>36951</v>
      </c>
      <c r="H278" s="130">
        <v>-1000000</v>
      </c>
      <c r="I278">
        <v>3</v>
      </c>
      <c r="J278" s="53">
        <f t="shared" si="316"/>
        <v>4.2130000000000001</v>
      </c>
      <c r="K278" s="7">
        <f t="shared" si="317"/>
        <v>1.075</v>
      </c>
      <c r="L278" s="53">
        <f t="shared" si="318"/>
        <v>5.2880000000000003</v>
      </c>
      <c r="M278" s="157">
        <f t="shared" si="319"/>
        <v>6.8879814952706994E-2</v>
      </c>
      <c r="N278" s="4">
        <f t="shared" si="320"/>
        <v>0.53249999999999997</v>
      </c>
      <c r="O278" s="4">
        <f t="shared" si="321"/>
        <v>0.61199999999999999</v>
      </c>
      <c r="P278" s="9">
        <f t="shared" si="322"/>
        <v>0.83</v>
      </c>
      <c r="Q278" s="5">
        <f t="shared" si="310"/>
        <v>36949</v>
      </c>
      <c r="R278" s="4">
        <f t="shared" si="323"/>
        <v>1</v>
      </c>
      <c r="S278" s="158">
        <f>_xll.xSPRDOPT($L278,$J278,$I278,$M278,$O278,$N278,$P278,$Q278-$C$3,$R278,0)</f>
        <v>0.10436035305282036</v>
      </c>
      <c r="T278" s="159">
        <f>_xll.xSPRDOPT($L278,$J278,$I278,$M278,$O278,$N278,$P278,$Q278-$C$3,$R278,1)*H278</f>
        <v>-157075.29796405506</v>
      </c>
      <c r="U278" s="160">
        <f t="shared" si="324"/>
        <v>-104360.35305282036</v>
      </c>
      <c r="V278" s="159">
        <f>_xll.xSPRDOPT($L278,$J278,$I278,$M278,$O278,$N278,$P278,$Q278-$C$3,$R278,2)*H278</f>
        <v>112563.52762123229</v>
      </c>
      <c r="W278" s="159">
        <f t="shared" si="325"/>
        <v>-44511.770342822769</v>
      </c>
      <c r="X278" s="51" t="str">
        <f t="shared" si="311"/>
        <v>36951IF-TRANSCO/Z6</v>
      </c>
      <c r="Y278" s="418">
        <f t="shared" si="312"/>
        <v>-100</v>
      </c>
      <c r="Z278" s="456">
        <f t="shared" si="313"/>
        <v>0.15707529796405506</v>
      </c>
      <c r="AA278" s="456">
        <f>_xll.xSPRDOPT($L278,$J278,$I278,$M278,$O278,$N278,$P278,$Q278-$C$3,$R278,3)</f>
        <v>0.16689996764371509</v>
      </c>
      <c r="AB278" s="456">
        <f>((_xll.xSPRDOPT($L278+AB$5,$J278,$I278,$M278,$O278,$N278,$P278,$Q278-$C$3,$R278,3)*$H278)/10000)/100</f>
        <v>-0.16689996764371512</v>
      </c>
      <c r="AC278" s="456">
        <f>((_xll.xSPRDOPT($L278+$AB$5,$J278,$I278,$M278,$O278,$N278,$P278,$Q278-$C$3,$R278,7)*$H278)/100)</f>
        <v>4835.5614696628627</v>
      </c>
      <c r="AD278" s="456">
        <f>(_xll.xSPRDOPT($L278+$AB$5,$J278,$I278,$M278,$O278,$N278,$P278,$Q278-$C$3,$R278,9)/365)*$H278</f>
        <v>915.6166177594464</v>
      </c>
      <c r="AE278">
        <f t="shared" si="314"/>
        <v>0</v>
      </c>
      <c r="AF278" s="456">
        <f t="shared" si="315"/>
        <v>-6389.1088942781244</v>
      </c>
      <c r="AG278" s="456">
        <f>((_xll.xSPRDOPT($L278,$J278,$I278,$M278,$O278,$N278,$P278,$Q278-$C$3,$R278,6)*$H278)/100)</f>
        <v>2430.764808518441</v>
      </c>
      <c r="AH278" s="456">
        <f>((_xll.xSPRDOPT($L278,$J278,$I278,$M278,$O278,$N278,$P278,$Q278-$C$3,$R278,5)*$H278)/100)</f>
        <v>-7674.1548149332857</v>
      </c>
      <c r="AI278" s="456">
        <f>(((_xll.xSPRDOPT($L278,$J278,$I278,$M278,$O278,$N278,$P278,$Q278-$C$3,$R278,4)*$H278)/10000)/100)-AB278</f>
        <v>5.8475313811444468E-2</v>
      </c>
      <c r="AJ278" s="456"/>
      <c r="AK278" s="456"/>
      <c r="AL278" s="456"/>
      <c r="AM278" s="472"/>
      <c r="CC278" s="141">
        <f t="shared" si="331"/>
        <v>36951</v>
      </c>
      <c r="CD278" s="234">
        <f>_xll.xSPRDOPT((VLOOKUP(G278,NGPrices,2,FALSE)+HLOOKUP(D278,Prices,VLOOKUP(G278,move_down,2,FALSE),FALSE)),VLOOKUP(G278,NGPrices,2,FALSE),I278,VLOOKUP(G278,NGPREVPRICES,4,FALSE),HLOOKUP(D278,PREVVOLS,VLOOKUP(G278,MOVE_DOWN2,2,FALSE),FALSE),VLOOKUP(G278,NGPREVPRICES,3,FALSE),HLOOKUP(D278,Correllate,VLOOKUP(G278,CorMove,2,FALSE),FALSE),Q278-$CD$3,R278,$CD$5)*H278-CJ278</f>
        <v>0</v>
      </c>
      <c r="CE278" s="234">
        <f>_xll.xSPRDOPT((VLOOKUP(G278,NGPREVPRICES,2,FALSE)+HLOOKUP(D278,PREVCURVES,VLOOKUP(G278,MOVE_DOWN2,2,FALSE),FALSE)),VLOOKUP(G278,NGPREVPRICES,2,FALSE),CK278,VLOOKUP(G278,NGPrices,4,FALSE),HLOOKUP(D278,PREVVOLS,VLOOKUP(G278,MOVE_DOWN2,2,FALSE),FALSE),VLOOKUP(G278,NGPREVPRICES,3,FALSE),HLOOKUP(D278,Correllate,VLOOKUP(G278,CorMove,2,FALSE),FALSE),Q278-$CD$3,R278,$CJ$5)*H278-CJ278</f>
        <v>0</v>
      </c>
      <c r="CF278" s="10">
        <f t="shared" si="332"/>
        <v>20.190269415819785</v>
      </c>
      <c r="CG278" s="234">
        <f>_xll.xSPRDOPT((VLOOKUP(G278,NGPREVPRICES,2,FALSE)+HLOOKUP(D278,PREVCURVES,VLOOKUP(G278,MOVE_DOWN2,2,FALSE),FALSE)),VLOOKUP(G278,NGPREVPRICES,2,FALSE),CK278,VLOOKUP(G278,NGPREVPRICES,4,FALSE),HLOOKUP(D278,VOLS,VLOOKUP(G278,move_down,2,FALSE),FALSE),VLOOKUP(G278,NGPrices,3,FALSE),HLOOKUP(D278,Correllate,VLOOKUP(G278,CorMove,2,FALSE),FALSE),Q278-$CD$3,R278,$CJ$5)*H278-CJ278</f>
        <v>0</v>
      </c>
      <c r="CH278" s="234">
        <f>_xll.xSPRDOPT((VLOOKUP(G278,NGPREVPRICES,2,FALSE)+HLOOKUP(D278,PREVCURVES,VLOOKUP(G278,MOVE_DOWN2,2,FALSE),FALSE)),VLOOKUP(G278,NGPREVPRICES,2,FALSE),CK278,VLOOKUP(G278,NGPREVPRICES,4,FALSE),HLOOKUP(D278,PREVVOLS,VLOOKUP(G278,MOVE_DOWN2,2,FALSE),FALSE),VLOOKUP(G278,NGPREVPRICES,3,FALSE),HLOOKUP(D278,Correllate,VLOOKUP(G278,CorMove,2,FALSE),FALSE),Q278-$C$3,R278,$CJ$5)*H278-CJ278</f>
        <v>915.15616090936237</v>
      </c>
      <c r="CI278" s="234">
        <f t="shared" si="333"/>
        <v>935.34643032518215</v>
      </c>
      <c r="CJ278" s="234">
        <f>_xll.xSPRDOPT((VLOOKUP(G278,NGPREVPRICES,2,FALSE)+HLOOKUP(D278,PREVCURVES,VLOOKUP(G278,MOVE_DOWN2,2,FALSE),FALSE)),VLOOKUP(G278,NGPREVPRICES,2,FALSE),CK278,VLOOKUP(G278,NGPREVPRICES,4,FALSE),HLOOKUP(D278,PREVVOLS,VLOOKUP(G278,MOVE_DOWN2,2,FALSE),FALSE),VLOOKUP(G278,NGPREVPRICES,3,FALSE),HLOOKUP(D278,Correllate,VLOOKUP(G278,CorMove,2,FALSE),FALSE),Q278-$CD$3,R278,$CJ$5)*H278</f>
        <v>-105275.50921372972</v>
      </c>
      <c r="CK278" s="235">
        <f t="shared" si="334"/>
        <v>3</v>
      </c>
      <c r="CL278" s="234"/>
      <c r="CM278" t="str">
        <f t="shared" si="335"/>
        <v>36951Curve Shift/Gamma</v>
      </c>
      <c r="CN278" t="str">
        <f t="shared" si="287"/>
        <v>36951Rho</v>
      </c>
      <c r="CO278" t="str">
        <f t="shared" si="288"/>
        <v>36951Drift</v>
      </c>
      <c r="CP278" t="str">
        <f t="shared" si="289"/>
        <v>36951Vega</v>
      </c>
      <c r="CQ278" t="str">
        <f t="shared" si="290"/>
        <v>36951Theta</v>
      </c>
    </row>
    <row r="279" spans="1:95" x14ac:dyDescent="0.25">
      <c r="A279" s="382" t="s">
        <v>279</v>
      </c>
      <c r="B279" t="s">
        <v>250</v>
      </c>
      <c r="C279" t="s">
        <v>420</v>
      </c>
      <c r="D279" s="4" t="s">
        <v>7</v>
      </c>
      <c r="E279" t="s">
        <v>20</v>
      </c>
      <c r="F279" t="s">
        <v>21</v>
      </c>
      <c r="G279" s="5">
        <v>36923</v>
      </c>
      <c r="H279" s="130">
        <v>-1000000</v>
      </c>
      <c r="I279">
        <v>3</v>
      </c>
      <c r="J279" s="53">
        <f t="shared" si="316"/>
        <v>4.4800000000000004</v>
      </c>
      <c r="K279" s="7">
        <f t="shared" si="317"/>
        <v>2.09</v>
      </c>
      <c r="L279" s="53">
        <f t="shared" si="318"/>
        <v>6.57</v>
      </c>
      <c r="M279" s="157">
        <f t="shared" si="319"/>
        <v>6.8640161611372E-2</v>
      </c>
      <c r="N279" s="4">
        <f t="shared" si="320"/>
        <v>0.59250000000000003</v>
      </c>
      <c r="O279" s="4">
        <f t="shared" si="321"/>
        <v>0.68100000000000005</v>
      </c>
      <c r="P279" s="9">
        <f t="shared" si="322"/>
        <v>0.83</v>
      </c>
      <c r="Q279" s="5">
        <f t="shared" si="310"/>
        <v>36921</v>
      </c>
      <c r="R279" s="4">
        <f t="shared" si="323"/>
        <v>1</v>
      </c>
      <c r="S279" s="158">
        <f>_xll.xSPRDOPT($L279,$J279,$I279,$M279,$O279,$N279,$P279,$Q279-$C$3,$R279,0)</f>
        <v>0.39776106179396853</v>
      </c>
      <c r="T279" s="159">
        <f>_xll.xSPRDOPT($L279,$J279,$I279,$M279,$O279,$N279,$P279,$Q279-$C$3,$R279,1)*H279</f>
        <v>-367604.28182307887</v>
      </c>
      <c r="U279" s="160">
        <f t="shared" si="324"/>
        <v>-397761.06179396855</v>
      </c>
      <c r="V279" s="159">
        <f>_xll.xSPRDOPT($L279,$J279,$I279,$M279,$O279,$N279,$P279,$Q279-$C$3,$R279,2)*H279</f>
        <v>292324.92389520438</v>
      </c>
      <c r="W279" s="159">
        <f t="shared" si="325"/>
        <v>-75279.357927874487</v>
      </c>
      <c r="X279" s="51" t="str">
        <f t="shared" si="311"/>
        <v>36923IF-TRANSCO/Z6</v>
      </c>
      <c r="Y279" s="418">
        <f t="shared" si="312"/>
        <v>-100</v>
      </c>
      <c r="Z279" s="456">
        <f t="shared" si="313"/>
        <v>0.36760428182307886</v>
      </c>
      <c r="AA279" s="456">
        <f>_xll.xSPRDOPT($L279,$J279,$I279,$M279,$O279,$N279,$P279,$Q279-$C$3,$R279,3)</f>
        <v>0.20276399524083444</v>
      </c>
      <c r="AB279" s="456">
        <f>((_xll.xSPRDOPT($L279+AB$5,$J279,$I279,$M279,$O279,$N279,$P279,$Q279-$C$3,$R279,3)*$H279)/10000)/100</f>
        <v>-0.20276399524083441</v>
      </c>
      <c r="AC279" s="456">
        <f>((_xll.xSPRDOPT($L279+$AB$5,$J279,$I279,$M279,$O279,$N279,$P279,$Q279-$C$3,$R279,7)*$H279)/100)</f>
        <v>9350.8610609034968</v>
      </c>
      <c r="AD279" s="456">
        <f>(_xll.xSPRDOPT($L279+$AB$5,$J279,$I279,$M279,$O279,$N279,$P279,$Q279-$C$3,$R279,9)/365)*$H279</f>
        <v>2126.895188226641</v>
      </c>
      <c r="AE279">
        <f t="shared" si="314"/>
        <v>0</v>
      </c>
      <c r="AF279" s="456">
        <f t="shared" si="315"/>
        <v>-11437.270738836381</v>
      </c>
      <c r="AG279" s="456">
        <f>((_xll.xSPRDOPT($L279,$J279,$I279,$M279,$O279,$N279,$P279,$Q279-$C$3,$R279,6)*$H279)/100)</f>
        <v>4347.6752500622961</v>
      </c>
      <c r="AH279" s="456">
        <f>((_xll.xSPRDOPT($L279,$J279,$I279,$M279,$O279,$N279,$P279,$Q279-$C$3,$R279,5)*$H279)/100)</f>
        <v>-13733.598382411843</v>
      </c>
      <c r="AI279" s="456">
        <f>(((_xll.xSPRDOPT($L279,$J279,$I279,$M279,$O279,$N279,$P279,$Q279-$C$3,$R279,4)*$H279)/10000)/100)-AB279</f>
        <v>2.8220262823605069E-2</v>
      </c>
      <c r="AJ279" s="456"/>
      <c r="AK279" s="456"/>
      <c r="AL279" s="456"/>
      <c r="AM279" s="472"/>
      <c r="CC279" s="141">
        <f t="shared" si="331"/>
        <v>36923</v>
      </c>
      <c r="CD279" s="234">
        <f>_xll.xSPRDOPT((VLOOKUP(G279,NGPrices,2,FALSE)+HLOOKUP(D279,Prices,VLOOKUP(G279,move_down,2,FALSE),FALSE)),VLOOKUP(G279,NGPrices,2,FALSE),I279,VLOOKUP(G279,NGPREVPRICES,4,FALSE),HLOOKUP(D279,PREVVOLS,VLOOKUP(G279,MOVE_DOWN2,2,FALSE),FALSE),VLOOKUP(G279,NGPREVPRICES,3,FALSE),HLOOKUP(D279,Correllate,VLOOKUP(G279,CorMove,2,FALSE),FALSE),Q279-$CD$3,R279,$CD$5)*H279-CJ279</f>
        <v>0</v>
      </c>
      <c r="CE279" s="234">
        <f>_xll.xSPRDOPT((VLOOKUP(G279,NGPREVPRICES,2,FALSE)+HLOOKUP(D279,PREVCURVES,VLOOKUP(G279,MOVE_DOWN2,2,FALSE),FALSE)),VLOOKUP(G279,NGPREVPRICES,2,FALSE),CK279,VLOOKUP(G279,NGPrices,4,FALSE),HLOOKUP(D279,PREVVOLS,VLOOKUP(G279,MOVE_DOWN2,2,FALSE),FALSE),VLOOKUP(G279,NGPREVPRICES,3,FALSE),HLOOKUP(D279,Correllate,VLOOKUP(G279,CorMove,2,FALSE),FALSE),Q279-$CD$3,R279,$CJ$5)*H279-CJ279</f>
        <v>0</v>
      </c>
      <c r="CF279" s="10">
        <f t="shared" si="332"/>
        <v>76.05317851761356</v>
      </c>
      <c r="CG279" s="234">
        <f>_xll.xSPRDOPT((VLOOKUP(G279,NGPREVPRICES,2,FALSE)+HLOOKUP(D279,PREVCURVES,VLOOKUP(G279,MOVE_DOWN2,2,FALSE),FALSE)),VLOOKUP(G279,NGPREVPRICES,2,FALSE),CK279,VLOOKUP(G279,NGPREVPRICES,4,FALSE),HLOOKUP(D279,VOLS,VLOOKUP(G279,move_down,2,FALSE),FALSE),VLOOKUP(G279,NGPrices,3,FALSE),HLOOKUP(D279,Correllate,VLOOKUP(G279,CorMove,2,FALSE),FALSE),Q279-$CD$3,R279,$CJ$5)*H279-CJ279</f>
        <v>0</v>
      </c>
      <c r="CH279" s="234">
        <f>_xll.xSPRDOPT((VLOOKUP(G279,NGPREVPRICES,2,FALSE)+HLOOKUP(D279,PREVCURVES,VLOOKUP(G279,MOVE_DOWN2,2,FALSE),FALSE)),VLOOKUP(G279,NGPREVPRICES,2,FALSE),CK279,VLOOKUP(G279,NGPREVPRICES,4,FALSE),HLOOKUP(D279,PREVVOLS,VLOOKUP(G279,MOVE_DOWN2,2,FALSE),FALSE),VLOOKUP(G279,NGPREVPRICES,3,FALSE),HLOOKUP(D279,Correllate,VLOOKUP(G279,CorMove,2,FALSE),FALSE),Q279-$C$3,R279,$CJ$5)*H279-CJ279</f>
        <v>2122.1705818566261</v>
      </c>
      <c r="CI279" s="234">
        <f t="shared" si="333"/>
        <v>2198.2237603742396</v>
      </c>
      <c r="CJ279" s="234">
        <f>_xll.xSPRDOPT((VLOOKUP(G279,NGPREVPRICES,2,FALSE)+HLOOKUP(D279,PREVCURVES,VLOOKUP(G279,MOVE_DOWN2,2,FALSE),FALSE)),VLOOKUP(G279,NGPREVPRICES,2,FALSE),CK279,VLOOKUP(G279,NGPREVPRICES,4,FALSE),HLOOKUP(D279,PREVVOLS,VLOOKUP(G279,MOVE_DOWN2,2,FALSE),FALSE),VLOOKUP(G279,NGPREVPRICES,3,FALSE),HLOOKUP(D279,Correllate,VLOOKUP(G279,CorMove,2,FALSE),FALSE),Q279-$CD$3,R279,$CJ$5)*H279</f>
        <v>-399883.23237582517</v>
      </c>
      <c r="CK279" s="235">
        <f t="shared" si="334"/>
        <v>3</v>
      </c>
      <c r="CL279" s="234"/>
      <c r="CM279" t="str">
        <f t="shared" si="335"/>
        <v>36923Curve Shift/Gamma</v>
      </c>
      <c r="CN279" t="str">
        <f t="shared" si="287"/>
        <v>36923Rho</v>
      </c>
      <c r="CO279" t="str">
        <f t="shared" si="288"/>
        <v>36923Drift</v>
      </c>
      <c r="CP279" t="str">
        <f t="shared" si="289"/>
        <v>36923Vega</v>
      </c>
      <c r="CQ279" t="str">
        <f t="shared" si="290"/>
        <v>36923Theta</v>
      </c>
    </row>
    <row r="280" spans="1:95" x14ac:dyDescent="0.25">
      <c r="A280" s="382" t="s">
        <v>279</v>
      </c>
      <c r="B280" t="s">
        <v>250</v>
      </c>
      <c r="C280" t="s">
        <v>420</v>
      </c>
      <c r="D280" s="4" t="s">
        <v>7</v>
      </c>
      <c r="E280" t="s">
        <v>20</v>
      </c>
      <c r="F280" t="s">
        <v>21</v>
      </c>
      <c r="G280" s="5">
        <v>36892</v>
      </c>
      <c r="H280" s="130">
        <v>-1000000</v>
      </c>
      <c r="I280">
        <v>3</v>
      </c>
      <c r="J280" s="53">
        <f t="shared" si="316"/>
        <v>4.7439999999999998</v>
      </c>
      <c r="K280" s="7">
        <f t="shared" si="317"/>
        <v>2.17</v>
      </c>
      <c r="L280" s="53">
        <f t="shared" si="318"/>
        <v>6.9139999999999997</v>
      </c>
      <c r="M280" s="157">
        <f t="shared" si="319"/>
        <v>6.8374831148490994E-2</v>
      </c>
      <c r="N280" s="4">
        <f t="shared" si="320"/>
        <v>0.60499999999999998</v>
      </c>
      <c r="O280" s="4">
        <f t="shared" si="321"/>
        <v>0.69599999999999995</v>
      </c>
      <c r="P280" s="9">
        <f t="shared" si="322"/>
        <v>0.83</v>
      </c>
      <c r="Q280" s="5">
        <f t="shared" si="310"/>
        <v>36888</v>
      </c>
      <c r="R280" s="4">
        <f t="shared" si="323"/>
        <v>1</v>
      </c>
      <c r="S280" s="158">
        <f>_xll.xSPRDOPT($L280,$J280,$I280,$M280,$O280,$N280,$P280,$Q280-$C$3,$R280,0)</f>
        <v>0.38362792668504803</v>
      </c>
      <c r="T280" s="159">
        <f>_xll.xSPRDOPT($L280,$J280,$I280,$M280,$O280,$N280,$P280,$Q280-$C$3,$R280,1)*H280</f>
        <v>-368837.40538270003</v>
      </c>
      <c r="U280" s="160">
        <f t="shared" si="324"/>
        <v>-383627.92668504803</v>
      </c>
      <c r="V280" s="159">
        <f>_xll.xSPRDOPT($L280,$J280,$I280,$M280,$O280,$N280,$P280,$Q280-$C$3,$R280,2)*H280</f>
        <v>299558.908993316</v>
      </c>
      <c r="W280" s="159">
        <f t="shared" si="325"/>
        <v>-69278.496389384032</v>
      </c>
      <c r="X280" s="51" t="str">
        <f t="shared" si="311"/>
        <v>36892IF-TRANSCO/Z6</v>
      </c>
      <c r="Y280" s="418">
        <f t="shared" si="312"/>
        <v>-100</v>
      </c>
      <c r="Z280" s="456">
        <f t="shared" si="313"/>
        <v>0.36883740538270005</v>
      </c>
      <c r="AA280" s="456">
        <f>_xll.xSPRDOPT($L280,$J280,$I280,$M280,$O280,$N280,$P280,$Q280-$C$3,$R280,3)</f>
        <v>0.21502122720377706</v>
      </c>
      <c r="AB280" s="456">
        <f>((_xll.xSPRDOPT($L280+AB$5,$J280,$I280,$M280,$O280,$N280,$P280,$Q280-$C$3,$R280,3)*$H280)/10000)/100</f>
        <v>-0.21502122720377706</v>
      </c>
      <c r="AC280" s="456">
        <f>((_xll.xSPRDOPT($L280+$AB$5,$J280,$I280,$M280,$O280,$N280,$P280,$Q280-$C$3,$R280,7)*$H280)/100)</f>
        <v>9131.9906929844819</v>
      </c>
      <c r="AD280" s="456">
        <f>(_xll.xSPRDOPT($L280+$AB$5,$J280,$I280,$M280,$O280,$N280,$P280,$Q280-$C$3,$R280,9)/365)*$H280</f>
        <v>2595.9150698385251</v>
      </c>
      <c r="AE280">
        <f t="shared" si="314"/>
        <v>0</v>
      </c>
      <c r="AF280" s="456">
        <f t="shared" si="315"/>
        <v>-10663.81375778377</v>
      </c>
      <c r="AG280" s="456">
        <f>((_xll.xSPRDOPT($L280,$J280,$I280,$M280,$O280,$N280,$P280,$Q280-$C$3,$R280,6)*$H280)/100)</f>
        <v>4072.5528416345346</v>
      </c>
      <c r="AH280" s="456">
        <f>((_xll.xSPRDOPT($L280,$J280,$I280,$M280,$O280,$N280,$P280,$Q280-$C$3,$R280,5)*$H280)/100)</f>
        <v>-12809.629012425396</v>
      </c>
      <c r="AI280" s="456">
        <f>(((_xll.xSPRDOPT($L280,$J280,$I280,$M280,$O280,$N280,$P280,$Q280-$C$3,$R280,4)*$H280)/10000)/100)-AB280</f>
        <v>2.7561964584748189E-2</v>
      </c>
      <c r="AJ280" s="456"/>
      <c r="AK280" s="456"/>
      <c r="AL280" s="456"/>
      <c r="AM280" s="472"/>
      <c r="CC280" s="141">
        <f t="shared" si="331"/>
        <v>36892</v>
      </c>
      <c r="CD280" s="234">
        <f>_xll.xSPRDOPT((VLOOKUP(G280,NGPrices,2,FALSE)+HLOOKUP(D280,Prices,VLOOKUP(G280,move_down,2,FALSE),FALSE)),VLOOKUP(G280,NGPrices,2,FALSE),I280,VLOOKUP(G280,NGPREVPRICES,4,FALSE),HLOOKUP(D280,PREVVOLS,VLOOKUP(G280,MOVE_DOWN2,2,FALSE),FALSE),VLOOKUP(G280,NGPREVPRICES,3,FALSE),HLOOKUP(D280,Correllate,VLOOKUP(G280,CorMove,2,FALSE),FALSE),Q280-$CD$3,R280,$CD$5)*H280-CJ280</f>
        <v>0</v>
      </c>
      <c r="CE280" s="234">
        <f>_xll.xSPRDOPT((VLOOKUP(G280,NGPREVPRICES,2,FALSE)+HLOOKUP(D280,PREVCURVES,VLOOKUP(G280,MOVE_DOWN2,2,FALSE),FALSE)),VLOOKUP(G280,NGPREVPRICES,2,FALSE),CK280,VLOOKUP(G280,NGPrices,4,FALSE),HLOOKUP(D280,PREVVOLS,VLOOKUP(G280,MOVE_DOWN2,2,FALSE),FALSE),VLOOKUP(G280,NGPREVPRICES,3,FALSE),HLOOKUP(D280,Correllate,VLOOKUP(G280,CorMove,2,FALSE),FALSE),Q280-$CD$3,R280,$CJ$5)*H280-CJ280</f>
        <v>0</v>
      </c>
      <c r="CF280" s="10">
        <f t="shared" si="332"/>
        <v>72.779203535290435</v>
      </c>
      <c r="CG280" s="234">
        <f>_xll.xSPRDOPT((VLOOKUP(G280,NGPREVPRICES,2,FALSE)+HLOOKUP(D280,PREVCURVES,VLOOKUP(G280,MOVE_DOWN2,2,FALSE),FALSE)),VLOOKUP(G280,NGPREVPRICES,2,FALSE),CK280,VLOOKUP(G280,NGPREVPRICES,4,FALSE),HLOOKUP(D280,VOLS,VLOOKUP(G280,move_down,2,FALSE),FALSE),VLOOKUP(G280,NGPrices,3,FALSE),HLOOKUP(D280,Correllate,VLOOKUP(G280,CorMove,2,FALSE),FALSE),Q280-$CD$3,R280,$CJ$5)*H280-CJ280</f>
        <v>0</v>
      </c>
      <c r="CH280" s="234">
        <f>_xll.xSPRDOPT((VLOOKUP(G280,NGPREVPRICES,2,FALSE)+HLOOKUP(D280,PREVCURVES,VLOOKUP(G280,MOVE_DOWN2,2,FALSE),FALSE)),VLOOKUP(G280,NGPREVPRICES,2,FALSE),CK280,VLOOKUP(G280,NGPREVPRICES,4,FALSE),HLOOKUP(D280,PREVVOLS,VLOOKUP(G280,MOVE_DOWN2,2,FALSE),FALSE),VLOOKUP(G280,NGPREVPRICES,3,FALSE),HLOOKUP(D280,Correllate,VLOOKUP(G280,CorMove,2,FALSE),FALSE),Q280-$C$3,R280,$CJ$5)*H280-CJ280</f>
        <v>2589.1923538420815</v>
      </c>
      <c r="CI280" s="234">
        <f t="shared" si="333"/>
        <v>2661.9715573773719</v>
      </c>
      <c r="CJ280" s="234">
        <f>_xll.xSPRDOPT((VLOOKUP(G280,NGPREVPRICES,2,FALSE)+HLOOKUP(D280,PREVCURVES,VLOOKUP(G280,MOVE_DOWN2,2,FALSE),FALSE)),VLOOKUP(G280,NGPREVPRICES,2,FALSE),CK280,VLOOKUP(G280,NGPREVPRICES,4,FALSE),HLOOKUP(D280,PREVVOLS,VLOOKUP(G280,MOVE_DOWN2,2,FALSE),FALSE),VLOOKUP(G280,NGPREVPRICES,3,FALSE),HLOOKUP(D280,Correllate,VLOOKUP(G280,CorMove,2,FALSE),FALSE),Q280-$CD$3,R280,$CJ$5)*H280</f>
        <v>-386217.11903889012</v>
      </c>
      <c r="CK280" s="235">
        <f t="shared" si="334"/>
        <v>3</v>
      </c>
      <c r="CL280" s="234"/>
      <c r="CM280" t="str">
        <f t="shared" si="335"/>
        <v>36892Curve Shift/Gamma</v>
      </c>
      <c r="CN280" t="str">
        <f t="shared" si="287"/>
        <v>36892Rho</v>
      </c>
      <c r="CO280" t="str">
        <f t="shared" si="288"/>
        <v>36892Drift</v>
      </c>
      <c r="CP280" t="str">
        <f t="shared" si="289"/>
        <v>36892Vega</v>
      </c>
      <c r="CQ280" t="str">
        <f t="shared" si="290"/>
        <v>36892Theta</v>
      </c>
    </row>
    <row r="281" spans="1:95" x14ac:dyDescent="0.25">
      <c r="A281" s="382" t="s">
        <v>279</v>
      </c>
      <c r="B281" t="s">
        <v>250</v>
      </c>
      <c r="C281" t="s">
        <v>420</v>
      </c>
      <c r="D281" s="4" t="s">
        <v>7</v>
      </c>
      <c r="E281" t="s">
        <v>20</v>
      </c>
      <c r="F281" t="s">
        <v>21</v>
      </c>
      <c r="G281" s="5">
        <v>36861</v>
      </c>
      <c r="H281" s="130">
        <v>-1000000</v>
      </c>
      <c r="I281">
        <v>3</v>
      </c>
      <c r="J281" s="53">
        <f t="shared" si="316"/>
        <v>4.8</v>
      </c>
      <c r="K281" s="7">
        <f t="shared" si="317"/>
        <v>1.645</v>
      </c>
      <c r="L281" s="53">
        <f t="shared" si="318"/>
        <v>6.4450000000000003</v>
      </c>
      <c r="M281" s="157">
        <f t="shared" si="319"/>
        <v>6.8314027999354002E-2</v>
      </c>
      <c r="N281" s="4">
        <f t="shared" si="320"/>
        <v>0.6</v>
      </c>
      <c r="O281" s="4">
        <f t="shared" si="321"/>
        <v>0.69</v>
      </c>
      <c r="P281" s="9">
        <f t="shared" si="322"/>
        <v>0.83</v>
      </c>
      <c r="Q281" s="5">
        <f t="shared" si="310"/>
        <v>36859</v>
      </c>
      <c r="R281" s="4">
        <f t="shared" si="323"/>
        <v>1</v>
      </c>
      <c r="S281" s="158">
        <f>_xll.xSPRDOPT($L281,$J281,$I281,$M281,$O281,$N281,$P281,$Q281-$C$3,$R281,0)</f>
        <v>0.1564994254337741</v>
      </c>
      <c r="T281" s="159">
        <f>_xll.xSPRDOPT($L281,$J281,$I281,$M281,$O281,$N281,$P281,$Q281-$C$3,$R281,1)*H281</f>
        <v>-218863.64706929208</v>
      </c>
      <c r="U281" s="160">
        <f t="shared" si="324"/>
        <v>-156499.4254337741</v>
      </c>
      <c r="V281" s="159">
        <f>_xll.xSPRDOPT($L281,$J281,$I281,$M281,$O281,$N281,$P281,$Q281-$C$3,$R281,2)*H281</f>
        <v>172753.44190866654</v>
      </c>
      <c r="W281" s="159">
        <f t="shared" si="325"/>
        <v>-46110.205160625541</v>
      </c>
      <c r="X281" s="51" t="str">
        <f t="shared" si="311"/>
        <v>36861IF-TRANSCO/Z6</v>
      </c>
      <c r="Y281" s="418">
        <f t="shared" si="312"/>
        <v>-100</v>
      </c>
      <c r="Z281" s="456">
        <f t="shared" si="313"/>
        <v>0.21886364706929209</v>
      </c>
      <c r="AA281" s="456">
        <f>_xll.xSPRDOPT($L281,$J281,$I281,$M281,$O281,$N281,$P281,$Q281-$C$3,$R281,3)</f>
        <v>0.21208847684681123</v>
      </c>
      <c r="AB281" s="456">
        <f>((_xll.xSPRDOPT($L281+AB$5,$J281,$I281,$M281,$O281,$N281,$P281,$Q281-$C$3,$R281,3)*$H281)/10000)/100</f>
        <v>-0.2120884768468112</v>
      </c>
      <c r="AC281" s="456">
        <f>((_xll.xSPRDOPT($L281+$AB$5,$J281,$I281,$M281,$O281,$N281,$P281,$Q281-$C$3,$R281,7)*$H281)/100)</f>
        <v>5951.1886097631987</v>
      </c>
      <c r="AD281" s="456">
        <f>(_xll.xSPRDOPT($L281+$AB$5,$J281,$I281,$M281,$O281,$N281,$P281,$Q281-$C$3,$R281,9)/365)*$H281</f>
        <v>2182.0117996412919</v>
      </c>
      <c r="AE281">
        <f t="shared" si="314"/>
        <v>0</v>
      </c>
      <c r="AF281" s="456">
        <f t="shared" si="315"/>
        <v>-6776.6860983144079</v>
      </c>
      <c r="AG281" s="456">
        <f>((_xll.xSPRDOPT($L281,$J281,$I281,$M281,$O281,$N281,$P281,$Q281-$C$3,$R281,6)*$H281)/100)</f>
        <v>2598.7303685297693</v>
      </c>
      <c r="AH281" s="456">
        <f>((_xll.xSPRDOPT($L281,$J281,$I281,$M281,$O281,$N281,$P281,$Q281-$C$3,$R281,5)*$H281)/100)</f>
        <v>-8152.5360581253726</v>
      </c>
      <c r="AI281" s="456">
        <f>(((_xll.xSPRDOPT($L281,$J281,$I281,$M281,$O281,$N281,$P281,$Q281-$C$3,$R281,4)*$H281)/10000)/100)-AB281</f>
        <v>5.0293104030912195E-2</v>
      </c>
      <c r="AJ281" s="456"/>
      <c r="AK281" s="456"/>
      <c r="AL281" s="456"/>
      <c r="AM281" s="472"/>
      <c r="CC281" s="141">
        <f t="shared" si="331"/>
        <v>36861</v>
      </c>
      <c r="CD281" s="234">
        <f>_xll.xSPRDOPT((VLOOKUP(G281,NGPrices,2,FALSE)+HLOOKUP(D281,Prices,VLOOKUP(G281,move_down,2,FALSE),FALSE)),VLOOKUP(G281,NGPrices,2,FALSE),I281,VLOOKUP(G281,NGPREVPRICES,4,FALSE),HLOOKUP(D281,PREVVOLS,VLOOKUP(G281,MOVE_DOWN2,2,FALSE),FALSE),VLOOKUP(G281,NGPREVPRICES,3,FALSE),HLOOKUP(D281,Correllate,VLOOKUP(G281,CorMove,2,FALSE),FALSE),Q281-$CD$3,R281,$CD$5)*H281-CJ281</f>
        <v>0</v>
      </c>
      <c r="CE281" s="234">
        <f>_xll.xSPRDOPT((VLOOKUP(G281,NGPREVPRICES,2,FALSE)+HLOOKUP(D281,PREVCURVES,VLOOKUP(G281,MOVE_DOWN2,2,FALSE),FALSE)),VLOOKUP(G281,NGPREVPRICES,2,FALSE),CK281,VLOOKUP(G281,NGPrices,4,FALSE),HLOOKUP(D281,PREVVOLS,VLOOKUP(G281,MOVE_DOWN2,2,FALSE),FALSE),VLOOKUP(G281,NGPREVPRICES,3,FALSE),HLOOKUP(D281,Correllate,VLOOKUP(G281,CorMove,2,FALSE),FALSE),Q281-$CD$3,R281,$CJ$5)*H281-CJ281</f>
        <v>0</v>
      </c>
      <c r="CF281" s="10">
        <f t="shared" si="332"/>
        <v>29.726431490475079</v>
      </c>
      <c r="CG281" s="234">
        <f>_xll.xSPRDOPT((VLOOKUP(G281,NGPREVPRICES,2,FALSE)+HLOOKUP(D281,PREVCURVES,VLOOKUP(G281,MOVE_DOWN2,2,FALSE),FALSE)),VLOOKUP(G281,NGPREVPRICES,2,FALSE),CK281,VLOOKUP(G281,NGPREVPRICES,4,FALSE),HLOOKUP(D281,VOLS,VLOOKUP(G281,move_down,2,FALSE),FALSE),VLOOKUP(G281,NGPrices,3,FALSE),HLOOKUP(D281,Correllate,VLOOKUP(G281,CorMove,2,FALSE),FALSE),Q281-$CD$3,R281,$CJ$5)*H281-CJ281</f>
        <v>0</v>
      </c>
      <c r="CH281" s="234">
        <f>_xll.xSPRDOPT((VLOOKUP(G281,NGPREVPRICES,2,FALSE)+HLOOKUP(D281,PREVCURVES,VLOOKUP(G281,MOVE_DOWN2,2,FALSE),FALSE)),VLOOKUP(G281,NGPREVPRICES,2,FALSE),CK281,VLOOKUP(G281,NGPREVPRICES,4,FALSE),HLOOKUP(D281,PREVVOLS,VLOOKUP(G281,MOVE_DOWN2,2,FALSE),FALSE),VLOOKUP(G281,NGPREVPRICES,3,FALSE),HLOOKUP(D281,Correllate,VLOOKUP(G281,CorMove,2,FALSE),FALSE),Q281-$C$3,R281,$CJ$5)*H281-CJ281</f>
        <v>2178.6952881575853</v>
      </c>
      <c r="CI281" s="234">
        <f t="shared" si="333"/>
        <v>2208.4217196480604</v>
      </c>
      <c r="CJ281" s="234">
        <f>_xll.xSPRDOPT((VLOOKUP(G281,NGPREVPRICES,2,FALSE)+HLOOKUP(D281,PREVCURVES,VLOOKUP(G281,MOVE_DOWN2,2,FALSE),FALSE)),VLOOKUP(G281,NGPREVPRICES,2,FALSE),CK281,VLOOKUP(G281,NGPREVPRICES,4,FALSE),HLOOKUP(D281,PREVVOLS,VLOOKUP(G281,MOVE_DOWN2,2,FALSE),FALSE),VLOOKUP(G281,NGPREVPRICES,3,FALSE),HLOOKUP(D281,Correllate,VLOOKUP(G281,CorMove,2,FALSE),FALSE),Q281-$CD$3,R281,$CJ$5)*H281</f>
        <v>-158678.12072193169</v>
      </c>
      <c r="CK281" s="235">
        <f t="shared" si="334"/>
        <v>3</v>
      </c>
      <c r="CL281" s="234"/>
      <c r="CM281" t="str">
        <f t="shared" si="335"/>
        <v>36861Curve Shift/Gamma</v>
      </c>
      <c r="CN281" t="str">
        <f t="shared" si="287"/>
        <v>36861Rho</v>
      </c>
      <c r="CO281" t="str">
        <f t="shared" si="288"/>
        <v>36861Drift</v>
      </c>
      <c r="CP281" t="str">
        <f t="shared" si="289"/>
        <v>36861Vega</v>
      </c>
      <c r="CQ281" t="str">
        <f t="shared" si="290"/>
        <v>36861Theta</v>
      </c>
    </row>
    <row r="282" spans="1:95" x14ac:dyDescent="0.25">
      <c r="A282" s="382" t="s">
        <v>279</v>
      </c>
      <c r="B282" t="s">
        <v>250</v>
      </c>
      <c r="C282" t="s">
        <v>420</v>
      </c>
      <c r="D282" s="4" t="s">
        <v>7</v>
      </c>
      <c r="E282" t="s">
        <v>20</v>
      </c>
      <c r="F282" t="s">
        <v>21</v>
      </c>
      <c r="G282" s="5">
        <v>36831</v>
      </c>
      <c r="H282" s="130">
        <v>-1000000</v>
      </c>
      <c r="I282">
        <v>3</v>
      </c>
      <c r="J282" s="53">
        <f t="shared" si="316"/>
        <v>4.7359999999999998</v>
      </c>
      <c r="K282" s="7">
        <f t="shared" si="317"/>
        <v>0.77</v>
      </c>
      <c r="L282" s="53">
        <f t="shared" si="318"/>
        <v>5.5060000000000002</v>
      </c>
      <c r="M282" s="157">
        <f t="shared" si="319"/>
        <v>6.810675983792E-2</v>
      </c>
      <c r="N282" s="4">
        <f t="shared" si="320"/>
        <v>0.59499999999999997</v>
      </c>
      <c r="O282" s="4">
        <f t="shared" si="321"/>
        <v>0.625</v>
      </c>
      <c r="P282" s="9">
        <f t="shared" si="322"/>
        <v>0.89</v>
      </c>
      <c r="Q282" s="5">
        <f t="shared" si="310"/>
        <v>36829</v>
      </c>
      <c r="R282" s="4">
        <f t="shared" si="323"/>
        <v>1</v>
      </c>
      <c r="S282" s="158">
        <f>_xll.xSPRDOPT($L282,$J282,$I282,$M282,$O282,$N282,$P282,$Q282-$C$3,$R282,0)</f>
        <v>1.8752703849743671E-3</v>
      </c>
      <c r="T282" s="159">
        <f>_xll.xSPRDOPT($L282,$J282,$I282,$M282,$O282,$N282,$P282,$Q282-$C$3,$R282,1)*H282</f>
        <v>-8072.2387683928137</v>
      </c>
      <c r="U282" s="160">
        <f t="shared" si="324"/>
        <v>-1875.2703849743671</v>
      </c>
      <c r="V282" s="159">
        <f>_xll.xSPRDOPT($L282,$J282,$I282,$M282,$O282,$N282,$P282,$Q282-$C$3,$R282,2)*H282</f>
        <v>6178.1395408362141</v>
      </c>
      <c r="W282" s="159">
        <f t="shared" si="325"/>
        <v>-1894.0992275565995</v>
      </c>
      <c r="X282" s="51" t="str">
        <f t="shared" si="311"/>
        <v>36831IF-TRANSCO/Z6</v>
      </c>
      <c r="Y282" s="418">
        <f t="shared" si="312"/>
        <v>-100</v>
      </c>
      <c r="Z282" s="456">
        <f t="shared" si="313"/>
        <v>8.0722387683928136E-3</v>
      </c>
      <c r="AA282" s="456">
        <f>_xll.xSPRDOPT($L282,$J282,$I282,$M282,$O282,$N282,$P282,$Q282-$C$3,$R282,3)</f>
        <v>3.0118794226120859E-2</v>
      </c>
      <c r="AB282" s="456">
        <f>((_xll.xSPRDOPT($L282+AB$5,$J282,$I282,$M282,$O282,$N282,$P282,$Q282-$C$3,$R282,3)*$H282)/10000)/100</f>
        <v>-3.0118794226120859E-2</v>
      </c>
      <c r="AC282" s="456">
        <f>((_xll.xSPRDOPT($L282+$AB$5,$J282,$I282,$M282,$O282,$N282,$P282,$Q282-$C$3,$R282,7)*$H282)/100)</f>
        <v>392.49867651201981</v>
      </c>
      <c r="AD282" s="456">
        <f>(_xll.xSPRDOPT($L282+$AB$5,$J282,$I282,$M282,$O282,$N282,$P282,$Q282-$C$3,$R282,9)/365)*$H282</f>
        <v>130.58424910517695</v>
      </c>
      <c r="AE282">
        <f t="shared" si="314"/>
        <v>0</v>
      </c>
      <c r="AF282" s="456">
        <f t="shared" si="315"/>
        <v>-272.68443501263624</v>
      </c>
      <c r="AG282" s="456">
        <f>((_xll.xSPRDOPT($L282,$J282,$I282,$M282,$O282,$N282,$P282,$Q282-$C$3,$R282,6)*$H282)/100)</f>
        <v>157.7616226326553</v>
      </c>
      <c r="AH282" s="456">
        <f>((_xll.xSPRDOPT($L282,$J282,$I282,$M282,$O282,$N282,$P282,$Q282-$C$3,$R282,5)*$H282)/100)</f>
        <v>-409.78464687831752</v>
      </c>
      <c r="AI282" s="456">
        <f>(((_xll.xSPRDOPT($L282,$J282,$I282,$M282,$O282,$N282,$P282,$Q282-$C$3,$R282,4)*$H282)/10000)/100)-AB282</f>
        <v>1.1166047822152237E-2</v>
      </c>
      <c r="AJ282" s="456"/>
      <c r="AK282" s="456"/>
      <c r="AL282" s="456"/>
      <c r="AM282" s="472"/>
      <c r="CC282" s="141">
        <f t="shared" si="331"/>
        <v>36831</v>
      </c>
      <c r="CD282" s="234">
        <f>_xll.xSPRDOPT((VLOOKUP(G282,NGPrices,2,FALSE)+HLOOKUP(D282,Prices,VLOOKUP(G282,move_down,2,FALSE),FALSE)),VLOOKUP(G282,NGPrices,2,FALSE),I282,VLOOKUP(G282,NGPREVPRICES,4,FALSE),HLOOKUP(D282,PREVVOLS,VLOOKUP(G282,MOVE_DOWN2,2,FALSE),FALSE),VLOOKUP(G282,NGPREVPRICES,3,FALSE),HLOOKUP(D282,Correllate,VLOOKUP(G282,CorMove,2,FALSE),FALSE),Q282-$CD$3,R282,$CD$5)*H282-CJ282</f>
        <v>0</v>
      </c>
      <c r="CE282" s="234">
        <f>_xll.xSPRDOPT((VLOOKUP(G282,NGPREVPRICES,2,FALSE)+HLOOKUP(D282,PREVCURVES,VLOOKUP(G282,MOVE_DOWN2,2,FALSE),FALSE)),VLOOKUP(G282,NGPREVPRICES,2,FALSE),CK282,VLOOKUP(G282,NGPrices,4,FALSE),HLOOKUP(D282,PREVVOLS,VLOOKUP(G282,MOVE_DOWN2,2,FALSE),FALSE),VLOOKUP(G282,NGPREVPRICES,3,FALSE),HLOOKUP(D282,Correllate,VLOOKUP(G282,CorMove,2,FALSE),FALSE),Q282-$CD$3,R282,$CJ$5)*H282-CJ282</f>
        <v>0</v>
      </c>
      <c r="CF282" s="10">
        <f t="shared" si="332"/>
        <v>0.3729938415522156</v>
      </c>
      <c r="CG282" s="234">
        <f>_xll.xSPRDOPT((VLOOKUP(G282,NGPREVPRICES,2,FALSE)+HLOOKUP(D282,PREVCURVES,VLOOKUP(G282,MOVE_DOWN2,2,FALSE),FALSE)),VLOOKUP(G282,NGPREVPRICES,2,FALSE),CK282,VLOOKUP(G282,NGPREVPRICES,4,FALSE),HLOOKUP(D282,VOLS,VLOOKUP(G282,move_down,2,FALSE),FALSE),VLOOKUP(G282,NGPrices,3,FALSE),HLOOKUP(D282,Correllate,VLOOKUP(G282,CorMove,2,FALSE),FALSE),Q282-$CD$3,R282,$CJ$5)*H282-CJ282</f>
        <v>0</v>
      </c>
      <c r="CH282" s="234">
        <f>_xll.xSPRDOPT((VLOOKUP(G282,NGPREVPRICES,2,FALSE)+HLOOKUP(D282,PREVCURVES,VLOOKUP(G282,MOVE_DOWN2,2,FALSE),FALSE)),VLOOKUP(G282,NGPREVPRICES,2,FALSE),CK282,VLOOKUP(G282,NGPREVPRICES,4,FALSE),HLOOKUP(D282,PREVVOLS,VLOOKUP(G282,MOVE_DOWN2,2,FALSE),FALSE),VLOOKUP(G282,NGPREVPRICES,3,FALSE),HLOOKUP(D282,Correllate,VLOOKUP(G282,CorMove,2,FALSE),FALSE),Q282-$C$3,R282,$CJ$5)*H282-CJ282</f>
        <v>133.19736022094708</v>
      </c>
      <c r="CI282" s="234">
        <f t="shared" si="333"/>
        <v>133.57035406249929</v>
      </c>
      <c r="CJ282" s="234">
        <f>_xll.xSPRDOPT((VLOOKUP(G282,NGPREVPRICES,2,FALSE)+HLOOKUP(D282,PREVCURVES,VLOOKUP(G282,MOVE_DOWN2,2,FALSE),FALSE)),VLOOKUP(G282,NGPREVPRICES,2,FALSE),CK282,VLOOKUP(G282,NGPREVPRICES,4,FALSE),HLOOKUP(D282,PREVVOLS,VLOOKUP(G282,MOVE_DOWN2,2,FALSE),FALSE),VLOOKUP(G282,NGPREVPRICES,3,FALSE),HLOOKUP(D282,Correllate,VLOOKUP(G282,CorMove,2,FALSE),FALSE),Q282-$CD$3,R282,$CJ$5)*H282</f>
        <v>-2008.4677451953141</v>
      </c>
      <c r="CK282" s="235">
        <f t="shared" si="334"/>
        <v>3</v>
      </c>
      <c r="CL282" s="234"/>
      <c r="CM282" t="str">
        <f t="shared" si="335"/>
        <v>36831Curve Shift/Gamma</v>
      </c>
      <c r="CN282" t="str">
        <f t="shared" si="287"/>
        <v>36831Rho</v>
      </c>
      <c r="CO282" t="str">
        <f t="shared" si="288"/>
        <v>36831Drift</v>
      </c>
      <c r="CP282" t="str">
        <f t="shared" si="289"/>
        <v>36831Vega</v>
      </c>
      <c r="CQ282" t="str">
        <f t="shared" si="290"/>
        <v>36831Theta</v>
      </c>
    </row>
    <row r="283" spans="1:95" x14ac:dyDescent="0.25">
      <c r="A283" s="382" t="s">
        <v>281</v>
      </c>
      <c r="B283" t="s">
        <v>250</v>
      </c>
      <c r="C283" t="s">
        <v>421</v>
      </c>
      <c r="D283" s="4" t="s">
        <v>7</v>
      </c>
      <c r="E283" t="s">
        <v>20</v>
      </c>
      <c r="F283" t="s">
        <v>1</v>
      </c>
      <c r="G283" s="5">
        <v>36951</v>
      </c>
      <c r="H283" s="130">
        <v>500000</v>
      </c>
      <c r="I283">
        <v>0.5</v>
      </c>
      <c r="J283" s="53">
        <f t="shared" si="316"/>
        <v>4.2130000000000001</v>
      </c>
      <c r="K283" s="7">
        <f t="shared" si="317"/>
        <v>1.075</v>
      </c>
      <c r="L283" s="53">
        <f t="shared" si="318"/>
        <v>5.2880000000000003</v>
      </c>
      <c r="M283" s="157">
        <f t="shared" si="319"/>
        <v>6.8879814952706994E-2</v>
      </c>
      <c r="N283" s="4">
        <f t="shared" si="320"/>
        <v>0.53249999999999997</v>
      </c>
      <c r="O283" s="4">
        <f t="shared" si="321"/>
        <v>0.61199999999999999</v>
      </c>
      <c r="P283" s="9">
        <f t="shared" si="322"/>
        <v>0.83</v>
      </c>
      <c r="Q283" s="5">
        <f t="shared" si="310"/>
        <v>36949</v>
      </c>
      <c r="R283" s="4">
        <f t="shared" si="323"/>
        <v>0</v>
      </c>
      <c r="S283" s="158">
        <f>_xll.xSPRDOPT($L283,$J283,$I283,$M283,$O283,$N283,$P283,$Q283-$C$3,$R283,0)</f>
        <v>0.23927921745757935</v>
      </c>
      <c r="T283" s="159">
        <f>_xll.xSPRDOPT($L283,$J283,$I283,$M283,$O283,$N283,$P283,$Q283-$C$3,$R283,1)*H283</f>
        <v>-133034.26762598791</v>
      </c>
      <c r="U283" s="160">
        <f t="shared" si="324"/>
        <v>119639.60872878968</v>
      </c>
      <c r="V283" s="159">
        <f>_xll.xSPRDOPT($L283,$J283,$I283,$M283,$O283,$N283,$P283,$Q283-$C$3,$R283,2)*H283</f>
        <v>173903.20198371002</v>
      </c>
      <c r="W283" s="159">
        <f t="shared" si="325"/>
        <v>40868.934357722115</v>
      </c>
      <c r="X283" s="51" t="str">
        <f t="shared" si="311"/>
        <v>36951IF-TRANSCO/Z6</v>
      </c>
      <c r="Y283" s="418">
        <f t="shared" si="312"/>
        <v>50</v>
      </c>
      <c r="Z283" s="456">
        <f t="shared" si="313"/>
        <v>-0.26606853525197582</v>
      </c>
      <c r="AA283" s="456">
        <f>_xll.xSPRDOPT($L283,$J283,$I283,$M283,$O283,$N283,$P283,$Q283-$C$3,$R283,3)</f>
        <v>0.25185908360622672</v>
      </c>
      <c r="AB283" s="456">
        <f>((_xll.xSPRDOPT($L283+AB$5,$J283,$I283,$M283,$O283,$N283,$P283,$Q283-$C$3,$R283,3)*$H283)/10000)/100</f>
        <v>0.12592954180311336</v>
      </c>
      <c r="AC283" s="456">
        <f>((_xll.xSPRDOPT($L283+$AB$5,$J283,$I283,$M283,$O283,$N283,$P283,$Q283-$C$3,$R283,7)*$H283)/100)</f>
        <v>-5105.7742167121878</v>
      </c>
      <c r="AD283" s="456">
        <f>(_xll.xSPRDOPT($L283+$AB$5,$J283,$I283,$M283,$O283,$N283,$P283,$Q283-$C$3,$R283,9)/365)*$H283</f>
        <v>-546.40779375027751</v>
      </c>
      <c r="AE283">
        <f t="shared" si="314"/>
        <v>0</v>
      </c>
      <c r="AF283" s="456">
        <f t="shared" si="315"/>
        <v>3886.7390351686245</v>
      </c>
      <c r="AG283" s="456">
        <f>((_xll.xSPRDOPT($L283,$J283,$I283,$M283,$O283,$N283,$P283,$Q283-$C$3,$R283,6)*$H283)/100)</f>
        <v>-496.67016202886225</v>
      </c>
      <c r="AH283" s="456">
        <f>((_xll.xSPRDOPT($L283,$J283,$I283,$M283,$O283,$N283,$P283,$Q283-$C$3,$R283,5)*$H283)/100)</f>
        <v>3813.9957475615388</v>
      </c>
      <c r="AI283" s="456">
        <f>(((_xll.xSPRDOPT($L283,$J283,$I283,$M283,$O283,$N283,$P283,$Q283-$C$3,$R283,4)*$H283)/10000)/100)-AB283</f>
        <v>3.2503689145891385E-2</v>
      </c>
      <c r="AJ283" s="456"/>
      <c r="AK283" s="456"/>
      <c r="AL283" s="456"/>
      <c r="AM283" s="472"/>
      <c r="CC283" s="141">
        <f t="shared" si="331"/>
        <v>36951</v>
      </c>
      <c r="CD283" s="234">
        <f>_xll.xSPRDOPT((VLOOKUP(G283,NGPrices,2,FALSE)+HLOOKUP(D283,Prices,VLOOKUP(G283,move_down,2,FALSE),FALSE)),VLOOKUP(G283,NGPrices,2,FALSE),I283,VLOOKUP(G283,NGPREVPRICES,4,FALSE),HLOOKUP(D283,PREVVOLS,VLOOKUP(G283,MOVE_DOWN2,2,FALSE),FALSE),VLOOKUP(G283,NGPREVPRICES,3,FALSE),HLOOKUP(D283,Correllate,VLOOKUP(G283,CorMove,2,FALSE),FALSE),Q283-$CD$3,R283,$CD$5)*H283-CJ283</f>
        <v>0</v>
      </c>
      <c r="CE283" s="234">
        <f>_xll.xSPRDOPT((VLOOKUP(G283,NGPREVPRICES,2,FALSE)+HLOOKUP(D283,PREVCURVES,VLOOKUP(G283,MOVE_DOWN2,2,FALSE),FALSE)),VLOOKUP(G283,NGPREVPRICES,2,FALSE),CK283,VLOOKUP(G283,NGPrices,4,FALSE),HLOOKUP(D283,PREVVOLS,VLOOKUP(G283,MOVE_DOWN2,2,FALSE),FALSE),VLOOKUP(G283,NGPREVPRICES,3,FALSE),HLOOKUP(D283,Correllate,VLOOKUP(G283,CorMove,2,FALSE),FALSE),Q283-$CD$3,R283,$CJ$5)*H283-CJ283</f>
        <v>0</v>
      </c>
      <c r="CF283" s="10">
        <f t="shared" si="332"/>
        <v>-23.049672826222377</v>
      </c>
      <c r="CG283" s="234">
        <f>_xll.xSPRDOPT((VLOOKUP(G283,NGPREVPRICES,2,FALSE)+HLOOKUP(D283,PREVCURVES,VLOOKUP(G283,MOVE_DOWN2,2,FALSE),FALSE)),VLOOKUP(G283,NGPREVPRICES,2,FALSE),CK283,VLOOKUP(G283,NGPREVPRICES,4,FALSE),HLOOKUP(D283,VOLS,VLOOKUP(G283,move_down,2,FALSE),FALSE),VLOOKUP(G283,NGPrices,3,FALSE),HLOOKUP(D283,Correllate,VLOOKUP(G283,CorMove,2,FALSE),FALSE),Q283-$CD$3,R283,$CJ$5)*H283-CJ283</f>
        <v>0</v>
      </c>
      <c r="CH283" s="234">
        <f>_xll.xSPRDOPT((VLOOKUP(G283,NGPREVPRICES,2,FALSE)+HLOOKUP(D283,PREVCURVES,VLOOKUP(G283,MOVE_DOWN2,2,FALSE),FALSE)),VLOOKUP(G283,NGPREVPRICES,2,FALSE),CK283,VLOOKUP(G283,NGPREVPRICES,4,FALSE),HLOOKUP(D283,PREVVOLS,VLOOKUP(G283,MOVE_DOWN2,2,FALSE),FALSE),VLOOKUP(G283,NGPREVPRICES,3,FALSE),HLOOKUP(D283,Correllate,VLOOKUP(G283,CorMove,2,FALSE),FALSE),Q283-$C$3,R283,$CJ$5)*H283-CJ283</f>
        <v>-545.31768376122636</v>
      </c>
      <c r="CI283" s="234">
        <f t="shared" si="333"/>
        <v>-568.36735658744874</v>
      </c>
      <c r="CJ283" s="234">
        <f>_xll.xSPRDOPT((VLOOKUP(G283,NGPREVPRICES,2,FALSE)+HLOOKUP(D283,PREVCURVES,VLOOKUP(G283,MOVE_DOWN2,2,FALSE),FALSE)),VLOOKUP(G283,NGPREVPRICES,2,FALSE),CK283,VLOOKUP(G283,NGPREVPRICES,4,FALSE),HLOOKUP(D283,PREVVOLS,VLOOKUP(G283,MOVE_DOWN2,2,FALSE),FALSE),VLOOKUP(G283,NGPREVPRICES,3,FALSE),HLOOKUP(D283,Correllate,VLOOKUP(G283,CorMove,2,FALSE),FALSE),Q283-$CD$3,R283,$CJ$5)*H283</f>
        <v>120184.92641255091</v>
      </c>
      <c r="CK283" s="235">
        <f t="shared" si="334"/>
        <v>0.5</v>
      </c>
      <c r="CL283" s="234"/>
      <c r="CM283" t="str">
        <f t="shared" si="335"/>
        <v>36951Curve Shift/Gamma</v>
      </c>
      <c r="CN283" t="str">
        <f t="shared" si="287"/>
        <v>36951Rho</v>
      </c>
      <c r="CO283" t="str">
        <f t="shared" si="288"/>
        <v>36951Drift</v>
      </c>
      <c r="CP283" t="str">
        <f t="shared" si="289"/>
        <v>36951Vega</v>
      </c>
      <c r="CQ283" t="str">
        <f t="shared" si="290"/>
        <v>36951Theta</v>
      </c>
    </row>
    <row r="284" spans="1:95" x14ac:dyDescent="0.25">
      <c r="A284" s="382" t="s">
        <v>281</v>
      </c>
      <c r="B284" t="s">
        <v>250</v>
      </c>
      <c r="C284" t="s">
        <v>634</v>
      </c>
      <c r="D284" s="4" t="s">
        <v>7</v>
      </c>
      <c r="E284" t="s">
        <v>20</v>
      </c>
      <c r="F284" t="s">
        <v>21</v>
      </c>
      <c r="G284" s="5">
        <v>36951</v>
      </c>
      <c r="H284" s="130">
        <v>500000</v>
      </c>
      <c r="I284">
        <v>1.57</v>
      </c>
      <c r="J284" s="53">
        <f t="shared" si="316"/>
        <v>4.2130000000000001</v>
      </c>
      <c r="K284" s="7">
        <f t="shared" si="317"/>
        <v>1.075</v>
      </c>
      <c r="L284" s="53">
        <f t="shared" si="318"/>
        <v>5.2880000000000003</v>
      </c>
      <c r="M284" s="157">
        <f t="shared" si="319"/>
        <v>6.8879814952706994E-2</v>
      </c>
      <c r="N284" s="4">
        <f t="shared" si="320"/>
        <v>0.53249999999999997</v>
      </c>
      <c r="O284" s="4">
        <f t="shared" si="321"/>
        <v>0.61199999999999999</v>
      </c>
      <c r="P284" s="9">
        <f t="shared" si="322"/>
        <v>0.83</v>
      </c>
      <c r="Q284" s="5">
        <f t="shared" si="310"/>
        <v>36949</v>
      </c>
      <c r="R284" s="4">
        <f t="shared" si="323"/>
        <v>1</v>
      </c>
      <c r="S284" s="158">
        <f>_xll.xSPRDOPT($L284,$J284,$I284,$M284,$O284,$N284,$P284,$Q284-$C$3,$R284,0)</f>
        <v>0.33688907814173885</v>
      </c>
      <c r="T284" s="159">
        <f>_xll.xSPRDOPT($L284,$J284,$I284,$M284,$O284,$N284,$P284,$Q284-$C$3,$R284,1)*H284</f>
        <v>200011.80051481252</v>
      </c>
      <c r="U284" s="160">
        <f t="shared" si="324"/>
        <v>168444.53907086942</v>
      </c>
      <c r="V284" s="159">
        <f>_xll.xSPRDOPT($L284,$J284,$I284,$M284,$O284,$N284,$P284,$Q284-$C$3,$R284,2)*H284</f>
        <v>-159313.69699508132</v>
      </c>
      <c r="W284" s="159">
        <f t="shared" si="325"/>
        <v>40698.103519731201</v>
      </c>
      <c r="X284" s="51" t="str">
        <f t="shared" si="311"/>
        <v>36951IF-TRANSCO/Z6</v>
      </c>
      <c r="Y284" s="418">
        <f t="shared" si="312"/>
        <v>50</v>
      </c>
      <c r="Z284" s="456">
        <f t="shared" si="313"/>
        <v>0.40002360102962503</v>
      </c>
      <c r="AA284" s="456">
        <f>_xll.xSPRDOPT($L284,$J284,$I284,$M284,$O284,$N284,$P284,$Q284-$C$3,$R284,3)</f>
        <v>0.2799978791350371</v>
      </c>
      <c r="AB284" s="456">
        <f>((_xll.xSPRDOPT($L284+AB$5,$J284,$I284,$M284,$O284,$N284,$P284,$Q284-$C$3,$R284,3)*$H284)/10000)/100</f>
        <v>0.13999893956751852</v>
      </c>
      <c r="AC284" s="456">
        <f>((_xll.xSPRDOPT($L284+$AB$5,$J284,$I284,$M284,$O284,$N284,$P284,$Q284-$C$3,$R284,7)*$H284)/100)</f>
        <v>-4719.0512483343682</v>
      </c>
      <c r="AD284" s="456">
        <f>(_xll.xSPRDOPT($L284+$AB$5,$J284,$I284,$M284,$O284,$N284,$P284,$Q284-$C$3,$R284,9)/365)*$H284</f>
        <v>-667.73122172862531</v>
      </c>
      <c r="AE284">
        <f t="shared" si="314"/>
        <v>0</v>
      </c>
      <c r="AF284" s="456">
        <f t="shared" si="315"/>
        <v>4778.4136017119963</v>
      </c>
      <c r="AG284" s="456">
        <f>((_xll.xSPRDOPT($L284,$J284,$I284,$M284,$O284,$N284,$P284,$Q284-$C$3,$R284,6)*$H284)/100)</f>
        <v>-1586.6385033973722</v>
      </c>
      <c r="AH284" s="456">
        <f>((_xll.xSPRDOPT($L284,$J284,$I284,$M284,$O284,$N284,$P284,$Q284-$C$3,$R284,5)*$H284)/100)</f>
        <v>5538.2193561613376</v>
      </c>
      <c r="AI284" s="456">
        <f>(((_xll.xSPRDOPT($L284,$J284,$I284,$M284,$O284,$N284,$P284,$Q284-$C$3,$R284,4)*$H284)/10000)/100)-AB284</f>
        <v>-1.7507152680260374E-2</v>
      </c>
      <c r="AJ284" s="456"/>
      <c r="AK284" s="456"/>
      <c r="AL284" s="456"/>
      <c r="AM284" s="472"/>
      <c r="CC284" s="141">
        <f>G284</f>
        <v>36951</v>
      </c>
      <c r="CD284" s="234">
        <f>_xll.xSPRDOPT((VLOOKUP(G284,NGPrices,2,FALSE)+HLOOKUP(D284,Prices,VLOOKUP(G284,move_down,2,FALSE),FALSE)),VLOOKUP(G284,NGPrices,2,FALSE),I284,VLOOKUP(G284,NGPREVPRICES,4,FALSE),HLOOKUP(D284,PREVVOLS,VLOOKUP(G284,MOVE_DOWN2,2,FALSE),FALSE),VLOOKUP(G284,NGPREVPRICES,3,FALSE),HLOOKUP(D284,Correllate,VLOOKUP(G284,CorMove,2,FALSE),FALSE),Q284-$CD$3,R284,$CD$5)*H284-CJ284</f>
        <v>0</v>
      </c>
      <c r="CE284" s="234">
        <f>_xll.xSPRDOPT((VLOOKUP(G284,NGPREVPRICES,2,FALSE)+HLOOKUP(D284,PREVCURVES,VLOOKUP(G284,MOVE_DOWN2,2,FALSE),FALSE)),VLOOKUP(G284,NGPREVPRICES,2,FALSE),CK284,VLOOKUP(G284,NGPrices,4,FALSE),HLOOKUP(D284,PREVVOLS,VLOOKUP(G284,MOVE_DOWN2,2,FALSE),FALSE),VLOOKUP(G284,NGPREVPRICES,3,FALSE),HLOOKUP(D284,Correllate,VLOOKUP(G284,CorMove,2,FALSE),FALSE),Q284-$CD$3,R284,$CJ$5)*H284-CJ284</f>
        <v>0</v>
      </c>
      <c r="CF284" s="10">
        <f>(CJ284/VLOOKUP(CC284,discount,3,FALSE))-(CJ284/VLOOKUP(CC284,discount,2,FALSE))</f>
        <v>-32.432931144925533</v>
      </c>
      <c r="CG284" s="234">
        <f>_xll.xSPRDOPT((VLOOKUP(G284,NGPREVPRICES,2,FALSE)+HLOOKUP(D284,PREVCURVES,VLOOKUP(G284,MOVE_DOWN2,2,FALSE),FALSE)),VLOOKUP(G284,NGPREVPRICES,2,FALSE),CK284,VLOOKUP(G284,NGPREVPRICES,4,FALSE),HLOOKUP(D284,VOLS,VLOOKUP(G284,move_down,2,FALSE),FALSE),VLOOKUP(G284,NGPrices,3,FALSE),HLOOKUP(D284,Correllate,VLOOKUP(G284,CorMove,2,FALSE),FALSE),Q284-$CD$3,R284,$CJ$5)*H284-CJ284</f>
        <v>0</v>
      </c>
      <c r="CH284" s="234">
        <f>_xll.xSPRDOPT((VLOOKUP(G284,NGPREVPRICES,2,FALSE)+HLOOKUP(D284,PREVCURVES,VLOOKUP(G284,MOVE_DOWN2,2,FALSE),FALSE)),VLOOKUP(G284,NGPREVPRICES,2,FALSE),CK284,VLOOKUP(G284,NGPREVPRICES,4,FALSE),HLOOKUP(D284,PREVVOLS,VLOOKUP(G284,MOVE_DOWN2,2,FALSE),FALSE),VLOOKUP(G284,NGPREVPRICES,3,FALSE),HLOOKUP(D284,Correllate,VLOOKUP(G284,CorMove,2,FALSE),FALSE),Q284-$C$3,R284,$CJ$5)*H284-CJ284</f>
        <v>-666.29700844897889</v>
      </c>
      <c r="CI284" s="234">
        <f>SUM(CD284:CH284)</f>
        <v>-698.72993959390442</v>
      </c>
      <c r="CJ284" s="234">
        <f>_xll.xSPRDOPT((VLOOKUP(G284,NGPREVPRICES,2,FALSE)+HLOOKUP(D284,PREVCURVES,VLOOKUP(G284,MOVE_DOWN2,2,FALSE),FALSE)),VLOOKUP(G284,NGPREVPRICES,2,FALSE),CK284,VLOOKUP(G284,NGPREVPRICES,4,FALSE),HLOOKUP(D284,PREVVOLS,VLOOKUP(G284,MOVE_DOWN2,2,FALSE),FALSE),VLOOKUP(G284,NGPREVPRICES,3,FALSE),HLOOKUP(D284,Correllate,VLOOKUP(G284,CorMove,2,FALSE),FALSE),Q284-$CD$3,R284,$CJ$5)*H284</f>
        <v>169110.8360793184</v>
      </c>
      <c r="CK284" s="235">
        <f>I284</f>
        <v>1.57</v>
      </c>
      <c r="CL284" s="234"/>
      <c r="CM284" t="str">
        <f>CONCATENATE(CC284,$CD$6)</f>
        <v>36951Curve Shift/Gamma</v>
      </c>
      <c r="CN284" t="str">
        <f t="shared" si="287"/>
        <v>36951Rho</v>
      </c>
      <c r="CO284" t="str">
        <f t="shared" si="288"/>
        <v>36951Drift</v>
      </c>
      <c r="CP284" t="str">
        <f t="shared" si="289"/>
        <v>36951Vega</v>
      </c>
      <c r="CQ284" t="str">
        <f t="shared" si="290"/>
        <v>36951Theta</v>
      </c>
    </row>
    <row r="285" spans="1:95" x14ac:dyDescent="0.25">
      <c r="A285" s="382" t="s">
        <v>281</v>
      </c>
      <c r="B285" t="s">
        <v>250</v>
      </c>
      <c r="C285" t="s">
        <v>634</v>
      </c>
      <c r="D285" s="4" t="s">
        <v>7</v>
      </c>
      <c r="E285" t="s">
        <v>20</v>
      </c>
      <c r="F285" t="s">
        <v>21</v>
      </c>
      <c r="G285" s="5">
        <v>36923</v>
      </c>
      <c r="H285" s="130">
        <v>500000</v>
      </c>
      <c r="I285">
        <v>1.57</v>
      </c>
      <c r="J285" s="53">
        <f t="shared" si="316"/>
        <v>4.4800000000000004</v>
      </c>
      <c r="K285" s="7">
        <f t="shared" si="317"/>
        <v>2.09</v>
      </c>
      <c r="L285" s="53">
        <f t="shared" si="318"/>
        <v>6.57</v>
      </c>
      <c r="M285" s="157">
        <f t="shared" si="319"/>
        <v>6.8640161611372E-2</v>
      </c>
      <c r="N285" s="4">
        <f t="shared" si="320"/>
        <v>0.59250000000000003</v>
      </c>
      <c r="O285" s="4">
        <f t="shared" si="321"/>
        <v>0.68100000000000005</v>
      </c>
      <c r="P285" s="9">
        <f t="shared" si="322"/>
        <v>0.83</v>
      </c>
      <c r="Q285" s="5">
        <f t="shared" si="310"/>
        <v>36921</v>
      </c>
      <c r="R285" s="4">
        <f t="shared" si="323"/>
        <v>1</v>
      </c>
      <c r="S285" s="158">
        <f>_xll.xSPRDOPT($L285,$J285,$I285,$M285,$O285,$N285,$P285,$Q285-$C$3,$R285,0)</f>
        <v>0.9199543117028034</v>
      </c>
      <c r="T285" s="159">
        <f>_xll.xSPRDOPT($L285,$J285,$I285,$M285,$O285,$N285,$P285,$Q285-$C$3,$R285,1)*H285</f>
        <v>327650.95981556852</v>
      </c>
      <c r="U285" s="160">
        <f t="shared" si="324"/>
        <v>459977.15585140168</v>
      </c>
      <c r="V285" s="159">
        <f>_xll.xSPRDOPT($L285,$J285,$I285,$M285,$O285,$N285,$P285,$Q285-$C$3,$R285,2)*H285</f>
        <v>-285987.41667084763</v>
      </c>
      <c r="W285" s="159">
        <f t="shared" si="325"/>
        <v>41663.543144720898</v>
      </c>
      <c r="X285" s="51" t="str">
        <f t="shared" si="311"/>
        <v>36923IF-TRANSCO/Z6</v>
      </c>
      <c r="Y285" s="418">
        <f t="shared" si="312"/>
        <v>50</v>
      </c>
      <c r="Z285" s="456">
        <f t="shared" si="313"/>
        <v>0.65530191963113704</v>
      </c>
      <c r="AA285" s="456">
        <f>_xll.xSPRDOPT($L285,$J285,$I285,$M285,$O285,$N285,$P285,$Q285-$C$3,$R285,3)</f>
        <v>0.20420504136926287</v>
      </c>
      <c r="AB285" s="456">
        <f>((_xll.xSPRDOPT($L285+AB$5,$J285,$I285,$M285,$O285,$N285,$P285,$Q285-$C$3,$R285,3)*$H285)/10000)/100</f>
        <v>0.10210252068463144</v>
      </c>
      <c r="AC285" s="456">
        <f>((_xll.xSPRDOPT($L285+$AB$5,$J285,$I285,$M285,$O285,$N285,$P285,$Q285-$C$3,$R285,7)*$H285)/100)</f>
        <v>-5540.4613369350973</v>
      </c>
      <c r="AD285" s="456">
        <f>(_xll.xSPRDOPT($L285+$AB$5,$J285,$I285,$M285,$O285,$N285,$P285,$Q285-$C$3,$R285,9)/365)*$H285</f>
        <v>-892.84300138201002</v>
      </c>
      <c r="AE285">
        <f t="shared" si="314"/>
        <v>0</v>
      </c>
      <c r="AF285" s="456">
        <f t="shared" si="315"/>
        <v>5087.4519302483232</v>
      </c>
      <c r="AG285" s="456">
        <f>((_xll.xSPRDOPT($L285,$J285,$I285,$M285,$O285,$N285,$P285,$Q285-$C$3,$R285,6)*$H285)/100)</f>
        <v>-1695.8963185333716</v>
      </c>
      <c r="AH285" s="456">
        <f>((_xll.xSPRDOPT($L285,$J285,$I285,$M285,$O285,$N285,$P285,$Q285-$C$3,$R285,5)*$H285)/100)</f>
        <v>5901.8118023541165</v>
      </c>
      <c r="AI285" s="456">
        <f>(((_xll.xSPRDOPT($L285,$J285,$I285,$M285,$O285,$N285,$P285,$Q285-$C$3,$R285,4)*$H285)/10000)/100)-AB285</f>
        <v>1.8869114696176775E-2</v>
      </c>
      <c r="AJ285" s="456"/>
      <c r="AK285" s="456"/>
      <c r="AL285" s="456"/>
      <c r="AM285" s="472"/>
      <c r="CC285" s="141">
        <f>G285</f>
        <v>36923</v>
      </c>
      <c r="CD285" s="234">
        <f>_xll.xSPRDOPT((VLOOKUP(G285,NGPrices,2,FALSE)+HLOOKUP(D285,Prices,VLOOKUP(G285,move_down,2,FALSE),FALSE)),VLOOKUP(G285,NGPrices,2,FALSE),I285,VLOOKUP(G285,NGPREVPRICES,4,FALSE),HLOOKUP(D285,PREVVOLS,VLOOKUP(G285,MOVE_DOWN2,2,FALSE),FALSE),VLOOKUP(G285,NGPREVPRICES,3,FALSE),HLOOKUP(D285,Correllate,VLOOKUP(G285,CorMove,2,FALSE),FALSE),Q285-$CD$3,R285,$CD$5)*H285-CJ285</f>
        <v>0</v>
      </c>
      <c r="CE285" s="234">
        <f>_xll.xSPRDOPT((VLOOKUP(G285,NGPREVPRICES,2,FALSE)+HLOOKUP(D285,PREVCURVES,VLOOKUP(G285,MOVE_DOWN2,2,FALSE),FALSE)),VLOOKUP(G285,NGPREVPRICES,2,FALSE),CK285,VLOOKUP(G285,NGPrices,4,FALSE),HLOOKUP(D285,PREVVOLS,VLOOKUP(G285,MOVE_DOWN2,2,FALSE),FALSE),VLOOKUP(G285,NGPREVPRICES,3,FALSE),HLOOKUP(D285,Correllate,VLOOKUP(G285,CorMove,2,FALSE),FALSE),Q285-$CD$3,R285,$CJ$5)*H285-CJ285</f>
        <v>0</v>
      </c>
      <c r="CF285" s="10">
        <f>(CJ285/VLOOKUP(CC285,discount,3,FALSE))-(CJ285/VLOOKUP(CC285,discount,2,FALSE))</f>
        <v>-87.651734643091913</v>
      </c>
      <c r="CG285" s="234">
        <f>_xll.xSPRDOPT((VLOOKUP(G285,NGPREVPRICES,2,FALSE)+HLOOKUP(D285,PREVCURVES,VLOOKUP(G285,MOVE_DOWN2,2,FALSE),FALSE)),VLOOKUP(G285,NGPREVPRICES,2,FALSE),CK285,VLOOKUP(G285,NGPREVPRICES,4,FALSE),HLOOKUP(D285,VOLS,VLOOKUP(G285,move_down,2,FALSE),FALSE),VLOOKUP(G285,NGPrices,3,FALSE),HLOOKUP(D285,Correllate,VLOOKUP(G285,CorMove,2,FALSE),FALSE),Q285-$CD$3,R285,$CJ$5)*H285-CJ285</f>
        <v>0</v>
      </c>
      <c r="CH285" s="234">
        <f>_xll.xSPRDOPT((VLOOKUP(G285,NGPREVPRICES,2,FALSE)+HLOOKUP(D285,PREVCURVES,VLOOKUP(G285,MOVE_DOWN2,2,FALSE),FALSE)),VLOOKUP(G285,NGPREVPRICES,2,FALSE),CK285,VLOOKUP(G285,NGPREVPRICES,4,FALSE),HLOOKUP(D285,PREVVOLS,VLOOKUP(G285,MOVE_DOWN2,2,FALSE),FALSE),VLOOKUP(G285,NGPREVPRICES,3,FALSE),HLOOKUP(D285,Correllate,VLOOKUP(G285,CorMove,2,FALSE),FALSE),Q285-$C$3,R285,$CJ$5)*H285-CJ285</f>
        <v>-890.61661536822794</v>
      </c>
      <c r="CI285" s="234">
        <f>SUM(CD285:CH285)</f>
        <v>-978.26835001131985</v>
      </c>
      <c r="CJ285" s="234">
        <f>_xll.xSPRDOPT((VLOOKUP(G285,NGPREVPRICES,2,FALSE)+HLOOKUP(D285,PREVCURVES,VLOOKUP(G285,MOVE_DOWN2,2,FALSE),FALSE)),VLOOKUP(G285,NGPREVPRICES,2,FALSE),CK285,VLOOKUP(G285,NGPREVPRICES,4,FALSE),HLOOKUP(D285,PREVVOLS,VLOOKUP(G285,MOVE_DOWN2,2,FALSE),FALSE),VLOOKUP(G285,NGPREVPRICES,3,FALSE),HLOOKUP(D285,Correllate,VLOOKUP(G285,CorMove,2,FALSE),FALSE),Q285-$CD$3,R285,$CJ$5)*H285</f>
        <v>460867.77246676991</v>
      </c>
      <c r="CK285" s="235">
        <f>I285</f>
        <v>1.57</v>
      </c>
      <c r="CL285" s="234"/>
      <c r="CM285" t="str">
        <f>CONCATENATE(CC285,$CD$6)</f>
        <v>36923Curve Shift/Gamma</v>
      </c>
      <c r="CN285" t="str">
        <f t="shared" si="287"/>
        <v>36923Rho</v>
      </c>
      <c r="CO285" t="str">
        <f t="shared" si="288"/>
        <v>36923Drift</v>
      </c>
      <c r="CP285" t="str">
        <f t="shared" si="289"/>
        <v>36923Vega</v>
      </c>
      <c r="CQ285" t="str">
        <f t="shared" si="290"/>
        <v>36923Theta</v>
      </c>
    </row>
    <row r="286" spans="1:95" x14ac:dyDescent="0.25">
      <c r="A286" s="382" t="s">
        <v>281</v>
      </c>
      <c r="B286" t="s">
        <v>250</v>
      </c>
      <c r="C286" t="s">
        <v>634</v>
      </c>
      <c r="D286" s="4" t="s">
        <v>7</v>
      </c>
      <c r="E286" t="s">
        <v>20</v>
      </c>
      <c r="F286" t="s">
        <v>21</v>
      </c>
      <c r="G286" s="5">
        <v>36892</v>
      </c>
      <c r="H286" s="130">
        <v>500000</v>
      </c>
      <c r="I286">
        <v>1.57</v>
      </c>
      <c r="J286" s="53">
        <f t="shared" si="316"/>
        <v>4.7439999999999998</v>
      </c>
      <c r="K286" s="7">
        <f t="shared" si="317"/>
        <v>2.17</v>
      </c>
      <c r="L286" s="53">
        <f t="shared" si="318"/>
        <v>6.9139999999999997</v>
      </c>
      <c r="M286" s="157">
        <f t="shared" si="319"/>
        <v>6.8374831148490994E-2</v>
      </c>
      <c r="N286" s="4">
        <f t="shared" si="320"/>
        <v>0.60499999999999998</v>
      </c>
      <c r="O286" s="4">
        <f t="shared" si="321"/>
        <v>0.69599999999999995</v>
      </c>
      <c r="P286" s="9">
        <f t="shared" si="322"/>
        <v>0.83</v>
      </c>
      <c r="Q286" s="5">
        <f t="shared" si="310"/>
        <v>36888</v>
      </c>
      <c r="R286" s="4">
        <f t="shared" si="323"/>
        <v>1</v>
      </c>
      <c r="S286" s="158">
        <f>_xll.xSPRDOPT($L286,$J286,$I286,$M286,$O286,$N286,$P286,$Q286-$C$3,$R286,0)</f>
        <v>0.94271030274283429</v>
      </c>
      <c r="T286" s="159">
        <f>_xll.xSPRDOPT($L286,$J286,$I286,$M286,$O286,$N286,$P286,$Q286-$C$3,$R286,1)*H286</f>
        <v>339449.40122614009</v>
      </c>
      <c r="U286" s="160">
        <f t="shared" si="324"/>
        <v>471355.15137141716</v>
      </c>
      <c r="V286" s="159">
        <f>_xll.xSPRDOPT($L286,$J286,$I286,$M286,$O286,$N286,$P286,$Q286-$C$3,$R286,2)*H286</f>
        <v>-302175.41359624569</v>
      </c>
      <c r="W286" s="159">
        <f t="shared" si="325"/>
        <v>37273.9876298944</v>
      </c>
      <c r="X286" s="51" t="str">
        <f t="shared" si="311"/>
        <v>36892IF-TRANSCO/Z6</v>
      </c>
      <c r="Y286" s="418">
        <f t="shared" si="312"/>
        <v>50</v>
      </c>
      <c r="Z286" s="456">
        <f t="shared" si="313"/>
        <v>0.67889880245228018</v>
      </c>
      <c r="AA286" s="456">
        <f>_xll.xSPRDOPT($L286,$J286,$I286,$M286,$O286,$N286,$P286,$Q286-$C$3,$R286,3)</f>
        <v>0.21074270787256294</v>
      </c>
      <c r="AB286" s="456">
        <f>((_xll.xSPRDOPT($L286+AB$5,$J286,$I286,$M286,$O286,$N286,$P286,$Q286-$C$3,$R286,3)*$H286)/10000)/100</f>
        <v>0.10537135393628148</v>
      </c>
      <c r="AC286" s="456">
        <f>((_xll.xSPRDOPT($L286+$AB$5,$J286,$I286,$M286,$O286,$N286,$P286,$Q286-$C$3,$R286,7)*$H286)/100)</f>
        <v>-5256.6851400099313</v>
      </c>
      <c r="AD286" s="456">
        <f>(_xll.xSPRDOPT($L286+$AB$5,$J286,$I286,$M286,$O286,$N286,$P286,$Q286-$C$3,$R286,9)/365)*$H286</f>
        <v>-1069.2995620056631</v>
      </c>
      <c r="AE286">
        <f t="shared" si="314"/>
        <v>0</v>
      </c>
      <c r="AF286" s="456">
        <f t="shared" si="315"/>
        <v>4627.2215550649707</v>
      </c>
      <c r="AG286" s="456">
        <f>((_xll.xSPRDOPT($L286,$J286,$I286,$M286,$O286,$N286,$P286,$Q286-$C$3,$R286,6)*$H286)/100)</f>
        <v>-1522.1610835088857</v>
      </c>
      <c r="AH286" s="456">
        <f>((_xll.xSPRDOPT($L286,$J286,$I286,$M286,$O286,$N286,$P286,$Q286-$C$3,$R286,5)*$H286)/100)</f>
        <v>5345.3685292200917</v>
      </c>
      <c r="AI286" s="456">
        <f>(((_xll.xSPRDOPT($L286,$J286,$I286,$M286,$O286,$N286,$P286,$Q286-$C$3,$R286,4)*$H286)/10000)/100)-AB286</f>
        <v>2.0761972799935455E-2</v>
      </c>
      <c r="AJ286" s="456"/>
      <c r="AK286" s="456"/>
      <c r="AL286" s="456"/>
      <c r="AM286" s="472"/>
      <c r="CC286" s="141">
        <f>G286</f>
        <v>36892</v>
      </c>
      <c r="CD286" s="234">
        <f>_xll.xSPRDOPT((VLOOKUP(G286,NGPrices,2,FALSE)+HLOOKUP(D286,Prices,VLOOKUP(G286,move_down,2,FALSE),FALSE)),VLOOKUP(G286,NGPrices,2,FALSE),I286,VLOOKUP(G286,NGPREVPRICES,4,FALSE),HLOOKUP(D286,PREVVOLS,VLOOKUP(G286,MOVE_DOWN2,2,FALSE),FALSE),VLOOKUP(G286,NGPREVPRICES,3,FALSE),HLOOKUP(D286,Correllate,VLOOKUP(G286,CorMove,2,FALSE),FALSE),Q286-$CD$3,R286,$CD$5)*H286-CJ286</f>
        <v>0</v>
      </c>
      <c r="CE286" s="234">
        <f>_xll.xSPRDOPT((VLOOKUP(G286,NGPREVPRICES,2,FALSE)+HLOOKUP(D286,PREVCURVES,VLOOKUP(G286,MOVE_DOWN2,2,FALSE),FALSE)),VLOOKUP(G286,NGPREVPRICES,2,FALSE),CK286,VLOOKUP(G286,NGPrices,4,FALSE),HLOOKUP(D286,PREVVOLS,VLOOKUP(G286,MOVE_DOWN2,2,FALSE),FALSE),VLOOKUP(G286,NGPREVPRICES,3,FALSE),HLOOKUP(D286,Correllate,VLOOKUP(G286,CorMove,2,FALSE),FALSE),Q286-$CD$3,R286,$CJ$5)*H286-CJ286</f>
        <v>0</v>
      </c>
      <c r="CF286" s="10">
        <f>(CJ286/VLOOKUP(CC286,discount,3,FALSE))-(CJ286/VLOOKUP(CC286,discount,2,FALSE))</f>
        <v>-89.023651538533159</v>
      </c>
      <c r="CG286" s="234">
        <f>_xll.xSPRDOPT((VLOOKUP(G286,NGPREVPRICES,2,FALSE)+HLOOKUP(D286,PREVCURVES,VLOOKUP(G286,MOVE_DOWN2,2,FALSE),FALSE)),VLOOKUP(G286,NGPREVPRICES,2,FALSE),CK286,VLOOKUP(G286,NGPREVPRICES,4,FALSE),HLOOKUP(D286,VOLS,VLOOKUP(G286,move_down,2,FALSE),FALSE),VLOOKUP(G286,NGPrices,3,FALSE),HLOOKUP(D286,Correllate,VLOOKUP(G286,CorMove,2,FALSE),FALSE),Q286-$CD$3,R286,$CJ$5)*H286-CJ286</f>
        <v>0</v>
      </c>
      <c r="CH286" s="234">
        <f>_xll.xSPRDOPT((VLOOKUP(G286,NGPREVPRICES,2,FALSE)+HLOOKUP(D286,PREVCURVES,VLOOKUP(G286,MOVE_DOWN2,2,FALSE),FALSE)),VLOOKUP(G286,NGPREVPRICES,2,FALSE),CK286,VLOOKUP(G286,NGPREVPRICES,4,FALSE),HLOOKUP(D286,PREVVOLS,VLOOKUP(G286,MOVE_DOWN2,2,FALSE),FALSE),VLOOKUP(G286,NGPREVPRICES,3,FALSE),HLOOKUP(D286,Correllate,VLOOKUP(G286,CorMove,2,FALSE),FALSE),Q286-$C$3,R286,$CJ$5)*H286-CJ286</f>
        <v>-1066.3173087227042</v>
      </c>
      <c r="CI286" s="234">
        <f>SUM(CD286:CH286)</f>
        <v>-1155.3409602612373</v>
      </c>
      <c r="CJ286" s="234">
        <f>_xll.xSPRDOPT((VLOOKUP(G286,NGPREVPRICES,2,FALSE)+HLOOKUP(D286,PREVCURVES,VLOOKUP(G286,MOVE_DOWN2,2,FALSE),FALSE)),VLOOKUP(G286,NGPREVPRICES,2,FALSE),CK286,VLOOKUP(G286,NGPREVPRICES,4,FALSE),HLOOKUP(D286,PREVVOLS,VLOOKUP(G286,MOVE_DOWN2,2,FALSE),FALSE),VLOOKUP(G286,NGPREVPRICES,3,FALSE),HLOOKUP(D286,Correllate,VLOOKUP(G286,CorMove,2,FALSE),FALSE),Q286-$CD$3,R286,$CJ$5)*H286</f>
        <v>472421.46868013986</v>
      </c>
      <c r="CK286" s="235">
        <f>I286</f>
        <v>1.57</v>
      </c>
      <c r="CL286" s="234"/>
      <c r="CM286" t="str">
        <f>CONCATENATE(CC286,$CD$6)</f>
        <v>36892Curve Shift/Gamma</v>
      </c>
      <c r="CN286" t="str">
        <f t="shared" si="287"/>
        <v>36892Rho</v>
      </c>
      <c r="CO286" t="str">
        <f t="shared" si="288"/>
        <v>36892Drift</v>
      </c>
      <c r="CP286" t="str">
        <f t="shared" si="289"/>
        <v>36892Vega</v>
      </c>
      <c r="CQ286" t="str">
        <f t="shared" si="290"/>
        <v>36892Theta</v>
      </c>
    </row>
    <row r="287" spans="1:95" x14ac:dyDescent="0.25">
      <c r="A287" s="382" t="s">
        <v>281</v>
      </c>
      <c r="B287" t="s">
        <v>250</v>
      </c>
      <c r="C287" t="s">
        <v>634</v>
      </c>
      <c r="D287" s="4" t="s">
        <v>7</v>
      </c>
      <c r="E287" t="s">
        <v>20</v>
      </c>
      <c r="F287" t="s">
        <v>21</v>
      </c>
      <c r="G287" s="5">
        <v>36861</v>
      </c>
      <c r="H287" s="130">
        <v>500000</v>
      </c>
      <c r="I287">
        <v>1.57</v>
      </c>
      <c r="J287" s="53">
        <f t="shared" si="316"/>
        <v>4.8</v>
      </c>
      <c r="K287" s="7">
        <f t="shared" si="317"/>
        <v>1.645</v>
      </c>
      <c r="L287" s="53">
        <f t="shared" si="318"/>
        <v>6.4450000000000003</v>
      </c>
      <c r="M287" s="157">
        <f t="shared" si="319"/>
        <v>6.8314027999354002E-2</v>
      </c>
      <c r="N287" s="4">
        <f t="shared" si="320"/>
        <v>0.6</v>
      </c>
      <c r="O287" s="4">
        <f t="shared" si="321"/>
        <v>0.69</v>
      </c>
      <c r="P287" s="9">
        <f t="shared" si="322"/>
        <v>0.83</v>
      </c>
      <c r="Q287" s="5">
        <f t="shared" si="310"/>
        <v>36859</v>
      </c>
      <c r="R287" s="4">
        <f t="shared" si="323"/>
        <v>1</v>
      </c>
      <c r="S287" s="158">
        <f>_xll.xSPRDOPT($L287,$J287,$I287,$M287,$O287,$N287,$P287,$Q287-$C$3,$R287,0)</f>
        <v>0.54601976595241797</v>
      </c>
      <c r="T287" s="159">
        <f>_xll.xSPRDOPT($L287,$J287,$I287,$M287,$O287,$N287,$P287,$Q287-$C$3,$R287,1)*H287</f>
        <v>277534.17023244378</v>
      </c>
      <c r="U287" s="160">
        <f t="shared" si="324"/>
        <v>273009.88297620899</v>
      </c>
      <c r="V287" s="159">
        <f>_xll.xSPRDOPT($L287,$J287,$I287,$M287,$O287,$N287,$P287,$Q287-$C$3,$R287,2)*H287</f>
        <v>-242307.02459393945</v>
      </c>
      <c r="W287" s="159">
        <f t="shared" si="325"/>
        <v>35227.145638504328</v>
      </c>
      <c r="X287" s="51" t="str">
        <f t="shared" si="311"/>
        <v>36861IF-TRANSCO/Z6</v>
      </c>
      <c r="Y287" s="418">
        <f t="shared" si="312"/>
        <v>50</v>
      </c>
      <c r="Z287" s="456">
        <f t="shared" si="313"/>
        <v>0.55506834046488751</v>
      </c>
      <c r="AA287" s="456">
        <f>_xll.xSPRDOPT($L287,$J287,$I287,$M287,$O287,$N287,$P287,$Q287-$C$3,$R287,3)</f>
        <v>0.29652489455407621</v>
      </c>
      <c r="AB287" s="456">
        <f>((_xll.xSPRDOPT($L287+AB$5,$J287,$I287,$M287,$O287,$N287,$P287,$Q287-$C$3,$R287,3)*$H287)/10000)/100</f>
        <v>0.14826244727703808</v>
      </c>
      <c r="AC287" s="456">
        <f>((_xll.xSPRDOPT($L287+$AB$5,$J287,$I287,$M287,$O287,$N287,$P287,$Q287-$C$3,$R287,7)*$H287)/100)</f>
        <v>-4853.9601371669451</v>
      </c>
      <c r="AD287" s="456">
        <f>(_xll.xSPRDOPT($L287+$AB$5,$J287,$I287,$M287,$O287,$N287,$P287,$Q287-$C$3,$R287,9)/365)*$H287</f>
        <v>-1326.6850272200538</v>
      </c>
      <c r="AE287">
        <f t="shared" si="314"/>
        <v>0</v>
      </c>
      <c r="AF287" s="456">
        <f t="shared" si="315"/>
        <v>4222.3062124265143</v>
      </c>
      <c r="AG287" s="456">
        <f>((_xll.xSPRDOPT($L287,$J287,$I287,$M287,$O287,$N287,$P287,$Q287-$C$3,$R287,6)*$H287)/100)</f>
        <v>-1372.007421630233</v>
      </c>
      <c r="AH287" s="456">
        <f>((_xll.xSPRDOPT($L287,$J287,$I287,$M287,$O287,$N287,$P287,$Q287-$C$3,$R287,5)*$H287)/100)</f>
        <v>4864.6205513536934</v>
      </c>
      <c r="AI287" s="456">
        <f>(((_xll.xSPRDOPT($L287,$J287,$I287,$M287,$O287,$N287,$P287,$Q287-$C$3,$R287,4)*$H287)/10000)/100)-AB287</f>
        <v>5.1733178019241766E-3</v>
      </c>
      <c r="AJ287" s="456"/>
      <c r="AK287" s="456"/>
      <c r="AL287" s="456"/>
      <c r="AM287" s="472"/>
      <c r="CC287" s="141">
        <f>G287</f>
        <v>36861</v>
      </c>
      <c r="CD287" s="234">
        <f>_xll.xSPRDOPT((VLOOKUP(G287,NGPrices,2,FALSE)+HLOOKUP(D287,Prices,VLOOKUP(G287,move_down,2,FALSE),FALSE)),VLOOKUP(G287,NGPrices,2,FALSE),I287,VLOOKUP(G287,NGPREVPRICES,4,FALSE),HLOOKUP(D287,PREVVOLS,VLOOKUP(G287,MOVE_DOWN2,2,FALSE),FALSE),VLOOKUP(G287,NGPREVPRICES,3,FALSE),HLOOKUP(D287,Correllate,VLOOKUP(G287,CorMove,2,FALSE),FALSE),Q287-$CD$3,R287,$CD$5)*H287-CJ287</f>
        <v>0</v>
      </c>
      <c r="CE287" s="234">
        <f>_xll.xSPRDOPT((VLOOKUP(G287,NGPREVPRICES,2,FALSE)+HLOOKUP(D287,PREVCURVES,VLOOKUP(G287,MOVE_DOWN2,2,FALSE),FALSE)),VLOOKUP(G287,NGPREVPRICES,2,FALSE),CK287,VLOOKUP(G287,NGPrices,4,FALSE),HLOOKUP(D287,PREVVOLS,VLOOKUP(G287,MOVE_DOWN2,2,FALSE),FALSE),VLOOKUP(G287,NGPREVPRICES,3,FALSE),HLOOKUP(D287,Correllate,VLOOKUP(G287,CorMove,2,FALSE),FALSE),Q287-$CD$3,R287,$CJ$5)*H287-CJ287</f>
        <v>0</v>
      </c>
      <c r="CF287" s="10">
        <f>(CJ287/VLOOKUP(CC287,discount,3,FALSE))-(CJ287/VLOOKUP(CC287,discount,2,FALSE))</f>
        <v>-51.392730688035954</v>
      </c>
      <c r="CG287" s="234">
        <f>_xll.xSPRDOPT((VLOOKUP(G287,NGPREVPRICES,2,FALSE)+HLOOKUP(D287,PREVCURVES,VLOOKUP(G287,MOVE_DOWN2,2,FALSE),FALSE)),VLOOKUP(G287,NGPREVPRICES,2,FALSE),CK287,VLOOKUP(G287,NGPREVPRICES,4,FALSE),HLOOKUP(D287,VOLS,VLOOKUP(G287,move_down,2,FALSE),FALSE),VLOOKUP(G287,NGPrices,3,FALSE),HLOOKUP(D287,Correllate,VLOOKUP(G287,CorMove,2,FALSE),FALSE),Q287-$CD$3,R287,$CJ$5)*H287-CJ287</f>
        <v>0</v>
      </c>
      <c r="CH287" s="234">
        <f>_xll.xSPRDOPT((VLOOKUP(G287,NGPREVPRICES,2,FALSE)+HLOOKUP(D287,PREVCURVES,VLOOKUP(G287,MOVE_DOWN2,2,FALSE),FALSE)),VLOOKUP(G287,NGPREVPRICES,2,FALSE),CK287,VLOOKUP(G287,NGPREVPRICES,4,FALSE),HLOOKUP(D287,PREVVOLS,VLOOKUP(G287,MOVE_DOWN2,2,FALSE),FALSE),VLOOKUP(G287,NGPREVPRICES,3,FALSE),HLOOKUP(D287,Correllate,VLOOKUP(G287,CorMove,2,FALSE),FALSE),Q287-$C$3,R287,$CJ$5)*H287-CJ287</f>
        <v>-1321.7981391937938</v>
      </c>
      <c r="CI287" s="234">
        <f>SUM(CD287:CH287)</f>
        <v>-1373.1908698818297</v>
      </c>
      <c r="CJ287" s="234">
        <f>_xll.xSPRDOPT((VLOOKUP(G287,NGPREVPRICES,2,FALSE)+HLOOKUP(D287,PREVCURVES,VLOOKUP(G287,MOVE_DOWN2,2,FALSE),FALSE)),VLOOKUP(G287,NGPREVPRICES,2,FALSE),CK287,VLOOKUP(G287,NGPREVPRICES,4,FALSE),HLOOKUP(D287,PREVVOLS,VLOOKUP(G287,MOVE_DOWN2,2,FALSE),FALSE),VLOOKUP(G287,NGPREVPRICES,3,FALSE),HLOOKUP(D287,Correllate,VLOOKUP(G287,CorMove,2,FALSE),FALSE),Q287-$CD$3,R287,$CJ$5)*H287</f>
        <v>274331.68111540278</v>
      </c>
      <c r="CK287" s="235">
        <f>I287</f>
        <v>1.57</v>
      </c>
      <c r="CL287" s="234"/>
      <c r="CM287" t="str">
        <f>CONCATENATE(CC287,$CD$6)</f>
        <v>36861Curve Shift/Gamma</v>
      </c>
      <c r="CN287" t="str">
        <f t="shared" si="287"/>
        <v>36861Rho</v>
      </c>
      <c r="CO287" t="str">
        <f t="shared" si="288"/>
        <v>36861Drift</v>
      </c>
      <c r="CP287" t="str">
        <f t="shared" si="289"/>
        <v>36861Vega</v>
      </c>
      <c r="CQ287" t="str">
        <f t="shared" si="290"/>
        <v>36861Theta</v>
      </c>
    </row>
    <row r="288" spans="1:95" x14ac:dyDescent="0.25">
      <c r="A288" s="382" t="s">
        <v>281</v>
      </c>
      <c r="B288" t="s">
        <v>250</v>
      </c>
      <c r="C288" t="s">
        <v>634</v>
      </c>
      <c r="D288" s="4" t="s">
        <v>7</v>
      </c>
      <c r="E288" t="s">
        <v>20</v>
      </c>
      <c r="F288" t="s">
        <v>21</v>
      </c>
      <c r="G288" s="5">
        <v>36831</v>
      </c>
      <c r="H288" s="130">
        <v>500000</v>
      </c>
      <c r="I288">
        <v>1.57</v>
      </c>
      <c r="J288" s="53">
        <f t="shared" si="316"/>
        <v>4.7359999999999998</v>
      </c>
      <c r="K288" s="7">
        <f t="shared" si="317"/>
        <v>0.77</v>
      </c>
      <c r="L288" s="53">
        <f t="shared" si="318"/>
        <v>5.5060000000000002</v>
      </c>
      <c r="M288" s="157">
        <f t="shared" si="319"/>
        <v>6.810675983792E-2</v>
      </c>
      <c r="N288" s="4">
        <f t="shared" si="320"/>
        <v>0.59499999999999997</v>
      </c>
      <c r="O288" s="4">
        <f t="shared" si="321"/>
        <v>0.625</v>
      </c>
      <c r="P288" s="9">
        <f t="shared" si="322"/>
        <v>0.89</v>
      </c>
      <c r="Q288" s="5">
        <f t="shared" si="310"/>
        <v>36829</v>
      </c>
      <c r="R288" s="4">
        <f t="shared" si="323"/>
        <v>1</v>
      </c>
      <c r="S288" s="158">
        <f>_xll.xSPRDOPT($L288,$J288,$I288,$M288,$O288,$N288,$P288,$Q288-$C$3,$R288,0)</f>
        <v>5.1595978432289406E-2</v>
      </c>
      <c r="T288" s="159">
        <f>_xll.xSPRDOPT($L288,$J288,$I288,$M288,$O288,$N288,$P288,$Q288-$C$3,$R288,1)*H288</f>
        <v>76478.585101194782</v>
      </c>
      <c r="U288" s="160">
        <f t="shared" si="324"/>
        <v>25797.989216144702</v>
      </c>
      <c r="V288" s="159">
        <f>_xll.xSPRDOPT($L288,$J288,$I288,$M288,$O288,$N288,$P288,$Q288-$C$3,$R288,2)*H288</f>
        <v>-64709.019689939014</v>
      </c>
      <c r="W288" s="159">
        <f t="shared" si="325"/>
        <v>11769.565411255768</v>
      </c>
      <c r="X288" s="51" t="str">
        <f t="shared" si="311"/>
        <v>36831IF-TRANSCO/Z6</v>
      </c>
      <c r="Y288" s="418">
        <f t="shared" si="312"/>
        <v>50</v>
      </c>
      <c r="Z288" s="456">
        <f t="shared" si="313"/>
        <v>0.15295717020238955</v>
      </c>
      <c r="AA288" s="456">
        <f>_xll.xSPRDOPT($L288,$J288,$I288,$M288,$O288,$N288,$P288,$Q288-$C$3,$R288,3)</f>
        <v>0.34352097670504678</v>
      </c>
      <c r="AB288" s="456">
        <f>((_xll.xSPRDOPT($L288+AB$5,$J288,$I288,$M288,$O288,$N288,$P288,$Q288-$C$3,$R288,3)*$H288)/10000)/100</f>
        <v>0.17176048835252339</v>
      </c>
      <c r="AC288" s="456">
        <f>((_xll.xSPRDOPT($L288+$AB$5,$J288,$I288,$M288,$O288,$N288,$P288,$Q288-$C$3,$R288,7)*$H288)/100)</f>
        <v>-2528.4067814328314</v>
      </c>
      <c r="AD288" s="456">
        <f>(_xll.xSPRDOPT($L288+$AB$5,$J288,$I288,$M288,$O288,$N288,$P288,$Q288-$C$3,$R288,9)/365)*$H288</f>
        <v>-647.62652096696456</v>
      </c>
      <c r="AE288">
        <f t="shared" si="314"/>
        <v>0</v>
      </c>
      <c r="AF288" s="456">
        <f t="shared" si="315"/>
        <v>1358.7767807646248</v>
      </c>
      <c r="AG288" s="456">
        <f>((_xll.xSPRDOPT($L288,$J288,$I288,$M288,$O288,$N288,$P288,$Q288-$C$3,$R288,6)*$H288)/100)</f>
        <v>-662.06534145753608</v>
      </c>
      <c r="AH288" s="456">
        <f>((_xll.xSPRDOPT($L288,$J288,$I288,$M288,$O288,$N288,$P288,$Q288-$C$3,$R288,5)*$H288)/100)</f>
        <v>1923.8417003554971</v>
      </c>
      <c r="AI288" s="456">
        <f>(((_xll.xSPRDOPT($L288,$J288,$I288,$M288,$O288,$N288,$P288,$Q288-$C$3,$R288,4)*$H288)/10000)/100)-AB288</f>
        <v>-3.4038020470323255E-2</v>
      </c>
      <c r="AJ288" s="456"/>
      <c r="AK288" s="456"/>
      <c r="AL288" s="456"/>
      <c r="AM288" s="472"/>
      <c r="CC288" s="141">
        <f>G288</f>
        <v>36831</v>
      </c>
      <c r="CD288" s="234">
        <f>_xll.xSPRDOPT((VLOOKUP(G288,NGPrices,2,FALSE)+HLOOKUP(D288,Prices,VLOOKUP(G288,move_down,2,FALSE),FALSE)),VLOOKUP(G288,NGPrices,2,FALSE),I288,VLOOKUP(G288,NGPREVPRICES,4,FALSE),HLOOKUP(D288,PREVVOLS,VLOOKUP(G288,MOVE_DOWN2,2,FALSE),FALSE),VLOOKUP(G288,NGPREVPRICES,3,FALSE),HLOOKUP(D288,Correllate,VLOOKUP(G288,CorMove,2,FALSE),FALSE),Q288-$CD$3,R288,$CD$5)*H288-CJ288</f>
        <v>0</v>
      </c>
      <c r="CE288" s="234">
        <f>_xll.xSPRDOPT((VLOOKUP(G288,NGPREVPRICES,2,FALSE)+HLOOKUP(D288,PREVCURVES,VLOOKUP(G288,MOVE_DOWN2,2,FALSE),FALSE)),VLOOKUP(G288,NGPREVPRICES,2,FALSE),CK288,VLOOKUP(G288,NGPrices,4,FALSE),HLOOKUP(D288,PREVVOLS,VLOOKUP(G288,MOVE_DOWN2,2,FALSE),FALSE),VLOOKUP(G288,NGPREVPRICES,3,FALSE),HLOOKUP(D288,Correllate,VLOOKUP(G288,CorMove,2,FALSE),FALSE),Q288-$CD$3,R288,$CJ$5)*H288-CJ288</f>
        <v>0</v>
      </c>
      <c r="CF288" s="10">
        <f>(CJ288/VLOOKUP(CC288,discount,3,FALSE))-(CJ288/VLOOKUP(CC288,discount,2,FALSE))</f>
        <v>-4.9112113545015745</v>
      </c>
      <c r="CG288" s="234">
        <f>_xll.xSPRDOPT((VLOOKUP(G288,NGPREVPRICES,2,FALSE)+HLOOKUP(D288,PREVCURVES,VLOOKUP(G288,MOVE_DOWN2,2,FALSE),FALSE)),VLOOKUP(G288,NGPREVPRICES,2,FALSE),CK288,VLOOKUP(G288,NGPREVPRICES,4,FALSE),HLOOKUP(D288,VOLS,VLOOKUP(G288,move_down,2,FALSE),FALSE),VLOOKUP(G288,NGPrices,3,FALSE),HLOOKUP(D288,Correllate,VLOOKUP(G288,CorMove,2,FALSE),FALSE),Q288-$CD$3,R288,$CJ$5)*H288-CJ288</f>
        <v>0</v>
      </c>
      <c r="CH288" s="234">
        <f>_xll.xSPRDOPT((VLOOKUP(G288,NGPREVPRICES,2,FALSE)+HLOOKUP(D288,PREVCURVES,VLOOKUP(G288,MOVE_DOWN2,2,FALSE),FALSE)),VLOOKUP(G288,NGPREVPRICES,2,FALSE),CK288,VLOOKUP(G288,NGPREVPRICES,4,FALSE),HLOOKUP(D288,PREVVOLS,VLOOKUP(G288,MOVE_DOWN2,2,FALSE),FALSE),VLOOKUP(G288,NGPREVPRICES,3,FALSE),HLOOKUP(D288,Correllate,VLOOKUP(G288,CorMove,2,FALSE),FALSE),Q288-$C$3,R288,$CJ$5)*H288-CJ288</f>
        <v>-647.51335384922641</v>
      </c>
      <c r="CI288" s="234">
        <f>SUM(CD288:CH288)</f>
        <v>-652.42456520372798</v>
      </c>
      <c r="CJ288" s="234">
        <f>_xll.xSPRDOPT((VLOOKUP(G288,NGPREVPRICES,2,FALSE)+HLOOKUP(D288,PREVCURVES,VLOOKUP(G288,MOVE_DOWN2,2,FALSE),FALSE)),VLOOKUP(G288,NGPREVPRICES,2,FALSE),CK288,VLOOKUP(G288,NGPREVPRICES,4,FALSE),HLOOKUP(D288,PREVVOLS,VLOOKUP(G288,MOVE_DOWN2,2,FALSE),FALSE),VLOOKUP(G288,NGPREVPRICES,3,FALSE),HLOOKUP(D288,Correllate,VLOOKUP(G288,CorMove,2,FALSE),FALSE),Q288-$CD$3,R288,$CJ$5)*H288</f>
        <v>26445.502569993929</v>
      </c>
      <c r="CK288" s="235">
        <f>I288</f>
        <v>1.57</v>
      </c>
      <c r="CL288" s="234"/>
      <c r="CM288" t="str">
        <f>CONCATENATE(CC288,$CD$6)</f>
        <v>36831Curve Shift/Gamma</v>
      </c>
      <c r="CN288" t="str">
        <f t="shared" si="287"/>
        <v>36831Rho</v>
      </c>
      <c r="CO288" t="str">
        <f t="shared" si="288"/>
        <v>36831Drift</v>
      </c>
      <c r="CP288" t="str">
        <f t="shared" si="289"/>
        <v>36831Vega</v>
      </c>
      <c r="CQ288" t="str">
        <f t="shared" si="290"/>
        <v>36831Theta</v>
      </c>
    </row>
    <row r="289" spans="1:95" x14ac:dyDescent="0.25">
      <c r="A289" s="382" t="s">
        <v>281</v>
      </c>
      <c r="B289" t="s">
        <v>250</v>
      </c>
      <c r="C289" t="s">
        <v>635</v>
      </c>
      <c r="D289" s="4" t="s">
        <v>7</v>
      </c>
      <c r="E289" t="s">
        <v>20</v>
      </c>
      <c r="F289" t="s">
        <v>1</v>
      </c>
      <c r="G289" s="5">
        <v>36951</v>
      </c>
      <c r="H289" s="130">
        <v>500000</v>
      </c>
      <c r="I289">
        <v>1.57</v>
      </c>
      <c r="J289" s="53">
        <f t="shared" si="316"/>
        <v>4.2130000000000001</v>
      </c>
      <c r="K289" s="7">
        <f t="shared" si="317"/>
        <v>1.075</v>
      </c>
      <c r="L289" s="53">
        <f t="shared" si="318"/>
        <v>5.2880000000000003</v>
      </c>
      <c r="M289" s="157">
        <f t="shared" si="319"/>
        <v>6.8879814952706994E-2</v>
      </c>
      <c r="N289" s="4">
        <f t="shared" si="320"/>
        <v>0.53249999999999997</v>
      </c>
      <c r="O289" s="4">
        <f t="shared" si="321"/>
        <v>0.61199999999999999</v>
      </c>
      <c r="P289" s="9">
        <f t="shared" si="322"/>
        <v>0.83</v>
      </c>
      <c r="Q289" s="5">
        <f t="shared" si="310"/>
        <v>36949</v>
      </c>
      <c r="R289" s="4">
        <f t="shared" si="323"/>
        <v>0</v>
      </c>
      <c r="S289" s="158">
        <f>_xll.xSPRDOPT($L289,$J289,$I289,$M289,$O289,$N289,$P289,$Q289-$C$3,$R289,0)</f>
        <v>0.81518791518818734</v>
      </c>
      <c r="T289" s="159">
        <f>_xll.xSPRDOPT($L289,$J289,$I289,$M289,$O289,$N289,$P289,$Q289-$C$3,$R289,1)*H289</f>
        <v>-283118.33791594376</v>
      </c>
      <c r="U289" s="160">
        <f t="shared" si="324"/>
        <v>407593.95759409369</v>
      </c>
      <c r="V289" s="159">
        <f>_xll.xSPRDOPT($L289,$J289,$I289,$M289,$O289,$N289,$P289,$Q289-$C$3,$R289,2)*H289</f>
        <v>323816.44143567502</v>
      </c>
      <c r="W289" s="159">
        <f t="shared" si="325"/>
        <v>40698.103519731259</v>
      </c>
      <c r="X289" s="51" t="str">
        <f t="shared" si="311"/>
        <v>36951IF-TRANSCO/Z6</v>
      </c>
      <c r="Y289" s="418">
        <f t="shared" si="312"/>
        <v>50</v>
      </c>
      <c r="Z289" s="456">
        <f t="shared" si="313"/>
        <v>-0.56623667583188753</v>
      </c>
      <c r="AA289" s="456">
        <f>_xll.xSPRDOPT($L289,$J289,$I289,$M289,$O289,$N289,$P289,$Q289-$C$3,$R289,3)</f>
        <v>0.2799978791350371</v>
      </c>
      <c r="AB289" s="456">
        <f>((_xll.xSPRDOPT($L289+AB$5,$J289,$I289,$M289,$O289,$N289,$P289,$Q289-$C$3,$R289,3)*$H289)/10000)/100</f>
        <v>0.13999893956751852</v>
      </c>
      <c r="AC289" s="456">
        <f>((_xll.xSPRDOPT($L289+$AB$5,$J289,$I289,$M289,$O289,$N289,$P289,$Q289-$C$3,$R289,7)*$H289)/100)</f>
        <v>-4719.0512483343682</v>
      </c>
      <c r="AD289" s="456">
        <f>(_xll.xSPRDOPT($L289+$AB$5,$J289,$I289,$M289,$O289,$N289,$P289,$Q289-$C$3,$R289,9)/365)*$H289</f>
        <v>-622.60089927950992</v>
      </c>
      <c r="AE289">
        <f t="shared" si="314"/>
        <v>0</v>
      </c>
      <c r="AF289" s="456">
        <f t="shared" si="315"/>
        <v>4778.4136017119963</v>
      </c>
      <c r="AG289" s="456">
        <f>((_xll.xSPRDOPT($L289,$J289,$I289,$M289,$O289,$N289,$P289,$Q289-$C$3,$R289,6)*$H289)/100)</f>
        <v>-1586.6385033973722</v>
      </c>
      <c r="AH289" s="456">
        <f>((_xll.xSPRDOPT($L289,$J289,$I289,$M289,$O289,$N289,$P289,$Q289-$C$3,$R289,5)*$H289)/100)</f>
        <v>5538.2193561613376</v>
      </c>
      <c r="AI289" s="456">
        <f>(((_xll.xSPRDOPT($L289,$J289,$I289,$M289,$O289,$N289,$P289,$Q289-$C$3,$R289,4)*$H289)/10000)/100)-AB289</f>
        <v>-1.7507152680260374E-2</v>
      </c>
      <c r="AJ289" s="456"/>
      <c r="AK289" s="456"/>
      <c r="AL289" s="456"/>
      <c r="AM289" s="472"/>
      <c r="CC289" s="141">
        <f t="shared" ref="CC289:CC298" si="336">G289</f>
        <v>36951</v>
      </c>
      <c r="CD289" s="234">
        <f>_xll.xSPRDOPT((VLOOKUP(G289,NGPrices,2,FALSE)+HLOOKUP(D289,Prices,VLOOKUP(G289,move_down,2,FALSE),FALSE)),VLOOKUP(G289,NGPrices,2,FALSE),I289,VLOOKUP(G289,NGPREVPRICES,4,FALSE),HLOOKUP(D289,PREVVOLS,VLOOKUP(G289,MOVE_DOWN2,2,FALSE),FALSE),VLOOKUP(G289,NGPREVPRICES,3,FALSE),HLOOKUP(D289,Correllate,VLOOKUP(G289,CorMove,2,FALSE),FALSE),Q289-$CD$3,R289,$CD$5)*H289-CJ289</f>
        <v>0</v>
      </c>
      <c r="CE289" s="234">
        <f>_xll.xSPRDOPT((VLOOKUP(G289,NGPREVPRICES,2,FALSE)+HLOOKUP(D289,PREVCURVES,VLOOKUP(G289,MOVE_DOWN2,2,FALSE),FALSE)),VLOOKUP(G289,NGPREVPRICES,2,FALSE),CK289,VLOOKUP(G289,NGPrices,4,FALSE),HLOOKUP(D289,PREVVOLS,VLOOKUP(G289,MOVE_DOWN2,2,FALSE),FALSE),VLOOKUP(G289,NGPREVPRICES,3,FALSE),HLOOKUP(D289,Correllate,VLOOKUP(G289,CorMove,2,FALSE),FALSE),Q289-$CD$3,R289,$CJ$5)*H289-CJ289</f>
        <v>0</v>
      </c>
      <c r="CF289" s="10">
        <f t="shared" ref="CF289:CF298" si="337">(CJ289/VLOOKUP(CC289,discount,3,FALSE))-(CJ289/VLOOKUP(CC289,discount,2,FALSE))</f>
        <v>-78.2895671549486</v>
      </c>
      <c r="CG289" s="234">
        <f>_xll.xSPRDOPT((VLOOKUP(G289,NGPREVPRICES,2,FALSE)+HLOOKUP(D289,PREVCURVES,VLOOKUP(G289,MOVE_DOWN2,2,FALSE),FALSE)),VLOOKUP(G289,NGPREVPRICES,2,FALSE),CK289,VLOOKUP(G289,NGPREVPRICES,4,FALSE),HLOOKUP(D289,VOLS,VLOOKUP(G289,move_down,2,FALSE),FALSE),VLOOKUP(G289,NGPrices,3,FALSE),HLOOKUP(D289,Correllate,VLOOKUP(G289,CorMove,2,FALSE),FALSE),Q289-$CD$3,R289,$CJ$5)*H289-CJ289</f>
        <v>0</v>
      </c>
      <c r="CH289" s="234">
        <f>_xll.xSPRDOPT((VLOOKUP(G289,NGPREVPRICES,2,FALSE)+HLOOKUP(D289,PREVCURVES,VLOOKUP(G289,MOVE_DOWN2,2,FALSE),FALSE)),VLOOKUP(G289,NGPREVPRICES,2,FALSE),CK289,VLOOKUP(G289,NGPREVPRICES,4,FALSE),HLOOKUP(D289,PREVVOLS,VLOOKUP(G289,MOVE_DOWN2,2,FALSE),FALSE),VLOOKUP(G289,NGPREVPRICES,3,FALSE),HLOOKUP(D289,Correllate,VLOOKUP(G289,CorMove,2,FALSE),FALSE),Q289-$C$3,R289,$CJ$5)*H289-CJ289</f>
        <v>-621.20182824030053</v>
      </c>
      <c r="CI289" s="234">
        <f t="shared" ref="CI289:CI298" si="338">SUM(CD289:CH289)</f>
        <v>-699.49139539524913</v>
      </c>
      <c r="CJ289" s="234">
        <f>_xll.xSPRDOPT((VLOOKUP(G289,NGPREVPRICES,2,FALSE)+HLOOKUP(D289,PREVCURVES,VLOOKUP(G289,MOVE_DOWN2,2,FALSE),FALSE)),VLOOKUP(G289,NGPREVPRICES,2,FALSE),CK289,VLOOKUP(G289,NGPREVPRICES,4,FALSE),HLOOKUP(D289,PREVVOLS,VLOOKUP(G289,MOVE_DOWN2,2,FALSE),FALSE),VLOOKUP(G289,NGPREVPRICES,3,FALSE),HLOOKUP(D289,Correllate,VLOOKUP(G289,CorMove,2,FALSE),FALSE),Q289-$CD$3,R289,$CJ$5)*H289</f>
        <v>408215.15942233399</v>
      </c>
      <c r="CK289" s="235">
        <f t="shared" ref="CK289:CK298" si="339">I289</f>
        <v>1.57</v>
      </c>
      <c r="CL289" s="234"/>
      <c r="CM289" t="str">
        <f t="shared" ref="CM289:CM298" si="340">CONCATENATE(CC289,$CD$6)</f>
        <v>36951Curve Shift/Gamma</v>
      </c>
      <c r="CN289" t="str">
        <f t="shared" si="287"/>
        <v>36951Rho</v>
      </c>
      <c r="CO289" t="str">
        <f t="shared" si="288"/>
        <v>36951Drift</v>
      </c>
      <c r="CP289" t="str">
        <f t="shared" si="289"/>
        <v>36951Vega</v>
      </c>
      <c r="CQ289" t="str">
        <f t="shared" si="290"/>
        <v>36951Theta</v>
      </c>
    </row>
    <row r="290" spans="1:95" x14ac:dyDescent="0.25">
      <c r="A290" s="382" t="s">
        <v>281</v>
      </c>
      <c r="B290" t="s">
        <v>250</v>
      </c>
      <c r="C290" t="s">
        <v>635</v>
      </c>
      <c r="D290" s="4" t="s">
        <v>7</v>
      </c>
      <c r="E290" t="s">
        <v>20</v>
      </c>
      <c r="F290" t="s">
        <v>1</v>
      </c>
      <c r="G290" s="5">
        <v>36923</v>
      </c>
      <c r="H290" s="130">
        <v>500000</v>
      </c>
      <c r="I290">
        <v>1.57</v>
      </c>
      <c r="J290" s="53">
        <f t="shared" si="316"/>
        <v>4.4800000000000004</v>
      </c>
      <c r="K290" s="7">
        <f t="shared" si="317"/>
        <v>2.09</v>
      </c>
      <c r="L290" s="53">
        <f t="shared" si="318"/>
        <v>6.57</v>
      </c>
      <c r="M290" s="157">
        <f t="shared" si="319"/>
        <v>6.8640161611372E-2</v>
      </c>
      <c r="N290" s="4">
        <f t="shared" si="320"/>
        <v>0.59250000000000003</v>
      </c>
      <c r="O290" s="4">
        <f t="shared" si="321"/>
        <v>0.68100000000000005</v>
      </c>
      <c r="P290" s="9">
        <f t="shared" si="322"/>
        <v>0.83</v>
      </c>
      <c r="Q290" s="5">
        <f t="shared" si="310"/>
        <v>36921</v>
      </c>
      <c r="R290" s="4">
        <f t="shared" si="323"/>
        <v>0</v>
      </c>
      <c r="S290" s="158">
        <f>_xll.xSPRDOPT($L290,$J290,$I290,$M290,$O290,$N290,$P290,$Q290-$C$3,$R290,0)</f>
        <v>0.41478778669028005</v>
      </c>
      <c r="T290" s="159">
        <f>_xll.xSPRDOPT($L290,$J290,$I290,$M290,$O290,$N290,$P290,$Q290-$C$3,$R290,1)*H290</f>
        <v>-158086.08346570481</v>
      </c>
      <c r="U290" s="160">
        <f t="shared" si="324"/>
        <v>207393.89334514004</v>
      </c>
      <c r="V290" s="159">
        <f>_xll.xSPRDOPT($L290,$J290,$I290,$M290,$O290,$N290,$P290,$Q290-$C$3,$R290,2)*H290</f>
        <v>199749.62661042568</v>
      </c>
      <c r="W290" s="159">
        <f t="shared" si="325"/>
        <v>41663.543144720868</v>
      </c>
      <c r="X290" s="51" t="str">
        <f t="shared" si="311"/>
        <v>36923IF-TRANSCO/Z6</v>
      </c>
      <c r="Y290" s="418">
        <f t="shared" si="312"/>
        <v>50</v>
      </c>
      <c r="Z290" s="456">
        <f t="shared" si="313"/>
        <v>-0.31617216693140965</v>
      </c>
      <c r="AA290" s="456">
        <f>_xll.xSPRDOPT($L290,$J290,$I290,$M290,$O290,$N290,$P290,$Q290-$C$3,$R290,3)</f>
        <v>0.20420504136926287</v>
      </c>
      <c r="AB290" s="456">
        <f>((_xll.xSPRDOPT($L290+AB$5,$J290,$I290,$M290,$O290,$N290,$P290,$Q290-$C$3,$R290,3)*$H290)/10000)/100</f>
        <v>0.10210252068463144</v>
      </c>
      <c r="AC290" s="456">
        <f>((_xll.xSPRDOPT($L290+$AB$5,$J290,$I290,$M290,$O290,$N290,$P290,$Q290-$C$3,$R290,7)*$H290)/100)</f>
        <v>-5540.4613369350973</v>
      </c>
      <c r="AD290" s="456">
        <f>(_xll.xSPRDOPT($L290+$AB$5,$J290,$I290,$M290,$O290,$N290,$P290,$Q290-$C$3,$R290,9)/365)*$H290</f>
        <v>-940.3426067484686</v>
      </c>
      <c r="AE290">
        <f t="shared" si="314"/>
        <v>0</v>
      </c>
      <c r="AF290" s="456">
        <f t="shared" si="315"/>
        <v>5087.4519302483232</v>
      </c>
      <c r="AG290" s="456">
        <f>((_xll.xSPRDOPT($L290,$J290,$I290,$M290,$O290,$N290,$P290,$Q290-$C$3,$R290,6)*$H290)/100)</f>
        <v>-1695.8963185333716</v>
      </c>
      <c r="AH290" s="456">
        <f>((_xll.xSPRDOPT($L290,$J290,$I290,$M290,$O290,$N290,$P290,$Q290-$C$3,$R290,5)*$H290)/100)</f>
        <v>5901.8118023541165</v>
      </c>
      <c r="AI290" s="456">
        <f>(((_xll.xSPRDOPT($L290,$J290,$I290,$M290,$O290,$N290,$P290,$Q290-$C$3,$R290,4)*$H290)/10000)/100)-AB290</f>
        <v>1.8869114696176775E-2</v>
      </c>
      <c r="AJ290" s="456"/>
      <c r="AK290" s="456"/>
      <c r="AL290" s="456"/>
      <c r="AM290" s="472"/>
      <c r="CC290" s="141">
        <f t="shared" si="336"/>
        <v>36923</v>
      </c>
      <c r="CD290" s="234">
        <f>_xll.xSPRDOPT((VLOOKUP(G290,NGPrices,2,FALSE)+HLOOKUP(D290,Prices,VLOOKUP(G290,move_down,2,FALSE),FALSE)),VLOOKUP(G290,NGPrices,2,FALSE),I290,VLOOKUP(G290,NGPREVPRICES,4,FALSE),HLOOKUP(D290,PREVVOLS,VLOOKUP(G290,MOVE_DOWN2,2,FALSE),FALSE),VLOOKUP(G290,NGPREVPRICES,3,FALSE),HLOOKUP(D290,Correllate,VLOOKUP(G290,CorMove,2,FALSE),FALSE),Q290-$CD$3,R290,$CD$5)*H290-CJ290</f>
        <v>0</v>
      </c>
      <c r="CE290" s="234">
        <f>_xll.xSPRDOPT((VLOOKUP(G290,NGPREVPRICES,2,FALSE)+HLOOKUP(D290,PREVCURVES,VLOOKUP(G290,MOVE_DOWN2,2,FALSE),FALSE)),VLOOKUP(G290,NGPREVPRICES,2,FALSE),CK290,VLOOKUP(G290,NGPrices,4,FALSE),HLOOKUP(D290,PREVVOLS,VLOOKUP(G290,MOVE_DOWN2,2,FALSE),FALSE),VLOOKUP(G290,NGPREVPRICES,3,FALSE),HLOOKUP(D290,Correllate,VLOOKUP(G290,CorMove,2,FALSE),FALSE),Q290-$CD$3,R290,$CJ$5)*H290-CJ290</f>
        <v>0</v>
      </c>
      <c r="CF290" s="10">
        <f t="shared" si="337"/>
        <v>-39.622338272369234</v>
      </c>
      <c r="CG290" s="234">
        <f>_xll.xSPRDOPT((VLOOKUP(G290,NGPREVPRICES,2,FALSE)+HLOOKUP(D290,PREVCURVES,VLOOKUP(G290,MOVE_DOWN2,2,FALSE),FALSE)),VLOOKUP(G290,NGPREVPRICES,2,FALSE),CK290,VLOOKUP(G290,NGPREVPRICES,4,FALSE),HLOOKUP(D290,VOLS,VLOOKUP(G290,move_down,2,FALSE),FALSE),VLOOKUP(G290,NGPrices,3,FALSE),HLOOKUP(D290,Correllate,VLOOKUP(G290,CorMove,2,FALSE),FALSE),Q290-$CD$3,R290,$CJ$5)*H290-CJ290</f>
        <v>0</v>
      </c>
      <c r="CH290" s="234">
        <f>_xll.xSPRDOPT((VLOOKUP(G290,NGPREVPRICES,2,FALSE)+HLOOKUP(D290,PREVCURVES,VLOOKUP(G290,MOVE_DOWN2,2,FALSE),FALSE)),VLOOKUP(G290,NGPREVPRICES,2,FALSE),CK290,VLOOKUP(G290,NGPREVPRICES,4,FALSE),HLOOKUP(D290,PREVVOLS,VLOOKUP(G290,MOVE_DOWN2,2,FALSE),FALSE),VLOOKUP(G290,NGPREVPRICES,3,FALSE),HLOOKUP(D290,Correllate,VLOOKUP(G290,CorMove,2,FALSE),FALSE),Q290-$C$3,R290,$CJ$5)*H290-CJ290</f>
        <v>-938.07924914266914</v>
      </c>
      <c r="CI290" s="234">
        <f t="shared" si="338"/>
        <v>-977.70158741503838</v>
      </c>
      <c r="CJ290" s="234">
        <f>_xll.xSPRDOPT((VLOOKUP(G290,NGPREVPRICES,2,FALSE)+HLOOKUP(D290,PREVCURVES,VLOOKUP(G290,MOVE_DOWN2,2,FALSE),FALSE)),VLOOKUP(G290,NGPREVPRICES,2,FALSE),CK290,VLOOKUP(G290,NGPREVPRICES,4,FALSE),HLOOKUP(D290,PREVVOLS,VLOOKUP(G290,MOVE_DOWN2,2,FALSE),FALSE),VLOOKUP(G290,NGPREVPRICES,3,FALSE),HLOOKUP(D290,Correllate,VLOOKUP(G290,CorMove,2,FALSE),FALSE),Q290-$CD$3,R290,$CJ$5)*H290</f>
        <v>208331.97259428271</v>
      </c>
      <c r="CK290" s="235">
        <f t="shared" si="339"/>
        <v>1.57</v>
      </c>
      <c r="CL290" s="234"/>
      <c r="CM290" t="str">
        <f t="shared" si="340"/>
        <v>36923Curve Shift/Gamma</v>
      </c>
      <c r="CN290" t="str">
        <f t="shared" si="287"/>
        <v>36923Rho</v>
      </c>
      <c r="CO290" t="str">
        <f t="shared" si="288"/>
        <v>36923Drift</v>
      </c>
      <c r="CP290" t="str">
        <f t="shared" si="289"/>
        <v>36923Vega</v>
      </c>
      <c r="CQ290" t="str">
        <f t="shared" si="290"/>
        <v>36923Theta</v>
      </c>
    </row>
    <row r="291" spans="1:95" x14ac:dyDescent="0.25">
      <c r="A291" s="382" t="s">
        <v>281</v>
      </c>
      <c r="B291" t="s">
        <v>250</v>
      </c>
      <c r="C291" t="s">
        <v>635</v>
      </c>
      <c r="D291" s="4" t="s">
        <v>7</v>
      </c>
      <c r="E291" t="s">
        <v>20</v>
      </c>
      <c r="F291" t="s">
        <v>1</v>
      </c>
      <c r="G291" s="5">
        <v>36892</v>
      </c>
      <c r="H291" s="130">
        <v>500000</v>
      </c>
      <c r="I291">
        <v>1.57</v>
      </c>
      <c r="J291" s="53">
        <f t="shared" si="316"/>
        <v>4.7439999999999998</v>
      </c>
      <c r="K291" s="7">
        <f t="shared" si="317"/>
        <v>2.17</v>
      </c>
      <c r="L291" s="53">
        <f t="shared" si="318"/>
        <v>6.9139999999999997</v>
      </c>
      <c r="M291" s="157">
        <f t="shared" si="319"/>
        <v>6.8374831148490994E-2</v>
      </c>
      <c r="N291" s="4">
        <f t="shared" si="320"/>
        <v>0.60499999999999998</v>
      </c>
      <c r="O291" s="4">
        <f t="shared" si="321"/>
        <v>0.69599999999999995</v>
      </c>
      <c r="P291" s="9">
        <f t="shared" si="322"/>
        <v>0.83</v>
      </c>
      <c r="Q291" s="5">
        <f t="shared" si="310"/>
        <v>36888</v>
      </c>
      <c r="R291" s="4">
        <f t="shared" si="323"/>
        <v>0</v>
      </c>
      <c r="S291" s="158">
        <f>_xll.xSPRDOPT($L291,$J291,$I291,$M291,$O291,$N291,$P291,$Q291-$C$3,$R291,0)</f>
        <v>0.35614826136622613</v>
      </c>
      <c r="T291" s="159">
        <f>_xll.xSPRDOPT($L291,$J291,$I291,$M291,$O291,$N291,$P291,$Q291-$C$3,$R291,1)*H291</f>
        <v>-149352.29992103355</v>
      </c>
      <c r="U291" s="160">
        <f t="shared" si="324"/>
        <v>178074.13068311306</v>
      </c>
      <c r="V291" s="159">
        <f>_xll.xSPRDOPT($L291,$J291,$I291,$M291,$O291,$N291,$P291,$Q291-$C$3,$R291,2)*H291</f>
        <v>186626.28755092798</v>
      </c>
      <c r="W291" s="159">
        <f t="shared" si="325"/>
        <v>37273.987629894429</v>
      </c>
      <c r="X291" s="51" t="str">
        <f t="shared" si="311"/>
        <v>36892IF-TRANSCO/Z6</v>
      </c>
      <c r="Y291" s="418">
        <f t="shared" si="312"/>
        <v>50</v>
      </c>
      <c r="Z291" s="456">
        <f t="shared" si="313"/>
        <v>-0.2987045998420671</v>
      </c>
      <c r="AA291" s="456">
        <f>_xll.xSPRDOPT($L291,$J291,$I291,$M291,$O291,$N291,$P291,$Q291-$C$3,$R291,3)</f>
        <v>0.21074270787256294</v>
      </c>
      <c r="AB291" s="456">
        <f>((_xll.xSPRDOPT($L291+AB$5,$J291,$I291,$M291,$O291,$N291,$P291,$Q291-$C$3,$R291,3)*$H291)/10000)/100</f>
        <v>0.10537135393628148</v>
      </c>
      <c r="AC291" s="456">
        <f>((_xll.xSPRDOPT($L291+$AB$5,$J291,$I291,$M291,$O291,$N291,$P291,$Q291-$C$3,$R291,7)*$H291)/100)</f>
        <v>-5256.6851400099313</v>
      </c>
      <c r="AD291" s="456">
        <f>(_xll.xSPRDOPT($L291+$AB$5,$J291,$I291,$M291,$O291,$N291,$P291,$Q291-$C$3,$R291,9)/365)*$H291</f>
        <v>-1124.2393983580464</v>
      </c>
      <c r="AE291">
        <f t="shared" si="314"/>
        <v>0</v>
      </c>
      <c r="AF291" s="456">
        <f t="shared" si="315"/>
        <v>4627.2215550649707</v>
      </c>
      <c r="AG291" s="456">
        <f>((_xll.xSPRDOPT($L291,$J291,$I291,$M291,$O291,$N291,$P291,$Q291-$C$3,$R291,6)*$H291)/100)</f>
        <v>-1522.1610835088857</v>
      </c>
      <c r="AH291" s="456">
        <f>((_xll.xSPRDOPT($L291,$J291,$I291,$M291,$O291,$N291,$P291,$Q291-$C$3,$R291,5)*$H291)/100)</f>
        <v>5345.3685292200917</v>
      </c>
      <c r="AI291" s="456">
        <f>(((_xll.xSPRDOPT($L291,$J291,$I291,$M291,$O291,$N291,$P291,$Q291-$C$3,$R291,4)*$H291)/10000)/100)-AB291</f>
        <v>2.0761972799935455E-2</v>
      </c>
      <c r="AJ291" s="456"/>
      <c r="AK291" s="456"/>
      <c r="AL291" s="456"/>
      <c r="AM291" s="472"/>
      <c r="CC291" s="141">
        <f t="shared" si="336"/>
        <v>36892</v>
      </c>
      <c r="CD291" s="234">
        <f>_xll.xSPRDOPT((VLOOKUP(G291,NGPrices,2,FALSE)+HLOOKUP(D291,Prices,VLOOKUP(G291,move_down,2,FALSE),FALSE)),VLOOKUP(G291,NGPrices,2,FALSE),I291,VLOOKUP(G291,NGPREVPRICES,4,FALSE),HLOOKUP(D291,PREVVOLS,VLOOKUP(G291,MOVE_DOWN2,2,FALSE),FALSE),VLOOKUP(G291,NGPREVPRICES,3,FALSE),HLOOKUP(D291,Correllate,VLOOKUP(G291,CorMove,2,FALSE),FALSE),Q291-$CD$3,R291,$CD$5)*H291-CJ291</f>
        <v>0</v>
      </c>
      <c r="CE291" s="234">
        <f>_xll.xSPRDOPT((VLOOKUP(G291,NGPREVPRICES,2,FALSE)+HLOOKUP(D291,PREVCURVES,VLOOKUP(G291,MOVE_DOWN2,2,FALSE),FALSE)),VLOOKUP(G291,NGPREVPRICES,2,FALSE),CK291,VLOOKUP(G291,NGPrices,4,FALSE),HLOOKUP(D291,PREVVOLS,VLOOKUP(G291,MOVE_DOWN2,2,FALSE),FALSE),VLOOKUP(G291,NGPREVPRICES,3,FALSE),HLOOKUP(D291,Correllate,VLOOKUP(G291,CorMove,2,FALSE),FALSE),Q291-$CD$3,R291,$CJ$5)*H291-CJ291</f>
        <v>0</v>
      </c>
      <c r="CF291" s="10">
        <f t="shared" si="337"/>
        <v>-33.767779442307074</v>
      </c>
      <c r="CG291" s="234">
        <f>_xll.xSPRDOPT((VLOOKUP(G291,NGPREVPRICES,2,FALSE)+HLOOKUP(D291,PREVCURVES,VLOOKUP(G291,MOVE_DOWN2,2,FALSE),FALSE)),VLOOKUP(G291,NGPREVPRICES,2,FALSE),CK291,VLOOKUP(G291,NGPREVPRICES,4,FALSE),HLOOKUP(D291,VOLS,VLOOKUP(G291,move_down,2,FALSE),FALSE),VLOOKUP(G291,NGPrices,3,FALSE),HLOOKUP(D291,Correllate,VLOOKUP(G291,CorMove,2,FALSE),FALSE),Q291-$CD$3,R291,$CJ$5)*H291-CJ291</f>
        <v>0</v>
      </c>
      <c r="CH291" s="234">
        <f>_xll.xSPRDOPT((VLOOKUP(G291,NGPREVPRICES,2,FALSE)+HLOOKUP(D291,PREVCURVES,VLOOKUP(G291,MOVE_DOWN2,2,FALSE),FALSE)),VLOOKUP(G291,NGPREVPRICES,2,FALSE),CK291,VLOOKUP(G291,NGPREVPRICES,4,FALSE),HLOOKUP(D291,PREVVOLS,VLOOKUP(G291,MOVE_DOWN2,2,FALSE),FALSE),VLOOKUP(G291,NGPREVPRICES,3,FALSE),HLOOKUP(D291,Correllate,VLOOKUP(G291,CorMove,2,FALSE),FALSE),Q291-$C$3,R291,$CJ$5)*H291-CJ291</f>
        <v>-1121.2144022756256</v>
      </c>
      <c r="CI291" s="234">
        <f t="shared" si="338"/>
        <v>-1154.9821817179327</v>
      </c>
      <c r="CJ291" s="234">
        <f>_xll.xSPRDOPT((VLOOKUP(G291,NGPREVPRICES,2,FALSE)+HLOOKUP(D291,PREVCURVES,VLOOKUP(G291,MOVE_DOWN2,2,FALSE),FALSE)),VLOOKUP(G291,NGPREVPRICES,2,FALSE),CK291,VLOOKUP(G291,NGPREVPRICES,4,FALSE),HLOOKUP(D291,PREVVOLS,VLOOKUP(G291,MOVE_DOWN2,2,FALSE),FALSE),VLOOKUP(G291,NGPREVPRICES,3,FALSE),HLOOKUP(D291,Correllate,VLOOKUP(G291,CorMove,2,FALSE),FALSE),Q291-$CD$3,R291,$CJ$5)*H291</f>
        <v>179195.34508538869</v>
      </c>
      <c r="CK291" s="235">
        <f t="shared" si="339"/>
        <v>1.57</v>
      </c>
      <c r="CL291" s="234"/>
      <c r="CM291" t="str">
        <f t="shared" si="340"/>
        <v>36892Curve Shift/Gamma</v>
      </c>
      <c r="CN291" t="str">
        <f t="shared" si="287"/>
        <v>36892Rho</v>
      </c>
      <c r="CO291" t="str">
        <f t="shared" si="288"/>
        <v>36892Drift</v>
      </c>
      <c r="CP291" t="str">
        <f t="shared" si="289"/>
        <v>36892Vega</v>
      </c>
      <c r="CQ291" t="str">
        <f t="shared" si="290"/>
        <v>36892Theta</v>
      </c>
    </row>
    <row r="292" spans="1:95" x14ac:dyDescent="0.25">
      <c r="A292" s="382" t="s">
        <v>281</v>
      </c>
      <c r="B292" t="s">
        <v>250</v>
      </c>
      <c r="C292" t="s">
        <v>635</v>
      </c>
      <c r="D292" s="4" t="s">
        <v>7</v>
      </c>
      <c r="E292" t="s">
        <v>20</v>
      </c>
      <c r="F292" t="s">
        <v>1</v>
      </c>
      <c r="G292" s="5">
        <v>36861</v>
      </c>
      <c r="H292" s="130">
        <v>500000</v>
      </c>
      <c r="I292">
        <v>1.57</v>
      </c>
      <c r="J292" s="53">
        <f t="shared" si="316"/>
        <v>4.8</v>
      </c>
      <c r="K292" s="7">
        <f t="shared" si="317"/>
        <v>1.645</v>
      </c>
      <c r="L292" s="53">
        <f t="shared" si="318"/>
        <v>6.4450000000000003</v>
      </c>
      <c r="M292" s="157">
        <f t="shared" si="319"/>
        <v>6.8314027999354002E-2</v>
      </c>
      <c r="N292" s="4">
        <f t="shared" si="320"/>
        <v>0.6</v>
      </c>
      <c r="O292" s="4">
        <f t="shared" si="321"/>
        <v>0.69</v>
      </c>
      <c r="P292" s="9">
        <f t="shared" si="322"/>
        <v>0.83</v>
      </c>
      <c r="Q292" s="5">
        <f t="shared" si="310"/>
        <v>36859</v>
      </c>
      <c r="R292" s="4">
        <f t="shared" si="323"/>
        <v>0</v>
      </c>
      <c r="S292" s="158">
        <f>_xll.xSPRDOPT($L292,$J292,$I292,$M292,$O292,$N292,$P292,$Q292-$C$3,$R292,0)</f>
        <v>0.47229925815814555</v>
      </c>
      <c r="T292" s="159">
        <f>_xll.xSPRDOPT($L292,$J292,$I292,$M292,$O292,$N292,$P292,$Q292-$C$3,$R292,1)*H292</f>
        <v>-213935.88172937621</v>
      </c>
      <c r="U292" s="160">
        <f t="shared" si="324"/>
        <v>236149.62907907277</v>
      </c>
      <c r="V292" s="159">
        <f>_xll.xSPRDOPT($L292,$J292,$I292,$M292,$O292,$N292,$P292,$Q292-$C$3,$R292,2)*H292</f>
        <v>249163.02736788051</v>
      </c>
      <c r="W292" s="159">
        <f t="shared" si="325"/>
        <v>35227.145638504298</v>
      </c>
      <c r="X292" s="51" t="str">
        <f t="shared" si="311"/>
        <v>36861IF-TRANSCO/Z6</v>
      </c>
      <c r="Y292" s="418">
        <f t="shared" si="312"/>
        <v>50</v>
      </c>
      <c r="Z292" s="456">
        <f t="shared" si="313"/>
        <v>-0.42787176345875244</v>
      </c>
      <c r="AA292" s="456">
        <f>_xll.xSPRDOPT($L292,$J292,$I292,$M292,$O292,$N292,$P292,$Q292-$C$3,$R292,3)</f>
        <v>0.29652489455407621</v>
      </c>
      <c r="AB292" s="456">
        <f>((_xll.xSPRDOPT($L292+AB$5,$J292,$I292,$M292,$O292,$N292,$P292,$Q292-$C$3,$R292,3)*$H292)/10000)/100</f>
        <v>0.14826244727703808</v>
      </c>
      <c r="AC292" s="456">
        <f>((_xll.xSPRDOPT($L292+$AB$5,$J292,$I292,$M292,$O292,$N292,$P292,$Q292-$C$3,$R292,7)*$H292)/100)</f>
        <v>-4853.9601371669451</v>
      </c>
      <c r="AD292" s="456">
        <f>(_xll.xSPRDOPT($L292+$AB$5,$J292,$I292,$M292,$O292,$N292,$P292,$Q292-$C$3,$R292,9)/365)*$H292</f>
        <v>-1333.5838557592106</v>
      </c>
      <c r="AE292">
        <f t="shared" si="314"/>
        <v>0</v>
      </c>
      <c r="AF292" s="456">
        <f t="shared" si="315"/>
        <v>4222.3062124265143</v>
      </c>
      <c r="AG292" s="456">
        <f>((_xll.xSPRDOPT($L292,$J292,$I292,$M292,$O292,$N292,$P292,$Q292-$C$3,$R292,6)*$H292)/100)</f>
        <v>-1372.007421630233</v>
      </c>
      <c r="AH292" s="456">
        <f>((_xll.xSPRDOPT($L292,$J292,$I292,$M292,$O292,$N292,$P292,$Q292-$C$3,$R292,5)*$H292)/100)</f>
        <v>4864.6205513536934</v>
      </c>
      <c r="AI292" s="456">
        <f>(((_xll.xSPRDOPT($L292,$J292,$I292,$M292,$O292,$N292,$P292,$Q292-$C$3,$R292,4)*$H292)/10000)/100)-AB292</f>
        <v>5.1733178019241766E-3</v>
      </c>
      <c r="AJ292" s="456"/>
      <c r="AK292" s="456"/>
      <c r="AL292" s="456"/>
      <c r="AM292" s="472"/>
      <c r="CC292" s="141">
        <f t="shared" si="336"/>
        <v>36861</v>
      </c>
      <c r="CD292" s="234">
        <f>_xll.xSPRDOPT((VLOOKUP(G292,NGPrices,2,FALSE)+HLOOKUP(D292,Prices,VLOOKUP(G292,move_down,2,FALSE),FALSE)),VLOOKUP(G292,NGPrices,2,FALSE),I292,VLOOKUP(G292,NGPREVPRICES,4,FALSE),HLOOKUP(D292,PREVVOLS,VLOOKUP(G292,MOVE_DOWN2,2,FALSE),FALSE),VLOOKUP(G292,NGPREVPRICES,3,FALSE),HLOOKUP(D292,Correllate,VLOOKUP(G292,CorMove,2,FALSE),FALSE),Q292-$CD$3,R292,$CD$5)*H292-CJ292</f>
        <v>0</v>
      </c>
      <c r="CE292" s="234">
        <f>_xll.xSPRDOPT((VLOOKUP(G292,NGPREVPRICES,2,FALSE)+HLOOKUP(D292,PREVCURVES,VLOOKUP(G292,MOVE_DOWN2,2,FALSE),FALSE)),VLOOKUP(G292,NGPREVPRICES,2,FALSE),CK292,VLOOKUP(G292,NGPrices,4,FALSE),HLOOKUP(D292,PREVVOLS,VLOOKUP(G292,MOVE_DOWN2,2,FALSE),FALSE),VLOOKUP(G292,NGPREVPRICES,3,FALSE),HLOOKUP(D292,Correllate,VLOOKUP(G292,CorMove,2,FALSE),FALSE),Q292-$CD$3,R292,$CJ$5)*H292-CJ292</f>
        <v>0</v>
      </c>
      <c r="CF292" s="10">
        <f t="shared" si="337"/>
        <v>-44.488698240544181</v>
      </c>
      <c r="CG292" s="234">
        <f>_xll.xSPRDOPT((VLOOKUP(G292,NGPREVPRICES,2,FALSE)+HLOOKUP(D292,PREVCURVES,VLOOKUP(G292,MOVE_DOWN2,2,FALSE),FALSE)),VLOOKUP(G292,NGPREVPRICES,2,FALSE),CK292,VLOOKUP(G292,NGPREVPRICES,4,FALSE),HLOOKUP(D292,VOLS,VLOOKUP(G292,move_down,2,FALSE),FALSE),VLOOKUP(G292,NGPrices,3,FALSE),HLOOKUP(D292,Correllate,VLOOKUP(G292,CorMove,2,FALSE),FALSE),Q292-$CD$3,R292,$CJ$5)*H292-CJ292</f>
        <v>0</v>
      </c>
      <c r="CH292" s="234">
        <f>_xll.xSPRDOPT((VLOOKUP(G292,NGPREVPRICES,2,FALSE)+HLOOKUP(D292,PREVCURVES,VLOOKUP(G292,MOVE_DOWN2,2,FALSE),FALSE)),VLOOKUP(G292,NGPREVPRICES,2,FALSE),CK292,VLOOKUP(G292,NGPREVPRICES,4,FALSE),HLOOKUP(D292,PREVVOLS,VLOOKUP(G292,MOVE_DOWN2,2,FALSE),FALSE),VLOOKUP(G292,NGPREVPRICES,3,FALSE),HLOOKUP(D292,Correllate,VLOOKUP(G292,CorMove,2,FALSE),FALSE),Q292-$C$3,R292,$CJ$5)*H292-CJ292</f>
        <v>-1328.691601067083</v>
      </c>
      <c r="CI292" s="234">
        <f t="shared" si="338"/>
        <v>-1373.1802993076271</v>
      </c>
      <c r="CJ292" s="234">
        <f>_xll.xSPRDOPT((VLOOKUP(G292,NGPREVPRICES,2,FALSE)+HLOOKUP(D292,PREVCURVES,VLOOKUP(G292,MOVE_DOWN2,2,FALSE),FALSE)),VLOOKUP(G292,NGPREVPRICES,2,FALSE),CK292,VLOOKUP(G292,NGPREVPRICES,4,FALSE),HLOOKUP(D292,PREVVOLS,VLOOKUP(G292,MOVE_DOWN2,2,FALSE),FALSE),VLOOKUP(G292,NGPREVPRICES,3,FALSE),HLOOKUP(D292,Correllate,VLOOKUP(G292,CorMove,2,FALSE),FALSE),Q292-$CD$3,R292,$CJ$5)*H292</f>
        <v>237478.32068013985</v>
      </c>
      <c r="CK292" s="235">
        <f t="shared" si="339"/>
        <v>1.57</v>
      </c>
      <c r="CL292" s="234"/>
      <c r="CM292" t="str">
        <f t="shared" si="340"/>
        <v>36861Curve Shift/Gamma</v>
      </c>
      <c r="CN292" t="str">
        <f t="shared" si="287"/>
        <v>36861Rho</v>
      </c>
      <c r="CO292" t="str">
        <f t="shared" si="288"/>
        <v>36861Drift</v>
      </c>
      <c r="CP292" t="str">
        <f t="shared" si="289"/>
        <v>36861Vega</v>
      </c>
      <c r="CQ292" t="str">
        <f t="shared" si="290"/>
        <v>36861Theta</v>
      </c>
    </row>
    <row r="293" spans="1:95" x14ac:dyDescent="0.25">
      <c r="A293" s="382" t="s">
        <v>281</v>
      </c>
      <c r="B293" t="s">
        <v>250</v>
      </c>
      <c r="C293" t="s">
        <v>635</v>
      </c>
      <c r="D293" s="4" t="s">
        <v>7</v>
      </c>
      <c r="E293" t="s">
        <v>20</v>
      </c>
      <c r="F293" t="s">
        <v>1</v>
      </c>
      <c r="G293" s="5">
        <v>36831</v>
      </c>
      <c r="H293" s="130">
        <v>500000</v>
      </c>
      <c r="I293">
        <v>1.57</v>
      </c>
      <c r="J293" s="53">
        <f t="shared" si="316"/>
        <v>4.7359999999999998</v>
      </c>
      <c r="K293" s="7">
        <f t="shared" si="317"/>
        <v>0.77</v>
      </c>
      <c r="L293" s="53">
        <f t="shared" si="318"/>
        <v>5.5060000000000002</v>
      </c>
      <c r="M293" s="157">
        <f t="shared" si="319"/>
        <v>6.810675983792E-2</v>
      </c>
      <c r="N293" s="4">
        <f t="shared" si="320"/>
        <v>0.59499999999999997</v>
      </c>
      <c r="O293" s="4">
        <f t="shared" si="321"/>
        <v>0.625</v>
      </c>
      <c r="P293" s="9">
        <f t="shared" si="322"/>
        <v>0.89</v>
      </c>
      <c r="Q293" s="5">
        <f t="shared" si="310"/>
        <v>36829</v>
      </c>
      <c r="R293" s="4">
        <f t="shared" si="323"/>
        <v>0</v>
      </c>
      <c r="S293" s="158">
        <f>_xll.xSPRDOPT($L293,$J293,$I293,$M293,$O293,$N293,$P293,$Q293-$C$3,$R293,0)</f>
        <v>0.84240051393439619</v>
      </c>
      <c r="T293" s="159">
        <f>_xll.xSPRDOPT($L293,$J293,$I293,$M293,$O293,$N293,$P293,$Q293-$C$3,$R293,1)*H293</f>
        <v>-417774.24958762183</v>
      </c>
      <c r="U293" s="160">
        <f t="shared" si="324"/>
        <v>421200.2569671981</v>
      </c>
      <c r="V293" s="159">
        <f>_xll.xSPRDOPT($L293,$J293,$I293,$M293,$O293,$N293,$P293,$Q293-$C$3,$R293,2)*H293</f>
        <v>429543.81499887758</v>
      </c>
      <c r="W293" s="159">
        <f t="shared" si="325"/>
        <v>11769.565411255753</v>
      </c>
      <c r="X293" s="51" t="str">
        <f t="shared" si="311"/>
        <v>36831IF-TRANSCO/Z6</v>
      </c>
      <c r="Y293" s="418">
        <f t="shared" si="312"/>
        <v>50</v>
      </c>
      <c r="Z293" s="456">
        <f t="shared" si="313"/>
        <v>-0.83554849917524365</v>
      </c>
      <c r="AA293" s="456">
        <f>_xll.xSPRDOPT($L293,$J293,$I293,$M293,$O293,$N293,$P293,$Q293-$C$3,$R293,3)</f>
        <v>0.34352097670504678</v>
      </c>
      <c r="AB293" s="456">
        <f>((_xll.xSPRDOPT($L293+AB$5,$J293,$I293,$M293,$O293,$N293,$P293,$Q293-$C$3,$R293,3)*$H293)/10000)/100</f>
        <v>0.17176048835252339</v>
      </c>
      <c r="AC293" s="456">
        <f>((_xll.xSPRDOPT($L293+$AB$5,$J293,$I293,$M293,$O293,$N293,$P293,$Q293-$C$3,$R293,7)*$H293)/100)</f>
        <v>-2528.4067814328314</v>
      </c>
      <c r="AD293" s="456">
        <f>(_xll.xSPRDOPT($L293+$AB$5,$J293,$I293,$M293,$O293,$N293,$P293,$Q293-$C$3,$R293,9)/365)*$H293</f>
        <v>-573.84688455849891</v>
      </c>
      <c r="AE293">
        <f t="shared" si="314"/>
        <v>0</v>
      </c>
      <c r="AF293" s="456">
        <f t="shared" si="315"/>
        <v>1358.7767807646248</v>
      </c>
      <c r="AG293" s="456">
        <f>((_xll.xSPRDOPT($L293,$J293,$I293,$M293,$O293,$N293,$P293,$Q293-$C$3,$R293,6)*$H293)/100)</f>
        <v>-662.06534145753608</v>
      </c>
      <c r="AH293" s="456">
        <f>((_xll.xSPRDOPT($L293,$J293,$I293,$M293,$O293,$N293,$P293,$Q293-$C$3,$R293,5)*$H293)/100)</f>
        <v>1923.8417003554971</v>
      </c>
      <c r="AI293" s="456">
        <f>(((_xll.xSPRDOPT($L293,$J293,$I293,$M293,$O293,$N293,$P293,$Q293-$C$3,$R293,4)*$H293)/10000)/100)-AB293</f>
        <v>-3.4038020470323255E-2</v>
      </c>
      <c r="AJ293" s="456"/>
      <c r="AK293" s="456"/>
      <c r="AL293" s="456"/>
      <c r="AM293" s="472"/>
      <c r="CC293" s="141">
        <f t="shared" si="336"/>
        <v>36831</v>
      </c>
      <c r="CD293" s="234">
        <f>_xll.xSPRDOPT((VLOOKUP(G293,NGPrices,2,FALSE)+HLOOKUP(D293,Prices,VLOOKUP(G293,move_down,2,FALSE),FALSE)),VLOOKUP(G293,NGPrices,2,FALSE),I293,VLOOKUP(G293,NGPREVPRICES,4,FALSE),HLOOKUP(D293,PREVVOLS,VLOOKUP(G293,MOVE_DOWN2,2,FALSE),FALSE),VLOOKUP(G293,NGPREVPRICES,3,FALSE),HLOOKUP(D293,Correllate,VLOOKUP(G293,CorMove,2,FALSE),FALSE),Q293-$CD$3,R293,$CD$5)*H293-CJ293</f>
        <v>0</v>
      </c>
      <c r="CE293" s="234">
        <f>_xll.xSPRDOPT((VLOOKUP(G293,NGPREVPRICES,2,FALSE)+HLOOKUP(D293,PREVCURVES,VLOOKUP(G293,MOVE_DOWN2,2,FALSE),FALSE)),VLOOKUP(G293,NGPREVPRICES,2,FALSE),CK293,VLOOKUP(G293,NGPrices,4,FALSE),HLOOKUP(D293,PREVVOLS,VLOOKUP(G293,MOVE_DOWN2,2,FALSE),FALSE),VLOOKUP(G293,NGPREVPRICES,3,FALSE),HLOOKUP(D293,Correllate,VLOOKUP(G293,CorMove,2,FALSE),FALSE),Q293-$CD$3,R293,$CJ$5)*H293-CJ293</f>
        <v>0</v>
      </c>
      <c r="CF293" s="10">
        <f t="shared" si="337"/>
        <v>-78.327930746367201</v>
      </c>
      <c r="CG293" s="234">
        <f>_xll.xSPRDOPT((VLOOKUP(G293,NGPREVPRICES,2,FALSE)+HLOOKUP(D293,PREVCURVES,VLOOKUP(G293,MOVE_DOWN2,2,FALSE),FALSE)),VLOOKUP(G293,NGPREVPRICES,2,FALSE),CK293,VLOOKUP(G293,NGPREVPRICES,4,FALSE),HLOOKUP(D293,VOLS,VLOOKUP(G293,move_down,2,FALSE),FALSE),VLOOKUP(G293,NGPrices,3,FALSE),HLOOKUP(D293,Correllate,VLOOKUP(G293,CorMove,2,FALSE),FALSE),Q293-$CD$3,R293,$CJ$5)*H293-CJ293</f>
        <v>0</v>
      </c>
      <c r="CH293" s="234">
        <f>_xll.xSPRDOPT((VLOOKUP(G293,NGPREVPRICES,2,FALSE)+HLOOKUP(D293,PREVCURVES,VLOOKUP(G293,MOVE_DOWN2,2,FALSE),FALSE)),VLOOKUP(G293,NGPREVPRICES,2,FALSE),CK293,VLOOKUP(G293,NGPREVPRICES,4,FALSE),HLOOKUP(D293,PREVVOLS,VLOOKUP(G293,MOVE_DOWN2,2,FALSE),FALSE),VLOOKUP(G293,NGPREVPRICES,3,FALSE),HLOOKUP(D293,Correllate,VLOOKUP(G293,CorMove,2,FALSE),FALSE),Q293-$C$3,R293,$CJ$5)*H293-CJ293</f>
        <v>-573.7910904159653</v>
      </c>
      <c r="CI293" s="234">
        <f t="shared" si="338"/>
        <v>-652.1190211623325</v>
      </c>
      <c r="CJ293" s="234">
        <f>_xll.xSPRDOPT((VLOOKUP(G293,NGPREVPRICES,2,FALSE)+HLOOKUP(D293,PREVCURVES,VLOOKUP(G293,MOVE_DOWN2,2,FALSE),FALSE)),VLOOKUP(G293,NGPREVPRICES,2,FALSE),CK293,VLOOKUP(G293,NGPREVPRICES,4,FALSE),HLOOKUP(D293,PREVVOLS,VLOOKUP(G293,MOVE_DOWN2,2,FALSE),FALSE),VLOOKUP(G293,NGPREVPRICES,3,FALSE),HLOOKUP(D293,Correllate,VLOOKUP(G293,CorMove,2,FALSE),FALSE),Q293-$CD$3,R293,$CJ$5)*H293</f>
        <v>421774.04805761407</v>
      </c>
      <c r="CK293" s="235">
        <f t="shared" si="339"/>
        <v>1.57</v>
      </c>
      <c r="CL293" s="234"/>
      <c r="CM293" t="str">
        <f t="shared" si="340"/>
        <v>36831Curve Shift/Gamma</v>
      </c>
      <c r="CN293" t="str">
        <f t="shared" si="287"/>
        <v>36831Rho</v>
      </c>
      <c r="CO293" t="str">
        <f t="shared" si="288"/>
        <v>36831Drift</v>
      </c>
      <c r="CP293" t="str">
        <f t="shared" si="289"/>
        <v>36831Vega</v>
      </c>
      <c r="CQ293" t="str">
        <f t="shared" si="290"/>
        <v>36831Theta</v>
      </c>
    </row>
    <row r="294" spans="1:95" x14ac:dyDescent="0.25">
      <c r="A294" s="382" t="s">
        <v>279</v>
      </c>
      <c r="B294" t="s">
        <v>250</v>
      </c>
      <c r="C294" t="s">
        <v>424</v>
      </c>
      <c r="D294" s="4" t="s">
        <v>7</v>
      </c>
      <c r="E294" t="s">
        <v>20</v>
      </c>
      <c r="F294" t="s">
        <v>21</v>
      </c>
      <c r="G294" s="5">
        <v>36831</v>
      </c>
      <c r="H294" s="130">
        <v>-2000000</v>
      </c>
      <c r="I294">
        <v>1.5</v>
      </c>
      <c r="J294" s="53">
        <f t="shared" si="316"/>
        <v>4.7359999999999998</v>
      </c>
      <c r="K294" s="7">
        <f t="shared" si="317"/>
        <v>0.77</v>
      </c>
      <c r="L294" s="53">
        <f t="shared" si="318"/>
        <v>5.5060000000000002</v>
      </c>
      <c r="M294" s="157">
        <f t="shared" si="319"/>
        <v>6.810675983792E-2</v>
      </c>
      <c r="N294" s="4">
        <f t="shared" si="320"/>
        <v>0.59499999999999997</v>
      </c>
      <c r="O294" s="4">
        <f t="shared" si="321"/>
        <v>0.625</v>
      </c>
      <c r="P294" s="9">
        <f t="shared" si="322"/>
        <v>0.89</v>
      </c>
      <c r="Q294" s="5">
        <f t="shared" si="310"/>
        <v>36829</v>
      </c>
      <c r="R294" s="4">
        <f t="shared" si="323"/>
        <v>1</v>
      </c>
      <c r="S294" s="158">
        <f>_xll.xSPRDOPT($L294,$J294,$I294,$M294,$O294,$N294,$P294,$Q294-$C$3,$R294,0)</f>
        <v>6.010849191709268E-2</v>
      </c>
      <c r="T294" s="159">
        <f>_xll.xSPRDOPT($L294,$J294,$I294,$M294,$O294,$N294,$P294,$Q294-$C$3,$R294,1)*H294</f>
        <v>-346940.6078069841</v>
      </c>
      <c r="U294" s="160">
        <f t="shared" si="324"/>
        <v>-120216.98383418536</v>
      </c>
      <c r="V294" s="159">
        <f>_xll.xSPRDOPT($L294,$J294,$I294,$M294,$O294,$N294,$P294,$Q294-$C$3,$R294,2)*H294</f>
        <v>295359.16097022512</v>
      </c>
      <c r="W294" s="159">
        <f t="shared" si="325"/>
        <v>-51581.446836758987</v>
      </c>
      <c r="X294" s="51" t="str">
        <f t="shared" si="311"/>
        <v>36831IF-TRANSCO/Z6</v>
      </c>
      <c r="Y294" s="418">
        <f t="shared" si="312"/>
        <v>-200</v>
      </c>
      <c r="Z294" s="456">
        <f t="shared" si="313"/>
        <v>0.17347030390349205</v>
      </c>
      <c r="AA294" s="456">
        <f>_xll.xSPRDOPT($L294,$J294,$I294,$M294,$O294,$N294,$P294,$Q294-$C$3,$R294,3)</f>
        <v>0.3741819230072515</v>
      </c>
      <c r="AB294" s="456">
        <f>((_xll.xSPRDOPT($L294+AB$5,$J294,$I294,$M294,$O294,$N294,$P294,$Q294-$C$3,$R294,3)*$H294)/10000)/100</f>
        <v>-0.74836384601450301</v>
      </c>
      <c r="AC294" s="456">
        <f>((_xll.xSPRDOPT($L294+$AB$5,$J294,$I294,$M294,$O294,$N294,$P294,$Q294-$C$3,$R294,7)*$H294)/100)</f>
        <v>11106.180944456306</v>
      </c>
      <c r="AD294" s="456">
        <f>(_xll.xSPRDOPT($L294+$AB$5,$J294,$I294,$M294,$O294,$N294,$P294,$Q294-$C$3,$R294,9)/365)*$H294</f>
        <v>2797.4278554952634</v>
      </c>
      <c r="AE294">
        <f t="shared" si="314"/>
        <v>0</v>
      </c>
      <c r="AF294" s="456">
        <f t="shared" si="315"/>
        <v>-5872.6598373838988</v>
      </c>
      <c r="AG294" s="456">
        <f>((_xll.xSPRDOPT($L294,$J294,$I294,$M294,$O294,$N294,$P294,$Q294-$C$3,$R294,6)*$H294)/100)</f>
        <v>2797.7938622751021</v>
      </c>
      <c r="AH294" s="456">
        <f>((_xll.xSPRDOPT($L294,$J294,$I294,$M294,$O294,$N294,$P294,$Q294-$C$3,$R294,5)*$H294)/100)</f>
        <v>-8254.2719220753697</v>
      </c>
      <c r="AI294" s="456">
        <f>(((_xll.xSPRDOPT($L294,$J294,$I294,$M294,$O294,$N294,$P294,$Q294-$C$3,$R294,4)*$H294)/10000)/100)-AB294</f>
        <v>0.13853852324087335</v>
      </c>
      <c r="AJ294" s="456"/>
      <c r="AK294" s="456"/>
      <c r="AL294" s="456"/>
      <c r="AM294" s="472"/>
      <c r="CC294" s="141">
        <f t="shared" si="336"/>
        <v>36831</v>
      </c>
      <c r="CD294" s="234">
        <f>_xll.xSPRDOPT((VLOOKUP(G294,NGPrices,2,FALSE)+HLOOKUP(D294,Prices,VLOOKUP(G294,move_down,2,FALSE),FALSE)),VLOOKUP(G294,NGPrices,2,FALSE),I294,VLOOKUP(G294,NGPREVPRICES,4,FALSE),HLOOKUP(D294,PREVVOLS,VLOOKUP(G294,MOVE_DOWN2,2,FALSE),FALSE),VLOOKUP(G294,NGPREVPRICES,3,FALSE),HLOOKUP(D294,Correllate,VLOOKUP(G294,CorMove,2,FALSE),FALSE),Q294-$CD$3,R294,$CD$5)*H294-CJ294</f>
        <v>0</v>
      </c>
      <c r="CE294" s="234">
        <f>_xll.xSPRDOPT((VLOOKUP(G294,NGPREVPRICES,2,FALSE)+HLOOKUP(D294,PREVCURVES,VLOOKUP(G294,MOVE_DOWN2,2,FALSE),FALSE)),VLOOKUP(G294,NGPREVPRICES,2,FALSE),CK294,VLOOKUP(G294,NGPrices,4,FALSE),HLOOKUP(D294,PREVVOLS,VLOOKUP(G294,MOVE_DOWN2,2,FALSE),FALSE),VLOOKUP(G294,NGPREVPRICES,3,FALSE),HLOOKUP(D294,Correllate,VLOOKUP(G294,CorMove,2,FALSE),FALSE),Q294-$CD$3,R294,$CJ$5)*H294-CJ294</f>
        <v>0</v>
      </c>
      <c r="CF294" s="10">
        <f t="shared" si="337"/>
        <v>22.844627998478245</v>
      </c>
      <c r="CG294" s="234">
        <f>_xll.xSPRDOPT((VLOOKUP(G294,NGPREVPRICES,2,FALSE)+HLOOKUP(D294,PREVCURVES,VLOOKUP(G294,MOVE_DOWN2,2,FALSE),FALSE)),VLOOKUP(G294,NGPREVPRICES,2,FALSE),CK294,VLOOKUP(G294,NGPREVPRICES,4,FALSE),HLOOKUP(D294,VOLS,VLOOKUP(G294,move_down,2,FALSE),FALSE),VLOOKUP(G294,NGPrices,3,FALSE),HLOOKUP(D294,Correllate,VLOOKUP(G294,CorMove,2,FALSE),FALSE),Q294-$CD$3,R294,$CJ$5)*H294-CJ294</f>
        <v>0</v>
      </c>
      <c r="CH294" s="234">
        <f>_xll.xSPRDOPT((VLOOKUP(G294,NGPREVPRICES,2,FALSE)+HLOOKUP(D294,PREVCURVES,VLOOKUP(G294,MOVE_DOWN2,2,FALSE),FALSE)),VLOOKUP(G294,NGPREVPRICES,2,FALSE),CK294,VLOOKUP(G294,NGPREVPRICES,4,FALSE),HLOOKUP(D294,PREVVOLS,VLOOKUP(G294,MOVE_DOWN2,2,FALSE),FALSE),VLOOKUP(G294,NGPREVPRICES,3,FALSE),HLOOKUP(D294,Correllate,VLOOKUP(G294,CorMove,2,FALSE),FALSE),Q294-$C$3,R294,$CJ$5)*H294-CJ294</f>
        <v>2794.9626767604932</v>
      </c>
      <c r="CI294" s="234">
        <f t="shared" si="338"/>
        <v>2817.8073047589714</v>
      </c>
      <c r="CJ294" s="234">
        <f>_xll.xSPRDOPT((VLOOKUP(G294,NGPREVPRICES,2,FALSE)+HLOOKUP(D294,PREVCURVES,VLOOKUP(G294,MOVE_DOWN2,2,FALSE),FALSE)),VLOOKUP(G294,NGPREVPRICES,2,FALSE),CK294,VLOOKUP(G294,NGPREVPRICES,4,FALSE),HLOOKUP(D294,PREVVOLS,VLOOKUP(G294,MOVE_DOWN2,2,FALSE),FALSE),VLOOKUP(G294,NGPREVPRICES,3,FALSE),HLOOKUP(D294,Correllate,VLOOKUP(G294,CorMove,2,FALSE),FALSE),Q294-$CD$3,R294,$CJ$5)*H294</f>
        <v>-123011.94651094585</v>
      </c>
      <c r="CK294" s="235">
        <f t="shared" si="339"/>
        <v>1.5</v>
      </c>
      <c r="CL294" s="234"/>
      <c r="CM294" t="str">
        <f t="shared" si="340"/>
        <v>36831Curve Shift/Gamma</v>
      </c>
      <c r="CN294" t="str">
        <f t="shared" si="287"/>
        <v>36831Rho</v>
      </c>
      <c r="CO294" t="str">
        <f t="shared" si="288"/>
        <v>36831Drift</v>
      </c>
      <c r="CP294" t="str">
        <f t="shared" si="289"/>
        <v>36831Vega</v>
      </c>
      <c r="CQ294" t="str">
        <f t="shared" si="290"/>
        <v>36831Theta</v>
      </c>
    </row>
    <row r="295" spans="1:95" x14ac:dyDescent="0.25">
      <c r="A295" s="382" t="s">
        <v>290</v>
      </c>
      <c r="B295" t="s">
        <v>129</v>
      </c>
      <c r="C295" t="s">
        <v>425</v>
      </c>
      <c r="D295" s="4" t="s">
        <v>7</v>
      </c>
      <c r="E295" t="s">
        <v>20</v>
      </c>
      <c r="F295" t="s">
        <v>21</v>
      </c>
      <c r="G295" s="5">
        <v>36831</v>
      </c>
      <c r="H295" s="130">
        <v>1000000</v>
      </c>
      <c r="I295">
        <v>1.5</v>
      </c>
      <c r="J295" s="53">
        <f t="shared" si="316"/>
        <v>4.7359999999999998</v>
      </c>
      <c r="K295" s="7">
        <f t="shared" si="317"/>
        <v>0.77</v>
      </c>
      <c r="L295" s="53">
        <f t="shared" si="318"/>
        <v>5.5060000000000002</v>
      </c>
      <c r="M295" s="157">
        <f t="shared" si="319"/>
        <v>6.810675983792E-2</v>
      </c>
      <c r="N295" s="4">
        <f t="shared" si="320"/>
        <v>0.59499999999999997</v>
      </c>
      <c r="O295" s="4">
        <f t="shared" si="321"/>
        <v>0.625</v>
      </c>
      <c r="P295" s="9">
        <f t="shared" si="322"/>
        <v>0.89</v>
      </c>
      <c r="Q295" s="5">
        <f t="shared" si="310"/>
        <v>36829</v>
      </c>
      <c r="R295" s="4">
        <f t="shared" si="323"/>
        <v>1</v>
      </c>
      <c r="S295" s="158">
        <f>_xll.xSPRDOPT($L295,$J295,$I295,$M295,$O295,$N295,$P295,$Q295-$C$3,$R295,0)</f>
        <v>6.010849191709268E-2</v>
      </c>
      <c r="T295" s="159">
        <f>_xll.xSPRDOPT($L295,$J295,$I295,$M295,$O295,$N295,$P295,$Q295-$C$3,$R295,1)*H295</f>
        <v>173470.30390349205</v>
      </c>
      <c r="U295" s="160">
        <f t="shared" si="324"/>
        <v>60108.491917092681</v>
      </c>
      <c r="V295" s="159">
        <f>_xll.xSPRDOPT($L295,$J295,$I295,$M295,$O295,$N295,$P295,$Q295-$C$3,$R295,2)*H295</f>
        <v>-147679.58048511256</v>
      </c>
      <c r="W295" s="159">
        <f t="shared" si="325"/>
        <v>25790.723418379494</v>
      </c>
      <c r="X295" s="51" t="str">
        <f t="shared" ref="X295:X326" si="341">CONCATENATE(G295,D295)</f>
        <v>36831IF-TRANSCO/Z6</v>
      </c>
      <c r="Y295" s="418">
        <f t="shared" ref="Y295:Y326" si="342">H295/10000</f>
        <v>100</v>
      </c>
      <c r="Z295" s="456">
        <f t="shared" ref="Z295:Z326" si="343">T295/H295</f>
        <v>0.17347030390349205</v>
      </c>
      <c r="AA295" s="456">
        <f>_xll.xSPRDOPT($L295,$J295,$I295,$M295,$O295,$N295,$P295,$Q295-$C$3,$R295,3)</f>
        <v>0.3741819230072515</v>
      </c>
      <c r="AB295" s="456">
        <f>((_xll.xSPRDOPT($L295+AB$5,$J295,$I295,$M295,$O295,$N295,$P295,$Q295-$C$3,$R295,3)*$H295)/10000)/100</f>
        <v>0.3741819230072515</v>
      </c>
      <c r="AC295" s="456">
        <f>((_xll.xSPRDOPT($L295+$AB$5,$J295,$I295,$M295,$O295,$N295,$P295,$Q295-$C$3,$R295,7)*$H295)/100)</f>
        <v>-5553.090472228153</v>
      </c>
      <c r="AD295" s="456">
        <f>(_xll.xSPRDOPT($L295+$AB$5,$J295,$I295,$M295,$O295,$N295,$P295,$Q295-$C$3,$R295,9)/365)*$H295</f>
        <v>-1398.7139277476317</v>
      </c>
      <c r="AE295">
        <f t="shared" si="314"/>
        <v>0</v>
      </c>
      <c r="AF295" s="456">
        <f t="shared" si="315"/>
        <v>2936.3299186919494</v>
      </c>
      <c r="AG295" s="456">
        <f>((_xll.xSPRDOPT($L295,$J295,$I295,$M295,$O295,$N295,$P295,$Q295-$C$3,$R295,6)*$H295)/100)</f>
        <v>-1398.8969311375511</v>
      </c>
      <c r="AH295" s="456">
        <f>((_xll.xSPRDOPT($L295,$J295,$I295,$M295,$O295,$N295,$P295,$Q295-$C$3,$R295,5)*$H295)/100)</f>
        <v>4127.1359610376849</v>
      </c>
      <c r="AI295" s="456">
        <f>(((_xll.xSPRDOPT($L295,$J295,$I295,$M295,$O295,$N295,$P295,$Q295-$C$3,$R295,4)*$H295)/10000)/100)-AB295</f>
        <v>-6.9269261620436673E-2</v>
      </c>
      <c r="AJ295" s="456"/>
      <c r="AK295" s="456"/>
      <c r="AL295" s="456"/>
      <c r="AM295" s="472"/>
      <c r="CC295" s="141">
        <f t="shared" si="336"/>
        <v>36831</v>
      </c>
      <c r="CD295" s="234">
        <f>_xll.xSPRDOPT((VLOOKUP(G295,NGPrices,2,FALSE)+HLOOKUP(D295,Prices,VLOOKUP(G295,move_down,2,FALSE),FALSE)),VLOOKUP(G295,NGPrices,2,FALSE),I295,VLOOKUP(G295,NGPREVPRICES,4,FALSE),HLOOKUP(D295,PREVVOLS,VLOOKUP(G295,MOVE_DOWN2,2,FALSE),FALSE),VLOOKUP(G295,NGPREVPRICES,3,FALSE),HLOOKUP(D295,Correllate,VLOOKUP(G295,CorMove,2,FALSE),FALSE),Q295-$CD$3,R295,$CD$5)*H295-CJ295</f>
        <v>0</v>
      </c>
      <c r="CE295" s="234">
        <f>_xll.xSPRDOPT((VLOOKUP(G295,NGPREVPRICES,2,FALSE)+HLOOKUP(D295,PREVCURVES,VLOOKUP(G295,MOVE_DOWN2,2,FALSE),FALSE)),VLOOKUP(G295,NGPREVPRICES,2,FALSE),CK295,VLOOKUP(G295,NGPrices,4,FALSE),HLOOKUP(D295,PREVVOLS,VLOOKUP(G295,MOVE_DOWN2,2,FALSE),FALSE),VLOOKUP(G295,NGPREVPRICES,3,FALSE),HLOOKUP(D295,Correllate,VLOOKUP(G295,CorMove,2,FALSE),FALSE),Q295-$CD$3,R295,$CJ$5)*H295-CJ295</f>
        <v>0</v>
      </c>
      <c r="CF295" s="10">
        <f t="shared" si="337"/>
        <v>-11.422313999239122</v>
      </c>
      <c r="CG295" s="234">
        <f>_xll.xSPRDOPT((VLOOKUP(G295,NGPREVPRICES,2,FALSE)+HLOOKUP(D295,PREVCURVES,VLOOKUP(G295,MOVE_DOWN2,2,FALSE),FALSE)),VLOOKUP(G295,NGPREVPRICES,2,FALSE),CK295,VLOOKUP(G295,NGPREVPRICES,4,FALSE),HLOOKUP(D295,VOLS,VLOOKUP(G295,move_down,2,FALSE),FALSE),VLOOKUP(G295,NGPrices,3,FALSE),HLOOKUP(D295,Correllate,VLOOKUP(G295,CorMove,2,FALSE),FALSE),Q295-$CD$3,R295,$CJ$5)*H295-CJ295</f>
        <v>0</v>
      </c>
      <c r="CH295" s="234">
        <f>_xll.xSPRDOPT((VLOOKUP(G295,NGPREVPRICES,2,FALSE)+HLOOKUP(D295,PREVCURVES,VLOOKUP(G295,MOVE_DOWN2,2,FALSE),FALSE)),VLOOKUP(G295,NGPREVPRICES,2,FALSE),CK295,VLOOKUP(G295,NGPREVPRICES,4,FALSE),HLOOKUP(D295,PREVVOLS,VLOOKUP(G295,MOVE_DOWN2,2,FALSE),FALSE),VLOOKUP(G295,NGPREVPRICES,3,FALSE),HLOOKUP(D295,Correllate,VLOOKUP(G295,CorMove,2,FALSE),FALSE),Q295-$C$3,R295,$CJ$5)*H295-CJ295</f>
        <v>-1397.4813383802466</v>
      </c>
      <c r="CI295" s="234">
        <f t="shared" si="338"/>
        <v>-1408.9036523794857</v>
      </c>
      <c r="CJ295" s="234">
        <f>_xll.xSPRDOPT((VLOOKUP(G295,NGPREVPRICES,2,FALSE)+HLOOKUP(D295,PREVCURVES,VLOOKUP(G295,MOVE_DOWN2,2,FALSE),FALSE)),VLOOKUP(G295,NGPREVPRICES,2,FALSE),CK295,VLOOKUP(G295,NGPREVPRICES,4,FALSE),HLOOKUP(D295,PREVVOLS,VLOOKUP(G295,MOVE_DOWN2,2,FALSE),FALSE),VLOOKUP(G295,NGPREVPRICES,3,FALSE),HLOOKUP(D295,Correllate,VLOOKUP(G295,CorMove,2,FALSE),FALSE),Q295-$CD$3,R295,$CJ$5)*H295</f>
        <v>61505.973255472927</v>
      </c>
      <c r="CK295" s="235">
        <f t="shared" si="339"/>
        <v>1.5</v>
      </c>
      <c r="CL295" s="234"/>
      <c r="CM295" t="str">
        <f t="shared" si="340"/>
        <v>36831Curve Shift/Gamma</v>
      </c>
      <c r="CN295" t="str">
        <f t="shared" si="287"/>
        <v>36831Rho</v>
      </c>
      <c r="CO295" t="str">
        <f t="shared" si="288"/>
        <v>36831Drift</v>
      </c>
      <c r="CP295" t="str">
        <f t="shared" si="289"/>
        <v>36831Vega</v>
      </c>
      <c r="CQ295" t="str">
        <f t="shared" si="290"/>
        <v>36831Theta</v>
      </c>
    </row>
    <row r="296" spans="1:95" x14ac:dyDescent="0.25">
      <c r="A296" s="382" t="s">
        <v>279</v>
      </c>
      <c r="B296" t="s">
        <v>250</v>
      </c>
      <c r="C296" t="s">
        <v>426</v>
      </c>
      <c r="D296" s="4" t="s">
        <v>7</v>
      </c>
      <c r="E296" t="s">
        <v>20</v>
      </c>
      <c r="F296" t="s">
        <v>21</v>
      </c>
      <c r="G296" s="5">
        <v>36982</v>
      </c>
      <c r="H296" s="130">
        <v>-1000000</v>
      </c>
      <c r="I296">
        <v>0.7</v>
      </c>
      <c r="J296" s="53">
        <f t="shared" si="316"/>
        <v>3.9380000000000002</v>
      </c>
      <c r="K296" s="7">
        <f t="shared" si="317"/>
        <v>0.52</v>
      </c>
      <c r="L296" s="53">
        <f t="shared" si="318"/>
        <v>4.4580000000000002</v>
      </c>
      <c r="M296" s="157">
        <f t="shared" si="319"/>
        <v>6.9061726541120999E-2</v>
      </c>
      <c r="N296" s="4">
        <f t="shared" si="320"/>
        <v>0.4425</v>
      </c>
      <c r="O296" s="4">
        <f t="shared" si="321"/>
        <v>0.434</v>
      </c>
      <c r="P296" s="9">
        <f t="shared" si="322"/>
        <v>0.9738</v>
      </c>
      <c r="Q296" s="5">
        <f t="shared" si="310"/>
        <v>36979</v>
      </c>
      <c r="R296" s="4">
        <f t="shared" si="323"/>
        <v>1</v>
      </c>
      <c r="S296" s="158">
        <f>_xll.xSPRDOPT($L296,$J296,$I296,$M296,$O296,$N296,$P296,$Q296-$C$3,$R296,0)</f>
        <v>7.4256199589022007E-2</v>
      </c>
      <c r="T296" s="159">
        <f>_xll.xSPRDOPT($L296,$J296,$I296,$M296,$O296,$N296,$P296,$Q296-$C$3,$R296,1)*H296</f>
        <v>-323474.73931900575</v>
      </c>
      <c r="U296" s="160">
        <f t="shared" si="324"/>
        <v>-74256.199589022013</v>
      </c>
      <c r="V296" s="159">
        <f>_xll.xSPRDOPT($L296,$J296,$I296,$M296,$O296,$N296,$P296,$Q296-$C$3,$R296,2)*H296</f>
        <v>301631.93050733209</v>
      </c>
      <c r="W296" s="159">
        <f t="shared" si="325"/>
        <v>-21842.808811673662</v>
      </c>
      <c r="X296" s="51" t="str">
        <f t="shared" si="341"/>
        <v>36982IF-TRANSCO/Z6</v>
      </c>
      <c r="Y296" s="418">
        <f t="shared" si="342"/>
        <v>-100</v>
      </c>
      <c r="Z296" s="456">
        <f t="shared" si="343"/>
        <v>0.32347473931900572</v>
      </c>
      <c r="AA296" s="456">
        <f>_xll.xSPRDOPT($L296,$J296,$I296,$M296,$O296,$N296,$P296,$Q296-$C$3,$R296,3)</f>
        <v>0.95901980555212163</v>
      </c>
      <c r="AB296" s="456">
        <f>((_xll.xSPRDOPT($L296+AB$5,$J296,$I296,$M296,$O296,$N296,$P296,$Q296-$C$3,$R296,3)*$H296)/10000)/100</f>
        <v>-0.95901980555212163</v>
      </c>
      <c r="AC296" s="456">
        <f>((_xll.xSPRDOPT($L296+$AB$5,$J296,$I296,$M296,$O296,$N296,$P296,$Q296-$C$3,$R296,7)*$H296)/100)</f>
        <v>18281.107460473009</v>
      </c>
      <c r="AD296" s="456">
        <f>(_xll.xSPRDOPT($L296+$AB$5,$J296,$I296,$M296,$O296,$N296,$P296,$Q296-$C$3,$R296,9)/365)*$H296</f>
        <v>292.41252834741437</v>
      </c>
      <c r="AE296">
        <f t="shared" si="314"/>
        <v>0</v>
      </c>
      <c r="AF296" s="456">
        <f t="shared" si="315"/>
        <v>-2934.4900057231507</v>
      </c>
      <c r="AG296" s="456">
        <f>((_xll.xSPRDOPT($L296,$J296,$I296,$M296,$O296,$N296,$P296,$Q296-$C$3,$R296,6)*$H296)/100)</f>
        <v>3923.698861560737</v>
      </c>
      <c r="AH296" s="456">
        <f>((_xll.xSPRDOPT($L296,$J296,$I296,$M296,$O296,$N296,$P296,$Q296-$C$3,$R296,5)*$H296)/100)</f>
        <v>-6992.5082345002775</v>
      </c>
      <c r="AI296" s="456">
        <f>(((_xll.xSPRDOPT($L296,$J296,$I296,$M296,$O296,$N296,$P296,$Q296-$C$3,$R296,4)*$H296)/10000)/100)-AB296</f>
        <v>4.7467886331673537E-2</v>
      </c>
      <c r="AJ296" s="456"/>
      <c r="AK296" s="456"/>
      <c r="AL296" s="456"/>
      <c r="AM296" s="472"/>
      <c r="CC296" s="141">
        <f t="shared" si="336"/>
        <v>36982</v>
      </c>
      <c r="CD296" s="234">
        <f>_xll.xSPRDOPT((VLOOKUP(G296,NGPrices,2,FALSE)+HLOOKUP(D296,Prices,VLOOKUP(G296,move_down,2,FALSE),FALSE)),VLOOKUP(G296,NGPrices,2,FALSE),I296,VLOOKUP(G296,NGPREVPRICES,4,FALSE),HLOOKUP(D296,PREVVOLS,VLOOKUP(G296,MOVE_DOWN2,2,FALSE),FALSE),VLOOKUP(G296,NGPREVPRICES,3,FALSE),HLOOKUP(D296,Correllate,VLOOKUP(G296,CorMove,2,FALSE),FALSE),Q296-$CD$3,R296,$CD$5)*H296-CJ296</f>
        <v>0</v>
      </c>
      <c r="CE296" s="234">
        <f>_xll.xSPRDOPT((VLOOKUP(G296,NGPREVPRICES,2,FALSE)+HLOOKUP(D296,PREVCURVES,VLOOKUP(G296,MOVE_DOWN2,2,FALSE),FALSE)),VLOOKUP(G296,NGPREVPRICES,2,FALSE),CK296,VLOOKUP(G296,NGPrices,4,FALSE),HLOOKUP(D296,PREVVOLS,VLOOKUP(G296,MOVE_DOWN2,2,FALSE),FALSE),VLOOKUP(G296,NGPREVPRICES,3,FALSE),HLOOKUP(D296,Correllate,VLOOKUP(G296,CorMove,2,FALSE),FALSE),Q296-$CD$3,R296,$CJ$5)*H296-CJ296</f>
        <v>0</v>
      </c>
      <c r="CF296" s="10">
        <f t="shared" si="337"/>
        <v>14.41432646420435</v>
      </c>
      <c r="CG296" s="234">
        <f>_xll.xSPRDOPT((VLOOKUP(G296,NGPREVPRICES,2,FALSE)+HLOOKUP(D296,PREVCURVES,VLOOKUP(G296,MOVE_DOWN2,2,FALSE),FALSE)),VLOOKUP(G296,NGPREVPRICES,2,FALSE),CK296,VLOOKUP(G296,NGPREVPRICES,4,FALSE),HLOOKUP(D296,VOLS,VLOOKUP(G296,move_down,2,FALSE),FALSE),VLOOKUP(G296,NGPrices,3,FALSE),HLOOKUP(D296,Correllate,VLOOKUP(G296,CorMove,2,FALSE),FALSE),Q296-$CD$3,R296,$CJ$5)*H296-CJ296</f>
        <v>0</v>
      </c>
      <c r="CH296" s="234">
        <f>_xll.xSPRDOPT((VLOOKUP(G296,NGPREVPRICES,2,FALSE)+HLOOKUP(D296,PREVCURVES,VLOOKUP(G296,MOVE_DOWN2,2,FALSE),FALSE)),VLOOKUP(G296,NGPREVPRICES,2,FALSE),CK296,VLOOKUP(G296,NGPREVPRICES,4,FALSE),HLOOKUP(D296,PREVVOLS,VLOOKUP(G296,MOVE_DOWN2,2,FALSE),FALSE),VLOOKUP(G296,NGPREVPRICES,3,FALSE),HLOOKUP(D296,Correllate,VLOOKUP(G296,CorMove,2,FALSE),FALSE),Q296-$C$3,R296,$CJ$5)*H296-CJ296</f>
        <v>291.88457293435931</v>
      </c>
      <c r="CI296" s="234">
        <f t="shared" si="338"/>
        <v>306.29889939856366</v>
      </c>
      <c r="CJ296" s="234">
        <f>_xll.xSPRDOPT((VLOOKUP(G296,NGPREVPRICES,2,FALSE)+HLOOKUP(D296,PREVCURVES,VLOOKUP(G296,MOVE_DOWN2,2,FALSE),FALSE)),VLOOKUP(G296,NGPREVPRICES,2,FALSE),CK296,VLOOKUP(G296,NGPREVPRICES,4,FALSE),HLOOKUP(D296,PREVVOLS,VLOOKUP(G296,MOVE_DOWN2,2,FALSE),FALSE),VLOOKUP(G296,NGPREVPRICES,3,FALSE),HLOOKUP(D296,Correllate,VLOOKUP(G296,CorMove,2,FALSE),FALSE),Q296-$CD$3,R296,$CJ$5)*H296</f>
        <v>-74548.084161956373</v>
      </c>
      <c r="CK296" s="235">
        <f t="shared" si="339"/>
        <v>0.7</v>
      </c>
      <c r="CL296" s="234"/>
      <c r="CM296" t="str">
        <f t="shared" si="340"/>
        <v>36982Curve Shift/Gamma</v>
      </c>
      <c r="CN296" t="str">
        <f t="shared" si="287"/>
        <v>36982Rho</v>
      </c>
      <c r="CO296" t="str">
        <f t="shared" si="288"/>
        <v>36982Drift</v>
      </c>
      <c r="CP296" t="str">
        <f t="shared" si="289"/>
        <v>36982Vega</v>
      </c>
      <c r="CQ296" t="str">
        <f t="shared" si="290"/>
        <v>36982Theta</v>
      </c>
    </row>
    <row r="297" spans="1:95" x14ac:dyDescent="0.25">
      <c r="A297" s="382" t="s">
        <v>363</v>
      </c>
      <c r="B297" t="s">
        <v>250</v>
      </c>
      <c r="C297" t="s">
        <v>427</v>
      </c>
      <c r="D297" s="4" t="s">
        <v>7</v>
      </c>
      <c r="E297" t="s">
        <v>20</v>
      </c>
      <c r="F297" t="s">
        <v>21</v>
      </c>
      <c r="G297" s="5">
        <v>36982</v>
      </c>
      <c r="H297" s="130">
        <v>-2100000</v>
      </c>
      <c r="I297">
        <v>0.7</v>
      </c>
      <c r="J297" s="53">
        <f t="shared" si="316"/>
        <v>3.9380000000000002</v>
      </c>
      <c r="K297" s="7">
        <f t="shared" si="317"/>
        <v>0.52</v>
      </c>
      <c r="L297" s="53">
        <f t="shared" si="318"/>
        <v>4.4580000000000002</v>
      </c>
      <c r="M297" s="157">
        <f t="shared" si="319"/>
        <v>6.9061726541120999E-2</v>
      </c>
      <c r="N297" s="4">
        <f t="shared" si="320"/>
        <v>0.4425</v>
      </c>
      <c r="O297" s="4">
        <f t="shared" si="321"/>
        <v>0.434</v>
      </c>
      <c r="P297" s="9">
        <f t="shared" si="322"/>
        <v>0.9738</v>
      </c>
      <c r="Q297" s="5">
        <f t="shared" si="310"/>
        <v>36979</v>
      </c>
      <c r="R297" s="4">
        <f t="shared" si="323"/>
        <v>1</v>
      </c>
      <c r="S297" s="158">
        <f>_xll.xSPRDOPT($L297,$J297,$I297,$M297,$O297,$N297,$P297,$Q297-$C$3,$R297,0)</f>
        <v>7.4256199589022007E-2</v>
      </c>
      <c r="T297" s="159">
        <f>_xll.xSPRDOPT($L297,$J297,$I297,$M297,$O297,$N297,$P297,$Q297-$C$3,$R297,1)*H297</f>
        <v>-679296.95256991207</v>
      </c>
      <c r="U297" s="160">
        <f t="shared" si="324"/>
        <v>-155938.01913694621</v>
      </c>
      <c r="V297" s="159">
        <f>_xll.xSPRDOPT($L297,$J297,$I297,$M297,$O297,$N297,$P297,$Q297-$C$3,$R297,2)*H297</f>
        <v>633427.05406539747</v>
      </c>
      <c r="W297" s="159">
        <f t="shared" si="325"/>
        <v>-45869.898504514596</v>
      </c>
      <c r="X297" s="51" t="str">
        <f t="shared" si="341"/>
        <v>36982IF-TRANSCO/Z6</v>
      </c>
      <c r="Y297" s="418">
        <f t="shared" si="342"/>
        <v>-210</v>
      </c>
      <c r="Z297" s="456">
        <f t="shared" si="343"/>
        <v>0.32347473931900572</v>
      </c>
      <c r="AA297" s="456">
        <f>_xll.xSPRDOPT($L297,$J297,$I297,$M297,$O297,$N297,$P297,$Q297-$C$3,$R297,3)</f>
        <v>0.95901980555212163</v>
      </c>
      <c r="AB297" s="456">
        <f>((_xll.xSPRDOPT($L297+AB$5,$J297,$I297,$M297,$O297,$N297,$P297,$Q297-$C$3,$R297,3)*$H297)/10000)/100</f>
        <v>-2.0139415916594552</v>
      </c>
      <c r="AC297" s="456">
        <f>((_xll.xSPRDOPT($L297+$AB$5,$J297,$I297,$M297,$O297,$N297,$P297,$Q297-$C$3,$R297,7)*$H297)/100)</f>
        <v>38390.325666993318</v>
      </c>
      <c r="AD297" s="456">
        <f>(_xll.xSPRDOPT($L297+$AB$5,$J297,$I297,$M297,$O297,$N297,$P297,$Q297-$C$3,$R297,9)/365)*$H297</f>
        <v>614.06630952957016</v>
      </c>
      <c r="AE297">
        <f t="shared" si="314"/>
        <v>0</v>
      </c>
      <c r="AF297" s="456">
        <f t="shared" si="315"/>
        <v>-6162.429012018616</v>
      </c>
      <c r="AG297" s="456">
        <f>((_xll.xSPRDOPT($L297,$J297,$I297,$M297,$O297,$N297,$P297,$Q297-$C$3,$R297,6)*$H297)/100)</f>
        <v>8239.7676092775473</v>
      </c>
      <c r="AH297" s="456">
        <f>((_xll.xSPRDOPT($L297,$J297,$I297,$M297,$O297,$N297,$P297,$Q297-$C$3,$R297,5)*$H297)/100)</f>
        <v>-14684.267292450582</v>
      </c>
      <c r="AI297" s="456">
        <f>(((_xll.xSPRDOPT($L297,$J297,$I297,$M297,$O297,$N297,$P297,$Q297-$C$3,$R297,4)*$H297)/10000)/100)-AB297</f>
        <v>9.9682561296514427E-2</v>
      </c>
      <c r="AJ297" s="456"/>
      <c r="AK297" s="456"/>
      <c r="AL297" s="456"/>
      <c r="AM297" s="472"/>
      <c r="CC297" s="141">
        <f t="shared" si="336"/>
        <v>36982</v>
      </c>
      <c r="CD297" s="234">
        <f>_xll.xSPRDOPT((VLOOKUP(G297,NGPrices,2,FALSE)+HLOOKUP(D297,Prices,VLOOKUP(G297,move_down,2,FALSE),FALSE)),VLOOKUP(G297,NGPrices,2,FALSE),I297,VLOOKUP(G297,NGPREVPRICES,4,FALSE),HLOOKUP(D297,PREVVOLS,VLOOKUP(G297,MOVE_DOWN2,2,FALSE),FALSE),VLOOKUP(G297,NGPREVPRICES,3,FALSE),HLOOKUP(D297,Correllate,VLOOKUP(G297,CorMove,2,FALSE),FALSE),Q297-$CD$3,R297,$CD$5)*H297-CJ297</f>
        <v>0</v>
      </c>
      <c r="CE297" s="234">
        <f>_xll.xSPRDOPT((VLOOKUP(G297,NGPREVPRICES,2,FALSE)+HLOOKUP(D297,PREVCURVES,VLOOKUP(G297,MOVE_DOWN2,2,FALSE),FALSE)),VLOOKUP(G297,NGPREVPRICES,2,FALSE),CK297,VLOOKUP(G297,NGPrices,4,FALSE),HLOOKUP(D297,PREVVOLS,VLOOKUP(G297,MOVE_DOWN2,2,FALSE),FALSE),VLOOKUP(G297,NGPREVPRICES,3,FALSE),HLOOKUP(D297,Correllate,VLOOKUP(G297,CorMove,2,FALSE),FALSE),Q297-$CD$3,R297,$CJ$5)*H297-CJ297</f>
        <v>0</v>
      </c>
      <c r="CF297" s="10">
        <f t="shared" si="337"/>
        <v>30.270085574797122</v>
      </c>
      <c r="CG297" s="234">
        <f>_xll.xSPRDOPT((VLOOKUP(G297,NGPREVPRICES,2,FALSE)+HLOOKUP(D297,PREVCURVES,VLOOKUP(G297,MOVE_DOWN2,2,FALSE),FALSE)),VLOOKUP(G297,NGPREVPRICES,2,FALSE),CK297,VLOOKUP(G297,NGPREVPRICES,4,FALSE),HLOOKUP(D297,VOLS,VLOOKUP(G297,move_down,2,FALSE),FALSE),VLOOKUP(G297,NGPrices,3,FALSE),HLOOKUP(D297,Correllate,VLOOKUP(G297,CorMove,2,FALSE),FALSE),Q297-$CD$3,R297,$CJ$5)*H297-CJ297</f>
        <v>0</v>
      </c>
      <c r="CH297" s="234">
        <f>_xll.xSPRDOPT((VLOOKUP(G297,NGPREVPRICES,2,FALSE)+HLOOKUP(D297,PREVCURVES,VLOOKUP(G297,MOVE_DOWN2,2,FALSE),FALSE)),VLOOKUP(G297,NGPREVPRICES,2,FALSE),CK297,VLOOKUP(G297,NGPREVPRICES,4,FALSE),HLOOKUP(D297,PREVVOLS,VLOOKUP(G297,MOVE_DOWN2,2,FALSE),FALSE),VLOOKUP(G297,NGPREVPRICES,3,FALSE),HLOOKUP(D297,Correllate,VLOOKUP(G297,CorMove,2,FALSE),FALSE),Q297-$C$3,R297,$CJ$5)*H297-CJ297</f>
        <v>612.95760316215456</v>
      </c>
      <c r="CI297" s="234">
        <f t="shared" si="338"/>
        <v>643.22768873695168</v>
      </c>
      <c r="CJ297" s="234">
        <f>_xll.xSPRDOPT((VLOOKUP(G297,NGPREVPRICES,2,FALSE)+HLOOKUP(D297,PREVCURVES,VLOOKUP(G297,MOVE_DOWN2,2,FALSE),FALSE)),VLOOKUP(G297,NGPREVPRICES,2,FALSE),CK297,VLOOKUP(G297,NGPREVPRICES,4,FALSE),HLOOKUP(D297,PREVVOLS,VLOOKUP(G297,MOVE_DOWN2,2,FALSE),FALSE),VLOOKUP(G297,NGPREVPRICES,3,FALSE),HLOOKUP(D297,Correllate,VLOOKUP(G297,CorMove,2,FALSE),FALSE),Q297-$CD$3,R297,$CJ$5)*H297</f>
        <v>-156550.97674010837</v>
      </c>
      <c r="CK297" s="235">
        <f t="shared" si="339"/>
        <v>0.7</v>
      </c>
      <c r="CL297" s="234"/>
      <c r="CM297" t="str">
        <f t="shared" si="340"/>
        <v>36982Curve Shift/Gamma</v>
      </c>
      <c r="CN297" t="str">
        <f t="shared" si="287"/>
        <v>36982Rho</v>
      </c>
      <c r="CO297" t="str">
        <f t="shared" si="288"/>
        <v>36982Drift</v>
      </c>
      <c r="CP297" t="str">
        <f t="shared" si="289"/>
        <v>36982Vega</v>
      </c>
      <c r="CQ297" t="str">
        <f t="shared" si="290"/>
        <v>36982Theta</v>
      </c>
    </row>
    <row r="298" spans="1:95" x14ac:dyDescent="0.25">
      <c r="A298" s="382" t="s">
        <v>284</v>
      </c>
      <c r="B298" t="s">
        <v>250</v>
      </c>
      <c r="C298" t="s">
        <v>428</v>
      </c>
      <c r="D298" s="4" t="s">
        <v>7</v>
      </c>
      <c r="E298" t="s">
        <v>20</v>
      </c>
      <c r="F298" t="s">
        <v>1</v>
      </c>
      <c r="G298" s="5">
        <v>36951</v>
      </c>
      <c r="H298" s="130">
        <v>930000</v>
      </c>
      <c r="I298">
        <v>0.75</v>
      </c>
      <c r="J298" s="53">
        <f t="shared" si="316"/>
        <v>4.2130000000000001</v>
      </c>
      <c r="K298" s="7">
        <f t="shared" si="317"/>
        <v>1.075</v>
      </c>
      <c r="L298" s="53">
        <f t="shared" si="318"/>
        <v>5.2880000000000003</v>
      </c>
      <c r="M298" s="157">
        <f t="shared" si="319"/>
        <v>6.8879814952706994E-2</v>
      </c>
      <c r="N298" s="4">
        <f t="shared" si="320"/>
        <v>0.53249999999999997</v>
      </c>
      <c r="O298" s="4">
        <f t="shared" si="321"/>
        <v>0.61199999999999999</v>
      </c>
      <c r="P298" s="9">
        <f t="shared" si="322"/>
        <v>0.83</v>
      </c>
      <c r="Q298" s="5">
        <f t="shared" si="310"/>
        <v>36949</v>
      </c>
      <c r="R298" s="4">
        <f t="shared" si="323"/>
        <v>0</v>
      </c>
      <c r="S298" s="158">
        <f>_xll.xSPRDOPT($L298,$J298,$I298,$M298,$O298,$N298,$P298,$Q298-$C$3,$R298,0)</f>
        <v>0.34094497957691405</v>
      </c>
      <c r="T298" s="159">
        <f>_xll.xSPRDOPT($L298,$J298,$I298,$M298,$O298,$N298,$P298,$Q298-$C$3,$R298,1)*H298</f>
        <v>-315351.70372402045</v>
      </c>
      <c r="U298" s="160">
        <f t="shared" si="324"/>
        <v>317078.83100653009</v>
      </c>
      <c r="V298" s="159">
        <f>_xll.xSPRDOPT($L298,$J298,$I298,$M298,$O298,$N298,$P298,$Q298-$C$3,$R298,2)*H298</f>
        <v>396431.58219989704</v>
      </c>
      <c r="W298" s="159">
        <f t="shared" si="325"/>
        <v>81079.878475876583</v>
      </c>
      <c r="X298" s="51" t="str">
        <f t="shared" si="341"/>
        <v>36951IF-TRANSCO/Z6</v>
      </c>
      <c r="Y298" s="418">
        <f t="shared" si="342"/>
        <v>93</v>
      </c>
      <c r="Z298" s="456">
        <f t="shared" si="343"/>
        <v>-0.33908785346668868</v>
      </c>
      <c r="AA298" s="456">
        <f>_xll.xSPRDOPT($L298,$J298,$I298,$M298,$O298,$N298,$P298,$Q298-$C$3,$R298,3)</f>
        <v>0.27707202713581769</v>
      </c>
      <c r="AB298" s="456">
        <f>((_xll.xSPRDOPT($L298+AB$5,$J298,$I298,$M298,$O298,$N298,$P298,$Q298-$C$3,$R298,3)*$H298)/10000)/100</f>
        <v>0.2576769852363105</v>
      </c>
      <c r="AC298" s="456">
        <f>((_xll.xSPRDOPT($L298+$AB$5,$J298,$I298,$M298,$O298,$N298,$P298,$Q298-$C$3,$R298,7)*$H298)/100)</f>
        <v>-9928.5753617407026</v>
      </c>
      <c r="AD298" s="456">
        <f>(_xll.xSPRDOPT($L298+$AB$5,$J298,$I298,$M298,$O298,$N298,$P298,$Q298-$C$3,$R298,9)/365)*$H298</f>
        <v>-1127.7428126057328</v>
      </c>
      <c r="AE298">
        <f t="shared" si="314"/>
        <v>0</v>
      </c>
      <c r="AF298" s="456">
        <f t="shared" si="315"/>
        <v>8112.35678244684</v>
      </c>
      <c r="AG298" s="456">
        <f>((_xll.xSPRDOPT($L298,$J298,$I298,$M298,$O298,$N298,$P298,$Q298-$C$3,$R298,6)*$H298)/100)</f>
        <v>-1665.6468452265044</v>
      </c>
      <c r="AH298" s="456">
        <f>((_xll.xSPRDOPT($L298,$J298,$I298,$M298,$O298,$N298,$P298,$Q298-$C$3,$R298,5)*$H298)/100)</f>
        <v>8507.8217838824439</v>
      </c>
      <c r="AI298" s="456">
        <f>(((_xll.xSPRDOPT($L298,$J298,$I298,$M298,$O298,$N298,$P298,$Q298-$C$3,$R298,4)*$H298)/10000)/100)-AB298</f>
        <v>3.5553717394923801E-2</v>
      </c>
      <c r="AJ298" s="456"/>
      <c r="AK298" s="456"/>
      <c r="AL298" s="456"/>
      <c r="AM298" s="472"/>
      <c r="CC298" s="141">
        <f t="shared" si="336"/>
        <v>36951</v>
      </c>
      <c r="CD298" s="234">
        <f>_xll.xSPRDOPT((VLOOKUP(G298,NGPrices,2,FALSE)+HLOOKUP(D298,Prices,VLOOKUP(G298,move_down,2,FALSE),FALSE)),VLOOKUP(G298,NGPrices,2,FALSE),I298,VLOOKUP(G298,NGPREVPRICES,4,FALSE),HLOOKUP(D298,PREVVOLS,VLOOKUP(G298,MOVE_DOWN2,2,FALSE),FALSE),VLOOKUP(G298,NGPREVPRICES,3,FALSE),HLOOKUP(D298,Correllate,VLOOKUP(G298,CorMove,2,FALSE),FALSE),Q298-$CD$3,R298,$CD$5)*H298-CJ298</f>
        <v>0</v>
      </c>
      <c r="CE298" s="234">
        <f>_xll.xSPRDOPT((VLOOKUP(G298,NGPREVPRICES,2,FALSE)+HLOOKUP(D298,PREVCURVES,VLOOKUP(G298,MOVE_DOWN2,2,FALSE),FALSE)),VLOOKUP(G298,NGPREVPRICES,2,FALSE),CK298,VLOOKUP(G298,NGPrices,4,FALSE),HLOOKUP(D298,PREVVOLS,VLOOKUP(G298,MOVE_DOWN2,2,FALSE),FALSE),VLOOKUP(G298,NGPREVPRICES,3,FALSE),HLOOKUP(D298,Correllate,VLOOKUP(G298,CorMove,2,FALSE),FALSE),Q298-$CD$3,R298,$CJ$5)*H298-CJ298</f>
        <v>0</v>
      </c>
      <c r="CF298" s="10">
        <f t="shared" si="337"/>
        <v>-61.026782303350046</v>
      </c>
      <c r="CG298" s="234">
        <f>_xll.xSPRDOPT((VLOOKUP(G298,NGPREVPRICES,2,FALSE)+HLOOKUP(D298,PREVCURVES,VLOOKUP(G298,MOVE_DOWN2,2,FALSE),FALSE)),VLOOKUP(G298,NGPREVPRICES,2,FALSE),CK298,VLOOKUP(G298,NGPREVPRICES,4,FALSE),HLOOKUP(D298,VOLS,VLOOKUP(G298,move_down,2,FALSE),FALSE),VLOOKUP(G298,NGPrices,3,FALSE),HLOOKUP(D298,Correllate,VLOOKUP(G298,CorMove,2,FALSE),FALSE),Q298-$CD$3,R298,$CJ$5)*H298-CJ298</f>
        <v>0</v>
      </c>
      <c r="CH298" s="234">
        <f>_xll.xSPRDOPT((VLOOKUP(G298,NGPREVPRICES,2,FALSE)+HLOOKUP(D298,PREVCURVES,VLOOKUP(G298,MOVE_DOWN2,2,FALSE),FALSE)),VLOOKUP(G298,NGPREVPRICES,2,FALSE),CK298,VLOOKUP(G298,NGPREVPRICES,4,FALSE),HLOOKUP(D298,PREVVOLS,VLOOKUP(G298,MOVE_DOWN2,2,FALSE),FALSE),VLOOKUP(G298,NGPREVPRICES,3,FALSE),HLOOKUP(D298,Correllate,VLOOKUP(G298,CorMove,2,FALSE),FALSE),Q298-$C$3,R298,$CJ$5)*H298-CJ298</f>
        <v>-1125.223151625949</v>
      </c>
      <c r="CI298" s="234">
        <f t="shared" si="338"/>
        <v>-1186.249933929299</v>
      </c>
      <c r="CJ298" s="234">
        <f>_xll.xSPRDOPT((VLOOKUP(G298,NGPREVPRICES,2,FALSE)+HLOOKUP(D298,PREVCURVES,VLOOKUP(G298,MOVE_DOWN2,2,FALSE),FALSE)),VLOOKUP(G298,NGPREVPRICES,2,FALSE),CK298,VLOOKUP(G298,NGPREVPRICES,4,FALSE),HLOOKUP(D298,PREVVOLS,VLOOKUP(G298,MOVE_DOWN2,2,FALSE),FALSE),VLOOKUP(G298,NGPREVPRICES,3,FALSE),HLOOKUP(D298,Correllate,VLOOKUP(G298,CorMove,2,FALSE),FALSE),Q298-$CD$3,R298,$CJ$5)*H298</f>
        <v>318204.05415815604</v>
      </c>
      <c r="CK298" s="235">
        <f t="shared" si="339"/>
        <v>0.75</v>
      </c>
      <c r="CL298" s="234"/>
      <c r="CM298" t="str">
        <f t="shared" si="340"/>
        <v>36951Curve Shift/Gamma</v>
      </c>
      <c r="CN298" t="str">
        <f t="shared" si="287"/>
        <v>36951Rho</v>
      </c>
      <c r="CO298" t="str">
        <f t="shared" si="288"/>
        <v>36951Drift</v>
      </c>
      <c r="CP298" t="str">
        <f t="shared" si="289"/>
        <v>36951Vega</v>
      </c>
      <c r="CQ298" t="str">
        <f t="shared" si="290"/>
        <v>36951Theta</v>
      </c>
    </row>
    <row r="299" spans="1:95" x14ac:dyDescent="0.25">
      <c r="A299" s="382" t="s">
        <v>284</v>
      </c>
      <c r="B299" t="s">
        <v>250</v>
      </c>
      <c r="C299" t="s">
        <v>428</v>
      </c>
      <c r="D299" s="4" t="s">
        <v>7</v>
      </c>
      <c r="E299" t="s">
        <v>20</v>
      </c>
      <c r="F299" t="s">
        <v>1</v>
      </c>
      <c r="G299" s="5">
        <v>36923</v>
      </c>
      <c r="H299" s="130">
        <v>840000</v>
      </c>
      <c r="I299">
        <v>0.75</v>
      </c>
      <c r="J299" s="53">
        <f t="shared" si="316"/>
        <v>4.4800000000000004</v>
      </c>
      <c r="K299" s="7">
        <f t="shared" si="317"/>
        <v>2.09</v>
      </c>
      <c r="L299" s="53">
        <f t="shared" si="318"/>
        <v>6.57</v>
      </c>
      <c r="M299" s="157">
        <f t="shared" ref="M299:M325" si="344">VLOOKUP(G299,NGPrices,4,FALSE)</f>
        <v>6.8640161611372E-2</v>
      </c>
      <c r="N299" s="4">
        <f t="shared" ref="N299:N325" si="345">VLOOKUP(G299,NGPrices,3,FALSE)</f>
        <v>0.59250000000000003</v>
      </c>
      <c r="O299" s="4">
        <f t="shared" ref="O299:O325" si="346">HLOOKUP(D299,VOLS,VLOOKUP(G299,move_down,2,FALSE),FALSE)</f>
        <v>0.68100000000000005</v>
      </c>
      <c r="P299" s="9">
        <f t="shared" ref="P299:P325" si="347">HLOOKUP(D299,Correllate,VLOOKUP(G299,CorMove,2,FALSE),FALSE)</f>
        <v>0.83</v>
      </c>
      <c r="Q299" s="5">
        <f t="shared" si="310"/>
        <v>36921</v>
      </c>
      <c r="R299" s="4">
        <f t="shared" ref="R299:R325" si="348">IF(F299="P",0,1)</f>
        <v>0</v>
      </c>
      <c r="S299" s="158">
        <f>_xll.xSPRDOPT($L299,$J299,$I299,$M299,$O299,$N299,$P299,$Q299-$C$3,$R299,0)</f>
        <v>0.13906565808994997</v>
      </c>
      <c r="T299" s="159">
        <f>_xll.xSPRDOPT($L299,$J299,$I299,$M299,$O299,$N299,$P299,$Q299-$C$3,$R299,1)*H299</f>
        <v>-121998.14985958305</v>
      </c>
      <c r="U299" s="160">
        <f t="shared" ref="U299:U325" si="349">S299*H299</f>
        <v>116815.15279555798</v>
      </c>
      <c r="V299" s="159">
        <f>_xll.xSPRDOPT($L299,$J299,$I299,$M299,$O299,$N299,$P299,$Q299-$C$3,$R299,2)*H299</f>
        <v>173337.98748625579</v>
      </c>
      <c r="W299" s="159">
        <f t="shared" ref="W299:W325" si="350">+V299+T299</f>
        <v>51339.837626672743</v>
      </c>
      <c r="X299" s="51" t="str">
        <f t="shared" si="341"/>
        <v>36923IF-TRANSCO/Z6</v>
      </c>
      <c r="Y299" s="418">
        <f t="shared" si="342"/>
        <v>84</v>
      </c>
      <c r="Z299" s="456">
        <f t="shared" si="343"/>
        <v>-0.14523589268997983</v>
      </c>
      <c r="AA299" s="456">
        <f>_xll.xSPRDOPT($L299,$J299,$I299,$M299,$O299,$N299,$P299,$Q299-$C$3,$R299,3)</f>
        <v>0.13751360448045827</v>
      </c>
      <c r="AB299" s="456">
        <f>((_xll.xSPRDOPT($L299+AB$5,$J299,$I299,$M299,$O299,$N299,$P299,$Q299-$C$3,$R299,3)*$H299)/10000)/100</f>
        <v>0.11551142776358495</v>
      </c>
      <c r="AC299" s="456">
        <f>((_xll.xSPRDOPT($L299+$AB$5,$J299,$I299,$M299,$O299,$N299,$P299,$Q299-$C$3,$R299,7)*$H299)/100)</f>
        <v>-7219.1485757850087</v>
      </c>
      <c r="AD299" s="456">
        <f>(_xll.xSPRDOPT($L299+$AB$5,$J299,$I299,$M299,$O299,$N299,$P299,$Q299-$C$3,$R299,9)/365)*$H299</f>
        <v>-994.74538314681161</v>
      </c>
      <c r="AE299">
        <f t="shared" si="314"/>
        <v>0</v>
      </c>
      <c r="AF299" s="456">
        <f t="shared" si="315"/>
        <v>5281.5745456779596</v>
      </c>
      <c r="AG299" s="456">
        <f>((_xll.xSPRDOPT($L299,$J299,$I299,$M299,$O299,$N299,$P299,$Q299-$C$3,$R299,6)*$H299)/100)</f>
        <v>-1060.3110098065754</v>
      </c>
      <c r="AH299" s="456">
        <f>((_xll.xSPRDOPT($L299,$J299,$I299,$M299,$O299,$N299,$P299,$Q299-$C$3,$R299,5)*$H299)/100)</f>
        <v>5517.7198114898483</v>
      </c>
      <c r="AI299" s="456">
        <f>(((_xll.xSPRDOPT($L299,$J299,$I299,$M299,$O299,$N299,$P299,$Q299-$C$3,$R299,4)*$H299)/10000)/100)-AB299</f>
        <v>6.5039699703786036E-2</v>
      </c>
      <c r="AJ299" s="456"/>
      <c r="AK299" s="456"/>
      <c r="AL299" s="456"/>
      <c r="AM299" s="472"/>
      <c r="CC299" s="141">
        <f t="shared" ref="CC299:CC305" si="351">G299</f>
        <v>36923</v>
      </c>
      <c r="CD299" s="234">
        <f>_xll.xSPRDOPT((VLOOKUP(G299,NGPrices,2,FALSE)+HLOOKUP(D299,Prices,VLOOKUP(G299,move_down,2,FALSE),FALSE)),VLOOKUP(G299,NGPrices,2,FALSE),I299,VLOOKUP(G299,NGPREVPRICES,4,FALSE),HLOOKUP(D299,PREVVOLS,VLOOKUP(G299,MOVE_DOWN2,2,FALSE),FALSE),VLOOKUP(G299,NGPREVPRICES,3,FALSE),HLOOKUP(D299,Correllate,VLOOKUP(G299,CorMove,2,FALSE),FALSE),Q299-$CD$3,R299,$CD$5)*H299-CJ299</f>
        <v>0</v>
      </c>
      <c r="CE299" s="234">
        <f>_xll.xSPRDOPT((VLOOKUP(G299,NGPREVPRICES,2,FALSE)+HLOOKUP(D299,PREVCURVES,VLOOKUP(G299,MOVE_DOWN2,2,FALSE),FALSE)),VLOOKUP(G299,NGPREVPRICES,2,FALSE),CK299,VLOOKUP(G299,NGPrices,4,FALSE),HLOOKUP(D299,PREVVOLS,VLOOKUP(G299,MOVE_DOWN2,2,FALSE),FALSE),VLOOKUP(G299,NGPREVPRICES,3,FALSE),HLOOKUP(D299,Correllate,VLOOKUP(G299,CorMove,2,FALSE),FALSE),Q299-$CD$3,R299,$CJ$5)*H299-CJ299</f>
        <v>0</v>
      </c>
      <c r="CF299" s="10">
        <f t="shared" ref="CF299:CF305" si="352">(CJ299/VLOOKUP(CC299,discount,3,FALSE))-(CJ299/VLOOKUP(CC299,discount,2,FALSE))</f>
        <v>-22.405863409789163</v>
      </c>
      <c r="CG299" s="234">
        <f>_xll.xSPRDOPT((VLOOKUP(G299,NGPREVPRICES,2,FALSE)+HLOOKUP(D299,PREVCURVES,VLOOKUP(G299,MOVE_DOWN2,2,FALSE),FALSE)),VLOOKUP(G299,NGPREVPRICES,2,FALSE),CK299,VLOOKUP(G299,NGPREVPRICES,4,FALSE),HLOOKUP(D299,VOLS,VLOOKUP(G299,move_down,2,FALSE),FALSE),VLOOKUP(G299,NGPrices,3,FALSE),HLOOKUP(D299,Correllate,VLOOKUP(G299,CorMove,2,FALSE),FALSE),Q299-$CD$3,R299,$CJ$5)*H299-CJ299</f>
        <v>0</v>
      </c>
      <c r="CH299" s="234">
        <f>_xll.xSPRDOPT((VLOOKUP(G299,NGPREVPRICES,2,FALSE)+HLOOKUP(D299,PREVCURVES,VLOOKUP(G299,MOVE_DOWN2,2,FALSE),FALSE)),VLOOKUP(G299,NGPREVPRICES,2,FALSE),CK299,VLOOKUP(G299,NGPREVPRICES,4,FALSE),HLOOKUP(D299,PREVVOLS,VLOOKUP(G299,MOVE_DOWN2,2,FALSE),FALSE),VLOOKUP(G299,NGPREVPRICES,3,FALSE),HLOOKUP(D299,Correllate,VLOOKUP(G299,CorMove,2,FALSE),FALSE),Q299-$C$3,R299,$CJ$5)*H299-CJ299</f>
        <v>-993.58655118836032</v>
      </c>
      <c r="CI299" s="234">
        <f t="shared" ref="CI299:CI305" si="353">SUM(CD299:CH299)</f>
        <v>-1015.9924145981495</v>
      </c>
      <c r="CJ299" s="234">
        <f>_xll.xSPRDOPT((VLOOKUP(G299,NGPREVPRICES,2,FALSE)+HLOOKUP(D299,PREVCURVES,VLOOKUP(G299,MOVE_DOWN2,2,FALSE),FALSE)),VLOOKUP(G299,NGPREVPRICES,2,FALSE),CK299,VLOOKUP(G299,NGPREVPRICES,4,FALSE),HLOOKUP(D299,PREVVOLS,VLOOKUP(G299,MOVE_DOWN2,2,FALSE),FALSE),VLOOKUP(G299,NGPREVPRICES,3,FALSE),HLOOKUP(D299,Correllate,VLOOKUP(G299,CorMove,2,FALSE),FALSE),Q299-$CD$3,R299,$CJ$5)*H299</f>
        <v>117808.73934674634</v>
      </c>
      <c r="CK299" s="235">
        <f t="shared" ref="CK299:CK305" si="354">I299</f>
        <v>0.75</v>
      </c>
      <c r="CL299" s="234"/>
      <c r="CM299" t="str">
        <f t="shared" ref="CM299:CM334" si="355">CONCATENATE(CC299,$CD$6)</f>
        <v>36923Curve Shift/Gamma</v>
      </c>
      <c r="CN299" t="str">
        <f t="shared" si="287"/>
        <v>36923Rho</v>
      </c>
      <c r="CO299" t="str">
        <f t="shared" si="288"/>
        <v>36923Drift</v>
      </c>
      <c r="CP299" t="str">
        <f t="shared" si="289"/>
        <v>36923Vega</v>
      </c>
      <c r="CQ299" t="str">
        <f t="shared" si="290"/>
        <v>36923Theta</v>
      </c>
    </row>
    <row r="300" spans="1:95" x14ac:dyDescent="0.25">
      <c r="A300" s="382" t="s">
        <v>284</v>
      </c>
      <c r="B300" t="s">
        <v>250</v>
      </c>
      <c r="C300" t="s">
        <v>428</v>
      </c>
      <c r="D300" s="4" t="s">
        <v>7</v>
      </c>
      <c r="E300" t="s">
        <v>20</v>
      </c>
      <c r="F300" t="s">
        <v>1</v>
      </c>
      <c r="G300" s="5">
        <v>36892</v>
      </c>
      <c r="H300" s="130">
        <v>930000</v>
      </c>
      <c r="I300">
        <v>0.75</v>
      </c>
      <c r="J300" s="53">
        <f t="shared" si="316"/>
        <v>4.7439999999999998</v>
      </c>
      <c r="K300" s="7">
        <f t="shared" si="317"/>
        <v>2.17</v>
      </c>
      <c r="L300" s="53">
        <f t="shared" si="318"/>
        <v>6.9139999999999997</v>
      </c>
      <c r="M300" s="157">
        <f t="shared" si="344"/>
        <v>6.8374831148490994E-2</v>
      </c>
      <c r="N300" s="4">
        <f t="shared" si="345"/>
        <v>0.60499999999999998</v>
      </c>
      <c r="O300" s="4">
        <f t="shared" si="346"/>
        <v>0.69599999999999995</v>
      </c>
      <c r="P300" s="9">
        <f t="shared" si="347"/>
        <v>0.83</v>
      </c>
      <c r="Q300" s="5">
        <f t="shared" si="310"/>
        <v>36888</v>
      </c>
      <c r="R300" s="4">
        <f t="shared" si="348"/>
        <v>0</v>
      </c>
      <c r="S300" s="158">
        <f>_xll.xSPRDOPT($L300,$J300,$I300,$M300,$O300,$N300,$P300,$Q300-$C$3,$R300,0)</f>
        <v>0.10942744498145573</v>
      </c>
      <c r="T300" s="159">
        <f>_xll.xSPRDOPT($L300,$J300,$I300,$M300,$O300,$N300,$P300,$Q300-$C$3,$R300,1)*H300</f>
        <v>-117346.82799074898</v>
      </c>
      <c r="U300" s="160">
        <f t="shared" si="349"/>
        <v>101767.52383275384</v>
      </c>
      <c r="V300" s="159">
        <f>_xll.xSPRDOPT($L300,$J300,$I300,$M300,$O300,$N300,$P300,$Q300-$C$3,$R300,2)*H300</f>
        <v>164371.13384441315</v>
      </c>
      <c r="W300" s="159">
        <f t="shared" si="350"/>
        <v>47024.305853664177</v>
      </c>
      <c r="X300" s="51" t="str">
        <f t="shared" si="341"/>
        <v>36892IF-TRANSCO/Z6</v>
      </c>
      <c r="Y300" s="418">
        <f t="shared" si="342"/>
        <v>93</v>
      </c>
      <c r="Z300" s="456">
        <f t="shared" si="343"/>
        <v>-0.12617938493628922</v>
      </c>
      <c r="AA300" s="456">
        <f>_xll.xSPRDOPT($L300,$J300,$I300,$M300,$O300,$N300,$P300,$Q300-$C$3,$R300,3)</f>
        <v>0.13157412676368174</v>
      </c>
      <c r="AB300" s="456">
        <f>((_xll.xSPRDOPT($L300+AB$5,$J300,$I300,$M300,$O300,$N300,$P300,$Q300-$C$3,$R300,3)*$H300)/10000)/100</f>
        <v>0.12236393789022401</v>
      </c>
      <c r="AC300" s="456">
        <f>((_xll.xSPRDOPT($L300+$AB$5,$J300,$I300,$M300,$O300,$N300,$P300,$Q300-$C$3,$R300,7)*$H300)/100)</f>
        <v>-7002.2316699879484</v>
      </c>
      <c r="AD300" s="456">
        <f>(_xll.xSPRDOPT($L300+$AB$5,$J300,$I300,$M300,$O300,$N300,$P300,$Q300-$C$3,$R300,9)/365)*$H300</f>
        <v>-1221.387066843437</v>
      </c>
      <c r="AE300">
        <f t="shared" si="314"/>
        <v>0</v>
      </c>
      <c r="AF300" s="456">
        <f t="shared" si="315"/>
        <v>4958.4078472498995</v>
      </c>
      <c r="AG300" s="456">
        <f>((_xll.xSPRDOPT($L300,$J300,$I300,$M300,$O300,$N300,$P300,$Q300-$C$3,$R300,6)*$H300)/100)</f>
        <v>-950.84507868833157</v>
      </c>
      <c r="AH300" s="456">
        <f>((_xll.xSPRDOPT($L300,$J300,$I300,$M300,$O300,$N300,$P300,$Q300-$C$3,$R300,5)*$H300)/100)</f>
        <v>5136.6350864836641</v>
      </c>
      <c r="AI300" s="456">
        <f>(((_xll.xSPRDOPT($L300,$J300,$I300,$M300,$O300,$N300,$P300,$Q300-$C$3,$R300,4)*$H300)/10000)/100)-AB300</f>
        <v>6.9528592801593875E-2</v>
      </c>
      <c r="AJ300" s="456"/>
      <c r="AK300" s="456"/>
      <c r="AL300" s="456"/>
      <c r="AM300" s="472"/>
      <c r="CC300" s="141">
        <f t="shared" si="351"/>
        <v>36892</v>
      </c>
      <c r="CD300" s="234">
        <f>_xll.xSPRDOPT((VLOOKUP(G300,NGPrices,2,FALSE)+HLOOKUP(D300,Prices,VLOOKUP(G300,move_down,2,FALSE),FALSE)),VLOOKUP(G300,NGPrices,2,FALSE),I300,VLOOKUP(G300,NGPREVPRICES,4,FALSE),HLOOKUP(D300,PREVVOLS,VLOOKUP(G300,MOVE_DOWN2,2,FALSE),FALSE),VLOOKUP(G300,NGPREVPRICES,3,FALSE),HLOOKUP(D300,Correllate,VLOOKUP(G300,CorMove,2,FALSE),FALSE),Q300-$CD$3,R300,$CD$5)*H300-CJ300</f>
        <v>0</v>
      </c>
      <c r="CE300" s="234">
        <f>_xll.xSPRDOPT((VLOOKUP(G300,NGPREVPRICES,2,FALSE)+HLOOKUP(D300,PREVCURVES,VLOOKUP(G300,MOVE_DOWN2,2,FALSE),FALSE)),VLOOKUP(G300,NGPREVPRICES,2,FALSE),CK300,VLOOKUP(G300,NGPrices,4,FALSE),HLOOKUP(D300,PREVVOLS,VLOOKUP(G300,MOVE_DOWN2,2,FALSE),FALSE),VLOOKUP(G300,NGPREVPRICES,3,FALSE),HLOOKUP(D300,Correllate,VLOOKUP(G300,CorMove,2,FALSE),FALSE),Q300-$CD$3,R300,$CJ$5)*H300-CJ300</f>
        <v>0</v>
      </c>
      <c r="CF300" s="10">
        <f t="shared" si="352"/>
        <v>-19.407161880066269</v>
      </c>
      <c r="CG300" s="234">
        <f>_xll.xSPRDOPT((VLOOKUP(G300,NGPREVPRICES,2,FALSE)+HLOOKUP(D300,PREVCURVES,VLOOKUP(G300,MOVE_DOWN2,2,FALSE),FALSE)),VLOOKUP(G300,NGPREVPRICES,2,FALSE),CK300,VLOOKUP(G300,NGPREVPRICES,4,FALSE),HLOOKUP(D300,VOLS,VLOOKUP(G300,move_down,2,FALSE),FALSE),VLOOKUP(G300,NGPrices,3,FALSE),HLOOKUP(D300,Correllate,VLOOKUP(G300,CorMove,2,FALSE),FALSE),Q300-$CD$3,R300,$CJ$5)*H300-CJ300</f>
        <v>0</v>
      </c>
      <c r="CH300" s="234">
        <f>_xll.xSPRDOPT((VLOOKUP(G300,NGPREVPRICES,2,FALSE)+HLOOKUP(D300,PREVCURVES,VLOOKUP(G300,MOVE_DOWN2,2,FALSE),FALSE)),VLOOKUP(G300,NGPREVPRICES,2,FALSE),CK300,VLOOKUP(G300,NGPREVPRICES,4,FALSE),HLOOKUP(D300,PREVVOLS,VLOOKUP(G300,MOVE_DOWN2,2,FALSE),FALSE),VLOOKUP(G300,NGPREVPRICES,3,FALSE),HLOOKUP(D300,Correllate,VLOOKUP(G300,CorMove,2,FALSE),FALSE),Q300-$C$3,R300,$CJ$5)*H300-CJ300</f>
        <v>-1220.387355396364</v>
      </c>
      <c r="CI300" s="234">
        <f t="shared" si="353"/>
        <v>-1239.7945172764303</v>
      </c>
      <c r="CJ300" s="234">
        <f>_xll.xSPRDOPT((VLOOKUP(G300,NGPREVPRICES,2,FALSE)+HLOOKUP(D300,PREVCURVES,VLOOKUP(G300,MOVE_DOWN2,2,FALSE),FALSE)),VLOOKUP(G300,NGPREVPRICES,2,FALSE),CK300,VLOOKUP(G300,NGPREVPRICES,4,FALSE),HLOOKUP(D300,PREVVOLS,VLOOKUP(G300,MOVE_DOWN2,2,FALSE),FALSE),VLOOKUP(G300,NGPREVPRICES,3,FALSE),HLOOKUP(D300,Correllate,VLOOKUP(G300,CorMove,2,FALSE),FALSE),Q300-$CD$3,R300,$CJ$5)*H300</f>
        <v>102987.9111881502</v>
      </c>
      <c r="CK300" s="235">
        <f t="shared" si="354"/>
        <v>0.75</v>
      </c>
      <c r="CL300" s="234"/>
      <c r="CM300" t="str">
        <f t="shared" si="355"/>
        <v>36892Curve Shift/Gamma</v>
      </c>
      <c r="CN300" t="str">
        <f t="shared" si="287"/>
        <v>36892Rho</v>
      </c>
      <c r="CO300" t="str">
        <f t="shared" si="288"/>
        <v>36892Drift</v>
      </c>
      <c r="CP300" t="str">
        <f t="shared" si="289"/>
        <v>36892Vega</v>
      </c>
      <c r="CQ300" t="str">
        <f t="shared" si="290"/>
        <v>36892Theta</v>
      </c>
    </row>
    <row r="301" spans="1:95" x14ac:dyDescent="0.25">
      <c r="A301" s="382" t="s">
        <v>284</v>
      </c>
      <c r="B301" t="s">
        <v>250</v>
      </c>
      <c r="C301" t="s">
        <v>428</v>
      </c>
      <c r="D301" s="4" t="s">
        <v>7</v>
      </c>
      <c r="E301" t="s">
        <v>20</v>
      </c>
      <c r="F301" t="s">
        <v>1</v>
      </c>
      <c r="G301" s="5">
        <v>36861</v>
      </c>
      <c r="H301" s="130">
        <v>930000</v>
      </c>
      <c r="I301">
        <v>0.75</v>
      </c>
      <c r="J301" s="53">
        <f t="shared" si="316"/>
        <v>4.8</v>
      </c>
      <c r="K301" s="7">
        <f t="shared" si="317"/>
        <v>1.645</v>
      </c>
      <c r="L301" s="53">
        <f t="shared" si="318"/>
        <v>6.4450000000000003</v>
      </c>
      <c r="M301" s="157">
        <f t="shared" si="344"/>
        <v>6.8314027999354002E-2</v>
      </c>
      <c r="N301" s="4">
        <f t="shared" si="345"/>
        <v>0.6</v>
      </c>
      <c r="O301" s="4">
        <f t="shared" si="346"/>
        <v>0.69</v>
      </c>
      <c r="P301" s="9">
        <f t="shared" si="347"/>
        <v>0.83</v>
      </c>
      <c r="Q301" s="5">
        <f t="shared" si="310"/>
        <v>36859</v>
      </c>
      <c r="R301" s="4">
        <f t="shared" si="348"/>
        <v>0</v>
      </c>
      <c r="S301" s="158">
        <f>_xll.xSPRDOPT($L301,$J301,$I301,$M301,$O301,$N301,$P301,$Q301-$C$3,$R301,0)</f>
        <v>0.14609680639816691</v>
      </c>
      <c r="T301" s="159">
        <f>_xll.xSPRDOPT($L301,$J301,$I301,$M301,$O301,$N301,$P301,$Q301-$C$3,$R301,1)*H301</f>
        <v>-177153.68100993941</v>
      </c>
      <c r="U301" s="160">
        <f t="shared" si="349"/>
        <v>135870.02995029523</v>
      </c>
      <c r="V301" s="159">
        <f>_xll.xSPRDOPT($L301,$J301,$I301,$M301,$O301,$N301,$P301,$Q301-$C$3,$R301,2)*H301</f>
        <v>228415.82093498157</v>
      </c>
      <c r="W301" s="159">
        <f t="shared" si="350"/>
        <v>51262.139925042167</v>
      </c>
      <c r="X301" s="51" t="str">
        <f t="shared" si="341"/>
        <v>36861IF-TRANSCO/Z6</v>
      </c>
      <c r="Y301" s="418">
        <f t="shared" si="342"/>
        <v>93</v>
      </c>
      <c r="Z301" s="456">
        <f t="shared" si="343"/>
        <v>-0.19048782904294559</v>
      </c>
      <c r="AA301" s="456">
        <f>_xll.xSPRDOPT($L301,$J301,$I301,$M301,$O301,$N301,$P301,$Q301-$C$3,$R301,3)</f>
        <v>0.21448030125474993</v>
      </c>
      <c r="AB301" s="456">
        <f>((_xll.xSPRDOPT($L301+AB$5,$J301,$I301,$M301,$O301,$N301,$P301,$Q301-$C$3,$R301,3)*$H301)/10000)/100</f>
        <v>0.19946668016691746</v>
      </c>
      <c r="AC301" s="456">
        <f>((_xll.xSPRDOPT($L301+$AB$5,$J301,$I301,$M301,$O301,$N301,$P301,$Q301-$C$3,$R301,7)*$H301)/100)</f>
        <v>-7445.2988064251504</v>
      </c>
      <c r="AD301" s="456">
        <f>(_xll.xSPRDOPT($L301+$AB$5,$J301,$I301,$M301,$O301,$N301,$P301,$Q301-$C$3,$R301,9)/365)*$H301</f>
        <v>-1696.2034385134207</v>
      </c>
      <c r="AE301">
        <f t="shared" si="314"/>
        <v>0</v>
      </c>
      <c r="AF301" s="456">
        <f t="shared" si="315"/>
        <v>5276.0611141028394</v>
      </c>
      <c r="AG301" s="456">
        <f>((_xll.xSPRDOPT($L301,$J301,$I301,$M301,$O301,$N301,$P301,$Q301-$C$3,$R301,6)*$H301)/100)</f>
        <v>-984.69253537545217</v>
      </c>
      <c r="AH301" s="456">
        <f>((_xll.xSPRDOPT($L301,$J301,$I301,$M301,$O301,$N301,$P301,$Q301-$C$3,$R301,5)*$H301)/100)</f>
        <v>5444.133608241993</v>
      </c>
      <c r="AI301" s="456">
        <f>(((_xll.xSPRDOPT($L301,$J301,$I301,$M301,$O301,$N301,$P301,$Q301-$C$3,$R301,4)*$H301)/10000)/100)-AB301</f>
        <v>6.8038772976131895E-2</v>
      </c>
      <c r="AJ301" s="456"/>
      <c r="AK301" s="456"/>
      <c r="AL301" s="456"/>
      <c r="AM301" s="472"/>
      <c r="CC301" s="141">
        <f t="shared" si="351"/>
        <v>36861</v>
      </c>
      <c r="CD301" s="234">
        <f>_xll.xSPRDOPT((VLOOKUP(G301,NGPrices,2,FALSE)+HLOOKUP(D301,Prices,VLOOKUP(G301,move_down,2,FALSE),FALSE)),VLOOKUP(G301,NGPrices,2,FALSE),I301,VLOOKUP(G301,NGPREVPRICES,4,FALSE),HLOOKUP(D301,PREVVOLS,VLOOKUP(G301,MOVE_DOWN2,2,FALSE),FALSE),VLOOKUP(G301,NGPREVPRICES,3,FALSE),HLOOKUP(D301,Correllate,VLOOKUP(G301,CorMove,2,FALSE),FALSE),Q301-$CD$3,R301,$CD$5)*H301-CJ301</f>
        <v>0</v>
      </c>
      <c r="CE301" s="234">
        <f>_xll.xSPRDOPT((VLOOKUP(G301,NGPREVPRICES,2,FALSE)+HLOOKUP(D301,PREVCURVES,VLOOKUP(G301,MOVE_DOWN2,2,FALSE),FALSE)),VLOOKUP(G301,NGPREVPRICES,2,FALSE),CK301,VLOOKUP(G301,NGPrices,4,FALSE),HLOOKUP(D301,PREVVOLS,VLOOKUP(G301,MOVE_DOWN2,2,FALSE),FALSE),VLOOKUP(G301,NGPREVPRICES,3,FALSE),HLOOKUP(D301,Correllate,VLOOKUP(G301,CorMove,2,FALSE),FALSE),Q301-$CD$3,R301,$CJ$5)*H301-CJ301</f>
        <v>0</v>
      </c>
      <c r="CF301" s="10">
        <f t="shared" si="352"/>
        <v>-25.770730196119985</v>
      </c>
      <c r="CG301" s="234">
        <f>_xll.xSPRDOPT((VLOOKUP(G301,NGPREVPRICES,2,FALSE)+HLOOKUP(D301,PREVCURVES,VLOOKUP(G301,MOVE_DOWN2,2,FALSE),FALSE)),VLOOKUP(G301,NGPREVPRICES,2,FALSE),CK301,VLOOKUP(G301,NGPREVPRICES,4,FALSE),HLOOKUP(D301,VOLS,VLOOKUP(G301,move_down,2,FALSE),FALSE),VLOOKUP(G301,NGPrices,3,FALSE),HLOOKUP(D301,Correllate,VLOOKUP(G301,CorMove,2,FALSE),FALSE),Q301-$CD$3,R301,$CJ$5)*H301-CJ301</f>
        <v>0</v>
      </c>
      <c r="CH301" s="234">
        <f>_xll.xSPRDOPT((VLOOKUP(G301,NGPREVPRICES,2,FALSE)+HLOOKUP(D301,PREVCURVES,VLOOKUP(G301,MOVE_DOWN2,2,FALSE),FALSE)),VLOOKUP(G301,NGPREVPRICES,2,FALSE),CK301,VLOOKUP(G301,NGPREVPRICES,4,FALSE),HLOOKUP(D301,PREVVOLS,VLOOKUP(G301,MOVE_DOWN2,2,FALSE),FALSE),VLOOKUP(G301,NGPREVPRICES,3,FALSE),HLOOKUP(D301,Correllate,VLOOKUP(G301,CorMove,2,FALSE),FALSE),Q301-$C$3,R301,$CJ$5)*H301-CJ301</f>
        <v>-1692.7662589886168</v>
      </c>
      <c r="CI301" s="234">
        <f t="shared" si="353"/>
        <v>-1718.5369891847367</v>
      </c>
      <c r="CJ301" s="234">
        <f>_xll.xSPRDOPT((VLOOKUP(G301,NGPREVPRICES,2,FALSE)+HLOOKUP(D301,PREVCURVES,VLOOKUP(G301,MOVE_DOWN2,2,FALSE),FALSE)),VLOOKUP(G301,NGPREVPRICES,2,FALSE),CK301,VLOOKUP(G301,NGPREVPRICES,4,FALSE),HLOOKUP(D301,PREVVOLS,VLOOKUP(G301,MOVE_DOWN2,2,FALSE),FALSE),VLOOKUP(G301,NGPREVPRICES,3,FALSE),HLOOKUP(D301,Correllate,VLOOKUP(G301,CorMove,2,FALSE),FALSE),Q301-$CD$3,R301,$CJ$5)*H301</f>
        <v>137562.79620928384</v>
      </c>
      <c r="CK301" s="235">
        <f t="shared" si="354"/>
        <v>0.75</v>
      </c>
      <c r="CL301" s="234"/>
      <c r="CM301" t="str">
        <f t="shared" si="355"/>
        <v>36861Curve Shift/Gamma</v>
      </c>
      <c r="CN301" t="str">
        <f t="shared" si="287"/>
        <v>36861Rho</v>
      </c>
      <c r="CO301" t="str">
        <f t="shared" si="288"/>
        <v>36861Drift</v>
      </c>
      <c r="CP301" t="str">
        <f t="shared" si="289"/>
        <v>36861Vega</v>
      </c>
      <c r="CQ301" t="str">
        <f t="shared" si="290"/>
        <v>36861Theta</v>
      </c>
    </row>
    <row r="302" spans="1:95" x14ac:dyDescent="0.25">
      <c r="A302" s="382" t="s">
        <v>284</v>
      </c>
      <c r="B302" t="s">
        <v>250</v>
      </c>
      <c r="C302" t="s">
        <v>428</v>
      </c>
      <c r="D302" s="4" t="s">
        <v>7</v>
      </c>
      <c r="E302" t="s">
        <v>20</v>
      </c>
      <c r="F302" t="s">
        <v>1</v>
      </c>
      <c r="G302" s="5">
        <v>36831</v>
      </c>
      <c r="H302" s="130">
        <v>900000</v>
      </c>
      <c r="I302">
        <v>0.75</v>
      </c>
      <c r="J302" s="53">
        <f t="shared" si="316"/>
        <v>4.7359999999999998</v>
      </c>
      <c r="K302" s="7">
        <f t="shared" si="317"/>
        <v>0.77</v>
      </c>
      <c r="L302" s="53">
        <f t="shared" si="318"/>
        <v>5.5060000000000002</v>
      </c>
      <c r="M302" s="157">
        <f t="shared" si="344"/>
        <v>6.810675983792E-2</v>
      </c>
      <c r="N302" s="4">
        <f t="shared" si="345"/>
        <v>0.59499999999999997</v>
      </c>
      <c r="O302" s="4">
        <f t="shared" si="346"/>
        <v>0.625</v>
      </c>
      <c r="P302" s="9">
        <f t="shared" si="347"/>
        <v>0.89</v>
      </c>
      <c r="Q302" s="5">
        <f t="shared" si="310"/>
        <v>36829</v>
      </c>
      <c r="R302" s="4">
        <f t="shared" si="348"/>
        <v>0</v>
      </c>
      <c r="S302" s="158">
        <f>_xll.xSPRDOPT($L302,$J302,$I302,$M302,$O302,$N302,$P302,$Q302-$C$3,$R302,0)</f>
        <v>0.24759733949464924</v>
      </c>
      <c r="T302" s="159">
        <f>_xll.xSPRDOPT($L302,$J302,$I302,$M302,$O302,$N302,$P302,$Q302-$C$3,$R302,1)*H302</f>
        <v>-412660.77221673296</v>
      </c>
      <c r="U302" s="160">
        <f t="shared" si="349"/>
        <v>222837.60554518431</v>
      </c>
      <c r="V302" s="159">
        <f>_xll.xSPRDOPT($L302,$J302,$I302,$M302,$O302,$N302,$P302,$Q302-$C$3,$R302,2)*H302</f>
        <v>452980.20311971038</v>
      </c>
      <c r="W302" s="159">
        <f t="shared" si="350"/>
        <v>40319.430902977416</v>
      </c>
      <c r="X302" s="51" t="str">
        <f t="shared" si="341"/>
        <v>36831IF-TRANSCO/Z6</v>
      </c>
      <c r="Y302" s="418">
        <f t="shared" si="342"/>
        <v>90</v>
      </c>
      <c r="Z302" s="456">
        <f t="shared" si="343"/>
        <v>-0.45851196912970327</v>
      </c>
      <c r="AA302" s="456">
        <f>_xll.xSPRDOPT($L302,$J302,$I302,$M302,$O302,$N302,$P302,$Q302-$C$3,$R302,3)</f>
        <v>0.60041672407622559</v>
      </c>
      <c r="AB302" s="456">
        <f>((_xll.xSPRDOPT($L302+AB$5,$J302,$I302,$M302,$O302,$N302,$P302,$Q302-$C$3,$R302,3)*$H302)/10000)/100</f>
        <v>0.54037505166860311</v>
      </c>
      <c r="AC302" s="456">
        <f>((_xll.xSPRDOPT($L302+$AB$5,$J302,$I302,$M302,$O302,$N302,$P302,$Q302-$C$3,$R302,7)*$H302)/100)</f>
        <v>-8931.9485833358813</v>
      </c>
      <c r="AD302" s="456">
        <f>(_xll.xSPRDOPT($L302+$AB$5,$J302,$I302,$M302,$O302,$N302,$P302,$Q302-$C$3,$R302,9)/365)*$H302</f>
        <v>-1827.547339995639</v>
      </c>
      <c r="AE302">
        <f t="shared" si="314"/>
        <v>0</v>
      </c>
      <c r="AF302" s="456">
        <f t="shared" si="315"/>
        <v>3892.6582403189686</v>
      </c>
      <c r="AG302" s="456">
        <f>((_xll.xSPRDOPT($L302,$J302,$I302,$M302,$O302,$N302,$P302,$Q302-$C$3,$R302,6)*$H302)/100)</f>
        <v>-1003.2362771705448</v>
      </c>
      <c r="AH302" s="456">
        <f>((_xll.xSPRDOPT($L302,$J302,$I302,$M302,$O302,$N302,$P302,$Q302-$C$3,$R302,5)*$H302)/100)</f>
        <v>4660.8915806500163</v>
      </c>
      <c r="AI302" s="456">
        <f>(((_xll.xSPRDOPT($L302,$J302,$I302,$M302,$O302,$N302,$P302,$Q302-$C$3,$R302,4)*$H302)/10000)/100)-AB302</f>
        <v>5.1005263818444391E-3</v>
      </c>
      <c r="AJ302" s="456"/>
      <c r="AK302" s="456"/>
      <c r="AL302" s="456"/>
      <c r="AM302" s="472"/>
      <c r="CC302" s="141">
        <f t="shared" si="351"/>
        <v>36831</v>
      </c>
      <c r="CD302" s="234">
        <f>_xll.xSPRDOPT((VLOOKUP(G302,NGPrices,2,FALSE)+HLOOKUP(D302,Prices,VLOOKUP(G302,move_down,2,FALSE),FALSE)),VLOOKUP(G302,NGPrices,2,FALSE),I302,VLOOKUP(G302,NGPREVPRICES,4,FALSE),HLOOKUP(D302,PREVVOLS,VLOOKUP(G302,MOVE_DOWN2,2,FALSE),FALSE),VLOOKUP(G302,NGPREVPRICES,3,FALSE),HLOOKUP(D302,Correllate,VLOOKUP(G302,CorMove,2,FALSE),FALSE),Q302-$CD$3,R302,$CD$5)*H302-CJ302</f>
        <v>0</v>
      </c>
      <c r="CE302" s="234">
        <f>_xll.xSPRDOPT((VLOOKUP(G302,NGPREVPRICES,2,FALSE)+HLOOKUP(D302,PREVCURVES,VLOOKUP(G302,MOVE_DOWN2,2,FALSE),FALSE)),VLOOKUP(G302,NGPREVPRICES,2,FALSE),CK302,VLOOKUP(G302,NGPrices,4,FALSE),HLOOKUP(D302,PREVVOLS,VLOOKUP(G302,MOVE_DOWN2,2,FALSE),FALSE),VLOOKUP(G302,NGPREVPRICES,3,FALSE),HLOOKUP(D302,Correllate,VLOOKUP(G302,CorMove,2,FALSE),FALSE),Q302-$CD$3,R302,$CJ$5)*H302-CJ302</f>
        <v>0</v>
      </c>
      <c r="CF302" s="10">
        <f t="shared" si="352"/>
        <v>-41.721029978274601</v>
      </c>
      <c r="CG302" s="234">
        <f>_xll.xSPRDOPT((VLOOKUP(G302,NGPREVPRICES,2,FALSE)+HLOOKUP(D302,PREVCURVES,VLOOKUP(G302,MOVE_DOWN2,2,FALSE),FALSE)),VLOOKUP(G302,NGPREVPRICES,2,FALSE),CK302,VLOOKUP(G302,NGPREVPRICES,4,FALSE),HLOOKUP(D302,VOLS,VLOOKUP(G302,move_down,2,FALSE),FALSE),VLOOKUP(G302,NGPrices,3,FALSE),HLOOKUP(D302,Correllate,VLOOKUP(G302,CorMove,2,FALSE),FALSE),Q302-$CD$3,R302,$CJ$5)*H302-CJ302</f>
        <v>0</v>
      </c>
      <c r="CH302" s="234">
        <f>_xll.xSPRDOPT((VLOOKUP(G302,NGPREVPRICES,2,FALSE)+HLOOKUP(D302,PREVCURVES,VLOOKUP(G302,MOVE_DOWN2,2,FALSE),FALSE)),VLOOKUP(G302,NGPREVPRICES,2,FALSE),CK302,VLOOKUP(G302,NGPREVPRICES,4,FALSE),HLOOKUP(D302,PREVVOLS,VLOOKUP(G302,MOVE_DOWN2,2,FALSE),FALSE),VLOOKUP(G302,NGPREVPRICES,3,FALSE),HLOOKUP(D302,Correllate,VLOOKUP(G302,CorMove,2,FALSE),FALSE),Q302-$C$3,R302,$CJ$5)*H302-CJ302</f>
        <v>-1818.4977807860996</v>
      </c>
      <c r="CI302" s="234">
        <f t="shared" si="353"/>
        <v>-1860.2188107643742</v>
      </c>
      <c r="CJ302" s="234">
        <f>_xll.xSPRDOPT((VLOOKUP(G302,NGPREVPRICES,2,FALSE)+HLOOKUP(D302,PREVCURVES,VLOOKUP(G302,MOVE_DOWN2,2,FALSE),FALSE)),VLOOKUP(G302,NGPREVPRICES,2,FALSE),CK302,VLOOKUP(G302,NGPREVPRICES,4,FALSE),HLOOKUP(D302,PREVVOLS,VLOOKUP(G302,MOVE_DOWN2,2,FALSE),FALSE),VLOOKUP(G302,NGPREVPRICES,3,FALSE),HLOOKUP(D302,Correllate,VLOOKUP(G302,CorMove,2,FALSE),FALSE),Q302-$CD$3,R302,$CJ$5)*H302</f>
        <v>224656.10332597041</v>
      </c>
      <c r="CK302" s="235">
        <f t="shared" si="354"/>
        <v>0.75</v>
      </c>
      <c r="CL302" s="234"/>
      <c r="CM302" t="str">
        <f t="shared" si="355"/>
        <v>36831Curve Shift/Gamma</v>
      </c>
      <c r="CN302" t="str">
        <f t="shared" ref="CN302:CN365" si="356">CONCATENATE($CC302,$CE$6)</f>
        <v>36831Rho</v>
      </c>
      <c r="CO302" t="str">
        <f t="shared" ref="CO302:CO365" si="357">CONCATENATE($CC302,$CF$6)</f>
        <v>36831Drift</v>
      </c>
      <c r="CP302" t="str">
        <f t="shared" ref="CP302:CP365" si="358">CONCATENATE($CC302,$CG$6)</f>
        <v>36831Vega</v>
      </c>
      <c r="CQ302" t="str">
        <f t="shared" ref="CQ302:CQ365" si="359">CONCATENATE($CC302,$CH$6)</f>
        <v>36831Theta</v>
      </c>
    </row>
    <row r="303" spans="1:95" x14ac:dyDescent="0.25">
      <c r="A303" s="382" t="s">
        <v>279</v>
      </c>
      <c r="B303" t="s">
        <v>250</v>
      </c>
      <c r="C303" t="s">
        <v>429</v>
      </c>
      <c r="D303" s="4" t="s">
        <v>7</v>
      </c>
      <c r="E303" t="s">
        <v>20</v>
      </c>
      <c r="F303" t="s">
        <v>21</v>
      </c>
      <c r="G303" s="5">
        <v>36800</v>
      </c>
      <c r="H303" s="130">
        <v>-1000000</v>
      </c>
      <c r="I303">
        <v>0.7</v>
      </c>
      <c r="J303" s="53">
        <f t="shared" si="316"/>
        <v>4.6920000000000002</v>
      </c>
      <c r="K303" s="7">
        <f t="shared" si="317"/>
        <v>0.41499999999999998</v>
      </c>
      <c r="L303" s="53">
        <f t="shared" si="318"/>
        <v>5.1070000000000002</v>
      </c>
      <c r="M303" s="157">
        <f t="shared" si="344"/>
        <v>6.8050789414654006E-2</v>
      </c>
      <c r="N303" s="4">
        <f t="shared" si="345"/>
        <v>0.57499999999999996</v>
      </c>
      <c r="O303" s="4">
        <f t="shared" si="346"/>
        <v>0.56399999999999995</v>
      </c>
      <c r="P303" s="9">
        <f t="shared" si="347"/>
        <v>0.99250000000000005</v>
      </c>
      <c r="Q303" s="5">
        <f t="shared" si="310"/>
        <v>36797</v>
      </c>
      <c r="R303" s="4">
        <f t="shared" si="348"/>
        <v>1</v>
      </c>
      <c r="S303" s="158">
        <f>_xll.xSPRDOPT($L303,$J303,$I303,$M303,$O303,$N303,$P303,$Q303-$C$3,$R303,0)</f>
        <v>6.7579989208547823E-4</v>
      </c>
      <c r="T303" s="159">
        <f>_xll.xSPRDOPT($L303,$J303,$I303,$M303,$O303,$N303,$P303,$Q303-$C$3,$R303,1)*H303</f>
        <v>-15771.724358823447</v>
      </c>
      <c r="U303" s="160">
        <f t="shared" si="349"/>
        <v>-675.79989208547818</v>
      </c>
      <c r="V303" s="159">
        <f>_xll.xSPRDOPT($L303,$J303,$I303,$M303,$O303,$N303,$P303,$Q303-$C$3,$R303,2)*H303</f>
        <v>15230.892129738904</v>
      </c>
      <c r="W303" s="159">
        <f t="shared" si="350"/>
        <v>-540.83222908454263</v>
      </c>
      <c r="X303" s="51" t="str">
        <f t="shared" si="341"/>
        <v>36800IF-TRANSCO/Z6</v>
      </c>
      <c r="Y303" s="418">
        <f t="shared" si="342"/>
        <v>-100</v>
      </c>
      <c r="Z303" s="456">
        <f t="shared" si="343"/>
        <v>1.5771724358823448E-2</v>
      </c>
      <c r="AA303" s="456">
        <f>_xll.xSPRDOPT($L303,$J303,$I303,$M303,$O303,$N303,$P303,$Q303-$C$3,$R303,3)</f>
        <v>0.32365395944546471</v>
      </c>
      <c r="AB303" s="456">
        <f>((_xll.xSPRDOPT($L303+AB$5,$J303,$I303,$M303,$O303,$N303,$P303,$Q303-$C$3,$R303,3)*$H303)/10000)/100</f>
        <v>-0.32365395944546471</v>
      </c>
      <c r="AC303" s="456">
        <f>((_xll.xSPRDOPT($L303+$AB$5,$J303,$I303,$M303,$O303,$N303,$P303,$Q303-$C$3,$R303,7)*$H303)/100)</f>
        <v>2006.1160002468273</v>
      </c>
      <c r="AD303" s="456">
        <f>(_xll.xSPRDOPT($L303+$AB$5,$J303,$I303,$M303,$O303,$N303,$P303,$Q303-$C$3,$R303,9)/365)*$H303</f>
        <v>80.677919602901724</v>
      </c>
      <c r="AE303">
        <f t="shared" si="314"/>
        <v>0</v>
      </c>
      <c r="AF303" s="456">
        <f t="shared" si="315"/>
        <v>-84.259448909447201</v>
      </c>
      <c r="AG303" s="456">
        <f>((_xll.xSPRDOPT($L303,$J303,$I303,$M303,$O303,$N303,$P303,$Q303-$C$3,$R303,6)*$H303)/100)</f>
        <v>288.62328159650292</v>
      </c>
      <c r="AH303" s="456">
        <f>((_xll.xSPRDOPT($L303,$J303,$I303,$M303,$O303,$N303,$P303,$Q303-$C$3,$R303,5)*$H303)/100)</f>
        <v>-380.15526603000234</v>
      </c>
      <c r="AI303" s="456">
        <f>(((_xll.xSPRDOPT($L303,$J303,$I303,$M303,$O303,$N303,$P303,$Q303-$C$3,$R303,4)*$H303)/10000)/100)-AB303</f>
        <v>1.8368425250491538E-2</v>
      </c>
      <c r="AJ303" s="456"/>
      <c r="AK303" s="456"/>
      <c r="AL303" s="456"/>
      <c r="AM303" s="472"/>
      <c r="CC303" s="141">
        <f t="shared" si="351"/>
        <v>36800</v>
      </c>
      <c r="CD303" s="234">
        <f>_xll.xSPRDOPT((VLOOKUP(G303,NGPrices,2,FALSE)+HLOOKUP(D303,Prices,VLOOKUP(G303,move_down,2,FALSE),FALSE)),VLOOKUP(G303,NGPrices,2,FALSE),I303,VLOOKUP(G303,NGPREVPRICES,4,FALSE),HLOOKUP(D303,PREVVOLS,VLOOKUP(G303,MOVE_DOWN2,2,FALSE),FALSE),VLOOKUP(G303,NGPREVPRICES,3,FALSE),HLOOKUP(D303,Correllate,VLOOKUP(G303,CorMove,2,FALSE),FALSE),Q303-$CD$3,R303,$CD$5)*H303-CJ303</f>
        <v>0</v>
      </c>
      <c r="CE303" s="234">
        <f>_xll.xSPRDOPT((VLOOKUP(G303,NGPREVPRICES,2,FALSE)+HLOOKUP(D303,PREVCURVES,VLOOKUP(G303,MOVE_DOWN2,2,FALSE),FALSE)),VLOOKUP(G303,NGPREVPRICES,2,FALSE),CK303,VLOOKUP(G303,NGPrices,4,FALSE),HLOOKUP(D303,PREVVOLS,VLOOKUP(G303,MOVE_DOWN2,2,FALSE),FALSE),VLOOKUP(G303,NGPREVPRICES,3,FALSE),HLOOKUP(D303,Correllate,VLOOKUP(G303,CorMove,2,FALSE),FALSE),Q303-$CD$3,R303,$CJ$5)*H303-CJ303</f>
        <v>0</v>
      </c>
      <c r="CF303" s="10">
        <f t="shared" si="352"/>
        <v>0.1399119726910385</v>
      </c>
      <c r="CG303" s="234">
        <f>_xll.xSPRDOPT((VLOOKUP(G303,NGPREVPRICES,2,FALSE)+HLOOKUP(D303,PREVCURVES,VLOOKUP(G303,MOVE_DOWN2,2,FALSE),FALSE)),VLOOKUP(G303,NGPREVPRICES,2,FALSE),CK303,VLOOKUP(G303,NGPREVPRICES,4,FALSE),HLOOKUP(D303,VOLS,VLOOKUP(G303,move_down,2,FALSE),FALSE),VLOOKUP(G303,NGPrices,3,FALSE),HLOOKUP(D303,Correllate,VLOOKUP(G303,CorMove,2,FALSE),FALSE),Q303-$CD$3,R303,$CJ$5)*H303-CJ303</f>
        <v>0</v>
      </c>
      <c r="CH303" s="234">
        <f>_xll.xSPRDOPT((VLOOKUP(G303,NGPREVPRICES,2,FALSE)+HLOOKUP(D303,PREVCURVES,VLOOKUP(G303,MOVE_DOWN2,2,FALSE),FALSE)),VLOOKUP(G303,NGPREVPRICES,2,FALSE),CK303,VLOOKUP(G303,NGPREVPRICES,4,FALSE),HLOOKUP(D303,PREVVOLS,VLOOKUP(G303,MOVE_DOWN2,2,FALSE),FALSE),VLOOKUP(G303,NGPREVPRICES,3,FALSE),HLOOKUP(D303,Correllate,VLOOKUP(G303,CorMove,2,FALSE),FALSE),Q303-$C$3,R303,$CJ$5)*H303-CJ303</f>
        <v>83.123988095916161</v>
      </c>
      <c r="CI303" s="234">
        <f t="shared" si="353"/>
        <v>83.2639000686072</v>
      </c>
      <c r="CJ303" s="234">
        <f>_xll.xSPRDOPT((VLOOKUP(G303,NGPREVPRICES,2,FALSE)+HLOOKUP(D303,PREVCURVES,VLOOKUP(G303,MOVE_DOWN2,2,FALSE),FALSE)),VLOOKUP(G303,NGPREVPRICES,2,FALSE),CK303,VLOOKUP(G303,NGPREVPRICES,4,FALSE),HLOOKUP(D303,PREVVOLS,VLOOKUP(G303,MOVE_DOWN2,2,FALSE),FALSE),VLOOKUP(G303,NGPREVPRICES,3,FALSE),HLOOKUP(D303,Correllate,VLOOKUP(G303,CorMove,2,FALSE),FALSE),Q303-$CD$3,R303,$CJ$5)*H303</f>
        <v>-758.92388018139434</v>
      </c>
      <c r="CK303" s="235">
        <f t="shared" si="354"/>
        <v>0.7</v>
      </c>
      <c r="CL303" s="234"/>
      <c r="CM303" t="str">
        <f t="shared" si="355"/>
        <v>36800Curve Shift/Gamma</v>
      </c>
      <c r="CN303" t="str">
        <f t="shared" si="356"/>
        <v>36800Rho</v>
      </c>
      <c r="CO303" t="str">
        <f t="shared" si="357"/>
        <v>36800Drift</v>
      </c>
      <c r="CP303" t="str">
        <f t="shared" si="358"/>
        <v>36800Vega</v>
      </c>
      <c r="CQ303" t="str">
        <f t="shared" si="359"/>
        <v>36800Theta</v>
      </c>
    </row>
    <row r="304" spans="1:95" x14ac:dyDescent="0.25">
      <c r="A304" s="382" t="s">
        <v>279</v>
      </c>
      <c r="B304" t="s">
        <v>250</v>
      </c>
      <c r="C304" t="s">
        <v>430</v>
      </c>
      <c r="D304" s="4" t="s">
        <v>7</v>
      </c>
      <c r="E304" t="s">
        <v>20</v>
      </c>
      <c r="F304" t="s">
        <v>21</v>
      </c>
      <c r="G304" s="5">
        <v>36800</v>
      </c>
      <c r="H304" s="130">
        <v>-1000000</v>
      </c>
      <c r="I304">
        <v>0.7</v>
      </c>
      <c r="J304" s="53">
        <f t="shared" si="316"/>
        <v>4.6920000000000002</v>
      </c>
      <c r="K304" s="7">
        <f t="shared" si="317"/>
        <v>0.41499999999999998</v>
      </c>
      <c r="L304" s="53">
        <f t="shared" si="318"/>
        <v>5.1070000000000002</v>
      </c>
      <c r="M304" s="157">
        <f t="shared" si="344"/>
        <v>6.8050789414654006E-2</v>
      </c>
      <c r="N304" s="4">
        <f t="shared" si="345"/>
        <v>0.57499999999999996</v>
      </c>
      <c r="O304" s="4">
        <f t="shared" si="346"/>
        <v>0.56399999999999995</v>
      </c>
      <c r="P304" s="9">
        <f t="shared" si="347"/>
        <v>0.99250000000000005</v>
      </c>
      <c r="Q304" s="5">
        <f t="shared" si="310"/>
        <v>36797</v>
      </c>
      <c r="R304" s="4">
        <f t="shared" si="348"/>
        <v>1</v>
      </c>
      <c r="S304" s="158">
        <f>_xll.xSPRDOPT($L304,$J304,$I304,$M304,$O304,$N304,$P304,$Q304-$C$3,$R304,0)</f>
        <v>6.7579989208547823E-4</v>
      </c>
      <c r="T304" s="159">
        <f>_xll.xSPRDOPT($L304,$J304,$I304,$M304,$O304,$N304,$P304,$Q304-$C$3,$R304,1)*H304</f>
        <v>-15771.724358823447</v>
      </c>
      <c r="U304" s="160">
        <f t="shared" si="349"/>
        <v>-675.79989208547818</v>
      </c>
      <c r="V304" s="159">
        <f>_xll.xSPRDOPT($L304,$J304,$I304,$M304,$O304,$N304,$P304,$Q304-$C$3,$R304,2)*H304</f>
        <v>15230.892129738904</v>
      </c>
      <c r="W304" s="159">
        <f t="shared" si="350"/>
        <v>-540.83222908454263</v>
      </c>
      <c r="X304" s="51" t="str">
        <f t="shared" si="341"/>
        <v>36800IF-TRANSCO/Z6</v>
      </c>
      <c r="Y304" s="418">
        <f t="shared" si="342"/>
        <v>-100</v>
      </c>
      <c r="Z304" s="456">
        <f t="shared" si="343"/>
        <v>1.5771724358823448E-2</v>
      </c>
      <c r="AA304" s="456">
        <f>_xll.xSPRDOPT($L304,$J304,$I304,$M304,$O304,$N304,$P304,$Q304-$C$3,$R304,3)</f>
        <v>0.32365395944546471</v>
      </c>
      <c r="AB304" s="456">
        <f>((_xll.xSPRDOPT($L304+AB$5,$J304,$I304,$M304,$O304,$N304,$P304,$Q304-$C$3,$R304,3)*$H304)/10000)/100</f>
        <v>-0.32365395944546471</v>
      </c>
      <c r="AC304" s="456">
        <f>((_xll.xSPRDOPT($L304+$AB$5,$J304,$I304,$M304,$O304,$N304,$P304,$Q304-$C$3,$R304,7)*$H304)/100)</f>
        <v>2006.1160002468273</v>
      </c>
      <c r="AD304" s="456">
        <f>(_xll.xSPRDOPT($L304+$AB$5,$J304,$I304,$M304,$O304,$N304,$P304,$Q304-$C$3,$R304,9)/365)*$H304</f>
        <v>80.677919602901724</v>
      </c>
      <c r="AE304">
        <f t="shared" si="314"/>
        <v>0</v>
      </c>
      <c r="AF304" s="456">
        <f t="shared" si="315"/>
        <v>-84.259448909447201</v>
      </c>
      <c r="AG304" s="456">
        <f>((_xll.xSPRDOPT($L304,$J304,$I304,$M304,$O304,$N304,$P304,$Q304-$C$3,$R304,6)*$H304)/100)</f>
        <v>288.62328159650292</v>
      </c>
      <c r="AH304" s="456">
        <f>((_xll.xSPRDOPT($L304,$J304,$I304,$M304,$O304,$N304,$P304,$Q304-$C$3,$R304,5)*$H304)/100)</f>
        <v>-380.15526603000234</v>
      </c>
      <c r="AI304" s="456">
        <f>(((_xll.xSPRDOPT($L304,$J304,$I304,$M304,$O304,$N304,$P304,$Q304-$C$3,$R304,4)*$H304)/10000)/100)-AB304</f>
        <v>1.8368425250491538E-2</v>
      </c>
      <c r="AJ304" s="456"/>
      <c r="AK304" s="456"/>
      <c r="AL304" s="456"/>
      <c r="AM304" s="472"/>
      <c r="CC304" s="141">
        <f t="shared" si="351"/>
        <v>36800</v>
      </c>
      <c r="CD304" s="234">
        <f>_xll.xSPRDOPT((VLOOKUP(G304,NGPrices,2,FALSE)+HLOOKUP(D304,Prices,VLOOKUP(G304,move_down,2,FALSE),FALSE)),VLOOKUP(G304,NGPrices,2,FALSE),I304,VLOOKUP(G304,NGPREVPRICES,4,FALSE),HLOOKUP(D304,PREVVOLS,VLOOKUP(G304,MOVE_DOWN2,2,FALSE),FALSE),VLOOKUP(G304,NGPREVPRICES,3,FALSE),HLOOKUP(D304,Correllate,VLOOKUP(G304,CorMove,2,FALSE),FALSE),Q304-$CD$3,R304,$CD$5)*H304-CJ304</f>
        <v>0</v>
      </c>
      <c r="CE304" s="234">
        <f>_xll.xSPRDOPT((VLOOKUP(G304,NGPREVPRICES,2,FALSE)+HLOOKUP(D304,PREVCURVES,VLOOKUP(G304,MOVE_DOWN2,2,FALSE),FALSE)),VLOOKUP(G304,NGPREVPRICES,2,FALSE),CK304,VLOOKUP(G304,NGPrices,4,FALSE),HLOOKUP(D304,PREVVOLS,VLOOKUP(G304,MOVE_DOWN2,2,FALSE),FALSE),VLOOKUP(G304,NGPREVPRICES,3,FALSE),HLOOKUP(D304,Correllate,VLOOKUP(G304,CorMove,2,FALSE),FALSE),Q304-$CD$3,R304,$CJ$5)*H304-CJ304</f>
        <v>0</v>
      </c>
      <c r="CF304" s="10">
        <f t="shared" si="352"/>
        <v>0.1399119726910385</v>
      </c>
      <c r="CG304" s="234">
        <f>_xll.xSPRDOPT((VLOOKUP(G304,NGPREVPRICES,2,FALSE)+HLOOKUP(D304,PREVCURVES,VLOOKUP(G304,MOVE_DOWN2,2,FALSE),FALSE)),VLOOKUP(G304,NGPREVPRICES,2,FALSE),CK304,VLOOKUP(G304,NGPREVPRICES,4,FALSE),HLOOKUP(D304,VOLS,VLOOKUP(G304,move_down,2,FALSE),FALSE),VLOOKUP(G304,NGPrices,3,FALSE),HLOOKUP(D304,Correllate,VLOOKUP(G304,CorMove,2,FALSE),FALSE),Q304-$CD$3,R304,$CJ$5)*H304-CJ304</f>
        <v>0</v>
      </c>
      <c r="CH304" s="234">
        <f>_xll.xSPRDOPT((VLOOKUP(G304,NGPREVPRICES,2,FALSE)+HLOOKUP(D304,PREVCURVES,VLOOKUP(G304,MOVE_DOWN2,2,FALSE),FALSE)),VLOOKUP(G304,NGPREVPRICES,2,FALSE),CK304,VLOOKUP(G304,NGPREVPRICES,4,FALSE),HLOOKUP(D304,PREVVOLS,VLOOKUP(G304,MOVE_DOWN2,2,FALSE),FALSE),VLOOKUP(G304,NGPREVPRICES,3,FALSE),HLOOKUP(D304,Correllate,VLOOKUP(G304,CorMove,2,FALSE),FALSE),Q304-$C$3,R304,$CJ$5)*H304-CJ304</f>
        <v>83.123988095916161</v>
      </c>
      <c r="CI304" s="234">
        <f t="shared" si="353"/>
        <v>83.2639000686072</v>
      </c>
      <c r="CJ304" s="234">
        <f>_xll.xSPRDOPT((VLOOKUP(G304,NGPREVPRICES,2,FALSE)+HLOOKUP(D304,PREVCURVES,VLOOKUP(G304,MOVE_DOWN2,2,FALSE),FALSE)),VLOOKUP(G304,NGPREVPRICES,2,FALSE),CK304,VLOOKUP(G304,NGPREVPRICES,4,FALSE),HLOOKUP(D304,PREVVOLS,VLOOKUP(G304,MOVE_DOWN2,2,FALSE),FALSE),VLOOKUP(G304,NGPREVPRICES,3,FALSE),HLOOKUP(D304,Correllate,VLOOKUP(G304,CorMove,2,FALSE),FALSE),Q304-$CD$3,R304,$CJ$5)*H304</f>
        <v>-758.92388018139434</v>
      </c>
      <c r="CK304" s="235">
        <f t="shared" si="354"/>
        <v>0.7</v>
      </c>
      <c r="CL304" s="234"/>
      <c r="CM304" t="str">
        <f t="shared" si="355"/>
        <v>36800Curve Shift/Gamma</v>
      </c>
      <c r="CN304" t="str">
        <f t="shared" si="356"/>
        <v>36800Rho</v>
      </c>
      <c r="CO304" t="str">
        <f t="shared" si="357"/>
        <v>36800Drift</v>
      </c>
      <c r="CP304" t="str">
        <f t="shared" si="358"/>
        <v>36800Vega</v>
      </c>
      <c r="CQ304" t="str">
        <f t="shared" si="359"/>
        <v>36800Theta</v>
      </c>
    </row>
    <row r="305" spans="1:95" x14ac:dyDescent="0.25">
      <c r="A305" s="382" t="s">
        <v>279</v>
      </c>
      <c r="B305" t="s">
        <v>250</v>
      </c>
      <c r="C305" t="s">
        <v>431</v>
      </c>
      <c r="D305" s="4" t="s">
        <v>7</v>
      </c>
      <c r="E305" t="s">
        <v>20</v>
      </c>
      <c r="F305" t="s">
        <v>21</v>
      </c>
      <c r="G305" s="5">
        <v>36800</v>
      </c>
      <c r="H305" s="130">
        <v>-1000000</v>
      </c>
      <c r="I305">
        <v>0.7</v>
      </c>
      <c r="J305" s="53">
        <f t="shared" si="316"/>
        <v>4.6920000000000002</v>
      </c>
      <c r="K305" s="7">
        <f t="shared" si="317"/>
        <v>0.41499999999999998</v>
      </c>
      <c r="L305" s="53">
        <f t="shared" si="318"/>
        <v>5.1070000000000002</v>
      </c>
      <c r="M305" s="157">
        <f t="shared" si="344"/>
        <v>6.8050789414654006E-2</v>
      </c>
      <c r="N305" s="4">
        <f t="shared" si="345"/>
        <v>0.57499999999999996</v>
      </c>
      <c r="O305" s="4">
        <f t="shared" si="346"/>
        <v>0.56399999999999995</v>
      </c>
      <c r="P305" s="9">
        <f t="shared" si="347"/>
        <v>0.99250000000000005</v>
      </c>
      <c r="Q305" s="5">
        <f t="shared" si="310"/>
        <v>36797</v>
      </c>
      <c r="R305" s="4">
        <f t="shared" si="348"/>
        <v>1</v>
      </c>
      <c r="S305" s="158">
        <f>_xll.xSPRDOPT($L305,$J305,$I305,$M305,$O305,$N305,$P305,$Q305-$C$3,$R305,0)</f>
        <v>6.7579989208547823E-4</v>
      </c>
      <c r="T305" s="159">
        <f>_xll.xSPRDOPT($L305,$J305,$I305,$M305,$O305,$N305,$P305,$Q305-$C$3,$R305,1)*H305</f>
        <v>-15771.724358823447</v>
      </c>
      <c r="U305" s="160">
        <f t="shared" si="349"/>
        <v>-675.79989208547818</v>
      </c>
      <c r="V305" s="159">
        <f>_xll.xSPRDOPT($L305,$J305,$I305,$M305,$O305,$N305,$P305,$Q305-$C$3,$R305,2)*H305</f>
        <v>15230.892129738904</v>
      </c>
      <c r="W305" s="159">
        <f t="shared" si="350"/>
        <v>-540.83222908454263</v>
      </c>
      <c r="X305" s="51" t="str">
        <f t="shared" si="341"/>
        <v>36800IF-TRANSCO/Z6</v>
      </c>
      <c r="Y305" s="418">
        <f t="shared" si="342"/>
        <v>-100</v>
      </c>
      <c r="Z305" s="456">
        <f t="shared" si="343"/>
        <v>1.5771724358823448E-2</v>
      </c>
      <c r="AA305" s="456">
        <f>_xll.xSPRDOPT($L305,$J305,$I305,$M305,$O305,$N305,$P305,$Q305-$C$3,$R305,3)</f>
        <v>0.32365395944546471</v>
      </c>
      <c r="AB305" s="456">
        <f>((_xll.xSPRDOPT($L305+AB$5,$J305,$I305,$M305,$O305,$N305,$P305,$Q305-$C$3,$R305,3)*$H305)/10000)/100</f>
        <v>-0.32365395944546471</v>
      </c>
      <c r="AC305" s="456">
        <f>((_xll.xSPRDOPT($L305+$AB$5,$J305,$I305,$M305,$O305,$N305,$P305,$Q305-$C$3,$R305,7)*$H305)/100)</f>
        <v>2006.1160002468273</v>
      </c>
      <c r="AD305" s="456">
        <f>(_xll.xSPRDOPT($L305+$AB$5,$J305,$I305,$M305,$O305,$N305,$P305,$Q305-$C$3,$R305,9)/365)*$H305</f>
        <v>80.677919602901724</v>
      </c>
      <c r="AE305">
        <f t="shared" si="314"/>
        <v>0</v>
      </c>
      <c r="AF305" s="456">
        <f t="shared" si="315"/>
        <v>-84.259448909447201</v>
      </c>
      <c r="AG305" s="456">
        <f>((_xll.xSPRDOPT($L305,$J305,$I305,$M305,$O305,$N305,$P305,$Q305-$C$3,$R305,6)*$H305)/100)</f>
        <v>288.62328159650292</v>
      </c>
      <c r="AH305" s="456">
        <f>((_xll.xSPRDOPT($L305,$J305,$I305,$M305,$O305,$N305,$P305,$Q305-$C$3,$R305,5)*$H305)/100)</f>
        <v>-380.15526603000234</v>
      </c>
      <c r="AI305" s="456">
        <f>(((_xll.xSPRDOPT($L305,$J305,$I305,$M305,$O305,$N305,$P305,$Q305-$C$3,$R305,4)*$H305)/10000)/100)-AB305</f>
        <v>1.8368425250491538E-2</v>
      </c>
      <c r="AJ305" s="456"/>
      <c r="AK305" s="456"/>
      <c r="AL305" s="456"/>
      <c r="AM305" s="472"/>
      <c r="CC305" s="141">
        <f t="shared" si="351"/>
        <v>36800</v>
      </c>
      <c r="CD305" s="234">
        <f>_xll.xSPRDOPT((VLOOKUP(G305,NGPrices,2,FALSE)+HLOOKUP(D305,Prices,VLOOKUP(G305,move_down,2,FALSE),FALSE)),VLOOKUP(G305,NGPrices,2,FALSE),I305,VLOOKUP(G305,NGPREVPRICES,4,FALSE),HLOOKUP(D305,PREVVOLS,VLOOKUP(G305,MOVE_DOWN2,2,FALSE),FALSE),VLOOKUP(G305,NGPREVPRICES,3,FALSE),HLOOKUP(D305,Correllate,VLOOKUP(G305,CorMove,2,FALSE),FALSE),Q305-$CD$3,R305,$CD$5)*H305-CJ305</f>
        <v>0</v>
      </c>
      <c r="CE305" s="234">
        <f>_xll.xSPRDOPT((VLOOKUP(G305,NGPREVPRICES,2,FALSE)+HLOOKUP(D305,PREVCURVES,VLOOKUP(G305,MOVE_DOWN2,2,FALSE),FALSE)),VLOOKUP(G305,NGPREVPRICES,2,FALSE),CK305,VLOOKUP(G305,NGPrices,4,FALSE),HLOOKUP(D305,PREVVOLS,VLOOKUP(G305,MOVE_DOWN2,2,FALSE),FALSE),VLOOKUP(G305,NGPREVPRICES,3,FALSE),HLOOKUP(D305,Correllate,VLOOKUP(G305,CorMove,2,FALSE),FALSE),Q305-$CD$3,R305,$CJ$5)*H305-CJ305</f>
        <v>0</v>
      </c>
      <c r="CF305" s="10">
        <f t="shared" si="352"/>
        <v>0.1399119726910385</v>
      </c>
      <c r="CG305" s="234">
        <f>_xll.xSPRDOPT((VLOOKUP(G305,NGPREVPRICES,2,FALSE)+HLOOKUP(D305,PREVCURVES,VLOOKUP(G305,MOVE_DOWN2,2,FALSE),FALSE)),VLOOKUP(G305,NGPREVPRICES,2,FALSE),CK305,VLOOKUP(G305,NGPREVPRICES,4,FALSE),HLOOKUP(D305,VOLS,VLOOKUP(G305,move_down,2,FALSE),FALSE),VLOOKUP(G305,NGPrices,3,FALSE),HLOOKUP(D305,Correllate,VLOOKUP(G305,CorMove,2,FALSE),FALSE),Q305-$CD$3,R305,$CJ$5)*H305-CJ305</f>
        <v>0</v>
      </c>
      <c r="CH305" s="234">
        <f>_xll.xSPRDOPT((VLOOKUP(G305,NGPREVPRICES,2,FALSE)+HLOOKUP(D305,PREVCURVES,VLOOKUP(G305,MOVE_DOWN2,2,FALSE),FALSE)),VLOOKUP(G305,NGPREVPRICES,2,FALSE),CK305,VLOOKUP(G305,NGPREVPRICES,4,FALSE),HLOOKUP(D305,PREVVOLS,VLOOKUP(G305,MOVE_DOWN2,2,FALSE),FALSE),VLOOKUP(G305,NGPREVPRICES,3,FALSE),HLOOKUP(D305,Correllate,VLOOKUP(G305,CorMove,2,FALSE),FALSE),Q305-$C$3,R305,$CJ$5)*H305-CJ305</f>
        <v>83.123988095916161</v>
      </c>
      <c r="CI305" s="234">
        <f t="shared" si="353"/>
        <v>83.2639000686072</v>
      </c>
      <c r="CJ305" s="234">
        <f>_xll.xSPRDOPT((VLOOKUP(G305,NGPREVPRICES,2,FALSE)+HLOOKUP(D305,PREVCURVES,VLOOKUP(G305,MOVE_DOWN2,2,FALSE),FALSE)),VLOOKUP(G305,NGPREVPRICES,2,FALSE),CK305,VLOOKUP(G305,NGPREVPRICES,4,FALSE),HLOOKUP(D305,PREVVOLS,VLOOKUP(G305,MOVE_DOWN2,2,FALSE),FALSE),VLOOKUP(G305,NGPREVPRICES,3,FALSE),HLOOKUP(D305,Correllate,VLOOKUP(G305,CorMove,2,FALSE),FALSE),Q305-$CD$3,R305,$CJ$5)*H305</f>
        <v>-758.92388018139434</v>
      </c>
      <c r="CK305" s="235">
        <f t="shared" si="354"/>
        <v>0.7</v>
      </c>
      <c r="CL305" s="234"/>
      <c r="CM305" t="str">
        <f t="shared" si="355"/>
        <v>36800Curve Shift/Gamma</v>
      </c>
      <c r="CN305" t="str">
        <f t="shared" si="356"/>
        <v>36800Rho</v>
      </c>
      <c r="CO305" t="str">
        <f t="shared" si="357"/>
        <v>36800Drift</v>
      </c>
      <c r="CP305" t="str">
        <f t="shared" si="358"/>
        <v>36800Vega</v>
      </c>
      <c r="CQ305" t="str">
        <f t="shared" si="359"/>
        <v>36800Theta</v>
      </c>
    </row>
    <row r="306" spans="1:95" x14ac:dyDescent="0.25">
      <c r="A306" s="382" t="s">
        <v>286</v>
      </c>
      <c r="B306" t="s">
        <v>250</v>
      </c>
      <c r="C306" t="s">
        <v>432</v>
      </c>
      <c r="D306" s="4" t="s">
        <v>7</v>
      </c>
      <c r="E306" t="s">
        <v>20</v>
      </c>
      <c r="F306" t="s">
        <v>21</v>
      </c>
      <c r="G306" s="5">
        <v>36951</v>
      </c>
      <c r="H306" s="130">
        <v>-310000</v>
      </c>
      <c r="I306">
        <v>1.75</v>
      </c>
      <c r="J306" s="53">
        <f t="shared" si="316"/>
        <v>4.2130000000000001</v>
      </c>
      <c r="K306" s="7">
        <f t="shared" si="317"/>
        <v>1.075</v>
      </c>
      <c r="L306" s="53">
        <f t="shared" si="318"/>
        <v>5.2880000000000003</v>
      </c>
      <c r="M306" s="157">
        <f t="shared" si="344"/>
        <v>6.8879814952706994E-2</v>
      </c>
      <c r="N306" s="4">
        <f t="shared" si="345"/>
        <v>0.53249999999999997</v>
      </c>
      <c r="O306" s="4">
        <f t="shared" si="346"/>
        <v>0.61199999999999999</v>
      </c>
      <c r="P306" s="9">
        <f t="shared" si="347"/>
        <v>0.83</v>
      </c>
      <c r="Q306" s="5">
        <f t="shared" si="310"/>
        <v>36949</v>
      </c>
      <c r="R306" s="4">
        <f t="shared" si="348"/>
        <v>1</v>
      </c>
      <c r="S306" s="158">
        <f>_xll.xSPRDOPT($L306,$J306,$I306,$M306,$O306,$N306,$P306,$Q306-$C$3,$R306,0)</f>
        <v>0.29038289106023812</v>
      </c>
      <c r="T306" s="159">
        <f>_xll.xSPRDOPT($L306,$J306,$I306,$M306,$O306,$N306,$P306,$Q306-$C$3,$R306,1)*H306</f>
        <v>-110983.05735538773</v>
      </c>
      <c r="U306" s="160">
        <f t="shared" si="349"/>
        <v>-90018.696228673813</v>
      </c>
      <c r="V306" s="159">
        <f>_xll.xSPRDOPT($L306,$J306,$I306,$M306,$O306,$N306,$P306,$Q306-$C$3,$R306,2)*H306</f>
        <v>87054.141436821461</v>
      </c>
      <c r="W306" s="159">
        <f t="shared" si="350"/>
        <v>-23928.915918566272</v>
      </c>
      <c r="X306" s="51" t="str">
        <f t="shared" si="341"/>
        <v>36951IF-TRANSCO/Z6</v>
      </c>
      <c r="Y306" s="418">
        <f t="shared" si="342"/>
        <v>-31</v>
      </c>
      <c r="Z306" s="456">
        <f t="shared" si="343"/>
        <v>0.3580098624367346</v>
      </c>
      <c r="AA306" s="456">
        <f>_xll.xSPRDOPT($L306,$J306,$I306,$M306,$O306,$N306,$P306,$Q306-$C$3,$R306,3)</f>
        <v>0.26919112940106144</v>
      </c>
      <c r="AB306" s="456">
        <f>((_xll.xSPRDOPT($L306+AB$5,$J306,$I306,$M306,$O306,$N306,$P306,$Q306-$C$3,$R306,3)*$H306)/10000)/100</f>
        <v>-8.3449250114329049E-2</v>
      </c>
      <c r="AC306" s="456">
        <f>((_xll.xSPRDOPT($L306+$AB$5,$J306,$I306,$M306,$O306,$N306,$P306,$Q306-$C$3,$R306,7)*$H306)/100)</f>
        <v>2747.1657774594501</v>
      </c>
      <c r="AD306" s="456">
        <f>(_xll.xSPRDOPT($L306+$AB$5,$J306,$I306,$M306,$O306,$N306,$P306,$Q306-$C$3,$R306,9)/365)*$H306</f>
        <v>407.11655315632896</v>
      </c>
      <c r="AE306">
        <f t="shared" si="314"/>
        <v>0</v>
      </c>
      <c r="AF306" s="456">
        <f t="shared" si="315"/>
        <v>-2897.0562524773463</v>
      </c>
      <c r="AG306" s="456">
        <f>((_xll.xSPRDOPT($L306,$J306,$I306,$M306,$O306,$N306,$P306,$Q306-$C$3,$R306,6)*$H306)/100)</f>
        <v>999.40332814756539</v>
      </c>
      <c r="AH306" s="456">
        <f>((_xll.xSPRDOPT($L306,$J306,$I306,$M306,$O306,$N306,$P306,$Q306-$C$3,$R306,5)*$H306)/100)</f>
        <v>-3390.301840984911</v>
      </c>
      <c r="AI306" s="456">
        <f>(((_xll.xSPRDOPT($L306,$J306,$I306,$M306,$O306,$N306,$P306,$Q306-$C$3,$R306,4)*$H306)/10000)/100)-AB306</f>
        <v>1.3749929225130353E-2</v>
      </c>
      <c r="AJ306" s="456"/>
      <c r="AK306" s="456"/>
      <c r="AL306" s="456"/>
      <c r="AM306" s="472"/>
      <c r="CC306" s="141">
        <f t="shared" ref="CC306:CC320" si="360">G306</f>
        <v>36951</v>
      </c>
      <c r="CD306" s="234">
        <f>_xll.xSPRDOPT((VLOOKUP(G306,NGPrices,2,FALSE)+HLOOKUP(D306,Prices,VLOOKUP(G306,move_down,2,FALSE),FALSE)),VLOOKUP(G306,NGPrices,2,FALSE),I306,VLOOKUP(G306,NGPREVPRICES,4,FALSE),HLOOKUP(D306,PREVVOLS,VLOOKUP(G306,MOVE_DOWN2,2,FALSE),FALSE),VLOOKUP(G306,NGPREVPRICES,3,FALSE),HLOOKUP(D306,Correllate,VLOOKUP(G306,CorMove,2,FALSE),FALSE),Q306-$CD$3,R306,$CD$5)*H306-CJ306</f>
        <v>0</v>
      </c>
      <c r="CE306" s="234">
        <f>_xll.xSPRDOPT((VLOOKUP(G306,NGPREVPRICES,2,FALSE)+HLOOKUP(D306,PREVCURVES,VLOOKUP(G306,MOVE_DOWN2,2,FALSE),FALSE)),VLOOKUP(G306,NGPREVPRICES,2,FALSE),CK306,VLOOKUP(G306,NGPrices,4,FALSE),HLOOKUP(D306,PREVVOLS,VLOOKUP(G306,MOVE_DOWN2,2,FALSE),FALSE),VLOOKUP(G306,NGPREVPRICES,3,FALSE),HLOOKUP(D306,Correllate,VLOOKUP(G306,CorMove,2,FALSE),FALSE),Q306-$CD$3,R306,$CJ$5)*H306-CJ306</f>
        <v>0</v>
      </c>
      <c r="CF306" s="10">
        <f t="shared" ref="CF306:CF320" si="361">(CJ306/VLOOKUP(CC306,discount,3,FALSE))-(CJ306/VLOOKUP(CC306,discount,2,FALSE))</f>
        <v>17.342162846951396</v>
      </c>
      <c r="CG306" s="234">
        <f>_xll.xSPRDOPT((VLOOKUP(G306,NGPREVPRICES,2,FALSE)+HLOOKUP(D306,PREVCURVES,VLOOKUP(G306,MOVE_DOWN2,2,FALSE),FALSE)),VLOOKUP(G306,NGPREVPRICES,2,FALSE),CK306,VLOOKUP(G306,NGPREVPRICES,4,FALSE),HLOOKUP(D306,VOLS,VLOOKUP(G306,move_down,2,FALSE),FALSE),VLOOKUP(G306,NGPrices,3,FALSE),HLOOKUP(D306,Correllate,VLOOKUP(G306,CorMove,2,FALSE),FALSE),Q306-$CD$3,R306,$CJ$5)*H306-CJ306</f>
        <v>0</v>
      </c>
      <c r="CH306" s="234">
        <f>_xll.xSPRDOPT((VLOOKUP(G306,NGPREVPRICES,2,FALSE)+HLOOKUP(D306,PREVCURVES,VLOOKUP(G306,MOVE_DOWN2,2,FALSE),FALSE)),VLOOKUP(G306,NGPREVPRICES,2,FALSE),CK306,VLOOKUP(G306,NGPREVPRICES,4,FALSE),HLOOKUP(D306,PREVVOLS,VLOOKUP(G306,MOVE_DOWN2,2,FALSE),FALSE),VLOOKUP(G306,NGPREVPRICES,3,FALSE),HLOOKUP(D306,Correllate,VLOOKUP(G306,CorMove,2,FALSE),FALSE),Q306-$C$3,R306,$CJ$5)*H306-CJ306</f>
        <v>406.29944524088933</v>
      </c>
      <c r="CI306" s="234">
        <f t="shared" ref="CI306:CI320" si="362">SUM(CD306:CH306)</f>
        <v>423.64160808784072</v>
      </c>
      <c r="CJ306" s="234">
        <f>_xll.xSPRDOPT((VLOOKUP(G306,NGPREVPRICES,2,FALSE)+HLOOKUP(D306,PREVCURVES,VLOOKUP(G306,MOVE_DOWN2,2,FALSE),FALSE)),VLOOKUP(G306,NGPREVPRICES,2,FALSE),CK306,VLOOKUP(G306,NGPREVPRICES,4,FALSE),HLOOKUP(D306,PREVVOLS,VLOOKUP(G306,MOVE_DOWN2,2,FALSE),FALSE),VLOOKUP(G306,NGPREVPRICES,3,FALSE),HLOOKUP(D306,Correllate,VLOOKUP(G306,CorMove,2,FALSE),FALSE),Q306-$CD$3,R306,$CJ$5)*H306</f>
        <v>-90424.995673914702</v>
      </c>
      <c r="CK306" s="235">
        <f t="shared" ref="CK306:CK320" si="363">I306</f>
        <v>1.75</v>
      </c>
      <c r="CM306" t="str">
        <f t="shared" si="355"/>
        <v>36951Curve Shift/Gamma</v>
      </c>
      <c r="CN306" t="str">
        <f t="shared" si="356"/>
        <v>36951Rho</v>
      </c>
      <c r="CO306" t="str">
        <f t="shared" si="357"/>
        <v>36951Drift</v>
      </c>
      <c r="CP306" t="str">
        <f t="shared" si="358"/>
        <v>36951Vega</v>
      </c>
      <c r="CQ306" t="str">
        <f t="shared" si="359"/>
        <v>36951Theta</v>
      </c>
    </row>
    <row r="307" spans="1:95" x14ac:dyDescent="0.25">
      <c r="A307" s="382" t="s">
        <v>286</v>
      </c>
      <c r="B307" t="s">
        <v>250</v>
      </c>
      <c r="C307" t="s">
        <v>432</v>
      </c>
      <c r="D307" s="4" t="s">
        <v>7</v>
      </c>
      <c r="E307" t="s">
        <v>20</v>
      </c>
      <c r="F307" t="s">
        <v>21</v>
      </c>
      <c r="G307" s="5">
        <v>36923</v>
      </c>
      <c r="H307" s="130">
        <v>-280000</v>
      </c>
      <c r="I307">
        <v>1.75</v>
      </c>
      <c r="J307" s="53">
        <f t="shared" si="316"/>
        <v>4.4800000000000004</v>
      </c>
      <c r="K307" s="7">
        <f t="shared" si="317"/>
        <v>2.09</v>
      </c>
      <c r="L307" s="53">
        <f t="shared" si="318"/>
        <v>6.57</v>
      </c>
      <c r="M307" s="157">
        <f t="shared" si="344"/>
        <v>6.8640161611372E-2</v>
      </c>
      <c r="N307" s="4">
        <f t="shared" si="345"/>
        <v>0.59250000000000003</v>
      </c>
      <c r="O307" s="4">
        <f t="shared" si="346"/>
        <v>0.68100000000000005</v>
      </c>
      <c r="P307" s="9">
        <f t="shared" si="347"/>
        <v>0.83</v>
      </c>
      <c r="Q307" s="5">
        <f t="shared" si="310"/>
        <v>36921</v>
      </c>
      <c r="R307" s="4">
        <f t="shared" si="348"/>
        <v>1</v>
      </c>
      <c r="S307" s="158">
        <f>_xll.xSPRDOPT($L307,$J307,$I307,$M307,$O307,$N307,$P307,$Q307-$C$3,$R307,0)</f>
        <v>0.82976979142903007</v>
      </c>
      <c r="T307" s="159">
        <f>_xll.xSPRDOPT($L307,$J307,$I307,$M307,$O307,$N307,$P307,$Q307-$C$3,$R307,1)*H307</f>
        <v>-172254.56988798617</v>
      </c>
      <c r="U307" s="160">
        <f t="shared" si="349"/>
        <v>-232335.54160012843</v>
      </c>
      <c r="V307" s="159">
        <f>_xll.xSPRDOPT($L307,$J307,$I307,$M307,$O307,$N307,$P307,$Q307-$C$3,$R307,2)*H307</f>
        <v>148442.83720624467</v>
      </c>
      <c r="W307" s="159">
        <f t="shared" si="350"/>
        <v>-23811.732681741501</v>
      </c>
      <c r="X307" s="51" t="str">
        <f t="shared" si="341"/>
        <v>36923IF-TRANSCO/Z6</v>
      </c>
      <c r="Y307" s="418">
        <f t="shared" si="342"/>
        <v>-28</v>
      </c>
      <c r="Z307" s="456">
        <f t="shared" si="343"/>
        <v>0.61519489245709347</v>
      </c>
      <c r="AA307" s="456">
        <f>_xll.xSPRDOPT($L307,$J307,$I307,$M307,$O307,$N307,$P307,$Q307-$C$3,$R307,3)</f>
        <v>0.2115570038217256</v>
      </c>
      <c r="AB307" s="456">
        <f>((_xll.xSPRDOPT($L307+AB$5,$J307,$I307,$M307,$O307,$N307,$P307,$Q307-$C$3,$R307,3)*$H307)/10000)/100</f>
        <v>-5.9235961070083165E-2</v>
      </c>
      <c r="AC307" s="456">
        <f>((_xll.xSPRDOPT($L307+$AB$5,$J307,$I307,$M307,$O307,$N307,$P307,$Q307-$C$3,$R307,7)*$H307)/100)</f>
        <v>3133.8762051580493</v>
      </c>
      <c r="AD307" s="456">
        <f>(_xll.xSPRDOPT($L307+$AB$5,$J307,$I307,$M307,$O307,$N307,$P307,$Q307-$C$3,$R307,9)/365)*$H307</f>
        <v>535.03173285631999</v>
      </c>
      <c r="AE307">
        <f t="shared" si="314"/>
        <v>0</v>
      </c>
      <c r="AF307" s="456">
        <f t="shared" si="315"/>
        <v>-3006.3270896695403</v>
      </c>
      <c r="AG307" s="456">
        <f>((_xll.xSPRDOPT($L307,$J307,$I307,$M307,$O307,$N307,$P307,$Q307-$C$3,$R307,6)*$H307)/100)</f>
        <v>1041.855069937287</v>
      </c>
      <c r="AH307" s="456">
        <f>((_xll.xSPRDOPT($L307,$J307,$I307,$M307,$O307,$N307,$P307,$Q307-$C$3,$R307,5)*$H307)/100)</f>
        <v>-3522.0968128737809</v>
      </c>
      <c r="AI307" s="456">
        <f>(((_xll.xSPRDOPT($L307,$J307,$I307,$M307,$O307,$N307,$P307,$Q307-$C$3,$R307,4)*$H307)/10000)/100)-AB307</f>
        <v>-7.5426883156697322E-3</v>
      </c>
      <c r="AJ307" s="456"/>
      <c r="AK307" s="456"/>
      <c r="AL307" s="456"/>
      <c r="AM307" s="472"/>
      <c r="CC307" s="141">
        <f t="shared" si="360"/>
        <v>36923</v>
      </c>
      <c r="CD307" s="234">
        <f>_xll.xSPRDOPT((VLOOKUP(G307,NGPrices,2,FALSE)+HLOOKUP(D307,Prices,VLOOKUP(G307,move_down,2,FALSE),FALSE)),VLOOKUP(G307,NGPrices,2,FALSE),I307,VLOOKUP(G307,NGPREVPRICES,4,FALSE),HLOOKUP(D307,PREVVOLS,VLOOKUP(G307,MOVE_DOWN2,2,FALSE),FALSE),VLOOKUP(G307,NGPREVPRICES,3,FALSE),HLOOKUP(D307,Correllate,VLOOKUP(G307,CorMove,2,FALSE),FALSE),Q307-$CD$3,R307,$CD$5)*H307-CJ307</f>
        <v>0</v>
      </c>
      <c r="CE307" s="234">
        <f>_xll.xSPRDOPT((VLOOKUP(G307,NGPREVPRICES,2,FALSE)+HLOOKUP(D307,PREVCURVES,VLOOKUP(G307,MOVE_DOWN2,2,FALSE),FALSE)),VLOOKUP(G307,NGPREVPRICES,2,FALSE),CK307,VLOOKUP(G307,NGPrices,4,FALSE),HLOOKUP(D307,PREVVOLS,VLOOKUP(G307,MOVE_DOWN2,2,FALSE),FALSE),VLOOKUP(G307,NGPREVPRICES,3,FALSE),HLOOKUP(D307,Correllate,VLOOKUP(G307,CorMove,2,FALSE),FALSE),Q307-$CD$3,R307,$CJ$5)*H307-CJ307</f>
        <v>0</v>
      </c>
      <c r="CF307" s="10">
        <f t="shared" si="361"/>
        <v>44.289035068271914</v>
      </c>
      <c r="CG307" s="234">
        <f>_xll.xSPRDOPT((VLOOKUP(G307,NGPREVPRICES,2,FALSE)+HLOOKUP(D307,PREVCURVES,VLOOKUP(G307,MOVE_DOWN2,2,FALSE),FALSE)),VLOOKUP(G307,NGPREVPRICES,2,FALSE),CK307,VLOOKUP(G307,NGPREVPRICES,4,FALSE),HLOOKUP(D307,VOLS,VLOOKUP(G307,move_down,2,FALSE),FALSE),VLOOKUP(G307,NGPrices,3,FALSE),HLOOKUP(D307,Correllate,VLOOKUP(G307,CorMove,2,FALSE),FALSE),Q307-$CD$3,R307,$CJ$5)*H307-CJ307</f>
        <v>0</v>
      </c>
      <c r="CH307" s="234">
        <f>_xll.xSPRDOPT((VLOOKUP(G307,NGPREVPRICES,2,FALSE)+HLOOKUP(D307,PREVCURVES,VLOOKUP(G307,MOVE_DOWN2,2,FALSE),FALSE)),VLOOKUP(G307,NGPREVPRICES,2,FALSE),CK307,VLOOKUP(G307,NGPREVPRICES,4,FALSE),HLOOKUP(D307,PREVVOLS,VLOOKUP(G307,MOVE_DOWN2,2,FALSE),FALSE),VLOOKUP(G307,NGPREVPRICES,3,FALSE),HLOOKUP(D307,Correllate,VLOOKUP(G307,CorMove,2,FALSE),FALSE),Q307-$C$3,R307,$CJ$5)*H307-CJ307</f>
        <v>533.65396941688959</v>
      </c>
      <c r="CI307" s="234">
        <f t="shared" si="362"/>
        <v>577.94300448516151</v>
      </c>
      <c r="CJ307" s="234">
        <f>_xll.xSPRDOPT((VLOOKUP(G307,NGPREVPRICES,2,FALSE)+HLOOKUP(D307,PREVCURVES,VLOOKUP(G307,MOVE_DOWN2,2,FALSE),FALSE)),VLOOKUP(G307,NGPREVPRICES,2,FALSE),CK307,VLOOKUP(G307,NGPREVPRICES,4,FALSE),HLOOKUP(D307,PREVVOLS,VLOOKUP(G307,MOVE_DOWN2,2,FALSE),FALSE),VLOOKUP(G307,NGPREVPRICES,3,FALSE),HLOOKUP(D307,Correllate,VLOOKUP(G307,CorMove,2,FALSE),FALSE),Q307-$CD$3,R307,$CJ$5)*H307</f>
        <v>-232869.19556954532</v>
      </c>
      <c r="CK307" s="235">
        <f t="shared" si="363"/>
        <v>1.75</v>
      </c>
      <c r="CM307" t="str">
        <f t="shared" si="355"/>
        <v>36923Curve Shift/Gamma</v>
      </c>
      <c r="CN307" t="str">
        <f t="shared" si="356"/>
        <v>36923Rho</v>
      </c>
      <c r="CO307" t="str">
        <f t="shared" si="357"/>
        <v>36923Drift</v>
      </c>
      <c r="CP307" t="str">
        <f t="shared" si="358"/>
        <v>36923Vega</v>
      </c>
      <c r="CQ307" t="str">
        <f t="shared" si="359"/>
        <v>36923Theta</v>
      </c>
    </row>
    <row r="308" spans="1:95" x14ac:dyDescent="0.25">
      <c r="A308" s="382" t="s">
        <v>286</v>
      </c>
      <c r="B308" t="s">
        <v>250</v>
      </c>
      <c r="C308" t="s">
        <v>432</v>
      </c>
      <c r="D308" s="4" t="s">
        <v>7</v>
      </c>
      <c r="E308" t="s">
        <v>20</v>
      </c>
      <c r="F308" t="s">
        <v>21</v>
      </c>
      <c r="G308" s="5">
        <v>36892</v>
      </c>
      <c r="H308" s="130">
        <v>-310000</v>
      </c>
      <c r="I308">
        <v>1.75</v>
      </c>
      <c r="J308" s="53">
        <f t="shared" si="316"/>
        <v>4.7439999999999998</v>
      </c>
      <c r="K308" s="7">
        <f t="shared" si="317"/>
        <v>2.17</v>
      </c>
      <c r="L308" s="53">
        <f t="shared" si="318"/>
        <v>6.9139999999999997</v>
      </c>
      <c r="M308" s="157">
        <f t="shared" si="344"/>
        <v>6.8374831148490994E-2</v>
      </c>
      <c r="N308" s="4">
        <f t="shared" si="345"/>
        <v>0.60499999999999998</v>
      </c>
      <c r="O308" s="4">
        <f t="shared" si="346"/>
        <v>0.69599999999999995</v>
      </c>
      <c r="P308" s="9">
        <f t="shared" si="347"/>
        <v>0.83</v>
      </c>
      <c r="Q308" s="5">
        <f t="shared" si="310"/>
        <v>36888</v>
      </c>
      <c r="R308" s="4">
        <f t="shared" si="348"/>
        <v>1</v>
      </c>
      <c r="S308" s="158">
        <f>_xll.xSPRDOPT($L308,$J308,$I308,$M308,$O308,$N308,$P308,$Q308-$C$3,$R308,0)</f>
        <v>0.84575346105479265</v>
      </c>
      <c r="T308" s="159">
        <f>_xll.xSPRDOPT($L308,$J308,$I308,$M308,$O308,$N308,$P308,$Q308-$C$3,$R308,1)*H308</f>
        <v>-197350.02561164391</v>
      </c>
      <c r="U308" s="160">
        <f t="shared" si="349"/>
        <v>-262183.57292698574</v>
      </c>
      <c r="V308" s="159">
        <f>_xll.xSPRDOPT($L308,$J308,$I308,$M308,$O308,$N308,$P308,$Q308-$C$3,$R308,2)*H308</f>
        <v>173528.12580710382</v>
      </c>
      <c r="W308" s="159">
        <f t="shared" si="350"/>
        <v>-23821.899804540095</v>
      </c>
      <c r="X308" s="51" t="str">
        <f t="shared" si="341"/>
        <v>36892IF-TRANSCO/Z6</v>
      </c>
      <c r="Y308" s="418">
        <f t="shared" si="342"/>
        <v>-31</v>
      </c>
      <c r="Z308" s="456">
        <f t="shared" si="343"/>
        <v>0.6366129858440126</v>
      </c>
      <c r="AA308" s="456">
        <f>_xll.xSPRDOPT($L308,$J308,$I308,$M308,$O308,$N308,$P308,$Q308-$C$3,$R308,3)</f>
        <v>0.2204598112510438</v>
      </c>
      <c r="AB308" s="456">
        <f>((_xll.xSPRDOPT($L308+AB$5,$J308,$I308,$M308,$O308,$N308,$P308,$Q308-$C$3,$R308,3)*$H308)/10000)/100</f>
        <v>-6.834254148782358E-2</v>
      </c>
      <c r="AC308" s="456">
        <f>((_xll.xSPRDOPT($L308+$AB$5,$J308,$I308,$M308,$O308,$N308,$P308,$Q308-$C$3,$R308,7)*$H308)/100)</f>
        <v>3325.456401461533</v>
      </c>
      <c r="AD308" s="456">
        <f>(_xll.xSPRDOPT($L308+$AB$5,$J308,$I308,$M308,$O308,$N308,$P308,$Q308-$C$3,$R308,9)/365)*$H308</f>
        <v>715.12518554879489</v>
      </c>
      <c r="AE308">
        <f t="shared" si="314"/>
        <v>0</v>
      </c>
      <c r="AF308" s="456">
        <f t="shared" si="315"/>
        <v>-3054.8659794989962</v>
      </c>
      <c r="AG308" s="456">
        <f>((_xll.xSPRDOPT($L308,$J308,$I308,$M308,$O308,$N308,$P308,$Q308-$C$3,$R308,6)*$H308)/100)</f>
        <v>1048.729216174399</v>
      </c>
      <c r="AH308" s="456">
        <f>((_xll.xSPRDOPT($L308,$J308,$I308,$M308,$O308,$N308,$P308,$Q308-$C$3,$R308,5)*$H308)/100)</f>
        <v>-3567.0619157793162</v>
      </c>
      <c r="AI308" s="456">
        <f>(((_xll.xSPRDOPT($L308,$J308,$I308,$M308,$O308,$N308,$P308,$Q308-$C$3,$R308,4)*$H308)/10000)/100)-AB308</f>
        <v>-9.5497645327159014E-3</v>
      </c>
      <c r="AJ308" s="456"/>
      <c r="AK308" s="456"/>
      <c r="AL308" s="456"/>
      <c r="AM308" s="472"/>
      <c r="CC308" s="141">
        <f t="shared" si="360"/>
        <v>36892</v>
      </c>
      <c r="CD308" s="234">
        <f>_xll.xSPRDOPT((VLOOKUP(G308,NGPrices,2,FALSE)+HLOOKUP(D308,Prices,VLOOKUP(G308,move_down,2,FALSE),FALSE)),VLOOKUP(G308,NGPrices,2,FALSE),I308,VLOOKUP(G308,NGPREVPRICES,4,FALSE),HLOOKUP(D308,PREVVOLS,VLOOKUP(G308,MOVE_DOWN2,2,FALSE),FALSE),VLOOKUP(G308,NGPREVPRICES,3,FALSE),HLOOKUP(D308,Correllate,VLOOKUP(G308,CorMove,2,FALSE),FALSE),Q308-$CD$3,R308,$CD$5)*H308-CJ308</f>
        <v>0</v>
      </c>
      <c r="CE308" s="234">
        <f>_xll.xSPRDOPT((VLOOKUP(G308,NGPREVPRICES,2,FALSE)+HLOOKUP(D308,PREVCURVES,VLOOKUP(G308,MOVE_DOWN2,2,FALSE),FALSE)),VLOOKUP(G308,NGPREVPRICES,2,FALSE),CK308,VLOOKUP(G308,NGPrices,4,FALSE),HLOOKUP(D308,PREVVOLS,VLOOKUP(G308,MOVE_DOWN2,2,FALSE),FALSE),VLOOKUP(G308,NGPREVPRICES,3,FALSE),HLOOKUP(D308,Correllate,VLOOKUP(G308,CorMove,2,FALSE),FALSE),Q308-$CD$3,R308,$CJ$5)*H308-CJ308</f>
        <v>0</v>
      </c>
      <c r="CF308" s="10">
        <f t="shared" si="361"/>
        <v>49.540540703688748</v>
      </c>
      <c r="CG308" s="234">
        <f>_xll.xSPRDOPT((VLOOKUP(G308,NGPREVPRICES,2,FALSE)+HLOOKUP(D308,PREVCURVES,VLOOKUP(G308,MOVE_DOWN2,2,FALSE),FALSE)),VLOOKUP(G308,NGPREVPRICES,2,FALSE),CK308,VLOOKUP(G308,NGPREVPRICES,4,FALSE),HLOOKUP(D308,VOLS,VLOOKUP(G308,move_down,2,FALSE),FALSE),VLOOKUP(G308,NGPrices,3,FALSE),HLOOKUP(D308,Correllate,VLOOKUP(G308,CorMove,2,FALSE),FALSE),Q308-$CD$3,R308,$CJ$5)*H308-CJ308</f>
        <v>0</v>
      </c>
      <c r="CH308" s="234">
        <f>_xll.xSPRDOPT((VLOOKUP(G308,NGPREVPRICES,2,FALSE)+HLOOKUP(D308,PREVCURVES,VLOOKUP(G308,MOVE_DOWN2,2,FALSE),FALSE)),VLOOKUP(G308,NGPREVPRICES,2,FALSE),CK308,VLOOKUP(G308,NGPREVPRICES,4,FALSE),HLOOKUP(D308,PREVVOLS,VLOOKUP(G308,MOVE_DOWN2,2,FALSE),FALSE),VLOOKUP(G308,NGPREVPRICES,3,FALSE),HLOOKUP(D308,Correllate,VLOOKUP(G308,CorMove,2,FALSE),FALSE),Q308-$C$3,R308,$CJ$5)*H308-CJ308</f>
        <v>713.02358394424664</v>
      </c>
      <c r="CI308" s="234">
        <f t="shared" si="362"/>
        <v>762.56412464793539</v>
      </c>
      <c r="CJ308" s="234">
        <f>_xll.xSPRDOPT((VLOOKUP(G308,NGPREVPRICES,2,FALSE)+HLOOKUP(D308,PREVCURVES,VLOOKUP(G308,MOVE_DOWN2,2,FALSE),FALSE)),VLOOKUP(G308,NGPREVPRICES,2,FALSE),CK308,VLOOKUP(G308,NGPREVPRICES,4,FALSE),HLOOKUP(D308,PREVVOLS,VLOOKUP(G308,MOVE_DOWN2,2,FALSE),FALSE),VLOOKUP(G308,NGPREVPRICES,3,FALSE),HLOOKUP(D308,Correllate,VLOOKUP(G308,CorMove,2,FALSE),FALSE),Q308-$CD$3,R308,$CJ$5)*H308</f>
        <v>-262896.59651092999</v>
      </c>
      <c r="CK308" s="235">
        <f t="shared" si="363"/>
        <v>1.75</v>
      </c>
      <c r="CM308" t="str">
        <f t="shared" si="355"/>
        <v>36892Curve Shift/Gamma</v>
      </c>
      <c r="CN308" t="str">
        <f t="shared" si="356"/>
        <v>36892Rho</v>
      </c>
      <c r="CO308" t="str">
        <f t="shared" si="357"/>
        <v>36892Drift</v>
      </c>
      <c r="CP308" t="str">
        <f t="shared" si="358"/>
        <v>36892Vega</v>
      </c>
      <c r="CQ308" t="str">
        <f t="shared" si="359"/>
        <v>36892Theta</v>
      </c>
    </row>
    <row r="309" spans="1:95" x14ac:dyDescent="0.25">
      <c r="A309" s="382" t="s">
        <v>286</v>
      </c>
      <c r="B309" t="s">
        <v>250</v>
      </c>
      <c r="C309" t="s">
        <v>432</v>
      </c>
      <c r="D309" s="4" t="s">
        <v>7</v>
      </c>
      <c r="E309" t="s">
        <v>20</v>
      </c>
      <c r="F309" t="s">
        <v>21</v>
      </c>
      <c r="G309" s="5">
        <v>36861</v>
      </c>
      <c r="H309" s="130">
        <v>-310000</v>
      </c>
      <c r="I309">
        <v>1.75</v>
      </c>
      <c r="J309" s="53">
        <f t="shared" si="316"/>
        <v>4.8</v>
      </c>
      <c r="K309" s="7">
        <f t="shared" si="317"/>
        <v>1.645</v>
      </c>
      <c r="L309" s="53">
        <f t="shared" si="318"/>
        <v>6.4450000000000003</v>
      </c>
      <c r="M309" s="157">
        <f t="shared" si="344"/>
        <v>6.8314027999354002E-2</v>
      </c>
      <c r="N309" s="4">
        <f t="shared" si="345"/>
        <v>0.6</v>
      </c>
      <c r="O309" s="4">
        <f t="shared" si="346"/>
        <v>0.69</v>
      </c>
      <c r="P309" s="9">
        <f t="shared" si="347"/>
        <v>0.83</v>
      </c>
      <c r="Q309" s="5">
        <f t="shared" si="310"/>
        <v>36859</v>
      </c>
      <c r="R309" s="4">
        <f t="shared" si="348"/>
        <v>1</v>
      </c>
      <c r="S309" s="158">
        <f>_xll.xSPRDOPT($L309,$J309,$I309,$M309,$O309,$N309,$P309,$Q309-$C$3,$R309,0)</f>
        <v>0.47009575539155257</v>
      </c>
      <c r="T309" s="159">
        <f>_xll.xSPRDOPT($L309,$J309,$I309,$M309,$O309,$N309,$P309,$Q309-$C$3,$R309,1)*H309</f>
        <v>-155736.00739984153</v>
      </c>
      <c r="U309" s="160">
        <f t="shared" si="349"/>
        <v>-145729.68417138129</v>
      </c>
      <c r="V309" s="159">
        <f>_xll.xSPRDOPT($L309,$J309,$I309,$M309,$O309,$N309,$P309,$Q309-$C$3,$R309,2)*H309</f>
        <v>134096.2189707479</v>
      </c>
      <c r="W309" s="159">
        <f t="shared" si="350"/>
        <v>-21639.788429093634</v>
      </c>
      <c r="X309" s="51" t="str">
        <f t="shared" si="341"/>
        <v>36861IF-TRANSCO/Z6</v>
      </c>
      <c r="Y309" s="418">
        <f t="shared" si="342"/>
        <v>-31</v>
      </c>
      <c r="Z309" s="456">
        <f t="shared" si="343"/>
        <v>0.50237421741884369</v>
      </c>
      <c r="AA309" s="456">
        <f>_xll.xSPRDOPT($L309,$J309,$I309,$M309,$O309,$N309,$P309,$Q309-$C$3,$R309,3)</f>
        <v>0.29792626931110988</v>
      </c>
      <c r="AB309" s="456">
        <f>((_xll.xSPRDOPT($L309+AB$5,$J309,$I309,$M309,$O309,$N309,$P309,$Q309-$C$3,$R309,3)*$H309)/10000)/100</f>
        <v>-9.2357143486444068E-2</v>
      </c>
      <c r="AC309" s="456">
        <f>((_xll.xSPRDOPT($L309+$AB$5,$J309,$I309,$M309,$O309,$N309,$P309,$Q309-$C$3,$R309,7)*$H309)/100)</f>
        <v>2952.4952854494641</v>
      </c>
      <c r="AD309" s="456">
        <f>(_xll.xSPRDOPT($L309+$AB$5,$J309,$I309,$M309,$O309,$N309,$P309,$Q309-$C$3,$R309,9)/365)*$H309</f>
        <v>845.31093954719017</v>
      </c>
      <c r="AE309">
        <f t="shared" si="314"/>
        <v>0</v>
      </c>
      <c r="AF309" s="456">
        <f t="shared" si="315"/>
        <v>-2674.0986892832839</v>
      </c>
      <c r="AG309" s="456">
        <f>((_xll.xSPRDOPT($L309,$J309,$I309,$M309,$O309,$N309,$P309,$Q309-$C$3,$R309,6)*$H309)/100)</f>
        <v>909.23820428941474</v>
      </c>
      <c r="AH309" s="456">
        <f>((_xll.xSPRDOPT($L309,$J309,$I309,$M309,$O309,$N309,$P309,$Q309-$C$3,$R309,5)*$H309)/100)</f>
        <v>-3115.9451248458249</v>
      </c>
      <c r="AI309" s="456">
        <f>(((_xll.xSPRDOPT($L309,$J309,$I309,$M309,$O309,$N309,$P309,$Q309-$C$3,$R309,4)*$H309)/10000)/100)-AB309</f>
        <v>1.1727950213921284E-3</v>
      </c>
      <c r="AJ309" s="456"/>
      <c r="AK309" s="456"/>
      <c r="AL309" s="456"/>
      <c r="AM309" s="472"/>
      <c r="CC309" s="141">
        <f t="shared" si="360"/>
        <v>36861</v>
      </c>
      <c r="CD309" s="234">
        <f>_xll.xSPRDOPT((VLOOKUP(G309,NGPrices,2,FALSE)+HLOOKUP(D309,Prices,VLOOKUP(G309,move_down,2,FALSE),FALSE)),VLOOKUP(G309,NGPrices,2,FALSE),I309,VLOOKUP(G309,NGPREVPRICES,4,FALSE),HLOOKUP(D309,PREVVOLS,VLOOKUP(G309,MOVE_DOWN2,2,FALSE),FALSE),VLOOKUP(G309,NGPREVPRICES,3,FALSE),HLOOKUP(D309,Correllate,VLOOKUP(G309,CorMove,2,FALSE),FALSE),Q309-$CD$3,R309,$CD$5)*H309-CJ309</f>
        <v>0</v>
      </c>
      <c r="CE309" s="234">
        <f>_xll.xSPRDOPT((VLOOKUP(G309,NGPREVPRICES,2,FALSE)+HLOOKUP(D309,PREVCURVES,VLOOKUP(G309,MOVE_DOWN2,2,FALSE),FALSE)),VLOOKUP(G309,NGPREVPRICES,2,FALSE),CK309,VLOOKUP(G309,NGPrices,4,FALSE),HLOOKUP(D309,PREVVOLS,VLOOKUP(G309,MOVE_DOWN2,2,FALSE),FALSE),VLOOKUP(G309,NGPREVPRICES,3,FALSE),HLOOKUP(D309,Correllate,VLOOKUP(G309,CorMove,2,FALSE),FALSE),Q309-$CD$3,R309,$CJ$5)*H309-CJ309</f>
        <v>0</v>
      </c>
      <c r="CF309" s="10">
        <f t="shared" si="361"/>
        <v>27.4584774178511</v>
      </c>
      <c r="CG309" s="234">
        <f>_xll.xSPRDOPT((VLOOKUP(G309,NGPREVPRICES,2,FALSE)+HLOOKUP(D309,PREVCURVES,VLOOKUP(G309,MOVE_DOWN2,2,FALSE),FALSE)),VLOOKUP(G309,NGPREVPRICES,2,FALSE),CK309,VLOOKUP(G309,NGPREVPRICES,4,FALSE),HLOOKUP(D309,VOLS,VLOOKUP(G309,move_down,2,FALSE),FALSE),VLOOKUP(G309,NGPrices,3,FALSE),HLOOKUP(D309,Correllate,VLOOKUP(G309,CorMove,2,FALSE),FALSE),Q309-$CD$3,R309,$CJ$5)*H309-CJ309</f>
        <v>0</v>
      </c>
      <c r="CH309" s="234">
        <f>_xll.xSPRDOPT((VLOOKUP(G309,NGPREVPRICES,2,FALSE)+HLOOKUP(D309,PREVCURVES,VLOOKUP(G309,MOVE_DOWN2,2,FALSE),FALSE)),VLOOKUP(G309,NGPREVPRICES,2,FALSE),CK309,VLOOKUP(G309,NGPREVPRICES,4,FALSE),HLOOKUP(D309,PREVVOLS,VLOOKUP(G309,MOVE_DOWN2,2,FALSE),FALSE),VLOOKUP(G309,NGPREVPRICES,3,FALSE),HLOOKUP(D309,Correllate,VLOOKUP(G309,CorMove,2,FALSE),FALSE),Q309-$C$3,R309,$CJ$5)*H309-CJ309</f>
        <v>842.21753671020269</v>
      </c>
      <c r="CI309" s="234">
        <f t="shared" si="362"/>
        <v>869.67601412805379</v>
      </c>
      <c r="CJ309" s="234">
        <f>_xll.xSPRDOPT((VLOOKUP(G309,NGPREVPRICES,2,FALSE)+HLOOKUP(D309,PREVCURVES,VLOOKUP(G309,MOVE_DOWN2,2,FALSE),FALSE)),VLOOKUP(G309,NGPREVPRICES,2,FALSE),CK309,VLOOKUP(G309,NGPREVPRICES,4,FALSE),HLOOKUP(D309,PREVVOLS,VLOOKUP(G309,MOVE_DOWN2,2,FALSE),FALSE),VLOOKUP(G309,NGPREVPRICES,3,FALSE),HLOOKUP(D309,Correllate,VLOOKUP(G309,CorMove,2,FALSE),FALSE),Q309-$CD$3,R309,$CJ$5)*H309</f>
        <v>-146571.90170809149</v>
      </c>
      <c r="CK309" s="235">
        <f t="shared" si="363"/>
        <v>1.75</v>
      </c>
      <c r="CM309" t="str">
        <f t="shared" si="355"/>
        <v>36861Curve Shift/Gamma</v>
      </c>
      <c r="CN309" t="str">
        <f t="shared" si="356"/>
        <v>36861Rho</v>
      </c>
      <c r="CO309" t="str">
        <f t="shared" si="357"/>
        <v>36861Drift</v>
      </c>
      <c r="CP309" t="str">
        <f t="shared" si="358"/>
        <v>36861Vega</v>
      </c>
      <c r="CQ309" t="str">
        <f t="shared" si="359"/>
        <v>36861Theta</v>
      </c>
    </row>
    <row r="310" spans="1:95" x14ac:dyDescent="0.25">
      <c r="A310" s="382" t="s">
        <v>286</v>
      </c>
      <c r="B310" t="s">
        <v>250</v>
      </c>
      <c r="C310" t="s">
        <v>432</v>
      </c>
      <c r="D310" s="4" t="s">
        <v>7</v>
      </c>
      <c r="E310" t="s">
        <v>20</v>
      </c>
      <c r="F310" t="s">
        <v>21</v>
      </c>
      <c r="G310" s="5">
        <v>36831</v>
      </c>
      <c r="H310" s="130">
        <v>-300000</v>
      </c>
      <c r="I310">
        <v>1.75</v>
      </c>
      <c r="J310" s="53">
        <f t="shared" si="316"/>
        <v>4.7359999999999998</v>
      </c>
      <c r="K310" s="7">
        <f t="shared" si="317"/>
        <v>0.77</v>
      </c>
      <c r="L310" s="53">
        <f t="shared" si="318"/>
        <v>5.5060000000000002</v>
      </c>
      <c r="M310" s="157">
        <f t="shared" si="344"/>
        <v>6.810675983792E-2</v>
      </c>
      <c r="N310" s="4">
        <f t="shared" si="345"/>
        <v>0.59499999999999997</v>
      </c>
      <c r="O310" s="4">
        <f t="shared" si="346"/>
        <v>0.625</v>
      </c>
      <c r="P310" s="9">
        <f t="shared" si="347"/>
        <v>0.89</v>
      </c>
      <c r="Q310" s="5">
        <f t="shared" si="310"/>
        <v>36829</v>
      </c>
      <c r="R310" s="4">
        <f t="shared" si="348"/>
        <v>1</v>
      </c>
      <c r="S310" s="158">
        <f>_xll.xSPRDOPT($L310,$J310,$I310,$M310,$O310,$N310,$P310,$Q310-$C$3,$R310,0)</f>
        <v>3.4598703912061421E-2</v>
      </c>
      <c r="T310" s="159">
        <f>_xll.xSPRDOPT($L310,$J310,$I310,$M310,$O310,$N310,$P310,$Q310-$C$3,$R310,1)*H310</f>
        <v>-32807.151912962101</v>
      </c>
      <c r="U310" s="160">
        <f t="shared" si="349"/>
        <v>-10379.611173618427</v>
      </c>
      <c r="V310" s="159">
        <f>_xll.xSPRDOPT($L310,$J310,$I310,$M310,$O310,$N310,$P310,$Q310-$C$3,$R310,2)*H310</f>
        <v>27339.05568913589</v>
      </c>
      <c r="W310" s="159">
        <f t="shared" si="350"/>
        <v>-5468.0962238262109</v>
      </c>
      <c r="X310" s="51" t="str">
        <f t="shared" si="341"/>
        <v>36831IF-TRANSCO/Z6</v>
      </c>
      <c r="Y310" s="418">
        <f t="shared" si="342"/>
        <v>-30</v>
      </c>
      <c r="Z310" s="456">
        <f t="shared" si="343"/>
        <v>0.10935717304320701</v>
      </c>
      <c r="AA310" s="456">
        <f>_xll.xSPRDOPT($L310,$J310,$I310,$M310,$O310,$N310,$P310,$Q310-$C$3,$R310,3)</f>
        <v>0.26977918106987692</v>
      </c>
      <c r="AB310" s="456">
        <f>((_xll.xSPRDOPT($L310+AB$5,$J310,$I310,$M310,$O310,$N310,$P310,$Q310-$C$3,$R310,3)*$H310)/10000)/100</f>
        <v>-8.0933754320963086E-2</v>
      </c>
      <c r="AC310" s="456">
        <f>((_xll.xSPRDOPT($L310+$AB$5,$J310,$I310,$M310,$O310,$N310,$P310,$Q310-$C$3,$R310,7)*$H310)/100)</f>
        <v>1168.1737571589865</v>
      </c>
      <c r="AD310" s="456">
        <f>(_xll.xSPRDOPT($L310+$AB$5,$J310,$I310,$M310,$O310,$N310,$P310,$Q310-$C$3,$R310,9)/365)*$H310</f>
        <v>311.76337013216641</v>
      </c>
      <c r="AE310">
        <f t="shared" si="314"/>
        <v>0</v>
      </c>
      <c r="AF310" s="456">
        <f t="shared" si="315"/>
        <v>-653.31416744406624</v>
      </c>
      <c r="AG310" s="456">
        <f>((_xll.xSPRDOPT($L310,$J310,$I310,$M310,$O310,$N310,$P310,$Q310-$C$3,$R310,6)*$H310)/100)</f>
        <v>333.63024197914473</v>
      </c>
      <c r="AH310" s="456">
        <f>((_xll.xSPRDOPT($L310,$J310,$I310,$M310,$O310,$N310,$P310,$Q310-$C$3,$R310,5)*$H310)/100)</f>
        <v>-939.57107777089686</v>
      </c>
      <c r="AI310" s="456">
        <f>(((_xll.xSPRDOPT($L310,$J310,$I310,$M310,$O310,$N310,$P310,$Q310-$C$3,$R310,4)*$H310)/10000)/100)-AB310</f>
        <v>1.8528029145785607E-2</v>
      </c>
      <c r="AJ310" s="456"/>
      <c r="AK310" s="456"/>
      <c r="AL310" s="456"/>
      <c r="AM310" s="472"/>
      <c r="CC310" s="141">
        <f t="shared" si="360"/>
        <v>36831</v>
      </c>
      <c r="CD310" s="234">
        <f>_xll.xSPRDOPT((VLOOKUP(G310,NGPrices,2,FALSE)+HLOOKUP(D310,Prices,VLOOKUP(G310,move_down,2,FALSE),FALSE)),VLOOKUP(G310,NGPrices,2,FALSE),I310,VLOOKUP(G310,NGPREVPRICES,4,FALSE),HLOOKUP(D310,PREVVOLS,VLOOKUP(G310,MOVE_DOWN2,2,FALSE),FALSE),VLOOKUP(G310,NGPREVPRICES,3,FALSE),HLOOKUP(D310,Correllate,VLOOKUP(G310,CorMove,2,FALSE),FALSE),Q310-$CD$3,R310,$CD$5)*H310-CJ310</f>
        <v>0</v>
      </c>
      <c r="CE310" s="234">
        <f>_xll.xSPRDOPT((VLOOKUP(G310,NGPREVPRICES,2,FALSE)+HLOOKUP(D310,PREVCURVES,VLOOKUP(G310,MOVE_DOWN2,2,FALSE),FALSE)),VLOOKUP(G310,NGPREVPRICES,2,FALSE),CK310,VLOOKUP(G310,NGPrices,4,FALSE),HLOOKUP(D310,PREVVOLS,VLOOKUP(G310,MOVE_DOWN2,2,FALSE),FALSE),VLOOKUP(G310,NGPREVPRICES,3,FALSE),HLOOKUP(D310,Correllate,VLOOKUP(G310,CorMove,2,FALSE),FALSE),Q310-$CD$3,R310,$CJ$5)*H310-CJ310</f>
        <v>0</v>
      </c>
      <c r="CF310" s="10">
        <f t="shared" si="361"/>
        <v>1.9856073618739174</v>
      </c>
      <c r="CG310" s="234">
        <f>_xll.xSPRDOPT((VLOOKUP(G310,NGPREVPRICES,2,FALSE)+HLOOKUP(D310,PREVCURVES,VLOOKUP(G310,MOVE_DOWN2,2,FALSE),FALSE)),VLOOKUP(G310,NGPREVPRICES,2,FALSE),CK310,VLOOKUP(G310,NGPREVPRICES,4,FALSE),HLOOKUP(D310,VOLS,VLOOKUP(G310,move_down,2,FALSE),FALSE),VLOOKUP(G310,NGPrices,3,FALSE),HLOOKUP(D310,Correllate,VLOOKUP(G310,CorMove,2,FALSE),FALSE),Q310-$CD$3,R310,$CJ$5)*H310-CJ310</f>
        <v>0</v>
      </c>
      <c r="CH310" s="234">
        <f>_xll.xSPRDOPT((VLOOKUP(G310,NGPREVPRICES,2,FALSE)+HLOOKUP(D310,PREVCURVES,VLOOKUP(G310,MOVE_DOWN2,2,FALSE),FALSE)),VLOOKUP(G310,NGPREVPRICES,2,FALSE),CK310,VLOOKUP(G310,NGPREVPRICES,4,FALSE),HLOOKUP(D310,PREVVOLS,VLOOKUP(G310,MOVE_DOWN2,2,FALSE),FALSE),VLOOKUP(G310,NGPREVPRICES,3,FALSE),HLOOKUP(D310,Correllate,VLOOKUP(G310,CorMove,2,FALSE),FALSE),Q310-$C$3,R310,$CJ$5)*H310-CJ310</f>
        <v>312.33034571543612</v>
      </c>
      <c r="CI310" s="234">
        <f t="shared" si="362"/>
        <v>314.31595307731004</v>
      </c>
      <c r="CJ310" s="234">
        <f>_xll.xSPRDOPT((VLOOKUP(G310,NGPREVPRICES,2,FALSE)+HLOOKUP(D310,PREVCURVES,VLOOKUP(G310,MOVE_DOWN2,2,FALSE),FALSE)),VLOOKUP(G310,NGPREVPRICES,2,FALSE),CK310,VLOOKUP(G310,NGPREVPRICES,4,FALSE),HLOOKUP(D310,PREVVOLS,VLOOKUP(G310,MOVE_DOWN2,2,FALSE),FALSE),VLOOKUP(G310,NGPREVPRICES,3,FALSE),HLOOKUP(D310,Correllate,VLOOKUP(G310,CorMove,2,FALSE),FALSE),Q310-$CD$3,R310,$CJ$5)*H310</f>
        <v>-10691.941519333863</v>
      </c>
      <c r="CK310" s="235">
        <f t="shared" si="363"/>
        <v>1.75</v>
      </c>
      <c r="CM310" t="str">
        <f t="shared" si="355"/>
        <v>36831Curve Shift/Gamma</v>
      </c>
      <c r="CN310" t="str">
        <f t="shared" si="356"/>
        <v>36831Rho</v>
      </c>
      <c r="CO310" t="str">
        <f t="shared" si="357"/>
        <v>36831Drift</v>
      </c>
      <c r="CP310" t="str">
        <f t="shared" si="358"/>
        <v>36831Vega</v>
      </c>
      <c r="CQ310" t="str">
        <f t="shared" si="359"/>
        <v>36831Theta</v>
      </c>
    </row>
    <row r="311" spans="1:95" x14ac:dyDescent="0.25">
      <c r="A311" s="382" t="s">
        <v>286</v>
      </c>
      <c r="B311" t="s">
        <v>250</v>
      </c>
      <c r="C311" t="s">
        <v>433</v>
      </c>
      <c r="D311" s="4" t="s">
        <v>7</v>
      </c>
      <c r="E311" t="s">
        <v>20</v>
      </c>
      <c r="F311" t="s">
        <v>21</v>
      </c>
      <c r="G311" s="5">
        <v>36951</v>
      </c>
      <c r="H311" s="130">
        <v>310000</v>
      </c>
      <c r="I311">
        <v>2.5</v>
      </c>
      <c r="J311" s="53">
        <f t="shared" si="316"/>
        <v>4.2130000000000001</v>
      </c>
      <c r="K311" s="7">
        <f t="shared" si="317"/>
        <v>1.075</v>
      </c>
      <c r="L311" s="53">
        <f t="shared" si="318"/>
        <v>5.2880000000000003</v>
      </c>
      <c r="M311" s="157">
        <f t="shared" si="344"/>
        <v>6.8879814952706994E-2</v>
      </c>
      <c r="N311" s="4">
        <f t="shared" si="345"/>
        <v>0.53249999999999997</v>
      </c>
      <c r="O311" s="4">
        <f t="shared" si="346"/>
        <v>0.61199999999999999</v>
      </c>
      <c r="P311" s="9">
        <f t="shared" si="347"/>
        <v>0.83</v>
      </c>
      <c r="Q311" s="5">
        <f t="shared" si="310"/>
        <v>36949</v>
      </c>
      <c r="R311" s="4">
        <f t="shared" si="348"/>
        <v>1</v>
      </c>
      <c r="S311" s="158">
        <f>_xll.xSPRDOPT($L311,$J311,$I311,$M311,$O311,$N311,$P311,$Q311-$C$3,$R311,0)</f>
        <v>0.15660034057175656</v>
      </c>
      <c r="T311" s="159">
        <f>_xll.xSPRDOPT($L311,$J311,$I311,$M311,$O311,$N311,$P311,$Q311-$C$3,$R311,1)*H311</f>
        <v>68187.967452506709</v>
      </c>
      <c r="U311" s="160">
        <f t="shared" si="349"/>
        <v>48546.105577244532</v>
      </c>
      <c r="V311" s="159">
        <f>_xll.xSPRDOPT($L311,$J311,$I311,$M311,$O311,$N311,$P311,$Q311-$C$3,$R311,2)*H311</f>
        <v>-50506.235487063357</v>
      </c>
      <c r="W311" s="159">
        <f t="shared" si="350"/>
        <v>17681.731965443352</v>
      </c>
      <c r="X311" s="51" t="str">
        <f t="shared" si="341"/>
        <v>36951IF-TRANSCO/Z6</v>
      </c>
      <c r="Y311" s="418">
        <f t="shared" si="342"/>
        <v>31</v>
      </c>
      <c r="Z311" s="456">
        <f t="shared" si="343"/>
        <v>0.2199611853306668</v>
      </c>
      <c r="AA311" s="456">
        <f>_xll.xSPRDOPT($L311,$J311,$I311,$M311,$O311,$N311,$P311,$Q311-$C$3,$R311,3)</f>
        <v>0.20855990404016209</v>
      </c>
      <c r="AB311" s="456">
        <f>((_xll.xSPRDOPT($L311+AB$5,$J311,$I311,$M311,$O311,$N311,$P311,$Q311-$C$3,$R311,3)*$H311)/10000)/100</f>
        <v>6.4653570252450249E-2</v>
      </c>
      <c r="AC311" s="456">
        <f>((_xll.xSPRDOPT($L311+$AB$5,$J311,$I311,$M311,$O311,$N311,$P311,$Q311-$C$3,$R311,7)*$H311)/100)</f>
        <v>-1958.994654682441</v>
      </c>
      <c r="AD311" s="456">
        <f>(_xll.xSPRDOPT($L311+$AB$5,$J311,$I311,$M311,$O311,$N311,$P311,$Q311-$C$3,$R311,9)/365)*$H311</f>
        <v>-340.69913522803944</v>
      </c>
      <c r="AE311">
        <f t="shared" si="314"/>
        <v>0</v>
      </c>
      <c r="AF311" s="456">
        <f t="shared" si="315"/>
        <v>2389.896803252896</v>
      </c>
      <c r="AG311" s="456">
        <f>((_xll.xSPRDOPT($L311,$J311,$I311,$M311,$O311,$N311,$P311,$Q311-$C$3,$R311,6)*$H311)/100)</f>
        <v>-893.00665809604436</v>
      </c>
      <c r="AH311" s="456">
        <f>((_xll.xSPRDOPT($L311,$J311,$I311,$M311,$O311,$N311,$P311,$Q311-$C$3,$R311,5)*$H311)/100)</f>
        <v>2856.4478646541024</v>
      </c>
      <c r="AI311" s="456">
        <f>(((_xll.xSPRDOPT($L311,$J311,$I311,$M311,$O311,$N311,$P311,$Q311-$C$3,$R311,4)*$H311)/10000)/100)-AB311</f>
        <v>-1.8780219276826111E-2</v>
      </c>
      <c r="AJ311" s="456"/>
      <c r="AK311" s="456"/>
      <c r="AL311" s="456"/>
      <c r="AM311" s="472"/>
      <c r="CC311" s="141">
        <f t="shared" si="360"/>
        <v>36951</v>
      </c>
      <c r="CD311" s="234">
        <f>_xll.xSPRDOPT((VLOOKUP(G311,NGPrices,2,FALSE)+HLOOKUP(D311,Prices,VLOOKUP(G311,move_down,2,FALSE),FALSE)),VLOOKUP(G311,NGPrices,2,FALSE),I311,VLOOKUP(G311,NGPREVPRICES,4,FALSE),HLOOKUP(D311,PREVVOLS,VLOOKUP(G311,MOVE_DOWN2,2,FALSE),FALSE),VLOOKUP(G311,NGPREVPRICES,3,FALSE),HLOOKUP(D311,Correllate,VLOOKUP(G311,CorMove,2,FALSE),FALSE),Q311-$CD$3,R311,$CD$5)*H311-CJ311</f>
        <v>0</v>
      </c>
      <c r="CE311" s="234">
        <f>_xll.xSPRDOPT((VLOOKUP(G311,NGPREVPRICES,2,FALSE)+HLOOKUP(D311,PREVCURVES,VLOOKUP(G311,MOVE_DOWN2,2,FALSE),FALSE)),VLOOKUP(G311,NGPREVPRICES,2,FALSE),CK311,VLOOKUP(G311,NGPrices,4,FALSE),HLOOKUP(D311,PREVVOLS,VLOOKUP(G311,MOVE_DOWN2,2,FALSE),FALSE),VLOOKUP(G311,NGPREVPRICES,3,FALSE),HLOOKUP(D311,Correllate,VLOOKUP(G311,CorMove,2,FALSE),FALSE),Q311-$CD$3,R311,$CJ$5)*H311-CJ311</f>
        <v>0</v>
      </c>
      <c r="CF311" s="10">
        <f t="shared" si="361"/>
        <v>-9.375681076257024</v>
      </c>
      <c r="CG311" s="234">
        <f>_xll.xSPRDOPT((VLOOKUP(G311,NGPREVPRICES,2,FALSE)+HLOOKUP(D311,PREVCURVES,VLOOKUP(G311,MOVE_DOWN2,2,FALSE),FALSE)),VLOOKUP(G311,NGPREVPRICES,2,FALSE),CK311,VLOOKUP(G311,NGPREVPRICES,4,FALSE),HLOOKUP(D311,VOLS,VLOOKUP(G311,move_down,2,FALSE),FALSE),VLOOKUP(G311,NGPrices,3,FALSE),HLOOKUP(D311,Correllate,VLOOKUP(G311,CorMove,2,FALSE),FALSE),Q311-$CD$3,R311,$CJ$5)*H311-CJ311</f>
        <v>0</v>
      </c>
      <c r="CH311" s="234">
        <f>_xll.xSPRDOPT((VLOOKUP(G311,NGPREVPRICES,2,FALSE)+HLOOKUP(D311,PREVCURVES,VLOOKUP(G311,MOVE_DOWN2,2,FALSE),FALSE)),VLOOKUP(G311,NGPREVPRICES,2,FALSE),CK311,VLOOKUP(G311,NGPREVPRICES,4,FALSE),HLOOKUP(D311,PREVVOLS,VLOOKUP(G311,MOVE_DOWN2,2,FALSE),FALSE),VLOOKUP(G311,NGPREVPRICES,3,FALSE),HLOOKUP(D311,Correllate,VLOOKUP(G311,CorMove,2,FALSE),FALSE),Q311-$C$3,R311,$CJ$5)*H311-CJ311</f>
        <v>-340.29505470926961</v>
      </c>
      <c r="CI311" s="234">
        <f t="shared" si="362"/>
        <v>-349.67073578552663</v>
      </c>
      <c r="CJ311" s="234">
        <f>_xll.xSPRDOPT((VLOOKUP(G311,NGPREVPRICES,2,FALSE)+HLOOKUP(D311,PREVCURVES,VLOOKUP(G311,MOVE_DOWN2,2,FALSE),FALSE)),VLOOKUP(G311,NGPREVPRICES,2,FALSE),CK311,VLOOKUP(G311,NGPREVPRICES,4,FALSE),HLOOKUP(D311,PREVVOLS,VLOOKUP(G311,MOVE_DOWN2,2,FALSE),FALSE),VLOOKUP(G311,NGPREVPRICES,3,FALSE),HLOOKUP(D311,Correllate,VLOOKUP(G311,CorMove,2,FALSE),FALSE),Q311-$CD$3,R311,$CJ$5)*H311</f>
        <v>48886.400631953802</v>
      </c>
      <c r="CK311" s="235">
        <f t="shared" si="363"/>
        <v>2.5</v>
      </c>
      <c r="CM311" t="str">
        <f t="shared" si="355"/>
        <v>36951Curve Shift/Gamma</v>
      </c>
      <c r="CN311" t="str">
        <f t="shared" si="356"/>
        <v>36951Rho</v>
      </c>
      <c r="CO311" t="str">
        <f t="shared" si="357"/>
        <v>36951Drift</v>
      </c>
      <c r="CP311" t="str">
        <f t="shared" si="358"/>
        <v>36951Vega</v>
      </c>
      <c r="CQ311" t="str">
        <f t="shared" si="359"/>
        <v>36951Theta</v>
      </c>
    </row>
    <row r="312" spans="1:95" x14ac:dyDescent="0.25">
      <c r="A312" s="382" t="s">
        <v>286</v>
      </c>
      <c r="B312" t="s">
        <v>250</v>
      </c>
      <c r="C312" t="s">
        <v>433</v>
      </c>
      <c r="D312" s="4" t="s">
        <v>7</v>
      </c>
      <c r="E312" t="s">
        <v>20</v>
      </c>
      <c r="F312" t="s">
        <v>21</v>
      </c>
      <c r="G312" s="5">
        <v>36923</v>
      </c>
      <c r="H312" s="130">
        <v>280000</v>
      </c>
      <c r="I312">
        <v>2.5</v>
      </c>
      <c r="J312" s="53">
        <f t="shared" si="316"/>
        <v>4.4800000000000004</v>
      </c>
      <c r="K312" s="7">
        <f t="shared" si="317"/>
        <v>2.09</v>
      </c>
      <c r="L312" s="53">
        <f t="shared" si="318"/>
        <v>6.57</v>
      </c>
      <c r="M312" s="157">
        <f t="shared" si="344"/>
        <v>6.8640161611372E-2</v>
      </c>
      <c r="N312" s="4">
        <f t="shared" si="345"/>
        <v>0.59250000000000003</v>
      </c>
      <c r="O312" s="4">
        <f t="shared" si="346"/>
        <v>0.68100000000000005</v>
      </c>
      <c r="P312" s="9">
        <f t="shared" si="347"/>
        <v>0.83</v>
      </c>
      <c r="Q312" s="5">
        <f t="shared" si="310"/>
        <v>36921</v>
      </c>
      <c r="R312" s="4">
        <f t="shared" si="348"/>
        <v>1</v>
      </c>
      <c r="S312" s="158">
        <f>_xll.xSPRDOPT($L312,$J312,$I312,$M312,$O312,$N312,$P312,$Q312-$C$3,$R312,0)</f>
        <v>0.53494168201694325</v>
      </c>
      <c r="T312" s="159">
        <f>_xll.xSPRDOPT($L312,$J312,$I312,$M312,$O312,$N312,$P312,$Q312-$C$3,$R312,1)*H312</f>
        <v>128085.42484767239</v>
      </c>
      <c r="U312" s="160">
        <f t="shared" si="349"/>
        <v>149783.67096474412</v>
      </c>
      <c r="V312" s="159">
        <f>_xll.xSPRDOPT($L312,$J312,$I312,$M312,$O312,$N312,$P312,$Q312-$C$3,$R312,2)*H312</f>
        <v>-104984.67609865764</v>
      </c>
      <c r="W312" s="159">
        <f t="shared" si="350"/>
        <v>23100.748749014747</v>
      </c>
      <c r="X312" s="51" t="str">
        <f t="shared" si="341"/>
        <v>36923IF-TRANSCO/Z6</v>
      </c>
      <c r="Y312" s="418">
        <f t="shared" si="342"/>
        <v>28</v>
      </c>
      <c r="Z312" s="456">
        <f t="shared" si="343"/>
        <v>0.45744794588454424</v>
      </c>
      <c r="AA312" s="456">
        <f>_xll.xSPRDOPT($L312,$J312,$I312,$M312,$O312,$N312,$P312,$Q312-$C$3,$R312,3)</f>
        <v>0.21618551080216697</v>
      </c>
      <c r="AB312" s="456">
        <f>((_xll.xSPRDOPT($L312+AB$5,$J312,$I312,$M312,$O312,$N312,$P312,$Q312-$C$3,$R312,3)*$H312)/10000)/100</f>
        <v>6.0531943024606745E-2</v>
      </c>
      <c r="AC312" s="456">
        <f>((_xll.xSPRDOPT($L312+$AB$5,$J312,$I312,$M312,$O312,$N312,$P312,$Q312-$C$3,$R312,7)*$H312)/100)</f>
        <v>-2929.1996900406107</v>
      </c>
      <c r="AD312" s="456">
        <f>(_xll.xSPRDOPT($L312+$AB$5,$J312,$I312,$M312,$O312,$N312,$P312,$Q312-$C$3,$R312,9)/365)*$H312</f>
        <v>-604.79960954333001</v>
      </c>
      <c r="AE312">
        <f t="shared" si="314"/>
        <v>0</v>
      </c>
      <c r="AF312" s="456">
        <f t="shared" si="315"/>
        <v>3288.1090766114849</v>
      </c>
      <c r="AG312" s="456">
        <f>((_xll.xSPRDOPT($L312,$J312,$I312,$M312,$O312,$N312,$P312,$Q312-$C$3,$R312,6)*$H312)/100)</f>
        <v>-1231.4051005252395</v>
      </c>
      <c r="AH312" s="456">
        <f>((_xll.xSPRDOPT($L312,$J312,$I312,$M312,$O312,$N312,$P312,$Q312-$C$3,$R312,5)*$H312)/100)</f>
        <v>3932.1764316497924</v>
      </c>
      <c r="AI312" s="456">
        <f>(((_xll.xSPRDOPT($L312,$J312,$I312,$M312,$O312,$N312,$P312,$Q312-$C$3,$R312,4)*$H312)/10000)/100)-AB312</f>
        <v>-3.2520111342553767E-3</v>
      </c>
      <c r="AJ312" s="456"/>
      <c r="AK312" s="456"/>
      <c r="AL312" s="456"/>
      <c r="AM312" s="472"/>
      <c r="CC312" s="141">
        <f t="shared" si="360"/>
        <v>36923</v>
      </c>
      <c r="CD312" s="234">
        <f>_xll.xSPRDOPT((VLOOKUP(G312,NGPrices,2,FALSE)+HLOOKUP(D312,Prices,VLOOKUP(G312,move_down,2,FALSE),FALSE)),VLOOKUP(G312,NGPrices,2,FALSE),I312,VLOOKUP(G312,NGPREVPRICES,4,FALSE),HLOOKUP(D312,PREVVOLS,VLOOKUP(G312,MOVE_DOWN2,2,FALSE),FALSE),VLOOKUP(G312,NGPREVPRICES,3,FALSE),HLOOKUP(D312,Correllate,VLOOKUP(G312,CorMove,2,FALSE),FALSE),Q312-$CD$3,R312,$CD$5)*H312-CJ312</f>
        <v>0</v>
      </c>
      <c r="CE312" s="234">
        <f>_xll.xSPRDOPT((VLOOKUP(G312,NGPREVPRICES,2,FALSE)+HLOOKUP(D312,PREVCURVES,VLOOKUP(G312,MOVE_DOWN2,2,FALSE),FALSE)),VLOOKUP(G312,NGPREVPRICES,2,FALSE),CK312,VLOOKUP(G312,NGPrices,4,FALSE),HLOOKUP(D312,PREVVOLS,VLOOKUP(G312,MOVE_DOWN2,2,FALSE),FALSE),VLOOKUP(G312,NGPREVPRICES,3,FALSE),HLOOKUP(D312,Correllate,VLOOKUP(G312,CorMove,2,FALSE),FALSE),Q312-$CD$3,R312,$CJ$5)*H312-CJ312</f>
        <v>0</v>
      </c>
      <c r="CF312" s="10">
        <f t="shared" si="361"/>
        <v>-28.601863653282635</v>
      </c>
      <c r="CG312" s="234">
        <f>_xll.xSPRDOPT((VLOOKUP(G312,NGPREVPRICES,2,FALSE)+HLOOKUP(D312,PREVCURVES,VLOOKUP(G312,MOVE_DOWN2,2,FALSE),FALSE)),VLOOKUP(G312,NGPREVPRICES,2,FALSE),CK312,VLOOKUP(G312,NGPREVPRICES,4,FALSE),HLOOKUP(D312,VOLS,VLOOKUP(G312,move_down,2,FALSE),FALSE),VLOOKUP(G312,NGPrices,3,FALSE),HLOOKUP(D312,Correllate,VLOOKUP(G312,CorMove,2,FALSE),FALSE),Q312-$CD$3,R312,$CJ$5)*H312-CJ312</f>
        <v>0</v>
      </c>
      <c r="CH312" s="234">
        <f>_xll.xSPRDOPT((VLOOKUP(G312,NGPREVPRICES,2,FALSE)+HLOOKUP(D312,PREVCURVES,VLOOKUP(G312,MOVE_DOWN2,2,FALSE),FALSE)),VLOOKUP(G312,NGPREVPRICES,2,FALSE),CK312,VLOOKUP(G312,NGPREVPRICES,4,FALSE),HLOOKUP(D312,PREVVOLS,VLOOKUP(G312,MOVE_DOWN2,2,FALSE),FALSE),VLOOKUP(G312,NGPREVPRICES,3,FALSE),HLOOKUP(D312,Correllate,VLOOKUP(G312,CorMove,2,FALSE),FALSE),Q312-$C$3,R312,$CJ$5)*H312-CJ312</f>
        <v>-603.28080476378091</v>
      </c>
      <c r="CI312" s="234">
        <f t="shared" si="362"/>
        <v>-631.88266841706354</v>
      </c>
      <c r="CJ312" s="234">
        <f>_xll.xSPRDOPT((VLOOKUP(G312,NGPREVPRICES,2,FALSE)+HLOOKUP(D312,PREVCURVES,VLOOKUP(G312,MOVE_DOWN2,2,FALSE),FALSE)),VLOOKUP(G312,NGPREVPRICES,2,FALSE),CK312,VLOOKUP(G312,NGPREVPRICES,4,FALSE),HLOOKUP(D312,PREVVOLS,VLOOKUP(G312,MOVE_DOWN2,2,FALSE),FALSE),VLOOKUP(G312,NGPREVPRICES,3,FALSE),HLOOKUP(D312,Correllate,VLOOKUP(G312,CorMove,2,FALSE),FALSE),Q312-$CD$3,R312,$CJ$5)*H312</f>
        <v>150386.9517695079</v>
      </c>
      <c r="CK312" s="235">
        <f t="shared" si="363"/>
        <v>2.5</v>
      </c>
      <c r="CM312" t="str">
        <f t="shared" si="355"/>
        <v>36923Curve Shift/Gamma</v>
      </c>
      <c r="CN312" t="str">
        <f t="shared" si="356"/>
        <v>36923Rho</v>
      </c>
      <c r="CO312" t="str">
        <f t="shared" si="357"/>
        <v>36923Drift</v>
      </c>
      <c r="CP312" t="str">
        <f t="shared" si="358"/>
        <v>36923Vega</v>
      </c>
      <c r="CQ312" t="str">
        <f t="shared" si="359"/>
        <v>36923Theta</v>
      </c>
    </row>
    <row r="313" spans="1:95" x14ac:dyDescent="0.25">
      <c r="A313" s="382" t="s">
        <v>286</v>
      </c>
      <c r="B313" t="s">
        <v>250</v>
      </c>
      <c r="C313" t="s">
        <v>433</v>
      </c>
      <c r="D313" s="4" t="s">
        <v>7</v>
      </c>
      <c r="E313" t="s">
        <v>20</v>
      </c>
      <c r="F313" t="s">
        <v>21</v>
      </c>
      <c r="G313" s="5">
        <v>36892</v>
      </c>
      <c r="H313" s="130">
        <v>310000</v>
      </c>
      <c r="I313">
        <v>2.5</v>
      </c>
      <c r="J313" s="53">
        <f t="shared" si="316"/>
        <v>4.7439999999999998</v>
      </c>
      <c r="K313" s="7">
        <f t="shared" si="317"/>
        <v>2.17</v>
      </c>
      <c r="L313" s="53">
        <f t="shared" si="318"/>
        <v>6.9139999999999997</v>
      </c>
      <c r="M313" s="157">
        <f t="shared" si="344"/>
        <v>6.8374831148490994E-2</v>
      </c>
      <c r="N313" s="4">
        <f t="shared" si="345"/>
        <v>0.60499999999999998</v>
      </c>
      <c r="O313" s="4">
        <f t="shared" si="346"/>
        <v>0.69599999999999995</v>
      </c>
      <c r="P313" s="9">
        <f t="shared" si="347"/>
        <v>0.83</v>
      </c>
      <c r="Q313" s="5">
        <f t="shared" si="310"/>
        <v>36888</v>
      </c>
      <c r="R313" s="4">
        <f t="shared" si="348"/>
        <v>1</v>
      </c>
      <c r="S313" s="158">
        <f>_xll.xSPRDOPT($L313,$J313,$I313,$M313,$O313,$N313,$P313,$Q313-$C$3,$R313,0)</f>
        <v>0.52922812131883945</v>
      </c>
      <c r="T313" s="159">
        <f>_xll.xSPRDOPT($L313,$J313,$I313,$M313,$O313,$N313,$P313,$Q313-$C$3,$R313,1)*H313</f>
        <v>144687.61620653246</v>
      </c>
      <c r="U313" s="160">
        <f t="shared" si="349"/>
        <v>164060.71760884023</v>
      </c>
      <c r="V313" s="159">
        <f>_xll.xSPRDOPT($L313,$J313,$I313,$M313,$O313,$N313,$P313,$Q313-$C$3,$R313,2)*H313</f>
        <v>-121112.26865571494</v>
      </c>
      <c r="W313" s="159">
        <f t="shared" si="350"/>
        <v>23575.347550817518</v>
      </c>
      <c r="X313" s="51" t="str">
        <f t="shared" si="341"/>
        <v>36892IF-TRANSCO/Z6</v>
      </c>
      <c r="Y313" s="418">
        <f t="shared" si="342"/>
        <v>31</v>
      </c>
      <c r="Z313" s="456">
        <f t="shared" si="343"/>
        <v>0.46673424582752404</v>
      </c>
      <c r="AA313" s="456">
        <f>_xll.xSPRDOPT($L313,$J313,$I313,$M313,$O313,$N313,$P313,$Q313-$C$3,$R313,3)</f>
        <v>0.22967006797299966</v>
      </c>
      <c r="AB313" s="456">
        <f>((_xll.xSPRDOPT($L313+AB$5,$J313,$I313,$M313,$O313,$N313,$P313,$Q313-$C$3,$R313,3)*$H313)/10000)/100</f>
        <v>7.1197721071629902E-2</v>
      </c>
      <c r="AC313" s="456">
        <f>((_xll.xSPRDOPT($L313+$AB$5,$J313,$I313,$M313,$O313,$N313,$P313,$Q313-$C$3,$R313,7)*$H313)/100)</f>
        <v>-3171.9405324228724</v>
      </c>
      <c r="AD313" s="456">
        <f>(_xll.xSPRDOPT($L313+$AB$5,$J313,$I313,$M313,$O313,$N313,$P313,$Q313-$C$3,$R313,9)/365)*$H313</f>
        <v>-820.1990545954427</v>
      </c>
      <c r="AE313">
        <f t="shared" si="314"/>
        <v>0</v>
      </c>
      <c r="AF313" s="456">
        <f t="shared" si="315"/>
        <v>3401.3993516315504</v>
      </c>
      <c r="AG313" s="456">
        <f>((_xll.xSPRDOPT($L313,$J313,$I313,$M313,$O313,$N313,$P313,$Q313-$C$3,$R313,6)*$H313)/100)</f>
        <v>-1274.834307160937</v>
      </c>
      <c r="AH313" s="456">
        <f>((_xll.xSPRDOPT($L313,$J313,$I313,$M313,$O313,$N313,$P313,$Q313-$C$3,$R313,5)*$H313)/100)</f>
        <v>4064.8295453584124</v>
      </c>
      <c r="AI313" s="456">
        <f>(((_xll.xSPRDOPT($L313,$J313,$I313,$M313,$O313,$N313,$P313,$Q313-$C$3,$R313,4)*$H313)/10000)/100)-AB313</f>
        <v>-2.9868339797722299E-3</v>
      </c>
      <c r="AJ313" s="456"/>
      <c r="AK313" s="456"/>
      <c r="AL313" s="456"/>
      <c r="AM313" s="472"/>
      <c r="CC313" s="141">
        <f t="shared" si="360"/>
        <v>36892</v>
      </c>
      <c r="CD313" s="234">
        <f>_xll.xSPRDOPT((VLOOKUP(G313,NGPrices,2,FALSE)+HLOOKUP(D313,Prices,VLOOKUP(G313,move_down,2,FALSE),FALSE)),VLOOKUP(G313,NGPrices,2,FALSE),I313,VLOOKUP(G313,NGPREVPRICES,4,FALSE),HLOOKUP(D313,PREVVOLS,VLOOKUP(G313,MOVE_DOWN2,2,FALSE),FALSE),VLOOKUP(G313,NGPREVPRICES,3,FALSE),HLOOKUP(D313,Correllate,VLOOKUP(G313,CorMove,2,FALSE),FALSE),Q313-$CD$3,R313,$CD$5)*H313-CJ313</f>
        <v>0</v>
      </c>
      <c r="CE313" s="234">
        <f>_xll.xSPRDOPT((VLOOKUP(G313,NGPREVPRICES,2,FALSE)+HLOOKUP(D313,PREVCURVES,VLOOKUP(G313,MOVE_DOWN2,2,FALSE),FALSE)),VLOOKUP(G313,NGPREVPRICES,2,FALSE),CK313,VLOOKUP(G313,NGPrices,4,FALSE),HLOOKUP(D313,PREVVOLS,VLOOKUP(G313,MOVE_DOWN2,2,FALSE),FALSE),VLOOKUP(G313,NGPREVPRICES,3,FALSE),HLOOKUP(D313,Correllate,VLOOKUP(G313,CorMove,2,FALSE),FALSE),Q313-$CD$3,R313,$CJ$5)*H313-CJ313</f>
        <v>0</v>
      </c>
      <c r="CF313" s="10">
        <f t="shared" si="361"/>
        <v>-31.069895023159916</v>
      </c>
      <c r="CG313" s="234">
        <f>_xll.xSPRDOPT((VLOOKUP(G313,NGPREVPRICES,2,FALSE)+HLOOKUP(D313,PREVCURVES,VLOOKUP(G313,MOVE_DOWN2,2,FALSE),FALSE)),VLOOKUP(G313,NGPREVPRICES,2,FALSE),CK313,VLOOKUP(G313,NGPREVPRICES,4,FALSE),HLOOKUP(D313,VOLS,VLOOKUP(G313,move_down,2,FALSE),FALSE),VLOOKUP(G313,NGPrices,3,FALSE),HLOOKUP(D313,Correllate,VLOOKUP(G313,CorMove,2,FALSE),FALSE),Q313-$CD$3,R313,$CJ$5)*H313-CJ313</f>
        <v>0</v>
      </c>
      <c r="CH313" s="234">
        <f>_xll.xSPRDOPT((VLOOKUP(G313,NGPREVPRICES,2,FALSE)+HLOOKUP(D313,PREVCURVES,VLOOKUP(G313,MOVE_DOWN2,2,FALSE),FALSE)),VLOOKUP(G313,NGPREVPRICES,2,FALSE),CK313,VLOOKUP(G313,NGPREVPRICES,4,FALSE),HLOOKUP(D313,PREVVOLS,VLOOKUP(G313,MOVE_DOWN2,2,FALSE),FALSE),VLOOKUP(G313,NGPREVPRICES,3,FALSE),HLOOKUP(D313,Correllate,VLOOKUP(G313,CorMove,2,FALSE),FALSE),Q313-$C$3,R313,$CJ$5)*H313-CJ313</f>
        <v>-817.77462214895058</v>
      </c>
      <c r="CI313" s="234">
        <f t="shared" si="362"/>
        <v>-848.8445171721105</v>
      </c>
      <c r="CJ313" s="234">
        <f>_xll.xSPRDOPT((VLOOKUP(G313,NGPREVPRICES,2,FALSE)+HLOOKUP(D313,PREVCURVES,VLOOKUP(G313,MOVE_DOWN2,2,FALSE),FALSE)),VLOOKUP(G313,NGPREVPRICES,2,FALSE),CK313,VLOOKUP(G313,NGPREVPRICES,4,FALSE),HLOOKUP(D313,PREVVOLS,VLOOKUP(G313,MOVE_DOWN2,2,FALSE),FALSE),VLOOKUP(G313,NGPREVPRICES,3,FALSE),HLOOKUP(D313,Correllate,VLOOKUP(G313,CorMove,2,FALSE),FALSE),Q313-$CD$3,R313,$CJ$5)*H313</f>
        <v>164878.49223098918</v>
      </c>
      <c r="CK313" s="235">
        <f t="shared" si="363"/>
        <v>2.5</v>
      </c>
      <c r="CM313" t="str">
        <f t="shared" si="355"/>
        <v>36892Curve Shift/Gamma</v>
      </c>
      <c r="CN313" t="str">
        <f t="shared" si="356"/>
        <v>36892Rho</v>
      </c>
      <c r="CO313" t="str">
        <f t="shared" si="357"/>
        <v>36892Drift</v>
      </c>
      <c r="CP313" t="str">
        <f t="shared" si="358"/>
        <v>36892Vega</v>
      </c>
      <c r="CQ313" t="str">
        <f t="shared" si="359"/>
        <v>36892Theta</v>
      </c>
    </row>
    <row r="314" spans="1:95" x14ac:dyDescent="0.25">
      <c r="A314" s="382" t="s">
        <v>286</v>
      </c>
      <c r="B314" t="s">
        <v>250</v>
      </c>
      <c r="C314" t="s">
        <v>433</v>
      </c>
      <c r="D314" s="4" t="s">
        <v>7</v>
      </c>
      <c r="E314" t="s">
        <v>20</v>
      </c>
      <c r="F314" t="s">
        <v>21</v>
      </c>
      <c r="G314" s="5">
        <v>36861</v>
      </c>
      <c r="H314" s="130">
        <v>310000</v>
      </c>
      <c r="I314">
        <v>2.5</v>
      </c>
      <c r="J314" s="53">
        <f t="shared" si="316"/>
        <v>4.8</v>
      </c>
      <c r="K314" s="7">
        <f t="shared" si="317"/>
        <v>1.645</v>
      </c>
      <c r="L314" s="53">
        <f t="shared" si="318"/>
        <v>6.4450000000000003</v>
      </c>
      <c r="M314" s="157">
        <f t="shared" si="344"/>
        <v>6.8314027999354002E-2</v>
      </c>
      <c r="N314" s="4">
        <f t="shared" si="345"/>
        <v>0.6</v>
      </c>
      <c r="O314" s="4">
        <f t="shared" si="346"/>
        <v>0.69</v>
      </c>
      <c r="P314" s="9">
        <f t="shared" si="347"/>
        <v>0.83</v>
      </c>
      <c r="Q314" s="5">
        <f t="shared" si="310"/>
        <v>36859</v>
      </c>
      <c r="R314" s="4">
        <f t="shared" si="348"/>
        <v>1</v>
      </c>
      <c r="S314" s="158">
        <f>_xll.xSPRDOPT($L314,$J314,$I314,$M314,$O314,$N314,$P314,$Q314-$C$3,$R314,0)</f>
        <v>0.24519282370785345</v>
      </c>
      <c r="T314" s="159">
        <f>_xll.xSPRDOPT($L314,$J314,$I314,$M314,$O314,$N314,$P314,$Q314-$C$3,$R314,1)*H314</f>
        <v>96812.519721239165</v>
      </c>
      <c r="U314" s="160">
        <f t="shared" si="349"/>
        <v>76009.775349434567</v>
      </c>
      <c r="V314" s="159">
        <f>_xll.xSPRDOPT($L314,$J314,$I314,$M314,$O314,$N314,$P314,$Q314-$C$3,$R314,2)*H314</f>
        <v>-78951.387292939777</v>
      </c>
      <c r="W314" s="159">
        <f t="shared" si="350"/>
        <v>17861.132428299388</v>
      </c>
      <c r="X314" s="51" t="str">
        <f t="shared" si="341"/>
        <v>36861IF-TRANSCO/Z6</v>
      </c>
      <c r="Y314" s="418">
        <f t="shared" si="342"/>
        <v>31</v>
      </c>
      <c r="Z314" s="456">
        <f t="shared" si="343"/>
        <v>0.31229845071367474</v>
      </c>
      <c r="AA314" s="456">
        <f>_xll.xSPRDOPT($L314,$J314,$I314,$M314,$O314,$N314,$P314,$Q314-$C$3,$R314,3)</f>
        <v>0.25819289510904975</v>
      </c>
      <c r="AB314" s="456">
        <f>((_xll.xSPRDOPT($L314+AB$5,$J314,$I314,$M314,$O314,$N314,$P314,$Q314-$C$3,$R314,3)*$H314)/10000)/100</f>
        <v>8.0039797483805422E-2</v>
      </c>
      <c r="AC314" s="456">
        <f>((_xll.xSPRDOPT($L314+$AB$5,$J314,$I314,$M314,$O314,$N314,$P314,$Q314-$C$3,$R314,7)*$H314)/100)</f>
        <v>-2351.5285529484822</v>
      </c>
      <c r="AD314" s="456">
        <f>(_xll.xSPRDOPT($L314+$AB$5,$J314,$I314,$M314,$O314,$N314,$P314,$Q314-$C$3,$R314,9)/365)*$H314</f>
        <v>-790.98974536789285</v>
      </c>
      <c r="AE314">
        <f t="shared" si="314"/>
        <v>0</v>
      </c>
      <c r="AF314" s="456">
        <f t="shared" si="315"/>
        <v>2467.638486807833</v>
      </c>
      <c r="AG314" s="456">
        <f>((_xll.xSPRDOPT($L314,$J314,$I314,$M314,$O314,$N314,$P314,$Q314-$C$3,$R314,6)*$H314)/100)</f>
        <v>-924.43585626919116</v>
      </c>
      <c r="AH314" s="456">
        <f>((_xll.xSPRDOPT($L314,$J314,$I314,$M314,$O314,$N314,$P314,$Q314-$C$3,$R314,5)*$H314)/100)</f>
        <v>2949.629863545239</v>
      </c>
      <c r="AI314" s="456">
        <f>(((_xll.xSPRDOPT($L314,$J314,$I314,$M314,$O314,$N314,$P314,$Q314-$C$3,$R314,4)*$H314)/10000)/100)-AB314</f>
        <v>-1.3167554802759662E-2</v>
      </c>
      <c r="AJ314" s="456"/>
      <c r="AK314" s="456"/>
      <c r="AL314" s="456"/>
      <c r="AM314" s="472"/>
      <c r="CC314" s="141">
        <f t="shared" si="360"/>
        <v>36861</v>
      </c>
      <c r="CD314" s="234">
        <f>_xll.xSPRDOPT((VLOOKUP(G314,NGPrices,2,FALSE)+HLOOKUP(D314,Prices,VLOOKUP(G314,move_down,2,FALSE),FALSE)),VLOOKUP(G314,NGPrices,2,FALSE),I314,VLOOKUP(G314,NGPREVPRICES,4,FALSE),HLOOKUP(D314,PREVVOLS,VLOOKUP(G314,MOVE_DOWN2,2,FALSE),FALSE),VLOOKUP(G314,NGPREVPRICES,3,FALSE),HLOOKUP(D314,Correllate,VLOOKUP(G314,CorMove,2,FALSE),FALSE),Q314-$CD$3,R314,$CD$5)*H314-CJ314</f>
        <v>0</v>
      </c>
      <c r="CE314" s="234">
        <f>_xll.xSPRDOPT((VLOOKUP(G314,NGPREVPRICES,2,FALSE)+HLOOKUP(D314,PREVCURVES,VLOOKUP(G314,MOVE_DOWN2,2,FALSE),FALSE)),VLOOKUP(G314,NGPREVPRICES,2,FALSE),CK314,VLOOKUP(G314,NGPrices,4,FALSE),HLOOKUP(D314,PREVVOLS,VLOOKUP(G314,MOVE_DOWN2,2,FALSE),FALSE),VLOOKUP(G314,NGPREVPRICES,3,FALSE),HLOOKUP(D314,Correllate,VLOOKUP(G314,CorMove,2,FALSE),FALSE),Q314-$CD$3,R314,$CJ$5)*H314-CJ314</f>
        <v>0</v>
      </c>
      <c r="CF314" s="10">
        <f t="shared" si="361"/>
        <v>-14.38729698023235</v>
      </c>
      <c r="CG314" s="234">
        <f>_xll.xSPRDOPT((VLOOKUP(G314,NGPREVPRICES,2,FALSE)+HLOOKUP(D314,PREVCURVES,VLOOKUP(G314,MOVE_DOWN2,2,FALSE),FALSE)),VLOOKUP(G314,NGPREVPRICES,2,FALSE),CK314,VLOOKUP(G314,NGPREVPRICES,4,FALSE),HLOOKUP(D314,VOLS,VLOOKUP(G314,move_down,2,FALSE),FALSE),VLOOKUP(G314,NGPrices,3,FALSE),HLOOKUP(D314,Correllate,VLOOKUP(G314,CorMove,2,FALSE),FALSE),Q314-$CD$3,R314,$CJ$5)*H314-CJ314</f>
        <v>0</v>
      </c>
      <c r="CH314" s="234">
        <f>_xll.xSPRDOPT((VLOOKUP(G314,NGPREVPRICES,2,FALSE)+HLOOKUP(D314,PREVCURVES,VLOOKUP(G314,MOVE_DOWN2,2,FALSE),FALSE)),VLOOKUP(G314,NGPREVPRICES,2,FALSE),CK314,VLOOKUP(G314,NGPREVPRICES,4,FALSE),HLOOKUP(D314,PREVVOLS,VLOOKUP(G314,MOVE_DOWN2,2,FALSE),FALSE),VLOOKUP(G314,NGPREVPRICES,3,FALSE),HLOOKUP(D314,Correllate,VLOOKUP(G314,CorMove,2,FALSE),FALSE),Q314-$C$3,R314,$CJ$5)*H314-CJ314</f>
        <v>-788.85578873785562</v>
      </c>
      <c r="CI314" s="234">
        <f t="shared" si="362"/>
        <v>-803.24308571808797</v>
      </c>
      <c r="CJ314" s="234">
        <f>_xll.xSPRDOPT((VLOOKUP(G314,NGPREVPRICES,2,FALSE)+HLOOKUP(D314,PREVCURVES,VLOOKUP(G314,MOVE_DOWN2,2,FALSE),FALSE)),VLOOKUP(G314,NGPREVPRICES,2,FALSE),CK314,VLOOKUP(G314,NGPREVPRICES,4,FALSE),HLOOKUP(D314,PREVVOLS,VLOOKUP(G314,MOVE_DOWN2,2,FALSE),FALSE),VLOOKUP(G314,NGPREVPRICES,3,FALSE),HLOOKUP(D314,Correllate,VLOOKUP(G314,CorMove,2,FALSE),FALSE),Q314-$CD$3,R314,$CJ$5)*H314</f>
        <v>76798.631138172423</v>
      </c>
      <c r="CK314" s="235">
        <f t="shared" si="363"/>
        <v>2.5</v>
      </c>
      <c r="CM314" t="str">
        <f t="shared" si="355"/>
        <v>36861Curve Shift/Gamma</v>
      </c>
      <c r="CN314" t="str">
        <f t="shared" si="356"/>
        <v>36861Rho</v>
      </c>
      <c r="CO314" t="str">
        <f t="shared" si="357"/>
        <v>36861Drift</v>
      </c>
      <c r="CP314" t="str">
        <f t="shared" si="358"/>
        <v>36861Vega</v>
      </c>
      <c r="CQ314" t="str">
        <f t="shared" si="359"/>
        <v>36861Theta</v>
      </c>
    </row>
    <row r="315" spans="1:95" x14ac:dyDescent="0.25">
      <c r="A315" s="382" t="s">
        <v>286</v>
      </c>
      <c r="B315" t="s">
        <v>250</v>
      </c>
      <c r="C315" t="s">
        <v>433</v>
      </c>
      <c r="D315" s="4" t="s">
        <v>7</v>
      </c>
      <c r="E315" t="s">
        <v>20</v>
      </c>
      <c r="F315" t="s">
        <v>21</v>
      </c>
      <c r="G315" s="5">
        <v>36831</v>
      </c>
      <c r="H315" s="130">
        <v>300000</v>
      </c>
      <c r="I315">
        <v>2.5</v>
      </c>
      <c r="J315" s="53">
        <f t="shared" si="316"/>
        <v>4.7359999999999998</v>
      </c>
      <c r="K315" s="7">
        <f t="shared" si="317"/>
        <v>0.77</v>
      </c>
      <c r="L315" s="53">
        <f t="shared" si="318"/>
        <v>5.5060000000000002</v>
      </c>
      <c r="M315" s="157">
        <f t="shared" si="344"/>
        <v>6.810675983792E-2</v>
      </c>
      <c r="N315" s="4">
        <f t="shared" si="345"/>
        <v>0.59499999999999997</v>
      </c>
      <c r="O315" s="4">
        <f t="shared" si="346"/>
        <v>0.625</v>
      </c>
      <c r="P315" s="9">
        <f t="shared" si="347"/>
        <v>0.89</v>
      </c>
      <c r="Q315" s="5">
        <f t="shared" si="310"/>
        <v>36829</v>
      </c>
      <c r="R315" s="4">
        <f t="shared" si="348"/>
        <v>1</v>
      </c>
      <c r="S315" s="158">
        <f>_xll.xSPRDOPT($L315,$J315,$I315,$M315,$O315,$N315,$P315,$Q315-$C$3,$R315,0)</f>
        <v>6.1115926235317444E-3</v>
      </c>
      <c r="T315" s="159">
        <f>_xll.xSPRDOPT($L315,$J315,$I315,$M315,$O315,$N315,$P315,$Q315-$C$3,$R315,1)*H315</f>
        <v>7131.4018388908835</v>
      </c>
      <c r="U315" s="160">
        <f t="shared" si="349"/>
        <v>1833.4777870595233</v>
      </c>
      <c r="V315" s="159">
        <f>_xll.xSPRDOPT($L315,$J315,$I315,$M315,$O315,$N315,$P315,$Q315-$C$3,$R315,2)*H315</f>
        <v>-5625.3467895568156</v>
      </c>
      <c r="W315" s="159">
        <f t="shared" si="350"/>
        <v>1506.0550493340679</v>
      </c>
      <c r="X315" s="51" t="str">
        <f t="shared" si="341"/>
        <v>36831IF-TRANSCO/Z6</v>
      </c>
      <c r="Y315" s="418">
        <f t="shared" si="342"/>
        <v>30</v>
      </c>
      <c r="Z315" s="456">
        <f t="shared" si="343"/>
        <v>2.3771339462969613E-2</v>
      </c>
      <c r="AA315" s="456">
        <f>_xll.xSPRDOPT($L315,$J315,$I315,$M315,$O315,$N315,$P315,$Q315-$C$3,$R315,3)</f>
        <v>7.7908481785274333E-2</v>
      </c>
      <c r="AB315" s="456">
        <f>((_xll.xSPRDOPT($L315+AB$5,$J315,$I315,$M315,$O315,$N315,$P315,$Q315-$C$3,$R315,3)*$H315)/10000)/100</f>
        <v>2.3372544535582299E-2</v>
      </c>
      <c r="AC315" s="456">
        <f>((_xll.xSPRDOPT($L315+$AB$5,$J315,$I315,$M315,$O315,$N315,$P315,$Q315-$C$3,$R315,7)*$H315)/100)</f>
        <v>-315.46491222234823</v>
      </c>
      <c r="AD315" s="456">
        <f>(_xll.xSPRDOPT($L315+$AB$5,$J315,$I315,$M315,$O315,$N315,$P315,$Q315-$C$3,$R315,9)/365)*$H315</f>
        <v>-97.211633369735551</v>
      </c>
      <c r="AE315">
        <f t="shared" si="314"/>
        <v>0</v>
      </c>
      <c r="AF315" s="456">
        <f t="shared" si="315"/>
        <v>203.16614102374257</v>
      </c>
      <c r="AG315" s="456">
        <f>((_xll.xSPRDOPT($L315,$J315,$I315,$M315,$O315,$N315,$P315,$Q315-$C$3,$R315,6)*$H315)/100)</f>
        <v>-114.59901841796649</v>
      </c>
      <c r="AH315" s="456">
        <f>((_xll.xSPRDOPT($L315,$J315,$I315,$M315,$O315,$N315,$P315,$Q315-$C$3,$R315,5)*$H315)/100)</f>
        <v>302.512431788507</v>
      </c>
      <c r="AI315" s="456">
        <f>(((_xll.xSPRDOPT($L315,$J315,$I315,$M315,$O315,$N315,$P315,$Q315-$C$3,$R315,4)*$H315)/10000)/100)-AB315</f>
        <v>-7.6018716499635722E-3</v>
      </c>
      <c r="AJ315" s="456"/>
      <c r="AK315" s="456"/>
      <c r="AL315" s="456"/>
      <c r="AM315" s="472"/>
      <c r="CC315" s="141">
        <f t="shared" si="360"/>
        <v>36831</v>
      </c>
      <c r="CD315" s="234">
        <f>_xll.xSPRDOPT((VLOOKUP(G315,NGPrices,2,FALSE)+HLOOKUP(D315,Prices,VLOOKUP(G315,move_down,2,FALSE),FALSE)),VLOOKUP(G315,NGPrices,2,FALSE),I315,VLOOKUP(G315,NGPREVPRICES,4,FALSE),HLOOKUP(D315,PREVVOLS,VLOOKUP(G315,MOVE_DOWN2,2,FALSE),FALSE),VLOOKUP(G315,NGPREVPRICES,3,FALSE),HLOOKUP(D315,Correllate,VLOOKUP(G315,CorMove,2,FALSE),FALSE),Q315-$CD$3,R315,$CD$5)*H315-CJ315</f>
        <v>0</v>
      </c>
      <c r="CE315" s="234">
        <f>_xll.xSPRDOPT((VLOOKUP(G315,NGPREVPRICES,2,FALSE)+HLOOKUP(D315,PREVCURVES,VLOOKUP(G315,MOVE_DOWN2,2,FALSE),FALSE)),VLOOKUP(G315,NGPREVPRICES,2,FALSE),CK315,VLOOKUP(G315,NGPrices,4,FALSE),HLOOKUP(D315,PREVVOLS,VLOOKUP(G315,MOVE_DOWN2,2,FALSE),FALSE),VLOOKUP(G315,NGPREVPRICES,3,FALSE),HLOOKUP(D315,Correllate,VLOOKUP(G315,CorMove,2,FALSE),FALSE),Q315-$CD$3,R315,$CJ$5)*H315-CJ315</f>
        <v>0</v>
      </c>
      <c r="CF315" s="10">
        <f t="shared" si="361"/>
        <v>-0.35876775753786205</v>
      </c>
      <c r="CG315" s="234">
        <f>_xll.xSPRDOPT((VLOOKUP(G315,NGPREVPRICES,2,FALSE)+HLOOKUP(D315,PREVCURVES,VLOOKUP(G315,MOVE_DOWN2,2,FALSE),FALSE)),VLOOKUP(G315,NGPREVPRICES,2,FALSE),CK315,VLOOKUP(G315,NGPREVPRICES,4,FALSE),HLOOKUP(D315,VOLS,VLOOKUP(G315,move_down,2,FALSE),FALSE),VLOOKUP(G315,NGPrices,3,FALSE),HLOOKUP(D315,Correllate,VLOOKUP(G315,CorMove,2,FALSE),FALSE),Q315-$CD$3,R315,$CJ$5)*H315-CJ315</f>
        <v>0</v>
      </c>
      <c r="CH315" s="234">
        <f>_xll.xSPRDOPT((VLOOKUP(G315,NGPREVPRICES,2,FALSE)+HLOOKUP(D315,PREVCURVES,VLOOKUP(G315,MOVE_DOWN2,2,FALSE),FALSE)),VLOOKUP(G315,NGPREVPRICES,2,FALSE),CK315,VLOOKUP(G315,NGPREVPRICES,4,FALSE),HLOOKUP(D315,PREVVOLS,VLOOKUP(G315,MOVE_DOWN2,2,FALSE),FALSE),VLOOKUP(G315,NGPREVPRICES,3,FALSE),HLOOKUP(D315,Correllate,VLOOKUP(G315,CorMove,2,FALSE),FALSE),Q315-$C$3,R315,$CJ$5)*H315-CJ315</f>
        <v>-98.386465799197822</v>
      </c>
      <c r="CI315" s="234">
        <f t="shared" si="362"/>
        <v>-98.745233556735684</v>
      </c>
      <c r="CJ315" s="234">
        <f>_xll.xSPRDOPT((VLOOKUP(G315,NGPREVPRICES,2,FALSE)+HLOOKUP(D315,PREVCURVES,VLOOKUP(G315,MOVE_DOWN2,2,FALSE),FALSE)),VLOOKUP(G315,NGPREVPRICES,2,FALSE),CK315,VLOOKUP(G315,NGPREVPRICES,4,FALSE),HLOOKUP(D315,PREVVOLS,VLOOKUP(G315,MOVE_DOWN2,2,FALSE),FALSE),VLOOKUP(G315,NGPREVPRICES,3,FALSE),HLOOKUP(D315,Correllate,VLOOKUP(G315,CorMove,2,FALSE),FALSE),Q315-$CD$3,R315,$CJ$5)*H315</f>
        <v>1931.8642528587211</v>
      </c>
      <c r="CK315" s="235">
        <f t="shared" si="363"/>
        <v>2.5</v>
      </c>
      <c r="CM315" t="str">
        <f t="shared" si="355"/>
        <v>36831Curve Shift/Gamma</v>
      </c>
      <c r="CN315" t="str">
        <f t="shared" si="356"/>
        <v>36831Rho</v>
      </c>
      <c r="CO315" t="str">
        <f t="shared" si="357"/>
        <v>36831Drift</v>
      </c>
      <c r="CP315" t="str">
        <f t="shared" si="358"/>
        <v>36831Vega</v>
      </c>
      <c r="CQ315" t="str">
        <f t="shared" si="359"/>
        <v>36831Theta</v>
      </c>
    </row>
    <row r="316" spans="1:95" x14ac:dyDescent="0.25">
      <c r="A316" s="382" t="s">
        <v>434</v>
      </c>
      <c r="B316" t="s">
        <v>250</v>
      </c>
      <c r="C316" t="s">
        <v>435</v>
      </c>
      <c r="D316" s="4" t="s">
        <v>7</v>
      </c>
      <c r="E316" t="s">
        <v>20</v>
      </c>
      <c r="F316" t="s">
        <v>1</v>
      </c>
      <c r="G316" s="5">
        <v>36951</v>
      </c>
      <c r="H316" s="130">
        <v>500000</v>
      </c>
      <c r="I316">
        <v>0.4</v>
      </c>
      <c r="J316" s="53">
        <f t="shared" si="316"/>
        <v>4.2130000000000001</v>
      </c>
      <c r="K316" s="7">
        <f t="shared" si="317"/>
        <v>1.075</v>
      </c>
      <c r="L316" s="53">
        <f t="shared" si="318"/>
        <v>5.2880000000000003</v>
      </c>
      <c r="M316" s="157">
        <f t="shared" si="344"/>
        <v>6.8879814952706994E-2</v>
      </c>
      <c r="N316" s="4">
        <f t="shared" si="345"/>
        <v>0.53249999999999997</v>
      </c>
      <c r="O316" s="4">
        <f t="shared" si="346"/>
        <v>0.61199999999999999</v>
      </c>
      <c r="P316" s="9">
        <f t="shared" si="347"/>
        <v>0.83</v>
      </c>
      <c r="Q316" s="5">
        <f t="shared" si="310"/>
        <v>36949</v>
      </c>
      <c r="R316" s="4">
        <f t="shared" si="348"/>
        <v>0</v>
      </c>
      <c r="S316" s="158">
        <f>_xll.xSPRDOPT($L316,$J316,$I316,$M316,$O316,$N316,$P316,$Q316-$C$3,$R316,0)</f>
        <v>0.20489293914309764</v>
      </c>
      <c r="T316" s="159">
        <f>_xll.xSPRDOPT($L316,$J316,$I316,$M316,$O316,$N316,$P316,$Q316-$C$3,$R316,1)*H316</f>
        <v>-118991.44491543013</v>
      </c>
      <c r="U316" s="160">
        <f t="shared" si="349"/>
        <v>102446.46957154882</v>
      </c>
      <c r="V316" s="159">
        <f>_xll.xSPRDOPT($L316,$J316,$I316,$M316,$O316,$N316,$P316,$Q316-$C$3,$R316,2)*H316</f>
        <v>158200.2166748473</v>
      </c>
      <c r="W316" s="159">
        <f t="shared" si="350"/>
        <v>39208.77175941717</v>
      </c>
      <c r="X316" s="51" t="str">
        <f t="shared" si="341"/>
        <v>36951IF-TRANSCO/Z6</v>
      </c>
      <c r="Y316" s="418">
        <f t="shared" si="342"/>
        <v>50</v>
      </c>
      <c r="Z316" s="456">
        <f t="shared" si="343"/>
        <v>-0.23798288983086024</v>
      </c>
      <c r="AA316" s="456">
        <f>_xll.xSPRDOPT($L316,$J316,$I316,$M316,$O316,$N316,$P316,$Q316-$C$3,$R316,3)</f>
        <v>0.23843551380013683</v>
      </c>
      <c r="AB316" s="456">
        <f>((_xll.xSPRDOPT($L316+AB$5,$J316,$I316,$M316,$O316,$N316,$P316,$Q316-$C$3,$R316,3)*$H316)/10000)/100</f>
        <v>0.11921775690006842</v>
      </c>
      <c r="AC316" s="456">
        <f>((_xll.xSPRDOPT($L316+$AB$5,$J316,$I316,$M316,$O316,$N316,$P316,$Q316-$C$3,$R316,7)*$H316)/100)</f>
        <v>-4939.6812168001661</v>
      </c>
      <c r="AD316" s="456">
        <f>(_xll.xSPRDOPT($L316+$AB$5,$J316,$I316,$M316,$O316,$N316,$P316,$Q316-$C$3,$R316,9)/365)*$H316</f>
        <v>-516.22819034383224</v>
      </c>
      <c r="AE316">
        <f t="shared" si="314"/>
        <v>0</v>
      </c>
      <c r="AF316" s="456">
        <f t="shared" si="315"/>
        <v>3658.4185874633804</v>
      </c>
      <c r="AG316" s="456">
        <f>((_xll.xSPRDOPT($L316,$J316,$I316,$M316,$O316,$N316,$P316,$Q316-$C$3,$R316,6)*$H316)/100)</f>
        <v>-326.12250756547701</v>
      </c>
      <c r="AH316" s="456">
        <f>((_xll.xSPRDOPT($L316,$J316,$I316,$M316,$O316,$N316,$P316,$Q316-$C$3,$R316,5)*$H316)/100)</f>
        <v>3466.9413939589322</v>
      </c>
      <c r="AI316" s="456">
        <f>(((_xll.xSPRDOPT($L316,$J316,$I316,$M316,$O316,$N316,$P316,$Q316-$C$3,$R316,4)*$H316)/10000)/100)-AB316</f>
        <v>3.7339568843324983E-2</v>
      </c>
      <c r="AJ316" s="456"/>
      <c r="AK316" s="456"/>
      <c r="AL316" s="456"/>
      <c r="AM316" s="472"/>
      <c r="CC316" s="141">
        <f t="shared" si="360"/>
        <v>36951</v>
      </c>
      <c r="CD316" s="234">
        <f>_xll.xSPRDOPT((VLOOKUP(G316,NGPrices,2,FALSE)+HLOOKUP(D316,Prices,VLOOKUP(G316,move_down,2,FALSE),FALSE)),VLOOKUP(G316,NGPrices,2,FALSE),I316,VLOOKUP(G316,NGPREVPRICES,4,FALSE),HLOOKUP(D316,PREVVOLS,VLOOKUP(G316,MOVE_DOWN2,2,FALSE),FALSE),VLOOKUP(G316,NGPREVPRICES,3,FALSE),HLOOKUP(D316,Correllate,VLOOKUP(G316,CorMove,2,FALSE),FALSE),Q316-$CD$3,R316,$CD$5)*H316-CJ316</f>
        <v>0</v>
      </c>
      <c r="CE316" s="234">
        <f>_xll.xSPRDOPT((VLOOKUP(G316,NGPREVPRICES,2,FALSE)+HLOOKUP(D316,PREVCURVES,VLOOKUP(G316,MOVE_DOWN2,2,FALSE),FALSE)),VLOOKUP(G316,NGPREVPRICES,2,FALSE),CK316,VLOOKUP(G316,NGPrices,4,FALSE),HLOOKUP(D316,PREVVOLS,VLOOKUP(G316,MOVE_DOWN2,2,FALSE),FALSE),VLOOKUP(G316,NGPREVPRICES,3,FALSE),HLOOKUP(D316,Correllate,VLOOKUP(G316,CorMove,2,FALSE),FALSE),Q316-$CD$3,R316,$CJ$5)*H316-CJ316</f>
        <v>0</v>
      </c>
      <c r="CF316" s="10">
        <f t="shared" si="361"/>
        <v>-19.746522662113421</v>
      </c>
      <c r="CG316" s="234">
        <f>_xll.xSPRDOPT((VLOOKUP(G316,NGPREVPRICES,2,FALSE)+HLOOKUP(D316,PREVCURVES,VLOOKUP(G316,MOVE_DOWN2,2,FALSE),FALSE)),VLOOKUP(G316,NGPREVPRICES,2,FALSE),CK316,VLOOKUP(G316,NGPREVPRICES,4,FALSE),HLOOKUP(D316,VOLS,VLOOKUP(G316,move_down,2,FALSE),FALSE),VLOOKUP(G316,NGPrices,3,FALSE),HLOOKUP(D316,Correllate,VLOOKUP(G316,CorMove,2,FALSE),FALSE),Q316-$CD$3,R316,$CJ$5)*H316-CJ316</f>
        <v>0</v>
      </c>
      <c r="CH316" s="234">
        <f>_xll.xSPRDOPT((VLOOKUP(G316,NGPREVPRICES,2,FALSE)+HLOOKUP(D316,PREVCURVES,VLOOKUP(G316,MOVE_DOWN2,2,FALSE),FALSE)),VLOOKUP(G316,NGPREVPRICES,2,FALSE),CK316,VLOOKUP(G316,NGPREVPRICES,4,FALSE),HLOOKUP(D316,PREVVOLS,VLOOKUP(G316,MOVE_DOWN2,2,FALSE),FALSE),VLOOKUP(G316,NGPREVPRICES,3,FALSE),HLOOKUP(D316,Correllate,VLOOKUP(G316,CorMove,2,FALSE),FALSE),Q316-$C$3,R316,$CJ$5)*H316-CJ316</f>
        <v>-515.26836471479328</v>
      </c>
      <c r="CI316" s="234">
        <f t="shared" si="362"/>
        <v>-535.0148873769067</v>
      </c>
      <c r="CJ316" s="234">
        <f>_xll.xSPRDOPT((VLOOKUP(G316,NGPREVPRICES,2,FALSE)+HLOOKUP(D316,PREVCURVES,VLOOKUP(G316,MOVE_DOWN2,2,FALSE),FALSE)),VLOOKUP(G316,NGPREVPRICES,2,FALSE),CK316,VLOOKUP(G316,NGPREVPRICES,4,FALSE),HLOOKUP(D316,PREVVOLS,VLOOKUP(G316,MOVE_DOWN2,2,FALSE),FALSE),VLOOKUP(G316,NGPREVPRICES,3,FALSE),HLOOKUP(D316,Correllate,VLOOKUP(G316,CorMove,2,FALSE),FALSE),Q316-$CD$3,R316,$CJ$5)*H316</f>
        <v>102961.73793626361</v>
      </c>
      <c r="CK316" s="235">
        <f t="shared" si="363"/>
        <v>0.4</v>
      </c>
      <c r="CM316" t="str">
        <f t="shared" si="355"/>
        <v>36951Curve Shift/Gamma</v>
      </c>
      <c r="CN316" t="str">
        <f t="shared" si="356"/>
        <v>36951Rho</v>
      </c>
      <c r="CO316" t="str">
        <f t="shared" si="357"/>
        <v>36951Drift</v>
      </c>
      <c r="CP316" t="str">
        <f t="shared" si="358"/>
        <v>36951Vega</v>
      </c>
      <c r="CQ316" t="str">
        <f t="shared" si="359"/>
        <v>36951Theta</v>
      </c>
    </row>
    <row r="317" spans="1:95" x14ac:dyDescent="0.25">
      <c r="A317" s="382" t="s">
        <v>434</v>
      </c>
      <c r="B317" t="s">
        <v>250</v>
      </c>
      <c r="C317" t="s">
        <v>435</v>
      </c>
      <c r="D317" s="4" t="s">
        <v>7</v>
      </c>
      <c r="E317" t="s">
        <v>20</v>
      </c>
      <c r="F317" t="s">
        <v>1</v>
      </c>
      <c r="G317" s="5">
        <v>36923</v>
      </c>
      <c r="H317" s="130">
        <v>500000</v>
      </c>
      <c r="I317">
        <v>0.4</v>
      </c>
      <c r="J317" s="53">
        <f t="shared" si="316"/>
        <v>4.4800000000000004</v>
      </c>
      <c r="K317" s="7">
        <f t="shared" si="317"/>
        <v>2.09</v>
      </c>
      <c r="L317" s="53">
        <f t="shared" si="318"/>
        <v>6.57</v>
      </c>
      <c r="M317" s="157">
        <f t="shared" si="344"/>
        <v>6.8640161611372E-2</v>
      </c>
      <c r="N317" s="4">
        <f t="shared" si="345"/>
        <v>0.59250000000000003</v>
      </c>
      <c r="O317" s="4">
        <f t="shared" si="346"/>
        <v>0.68100000000000005</v>
      </c>
      <c r="P317" s="9">
        <f t="shared" si="347"/>
        <v>0.83</v>
      </c>
      <c r="Q317" s="5">
        <f t="shared" si="310"/>
        <v>36921</v>
      </c>
      <c r="R317" s="4">
        <f t="shared" si="348"/>
        <v>0</v>
      </c>
      <c r="S317" s="158">
        <f>_xll.xSPRDOPT($L317,$J317,$I317,$M317,$O317,$N317,$P317,$Q317-$C$3,$R317,0)</f>
        <v>7.5421451639737402E-2</v>
      </c>
      <c r="T317" s="159">
        <f>_xll.xSPRDOPT($L317,$J317,$I317,$M317,$O317,$N317,$P317,$Q317-$C$3,$R317,1)*H317</f>
        <v>-44832.387925592302</v>
      </c>
      <c r="U317" s="160">
        <f t="shared" si="349"/>
        <v>37710.725819868698</v>
      </c>
      <c r="V317" s="159">
        <f>_xll.xSPRDOPT($L317,$J317,$I317,$M317,$O317,$N317,$P317,$Q317-$C$3,$R317,2)*H317</f>
        <v>67855.408862080018</v>
      </c>
      <c r="W317" s="159">
        <f t="shared" si="350"/>
        <v>23023.020936487716</v>
      </c>
      <c r="X317" s="51" t="str">
        <f t="shared" si="341"/>
        <v>36923IF-TRANSCO/Z6</v>
      </c>
      <c r="Y317" s="418">
        <f t="shared" si="342"/>
        <v>50</v>
      </c>
      <c r="Z317" s="456">
        <f t="shared" si="343"/>
        <v>-8.9664775851184611E-2</v>
      </c>
      <c r="AA317" s="456">
        <f>_xll.xSPRDOPT($L317,$J317,$I317,$M317,$O317,$N317,$P317,$Q317-$C$3,$R317,3)</f>
        <v>9.8963555787569893E-2</v>
      </c>
      <c r="AB317" s="456">
        <f>((_xll.xSPRDOPT($L317+AB$5,$J317,$I317,$M317,$O317,$N317,$P317,$Q317-$C$3,$R317,3)*$H317)/10000)/100</f>
        <v>4.9481777893784946E-2</v>
      </c>
      <c r="AC317" s="456">
        <f>((_xll.xSPRDOPT($L317+$AB$5,$J317,$I317,$M317,$O317,$N317,$P317,$Q317-$C$3,$R317,7)*$H317)/100)</f>
        <v>-3328.5721836682892</v>
      </c>
      <c r="AD317" s="456">
        <f>(_xll.xSPRDOPT($L317+$AB$5,$J317,$I317,$M317,$O317,$N317,$P317,$Q317-$C$3,$R317,9)/365)*$H317</f>
        <v>-417.49023277981388</v>
      </c>
      <c r="AE317">
        <f t="shared" si="314"/>
        <v>0</v>
      </c>
      <c r="AF317" s="456">
        <f t="shared" si="315"/>
        <v>2205.5987715650313</v>
      </c>
      <c r="AG317" s="456">
        <f>((_xll.xSPRDOPT($L317,$J317,$I317,$M317,$O317,$N317,$P317,$Q317-$C$3,$R317,6)*$H317)/100)</f>
        <v>-180.27691910528017</v>
      </c>
      <c r="AH317" s="456">
        <f>((_xll.xSPRDOPT($L317,$J317,$I317,$M317,$O317,$N317,$P317,$Q317-$C$3,$R317,5)*$H317)/100)</f>
        <v>2075.8169555391473</v>
      </c>
      <c r="AI317" s="456">
        <f>(((_xll.xSPRDOPT($L317,$J317,$I317,$M317,$O317,$N317,$P317,$Q317-$C$3,$R317,4)*$H317)/10000)/100)-AB317</f>
        <v>3.992156122237963E-2</v>
      </c>
      <c r="AJ317" s="456"/>
      <c r="AK317" s="456"/>
      <c r="AL317" s="456"/>
      <c r="AM317" s="472"/>
      <c r="CC317" s="141">
        <f t="shared" si="360"/>
        <v>36923</v>
      </c>
      <c r="CD317" s="234">
        <f>_xll.xSPRDOPT((VLOOKUP(G317,NGPrices,2,FALSE)+HLOOKUP(D317,Prices,VLOOKUP(G317,move_down,2,FALSE),FALSE)),VLOOKUP(G317,NGPrices,2,FALSE),I317,VLOOKUP(G317,NGPREVPRICES,4,FALSE),HLOOKUP(D317,PREVVOLS,VLOOKUP(G317,MOVE_DOWN2,2,FALSE),FALSE),VLOOKUP(G317,NGPREVPRICES,3,FALSE),HLOOKUP(D317,Correllate,VLOOKUP(G317,CorMove,2,FALSE),FALSE),Q317-$CD$3,R317,$CD$5)*H317-CJ317</f>
        <v>0</v>
      </c>
      <c r="CE317" s="234">
        <f>_xll.xSPRDOPT((VLOOKUP(G317,NGPREVPRICES,2,FALSE)+HLOOKUP(D317,PREVCURVES,VLOOKUP(G317,MOVE_DOWN2,2,FALSE),FALSE)),VLOOKUP(G317,NGPREVPRICES,2,FALSE),CK317,VLOOKUP(G317,NGPrices,4,FALSE),HLOOKUP(D317,PREVVOLS,VLOOKUP(G317,MOVE_DOWN2,2,FALSE),FALSE),VLOOKUP(G317,NGPREVPRICES,3,FALSE),HLOOKUP(D317,Correllate,VLOOKUP(G317,CorMove,2,FALSE),FALSE),Q317-$CD$3,R317,$CJ$5)*H317-CJ317</f>
        <v>0</v>
      </c>
      <c r="CF317" s="10">
        <f t="shared" si="361"/>
        <v>-7.2515342617261922</v>
      </c>
      <c r="CG317" s="234">
        <f>_xll.xSPRDOPT((VLOOKUP(G317,NGPREVPRICES,2,FALSE)+HLOOKUP(D317,PREVCURVES,VLOOKUP(G317,MOVE_DOWN2,2,FALSE),FALSE)),VLOOKUP(G317,NGPREVPRICES,2,FALSE),CK317,VLOOKUP(G317,NGPREVPRICES,4,FALSE),HLOOKUP(D317,VOLS,VLOOKUP(G317,move_down,2,FALSE),FALSE),VLOOKUP(G317,NGPrices,3,FALSE),HLOOKUP(D317,Correllate,VLOOKUP(G317,CorMove,2,FALSE),FALSE),Q317-$CD$3,R317,$CJ$5)*H317-CJ317</f>
        <v>0</v>
      </c>
      <c r="CH317" s="234">
        <f>_xll.xSPRDOPT((VLOOKUP(G317,NGPREVPRICES,2,FALSE)+HLOOKUP(D317,PREVCURVES,VLOOKUP(G317,MOVE_DOWN2,2,FALSE),FALSE)),VLOOKUP(G317,NGPREVPRICES,2,FALSE),CK317,VLOOKUP(G317,NGPREVPRICES,4,FALSE),HLOOKUP(D317,PREVVOLS,VLOOKUP(G317,MOVE_DOWN2,2,FALSE),FALSE),VLOOKUP(G317,NGPREVPRICES,3,FALSE),HLOOKUP(D317,Correllate,VLOOKUP(G317,CorMove,2,FALSE),FALSE),Q317-$C$3,R317,$CJ$5)*H317-CJ317</f>
        <v>-417.42367737660243</v>
      </c>
      <c r="CI317" s="234">
        <f t="shared" si="362"/>
        <v>-424.67521163832862</v>
      </c>
      <c r="CJ317" s="234">
        <f>_xll.xSPRDOPT((VLOOKUP(G317,NGPREVPRICES,2,FALSE)+HLOOKUP(D317,PREVCURVES,VLOOKUP(G317,MOVE_DOWN2,2,FALSE),FALSE)),VLOOKUP(G317,NGPREVPRICES,2,FALSE),CK317,VLOOKUP(G317,NGPREVPRICES,4,FALSE),HLOOKUP(D317,PREVVOLS,VLOOKUP(G317,MOVE_DOWN2,2,FALSE),FALSE),VLOOKUP(G317,NGPREVPRICES,3,FALSE),HLOOKUP(D317,Correllate,VLOOKUP(G317,CorMove,2,FALSE),FALSE),Q317-$CD$3,R317,$CJ$5)*H317</f>
        <v>38128.1494972453</v>
      </c>
      <c r="CK317" s="235">
        <f t="shared" si="363"/>
        <v>0.4</v>
      </c>
      <c r="CM317" t="str">
        <f t="shared" si="355"/>
        <v>36923Curve Shift/Gamma</v>
      </c>
      <c r="CN317" t="str">
        <f t="shared" si="356"/>
        <v>36923Rho</v>
      </c>
      <c r="CO317" t="str">
        <f t="shared" si="357"/>
        <v>36923Drift</v>
      </c>
      <c r="CP317" t="str">
        <f t="shared" si="358"/>
        <v>36923Vega</v>
      </c>
      <c r="CQ317" t="str">
        <f t="shared" si="359"/>
        <v>36923Theta</v>
      </c>
    </row>
    <row r="318" spans="1:95" x14ac:dyDescent="0.25">
      <c r="A318" s="382" t="s">
        <v>434</v>
      </c>
      <c r="B318" t="s">
        <v>250</v>
      </c>
      <c r="C318" t="s">
        <v>435</v>
      </c>
      <c r="D318" s="4" t="s">
        <v>7</v>
      </c>
      <c r="E318" t="s">
        <v>20</v>
      </c>
      <c r="F318" t="s">
        <v>1</v>
      </c>
      <c r="G318" s="5">
        <v>36892</v>
      </c>
      <c r="H318" s="130">
        <v>500000</v>
      </c>
      <c r="I318">
        <v>0.4</v>
      </c>
      <c r="J318" s="53">
        <f t="shared" si="316"/>
        <v>4.7439999999999998</v>
      </c>
      <c r="K318" s="7">
        <f t="shared" si="317"/>
        <v>2.17</v>
      </c>
      <c r="L318" s="53">
        <f t="shared" si="318"/>
        <v>6.9139999999999997</v>
      </c>
      <c r="M318" s="157">
        <f t="shared" si="344"/>
        <v>6.8374831148490994E-2</v>
      </c>
      <c r="N318" s="4">
        <f t="shared" si="345"/>
        <v>0.60499999999999998</v>
      </c>
      <c r="O318" s="4">
        <f t="shared" si="346"/>
        <v>0.69599999999999995</v>
      </c>
      <c r="P318" s="9">
        <f t="shared" si="347"/>
        <v>0.83</v>
      </c>
      <c r="Q318" s="5">
        <f t="shared" si="310"/>
        <v>36888</v>
      </c>
      <c r="R318" s="4">
        <f t="shared" si="348"/>
        <v>0</v>
      </c>
      <c r="S318" s="158">
        <f>_xll.xSPRDOPT($L318,$J318,$I318,$M318,$O318,$N318,$P318,$Q318-$C$3,$R318,0)</f>
        <v>5.6543689422502819E-2</v>
      </c>
      <c r="T318" s="159">
        <f>_xll.xSPRDOPT($L318,$J318,$I318,$M318,$O318,$N318,$P318,$Q318-$C$3,$R318,1)*H318</f>
        <v>-37103.483538022563</v>
      </c>
      <c r="U318" s="160">
        <f t="shared" si="349"/>
        <v>28271.844711251408</v>
      </c>
      <c r="V318" s="159">
        <f>_xll.xSPRDOPT($L318,$J318,$I318,$M318,$O318,$N318,$P318,$Q318-$C$3,$R318,2)*H318</f>
        <v>55213.59089610933</v>
      </c>
      <c r="W318" s="159">
        <f t="shared" si="350"/>
        <v>18110.107358086767</v>
      </c>
      <c r="X318" s="51" t="str">
        <f t="shared" si="341"/>
        <v>36892IF-TRANSCO/Z6</v>
      </c>
      <c r="Y318" s="418">
        <f t="shared" si="342"/>
        <v>50</v>
      </c>
      <c r="Z318" s="456">
        <f t="shared" si="343"/>
        <v>-7.4206967076045127E-2</v>
      </c>
      <c r="AA318" s="456">
        <f>_xll.xSPRDOPT($L318,$J318,$I318,$M318,$O318,$N318,$P318,$Q318-$C$3,$R318,3)</f>
        <v>9.0235300792406478E-2</v>
      </c>
      <c r="AB318" s="456">
        <f>((_xll.xSPRDOPT($L318+AB$5,$J318,$I318,$M318,$O318,$N318,$P318,$Q318-$C$3,$R318,3)*$H318)/10000)/100</f>
        <v>4.5117650396203232E-2</v>
      </c>
      <c r="AC318" s="456">
        <f>((_xll.xSPRDOPT($L318+$AB$5,$J318,$I318,$M318,$O318,$N318,$P318,$Q318-$C$3,$R318,7)*$H318)/100)</f>
        <v>-2769.4097867116689</v>
      </c>
      <c r="AD318" s="456">
        <f>(_xll.xSPRDOPT($L318+$AB$5,$J318,$I318,$M318,$O318,$N318,$P318,$Q318-$C$3,$R318,9)/365)*$H318</f>
        <v>-441.97997804461789</v>
      </c>
      <c r="AE318">
        <f t="shared" si="314"/>
        <v>0</v>
      </c>
      <c r="AF318" s="456">
        <f t="shared" si="315"/>
        <v>1787.8798081082857</v>
      </c>
      <c r="AG318" s="456">
        <f>((_xll.xSPRDOPT($L318,$J318,$I318,$M318,$O318,$N318,$P318,$Q318-$C$3,$R318,6)*$H318)/100)</f>
        <v>-133.58482331846818</v>
      </c>
      <c r="AH318" s="456">
        <f>((_xll.xSPRDOPT($L318,$J318,$I318,$M318,$O318,$N318,$P318,$Q318-$C$3,$R318,5)*$H318)/100)</f>
        <v>1670.2386523177963</v>
      </c>
      <c r="AI318" s="456">
        <f>(((_xll.xSPRDOPT($L318,$J318,$I318,$M318,$O318,$N318,$P318,$Q318-$C$3,$R318,4)*$H318)/10000)/100)-AB318</f>
        <v>3.6152400881626315E-2</v>
      </c>
      <c r="AJ318" s="456"/>
      <c r="AK318" s="456"/>
      <c r="AL318" s="456"/>
      <c r="AM318" s="472"/>
      <c r="CC318" s="141">
        <f t="shared" si="360"/>
        <v>36892</v>
      </c>
      <c r="CD318" s="234">
        <f>_xll.xSPRDOPT((VLOOKUP(G318,NGPrices,2,FALSE)+HLOOKUP(D318,Prices,VLOOKUP(G318,move_down,2,FALSE),FALSE)),VLOOKUP(G318,NGPrices,2,FALSE),I318,VLOOKUP(G318,NGPREVPRICES,4,FALSE),HLOOKUP(D318,PREVVOLS,VLOOKUP(G318,MOVE_DOWN2,2,FALSE),FALSE),VLOOKUP(G318,NGPREVPRICES,3,FALSE),HLOOKUP(D318,Correllate,VLOOKUP(G318,CorMove,2,FALSE),FALSE),Q318-$CD$3,R318,$CD$5)*H318-CJ318</f>
        <v>0</v>
      </c>
      <c r="CE318" s="234">
        <f>_xll.xSPRDOPT((VLOOKUP(G318,NGPREVPRICES,2,FALSE)+HLOOKUP(D318,PREVCURVES,VLOOKUP(G318,MOVE_DOWN2,2,FALSE),FALSE)),VLOOKUP(G318,NGPREVPRICES,2,FALSE),CK318,VLOOKUP(G318,NGPrices,4,FALSE),HLOOKUP(D318,PREVVOLS,VLOOKUP(G318,MOVE_DOWN2,2,FALSE),FALSE),VLOOKUP(G318,NGPREVPRICES,3,FALSE),HLOOKUP(D318,Correllate,VLOOKUP(G318,CorMove,2,FALSE),FALSE),Q318-$CD$3,R318,$CJ$5)*H318-CJ318</f>
        <v>0</v>
      </c>
      <c r="CF318" s="10">
        <f t="shared" si="361"/>
        <v>-5.4109210207643628</v>
      </c>
      <c r="CG318" s="234">
        <f>_xll.xSPRDOPT((VLOOKUP(G318,NGPREVPRICES,2,FALSE)+HLOOKUP(D318,PREVCURVES,VLOOKUP(G318,MOVE_DOWN2,2,FALSE),FALSE)),VLOOKUP(G318,NGPREVPRICES,2,FALSE),CK318,VLOOKUP(G318,NGPREVPRICES,4,FALSE),HLOOKUP(D318,VOLS,VLOOKUP(G318,move_down,2,FALSE),FALSE),VLOOKUP(G318,NGPrices,3,FALSE),HLOOKUP(D318,Correllate,VLOOKUP(G318,CorMove,2,FALSE),FALSE),Q318-$CD$3,R318,$CJ$5)*H318-CJ318</f>
        <v>0</v>
      </c>
      <c r="CH318" s="234">
        <f>_xll.xSPRDOPT((VLOOKUP(G318,NGPREVPRICES,2,FALSE)+HLOOKUP(D318,PREVCURVES,VLOOKUP(G318,MOVE_DOWN2,2,FALSE),FALSE)),VLOOKUP(G318,NGPREVPRICES,2,FALSE),CK318,VLOOKUP(G318,NGPREVPRICES,4,FALSE),HLOOKUP(D318,PREVVOLS,VLOOKUP(G318,MOVE_DOWN2,2,FALSE),FALSE),VLOOKUP(G318,NGPREVPRICES,3,FALSE),HLOOKUP(D318,Correllate,VLOOKUP(G318,CorMove,2,FALSE),FALSE),Q318-$C$3,R318,$CJ$5)*H318-CJ318</f>
        <v>-442.26902555638662</v>
      </c>
      <c r="CI318" s="234">
        <f t="shared" si="362"/>
        <v>-447.67994657715099</v>
      </c>
      <c r="CJ318" s="234">
        <f>_xll.xSPRDOPT((VLOOKUP(G318,NGPREVPRICES,2,FALSE)+HLOOKUP(D318,PREVCURVES,VLOOKUP(G318,MOVE_DOWN2,2,FALSE),FALSE)),VLOOKUP(G318,NGPREVPRICES,2,FALSE),CK318,VLOOKUP(G318,NGPREVPRICES,4,FALSE),HLOOKUP(D318,PREVVOLS,VLOOKUP(G318,MOVE_DOWN2,2,FALSE),FALSE),VLOOKUP(G318,NGPREVPRICES,3,FALSE),HLOOKUP(D318,Correllate,VLOOKUP(G318,CorMove,2,FALSE),FALSE),Q318-$CD$3,R318,$CJ$5)*H318</f>
        <v>28714.113736807794</v>
      </c>
      <c r="CK318" s="235">
        <f t="shared" si="363"/>
        <v>0.4</v>
      </c>
      <c r="CM318" t="str">
        <f t="shared" si="355"/>
        <v>36892Curve Shift/Gamma</v>
      </c>
      <c r="CN318" t="str">
        <f t="shared" si="356"/>
        <v>36892Rho</v>
      </c>
      <c r="CO318" t="str">
        <f t="shared" si="357"/>
        <v>36892Drift</v>
      </c>
      <c r="CP318" t="str">
        <f t="shared" si="358"/>
        <v>36892Vega</v>
      </c>
      <c r="CQ318" t="str">
        <f t="shared" si="359"/>
        <v>36892Theta</v>
      </c>
    </row>
    <row r="319" spans="1:95" x14ac:dyDescent="0.25">
      <c r="A319" s="382" t="s">
        <v>434</v>
      </c>
      <c r="B319" t="s">
        <v>250</v>
      </c>
      <c r="C319" t="s">
        <v>435</v>
      </c>
      <c r="D319" s="4" t="s">
        <v>7</v>
      </c>
      <c r="E319" t="s">
        <v>20</v>
      </c>
      <c r="F319" t="s">
        <v>1</v>
      </c>
      <c r="G319" s="5">
        <v>36861</v>
      </c>
      <c r="H319" s="130">
        <v>500000</v>
      </c>
      <c r="I319">
        <v>0.4</v>
      </c>
      <c r="J319" s="53">
        <f t="shared" si="316"/>
        <v>4.8</v>
      </c>
      <c r="K319" s="7">
        <f t="shared" si="317"/>
        <v>1.645</v>
      </c>
      <c r="L319" s="53">
        <f t="shared" si="318"/>
        <v>6.4450000000000003</v>
      </c>
      <c r="M319" s="157">
        <f t="shared" si="344"/>
        <v>6.8314027999354002E-2</v>
      </c>
      <c r="N319" s="4">
        <f t="shared" si="345"/>
        <v>0.6</v>
      </c>
      <c r="O319" s="4">
        <f t="shared" si="346"/>
        <v>0.69</v>
      </c>
      <c r="P319" s="9">
        <f t="shared" si="347"/>
        <v>0.83</v>
      </c>
      <c r="Q319" s="5">
        <f t="shared" si="310"/>
        <v>36859</v>
      </c>
      <c r="R319" s="4">
        <f t="shared" si="348"/>
        <v>0</v>
      </c>
      <c r="S319" s="158">
        <f>_xll.xSPRDOPT($L319,$J319,$I319,$M319,$O319,$N319,$P319,$Q319-$C$3,$R319,0)</f>
        <v>7.3888561193619029E-2</v>
      </c>
      <c r="T319" s="159">
        <f>_xll.xSPRDOPT($L319,$J319,$I319,$M319,$O319,$N319,$P319,$Q319-$C$3,$R319,1)*H319</f>
        <v>-55948.431008561558</v>
      </c>
      <c r="U319" s="160">
        <f t="shared" si="349"/>
        <v>36944.280596809513</v>
      </c>
      <c r="V319" s="159">
        <f>_xll.xSPRDOPT($L319,$J319,$I319,$M319,$O319,$N319,$P319,$Q319-$C$3,$R319,2)*H319</f>
        <v>76297.409346990258</v>
      </c>
      <c r="W319" s="159">
        <f t="shared" si="350"/>
        <v>20348.9783384287</v>
      </c>
      <c r="X319" s="51" t="str">
        <f t="shared" si="341"/>
        <v>36861IF-TRANSCO/Z6</v>
      </c>
      <c r="Y319" s="418">
        <f t="shared" si="342"/>
        <v>50</v>
      </c>
      <c r="Z319" s="456">
        <f t="shared" si="343"/>
        <v>-0.11189686201712312</v>
      </c>
      <c r="AA319" s="456">
        <f>_xll.xSPRDOPT($L319,$J319,$I319,$M319,$O319,$N319,$P319,$Q319-$C$3,$R319,3)</f>
        <v>0.15191831176023163</v>
      </c>
      <c r="AB319" s="456">
        <f>((_xll.xSPRDOPT($L319+AB$5,$J319,$I319,$M319,$O319,$N319,$P319,$Q319-$C$3,$R319,3)*$H319)/10000)/100</f>
        <v>7.5959155880115814E-2</v>
      </c>
      <c r="AC319" s="456">
        <f>((_xll.xSPRDOPT($L319+$AB$5,$J319,$I319,$M319,$O319,$N319,$P319,$Q319-$C$3,$R319,7)*$H319)/100)</f>
        <v>-3033.3163889178163</v>
      </c>
      <c r="AD319" s="456">
        <f>(_xll.xSPRDOPT($L319+$AB$5,$J319,$I319,$M319,$O319,$N319,$P319,$Q319-$C$3,$R319,9)/365)*$H319</f>
        <v>-635.68409096359699</v>
      </c>
      <c r="AE319">
        <f t="shared" si="314"/>
        <v>0</v>
      </c>
      <c r="AF319" s="456">
        <f t="shared" si="315"/>
        <v>1969.2870236861572</v>
      </c>
      <c r="AG319" s="456">
        <f>((_xll.xSPRDOPT($L319,$J319,$I319,$M319,$O319,$N319,$P319,$Q319-$C$3,$R319,6)*$H319)/100)</f>
        <v>-140.82298037003272</v>
      </c>
      <c r="AH319" s="456">
        <f>((_xll.xSPRDOPT($L319,$J319,$I319,$M319,$O319,$N319,$P319,$Q319-$C$3,$R319,5)*$H319)/100)</f>
        <v>1834.8782643966872</v>
      </c>
      <c r="AI319" s="456">
        <f>(((_xll.xSPRDOPT($L319,$J319,$I319,$M319,$O319,$N319,$P319,$Q319-$C$3,$R319,4)*$H319)/10000)/100)-AB319</f>
        <v>4.0504899693962454E-2</v>
      </c>
      <c r="AJ319" s="456"/>
      <c r="AK319" s="456"/>
      <c r="AL319" s="456"/>
      <c r="AM319" s="472"/>
      <c r="CC319" s="141">
        <f t="shared" si="360"/>
        <v>36861</v>
      </c>
      <c r="CD319" s="234">
        <f>_xll.xSPRDOPT((VLOOKUP(G319,NGPrices,2,FALSE)+HLOOKUP(D319,Prices,VLOOKUP(G319,move_down,2,FALSE),FALSE)),VLOOKUP(G319,NGPrices,2,FALSE),I319,VLOOKUP(G319,NGPREVPRICES,4,FALSE),HLOOKUP(D319,PREVVOLS,VLOOKUP(G319,MOVE_DOWN2,2,FALSE),FALSE),VLOOKUP(G319,NGPREVPRICES,3,FALSE),HLOOKUP(D319,Correllate,VLOOKUP(G319,CorMove,2,FALSE),FALSE),Q319-$CD$3,R319,$CD$5)*H319-CJ319</f>
        <v>0</v>
      </c>
      <c r="CE319" s="234">
        <f>_xll.xSPRDOPT((VLOOKUP(G319,NGPREVPRICES,2,FALSE)+HLOOKUP(D319,PREVCURVES,VLOOKUP(G319,MOVE_DOWN2,2,FALSE),FALSE)),VLOOKUP(G319,NGPREVPRICES,2,FALSE),CK319,VLOOKUP(G319,NGPrices,4,FALSE),HLOOKUP(D319,PREVVOLS,VLOOKUP(G319,MOVE_DOWN2,2,FALSE),FALSE),VLOOKUP(G319,NGPREVPRICES,3,FALSE),HLOOKUP(D319,Correllate,VLOOKUP(G319,CorMove,2,FALSE),FALSE),Q319-$CD$3,R319,$CJ$5)*H319-CJ319</f>
        <v>0</v>
      </c>
      <c r="CF319" s="10">
        <f t="shared" si="361"/>
        <v>-7.0401207409158815</v>
      </c>
      <c r="CG319" s="234">
        <f>_xll.xSPRDOPT((VLOOKUP(G319,NGPREVPRICES,2,FALSE)+HLOOKUP(D319,PREVCURVES,VLOOKUP(G319,MOVE_DOWN2,2,FALSE),FALSE)),VLOOKUP(G319,NGPREVPRICES,2,FALSE),CK319,VLOOKUP(G319,NGPREVPRICES,4,FALSE),HLOOKUP(D319,VOLS,VLOOKUP(G319,move_down,2,FALSE),FALSE),VLOOKUP(G319,NGPrices,3,FALSE),HLOOKUP(D319,Correllate,VLOOKUP(G319,CorMove,2,FALSE),FALSE),Q319-$CD$3,R319,$CJ$5)*H319-CJ319</f>
        <v>0</v>
      </c>
      <c r="CH319" s="234">
        <f>_xll.xSPRDOPT((VLOOKUP(G319,NGPREVPRICES,2,FALSE)+HLOOKUP(D319,PREVCURVES,VLOOKUP(G319,MOVE_DOWN2,2,FALSE),FALSE)),VLOOKUP(G319,NGPREVPRICES,2,FALSE),CK319,VLOOKUP(G319,NGPREVPRICES,4,FALSE),HLOOKUP(D319,PREVVOLS,VLOOKUP(G319,MOVE_DOWN2,2,FALSE),FALSE),VLOOKUP(G319,NGPREVPRICES,3,FALSE),HLOOKUP(D319,Correllate,VLOOKUP(G319,CorMove,2,FALSE),FALSE),Q319-$C$3,R319,$CJ$5)*H319-CJ319</f>
        <v>-635.51195859465224</v>
      </c>
      <c r="CI319" s="234">
        <f t="shared" si="362"/>
        <v>-642.55207933556812</v>
      </c>
      <c r="CJ319" s="234">
        <f>_xll.xSPRDOPT((VLOOKUP(G319,NGPREVPRICES,2,FALSE)+HLOOKUP(D319,PREVCURVES,VLOOKUP(G319,MOVE_DOWN2,2,FALSE),FALSE)),VLOOKUP(G319,NGPREVPRICES,2,FALSE),CK319,VLOOKUP(G319,NGPREVPRICES,4,FALSE),HLOOKUP(D319,PREVVOLS,VLOOKUP(G319,MOVE_DOWN2,2,FALSE),FALSE),VLOOKUP(G319,NGPREVPRICES,3,FALSE),HLOOKUP(D319,Correllate,VLOOKUP(G319,CorMove,2,FALSE),FALSE),Q319-$CD$3,R319,$CJ$5)*H319</f>
        <v>37579.792555404165</v>
      </c>
      <c r="CK319" s="235">
        <f t="shared" si="363"/>
        <v>0.4</v>
      </c>
      <c r="CM319" t="str">
        <f t="shared" si="355"/>
        <v>36861Curve Shift/Gamma</v>
      </c>
      <c r="CN319" t="str">
        <f t="shared" si="356"/>
        <v>36861Rho</v>
      </c>
      <c r="CO319" t="str">
        <f t="shared" si="357"/>
        <v>36861Drift</v>
      </c>
      <c r="CP319" t="str">
        <f t="shared" si="358"/>
        <v>36861Vega</v>
      </c>
      <c r="CQ319" t="str">
        <f t="shared" si="359"/>
        <v>36861Theta</v>
      </c>
    </row>
    <row r="320" spans="1:95" x14ac:dyDescent="0.25">
      <c r="A320" s="382" t="s">
        <v>434</v>
      </c>
      <c r="B320" t="s">
        <v>250</v>
      </c>
      <c r="C320" t="s">
        <v>435</v>
      </c>
      <c r="D320" s="4" t="s">
        <v>7</v>
      </c>
      <c r="E320" t="s">
        <v>20</v>
      </c>
      <c r="F320" t="s">
        <v>1</v>
      </c>
      <c r="G320" s="5">
        <v>36831</v>
      </c>
      <c r="H320" s="130">
        <v>500000</v>
      </c>
      <c r="I320">
        <v>0.4</v>
      </c>
      <c r="J320" s="53">
        <f t="shared" si="316"/>
        <v>4.7359999999999998</v>
      </c>
      <c r="K320" s="7">
        <f t="shared" si="317"/>
        <v>0.77</v>
      </c>
      <c r="L320" s="53">
        <f t="shared" si="318"/>
        <v>5.5060000000000002</v>
      </c>
      <c r="M320" s="157">
        <f t="shared" si="344"/>
        <v>6.810675983792E-2</v>
      </c>
      <c r="N320" s="4">
        <f t="shared" si="345"/>
        <v>0.59499999999999997</v>
      </c>
      <c r="O320" s="4">
        <f t="shared" si="346"/>
        <v>0.625</v>
      </c>
      <c r="P320" s="9">
        <f t="shared" si="347"/>
        <v>0.89</v>
      </c>
      <c r="Q320" s="5">
        <f t="shared" si="310"/>
        <v>36829</v>
      </c>
      <c r="R320" s="4">
        <f t="shared" si="348"/>
        <v>0</v>
      </c>
      <c r="S320" s="158">
        <f>_xll.xSPRDOPT($L320,$J320,$I320,$M320,$O320,$N320,$P320,$Q320-$C$3,$R320,0)</f>
        <v>0.10543027876928618</v>
      </c>
      <c r="T320" s="159">
        <f>_xll.xSPRDOPT($L320,$J320,$I320,$M320,$O320,$N320,$P320,$Q320-$C$3,$R320,1)*H320</f>
        <v>-127307.57869847864</v>
      </c>
      <c r="U320" s="160">
        <f t="shared" si="349"/>
        <v>52715.139384643087</v>
      </c>
      <c r="V320" s="159">
        <f>_xll.xSPRDOPT($L320,$J320,$I320,$M320,$O320,$N320,$P320,$Q320-$C$3,$R320,2)*H320</f>
        <v>146641.08174985545</v>
      </c>
      <c r="W320" s="159">
        <f t="shared" si="350"/>
        <v>19333.503051376814</v>
      </c>
      <c r="X320" s="51" t="str">
        <f t="shared" si="341"/>
        <v>36831IF-TRANSCO/Z6</v>
      </c>
      <c r="Y320" s="418">
        <f t="shared" si="342"/>
        <v>50</v>
      </c>
      <c r="Z320" s="456">
        <f t="shared" si="343"/>
        <v>-0.25461515739695728</v>
      </c>
      <c r="AA320" s="456">
        <f>_xll.xSPRDOPT($L320,$J320,$I320,$M320,$O320,$N320,$P320,$Q320-$C$3,$R320,3)</f>
        <v>0.49323184061698527</v>
      </c>
      <c r="AB320" s="456">
        <f>((_xll.xSPRDOPT($L320+AB$5,$J320,$I320,$M320,$O320,$N320,$P320,$Q320-$C$3,$R320,3)*$H320)/10000)/100</f>
        <v>0.24661592030849264</v>
      </c>
      <c r="AC320" s="456">
        <f>((_xll.xSPRDOPT($L320+$AB$5,$J320,$I320,$M320,$O320,$N320,$P320,$Q320-$C$3,$R320,7)*$H320)/100)</f>
        <v>-4350.6638165627319</v>
      </c>
      <c r="AD320" s="456">
        <f>(_xll.xSPRDOPT($L320+$AB$5,$J320,$I320,$M320,$O320,$N320,$P320,$Q320-$C$3,$R320,9)/365)*$H320</f>
        <v>-823.68831769457472</v>
      </c>
      <c r="AE320">
        <f t="shared" si="314"/>
        <v>0</v>
      </c>
      <c r="AF320" s="456">
        <f t="shared" si="315"/>
        <v>1735.9043818544055</v>
      </c>
      <c r="AG320" s="456">
        <f>((_xll.xSPRDOPT($L320,$J320,$I320,$M320,$O320,$N320,$P320,$Q320-$C$3,$R320,6)*$H320)/100)</f>
        <v>-88.206719873198892</v>
      </c>
      <c r="AH320" s="456">
        <f>((_xll.xSPRDOPT($L320,$J320,$I320,$M320,$O320,$N320,$P320,$Q320-$C$3,$R320,5)*$H320)/100)</f>
        <v>1736.5537688446793</v>
      </c>
      <c r="AI320" s="456">
        <f>(((_xll.xSPRDOPT($L320,$J320,$I320,$M320,$O320,$N320,$P320,$Q320-$C$3,$R320,4)*$H320)/10000)/100)-AB320</f>
        <v>3.6756110152604299E-2</v>
      </c>
      <c r="AJ320" s="456"/>
      <c r="AK320" s="456"/>
      <c r="AL320" s="456"/>
      <c r="AM320" s="472"/>
      <c r="CC320" s="141">
        <f t="shared" si="360"/>
        <v>36831</v>
      </c>
      <c r="CD320" s="234">
        <f>_xll.xSPRDOPT((VLOOKUP(G320,NGPrices,2,FALSE)+HLOOKUP(D320,Prices,VLOOKUP(G320,move_down,2,FALSE),FALSE)),VLOOKUP(G320,NGPrices,2,FALSE),I320,VLOOKUP(G320,NGPREVPRICES,4,FALSE),HLOOKUP(D320,PREVVOLS,VLOOKUP(G320,MOVE_DOWN2,2,FALSE),FALSE),VLOOKUP(G320,NGPREVPRICES,3,FALSE),HLOOKUP(D320,Correllate,VLOOKUP(G320,CorMove,2,FALSE),FALSE),Q320-$CD$3,R320,$CD$5)*H320-CJ320</f>
        <v>0</v>
      </c>
      <c r="CE320" s="234">
        <f>_xll.xSPRDOPT((VLOOKUP(G320,NGPREVPRICES,2,FALSE)+HLOOKUP(D320,PREVCURVES,VLOOKUP(G320,MOVE_DOWN2,2,FALSE),FALSE)),VLOOKUP(G320,NGPREVPRICES,2,FALSE),CK320,VLOOKUP(G320,NGPrices,4,FALSE),HLOOKUP(D320,PREVVOLS,VLOOKUP(G320,MOVE_DOWN2,2,FALSE),FALSE),VLOOKUP(G320,NGPREVPRICES,3,FALSE),HLOOKUP(D320,Correllate,VLOOKUP(G320,CorMove,2,FALSE),FALSE),Q320-$CD$3,R320,$CJ$5)*H320-CJ320</f>
        <v>0</v>
      </c>
      <c r="CF320" s="10">
        <f t="shared" si="361"/>
        <v>-9.9421928721276345</v>
      </c>
      <c r="CG320" s="234">
        <f>_xll.xSPRDOPT((VLOOKUP(G320,NGPREVPRICES,2,FALSE)+HLOOKUP(D320,PREVCURVES,VLOOKUP(G320,MOVE_DOWN2,2,FALSE),FALSE)),VLOOKUP(G320,NGPREVPRICES,2,FALSE),CK320,VLOOKUP(G320,NGPREVPRICES,4,FALSE),HLOOKUP(D320,VOLS,VLOOKUP(G320,move_down,2,FALSE),FALSE),VLOOKUP(G320,NGPrices,3,FALSE),HLOOKUP(D320,Correllate,VLOOKUP(G320,CorMove,2,FALSE),FALSE),Q320-$CD$3,R320,$CJ$5)*H320-CJ320</f>
        <v>0</v>
      </c>
      <c r="CH320" s="234">
        <f>_xll.xSPRDOPT((VLOOKUP(G320,NGPREVPRICES,2,FALSE)+HLOOKUP(D320,PREVCURVES,VLOOKUP(G320,MOVE_DOWN2,2,FALSE),FALSE)),VLOOKUP(G320,NGPREVPRICES,2,FALSE),CK320,VLOOKUP(G320,NGPREVPRICES,4,FALSE),HLOOKUP(D320,PREVVOLS,VLOOKUP(G320,MOVE_DOWN2,2,FALSE),FALSE),VLOOKUP(G320,NGPREVPRICES,3,FALSE),HLOOKUP(D320,Correllate,VLOOKUP(G320,CorMove,2,FALSE),FALSE),Q320-$C$3,R320,$CJ$5)*H320-CJ320</f>
        <v>-820.79465943510877</v>
      </c>
      <c r="CI320" s="234">
        <f t="shared" si="362"/>
        <v>-830.7368523072364</v>
      </c>
      <c r="CJ320" s="234">
        <f>_xll.xSPRDOPT((VLOOKUP(G320,NGPREVPRICES,2,FALSE)+HLOOKUP(D320,PREVCURVES,VLOOKUP(G320,MOVE_DOWN2,2,FALSE),FALSE)),VLOOKUP(G320,NGPREVPRICES,2,FALSE),CK320,VLOOKUP(G320,NGPREVPRICES,4,FALSE),HLOOKUP(D320,PREVVOLS,VLOOKUP(G320,MOVE_DOWN2,2,FALSE),FALSE),VLOOKUP(G320,NGPREVPRICES,3,FALSE),HLOOKUP(D320,Correllate,VLOOKUP(G320,CorMove,2,FALSE),FALSE),Q320-$CD$3,R320,$CJ$5)*H320</f>
        <v>53535.934044078196</v>
      </c>
      <c r="CK320" s="235">
        <f t="shared" si="363"/>
        <v>0.4</v>
      </c>
      <c r="CM320" t="str">
        <f t="shared" si="355"/>
        <v>36831Curve Shift/Gamma</v>
      </c>
      <c r="CN320" t="str">
        <f t="shared" si="356"/>
        <v>36831Rho</v>
      </c>
      <c r="CO320" t="str">
        <f t="shared" si="357"/>
        <v>36831Drift</v>
      </c>
      <c r="CP320" t="str">
        <f t="shared" si="358"/>
        <v>36831Vega</v>
      </c>
      <c r="CQ320" t="str">
        <f t="shared" si="359"/>
        <v>36831Theta</v>
      </c>
    </row>
    <row r="321" spans="1:95" x14ac:dyDescent="0.25">
      <c r="A321" s="382" t="s">
        <v>279</v>
      </c>
      <c r="B321" t="s">
        <v>250</v>
      </c>
      <c r="C321" t="s">
        <v>436</v>
      </c>
      <c r="D321" s="4" t="s">
        <v>7</v>
      </c>
      <c r="E321" t="s">
        <v>20</v>
      </c>
      <c r="F321" t="s">
        <v>21</v>
      </c>
      <c r="G321" s="5">
        <v>36951</v>
      </c>
      <c r="H321" s="130">
        <v>-500000</v>
      </c>
      <c r="I321">
        <v>1.7</v>
      </c>
      <c r="J321" s="53">
        <f t="shared" si="316"/>
        <v>4.2130000000000001</v>
      </c>
      <c r="K321" s="7">
        <f t="shared" si="317"/>
        <v>1.075</v>
      </c>
      <c r="L321" s="53">
        <f t="shared" si="318"/>
        <v>5.2880000000000003</v>
      </c>
      <c r="M321" s="157">
        <f t="shared" si="344"/>
        <v>6.8879814952706994E-2</v>
      </c>
      <c r="N321" s="4">
        <f t="shared" si="345"/>
        <v>0.53249999999999997</v>
      </c>
      <c r="O321" s="4">
        <f t="shared" si="346"/>
        <v>0.61199999999999999</v>
      </c>
      <c r="P321" s="9">
        <f t="shared" si="347"/>
        <v>0.83</v>
      </c>
      <c r="Q321" s="5">
        <f t="shared" si="310"/>
        <v>36949</v>
      </c>
      <c r="R321" s="4">
        <f t="shared" si="348"/>
        <v>1</v>
      </c>
      <c r="S321" s="158">
        <f>_xll.xSPRDOPT($L321,$J321,$I321,$M321,$O321,$N321,$P321,$Q321-$C$3,$R321,0)</f>
        <v>0.3026232088169003</v>
      </c>
      <c r="T321" s="159">
        <f>_xll.xSPRDOPT($L321,$J321,$I321,$M321,$O321,$N321,$P321,$Q321-$C$3,$R321,1)*H321</f>
        <v>-184665.36044033774</v>
      </c>
      <c r="U321" s="160">
        <f t="shared" si="349"/>
        <v>-151311.60440845016</v>
      </c>
      <c r="V321" s="159">
        <f>_xll.xSPRDOPT($L321,$J321,$I321,$M321,$O321,$N321,$P321,$Q321-$C$3,$R321,2)*H321</f>
        <v>145459.20592317477</v>
      </c>
      <c r="W321" s="159">
        <f t="shared" si="350"/>
        <v>-39206.15451716297</v>
      </c>
      <c r="X321" s="51" t="str">
        <f t="shared" si="341"/>
        <v>36951IF-TRANSCO/Z6</v>
      </c>
      <c r="Y321" s="418">
        <f t="shared" si="342"/>
        <v>-50</v>
      </c>
      <c r="Z321" s="456">
        <f t="shared" si="343"/>
        <v>0.36933072088067548</v>
      </c>
      <c r="AA321" s="456">
        <f>_xll.xSPRDOPT($L321,$J321,$I321,$M321,$O321,$N321,$P321,$Q321-$C$3,$R321,3)</f>
        <v>0.27244434414798091</v>
      </c>
      <c r="AB321" s="456">
        <f>((_xll.xSPRDOPT($L321+AB$5,$J321,$I321,$M321,$O321,$N321,$P321,$Q321-$C$3,$R321,3)*$H321)/10000)/100</f>
        <v>-0.13622217207399046</v>
      </c>
      <c r="AC321" s="456">
        <f>((_xll.xSPRDOPT($L321+$AB$5,$J321,$I321,$M321,$O321,$N321,$P321,$Q321-$C$3,$R321,7)*$H321)/100)</f>
        <v>4513.2406689654827</v>
      </c>
      <c r="AD321" s="456">
        <f>(_xll.xSPRDOPT($L321+$AB$5,$J321,$I321,$M321,$O321,$N321,$P321,$Q321-$C$3,$R321,9)/365)*$H321</f>
        <v>660.54148266673337</v>
      </c>
      <c r="AE321">
        <f t="shared" si="314"/>
        <v>0</v>
      </c>
      <c r="AF321" s="456">
        <f t="shared" si="315"/>
        <v>-4707.2145711581825</v>
      </c>
      <c r="AG321" s="456">
        <f>((_xll.xSPRDOPT($L321,$J321,$I321,$M321,$O321,$N321,$P321,$Q321-$C$3,$R321,6)*$H321)/100)</f>
        <v>1608.4901072079408</v>
      </c>
      <c r="AH321" s="456">
        <f>((_xll.xSPRDOPT($L321,$J321,$I321,$M321,$O321,$N321,$P321,$Q321-$C$3,$R321,5)*$H321)/100)</f>
        <v>-5495.2822569117006</v>
      </c>
      <c r="AI321" s="456">
        <f>(((_xll.xSPRDOPT($L321,$J321,$I321,$M321,$O321,$N321,$P321,$Q321-$C$3,$R321,4)*$H321)/10000)/100)-AB321</f>
        <v>2.1005912816143807E-2</v>
      </c>
      <c r="AJ321" s="456"/>
      <c r="AK321" s="456"/>
      <c r="AL321" s="456"/>
      <c r="AM321" s="472"/>
      <c r="CC321" s="141">
        <f t="shared" ref="CC321:CC334" si="364">G321</f>
        <v>36951</v>
      </c>
      <c r="CD321" s="234">
        <f>_xll.xSPRDOPT((VLOOKUP(G321,NGPrices,2,FALSE)+HLOOKUP(D321,Prices,VLOOKUP(G321,move_down,2,FALSE),FALSE)),VLOOKUP(G321,NGPrices,2,FALSE),I321,VLOOKUP(G321,NGPREVPRICES,4,FALSE),HLOOKUP(D321,PREVVOLS,VLOOKUP(G321,MOVE_DOWN2,2,FALSE),FALSE),VLOOKUP(G321,NGPREVPRICES,3,FALSE),HLOOKUP(D321,Correllate,VLOOKUP(G321,CorMove,2,FALSE),FALSE),Q321-$CD$3,R321,$CD$5)*H321-CJ321</f>
        <v>0</v>
      </c>
      <c r="CE321" s="234">
        <f>_xll.xSPRDOPT((VLOOKUP(G321,NGPREVPRICES,2,FALSE)+HLOOKUP(D321,PREVCURVES,VLOOKUP(G321,MOVE_DOWN2,2,FALSE),FALSE)),VLOOKUP(G321,NGPREVPRICES,2,FALSE),CK321,VLOOKUP(G321,NGPrices,4,FALSE),HLOOKUP(D321,PREVVOLS,VLOOKUP(G321,MOVE_DOWN2,2,FALSE),FALSE),VLOOKUP(G321,NGPREVPRICES,3,FALSE),HLOOKUP(D321,Correllate,VLOOKUP(G321,CorMove,2,FALSE),FALSE),Q321-$CD$3,R321,$CJ$5)*H321-CJ321</f>
        <v>0</v>
      </c>
      <c r="CF321" s="10">
        <f t="shared" ref="CF321:CF334" si="365">(CJ321/VLOOKUP(CC321,discount,3,FALSE))-(CJ321/VLOOKUP(CC321,discount,2,FALSE))</f>
        <v>29.145726926799398</v>
      </c>
      <c r="CG321" s="234">
        <f>_xll.xSPRDOPT((VLOOKUP(G321,NGPREVPRICES,2,FALSE)+HLOOKUP(D321,PREVCURVES,VLOOKUP(G321,MOVE_DOWN2,2,FALSE),FALSE)),VLOOKUP(G321,NGPREVPRICES,2,FALSE),CK321,VLOOKUP(G321,NGPREVPRICES,4,FALSE),HLOOKUP(D321,VOLS,VLOOKUP(G321,move_down,2,FALSE),FALSE),VLOOKUP(G321,NGPrices,3,FALSE),HLOOKUP(D321,Correllate,VLOOKUP(G321,CorMove,2,FALSE),FALSE),Q321-$CD$3,R321,$CJ$5)*H321-CJ321</f>
        <v>0</v>
      </c>
      <c r="CH321" s="234">
        <f>_xll.xSPRDOPT((VLOOKUP(G321,NGPREVPRICES,2,FALSE)+HLOOKUP(D321,PREVCURVES,VLOOKUP(G321,MOVE_DOWN2,2,FALSE),FALSE)),VLOOKUP(G321,NGPREVPRICES,2,FALSE),CK321,VLOOKUP(G321,NGPREVPRICES,4,FALSE),HLOOKUP(D321,PREVVOLS,VLOOKUP(G321,MOVE_DOWN2,2,FALSE),FALSE),VLOOKUP(G321,NGPREVPRICES,3,FALSE),HLOOKUP(D321,Correllate,VLOOKUP(G321,CorMove,2,FALSE),FALSE),Q321-$C$3,R321,$CJ$5)*H321-CJ321</f>
        <v>659.18807735212613</v>
      </c>
      <c r="CI321" s="234">
        <f t="shared" ref="CI321:CI334" si="366">SUM(CD321:CH321)</f>
        <v>688.33380427892553</v>
      </c>
      <c r="CJ321" s="234">
        <f>_xll.xSPRDOPT((VLOOKUP(G321,NGPREVPRICES,2,FALSE)+HLOOKUP(D321,PREVCURVES,VLOOKUP(G321,MOVE_DOWN2,2,FALSE),FALSE)),VLOOKUP(G321,NGPREVPRICES,2,FALSE),CK321,VLOOKUP(G321,NGPREVPRICES,4,FALSE),HLOOKUP(D321,PREVVOLS,VLOOKUP(G321,MOVE_DOWN2,2,FALSE),FALSE),VLOOKUP(G321,NGPREVPRICES,3,FALSE),HLOOKUP(D321,Correllate,VLOOKUP(G321,CorMove,2,FALSE),FALSE),Q321-$CD$3,R321,$CJ$5)*H321</f>
        <v>-151970.79248580229</v>
      </c>
      <c r="CK321" s="235">
        <f t="shared" ref="CK321:CK334" si="367">I321</f>
        <v>1.7</v>
      </c>
      <c r="CM321" t="str">
        <f t="shared" si="355"/>
        <v>36951Curve Shift/Gamma</v>
      </c>
      <c r="CN321" t="str">
        <f t="shared" si="356"/>
        <v>36951Rho</v>
      </c>
      <c r="CO321" t="str">
        <f t="shared" si="357"/>
        <v>36951Drift</v>
      </c>
      <c r="CP321" t="str">
        <f t="shared" si="358"/>
        <v>36951Vega</v>
      </c>
      <c r="CQ321" t="str">
        <f t="shared" si="359"/>
        <v>36951Theta</v>
      </c>
    </row>
    <row r="322" spans="1:95" x14ac:dyDescent="0.25">
      <c r="A322" s="382" t="s">
        <v>279</v>
      </c>
      <c r="B322" t="s">
        <v>250</v>
      </c>
      <c r="C322" t="s">
        <v>437</v>
      </c>
      <c r="D322" s="4" t="s">
        <v>7</v>
      </c>
      <c r="E322" t="s">
        <v>20</v>
      </c>
      <c r="F322" t="s">
        <v>21</v>
      </c>
      <c r="G322" s="5">
        <v>36951</v>
      </c>
      <c r="H322" s="130">
        <v>1000000</v>
      </c>
      <c r="I322">
        <v>2.5</v>
      </c>
      <c r="J322" s="53">
        <f t="shared" si="316"/>
        <v>4.2130000000000001</v>
      </c>
      <c r="K322" s="7">
        <f t="shared" si="317"/>
        <v>1.075</v>
      </c>
      <c r="L322" s="53">
        <f t="shared" si="318"/>
        <v>5.2880000000000003</v>
      </c>
      <c r="M322" s="157">
        <f t="shared" si="344"/>
        <v>6.8879814952706994E-2</v>
      </c>
      <c r="N322" s="4">
        <f t="shared" si="345"/>
        <v>0.53249999999999997</v>
      </c>
      <c r="O322" s="4">
        <f t="shared" si="346"/>
        <v>0.61199999999999999</v>
      </c>
      <c r="P322" s="9">
        <f t="shared" si="347"/>
        <v>0.83</v>
      </c>
      <c r="Q322" s="5">
        <f t="shared" si="310"/>
        <v>36949</v>
      </c>
      <c r="R322" s="4">
        <f t="shared" si="348"/>
        <v>1</v>
      </c>
      <c r="S322" s="158">
        <f>_xll.xSPRDOPT($L322,$J322,$I322,$M322,$O322,$N322,$P322,$Q322-$C$3,$R322,0)</f>
        <v>0.15660034057175656</v>
      </c>
      <c r="T322" s="159">
        <f>_xll.xSPRDOPT($L322,$J322,$I322,$M322,$O322,$N322,$P322,$Q322-$C$3,$R322,1)*H322</f>
        <v>219961.18533066681</v>
      </c>
      <c r="U322" s="160">
        <f t="shared" si="349"/>
        <v>156600.34057175656</v>
      </c>
      <c r="V322" s="159">
        <f>_xll.xSPRDOPT($L322,$J322,$I322,$M322,$O322,$N322,$P322,$Q322-$C$3,$R322,2)*H322</f>
        <v>-162923.34028084954</v>
      </c>
      <c r="W322" s="159">
        <f t="shared" si="350"/>
        <v>57037.845049817261</v>
      </c>
      <c r="X322" s="51" t="str">
        <f t="shared" si="341"/>
        <v>36951IF-TRANSCO/Z6</v>
      </c>
      <c r="Y322" s="418">
        <f t="shared" si="342"/>
        <v>100</v>
      </c>
      <c r="Z322" s="456">
        <f t="shared" si="343"/>
        <v>0.2199611853306668</v>
      </c>
      <c r="AA322" s="456">
        <f>_xll.xSPRDOPT($L322,$J322,$I322,$M322,$O322,$N322,$P322,$Q322-$C$3,$R322,3)</f>
        <v>0.20855990404016209</v>
      </c>
      <c r="AB322" s="456">
        <f>((_xll.xSPRDOPT($L322+AB$5,$J322,$I322,$M322,$O322,$N322,$P322,$Q322-$C$3,$R322,3)*$H322)/10000)/100</f>
        <v>0.20855990404016209</v>
      </c>
      <c r="AC322" s="456">
        <f>((_xll.xSPRDOPT($L322+$AB$5,$J322,$I322,$M322,$O322,$N322,$P322,$Q322-$C$3,$R322,7)*$H322)/100)</f>
        <v>-6319.3375957498092</v>
      </c>
      <c r="AD322" s="456">
        <f>(_xll.xSPRDOPT($L322+$AB$5,$J322,$I322,$M322,$O322,$N322,$P322,$Q322-$C$3,$R322,9)/365)*$H322</f>
        <v>-1099.0294684775465</v>
      </c>
      <c r="AE322">
        <f t="shared" si="314"/>
        <v>0</v>
      </c>
      <c r="AF322" s="456">
        <f t="shared" si="315"/>
        <v>7709.3445266222434</v>
      </c>
      <c r="AG322" s="456">
        <f>((_xll.xSPRDOPT($L322,$J322,$I322,$M322,$O322,$N322,$P322,$Q322-$C$3,$R322,6)*$H322)/100)</f>
        <v>-2880.6666390194978</v>
      </c>
      <c r="AH322" s="456">
        <f>((_xll.xSPRDOPT($L322,$J322,$I322,$M322,$O322,$N322,$P322,$Q322-$C$3,$R322,5)*$H322)/100)</f>
        <v>9214.3479504971037</v>
      </c>
      <c r="AI322" s="456">
        <f>(((_xll.xSPRDOPT($L322,$J322,$I322,$M322,$O322,$N322,$P322,$Q322-$C$3,$R322,4)*$H322)/10000)/100)-AB322</f>
        <v>-6.0581352505890695E-2</v>
      </c>
      <c r="AJ322" s="456"/>
      <c r="AK322" s="456"/>
      <c r="AL322" s="456"/>
      <c r="AM322" s="472"/>
      <c r="CC322" s="141">
        <f t="shared" si="364"/>
        <v>36951</v>
      </c>
      <c r="CD322" s="234">
        <f>_xll.xSPRDOPT((VLOOKUP(G322,NGPrices,2,FALSE)+HLOOKUP(D322,Prices,VLOOKUP(G322,move_down,2,FALSE),FALSE)),VLOOKUP(G322,NGPrices,2,FALSE),I322,VLOOKUP(G322,NGPREVPRICES,4,FALSE),HLOOKUP(D322,PREVVOLS,VLOOKUP(G322,MOVE_DOWN2,2,FALSE),FALSE),VLOOKUP(G322,NGPREVPRICES,3,FALSE),HLOOKUP(D322,Correllate,VLOOKUP(G322,CorMove,2,FALSE),FALSE),Q322-$CD$3,R322,$CD$5)*H322-CJ322</f>
        <v>0</v>
      </c>
      <c r="CE322" s="234">
        <f>_xll.xSPRDOPT((VLOOKUP(G322,NGPREVPRICES,2,FALSE)+HLOOKUP(D322,PREVCURVES,VLOOKUP(G322,MOVE_DOWN2,2,FALSE),FALSE)),VLOOKUP(G322,NGPREVPRICES,2,FALSE),CK322,VLOOKUP(G322,NGPrices,4,FALSE),HLOOKUP(D322,PREVVOLS,VLOOKUP(G322,MOVE_DOWN2,2,FALSE),FALSE),VLOOKUP(G322,NGPREVPRICES,3,FALSE),HLOOKUP(D322,Correllate,VLOOKUP(G322,CorMove,2,FALSE),FALSE),Q322-$CD$3,R322,$CJ$5)*H322-CJ322</f>
        <v>0</v>
      </c>
      <c r="CF322" s="10">
        <f t="shared" si="365"/>
        <v>-30.244132504070876</v>
      </c>
      <c r="CG322" s="234">
        <f>_xll.xSPRDOPT((VLOOKUP(G322,NGPREVPRICES,2,FALSE)+HLOOKUP(D322,PREVCURVES,VLOOKUP(G322,MOVE_DOWN2,2,FALSE),FALSE)),VLOOKUP(G322,NGPREVPRICES,2,FALSE),CK322,VLOOKUP(G322,NGPREVPRICES,4,FALSE),HLOOKUP(D322,VOLS,VLOOKUP(G322,move_down,2,FALSE),FALSE),VLOOKUP(G322,NGPrices,3,FALSE),HLOOKUP(D322,Correllate,VLOOKUP(G322,CorMove,2,FALSE),FALSE),Q322-$CD$3,R322,$CJ$5)*H322-CJ322</f>
        <v>0</v>
      </c>
      <c r="CH322" s="234">
        <f>_xll.xSPRDOPT((VLOOKUP(G322,NGPREVPRICES,2,FALSE)+HLOOKUP(D322,PREVCURVES,VLOOKUP(G322,MOVE_DOWN2,2,FALSE),FALSE)),VLOOKUP(G322,NGPREVPRICES,2,FALSE),CK322,VLOOKUP(G322,NGPREVPRICES,4,FALSE),HLOOKUP(D322,PREVVOLS,VLOOKUP(G322,MOVE_DOWN2,2,FALSE),FALSE),VLOOKUP(G322,NGPREVPRICES,3,FALSE),HLOOKUP(D322,Correllate,VLOOKUP(G322,CorMove,2,FALSE),FALSE),Q322-$C$3,R322,$CJ$5)*H322-CJ322</f>
        <v>-1097.7259829331306</v>
      </c>
      <c r="CI322" s="234">
        <f t="shared" si="366"/>
        <v>-1127.9701154372015</v>
      </c>
      <c r="CJ322" s="234">
        <f>_xll.xSPRDOPT((VLOOKUP(G322,NGPREVPRICES,2,FALSE)+HLOOKUP(D322,PREVCURVES,VLOOKUP(G322,MOVE_DOWN2,2,FALSE),FALSE)),VLOOKUP(G322,NGPREVPRICES,2,FALSE),CK322,VLOOKUP(G322,NGPREVPRICES,4,FALSE),HLOOKUP(D322,PREVVOLS,VLOOKUP(G322,MOVE_DOWN2,2,FALSE),FALSE),VLOOKUP(G322,NGPREVPRICES,3,FALSE),HLOOKUP(D322,Correllate,VLOOKUP(G322,CorMove,2,FALSE),FALSE),Q322-$CD$3,R322,$CJ$5)*H322</f>
        <v>157698.06655468969</v>
      </c>
      <c r="CK322" s="235">
        <f t="shared" si="367"/>
        <v>2.5</v>
      </c>
      <c r="CM322" t="str">
        <f t="shared" si="355"/>
        <v>36951Curve Shift/Gamma</v>
      </c>
      <c r="CN322" t="str">
        <f t="shared" si="356"/>
        <v>36951Rho</v>
      </c>
      <c r="CO322" t="str">
        <f t="shared" si="357"/>
        <v>36951Drift</v>
      </c>
      <c r="CP322" t="str">
        <f t="shared" si="358"/>
        <v>36951Vega</v>
      </c>
      <c r="CQ322" t="str">
        <f t="shared" si="359"/>
        <v>36951Theta</v>
      </c>
    </row>
    <row r="323" spans="1:95" x14ac:dyDescent="0.25">
      <c r="A323" s="382" t="s">
        <v>279</v>
      </c>
      <c r="B323" t="s">
        <v>250</v>
      </c>
      <c r="C323" t="s">
        <v>438</v>
      </c>
      <c r="D323" s="4" t="s">
        <v>7</v>
      </c>
      <c r="E323" t="s">
        <v>20</v>
      </c>
      <c r="F323" t="s">
        <v>1</v>
      </c>
      <c r="G323" s="5">
        <v>36951</v>
      </c>
      <c r="H323" s="130">
        <v>-1000000</v>
      </c>
      <c r="I323">
        <v>1.7</v>
      </c>
      <c r="J323" s="53">
        <f t="shared" si="316"/>
        <v>4.2130000000000001</v>
      </c>
      <c r="K323" s="7">
        <f t="shared" si="317"/>
        <v>1.075</v>
      </c>
      <c r="L323" s="53">
        <f t="shared" si="318"/>
        <v>5.2880000000000003</v>
      </c>
      <c r="M323" s="157">
        <f t="shared" si="344"/>
        <v>6.8879814952706994E-2</v>
      </c>
      <c r="N323" s="4">
        <f t="shared" si="345"/>
        <v>0.53249999999999997</v>
      </c>
      <c r="O323" s="4">
        <f t="shared" si="346"/>
        <v>0.61199999999999999</v>
      </c>
      <c r="P323" s="9">
        <f t="shared" si="347"/>
        <v>0.83</v>
      </c>
      <c r="Q323" s="5">
        <f t="shared" si="310"/>
        <v>36949</v>
      </c>
      <c r="R323" s="4">
        <f t="shared" si="348"/>
        <v>0</v>
      </c>
      <c r="S323" s="158">
        <f>_xll.xSPRDOPT($L323,$J323,$I323,$M323,$O323,$N323,$P323,$Q323-$C$3,$R323,0)</f>
        <v>0.90653588185534573</v>
      </c>
      <c r="T323" s="159">
        <f>_xll.xSPRDOPT($L323,$J323,$I323,$M323,$O323,$N323,$P323,$Q323-$C$3,$R323,1)*H323</f>
        <v>596929.55598083721</v>
      </c>
      <c r="U323" s="160">
        <f t="shared" si="349"/>
        <v>-906535.88185534568</v>
      </c>
      <c r="V323" s="159">
        <f>_xll.xSPRDOPT($L323,$J323,$I323,$M323,$O323,$N323,$P323,$Q323-$C$3,$R323,2)*H323</f>
        <v>-675341.86501516297</v>
      </c>
      <c r="W323" s="159">
        <f t="shared" si="350"/>
        <v>-78412.309034325765</v>
      </c>
      <c r="X323" s="51" t="str">
        <f t="shared" si="341"/>
        <v>36951IF-TRANSCO/Z6</v>
      </c>
      <c r="Y323" s="418">
        <f t="shared" si="342"/>
        <v>-100</v>
      </c>
      <c r="Z323" s="456">
        <f t="shared" si="343"/>
        <v>-0.59692955598083719</v>
      </c>
      <c r="AA323" s="456">
        <f>_xll.xSPRDOPT($L323,$J323,$I323,$M323,$O323,$N323,$P323,$Q323-$C$3,$R323,3)</f>
        <v>0.27244434414798091</v>
      </c>
      <c r="AB323" s="456">
        <f>((_xll.xSPRDOPT($L323+AB$5,$J323,$I323,$M323,$O323,$N323,$P323,$Q323-$C$3,$R323,3)*$H323)/10000)/100</f>
        <v>-0.27244434414798091</v>
      </c>
      <c r="AC323" s="456">
        <f>((_xll.xSPRDOPT($L323+$AB$5,$J323,$I323,$M323,$O323,$N323,$P323,$Q323-$C$3,$R323,7)*$H323)/100)</f>
        <v>9026.4813379309653</v>
      </c>
      <c r="AD323" s="456">
        <f>(_xll.xSPRDOPT($L323+$AB$5,$J323,$I323,$M323,$O323,$N323,$P323,$Q323-$C$3,$R323,9)/365)*$H323</f>
        <v>1207.1175046033768</v>
      </c>
      <c r="AE323">
        <f t="shared" si="314"/>
        <v>0</v>
      </c>
      <c r="AF323" s="456">
        <f t="shared" si="315"/>
        <v>-9414.429142316365</v>
      </c>
      <c r="AG323" s="456">
        <f>((_xll.xSPRDOPT($L323,$J323,$I323,$M323,$O323,$N323,$P323,$Q323-$C$3,$R323,6)*$H323)/100)</f>
        <v>3216.9802144158816</v>
      </c>
      <c r="AH323" s="456">
        <f>((_xll.xSPRDOPT($L323,$J323,$I323,$M323,$O323,$N323,$P323,$Q323-$C$3,$R323,5)*$H323)/100)</f>
        <v>-10990.564513823401</v>
      </c>
      <c r="AI323" s="456">
        <f>(((_xll.xSPRDOPT($L323,$J323,$I323,$M323,$O323,$N323,$P323,$Q323-$C$3,$R323,4)*$H323)/10000)/100)-AB323</f>
        <v>4.2011825632287614E-2</v>
      </c>
      <c r="AJ323" s="456"/>
      <c r="AK323" s="456"/>
      <c r="AL323" s="456"/>
      <c r="AM323" s="472"/>
      <c r="CC323" s="141">
        <f t="shared" si="364"/>
        <v>36951</v>
      </c>
      <c r="CD323" s="234">
        <f>_xll.xSPRDOPT((VLOOKUP(G323,NGPrices,2,FALSE)+HLOOKUP(D323,Prices,VLOOKUP(G323,move_down,2,FALSE),FALSE)),VLOOKUP(G323,NGPrices,2,FALSE),I323,VLOOKUP(G323,NGPREVPRICES,4,FALSE),HLOOKUP(D323,PREVVOLS,VLOOKUP(G323,MOVE_DOWN2,2,FALSE),FALSE),VLOOKUP(G323,NGPREVPRICES,3,FALSE),HLOOKUP(D323,Correllate,VLOOKUP(G323,CorMove,2,FALSE),FALSE),Q323-$CD$3,R323,$CD$5)*H323-CJ323</f>
        <v>0</v>
      </c>
      <c r="CE323" s="234">
        <f>_xll.xSPRDOPT((VLOOKUP(G323,NGPREVPRICES,2,FALSE)+HLOOKUP(D323,PREVCURVES,VLOOKUP(G323,MOVE_DOWN2,2,FALSE),FALSE)),VLOOKUP(G323,NGPREVPRICES,2,FALSE),CK323,VLOOKUP(G323,NGPrices,4,FALSE),HLOOKUP(D323,PREVVOLS,VLOOKUP(G323,MOVE_DOWN2,2,FALSE),FALSE),VLOOKUP(G323,NGPREVPRICES,3,FALSE),HLOOKUP(D323,Correllate,VLOOKUP(G323,CorMove,2,FALSE),FALSE),Q323-$CD$3,R323,$CJ$5)*H323-CJ323</f>
        <v>0</v>
      </c>
      <c r="CF323" s="10">
        <f t="shared" si="365"/>
        <v>174.09103973745368</v>
      </c>
      <c r="CG323" s="234">
        <f>_xll.xSPRDOPT((VLOOKUP(G323,NGPREVPRICES,2,FALSE)+HLOOKUP(D323,PREVCURVES,VLOOKUP(G323,MOVE_DOWN2,2,FALSE),FALSE)),VLOOKUP(G323,NGPREVPRICES,2,FALSE),CK323,VLOOKUP(G323,NGPREVPRICES,4,FALSE),HLOOKUP(D323,VOLS,VLOOKUP(G323,move_down,2,FALSE),FALSE),VLOOKUP(G323,NGPrices,3,FALSE),HLOOKUP(D323,Correllate,VLOOKUP(G323,CorMove,2,FALSE),FALSE),Q323-$CD$3,R323,$CJ$5)*H323-CJ323</f>
        <v>0</v>
      </c>
      <c r="CH323" s="234">
        <f>_xll.xSPRDOPT((VLOOKUP(G323,NGPREVPRICES,2,FALSE)+HLOOKUP(D323,PREVCURVES,VLOOKUP(G323,MOVE_DOWN2,2,FALSE),FALSE)),VLOOKUP(G323,NGPREVPRICES,2,FALSE),CK323,VLOOKUP(G323,NGPREVPRICES,4,FALSE),HLOOKUP(D323,PREVVOLS,VLOOKUP(G323,MOVE_DOWN2,2,FALSE),FALSE),VLOOKUP(G323,NGPREVPRICES,3,FALSE),HLOOKUP(D323,Correllate,VLOOKUP(G323,CorMove,2,FALSE),FALSE),Q323-$C$3,R323,$CJ$5)*H323-CJ323</f>
        <v>1204.4994370049099</v>
      </c>
      <c r="CI323" s="234">
        <f t="shared" si="366"/>
        <v>1378.5904767423635</v>
      </c>
      <c r="CJ323" s="234">
        <f>_xll.xSPRDOPT((VLOOKUP(G323,NGPREVPRICES,2,FALSE)+HLOOKUP(D323,PREVCURVES,VLOOKUP(G323,MOVE_DOWN2,2,FALSE),FALSE)),VLOOKUP(G323,NGPREVPRICES,2,FALSE),CK323,VLOOKUP(G323,NGPREVPRICES,4,FALSE),HLOOKUP(D323,PREVVOLS,VLOOKUP(G323,MOVE_DOWN2,2,FALSE),FALSE),VLOOKUP(G323,NGPREVPRICES,3,FALSE),HLOOKUP(D323,Correllate,VLOOKUP(G323,CorMove,2,FALSE),FALSE),Q323-$CD$3,R323,$CJ$5)*H323</f>
        <v>-907740.38129235059</v>
      </c>
      <c r="CK323" s="235">
        <f t="shared" si="367"/>
        <v>1.7</v>
      </c>
      <c r="CM323" t="str">
        <f t="shared" si="355"/>
        <v>36951Curve Shift/Gamma</v>
      </c>
      <c r="CN323" t="str">
        <f t="shared" si="356"/>
        <v>36951Rho</v>
      </c>
      <c r="CO323" t="str">
        <f t="shared" si="357"/>
        <v>36951Drift</v>
      </c>
      <c r="CP323" t="str">
        <f t="shared" si="358"/>
        <v>36951Vega</v>
      </c>
      <c r="CQ323" t="str">
        <f t="shared" si="359"/>
        <v>36951Theta</v>
      </c>
    </row>
    <row r="324" spans="1:95" x14ac:dyDescent="0.25">
      <c r="A324" s="382" t="s">
        <v>279</v>
      </c>
      <c r="B324" t="s">
        <v>250</v>
      </c>
      <c r="C324" t="s">
        <v>438</v>
      </c>
      <c r="D324" s="4" t="s">
        <v>7</v>
      </c>
      <c r="E324" t="s">
        <v>20</v>
      </c>
      <c r="F324" t="s">
        <v>1</v>
      </c>
      <c r="G324" s="5">
        <v>36923</v>
      </c>
      <c r="H324" s="130">
        <v>-1000000</v>
      </c>
      <c r="I324">
        <v>1.7</v>
      </c>
      <c r="J324" s="53">
        <f t="shared" si="316"/>
        <v>4.4800000000000004</v>
      </c>
      <c r="K324" s="7">
        <f t="shared" si="317"/>
        <v>2.09</v>
      </c>
      <c r="L324" s="53">
        <f t="shared" si="318"/>
        <v>6.57</v>
      </c>
      <c r="M324" s="157">
        <f t="shared" si="344"/>
        <v>6.8640161611372E-2</v>
      </c>
      <c r="N324" s="4">
        <f t="shared" si="345"/>
        <v>0.59250000000000003</v>
      </c>
      <c r="O324" s="4">
        <f t="shared" si="346"/>
        <v>0.68100000000000005</v>
      </c>
      <c r="P324" s="9">
        <f t="shared" si="347"/>
        <v>0.83</v>
      </c>
      <c r="Q324" s="5">
        <f t="shared" si="310"/>
        <v>36921</v>
      </c>
      <c r="R324" s="4">
        <f t="shared" si="348"/>
        <v>0</v>
      </c>
      <c r="S324" s="158">
        <f>_xll.xSPRDOPT($L324,$J324,$I324,$M324,$O324,$N324,$P324,$Q324-$C$3,$R324,0)</f>
        <v>0.47512054509062507</v>
      </c>
      <c r="T324" s="159">
        <f>_xll.xSPRDOPT($L324,$J324,$I324,$M324,$O324,$N324,$P324,$Q324-$C$3,$R324,1)*H324</f>
        <v>345161.52205628401</v>
      </c>
      <c r="U324" s="160">
        <f t="shared" si="349"/>
        <v>-475120.54509062506</v>
      </c>
      <c r="V324" s="159">
        <f>_xll.xSPRDOPT($L324,$J324,$I324,$M324,$O324,$N324,$P324,$Q324-$C$3,$R324,2)*H324</f>
        <v>-429834.85184321803</v>
      </c>
      <c r="W324" s="159">
        <f t="shared" si="350"/>
        <v>-84673.329786934017</v>
      </c>
      <c r="X324" s="51" t="str">
        <f t="shared" si="341"/>
        <v>36923IF-TRANSCO/Z6</v>
      </c>
      <c r="Y324" s="418">
        <f t="shared" si="342"/>
        <v>-100</v>
      </c>
      <c r="Z324" s="456">
        <f t="shared" si="343"/>
        <v>-0.34516152205628403</v>
      </c>
      <c r="AA324" s="456">
        <f>_xll.xSPRDOPT($L324,$J324,$I324,$M324,$O324,$N324,$P324,$Q324-$C$3,$R324,3)</f>
        <v>0.20978838708944192</v>
      </c>
      <c r="AB324" s="456">
        <f>((_xll.xSPRDOPT($L324+AB$5,$J324,$I324,$M324,$O324,$N324,$P324,$Q324-$C$3,$R324,3)*$H324)/10000)/100</f>
        <v>-0.20978838708944192</v>
      </c>
      <c r="AC324" s="456">
        <f>((_xll.xSPRDOPT($L324+$AB$5,$J324,$I324,$M324,$O324,$N324,$P324,$Q324-$C$3,$R324,7)*$H324)/100)</f>
        <v>11175.326972786605</v>
      </c>
      <c r="AD324" s="456">
        <f>(_xll.xSPRDOPT($L324+$AB$5,$J324,$I324,$M324,$O324,$N324,$P324,$Q324-$C$3,$R324,9)/365)*$H324</f>
        <v>1949.9473801500606</v>
      </c>
      <c r="AE324">
        <f t="shared" si="314"/>
        <v>0</v>
      </c>
      <c r="AF324" s="456">
        <f t="shared" si="315"/>
        <v>-10593.642906510735</v>
      </c>
      <c r="AG324" s="456">
        <f>((_xll.xSPRDOPT($L324,$J324,$I324,$M324,$O324,$N324,$P324,$Q324-$C$3,$R324,6)*$H324)/100)</f>
        <v>3636.1525144899601</v>
      </c>
      <c r="AH324" s="456">
        <f>((_xll.xSPRDOPT($L324,$J324,$I324,$M324,$O324,$N324,$P324,$Q324-$C$3,$R324,5)*$H324)/100)</f>
        <v>-12380.54887950501</v>
      </c>
      <c r="AI324" s="456">
        <f>(((_xll.xSPRDOPT($L324,$J324,$I324,$M324,$O324,$N324,$P324,$Q324-$C$3,$R324,4)*$H324)/10000)/100)-AB324</f>
        <v>-2.9919394726779514E-2</v>
      </c>
      <c r="AJ324" s="456"/>
      <c r="AK324" s="456"/>
      <c r="AL324" s="456"/>
      <c r="AM324" s="472"/>
      <c r="CC324" s="141">
        <f t="shared" si="364"/>
        <v>36923</v>
      </c>
      <c r="CD324" s="234">
        <f>_xll.xSPRDOPT((VLOOKUP(G324,NGPrices,2,FALSE)+HLOOKUP(D324,Prices,VLOOKUP(G324,move_down,2,FALSE),FALSE)),VLOOKUP(G324,NGPrices,2,FALSE),I324,VLOOKUP(G324,NGPREVPRICES,4,FALSE),HLOOKUP(D324,PREVVOLS,VLOOKUP(G324,MOVE_DOWN2,2,FALSE),FALSE),VLOOKUP(G324,NGPREVPRICES,3,FALSE),HLOOKUP(D324,Correllate,VLOOKUP(G324,CorMove,2,FALSE),FALSE),Q324-$CD$3,R324,$CD$5)*H324-CJ324</f>
        <v>0</v>
      </c>
      <c r="CE324" s="234">
        <f>_xll.xSPRDOPT((VLOOKUP(G324,NGPREVPRICES,2,FALSE)+HLOOKUP(D324,PREVCURVES,VLOOKUP(G324,MOVE_DOWN2,2,FALSE),FALSE)),VLOOKUP(G324,NGPREVPRICES,2,FALSE),CK324,VLOOKUP(G324,NGPrices,4,FALSE),HLOOKUP(D324,PREVVOLS,VLOOKUP(G324,MOVE_DOWN2,2,FALSE),FALSE),VLOOKUP(G324,NGPREVPRICES,3,FALSE),HLOOKUP(D324,Correllate,VLOOKUP(G324,CorMove,2,FALSE),FALSE),Q324-$CD$3,R324,$CJ$5)*H324-CJ324</f>
        <v>0</v>
      </c>
      <c r="CF324" s="10">
        <f t="shared" si="365"/>
        <v>90.732380871777423</v>
      </c>
      <c r="CG324" s="234">
        <f>_xll.xSPRDOPT((VLOOKUP(G324,NGPREVPRICES,2,FALSE)+HLOOKUP(D324,PREVCURVES,VLOOKUP(G324,MOVE_DOWN2,2,FALSE),FALSE)),VLOOKUP(G324,NGPREVPRICES,2,FALSE),CK324,VLOOKUP(G324,NGPREVPRICES,4,FALSE),HLOOKUP(D324,VOLS,VLOOKUP(G324,move_down,2,FALSE),FALSE),VLOOKUP(G324,NGPrices,3,FALSE),HLOOKUP(D324,Correllate,VLOOKUP(G324,CorMove,2,FALSE),FALSE),Q324-$CD$3,R324,$CJ$5)*H324-CJ324</f>
        <v>0</v>
      </c>
      <c r="CH324" s="234">
        <f>_xll.xSPRDOPT((VLOOKUP(G324,NGPREVPRICES,2,FALSE)+HLOOKUP(D324,PREVCURVES,VLOOKUP(G324,MOVE_DOWN2,2,FALSE),FALSE)),VLOOKUP(G324,NGPREVPRICES,2,FALSE),CK324,VLOOKUP(G324,NGPREVPRICES,4,FALSE),HLOOKUP(D324,PREVVOLS,VLOOKUP(G324,MOVE_DOWN2,2,FALSE),FALSE),VLOOKUP(G324,NGPREVPRICES,3,FALSE),HLOOKUP(D324,Correllate,VLOOKUP(G324,CorMove,2,FALSE),FALSE),Q324-$C$3,R324,$CJ$5)*H324-CJ324</f>
        <v>1945.0878171321237</v>
      </c>
      <c r="CI324" s="234">
        <f t="shared" si="366"/>
        <v>2035.8201980039012</v>
      </c>
      <c r="CJ324" s="234">
        <f>_xll.xSPRDOPT((VLOOKUP(G324,NGPREVPRICES,2,FALSE)+HLOOKUP(D324,PREVCURVES,VLOOKUP(G324,MOVE_DOWN2,2,FALSE),FALSE)),VLOOKUP(G324,NGPREVPRICES,2,FALSE),CK324,VLOOKUP(G324,NGPREVPRICES,4,FALSE),HLOOKUP(D324,PREVVOLS,VLOOKUP(G324,MOVE_DOWN2,2,FALSE),FALSE),VLOOKUP(G324,NGPREVPRICES,3,FALSE),HLOOKUP(D324,Correllate,VLOOKUP(G324,CorMove,2,FALSE),FALSE),Q324-$CD$3,R324,$CJ$5)*H324</f>
        <v>-477065.63290775719</v>
      </c>
      <c r="CK324" s="235">
        <f t="shared" si="367"/>
        <v>1.7</v>
      </c>
      <c r="CM324" t="str">
        <f t="shared" si="355"/>
        <v>36923Curve Shift/Gamma</v>
      </c>
      <c r="CN324" t="str">
        <f t="shared" si="356"/>
        <v>36923Rho</v>
      </c>
      <c r="CO324" t="str">
        <f t="shared" si="357"/>
        <v>36923Drift</v>
      </c>
      <c r="CP324" t="str">
        <f t="shared" si="358"/>
        <v>36923Vega</v>
      </c>
      <c r="CQ324" t="str">
        <f t="shared" si="359"/>
        <v>36923Theta</v>
      </c>
    </row>
    <row r="325" spans="1:95" x14ac:dyDescent="0.25">
      <c r="A325" s="382" t="s">
        <v>279</v>
      </c>
      <c r="B325" t="s">
        <v>250</v>
      </c>
      <c r="C325" t="s">
        <v>438</v>
      </c>
      <c r="D325" s="4" t="s">
        <v>7</v>
      </c>
      <c r="E325" t="s">
        <v>20</v>
      </c>
      <c r="F325" t="s">
        <v>1</v>
      </c>
      <c r="G325" s="5">
        <v>36892</v>
      </c>
      <c r="H325" s="130">
        <v>-1000000</v>
      </c>
      <c r="I325">
        <v>1.7</v>
      </c>
      <c r="J325" s="53">
        <f t="shared" si="316"/>
        <v>4.7439999999999998</v>
      </c>
      <c r="K325" s="7">
        <f t="shared" si="317"/>
        <v>2.17</v>
      </c>
      <c r="L325" s="53">
        <f t="shared" si="318"/>
        <v>6.9139999999999997</v>
      </c>
      <c r="M325" s="157">
        <f t="shared" si="344"/>
        <v>6.8374831148490994E-2</v>
      </c>
      <c r="N325" s="4">
        <f t="shared" si="345"/>
        <v>0.60499999999999998</v>
      </c>
      <c r="O325" s="4">
        <f t="shared" si="346"/>
        <v>0.69599999999999995</v>
      </c>
      <c r="P325" s="9">
        <f t="shared" si="347"/>
        <v>0.83</v>
      </c>
      <c r="Q325" s="5">
        <f t="shared" si="310"/>
        <v>36888</v>
      </c>
      <c r="R325" s="4">
        <f t="shared" si="348"/>
        <v>0</v>
      </c>
      <c r="S325" s="158">
        <f>_xll.xSPRDOPT($L325,$J325,$I325,$M325,$O325,$N325,$P325,$Q325-$C$3,$R325,0)</f>
        <v>0.41233458902943831</v>
      </c>
      <c r="T325" s="159">
        <f>_xll.xSPRDOPT($L325,$J325,$I325,$M325,$O325,$N325,$P325,$Q325-$C$3,$R325,1)*H325</f>
        <v>329219.46463609894</v>
      </c>
      <c r="U325" s="160">
        <f t="shared" si="349"/>
        <v>-412334.58902943833</v>
      </c>
      <c r="V325" s="159">
        <f>_xll.xSPRDOPT($L325,$J325,$I325,$M325,$O325,$N325,$P325,$Q325-$C$3,$R325,2)*H325</f>
        <v>-405537.17346763588</v>
      </c>
      <c r="W325" s="159">
        <f t="shared" si="350"/>
        <v>-76317.708831536933</v>
      </c>
      <c r="X325" s="51" t="str">
        <f t="shared" si="341"/>
        <v>36892IF-TRANSCO/Z6</v>
      </c>
      <c r="Y325" s="418">
        <f t="shared" si="342"/>
        <v>-100</v>
      </c>
      <c r="Z325" s="456">
        <f t="shared" si="343"/>
        <v>-0.32921946463609897</v>
      </c>
      <c r="AA325" s="456">
        <f>_xll.xSPRDOPT($L325,$J325,$I325,$M325,$O325,$N325,$P325,$Q325-$C$3,$R325,3)</f>
        <v>0.21807698285626295</v>
      </c>
      <c r="AB325" s="456">
        <f>((_xll.xSPRDOPT($L325+AB$5,$J325,$I325,$M325,$O325,$N325,$P325,$Q325-$C$3,$R325,3)*$H325)/10000)/100</f>
        <v>-0.21807698285626295</v>
      </c>
      <c r="AC325" s="456">
        <f>((_xll.xSPRDOPT($L325+$AB$5,$J325,$I325,$M325,$O325,$N325,$P325,$Q325-$C$3,$R325,7)*$H325)/100)</f>
        <v>10683.308102727286</v>
      </c>
      <c r="AD325" s="456">
        <f>(_xll.xSPRDOPT($L325+$AB$5,$J325,$I325,$M325,$O325,$N325,$P325,$Q325-$C$3,$R325,9)/365)*$H325</f>
        <v>2349.5530067691652</v>
      </c>
      <c r="AE325">
        <f t="shared" si="314"/>
        <v>0</v>
      </c>
      <c r="AF325" s="456">
        <f t="shared" si="315"/>
        <v>-9700.53556488309</v>
      </c>
      <c r="AG325" s="456">
        <f>((_xll.xSPRDOPT($L325,$J325,$I325,$M325,$O325,$N325,$P325,$Q325-$C$3,$R325,6)*$H325)/100)</f>
        <v>3295.0567040940082</v>
      </c>
      <c r="AH325" s="456">
        <f>((_xll.xSPRDOPT($L325,$J325,$I325,$M325,$O325,$N325,$P325,$Q325-$C$3,$R325,5)*$H325)/100)</f>
        <v>-11296.455923464289</v>
      </c>
      <c r="AI325" s="456">
        <f>(((_xll.xSPRDOPT($L325,$J325,$I325,$M325,$O325,$N325,$P325,$Q325-$C$3,$R325,4)*$H325)/10000)/100)-AB325</f>
        <v>-3.380023817853553E-2</v>
      </c>
      <c r="AJ325" s="456"/>
      <c r="AK325" s="456"/>
      <c r="AL325" s="456"/>
      <c r="AM325" s="472"/>
      <c r="CC325" s="141">
        <f t="shared" si="364"/>
        <v>36892</v>
      </c>
      <c r="CD325" s="234">
        <f>_xll.xSPRDOPT((VLOOKUP(G325,NGPrices,2,FALSE)+HLOOKUP(D325,Prices,VLOOKUP(G325,move_down,2,FALSE),FALSE)),VLOOKUP(G325,NGPrices,2,FALSE),I325,VLOOKUP(G325,NGPREVPRICES,4,FALSE),HLOOKUP(D325,PREVVOLS,VLOOKUP(G325,MOVE_DOWN2,2,FALSE),FALSE),VLOOKUP(G325,NGPREVPRICES,3,FALSE),HLOOKUP(D325,Correllate,VLOOKUP(G325,CorMove,2,FALSE),FALSE),Q325-$CD$3,R325,$CD$5)*H325-CJ325</f>
        <v>0</v>
      </c>
      <c r="CE325" s="234">
        <f>_xll.xSPRDOPT((VLOOKUP(G325,NGPREVPRICES,2,FALSE)+HLOOKUP(D325,PREVCURVES,VLOOKUP(G325,MOVE_DOWN2,2,FALSE),FALSE)),VLOOKUP(G325,NGPREVPRICES,2,FALSE),CK325,VLOOKUP(G325,NGPrices,4,FALSE),HLOOKUP(D325,PREVVOLS,VLOOKUP(G325,MOVE_DOWN2,2,FALSE),FALSE),VLOOKUP(G325,NGPREVPRICES,3,FALSE),HLOOKUP(D325,Correllate,VLOOKUP(G325,CorMove,2,FALSE),FALSE),Q325-$CD$3,R325,$CJ$5)*H325-CJ325</f>
        <v>0</v>
      </c>
      <c r="CF325" s="10">
        <f t="shared" si="365"/>
        <v>78.14231114985887</v>
      </c>
      <c r="CG325" s="234">
        <f>_xll.xSPRDOPT((VLOOKUP(G325,NGPREVPRICES,2,FALSE)+HLOOKUP(D325,PREVCURVES,VLOOKUP(G325,MOVE_DOWN2,2,FALSE),FALSE)),VLOOKUP(G325,NGPREVPRICES,2,FALSE),CK325,VLOOKUP(G325,NGPREVPRICES,4,FALSE),HLOOKUP(D325,VOLS,VLOOKUP(G325,move_down,2,FALSE),FALSE),VLOOKUP(G325,NGPrices,3,FALSE),HLOOKUP(D325,Correllate,VLOOKUP(G325,CorMove,2,FALSE),FALSE),Q325-$CD$3,R325,$CJ$5)*H325-CJ325</f>
        <v>0</v>
      </c>
      <c r="CH325" s="234">
        <f>_xll.xSPRDOPT((VLOOKUP(G325,NGPREVPRICES,2,FALSE)+HLOOKUP(D325,PREVCURVES,VLOOKUP(G325,MOVE_DOWN2,2,FALSE),FALSE)),VLOOKUP(G325,NGPREVPRICES,2,FALSE),CK325,VLOOKUP(G325,NGPREVPRICES,4,FALSE),HLOOKUP(D325,PREVVOLS,VLOOKUP(G325,MOVE_DOWN2,2,FALSE),FALSE),VLOOKUP(G325,NGPREVPRICES,3,FALSE),HLOOKUP(D325,Correllate,VLOOKUP(G325,CorMove,2,FALSE),FALSE),Q325-$C$3,R325,$CJ$5)*H325-CJ325</f>
        <v>2342.9125275098486</v>
      </c>
      <c r="CI325" s="234">
        <f t="shared" si="366"/>
        <v>2421.0548386597075</v>
      </c>
      <c r="CJ325" s="234">
        <f>_xll.xSPRDOPT((VLOOKUP(G325,NGPREVPRICES,2,FALSE)+HLOOKUP(D325,PREVCURVES,VLOOKUP(G325,MOVE_DOWN2,2,FALSE),FALSE)),VLOOKUP(G325,NGPREVPRICES,2,FALSE),CK325,VLOOKUP(G325,NGPREVPRICES,4,FALSE),HLOOKUP(D325,PREVVOLS,VLOOKUP(G325,MOVE_DOWN2,2,FALSE),FALSE),VLOOKUP(G325,NGPREVPRICES,3,FALSE),HLOOKUP(D325,Correllate,VLOOKUP(G325,CorMove,2,FALSE),FALSE),Q325-$CD$3,R325,$CJ$5)*H325</f>
        <v>-414677.50155694818</v>
      </c>
      <c r="CK325" s="235">
        <f t="shared" si="367"/>
        <v>1.7</v>
      </c>
      <c r="CM325" t="str">
        <f t="shared" si="355"/>
        <v>36892Curve Shift/Gamma</v>
      </c>
      <c r="CN325" t="str">
        <f t="shared" si="356"/>
        <v>36892Rho</v>
      </c>
      <c r="CO325" t="str">
        <f t="shared" si="357"/>
        <v>36892Drift</v>
      </c>
      <c r="CP325" t="str">
        <f t="shared" si="358"/>
        <v>36892Vega</v>
      </c>
      <c r="CQ325" t="str">
        <f t="shared" si="359"/>
        <v>36892Theta</v>
      </c>
    </row>
    <row r="326" spans="1:95" x14ac:dyDescent="0.25">
      <c r="A326" s="382" t="s">
        <v>279</v>
      </c>
      <c r="B326" t="s">
        <v>250</v>
      </c>
      <c r="C326" t="s">
        <v>439</v>
      </c>
      <c r="D326" s="4" t="s">
        <v>7</v>
      </c>
      <c r="E326" t="s">
        <v>20</v>
      </c>
      <c r="F326" t="s">
        <v>1</v>
      </c>
      <c r="G326" s="5">
        <v>36951</v>
      </c>
      <c r="H326" s="130">
        <v>1000000</v>
      </c>
      <c r="I326">
        <v>1</v>
      </c>
      <c r="J326" s="53">
        <f t="shared" si="316"/>
        <v>4.2130000000000001</v>
      </c>
      <c r="K326" s="7">
        <f t="shared" si="317"/>
        <v>1.075</v>
      </c>
      <c r="L326" s="53">
        <f t="shared" si="318"/>
        <v>5.2880000000000003</v>
      </c>
      <c r="M326" s="157">
        <f t="shared" ref="M326:M334" si="368">VLOOKUP(G326,NGPrices,4,FALSE)</f>
        <v>6.8879814952706994E-2</v>
      </c>
      <c r="N326" s="4">
        <f t="shared" ref="N326:N334" si="369">VLOOKUP(G326,NGPrices,3,FALSE)</f>
        <v>0.53249999999999997</v>
      </c>
      <c r="O326" s="4">
        <f t="shared" ref="O326:O334" si="370">HLOOKUP(D326,VOLS,VLOOKUP(G326,move_down,2,FALSE),FALSE)</f>
        <v>0.61199999999999999</v>
      </c>
      <c r="P326" s="9">
        <f t="shared" ref="P326:P334" si="371">HLOOKUP(D326,Correllate,VLOOKUP(G326,CorMove,2,FALSE),FALSE)</f>
        <v>0.83</v>
      </c>
      <c r="Q326" s="5">
        <f t="shared" si="310"/>
        <v>36949</v>
      </c>
      <c r="R326" s="4">
        <f t="shared" ref="R326:R334" si="372">IF(F326="P",0,1)</f>
        <v>0</v>
      </c>
      <c r="S326" s="158">
        <f>_xll.xSPRDOPT($L326,$J326,$I326,$M326,$O326,$N326,$P326,$Q326-$C$3,$R326,0)</f>
        <v>0.46423253044064883</v>
      </c>
      <c r="T326" s="159">
        <f>_xll.xSPRDOPT($L326,$J326,$I326,$M326,$O326,$N326,$P326,$Q326-$C$3,$R326,1)*H326</f>
        <v>-412664.57893835718</v>
      </c>
      <c r="U326" s="160">
        <f t="shared" ref="U326:U334" si="373">S326*H326</f>
        <v>464232.53044064884</v>
      </c>
      <c r="V326" s="159">
        <f>_xll.xSPRDOPT($L326,$J326,$I326,$M326,$O326,$N326,$P326,$Q326-$C$3,$R326,2)*H326</f>
        <v>501374.78737026098</v>
      </c>
      <c r="W326" s="159">
        <f t="shared" ref="W326:W334" si="374">+V326+T326</f>
        <v>88710.208431903797</v>
      </c>
      <c r="X326" s="51" t="str">
        <f t="shared" si="341"/>
        <v>36951IF-TRANSCO/Z6</v>
      </c>
      <c r="Y326" s="418">
        <f t="shared" si="342"/>
        <v>100</v>
      </c>
      <c r="Z326" s="456">
        <f t="shared" si="343"/>
        <v>-0.41266457893835717</v>
      </c>
      <c r="AA326" s="456">
        <f>_xll.xSPRDOPT($L326,$J326,$I326,$M326,$O326,$N326,$P326,$Q326-$C$3,$R326,3)</f>
        <v>0.28979330776443896</v>
      </c>
      <c r="AB326" s="456">
        <f>((_xll.xSPRDOPT($L326+AB$5,$J326,$I326,$M326,$O326,$N326,$P326,$Q326-$C$3,$R326,3)*$H326)/10000)/100</f>
        <v>0.28979330776443901</v>
      </c>
      <c r="AC326" s="456">
        <f>((_xll.xSPRDOPT($L326+$AB$5,$J326,$I326,$M326,$O326,$N326,$P326,$Q326-$C$3,$R326,7)*$H326)/100)</f>
        <v>-10664.804822557091</v>
      </c>
      <c r="AD326" s="456">
        <f>(_xll.xSPRDOPT($L326+$AB$5,$J326,$I326,$M326,$O326,$N326,$P326,$Q326-$C$3,$R326,9)/365)*$H326</f>
        <v>-1280.3925574088119</v>
      </c>
      <c r="AE326">
        <f t="shared" si="314"/>
        <v>0</v>
      </c>
      <c r="AF326" s="456">
        <f t="shared" si="315"/>
        <v>9344.8019757083639</v>
      </c>
      <c r="AG326" s="456">
        <f>((_xll.xSPRDOPT($L326,$J326,$I326,$M326,$O326,$N326,$P326,$Q326-$C$3,$R326,6)*$H326)/100)</f>
        <v>-2433.233319343929</v>
      </c>
      <c r="AH326" s="456">
        <f>((_xll.xSPRDOPT($L326,$J326,$I326,$M326,$O326,$N326,$P326,$Q326-$C$3,$R326,5)*$H326)/100)</f>
        <v>10248.045416038147</v>
      </c>
      <c r="AI326" s="456">
        <f>(((_xll.xSPRDOPT($L326,$J326,$I326,$M326,$O326,$N326,$P326,$Q326-$C$3,$R326,4)*$H326)/10000)/100)-AB326</f>
        <v>1.1505130574366362E-2</v>
      </c>
      <c r="AJ326" s="456"/>
      <c r="AK326" s="456"/>
      <c r="AL326" s="456"/>
      <c r="AM326" s="472"/>
      <c r="CC326" s="141">
        <f t="shared" si="364"/>
        <v>36951</v>
      </c>
      <c r="CD326" s="234">
        <f>_xll.xSPRDOPT((VLOOKUP(G326,NGPrices,2,FALSE)+HLOOKUP(D326,Prices,VLOOKUP(G326,move_down,2,FALSE),FALSE)),VLOOKUP(G326,NGPrices,2,FALSE),I326,VLOOKUP(G326,NGPREVPRICES,4,FALSE),HLOOKUP(D326,PREVVOLS,VLOOKUP(G326,MOVE_DOWN2,2,FALSE),FALSE),VLOOKUP(G326,NGPREVPRICES,3,FALSE),HLOOKUP(D326,Correllate,VLOOKUP(G326,CorMove,2,FALSE),FALSE),Q326-$CD$3,R326,$CD$5)*H326-CJ326</f>
        <v>0</v>
      </c>
      <c r="CE326" s="234">
        <f>_xll.xSPRDOPT((VLOOKUP(G326,NGPREVPRICES,2,FALSE)+HLOOKUP(D326,PREVCURVES,VLOOKUP(G326,MOVE_DOWN2,2,FALSE),FALSE)),VLOOKUP(G326,NGPREVPRICES,2,FALSE),CK326,VLOOKUP(G326,NGPrices,4,FALSE),HLOOKUP(D326,PREVVOLS,VLOOKUP(G326,MOVE_DOWN2,2,FALSE),FALSE),VLOOKUP(G326,NGPREVPRICES,3,FALSE),HLOOKUP(D326,Correllate,VLOOKUP(G326,CorMove,2,FALSE),FALSE),Q326-$CD$3,R326,$CJ$5)*H326-CJ326</f>
        <v>0</v>
      </c>
      <c r="CF326" s="10">
        <f t="shared" si="365"/>
        <v>-89.277845385950059</v>
      </c>
      <c r="CG326" s="234">
        <f>_xll.xSPRDOPT((VLOOKUP(G326,NGPREVPRICES,2,FALSE)+HLOOKUP(D326,PREVCURVES,VLOOKUP(G326,MOVE_DOWN2,2,FALSE),FALSE)),VLOOKUP(G326,NGPREVPRICES,2,FALSE),CK326,VLOOKUP(G326,NGPREVPRICES,4,FALSE),HLOOKUP(D326,VOLS,VLOOKUP(G326,move_down,2,FALSE),FALSE),VLOOKUP(G326,NGPrices,3,FALSE),HLOOKUP(D326,Correllate,VLOOKUP(G326,CorMove,2,FALSE),FALSE),Q326-$CD$3,R326,$CJ$5)*H326-CJ326</f>
        <v>0</v>
      </c>
      <c r="CH326" s="234">
        <f>_xll.xSPRDOPT((VLOOKUP(G326,NGPREVPRICES,2,FALSE)+HLOOKUP(D326,PREVCURVES,VLOOKUP(G326,MOVE_DOWN2,2,FALSE),FALSE)),VLOOKUP(G326,NGPREVPRICES,2,FALSE),CK326,VLOOKUP(G326,NGPREVPRICES,4,FALSE),HLOOKUP(D326,PREVVOLS,VLOOKUP(G326,MOVE_DOWN2,2,FALSE),FALSE),VLOOKUP(G326,NGPREVPRICES,3,FALSE),HLOOKUP(D326,Correllate,VLOOKUP(G326,CorMove,2,FALSE),FALSE),Q326-$C$3,R326,$CJ$5)*H326-CJ326</f>
        <v>-1277.3862891665194</v>
      </c>
      <c r="CI326" s="234">
        <f t="shared" si="366"/>
        <v>-1366.6641345524695</v>
      </c>
      <c r="CJ326" s="234">
        <f>_xll.xSPRDOPT((VLOOKUP(G326,NGPREVPRICES,2,FALSE)+HLOOKUP(D326,PREVCURVES,VLOOKUP(G326,MOVE_DOWN2,2,FALSE),FALSE)),VLOOKUP(G326,NGPREVPRICES,2,FALSE),CK326,VLOOKUP(G326,NGPREVPRICES,4,FALSE),HLOOKUP(D326,PREVVOLS,VLOOKUP(G326,MOVE_DOWN2,2,FALSE),FALSE),VLOOKUP(G326,NGPREVPRICES,3,FALSE),HLOOKUP(D326,Correllate,VLOOKUP(G326,CorMove,2,FALSE),FALSE),Q326-$CD$3,R326,$CJ$5)*H326</f>
        <v>465509.91672981536</v>
      </c>
      <c r="CK326" s="235">
        <f t="shared" si="367"/>
        <v>1</v>
      </c>
      <c r="CM326" t="str">
        <f t="shared" si="355"/>
        <v>36951Curve Shift/Gamma</v>
      </c>
      <c r="CN326" t="str">
        <f t="shared" si="356"/>
        <v>36951Rho</v>
      </c>
      <c r="CO326" t="str">
        <f t="shared" si="357"/>
        <v>36951Drift</v>
      </c>
      <c r="CP326" t="str">
        <f t="shared" si="358"/>
        <v>36951Vega</v>
      </c>
      <c r="CQ326" t="str">
        <f t="shared" si="359"/>
        <v>36951Theta</v>
      </c>
    </row>
    <row r="327" spans="1:95" x14ac:dyDescent="0.25">
      <c r="A327" s="382" t="s">
        <v>279</v>
      </c>
      <c r="B327" t="s">
        <v>250</v>
      </c>
      <c r="C327" t="s">
        <v>439</v>
      </c>
      <c r="D327" s="4" t="s">
        <v>7</v>
      </c>
      <c r="E327" t="s">
        <v>20</v>
      </c>
      <c r="F327" t="s">
        <v>1</v>
      </c>
      <c r="G327" s="5">
        <v>36923</v>
      </c>
      <c r="H327" s="130">
        <v>1000000</v>
      </c>
      <c r="I327">
        <v>1</v>
      </c>
      <c r="J327" s="53">
        <f t="shared" si="316"/>
        <v>4.4800000000000004</v>
      </c>
      <c r="K327" s="7">
        <f t="shared" si="317"/>
        <v>2.09</v>
      </c>
      <c r="L327" s="53">
        <f t="shared" si="318"/>
        <v>6.57</v>
      </c>
      <c r="M327" s="157">
        <f t="shared" si="368"/>
        <v>6.8640161611372E-2</v>
      </c>
      <c r="N327" s="4">
        <f t="shared" si="369"/>
        <v>0.59250000000000003</v>
      </c>
      <c r="O327" s="4">
        <f t="shared" si="370"/>
        <v>0.68100000000000005</v>
      </c>
      <c r="P327" s="9">
        <f t="shared" si="371"/>
        <v>0.83</v>
      </c>
      <c r="Q327" s="5">
        <f t="shared" ref="Q327:Q390" si="375">WORKDAY(G327,-2)</f>
        <v>36921</v>
      </c>
      <c r="R327" s="4">
        <f t="shared" si="372"/>
        <v>0</v>
      </c>
      <c r="S327" s="158">
        <f>_xll.xSPRDOPT($L327,$J327,$I327,$M327,$O327,$N327,$P327,$Q327-$C$3,$R327,0)</f>
        <v>0.20364653958489365</v>
      </c>
      <c r="T327" s="159">
        <f>_xll.xSPRDOPT($L327,$J327,$I327,$M327,$O327,$N327,$P327,$Q327-$C$3,$R327,1)*H327</f>
        <v>-193080.44224240395</v>
      </c>
      <c r="U327" s="160">
        <f t="shared" si="373"/>
        <v>203646.53958489365</v>
      </c>
      <c r="V327" s="159">
        <f>_xll.xSPRDOPT($L327,$J327,$I327,$M327,$O327,$N327,$P327,$Q327-$C$3,$R327,2)*H327</f>
        <v>263391.71634367475</v>
      </c>
      <c r="W327" s="159">
        <f t="shared" si="374"/>
        <v>70311.274101270799</v>
      </c>
      <c r="X327" s="51" t="str">
        <f t="shared" ref="X327:X358" si="376">CONCATENATE(G327,D327)</f>
        <v>36923IF-TRANSCO/Z6</v>
      </c>
      <c r="Y327" s="418">
        <f t="shared" ref="Y327:Y358" si="377">H327/10000</f>
        <v>100</v>
      </c>
      <c r="Z327" s="456">
        <f t="shared" ref="Z327:Z358" si="378">T327/H327</f>
        <v>-0.19308044224240395</v>
      </c>
      <c r="AA327" s="456">
        <f>_xll.xSPRDOPT($L327,$J327,$I327,$M327,$O327,$N327,$P327,$Q327-$C$3,$R327,3)</f>
        <v>0.16290639166973006</v>
      </c>
      <c r="AB327" s="456">
        <f>((_xll.xSPRDOPT($L327+AB$5,$J327,$I327,$M327,$O327,$N327,$P327,$Q327-$C$3,$R327,3)*$H327)/10000)/100</f>
        <v>0.16290639166973009</v>
      </c>
      <c r="AC327" s="456">
        <f>((_xll.xSPRDOPT($L327+$AB$5,$J327,$I327,$M327,$O327,$N327,$P327,$Q327-$C$3,$R327,7)*$H327)/100)</f>
        <v>-9704.9612415349256</v>
      </c>
      <c r="AD327" s="456">
        <f>(_xll.xSPRDOPT($L327+$AB$5,$J327,$I327,$M327,$O327,$N327,$P327,$Q327-$C$3,$R327,9)/365)*$H327</f>
        <v>-1431.8923439667797</v>
      </c>
      <c r="AE327">
        <f t="shared" ref="AE327:AE390" si="379">CD327</f>
        <v>0</v>
      </c>
      <c r="AF327" s="456">
        <f t="shared" ref="AF327:AF390" si="380">((O327/N327)*AH327)+AG327</f>
        <v>7637.2711886574043</v>
      </c>
      <c r="AG327" s="456">
        <f>((_xll.xSPRDOPT($L327,$J327,$I327,$M327,$O327,$N327,$P327,$Q327-$C$3,$R327,6)*$H327)/100)</f>
        <v>-1973.9226558063172</v>
      </c>
      <c r="AH327" s="456">
        <f>((_xll.xSPRDOPT($L327,$J327,$I327,$M327,$O327,$N327,$P327,$Q327-$C$3,$R327,5)*$H327)/100)</f>
        <v>8362.1620452933257</v>
      </c>
      <c r="AI327" s="456">
        <f>(((_xll.xSPRDOPT($L327,$J327,$I327,$M327,$O327,$N327,$P327,$Q327-$C$3,$R327,4)*$H327)/10000)/100)-AB327</f>
        <v>6.8872736377743632E-2</v>
      </c>
      <c r="AJ327" s="456"/>
      <c r="AK327" s="456"/>
      <c r="AL327" s="456"/>
      <c r="AM327" s="472"/>
      <c r="CC327" s="141">
        <f t="shared" si="364"/>
        <v>36923</v>
      </c>
      <c r="CD327" s="234">
        <f>_xll.xSPRDOPT((VLOOKUP(G327,NGPrices,2,FALSE)+HLOOKUP(D327,Prices,VLOOKUP(G327,move_down,2,FALSE),FALSE)),VLOOKUP(G327,NGPrices,2,FALSE),I327,VLOOKUP(G327,NGPREVPRICES,4,FALSE),HLOOKUP(D327,PREVVOLS,VLOOKUP(G327,MOVE_DOWN2,2,FALSE),FALSE),VLOOKUP(G327,NGPREVPRICES,3,FALSE),HLOOKUP(D327,Correllate,VLOOKUP(G327,CorMove,2,FALSE),FALSE),Q327-$CD$3,R327,$CD$5)*H327-CJ327</f>
        <v>0</v>
      </c>
      <c r="CE327" s="234">
        <f>_xll.xSPRDOPT((VLOOKUP(G327,NGPREVPRICES,2,FALSE)+HLOOKUP(D327,PREVCURVES,VLOOKUP(G327,MOVE_DOWN2,2,FALSE),FALSE)),VLOOKUP(G327,NGPREVPRICES,2,FALSE),CK327,VLOOKUP(G327,NGPrices,4,FALSE),HLOOKUP(D327,PREVVOLS,VLOOKUP(G327,MOVE_DOWN2,2,FALSE),FALSE),VLOOKUP(G327,NGPREVPRICES,3,FALSE),HLOOKUP(D327,Correllate,VLOOKUP(G327,CorMove,2,FALSE),FALSE),Q327-$CD$3,R327,$CJ$5)*H327-CJ327</f>
        <v>0</v>
      </c>
      <c r="CF327" s="10">
        <f t="shared" si="365"/>
        <v>-39.003091241640504</v>
      </c>
      <c r="CG327" s="234">
        <f>_xll.xSPRDOPT((VLOOKUP(G327,NGPREVPRICES,2,FALSE)+HLOOKUP(D327,PREVCURVES,VLOOKUP(G327,MOVE_DOWN2,2,FALSE),FALSE)),VLOOKUP(G327,NGPREVPRICES,2,FALSE),CK327,VLOOKUP(G327,NGPREVPRICES,4,FALSE),HLOOKUP(D327,VOLS,VLOOKUP(G327,move_down,2,FALSE),FALSE),VLOOKUP(G327,NGPrices,3,FALSE),HLOOKUP(D327,Correllate,VLOOKUP(G327,CorMove,2,FALSE),FALSE),Q327-$CD$3,R327,$CJ$5)*H327-CJ327</f>
        <v>0</v>
      </c>
      <c r="CH327" s="234">
        <f>_xll.xSPRDOPT((VLOOKUP(G327,NGPREVPRICES,2,FALSE)+HLOOKUP(D327,PREVCURVES,VLOOKUP(G327,MOVE_DOWN2,2,FALSE),FALSE)),VLOOKUP(G327,NGPREVPRICES,2,FALSE),CK327,VLOOKUP(G327,NGPREVPRICES,4,FALSE),HLOOKUP(D327,PREVVOLS,VLOOKUP(G327,MOVE_DOWN2,2,FALSE),FALSE),VLOOKUP(G327,NGPREVPRICES,3,FALSE),HLOOKUP(D327,Correllate,VLOOKUP(G327,CorMove,2,FALSE),FALSE),Q327-$C$3,R327,$CJ$5)*H327-CJ327</f>
        <v>-1429.4677872381872</v>
      </c>
      <c r="CI327" s="234">
        <f t="shared" si="366"/>
        <v>-1468.4708784798277</v>
      </c>
      <c r="CJ327" s="234">
        <f>_xll.xSPRDOPT((VLOOKUP(G327,NGPREVPRICES,2,FALSE)+HLOOKUP(D327,PREVCURVES,VLOOKUP(G327,MOVE_DOWN2,2,FALSE),FALSE)),VLOOKUP(G327,NGPREVPRICES,2,FALSE),CK327,VLOOKUP(G327,NGPREVPRICES,4,FALSE),HLOOKUP(D327,PREVVOLS,VLOOKUP(G327,MOVE_DOWN2,2,FALSE),FALSE),VLOOKUP(G327,NGPREVPRICES,3,FALSE),HLOOKUP(D327,Correllate,VLOOKUP(G327,CorMove,2,FALSE),FALSE),Q327-$CD$3,R327,$CJ$5)*H327</f>
        <v>205076.00737213183</v>
      </c>
      <c r="CK327" s="235">
        <f t="shared" si="367"/>
        <v>1</v>
      </c>
      <c r="CM327" t="str">
        <f t="shared" si="355"/>
        <v>36923Curve Shift/Gamma</v>
      </c>
      <c r="CN327" t="str">
        <f t="shared" si="356"/>
        <v>36923Rho</v>
      </c>
      <c r="CO327" t="str">
        <f t="shared" si="357"/>
        <v>36923Drift</v>
      </c>
      <c r="CP327" t="str">
        <f t="shared" si="358"/>
        <v>36923Vega</v>
      </c>
      <c r="CQ327" t="str">
        <f t="shared" si="359"/>
        <v>36923Theta</v>
      </c>
    </row>
    <row r="328" spans="1:95" x14ac:dyDescent="0.25">
      <c r="A328" s="382" t="s">
        <v>279</v>
      </c>
      <c r="B328" t="s">
        <v>250</v>
      </c>
      <c r="C328" t="s">
        <v>439</v>
      </c>
      <c r="D328" s="4" t="s">
        <v>7</v>
      </c>
      <c r="E328" t="s">
        <v>20</v>
      </c>
      <c r="F328" t="s">
        <v>1</v>
      </c>
      <c r="G328" s="5">
        <v>36892</v>
      </c>
      <c r="H328" s="130">
        <v>1000000</v>
      </c>
      <c r="I328">
        <v>1</v>
      </c>
      <c r="J328" s="53">
        <f t="shared" ref="J328:J391" si="381">VLOOKUP(G328,NGPrices,2,FALSE)</f>
        <v>4.7439999999999998</v>
      </c>
      <c r="K328" s="7">
        <f t="shared" ref="K328:K391" si="382">HLOOKUP(D328,Prices,VLOOKUP(G328,move_down,2,FALSE),FALSE)+VLOOKUP(G328,CHANGE,HLOOKUP(D328,CHANGE,2,FALSE),FALSE)</f>
        <v>2.17</v>
      </c>
      <c r="L328" s="53">
        <f t="shared" ref="L328:L391" si="383">K328+J328</f>
        <v>6.9139999999999997</v>
      </c>
      <c r="M328" s="157">
        <f t="shared" si="368"/>
        <v>6.8374831148490994E-2</v>
      </c>
      <c r="N328" s="4">
        <f t="shared" si="369"/>
        <v>0.60499999999999998</v>
      </c>
      <c r="O328" s="4">
        <f t="shared" si="370"/>
        <v>0.69599999999999995</v>
      </c>
      <c r="P328" s="9">
        <f t="shared" si="371"/>
        <v>0.83</v>
      </c>
      <c r="Q328" s="5">
        <f t="shared" si="375"/>
        <v>36888</v>
      </c>
      <c r="R328" s="4">
        <f t="shared" si="372"/>
        <v>0</v>
      </c>
      <c r="S328" s="158">
        <f>_xll.xSPRDOPT($L328,$J328,$I328,$M328,$O328,$N328,$P328,$Q328-$C$3,$R328,0)</f>
        <v>0.16519131421907918</v>
      </c>
      <c r="T328" s="159">
        <f>_xll.xSPRDOPT($L328,$J328,$I328,$M328,$O328,$N328,$P328,$Q328-$C$3,$R328,1)*H328</f>
        <v>-172869.15629627596</v>
      </c>
      <c r="U328" s="160">
        <f t="shared" si="373"/>
        <v>165191.31421907918</v>
      </c>
      <c r="V328" s="159">
        <f>_xll.xSPRDOPT($L328,$J328,$I328,$M328,$O328,$N328,$P328,$Q328-$C$3,$R328,2)*H328</f>
        <v>232804.87787624582</v>
      </c>
      <c r="W328" s="159">
        <f t="shared" si="374"/>
        <v>59935.721579969861</v>
      </c>
      <c r="X328" s="51" t="str">
        <f t="shared" si="376"/>
        <v>36892IF-TRANSCO/Z6</v>
      </c>
      <c r="Y328" s="418">
        <f t="shared" si="377"/>
        <v>100</v>
      </c>
      <c r="Z328" s="456">
        <f t="shared" si="378"/>
        <v>-0.17286915629627597</v>
      </c>
      <c r="AA328" s="456">
        <f>_xll.xSPRDOPT($L328,$J328,$I328,$M328,$O328,$N328,$P328,$Q328-$C$3,$R328,3)</f>
        <v>0.16042560280303431</v>
      </c>
      <c r="AB328" s="456">
        <f>((_xll.xSPRDOPT($L328+AB$5,$J328,$I328,$M328,$O328,$N328,$P328,$Q328-$C$3,$R328,3)*$H328)/10000)/100</f>
        <v>0.16042560280303431</v>
      </c>
      <c r="AC328" s="456">
        <f>((_xll.xSPRDOPT($L328+$AB$5,$J328,$I328,$M328,$O328,$N328,$P328,$Q328-$C$3,$R328,7)*$H328)/100)</f>
        <v>-8766.0788411503763</v>
      </c>
      <c r="AD328" s="456">
        <f>(_xll.xSPRDOPT($L328+$AB$5,$J328,$I328,$M328,$O328,$N328,$P328,$Q328-$C$3,$R328,9)/365)*$H328</f>
        <v>-1632.9123047433211</v>
      </c>
      <c r="AE328">
        <f t="shared" si="379"/>
        <v>0</v>
      </c>
      <c r="AF328" s="456">
        <f t="shared" si="380"/>
        <v>6650.8738532032639</v>
      </c>
      <c r="AG328" s="456">
        <f>((_xll.xSPRDOPT($L328,$J328,$I328,$M328,$O328,$N328,$P328,$Q328-$C$3,$R328,6)*$H328)/100)</f>
        <v>-1664.834436617399</v>
      </c>
      <c r="AH328" s="456">
        <f>((_xll.xSPRDOPT($L328,$J328,$I328,$M328,$O328,$N328,$P328,$Q328-$C$3,$R328,5)*$H328)/100)</f>
        <v>7228.4533266400886</v>
      </c>
      <c r="AI328" s="456">
        <f>(((_xll.xSPRDOPT($L328,$J328,$I328,$M328,$O328,$N328,$P328,$Q328-$C$3,$R328,4)*$H328)/10000)/100)-AB328</f>
        <v>6.9282849022428206E-2</v>
      </c>
      <c r="AJ328" s="456"/>
      <c r="AK328" s="456"/>
      <c r="AL328" s="456"/>
      <c r="AM328" s="472"/>
      <c r="CC328" s="141">
        <f t="shared" si="364"/>
        <v>36892</v>
      </c>
      <c r="CD328" s="234">
        <f>_xll.xSPRDOPT((VLOOKUP(G328,NGPrices,2,FALSE)+HLOOKUP(D328,Prices,VLOOKUP(G328,move_down,2,FALSE),FALSE)),VLOOKUP(G328,NGPrices,2,FALSE),I328,VLOOKUP(G328,NGPREVPRICES,4,FALSE),HLOOKUP(D328,PREVVOLS,VLOOKUP(G328,MOVE_DOWN2,2,FALSE),FALSE),VLOOKUP(G328,NGPREVPRICES,3,FALSE),HLOOKUP(D328,Correllate,VLOOKUP(G328,CorMove,2,FALSE),FALSE),Q328-$CD$3,R328,$CD$5)*H328-CJ328</f>
        <v>0</v>
      </c>
      <c r="CE328" s="234">
        <f>_xll.xSPRDOPT((VLOOKUP(G328,NGPREVPRICES,2,FALSE)+HLOOKUP(D328,PREVCURVES,VLOOKUP(G328,MOVE_DOWN2,2,FALSE),FALSE)),VLOOKUP(G328,NGPREVPRICES,2,FALSE),CK328,VLOOKUP(G328,NGPrices,4,FALSE),HLOOKUP(D328,PREVVOLS,VLOOKUP(G328,MOVE_DOWN2,2,FALSE),FALSE),VLOOKUP(G328,NGPREVPRICES,3,FALSE),HLOOKUP(D328,Correllate,VLOOKUP(G328,CorMove,2,FALSE),FALSE),Q328-$CD$3,R328,$CJ$5)*H328-CJ328</f>
        <v>0</v>
      </c>
      <c r="CF328" s="10">
        <f t="shared" si="365"/>
        <v>-31.436058156774379</v>
      </c>
      <c r="CG328" s="234">
        <f>_xll.xSPRDOPT((VLOOKUP(G328,NGPREVPRICES,2,FALSE)+HLOOKUP(D328,PREVCURVES,VLOOKUP(G328,MOVE_DOWN2,2,FALSE),FALSE)),VLOOKUP(G328,NGPREVPRICES,2,FALSE),CK328,VLOOKUP(G328,NGPREVPRICES,4,FALSE),HLOOKUP(D328,VOLS,VLOOKUP(G328,move_down,2,FALSE),FALSE),VLOOKUP(G328,NGPrices,3,FALSE),HLOOKUP(D328,Correllate,VLOOKUP(G328,CorMove,2,FALSE),FALSE),Q328-$CD$3,R328,$CJ$5)*H328-CJ328</f>
        <v>0</v>
      </c>
      <c r="CH328" s="234">
        <f>_xll.xSPRDOPT((VLOOKUP(G328,NGPREVPRICES,2,FALSE)+HLOOKUP(D328,PREVCURVES,VLOOKUP(G328,MOVE_DOWN2,2,FALSE),FALSE)),VLOOKUP(G328,NGPREVPRICES,2,FALSE),CK328,VLOOKUP(G328,NGPREVPRICES,4,FALSE),HLOOKUP(D328,PREVVOLS,VLOOKUP(G328,MOVE_DOWN2,2,FALSE),FALSE),VLOOKUP(G328,NGPREVPRICES,3,FALSE),HLOOKUP(D328,Correllate,VLOOKUP(G328,CorMove,2,FALSE),FALSE),Q328-$C$3,R328,$CJ$5)*H328-CJ328</f>
        <v>-1630.2945027218957</v>
      </c>
      <c r="CI328" s="234">
        <f t="shared" si="366"/>
        <v>-1661.7305608786701</v>
      </c>
      <c r="CJ328" s="234">
        <f>_xll.xSPRDOPT((VLOOKUP(G328,NGPREVPRICES,2,FALSE)+HLOOKUP(D328,PREVCURVES,VLOOKUP(G328,MOVE_DOWN2,2,FALSE),FALSE)),VLOOKUP(G328,NGPREVPRICES,2,FALSE),CK328,VLOOKUP(G328,NGPREVPRICES,4,FALSE),HLOOKUP(D328,PREVVOLS,VLOOKUP(G328,MOVE_DOWN2,2,FALSE),FALSE),VLOOKUP(G328,NGPREVPRICES,3,FALSE),HLOOKUP(D328,Correllate,VLOOKUP(G328,CorMove,2,FALSE),FALSE),Q328-$CD$3,R328,$CJ$5)*H328</f>
        <v>166821.60872180108</v>
      </c>
      <c r="CK328" s="235">
        <f t="shared" si="367"/>
        <v>1</v>
      </c>
      <c r="CM328" t="str">
        <f t="shared" si="355"/>
        <v>36892Curve Shift/Gamma</v>
      </c>
      <c r="CN328" t="str">
        <f t="shared" si="356"/>
        <v>36892Rho</v>
      </c>
      <c r="CO328" t="str">
        <f t="shared" si="357"/>
        <v>36892Drift</v>
      </c>
      <c r="CP328" t="str">
        <f t="shared" si="358"/>
        <v>36892Vega</v>
      </c>
      <c r="CQ328" t="str">
        <f t="shared" si="359"/>
        <v>36892Theta</v>
      </c>
    </row>
    <row r="329" spans="1:95" x14ac:dyDescent="0.25">
      <c r="A329" s="382" t="s">
        <v>279</v>
      </c>
      <c r="B329" t="s">
        <v>250</v>
      </c>
      <c r="C329" t="s">
        <v>440</v>
      </c>
      <c r="D329" s="4" t="s">
        <v>7</v>
      </c>
      <c r="E329" t="s">
        <v>20</v>
      </c>
      <c r="F329" t="s">
        <v>21</v>
      </c>
      <c r="G329" s="5">
        <v>36800</v>
      </c>
      <c r="H329" s="130">
        <v>-1000000</v>
      </c>
      <c r="I329">
        <v>0.7</v>
      </c>
      <c r="J329" s="53">
        <f t="shared" si="381"/>
        <v>4.6920000000000002</v>
      </c>
      <c r="K329" s="7">
        <f t="shared" si="382"/>
        <v>0.41499999999999998</v>
      </c>
      <c r="L329" s="53">
        <f t="shared" si="383"/>
        <v>5.1070000000000002</v>
      </c>
      <c r="M329" s="157">
        <f t="shared" si="368"/>
        <v>6.8050789414654006E-2</v>
      </c>
      <c r="N329" s="4">
        <f t="shared" si="369"/>
        <v>0.57499999999999996</v>
      </c>
      <c r="O329" s="4">
        <f t="shared" si="370"/>
        <v>0.56399999999999995</v>
      </c>
      <c r="P329" s="9">
        <f t="shared" si="371"/>
        <v>0.99250000000000005</v>
      </c>
      <c r="Q329" s="5">
        <f t="shared" si="375"/>
        <v>36797</v>
      </c>
      <c r="R329" s="4">
        <f t="shared" si="372"/>
        <v>1</v>
      </c>
      <c r="S329" s="158">
        <f>_xll.xSPRDOPT($L329,$J329,$I329,$M329,$O329,$N329,$P329,$Q329-$C$3,$R329,0)</f>
        <v>6.7579989208547823E-4</v>
      </c>
      <c r="T329" s="159">
        <f>_xll.xSPRDOPT($L329,$J329,$I329,$M329,$O329,$N329,$P329,$Q329-$C$3,$R329,1)*H329</f>
        <v>-15771.724358823447</v>
      </c>
      <c r="U329" s="160">
        <f t="shared" si="373"/>
        <v>-675.79989208547818</v>
      </c>
      <c r="V329" s="159">
        <f>_xll.xSPRDOPT($L329,$J329,$I329,$M329,$O329,$N329,$P329,$Q329-$C$3,$R329,2)*H329</f>
        <v>15230.892129738904</v>
      </c>
      <c r="W329" s="159">
        <f t="shared" si="374"/>
        <v>-540.83222908454263</v>
      </c>
      <c r="X329" s="51" t="str">
        <f t="shared" si="376"/>
        <v>36800IF-TRANSCO/Z6</v>
      </c>
      <c r="Y329" s="418">
        <f t="shared" si="377"/>
        <v>-100</v>
      </c>
      <c r="Z329" s="456">
        <f t="shared" si="378"/>
        <v>1.5771724358823448E-2</v>
      </c>
      <c r="AA329" s="456">
        <f>_xll.xSPRDOPT($L329,$J329,$I329,$M329,$O329,$N329,$P329,$Q329-$C$3,$R329,3)</f>
        <v>0.32365395944546471</v>
      </c>
      <c r="AB329" s="456">
        <f>((_xll.xSPRDOPT($L329+AB$5,$J329,$I329,$M329,$O329,$N329,$P329,$Q329-$C$3,$R329,3)*$H329)/10000)/100</f>
        <v>-0.32365395944546471</v>
      </c>
      <c r="AC329" s="456">
        <f>((_xll.xSPRDOPT($L329+$AB$5,$J329,$I329,$M329,$O329,$N329,$P329,$Q329-$C$3,$R329,7)*$H329)/100)</f>
        <v>2006.1160002468273</v>
      </c>
      <c r="AD329" s="456">
        <f>(_xll.xSPRDOPT($L329+$AB$5,$J329,$I329,$M329,$O329,$N329,$P329,$Q329-$C$3,$R329,9)/365)*$H329</f>
        <v>80.677919602901724</v>
      </c>
      <c r="AE329">
        <f t="shared" si="379"/>
        <v>0</v>
      </c>
      <c r="AF329" s="456">
        <f t="shared" si="380"/>
        <v>-84.259448909447201</v>
      </c>
      <c r="AG329" s="456">
        <f>((_xll.xSPRDOPT($L329,$J329,$I329,$M329,$O329,$N329,$P329,$Q329-$C$3,$R329,6)*$H329)/100)</f>
        <v>288.62328159650292</v>
      </c>
      <c r="AH329" s="456">
        <f>((_xll.xSPRDOPT($L329,$J329,$I329,$M329,$O329,$N329,$P329,$Q329-$C$3,$R329,5)*$H329)/100)</f>
        <v>-380.15526603000234</v>
      </c>
      <c r="AI329" s="456">
        <f>(((_xll.xSPRDOPT($L329,$J329,$I329,$M329,$O329,$N329,$P329,$Q329-$C$3,$R329,4)*$H329)/10000)/100)-AB329</f>
        <v>1.8368425250491538E-2</v>
      </c>
      <c r="AJ329" s="456"/>
      <c r="AK329" s="456"/>
      <c r="AL329" s="456"/>
      <c r="AM329" s="472"/>
      <c r="CC329" s="141">
        <f t="shared" si="364"/>
        <v>36800</v>
      </c>
      <c r="CD329" s="234">
        <f>_xll.xSPRDOPT((VLOOKUP(G329,NGPrices,2,FALSE)+HLOOKUP(D329,Prices,VLOOKUP(G329,move_down,2,FALSE),FALSE)),VLOOKUP(G329,NGPrices,2,FALSE),I329,VLOOKUP(G329,NGPREVPRICES,4,FALSE),HLOOKUP(D329,PREVVOLS,VLOOKUP(G329,MOVE_DOWN2,2,FALSE),FALSE),VLOOKUP(G329,NGPREVPRICES,3,FALSE),HLOOKUP(D329,Correllate,VLOOKUP(G329,CorMove,2,FALSE),FALSE),Q329-$CD$3,R329,$CD$5)*H329-CJ329</f>
        <v>0</v>
      </c>
      <c r="CE329" s="234">
        <f>_xll.xSPRDOPT((VLOOKUP(G329,NGPREVPRICES,2,FALSE)+HLOOKUP(D329,PREVCURVES,VLOOKUP(G329,MOVE_DOWN2,2,FALSE),FALSE)),VLOOKUP(G329,NGPREVPRICES,2,FALSE),CK329,VLOOKUP(G329,NGPrices,4,FALSE),HLOOKUP(D329,PREVVOLS,VLOOKUP(G329,MOVE_DOWN2,2,FALSE),FALSE),VLOOKUP(G329,NGPREVPRICES,3,FALSE),HLOOKUP(D329,Correllate,VLOOKUP(G329,CorMove,2,FALSE),FALSE),Q329-$CD$3,R329,$CJ$5)*H329-CJ329</f>
        <v>0</v>
      </c>
      <c r="CF329" s="10">
        <f t="shared" si="365"/>
        <v>0.1399119726910385</v>
      </c>
      <c r="CG329" s="234">
        <f>_xll.xSPRDOPT((VLOOKUP(G329,NGPREVPRICES,2,FALSE)+HLOOKUP(D329,PREVCURVES,VLOOKUP(G329,MOVE_DOWN2,2,FALSE),FALSE)),VLOOKUP(G329,NGPREVPRICES,2,FALSE),CK329,VLOOKUP(G329,NGPREVPRICES,4,FALSE),HLOOKUP(D329,VOLS,VLOOKUP(G329,move_down,2,FALSE),FALSE),VLOOKUP(G329,NGPrices,3,FALSE),HLOOKUP(D329,Correllate,VLOOKUP(G329,CorMove,2,FALSE),FALSE),Q329-$CD$3,R329,$CJ$5)*H329-CJ329</f>
        <v>0</v>
      </c>
      <c r="CH329" s="234">
        <f>_xll.xSPRDOPT((VLOOKUP(G329,NGPREVPRICES,2,FALSE)+HLOOKUP(D329,PREVCURVES,VLOOKUP(G329,MOVE_DOWN2,2,FALSE),FALSE)),VLOOKUP(G329,NGPREVPRICES,2,FALSE),CK329,VLOOKUP(G329,NGPREVPRICES,4,FALSE),HLOOKUP(D329,PREVVOLS,VLOOKUP(G329,MOVE_DOWN2,2,FALSE),FALSE),VLOOKUP(G329,NGPREVPRICES,3,FALSE),HLOOKUP(D329,Correllate,VLOOKUP(G329,CorMove,2,FALSE),FALSE),Q329-$C$3,R329,$CJ$5)*H329-CJ329</f>
        <v>83.123988095916161</v>
      </c>
      <c r="CI329" s="234">
        <f t="shared" si="366"/>
        <v>83.2639000686072</v>
      </c>
      <c r="CJ329" s="234">
        <f>_xll.xSPRDOPT((VLOOKUP(G329,NGPREVPRICES,2,FALSE)+HLOOKUP(D329,PREVCURVES,VLOOKUP(G329,MOVE_DOWN2,2,FALSE),FALSE)),VLOOKUP(G329,NGPREVPRICES,2,FALSE),CK329,VLOOKUP(G329,NGPREVPRICES,4,FALSE),HLOOKUP(D329,PREVVOLS,VLOOKUP(G329,MOVE_DOWN2,2,FALSE),FALSE),VLOOKUP(G329,NGPREVPRICES,3,FALSE),HLOOKUP(D329,Correllate,VLOOKUP(G329,CorMove,2,FALSE),FALSE),Q329-$CD$3,R329,$CJ$5)*H329</f>
        <v>-758.92388018139434</v>
      </c>
      <c r="CK329" s="235">
        <f t="shared" si="367"/>
        <v>0.7</v>
      </c>
      <c r="CM329" t="str">
        <f t="shared" si="355"/>
        <v>36800Curve Shift/Gamma</v>
      </c>
      <c r="CN329" t="str">
        <f t="shared" si="356"/>
        <v>36800Rho</v>
      </c>
      <c r="CO329" t="str">
        <f t="shared" si="357"/>
        <v>36800Drift</v>
      </c>
      <c r="CP329" t="str">
        <f t="shared" si="358"/>
        <v>36800Vega</v>
      </c>
      <c r="CQ329" t="str">
        <f t="shared" si="359"/>
        <v>36800Theta</v>
      </c>
    </row>
    <row r="330" spans="1:95" x14ac:dyDescent="0.25">
      <c r="A330" s="382" t="s">
        <v>279</v>
      </c>
      <c r="B330" t="s">
        <v>250</v>
      </c>
      <c r="C330" t="s">
        <v>441</v>
      </c>
      <c r="D330" s="4" t="s">
        <v>7</v>
      </c>
      <c r="E330" t="s">
        <v>20</v>
      </c>
      <c r="F330" t="s">
        <v>21</v>
      </c>
      <c r="G330" s="5">
        <v>36800</v>
      </c>
      <c r="H330" s="130">
        <v>-1000000</v>
      </c>
      <c r="I330">
        <v>0.7</v>
      </c>
      <c r="J330" s="53">
        <f t="shared" si="381"/>
        <v>4.6920000000000002</v>
      </c>
      <c r="K330" s="7">
        <f t="shared" si="382"/>
        <v>0.41499999999999998</v>
      </c>
      <c r="L330" s="53">
        <f t="shared" si="383"/>
        <v>5.1070000000000002</v>
      </c>
      <c r="M330" s="157">
        <f t="shared" si="368"/>
        <v>6.8050789414654006E-2</v>
      </c>
      <c r="N330" s="4">
        <f t="shared" si="369"/>
        <v>0.57499999999999996</v>
      </c>
      <c r="O330" s="4">
        <f t="shared" si="370"/>
        <v>0.56399999999999995</v>
      </c>
      <c r="P330" s="9">
        <f t="shared" si="371"/>
        <v>0.99250000000000005</v>
      </c>
      <c r="Q330" s="5">
        <f t="shared" si="375"/>
        <v>36797</v>
      </c>
      <c r="R330" s="4">
        <f t="shared" si="372"/>
        <v>1</v>
      </c>
      <c r="S330" s="158">
        <f>_xll.xSPRDOPT($L330,$J330,$I330,$M330,$O330,$N330,$P330,$Q330-$C$3,$R330,0)</f>
        <v>6.7579989208547823E-4</v>
      </c>
      <c r="T330" s="159">
        <f>_xll.xSPRDOPT($L330,$J330,$I330,$M330,$O330,$N330,$P330,$Q330-$C$3,$R330,1)*H330</f>
        <v>-15771.724358823447</v>
      </c>
      <c r="U330" s="160">
        <f t="shared" si="373"/>
        <v>-675.79989208547818</v>
      </c>
      <c r="V330" s="159">
        <f>_xll.xSPRDOPT($L330,$J330,$I330,$M330,$O330,$N330,$P330,$Q330-$C$3,$R330,2)*H330</f>
        <v>15230.892129738904</v>
      </c>
      <c r="W330" s="159">
        <f t="shared" si="374"/>
        <v>-540.83222908454263</v>
      </c>
      <c r="X330" s="51" t="str">
        <f t="shared" si="376"/>
        <v>36800IF-TRANSCO/Z6</v>
      </c>
      <c r="Y330" s="418">
        <f t="shared" si="377"/>
        <v>-100</v>
      </c>
      <c r="Z330" s="456">
        <f t="shared" si="378"/>
        <v>1.5771724358823448E-2</v>
      </c>
      <c r="AA330" s="456">
        <f>_xll.xSPRDOPT($L330,$J330,$I330,$M330,$O330,$N330,$P330,$Q330-$C$3,$R330,3)</f>
        <v>0.32365395944546471</v>
      </c>
      <c r="AB330" s="456">
        <f>((_xll.xSPRDOPT($L330+AB$5,$J330,$I330,$M330,$O330,$N330,$P330,$Q330-$C$3,$R330,3)*$H330)/10000)/100</f>
        <v>-0.32365395944546471</v>
      </c>
      <c r="AC330" s="456">
        <f>((_xll.xSPRDOPT($L330+$AB$5,$J330,$I330,$M330,$O330,$N330,$P330,$Q330-$C$3,$R330,7)*$H330)/100)</f>
        <v>2006.1160002468273</v>
      </c>
      <c r="AD330" s="456">
        <f>(_xll.xSPRDOPT($L330+$AB$5,$J330,$I330,$M330,$O330,$N330,$P330,$Q330-$C$3,$R330,9)/365)*$H330</f>
        <v>80.677919602901724</v>
      </c>
      <c r="AE330">
        <f t="shared" si="379"/>
        <v>0</v>
      </c>
      <c r="AF330" s="456">
        <f t="shared" si="380"/>
        <v>-84.259448909447201</v>
      </c>
      <c r="AG330" s="456">
        <f>((_xll.xSPRDOPT($L330,$J330,$I330,$M330,$O330,$N330,$P330,$Q330-$C$3,$R330,6)*$H330)/100)</f>
        <v>288.62328159650292</v>
      </c>
      <c r="AH330" s="456">
        <f>((_xll.xSPRDOPT($L330,$J330,$I330,$M330,$O330,$N330,$P330,$Q330-$C$3,$R330,5)*$H330)/100)</f>
        <v>-380.15526603000234</v>
      </c>
      <c r="AI330" s="456">
        <f>(((_xll.xSPRDOPT($L330,$J330,$I330,$M330,$O330,$N330,$P330,$Q330-$C$3,$R330,4)*$H330)/10000)/100)-AB330</f>
        <v>1.8368425250491538E-2</v>
      </c>
      <c r="AJ330" s="456"/>
      <c r="AK330" s="456"/>
      <c r="AL330" s="456"/>
      <c r="AM330" s="472"/>
      <c r="CC330" s="141">
        <f t="shared" si="364"/>
        <v>36800</v>
      </c>
      <c r="CD330" s="234">
        <f>_xll.xSPRDOPT((VLOOKUP(G330,NGPrices,2,FALSE)+HLOOKUP(D330,Prices,VLOOKUP(G330,move_down,2,FALSE),FALSE)),VLOOKUP(G330,NGPrices,2,FALSE),I330,VLOOKUP(G330,NGPREVPRICES,4,FALSE),HLOOKUP(D330,PREVVOLS,VLOOKUP(G330,MOVE_DOWN2,2,FALSE),FALSE),VLOOKUP(G330,NGPREVPRICES,3,FALSE),HLOOKUP(D330,Correllate,VLOOKUP(G330,CorMove,2,FALSE),FALSE),Q330-$CD$3,R330,$CD$5)*H330-CJ330</f>
        <v>0</v>
      </c>
      <c r="CE330" s="234">
        <f>_xll.xSPRDOPT((VLOOKUP(G330,NGPREVPRICES,2,FALSE)+HLOOKUP(D330,PREVCURVES,VLOOKUP(G330,MOVE_DOWN2,2,FALSE),FALSE)),VLOOKUP(G330,NGPREVPRICES,2,FALSE),CK330,VLOOKUP(G330,NGPrices,4,FALSE),HLOOKUP(D330,PREVVOLS,VLOOKUP(G330,MOVE_DOWN2,2,FALSE),FALSE),VLOOKUP(G330,NGPREVPRICES,3,FALSE),HLOOKUP(D330,Correllate,VLOOKUP(G330,CorMove,2,FALSE),FALSE),Q330-$CD$3,R330,$CJ$5)*H330-CJ330</f>
        <v>0</v>
      </c>
      <c r="CF330" s="10">
        <f t="shared" si="365"/>
        <v>0.1399119726910385</v>
      </c>
      <c r="CG330" s="234">
        <f>_xll.xSPRDOPT((VLOOKUP(G330,NGPREVPRICES,2,FALSE)+HLOOKUP(D330,PREVCURVES,VLOOKUP(G330,MOVE_DOWN2,2,FALSE),FALSE)),VLOOKUP(G330,NGPREVPRICES,2,FALSE),CK330,VLOOKUP(G330,NGPREVPRICES,4,FALSE),HLOOKUP(D330,VOLS,VLOOKUP(G330,move_down,2,FALSE),FALSE),VLOOKUP(G330,NGPrices,3,FALSE),HLOOKUP(D330,Correllate,VLOOKUP(G330,CorMove,2,FALSE),FALSE),Q330-$CD$3,R330,$CJ$5)*H330-CJ330</f>
        <v>0</v>
      </c>
      <c r="CH330" s="234">
        <f>_xll.xSPRDOPT((VLOOKUP(G330,NGPREVPRICES,2,FALSE)+HLOOKUP(D330,PREVCURVES,VLOOKUP(G330,MOVE_DOWN2,2,FALSE),FALSE)),VLOOKUP(G330,NGPREVPRICES,2,FALSE),CK330,VLOOKUP(G330,NGPREVPRICES,4,FALSE),HLOOKUP(D330,PREVVOLS,VLOOKUP(G330,MOVE_DOWN2,2,FALSE),FALSE),VLOOKUP(G330,NGPREVPRICES,3,FALSE),HLOOKUP(D330,Correllate,VLOOKUP(G330,CorMove,2,FALSE),FALSE),Q330-$C$3,R330,$CJ$5)*H330-CJ330</f>
        <v>83.123988095916161</v>
      </c>
      <c r="CI330" s="234">
        <f t="shared" si="366"/>
        <v>83.2639000686072</v>
      </c>
      <c r="CJ330" s="234">
        <f>_xll.xSPRDOPT((VLOOKUP(G330,NGPREVPRICES,2,FALSE)+HLOOKUP(D330,PREVCURVES,VLOOKUP(G330,MOVE_DOWN2,2,FALSE),FALSE)),VLOOKUP(G330,NGPREVPRICES,2,FALSE),CK330,VLOOKUP(G330,NGPREVPRICES,4,FALSE),HLOOKUP(D330,PREVVOLS,VLOOKUP(G330,MOVE_DOWN2,2,FALSE),FALSE),VLOOKUP(G330,NGPREVPRICES,3,FALSE),HLOOKUP(D330,Correllate,VLOOKUP(G330,CorMove,2,FALSE),FALSE),Q330-$CD$3,R330,$CJ$5)*H330</f>
        <v>-758.92388018139434</v>
      </c>
      <c r="CK330" s="235">
        <f t="shared" si="367"/>
        <v>0.7</v>
      </c>
      <c r="CM330" t="str">
        <f t="shared" si="355"/>
        <v>36800Curve Shift/Gamma</v>
      </c>
      <c r="CN330" t="str">
        <f t="shared" si="356"/>
        <v>36800Rho</v>
      </c>
      <c r="CO330" t="str">
        <f t="shared" si="357"/>
        <v>36800Drift</v>
      </c>
      <c r="CP330" t="str">
        <f t="shared" si="358"/>
        <v>36800Vega</v>
      </c>
      <c r="CQ330" t="str">
        <f t="shared" si="359"/>
        <v>36800Theta</v>
      </c>
    </row>
    <row r="331" spans="1:95" x14ac:dyDescent="0.25">
      <c r="A331" s="382" t="s">
        <v>284</v>
      </c>
      <c r="B331" t="s">
        <v>250</v>
      </c>
      <c r="C331" t="s">
        <v>442</v>
      </c>
      <c r="D331" s="4" t="s">
        <v>7</v>
      </c>
      <c r="E331" t="s">
        <v>20</v>
      </c>
      <c r="F331" t="s">
        <v>1</v>
      </c>
      <c r="G331" s="5">
        <v>36800</v>
      </c>
      <c r="H331" s="130">
        <v>3100000</v>
      </c>
      <c r="I331">
        <v>0.4</v>
      </c>
      <c r="J331" s="53">
        <f t="shared" si="381"/>
        <v>4.6920000000000002</v>
      </c>
      <c r="K331" s="7">
        <f t="shared" si="382"/>
        <v>0.41499999999999998</v>
      </c>
      <c r="L331" s="53">
        <f t="shared" si="383"/>
        <v>5.1070000000000002</v>
      </c>
      <c r="M331" s="157">
        <f t="shared" si="368"/>
        <v>6.8050789414654006E-2</v>
      </c>
      <c r="N331" s="4">
        <f t="shared" si="369"/>
        <v>0.57499999999999996</v>
      </c>
      <c r="O331" s="4">
        <f t="shared" si="370"/>
        <v>0.56399999999999995</v>
      </c>
      <c r="P331" s="9">
        <f t="shared" si="371"/>
        <v>0.99250000000000005</v>
      </c>
      <c r="Q331" s="5">
        <f t="shared" si="375"/>
        <v>36797</v>
      </c>
      <c r="R331" s="4">
        <f t="shared" si="372"/>
        <v>0</v>
      </c>
      <c r="S331" s="158">
        <f>_xll.xSPRDOPT($L331,$J331,$I331,$M331,$O331,$N331,$P331,$Q331-$C$3,$R331,0)</f>
        <v>3.6625999929786657E-2</v>
      </c>
      <c r="T331" s="159">
        <f>_xll.xSPRDOPT($L331,$J331,$I331,$M331,$O331,$N331,$P331,$Q331-$C$3,$R331,1)*H331</f>
        <v>-1352073.0028799481</v>
      </c>
      <c r="U331" s="160">
        <f t="shared" si="373"/>
        <v>113540.59978233864</v>
      </c>
      <c r="V331" s="159">
        <f>_xll.xSPRDOPT($L331,$J331,$I331,$M331,$O331,$N331,$P331,$Q331-$C$3,$R331,2)*H331</f>
        <v>1371973.620232828</v>
      </c>
      <c r="W331" s="159">
        <f t="shared" si="374"/>
        <v>19900.617352879839</v>
      </c>
      <c r="X331" s="51" t="str">
        <f t="shared" si="376"/>
        <v>36800IF-TRANSCO/Z6</v>
      </c>
      <c r="Y331" s="418">
        <f t="shared" si="377"/>
        <v>310</v>
      </c>
      <c r="Z331" s="456">
        <f t="shared" si="378"/>
        <v>-0.4361525815741768</v>
      </c>
      <c r="AA331" s="456">
        <f>_xll.xSPRDOPT($L331,$J331,$I331,$M331,$O331,$N331,$P331,$Q331-$C$3,$R331,3)</f>
        <v>3.5565641555811189</v>
      </c>
      <c r="AB331" s="456">
        <f>((_xll.xSPRDOPT($L331+AB$5,$J331,$I331,$M331,$O331,$N331,$P331,$Q331-$C$3,$R331,3)*$H331)/10000)/100</f>
        <v>11.025348882301468</v>
      </c>
      <c r="AC331" s="456">
        <f>((_xll.xSPRDOPT($L331+$AB$5,$J331,$I331,$M331,$O331,$N331,$P331,$Q331-$C$3,$R331,7)*$H331)/100)</f>
        <v>-70567.939375659174</v>
      </c>
      <c r="AD331" s="456">
        <f>(_xll.xSPRDOPT($L331+$AB$5,$J331,$I331,$M331,$O331,$N331,$P331,$Q331-$C$3,$R331,9)/365)*$H331</f>
        <v>-2221.8596590446368</v>
      </c>
      <c r="AE331">
        <f t="shared" si="379"/>
        <v>0</v>
      </c>
      <c r="AF331" s="456">
        <f t="shared" si="380"/>
        <v>2338.9489826441813</v>
      </c>
      <c r="AG331" s="456">
        <f>((_xll.xSPRDOPT($L331,$J331,$I331,$M331,$O331,$N331,$P331,$Q331-$C$3,$R331,6)*$H331)/100)</f>
        <v>-6515.5224682292655</v>
      </c>
      <c r="AH331" s="456">
        <f>((_xll.xSPRDOPT($L331,$J331,$I331,$M331,$O331,$N331,$P331,$Q331-$C$3,$R331,5)*$H331)/100)</f>
        <v>9027.1650430004102</v>
      </c>
      <c r="AI331" s="456">
        <f>(((_xll.xSPRDOPT($L331,$J331,$I331,$M331,$O331,$N331,$P331,$Q331-$C$3,$R331,4)*$H331)/10000)/100)-AB331</f>
        <v>6.3342705877335703E-2</v>
      </c>
      <c r="AJ331" s="456"/>
      <c r="AK331" s="456"/>
      <c r="AL331" s="456"/>
      <c r="AM331" s="472"/>
      <c r="CC331" s="141">
        <f t="shared" si="364"/>
        <v>36800</v>
      </c>
      <c r="CD331" s="234">
        <f>_xll.xSPRDOPT((VLOOKUP(G331,NGPrices,2,FALSE)+HLOOKUP(D331,Prices,VLOOKUP(G331,move_down,2,FALSE),FALSE)),VLOOKUP(G331,NGPrices,2,FALSE),I331,VLOOKUP(G331,NGPREVPRICES,4,FALSE),HLOOKUP(D331,PREVVOLS,VLOOKUP(G331,MOVE_DOWN2,2,FALSE),FALSE),VLOOKUP(G331,NGPREVPRICES,3,FALSE),HLOOKUP(D331,Correllate,VLOOKUP(G331,CorMove,2,FALSE),FALSE),Q331-$CD$3,R331,$CD$5)*H331-CJ331</f>
        <v>0</v>
      </c>
      <c r="CE331" s="234">
        <f>_xll.xSPRDOPT((VLOOKUP(G331,NGPREVPRICES,2,FALSE)+HLOOKUP(D331,PREVCURVES,VLOOKUP(G331,MOVE_DOWN2,2,FALSE),FALSE)),VLOOKUP(G331,NGPREVPRICES,2,FALSE),CK331,VLOOKUP(G331,NGPrices,4,FALSE),HLOOKUP(D331,PREVVOLS,VLOOKUP(G331,MOVE_DOWN2,2,FALSE),FALSE),VLOOKUP(G331,NGPREVPRICES,3,FALSE),HLOOKUP(D331,Correllate,VLOOKUP(G331,CorMove,2,FALSE),FALSE),Q331-$CD$3,R331,$CJ$5)*H331-CJ331</f>
        <v>0</v>
      </c>
      <c r="CF331" s="10">
        <f t="shared" si="365"/>
        <v>-21.337816960178316</v>
      </c>
      <c r="CG331" s="234">
        <f>_xll.xSPRDOPT((VLOOKUP(G331,NGPREVPRICES,2,FALSE)+HLOOKUP(D331,PREVCURVES,VLOOKUP(G331,MOVE_DOWN2,2,FALSE),FALSE)),VLOOKUP(G331,NGPREVPRICES,2,FALSE),CK331,VLOOKUP(G331,NGPREVPRICES,4,FALSE),HLOOKUP(D331,VOLS,VLOOKUP(G331,move_down,2,FALSE),FALSE),VLOOKUP(G331,NGPrices,3,FALSE),HLOOKUP(D331,Correllate,VLOOKUP(G331,CorMove,2,FALSE),FALSE),Q331-$CD$3,R331,$CJ$5)*H331-CJ331</f>
        <v>0</v>
      </c>
      <c r="CH331" s="234">
        <f>_xll.xSPRDOPT((VLOOKUP(G331,NGPREVPRICES,2,FALSE)+HLOOKUP(D331,PREVCURVES,VLOOKUP(G331,MOVE_DOWN2,2,FALSE),FALSE)),VLOOKUP(G331,NGPREVPRICES,2,FALSE),CK331,VLOOKUP(G331,NGPREVPRICES,4,FALSE),HLOOKUP(D331,PREVVOLS,VLOOKUP(G331,MOVE_DOWN2,2,FALSE),FALSE),VLOOKUP(G331,NGPREVPRICES,3,FALSE),HLOOKUP(D331,Correllate,VLOOKUP(G331,CorMove,2,FALSE),FALSE),Q331-$C$3,R331,$CJ$5)*H331-CJ331</f>
        <v>-2202.0241728842957</v>
      </c>
      <c r="CI331" s="234">
        <f t="shared" si="366"/>
        <v>-2223.361989844474</v>
      </c>
      <c r="CJ331" s="234">
        <f>_xll.xSPRDOPT((VLOOKUP(G331,NGPREVPRICES,2,FALSE)+HLOOKUP(D331,PREVCURVES,VLOOKUP(G331,MOVE_DOWN2,2,FALSE),FALSE)),VLOOKUP(G331,NGPREVPRICES,2,FALSE),CK331,VLOOKUP(G331,NGPREVPRICES,4,FALSE),HLOOKUP(D331,PREVVOLS,VLOOKUP(G331,MOVE_DOWN2,2,FALSE),FALSE),VLOOKUP(G331,NGPREVPRICES,3,FALSE),HLOOKUP(D331,Correllate,VLOOKUP(G331,CorMove,2,FALSE),FALSE),Q331-$CD$3,R331,$CJ$5)*H331</f>
        <v>115742.62395522294</v>
      </c>
      <c r="CK331" s="235">
        <f t="shared" si="367"/>
        <v>0.4</v>
      </c>
      <c r="CM331" t="str">
        <f t="shared" si="355"/>
        <v>36800Curve Shift/Gamma</v>
      </c>
      <c r="CN331" t="str">
        <f t="shared" si="356"/>
        <v>36800Rho</v>
      </c>
      <c r="CO331" t="str">
        <f t="shared" si="357"/>
        <v>36800Drift</v>
      </c>
      <c r="CP331" t="str">
        <f t="shared" si="358"/>
        <v>36800Vega</v>
      </c>
      <c r="CQ331" t="str">
        <f t="shared" si="359"/>
        <v>36800Theta</v>
      </c>
    </row>
    <row r="332" spans="1:95" x14ac:dyDescent="0.25">
      <c r="A332" s="382" t="s">
        <v>279</v>
      </c>
      <c r="B332" t="s">
        <v>250</v>
      </c>
      <c r="C332" t="s">
        <v>443</v>
      </c>
      <c r="D332" s="4" t="s">
        <v>7</v>
      </c>
      <c r="E332" t="s">
        <v>20</v>
      </c>
      <c r="F332" t="s">
        <v>1</v>
      </c>
      <c r="G332" s="5">
        <v>36831</v>
      </c>
      <c r="H332" s="130">
        <v>-500000</v>
      </c>
      <c r="I332">
        <v>0.4</v>
      </c>
      <c r="J332" s="53">
        <f t="shared" si="381"/>
        <v>4.7359999999999998</v>
      </c>
      <c r="K332" s="7">
        <f t="shared" si="382"/>
        <v>0.77</v>
      </c>
      <c r="L332" s="53">
        <f t="shared" si="383"/>
        <v>5.5060000000000002</v>
      </c>
      <c r="M332" s="157">
        <f t="shared" si="368"/>
        <v>6.810675983792E-2</v>
      </c>
      <c r="N332" s="4">
        <f t="shared" si="369"/>
        <v>0.59499999999999997</v>
      </c>
      <c r="O332" s="4">
        <f t="shared" si="370"/>
        <v>0.625</v>
      </c>
      <c r="P332" s="9">
        <f t="shared" si="371"/>
        <v>0.89</v>
      </c>
      <c r="Q332" s="5">
        <f t="shared" si="375"/>
        <v>36829</v>
      </c>
      <c r="R332" s="4">
        <f t="shared" si="372"/>
        <v>0</v>
      </c>
      <c r="S332" s="158">
        <f>_xll.xSPRDOPT($L332,$J332,$I332,$M332,$O332,$N332,$P332,$Q332-$C$3,$R332,0)</f>
        <v>0.10543027876928618</v>
      </c>
      <c r="T332" s="159">
        <f>_xll.xSPRDOPT($L332,$J332,$I332,$M332,$O332,$N332,$P332,$Q332-$C$3,$R332,1)*H332</f>
        <v>127307.57869847864</v>
      </c>
      <c r="U332" s="160">
        <f t="shared" si="373"/>
        <v>-52715.139384643087</v>
      </c>
      <c r="V332" s="159">
        <f>_xll.xSPRDOPT($L332,$J332,$I332,$M332,$O332,$N332,$P332,$Q332-$C$3,$R332,2)*H332</f>
        <v>-146641.08174985545</v>
      </c>
      <c r="W332" s="159">
        <f t="shared" si="374"/>
        <v>-19333.503051376814</v>
      </c>
      <c r="X332" s="51" t="str">
        <f t="shared" si="376"/>
        <v>36831IF-TRANSCO/Z6</v>
      </c>
      <c r="Y332" s="418">
        <f t="shared" si="377"/>
        <v>-50</v>
      </c>
      <c r="Z332" s="456">
        <f t="shared" si="378"/>
        <v>-0.25461515739695728</v>
      </c>
      <c r="AA332" s="456">
        <f>_xll.xSPRDOPT($L332,$J332,$I332,$M332,$O332,$N332,$P332,$Q332-$C$3,$R332,3)</f>
        <v>0.49323184061698527</v>
      </c>
      <c r="AB332" s="456">
        <f>((_xll.xSPRDOPT($L332+AB$5,$J332,$I332,$M332,$O332,$N332,$P332,$Q332-$C$3,$R332,3)*$H332)/10000)/100</f>
        <v>-0.24661592030849264</v>
      </c>
      <c r="AC332" s="456">
        <f>((_xll.xSPRDOPT($L332+$AB$5,$J332,$I332,$M332,$O332,$N332,$P332,$Q332-$C$3,$R332,7)*$H332)/100)</f>
        <v>4350.6638165627319</v>
      </c>
      <c r="AD332" s="456">
        <f>(_xll.xSPRDOPT($L332+$AB$5,$J332,$I332,$M332,$O332,$N332,$P332,$Q332-$C$3,$R332,9)/365)*$H332</f>
        <v>823.68831769457472</v>
      </c>
      <c r="AE332">
        <f t="shared" si="379"/>
        <v>0</v>
      </c>
      <c r="AF332" s="456">
        <f t="shared" si="380"/>
        <v>-1735.9043818544055</v>
      </c>
      <c r="AG332" s="456">
        <f>((_xll.xSPRDOPT($L332,$J332,$I332,$M332,$O332,$N332,$P332,$Q332-$C$3,$R332,6)*$H332)/100)</f>
        <v>88.206719873198892</v>
      </c>
      <c r="AH332" s="456">
        <f>((_xll.xSPRDOPT($L332,$J332,$I332,$M332,$O332,$N332,$P332,$Q332-$C$3,$R332,5)*$H332)/100)</f>
        <v>-1736.5537688446793</v>
      </c>
      <c r="AI332" s="456">
        <f>(((_xll.xSPRDOPT($L332,$J332,$I332,$M332,$O332,$N332,$P332,$Q332-$C$3,$R332,4)*$H332)/10000)/100)-AB332</f>
        <v>-3.6756110152604299E-2</v>
      </c>
      <c r="AJ332" s="456"/>
      <c r="AK332" s="456"/>
      <c r="AL332" s="456"/>
      <c r="AM332" s="472"/>
      <c r="CC332" s="141">
        <f t="shared" si="364"/>
        <v>36831</v>
      </c>
      <c r="CD332" s="234">
        <f>_xll.xSPRDOPT((VLOOKUP(G332,NGPrices,2,FALSE)+HLOOKUP(D332,Prices,VLOOKUP(G332,move_down,2,FALSE),FALSE)),VLOOKUP(G332,NGPrices,2,FALSE),I332,VLOOKUP(G332,NGPREVPRICES,4,FALSE),HLOOKUP(D332,PREVVOLS,VLOOKUP(G332,MOVE_DOWN2,2,FALSE),FALSE),VLOOKUP(G332,NGPREVPRICES,3,FALSE),HLOOKUP(D332,Correllate,VLOOKUP(G332,CorMove,2,FALSE),FALSE),Q332-$CD$3,R332,$CD$5)*H332-CJ332</f>
        <v>0</v>
      </c>
      <c r="CE332" s="234">
        <f>_xll.xSPRDOPT((VLOOKUP(G332,NGPREVPRICES,2,FALSE)+HLOOKUP(D332,PREVCURVES,VLOOKUP(G332,MOVE_DOWN2,2,FALSE),FALSE)),VLOOKUP(G332,NGPREVPRICES,2,FALSE),CK332,VLOOKUP(G332,NGPrices,4,FALSE),HLOOKUP(D332,PREVVOLS,VLOOKUP(G332,MOVE_DOWN2,2,FALSE),FALSE),VLOOKUP(G332,NGPREVPRICES,3,FALSE),HLOOKUP(D332,Correllate,VLOOKUP(G332,CorMove,2,FALSE),FALSE),Q332-$CD$3,R332,$CJ$5)*H332-CJ332</f>
        <v>0</v>
      </c>
      <c r="CF332" s="10">
        <f t="shared" si="365"/>
        <v>9.9421928721276345</v>
      </c>
      <c r="CG332" s="234">
        <f>_xll.xSPRDOPT((VLOOKUP(G332,NGPREVPRICES,2,FALSE)+HLOOKUP(D332,PREVCURVES,VLOOKUP(G332,MOVE_DOWN2,2,FALSE),FALSE)),VLOOKUP(G332,NGPREVPRICES,2,FALSE),CK332,VLOOKUP(G332,NGPREVPRICES,4,FALSE),HLOOKUP(D332,VOLS,VLOOKUP(G332,move_down,2,FALSE),FALSE),VLOOKUP(G332,NGPrices,3,FALSE),HLOOKUP(D332,Correllate,VLOOKUP(G332,CorMove,2,FALSE),FALSE),Q332-$CD$3,R332,$CJ$5)*H332-CJ332</f>
        <v>0</v>
      </c>
      <c r="CH332" s="234">
        <f>_xll.xSPRDOPT((VLOOKUP(G332,NGPREVPRICES,2,FALSE)+HLOOKUP(D332,PREVCURVES,VLOOKUP(G332,MOVE_DOWN2,2,FALSE),FALSE)),VLOOKUP(G332,NGPREVPRICES,2,FALSE),CK332,VLOOKUP(G332,NGPREVPRICES,4,FALSE),HLOOKUP(D332,PREVVOLS,VLOOKUP(G332,MOVE_DOWN2,2,FALSE),FALSE),VLOOKUP(G332,NGPREVPRICES,3,FALSE),HLOOKUP(D332,Correllate,VLOOKUP(G332,CorMove,2,FALSE),FALSE),Q332-$C$3,R332,$CJ$5)*H332-CJ332</f>
        <v>820.79465943510877</v>
      </c>
      <c r="CI332" s="234">
        <f t="shared" si="366"/>
        <v>830.7368523072364</v>
      </c>
      <c r="CJ332" s="234">
        <f>_xll.xSPRDOPT((VLOOKUP(G332,NGPREVPRICES,2,FALSE)+HLOOKUP(D332,PREVCURVES,VLOOKUP(G332,MOVE_DOWN2,2,FALSE),FALSE)),VLOOKUP(G332,NGPREVPRICES,2,FALSE),CK332,VLOOKUP(G332,NGPREVPRICES,4,FALSE),HLOOKUP(D332,PREVVOLS,VLOOKUP(G332,MOVE_DOWN2,2,FALSE),FALSE),VLOOKUP(G332,NGPREVPRICES,3,FALSE),HLOOKUP(D332,Correllate,VLOOKUP(G332,CorMove,2,FALSE),FALSE),Q332-$CD$3,R332,$CJ$5)*H332</f>
        <v>-53535.934044078196</v>
      </c>
      <c r="CK332" s="235">
        <f t="shared" si="367"/>
        <v>0.4</v>
      </c>
      <c r="CM332" t="str">
        <f t="shared" si="355"/>
        <v>36831Curve Shift/Gamma</v>
      </c>
      <c r="CN332" t="str">
        <f t="shared" si="356"/>
        <v>36831Rho</v>
      </c>
      <c r="CO332" t="str">
        <f t="shared" si="357"/>
        <v>36831Drift</v>
      </c>
      <c r="CP332" t="str">
        <f t="shared" si="358"/>
        <v>36831Vega</v>
      </c>
      <c r="CQ332" t="str">
        <f t="shared" si="359"/>
        <v>36831Theta</v>
      </c>
    </row>
    <row r="333" spans="1:95" x14ac:dyDescent="0.25">
      <c r="A333" s="382" t="s">
        <v>434</v>
      </c>
      <c r="B333" t="s">
        <v>250</v>
      </c>
      <c r="C333" t="s">
        <v>444</v>
      </c>
      <c r="D333" s="4" t="s">
        <v>7</v>
      </c>
      <c r="E333" t="s">
        <v>20</v>
      </c>
      <c r="F333" t="s">
        <v>1</v>
      </c>
      <c r="G333" s="5">
        <v>36831</v>
      </c>
      <c r="H333" s="130">
        <v>500000</v>
      </c>
      <c r="I333">
        <v>0.4</v>
      </c>
      <c r="J333" s="53">
        <f t="shared" si="381"/>
        <v>4.7359999999999998</v>
      </c>
      <c r="K333" s="7">
        <f t="shared" si="382"/>
        <v>0.77</v>
      </c>
      <c r="L333" s="53">
        <f t="shared" si="383"/>
        <v>5.5060000000000002</v>
      </c>
      <c r="M333" s="157">
        <f t="shared" si="368"/>
        <v>6.810675983792E-2</v>
      </c>
      <c r="N333" s="4">
        <f t="shared" si="369"/>
        <v>0.59499999999999997</v>
      </c>
      <c r="O333" s="4">
        <f t="shared" si="370"/>
        <v>0.625</v>
      </c>
      <c r="P333" s="9">
        <f t="shared" si="371"/>
        <v>0.89</v>
      </c>
      <c r="Q333" s="5">
        <f t="shared" si="375"/>
        <v>36829</v>
      </c>
      <c r="R333" s="4">
        <f t="shared" si="372"/>
        <v>0</v>
      </c>
      <c r="S333" s="158">
        <f>_xll.xSPRDOPT($L333,$J333,$I333,$M333,$O333,$N333,$P333,$Q333-$C$3,$R333,0)</f>
        <v>0.10543027876928618</v>
      </c>
      <c r="T333" s="159">
        <f>_xll.xSPRDOPT($L333,$J333,$I333,$M333,$O333,$N333,$P333,$Q333-$C$3,$R333,1)*H333</f>
        <v>-127307.57869847864</v>
      </c>
      <c r="U333" s="160">
        <f t="shared" si="373"/>
        <v>52715.139384643087</v>
      </c>
      <c r="V333" s="159">
        <f>_xll.xSPRDOPT($L333,$J333,$I333,$M333,$O333,$N333,$P333,$Q333-$C$3,$R333,2)*H333</f>
        <v>146641.08174985545</v>
      </c>
      <c r="W333" s="159">
        <f t="shared" si="374"/>
        <v>19333.503051376814</v>
      </c>
      <c r="X333" s="51" t="str">
        <f t="shared" si="376"/>
        <v>36831IF-TRANSCO/Z6</v>
      </c>
      <c r="Y333" s="418">
        <f t="shared" si="377"/>
        <v>50</v>
      </c>
      <c r="Z333" s="456">
        <f t="shared" si="378"/>
        <v>-0.25461515739695728</v>
      </c>
      <c r="AA333" s="456">
        <f>_xll.xSPRDOPT($L333,$J333,$I333,$M333,$O333,$N333,$P333,$Q333-$C$3,$R333,3)</f>
        <v>0.49323184061698527</v>
      </c>
      <c r="AB333" s="456">
        <f>((_xll.xSPRDOPT($L333+AB$5,$J333,$I333,$M333,$O333,$N333,$P333,$Q333-$C$3,$R333,3)*$H333)/10000)/100</f>
        <v>0.24661592030849264</v>
      </c>
      <c r="AC333" s="456">
        <f>((_xll.xSPRDOPT($L333+$AB$5,$J333,$I333,$M333,$O333,$N333,$P333,$Q333-$C$3,$R333,7)*$H333)/100)</f>
        <v>-4350.6638165627319</v>
      </c>
      <c r="AD333" s="456">
        <f>(_xll.xSPRDOPT($L333+$AB$5,$J333,$I333,$M333,$O333,$N333,$P333,$Q333-$C$3,$R333,9)/365)*$H333</f>
        <v>-823.68831769457472</v>
      </c>
      <c r="AE333">
        <f t="shared" si="379"/>
        <v>0</v>
      </c>
      <c r="AF333" s="456">
        <f t="shared" si="380"/>
        <v>1735.9043818544055</v>
      </c>
      <c r="AG333" s="456">
        <f>((_xll.xSPRDOPT($L333,$J333,$I333,$M333,$O333,$N333,$P333,$Q333-$C$3,$R333,6)*$H333)/100)</f>
        <v>-88.206719873198892</v>
      </c>
      <c r="AH333" s="456">
        <f>((_xll.xSPRDOPT($L333,$J333,$I333,$M333,$O333,$N333,$P333,$Q333-$C$3,$R333,5)*$H333)/100)</f>
        <v>1736.5537688446793</v>
      </c>
      <c r="AI333" s="456">
        <f>(((_xll.xSPRDOPT($L333,$J333,$I333,$M333,$O333,$N333,$P333,$Q333-$C$3,$R333,4)*$H333)/10000)/100)-AB333</f>
        <v>3.6756110152604299E-2</v>
      </c>
      <c r="AJ333" s="456"/>
      <c r="AK333" s="456"/>
      <c r="AL333" s="456"/>
      <c r="AM333" s="472"/>
      <c r="CC333" s="141">
        <f t="shared" si="364"/>
        <v>36831</v>
      </c>
      <c r="CD333" s="234">
        <f>_xll.xSPRDOPT((VLOOKUP(G333,NGPrices,2,FALSE)+HLOOKUP(D333,Prices,VLOOKUP(G333,move_down,2,FALSE),FALSE)),VLOOKUP(G333,NGPrices,2,FALSE),I333,VLOOKUP(G333,NGPREVPRICES,4,FALSE),HLOOKUP(D333,PREVVOLS,VLOOKUP(G333,MOVE_DOWN2,2,FALSE),FALSE),VLOOKUP(G333,NGPREVPRICES,3,FALSE),HLOOKUP(D333,Correllate,VLOOKUP(G333,CorMove,2,FALSE),FALSE),Q333-$CD$3,R333,$CD$5)*H333-CJ333</f>
        <v>0</v>
      </c>
      <c r="CE333" s="234">
        <f>_xll.xSPRDOPT((VLOOKUP(G333,NGPREVPRICES,2,FALSE)+HLOOKUP(D333,PREVCURVES,VLOOKUP(G333,MOVE_DOWN2,2,FALSE),FALSE)),VLOOKUP(G333,NGPREVPRICES,2,FALSE),CK333,VLOOKUP(G333,NGPrices,4,FALSE),HLOOKUP(D333,PREVVOLS,VLOOKUP(G333,MOVE_DOWN2,2,FALSE),FALSE),VLOOKUP(G333,NGPREVPRICES,3,FALSE),HLOOKUP(D333,Correllate,VLOOKUP(G333,CorMove,2,FALSE),FALSE),Q333-$CD$3,R333,$CJ$5)*H333-CJ333</f>
        <v>0</v>
      </c>
      <c r="CF333" s="10">
        <f t="shared" si="365"/>
        <v>-9.9421928721276345</v>
      </c>
      <c r="CG333" s="234">
        <f>_xll.xSPRDOPT((VLOOKUP(G333,NGPREVPRICES,2,FALSE)+HLOOKUP(D333,PREVCURVES,VLOOKUP(G333,MOVE_DOWN2,2,FALSE),FALSE)),VLOOKUP(G333,NGPREVPRICES,2,FALSE),CK333,VLOOKUP(G333,NGPREVPRICES,4,FALSE),HLOOKUP(D333,VOLS,VLOOKUP(G333,move_down,2,FALSE),FALSE),VLOOKUP(G333,NGPrices,3,FALSE),HLOOKUP(D333,Correllate,VLOOKUP(G333,CorMove,2,FALSE),FALSE),Q333-$CD$3,R333,$CJ$5)*H333-CJ333</f>
        <v>0</v>
      </c>
      <c r="CH333" s="234">
        <f>_xll.xSPRDOPT((VLOOKUP(G333,NGPREVPRICES,2,FALSE)+HLOOKUP(D333,PREVCURVES,VLOOKUP(G333,MOVE_DOWN2,2,FALSE),FALSE)),VLOOKUP(G333,NGPREVPRICES,2,FALSE),CK333,VLOOKUP(G333,NGPREVPRICES,4,FALSE),HLOOKUP(D333,PREVVOLS,VLOOKUP(G333,MOVE_DOWN2,2,FALSE),FALSE),VLOOKUP(G333,NGPREVPRICES,3,FALSE),HLOOKUP(D333,Correllate,VLOOKUP(G333,CorMove,2,FALSE),FALSE),Q333-$C$3,R333,$CJ$5)*H333-CJ333</f>
        <v>-820.79465943510877</v>
      </c>
      <c r="CI333" s="234">
        <f t="shared" si="366"/>
        <v>-830.7368523072364</v>
      </c>
      <c r="CJ333" s="234">
        <f>_xll.xSPRDOPT((VLOOKUP(G333,NGPREVPRICES,2,FALSE)+HLOOKUP(D333,PREVCURVES,VLOOKUP(G333,MOVE_DOWN2,2,FALSE),FALSE)),VLOOKUP(G333,NGPREVPRICES,2,FALSE),CK333,VLOOKUP(G333,NGPREVPRICES,4,FALSE),HLOOKUP(D333,PREVVOLS,VLOOKUP(G333,MOVE_DOWN2,2,FALSE),FALSE),VLOOKUP(G333,NGPREVPRICES,3,FALSE),HLOOKUP(D333,Correllate,VLOOKUP(G333,CorMove,2,FALSE),FALSE),Q333-$CD$3,R333,$CJ$5)*H333</f>
        <v>53535.934044078196</v>
      </c>
      <c r="CK333" s="235">
        <f t="shared" si="367"/>
        <v>0.4</v>
      </c>
      <c r="CM333" t="str">
        <f t="shared" si="355"/>
        <v>36831Curve Shift/Gamma</v>
      </c>
      <c r="CN333" t="str">
        <f t="shared" si="356"/>
        <v>36831Rho</v>
      </c>
      <c r="CO333" t="str">
        <f t="shared" si="357"/>
        <v>36831Drift</v>
      </c>
      <c r="CP333" t="str">
        <f t="shared" si="358"/>
        <v>36831Vega</v>
      </c>
      <c r="CQ333" t="str">
        <f t="shared" si="359"/>
        <v>36831Theta</v>
      </c>
    </row>
    <row r="334" spans="1:95" x14ac:dyDescent="0.25">
      <c r="A334" s="382" t="s">
        <v>279</v>
      </c>
      <c r="B334" t="s">
        <v>250</v>
      </c>
      <c r="C334" t="s">
        <v>445</v>
      </c>
      <c r="D334" s="4" t="s">
        <v>7</v>
      </c>
      <c r="E334" t="s">
        <v>20</v>
      </c>
      <c r="F334" t="s">
        <v>21</v>
      </c>
      <c r="G334" s="5">
        <v>36800</v>
      </c>
      <c r="H334" s="130">
        <v>-620000</v>
      </c>
      <c r="I334">
        <v>0.7</v>
      </c>
      <c r="J334" s="53">
        <f t="shared" si="381"/>
        <v>4.6920000000000002</v>
      </c>
      <c r="K334" s="7">
        <f t="shared" si="382"/>
        <v>0.41499999999999998</v>
      </c>
      <c r="L334" s="53">
        <f t="shared" si="383"/>
        <v>5.1070000000000002</v>
      </c>
      <c r="M334" s="157">
        <f t="shared" si="368"/>
        <v>6.8050789414654006E-2</v>
      </c>
      <c r="N334" s="4">
        <f t="shared" si="369"/>
        <v>0.57499999999999996</v>
      </c>
      <c r="O334" s="4">
        <f t="shared" si="370"/>
        <v>0.56399999999999995</v>
      </c>
      <c r="P334" s="9">
        <f t="shared" si="371"/>
        <v>0.99250000000000005</v>
      </c>
      <c r="Q334" s="5">
        <f t="shared" si="375"/>
        <v>36797</v>
      </c>
      <c r="R334" s="4">
        <f t="shared" si="372"/>
        <v>1</v>
      </c>
      <c r="S334" s="158">
        <f>_xll.xSPRDOPT($L334,$J334,$I334,$M334,$O334,$N334,$P334,$Q334-$C$3,$R334,0)</f>
        <v>6.7579989208547823E-4</v>
      </c>
      <c r="T334" s="159">
        <f>_xll.xSPRDOPT($L334,$J334,$I334,$M334,$O334,$N334,$P334,$Q334-$C$3,$R334,1)*H334</f>
        <v>-9778.4691024705371</v>
      </c>
      <c r="U334" s="160">
        <f t="shared" si="373"/>
        <v>-418.99593309299649</v>
      </c>
      <c r="V334" s="159">
        <f>_xll.xSPRDOPT($L334,$J334,$I334,$M334,$O334,$N334,$P334,$Q334-$C$3,$R334,2)*H334</f>
        <v>9443.1531204381208</v>
      </c>
      <c r="W334" s="159">
        <f t="shared" si="374"/>
        <v>-335.31598203241629</v>
      </c>
      <c r="X334" s="51" t="str">
        <f t="shared" si="376"/>
        <v>36800IF-TRANSCO/Z6</v>
      </c>
      <c r="Y334" s="418">
        <f t="shared" si="377"/>
        <v>-62</v>
      </c>
      <c r="Z334" s="456">
        <f t="shared" si="378"/>
        <v>1.5771724358823448E-2</v>
      </c>
      <c r="AA334" s="456">
        <f>_xll.xSPRDOPT($L334,$J334,$I334,$M334,$O334,$N334,$P334,$Q334-$C$3,$R334,3)</f>
        <v>0.32365395944546471</v>
      </c>
      <c r="AB334" s="456">
        <f>((_xll.xSPRDOPT($L334+AB$5,$J334,$I334,$M334,$O334,$N334,$P334,$Q334-$C$3,$R334,3)*$H334)/10000)/100</f>
        <v>-0.20066545485618814</v>
      </c>
      <c r="AC334" s="456">
        <f>((_xll.xSPRDOPT($L334+$AB$5,$J334,$I334,$M334,$O334,$N334,$P334,$Q334-$C$3,$R334,7)*$H334)/100)</f>
        <v>1243.7919201530331</v>
      </c>
      <c r="AD334" s="456">
        <f>(_xll.xSPRDOPT($L334+$AB$5,$J334,$I334,$M334,$O334,$N334,$P334,$Q334-$C$3,$R334,9)/365)*$H334</f>
        <v>50.020310153799066</v>
      </c>
      <c r="AE334">
        <f t="shared" si="379"/>
        <v>0</v>
      </c>
      <c r="AF334" s="456">
        <f t="shared" si="380"/>
        <v>-52.240858323857282</v>
      </c>
      <c r="AG334" s="456">
        <f>((_xll.xSPRDOPT($L334,$J334,$I334,$M334,$O334,$N334,$P334,$Q334-$C$3,$R334,6)*$H334)/100)</f>
        <v>178.9464345898318</v>
      </c>
      <c r="AH334" s="456">
        <f>((_xll.xSPRDOPT($L334,$J334,$I334,$M334,$O334,$N334,$P334,$Q334-$C$3,$R334,5)*$H334)/100)</f>
        <v>-235.69626493860144</v>
      </c>
      <c r="AI334" s="456">
        <f>(((_xll.xSPRDOPT($L334,$J334,$I334,$M334,$O334,$N334,$P334,$Q334-$C$3,$R334,4)*$H334)/10000)/100)-AB334</f>
        <v>1.1388423655304791E-2</v>
      </c>
      <c r="AJ334" s="456"/>
      <c r="AK334" s="456"/>
      <c r="AL334" s="456"/>
      <c r="AM334" s="472"/>
      <c r="CC334" s="141">
        <f t="shared" si="364"/>
        <v>36800</v>
      </c>
      <c r="CD334" s="234">
        <f>_xll.xSPRDOPT((VLOOKUP(G334,NGPrices,2,FALSE)+HLOOKUP(D334,Prices,VLOOKUP(G334,move_down,2,FALSE),FALSE)),VLOOKUP(G334,NGPrices,2,FALSE),I334,VLOOKUP(G334,NGPREVPRICES,4,FALSE),HLOOKUP(D334,PREVVOLS,VLOOKUP(G334,MOVE_DOWN2,2,FALSE),FALSE),VLOOKUP(G334,NGPREVPRICES,3,FALSE),HLOOKUP(D334,Correllate,VLOOKUP(G334,CorMove,2,FALSE),FALSE),Q334-$CD$3,R334,$CD$5)*H334-CJ334</f>
        <v>0</v>
      </c>
      <c r="CE334" s="234">
        <f>_xll.xSPRDOPT((VLOOKUP(G334,NGPREVPRICES,2,FALSE)+HLOOKUP(D334,PREVCURVES,VLOOKUP(G334,MOVE_DOWN2,2,FALSE),FALSE)),VLOOKUP(G334,NGPREVPRICES,2,FALSE),CK334,VLOOKUP(G334,NGPrices,4,FALSE),HLOOKUP(D334,PREVVOLS,VLOOKUP(G334,MOVE_DOWN2,2,FALSE),FALSE),VLOOKUP(G334,NGPREVPRICES,3,FALSE),HLOOKUP(D334,Correllate,VLOOKUP(G334,CorMove,2,FALSE),FALSE),Q334-$CD$3,R334,$CJ$5)*H334-CJ334</f>
        <v>0</v>
      </c>
      <c r="CF334" s="10">
        <f t="shared" si="365"/>
        <v>8.6745423068464333E-2</v>
      </c>
      <c r="CG334" s="234">
        <f>_xll.xSPRDOPT((VLOOKUP(G334,NGPREVPRICES,2,FALSE)+HLOOKUP(D334,PREVCURVES,VLOOKUP(G334,MOVE_DOWN2,2,FALSE),FALSE)),VLOOKUP(G334,NGPREVPRICES,2,FALSE),CK334,VLOOKUP(G334,NGPREVPRICES,4,FALSE),HLOOKUP(D334,VOLS,VLOOKUP(G334,move_down,2,FALSE),FALSE),VLOOKUP(G334,NGPrices,3,FALSE),HLOOKUP(D334,Correllate,VLOOKUP(G334,CorMove,2,FALSE),FALSE),Q334-$CD$3,R334,$CJ$5)*H334-CJ334</f>
        <v>0</v>
      </c>
      <c r="CH334" s="234">
        <f>_xll.xSPRDOPT((VLOOKUP(G334,NGPREVPRICES,2,FALSE)+HLOOKUP(D334,PREVCURVES,VLOOKUP(G334,MOVE_DOWN2,2,FALSE),FALSE)),VLOOKUP(G334,NGPREVPRICES,2,FALSE),CK334,VLOOKUP(G334,NGPREVPRICES,4,FALSE),HLOOKUP(D334,PREVVOLS,VLOOKUP(G334,MOVE_DOWN2,2,FALSE),FALSE),VLOOKUP(G334,NGPREVPRICES,3,FALSE),HLOOKUP(D334,Correllate,VLOOKUP(G334,CorMove,2,FALSE),FALSE),Q334-$C$3,R334,$CJ$5)*H334-CJ334</f>
        <v>51.536872619467999</v>
      </c>
      <c r="CI334" s="234">
        <f t="shared" si="366"/>
        <v>51.623618042536464</v>
      </c>
      <c r="CJ334" s="234">
        <f>_xll.xSPRDOPT((VLOOKUP(G334,NGPREVPRICES,2,FALSE)+HLOOKUP(D334,PREVCURVES,VLOOKUP(G334,MOVE_DOWN2,2,FALSE),FALSE)),VLOOKUP(G334,NGPREVPRICES,2,FALSE),CK334,VLOOKUP(G334,NGPREVPRICES,4,FALSE),HLOOKUP(D334,PREVVOLS,VLOOKUP(G334,MOVE_DOWN2,2,FALSE),FALSE),VLOOKUP(G334,NGPREVPRICES,3,FALSE),HLOOKUP(D334,Correllate,VLOOKUP(G334,CorMove,2,FALSE),FALSE),Q334-$CD$3,R334,$CJ$5)*H334</f>
        <v>-470.53280571246449</v>
      </c>
      <c r="CK334" s="235">
        <f t="shared" si="367"/>
        <v>0.7</v>
      </c>
      <c r="CM334" t="str">
        <f t="shared" si="355"/>
        <v>36800Curve Shift/Gamma</v>
      </c>
      <c r="CN334" t="str">
        <f t="shared" si="356"/>
        <v>36800Rho</v>
      </c>
      <c r="CO334" t="str">
        <f t="shared" si="357"/>
        <v>36800Drift</v>
      </c>
      <c r="CP334" t="str">
        <f t="shared" si="358"/>
        <v>36800Vega</v>
      </c>
      <c r="CQ334" t="str">
        <f t="shared" si="359"/>
        <v>36800Theta</v>
      </c>
    </row>
    <row r="335" spans="1:95" x14ac:dyDescent="0.25">
      <c r="A335" s="382" t="s">
        <v>279</v>
      </c>
      <c r="B335" t="s">
        <v>250</v>
      </c>
      <c r="C335" t="s">
        <v>447</v>
      </c>
      <c r="D335" s="4" t="s">
        <v>7</v>
      </c>
      <c r="E335" t="s">
        <v>20</v>
      </c>
      <c r="F335" t="s">
        <v>21</v>
      </c>
      <c r="G335" s="5">
        <v>36951</v>
      </c>
      <c r="H335" s="130">
        <v>-500000</v>
      </c>
      <c r="I335">
        <v>5</v>
      </c>
      <c r="J335" s="53">
        <f t="shared" si="381"/>
        <v>4.2130000000000001</v>
      </c>
      <c r="K335" s="7">
        <f t="shared" si="382"/>
        <v>1.075</v>
      </c>
      <c r="L335" s="53">
        <f t="shared" si="383"/>
        <v>5.2880000000000003</v>
      </c>
      <c r="M335" s="157">
        <f t="shared" ref="M335:M345" si="384">VLOOKUP(G335,NGPrices,4,FALSE)</f>
        <v>6.8879814952706994E-2</v>
      </c>
      <c r="N335" s="4">
        <f t="shared" ref="N335:N345" si="385">VLOOKUP(G335,NGPrices,3,FALSE)</f>
        <v>0.53249999999999997</v>
      </c>
      <c r="O335" s="4">
        <f t="shared" ref="O335:O345" si="386">HLOOKUP(D335,VOLS,VLOOKUP(G335,move_down,2,FALSE),FALSE)</f>
        <v>0.61199999999999999</v>
      </c>
      <c r="P335" s="9">
        <f t="shared" ref="P335:P345" si="387">HLOOKUP(D335,Correllate,VLOOKUP(G335,CorMove,2,FALSE),FALSE)</f>
        <v>0.83</v>
      </c>
      <c r="Q335" s="5">
        <f t="shared" si="375"/>
        <v>36949</v>
      </c>
      <c r="R335" s="4">
        <f t="shared" ref="R335:R345" si="388">IF(F335="P",0,1)</f>
        <v>1</v>
      </c>
      <c r="S335" s="158">
        <f>_xll.xSPRDOPT($L335,$J335,$I335,$M335,$O335,$N335,$P335,$Q335-$C$3,$R335,0)</f>
        <v>2.2284978230600824E-2</v>
      </c>
      <c r="T335" s="159">
        <f>_xll.xSPRDOPT($L335,$J335,$I335,$M335,$O335,$N335,$P335,$Q335-$C$3,$R335,1)*H335</f>
        <v>-20358.749782283023</v>
      </c>
      <c r="U335" s="160">
        <f t="shared" ref="U335:U345" si="389">S335*H335</f>
        <v>-11142.489115300412</v>
      </c>
      <c r="V335" s="159">
        <f>_xll.xSPRDOPT($L335,$J335,$I335,$M335,$O335,$N335,$P335,$Q335-$C$3,$R335,2)*H335</f>
        <v>13159.081112121705</v>
      </c>
      <c r="W335" s="159">
        <f t="shared" ref="W335:W345" si="390">+V335+T335</f>
        <v>-7199.668670161318</v>
      </c>
      <c r="X335" s="51" t="str">
        <f t="shared" si="376"/>
        <v>36951IF-TRANSCO/Z6</v>
      </c>
      <c r="Y335" s="418">
        <f t="shared" si="377"/>
        <v>-50</v>
      </c>
      <c r="Z335" s="456">
        <f t="shared" si="378"/>
        <v>4.0717499564566044E-2</v>
      </c>
      <c r="AA335" s="456">
        <f>_xll.xSPRDOPT($L335,$J335,$I335,$M335,$O335,$N335,$P335,$Q335-$C$3,$R335,3)</f>
        <v>5.7989590325776344E-2</v>
      </c>
      <c r="AB335" s="456">
        <f>((_xll.xSPRDOPT($L335+AB$5,$J335,$I335,$M335,$O335,$N335,$P335,$Q335-$C$3,$R335,3)*$H335)/10000)/100</f>
        <v>-2.8994795162888169E-2</v>
      </c>
      <c r="AC335" s="456">
        <f>((_xll.xSPRDOPT($L335+$AB$5,$J335,$I335,$M335,$O335,$N335,$P335,$Q335-$C$3,$R335,7)*$H335)/100)</f>
        <v>737.36806339877353</v>
      </c>
      <c r="AD335" s="456">
        <f>(_xll.xSPRDOPT($L335+$AB$5,$J335,$I335,$M335,$O335,$N335,$P335,$Q335-$C$3,$R335,9)/365)*$H335</f>
        <v>177.79755745703071</v>
      </c>
      <c r="AE335">
        <f t="shared" si="379"/>
        <v>0</v>
      </c>
      <c r="AF335" s="456">
        <f t="shared" si="380"/>
        <v>-1228.8991528344152</v>
      </c>
      <c r="AG335" s="456">
        <f>((_xll.xSPRDOPT($L335,$J335,$I335,$M335,$O335,$N335,$P335,$Q335-$C$3,$R335,6)*$H335)/100)</f>
        <v>463.41352878474237</v>
      </c>
      <c r="AH335" s="456">
        <f>((_xll.xSPRDOPT($L335,$J335,$I335,$M335,$O335,$N335,$P335,$Q335-$C$3,$R335,5)*$H335)/100)</f>
        <v>-1472.477946016669</v>
      </c>
      <c r="AI335" s="456">
        <f>(((_xll.xSPRDOPT($L335,$J335,$I335,$M335,$O335,$N335,$P335,$Q335-$C$3,$R335,4)*$H335)/10000)/100)-AB335</f>
        <v>1.4430850891913535E-2</v>
      </c>
      <c r="AJ335" s="456"/>
      <c r="AK335" s="456"/>
      <c r="AL335" s="456"/>
      <c r="AM335" s="472"/>
      <c r="CC335" s="141">
        <f t="shared" ref="CC335:CC345" si="391">G335</f>
        <v>36951</v>
      </c>
      <c r="CD335" s="234">
        <f>_xll.xSPRDOPT((VLOOKUP(G335,NGPrices,2,FALSE)+HLOOKUP(D335,Prices,VLOOKUP(G335,move_down,2,FALSE),FALSE)),VLOOKUP(G335,NGPrices,2,FALSE),I335,VLOOKUP(G335,NGPREVPRICES,4,FALSE),HLOOKUP(D335,PREVVOLS,VLOOKUP(G335,MOVE_DOWN2,2,FALSE),FALSE),VLOOKUP(G335,NGPREVPRICES,3,FALSE),HLOOKUP(D335,Correllate,VLOOKUP(G335,CorMove,2,FALSE),FALSE),Q335-$CD$3,R335,$CD$5)*H335-CJ335</f>
        <v>0</v>
      </c>
      <c r="CE335" s="234">
        <f>_xll.xSPRDOPT((VLOOKUP(G335,NGPREVPRICES,2,FALSE)+HLOOKUP(D335,PREVCURVES,VLOOKUP(G335,MOVE_DOWN2,2,FALSE),FALSE)),VLOOKUP(G335,NGPREVPRICES,2,FALSE),CK335,VLOOKUP(G335,NGPrices,4,FALSE),HLOOKUP(D335,PREVVOLS,VLOOKUP(G335,MOVE_DOWN2,2,FALSE),FALSE),VLOOKUP(G335,NGPREVPRICES,3,FALSE),HLOOKUP(D335,Correllate,VLOOKUP(G335,CorMove,2,FALSE),FALSE),Q335-$CD$3,R335,$CJ$5)*H335-CJ335</f>
        <v>0</v>
      </c>
      <c r="CF335" s="10">
        <f t="shared" ref="CF335:CF345" si="392">(CJ335/VLOOKUP(CC335,discount,3,FALSE))-(CJ335/VLOOKUP(CC335,discount,2,FALSE))</f>
        <v>2.1711521517081565</v>
      </c>
      <c r="CG335" s="234">
        <f>_xll.xSPRDOPT((VLOOKUP(G335,NGPREVPRICES,2,FALSE)+HLOOKUP(D335,PREVCURVES,VLOOKUP(G335,MOVE_DOWN2,2,FALSE),FALSE)),VLOOKUP(G335,NGPREVPRICES,2,FALSE),CK335,VLOOKUP(G335,NGPREVPRICES,4,FALSE),HLOOKUP(D335,VOLS,VLOOKUP(G335,move_down,2,FALSE),FALSE),VLOOKUP(G335,NGPrices,3,FALSE),HLOOKUP(D335,Correllate,VLOOKUP(G335,CorMove,2,FALSE),FALSE),Q335-$CD$3,R335,$CJ$5)*H335-CJ335</f>
        <v>0</v>
      </c>
      <c r="CH335" s="234">
        <f>_xll.xSPRDOPT((VLOOKUP(G335,NGPREVPRICES,2,FALSE)+HLOOKUP(D335,PREVCURVES,VLOOKUP(G335,MOVE_DOWN2,2,FALSE),FALSE)),VLOOKUP(G335,NGPREVPRICES,2,FALSE),CK335,VLOOKUP(G335,NGPREVPRICES,4,FALSE),HLOOKUP(D335,PREVVOLS,VLOOKUP(G335,MOVE_DOWN2,2,FALSE),FALSE),VLOOKUP(G335,NGPREVPRICES,3,FALSE),HLOOKUP(D335,Correllate,VLOOKUP(G335,CorMove,2,FALSE),FALSE),Q335-$C$3,R335,$CJ$5)*H335-CJ335</f>
        <v>178.26860437951473</v>
      </c>
      <c r="CI335" s="234">
        <f t="shared" ref="CI335:CI345" si="393">SUM(CD335:CH335)</f>
        <v>180.43975653122288</v>
      </c>
      <c r="CJ335" s="234">
        <f>_xll.xSPRDOPT((VLOOKUP(G335,NGPREVPRICES,2,FALSE)+HLOOKUP(D335,PREVCURVES,VLOOKUP(G335,MOVE_DOWN2,2,FALSE),FALSE)),VLOOKUP(G335,NGPREVPRICES,2,FALSE),CK335,VLOOKUP(G335,NGPREVPRICES,4,FALSE),HLOOKUP(D335,PREVVOLS,VLOOKUP(G335,MOVE_DOWN2,2,FALSE),FALSE),VLOOKUP(G335,NGPREVPRICES,3,FALSE),HLOOKUP(D335,Correllate,VLOOKUP(G335,CorMove,2,FALSE),FALSE),Q335-$CD$3,R335,$CJ$5)*H335</f>
        <v>-11320.757719679927</v>
      </c>
      <c r="CK335" s="235">
        <f t="shared" ref="CK335:CK345" si="394">I335</f>
        <v>5</v>
      </c>
      <c r="CM335" t="str">
        <f t="shared" ref="CM335:CM345" si="395">CONCATENATE(CC335,$CD$6)</f>
        <v>36951Curve Shift/Gamma</v>
      </c>
      <c r="CN335" t="str">
        <f t="shared" si="356"/>
        <v>36951Rho</v>
      </c>
      <c r="CO335" t="str">
        <f t="shared" si="357"/>
        <v>36951Drift</v>
      </c>
      <c r="CP335" t="str">
        <f t="shared" si="358"/>
        <v>36951Vega</v>
      </c>
      <c r="CQ335" t="str">
        <f t="shared" si="359"/>
        <v>36951Theta</v>
      </c>
    </row>
    <row r="336" spans="1:95" x14ac:dyDescent="0.25">
      <c r="A336" s="382" t="s">
        <v>279</v>
      </c>
      <c r="B336" t="s">
        <v>250</v>
      </c>
      <c r="C336" t="s">
        <v>447</v>
      </c>
      <c r="D336" s="4" t="s">
        <v>7</v>
      </c>
      <c r="E336" t="s">
        <v>20</v>
      </c>
      <c r="F336" t="s">
        <v>21</v>
      </c>
      <c r="G336" s="5">
        <v>36923</v>
      </c>
      <c r="H336" s="130">
        <v>-500000</v>
      </c>
      <c r="I336">
        <v>5</v>
      </c>
      <c r="J336" s="53">
        <f t="shared" si="381"/>
        <v>4.4800000000000004</v>
      </c>
      <c r="K336" s="7">
        <f t="shared" si="382"/>
        <v>2.09</v>
      </c>
      <c r="L336" s="53">
        <f t="shared" si="383"/>
        <v>6.57</v>
      </c>
      <c r="M336" s="157">
        <f t="shared" si="384"/>
        <v>6.8640161611372E-2</v>
      </c>
      <c r="N336" s="4">
        <f t="shared" si="385"/>
        <v>0.59250000000000003</v>
      </c>
      <c r="O336" s="4">
        <f t="shared" si="386"/>
        <v>0.68100000000000005</v>
      </c>
      <c r="P336" s="9">
        <f t="shared" si="387"/>
        <v>0.83</v>
      </c>
      <c r="Q336" s="5">
        <f t="shared" si="375"/>
        <v>36921</v>
      </c>
      <c r="R336" s="4">
        <f t="shared" si="388"/>
        <v>1</v>
      </c>
      <c r="S336" s="158">
        <f>_xll.xSPRDOPT($L336,$J336,$I336,$M336,$O336,$N336,$P336,$Q336-$C$3,$R336,0)</f>
        <v>0.12347706733597499</v>
      </c>
      <c r="T336" s="159">
        <f>_xll.xSPRDOPT($L336,$J336,$I336,$M336,$O336,$N336,$P336,$Q336-$C$3,$R336,1)*H336</f>
        <v>-71268.447625100322</v>
      </c>
      <c r="U336" s="160">
        <f t="shared" si="389"/>
        <v>-61738.533667987496</v>
      </c>
      <c r="V336" s="159">
        <f>_xll.xSPRDOPT($L336,$J336,$I336,$M336,$O336,$N336,$P336,$Q336-$C$3,$R336,2)*H336</f>
        <v>51342.848507073431</v>
      </c>
      <c r="W336" s="159">
        <f t="shared" si="390"/>
        <v>-19925.59911802689</v>
      </c>
      <c r="X336" s="51" t="str">
        <f t="shared" si="376"/>
        <v>36923IF-TRANSCO/Z6</v>
      </c>
      <c r="Y336" s="418">
        <f t="shared" si="377"/>
        <v>-50</v>
      </c>
      <c r="Z336" s="456">
        <f t="shared" si="378"/>
        <v>0.14253689525020063</v>
      </c>
      <c r="AA336" s="456">
        <f>_xll.xSPRDOPT($L336,$J336,$I336,$M336,$O336,$N336,$P336,$Q336-$C$3,$R336,3)</f>
        <v>0.11602272520361553</v>
      </c>
      <c r="AB336" s="456">
        <f>((_xll.xSPRDOPT($L336+AB$5,$J336,$I336,$M336,$O336,$N336,$P336,$Q336-$C$3,$R336,3)*$H336)/10000)/100</f>
        <v>-5.8011362601807767E-2</v>
      </c>
      <c r="AC336" s="456">
        <f>((_xll.xSPRDOPT($L336+$AB$5,$J336,$I336,$M336,$O336,$N336,$P336,$Q336-$C$3,$R336,7)*$H336)/100)</f>
        <v>2327.0845325161267</v>
      </c>
      <c r="AD336" s="456">
        <f>(_xll.xSPRDOPT($L336+$AB$5,$J336,$I336,$M336,$O336,$N336,$P336,$Q336-$C$3,$R336,9)/365)*$H336</f>
        <v>690.27407846518167</v>
      </c>
      <c r="AE336">
        <f t="shared" si="379"/>
        <v>0</v>
      </c>
      <c r="AF336" s="456">
        <f t="shared" si="380"/>
        <v>-3646.1165735408231</v>
      </c>
      <c r="AG336" s="456">
        <f>((_xll.xSPRDOPT($L336,$J336,$I336,$M336,$O336,$N336,$P336,$Q336-$C$3,$R336,6)*$H336)/100)</f>
        <v>1357.8110657850827</v>
      </c>
      <c r="AH336" s="456">
        <f>((_xll.xSPRDOPT($L336,$J336,$I336,$M336,$O336,$N336,$P336,$Q336-$C$3,$R336,5)*$H336)/100)</f>
        <v>-4353.6374835544775</v>
      </c>
      <c r="AI336" s="456">
        <f>(((_xll.xSPRDOPT($L336,$J336,$I336,$M336,$O336,$N336,$P336,$Q336-$C$3,$R336,4)*$H336)/10000)/100)-AB336</f>
        <v>2.0075433384456803E-2</v>
      </c>
      <c r="AJ336" s="456"/>
      <c r="AK336" s="456"/>
      <c r="AL336" s="456"/>
      <c r="AM336" s="472"/>
      <c r="CC336" s="141">
        <f t="shared" si="391"/>
        <v>36923</v>
      </c>
      <c r="CD336" s="234">
        <f>_xll.xSPRDOPT((VLOOKUP(G336,NGPrices,2,FALSE)+HLOOKUP(D336,Prices,VLOOKUP(G336,move_down,2,FALSE),FALSE)),VLOOKUP(G336,NGPrices,2,FALSE),I336,VLOOKUP(G336,NGPREVPRICES,4,FALSE),HLOOKUP(D336,PREVVOLS,VLOOKUP(G336,MOVE_DOWN2,2,FALSE),FALSE),VLOOKUP(G336,NGPREVPRICES,3,FALSE),HLOOKUP(D336,Correllate,VLOOKUP(G336,CorMove,2,FALSE),FALSE),Q336-$CD$3,R336,$CD$5)*H336-CJ336</f>
        <v>0</v>
      </c>
      <c r="CE336" s="234">
        <f>_xll.xSPRDOPT((VLOOKUP(G336,NGPREVPRICES,2,FALSE)+HLOOKUP(D336,PREVCURVES,VLOOKUP(G336,MOVE_DOWN2,2,FALSE),FALSE)),VLOOKUP(G336,NGPREVPRICES,2,FALSE),CK336,VLOOKUP(G336,NGPrices,4,FALSE),HLOOKUP(D336,PREVVOLS,VLOOKUP(G336,MOVE_DOWN2,2,FALSE),FALSE),VLOOKUP(G336,NGPREVPRICES,3,FALSE),HLOOKUP(D336,Correllate,VLOOKUP(G336,CorMove,2,FALSE),FALSE),Q336-$CD$3,R336,$CJ$5)*H336-CJ336</f>
        <v>0</v>
      </c>
      <c r="CF336" s="10">
        <f t="shared" si="392"/>
        <v>11.873222413953044</v>
      </c>
      <c r="CG336" s="234">
        <f>_xll.xSPRDOPT((VLOOKUP(G336,NGPREVPRICES,2,FALSE)+HLOOKUP(D336,PREVCURVES,VLOOKUP(G336,MOVE_DOWN2,2,FALSE),FALSE)),VLOOKUP(G336,NGPREVPRICES,2,FALSE),CK336,VLOOKUP(G336,NGPREVPRICES,4,FALSE),HLOOKUP(D336,VOLS,VLOOKUP(G336,move_down,2,FALSE),FALSE),VLOOKUP(G336,NGPrices,3,FALSE),HLOOKUP(D336,Correllate,VLOOKUP(G336,CorMove,2,FALSE),FALSE),Q336-$CD$3,R336,$CJ$5)*H336-CJ336</f>
        <v>0</v>
      </c>
      <c r="CH336" s="234">
        <f>_xll.xSPRDOPT((VLOOKUP(G336,NGPREVPRICES,2,FALSE)+HLOOKUP(D336,PREVCURVES,VLOOKUP(G336,MOVE_DOWN2,2,FALSE),FALSE)),VLOOKUP(G336,NGPREVPRICES,2,FALSE),CK336,VLOOKUP(G336,NGPREVPRICES,4,FALSE),HLOOKUP(D336,PREVVOLS,VLOOKUP(G336,MOVE_DOWN2,2,FALSE),FALSE),VLOOKUP(G336,NGPREVPRICES,3,FALSE),HLOOKUP(D336,Correllate,VLOOKUP(G336,CorMove,2,FALSE),FALSE),Q336-$C$3,R336,$CJ$5)*H336-CJ336</f>
        <v>690.18594834785472</v>
      </c>
      <c r="CI336" s="234">
        <f t="shared" si="393"/>
        <v>702.05917076180776</v>
      </c>
      <c r="CJ336" s="234">
        <f>_xll.xSPRDOPT((VLOOKUP(G336,NGPREVPRICES,2,FALSE)+HLOOKUP(D336,PREVCURVES,VLOOKUP(G336,MOVE_DOWN2,2,FALSE),FALSE)),VLOOKUP(G336,NGPREVPRICES,2,FALSE),CK336,VLOOKUP(G336,NGPREVPRICES,4,FALSE),HLOOKUP(D336,PREVVOLS,VLOOKUP(G336,MOVE_DOWN2,2,FALSE),FALSE),VLOOKUP(G336,NGPREVPRICES,3,FALSE),HLOOKUP(D336,Correllate,VLOOKUP(G336,CorMove,2,FALSE),FALSE),Q336-$CD$3,R336,$CJ$5)*H336</f>
        <v>-62428.719616335351</v>
      </c>
      <c r="CK336" s="235">
        <f t="shared" si="394"/>
        <v>5</v>
      </c>
      <c r="CM336" t="str">
        <f t="shared" si="395"/>
        <v>36923Curve Shift/Gamma</v>
      </c>
      <c r="CN336" t="str">
        <f t="shared" si="356"/>
        <v>36923Rho</v>
      </c>
      <c r="CO336" t="str">
        <f t="shared" si="357"/>
        <v>36923Drift</v>
      </c>
      <c r="CP336" t="str">
        <f t="shared" si="358"/>
        <v>36923Vega</v>
      </c>
      <c r="CQ336" t="str">
        <f t="shared" si="359"/>
        <v>36923Theta</v>
      </c>
    </row>
    <row r="337" spans="1:95" x14ac:dyDescent="0.25">
      <c r="A337" s="382" t="s">
        <v>279</v>
      </c>
      <c r="B337" t="s">
        <v>250</v>
      </c>
      <c r="C337" t="s">
        <v>447</v>
      </c>
      <c r="D337" s="4" t="s">
        <v>7</v>
      </c>
      <c r="E337" t="s">
        <v>20</v>
      </c>
      <c r="F337" t="s">
        <v>21</v>
      </c>
      <c r="G337" s="5">
        <v>36892</v>
      </c>
      <c r="H337" s="130">
        <v>-500000</v>
      </c>
      <c r="I337">
        <v>5</v>
      </c>
      <c r="J337" s="53">
        <f t="shared" si="381"/>
        <v>4.7439999999999998</v>
      </c>
      <c r="K337" s="7">
        <f t="shared" si="382"/>
        <v>2.17</v>
      </c>
      <c r="L337" s="53">
        <f t="shared" si="383"/>
        <v>6.9139999999999997</v>
      </c>
      <c r="M337" s="157">
        <f t="shared" si="384"/>
        <v>6.8374831148490994E-2</v>
      </c>
      <c r="N337" s="4">
        <f t="shared" si="385"/>
        <v>0.60499999999999998</v>
      </c>
      <c r="O337" s="4">
        <f t="shared" si="386"/>
        <v>0.69599999999999995</v>
      </c>
      <c r="P337" s="9">
        <f t="shared" si="387"/>
        <v>0.83</v>
      </c>
      <c r="Q337" s="5">
        <f t="shared" si="375"/>
        <v>36888</v>
      </c>
      <c r="R337" s="4">
        <f t="shared" si="388"/>
        <v>1</v>
      </c>
      <c r="S337" s="158">
        <f>_xll.xSPRDOPT($L337,$J337,$I337,$M337,$O337,$N337,$P337,$Q337-$C$3,$R337,0)</f>
        <v>0.10470656664268034</v>
      </c>
      <c r="T337" s="159">
        <f>_xll.xSPRDOPT($L337,$J337,$I337,$M337,$O337,$N337,$P337,$Q337-$C$3,$R337,1)*H337</f>
        <v>-64389.703799798051</v>
      </c>
      <c r="U337" s="160">
        <f t="shared" si="389"/>
        <v>-52353.283321340168</v>
      </c>
      <c r="V337" s="159">
        <f>_xll.xSPRDOPT($L337,$J337,$I337,$M337,$O337,$N337,$P337,$Q337-$C$3,$R337,2)*H337</f>
        <v>47331.923040338464</v>
      </c>
      <c r="W337" s="159">
        <f t="shared" si="390"/>
        <v>-17057.780759459587</v>
      </c>
      <c r="X337" s="51" t="str">
        <f t="shared" si="376"/>
        <v>36892IF-TRANSCO/Z6</v>
      </c>
      <c r="Y337" s="418">
        <f t="shared" si="377"/>
        <v>-50</v>
      </c>
      <c r="Z337" s="456">
        <f t="shared" si="378"/>
        <v>0.12877940759959611</v>
      </c>
      <c r="AA337" s="456">
        <f>_xll.xSPRDOPT($L337,$J337,$I337,$M337,$O337,$N337,$P337,$Q337-$C$3,$R337,3)</f>
        <v>0.11442698190166317</v>
      </c>
      <c r="AB337" s="456">
        <f>((_xll.xSPRDOPT($L337+AB$5,$J337,$I337,$M337,$O337,$N337,$P337,$Q337-$C$3,$R337,3)*$H337)/10000)/100</f>
        <v>-5.7213490950831586E-2</v>
      </c>
      <c r="AC337" s="456">
        <f>((_xll.xSPRDOPT($L337+$AB$5,$J337,$I337,$M337,$O337,$N337,$P337,$Q337-$C$3,$R337,7)*$H337)/100)</f>
        <v>2114.2695592764926</v>
      </c>
      <c r="AD337" s="456">
        <f>(_xll.xSPRDOPT($L337+$AB$5,$J337,$I337,$M337,$O337,$N337,$P337,$Q337-$C$3,$R337,9)/365)*$H337</f>
        <v>781.40248635443095</v>
      </c>
      <c r="AE337">
        <f t="shared" si="379"/>
        <v>0</v>
      </c>
      <c r="AF337" s="456">
        <f t="shared" si="380"/>
        <v>-3162.6727378228861</v>
      </c>
      <c r="AG337" s="456">
        <f>((_xll.xSPRDOPT($L337,$J337,$I337,$M337,$O337,$N337,$P337,$Q337-$C$3,$R337,6)*$H337)/100)</f>
        <v>1191.3949384412863</v>
      </c>
      <c r="AH337" s="456">
        <f>((_xll.xSPRDOPT($L337,$J337,$I337,$M337,$O337,$N337,$P337,$Q337-$C$3,$R337,5)*$H337)/100)</f>
        <v>-3784.7858392813573</v>
      </c>
      <c r="AI337" s="456">
        <f>(((_xll.xSPRDOPT($L337,$J337,$I337,$M337,$O337,$N337,$P337,$Q337-$C$3,$R337,4)*$H337)/10000)/100)-AB337</f>
        <v>1.9321704275197457E-2</v>
      </c>
      <c r="AJ337" s="456"/>
      <c r="AK337" s="456"/>
      <c r="AL337" s="456"/>
      <c r="AM337" s="472"/>
      <c r="CC337" s="141">
        <f t="shared" si="391"/>
        <v>36892</v>
      </c>
      <c r="CD337" s="234">
        <f>_xll.xSPRDOPT((VLOOKUP(G337,NGPrices,2,FALSE)+HLOOKUP(D337,Prices,VLOOKUP(G337,move_down,2,FALSE),FALSE)),VLOOKUP(G337,NGPrices,2,FALSE),I337,VLOOKUP(G337,NGPREVPRICES,4,FALSE),HLOOKUP(D337,PREVVOLS,VLOOKUP(G337,MOVE_DOWN2,2,FALSE),FALSE),VLOOKUP(G337,NGPREVPRICES,3,FALSE),HLOOKUP(D337,Correllate,VLOOKUP(G337,CorMove,2,FALSE),FALSE),Q337-$CD$3,R337,$CD$5)*H337-CJ337</f>
        <v>0</v>
      </c>
      <c r="CE337" s="234">
        <f>_xll.xSPRDOPT((VLOOKUP(G337,NGPREVPRICES,2,FALSE)+HLOOKUP(D337,PREVCURVES,VLOOKUP(G337,MOVE_DOWN2,2,FALSE),FALSE)),VLOOKUP(G337,NGPREVPRICES,2,FALSE),CK337,VLOOKUP(G337,NGPrices,4,FALSE),HLOOKUP(D337,PREVVOLS,VLOOKUP(G337,MOVE_DOWN2,2,FALSE),FALSE),VLOOKUP(G337,NGPREVPRICES,3,FALSE),HLOOKUP(D337,Correllate,VLOOKUP(G337,CorMove,2,FALSE),FALSE),Q337-$CD$3,R337,$CJ$5)*H337-CJ337</f>
        <v>0</v>
      </c>
      <c r="CF337" s="10">
        <f t="shared" si="392"/>
        <v>10.012812763896363</v>
      </c>
      <c r="CG337" s="234">
        <f>_xll.xSPRDOPT((VLOOKUP(G337,NGPREVPRICES,2,FALSE)+HLOOKUP(D337,PREVCURVES,VLOOKUP(G337,MOVE_DOWN2,2,FALSE),FALSE)),VLOOKUP(G337,NGPREVPRICES,2,FALSE),CK337,VLOOKUP(G337,NGPREVPRICES,4,FALSE),HLOOKUP(D337,VOLS,VLOOKUP(G337,move_down,2,FALSE),FALSE),VLOOKUP(G337,NGPrices,3,FALSE),HLOOKUP(D337,Correllate,VLOOKUP(G337,CorMove,2,FALSE),FALSE),Q337-$CD$3,R337,$CJ$5)*H337-CJ337</f>
        <v>0</v>
      </c>
      <c r="CH337" s="234">
        <f>_xll.xSPRDOPT((VLOOKUP(G337,NGPREVPRICES,2,FALSE)+HLOOKUP(D337,PREVCURVES,VLOOKUP(G337,MOVE_DOWN2,2,FALSE),FALSE)),VLOOKUP(G337,NGPREVPRICES,2,FALSE),CK337,VLOOKUP(G337,NGPREVPRICES,4,FALSE),HLOOKUP(D337,PREVVOLS,VLOOKUP(G337,MOVE_DOWN2,2,FALSE),FALSE),VLOOKUP(G337,NGPREVPRICES,3,FALSE),HLOOKUP(D337,Correllate,VLOOKUP(G337,CorMove,2,FALSE),FALSE),Q337-$C$3,R337,$CJ$5)*H337-CJ337</f>
        <v>781.6716012134566</v>
      </c>
      <c r="CI337" s="234">
        <f t="shared" si="393"/>
        <v>791.68441397735296</v>
      </c>
      <c r="CJ337" s="234">
        <f>_xll.xSPRDOPT((VLOOKUP(G337,NGPREVPRICES,2,FALSE)+HLOOKUP(D337,PREVCURVES,VLOOKUP(G337,MOVE_DOWN2,2,FALSE),FALSE)),VLOOKUP(G337,NGPREVPRICES,2,FALSE),CK337,VLOOKUP(G337,NGPREVPRICES,4,FALSE),HLOOKUP(D337,PREVVOLS,VLOOKUP(G337,MOVE_DOWN2,2,FALSE),FALSE),VLOOKUP(G337,NGPREVPRICES,3,FALSE),HLOOKUP(D337,Correllate,VLOOKUP(G337,CorMove,2,FALSE),FALSE),Q337-$CD$3,R337,$CJ$5)*H337</f>
        <v>-53134.954922553625</v>
      </c>
      <c r="CK337" s="235">
        <f t="shared" si="394"/>
        <v>5</v>
      </c>
      <c r="CM337" t="str">
        <f t="shared" si="395"/>
        <v>36892Curve Shift/Gamma</v>
      </c>
      <c r="CN337" t="str">
        <f t="shared" si="356"/>
        <v>36892Rho</v>
      </c>
      <c r="CO337" t="str">
        <f t="shared" si="357"/>
        <v>36892Drift</v>
      </c>
      <c r="CP337" t="str">
        <f t="shared" si="358"/>
        <v>36892Vega</v>
      </c>
      <c r="CQ337" t="str">
        <f t="shared" si="359"/>
        <v>36892Theta</v>
      </c>
    </row>
    <row r="338" spans="1:95" x14ac:dyDescent="0.25">
      <c r="A338" s="382" t="s">
        <v>279</v>
      </c>
      <c r="B338" t="s">
        <v>250</v>
      </c>
      <c r="C338" t="s">
        <v>447</v>
      </c>
      <c r="D338" s="4" t="s">
        <v>7</v>
      </c>
      <c r="E338" t="s">
        <v>20</v>
      </c>
      <c r="F338" t="s">
        <v>21</v>
      </c>
      <c r="G338" s="5">
        <v>36861</v>
      </c>
      <c r="H338" s="130">
        <v>-500000</v>
      </c>
      <c r="I338">
        <v>5</v>
      </c>
      <c r="J338" s="53">
        <f t="shared" si="381"/>
        <v>4.8</v>
      </c>
      <c r="K338" s="7">
        <f t="shared" si="382"/>
        <v>1.645</v>
      </c>
      <c r="L338" s="53">
        <f t="shared" si="383"/>
        <v>6.4450000000000003</v>
      </c>
      <c r="M338" s="157">
        <f t="shared" si="384"/>
        <v>6.8314027999354002E-2</v>
      </c>
      <c r="N338" s="4">
        <f t="shared" si="385"/>
        <v>0.6</v>
      </c>
      <c r="O338" s="4">
        <f t="shared" si="386"/>
        <v>0.69</v>
      </c>
      <c r="P338" s="9">
        <f t="shared" si="387"/>
        <v>0.83</v>
      </c>
      <c r="Q338" s="5">
        <f t="shared" si="375"/>
        <v>36859</v>
      </c>
      <c r="R338" s="4">
        <f t="shared" si="388"/>
        <v>1</v>
      </c>
      <c r="S338" s="158">
        <f>_xll.xSPRDOPT($L338,$J338,$I338,$M338,$O338,$N338,$P338,$Q338-$C$3,$R338,0)</f>
        <v>2.5423521115458758E-2</v>
      </c>
      <c r="T338" s="159">
        <f>_xll.xSPRDOPT($L338,$J338,$I338,$M338,$O338,$N338,$P338,$Q338-$C$3,$R338,1)*H338</f>
        <v>-23041.057614829471</v>
      </c>
      <c r="U338" s="160">
        <f t="shared" si="389"/>
        <v>-12711.76055772938</v>
      </c>
      <c r="V338" s="159">
        <f>_xll.xSPRDOPT($L338,$J338,$I338,$M338,$O338,$N338,$P338,$Q338-$C$3,$R338,2)*H338</f>
        <v>16369.996956403975</v>
      </c>
      <c r="W338" s="159">
        <f t="shared" si="390"/>
        <v>-6671.0606584254965</v>
      </c>
      <c r="X338" s="51" t="str">
        <f t="shared" si="376"/>
        <v>36861IF-TRANSCO/Z6</v>
      </c>
      <c r="Y338" s="418">
        <f t="shared" si="377"/>
        <v>-50</v>
      </c>
      <c r="Z338" s="456">
        <f t="shared" si="378"/>
        <v>4.6082115229658945E-2</v>
      </c>
      <c r="AA338" s="456">
        <f>_xll.xSPRDOPT($L338,$J338,$I338,$M338,$O338,$N338,$P338,$Q338-$C$3,$R338,3)</f>
        <v>6.6105651089858164E-2</v>
      </c>
      <c r="AB338" s="456">
        <f>((_xll.xSPRDOPT($L338+AB$5,$J338,$I338,$M338,$O338,$N338,$P338,$Q338-$C$3,$R338,3)*$H338)/10000)/100</f>
        <v>-3.3052825544929082E-2</v>
      </c>
      <c r="AC338" s="456">
        <f>((_xll.xSPRDOPT($L338+$AB$5,$J338,$I338,$M338,$O338,$N338,$P338,$Q338-$C$3,$R338,7)*$H338)/100)</f>
        <v>810.92637814514512</v>
      </c>
      <c r="AD338" s="456">
        <f>(_xll.xSPRDOPT($L338+$AB$5,$J338,$I338,$M338,$O338,$N338,$P338,$Q338-$C$3,$R338,9)/365)*$H338</f>
        <v>380.51777126032954</v>
      </c>
      <c r="AE338">
        <f t="shared" si="379"/>
        <v>0</v>
      </c>
      <c r="AF338" s="456">
        <f t="shared" si="380"/>
        <v>-1173.4135384314175</v>
      </c>
      <c r="AG338" s="456">
        <f>((_xll.xSPRDOPT($L338,$J338,$I338,$M338,$O338,$N338,$P338,$Q338-$C$3,$R338,6)*$H338)/100)</f>
        <v>448.90766790838165</v>
      </c>
      <c r="AH338" s="456">
        <f>((_xll.xSPRDOPT($L338,$J338,$I338,$M338,$O338,$N338,$P338,$Q338-$C$3,$R338,5)*$H338)/100)</f>
        <v>-1410.7140924693906</v>
      </c>
      <c r="AI338" s="456">
        <f>(((_xll.xSPRDOPT($L338,$J338,$I338,$M338,$O338,$N338,$P338,$Q338-$C$3,$R338,4)*$H338)/10000)/100)-AB338</f>
        <v>1.3728863771894848E-2</v>
      </c>
      <c r="AJ338" s="456"/>
      <c r="AK338" s="456"/>
      <c r="AL338" s="456"/>
      <c r="AM338" s="472"/>
      <c r="CC338" s="141">
        <f t="shared" si="391"/>
        <v>36861</v>
      </c>
      <c r="CD338" s="234">
        <f>_xll.xSPRDOPT((VLOOKUP(G338,NGPrices,2,FALSE)+HLOOKUP(D338,Prices,VLOOKUP(G338,move_down,2,FALSE),FALSE)),VLOOKUP(G338,NGPrices,2,FALSE),I338,VLOOKUP(G338,NGPREVPRICES,4,FALSE),HLOOKUP(D338,PREVVOLS,VLOOKUP(G338,MOVE_DOWN2,2,FALSE),FALSE),VLOOKUP(G338,NGPREVPRICES,3,FALSE),HLOOKUP(D338,Correllate,VLOOKUP(G338,CorMove,2,FALSE),FALSE),Q338-$CD$3,R338,$CD$5)*H338-CJ338</f>
        <v>0</v>
      </c>
      <c r="CE338" s="234">
        <f>_xll.xSPRDOPT((VLOOKUP(G338,NGPREVPRICES,2,FALSE)+HLOOKUP(D338,PREVCURVES,VLOOKUP(G338,MOVE_DOWN2,2,FALSE),FALSE)),VLOOKUP(G338,NGPREVPRICES,2,FALSE),CK338,VLOOKUP(G338,NGPrices,4,FALSE),HLOOKUP(D338,PREVVOLS,VLOOKUP(G338,MOVE_DOWN2,2,FALSE),FALSE),VLOOKUP(G338,NGPREVPRICES,3,FALSE),HLOOKUP(D338,Correllate,VLOOKUP(G338,CorMove,2,FALSE),FALSE),Q338-$CD$3,R338,$CJ$5)*H338-CJ338</f>
        <v>0</v>
      </c>
      <c r="CF338" s="10">
        <f t="shared" si="392"/>
        <v>2.4530525812806445</v>
      </c>
      <c r="CG338" s="234">
        <f>_xll.xSPRDOPT((VLOOKUP(G338,NGPREVPRICES,2,FALSE)+HLOOKUP(D338,PREVCURVES,VLOOKUP(G338,MOVE_DOWN2,2,FALSE),FALSE)),VLOOKUP(G338,NGPREVPRICES,2,FALSE),CK338,VLOOKUP(G338,NGPREVPRICES,4,FALSE),HLOOKUP(D338,VOLS,VLOOKUP(G338,move_down,2,FALSE),FALSE),VLOOKUP(G338,NGPrices,3,FALSE),HLOOKUP(D338,Correllate,VLOOKUP(G338,CorMove,2,FALSE),FALSE),Q338-$CD$3,R338,$CJ$5)*H338-CJ338</f>
        <v>0</v>
      </c>
      <c r="CH338" s="234">
        <f>_xll.xSPRDOPT((VLOOKUP(G338,NGPREVPRICES,2,FALSE)+HLOOKUP(D338,PREVCURVES,VLOOKUP(G338,MOVE_DOWN2,2,FALSE),FALSE)),VLOOKUP(G338,NGPREVPRICES,2,FALSE),CK338,VLOOKUP(G338,NGPREVPRICES,4,FALSE),HLOOKUP(D338,PREVVOLS,VLOOKUP(G338,MOVE_DOWN2,2,FALSE),FALSE),VLOOKUP(G338,NGPREVPRICES,3,FALSE),HLOOKUP(D338,Correllate,VLOOKUP(G338,CorMove,2,FALSE),FALSE),Q338-$C$3,R338,$CJ$5)*H338-CJ338</f>
        <v>382.50451590603552</v>
      </c>
      <c r="CI338" s="234">
        <f t="shared" si="393"/>
        <v>384.95756848731617</v>
      </c>
      <c r="CJ338" s="234">
        <f>_xll.xSPRDOPT((VLOOKUP(G338,NGPREVPRICES,2,FALSE)+HLOOKUP(D338,PREVCURVES,VLOOKUP(G338,MOVE_DOWN2,2,FALSE),FALSE)),VLOOKUP(G338,NGPREVPRICES,2,FALSE),CK338,VLOOKUP(G338,NGPREVPRICES,4,FALSE),HLOOKUP(D338,PREVVOLS,VLOOKUP(G338,MOVE_DOWN2,2,FALSE),FALSE),VLOOKUP(G338,NGPREVPRICES,3,FALSE),HLOOKUP(D338,Correllate,VLOOKUP(G338,CorMove,2,FALSE),FALSE),Q338-$CD$3,R338,$CJ$5)*H338</f>
        <v>-13094.265073635415</v>
      </c>
      <c r="CK338" s="235">
        <f t="shared" si="394"/>
        <v>5</v>
      </c>
      <c r="CM338" t="str">
        <f t="shared" si="395"/>
        <v>36861Curve Shift/Gamma</v>
      </c>
      <c r="CN338" t="str">
        <f t="shared" si="356"/>
        <v>36861Rho</v>
      </c>
      <c r="CO338" t="str">
        <f t="shared" si="357"/>
        <v>36861Drift</v>
      </c>
      <c r="CP338" t="str">
        <f t="shared" si="358"/>
        <v>36861Vega</v>
      </c>
      <c r="CQ338" t="str">
        <f t="shared" si="359"/>
        <v>36861Theta</v>
      </c>
    </row>
    <row r="339" spans="1:95" x14ac:dyDescent="0.25">
      <c r="A339" s="382" t="s">
        <v>279</v>
      </c>
      <c r="B339" t="s">
        <v>250</v>
      </c>
      <c r="C339" t="s">
        <v>447</v>
      </c>
      <c r="D339" s="4" t="s">
        <v>7</v>
      </c>
      <c r="E339" t="s">
        <v>20</v>
      </c>
      <c r="F339" t="s">
        <v>21</v>
      </c>
      <c r="G339" s="5">
        <v>36831</v>
      </c>
      <c r="H339" s="130">
        <v>-500000</v>
      </c>
      <c r="I339">
        <v>5</v>
      </c>
      <c r="J339" s="53">
        <f t="shared" si="381"/>
        <v>4.7359999999999998</v>
      </c>
      <c r="K339" s="7">
        <f t="shared" si="382"/>
        <v>0.77</v>
      </c>
      <c r="L339" s="53">
        <f t="shared" si="383"/>
        <v>5.5060000000000002</v>
      </c>
      <c r="M339" s="157">
        <f t="shared" si="384"/>
        <v>6.810675983792E-2</v>
      </c>
      <c r="N339" s="4">
        <f t="shared" si="385"/>
        <v>0.59499999999999997</v>
      </c>
      <c r="O339" s="4">
        <f t="shared" si="386"/>
        <v>0.625</v>
      </c>
      <c r="P339" s="9">
        <f t="shared" si="387"/>
        <v>0.89</v>
      </c>
      <c r="Q339" s="5">
        <f t="shared" si="375"/>
        <v>36829</v>
      </c>
      <c r="R339" s="4">
        <f t="shared" si="388"/>
        <v>1</v>
      </c>
      <c r="S339" s="158">
        <f>_xll.xSPRDOPT($L339,$J339,$I339,$M339,$O339,$N339,$P339,$Q339-$C$3,$R339,0)</f>
        <v>1.8281911480308734E-5</v>
      </c>
      <c r="T339" s="159">
        <f>_xll.xSPRDOPT($L339,$J339,$I339,$M339,$O339,$N339,$P339,$Q339-$C$3,$R339,1)*H339</f>
        <v>-50.967574526910468</v>
      </c>
      <c r="U339" s="160">
        <f t="shared" si="389"/>
        <v>-9.1409557401543662</v>
      </c>
      <c r="V339" s="159">
        <f>_xll.xSPRDOPT($L339,$J339,$I339,$M339,$O339,$N339,$P339,$Q339-$C$3,$R339,2)*H339</f>
        <v>35.71912198398514</v>
      </c>
      <c r="W339" s="159">
        <f t="shared" si="390"/>
        <v>-15.248452542925328</v>
      </c>
      <c r="X339" s="51" t="str">
        <f t="shared" si="376"/>
        <v>36831IF-TRANSCO/Z6</v>
      </c>
      <c r="Y339" s="418">
        <f t="shared" si="377"/>
        <v>-50</v>
      </c>
      <c r="Z339" s="456">
        <f t="shared" si="378"/>
        <v>1.0193514905382094E-4</v>
      </c>
      <c r="AA339" s="456">
        <f>_xll.xSPRDOPT($L339,$J339,$I339,$M339,$O339,$N339,$P339,$Q339-$C$3,$R339,3)</f>
        <v>5.1870378512449745E-4</v>
      </c>
      <c r="AB339" s="456">
        <f>((_xll.xSPRDOPT($L339+AB$5,$J339,$I339,$M339,$O339,$N339,$P339,$Q339-$C$3,$R339,3)*$H339)/10000)/100</f>
        <v>-2.5935189256224872E-4</v>
      </c>
      <c r="AC339" s="456">
        <f>((_xll.xSPRDOPT($L339+$AB$5,$J339,$I339,$M339,$O339,$N339,$P339,$Q339-$C$3,$R339,7)*$H339)/100)</f>
        <v>3.0612319236622541</v>
      </c>
      <c r="AD339" s="456">
        <f>(_xll.xSPRDOPT($L339+$AB$5,$J339,$I339,$M339,$O339,$N339,$P339,$Q339-$C$3,$R339,9)/365)*$H339</f>
        <v>1.2640125379880152</v>
      </c>
      <c r="AE339">
        <f t="shared" si="379"/>
        <v>0</v>
      </c>
      <c r="AF339" s="456">
        <f t="shared" si="380"/>
        <v>-2.6359940039811667</v>
      </c>
      <c r="AG339" s="456">
        <f>((_xll.xSPRDOPT($L339,$J339,$I339,$M339,$O339,$N339,$P339,$Q339-$C$3,$R339,6)*$H339)/100)</f>
        <v>1.5420936892128185</v>
      </c>
      <c r="AH339" s="456">
        <f>((_xll.xSPRDOPT($L339,$J339,$I339,$M339,$O339,$N339,$P339,$Q339-$C$3,$R339,5)*$H339)/100)</f>
        <v>-3.9775394839206739</v>
      </c>
      <c r="AI339" s="456">
        <f>(((_xll.xSPRDOPT($L339,$J339,$I339,$M339,$O339,$N339,$P339,$Q339-$C$3,$R339,4)*$H339)/10000)/100)-AB339</f>
        <v>1.2519008975704756E-4</v>
      </c>
      <c r="AJ339" s="456"/>
      <c r="AK339" s="456"/>
      <c r="AL339" s="456"/>
      <c r="AM339" s="472"/>
      <c r="CC339" s="141">
        <f t="shared" si="391"/>
        <v>36831</v>
      </c>
      <c r="CD339" s="234">
        <f>_xll.xSPRDOPT((VLOOKUP(G339,NGPrices,2,FALSE)+HLOOKUP(D339,Prices,VLOOKUP(G339,move_down,2,FALSE),FALSE)),VLOOKUP(G339,NGPrices,2,FALSE),I339,VLOOKUP(G339,NGPREVPRICES,4,FALSE),HLOOKUP(D339,PREVVOLS,VLOOKUP(G339,MOVE_DOWN2,2,FALSE),FALSE),VLOOKUP(G339,NGPREVPRICES,3,FALSE),HLOOKUP(D339,Correllate,VLOOKUP(G339,CorMove,2,FALSE),FALSE),Q339-$CD$3,R339,$CD$5)*H339-CJ339</f>
        <v>0</v>
      </c>
      <c r="CE339" s="234">
        <f>_xll.xSPRDOPT((VLOOKUP(G339,NGPREVPRICES,2,FALSE)+HLOOKUP(D339,PREVCURVES,VLOOKUP(G339,MOVE_DOWN2,2,FALSE),FALSE)),VLOOKUP(G339,NGPREVPRICES,2,FALSE),CK339,VLOOKUP(G339,NGPrices,4,FALSE),HLOOKUP(D339,PREVVOLS,VLOOKUP(G339,MOVE_DOWN2,2,FALSE),FALSE),VLOOKUP(G339,NGPREVPRICES,3,FALSE),HLOOKUP(D339,Correllate,VLOOKUP(G339,CorMove,2,FALSE),FALSE),Q339-$CD$3,R339,$CJ$5)*H339-CJ339</f>
        <v>0</v>
      </c>
      <c r="CF339" s="10">
        <f t="shared" si="392"/>
        <v>1.9451642361527632E-3</v>
      </c>
      <c r="CG339" s="234">
        <f>_xll.xSPRDOPT((VLOOKUP(G339,NGPREVPRICES,2,FALSE)+HLOOKUP(D339,PREVCURVES,VLOOKUP(G339,MOVE_DOWN2,2,FALSE),FALSE)),VLOOKUP(G339,NGPREVPRICES,2,FALSE),CK339,VLOOKUP(G339,NGPREVPRICES,4,FALSE),HLOOKUP(D339,VOLS,VLOOKUP(G339,move_down,2,FALSE),FALSE),VLOOKUP(G339,NGPrices,3,FALSE),HLOOKUP(D339,Correllate,VLOOKUP(G339,CorMove,2,FALSE),FALSE),Q339-$CD$3,R339,$CJ$5)*H339-CJ339</f>
        <v>0</v>
      </c>
      <c r="CH339" s="234">
        <f>_xll.xSPRDOPT((VLOOKUP(G339,NGPREVPRICES,2,FALSE)+HLOOKUP(D339,PREVCURVES,VLOOKUP(G339,MOVE_DOWN2,2,FALSE),FALSE)),VLOOKUP(G339,NGPREVPRICES,2,FALSE),CK339,VLOOKUP(G339,NGPREVPRICES,4,FALSE),HLOOKUP(D339,PREVVOLS,VLOOKUP(G339,MOVE_DOWN2,2,FALSE),FALSE),VLOOKUP(G339,NGPREVPRICES,3,FALSE),HLOOKUP(D339,Correllate,VLOOKUP(G339,CorMove,2,FALSE),FALSE),Q339-$C$3,R339,$CJ$5)*H339-CJ339</f>
        <v>1.3332108336594697</v>
      </c>
      <c r="CI339" s="234">
        <f t="shared" si="393"/>
        <v>1.3351559978956224</v>
      </c>
      <c r="CJ339" s="234">
        <f>_xll.xSPRDOPT((VLOOKUP(G339,NGPREVPRICES,2,FALSE)+HLOOKUP(D339,PREVCURVES,VLOOKUP(G339,MOVE_DOWN2,2,FALSE),FALSE)),VLOOKUP(G339,NGPREVPRICES,2,FALSE),CK339,VLOOKUP(G339,NGPREVPRICES,4,FALSE),HLOOKUP(D339,PREVVOLS,VLOOKUP(G339,MOVE_DOWN2,2,FALSE),FALSE),VLOOKUP(G339,NGPREVPRICES,3,FALSE),HLOOKUP(D339,Correllate,VLOOKUP(G339,CorMove,2,FALSE),FALSE),Q339-$CD$3,R339,$CJ$5)*H339</f>
        <v>-10.474166573813836</v>
      </c>
      <c r="CK339" s="235">
        <f t="shared" si="394"/>
        <v>5</v>
      </c>
      <c r="CM339" t="str">
        <f t="shared" si="395"/>
        <v>36831Curve Shift/Gamma</v>
      </c>
      <c r="CN339" t="str">
        <f t="shared" si="356"/>
        <v>36831Rho</v>
      </c>
      <c r="CO339" t="str">
        <f t="shared" si="357"/>
        <v>36831Drift</v>
      </c>
      <c r="CP339" t="str">
        <f t="shared" si="358"/>
        <v>36831Vega</v>
      </c>
      <c r="CQ339" t="str">
        <f t="shared" si="359"/>
        <v>36831Theta</v>
      </c>
    </row>
    <row r="340" spans="1:95" x14ac:dyDescent="0.25">
      <c r="A340" s="382" t="s">
        <v>279</v>
      </c>
      <c r="B340" t="s">
        <v>250</v>
      </c>
      <c r="C340" t="s">
        <v>448</v>
      </c>
      <c r="D340" s="4" t="s">
        <v>7</v>
      </c>
      <c r="E340" t="s">
        <v>20</v>
      </c>
      <c r="F340" t="s">
        <v>1</v>
      </c>
      <c r="G340" s="5">
        <v>36982</v>
      </c>
      <c r="H340" s="130">
        <v>-1000000</v>
      </c>
      <c r="I340">
        <v>0.4</v>
      </c>
      <c r="J340" s="53">
        <f t="shared" si="381"/>
        <v>3.9380000000000002</v>
      </c>
      <c r="K340" s="7">
        <f t="shared" si="382"/>
        <v>0.52</v>
      </c>
      <c r="L340" s="53">
        <f t="shared" si="383"/>
        <v>4.4580000000000002</v>
      </c>
      <c r="M340" s="157">
        <f t="shared" si="384"/>
        <v>6.9061726541120999E-2</v>
      </c>
      <c r="N340" s="4">
        <f t="shared" si="385"/>
        <v>0.4425</v>
      </c>
      <c r="O340" s="4">
        <f t="shared" si="386"/>
        <v>0.434</v>
      </c>
      <c r="P340" s="9">
        <f t="shared" si="387"/>
        <v>0.9738</v>
      </c>
      <c r="Q340" s="5">
        <f t="shared" si="375"/>
        <v>36979</v>
      </c>
      <c r="R340" s="4">
        <f t="shared" si="388"/>
        <v>0</v>
      </c>
      <c r="S340" s="158">
        <f>_xll.xSPRDOPT($L340,$J340,$I340,$M340,$O340,$N340,$P340,$Q340-$C$3,$R340,0)</f>
        <v>8.0501761169828212E-2</v>
      </c>
      <c r="T340" s="159">
        <f>_xll.xSPRDOPT($L340,$J340,$I340,$M340,$O340,$N340,$P340,$Q340-$C$3,$R340,1)*H340</f>
        <v>332623.65648318251</v>
      </c>
      <c r="U340" s="160">
        <f t="shared" si="389"/>
        <v>-80501.761169828213</v>
      </c>
      <c r="V340" s="159">
        <f>_xll.xSPRDOPT($L340,$J340,$I340,$M340,$O340,$N340,$P340,$Q340-$C$3,$R340,2)*H340</f>
        <v>-357791.8212404474</v>
      </c>
      <c r="W340" s="159">
        <f t="shared" si="390"/>
        <v>-25168.164757264894</v>
      </c>
      <c r="X340" s="51" t="str">
        <f t="shared" si="376"/>
        <v>36982IF-TRANSCO/Z6</v>
      </c>
      <c r="Y340" s="418">
        <f t="shared" si="377"/>
        <v>-100</v>
      </c>
      <c r="Z340" s="456">
        <f t="shared" si="378"/>
        <v>-0.33262365648318248</v>
      </c>
      <c r="AA340" s="456">
        <f>_xll.xSPRDOPT($L340,$J340,$I340,$M340,$O340,$N340,$P340,$Q340-$C$3,$R340,3)</f>
        <v>1.0296877890982525</v>
      </c>
      <c r="AB340" s="456">
        <f>((_xll.xSPRDOPT($L340+AB$5,$J340,$I340,$M340,$O340,$N340,$P340,$Q340-$C$3,$R340,3)*$H340)/10000)/100</f>
        <v>-1.0296877890982525</v>
      </c>
      <c r="AC340" s="456">
        <f>((_xll.xSPRDOPT($L340+$AB$5,$J340,$I340,$M340,$O340,$N340,$P340,$Q340-$C$3,$R340,7)*$H340)/100)</f>
        <v>20683.676659431403</v>
      </c>
      <c r="AD340" s="456">
        <f>(_xll.xSPRDOPT($L340+$AB$5,$J340,$I340,$M340,$O340,$N340,$P340,$Q340-$C$3,$R340,9)/365)*$H340</f>
        <v>275.00559993832439</v>
      </c>
      <c r="AE340">
        <f t="shared" si="379"/>
        <v>0</v>
      </c>
      <c r="AF340" s="456">
        <f t="shared" si="380"/>
        <v>-2779.1277647476063</v>
      </c>
      <c r="AG340" s="456">
        <f>((_xll.xSPRDOPT($L340,$J340,$I340,$M340,$O340,$N340,$P340,$Q340-$C$3,$R340,6)*$H340)/100)</f>
        <v>2261.6532024934913</v>
      </c>
      <c r="AH340" s="456">
        <f>((_xll.xSPRDOPT($L340,$J340,$I340,$M340,$O340,$N340,$P340,$Q340-$C$3,$R340,5)*$H340)/100)</f>
        <v>-5139.5059401018107</v>
      </c>
      <c r="AI340" s="456">
        <f>(((_xll.xSPRDOPT($L340,$J340,$I340,$M340,$O340,$N340,$P340,$Q340-$C$3,$R340,4)*$H340)/10000)/100)-AB340</f>
        <v>-5.6337051557882489E-2</v>
      </c>
      <c r="AJ340" s="456"/>
      <c r="AK340" s="456"/>
      <c r="AL340" s="456"/>
      <c r="AM340" s="472"/>
      <c r="CC340" s="141">
        <f t="shared" si="391"/>
        <v>36982</v>
      </c>
      <c r="CD340" s="234">
        <f>_xll.xSPRDOPT((VLOOKUP(G340,NGPrices,2,FALSE)+HLOOKUP(D340,Prices,VLOOKUP(G340,move_down,2,FALSE),FALSE)),VLOOKUP(G340,NGPrices,2,FALSE),I340,VLOOKUP(G340,NGPREVPRICES,4,FALSE),HLOOKUP(D340,PREVVOLS,VLOOKUP(G340,MOVE_DOWN2,2,FALSE),FALSE),VLOOKUP(G340,NGPREVPRICES,3,FALSE),HLOOKUP(D340,Correllate,VLOOKUP(G340,CorMove,2,FALSE),FALSE),Q340-$CD$3,R340,$CD$5)*H340-CJ340</f>
        <v>0</v>
      </c>
      <c r="CE340" s="234">
        <f>_xll.xSPRDOPT((VLOOKUP(G340,NGPREVPRICES,2,FALSE)+HLOOKUP(D340,PREVCURVES,VLOOKUP(G340,MOVE_DOWN2,2,FALSE),FALSE)),VLOOKUP(G340,NGPREVPRICES,2,FALSE),CK340,VLOOKUP(G340,NGPrices,4,FALSE),HLOOKUP(D340,PREVVOLS,VLOOKUP(G340,MOVE_DOWN2,2,FALSE),FALSE),VLOOKUP(G340,NGPREVPRICES,3,FALSE),HLOOKUP(D340,Correllate,VLOOKUP(G340,CorMove,2,FALSE),FALSE),Q340-$CD$3,R340,$CJ$5)*H340-CJ340</f>
        <v>0</v>
      </c>
      <c r="CF340" s="10">
        <f t="shared" si="392"/>
        <v>15.618576975015458</v>
      </c>
      <c r="CG340" s="234">
        <f>_xll.xSPRDOPT((VLOOKUP(G340,NGPREVPRICES,2,FALSE)+HLOOKUP(D340,PREVCURVES,VLOOKUP(G340,MOVE_DOWN2,2,FALSE),FALSE)),VLOOKUP(G340,NGPREVPRICES,2,FALSE),CK340,VLOOKUP(G340,NGPREVPRICES,4,FALSE),HLOOKUP(D340,VOLS,VLOOKUP(G340,move_down,2,FALSE),FALSE),VLOOKUP(G340,NGPrices,3,FALSE),HLOOKUP(D340,Correllate,VLOOKUP(G340,CorMove,2,FALSE),FALSE),Q340-$CD$3,R340,$CJ$5)*H340-CJ340</f>
        <v>0</v>
      </c>
      <c r="CH340" s="234">
        <f>_xll.xSPRDOPT((VLOOKUP(G340,NGPREVPRICES,2,FALSE)+HLOOKUP(D340,PREVCURVES,VLOOKUP(G340,MOVE_DOWN2,2,FALSE),FALSE)),VLOOKUP(G340,NGPREVPRICES,2,FALSE),CK340,VLOOKUP(G340,NGPREVPRICES,4,FALSE),HLOOKUP(D340,PREVVOLS,VLOOKUP(G340,MOVE_DOWN2,2,FALSE),FALSE),VLOOKUP(G340,NGPREVPRICES,3,FALSE),HLOOKUP(D340,Correllate,VLOOKUP(G340,CorMove,2,FALSE),FALSE),Q340-$C$3,R340,$CJ$5)*H340-CJ340</f>
        <v>274.47167853239807</v>
      </c>
      <c r="CI340" s="234">
        <f t="shared" si="393"/>
        <v>290.09025550741353</v>
      </c>
      <c r="CJ340" s="234">
        <f>_xll.xSPRDOPT((VLOOKUP(G340,NGPREVPRICES,2,FALSE)+HLOOKUP(D340,PREVCURVES,VLOOKUP(G340,MOVE_DOWN2,2,FALSE),FALSE)),VLOOKUP(G340,NGPREVPRICES,2,FALSE),CK340,VLOOKUP(G340,NGPREVPRICES,4,FALSE),HLOOKUP(D340,PREVVOLS,VLOOKUP(G340,MOVE_DOWN2,2,FALSE),FALSE),VLOOKUP(G340,NGPREVPRICES,3,FALSE),HLOOKUP(D340,Correllate,VLOOKUP(G340,CorMove,2,FALSE),FALSE),Q340-$CD$3,R340,$CJ$5)*H340</f>
        <v>-80776.232848360611</v>
      </c>
      <c r="CK340" s="235">
        <f t="shared" si="394"/>
        <v>0.4</v>
      </c>
      <c r="CM340" t="str">
        <f t="shared" si="395"/>
        <v>36982Curve Shift/Gamma</v>
      </c>
      <c r="CN340" t="str">
        <f t="shared" si="356"/>
        <v>36982Rho</v>
      </c>
      <c r="CO340" t="str">
        <f t="shared" si="357"/>
        <v>36982Drift</v>
      </c>
      <c r="CP340" t="str">
        <f t="shared" si="358"/>
        <v>36982Vega</v>
      </c>
      <c r="CQ340" t="str">
        <f t="shared" si="359"/>
        <v>36982Theta</v>
      </c>
    </row>
    <row r="341" spans="1:95" x14ac:dyDescent="0.25">
      <c r="A341" s="382" t="s">
        <v>279</v>
      </c>
      <c r="B341" t="s">
        <v>250</v>
      </c>
      <c r="C341" t="s">
        <v>449</v>
      </c>
      <c r="D341" s="4" t="s">
        <v>7</v>
      </c>
      <c r="E341" t="s">
        <v>20</v>
      </c>
      <c r="F341" t="s">
        <v>21</v>
      </c>
      <c r="G341" s="5">
        <v>36982</v>
      </c>
      <c r="H341" s="130">
        <v>-1000000</v>
      </c>
      <c r="I341">
        <v>0.7</v>
      </c>
      <c r="J341" s="53">
        <f t="shared" si="381"/>
        <v>3.9380000000000002</v>
      </c>
      <c r="K341" s="7">
        <f t="shared" si="382"/>
        <v>0.52</v>
      </c>
      <c r="L341" s="53">
        <f t="shared" si="383"/>
        <v>4.4580000000000002</v>
      </c>
      <c r="M341" s="157">
        <f t="shared" si="384"/>
        <v>6.9061726541120999E-2</v>
      </c>
      <c r="N341" s="4">
        <f t="shared" si="385"/>
        <v>0.4425</v>
      </c>
      <c r="O341" s="4">
        <f t="shared" si="386"/>
        <v>0.434</v>
      </c>
      <c r="P341" s="9">
        <f t="shared" si="387"/>
        <v>0.9738</v>
      </c>
      <c r="Q341" s="5">
        <f t="shared" si="375"/>
        <v>36979</v>
      </c>
      <c r="R341" s="4">
        <f t="shared" si="388"/>
        <v>1</v>
      </c>
      <c r="S341" s="158">
        <f>_xll.xSPRDOPT($L341,$J341,$I341,$M341,$O341,$N341,$P341,$Q341-$C$3,$R341,0)</f>
        <v>7.4256199589022007E-2</v>
      </c>
      <c r="T341" s="159">
        <f>_xll.xSPRDOPT($L341,$J341,$I341,$M341,$O341,$N341,$P341,$Q341-$C$3,$R341,1)*H341</f>
        <v>-323474.73931900575</v>
      </c>
      <c r="U341" s="160">
        <f t="shared" si="389"/>
        <v>-74256.199589022013</v>
      </c>
      <c r="V341" s="159">
        <f>_xll.xSPRDOPT($L341,$J341,$I341,$M341,$O341,$N341,$P341,$Q341-$C$3,$R341,2)*H341</f>
        <v>301631.93050733209</v>
      </c>
      <c r="W341" s="159">
        <f t="shared" si="390"/>
        <v>-21842.808811673662</v>
      </c>
      <c r="X341" s="51" t="str">
        <f t="shared" si="376"/>
        <v>36982IF-TRANSCO/Z6</v>
      </c>
      <c r="Y341" s="418">
        <f t="shared" si="377"/>
        <v>-100</v>
      </c>
      <c r="Z341" s="456">
        <f t="shared" si="378"/>
        <v>0.32347473931900572</v>
      </c>
      <c r="AA341" s="456">
        <f>_xll.xSPRDOPT($L341,$J341,$I341,$M341,$O341,$N341,$P341,$Q341-$C$3,$R341,3)</f>
        <v>0.95901980555212163</v>
      </c>
      <c r="AB341" s="456">
        <f>((_xll.xSPRDOPT($L341+AB$5,$J341,$I341,$M341,$O341,$N341,$P341,$Q341-$C$3,$R341,3)*$H341)/10000)/100</f>
        <v>-0.95901980555212163</v>
      </c>
      <c r="AC341" s="456">
        <f>((_xll.xSPRDOPT($L341+$AB$5,$J341,$I341,$M341,$O341,$N341,$P341,$Q341-$C$3,$R341,7)*$H341)/100)</f>
        <v>18281.107460473009</v>
      </c>
      <c r="AD341" s="456">
        <f>(_xll.xSPRDOPT($L341+$AB$5,$J341,$I341,$M341,$O341,$N341,$P341,$Q341-$C$3,$R341,9)/365)*$H341</f>
        <v>292.41252834741437</v>
      </c>
      <c r="AE341">
        <f t="shared" si="379"/>
        <v>0</v>
      </c>
      <c r="AF341" s="456">
        <f t="shared" si="380"/>
        <v>-2934.4900057231507</v>
      </c>
      <c r="AG341" s="456">
        <f>((_xll.xSPRDOPT($L341,$J341,$I341,$M341,$O341,$N341,$P341,$Q341-$C$3,$R341,6)*$H341)/100)</f>
        <v>3923.698861560737</v>
      </c>
      <c r="AH341" s="456">
        <f>((_xll.xSPRDOPT($L341,$J341,$I341,$M341,$O341,$N341,$P341,$Q341-$C$3,$R341,5)*$H341)/100)</f>
        <v>-6992.5082345002775</v>
      </c>
      <c r="AI341" s="456">
        <f>(((_xll.xSPRDOPT($L341,$J341,$I341,$M341,$O341,$N341,$P341,$Q341-$C$3,$R341,4)*$H341)/10000)/100)-AB341</f>
        <v>4.7467886331673537E-2</v>
      </c>
      <c r="AJ341" s="456"/>
      <c r="AK341" s="456"/>
      <c r="AL341" s="456"/>
      <c r="AM341" s="472"/>
      <c r="CC341" s="141">
        <f t="shared" si="391"/>
        <v>36982</v>
      </c>
      <c r="CD341" s="234">
        <f>_xll.xSPRDOPT((VLOOKUP(G341,NGPrices,2,FALSE)+HLOOKUP(D341,Prices,VLOOKUP(G341,move_down,2,FALSE),FALSE)),VLOOKUP(G341,NGPrices,2,FALSE),I341,VLOOKUP(G341,NGPREVPRICES,4,FALSE),HLOOKUP(D341,PREVVOLS,VLOOKUP(G341,MOVE_DOWN2,2,FALSE),FALSE),VLOOKUP(G341,NGPREVPRICES,3,FALSE),HLOOKUP(D341,Correllate,VLOOKUP(G341,CorMove,2,FALSE),FALSE),Q341-$CD$3,R341,$CD$5)*H341-CJ341</f>
        <v>0</v>
      </c>
      <c r="CE341" s="234">
        <f>_xll.xSPRDOPT((VLOOKUP(G341,NGPREVPRICES,2,FALSE)+HLOOKUP(D341,PREVCURVES,VLOOKUP(G341,MOVE_DOWN2,2,FALSE),FALSE)),VLOOKUP(G341,NGPREVPRICES,2,FALSE),CK341,VLOOKUP(G341,NGPrices,4,FALSE),HLOOKUP(D341,PREVVOLS,VLOOKUP(G341,MOVE_DOWN2,2,FALSE),FALSE),VLOOKUP(G341,NGPREVPRICES,3,FALSE),HLOOKUP(D341,Correllate,VLOOKUP(G341,CorMove,2,FALSE),FALSE),Q341-$CD$3,R341,$CJ$5)*H341-CJ341</f>
        <v>0</v>
      </c>
      <c r="CF341" s="10">
        <f t="shared" si="392"/>
        <v>14.41432646420435</v>
      </c>
      <c r="CG341" s="234">
        <f>_xll.xSPRDOPT((VLOOKUP(G341,NGPREVPRICES,2,FALSE)+HLOOKUP(D341,PREVCURVES,VLOOKUP(G341,MOVE_DOWN2,2,FALSE),FALSE)),VLOOKUP(G341,NGPREVPRICES,2,FALSE),CK341,VLOOKUP(G341,NGPREVPRICES,4,FALSE),HLOOKUP(D341,VOLS,VLOOKUP(G341,move_down,2,FALSE),FALSE),VLOOKUP(G341,NGPrices,3,FALSE),HLOOKUP(D341,Correllate,VLOOKUP(G341,CorMove,2,FALSE),FALSE),Q341-$CD$3,R341,$CJ$5)*H341-CJ341</f>
        <v>0</v>
      </c>
      <c r="CH341" s="234">
        <f>_xll.xSPRDOPT((VLOOKUP(G341,NGPREVPRICES,2,FALSE)+HLOOKUP(D341,PREVCURVES,VLOOKUP(G341,MOVE_DOWN2,2,FALSE),FALSE)),VLOOKUP(G341,NGPREVPRICES,2,FALSE),CK341,VLOOKUP(G341,NGPREVPRICES,4,FALSE),HLOOKUP(D341,PREVVOLS,VLOOKUP(G341,MOVE_DOWN2,2,FALSE),FALSE),VLOOKUP(G341,NGPREVPRICES,3,FALSE),HLOOKUP(D341,Correllate,VLOOKUP(G341,CorMove,2,FALSE),FALSE),Q341-$C$3,R341,$CJ$5)*H341-CJ341</f>
        <v>291.88457293435931</v>
      </c>
      <c r="CI341" s="234">
        <f t="shared" si="393"/>
        <v>306.29889939856366</v>
      </c>
      <c r="CJ341" s="234">
        <f>_xll.xSPRDOPT((VLOOKUP(G341,NGPREVPRICES,2,FALSE)+HLOOKUP(D341,PREVCURVES,VLOOKUP(G341,MOVE_DOWN2,2,FALSE),FALSE)),VLOOKUP(G341,NGPREVPRICES,2,FALSE),CK341,VLOOKUP(G341,NGPREVPRICES,4,FALSE),HLOOKUP(D341,PREVVOLS,VLOOKUP(G341,MOVE_DOWN2,2,FALSE),FALSE),VLOOKUP(G341,NGPREVPRICES,3,FALSE),HLOOKUP(D341,Correllate,VLOOKUP(G341,CorMove,2,FALSE),FALSE),Q341-$CD$3,R341,$CJ$5)*H341</f>
        <v>-74548.084161956373</v>
      </c>
      <c r="CK341" s="235">
        <f t="shared" si="394"/>
        <v>0.7</v>
      </c>
      <c r="CM341" t="str">
        <f t="shared" si="395"/>
        <v>36982Curve Shift/Gamma</v>
      </c>
      <c r="CN341" t="str">
        <f t="shared" si="356"/>
        <v>36982Rho</v>
      </c>
      <c r="CO341" t="str">
        <f t="shared" si="357"/>
        <v>36982Drift</v>
      </c>
      <c r="CP341" t="str">
        <f t="shared" si="358"/>
        <v>36982Vega</v>
      </c>
      <c r="CQ341" t="str">
        <f t="shared" si="359"/>
        <v>36982Theta</v>
      </c>
    </row>
    <row r="342" spans="1:95" x14ac:dyDescent="0.25">
      <c r="A342" s="382" t="s">
        <v>279</v>
      </c>
      <c r="B342" t="s">
        <v>250</v>
      </c>
      <c r="C342" t="s">
        <v>450</v>
      </c>
      <c r="D342" s="4" t="s">
        <v>7</v>
      </c>
      <c r="E342" t="s">
        <v>20</v>
      </c>
      <c r="F342" t="s">
        <v>21</v>
      </c>
      <c r="G342" s="5">
        <v>36951</v>
      </c>
      <c r="H342" s="130">
        <v>-500000</v>
      </c>
      <c r="I342">
        <v>1.6</v>
      </c>
      <c r="J342" s="53">
        <f t="shared" si="381"/>
        <v>4.2130000000000001</v>
      </c>
      <c r="K342" s="7">
        <f t="shared" si="382"/>
        <v>1.075</v>
      </c>
      <c r="L342" s="53">
        <f t="shared" si="383"/>
        <v>5.2880000000000003</v>
      </c>
      <c r="M342" s="157">
        <f t="shared" si="384"/>
        <v>6.8879814952706994E-2</v>
      </c>
      <c r="N342" s="4">
        <f t="shared" si="385"/>
        <v>0.53249999999999997</v>
      </c>
      <c r="O342" s="4">
        <f t="shared" si="386"/>
        <v>0.61199999999999999</v>
      </c>
      <c r="P342" s="9">
        <f t="shared" si="387"/>
        <v>0.83</v>
      </c>
      <c r="Q342" s="5">
        <f t="shared" si="375"/>
        <v>36949</v>
      </c>
      <c r="R342" s="4">
        <f t="shared" si="388"/>
        <v>1</v>
      </c>
      <c r="S342" s="158">
        <f>_xll.xSPRDOPT($L342,$J342,$I342,$M342,$O342,$N342,$P342,$Q342-$C$3,$R342,0)</f>
        <v>0.32865712182356605</v>
      </c>
      <c r="T342" s="159">
        <f>_xll.xSPRDOPT($L342,$J342,$I342,$M342,$O342,$N342,$P342,$Q342-$C$3,$R342,1)*H342</f>
        <v>-196390.40631295045</v>
      </c>
      <c r="U342" s="160">
        <f t="shared" si="389"/>
        <v>-164328.56091178302</v>
      </c>
      <c r="V342" s="159">
        <f>_xll.xSPRDOPT($L342,$J342,$I342,$M342,$O342,$N342,$P342,$Q342-$C$3,$R342,2)*H342</f>
        <v>156022.52794599545</v>
      </c>
      <c r="W342" s="159">
        <f t="shared" si="390"/>
        <v>-40367.878366955003</v>
      </c>
      <c r="X342" s="51" t="str">
        <f t="shared" si="376"/>
        <v>36951IF-TRANSCO/Z6</v>
      </c>
      <c r="Y342" s="418">
        <f t="shared" si="377"/>
        <v>-50</v>
      </c>
      <c r="Z342" s="456">
        <f t="shared" si="378"/>
        <v>0.39278081262590092</v>
      </c>
      <c r="AA342" s="456">
        <f>_xll.xSPRDOPT($L342,$J342,$I342,$M342,$O342,$N342,$P342,$Q342-$C$3,$R342,3)</f>
        <v>0.27838187776051626</v>
      </c>
      <c r="AB342" s="456">
        <f>((_xll.xSPRDOPT($L342+AB$5,$J342,$I342,$M342,$O342,$N342,$P342,$Q342-$C$3,$R342,3)*$H342)/10000)/100</f>
        <v>-0.13919093888025813</v>
      </c>
      <c r="AC342" s="456">
        <f>((_xll.xSPRDOPT($L342+$AB$5,$J342,$I342,$M342,$O342,$N342,$P342,$Q342-$C$3,$R342,7)*$H342)/100)</f>
        <v>4672.8043226816735</v>
      </c>
      <c r="AD342" s="456">
        <f>(_xll.xSPRDOPT($L342+$AB$5,$J342,$I342,$M342,$O342,$N342,$P342,$Q342-$C$3,$R342,9)/365)*$H342</f>
        <v>666.47489308900913</v>
      </c>
      <c r="AE342">
        <f t="shared" si="379"/>
        <v>0</v>
      </c>
      <c r="AF342" s="456">
        <f t="shared" si="380"/>
        <v>-4764.5257485153224</v>
      </c>
      <c r="AG342" s="456">
        <f>((_xll.xSPRDOPT($L342,$J342,$I342,$M342,$O342,$N342,$P342,$Q342-$C$3,$R342,6)*$H342)/100)</f>
        <v>1593.4217697894862</v>
      </c>
      <c r="AH342" s="456">
        <f>((_xll.xSPRDOPT($L342,$J342,$I342,$M342,$O342,$N342,$P342,$Q342-$C$3,$R342,5)*$H342)/100)</f>
        <v>-5532.0376691132524</v>
      </c>
      <c r="AI342" s="456">
        <f>(((_xll.xSPRDOPT($L342,$J342,$I342,$M342,$O342,$N342,$P342,$Q342-$C$3,$R342,4)*$H342)/10000)/100)-AB342</f>
        <v>1.8373882565995384E-2</v>
      </c>
      <c r="AJ342" s="456"/>
      <c r="AK342" s="456"/>
      <c r="AL342" s="456"/>
      <c r="AM342" s="472"/>
      <c r="CC342" s="141">
        <f t="shared" si="391"/>
        <v>36951</v>
      </c>
      <c r="CD342" s="234">
        <f>_xll.xSPRDOPT((VLOOKUP(G342,NGPrices,2,FALSE)+HLOOKUP(D342,Prices,VLOOKUP(G342,move_down,2,FALSE),FALSE)),VLOOKUP(G342,NGPrices,2,FALSE),I342,VLOOKUP(G342,NGPREVPRICES,4,FALSE),HLOOKUP(D342,PREVVOLS,VLOOKUP(G342,MOVE_DOWN2,2,FALSE),FALSE),VLOOKUP(G342,NGPREVPRICES,3,FALSE),HLOOKUP(D342,Correllate,VLOOKUP(G342,CorMove,2,FALSE),FALSE),Q342-$CD$3,R342,$CD$5)*H342-CJ342</f>
        <v>0</v>
      </c>
      <c r="CE342" s="234">
        <f>_xll.xSPRDOPT((VLOOKUP(G342,NGPREVPRICES,2,FALSE)+HLOOKUP(D342,PREVCURVES,VLOOKUP(G342,MOVE_DOWN2,2,FALSE),FALSE)),VLOOKUP(G342,NGPREVPRICES,2,FALSE),CK342,VLOOKUP(G342,NGPrices,4,FALSE),HLOOKUP(D342,PREVVOLS,VLOOKUP(G342,MOVE_DOWN2,2,FALSE),FALSE),VLOOKUP(G342,NGPREVPRICES,3,FALSE),HLOOKUP(D342,Correllate,VLOOKUP(G342,CorMove,2,FALSE),FALSE),Q342-$CD$3,R342,$CJ$5)*H342-CJ342</f>
        <v>0</v>
      </c>
      <c r="CF342" s="10">
        <f t="shared" si="392"/>
        <v>31.643310363811906</v>
      </c>
      <c r="CG342" s="234">
        <f>_xll.xSPRDOPT((VLOOKUP(G342,NGPREVPRICES,2,FALSE)+HLOOKUP(D342,PREVCURVES,VLOOKUP(G342,MOVE_DOWN2,2,FALSE),FALSE)),VLOOKUP(G342,NGPREVPRICES,2,FALSE),CK342,VLOOKUP(G342,NGPREVPRICES,4,FALSE),HLOOKUP(D342,VOLS,VLOOKUP(G342,move_down,2,FALSE),FALSE),VLOOKUP(G342,NGPrices,3,FALSE),HLOOKUP(D342,Correllate,VLOOKUP(G342,CorMove,2,FALSE),FALSE),Q342-$CD$3,R342,$CJ$5)*H342-CJ342</f>
        <v>0</v>
      </c>
      <c r="CH342" s="234">
        <f>_xll.xSPRDOPT((VLOOKUP(G342,NGPREVPRICES,2,FALSE)+HLOOKUP(D342,PREVCURVES,VLOOKUP(G342,MOVE_DOWN2,2,FALSE),FALSE)),VLOOKUP(G342,NGPREVPRICES,2,FALSE),CK342,VLOOKUP(G342,NGPREVPRICES,4,FALSE),HLOOKUP(D342,PREVVOLS,VLOOKUP(G342,MOVE_DOWN2,2,FALSE),FALSE),VLOOKUP(G342,NGPREVPRICES,3,FALSE),HLOOKUP(D342,Correllate,VLOOKUP(G342,CorMove,2,FALSE),FALSE),Q342-$C$3,R342,$CJ$5)*H342-CJ342</f>
        <v>665.05770476773614</v>
      </c>
      <c r="CI342" s="234">
        <f t="shared" si="393"/>
        <v>696.70101513154805</v>
      </c>
      <c r="CJ342" s="234">
        <f>_xll.xSPRDOPT((VLOOKUP(G342,NGPREVPRICES,2,FALSE)+HLOOKUP(D342,PREVCURVES,VLOOKUP(G342,MOVE_DOWN2,2,FALSE),FALSE)),VLOOKUP(G342,NGPREVPRICES,2,FALSE),CK342,VLOOKUP(G342,NGPREVPRICES,4,FALSE),HLOOKUP(D342,PREVVOLS,VLOOKUP(G342,MOVE_DOWN2,2,FALSE),FALSE),VLOOKUP(G342,NGPREVPRICES,3,FALSE),HLOOKUP(D342,Correllate,VLOOKUP(G342,CorMove,2,FALSE),FALSE),Q342-$CD$3,R342,$CJ$5)*H342</f>
        <v>-164993.61861655075</v>
      </c>
      <c r="CK342" s="235">
        <f t="shared" si="394"/>
        <v>1.6</v>
      </c>
      <c r="CM342" t="str">
        <f t="shared" si="395"/>
        <v>36951Curve Shift/Gamma</v>
      </c>
      <c r="CN342" t="str">
        <f t="shared" si="356"/>
        <v>36951Rho</v>
      </c>
      <c r="CO342" t="str">
        <f t="shared" si="357"/>
        <v>36951Drift</v>
      </c>
      <c r="CP342" t="str">
        <f t="shared" si="358"/>
        <v>36951Vega</v>
      </c>
      <c r="CQ342" t="str">
        <f t="shared" si="359"/>
        <v>36951Theta</v>
      </c>
    </row>
    <row r="343" spans="1:95" x14ac:dyDescent="0.25">
      <c r="A343" s="382" t="s">
        <v>279</v>
      </c>
      <c r="B343" t="s">
        <v>250</v>
      </c>
      <c r="C343" t="s">
        <v>450</v>
      </c>
      <c r="D343" s="4" t="s">
        <v>7</v>
      </c>
      <c r="E343" t="s">
        <v>20</v>
      </c>
      <c r="F343" t="s">
        <v>21</v>
      </c>
      <c r="G343" s="5">
        <v>36923</v>
      </c>
      <c r="H343" s="130">
        <v>-500000</v>
      </c>
      <c r="I343">
        <v>1.6</v>
      </c>
      <c r="J343" s="53">
        <f t="shared" si="381"/>
        <v>4.4800000000000004</v>
      </c>
      <c r="K343" s="7">
        <f t="shared" si="382"/>
        <v>2.09</v>
      </c>
      <c r="L343" s="53">
        <f t="shared" si="383"/>
        <v>6.57</v>
      </c>
      <c r="M343" s="157">
        <f t="shared" si="384"/>
        <v>6.8640161611372E-2</v>
      </c>
      <c r="N343" s="4">
        <f t="shared" si="385"/>
        <v>0.59250000000000003</v>
      </c>
      <c r="O343" s="4">
        <f t="shared" si="386"/>
        <v>0.68100000000000005</v>
      </c>
      <c r="P343" s="9">
        <f t="shared" si="387"/>
        <v>0.83</v>
      </c>
      <c r="Q343" s="5">
        <f t="shared" si="375"/>
        <v>36921</v>
      </c>
      <c r="R343" s="4">
        <f t="shared" si="388"/>
        <v>1</v>
      </c>
      <c r="S343" s="158">
        <f>_xll.xSPRDOPT($L343,$J343,$I343,$M343,$O343,$N343,$P343,$Q343-$C$3,$R343,0)</f>
        <v>0.90434668378695238</v>
      </c>
      <c r="T343" s="159">
        <f>_xll.xSPRDOPT($L343,$J343,$I343,$M343,$O343,$N343,$P343,$Q343-$C$3,$R343,1)*H343</f>
        <v>-324304.27091843303</v>
      </c>
      <c r="U343" s="160">
        <f t="shared" si="389"/>
        <v>-452173.3418934762</v>
      </c>
      <c r="V343" s="159">
        <f>_xll.xSPRDOPT($L343,$J343,$I343,$M343,$O343,$N343,$P343,$Q343-$C$3,$R343,2)*H343</f>
        <v>282459.90666030475</v>
      </c>
      <c r="W343" s="159">
        <f t="shared" si="390"/>
        <v>-41844.364258128277</v>
      </c>
      <c r="X343" s="51" t="str">
        <f t="shared" si="376"/>
        <v>36923IF-TRANSCO/Z6</v>
      </c>
      <c r="Y343" s="418">
        <f t="shared" si="377"/>
        <v>-50</v>
      </c>
      <c r="Z343" s="456">
        <f t="shared" si="378"/>
        <v>0.64860854183686611</v>
      </c>
      <c r="AA343" s="456">
        <f>_xll.xSPRDOPT($L343,$J343,$I343,$M343,$O343,$N343,$P343,$Q343-$C$3,$R343,3)</f>
        <v>0.20562130469864384</v>
      </c>
      <c r="AB343" s="456">
        <f>((_xll.xSPRDOPT($L343+AB$5,$J343,$I343,$M343,$O343,$N343,$P343,$Q343-$C$3,$R343,3)*$H343)/10000)/100</f>
        <v>-0.10281065234932191</v>
      </c>
      <c r="AC343" s="456">
        <f>((_xll.xSPRDOPT($L343+$AB$5,$J343,$I343,$M343,$O343,$N343,$P343,$Q343-$C$3,$R343,7)*$H343)/100)</f>
        <v>5554.6647006338935</v>
      </c>
      <c r="AD343" s="456">
        <f>(_xll.xSPRDOPT($L343+$AB$5,$J343,$I343,$M343,$O343,$N343,$P343,$Q343-$C$3,$R343,9)/365)*$H343</f>
        <v>904.17825356218725</v>
      </c>
      <c r="AE343">
        <f t="shared" si="379"/>
        <v>0</v>
      </c>
      <c r="AF343" s="456">
        <f t="shared" si="380"/>
        <v>-5138.712227410897</v>
      </c>
      <c r="AG343" s="456">
        <f>((_xll.xSPRDOPT($L343,$J343,$I343,$M343,$O343,$N343,$P343,$Q343-$C$3,$R343,6)*$H343)/100)</f>
        <v>1725.6111133841791</v>
      </c>
      <c r="AH343" s="456">
        <f>((_xll.xSPRDOPT($L343,$J343,$I343,$M343,$O343,$N343,$P343,$Q343-$C$3,$R343,5)*$H343)/100)</f>
        <v>-5972.2636995904286</v>
      </c>
      <c r="AI343" s="456">
        <f>(((_xll.xSPRDOPT($L343,$J343,$I343,$M343,$O343,$N343,$P343,$Q343-$C$3,$R343,4)*$H343)/10000)/100)-AB343</f>
        <v>-1.7965238590623586E-2</v>
      </c>
      <c r="AJ343" s="456"/>
      <c r="AK343" s="456"/>
      <c r="AL343" s="456"/>
      <c r="AM343" s="472"/>
      <c r="CC343" s="141">
        <f t="shared" si="391"/>
        <v>36923</v>
      </c>
      <c r="CD343" s="234">
        <f>_xll.xSPRDOPT((VLOOKUP(G343,NGPrices,2,FALSE)+HLOOKUP(D343,Prices,VLOOKUP(G343,move_down,2,FALSE),FALSE)),VLOOKUP(G343,NGPrices,2,FALSE),I343,VLOOKUP(G343,NGPREVPRICES,4,FALSE),HLOOKUP(D343,PREVVOLS,VLOOKUP(G343,MOVE_DOWN2,2,FALSE),FALSE),VLOOKUP(G343,NGPREVPRICES,3,FALSE),HLOOKUP(D343,Correllate,VLOOKUP(G343,CorMove,2,FALSE),FALSE),Q343-$CD$3,R343,$CD$5)*H343-CJ343</f>
        <v>0</v>
      </c>
      <c r="CE343" s="234">
        <f>_xll.xSPRDOPT((VLOOKUP(G343,NGPREVPRICES,2,FALSE)+HLOOKUP(D343,PREVCURVES,VLOOKUP(G343,MOVE_DOWN2,2,FALSE),FALSE)),VLOOKUP(G343,NGPREVPRICES,2,FALSE),CK343,VLOOKUP(G343,NGPrices,4,FALSE),HLOOKUP(D343,PREVVOLS,VLOOKUP(G343,MOVE_DOWN2,2,FALSE),FALSE),VLOOKUP(G343,NGPREVPRICES,3,FALSE),HLOOKUP(D343,Correllate,VLOOKUP(G343,CorMove,2,FALSE),FALSE),Q343-$CD$3,R343,$CJ$5)*H343-CJ343</f>
        <v>0</v>
      </c>
      <c r="CF343" s="10">
        <f t="shared" si="392"/>
        <v>86.169686789158732</v>
      </c>
      <c r="CG343" s="234">
        <f>_xll.xSPRDOPT((VLOOKUP(G343,NGPREVPRICES,2,FALSE)+HLOOKUP(D343,PREVCURVES,VLOOKUP(G343,MOVE_DOWN2,2,FALSE),FALSE)),VLOOKUP(G343,NGPREVPRICES,2,FALSE),CK343,VLOOKUP(G343,NGPREVPRICES,4,FALSE),HLOOKUP(D343,VOLS,VLOOKUP(G343,move_down,2,FALSE),FALSE),VLOOKUP(G343,NGPrices,3,FALSE),HLOOKUP(D343,Correllate,VLOOKUP(G343,CorMove,2,FALSE),FALSE),Q343-$CD$3,R343,$CJ$5)*H343-CJ343</f>
        <v>0</v>
      </c>
      <c r="CH343" s="234">
        <f>_xll.xSPRDOPT((VLOOKUP(G343,NGPREVPRICES,2,FALSE)+HLOOKUP(D343,PREVCURVES,VLOOKUP(G343,MOVE_DOWN2,2,FALSE),FALSE)),VLOOKUP(G343,NGPREVPRICES,2,FALSE),CK343,VLOOKUP(G343,NGPREVPRICES,4,FALSE),HLOOKUP(D343,PREVVOLS,VLOOKUP(G343,MOVE_DOWN2,2,FALSE),FALSE),VLOOKUP(G343,NGPREVPRICES,3,FALSE),HLOOKUP(D343,Correllate,VLOOKUP(G343,CorMove,2,FALSE),FALSE),Q343-$C$3,R343,$CJ$5)*H343-CJ343</f>
        <v>901.90831540949875</v>
      </c>
      <c r="CI343" s="234">
        <f t="shared" si="393"/>
        <v>988.07800219865749</v>
      </c>
      <c r="CJ343" s="234">
        <f>_xll.xSPRDOPT((VLOOKUP(G343,NGPREVPRICES,2,FALSE)+HLOOKUP(D343,PREVCURVES,VLOOKUP(G343,MOVE_DOWN2,2,FALSE),FALSE)),VLOOKUP(G343,NGPREVPRICES,2,FALSE),CK343,VLOOKUP(G343,NGPREVPRICES,4,FALSE),HLOOKUP(D343,PREVVOLS,VLOOKUP(G343,MOVE_DOWN2,2,FALSE),FALSE),VLOOKUP(G343,NGPREVPRICES,3,FALSE),HLOOKUP(D343,Correllate,VLOOKUP(G343,CorMove,2,FALSE),FALSE),Q343-$CD$3,R343,$CJ$5)*H343</f>
        <v>-453075.2502088857</v>
      </c>
      <c r="CK343" s="235">
        <f t="shared" si="394"/>
        <v>1.6</v>
      </c>
      <c r="CM343" t="str">
        <f t="shared" si="395"/>
        <v>36923Curve Shift/Gamma</v>
      </c>
      <c r="CN343" t="str">
        <f t="shared" si="356"/>
        <v>36923Rho</v>
      </c>
      <c r="CO343" t="str">
        <f t="shared" si="357"/>
        <v>36923Drift</v>
      </c>
      <c r="CP343" t="str">
        <f t="shared" si="358"/>
        <v>36923Vega</v>
      </c>
      <c r="CQ343" t="str">
        <f t="shared" si="359"/>
        <v>36923Theta</v>
      </c>
    </row>
    <row r="344" spans="1:95" x14ac:dyDescent="0.25">
      <c r="A344" s="382" t="s">
        <v>279</v>
      </c>
      <c r="B344" t="s">
        <v>250</v>
      </c>
      <c r="C344" t="s">
        <v>450</v>
      </c>
      <c r="D344" s="4" t="s">
        <v>7</v>
      </c>
      <c r="E344" t="s">
        <v>20</v>
      </c>
      <c r="F344" t="s">
        <v>21</v>
      </c>
      <c r="G344" s="5">
        <v>36892</v>
      </c>
      <c r="H344" s="130">
        <v>-500000</v>
      </c>
      <c r="I344">
        <v>1.6</v>
      </c>
      <c r="J344" s="53">
        <f t="shared" si="381"/>
        <v>4.7439999999999998</v>
      </c>
      <c r="K344" s="7">
        <f t="shared" si="382"/>
        <v>2.17</v>
      </c>
      <c r="L344" s="53">
        <f t="shared" si="383"/>
        <v>6.9139999999999997</v>
      </c>
      <c r="M344" s="157">
        <f t="shared" si="384"/>
        <v>6.8374831148490994E-2</v>
      </c>
      <c r="N344" s="4">
        <f t="shared" si="385"/>
        <v>0.60499999999999998</v>
      </c>
      <c r="O344" s="4">
        <f t="shared" si="386"/>
        <v>0.69599999999999995</v>
      </c>
      <c r="P344" s="9">
        <f t="shared" si="387"/>
        <v>0.83</v>
      </c>
      <c r="Q344" s="5">
        <f t="shared" si="375"/>
        <v>36888</v>
      </c>
      <c r="R344" s="4">
        <f t="shared" si="388"/>
        <v>1</v>
      </c>
      <c r="S344" s="158">
        <f>_xll.xSPRDOPT($L344,$J344,$I344,$M344,$O344,$N344,$P344,$Q344-$C$3,$R344,0)</f>
        <v>0.92593922821099572</v>
      </c>
      <c r="T344" s="159">
        <f>_xll.xSPRDOPT($L344,$J344,$I344,$M344,$O344,$N344,$P344,$Q344-$C$3,$R344,1)*H344</f>
        <v>-335938.6494050764</v>
      </c>
      <c r="U344" s="160">
        <f t="shared" si="389"/>
        <v>-462969.61410549784</v>
      </c>
      <c r="V344" s="159">
        <f>_xll.xSPRDOPT($L344,$J344,$I344,$M344,$O344,$N344,$P344,$Q344-$C$3,$R344,2)*H344</f>
        <v>298434.51204525173</v>
      </c>
      <c r="W344" s="159">
        <f t="shared" si="390"/>
        <v>-37504.137359824672</v>
      </c>
      <c r="X344" s="51" t="str">
        <f t="shared" si="376"/>
        <v>36892IF-TRANSCO/Z6</v>
      </c>
      <c r="Y344" s="418">
        <f t="shared" si="377"/>
        <v>-50</v>
      </c>
      <c r="Z344" s="456">
        <f t="shared" si="378"/>
        <v>0.67187729881015279</v>
      </c>
      <c r="AA344" s="456">
        <f>_xll.xSPRDOPT($L344,$J344,$I344,$M344,$O344,$N344,$P344,$Q344-$C$3,$R344,3)</f>
        <v>0.21258143875178478</v>
      </c>
      <c r="AB344" s="456">
        <f>((_xll.xSPRDOPT($L344+AB$5,$J344,$I344,$M344,$O344,$N344,$P344,$Q344-$C$3,$R344,3)*$H344)/10000)/100</f>
        <v>-0.10629071937589239</v>
      </c>
      <c r="AC344" s="456">
        <f>((_xll.xSPRDOPT($L344+$AB$5,$J344,$I344,$M344,$O344,$N344,$P344,$Q344-$C$3,$R344,7)*$H344)/100)</f>
        <v>5279.9366967826572</v>
      </c>
      <c r="AD344" s="456">
        <f>(_xll.xSPRDOPT($L344+$AB$5,$J344,$I344,$M344,$O344,$N344,$P344,$Q344-$C$3,$R344,9)/365)*$H344</f>
        <v>1084.4711419958712</v>
      </c>
      <c r="AE344">
        <f t="shared" si="379"/>
        <v>0</v>
      </c>
      <c r="AF344" s="456">
        <f t="shared" si="380"/>
        <v>-4681.5872442152022</v>
      </c>
      <c r="AG344" s="456">
        <f>((_xll.xSPRDOPT($L344,$J344,$I344,$M344,$O344,$N344,$P344,$Q344-$C$3,$R344,6)*$H344)/100)</f>
        <v>1552.4671085031514</v>
      </c>
      <c r="AH344" s="456">
        <f>((_xll.xSPRDOPT($L344,$J344,$I344,$M344,$O344,$N344,$P344,$Q344-$C$3,$R344,5)*$H344)/100)</f>
        <v>-5418.9696600497191</v>
      </c>
      <c r="AI344" s="456">
        <f>(((_xll.xSPRDOPT($L344,$J344,$I344,$M344,$O344,$N344,$P344,$Q344-$C$3,$R344,4)*$H344)/10000)/100)-AB344</f>
        <v>-1.9878090689224151E-2</v>
      </c>
      <c r="AJ344" s="456"/>
      <c r="AK344" s="456"/>
      <c r="AL344" s="456"/>
      <c r="AM344" s="472"/>
      <c r="CC344" s="141">
        <f t="shared" si="391"/>
        <v>36892</v>
      </c>
      <c r="CD344" s="234">
        <f>_xll.xSPRDOPT((VLOOKUP(G344,NGPrices,2,FALSE)+HLOOKUP(D344,Prices,VLOOKUP(G344,move_down,2,FALSE),FALSE)),VLOOKUP(G344,NGPrices,2,FALSE),I344,VLOOKUP(G344,NGPREVPRICES,4,FALSE),HLOOKUP(D344,PREVVOLS,VLOOKUP(G344,MOVE_DOWN2,2,FALSE),FALSE),VLOOKUP(G344,NGPREVPRICES,3,FALSE),HLOOKUP(D344,Correllate,VLOOKUP(G344,CorMove,2,FALSE),FALSE),Q344-$CD$3,R344,$CD$5)*H344-CJ344</f>
        <v>0</v>
      </c>
      <c r="CE344" s="234">
        <f>_xll.xSPRDOPT((VLOOKUP(G344,NGPREVPRICES,2,FALSE)+HLOOKUP(D344,PREVCURVES,VLOOKUP(G344,MOVE_DOWN2,2,FALSE),FALSE)),VLOOKUP(G344,NGPREVPRICES,2,FALSE),CK344,VLOOKUP(G344,NGPrices,4,FALSE),HLOOKUP(D344,PREVVOLS,VLOOKUP(G344,MOVE_DOWN2,2,FALSE),FALSE),VLOOKUP(G344,NGPREVPRICES,3,FALSE),HLOOKUP(D344,Correllate,VLOOKUP(G344,CorMove,2,FALSE),FALSE),Q344-$CD$3,R344,$CJ$5)*H344-CJ344</f>
        <v>0</v>
      </c>
      <c r="CF344" s="10">
        <f t="shared" si="392"/>
        <v>87.446315992216114</v>
      </c>
      <c r="CG344" s="234">
        <f>_xll.xSPRDOPT((VLOOKUP(G344,NGPREVPRICES,2,FALSE)+HLOOKUP(D344,PREVCURVES,VLOOKUP(G344,MOVE_DOWN2,2,FALSE),FALSE)),VLOOKUP(G344,NGPREVPRICES,2,FALSE),CK344,VLOOKUP(G344,NGPREVPRICES,4,FALSE),HLOOKUP(D344,VOLS,VLOOKUP(G344,move_down,2,FALSE),FALSE),VLOOKUP(G344,NGPrices,3,FALSE),HLOOKUP(D344,Correllate,VLOOKUP(G344,CorMove,2,FALSE),FALSE),Q344-$CD$3,R344,$CJ$5)*H344-CJ344</f>
        <v>0</v>
      </c>
      <c r="CH344" s="234">
        <f>_xll.xSPRDOPT((VLOOKUP(G344,NGPREVPRICES,2,FALSE)+HLOOKUP(D344,PREVCURVES,VLOOKUP(G344,MOVE_DOWN2,2,FALSE),FALSE)),VLOOKUP(G344,NGPREVPRICES,2,FALSE),CK344,VLOOKUP(G344,NGPREVPRICES,4,FALSE),HLOOKUP(D344,PREVVOLS,VLOOKUP(G344,MOVE_DOWN2,2,FALSE),FALSE),VLOOKUP(G344,NGPREVPRICES,3,FALSE),HLOOKUP(D344,Correllate,VLOOKUP(G344,CorMove,2,FALSE),FALSE),Q344-$C$3,R344,$CJ$5)*H344-CJ344</f>
        <v>1081.4141072871862</v>
      </c>
      <c r="CI344" s="234">
        <f t="shared" si="393"/>
        <v>1168.8604232794023</v>
      </c>
      <c r="CJ344" s="234">
        <f>_xll.xSPRDOPT((VLOOKUP(G344,NGPREVPRICES,2,FALSE)+HLOOKUP(D344,PREVCURVES,VLOOKUP(G344,MOVE_DOWN2,2,FALSE),FALSE)),VLOOKUP(G344,NGPREVPRICES,2,FALSE),CK344,VLOOKUP(G344,NGPREVPRICES,4,FALSE),HLOOKUP(D344,PREVVOLS,VLOOKUP(G344,MOVE_DOWN2,2,FALSE),FALSE),VLOOKUP(G344,NGPREVPRICES,3,FALSE),HLOOKUP(D344,Correllate,VLOOKUP(G344,CorMove,2,FALSE),FALSE),Q344-$CD$3,R344,$CJ$5)*H344</f>
        <v>-464051.02821278502</v>
      </c>
      <c r="CK344" s="235">
        <f t="shared" si="394"/>
        <v>1.6</v>
      </c>
      <c r="CM344" t="str">
        <f t="shared" si="395"/>
        <v>36892Curve Shift/Gamma</v>
      </c>
      <c r="CN344" t="str">
        <f t="shared" si="356"/>
        <v>36892Rho</v>
      </c>
      <c r="CO344" t="str">
        <f t="shared" si="357"/>
        <v>36892Drift</v>
      </c>
      <c r="CP344" t="str">
        <f t="shared" si="358"/>
        <v>36892Vega</v>
      </c>
      <c r="CQ344" t="str">
        <f t="shared" si="359"/>
        <v>36892Theta</v>
      </c>
    </row>
    <row r="345" spans="1:95" x14ac:dyDescent="0.25">
      <c r="A345" s="382" t="s">
        <v>279</v>
      </c>
      <c r="B345" t="s">
        <v>250</v>
      </c>
      <c r="C345" t="s">
        <v>450</v>
      </c>
      <c r="D345" s="4" t="s">
        <v>7</v>
      </c>
      <c r="E345" t="s">
        <v>20</v>
      </c>
      <c r="F345" t="s">
        <v>21</v>
      </c>
      <c r="G345" s="5">
        <v>36861</v>
      </c>
      <c r="H345" s="130">
        <v>-500000</v>
      </c>
      <c r="I345">
        <v>1.6</v>
      </c>
      <c r="J345" s="53">
        <f t="shared" si="381"/>
        <v>4.8</v>
      </c>
      <c r="K345" s="7">
        <f t="shared" si="382"/>
        <v>1.645</v>
      </c>
      <c r="L345" s="53">
        <f t="shared" si="383"/>
        <v>6.4450000000000003</v>
      </c>
      <c r="M345" s="157">
        <f t="shared" si="384"/>
        <v>6.8314027999354002E-2</v>
      </c>
      <c r="N345" s="4">
        <f t="shared" si="385"/>
        <v>0.6</v>
      </c>
      <c r="O345" s="4">
        <f t="shared" si="386"/>
        <v>0.69</v>
      </c>
      <c r="P345" s="9">
        <f t="shared" si="387"/>
        <v>0.83</v>
      </c>
      <c r="Q345" s="5">
        <f t="shared" si="375"/>
        <v>36859</v>
      </c>
      <c r="R345" s="4">
        <f t="shared" si="388"/>
        <v>1</v>
      </c>
      <c r="S345" s="158">
        <f>_xll.xSPRDOPT($L345,$J345,$I345,$M345,$O345,$N345,$P345,$Q345-$C$3,$R345,0)</f>
        <v>0.53268342050603656</v>
      </c>
      <c r="T345" s="159">
        <f>_xll.xSPRDOPT($L345,$J345,$I345,$M345,$O345,$N345,$P345,$Q345-$C$3,$R345,1)*H345</f>
        <v>-273085.18779679958</v>
      </c>
      <c r="U345" s="160">
        <f t="shared" si="389"/>
        <v>-266341.7102530183</v>
      </c>
      <c r="V345" s="159">
        <f>_xll.xSPRDOPT($L345,$J345,$I345,$M345,$O345,$N345,$P345,$Q345-$C$3,$R345,2)*H345</f>
        <v>237868.49307894084</v>
      </c>
      <c r="W345" s="159">
        <f t="shared" si="390"/>
        <v>-35216.694717858743</v>
      </c>
      <c r="X345" s="51" t="str">
        <f t="shared" si="376"/>
        <v>36861IF-TRANSCO/Z6</v>
      </c>
      <c r="Y345" s="418">
        <f t="shared" si="377"/>
        <v>-50</v>
      </c>
      <c r="Z345" s="456">
        <f t="shared" si="378"/>
        <v>0.54617037559359916</v>
      </c>
      <c r="AA345" s="456">
        <f>_xll.xSPRDOPT($L345,$J345,$I345,$M345,$O345,$N345,$P345,$Q345-$C$3,$R345,3)</f>
        <v>0.29714880405850658</v>
      </c>
      <c r="AB345" s="456">
        <f>((_xll.xSPRDOPT($L345+AB$5,$J345,$I345,$M345,$O345,$N345,$P345,$Q345-$C$3,$R345,3)*$H345)/10000)/100</f>
        <v>-0.14857440202925329</v>
      </c>
      <c r="AC345" s="456">
        <f>((_xll.xSPRDOPT($L345+$AB$5,$J345,$I345,$M345,$O345,$N345,$P345,$Q345-$C$3,$R345,7)*$H345)/100)</f>
        <v>4844.3605137473232</v>
      </c>
      <c r="AD345" s="456">
        <f>(_xll.xSPRDOPT($L345+$AB$5,$J345,$I345,$M345,$O345,$N345,$P345,$Q345-$C$3,$R345,9)/365)*$H345</f>
        <v>1334.685800503742</v>
      </c>
      <c r="AE345">
        <f t="shared" si="379"/>
        <v>0</v>
      </c>
      <c r="AF345" s="456">
        <f t="shared" si="380"/>
        <v>-4243.0004612647135</v>
      </c>
      <c r="AG345" s="456">
        <f>((_xll.xSPRDOPT($L345,$J345,$I345,$M345,$O345,$N345,$P345,$Q345-$C$3,$R345,6)*$H345)/100)</f>
        <v>1390.4905351003306</v>
      </c>
      <c r="AH345" s="456">
        <f>((_xll.xSPRDOPT($L345,$J345,$I345,$M345,$O345,$N345,$P345,$Q345-$C$3,$R345,5)*$H345)/100)</f>
        <v>-4898.6878229261256</v>
      </c>
      <c r="AI345" s="456">
        <f>(((_xll.xSPRDOPT($L345,$J345,$I345,$M345,$O345,$N345,$P345,$Q345-$C$3,$R345,4)*$H345)/10000)/100)-AB345</f>
        <v>-3.9490858649893767E-3</v>
      </c>
      <c r="AJ345" s="456"/>
      <c r="AK345" s="456"/>
      <c r="AL345" s="456"/>
      <c r="AM345" s="472"/>
      <c r="CC345" s="141">
        <f t="shared" si="391"/>
        <v>36861</v>
      </c>
      <c r="CD345" s="234">
        <f>_xll.xSPRDOPT((VLOOKUP(G345,NGPrices,2,FALSE)+HLOOKUP(D345,Prices,VLOOKUP(G345,move_down,2,FALSE),FALSE)),VLOOKUP(G345,NGPrices,2,FALSE),I345,VLOOKUP(G345,NGPREVPRICES,4,FALSE),HLOOKUP(D345,PREVVOLS,VLOOKUP(G345,MOVE_DOWN2,2,FALSE),FALSE),VLOOKUP(G345,NGPREVPRICES,3,FALSE),HLOOKUP(D345,Correllate,VLOOKUP(G345,CorMove,2,FALSE),FALSE),Q345-$CD$3,R345,$CD$5)*H345-CJ345</f>
        <v>0</v>
      </c>
      <c r="CE345" s="234">
        <f>_xll.xSPRDOPT((VLOOKUP(G345,NGPREVPRICES,2,FALSE)+HLOOKUP(D345,PREVCURVES,VLOOKUP(G345,MOVE_DOWN2,2,FALSE),FALSE)),VLOOKUP(G345,NGPREVPRICES,2,FALSE),CK345,VLOOKUP(G345,NGPrices,4,FALSE),HLOOKUP(D345,PREVVOLS,VLOOKUP(G345,MOVE_DOWN2,2,FALSE),FALSE),VLOOKUP(G345,NGPREVPRICES,3,FALSE),HLOOKUP(D345,Correllate,VLOOKUP(G345,CorMove,2,FALSE),FALSE),Q345-$CD$3,R345,$CJ$5)*H345-CJ345</f>
        <v>0</v>
      </c>
      <c r="CF345" s="10">
        <f t="shared" si="392"/>
        <v>50.145021510426886</v>
      </c>
      <c r="CG345" s="234">
        <f>_xll.xSPRDOPT((VLOOKUP(G345,NGPREVPRICES,2,FALSE)+HLOOKUP(D345,PREVCURVES,VLOOKUP(G345,MOVE_DOWN2,2,FALSE),FALSE)),VLOOKUP(G345,NGPREVPRICES,2,FALSE),CK345,VLOOKUP(G345,NGPREVPRICES,4,FALSE),HLOOKUP(D345,VOLS,VLOOKUP(G345,move_down,2,FALSE),FALSE),VLOOKUP(G345,NGPrices,3,FALSE),HLOOKUP(D345,Correllate,VLOOKUP(G345,CorMove,2,FALSE),FALSE),Q345-$CD$3,R345,$CJ$5)*H345-CJ345</f>
        <v>0</v>
      </c>
      <c r="CH345" s="234">
        <f>_xll.xSPRDOPT((VLOOKUP(G345,NGPREVPRICES,2,FALSE)+HLOOKUP(D345,PREVCURVES,VLOOKUP(G345,MOVE_DOWN2,2,FALSE),FALSE)),VLOOKUP(G345,NGPREVPRICES,2,FALSE),CK345,VLOOKUP(G345,NGPREVPRICES,4,FALSE),HLOOKUP(D345,PREVVOLS,VLOOKUP(G345,MOVE_DOWN2,2,FALSE),FALSE),VLOOKUP(G345,NGPREVPRICES,3,FALSE),HLOOKUP(D345,Correllate,VLOOKUP(G345,CorMove,2,FALSE),FALSE),Q345-$C$3,R345,$CJ$5)*H345-CJ345</f>
        <v>1329.7651941083022</v>
      </c>
      <c r="CI345" s="234">
        <f t="shared" si="393"/>
        <v>1379.9102156187291</v>
      </c>
      <c r="CJ345" s="234">
        <f>_xll.xSPRDOPT((VLOOKUP(G345,NGPREVPRICES,2,FALSE)+HLOOKUP(D345,PREVCURVES,VLOOKUP(G345,MOVE_DOWN2,2,FALSE),FALSE)),VLOOKUP(G345,NGPREVPRICES,2,FALSE),CK345,VLOOKUP(G345,NGPREVPRICES,4,FALSE),HLOOKUP(D345,PREVVOLS,VLOOKUP(G345,MOVE_DOWN2,2,FALSE),FALSE),VLOOKUP(G345,NGPREVPRICES,3,FALSE),HLOOKUP(D345,Correllate,VLOOKUP(G345,CorMove,2,FALSE),FALSE),Q345-$CD$3,R345,$CJ$5)*H345</f>
        <v>-267671.47544712661</v>
      </c>
      <c r="CK345" s="235">
        <f t="shared" si="394"/>
        <v>1.6</v>
      </c>
      <c r="CM345" t="str">
        <f t="shared" si="395"/>
        <v>36861Curve Shift/Gamma</v>
      </c>
      <c r="CN345" t="str">
        <f t="shared" si="356"/>
        <v>36861Rho</v>
      </c>
      <c r="CO345" t="str">
        <f t="shared" si="357"/>
        <v>36861Drift</v>
      </c>
      <c r="CP345" t="str">
        <f t="shared" si="358"/>
        <v>36861Vega</v>
      </c>
      <c r="CQ345" t="str">
        <f t="shared" si="359"/>
        <v>36861Theta</v>
      </c>
    </row>
    <row r="346" spans="1:95" x14ac:dyDescent="0.25">
      <c r="A346" s="382" t="s">
        <v>279</v>
      </c>
      <c r="B346" t="s">
        <v>250</v>
      </c>
      <c r="C346" t="s">
        <v>450</v>
      </c>
      <c r="D346" s="4" t="s">
        <v>7</v>
      </c>
      <c r="E346" t="s">
        <v>20</v>
      </c>
      <c r="F346" t="s">
        <v>21</v>
      </c>
      <c r="G346" s="5">
        <v>36831</v>
      </c>
      <c r="H346" s="130">
        <v>-500000</v>
      </c>
      <c r="I346">
        <v>1.6</v>
      </c>
      <c r="J346" s="53">
        <f t="shared" si="381"/>
        <v>4.7359999999999998</v>
      </c>
      <c r="K346" s="7">
        <f t="shared" si="382"/>
        <v>0.77</v>
      </c>
      <c r="L346" s="53">
        <f t="shared" si="383"/>
        <v>5.5060000000000002</v>
      </c>
      <c r="M346" s="157">
        <f t="shared" ref="M346:M355" si="396">VLOOKUP(G346,NGPrices,4,FALSE)</f>
        <v>6.810675983792E-2</v>
      </c>
      <c r="N346" s="4">
        <f t="shared" ref="N346:N355" si="397">VLOOKUP(G346,NGPrices,3,FALSE)</f>
        <v>0.59499999999999997</v>
      </c>
      <c r="O346" s="4">
        <f t="shared" ref="O346:O355" si="398">HLOOKUP(D346,VOLS,VLOOKUP(G346,move_down,2,FALSE),FALSE)</f>
        <v>0.625</v>
      </c>
      <c r="P346" s="9">
        <f t="shared" ref="P346:P355" si="399">HLOOKUP(D346,Correllate,VLOOKUP(G346,CorMove,2,FALSE),FALSE)</f>
        <v>0.89</v>
      </c>
      <c r="Q346" s="5">
        <f t="shared" si="375"/>
        <v>36829</v>
      </c>
      <c r="R346" s="4">
        <f t="shared" ref="R346:R355" si="400">IF(F346="P",0,1)</f>
        <v>1</v>
      </c>
      <c r="S346" s="158">
        <f>_xll.xSPRDOPT($L346,$J346,$I346,$M346,$O346,$N346,$P346,$Q346-$C$3,$R346,0)</f>
        <v>4.8303483936106333E-2</v>
      </c>
      <c r="T346" s="159">
        <f>_xll.xSPRDOPT($L346,$J346,$I346,$M346,$O346,$N346,$P346,$Q346-$C$3,$R346,1)*H346</f>
        <v>-72402.183264638632</v>
      </c>
      <c r="U346" s="160">
        <f t="shared" ref="U346:U355" si="401">S346*H346</f>
        <v>-24151.741968053168</v>
      </c>
      <c r="V346" s="159">
        <f>_xll.xSPRDOPT($L346,$J346,$I346,$M346,$O346,$N346,$P346,$Q346-$C$3,$R346,2)*H346</f>
        <v>61101.144293502584</v>
      </c>
      <c r="W346" s="159">
        <f t="shared" ref="W346:W355" si="402">+V346+T346</f>
        <v>-11301.038971136048</v>
      </c>
      <c r="X346" s="51" t="str">
        <f t="shared" si="376"/>
        <v>36831IF-TRANSCO/Z6</v>
      </c>
      <c r="Y346" s="418">
        <f t="shared" si="377"/>
        <v>-50</v>
      </c>
      <c r="Z346" s="456">
        <f t="shared" si="378"/>
        <v>0.14480436652927725</v>
      </c>
      <c r="AA346" s="456">
        <f>_xll.xSPRDOPT($L346,$J346,$I346,$M346,$O346,$N346,$P346,$Q346-$C$3,$R346,3)</f>
        <v>0.33065335827695025</v>
      </c>
      <c r="AB346" s="456">
        <f>((_xll.xSPRDOPT($L346+AB$5,$J346,$I346,$M346,$O346,$N346,$P346,$Q346-$C$3,$R346,3)*$H346)/10000)/100</f>
        <v>-0.16532667913847512</v>
      </c>
      <c r="AC346" s="456">
        <f>((_xll.xSPRDOPT($L346+$AB$5,$J346,$I346,$M346,$O346,$N346,$P346,$Q346-$C$3,$R346,7)*$H346)/100)</f>
        <v>2425.4419605565913</v>
      </c>
      <c r="AD346" s="456">
        <f>(_xll.xSPRDOPT($L346+$AB$5,$J346,$I346,$M346,$O346,$N346,$P346,$Q346-$C$3,$R346,9)/365)*$H346</f>
        <v>625.64745835230121</v>
      </c>
      <c r="AE346">
        <f t="shared" si="379"/>
        <v>0</v>
      </c>
      <c r="AF346" s="456">
        <f t="shared" si="380"/>
        <v>-1312.3632933907788</v>
      </c>
      <c r="AG346" s="456">
        <f>((_xll.xSPRDOPT($L346,$J346,$I346,$M346,$O346,$N346,$P346,$Q346-$C$3,$R346,6)*$H346)/100)</f>
        <v>645.12910727896497</v>
      </c>
      <c r="AH346" s="456">
        <f>((_xll.xSPRDOPT($L346,$J346,$I346,$M346,$O346,$N346,$P346,$Q346-$C$3,$R346,5)*$H346)/100)</f>
        <v>-1863.532765437596</v>
      </c>
      <c r="AI346" s="456">
        <f>(((_xll.xSPRDOPT($L346,$J346,$I346,$M346,$O346,$N346,$P346,$Q346-$C$3,$R346,4)*$H346)/10000)/100)-AB346</f>
        <v>3.3655213655945898E-2</v>
      </c>
      <c r="AJ346" s="456"/>
      <c r="AK346" s="456"/>
      <c r="AL346" s="456"/>
      <c r="AM346" s="472"/>
      <c r="CC346" s="141">
        <f t="shared" ref="CC346:CC355" si="403">G346</f>
        <v>36831</v>
      </c>
      <c r="CD346" s="234">
        <f>_xll.xSPRDOPT((VLOOKUP(G346,NGPrices,2,FALSE)+HLOOKUP(D346,Prices,VLOOKUP(G346,move_down,2,FALSE),FALSE)),VLOOKUP(G346,NGPrices,2,FALSE),I346,VLOOKUP(G346,NGPREVPRICES,4,FALSE),HLOOKUP(D346,PREVVOLS,VLOOKUP(G346,MOVE_DOWN2,2,FALSE),FALSE),VLOOKUP(G346,NGPREVPRICES,3,FALSE),HLOOKUP(D346,Correllate,VLOOKUP(G346,CorMove,2,FALSE),FALSE),Q346-$CD$3,R346,$CD$5)*H346-CJ346</f>
        <v>0</v>
      </c>
      <c r="CE346" s="234">
        <f>_xll.xSPRDOPT((VLOOKUP(G346,NGPREVPRICES,2,FALSE)+HLOOKUP(D346,PREVCURVES,VLOOKUP(G346,MOVE_DOWN2,2,FALSE),FALSE)),VLOOKUP(G346,NGPREVPRICES,2,FALSE),CK346,VLOOKUP(G346,NGPrices,4,FALSE),HLOOKUP(D346,PREVVOLS,VLOOKUP(G346,MOVE_DOWN2,2,FALSE),FALSE),VLOOKUP(G346,NGPREVPRICES,3,FALSE),HLOOKUP(D346,Correllate,VLOOKUP(G346,CorMove,2,FALSE),FALSE),Q346-$CD$3,R346,$CJ$5)*H346-CJ346</f>
        <v>0</v>
      </c>
      <c r="CF346" s="10">
        <f t="shared" ref="CF346:CF355" si="404">(CJ346/VLOOKUP(CC346,discount,3,FALSE))-(CJ346/VLOOKUP(CC346,discount,2,FALSE))</f>
        <v>4.6014413042175875</v>
      </c>
      <c r="CG346" s="234">
        <f>_xll.xSPRDOPT((VLOOKUP(G346,NGPREVPRICES,2,FALSE)+HLOOKUP(D346,PREVCURVES,VLOOKUP(G346,MOVE_DOWN2,2,FALSE),FALSE)),VLOOKUP(G346,NGPREVPRICES,2,FALSE),CK346,VLOOKUP(G346,NGPREVPRICES,4,FALSE),HLOOKUP(D346,VOLS,VLOOKUP(G346,move_down,2,FALSE),FALSE),VLOOKUP(G346,NGPrices,3,FALSE),HLOOKUP(D346,Correllate,VLOOKUP(G346,CorMove,2,FALSE),FALSE),Q346-$CD$3,R346,$CJ$5)*H346-CJ346</f>
        <v>0</v>
      </c>
      <c r="CH346" s="234">
        <f>_xll.xSPRDOPT((VLOOKUP(G346,NGPREVPRICES,2,FALSE)+HLOOKUP(D346,PREVCURVES,VLOOKUP(G346,MOVE_DOWN2,2,FALSE),FALSE)),VLOOKUP(G346,NGPREVPRICES,2,FALSE),CK346,VLOOKUP(G346,NGPREVPRICES,4,FALSE),HLOOKUP(D346,PREVVOLS,VLOOKUP(G346,MOVE_DOWN2,2,FALSE),FALSE),VLOOKUP(G346,NGPREVPRICES,3,FALSE),HLOOKUP(D346,Correllate,VLOOKUP(G346,CorMove,2,FALSE),FALSE),Q346-$C$3,R346,$CJ$5)*H346-CJ346</f>
        <v>625.73532882458312</v>
      </c>
      <c r="CI346" s="234">
        <f t="shared" ref="CI346:CI355" si="405">SUM(CD346:CH346)</f>
        <v>630.33677012880071</v>
      </c>
      <c r="CJ346" s="234">
        <f>_xll.xSPRDOPT((VLOOKUP(G346,NGPREVPRICES,2,FALSE)+HLOOKUP(D346,PREVCURVES,VLOOKUP(G346,MOVE_DOWN2,2,FALSE),FALSE)),VLOOKUP(G346,NGPREVPRICES,2,FALSE),CK346,VLOOKUP(G346,NGPREVPRICES,4,FALSE),HLOOKUP(D346,PREVVOLS,VLOOKUP(G346,MOVE_DOWN2,2,FALSE),FALSE),VLOOKUP(G346,NGPREVPRICES,3,FALSE),HLOOKUP(D346,Correllate,VLOOKUP(G346,CorMove,2,FALSE),FALSE),Q346-$CD$3,R346,$CJ$5)*H346</f>
        <v>-24777.477296877751</v>
      </c>
      <c r="CK346" s="235">
        <f t="shared" ref="CK346:CK355" si="406">I346</f>
        <v>1.6</v>
      </c>
      <c r="CM346" t="str">
        <f t="shared" ref="CM346:CM355" si="407">CONCATENATE(CC346,$CD$6)</f>
        <v>36831Curve Shift/Gamma</v>
      </c>
      <c r="CN346" t="str">
        <f t="shared" si="356"/>
        <v>36831Rho</v>
      </c>
      <c r="CO346" t="str">
        <f t="shared" si="357"/>
        <v>36831Drift</v>
      </c>
      <c r="CP346" t="str">
        <f t="shared" si="358"/>
        <v>36831Vega</v>
      </c>
      <c r="CQ346" t="str">
        <f t="shared" si="359"/>
        <v>36831Theta</v>
      </c>
    </row>
    <row r="347" spans="1:95" x14ac:dyDescent="0.25">
      <c r="A347" s="382" t="s">
        <v>279</v>
      </c>
      <c r="B347" t="s">
        <v>250</v>
      </c>
      <c r="C347" t="s">
        <v>451</v>
      </c>
      <c r="D347" s="4" t="s">
        <v>7</v>
      </c>
      <c r="E347" t="s">
        <v>20</v>
      </c>
      <c r="F347" t="s">
        <v>1</v>
      </c>
      <c r="G347" s="5">
        <v>36951</v>
      </c>
      <c r="H347" s="130">
        <v>-500000</v>
      </c>
      <c r="I347">
        <v>1.6</v>
      </c>
      <c r="J347" s="53">
        <f t="shared" si="381"/>
        <v>4.2130000000000001</v>
      </c>
      <c r="K347" s="7">
        <f t="shared" si="382"/>
        <v>1.075</v>
      </c>
      <c r="L347" s="53">
        <f t="shared" si="383"/>
        <v>5.2880000000000003</v>
      </c>
      <c r="M347" s="157">
        <f t="shared" si="396"/>
        <v>6.8879814952706994E-2</v>
      </c>
      <c r="N347" s="4">
        <f t="shared" si="397"/>
        <v>0.53249999999999997</v>
      </c>
      <c r="O347" s="4">
        <f t="shared" si="398"/>
        <v>0.61199999999999999</v>
      </c>
      <c r="P347" s="9">
        <f t="shared" si="399"/>
        <v>0.83</v>
      </c>
      <c r="Q347" s="5">
        <f t="shared" si="375"/>
        <v>36949</v>
      </c>
      <c r="R347" s="4">
        <f t="shared" si="400"/>
        <v>0</v>
      </c>
      <c r="S347" s="158">
        <f>_xll.xSPRDOPT($L347,$J347,$I347,$M347,$O347,$N347,$P347,$Q347-$C$3,$R347,0)</f>
        <v>0.83594376717586028</v>
      </c>
      <c r="T347" s="159">
        <f>_xll.xSPRDOPT($L347,$J347,$I347,$M347,$O347,$N347,$P347,$Q347-$C$3,$R347,1)*H347</f>
        <v>286739.73211780586</v>
      </c>
      <c r="U347" s="160">
        <f t="shared" si="401"/>
        <v>-417971.88358793012</v>
      </c>
      <c r="V347" s="159">
        <f>_xll.xSPRDOPT($L347,$J347,$I347,$M347,$O347,$N347,$P347,$Q347-$C$3,$R347,2)*H347</f>
        <v>-327107.61048476089</v>
      </c>
      <c r="W347" s="159">
        <f t="shared" si="402"/>
        <v>-40367.878366955032</v>
      </c>
      <c r="X347" s="51" t="str">
        <f t="shared" si="376"/>
        <v>36951IF-TRANSCO/Z6</v>
      </c>
      <c r="Y347" s="418">
        <f t="shared" si="377"/>
        <v>-50</v>
      </c>
      <c r="Z347" s="456">
        <f t="shared" si="378"/>
        <v>-0.57347946423561169</v>
      </c>
      <c r="AA347" s="456">
        <f>_xll.xSPRDOPT($L347,$J347,$I347,$M347,$O347,$N347,$P347,$Q347-$C$3,$R347,3)</f>
        <v>0.27838187776051626</v>
      </c>
      <c r="AB347" s="456">
        <f>((_xll.xSPRDOPT($L347+AB$5,$J347,$I347,$M347,$O347,$N347,$P347,$Q347-$C$3,$R347,3)*$H347)/10000)/100</f>
        <v>-0.13919093888025813</v>
      </c>
      <c r="AC347" s="456">
        <f>((_xll.xSPRDOPT($L347+$AB$5,$J347,$I347,$M347,$O347,$N347,$P347,$Q347-$C$3,$R347,7)*$H347)/100)</f>
        <v>4672.8043226816735</v>
      </c>
      <c r="AD347" s="456">
        <f>(_xll.xSPRDOPT($L347+$AB$5,$J347,$I347,$M347,$O347,$N347,$P347,$Q347-$C$3,$R347,9)/365)*$H347</f>
        <v>618.60939958237145</v>
      </c>
      <c r="AE347">
        <f t="shared" si="379"/>
        <v>0</v>
      </c>
      <c r="AF347" s="456">
        <f t="shared" si="380"/>
        <v>-4764.5257485153224</v>
      </c>
      <c r="AG347" s="456">
        <f>((_xll.xSPRDOPT($L347,$J347,$I347,$M347,$O347,$N347,$P347,$Q347-$C$3,$R347,6)*$H347)/100)</f>
        <v>1593.4217697894862</v>
      </c>
      <c r="AH347" s="456">
        <f>((_xll.xSPRDOPT($L347,$J347,$I347,$M347,$O347,$N347,$P347,$Q347-$C$3,$R347,5)*$H347)/100)</f>
        <v>-5532.0376691132524</v>
      </c>
      <c r="AI347" s="456">
        <f>(((_xll.xSPRDOPT($L347,$J347,$I347,$M347,$O347,$N347,$P347,$Q347-$C$3,$R347,4)*$H347)/10000)/100)-AB347</f>
        <v>1.8373882565995384E-2</v>
      </c>
      <c r="AJ347" s="456"/>
      <c r="AK347" s="456"/>
      <c r="AL347" s="456"/>
      <c r="AM347" s="472"/>
      <c r="CC347" s="141">
        <f t="shared" si="403"/>
        <v>36951</v>
      </c>
      <c r="CD347" s="234">
        <f>_xll.xSPRDOPT((VLOOKUP(G347,NGPrices,2,FALSE)+HLOOKUP(D347,Prices,VLOOKUP(G347,move_down,2,FALSE),FALSE)),VLOOKUP(G347,NGPrices,2,FALSE),I347,VLOOKUP(G347,NGPREVPRICES,4,FALSE),HLOOKUP(D347,PREVVOLS,VLOOKUP(G347,MOVE_DOWN2,2,FALSE),FALSE),VLOOKUP(G347,NGPREVPRICES,3,FALSE),HLOOKUP(D347,Correllate,VLOOKUP(G347,CorMove,2,FALSE),FALSE),Q347-$CD$3,R347,$CD$5)*H347-CJ347</f>
        <v>0</v>
      </c>
      <c r="CE347" s="234">
        <f>_xll.xSPRDOPT((VLOOKUP(G347,NGPREVPRICES,2,FALSE)+HLOOKUP(D347,PREVCURVES,VLOOKUP(G347,MOVE_DOWN2,2,FALSE),FALSE)),VLOOKUP(G347,NGPREVPRICES,2,FALSE),CK347,VLOOKUP(G347,NGPrices,4,FALSE),HLOOKUP(D347,PREVVOLS,VLOOKUP(G347,MOVE_DOWN2,2,FALSE),FALSE),VLOOKUP(G347,NGPREVPRICES,3,FALSE),HLOOKUP(D347,Correllate,VLOOKUP(G347,CorMove,2,FALSE),FALSE),Q347-$CD$3,R347,$CJ$5)*H347-CJ347</f>
        <v>0</v>
      </c>
      <c r="CF347" s="10">
        <f t="shared" si="404"/>
        <v>80.279136435012333</v>
      </c>
      <c r="CG347" s="234">
        <f>_xll.xSPRDOPT((VLOOKUP(G347,NGPREVPRICES,2,FALSE)+HLOOKUP(D347,PREVCURVES,VLOOKUP(G347,MOVE_DOWN2,2,FALSE),FALSE)),VLOOKUP(G347,NGPREVPRICES,2,FALSE),CK347,VLOOKUP(G347,NGPREVPRICES,4,FALSE),HLOOKUP(D347,VOLS,VLOOKUP(G347,move_down,2,FALSE),FALSE),VLOOKUP(G347,NGPrices,3,FALSE),HLOOKUP(D347,Correllate,VLOOKUP(G347,CorMove,2,FALSE),FALSE),Q347-$CD$3,R347,$CJ$5)*H347-CJ347</f>
        <v>0</v>
      </c>
      <c r="CH347" s="234">
        <f>_xll.xSPRDOPT((VLOOKUP(G347,NGPREVPRICES,2,FALSE)+HLOOKUP(D347,PREVCURVES,VLOOKUP(G347,MOVE_DOWN2,2,FALSE),FALSE)),VLOOKUP(G347,NGPREVPRICES,2,FALSE),CK347,VLOOKUP(G347,NGPREVPRICES,4,FALSE),HLOOKUP(D347,PREVVOLS,VLOOKUP(G347,MOVE_DOWN2,2,FALSE),FALSE),VLOOKUP(G347,NGPREVPRICES,3,FALSE),HLOOKUP(D347,Correllate,VLOOKUP(G347,CorMove,2,FALSE),FALSE),Q347-$C$3,R347,$CJ$5)*H347-CJ347</f>
        <v>617.22948333411478</v>
      </c>
      <c r="CI347" s="234">
        <f t="shared" si="405"/>
        <v>697.50861976912711</v>
      </c>
      <c r="CJ347" s="234">
        <f>_xll.xSPRDOPT((VLOOKUP(G347,NGPREVPRICES,2,FALSE)+HLOOKUP(D347,PREVCURVES,VLOOKUP(G347,MOVE_DOWN2,2,FALSE),FALSE)),VLOOKUP(G347,NGPREVPRICES,2,FALSE),CK347,VLOOKUP(G347,NGPREVPRICES,4,FALSE),HLOOKUP(D347,PREVVOLS,VLOOKUP(G347,MOVE_DOWN2,2,FALSE),FALSE),VLOOKUP(G347,NGPREVPRICES,3,FALSE),HLOOKUP(D347,Correllate,VLOOKUP(G347,CorMove,2,FALSE),FALSE),Q347-$CD$3,R347,$CJ$5)*H347</f>
        <v>-418589.11307126423</v>
      </c>
      <c r="CK347" s="235">
        <f t="shared" si="406"/>
        <v>1.6</v>
      </c>
      <c r="CM347" t="str">
        <f t="shared" si="407"/>
        <v>36951Curve Shift/Gamma</v>
      </c>
      <c r="CN347" t="str">
        <f t="shared" si="356"/>
        <v>36951Rho</v>
      </c>
      <c r="CO347" t="str">
        <f t="shared" si="357"/>
        <v>36951Drift</v>
      </c>
      <c r="CP347" t="str">
        <f t="shared" si="358"/>
        <v>36951Vega</v>
      </c>
      <c r="CQ347" t="str">
        <f t="shared" si="359"/>
        <v>36951Theta</v>
      </c>
    </row>
    <row r="348" spans="1:95" x14ac:dyDescent="0.25">
      <c r="A348" s="382" t="s">
        <v>279</v>
      </c>
      <c r="B348" t="s">
        <v>250</v>
      </c>
      <c r="C348" t="s">
        <v>451</v>
      </c>
      <c r="D348" s="4" t="s">
        <v>7</v>
      </c>
      <c r="E348" t="s">
        <v>20</v>
      </c>
      <c r="F348" t="s">
        <v>1</v>
      </c>
      <c r="G348" s="5">
        <v>36923</v>
      </c>
      <c r="H348" s="130">
        <v>-500000</v>
      </c>
      <c r="I348">
        <v>1.6</v>
      </c>
      <c r="J348" s="53">
        <f t="shared" si="381"/>
        <v>4.4800000000000004</v>
      </c>
      <c r="K348" s="7">
        <f t="shared" si="382"/>
        <v>2.09</v>
      </c>
      <c r="L348" s="53">
        <f t="shared" si="383"/>
        <v>6.57</v>
      </c>
      <c r="M348" s="157">
        <f t="shared" si="396"/>
        <v>6.8640161611372E-2</v>
      </c>
      <c r="N348" s="4">
        <f t="shared" si="397"/>
        <v>0.59250000000000003</v>
      </c>
      <c r="O348" s="4">
        <f t="shared" si="398"/>
        <v>0.68100000000000005</v>
      </c>
      <c r="P348" s="9">
        <f t="shared" si="399"/>
        <v>0.83</v>
      </c>
      <c r="Q348" s="5">
        <f t="shared" si="375"/>
        <v>36921</v>
      </c>
      <c r="R348" s="4">
        <f t="shared" si="400"/>
        <v>0</v>
      </c>
      <c r="S348" s="158">
        <f>_xll.xSPRDOPT($L348,$J348,$I348,$M348,$O348,$N348,$P348,$Q348-$C$3,$R348,0)</f>
        <v>0.42832438137130535</v>
      </c>
      <c r="T348" s="159">
        <f>_xll.xSPRDOPT($L348,$J348,$I348,$M348,$O348,$N348,$P348,$Q348-$C$3,$R348,1)*H348</f>
        <v>161432.7723628403</v>
      </c>
      <c r="U348" s="160">
        <f t="shared" si="401"/>
        <v>-214162.19068565266</v>
      </c>
      <c r="V348" s="159">
        <f>_xll.xSPRDOPT($L348,$J348,$I348,$M348,$O348,$N348,$P348,$Q348-$C$3,$R348,2)*H348</f>
        <v>-203277.13662096858</v>
      </c>
      <c r="W348" s="159">
        <f t="shared" si="402"/>
        <v>-41844.364258128277</v>
      </c>
      <c r="X348" s="51" t="str">
        <f t="shared" si="376"/>
        <v>36923IF-TRANSCO/Z6</v>
      </c>
      <c r="Y348" s="418">
        <f t="shared" si="377"/>
        <v>-50</v>
      </c>
      <c r="Z348" s="456">
        <f t="shared" si="378"/>
        <v>-0.32286554472568063</v>
      </c>
      <c r="AA348" s="456">
        <f>_xll.xSPRDOPT($L348,$J348,$I348,$M348,$O348,$N348,$P348,$Q348-$C$3,$R348,3)</f>
        <v>0.20562130469864384</v>
      </c>
      <c r="AB348" s="456">
        <f>((_xll.xSPRDOPT($L348+AB$5,$J348,$I348,$M348,$O348,$N348,$P348,$Q348-$C$3,$R348,3)*$H348)/10000)/100</f>
        <v>-0.10281065234932191</v>
      </c>
      <c r="AC348" s="456">
        <f>((_xll.xSPRDOPT($L348+$AB$5,$J348,$I348,$M348,$O348,$N348,$P348,$Q348-$C$3,$R348,7)*$H348)/100)</f>
        <v>5554.6647006338935</v>
      </c>
      <c r="AD348" s="456">
        <f>(_xll.xSPRDOPT($L348+$AB$5,$J348,$I348,$M348,$O348,$N348,$P348,$Q348-$C$3,$R348,9)/365)*$H348</f>
        <v>948.93749708058112</v>
      </c>
      <c r="AE348">
        <f t="shared" si="379"/>
        <v>0</v>
      </c>
      <c r="AF348" s="456">
        <f t="shared" si="380"/>
        <v>-5138.712227410897</v>
      </c>
      <c r="AG348" s="456">
        <f>((_xll.xSPRDOPT($L348,$J348,$I348,$M348,$O348,$N348,$P348,$Q348-$C$3,$R348,6)*$H348)/100)</f>
        <v>1725.6111133841791</v>
      </c>
      <c r="AH348" s="456">
        <f>((_xll.xSPRDOPT($L348,$J348,$I348,$M348,$O348,$N348,$P348,$Q348-$C$3,$R348,5)*$H348)/100)</f>
        <v>-5972.2636995904286</v>
      </c>
      <c r="AI348" s="456">
        <f>(((_xll.xSPRDOPT($L348,$J348,$I348,$M348,$O348,$N348,$P348,$Q348-$C$3,$R348,4)*$H348)/10000)/100)-AB348</f>
        <v>-1.7965238590623586E-2</v>
      </c>
      <c r="AJ348" s="456"/>
      <c r="AK348" s="456"/>
      <c r="AL348" s="456"/>
      <c r="AM348" s="472"/>
      <c r="CC348" s="141">
        <f t="shared" si="403"/>
        <v>36923</v>
      </c>
      <c r="CD348" s="234">
        <f>_xll.xSPRDOPT((VLOOKUP(G348,NGPrices,2,FALSE)+HLOOKUP(D348,Prices,VLOOKUP(G348,move_down,2,FALSE),FALSE)),VLOOKUP(G348,NGPrices,2,FALSE),I348,VLOOKUP(G348,NGPREVPRICES,4,FALSE),HLOOKUP(D348,PREVVOLS,VLOOKUP(G348,MOVE_DOWN2,2,FALSE),FALSE),VLOOKUP(G348,NGPREVPRICES,3,FALSE),HLOOKUP(D348,Correllate,VLOOKUP(G348,CorMove,2,FALSE),FALSE),Q348-$CD$3,R348,$CD$5)*H348-CJ348</f>
        <v>0</v>
      </c>
      <c r="CE348" s="234">
        <f>_xll.xSPRDOPT((VLOOKUP(G348,NGPREVPRICES,2,FALSE)+HLOOKUP(D348,PREVCURVES,VLOOKUP(G348,MOVE_DOWN2,2,FALSE),FALSE)),VLOOKUP(G348,NGPREVPRICES,2,FALSE),CK348,VLOOKUP(G348,NGPrices,4,FALSE),HLOOKUP(D348,PREVVOLS,VLOOKUP(G348,MOVE_DOWN2,2,FALSE),FALSE),VLOOKUP(G348,NGPREVPRICES,3,FALSE),HLOOKUP(D348,Correllate,VLOOKUP(G348,CorMove,2,FALSE),FALSE),Q348-$CD$3,R348,$CJ$5)*H348-CJ348</f>
        <v>0</v>
      </c>
      <c r="CF348" s="10">
        <f t="shared" si="404"/>
        <v>40.911217132088495</v>
      </c>
      <c r="CG348" s="234">
        <f>_xll.xSPRDOPT((VLOOKUP(G348,NGPREVPRICES,2,FALSE)+HLOOKUP(D348,PREVCURVES,VLOOKUP(G348,MOVE_DOWN2,2,FALSE),FALSE)),VLOOKUP(G348,NGPREVPRICES,2,FALSE),CK348,VLOOKUP(G348,NGPREVPRICES,4,FALSE),HLOOKUP(D348,VOLS,VLOOKUP(G348,move_down,2,FALSE),FALSE),VLOOKUP(G348,NGPrices,3,FALSE),HLOOKUP(D348,Correllate,VLOOKUP(G348,CorMove,2,FALSE),FALSE),Q348-$CD$3,R348,$CJ$5)*H348-CJ348</f>
        <v>0</v>
      </c>
      <c r="CH348" s="234">
        <f>_xll.xSPRDOPT((VLOOKUP(G348,NGPREVPRICES,2,FALSE)+HLOOKUP(D348,PREVCURVES,VLOOKUP(G348,MOVE_DOWN2,2,FALSE),FALSE)),VLOOKUP(G348,NGPREVPRICES,2,FALSE),CK348,VLOOKUP(G348,NGPREVPRICES,4,FALSE),HLOOKUP(D348,PREVVOLS,VLOOKUP(G348,MOVE_DOWN2,2,FALSE),FALSE),VLOOKUP(G348,NGPREVPRICES,3,FALSE),HLOOKUP(D348,Correllate,VLOOKUP(G348,CorMove,2,FALSE),FALSE),Q348-$C$3,R348,$CJ$5)*H348-CJ348</f>
        <v>946.63272031239467</v>
      </c>
      <c r="CI348" s="234">
        <f t="shared" si="405"/>
        <v>987.54393744448316</v>
      </c>
      <c r="CJ348" s="234">
        <f>_xll.xSPRDOPT((VLOOKUP(G348,NGPREVPRICES,2,FALSE)+HLOOKUP(D348,PREVCURVES,VLOOKUP(G348,MOVE_DOWN2,2,FALSE),FALSE)),VLOOKUP(G348,NGPREVPRICES,2,FALSE),CK348,VLOOKUP(G348,NGPREVPRICES,4,FALSE),HLOOKUP(D348,PREVVOLS,VLOOKUP(G348,MOVE_DOWN2,2,FALSE),FALSE),VLOOKUP(G348,NGPREVPRICES,3,FALSE),HLOOKUP(D348,Correllate,VLOOKUP(G348,CorMove,2,FALSE),FALSE),Q348-$CD$3,R348,$CJ$5)*H348</f>
        <v>-215108.82340596506</v>
      </c>
      <c r="CK348" s="235">
        <f t="shared" si="406"/>
        <v>1.6</v>
      </c>
      <c r="CM348" t="str">
        <f t="shared" si="407"/>
        <v>36923Curve Shift/Gamma</v>
      </c>
      <c r="CN348" t="str">
        <f t="shared" si="356"/>
        <v>36923Rho</v>
      </c>
      <c r="CO348" t="str">
        <f t="shared" si="357"/>
        <v>36923Drift</v>
      </c>
      <c r="CP348" t="str">
        <f t="shared" si="358"/>
        <v>36923Vega</v>
      </c>
      <c r="CQ348" t="str">
        <f t="shared" si="359"/>
        <v>36923Theta</v>
      </c>
    </row>
    <row r="349" spans="1:95" x14ac:dyDescent="0.25">
      <c r="A349" s="382" t="s">
        <v>279</v>
      </c>
      <c r="B349" t="s">
        <v>250</v>
      </c>
      <c r="C349" t="s">
        <v>451</v>
      </c>
      <c r="D349" s="4" t="s">
        <v>7</v>
      </c>
      <c r="E349" t="s">
        <v>20</v>
      </c>
      <c r="F349" t="s">
        <v>1</v>
      </c>
      <c r="G349" s="5">
        <v>36892</v>
      </c>
      <c r="H349" s="130">
        <v>-500000</v>
      </c>
      <c r="I349">
        <v>1.6</v>
      </c>
      <c r="J349" s="53">
        <f t="shared" si="381"/>
        <v>4.7439999999999998</v>
      </c>
      <c r="K349" s="7">
        <f t="shared" si="382"/>
        <v>2.17</v>
      </c>
      <c r="L349" s="53">
        <f t="shared" si="383"/>
        <v>6.9139999999999997</v>
      </c>
      <c r="M349" s="157">
        <f t="shared" si="396"/>
        <v>6.8374831148490994E-2</v>
      </c>
      <c r="N349" s="4">
        <f t="shared" si="397"/>
        <v>0.60499999999999998</v>
      </c>
      <c r="O349" s="4">
        <f t="shared" si="398"/>
        <v>0.69599999999999995</v>
      </c>
      <c r="P349" s="9">
        <f t="shared" si="399"/>
        <v>0.83</v>
      </c>
      <c r="Q349" s="5">
        <f t="shared" si="375"/>
        <v>36888</v>
      </c>
      <c r="R349" s="4">
        <f t="shared" si="400"/>
        <v>0</v>
      </c>
      <c r="S349" s="158">
        <f>_xll.xSPRDOPT($L349,$J349,$I349,$M349,$O349,$N349,$P349,$Q349-$C$3,$R349,0)</f>
        <v>0.36870528890321785</v>
      </c>
      <c r="T349" s="159">
        <f>_xll.xSPRDOPT($L349,$J349,$I349,$M349,$O349,$N349,$P349,$Q349-$C$3,$R349,1)*H349</f>
        <v>152863.05174209725</v>
      </c>
      <c r="U349" s="160">
        <f t="shared" si="401"/>
        <v>-184352.64445160894</v>
      </c>
      <c r="V349" s="159">
        <f>_xll.xSPRDOPT($L349,$J349,$I349,$M349,$O349,$N349,$P349,$Q349-$C$3,$R349,2)*H349</f>
        <v>-190367.18910192192</v>
      </c>
      <c r="W349" s="159">
        <f t="shared" si="402"/>
        <v>-37504.137359824672</v>
      </c>
      <c r="X349" s="51" t="str">
        <f t="shared" si="376"/>
        <v>36892IF-TRANSCO/Z6</v>
      </c>
      <c r="Y349" s="418">
        <f t="shared" si="377"/>
        <v>-50</v>
      </c>
      <c r="Z349" s="456">
        <f t="shared" si="378"/>
        <v>-0.30572610348419449</v>
      </c>
      <c r="AA349" s="456">
        <f>_xll.xSPRDOPT($L349,$J349,$I349,$M349,$O349,$N349,$P349,$Q349-$C$3,$R349,3)</f>
        <v>0.21258143875178478</v>
      </c>
      <c r="AB349" s="456">
        <f>((_xll.xSPRDOPT($L349+AB$5,$J349,$I349,$M349,$O349,$N349,$P349,$Q349-$C$3,$R349,3)*$H349)/10000)/100</f>
        <v>-0.10629071937589239</v>
      </c>
      <c r="AC349" s="456">
        <f>((_xll.xSPRDOPT($L349+$AB$5,$J349,$I349,$M349,$O349,$N349,$P349,$Q349-$C$3,$R349,7)*$H349)/100)</f>
        <v>5279.9366967826572</v>
      </c>
      <c r="AD349" s="456">
        <f>(_xll.xSPRDOPT($L349+$AB$5,$J349,$I349,$M349,$O349,$N349,$P349,$Q349-$C$3,$R349,9)/365)*$H349</f>
        <v>1136.6639865306352</v>
      </c>
      <c r="AE349">
        <f t="shared" si="379"/>
        <v>0</v>
      </c>
      <c r="AF349" s="456">
        <f t="shared" si="380"/>
        <v>-4681.5872442152022</v>
      </c>
      <c r="AG349" s="456">
        <f>((_xll.xSPRDOPT($L349,$J349,$I349,$M349,$O349,$N349,$P349,$Q349-$C$3,$R349,6)*$H349)/100)</f>
        <v>1552.4671085031514</v>
      </c>
      <c r="AH349" s="456">
        <f>((_xll.xSPRDOPT($L349,$J349,$I349,$M349,$O349,$N349,$P349,$Q349-$C$3,$R349,5)*$H349)/100)</f>
        <v>-5418.9696600497191</v>
      </c>
      <c r="AI349" s="456">
        <f>(((_xll.xSPRDOPT($L349,$J349,$I349,$M349,$O349,$N349,$P349,$Q349-$C$3,$R349,4)*$H349)/10000)/100)-AB349</f>
        <v>-1.9878090689224151E-2</v>
      </c>
      <c r="AJ349" s="456"/>
      <c r="AK349" s="456"/>
      <c r="AL349" s="456"/>
      <c r="AM349" s="472"/>
      <c r="CC349" s="141">
        <f t="shared" si="403"/>
        <v>36892</v>
      </c>
      <c r="CD349" s="234">
        <f>_xll.xSPRDOPT((VLOOKUP(G349,NGPrices,2,FALSE)+HLOOKUP(D349,Prices,VLOOKUP(G349,move_down,2,FALSE),FALSE)),VLOOKUP(G349,NGPrices,2,FALSE),I349,VLOOKUP(G349,NGPREVPRICES,4,FALSE),HLOOKUP(D349,PREVVOLS,VLOOKUP(G349,MOVE_DOWN2,2,FALSE),FALSE),VLOOKUP(G349,NGPREVPRICES,3,FALSE),HLOOKUP(D349,Correllate,VLOOKUP(G349,CorMove,2,FALSE),FALSE),Q349-$CD$3,R349,$CD$5)*H349-CJ349</f>
        <v>0</v>
      </c>
      <c r="CE349" s="234">
        <f>_xll.xSPRDOPT((VLOOKUP(G349,NGPREVPRICES,2,FALSE)+HLOOKUP(D349,PREVCURVES,VLOOKUP(G349,MOVE_DOWN2,2,FALSE),FALSE)),VLOOKUP(G349,NGPREVPRICES,2,FALSE),CK349,VLOOKUP(G349,NGPrices,4,FALSE),HLOOKUP(D349,PREVVOLS,VLOOKUP(G349,MOVE_DOWN2,2,FALSE),FALSE),VLOOKUP(G349,NGPREVPRICES,3,FALSE),HLOOKUP(D349,Correllate,VLOOKUP(G349,CorMove,2,FALSE),FALSE),Q349-$CD$3,R349,$CJ$5)*H349-CJ349</f>
        <v>0</v>
      </c>
      <c r="CF349" s="10">
        <f t="shared" si="404"/>
        <v>34.953237500798423</v>
      </c>
      <c r="CG349" s="234">
        <f>_xll.xSPRDOPT((VLOOKUP(G349,NGPREVPRICES,2,FALSE)+HLOOKUP(D349,PREVCURVES,VLOOKUP(G349,MOVE_DOWN2,2,FALSE),FALSE)),VLOOKUP(G349,NGPREVPRICES,2,FALSE),CK349,VLOOKUP(G349,NGPREVPRICES,4,FALSE),HLOOKUP(D349,VOLS,VLOOKUP(G349,move_down,2,FALSE),FALSE),VLOOKUP(G349,NGPrices,3,FALSE),HLOOKUP(D349,Correllate,VLOOKUP(G349,CorMove,2,FALSE),FALSE),Q349-$CD$3,R349,$CJ$5)*H349-CJ349</f>
        <v>0</v>
      </c>
      <c r="CH349" s="234">
        <f>_xll.xSPRDOPT((VLOOKUP(G349,NGPREVPRICES,2,FALSE)+HLOOKUP(D349,PREVCURVES,VLOOKUP(G349,MOVE_DOWN2,2,FALSE),FALSE)),VLOOKUP(G349,NGPREVPRICES,2,FALSE),CK349,VLOOKUP(G349,NGPREVPRICES,4,FALSE),HLOOKUP(D349,PREVVOLS,VLOOKUP(G349,MOVE_DOWN2,2,FALSE),FALSE),VLOOKUP(G349,NGPREVPRICES,3,FALSE),HLOOKUP(D349,Correllate,VLOOKUP(G349,CorMove,2,FALSE),FALSE),Q349-$C$3,R349,$CJ$5)*H349-CJ349</f>
        <v>1133.5663461624354</v>
      </c>
      <c r="CI349" s="234">
        <f t="shared" si="405"/>
        <v>1168.5195836632338</v>
      </c>
      <c r="CJ349" s="234">
        <f>_xll.xSPRDOPT((VLOOKUP(G349,NGPREVPRICES,2,FALSE)+HLOOKUP(D349,PREVCURVES,VLOOKUP(G349,MOVE_DOWN2,2,FALSE),FALSE)),VLOOKUP(G349,NGPREVPRICES,2,FALSE),CK349,VLOOKUP(G349,NGPREVPRICES,4,FALSE),HLOOKUP(D349,PREVVOLS,VLOOKUP(G349,MOVE_DOWN2,2,FALSE),FALSE),VLOOKUP(G349,NGPREVPRICES,3,FALSE),HLOOKUP(D349,Correllate,VLOOKUP(G349,CorMove,2,FALSE),FALSE),Q349-$CD$3,R349,$CJ$5)*H349</f>
        <v>-185486.21079777137</v>
      </c>
      <c r="CK349" s="235">
        <f t="shared" si="406"/>
        <v>1.6</v>
      </c>
      <c r="CM349" t="str">
        <f t="shared" si="407"/>
        <v>36892Curve Shift/Gamma</v>
      </c>
      <c r="CN349" t="str">
        <f t="shared" si="356"/>
        <v>36892Rho</v>
      </c>
      <c r="CO349" t="str">
        <f t="shared" si="357"/>
        <v>36892Drift</v>
      </c>
      <c r="CP349" t="str">
        <f t="shared" si="358"/>
        <v>36892Vega</v>
      </c>
      <c r="CQ349" t="str">
        <f t="shared" si="359"/>
        <v>36892Theta</v>
      </c>
    </row>
    <row r="350" spans="1:95" x14ac:dyDescent="0.25">
      <c r="A350" s="382" t="s">
        <v>279</v>
      </c>
      <c r="B350" t="s">
        <v>250</v>
      </c>
      <c r="C350" t="s">
        <v>451</v>
      </c>
      <c r="D350" s="4" t="s">
        <v>7</v>
      </c>
      <c r="E350" t="s">
        <v>20</v>
      </c>
      <c r="F350" t="s">
        <v>1</v>
      </c>
      <c r="G350" s="5">
        <v>36861</v>
      </c>
      <c r="H350" s="130">
        <v>-500000</v>
      </c>
      <c r="I350">
        <v>1.6</v>
      </c>
      <c r="J350" s="53">
        <f t="shared" si="381"/>
        <v>4.8</v>
      </c>
      <c r="K350" s="7">
        <f t="shared" si="382"/>
        <v>1.645</v>
      </c>
      <c r="L350" s="53">
        <f t="shared" si="383"/>
        <v>6.4450000000000003</v>
      </c>
      <c r="M350" s="157">
        <f t="shared" si="396"/>
        <v>6.8314027999354002E-2</v>
      </c>
      <c r="N350" s="4">
        <f t="shared" si="397"/>
        <v>0.6</v>
      </c>
      <c r="O350" s="4">
        <f t="shared" si="398"/>
        <v>0.69</v>
      </c>
      <c r="P350" s="9">
        <f t="shared" si="399"/>
        <v>0.83</v>
      </c>
      <c r="Q350" s="5">
        <f t="shared" si="375"/>
        <v>36859</v>
      </c>
      <c r="R350" s="4">
        <f t="shared" si="400"/>
        <v>0</v>
      </c>
      <c r="S350" s="158">
        <f>_xll.xSPRDOPT($L350,$J350,$I350,$M350,$O350,$N350,$P350,$Q350-$C$3,$R350,0)</f>
        <v>0.48845111582947331</v>
      </c>
      <c r="T350" s="159">
        <f>_xll.xSPRDOPT($L350,$J350,$I350,$M350,$O350,$N350,$P350,$Q350-$C$3,$R350,1)*H350</f>
        <v>218384.86416502041</v>
      </c>
      <c r="U350" s="160">
        <f t="shared" si="401"/>
        <v>-244225.55791473665</v>
      </c>
      <c r="V350" s="159">
        <f>_xll.xSPRDOPT($L350,$J350,$I350,$M350,$O350,$N350,$P350,$Q350-$C$3,$R350,2)*H350</f>
        <v>-253601.55888287915</v>
      </c>
      <c r="W350" s="159">
        <f t="shared" si="402"/>
        <v>-35216.694717858743</v>
      </c>
      <c r="X350" s="51" t="str">
        <f t="shared" si="376"/>
        <v>36861IF-TRANSCO/Z6</v>
      </c>
      <c r="Y350" s="418">
        <f t="shared" si="377"/>
        <v>-50</v>
      </c>
      <c r="Z350" s="456">
        <f t="shared" si="378"/>
        <v>-0.4367697283300408</v>
      </c>
      <c r="AA350" s="456">
        <f>_xll.xSPRDOPT($L350,$J350,$I350,$M350,$O350,$N350,$P350,$Q350-$C$3,$R350,3)</f>
        <v>0.29714880405850658</v>
      </c>
      <c r="AB350" s="456">
        <f>((_xll.xSPRDOPT($L350+AB$5,$J350,$I350,$M350,$O350,$N350,$P350,$Q350-$C$3,$R350,3)*$H350)/10000)/100</f>
        <v>-0.14857440202925329</v>
      </c>
      <c r="AC350" s="456">
        <f>((_xll.xSPRDOPT($L350+$AB$5,$J350,$I350,$M350,$O350,$N350,$P350,$Q350-$C$3,$R350,7)*$H350)/100)</f>
        <v>4844.3605137473232</v>
      </c>
      <c r="AD350" s="456">
        <f>(_xll.xSPRDOPT($L350+$AB$5,$J350,$I350,$M350,$O350,$N350,$P350,$Q350-$C$3,$R350,9)/365)*$H350</f>
        <v>1338.8250976272363</v>
      </c>
      <c r="AE350">
        <f t="shared" si="379"/>
        <v>0</v>
      </c>
      <c r="AF350" s="456">
        <f t="shared" si="380"/>
        <v>-4243.0004612647135</v>
      </c>
      <c r="AG350" s="456">
        <f>((_xll.xSPRDOPT($L350,$J350,$I350,$M350,$O350,$N350,$P350,$Q350-$C$3,$R350,6)*$H350)/100)</f>
        <v>1390.4905351003306</v>
      </c>
      <c r="AH350" s="456">
        <f>((_xll.xSPRDOPT($L350,$J350,$I350,$M350,$O350,$N350,$P350,$Q350-$C$3,$R350,5)*$H350)/100)</f>
        <v>-4898.6878229261256</v>
      </c>
      <c r="AI350" s="456">
        <f>(((_xll.xSPRDOPT($L350,$J350,$I350,$M350,$O350,$N350,$P350,$Q350-$C$3,$R350,4)*$H350)/10000)/100)-AB350</f>
        <v>-3.9490858649893767E-3</v>
      </c>
      <c r="AJ350" s="456"/>
      <c r="AK350" s="456"/>
      <c r="AL350" s="456"/>
      <c r="AM350" s="472"/>
      <c r="CC350" s="141">
        <f t="shared" si="403"/>
        <v>36861</v>
      </c>
      <c r="CD350" s="234">
        <f>_xll.xSPRDOPT((VLOOKUP(G350,NGPrices,2,FALSE)+HLOOKUP(D350,Prices,VLOOKUP(G350,move_down,2,FALSE),FALSE)),VLOOKUP(G350,NGPrices,2,FALSE),I350,VLOOKUP(G350,NGPREVPRICES,4,FALSE),HLOOKUP(D350,PREVVOLS,VLOOKUP(G350,MOVE_DOWN2,2,FALSE),FALSE),VLOOKUP(G350,NGPREVPRICES,3,FALSE),HLOOKUP(D350,Correllate,VLOOKUP(G350,CorMove,2,FALSE),FALSE),Q350-$CD$3,R350,$CD$5)*H350-CJ350</f>
        <v>0</v>
      </c>
      <c r="CE350" s="234">
        <f>_xll.xSPRDOPT((VLOOKUP(G350,NGPREVPRICES,2,FALSE)+HLOOKUP(D350,PREVCURVES,VLOOKUP(G350,MOVE_DOWN2,2,FALSE),FALSE)),VLOOKUP(G350,NGPREVPRICES,2,FALSE),CK350,VLOOKUP(G350,NGPrices,4,FALSE),HLOOKUP(D350,PREVVOLS,VLOOKUP(G350,MOVE_DOWN2,2,FALSE),FALSE),VLOOKUP(G350,NGPREVPRICES,3,FALSE),HLOOKUP(D350,Correllate,VLOOKUP(G350,CorMove,2,FALSE),FALSE),Q350-$CD$3,R350,$CJ$5)*H350-CJ350</f>
        <v>0</v>
      </c>
      <c r="CF350" s="10">
        <f t="shared" si="404"/>
        <v>46.002602041902719</v>
      </c>
      <c r="CG350" s="234">
        <f>_xll.xSPRDOPT((VLOOKUP(G350,NGPREVPRICES,2,FALSE)+HLOOKUP(D350,PREVCURVES,VLOOKUP(G350,MOVE_DOWN2,2,FALSE),FALSE)),VLOOKUP(G350,NGPREVPRICES,2,FALSE),CK350,VLOOKUP(G350,NGPREVPRICES,4,FALSE),HLOOKUP(D350,VOLS,VLOOKUP(G350,move_down,2,FALSE),FALSE),VLOOKUP(G350,NGPrices,3,FALSE),HLOOKUP(D350,Correllate,VLOOKUP(G350,CorMove,2,FALSE),FALSE),Q350-$CD$3,R350,$CJ$5)*H350-CJ350</f>
        <v>0</v>
      </c>
      <c r="CH350" s="234">
        <f>_xll.xSPRDOPT((VLOOKUP(G350,NGPREVPRICES,2,FALSE)+HLOOKUP(D350,PREVCURVES,VLOOKUP(G350,MOVE_DOWN2,2,FALSE),FALSE)),VLOOKUP(G350,NGPREVPRICES,2,FALSE),CK350,VLOOKUP(G350,NGPREVPRICES,4,FALSE),HLOOKUP(D350,PREVVOLS,VLOOKUP(G350,MOVE_DOWN2,2,FALSE),FALSE),VLOOKUP(G350,NGPREVPRICES,3,FALSE),HLOOKUP(D350,Correllate,VLOOKUP(G350,CorMove,2,FALSE),FALSE),Q350-$C$3,R350,$CJ$5)*H350-CJ350</f>
        <v>1333.9012712320255</v>
      </c>
      <c r="CI350" s="234">
        <f t="shared" si="405"/>
        <v>1379.9038732739282</v>
      </c>
      <c r="CJ350" s="234">
        <f>_xll.xSPRDOPT((VLOOKUP(G350,NGPREVPRICES,2,FALSE)+HLOOKUP(D350,PREVCURVES,VLOOKUP(G350,MOVE_DOWN2,2,FALSE),FALSE)),VLOOKUP(G350,NGPREVPRICES,2,FALSE),CK350,VLOOKUP(G350,NGPREVPRICES,4,FALSE),HLOOKUP(D350,PREVVOLS,VLOOKUP(G350,MOVE_DOWN2,2,FALSE),FALSE),VLOOKUP(G350,NGPREVPRICES,3,FALSE),HLOOKUP(D350,Correllate,VLOOKUP(G350,CorMove,2,FALSE),FALSE),Q350-$CD$3,R350,$CJ$5)*H350</f>
        <v>-245559.45918596868</v>
      </c>
      <c r="CK350" s="235">
        <f t="shared" si="406"/>
        <v>1.6</v>
      </c>
      <c r="CM350" t="str">
        <f t="shared" si="407"/>
        <v>36861Curve Shift/Gamma</v>
      </c>
      <c r="CN350" t="str">
        <f t="shared" si="356"/>
        <v>36861Rho</v>
      </c>
      <c r="CO350" t="str">
        <f t="shared" si="357"/>
        <v>36861Drift</v>
      </c>
      <c r="CP350" t="str">
        <f t="shared" si="358"/>
        <v>36861Vega</v>
      </c>
      <c r="CQ350" t="str">
        <f t="shared" si="359"/>
        <v>36861Theta</v>
      </c>
    </row>
    <row r="351" spans="1:95" x14ac:dyDescent="0.25">
      <c r="A351" s="382" t="s">
        <v>279</v>
      </c>
      <c r="B351" t="s">
        <v>250</v>
      </c>
      <c r="C351" t="s">
        <v>451</v>
      </c>
      <c r="D351" s="4" t="s">
        <v>7</v>
      </c>
      <c r="E351" t="s">
        <v>20</v>
      </c>
      <c r="F351" t="s">
        <v>1</v>
      </c>
      <c r="G351" s="5">
        <v>36831</v>
      </c>
      <c r="H351" s="130">
        <v>-500000</v>
      </c>
      <c r="I351">
        <v>1.6</v>
      </c>
      <c r="J351" s="53">
        <f t="shared" si="381"/>
        <v>4.7359999999999998</v>
      </c>
      <c r="K351" s="7">
        <f t="shared" si="382"/>
        <v>0.77</v>
      </c>
      <c r="L351" s="53">
        <f t="shared" si="383"/>
        <v>5.5060000000000002</v>
      </c>
      <c r="M351" s="157">
        <f t="shared" si="396"/>
        <v>6.810675983792E-2</v>
      </c>
      <c r="N351" s="4">
        <f t="shared" si="397"/>
        <v>0.59499999999999997</v>
      </c>
      <c r="O351" s="4">
        <f t="shared" si="398"/>
        <v>0.625</v>
      </c>
      <c r="P351" s="9">
        <f t="shared" si="399"/>
        <v>0.89</v>
      </c>
      <c r="Q351" s="5">
        <f t="shared" si="375"/>
        <v>36829</v>
      </c>
      <c r="R351" s="4">
        <f t="shared" si="400"/>
        <v>0</v>
      </c>
      <c r="S351" s="158">
        <f>_xll.xSPRDOPT($L351,$J351,$I351,$M351,$O351,$N351,$P351,$Q351-$C$3,$R351,0)</f>
        <v>0.86876318951954157</v>
      </c>
      <c r="T351" s="159">
        <f>_xll.xSPRDOPT($L351,$J351,$I351,$M351,$O351,$N351,$P351,$Q351-$C$3,$R351,1)*H351</f>
        <v>421850.65142417798</v>
      </c>
      <c r="U351" s="160">
        <f t="shared" si="401"/>
        <v>-434381.59475977079</v>
      </c>
      <c r="V351" s="159">
        <f>_xll.xSPRDOPT($L351,$J351,$I351,$M351,$O351,$N351,$P351,$Q351-$C$3,$R351,2)*H351</f>
        <v>-433151.69039531396</v>
      </c>
      <c r="W351" s="159">
        <f t="shared" si="402"/>
        <v>-11301.038971135975</v>
      </c>
      <c r="X351" s="51" t="str">
        <f t="shared" si="376"/>
        <v>36831IF-TRANSCO/Z6</v>
      </c>
      <c r="Y351" s="418">
        <f t="shared" si="377"/>
        <v>-50</v>
      </c>
      <c r="Z351" s="456">
        <f t="shared" si="378"/>
        <v>-0.84370130284835598</v>
      </c>
      <c r="AA351" s="456">
        <f>_xll.xSPRDOPT($L351,$J351,$I351,$M351,$O351,$N351,$P351,$Q351-$C$3,$R351,3)</f>
        <v>0.33065335827695025</v>
      </c>
      <c r="AB351" s="456">
        <f>((_xll.xSPRDOPT($L351+AB$5,$J351,$I351,$M351,$O351,$N351,$P351,$Q351-$C$3,$R351,3)*$H351)/10000)/100</f>
        <v>-0.16532667913847512</v>
      </c>
      <c r="AC351" s="456">
        <f>((_xll.xSPRDOPT($L351+$AB$5,$J351,$I351,$M351,$O351,$N351,$P351,$Q351-$C$3,$R351,7)*$H351)/100)</f>
        <v>2425.4419605565913</v>
      </c>
      <c r="AD351" s="456">
        <f>(_xll.xSPRDOPT($L351+$AB$5,$J351,$I351,$M351,$O351,$N351,$P351,$Q351-$C$3,$R351,9)/365)*$H351</f>
        <v>549.10108557851822</v>
      </c>
      <c r="AE351">
        <f t="shared" si="379"/>
        <v>0</v>
      </c>
      <c r="AF351" s="456">
        <f t="shared" si="380"/>
        <v>-1312.3632933907788</v>
      </c>
      <c r="AG351" s="456">
        <f>((_xll.xSPRDOPT($L351,$J351,$I351,$M351,$O351,$N351,$P351,$Q351-$C$3,$R351,6)*$H351)/100)</f>
        <v>645.12910727896497</v>
      </c>
      <c r="AH351" s="456">
        <f>((_xll.xSPRDOPT($L351,$J351,$I351,$M351,$O351,$N351,$P351,$Q351-$C$3,$R351,5)*$H351)/100)</f>
        <v>-1863.532765437596</v>
      </c>
      <c r="AI351" s="456">
        <f>(((_xll.xSPRDOPT($L351,$J351,$I351,$M351,$O351,$N351,$P351,$Q351-$C$3,$R351,4)*$H351)/10000)/100)-AB351</f>
        <v>3.3655213655945898E-2</v>
      </c>
      <c r="AJ351" s="456"/>
      <c r="AK351" s="456"/>
      <c r="AL351" s="456"/>
      <c r="AM351" s="472"/>
      <c r="CC351" s="141">
        <f t="shared" si="403"/>
        <v>36831</v>
      </c>
      <c r="CD351" s="234">
        <f>_xll.xSPRDOPT((VLOOKUP(G351,NGPrices,2,FALSE)+HLOOKUP(D351,Prices,VLOOKUP(G351,move_down,2,FALSE),FALSE)),VLOOKUP(G351,NGPrices,2,FALSE),I351,VLOOKUP(G351,NGPREVPRICES,4,FALSE),HLOOKUP(D351,PREVVOLS,VLOOKUP(G351,MOVE_DOWN2,2,FALSE),FALSE),VLOOKUP(G351,NGPREVPRICES,3,FALSE),HLOOKUP(D351,Correllate,VLOOKUP(G351,CorMove,2,FALSE),FALSE),Q351-$CD$3,R351,$CD$5)*H351-CJ351</f>
        <v>0</v>
      </c>
      <c r="CE351" s="234">
        <f>_xll.xSPRDOPT((VLOOKUP(G351,NGPREVPRICES,2,FALSE)+HLOOKUP(D351,PREVCURVES,VLOOKUP(G351,MOVE_DOWN2,2,FALSE),FALSE)),VLOOKUP(G351,NGPREVPRICES,2,FALSE),CK351,VLOOKUP(G351,NGPrices,4,FALSE),HLOOKUP(D351,PREVVOLS,VLOOKUP(G351,MOVE_DOWN2,2,FALSE),FALSE),VLOOKUP(G351,NGPREVPRICES,3,FALSE),HLOOKUP(D351,Correllate,VLOOKUP(G351,CorMove,2,FALSE),FALSE),Q351-$CD$3,R351,$CJ$5)*H351-CJ351</f>
        <v>0</v>
      </c>
      <c r="CF351" s="10">
        <f t="shared" si="404"/>
        <v>80.771287673269399</v>
      </c>
      <c r="CG351" s="234">
        <f>_xll.xSPRDOPT((VLOOKUP(G351,NGPREVPRICES,2,FALSE)+HLOOKUP(D351,PREVCURVES,VLOOKUP(G351,MOVE_DOWN2,2,FALSE),FALSE)),VLOOKUP(G351,NGPREVPRICES,2,FALSE),CK351,VLOOKUP(G351,NGPREVPRICES,4,FALSE),HLOOKUP(D351,VOLS,VLOOKUP(G351,move_down,2,FALSE),FALSE),VLOOKUP(G351,NGPrices,3,FALSE),HLOOKUP(D351,Correllate,VLOOKUP(G351,CorMove,2,FALSE),FALSE),Q351-$CD$3,R351,$CJ$5)*H351-CJ351</f>
        <v>0</v>
      </c>
      <c r="CH351" s="234">
        <f>_xll.xSPRDOPT((VLOOKUP(G351,NGPREVPRICES,2,FALSE)+HLOOKUP(D351,PREVCURVES,VLOOKUP(G351,MOVE_DOWN2,2,FALSE),FALSE)),VLOOKUP(G351,NGPREVPRICES,2,FALSE),CK351,VLOOKUP(G351,NGPREVPRICES,4,FALSE),HLOOKUP(D351,PREVVOLS,VLOOKUP(G351,MOVE_DOWN2,2,FALSE),FALSE),VLOOKUP(G351,NGPREVPRICES,3,FALSE),HLOOKUP(D351,Correllate,VLOOKUP(G351,CorMove,2,FALSE),FALSE),Q351-$C$3,R351,$CJ$5)*H351-CJ351</f>
        <v>549.24848051305162</v>
      </c>
      <c r="CI351" s="234">
        <f t="shared" si="405"/>
        <v>630.01976818632102</v>
      </c>
      <c r="CJ351" s="234">
        <f>_xll.xSPRDOPT((VLOOKUP(G351,NGPREVPRICES,2,FALSE)+HLOOKUP(D351,PREVCURVES,VLOOKUP(G351,MOVE_DOWN2,2,FALSE),FALSE)),VLOOKUP(G351,NGPREVPRICES,2,FALSE),CK351,VLOOKUP(G351,NGPREVPRICES,4,FALSE),HLOOKUP(D351,PREVVOLS,VLOOKUP(G351,MOVE_DOWN2,2,FALSE),FALSE),VLOOKUP(G351,NGPREVPRICES,3,FALSE),HLOOKUP(D351,Correllate,VLOOKUP(G351,CorMove,2,FALSE),FALSE),Q351-$CD$3,R351,$CJ$5)*H351</f>
        <v>-434930.84324028384</v>
      </c>
      <c r="CK351" s="235">
        <f t="shared" si="406"/>
        <v>1.6</v>
      </c>
      <c r="CM351" t="str">
        <f t="shared" si="407"/>
        <v>36831Curve Shift/Gamma</v>
      </c>
      <c r="CN351" t="str">
        <f t="shared" si="356"/>
        <v>36831Rho</v>
      </c>
      <c r="CO351" t="str">
        <f t="shared" si="357"/>
        <v>36831Drift</v>
      </c>
      <c r="CP351" t="str">
        <f t="shared" si="358"/>
        <v>36831Vega</v>
      </c>
      <c r="CQ351" t="str">
        <f t="shared" si="359"/>
        <v>36831Theta</v>
      </c>
    </row>
    <row r="352" spans="1:95" x14ac:dyDescent="0.25">
      <c r="A352" s="382" t="s">
        <v>279</v>
      </c>
      <c r="B352" t="s">
        <v>250</v>
      </c>
      <c r="C352" t="s">
        <v>452</v>
      </c>
      <c r="D352" s="4" t="s">
        <v>7</v>
      </c>
      <c r="E352" t="s">
        <v>20</v>
      </c>
      <c r="F352" t="s">
        <v>21</v>
      </c>
      <c r="G352" s="5">
        <v>36923</v>
      </c>
      <c r="H352" s="130">
        <v>-500000</v>
      </c>
      <c r="I352">
        <v>2.5</v>
      </c>
      <c r="J352" s="53">
        <f t="shared" si="381"/>
        <v>4.4800000000000004</v>
      </c>
      <c r="K352" s="7">
        <f t="shared" si="382"/>
        <v>2.09</v>
      </c>
      <c r="L352" s="53">
        <f t="shared" si="383"/>
        <v>6.57</v>
      </c>
      <c r="M352" s="157">
        <f t="shared" si="396"/>
        <v>6.8640161611372E-2</v>
      </c>
      <c r="N352" s="4">
        <f t="shared" si="397"/>
        <v>0.59250000000000003</v>
      </c>
      <c r="O352" s="4">
        <f t="shared" si="398"/>
        <v>0.68100000000000005</v>
      </c>
      <c r="P352" s="9">
        <f t="shared" si="399"/>
        <v>0.83</v>
      </c>
      <c r="Q352" s="5">
        <f t="shared" si="375"/>
        <v>36921</v>
      </c>
      <c r="R352" s="4">
        <f t="shared" si="400"/>
        <v>1</v>
      </c>
      <c r="S352" s="158">
        <f>_xll.xSPRDOPT($L352,$J352,$I352,$M352,$O352,$N352,$P352,$Q352-$C$3,$R352,0)</f>
        <v>0.53494168201694325</v>
      </c>
      <c r="T352" s="159">
        <f>_xll.xSPRDOPT($L352,$J352,$I352,$M352,$O352,$N352,$P352,$Q352-$C$3,$R352,1)*H352</f>
        <v>-228723.97294227211</v>
      </c>
      <c r="U352" s="160">
        <f t="shared" si="401"/>
        <v>-267470.84100847162</v>
      </c>
      <c r="V352" s="159">
        <f>_xll.xSPRDOPT($L352,$J352,$I352,$M352,$O352,$N352,$P352,$Q352-$C$3,$R352,2)*H352</f>
        <v>187472.63589046008</v>
      </c>
      <c r="W352" s="159">
        <f t="shared" si="402"/>
        <v>-41251.337051812035</v>
      </c>
      <c r="X352" s="51" t="str">
        <f t="shared" si="376"/>
        <v>36923IF-TRANSCO/Z6</v>
      </c>
      <c r="Y352" s="418">
        <f t="shared" si="377"/>
        <v>-50</v>
      </c>
      <c r="Z352" s="456">
        <f t="shared" si="378"/>
        <v>0.45744794588454424</v>
      </c>
      <c r="AA352" s="456">
        <f>_xll.xSPRDOPT($L352,$J352,$I352,$M352,$O352,$N352,$P352,$Q352-$C$3,$R352,3)</f>
        <v>0.21618551080216697</v>
      </c>
      <c r="AB352" s="456">
        <f>((_xll.xSPRDOPT($L352+AB$5,$J352,$I352,$M352,$O352,$N352,$P352,$Q352-$C$3,$R352,3)*$H352)/10000)/100</f>
        <v>-0.10809275540108348</v>
      </c>
      <c r="AC352" s="456">
        <f>((_xll.xSPRDOPT($L352+$AB$5,$J352,$I352,$M352,$O352,$N352,$P352,$Q352-$C$3,$R352,7)*$H352)/100)</f>
        <v>5230.7137322153758</v>
      </c>
      <c r="AD352" s="456">
        <f>(_xll.xSPRDOPT($L352+$AB$5,$J352,$I352,$M352,$O352,$N352,$P352,$Q352-$C$3,$R352,9)/365)*$H352</f>
        <v>1079.9993027559465</v>
      </c>
      <c r="AE352">
        <f t="shared" si="379"/>
        <v>0</v>
      </c>
      <c r="AF352" s="456">
        <f t="shared" si="380"/>
        <v>-5871.6233510919374</v>
      </c>
      <c r="AG352" s="456">
        <f>((_xll.xSPRDOPT($L352,$J352,$I352,$M352,$O352,$N352,$P352,$Q352-$C$3,$R352,6)*$H352)/100)</f>
        <v>2198.9376795093563</v>
      </c>
      <c r="AH352" s="456">
        <f>((_xll.xSPRDOPT($L352,$J352,$I352,$M352,$O352,$N352,$P352,$Q352-$C$3,$R352,5)*$H352)/100)</f>
        <v>-7021.743627946058</v>
      </c>
      <c r="AI352" s="456">
        <f>(((_xll.xSPRDOPT($L352,$J352,$I352,$M352,$O352,$N352,$P352,$Q352-$C$3,$R352,4)*$H352)/10000)/100)-AB352</f>
        <v>5.8071627397417586E-3</v>
      </c>
      <c r="AJ352" s="456"/>
      <c r="AK352" s="456"/>
      <c r="AL352" s="456"/>
      <c r="AM352" s="472"/>
      <c r="CC352" s="141">
        <f t="shared" si="403"/>
        <v>36923</v>
      </c>
      <c r="CD352" s="234">
        <f>_xll.xSPRDOPT((VLOOKUP(G352,NGPrices,2,FALSE)+HLOOKUP(D352,Prices,VLOOKUP(G352,move_down,2,FALSE),FALSE)),VLOOKUP(G352,NGPrices,2,FALSE),I352,VLOOKUP(G352,NGPREVPRICES,4,FALSE),HLOOKUP(D352,PREVVOLS,VLOOKUP(G352,MOVE_DOWN2,2,FALSE),FALSE),VLOOKUP(G352,NGPREVPRICES,3,FALSE),HLOOKUP(D352,Correllate,VLOOKUP(G352,CorMove,2,FALSE),FALSE),Q352-$CD$3,R352,$CD$5)*H352-CJ352</f>
        <v>0</v>
      </c>
      <c r="CE352" s="234">
        <f>_xll.xSPRDOPT((VLOOKUP(G352,NGPREVPRICES,2,FALSE)+HLOOKUP(D352,PREVCURVES,VLOOKUP(G352,MOVE_DOWN2,2,FALSE),FALSE)),VLOOKUP(G352,NGPREVPRICES,2,FALSE),CK352,VLOOKUP(G352,NGPrices,4,FALSE),HLOOKUP(D352,PREVVOLS,VLOOKUP(G352,MOVE_DOWN2,2,FALSE),FALSE),VLOOKUP(G352,NGPREVPRICES,3,FALSE),HLOOKUP(D352,Correllate,VLOOKUP(G352,CorMove,2,FALSE),FALSE),Q352-$CD$3,R352,$CJ$5)*H352-CJ352</f>
        <v>0</v>
      </c>
      <c r="CF352" s="10">
        <f t="shared" si="404"/>
        <v>51.074756523768883</v>
      </c>
      <c r="CG352" s="234">
        <f>_xll.xSPRDOPT((VLOOKUP(G352,NGPREVPRICES,2,FALSE)+HLOOKUP(D352,PREVCURVES,VLOOKUP(G352,MOVE_DOWN2,2,FALSE),FALSE)),VLOOKUP(G352,NGPREVPRICES,2,FALSE),CK352,VLOOKUP(G352,NGPREVPRICES,4,FALSE),HLOOKUP(D352,VOLS,VLOOKUP(G352,move_down,2,FALSE),FALSE),VLOOKUP(G352,NGPrices,3,FALSE),HLOOKUP(D352,Correllate,VLOOKUP(G352,CorMove,2,FALSE),FALSE),Q352-$CD$3,R352,$CJ$5)*H352-CJ352</f>
        <v>0</v>
      </c>
      <c r="CH352" s="234">
        <f>_xll.xSPRDOPT((VLOOKUP(G352,NGPREVPRICES,2,FALSE)+HLOOKUP(D352,PREVCURVES,VLOOKUP(G352,MOVE_DOWN2,2,FALSE),FALSE)),VLOOKUP(G352,NGPREVPRICES,2,FALSE),CK352,VLOOKUP(G352,NGPREVPRICES,4,FALSE),HLOOKUP(D352,PREVVOLS,VLOOKUP(G352,MOVE_DOWN2,2,FALSE),FALSE),VLOOKUP(G352,NGPREVPRICES,3,FALSE),HLOOKUP(D352,Correllate,VLOOKUP(G352,CorMove,2,FALSE),FALSE),Q352-$C$3,R352,$CJ$5)*H352-CJ352</f>
        <v>1077.2871513639111</v>
      </c>
      <c r="CI352" s="234">
        <f t="shared" si="405"/>
        <v>1128.36190788768</v>
      </c>
      <c r="CJ352" s="234">
        <f>_xll.xSPRDOPT((VLOOKUP(G352,NGPREVPRICES,2,FALSE)+HLOOKUP(D352,PREVCURVES,VLOOKUP(G352,MOVE_DOWN2,2,FALSE),FALSE)),VLOOKUP(G352,NGPREVPRICES,2,FALSE),CK352,VLOOKUP(G352,NGPREVPRICES,4,FALSE),HLOOKUP(D352,PREVVOLS,VLOOKUP(G352,MOVE_DOWN2,2,FALSE),FALSE),VLOOKUP(G352,NGPREVPRICES,3,FALSE),HLOOKUP(D352,Correllate,VLOOKUP(G352,CorMove,2,FALSE),FALSE),Q352-$CD$3,R352,$CJ$5)*H352</f>
        <v>-268548.12815983553</v>
      </c>
      <c r="CK352" s="235">
        <f t="shared" si="406"/>
        <v>2.5</v>
      </c>
      <c r="CM352" t="str">
        <f t="shared" si="407"/>
        <v>36923Curve Shift/Gamma</v>
      </c>
      <c r="CN352" t="str">
        <f t="shared" si="356"/>
        <v>36923Rho</v>
      </c>
      <c r="CO352" t="str">
        <f t="shared" si="357"/>
        <v>36923Drift</v>
      </c>
      <c r="CP352" t="str">
        <f t="shared" si="358"/>
        <v>36923Vega</v>
      </c>
      <c r="CQ352" t="str">
        <f t="shared" si="359"/>
        <v>36923Theta</v>
      </c>
    </row>
    <row r="353" spans="1:95" x14ac:dyDescent="0.25">
      <c r="A353" s="382" t="s">
        <v>279</v>
      </c>
      <c r="B353" t="s">
        <v>250</v>
      </c>
      <c r="C353" t="s">
        <v>452</v>
      </c>
      <c r="D353" s="4" t="s">
        <v>7</v>
      </c>
      <c r="E353" t="s">
        <v>20</v>
      </c>
      <c r="F353" t="s">
        <v>21</v>
      </c>
      <c r="G353" s="5">
        <v>36892</v>
      </c>
      <c r="H353" s="130">
        <v>-500000</v>
      </c>
      <c r="I353">
        <v>2.5</v>
      </c>
      <c r="J353" s="53">
        <f t="shared" si="381"/>
        <v>4.7439999999999998</v>
      </c>
      <c r="K353" s="7">
        <f t="shared" si="382"/>
        <v>2.17</v>
      </c>
      <c r="L353" s="53">
        <f t="shared" si="383"/>
        <v>6.9139999999999997</v>
      </c>
      <c r="M353" s="157">
        <f t="shared" si="396"/>
        <v>6.8374831148490994E-2</v>
      </c>
      <c r="N353" s="4">
        <f t="shared" si="397"/>
        <v>0.60499999999999998</v>
      </c>
      <c r="O353" s="4">
        <f t="shared" si="398"/>
        <v>0.69599999999999995</v>
      </c>
      <c r="P353" s="9">
        <f t="shared" si="399"/>
        <v>0.83</v>
      </c>
      <c r="Q353" s="5">
        <f t="shared" si="375"/>
        <v>36888</v>
      </c>
      <c r="R353" s="4">
        <f t="shared" si="400"/>
        <v>1</v>
      </c>
      <c r="S353" s="158">
        <f>_xll.xSPRDOPT($L353,$J353,$I353,$M353,$O353,$N353,$P353,$Q353-$C$3,$R353,0)</f>
        <v>0.52922812131883945</v>
      </c>
      <c r="T353" s="159">
        <f>_xll.xSPRDOPT($L353,$J353,$I353,$M353,$O353,$N353,$P353,$Q353-$C$3,$R353,1)*H353</f>
        <v>-233367.12291376205</v>
      </c>
      <c r="U353" s="160">
        <f t="shared" si="401"/>
        <v>-264614.06065941975</v>
      </c>
      <c r="V353" s="159">
        <f>_xll.xSPRDOPT($L353,$J353,$I353,$M353,$O353,$N353,$P353,$Q353-$C$3,$R353,2)*H353</f>
        <v>195342.36879954021</v>
      </c>
      <c r="W353" s="159">
        <f t="shared" si="402"/>
        <v>-38024.75411422184</v>
      </c>
      <c r="X353" s="51" t="str">
        <f t="shared" si="376"/>
        <v>36892IF-TRANSCO/Z6</v>
      </c>
      <c r="Y353" s="418">
        <f t="shared" si="377"/>
        <v>-50</v>
      </c>
      <c r="Z353" s="456">
        <f t="shared" si="378"/>
        <v>0.4667342458275241</v>
      </c>
      <c r="AA353" s="456">
        <f>_xll.xSPRDOPT($L353,$J353,$I353,$M353,$O353,$N353,$P353,$Q353-$C$3,$R353,3)</f>
        <v>0.22967006797299966</v>
      </c>
      <c r="AB353" s="456">
        <f>((_xll.xSPRDOPT($L353+AB$5,$J353,$I353,$M353,$O353,$N353,$P353,$Q353-$C$3,$R353,3)*$H353)/10000)/100</f>
        <v>-0.11483503398649983</v>
      </c>
      <c r="AC353" s="456">
        <f>((_xll.xSPRDOPT($L353+$AB$5,$J353,$I353,$M353,$O353,$N353,$P353,$Q353-$C$3,$R353,7)*$H353)/100)</f>
        <v>5116.0331168110852</v>
      </c>
      <c r="AD353" s="456">
        <f>(_xll.xSPRDOPT($L353+$AB$5,$J353,$I353,$M353,$O353,$N353,$P353,$Q353-$C$3,$R353,9)/365)*$H353</f>
        <v>1322.9017009603915</v>
      </c>
      <c r="AE353">
        <f t="shared" si="379"/>
        <v>0</v>
      </c>
      <c r="AF353" s="456">
        <f t="shared" si="380"/>
        <v>-5486.127986502499</v>
      </c>
      <c r="AG353" s="456">
        <f>((_xll.xSPRDOPT($L353,$J353,$I353,$M353,$O353,$N353,$P353,$Q353-$C$3,$R353,6)*$H353)/100)</f>
        <v>2056.1843663886079</v>
      </c>
      <c r="AH353" s="456">
        <f>((_xll.xSPRDOPT($L353,$J353,$I353,$M353,$O353,$N353,$P353,$Q353-$C$3,$R353,5)*$H353)/100)</f>
        <v>-6556.1766860619546</v>
      </c>
      <c r="AI353" s="456">
        <f>(((_xll.xSPRDOPT($L353,$J353,$I353,$M353,$O353,$N353,$P353,$Q353-$C$3,$R353,4)*$H353)/10000)/100)-AB353</f>
        <v>4.8174741609229299E-3</v>
      </c>
      <c r="AJ353" s="456"/>
      <c r="AK353" s="456"/>
      <c r="AL353" s="456"/>
      <c r="AM353" s="472"/>
      <c r="CC353" s="141">
        <f t="shared" si="403"/>
        <v>36892</v>
      </c>
      <c r="CD353" s="234">
        <f>_xll.xSPRDOPT((VLOOKUP(G353,NGPrices,2,FALSE)+HLOOKUP(D353,Prices,VLOOKUP(G353,move_down,2,FALSE),FALSE)),VLOOKUP(G353,NGPrices,2,FALSE),I353,VLOOKUP(G353,NGPREVPRICES,4,FALSE),HLOOKUP(D353,PREVVOLS,VLOOKUP(G353,MOVE_DOWN2,2,FALSE),FALSE),VLOOKUP(G353,NGPREVPRICES,3,FALSE),HLOOKUP(D353,Correllate,VLOOKUP(G353,CorMove,2,FALSE),FALSE),Q353-$CD$3,R353,$CD$5)*H353-CJ353</f>
        <v>0</v>
      </c>
      <c r="CE353" s="234">
        <f>_xll.xSPRDOPT((VLOOKUP(G353,NGPREVPRICES,2,FALSE)+HLOOKUP(D353,PREVCURVES,VLOOKUP(G353,MOVE_DOWN2,2,FALSE),FALSE)),VLOOKUP(G353,NGPREVPRICES,2,FALSE),CK353,VLOOKUP(G353,NGPrices,4,FALSE),HLOOKUP(D353,PREVVOLS,VLOOKUP(G353,MOVE_DOWN2,2,FALSE),FALSE),VLOOKUP(G353,NGPREVPRICES,3,FALSE),HLOOKUP(D353,Correllate,VLOOKUP(G353,CorMove,2,FALSE),FALSE),Q353-$CD$3,R353,$CJ$5)*H353-CJ353</f>
        <v>0</v>
      </c>
      <c r="CF353" s="10">
        <f t="shared" si="404"/>
        <v>50.112733908230439</v>
      </c>
      <c r="CG353" s="234">
        <f>_xll.xSPRDOPT((VLOOKUP(G353,NGPREVPRICES,2,FALSE)+HLOOKUP(D353,PREVCURVES,VLOOKUP(G353,MOVE_DOWN2,2,FALSE),FALSE)),VLOOKUP(G353,NGPREVPRICES,2,FALSE),CK353,VLOOKUP(G353,NGPREVPRICES,4,FALSE),HLOOKUP(D353,VOLS,VLOOKUP(G353,move_down,2,FALSE),FALSE),VLOOKUP(G353,NGPrices,3,FALSE),HLOOKUP(D353,Correllate,VLOOKUP(G353,CorMove,2,FALSE),FALSE),Q353-$CD$3,R353,$CJ$5)*H353-CJ353</f>
        <v>0</v>
      </c>
      <c r="CH353" s="234">
        <f>_xll.xSPRDOPT((VLOOKUP(G353,NGPREVPRICES,2,FALSE)+HLOOKUP(D353,PREVCURVES,VLOOKUP(G353,MOVE_DOWN2,2,FALSE),FALSE)),VLOOKUP(G353,NGPREVPRICES,2,FALSE),CK353,VLOOKUP(G353,NGPREVPRICES,4,FALSE),HLOOKUP(D353,PREVVOLS,VLOOKUP(G353,MOVE_DOWN2,2,FALSE),FALSE),VLOOKUP(G353,NGPREVPRICES,3,FALSE),HLOOKUP(D353,Correllate,VLOOKUP(G353,CorMove,2,FALSE),FALSE),Q353-$C$3,R353,$CJ$5)*H353-CJ353</f>
        <v>1318.9913260466419</v>
      </c>
      <c r="CI353" s="234">
        <f t="shared" si="405"/>
        <v>1369.1040599548724</v>
      </c>
      <c r="CJ353" s="234">
        <f>_xll.xSPRDOPT((VLOOKUP(G353,NGPREVPRICES,2,FALSE)+HLOOKUP(D353,PREVCURVES,VLOOKUP(G353,MOVE_DOWN2,2,FALSE),FALSE)),VLOOKUP(G353,NGPREVPRICES,2,FALSE),CK353,VLOOKUP(G353,NGPREVPRICES,4,FALSE),HLOOKUP(D353,PREVVOLS,VLOOKUP(G353,MOVE_DOWN2,2,FALSE),FALSE),VLOOKUP(G353,NGPREVPRICES,3,FALSE),HLOOKUP(D353,Correllate,VLOOKUP(G353,CorMove,2,FALSE),FALSE),Q353-$CD$3,R353,$CJ$5)*H353</f>
        <v>-265933.05198546639</v>
      </c>
      <c r="CK353" s="235">
        <f t="shared" si="406"/>
        <v>2.5</v>
      </c>
      <c r="CM353" t="str">
        <f t="shared" si="407"/>
        <v>36892Curve Shift/Gamma</v>
      </c>
      <c r="CN353" t="str">
        <f t="shared" si="356"/>
        <v>36892Rho</v>
      </c>
      <c r="CO353" t="str">
        <f t="shared" si="357"/>
        <v>36892Drift</v>
      </c>
      <c r="CP353" t="str">
        <f t="shared" si="358"/>
        <v>36892Vega</v>
      </c>
      <c r="CQ353" t="str">
        <f t="shared" si="359"/>
        <v>36892Theta</v>
      </c>
    </row>
    <row r="354" spans="1:95" x14ac:dyDescent="0.25">
      <c r="A354" s="382" t="s">
        <v>279</v>
      </c>
      <c r="B354" t="s">
        <v>250</v>
      </c>
      <c r="C354" t="s">
        <v>452</v>
      </c>
      <c r="D354" s="4" t="s">
        <v>7</v>
      </c>
      <c r="E354" t="s">
        <v>20</v>
      </c>
      <c r="F354" t="s">
        <v>21</v>
      </c>
      <c r="G354" s="5">
        <v>36861</v>
      </c>
      <c r="H354" s="130">
        <v>-500000</v>
      </c>
      <c r="I354">
        <v>2.5</v>
      </c>
      <c r="J354" s="53">
        <f t="shared" si="381"/>
        <v>4.8</v>
      </c>
      <c r="K354" s="7">
        <f t="shared" si="382"/>
        <v>1.645</v>
      </c>
      <c r="L354" s="53">
        <f t="shared" si="383"/>
        <v>6.4450000000000003</v>
      </c>
      <c r="M354" s="157">
        <f t="shared" si="396"/>
        <v>6.8314027999354002E-2</v>
      </c>
      <c r="N354" s="4">
        <f t="shared" si="397"/>
        <v>0.6</v>
      </c>
      <c r="O354" s="4">
        <f t="shared" si="398"/>
        <v>0.69</v>
      </c>
      <c r="P354" s="9">
        <f t="shared" si="399"/>
        <v>0.83</v>
      </c>
      <c r="Q354" s="5">
        <f t="shared" si="375"/>
        <v>36859</v>
      </c>
      <c r="R354" s="4">
        <f t="shared" si="400"/>
        <v>1</v>
      </c>
      <c r="S354" s="158">
        <f>_xll.xSPRDOPT($L354,$J354,$I354,$M354,$O354,$N354,$P354,$Q354-$C$3,$R354,0)</f>
        <v>0.24519282370785345</v>
      </c>
      <c r="T354" s="159">
        <f>_xll.xSPRDOPT($L354,$J354,$I354,$M354,$O354,$N354,$P354,$Q354-$C$3,$R354,1)*H354</f>
        <v>-156149.22535683736</v>
      </c>
      <c r="U354" s="160">
        <f t="shared" si="401"/>
        <v>-122596.41185392672</v>
      </c>
      <c r="V354" s="159">
        <f>_xll.xSPRDOPT($L354,$J354,$I354,$M354,$O354,$N354,$P354,$Q354-$C$3,$R354,2)*H354</f>
        <v>127340.94724667705</v>
      </c>
      <c r="W354" s="159">
        <f t="shared" si="402"/>
        <v>-28808.278110160303</v>
      </c>
      <c r="X354" s="51" t="str">
        <f t="shared" si="376"/>
        <v>36861IF-TRANSCO/Z6</v>
      </c>
      <c r="Y354" s="418">
        <f t="shared" si="377"/>
        <v>-50</v>
      </c>
      <c r="Z354" s="456">
        <f t="shared" si="378"/>
        <v>0.31229845071367474</v>
      </c>
      <c r="AA354" s="456">
        <f>_xll.xSPRDOPT($L354,$J354,$I354,$M354,$O354,$N354,$P354,$Q354-$C$3,$R354,3)</f>
        <v>0.25819289510904975</v>
      </c>
      <c r="AB354" s="456">
        <f>((_xll.xSPRDOPT($L354+AB$5,$J354,$I354,$M354,$O354,$N354,$P354,$Q354-$C$3,$R354,3)*$H354)/10000)/100</f>
        <v>-0.12909644755452487</v>
      </c>
      <c r="AC354" s="456">
        <f>((_xll.xSPRDOPT($L354+$AB$5,$J354,$I354,$M354,$O354,$N354,$P354,$Q354-$C$3,$R354,7)*$H354)/100)</f>
        <v>3792.7879886265846</v>
      </c>
      <c r="AD354" s="456">
        <f>(_xll.xSPRDOPT($L354+$AB$5,$J354,$I354,$M354,$O354,$N354,$P354,$Q354-$C$3,$R354,9)/365)*$H354</f>
        <v>1275.7899118836981</v>
      </c>
      <c r="AE354">
        <f t="shared" si="379"/>
        <v>0</v>
      </c>
      <c r="AF354" s="456">
        <f t="shared" si="380"/>
        <v>-3980.0620754965062</v>
      </c>
      <c r="AG354" s="456">
        <f>((_xll.xSPRDOPT($L354,$J354,$I354,$M354,$O354,$N354,$P354,$Q354-$C$3,$R354,6)*$H354)/100)</f>
        <v>1491.0255746277276</v>
      </c>
      <c r="AH354" s="456">
        <f>((_xll.xSPRDOPT($L354,$J354,$I354,$M354,$O354,$N354,$P354,$Q354-$C$3,$R354,5)*$H354)/100)</f>
        <v>-4757.4675218471602</v>
      </c>
      <c r="AI354" s="456">
        <f>(((_xll.xSPRDOPT($L354,$J354,$I354,$M354,$O354,$N354,$P354,$Q354-$C$3,$R354,4)*$H354)/10000)/100)-AB354</f>
        <v>2.1237991617354318E-2</v>
      </c>
      <c r="AJ354" s="456"/>
      <c r="AK354" s="456"/>
      <c r="AL354" s="456"/>
      <c r="AM354" s="472"/>
      <c r="CC354" s="141">
        <f t="shared" si="403"/>
        <v>36861</v>
      </c>
      <c r="CD354" s="234">
        <f>_xll.xSPRDOPT((VLOOKUP(G354,NGPrices,2,FALSE)+HLOOKUP(D354,Prices,VLOOKUP(G354,move_down,2,FALSE),FALSE)),VLOOKUP(G354,NGPrices,2,FALSE),I354,VLOOKUP(G354,NGPREVPRICES,4,FALSE),HLOOKUP(D354,PREVVOLS,VLOOKUP(G354,MOVE_DOWN2,2,FALSE),FALSE),VLOOKUP(G354,NGPREVPRICES,3,FALSE),HLOOKUP(D354,Correllate,VLOOKUP(G354,CorMove,2,FALSE),FALSE),Q354-$CD$3,R354,$CD$5)*H354-CJ354</f>
        <v>0</v>
      </c>
      <c r="CE354" s="234">
        <f>_xll.xSPRDOPT((VLOOKUP(G354,NGPREVPRICES,2,FALSE)+HLOOKUP(D354,PREVCURVES,VLOOKUP(G354,MOVE_DOWN2,2,FALSE),FALSE)),VLOOKUP(G354,NGPREVPRICES,2,FALSE),CK354,VLOOKUP(G354,NGPrices,4,FALSE),HLOOKUP(D354,PREVVOLS,VLOOKUP(G354,MOVE_DOWN2,2,FALSE),FALSE),VLOOKUP(G354,NGPREVPRICES,3,FALSE),HLOOKUP(D354,Correllate,VLOOKUP(G354,CorMove,2,FALSE),FALSE),Q354-$CD$3,R354,$CJ$5)*H354-CJ354</f>
        <v>0</v>
      </c>
      <c r="CF354" s="10">
        <f t="shared" si="404"/>
        <v>23.205317710046074</v>
      </c>
      <c r="CG354" s="234">
        <f>_xll.xSPRDOPT((VLOOKUP(G354,NGPREVPRICES,2,FALSE)+HLOOKUP(D354,PREVCURVES,VLOOKUP(G354,MOVE_DOWN2,2,FALSE),FALSE)),VLOOKUP(G354,NGPREVPRICES,2,FALSE),CK354,VLOOKUP(G354,NGPREVPRICES,4,FALSE),HLOOKUP(D354,VOLS,VLOOKUP(G354,move_down,2,FALSE),FALSE),VLOOKUP(G354,NGPrices,3,FALSE),HLOOKUP(D354,Correllate,VLOOKUP(G354,CorMove,2,FALSE),FALSE),Q354-$CD$3,R354,$CJ$5)*H354-CJ354</f>
        <v>0</v>
      </c>
      <c r="CH354" s="234">
        <f>_xll.xSPRDOPT((VLOOKUP(G354,NGPREVPRICES,2,FALSE)+HLOOKUP(D354,PREVCURVES,VLOOKUP(G354,MOVE_DOWN2,2,FALSE),FALSE)),VLOOKUP(G354,NGPREVPRICES,2,FALSE),CK354,VLOOKUP(G354,NGPREVPRICES,4,FALSE),HLOOKUP(D354,PREVVOLS,VLOOKUP(G354,MOVE_DOWN2,2,FALSE),FALSE),VLOOKUP(G354,NGPREVPRICES,3,FALSE),HLOOKUP(D354,Correllate,VLOOKUP(G354,CorMove,2,FALSE),FALSE),Q354-$C$3,R354,$CJ$5)*H354-CJ354</f>
        <v>1272.3480463513843</v>
      </c>
      <c r="CI354" s="234">
        <f t="shared" si="405"/>
        <v>1295.5533640614303</v>
      </c>
      <c r="CJ354" s="234">
        <f>_xll.xSPRDOPT((VLOOKUP(G354,NGPREVPRICES,2,FALSE)+HLOOKUP(D354,PREVCURVES,VLOOKUP(G354,MOVE_DOWN2,2,FALSE),FALSE)),VLOOKUP(G354,NGPREVPRICES,2,FALSE),CK354,VLOOKUP(G354,NGPREVPRICES,4,FALSE),HLOOKUP(D354,PREVVOLS,VLOOKUP(G354,MOVE_DOWN2,2,FALSE),FALSE),VLOOKUP(G354,NGPREVPRICES,3,FALSE),HLOOKUP(D354,Correllate,VLOOKUP(G354,CorMove,2,FALSE),FALSE),Q354-$CD$3,R354,$CJ$5)*H354</f>
        <v>-123868.75990027811</v>
      </c>
      <c r="CK354" s="235">
        <f t="shared" si="406"/>
        <v>2.5</v>
      </c>
      <c r="CM354" t="str">
        <f t="shared" si="407"/>
        <v>36861Curve Shift/Gamma</v>
      </c>
      <c r="CN354" t="str">
        <f t="shared" si="356"/>
        <v>36861Rho</v>
      </c>
      <c r="CO354" t="str">
        <f t="shared" si="357"/>
        <v>36861Drift</v>
      </c>
      <c r="CP354" t="str">
        <f t="shared" si="358"/>
        <v>36861Vega</v>
      </c>
      <c r="CQ354" t="str">
        <f t="shared" si="359"/>
        <v>36861Theta</v>
      </c>
    </row>
    <row r="355" spans="1:95" x14ac:dyDescent="0.25">
      <c r="A355" s="382" t="s">
        <v>279</v>
      </c>
      <c r="B355" t="s">
        <v>250</v>
      </c>
      <c r="C355" t="s">
        <v>453</v>
      </c>
      <c r="D355" s="4" t="s">
        <v>7</v>
      </c>
      <c r="E355" t="s">
        <v>20</v>
      </c>
      <c r="F355" t="s">
        <v>1</v>
      </c>
      <c r="G355" s="5">
        <v>36951</v>
      </c>
      <c r="H355" s="130">
        <v>500000</v>
      </c>
      <c r="I355">
        <v>0.75</v>
      </c>
      <c r="J355" s="53">
        <f t="shared" si="381"/>
        <v>4.2130000000000001</v>
      </c>
      <c r="K355" s="7">
        <f t="shared" si="382"/>
        <v>1.075</v>
      </c>
      <c r="L355" s="53">
        <f t="shared" si="383"/>
        <v>5.2880000000000003</v>
      </c>
      <c r="M355" s="157">
        <f t="shared" si="396"/>
        <v>6.8879814952706994E-2</v>
      </c>
      <c r="N355" s="4">
        <f t="shared" si="397"/>
        <v>0.53249999999999997</v>
      </c>
      <c r="O355" s="4">
        <f t="shared" si="398"/>
        <v>0.61199999999999999</v>
      </c>
      <c r="P355" s="9">
        <f t="shared" si="399"/>
        <v>0.83</v>
      </c>
      <c r="Q355" s="5">
        <f t="shared" si="375"/>
        <v>36949</v>
      </c>
      <c r="R355" s="4">
        <f t="shared" si="400"/>
        <v>0</v>
      </c>
      <c r="S355" s="158">
        <f>_xll.xSPRDOPT($L355,$J355,$I355,$M355,$O355,$N355,$P355,$Q355-$C$3,$R355,0)</f>
        <v>0.34094497957691405</v>
      </c>
      <c r="T355" s="159">
        <f>_xll.xSPRDOPT($L355,$J355,$I355,$M355,$O355,$N355,$P355,$Q355-$C$3,$R355,1)*H355</f>
        <v>-169543.92673334433</v>
      </c>
      <c r="U355" s="160">
        <f t="shared" si="401"/>
        <v>170472.48978845702</v>
      </c>
      <c r="V355" s="159">
        <f>_xll.xSPRDOPT($L355,$J355,$I355,$M355,$O355,$N355,$P355,$Q355-$C$3,$R355,2)*H355</f>
        <v>213135.25924725647</v>
      </c>
      <c r="W355" s="159">
        <f t="shared" si="402"/>
        <v>43591.332513912144</v>
      </c>
      <c r="X355" s="51" t="str">
        <f t="shared" si="376"/>
        <v>36951IF-TRANSCO/Z6</v>
      </c>
      <c r="Y355" s="418">
        <f t="shared" si="377"/>
        <v>50</v>
      </c>
      <c r="Z355" s="456">
        <f t="shared" si="378"/>
        <v>-0.33908785346668868</v>
      </c>
      <c r="AA355" s="456">
        <f>_xll.xSPRDOPT($L355,$J355,$I355,$M355,$O355,$N355,$P355,$Q355-$C$3,$R355,3)</f>
        <v>0.27707202713581769</v>
      </c>
      <c r="AB355" s="456">
        <f>((_xll.xSPRDOPT($L355+AB$5,$J355,$I355,$M355,$O355,$N355,$P355,$Q355-$C$3,$R355,3)*$H355)/10000)/100</f>
        <v>0.13853601356790884</v>
      </c>
      <c r="AC355" s="456">
        <f>((_xll.xSPRDOPT($L355+$AB$5,$J355,$I355,$M355,$O355,$N355,$P355,$Q355-$C$3,$R355,7)*$H355)/100)</f>
        <v>-5337.9437428713463</v>
      </c>
      <c r="AD355" s="456">
        <f>(_xll.xSPRDOPT($L355+$AB$5,$J355,$I355,$M355,$O355,$N355,$P355,$Q355-$C$3,$R355,9)/365)*$H355</f>
        <v>-606.31334011060903</v>
      </c>
      <c r="AE355">
        <f t="shared" si="379"/>
        <v>0</v>
      </c>
      <c r="AF355" s="456">
        <f t="shared" si="380"/>
        <v>4361.4821411004514</v>
      </c>
      <c r="AG355" s="456">
        <f>((_xll.xSPRDOPT($L355,$J355,$I355,$M355,$O355,$N355,$P355,$Q355-$C$3,$R355,6)*$H355)/100)</f>
        <v>-895.50905657338956</v>
      </c>
      <c r="AH355" s="456">
        <f>((_xll.xSPRDOPT($L355,$J355,$I355,$M355,$O355,$N355,$P355,$Q355-$C$3,$R355,5)*$H355)/100)</f>
        <v>4574.0977332701314</v>
      </c>
      <c r="AI355" s="456">
        <f>(((_xll.xSPRDOPT($L355,$J355,$I355,$M355,$O355,$N355,$P355,$Q355-$C$3,$R355,4)*$H355)/10000)/100)-AB355</f>
        <v>1.9114901825227876E-2</v>
      </c>
      <c r="AJ355" s="456"/>
      <c r="AK355" s="456"/>
      <c r="AL355" s="456"/>
      <c r="AM355" s="472"/>
      <c r="CC355" s="141">
        <f t="shared" si="403"/>
        <v>36951</v>
      </c>
      <c r="CD355" s="234">
        <f>_xll.xSPRDOPT((VLOOKUP(G355,NGPrices,2,FALSE)+HLOOKUP(D355,Prices,VLOOKUP(G355,move_down,2,FALSE),FALSE)),VLOOKUP(G355,NGPrices,2,FALSE),I355,VLOOKUP(G355,NGPREVPRICES,4,FALSE),HLOOKUP(D355,PREVVOLS,VLOOKUP(G355,MOVE_DOWN2,2,FALSE),FALSE),VLOOKUP(G355,NGPREVPRICES,3,FALSE),HLOOKUP(D355,Correllate,VLOOKUP(G355,CorMove,2,FALSE),FALSE),Q355-$CD$3,R355,$CD$5)*H355-CJ355</f>
        <v>0</v>
      </c>
      <c r="CE355" s="234">
        <f>_xll.xSPRDOPT((VLOOKUP(G355,NGPREVPRICES,2,FALSE)+HLOOKUP(D355,PREVCURVES,VLOOKUP(G355,MOVE_DOWN2,2,FALSE),FALSE)),VLOOKUP(G355,NGPREVPRICES,2,FALSE),CK355,VLOOKUP(G355,NGPrices,4,FALSE),HLOOKUP(D355,PREVVOLS,VLOOKUP(G355,MOVE_DOWN2,2,FALSE),FALSE),VLOOKUP(G355,NGPREVPRICES,3,FALSE),HLOOKUP(D355,Correllate,VLOOKUP(G355,CorMove,2,FALSE),FALSE),Q355-$CD$3,R355,$CJ$5)*H355-CJ355</f>
        <v>0</v>
      </c>
      <c r="CF355" s="10">
        <f t="shared" si="404"/>
        <v>-32.810098012530943</v>
      </c>
      <c r="CG355" s="234">
        <f>_xll.xSPRDOPT((VLOOKUP(G355,NGPREVPRICES,2,FALSE)+HLOOKUP(D355,PREVCURVES,VLOOKUP(G355,MOVE_DOWN2,2,FALSE),FALSE)),VLOOKUP(G355,NGPREVPRICES,2,FALSE),CK355,VLOOKUP(G355,NGPREVPRICES,4,FALSE),HLOOKUP(D355,VOLS,VLOOKUP(G355,move_down,2,FALSE),FALSE),VLOOKUP(G355,NGPrices,3,FALSE),HLOOKUP(D355,Correllate,VLOOKUP(G355,CorMove,2,FALSE),FALSE),Q355-$CD$3,R355,$CJ$5)*H355-CJ355</f>
        <v>0</v>
      </c>
      <c r="CH355" s="234">
        <f>_xll.xSPRDOPT((VLOOKUP(G355,NGPREVPRICES,2,FALSE)+HLOOKUP(D355,PREVCURVES,VLOOKUP(G355,MOVE_DOWN2,2,FALSE),FALSE)),VLOOKUP(G355,NGPREVPRICES,2,FALSE),CK355,VLOOKUP(G355,NGPREVPRICES,4,FALSE),HLOOKUP(D355,PREVVOLS,VLOOKUP(G355,MOVE_DOWN2,2,FALSE),FALSE),VLOOKUP(G355,NGPREVPRICES,3,FALSE),HLOOKUP(D355,Correllate,VLOOKUP(G355,CorMove,2,FALSE),FALSE),Q355-$C$3,R355,$CJ$5)*H355-CJ355</f>
        <v>-604.95868366988725</v>
      </c>
      <c r="CI355" s="234">
        <f t="shared" si="405"/>
        <v>-637.76878168241819</v>
      </c>
      <c r="CJ355" s="234">
        <f>_xll.xSPRDOPT((VLOOKUP(G355,NGPREVPRICES,2,FALSE)+HLOOKUP(D355,PREVCURVES,VLOOKUP(G355,MOVE_DOWN2,2,FALSE),FALSE)),VLOOKUP(G355,NGPREVPRICES,2,FALSE),CK355,VLOOKUP(G355,NGPREVPRICES,4,FALSE),HLOOKUP(D355,PREVVOLS,VLOOKUP(G355,MOVE_DOWN2,2,FALSE),FALSE),VLOOKUP(G355,NGPREVPRICES,3,FALSE),HLOOKUP(D355,Correllate,VLOOKUP(G355,CorMove,2,FALSE),FALSE),Q355-$CD$3,R355,$CJ$5)*H355</f>
        <v>171077.44847212691</v>
      </c>
      <c r="CK355" s="235">
        <f t="shared" si="406"/>
        <v>0.75</v>
      </c>
      <c r="CM355" t="str">
        <f t="shared" si="407"/>
        <v>36951Curve Shift/Gamma</v>
      </c>
      <c r="CN355" t="str">
        <f t="shared" si="356"/>
        <v>36951Rho</v>
      </c>
      <c r="CO355" t="str">
        <f t="shared" si="357"/>
        <v>36951Drift</v>
      </c>
      <c r="CP355" t="str">
        <f t="shared" si="358"/>
        <v>36951Vega</v>
      </c>
      <c r="CQ355" t="str">
        <f t="shared" si="359"/>
        <v>36951Theta</v>
      </c>
    </row>
    <row r="356" spans="1:95" x14ac:dyDescent="0.25">
      <c r="A356" s="382" t="s">
        <v>279</v>
      </c>
      <c r="B356" t="s">
        <v>250</v>
      </c>
      <c r="C356" t="s">
        <v>453</v>
      </c>
      <c r="D356" s="4" t="s">
        <v>7</v>
      </c>
      <c r="E356" t="s">
        <v>20</v>
      </c>
      <c r="F356" t="s">
        <v>1</v>
      </c>
      <c r="G356" s="5">
        <v>36923</v>
      </c>
      <c r="H356" s="130">
        <v>500000</v>
      </c>
      <c r="I356">
        <v>0.75</v>
      </c>
      <c r="J356" s="53">
        <f t="shared" si="381"/>
        <v>4.4800000000000004</v>
      </c>
      <c r="K356" s="7">
        <f t="shared" si="382"/>
        <v>2.09</v>
      </c>
      <c r="L356" s="53">
        <f t="shared" si="383"/>
        <v>6.57</v>
      </c>
      <c r="M356" s="157">
        <f t="shared" ref="M356:M363" si="408">VLOOKUP(G356,NGPrices,4,FALSE)</f>
        <v>6.8640161611372E-2</v>
      </c>
      <c r="N356" s="4">
        <f t="shared" ref="N356:N363" si="409">VLOOKUP(G356,NGPrices,3,FALSE)</f>
        <v>0.59250000000000003</v>
      </c>
      <c r="O356" s="4">
        <f t="shared" ref="O356:O363" si="410">HLOOKUP(D356,VOLS,VLOOKUP(G356,move_down,2,FALSE),FALSE)</f>
        <v>0.68100000000000005</v>
      </c>
      <c r="P356" s="9">
        <f t="shared" ref="P356:P363" si="411">HLOOKUP(D356,Correllate,VLOOKUP(G356,CorMove,2,FALSE),FALSE)</f>
        <v>0.83</v>
      </c>
      <c r="Q356" s="5">
        <f t="shared" si="375"/>
        <v>36921</v>
      </c>
      <c r="R356" s="4">
        <f t="shared" ref="R356:R363" si="412">IF(F356="P",0,1)</f>
        <v>0</v>
      </c>
      <c r="S356" s="158">
        <f>_xll.xSPRDOPT($L356,$J356,$I356,$M356,$O356,$N356,$P356,$Q356-$C$3,$R356,0)</f>
        <v>0.13906565808994997</v>
      </c>
      <c r="T356" s="159">
        <f>_xll.xSPRDOPT($L356,$J356,$I356,$M356,$O356,$N356,$P356,$Q356-$C$3,$R356,1)*H356</f>
        <v>-72617.946344989919</v>
      </c>
      <c r="U356" s="160">
        <f t="shared" ref="U356:U363" si="413">S356*H356</f>
        <v>69532.829044974991</v>
      </c>
      <c r="V356" s="159">
        <f>_xll.xSPRDOPT($L356,$J356,$I356,$M356,$O356,$N356,$P356,$Q356-$C$3,$R356,2)*H356</f>
        <v>103177.37350372369</v>
      </c>
      <c r="W356" s="159">
        <f t="shared" ref="W356:W363" si="414">+V356+T356</f>
        <v>30559.427158733772</v>
      </c>
      <c r="X356" s="51" t="str">
        <f t="shared" si="376"/>
        <v>36923IF-TRANSCO/Z6</v>
      </c>
      <c r="Y356" s="418">
        <f t="shared" si="377"/>
        <v>50</v>
      </c>
      <c r="Z356" s="456">
        <f t="shared" si="378"/>
        <v>-0.14523589268997983</v>
      </c>
      <c r="AA356" s="456">
        <f>_xll.xSPRDOPT($L356,$J356,$I356,$M356,$O356,$N356,$P356,$Q356-$C$3,$R356,3)</f>
        <v>0.13751360448045827</v>
      </c>
      <c r="AB356" s="456">
        <f>((_xll.xSPRDOPT($L356+AB$5,$J356,$I356,$M356,$O356,$N356,$P356,$Q356-$C$3,$R356,3)*$H356)/10000)/100</f>
        <v>6.8756802240229134E-2</v>
      </c>
      <c r="AC356" s="456">
        <f>((_xll.xSPRDOPT($L356+$AB$5,$J356,$I356,$M356,$O356,$N356,$P356,$Q356-$C$3,$R356,7)*$H356)/100)</f>
        <v>-4297.1122474910771</v>
      </c>
      <c r="AD356" s="456">
        <f>(_xll.xSPRDOPT($L356+$AB$5,$J356,$I356,$M356,$O356,$N356,$P356,$Q356-$C$3,$R356,9)/365)*$H356</f>
        <v>-592.11034711119737</v>
      </c>
      <c r="AE356">
        <f t="shared" si="379"/>
        <v>0</v>
      </c>
      <c r="AF356" s="456">
        <f t="shared" si="380"/>
        <v>3143.7943724273573</v>
      </c>
      <c r="AG356" s="456">
        <f>((_xll.xSPRDOPT($L356,$J356,$I356,$M356,$O356,$N356,$P356,$Q356-$C$3,$R356,6)*$H356)/100)</f>
        <v>-631.1375058372472</v>
      </c>
      <c r="AH356" s="456">
        <f>((_xll.xSPRDOPT($L356,$J356,$I356,$M356,$O356,$N356,$P356,$Q356-$C$3,$R356,5)*$H356)/100)</f>
        <v>3284.3570306487195</v>
      </c>
      <c r="AI356" s="456">
        <f>(((_xll.xSPRDOPT($L356,$J356,$I356,$M356,$O356,$N356,$P356,$Q356-$C$3,$R356,4)*$H356)/10000)/100)-AB356</f>
        <v>3.8714106966539305E-2</v>
      </c>
      <c r="AJ356" s="456"/>
      <c r="AK356" s="456"/>
      <c r="AL356" s="456"/>
      <c r="AM356" s="472"/>
      <c r="CC356" s="141">
        <f t="shared" ref="CC356:CC363" si="415">G356</f>
        <v>36923</v>
      </c>
      <c r="CD356" s="234">
        <f>_xll.xSPRDOPT((VLOOKUP(G356,NGPrices,2,FALSE)+HLOOKUP(D356,Prices,VLOOKUP(G356,move_down,2,FALSE),FALSE)),VLOOKUP(G356,NGPrices,2,FALSE),I356,VLOOKUP(G356,NGPREVPRICES,4,FALSE),HLOOKUP(D356,PREVVOLS,VLOOKUP(G356,MOVE_DOWN2,2,FALSE),FALSE),VLOOKUP(G356,NGPREVPRICES,3,FALSE),HLOOKUP(D356,Correllate,VLOOKUP(G356,CorMove,2,FALSE),FALSE),Q356-$CD$3,R356,$CD$5)*H356-CJ356</f>
        <v>0</v>
      </c>
      <c r="CE356" s="234">
        <f>_xll.xSPRDOPT((VLOOKUP(G356,NGPREVPRICES,2,FALSE)+HLOOKUP(D356,PREVCURVES,VLOOKUP(G356,MOVE_DOWN2,2,FALSE),FALSE)),VLOOKUP(G356,NGPREVPRICES,2,FALSE),CK356,VLOOKUP(G356,NGPrices,4,FALSE),HLOOKUP(D356,PREVVOLS,VLOOKUP(G356,MOVE_DOWN2,2,FALSE),FALSE),VLOOKUP(G356,NGPREVPRICES,3,FALSE),HLOOKUP(D356,Correllate,VLOOKUP(G356,CorMove,2,FALSE),FALSE),Q356-$CD$3,R356,$CJ$5)*H356-CJ356</f>
        <v>0</v>
      </c>
      <c r="CF356" s="10">
        <f t="shared" ref="CF356:CF363" si="416">(CJ356/VLOOKUP(CC356,discount,3,FALSE))-(CJ356/VLOOKUP(CC356,discount,2,FALSE))</f>
        <v>-13.336823458201252</v>
      </c>
      <c r="CG356" s="234">
        <f>_xll.xSPRDOPT((VLOOKUP(G356,NGPREVPRICES,2,FALSE)+HLOOKUP(D356,PREVCURVES,VLOOKUP(G356,MOVE_DOWN2,2,FALSE),FALSE)),VLOOKUP(G356,NGPREVPRICES,2,FALSE),CK356,VLOOKUP(G356,NGPREVPRICES,4,FALSE),HLOOKUP(D356,VOLS,VLOOKUP(G356,move_down,2,FALSE),FALSE),VLOOKUP(G356,NGPrices,3,FALSE),HLOOKUP(D356,Correllate,VLOOKUP(G356,CorMove,2,FALSE),FALSE),Q356-$CD$3,R356,$CJ$5)*H356-CJ356</f>
        <v>0</v>
      </c>
      <c r="CH356" s="234">
        <f>_xll.xSPRDOPT((VLOOKUP(G356,NGPREVPRICES,2,FALSE)+HLOOKUP(D356,PREVCURVES,VLOOKUP(G356,MOVE_DOWN2,2,FALSE),FALSE)),VLOOKUP(G356,NGPREVPRICES,2,FALSE),CK356,VLOOKUP(G356,NGPREVPRICES,4,FALSE),HLOOKUP(D356,PREVVOLS,VLOOKUP(G356,MOVE_DOWN2,2,FALSE),FALSE),VLOOKUP(G356,NGPREVPRICES,3,FALSE),HLOOKUP(D356,Correllate,VLOOKUP(G356,CorMove,2,FALSE),FALSE),Q356-$C$3,R356,$CJ$5)*H356-CJ356</f>
        <v>-591.420566183544</v>
      </c>
      <c r="CI356" s="234">
        <f t="shared" ref="CI356:CI363" si="417">SUM(CD356:CH356)</f>
        <v>-604.75738964174525</v>
      </c>
      <c r="CJ356" s="234">
        <f>_xll.xSPRDOPT((VLOOKUP(G356,NGPREVPRICES,2,FALSE)+HLOOKUP(D356,PREVCURVES,VLOOKUP(G356,MOVE_DOWN2,2,FALSE),FALSE)),VLOOKUP(G356,NGPREVPRICES,2,FALSE),CK356,VLOOKUP(G356,NGPREVPRICES,4,FALSE),HLOOKUP(D356,PREVVOLS,VLOOKUP(G356,MOVE_DOWN2,2,FALSE),FALSE),VLOOKUP(G356,NGPREVPRICES,3,FALSE),HLOOKUP(D356,Correllate,VLOOKUP(G356,CorMove,2,FALSE),FALSE),Q356-$CD$3,R356,$CJ$5)*H356</f>
        <v>70124.249611158535</v>
      </c>
      <c r="CK356" s="235">
        <f t="shared" ref="CK356:CK363" si="418">I356</f>
        <v>0.75</v>
      </c>
      <c r="CM356" t="str">
        <f t="shared" ref="CM356:CM363" si="419">CONCATENATE(CC356,$CD$6)</f>
        <v>36923Curve Shift/Gamma</v>
      </c>
      <c r="CN356" t="str">
        <f t="shared" si="356"/>
        <v>36923Rho</v>
      </c>
      <c r="CO356" t="str">
        <f t="shared" si="357"/>
        <v>36923Drift</v>
      </c>
      <c r="CP356" t="str">
        <f t="shared" si="358"/>
        <v>36923Vega</v>
      </c>
      <c r="CQ356" t="str">
        <f t="shared" si="359"/>
        <v>36923Theta</v>
      </c>
    </row>
    <row r="357" spans="1:95" x14ac:dyDescent="0.25">
      <c r="A357" s="382" t="s">
        <v>279</v>
      </c>
      <c r="B357" t="s">
        <v>250</v>
      </c>
      <c r="C357" t="s">
        <v>453</v>
      </c>
      <c r="D357" s="4" t="s">
        <v>7</v>
      </c>
      <c r="E357" t="s">
        <v>20</v>
      </c>
      <c r="F357" t="s">
        <v>1</v>
      </c>
      <c r="G357" s="5">
        <v>36892</v>
      </c>
      <c r="H357" s="130">
        <v>500000</v>
      </c>
      <c r="I357">
        <v>0.75</v>
      </c>
      <c r="J357" s="53">
        <f t="shared" si="381"/>
        <v>4.7439999999999998</v>
      </c>
      <c r="K357" s="7">
        <f t="shared" si="382"/>
        <v>2.17</v>
      </c>
      <c r="L357" s="53">
        <f t="shared" si="383"/>
        <v>6.9139999999999997</v>
      </c>
      <c r="M357" s="157">
        <f t="shared" si="408"/>
        <v>6.8374831148490994E-2</v>
      </c>
      <c r="N357" s="4">
        <f t="shared" si="409"/>
        <v>0.60499999999999998</v>
      </c>
      <c r="O357" s="4">
        <f t="shared" si="410"/>
        <v>0.69599999999999995</v>
      </c>
      <c r="P357" s="9">
        <f t="shared" si="411"/>
        <v>0.83</v>
      </c>
      <c r="Q357" s="5">
        <f t="shared" si="375"/>
        <v>36888</v>
      </c>
      <c r="R357" s="4">
        <f t="shared" si="412"/>
        <v>0</v>
      </c>
      <c r="S357" s="158">
        <f>_xll.xSPRDOPT($L357,$J357,$I357,$M357,$O357,$N357,$P357,$Q357-$C$3,$R357,0)</f>
        <v>0.10942744498145573</v>
      </c>
      <c r="T357" s="159">
        <f>_xll.xSPRDOPT($L357,$J357,$I357,$M357,$O357,$N357,$P357,$Q357-$C$3,$R357,1)*H357</f>
        <v>-63089.692468144611</v>
      </c>
      <c r="U357" s="160">
        <f t="shared" si="413"/>
        <v>54713.722490727865</v>
      </c>
      <c r="V357" s="159">
        <f>_xll.xSPRDOPT($L357,$J357,$I357,$M357,$O357,$N357,$P357,$Q357-$C$3,$R357,2)*H357</f>
        <v>88371.577335705995</v>
      </c>
      <c r="W357" s="159">
        <f t="shared" si="414"/>
        <v>25281.884867561384</v>
      </c>
      <c r="X357" s="51" t="str">
        <f t="shared" si="376"/>
        <v>36892IF-TRANSCO/Z6</v>
      </c>
      <c r="Y357" s="418">
        <f t="shared" si="377"/>
        <v>50</v>
      </c>
      <c r="Z357" s="456">
        <f t="shared" si="378"/>
        <v>-0.12617938493628922</v>
      </c>
      <c r="AA357" s="456">
        <f>_xll.xSPRDOPT($L357,$J357,$I357,$M357,$O357,$N357,$P357,$Q357-$C$3,$R357,3)</f>
        <v>0.13157412676368174</v>
      </c>
      <c r="AB357" s="456">
        <f>((_xll.xSPRDOPT($L357+AB$5,$J357,$I357,$M357,$O357,$N357,$P357,$Q357-$C$3,$R357,3)*$H357)/10000)/100</f>
        <v>6.5787063381840871E-2</v>
      </c>
      <c r="AC357" s="456">
        <f>((_xll.xSPRDOPT($L357+$AB$5,$J357,$I357,$M357,$O357,$N357,$P357,$Q357-$C$3,$R357,7)*$H357)/100)</f>
        <v>-3764.6406827892201</v>
      </c>
      <c r="AD357" s="456">
        <f>(_xll.xSPRDOPT($L357+$AB$5,$J357,$I357,$M357,$O357,$N357,$P357,$Q357-$C$3,$R357,9)/365)*$H357</f>
        <v>-656.65971335668655</v>
      </c>
      <c r="AE357">
        <f t="shared" si="379"/>
        <v>0</v>
      </c>
      <c r="AF357" s="456">
        <f t="shared" si="380"/>
        <v>2665.8106705644623</v>
      </c>
      <c r="AG357" s="456">
        <f>((_xll.xSPRDOPT($L357,$J357,$I357,$M357,$O357,$N357,$P357,$Q357-$C$3,$R357,6)*$H357)/100)</f>
        <v>-511.2070315528664</v>
      </c>
      <c r="AH357" s="456">
        <f>((_xll.xSPRDOPT($L357,$J357,$I357,$M357,$O357,$N357,$P357,$Q357-$C$3,$R357,5)*$H357)/100)</f>
        <v>2761.6317669267009</v>
      </c>
      <c r="AI357" s="456">
        <f>(((_xll.xSPRDOPT($L357,$J357,$I357,$M357,$O357,$N357,$P357,$Q357-$C$3,$R357,4)*$H357)/10000)/100)-AB357</f>
        <v>3.7380963871824643E-2</v>
      </c>
      <c r="AJ357" s="456"/>
      <c r="AK357" s="456"/>
      <c r="AL357" s="456"/>
      <c r="AM357" s="472"/>
      <c r="CC357" s="141">
        <f t="shared" si="415"/>
        <v>36892</v>
      </c>
      <c r="CD357" s="234">
        <f>_xll.xSPRDOPT((VLOOKUP(G357,NGPrices,2,FALSE)+HLOOKUP(D357,Prices,VLOOKUP(G357,move_down,2,FALSE),FALSE)),VLOOKUP(G357,NGPrices,2,FALSE),I357,VLOOKUP(G357,NGPREVPRICES,4,FALSE),HLOOKUP(D357,PREVVOLS,VLOOKUP(G357,MOVE_DOWN2,2,FALSE),FALSE),VLOOKUP(G357,NGPREVPRICES,3,FALSE),HLOOKUP(D357,Correllate,VLOOKUP(G357,CorMove,2,FALSE),FALSE),Q357-$CD$3,R357,$CD$5)*H357-CJ357</f>
        <v>0</v>
      </c>
      <c r="CE357" s="234">
        <f>_xll.xSPRDOPT((VLOOKUP(G357,NGPREVPRICES,2,FALSE)+HLOOKUP(D357,PREVCURVES,VLOOKUP(G357,MOVE_DOWN2,2,FALSE),FALSE)),VLOOKUP(G357,NGPREVPRICES,2,FALSE),CK357,VLOOKUP(G357,NGPrices,4,FALSE),HLOOKUP(D357,PREVVOLS,VLOOKUP(G357,MOVE_DOWN2,2,FALSE),FALSE),VLOOKUP(G357,NGPREVPRICES,3,FALSE),HLOOKUP(D357,Correllate,VLOOKUP(G357,CorMove,2,FALSE),FALSE),Q357-$CD$3,R357,$CJ$5)*H357-CJ357</f>
        <v>0</v>
      </c>
      <c r="CF357" s="10">
        <f t="shared" si="416"/>
        <v>-10.433958000037819</v>
      </c>
      <c r="CG357" s="234">
        <f>_xll.xSPRDOPT((VLOOKUP(G357,NGPREVPRICES,2,FALSE)+HLOOKUP(D357,PREVCURVES,VLOOKUP(G357,MOVE_DOWN2,2,FALSE),FALSE)),VLOOKUP(G357,NGPREVPRICES,2,FALSE),CK357,VLOOKUP(G357,NGPREVPRICES,4,FALSE),HLOOKUP(D357,VOLS,VLOOKUP(G357,move_down,2,FALSE),FALSE),VLOOKUP(G357,NGPrices,3,FALSE),HLOOKUP(D357,Correllate,VLOOKUP(G357,CorMove,2,FALSE),FALSE),Q357-$CD$3,R357,$CJ$5)*H357-CJ357</f>
        <v>0</v>
      </c>
      <c r="CH357" s="234">
        <f>_xll.xSPRDOPT((VLOOKUP(G357,NGPREVPRICES,2,FALSE)+HLOOKUP(D357,PREVCURVES,VLOOKUP(G357,MOVE_DOWN2,2,FALSE),FALSE)),VLOOKUP(G357,NGPREVPRICES,2,FALSE),CK357,VLOOKUP(G357,NGPREVPRICES,4,FALSE),HLOOKUP(D357,PREVVOLS,VLOOKUP(G357,MOVE_DOWN2,2,FALSE),FALSE),VLOOKUP(G357,NGPREVPRICES,3,FALSE),HLOOKUP(D357,Correllate,VLOOKUP(G357,CorMove,2,FALSE),FALSE),Q357-$C$3,R357,$CJ$5)*H357-CJ357</f>
        <v>-656.12223408406862</v>
      </c>
      <c r="CI357" s="234">
        <f t="shared" si="417"/>
        <v>-666.55619208410644</v>
      </c>
      <c r="CJ357" s="234">
        <f>_xll.xSPRDOPT((VLOOKUP(G357,NGPREVPRICES,2,FALSE)+HLOOKUP(D357,PREVCURVES,VLOOKUP(G357,MOVE_DOWN2,2,FALSE),FALSE)),VLOOKUP(G357,NGPREVPRICES,2,FALSE),CK357,VLOOKUP(G357,NGPREVPRICES,4,FALSE),HLOOKUP(D357,PREVVOLS,VLOOKUP(G357,MOVE_DOWN2,2,FALSE),FALSE),VLOOKUP(G357,NGPREVPRICES,3,FALSE),HLOOKUP(D357,Correllate,VLOOKUP(G357,CorMove,2,FALSE),FALSE),Q357-$CD$3,R357,$CJ$5)*H357</f>
        <v>55369.844724811934</v>
      </c>
      <c r="CK357" s="235">
        <f t="shared" si="418"/>
        <v>0.75</v>
      </c>
      <c r="CM357" t="str">
        <f t="shared" si="419"/>
        <v>36892Curve Shift/Gamma</v>
      </c>
      <c r="CN357" t="str">
        <f t="shared" si="356"/>
        <v>36892Rho</v>
      </c>
      <c r="CO357" t="str">
        <f t="shared" si="357"/>
        <v>36892Drift</v>
      </c>
      <c r="CP357" t="str">
        <f t="shared" si="358"/>
        <v>36892Vega</v>
      </c>
      <c r="CQ357" t="str">
        <f t="shared" si="359"/>
        <v>36892Theta</v>
      </c>
    </row>
    <row r="358" spans="1:95" x14ac:dyDescent="0.25">
      <c r="A358" s="382" t="s">
        <v>279</v>
      </c>
      <c r="B358" t="s">
        <v>250</v>
      </c>
      <c r="C358" t="s">
        <v>453</v>
      </c>
      <c r="D358" s="4" t="s">
        <v>7</v>
      </c>
      <c r="E358" t="s">
        <v>20</v>
      </c>
      <c r="F358" t="s">
        <v>1</v>
      </c>
      <c r="G358" s="5">
        <v>36861</v>
      </c>
      <c r="H358" s="130">
        <v>500000</v>
      </c>
      <c r="I358">
        <v>0.75</v>
      </c>
      <c r="J358" s="53">
        <f t="shared" si="381"/>
        <v>4.8</v>
      </c>
      <c r="K358" s="7">
        <f t="shared" si="382"/>
        <v>1.645</v>
      </c>
      <c r="L358" s="53">
        <f t="shared" si="383"/>
        <v>6.4450000000000003</v>
      </c>
      <c r="M358" s="157">
        <f t="shared" si="408"/>
        <v>6.8314027999354002E-2</v>
      </c>
      <c r="N358" s="4">
        <f t="shared" si="409"/>
        <v>0.6</v>
      </c>
      <c r="O358" s="4">
        <f t="shared" si="410"/>
        <v>0.69</v>
      </c>
      <c r="P358" s="9">
        <f t="shared" si="411"/>
        <v>0.83</v>
      </c>
      <c r="Q358" s="5">
        <f t="shared" si="375"/>
        <v>36859</v>
      </c>
      <c r="R358" s="4">
        <f t="shared" si="412"/>
        <v>0</v>
      </c>
      <c r="S358" s="158">
        <f>_xll.xSPRDOPT($L358,$J358,$I358,$M358,$O358,$N358,$P358,$Q358-$C$3,$R358,0)</f>
        <v>0.14609680639816691</v>
      </c>
      <c r="T358" s="159">
        <f>_xll.xSPRDOPT($L358,$J358,$I358,$M358,$O358,$N358,$P358,$Q358-$C$3,$R358,1)*H358</f>
        <v>-95243.914521472791</v>
      </c>
      <c r="U358" s="160">
        <f t="shared" si="413"/>
        <v>73048.403199083463</v>
      </c>
      <c r="V358" s="159">
        <f>_xll.xSPRDOPT($L358,$J358,$I358,$M358,$O358,$N358,$P358,$Q358-$C$3,$R358,2)*H358</f>
        <v>122804.20480375354</v>
      </c>
      <c r="W358" s="159">
        <f t="shared" si="414"/>
        <v>27560.290282280752</v>
      </c>
      <c r="X358" s="51" t="str">
        <f t="shared" si="376"/>
        <v>36861IF-TRANSCO/Z6</v>
      </c>
      <c r="Y358" s="418">
        <f t="shared" si="377"/>
        <v>50</v>
      </c>
      <c r="Z358" s="456">
        <f t="shared" si="378"/>
        <v>-0.19048782904294559</v>
      </c>
      <c r="AA358" s="456">
        <f>_xll.xSPRDOPT($L358,$J358,$I358,$M358,$O358,$N358,$P358,$Q358-$C$3,$R358,3)</f>
        <v>0.21448030125474993</v>
      </c>
      <c r="AB358" s="456">
        <f>((_xll.xSPRDOPT($L358+AB$5,$J358,$I358,$M358,$O358,$N358,$P358,$Q358-$C$3,$R358,3)*$H358)/10000)/100</f>
        <v>0.10724015062737496</v>
      </c>
      <c r="AC358" s="456">
        <f>((_xll.xSPRDOPT($L358+$AB$5,$J358,$I358,$M358,$O358,$N358,$P358,$Q358-$C$3,$R358,7)*$H358)/100)</f>
        <v>-4002.8488206586831</v>
      </c>
      <c r="AD358" s="456">
        <f>(_xll.xSPRDOPT($L358+$AB$5,$J358,$I358,$M358,$O358,$N358,$P358,$Q358-$C$3,$R358,9)/365)*$H358</f>
        <v>-911.93733253409721</v>
      </c>
      <c r="AE358">
        <f t="shared" si="379"/>
        <v>0</v>
      </c>
      <c r="AF358" s="456">
        <f t="shared" si="380"/>
        <v>2836.5919968294829</v>
      </c>
      <c r="AG358" s="456">
        <f>((_xll.xSPRDOPT($L358,$J358,$I358,$M358,$O358,$N358,$P358,$Q358-$C$3,$R358,6)*$H358)/100)</f>
        <v>-529.40458891153344</v>
      </c>
      <c r="AH358" s="456">
        <f>((_xll.xSPRDOPT($L358,$J358,$I358,$M358,$O358,$N358,$P358,$Q358-$C$3,$R358,5)*$H358)/100)</f>
        <v>2926.9535528182755</v>
      </c>
      <c r="AI358" s="456">
        <f>(((_xll.xSPRDOPT($L358,$J358,$I358,$M358,$O358,$N358,$P358,$Q358-$C$3,$R358,4)*$H358)/10000)/100)-AB358</f>
        <v>3.6579985471038662E-2</v>
      </c>
      <c r="AJ358" s="456"/>
      <c r="AK358" s="456"/>
      <c r="AL358" s="456"/>
      <c r="AM358" s="472"/>
      <c r="CC358" s="141">
        <f t="shared" si="415"/>
        <v>36861</v>
      </c>
      <c r="CD358" s="234">
        <f>_xll.xSPRDOPT((VLOOKUP(G358,NGPrices,2,FALSE)+HLOOKUP(D358,Prices,VLOOKUP(G358,move_down,2,FALSE),FALSE)),VLOOKUP(G358,NGPrices,2,FALSE),I358,VLOOKUP(G358,NGPREVPRICES,4,FALSE),HLOOKUP(D358,PREVVOLS,VLOOKUP(G358,MOVE_DOWN2,2,FALSE),FALSE),VLOOKUP(G358,NGPREVPRICES,3,FALSE),HLOOKUP(D358,Correllate,VLOOKUP(G358,CorMove,2,FALSE),FALSE),Q358-$CD$3,R358,$CD$5)*H358-CJ358</f>
        <v>0</v>
      </c>
      <c r="CE358" s="234">
        <f>_xll.xSPRDOPT((VLOOKUP(G358,NGPREVPRICES,2,FALSE)+HLOOKUP(D358,PREVCURVES,VLOOKUP(G358,MOVE_DOWN2,2,FALSE),FALSE)),VLOOKUP(G358,NGPREVPRICES,2,FALSE),CK358,VLOOKUP(G358,NGPrices,4,FALSE),HLOOKUP(D358,PREVVOLS,VLOOKUP(G358,MOVE_DOWN2,2,FALSE),FALSE),VLOOKUP(G358,NGPREVPRICES,3,FALSE),HLOOKUP(D358,Correllate,VLOOKUP(G358,CorMove,2,FALSE),FALSE),Q358-$CD$3,R358,$CJ$5)*H358-CJ358</f>
        <v>0</v>
      </c>
      <c r="CF358" s="10">
        <f t="shared" si="416"/>
        <v>-13.855231288238429</v>
      </c>
      <c r="CG358" s="234">
        <f>_xll.xSPRDOPT((VLOOKUP(G358,NGPREVPRICES,2,FALSE)+HLOOKUP(D358,PREVCURVES,VLOOKUP(G358,MOVE_DOWN2,2,FALSE),FALSE)),VLOOKUP(G358,NGPREVPRICES,2,FALSE),CK358,VLOOKUP(G358,NGPREVPRICES,4,FALSE),HLOOKUP(D358,VOLS,VLOOKUP(G358,move_down,2,FALSE),FALSE),VLOOKUP(G358,NGPrices,3,FALSE),HLOOKUP(D358,Correllate,VLOOKUP(G358,CorMove,2,FALSE),FALSE),Q358-$CD$3,R358,$CJ$5)*H358-CJ358</f>
        <v>0</v>
      </c>
      <c r="CH358" s="234">
        <f>_xll.xSPRDOPT((VLOOKUP(G358,NGPREVPRICES,2,FALSE)+HLOOKUP(D358,PREVCURVES,VLOOKUP(G358,MOVE_DOWN2,2,FALSE),FALSE)),VLOOKUP(G358,NGPREVPRICES,2,FALSE),CK358,VLOOKUP(G358,NGPREVPRICES,4,FALSE),HLOOKUP(D358,PREVVOLS,VLOOKUP(G358,MOVE_DOWN2,2,FALSE),FALSE),VLOOKUP(G358,NGPREVPRICES,3,FALSE),HLOOKUP(D358,Correllate,VLOOKUP(G358,CorMove,2,FALSE),FALSE),Q358-$C$3,R358,$CJ$5)*H358-CJ358</f>
        <v>-910.08938655300881</v>
      </c>
      <c r="CI358" s="234">
        <f t="shared" si="417"/>
        <v>-923.94461784124724</v>
      </c>
      <c r="CJ358" s="234">
        <f>_xll.xSPRDOPT((VLOOKUP(G358,NGPREVPRICES,2,FALSE)+HLOOKUP(D358,PREVCURVES,VLOOKUP(G358,MOVE_DOWN2,2,FALSE),FALSE)),VLOOKUP(G358,NGPREVPRICES,2,FALSE),CK358,VLOOKUP(G358,NGPREVPRICES,4,FALSE),HLOOKUP(D358,PREVVOLS,VLOOKUP(G358,MOVE_DOWN2,2,FALSE),FALSE),VLOOKUP(G358,NGPREVPRICES,3,FALSE),HLOOKUP(D358,Correllate,VLOOKUP(G358,CorMove,2,FALSE),FALSE),Q358-$CD$3,R358,$CJ$5)*H358</f>
        <v>73958.492585636472</v>
      </c>
      <c r="CK358" s="235">
        <f t="shared" si="418"/>
        <v>0.75</v>
      </c>
      <c r="CM358" t="str">
        <f t="shared" si="419"/>
        <v>36861Curve Shift/Gamma</v>
      </c>
      <c r="CN358" t="str">
        <f t="shared" si="356"/>
        <v>36861Rho</v>
      </c>
      <c r="CO358" t="str">
        <f t="shared" si="357"/>
        <v>36861Drift</v>
      </c>
      <c r="CP358" t="str">
        <f t="shared" si="358"/>
        <v>36861Vega</v>
      </c>
      <c r="CQ358" t="str">
        <f t="shared" si="359"/>
        <v>36861Theta</v>
      </c>
    </row>
    <row r="359" spans="1:95" x14ac:dyDescent="0.25">
      <c r="A359" s="382" t="s">
        <v>279</v>
      </c>
      <c r="B359" t="s">
        <v>250</v>
      </c>
      <c r="C359" t="s">
        <v>453</v>
      </c>
      <c r="D359" s="4" t="s">
        <v>7</v>
      </c>
      <c r="E359" t="s">
        <v>20</v>
      </c>
      <c r="F359" t="s">
        <v>1</v>
      </c>
      <c r="G359" s="5">
        <v>36831</v>
      </c>
      <c r="H359" s="130">
        <v>500000</v>
      </c>
      <c r="I359">
        <v>0.75</v>
      </c>
      <c r="J359" s="53">
        <f t="shared" si="381"/>
        <v>4.7359999999999998</v>
      </c>
      <c r="K359" s="7">
        <f t="shared" si="382"/>
        <v>0.77</v>
      </c>
      <c r="L359" s="53">
        <f t="shared" si="383"/>
        <v>5.5060000000000002</v>
      </c>
      <c r="M359" s="157">
        <f t="shared" si="408"/>
        <v>6.810675983792E-2</v>
      </c>
      <c r="N359" s="4">
        <f t="shared" si="409"/>
        <v>0.59499999999999997</v>
      </c>
      <c r="O359" s="4">
        <f t="shared" si="410"/>
        <v>0.625</v>
      </c>
      <c r="P359" s="9">
        <f t="shared" si="411"/>
        <v>0.89</v>
      </c>
      <c r="Q359" s="5">
        <f t="shared" si="375"/>
        <v>36829</v>
      </c>
      <c r="R359" s="4">
        <f t="shared" si="412"/>
        <v>0</v>
      </c>
      <c r="S359" s="158">
        <f>_xll.xSPRDOPT($L359,$J359,$I359,$M359,$O359,$N359,$P359,$Q359-$C$3,$R359,0)</f>
        <v>0.24759733949464924</v>
      </c>
      <c r="T359" s="159">
        <f>_xll.xSPRDOPT($L359,$J359,$I359,$M359,$O359,$N359,$P359,$Q359-$C$3,$R359,1)*H359</f>
        <v>-229255.98456485162</v>
      </c>
      <c r="U359" s="160">
        <f t="shared" si="413"/>
        <v>123798.66974732462</v>
      </c>
      <c r="V359" s="159">
        <f>_xll.xSPRDOPT($L359,$J359,$I359,$M359,$O359,$N359,$P359,$Q359-$C$3,$R359,2)*H359</f>
        <v>251655.66839983911</v>
      </c>
      <c r="W359" s="159">
        <f t="shared" si="414"/>
        <v>22399.683834987489</v>
      </c>
      <c r="X359" s="51" t="str">
        <f t="shared" ref="X359:X390" si="420">CONCATENATE(G359,D359)</f>
        <v>36831IF-TRANSCO/Z6</v>
      </c>
      <c r="Y359" s="418">
        <f t="shared" ref="Y359:Y390" si="421">H359/10000</f>
        <v>50</v>
      </c>
      <c r="Z359" s="456">
        <f t="shared" ref="Z359:Z390" si="422">T359/H359</f>
        <v>-0.45851196912970327</v>
      </c>
      <c r="AA359" s="456">
        <f>_xll.xSPRDOPT($L359,$J359,$I359,$M359,$O359,$N359,$P359,$Q359-$C$3,$R359,3)</f>
        <v>0.60041672407622559</v>
      </c>
      <c r="AB359" s="456">
        <f>((_xll.xSPRDOPT($L359+AB$5,$J359,$I359,$M359,$O359,$N359,$P359,$Q359-$C$3,$R359,3)*$H359)/10000)/100</f>
        <v>0.3002083620381128</v>
      </c>
      <c r="AC359" s="456">
        <f>((_xll.xSPRDOPT($L359+$AB$5,$J359,$I359,$M359,$O359,$N359,$P359,$Q359-$C$3,$R359,7)*$H359)/100)</f>
        <v>-4962.1936574088231</v>
      </c>
      <c r="AD359" s="456">
        <f>(_xll.xSPRDOPT($L359+$AB$5,$J359,$I359,$M359,$O359,$N359,$P359,$Q359-$C$3,$R359,9)/365)*$H359</f>
        <v>-1015.304077775355</v>
      </c>
      <c r="AE359">
        <f t="shared" si="379"/>
        <v>0</v>
      </c>
      <c r="AF359" s="456">
        <f t="shared" si="380"/>
        <v>2162.5879112883163</v>
      </c>
      <c r="AG359" s="456">
        <f>((_xll.xSPRDOPT($L359,$J359,$I359,$M359,$O359,$N359,$P359,$Q359-$C$3,$R359,6)*$H359)/100)</f>
        <v>-557.35348731696922</v>
      </c>
      <c r="AH359" s="456">
        <f>((_xll.xSPRDOPT($L359,$J359,$I359,$M359,$O359,$N359,$P359,$Q359-$C$3,$R359,5)*$H359)/100)</f>
        <v>2589.3842114722315</v>
      </c>
      <c r="AI359" s="456">
        <f>(((_xll.xSPRDOPT($L359,$J359,$I359,$M359,$O359,$N359,$P359,$Q359-$C$3,$R359,4)*$H359)/10000)/100)-AB359</f>
        <v>2.8336257676913612E-3</v>
      </c>
      <c r="AJ359" s="456"/>
      <c r="AK359" s="456"/>
      <c r="AL359" s="456"/>
      <c r="AM359" s="472"/>
      <c r="CC359" s="141">
        <f t="shared" si="415"/>
        <v>36831</v>
      </c>
      <c r="CD359" s="234">
        <f>_xll.xSPRDOPT((VLOOKUP(G359,NGPrices,2,FALSE)+HLOOKUP(D359,Prices,VLOOKUP(G359,move_down,2,FALSE),FALSE)),VLOOKUP(G359,NGPrices,2,FALSE),I359,VLOOKUP(G359,NGPREVPRICES,4,FALSE),HLOOKUP(D359,PREVVOLS,VLOOKUP(G359,MOVE_DOWN2,2,FALSE),FALSE),VLOOKUP(G359,NGPREVPRICES,3,FALSE),HLOOKUP(D359,Correllate,VLOOKUP(G359,CorMove,2,FALSE),FALSE),Q359-$CD$3,R359,$CD$5)*H359-CJ359</f>
        <v>0</v>
      </c>
      <c r="CE359" s="234">
        <f>_xll.xSPRDOPT((VLOOKUP(G359,NGPREVPRICES,2,FALSE)+HLOOKUP(D359,PREVCURVES,VLOOKUP(G359,MOVE_DOWN2,2,FALSE),FALSE)),VLOOKUP(G359,NGPREVPRICES,2,FALSE),CK359,VLOOKUP(G359,NGPrices,4,FALSE),HLOOKUP(D359,PREVVOLS,VLOOKUP(G359,MOVE_DOWN2,2,FALSE),FALSE),VLOOKUP(G359,NGPREVPRICES,3,FALSE),HLOOKUP(D359,Correllate,VLOOKUP(G359,CorMove,2,FALSE),FALSE),Q359-$CD$3,R359,$CJ$5)*H359-CJ359</f>
        <v>0</v>
      </c>
      <c r="CF359" s="10">
        <f t="shared" si="416"/>
        <v>-23.178349987923866</v>
      </c>
      <c r="CG359" s="234">
        <f>_xll.xSPRDOPT((VLOOKUP(G359,NGPREVPRICES,2,FALSE)+HLOOKUP(D359,PREVCURVES,VLOOKUP(G359,MOVE_DOWN2,2,FALSE),FALSE)),VLOOKUP(G359,NGPREVPRICES,2,FALSE),CK359,VLOOKUP(G359,NGPREVPRICES,4,FALSE),HLOOKUP(D359,VOLS,VLOOKUP(G359,move_down,2,FALSE),FALSE),VLOOKUP(G359,NGPrices,3,FALSE),HLOOKUP(D359,Correllate,VLOOKUP(G359,CorMove,2,FALSE),FALSE),Q359-$CD$3,R359,$CJ$5)*H359-CJ359</f>
        <v>0</v>
      </c>
      <c r="CH359" s="234">
        <f>_xll.xSPRDOPT((VLOOKUP(G359,NGPREVPRICES,2,FALSE)+HLOOKUP(D359,PREVCURVES,VLOOKUP(G359,MOVE_DOWN2,2,FALSE),FALSE)),VLOOKUP(G359,NGPREVPRICES,2,FALSE),CK359,VLOOKUP(G359,NGPREVPRICES,4,FALSE),HLOOKUP(D359,PREVVOLS,VLOOKUP(G359,MOVE_DOWN2,2,FALSE),FALSE),VLOOKUP(G359,NGPREVPRICES,3,FALSE),HLOOKUP(D359,Correllate,VLOOKUP(G359,CorMove,2,FALSE),FALSE),Q359-$C$3,R359,$CJ$5)*H359-CJ359</f>
        <v>-1010.2765448811697</v>
      </c>
      <c r="CI359" s="234">
        <f t="shared" si="417"/>
        <v>-1033.4548948690936</v>
      </c>
      <c r="CJ359" s="234">
        <f>_xll.xSPRDOPT((VLOOKUP(G359,NGPREVPRICES,2,FALSE)+HLOOKUP(D359,PREVCURVES,VLOOKUP(G359,MOVE_DOWN2,2,FALSE),FALSE)),VLOOKUP(G359,NGPREVPRICES,2,FALSE),CK359,VLOOKUP(G359,NGPREVPRICES,4,FALSE),HLOOKUP(D359,PREVVOLS,VLOOKUP(G359,MOVE_DOWN2,2,FALSE),FALSE),VLOOKUP(G359,NGPREVPRICES,3,FALSE),HLOOKUP(D359,Correllate,VLOOKUP(G359,CorMove,2,FALSE),FALSE),Q359-$CD$3,R359,$CJ$5)*H359</f>
        <v>124808.94629220579</v>
      </c>
      <c r="CK359" s="235">
        <f t="shared" si="418"/>
        <v>0.75</v>
      </c>
      <c r="CM359" t="str">
        <f t="shared" si="419"/>
        <v>36831Curve Shift/Gamma</v>
      </c>
      <c r="CN359" t="str">
        <f t="shared" si="356"/>
        <v>36831Rho</v>
      </c>
      <c r="CO359" t="str">
        <f t="shared" si="357"/>
        <v>36831Drift</v>
      </c>
      <c r="CP359" t="str">
        <f t="shared" si="358"/>
        <v>36831Vega</v>
      </c>
      <c r="CQ359" t="str">
        <f t="shared" si="359"/>
        <v>36831Theta</v>
      </c>
    </row>
    <row r="360" spans="1:95" x14ac:dyDescent="0.25">
      <c r="A360" s="382" t="s">
        <v>279</v>
      </c>
      <c r="B360" t="s">
        <v>250</v>
      </c>
      <c r="C360" t="s">
        <v>454</v>
      </c>
      <c r="D360" s="4" t="s">
        <v>7</v>
      </c>
      <c r="E360" t="s">
        <v>20</v>
      </c>
      <c r="F360" t="s">
        <v>21</v>
      </c>
      <c r="G360" s="5">
        <v>37316</v>
      </c>
      <c r="H360" s="130">
        <v>500000</v>
      </c>
      <c r="I360">
        <v>1.33</v>
      </c>
      <c r="J360" s="53">
        <f t="shared" si="381"/>
        <v>3.605</v>
      </c>
      <c r="K360" s="7">
        <f t="shared" si="382"/>
        <v>0.99</v>
      </c>
      <c r="L360" s="53">
        <f t="shared" si="383"/>
        <v>4.5949999999999998</v>
      </c>
      <c r="M360" s="157">
        <f t="shared" si="408"/>
        <v>6.9499863695118999E-2</v>
      </c>
      <c r="N360" s="4">
        <f t="shared" si="409"/>
        <v>0.36499999999999999</v>
      </c>
      <c r="O360" s="4">
        <f t="shared" si="410"/>
        <v>0.40200000000000002</v>
      </c>
      <c r="P360" s="9">
        <f t="shared" si="411"/>
        <v>0.95</v>
      </c>
      <c r="Q360" s="5">
        <f t="shared" si="375"/>
        <v>37314</v>
      </c>
      <c r="R360" s="4">
        <f t="shared" si="412"/>
        <v>1</v>
      </c>
      <c r="S360" s="158">
        <f>_xll.xSPRDOPT($L360,$J360,$I360,$M360,$O360,$N360,$P360,$Q360-$C$3,$R360,0)</f>
        <v>0.21848455752258927</v>
      </c>
      <c r="T360" s="159">
        <f>_xll.xSPRDOPT($L360,$J360,$I360,$M360,$O360,$N360,$P360,$Q360-$C$3,$R360,1)*H360</f>
        <v>188315.53723752801</v>
      </c>
      <c r="U360" s="160">
        <f t="shared" si="413"/>
        <v>109242.27876129464</v>
      </c>
      <c r="V360" s="159">
        <f>_xll.xSPRDOPT($L360,$J360,$I360,$M360,$O360,$N360,$P360,$Q360-$C$3,$R360,2)*H360</f>
        <v>-165546.87696638255</v>
      </c>
      <c r="W360" s="159">
        <f t="shared" si="414"/>
        <v>22768.660271145462</v>
      </c>
      <c r="X360" s="51" t="str">
        <f t="shared" si="420"/>
        <v>37316IF-TRANSCO/Z6</v>
      </c>
      <c r="Y360" s="418">
        <f t="shared" si="421"/>
        <v>50</v>
      </c>
      <c r="Z360" s="456">
        <f t="shared" si="422"/>
        <v>0.376631074475056</v>
      </c>
      <c r="AA360" s="456">
        <f>_xll.xSPRDOPT($L360,$J360,$I360,$M360,$O360,$N360,$P360,$Q360-$C$3,$R360,3)</f>
        <v>0.38320707996609643</v>
      </c>
      <c r="AB360" s="456">
        <f>((_xll.xSPRDOPT($L360+AB$5,$J360,$I360,$M360,$O360,$N360,$P360,$Q360-$C$3,$R360,3)*$H360)/10000)/100</f>
        <v>0.19160353998304822</v>
      </c>
      <c r="AC360" s="456">
        <f>((_xll.xSPRDOPT($L360+$AB$5,$J360,$I360,$M360,$O360,$N360,$P360,$Q360-$C$3,$R360,7)*$H360)/100)</f>
        <v>-6773.9431054028528</v>
      </c>
      <c r="AD360" s="456">
        <f>(_xll.xSPRDOPT($L360+$AB$5,$J360,$I360,$M360,$O360,$N360,$P360,$Q360-$C$3,$R360,9)/365)*$H360</f>
        <v>-128.84802814015049</v>
      </c>
      <c r="AE360">
        <f t="shared" si="379"/>
        <v>0</v>
      </c>
      <c r="AF360" s="456">
        <f t="shared" si="380"/>
        <v>4482.2973728460747</v>
      </c>
      <c r="AG360" s="456">
        <f>((_xll.xSPRDOPT($L360,$J360,$I360,$M360,$O360,$N360,$P360,$Q360-$C$3,$R360,6)*$H360)/100)</f>
        <v>-4711.3692587297228</v>
      </c>
      <c r="AH360" s="456">
        <f>((_xll.xSPRDOPT($L360,$J360,$I360,$M360,$O360,$N360,$P360,$Q360-$C$3,$R360,5)*$H360)/100)</f>
        <v>8347.4833843909601</v>
      </c>
      <c r="AI360" s="456">
        <f>(((_xll.xSPRDOPT($L360,$J360,$I360,$M360,$O360,$N360,$P360,$Q360-$C$3,$R360,4)*$H360)/10000)/100)-AB360</f>
        <v>-9.7412402286604638E-3</v>
      </c>
      <c r="AJ360" s="456"/>
      <c r="AK360" s="456"/>
      <c r="AL360" s="456"/>
      <c r="AM360" s="472"/>
      <c r="CC360" s="141">
        <f t="shared" si="415"/>
        <v>37316</v>
      </c>
      <c r="CD360" s="234">
        <f>_xll.xSPRDOPT((VLOOKUP(G360,NGPrices,2,FALSE)+HLOOKUP(D360,Prices,VLOOKUP(G360,move_down,2,FALSE),FALSE)),VLOOKUP(G360,NGPrices,2,FALSE),I360,VLOOKUP(G360,NGPREVPRICES,4,FALSE),HLOOKUP(D360,PREVVOLS,VLOOKUP(G360,MOVE_DOWN2,2,FALSE),FALSE),VLOOKUP(G360,NGPREVPRICES,3,FALSE),HLOOKUP(D360,Correllate,VLOOKUP(G360,CorMove,2,FALSE),FALSE),Q360-$CD$3,R360,$CD$5)*H360-CJ360</f>
        <v>0</v>
      </c>
      <c r="CE360" s="234">
        <f>_xll.xSPRDOPT((VLOOKUP(G360,NGPREVPRICES,2,FALSE)+HLOOKUP(D360,PREVCURVES,VLOOKUP(G360,MOVE_DOWN2,2,FALSE),FALSE)),VLOOKUP(G360,NGPREVPRICES,2,FALSE),CK360,VLOOKUP(G360,NGPrices,4,FALSE),HLOOKUP(D360,PREVVOLS,VLOOKUP(G360,MOVE_DOWN2,2,FALSE),FALSE),VLOOKUP(G360,NGPREVPRICES,3,FALSE),HLOOKUP(D360,Correllate,VLOOKUP(G360,CorMove,2,FALSE),FALSE),Q360-$CD$3,R360,$CJ$5)*H360-CJ360</f>
        <v>0</v>
      </c>
      <c r="CF360" s="10">
        <f t="shared" si="416"/>
        <v>-22.605371776691754</v>
      </c>
      <c r="CG360" s="234">
        <f>_xll.xSPRDOPT((VLOOKUP(G360,NGPREVPRICES,2,FALSE)+HLOOKUP(D360,PREVCURVES,VLOOKUP(G360,MOVE_DOWN2,2,FALSE),FALSE)),VLOOKUP(G360,NGPREVPRICES,2,FALSE),CK360,VLOOKUP(G360,NGPREVPRICES,4,FALSE),HLOOKUP(D360,VOLS,VLOOKUP(G360,move_down,2,FALSE),FALSE),VLOOKUP(G360,NGPrices,3,FALSE),HLOOKUP(D360,Correllate,VLOOKUP(G360,CorMove,2,FALSE),FALSE),Q360-$CD$3,R360,$CJ$5)*H360-CJ360</f>
        <v>0</v>
      </c>
      <c r="CH360" s="234">
        <f>_xll.xSPRDOPT((VLOOKUP(G360,NGPREVPRICES,2,FALSE)+HLOOKUP(D360,PREVCURVES,VLOOKUP(G360,MOVE_DOWN2,2,FALSE),FALSE)),VLOOKUP(G360,NGPREVPRICES,2,FALSE),CK360,VLOOKUP(G360,NGPREVPRICES,4,FALSE),HLOOKUP(D360,PREVVOLS,VLOOKUP(G360,MOVE_DOWN2,2,FALSE),FALSE),VLOOKUP(G360,NGPREVPRICES,3,FALSE),HLOOKUP(D360,Correllate,VLOOKUP(G360,CorMove,2,FALSE),FALSE),Q360-$C$3,R360,$CJ$5)*H360-CJ360</f>
        <v>-128.67164307682833</v>
      </c>
      <c r="CI360" s="234">
        <f t="shared" si="417"/>
        <v>-151.27701485352009</v>
      </c>
      <c r="CJ360" s="234">
        <f>_xll.xSPRDOPT((VLOOKUP(G360,NGPREVPRICES,2,FALSE)+HLOOKUP(D360,PREVCURVES,VLOOKUP(G360,MOVE_DOWN2,2,FALSE),FALSE)),VLOOKUP(G360,NGPREVPRICES,2,FALSE),CK360,VLOOKUP(G360,NGPREVPRICES,4,FALSE),HLOOKUP(D360,PREVVOLS,VLOOKUP(G360,MOVE_DOWN2,2,FALSE),FALSE),VLOOKUP(G360,NGPREVPRICES,3,FALSE),HLOOKUP(D360,Correllate,VLOOKUP(G360,CorMove,2,FALSE),FALSE),Q360-$CD$3,R360,$CJ$5)*H360</f>
        <v>109370.95040437147</v>
      </c>
      <c r="CK360" s="235">
        <f t="shared" si="418"/>
        <v>1.33</v>
      </c>
      <c r="CM360" t="str">
        <f t="shared" si="419"/>
        <v>37316Curve Shift/Gamma</v>
      </c>
      <c r="CN360" t="str">
        <f t="shared" si="356"/>
        <v>37316Rho</v>
      </c>
      <c r="CO360" t="str">
        <f t="shared" si="357"/>
        <v>37316Drift</v>
      </c>
      <c r="CP360" t="str">
        <f t="shared" si="358"/>
        <v>37316Vega</v>
      </c>
      <c r="CQ360" t="str">
        <f t="shared" si="359"/>
        <v>37316Theta</v>
      </c>
    </row>
    <row r="361" spans="1:95" x14ac:dyDescent="0.25">
      <c r="A361" s="382" t="s">
        <v>279</v>
      </c>
      <c r="B361" t="s">
        <v>250</v>
      </c>
      <c r="C361" t="s">
        <v>454</v>
      </c>
      <c r="D361" s="4" t="s">
        <v>7</v>
      </c>
      <c r="E361" t="s">
        <v>20</v>
      </c>
      <c r="F361" t="s">
        <v>21</v>
      </c>
      <c r="G361" s="5">
        <v>37288</v>
      </c>
      <c r="H361" s="130">
        <v>500000</v>
      </c>
      <c r="I361">
        <v>1.33</v>
      </c>
      <c r="J361" s="53">
        <f t="shared" si="381"/>
        <v>3.77</v>
      </c>
      <c r="K361" s="7">
        <f t="shared" si="382"/>
        <v>1.56</v>
      </c>
      <c r="L361" s="53">
        <f t="shared" si="383"/>
        <v>5.33</v>
      </c>
      <c r="M361" s="157">
        <f t="shared" si="408"/>
        <v>6.9453688628792004E-2</v>
      </c>
      <c r="N361" s="4">
        <f t="shared" si="409"/>
        <v>0.39500000000000002</v>
      </c>
      <c r="O361" s="4">
        <f t="shared" si="410"/>
        <v>0.435</v>
      </c>
      <c r="P361" s="9">
        <f t="shared" si="411"/>
        <v>0.95</v>
      </c>
      <c r="Q361" s="5">
        <f t="shared" si="375"/>
        <v>37286</v>
      </c>
      <c r="R361" s="4">
        <f t="shared" si="412"/>
        <v>1</v>
      </c>
      <c r="S361" s="158">
        <f>_xll.xSPRDOPT($L361,$J361,$I361,$M361,$O361,$N361,$P361,$Q361-$C$3,$R361,0)</f>
        <v>0.52319509107577766</v>
      </c>
      <c r="T361" s="159">
        <f>_xll.xSPRDOPT($L361,$J361,$I361,$M361,$O361,$N361,$P361,$Q361-$C$3,$R361,1)*H361</f>
        <v>289387.2227582261</v>
      </c>
      <c r="U361" s="160">
        <f t="shared" si="413"/>
        <v>261597.54553788883</v>
      </c>
      <c r="V361" s="159">
        <f>_xll.xSPRDOPT($L361,$J361,$I361,$M361,$O361,$N361,$P361,$Q361-$C$3,$R361,2)*H361</f>
        <v>-265871.65513870615</v>
      </c>
      <c r="W361" s="159">
        <f t="shared" si="414"/>
        <v>23515.567619519948</v>
      </c>
      <c r="X361" s="51" t="str">
        <f t="shared" si="420"/>
        <v>37288IF-TRANSCO/Z6</v>
      </c>
      <c r="Y361" s="418">
        <f t="shared" si="421"/>
        <v>50</v>
      </c>
      <c r="Z361" s="456">
        <f t="shared" si="422"/>
        <v>0.57877444551645219</v>
      </c>
      <c r="AA361" s="456">
        <f>_xll.xSPRDOPT($L361,$J361,$I361,$M361,$O361,$N361,$P361,$Q361-$C$3,$R361,3)</f>
        <v>0.29356439399802653</v>
      </c>
      <c r="AB361" s="456">
        <f>((_xll.xSPRDOPT($L361+AB$5,$J361,$I361,$M361,$O361,$N361,$P361,$Q361-$C$3,$R361,3)*$H361)/10000)/100</f>
        <v>0.14678219699901329</v>
      </c>
      <c r="AC361" s="456">
        <f>((_xll.xSPRDOPT($L361+$AB$5,$J361,$I361,$M361,$O361,$N361,$P361,$Q361-$C$3,$R361,7)*$H361)/100)</f>
        <v>-7552.3907349388055</v>
      </c>
      <c r="AD361" s="456">
        <f>(_xll.xSPRDOPT($L361+$AB$5,$J361,$I361,$M361,$O361,$N361,$P361,$Q361-$C$3,$R361,9)/365)*$H361</f>
        <v>-142.13643568547283</v>
      </c>
      <c r="AE361">
        <f t="shared" si="379"/>
        <v>0</v>
      </c>
      <c r="AF361" s="456">
        <f t="shared" si="380"/>
        <v>5039.763950882596</v>
      </c>
      <c r="AG361" s="456">
        <f>((_xll.xSPRDOPT($L361,$J361,$I361,$M361,$O361,$N361,$P361,$Q361-$C$3,$R361,6)*$H361)/100)</f>
        <v>-5181.0711811670153</v>
      </c>
      <c r="AH361" s="456">
        <f>((_xll.xSPRDOPT($L361,$J361,$I361,$M361,$O361,$N361,$P361,$Q361-$C$3,$R361,5)*$H361)/100)</f>
        <v>9280.9882233553944</v>
      </c>
      <c r="AI361" s="456">
        <f>(((_xll.xSPRDOPT($L361,$J361,$I361,$M361,$O361,$N361,$P361,$Q361-$C$3,$R361,4)*$H361)/10000)/100)-AB361</f>
        <v>1.5965974983129405E-2</v>
      </c>
      <c r="AJ361" s="456"/>
      <c r="AK361" s="456"/>
      <c r="AL361" s="456"/>
      <c r="AM361" s="472"/>
      <c r="CC361" s="141">
        <f t="shared" si="415"/>
        <v>37288</v>
      </c>
      <c r="CD361" s="234">
        <f>_xll.xSPRDOPT((VLOOKUP(G361,NGPrices,2,FALSE)+HLOOKUP(D361,Prices,VLOOKUP(G361,move_down,2,FALSE),FALSE)),VLOOKUP(G361,NGPrices,2,FALSE),I361,VLOOKUP(G361,NGPREVPRICES,4,FALSE),HLOOKUP(D361,PREVVOLS,VLOOKUP(G361,MOVE_DOWN2,2,FALSE),FALSE),VLOOKUP(G361,NGPREVPRICES,3,FALSE),HLOOKUP(D361,Correllate,VLOOKUP(G361,CorMove,2,FALSE),FALSE),Q361-$CD$3,R361,$CD$5)*H361-CJ361</f>
        <v>0</v>
      </c>
      <c r="CE361" s="234">
        <f>_xll.xSPRDOPT((VLOOKUP(G361,NGPREVPRICES,2,FALSE)+HLOOKUP(D361,PREVCURVES,VLOOKUP(G361,MOVE_DOWN2,2,FALSE),FALSE)),VLOOKUP(G361,NGPREVPRICES,2,FALSE),CK361,VLOOKUP(G361,NGPrices,4,FALSE),HLOOKUP(D361,PREVVOLS,VLOOKUP(G361,MOVE_DOWN2,2,FALSE),FALSE),VLOOKUP(G361,NGPREVPRICES,3,FALSE),HLOOKUP(D361,Correllate,VLOOKUP(G361,CorMove,2,FALSE),FALSE),Q361-$CD$3,R361,$CJ$5)*H361-CJ361</f>
        <v>0</v>
      </c>
      <c r="CF361" s="10">
        <f t="shared" si="416"/>
        <v>-53.790471361426171</v>
      </c>
      <c r="CG361" s="234">
        <f>_xll.xSPRDOPT((VLOOKUP(G361,NGPREVPRICES,2,FALSE)+HLOOKUP(D361,PREVCURVES,VLOOKUP(G361,MOVE_DOWN2,2,FALSE),FALSE)),VLOOKUP(G361,NGPREVPRICES,2,FALSE),CK361,VLOOKUP(G361,NGPREVPRICES,4,FALSE),HLOOKUP(D361,VOLS,VLOOKUP(G361,move_down,2,FALSE),FALSE),VLOOKUP(G361,NGPrices,3,FALSE),HLOOKUP(D361,Correllate,VLOOKUP(G361,CorMove,2,FALSE),FALSE),Q361-$CD$3,R361,$CJ$5)*H361-CJ361</f>
        <v>0</v>
      </c>
      <c r="CH361" s="234">
        <f>_xll.xSPRDOPT((VLOOKUP(G361,NGPREVPRICES,2,FALSE)+HLOOKUP(D361,PREVCURVES,VLOOKUP(G361,MOVE_DOWN2,2,FALSE),FALSE)),VLOOKUP(G361,NGPREVPRICES,2,FALSE),CK361,VLOOKUP(G361,NGPREVPRICES,4,FALSE),HLOOKUP(D361,PREVVOLS,VLOOKUP(G361,MOVE_DOWN2,2,FALSE),FALSE),VLOOKUP(G361,NGPREVPRICES,3,FALSE),HLOOKUP(D361,Correllate,VLOOKUP(G361,CorMove,2,FALSE),FALSE),Q361-$C$3,R361,$CJ$5)*H361-CJ361</f>
        <v>-141.91606767560006</v>
      </c>
      <c r="CI361" s="234">
        <f t="shared" si="417"/>
        <v>-195.70653903702623</v>
      </c>
      <c r="CJ361" s="234">
        <f>_xll.xSPRDOPT((VLOOKUP(G361,NGPREVPRICES,2,FALSE)+HLOOKUP(D361,PREVCURVES,VLOOKUP(G361,MOVE_DOWN2,2,FALSE),FALSE)),VLOOKUP(G361,NGPREVPRICES,2,FALSE),CK361,VLOOKUP(G361,NGPREVPRICES,4,FALSE),HLOOKUP(D361,PREVVOLS,VLOOKUP(G361,MOVE_DOWN2,2,FALSE),FALSE),VLOOKUP(G361,NGPREVPRICES,3,FALSE),HLOOKUP(D361,Correllate,VLOOKUP(G361,CorMove,2,FALSE),FALSE),Q361-$CD$3,R361,$CJ$5)*H361</f>
        <v>261739.46160556443</v>
      </c>
      <c r="CK361" s="235">
        <f t="shared" si="418"/>
        <v>1.33</v>
      </c>
      <c r="CM361" t="str">
        <f t="shared" si="419"/>
        <v>37288Curve Shift/Gamma</v>
      </c>
      <c r="CN361" t="str">
        <f t="shared" si="356"/>
        <v>37288Rho</v>
      </c>
      <c r="CO361" t="str">
        <f t="shared" si="357"/>
        <v>37288Drift</v>
      </c>
      <c r="CP361" t="str">
        <f t="shared" si="358"/>
        <v>37288Vega</v>
      </c>
      <c r="CQ361" t="str">
        <f t="shared" si="359"/>
        <v>37288Theta</v>
      </c>
    </row>
    <row r="362" spans="1:95" x14ac:dyDescent="0.25">
      <c r="A362" s="382" t="s">
        <v>279</v>
      </c>
      <c r="B362" t="s">
        <v>250</v>
      </c>
      <c r="C362" t="s">
        <v>454</v>
      </c>
      <c r="D362" s="4" t="s">
        <v>7</v>
      </c>
      <c r="E362" t="s">
        <v>20</v>
      </c>
      <c r="F362" t="s">
        <v>21</v>
      </c>
      <c r="G362" s="5">
        <v>37257</v>
      </c>
      <c r="H362" s="130">
        <v>500000</v>
      </c>
      <c r="I362">
        <v>1.33</v>
      </c>
      <c r="J362" s="53">
        <f t="shared" si="381"/>
        <v>3.94</v>
      </c>
      <c r="K362" s="7">
        <f t="shared" si="382"/>
        <v>1.56</v>
      </c>
      <c r="L362" s="53">
        <f t="shared" si="383"/>
        <v>5.5</v>
      </c>
      <c r="M362" s="157">
        <f t="shared" si="408"/>
        <v>6.9402566234750995E-2</v>
      </c>
      <c r="N362" s="4">
        <f t="shared" si="409"/>
        <v>0.41249999999999998</v>
      </c>
      <c r="O362" s="4">
        <f t="shared" si="410"/>
        <v>0.45400000000000001</v>
      </c>
      <c r="P362" s="9">
        <f t="shared" si="411"/>
        <v>0.95</v>
      </c>
      <c r="Q362" s="5">
        <f t="shared" si="375"/>
        <v>37253</v>
      </c>
      <c r="R362" s="4">
        <f t="shared" si="412"/>
        <v>1</v>
      </c>
      <c r="S362" s="158">
        <f>_xll.xSPRDOPT($L362,$J362,$I362,$M362,$O362,$N362,$P362,$Q362-$C$3,$R362,0)</f>
        <v>0.53843469213585404</v>
      </c>
      <c r="T362" s="159">
        <f>_xll.xSPRDOPT($L362,$J362,$I362,$M362,$O362,$N362,$P362,$Q362-$C$3,$R362,1)*H362</f>
        <v>289954.27651282417</v>
      </c>
      <c r="U362" s="160">
        <f t="shared" si="413"/>
        <v>269217.34606792702</v>
      </c>
      <c r="V362" s="159">
        <f>_xll.xSPRDOPT($L362,$J362,$I362,$M362,$O362,$N362,$P362,$Q362-$C$3,$R362,2)*H362</f>
        <v>-265783.65027810552</v>
      </c>
      <c r="W362" s="159">
        <f t="shared" si="414"/>
        <v>24170.626234718657</v>
      </c>
      <c r="X362" s="51" t="str">
        <f t="shared" si="420"/>
        <v>37257IF-TRANSCO/Z6</v>
      </c>
      <c r="Y362" s="418">
        <f t="shared" si="421"/>
        <v>50</v>
      </c>
      <c r="Z362" s="456">
        <f t="shared" si="422"/>
        <v>0.57990855302564837</v>
      </c>
      <c r="AA362" s="456">
        <f>_xll.xSPRDOPT($L362,$J362,$I362,$M362,$O362,$N362,$P362,$Q362-$C$3,$R362,3)</f>
        <v>0.28808390499398495</v>
      </c>
      <c r="AB362" s="456">
        <f>((_xll.xSPRDOPT($L362+AB$5,$J362,$I362,$M362,$O362,$N362,$P362,$Q362-$C$3,$R362,3)*$H362)/10000)/100</f>
        <v>0.14404195249699248</v>
      </c>
      <c r="AC362" s="456">
        <f>((_xll.xSPRDOPT($L362+$AB$5,$J362,$I362,$M362,$O362,$N362,$P362,$Q362-$C$3,$R362,7)*$H362)/100)</f>
        <v>-8152.3879943571974</v>
      </c>
      <c r="AD362" s="456">
        <f>(_xll.xSPRDOPT($L362+$AB$5,$J362,$I362,$M362,$O362,$N362,$P362,$Q362-$C$3,$R362,9)/365)*$H362</f>
        <v>-161.48377587059917</v>
      </c>
      <c r="AE362">
        <f t="shared" si="379"/>
        <v>0</v>
      </c>
      <c r="AF362" s="456">
        <f t="shared" si="380"/>
        <v>5007.9390052483877</v>
      </c>
      <c r="AG362" s="456">
        <f>((_xll.xSPRDOPT($L362,$J362,$I362,$M362,$O362,$N362,$P362,$Q362-$C$3,$R362,6)*$H362)/100)</f>
        <v>-5186.8211302966347</v>
      </c>
      <c r="AH362" s="456">
        <f>((_xll.xSPRDOPT($L362,$J362,$I362,$M362,$O362,$N362,$P362,$Q362-$C$3,$R362,5)*$H362)/100)</f>
        <v>9262.8602553134824</v>
      </c>
      <c r="AI362" s="456">
        <f>(((_xll.xSPRDOPT($L362,$J362,$I362,$M362,$O362,$N362,$P362,$Q362-$C$3,$R362,4)*$H362)/10000)/100)-AB362</f>
        <v>1.5438005524230497E-2</v>
      </c>
      <c r="AJ362" s="456"/>
      <c r="AK362" s="456"/>
      <c r="AL362" s="456"/>
      <c r="AM362" s="472"/>
      <c r="CC362" s="141">
        <f t="shared" si="415"/>
        <v>37257</v>
      </c>
      <c r="CD362" s="234">
        <f>_xll.xSPRDOPT((VLOOKUP(G362,NGPrices,2,FALSE)+HLOOKUP(D362,Prices,VLOOKUP(G362,move_down,2,FALSE),FALSE)),VLOOKUP(G362,NGPrices,2,FALSE),I362,VLOOKUP(G362,NGPREVPRICES,4,FALSE),HLOOKUP(D362,PREVVOLS,VLOOKUP(G362,MOVE_DOWN2,2,FALSE),FALSE),VLOOKUP(G362,NGPREVPRICES,3,FALSE),HLOOKUP(D362,Correllate,VLOOKUP(G362,CorMove,2,FALSE),FALSE),Q362-$CD$3,R362,$CD$5)*H362-CJ362</f>
        <v>0</v>
      </c>
      <c r="CE362" s="234">
        <f>_xll.xSPRDOPT((VLOOKUP(G362,NGPREVPRICES,2,FALSE)+HLOOKUP(D362,PREVCURVES,VLOOKUP(G362,MOVE_DOWN2,2,FALSE),FALSE)),VLOOKUP(G362,NGPREVPRICES,2,FALSE),CK362,VLOOKUP(G362,NGPrices,4,FALSE),HLOOKUP(D362,PREVVOLS,VLOOKUP(G362,MOVE_DOWN2,2,FALSE),FALSE),VLOOKUP(G362,NGPREVPRICES,3,FALSE),HLOOKUP(D362,Correllate,VLOOKUP(G362,CorMove,2,FALSE),FALSE),Q362-$CD$3,R362,$CJ$5)*H362-CJ362</f>
        <v>0</v>
      </c>
      <c r="CF362" s="10">
        <f t="shared" si="416"/>
        <v>-55.012683953740634</v>
      </c>
      <c r="CG362" s="234">
        <f>_xll.xSPRDOPT((VLOOKUP(G362,NGPREVPRICES,2,FALSE)+HLOOKUP(D362,PREVCURVES,VLOOKUP(G362,MOVE_DOWN2,2,FALSE),FALSE)),VLOOKUP(G362,NGPREVPRICES,2,FALSE),CK362,VLOOKUP(G362,NGPREVPRICES,4,FALSE),HLOOKUP(D362,VOLS,VLOOKUP(G362,move_down,2,FALSE),FALSE),VLOOKUP(G362,NGPrices,3,FALSE),HLOOKUP(D362,Correllate,VLOOKUP(G362,CorMove,2,FALSE),FALSE),Q362-$CD$3,R362,$CJ$5)*H362-CJ362</f>
        <v>0</v>
      </c>
      <c r="CH362" s="234">
        <f>_xll.xSPRDOPT((VLOOKUP(G362,NGPREVPRICES,2,FALSE)+HLOOKUP(D362,PREVCURVES,VLOOKUP(G362,MOVE_DOWN2,2,FALSE),FALSE)),VLOOKUP(G362,NGPREVPRICES,2,FALSE),CK362,VLOOKUP(G362,NGPREVPRICES,4,FALSE),HLOOKUP(D362,PREVVOLS,VLOOKUP(G362,MOVE_DOWN2,2,FALSE),FALSE),VLOOKUP(G362,NGPREVPRICES,3,FALSE),HLOOKUP(D362,Correllate,VLOOKUP(G362,CorMove,2,FALSE),FALSE),Q362-$C$3,R362,$CJ$5)*H362-CJ362</f>
        <v>-161.2295511882985</v>
      </c>
      <c r="CI362" s="234">
        <f t="shared" si="417"/>
        <v>-216.24223514203914</v>
      </c>
      <c r="CJ362" s="234">
        <f>_xll.xSPRDOPT((VLOOKUP(G362,NGPREVPRICES,2,FALSE)+HLOOKUP(D362,PREVCURVES,VLOOKUP(G362,MOVE_DOWN2,2,FALSE),FALSE)),VLOOKUP(G362,NGPREVPRICES,2,FALSE),CK362,VLOOKUP(G362,NGPREVPRICES,4,FALSE),HLOOKUP(D362,PREVVOLS,VLOOKUP(G362,MOVE_DOWN2,2,FALSE),FALSE),VLOOKUP(G362,NGPREVPRICES,3,FALSE),HLOOKUP(D362,Correllate,VLOOKUP(G362,CorMove,2,FALSE),FALSE),Q362-$CD$3,R362,$CJ$5)*H362</f>
        <v>269378.57561911532</v>
      </c>
      <c r="CK362" s="235">
        <f t="shared" si="418"/>
        <v>1.33</v>
      </c>
      <c r="CM362" t="str">
        <f t="shared" si="419"/>
        <v>37257Curve Shift/Gamma</v>
      </c>
      <c r="CN362" t="str">
        <f t="shared" si="356"/>
        <v>37257Rho</v>
      </c>
      <c r="CO362" t="str">
        <f t="shared" si="357"/>
        <v>37257Drift</v>
      </c>
      <c r="CP362" t="str">
        <f t="shared" si="358"/>
        <v>37257Vega</v>
      </c>
      <c r="CQ362" t="str">
        <f t="shared" si="359"/>
        <v>37257Theta</v>
      </c>
    </row>
    <row r="363" spans="1:95" x14ac:dyDescent="0.25">
      <c r="A363" s="382" t="s">
        <v>279</v>
      </c>
      <c r="B363" t="s">
        <v>250</v>
      </c>
      <c r="C363" t="s">
        <v>454</v>
      </c>
      <c r="D363" s="4" t="s">
        <v>7</v>
      </c>
      <c r="E363" t="s">
        <v>20</v>
      </c>
      <c r="F363" t="s">
        <v>21</v>
      </c>
      <c r="G363" s="5">
        <v>37226</v>
      </c>
      <c r="H363" s="130">
        <v>500000</v>
      </c>
      <c r="I363">
        <v>1.33</v>
      </c>
      <c r="J363" s="53">
        <f t="shared" si="381"/>
        <v>3.968</v>
      </c>
      <c r="K363" s="7">
        <f t="shared" si="382"/>
        <v>1.31</v>
      </c>
      <c r="L363" s="53">
        <f t="shared" si="383"/>
        <v>5.2780000000000005</v>
      </c>
      <c r="M363" s="157">
        <f t="shared" si="408"/>
        <v>6.9362858204931002E-2</v>
      </c>
      <c r="N363" s="4">
        <f t="shared" si="409"/>
        <v>0.40749999999999997</v>
      </c>
      <c r="O363" s="4">
        <f t="shared" si="410"/>
        <v>0.44800000000000001</v>
      </c>
      <c r="P363" s="9">
        <f t="shared" si="411"/>
        <v>0.95</v>
      </c>
      <c r="Q363" s="5">
        <f t="shared" si="375"/>
        <v>37224</v>
      </c>
      <c r="R363" s="4">
        <f t="shared" si="412"/>
        <v>1</v>
      </c>
      <c r="S363" s="158">
        <f>_xll.xSPRDOPT($L363,$J363,$I363,$M363,$O363,$N363,$P363,$Q363-$C$3,$R363,0)</f>
        <v>0.38830347991534286</v>
      </c>
      <c r="T363" s="159">
        <f>_xll.xSPRDOPT($L363,$J363,$I363,$M363,$O363,$N363,$P363,$Q363-$C$3,$R363,1)*H363</f>
        <v>251676.09985339551</v>
      </c>
      <c r="U363" s="160">
        <f t="shared" si="413"/>
        <v>194151.73995767144</v>
      </c>
      <c r="V363" s="159">
        <f>_xll.xSPRDOPT($L363,$J363,$I363,$M363,$O363,$N363,$P363,$Q363-$C$3,$R363,2)*H363</f>
        <v>-227258.09252977546</v>
      </c>
      <c r="W363" s="159">
        <f t="shared" si="414"/>
        <v>24418.007323620055</v>
      </c>
      <c r="X363" s="51" t="str">
        <f t="shared" si="420"/>
        <v>37226IF-TRANSCO/Z6</v>
      </c>
      <c r="Y363" s="418">
        <f t="shared" si="421"/>
        <v>50</v>
      </c>
      <c r="Z363" s="456">
        <f t="shared" si="422"/>
        <v>0.50335219970679101</v>
      </c>
      <c r="AA363" s="456">
        <f>_xll.xSPRDOPT($L363,$J363,$I363,$M363,$O363,$N363,$P363,$Q363-$C$3,$R363,3)</f>
        <v>0.3389311566571952</v>
      </c>
      <c r="AB363" s="456">
        <f>((_xll.xSPRDOPT($L363+AB$5,$J363,$I363,$M363,$O363,$N363,$P363,$Q363-$C$3,$R363,3)*$H363)/10000)/100</f>
        <v>0.1694655783285976</v>
      </c>
      <c r="AC363" s="456">
        <f>((_xll.xSPRDOPT($L363+$AB$5,$J363,$I363,$M363,$O363,$N363,$P363,$Q363-$C$3,$R363,7)*$H363)/100)</f>
        <v>-8227.3076380888033</v>
      </c>
      <c r="AD363" s="456">
        <f>(_xll.xSPRDOPT($L363+$AB$5,$J363,$I363,$M363,$O363,$N363,$P363,$Q363-$C$3,$R363,9)/365)*$H363</f>
        <v>-178.85927662967148</v>
      </c>
      <c r="AE363">
        <f t="shared" si="379"/>
        <v>0</v>
      </c>
      <c r="AF363" s="456">
        <f t="shared" si="380"/>
        <v>4835.9520202161948</v>
      </c>
      <c r="AG363" s="456">
        <f>((_xll.xSPRDOPT($L363,$J363,$I363,$M363,$O363,$N363,$P363,$Q363-$C$3,$R363,6)*$H363)/100)</f>
        <v>-5075.8922055601852</v>
      </c>
      <c r="AH363" s="456">
        <f>((_xll.xSPRDOPT($L363,$J363,$I363,$M363,$O363,$N363,$P363,$Q363-$C$3,$R363,5)*$H363)/100)</f>
        <v>9015.7958080443623</v>
      </c>
      <c r="AI363" s="456">
        <f>(((_xll.xSPRDOPT($L363,$J363,$I363,$M363,$O363,$N363,$P363,$Q363-$C$3,$R363,4)*$H363)/10000)/100)-AB363</f>
        <v>6.2278523906366678E-3</v>
      </c>
      <c r="AJ363" s="456"/>
      <c r="AK363" s="456"/>
      <c r="AL363" s="456"/>
      <c r="AM363" s="472"/>
      <c r="CC363" s="141">
        <f t="shared" si="415"/>
        <v>37226</v>
      </c>
      <c r="CD363" s="234">
        <f>_xll.xSPRDOPT((VLOOKUP(G363,NGPrices,2,FALSE)+HLOOKUP(D363,Prices,VLOOKUP(G363,move_down,2,FALSE),FALSE)),VLOOKUP(G363,NGPrices,2,FALSE),I363,VLOOKUP(G363,NGPREVPRICES,4,FALSE),HLOOKUP(D363,PREVVOLS,VLOOKUP(G363,MOVE_DOWN2,2,FALSE),FALSE),VLOOKUP(G363,NGPREVPRICES,3,FALSE),HLOOKUP(D363,Correllate,VLOOKUP(G363,CorMove,2,FALSE),FALSE),Q363-$CD$3,R363,$CD$5)*H363-CJ363</f>
        <v>0</v>
      </c>
      <c r="CE363" s="234">
        <f>_xll.xSPRDOPT((VLOOKUP(G363,NGPREVPRICES,2,FALSE)+HLOOKUP(D363,PREVCURVES,VLOOKUP(G363,MOVE_DOWN2,2,FALSE),FALSE)),VLOOKUP(G363,NGPREVPRICES,2,FALSE),CK363,VLOOKUP(G363,NGPrices,4,FALSE),HLOOKUP(D363,PREVVOLS,VLOOKUP(G363,MOVE_DOWN2,2,FALSE),FALSE),VLOOKUP(G363,NGPREVPRICES,3,FALSE),HLOOKUP(D363,Correllate,VLOOKUP(G363,CorMove,2,FALSE),FALSE),Q363-$CD$3,R363,$CJ$5)*H363-CJ363</f>
        <v>0</v>
      </c>
      <c r="CF363" s="10">
        <f t="shared" si="416"/>
        <v>-39.442602513707243</v>
      </c>
      <c r="CG363" s="234">
        <f>_xll.xSPRDOPT((VLOOKUP(G363,NGPREVPRICES,2,FALSE)+HLOOKUP(D363,PREVCURVES,VLOOKUP(G363,MOVE_DOWN2,2,FALSE),FALSE)),VLOOKUP(G363,NGPREVPRICES,2,FALSE),CK363,VLOOKUP(G363,NGPREVPRICES,4,FALSE),HLOOKUP(D363,VOLS,VLOOKUP(G363,move_down,2,FALSE),FALSE),VLOOKUP(G363,NGPrices,3,FALSE),HLOOKUP(D363,Correllate,VLOOKUP(G363,CorMove,2,FALSE),FALSE),Q363-$CD$3,R363,$CJ$5)*H363-CJ363</f>
        <v>0</v>
      </c>
      <c r="CH363" s="234">
        <f>_xll.xSPRDOPT((VLOOKUP(G363,NGPREVPRICES,2,FALSE)+HLOOKUP(D363,PREVCURVES,VLOOKUP(G363,MOVE_DOWN2,2,FALSE),FALSE)),VLOOKUP(G363,NGPREVPRICES,2,FALSE),CK363,VLOOKUP(G363,NGPREVPRICES,4,FALSE),HLOOKUP(D363,PREVVOLS,VLOOKUP(G363,MOVE_DOWN2,2,FALSE),FALSE),VLOOKUP(G363,NGPREVPRICES,3,FALSE),HLOOKUP(D363,Correllate,VLOOKUP(G363,CorMove,2,FALSE),FALSE),Q363-$C$3,R363,$CJ$5)*H363-CJ363</f>
        <v>-178.57882086967584</v>
      </c>
      <c r="CI363" s="234">
        <f t="shared" si="417"/>
        <v>-218.02142338338308</v>
      </c>
      <c r="CJ363" s="234">
        <f>_xll.xSPRDOPT((VLOOKUP(G363,NGPREVPRICES,2,FALSE)+HLOOKUP(D363,PREVCURVES,VLOOKUP(G363,MOVE_DOWN2,2,FALSE),FALSE)),VLOOKUP(G363,NGPREVPRICES,2,FALSE),CK363,VLOOKUP(G363,NGPREVPRICES,4,FALSE),HLOOKUP(D363,PREVVOLS,VLOOKUP(G363,MOVE_DOWN2,2,FALSE),FALSE),VLOOKUP(G363,NGPREVPRICES,3,FALSE),HLOOKUP(D363,Correllate,VLOOKUP(G363,CorMove,2,FALSE),FALSE),Q363-$CD$3,R363,$CJ$5)*H363</f>
        <v>194330.31877854111</v>
      </c>
      <c r="CK363" s="235">
        <f t="shared" si="418"/>
        <v>1.33</v>
      </c>
      <c r="CM363" t="str">
        <f t="shared" si="419"/>
        <v>37226Curve Shift/Gamma</v>
      </c>
      <c r="CN363" t="str">
        <f t="shared" si="356"/>
        <v>37226Rho</v>
      </c>
      <c r="CO363" t="str">
        <f t="shared" si="357"/>
        <v>37226Drift</v>
      </c>
      <c r="CP363" t="str">
        <f t="shared" si="358"/>
        <v>37226Vega</v>
      </c>
      <c r="CQ363" t="str">
        <f t="shared" si="359"/>
        <v>37226Theta</v>
      </c>
    </row>
    <row r="364" spans="1:95" x14ac:dyDescent="0.25">
      <c r="A364" s="382" t="s">
        <v>279</v>
      </c>
      <c r="B364" t="s">
        <v>250</v>
      </c>
      <c r="C364" t="s">
        <v>454</v>
      </c>
      <c r="D364" s="4" t="s">
        <v>7</v>
      </c>
      <c r="E364" t="s">
        <v>20</v>
      </c>
      <c r="F364" t="s">
        <v>21</v>
      </c>
      <c r="G364" s="5">
        <v>37196</v>
      </c>
      <c r="H364" s="130">
        <v>500000</v>
      </c>
      <c r="I364">
        <v>1.33</v>
      </c>
      <c r="J364" s="53">
        <f t="shared" si="381"/>
        <v>3.8780000000000001</v>
      </c>
      <c r="K364" s="7">
        <f t="shared" si="382"/>
        <v>0.89</v>
      </c>
      <c r="L364" s="53">
        <f t="shared" si="383"/>
        <v>4.7679999999999998</v>
      </c>
      <c r="M364" s="157">
        <f t="shared" ref="M364:M382" si="423">VLOOKUP(G364,NGPrices,4,FALSE)</f>
        <v>6.9332408860558997E-2</v>
      </c>
      <c r="N364" s="4">
        <f t="shared" ref="N364:N382" si="424">VLOOKUP(G364,NGPrices,3,FALSE)</f>
        <v>0.40250000000000002</v>
      </c>
      <c r="O364" s="4">
        <f t="shared" ref="O364:O382" si="425">HLOOKUP(D364,VOLS,VLOOKUP(G364,move_down,2,FALSE),FALSE)</f>
        <v>0.443</v>
      </c>
      <c r="P364" s="9">
        <f t="shared" ref="P364:P382" si="426">HLOOKUP(D364,Correllate,VLOOKUP(G364,CorMove,2,FALSE),FALSE)</f>
        <v>0.95</v>
      </c>
      <c r="Q364" s="5">
        <f t="shared" si="375"/>
        <v>37194</v>
      </c>
      <c r="R364" s="4">
        <f t="shared" ref="R364:R382" si="427">IF(F364="P",0,1)</f>
        <v>1</v>
      </c>
      <c r="S364" s="158">
        <f>_xll.xSPRDOPT($L364,$J364,$I364,$M364,$O364,$N364,$P364,$Q364-$C$3,$R364,0)</f>
        <v>0.1905033003169912</v>
      </c>
      <c r="T364" s="159">
        <f>_xll.xSPRDOPT($L364,$J364,$I364,$M364,$O364,$N364,$P364,$Q364-$C$3,$R364,1)*H364</f>
        <v>172566.73143716005</v>
      </c>
      <c r="U364" s="160">
        <f t="shared" ref="U364:U382" si="428">S364*H364</f>
        <v>95251.650158495599</v>
      </c>
      <c r="V364" s="159">
        <f>_xll.xSPRDOPT($L364,$J364,$I364,$M364,$O364,$N364,$P364,$Q364-$C$3,$R364,2)*H364</f>
        <v>-150354.29202423198</v>
      </c>
      <c r="W364" s="159">
        <f t="shared" ref="W364:W382" si="429">+V364+T364</f>
        <v>22212.43941292807</v>
      </c>
      <c r="X364" s="51" t="str">
        <f t="shared" si="420"/>
        <v>37196IF-TRANSCO/Z6</v>
      </c>
      <c r="Y364" s="418">
        <f t="shared" si="421"/>
        <v>50</v>
      </c>
      <c r="Z364" s="456">
        <f t="shared" si="422"/>
        <v>0.34513346287432012</v>
      </c>
      <c r="AA364" s="456">
        <f>_xll.xSPRDOPT($L364,$J364,$I364,$M364,$O364,$N364,$P364,$Q364-$C$3,$R364,3)</f>
        <v>0.38569078001839135</v>
      </c>
      <c r="AB364" s="456">
        <f>((_xll.xSPRDOPT($L364+AB$5,$J364,$I364,$M364,$O364,$N364,$P364,$Q364-$C$3,$R364,3)*$H364)/10000)/100</f>
        <v>0.19284539000919568</v>
      </c>
      <c r="AC364" s="456">
        <f>((_xll.xSPRDOPT($L364+$AB$5,$J364,$I364,$M364,$O364,$N364,$P364,$Q364-$C$3,$R364,7)*$H364)/100)</f>
        <v>-7110.389176338078</v>
      </c>
      <c r="AD364" s="456">
        <f>(_xll.xSPRDOPT($L364+$AB$5,$J364,$I364,$M364,$O364,$N364,$P364,$Q364-$C$3,$R364,9)/365)*$H364</f>
        <v>-169.58561497231884</v>
      </c>
      <c r="AE364">
        <f t="shared" si="379"/>
        <v>0</v>
      </c>
      <c r="AF364" s="456">
        <f t="shared" si="380"/>
        <v>3979.3297513697044</v>
      </c>
      <c r="AG364" s="456">
        <f>((_xll.xSPRDOPT($L364,$J364,$I364,$M364,$O364,$N364,$P364,$Q364-$C$3,$R364,6)*$H364)/100)</f>
        <v>-4228.0802948538903</v>
      </c>
      <c r="AH364" s="456">
        <f>((_xll.xSPRDOPT($L364,$J364,$I364,$M364,$O364,$N364,$P364,$Q364-$C$3,$R364,5)*$H364)/100)</f>
        <v>7457.0712045259515</v>
      </c>
      <c r="AI364" s="456">
        <f>(((_xll.xSPRDOPT($L364,$J364,$I364,$M364,$O364,$N364,$P364,$Q364-$C$3,$R364,4)*$H364)/10000)/100)-AB364</f>
        <v>-1.5438592625395237E-2</v>
      </c>
      <c r="AJ364" s="456"/>
      <c r="AK364" s="456"/>
      <c r="AL364" s="456"/>
      <c r="AM364" s="472"/>
      <c r="CC364" s="141">
        <f t="shared" ref="CC364:CC379" si="430">G364</f>
        <v>37196</v>
      </c>
      <c r="CD364" s="234">
        <f>_xll.xSPRDOPT((VLOOKUP(G364,NGPrices,2,FALSE)+HLOOKUP(D364,Prices,VLOOKUP(G364,move_down,2,FALSE),FALSE)),VLOOKUP(G364,NGPrices,2,FALSE),I364,VLOOKUP(G364,NGPREVPRICES,4,FALSE),HLOOKUP(D364,PREVVOLS,VLOOKUP(G364,MOVE_DOWN2,2,FALSE),FALSE),VLOOKUP(G364,NGPREVPRICES,3,FALSE),HLOOKUP(D364,Correllate,VLOOKUP(G364,CorMove,2,FALSE),FALSE),Q364-$CD$3,R364,$CD$5)*H364-CJ364</f>
        <v>0</v>
      </c>
      <c r="CE364" s="234">
        <f>_xll.xSPRDOPT((VLOOKUP(G364,NGPREVPRICES,2,FALSE)+HLOOKUP(D364,PREVCURVES,VLOOKUP(G364,MOVE_DOWN2,2,FALSE),FALSE)),VLOOKUP(G364,NGPREVPRICES,2,FALSE),CK364,VLOOKUP(G364,NGPrices,4,FALSE),HLOOKUP(D364,PREVVOLS,VLOOKUP(G364,MOVE_DOWN2,2,FALSE),FALSE),VLOOKUP(G364,NGPREVPRICES,3,FALSE),HLOOKUP(D364,Correllate,VLOOKUP(G364,CorMove,2,FALSE),FALSE),Q364-$CD$3,R364,$CJ$5)*H364-CJ364</f>
        <v>0</v>
      </c>
      <c r="CF364" s="10">
        <f t="shared" ref="CF364:CF379" si="431">(CJ364/VLOOKUP(CC364,discount,3,FALSE))-(CJ364/VLOOKUP(CC364,discount,2,FALSE))</f>
        <v>-19.254103810249944</v>
      </c>
      <c r="CG364" s="234">
        <f>_xll.xSPRDOPT((VLOOKUP(G364,NGPREVPRICES,2,FALSE)+HLOOKUP(D364,PREVCURVES,VLOOKUP(G364,MOVE_DOWN2,2,FALSE),FALSE)),VLOOKUP(G364,NGPREVPRICES,2,FALSE),CK364,VLOOKUP(G364,NGPREVPRICES,4,FALSE),HLOOKUP(D364,VOLS,VLOOKUP(G364,move_down,2,FALSE),FALSE),VLOOKUP(G364,NGPrices,3,FALSE),HLOOKUP(D364,Correllate,VLOOKUP(G364,CorMove,2,FALSE),FALSE),Q364-$CD$3,R364,$CJ$5)*H364-CJ364</f>
        <v>0</v>
      </c>
      <c r="CH364" s="234">
        <f>_xll.xSPRDOPT((VLOOKUP(G364,NGPREVPRICES,2,FALSE)+HLOOKUP(D364,PREVCURVES,VLOOKUP(G364,MOVE_DOWN2,2,FALSE),FALSE)),VLOOKUP(G364,NGPREVPRICES,2,FALSE),CK364,VLOOKUP(G364,NGPREVPRICES,4,FALSE),HLOOKUP(D364,PREVVOLS,VLOOKUP(G364,MOVE_DOWN2,2,FALSE),FALSE),VLOOKUP(G364,NGPREVPRICES,3,FALSE),HLOOKUP(D364,Correllate,VLOOKUP(G364,CorMove,2,FALSE),FALSE),Q364-$C$3,R364,$CJ$5)*H364-CJ364</f>
        <v>-169.34613447757147</v>
      </c>
      <c r="CI364" s="234">
        <f t="shared" ref="CI364:CI379" si="432">SUM(CD364:CH364)</f>
        <v>-188.60023828782141</v>
      </c>
      <c r="CJ364" s="234">
        <f>_xll.xSPRDOPT((VLOOKUP(G364,NGPREVPRICES,2,FALSE)+HLOOKUP(D364,PREVCURVES,VLOOKUP(G364,MOVE_DOWN2,2,FALSE),FALSE)),VLOOKUP(G364,NGPREVPRICES,2,FALSE),CK364,VLOOKUP(G364,NGPREVPRICES,4,FALSE),HLOOKUP(D364,PREVVOLS,VLOOKUP(G364,MOVE_DOWN2,2,FALSE),FALSE),VLOOKUP(G364,NGPREVPRICES,3,FALSE),HLOOKUP(D364,Correllate,VLOOKUP(G364,CorMove,2,FALSE),FALSE),Q364-$CD$3,R364,$CJ$5)*H364</f>
        <v>95420.99629297317</v>
      </c>
      <c r="CK364" s="235">
        <f t="shared" ref="CK364:CK379" si="433">I364</f>
        <v>1.33</v>
      </c>
      <c r="CM364" t="str">
        <f t="shared" ref="CM364:CM379" si="434">CONCATENATE(CC364,$CD$6)</f>
        <v>37196Curve Shift/Gamma</v>
      </c>
      <c r="CN364" t="str">
        <f t="shared" si="356"/>
        <v>37196Rho</v>
      </c>
      <c r="CO364" t="str">
        <f t="shared" si="357"/>
        <v>37196Drift</v>
      </c>
      <c r="CP364" t="str">
        <f t="shared" si="358"/>
        <v>37196Vega</v>
      </c>
      <c r="CQ364" t="str">
        <f t="shared" si="359"/>
        <v>37196Theta</v>
      </c>
    </row>
    <row r="365" spans="1:95" x14ac:dyDescent="0.25">
      <c r="A365" s="382" t="s">
        <v>279</v>
      </c>
      <c r="B365" t="s">
        <v>250</v>
      </c>
      <c r="C365" t="s">
        <v>455</v>
      </c>
      <c r="D365" s="4" t="s">
        <v>7</v>
      </c>
      <c r="E365" t="s">
        <v>20</v>
      </c>
      <c r="F365" t="s">
        <v>1</v>
      </c>
      <c r="G365" s="5">
        <v>37316</v>
      </c>
      <c r="H365" s="130">
        <v>500000</v>
      </c>
      <c r="I365">
        <v>1.33</v>
      </c>
      <c r="J365" s="53">
        <f t="shared" si="381"/>
        <v>3.605</v>
      </c>
      <c r="K365" s="7">
        <f t="shared" si="382"/>
        <v>0.99</v>
      </c>
      <c r="L365" s="53">
        <f t="shared" si="383"/>
        <v>4.5949999999999998</v>
      </c>
      <c r="M365" s="157">
        <f t="shared" si="423"/>
        <v>6.9499863695118999E-2</v>
      </c>
      <c r="N365" s="4">
        <f t="shared" si="424"/>
        <v>0.36499999999999999</v>
      </c>
      <c r="O365" s="4">
        <f t="shared" si="425"/>
        <v>0.40200000000000002</v>
      </c>
      <c r="P365" s="9">
        <f t="shared" si="426"/>
        <v>0.95</v>
      </c>
      <c r="Q365" s="5">
        <f t="shared" si="375"/>
        <v>37314</v>
      </c>
      <c r="R365" s="4">
        <f t="shared" si="427"/>
        <v>0</v>
      </c>
      <c r="S365" s="158">
        <f>_xll.xSPRDOPT($L365,$J365,$I365,$M365,$O365,$N365,$P365,$Q365-$C$3,$R365,0)</f>
        <v>0.52487563510849156</v>
      </c>
      <c r="T365" s="159">
        <f>_xll.xSPRDOPT($L365,$J365,$I365,$M365,$O365,$N365,$P365,$Q365-$C$3,$R365,1)*H365</f>
        <v>-262259.57685938681</v>
      </c>
      <c r="U365" s="160">
        <f t="shared" si="428"/>
        <v>262437.81755424576</v>
      </c>
      <c r="V365" s="159">
        <f>_xll.xSPRDOPT($L365,$J365,$I365,$M365,$O365,$N365,$P365,$Q365-$C$3,$R365,2)*H365</f>
        <v>285028.23713053233</v>
      </c>
      <c r="W365" s="159">
        <f t="shared" si="429"/>
        <v>22768.66027114552</v>
      </c>
      <c r="X365" s="51" t="str">
        <f t="shared" si="420"/>
        <v>37316IF-TRANSCO/Z6</v>
      </c>
      <c r="Y365" s="418">
        <f t="shared" si="421"/>
        <v>50</v>
      </c>
      <c r="Z365" s="456">
        <f t="shared" si="422"/>
        <v>-0.52451915371877367</v>
      </c>
      <c r="AA365" s="456">
        <f>_xll.xSPRDOPT($L365,$J365,$I365,$M365,$O365,$N365,$P365,$Q365-$C$3,$R365,3)</f>
        <v>0.38320707996609643</v>
      </c>
      <c r="AB365" s="456">
        <f>((_xll.xSPRDOPT($L365+AB$5,$J365,$I365,$M365,$O365,$N365,$P365,$Q365-$C$3,$R365,3)*$H365)/10000)/100</f>
        <v>0.19160353998304822</v>
      </c>
      <c r="AC365" s="456">
        <f>((_xll.xSPRDOPT($L365+$AB$5,$J365,$I365,$M365,$O365,$N365,$P365,$Q365-$C$3,$R365,7)*$H365)/100)</f>
        <v>-6773.9431054028528</v>
      </c>
      <c r="AD365" s="456">
        <f>(_xll.xSPRDOPT($L365+$AB$5,$J365,$I365,$M365,$O365,$N365,$P365,$Q365-$C$3,$R365,9)/365)*$H365</f>
        <v>-99.677975907793183</v>
      </c>
      <c r="AE365">
        <f t="shared" si="379"/>
        <v>0</v>
      </c>
      <c r="AF365" s="456">
        <f t="shared" si="380"/>
        <v>4482.2973728460747</v>
      </c>
      <c r="AG365" s="456">
        <f>((_xll.xSPRDOPT($L365,$J365,$I365,$M365,$O365,$N365,$P365,$Q365-$C$3,$R365,6)*$H365)/100)</f>
        <v>-4711.3692587297228</v>
      </c>
      <c r="AH365" s="456">
        <f>((_xll.xSPRDOPT($L365,$J365,$I365,$M365,$O365,$N365,$P365,$Q365-$C$3,$R365,5)*$H365)/100)</f>
        <v>8347.4833843909601</v>
      </c>
      <c r="AI365" s="456">
        <f>(((_xll.xSPRDOPT($L365,$J365,$I365,$M365,$O365,$N365,$P365,$Q365-$C$3,$R365,4)*$H365)/10000)/100)-AB365</f>
        <v>-9.7412402286604638E-3</v>
      </c>
      <c r="AJ365" s="456"/>
      <c r="AK365" s="456"/>
      <c r="AL365" s="456"/>
      <c r="AM365" s="472"/>
      <c r="CC365" s="141">
        <f t="shared" si="430"/>
        <v>37316</v>
      </c>
      <c r="CD365" s="234">
        <f>_xll.xSPRDOPT((VLOOKUP(G365,NGPrices,2,FALSE)+HLOOKUP(D365,Prices,VLOOKUP(G365,move_down,2,FALSE),FALSE)),VLOOKUP(G365,NGPrices,2,FALSE),I365,VLOOKUP(G365,NGPREVPRICES,4,FALSE),HLOOKUP(D365,PREVVOLS,VLOOKUP(G365,MOVE_DOWN2,2,FALSE),FALSE),VLOOKUP(G365,NGPREVPRICES,3,FALSE),HLOOKUP(D365,Correllate,VLOOKUP(G365,CorMove,2,FALSE),FALSE),Q365-$CD$3,R365,$CD$5)*H365-CJ365</f>
        <v>0</v>
      </c>
      <c r="CE365" s="234">
        <f>_xll.xSPRDOPT((VLOOKUP(G365,NGPREVPRICES,2,FALSE)+HLOOKUP(D365,PREVCURVES,VLOOKUP(G365,MOVE_DOWN2,2,FALSE),FALSE)),VLOOKUP(G365,NGPREVPRICES,2,FALSE),CK365,VLOOKUP(G365,NGPrices,4,FALSE),HLOOKUP(D365,PREVVOLS,VLOOKUP(G365,MOVE_DOWN2,2,FALSE),FALSE),VLOOKUP(G365,NGPREVPRICES,3,FALSE),HLOOKUP(D365,Correllate,VLOOKUP(G365,CorMove,2,FALSE),FALSE),Q365-$CD$3,R365,$CJ$5)*H365-CJ365</f>
        <v>0</v>
      </c>
      <c r="CF365" s="10">
        <f t="shared" si="431"/>
        <v>-54.262619064887986</v>
      </c>
      <c r="CG365" s="234">
        <f>_xll.xSPRDOPT((VLOOKUP(G365,NGPREVPRICES,2,FALSE)+HLOOKUP(D365,PREVCURVES,VLOOKUP(G365,MOVE_DOWN2,2,FALSE),FALSE)),VLOOKUP(G365,NGPREVPRICES,2,FALSE),CK365,VLOOKUP(G365,NGPREVPRICES,4,FALSE),HLOOKUP(D365,VOLS,VLOOKUP(G365,move_down,2,FALSE),FALSE),VLOOKUP(G365,NGPrices,3,FALSE),HLOOKUP(D365,Correllate,VLOOKUP(G365,CorMove,2,FALSE),FALSE),Q365-$CD$3,R365,$CJ$5)*H365-CJ365</f>
        <v>0</v>
      </c>
      <c r="CH365" s="234">
        <f>_xll.xSPRDOPT((VLOOKUP(G365,NGPREVPRICES,2,FALSE)+HLOOKUP(D365,PREVCURVES,VLOOKUP(G365,MOVE_DOWN2,2,FALSE),FALSE)),VLOOKUP(G365,NGPREVPRICES,2,FALSE),CK365,VLOOKUP(G365,NGPREVPRICES,4,FALSE),HLOOKUP(D365,PREVVOLS,VLOOKUP(G365,MOVE_DOWN2,2,FALSE),FALSE),VLOOKUP(G365,NGPREVPRICES,3,FALSE),HLOOKUP(D365,Correllate,VLOOKUP(G365,CorMove,2,FALSE),FALSE),Q365-$C$3,R365,$CJ$5)*H365-CJ365</f>
        <v>-99.524329823965672</v>
      </c>
      <c r="CI365" s="234">
        <f t="shared" si="432"/>
        <v>-153.78694888885366</v>
      </c>
      <c r="CJ365" s="234">
        <f>_xll.xSPRDOPT((VLOOKUP(G365,NGPREVPRICES,2,FALSE)+HLOOKUP(D365,PREVCURVES,VLOOKUP(G365,MOVE_DOWN2,2,FALSE),FALSE)),VLOOKUP(G365,NGPREVPRICES,2,FALSE),CK365,VLOOKUP(G365,NGPREVPRICES,4,FALSE),HLOOKUP(D365,PREVVOLS,VLOOKUP(G365,MOVE_DOWN2,2,FALSE),FALSE),VLOOKUP(G365,NGPREVPRICES,3,FALSE),HLOOKUP(D365,Correllate,VLOOKUP(G365,CorMove,2,FALSE),FALSE),Q365-$CD$3,R365,$CJ$5)*H365</f>
        <v>262537.34188406973</v>
      </c>
      <c r="CK365" s="235">
        <f t="shared" si="433"/>
        <v>1.33</v>
      </c>
      <c r="CM365" t="str">
        <f t="shared" si="434"/>
        <v>37316Curve Shift/Gamma</v>
      </c>
      <c r="CN365" t="str">
        <f t="shared" si="356"/>
        <v>37316Rho</v>
      </c>
      <c r="CO365" t="str">
        <f t="shared" si="357"/>
        <v>37316Drift</v>
      </c>
      <c r="CP365" t="str">
        <f t="shared" si="358"/>
        <v>37316Vega</v>
      </c>
      <c r="CQ365" t="str">
        <f t="shared" si="359"/>
        <v>37316Theta</v>
      </c>
    </row>
    <row r="366" spans="1:95" x14ac:dyDescent="0.25">
      <c r="A366" s="382" t="s">
        <v>279</v>
      </c>
      <c r="B366" t="s">
        <v>250</v>
      </c>
      <c r="C366" t="s">
        <v>455</v>
      </c>
      <c r="D366" s="4" t="s">
        <v>7</v>
      </c>
      <c r="E366" t="s">
        <v>20</v>
      </c>
      <c r="F366" t="s">
        <v>1</v>
      </c>
      <c r="G366" s="5">
        <v>37288</v>
      </c>
      <c r="H366" s="130">
        <v>500000</v>
      </c>
      <c r="I366">
        <v>1.33</v>
      </c>
      <c r="J366" s="53">
        <f t="shared" si="381"/>
        <v>3.77</v>
      </c>
      <c r="K366" s="7">
        <f t="shared" si="382"/>
        <v>1.56</v>
      </c>
      <c r="L366" s="53">
        <f t="shared" si="383"/>
        <v>5.33</v>
      </c>
      <c r="M366" s="157">
        <f t="shared" si="423"/>
        <v>6.9453688628792004E-2</v>
      </c>
      <c r="N366" s="4">
        <f t="shared" si="424"/>
        <v>0.39500000000000002</v>
      </c>
      <c r="O366" s="4">
        <f t="shared" si="425"/>
        <v>0.435</v>
      </c>
      <c r="P366" s="9">
        <f t="shared" si="426"/>
        <v>0.95</v>
      </c>
      <c r="Q366" s="5">
        <f t="shared" si="375"/>
        <v>37286</v>
      </c>
      <c r="R366" s="4">
        <f t="shared" si="427"/>
        <v>0</v>
      </c>
      <c r="S366" s="158">
        <f>_xll.xSPRDOPT($L366,$J366,$I366,$M366,$O366,$N366,$P366,$Q366-$C$3,$R366,0)</f>
        <v>0.31480964561579516</v>
      </c>
      <c r="T366" s="159">
        <f>_xll.xSPRDOPT($L366,$J366,$I366,$M366,$O366,$N366,$P366,$Q366-$C$3,$R366,1)*H366</f>
        <v>-163624.61519825773</v>
      </c>
      <c r="U366" s="160">
        <f t="shared" si="428"/>
        <v>157404.82280789758</v>
      </c>
      <c r="V366" s="159">
        <f>_xll.xSPRDOPT($L366,$J366,$I366,$M366,$O366,$N366,$P366,$Q366-$C$3,$R366,2)*H366</f>
        <v>187140.18281777768</v>
      </c>
      <c r="W366" s="159">
        <f t="shared" si="429"/>
        <v>23515.567619519948</v>
      </c>
      <c r="X366" s="51" t="str">
        <f t="shared" si="420"/>
        <v>37288IF-TRANSCO/Z6</v>
      </c>
      <c r="Y366" s="418">
        <f t="shared" si="421"/>
        <v>50</v>
      </c>
      <c r="Z366" s="456">
        <f t="shared" si="422"/>
        <v>-0.32724923039651543</v>
      </c>
      <c r="AA366" s="456">
        <f>_xll.xSPRDOPT($L366,$J366,$I366,$M366,$O366,$N366,$P366,$Q366-$C$3,$R366,3)</f>
        <v>0.29356439399802653</v>
      </c>
      <c r="AB366" s="456">
        <f>((_xll.xSPRDOPT($L366+AB$5,$J366,$I366,$M366,$O366,$N366,$P366,$Q366-$C$3,$R366,3)*$H366)/10000)/100</f>
        <v>0.14678219699901329</v>
      </c>
      <c r="AC366" s="456">
        <f>((_xll.xSPRDOPT($L366+$AB$5,$J366,$I366,$M366,$O366,$N366,$P366,$Q366-$C$3,$R366,7)*$H366)/100)</f>
        <v>-7552.3907349388055</v>
      </c>
      <c r="AD366" s="456">
        <f>(_xll.xSPRDOPT($L366+$AB$5,$J366,$I366,$M366,$O366,$N366,$P366,$Q366-$C$3,$R366,9)/365)*$H366</f>
        <v>-161.96265190978755</v>
      </c>
      <c r="AE366">
        <f t="shared" si="379"/>
        <v>0</v>
      </c>
      <c r="AF366" s="456">
        <f t="shared" si="380"/>
        <v>5039.763950882596</v>
      </c>
      <c r="AG366" s="456">
        <f>((_xll.xSPRDOPT($L366,$J366,$I366,$M366,$O366,$N366,$P366,$Q366-$C$3,$R366,6)*$H366)/100)</f>
        <v>-5181.0711811670153</v>
      </c>
      <c r="AH366" s="456">
        <f>((_xll.xSPRDOPT($L366,$J366,$I366,$M366,$O366,$N366,$P366,$Q366-$C$3,$R366,5)*$H366)/100)</f>
        <v>9280.9882233553944</v>
      </c>
      <c r="AI366" s="456">
        <f>(((_xll.xSPRDOPT($L366,$J366,$I366,$M366,$O366,$N366,$P366,$Q366-$C$3,$R366,4)*$H366)/10000)/100)-AB366</f>
        <v>1.5965974983129405E-2</v>
      </c>
      <c r="AJ366" s="456"/>
      <c r="AK366" s="456"/>
      <c r="AL366" s="456"/>
      <c r="AM366" s="472"/>
      <c r="CC366" s="141">
        <f t="shared" si="430"/>
        <v>37288</v>
      </c>
      <c r="CD366" s="234">
        <f>_xll.xSPRDOPT((VLOOKUP(G366,NGPrices,2,FALSE)+HLOOKUP(D366,Prices,VLOOKUP(G366,move_down,2,FALSE),FALSE)),VLOOKUP(G366,NGPrices,2,FALSE),I366,VLOOKUP(G366,NGPREVPRICES,4,FALSE),HLOOKUP(D366,PREVVOLS,VLOOKUP(G366,MOVE_DOWN2,2,FALSE),FALSE),VLOOKUP(G366,NGPREVPRICES,3,FALSE),HLOOKUP(D366,Correllate,VLOOKUP(G366,CorMove,2,FALSE),FALSE),Q366-$CD$3,R366,$CD$5)*H366-CJ366</f>
        <v>0</v>
      </c>
      <c r="CE366" s="234">
        <f>_xll.xSPRDOPT((VLOOKUP(G366,NGPREVPRICES,2,FALSE)+HLOOKUP(D366,PREVCURVES,VLOOKUP(G366,MOVE_DOWN2,2,FALSE),FALSE)),VLOOKUP(G366,NGPREVPRICES,2,FALSE),CK366,VLOOKUP(G366,NGPrices,4,FALSE),HLOOKUP(D366,PREVVOLS,VLOOKUP(G366,MOVE_DOWN2,2,FALSE),FALSE),VLOOKUP(G366,NGPREVPRICES,3,FALSE),HLOOKUP(D366,Correllate,VLOOKUP(G366,CorMove,2,FALSE),FALSE),Q366-$CD$3,R366,$CJ$5)*H366-CJ366</f>
        <v>0</v>
      </c>
      <c r="CF366" s="10">
        <f t="shared" si="431"/>
        <v>-32.381739168515196</v>
      </c>
      <c r="CG366" s="234">
        <f>_xll.xSPRDOPT((VLOOKUP(G366,NGPREVPRICES,2,FALSE)+HLOOKUP(D366,PREVCURVES,VLOOKUP(G366,MOVE_DOWN2,2,FALSE),FALSE)),VLOOKUP(G366,NGPREVPRICES,2,FALSE),CK366,VLOOKUP(G366,NGPREVPRICES,4,FALSE),HLOOKUP(D366,VOLS,VLOOKUP(G366,move_down,2,FALSE),FALSE),VLOOKUP(G366,NGPrices,3,FALSE),HLOOKUP(D366,Correllate,VLOOKUP(G366,CorMove,2,FALSE),FALSE),Q366-$CD$3,R366,$CJ$5)*H366-CJ366</f>
        <v>0</v>
      </c>
      <c r="CH366" s="234">
        <f>_xll.xSPRDOPT((VLOOKUP(G366,NGPREVPRICES,2,FALSE)+HLOOKUP(D366,PREVCURVES,VLOOKUP(G366,MOVE_DOWN2,2,FALSE),FALSE)),VLOOKUP(G366,NGPREVPRICES,2,FALSE),CK366,VLOOKUP(G366,NGPREVPRICES,4,FALSE),HLOOKUP(D366,PREVVOLS,VLOOKUP(G366,MOVE_DOWN2,2,FALSE),FALSE),VLOOKUP(G366,NGPREVPRICES,3,FALSE),HLOOKUP(D366,Correllate,VLOOKUP(G366,CorMove,2,FALSE),FALSE),Q366-$C$3,R366,$CJ$5)*H366-CJ366</f>
        <v>-161.72682998838718</v>
      </c>
      <c r="CI366" s="234">
        <f t="shared" si="432"/>
        <v>-194.10856915690238</v>
      </c>
      <c r="CJ366" s="234">
        <f>_xll.xSPRDOPT((VLOOKUP(G366,NGPREVPRICES,2,FALSE)+HLOOKUP(D366,PREVCURVES,VLOOKUP(G366,MOVE_DOWN2,2,FALSE),FALSE)),VLOOKUP(G366,NGPREVPRICES,2,FALSE),CK366,VLOOKUP(G366,NGPREVPRICES,4,FALSE),HLOOKUP(D366,PREVVOLS,VLOOKUP(G366,MOVE_DOWN2,2,FALSE),FALSE),VLOOKUP(G366,NGPREVPRICES,3,FALSE),HLOOKUP(D366,Correllate,VLOOKUP(G366,CorMove,2,FALSE),FALSE),Q366-$CD$3,R366,$CJ$5)*H366</f>
        <v>157566.54963788597</v>
      </c>
      <c r="CK366" s="235">
        <f t="shared" si="433"/>
        <v>1.33</v>
      </c>
      <c r="CM366" t="str">
        <f t="shared" si="434"/>
        <v>37288Curve Shift/Gamma</v>
      </c>
      <c r="CN366" t="str">
        <f t="shared" ref="CN366:CN429" si="435">CONCATENATE($CC366,$CE$6)</f>
        <v>37288Rho</v>
      </c>
      <c r="CO366" t="str">
        <f t="shared" ref="CO366:CO429" si="436">CONCATENATE($CC366,$CF$6)</f>
        <v>37288Drift</v>
      </c>
      <c r="CP366" t="str">
        <f t="shared" ref="CP366:CP429" si="437">CONCATENATE($CC366,$CG$6)</f>
        <v>37288Vega</v>
      </c>
      <c r="CQ366" t="str">
        <f t="shared" ref="CQ366:CQ429" si="438">CONCATENATE($CC366,$CH$6)</f>
        <v>37288Theta</v>
      </c>
    </row>
    <row r="367" spans="1:95" x14ac:dyDescent="0.25">
      <c r="A367" s="382" t="s">
        <v>279</v>
      </c>
      <c r="B367" t="s">
        <v>250</v>
      </c>
      <c r="C367" t="s">
        <v>455</v>
      </c>
      <c r="D367" s="4" t="s">
        <v>7</v>
      </c>
      <c r="E367" t="s">
        <v>20</v>
      </c>
      <c r="F367" t="s">
        <v>1</v>
      </c>
      <c r="G367" s="5">
        <v>37257</v>
      </c>
      <c r="H367" s="130">
        <v>500000</v>
      </c>
      <c r="I367">
        <v>1.33</v>
      </c>
      <c r="J367" s="53">
        <f t="shared" si="381"/>
        <v>3.94</v>
      </c>
      <c r="K367" s="7">
        <f t="shared" si="382"/>
        <v>1.56</v>
      </c>
      <c r="L367" s="53">
        <f t="shared" si="383"/>
        <v>5.5</v>
      </c>
      <c r="M367" s="157">
        <f t="shared" si="423"/>
        <v>6.9402566234750995E-2</v>
      </c>
      <c r="N367" s="4">
        <f t="shared" si="424"/>
        <v>0.41249999999999998</v>
      </c>
      <c r="O367" s="4">
        <f t="shared" si="425"/>
        <v>0.45400000000000001</v>
      </c>
      <c r="P367" s="9">
        <f t="shared" si="426"/>
        <v>0.95</v>
      </c>
      <c r="Q367" s="5">
        <f t="shared" si="375"/>
        <v>37253</v>
      </c>
      <c r="R367" s="4">
        <f t="shared" si="427"/>
        <v>0</v>
      </c>
      <c r="S367" s="158">
        <f>_xll.xSPRDOPT($L367,$J367,$I367,$M367,$O367,$N367,$P367,$Q367-$C$3,$R367,0)</f>
        <v>0.32872323593159125</v>
      </c>
      <c r="T367" s="159">
        <f>_xll.xSPRDOPT($L367,$J367,$I367,$M367,$O367,$N367,$P367,$Q367-$C$3,$R367,1)*H367</f>
        <v>-165940.19349644324</v>
      </c>
      <c r="U367" s="160">
        <f t="shared" si="428"/>
        <v>164361.61796579562</v>
      </c>
      <c r="V367" s="159">
        <f>_xll.xSPRDOPT($L367,$J367,$I367,$M367,$O367,$N367,$P367,$Q367-$C$3,$R367,2)*H367</f>
        <v>190110.8197311619</v>
      </c>
      <c r="W367" s="159">
        <f t="shared" si="429"/>
        <v>24170.626234718657</v>
      </c>
      <c r="X367" s="51" t="str">
        <f t="shared" si="420"/>
        <v>37257IF-TRANSCO/Z6</v>
      </c>
      <c r="Y367" s="418">
        <f t="shared" si="421"/>
        <v>50</v>
      </c>
      <c r="Z367" s="456">
        <f t="shared" si="422"/>
        <v>-0.33188038699288647</v>
      </c>
      <c r="AA367" s="456">
        <f>_xll.xSPRDOPT($L367,$J367,$I367,$M367,$O367,$N367,$P367,$Q367-$C$3,$R367,3)</f>
        <v>0.28808390499398495</v>
      </c>
      <c r="AB367" s="456">
        <f>((_xll.xSPRDOPT($L367+AB$5,$J367,$I367,$M367,$O367,$N367,$P367,$Q367-$C$3,$R367,3)*$H367)/10000)/100</f>
        <v>0.14404195249699248</v>
      </c>
      <c r="AC367" s="456">
        <f>((_xll.xSPRDOPT($L367+$AB$5,$J367,$I367,$M367,$O367,$N367,$P367,$Q367-$C$3,$R367,7)*$H367)/100)</f>
        <v>-8152.3879943571974</v>
      </c>
      <c r="AD367" s="456">
        <f>(_xll.xSPRDOPT($L367+$AB$5,$J367,$I367,$M367,$O367,$N367,$P367,$Q367-$C$3,$R367,9)/365)*$H367</f>
        <v>-181.42146522594498</v>
      </c>
      <c r="AE367">
        <f t="shared" si="379"/>
        <v>0</v>
      </c>
      <c r="AF367" s="456">
        <f t="shared" si="380"/>
        <v>5007.9390052483877</v>
      </c>
      <c r="AG367" s="456">
        <f>((_xll.xSPRDOPT($L367,$J367,$I367,$M367,$O367,$N367,$P367,$Q367-$C$3,$R367,6)*$H367)/100)</f>
        <v>-5186.8211302966347</v>
      </c>
      <c r="AH367" s="456">
        <f>((_xll.xSPRDOPT($L367,$J367,$I367,$M367,$O367,$N367,$P367,$Q367-$C$3,$R367,5)*$H367)/100)</f>
        <v>9262.8602553134824</v>
      </c>
      <c r="AI367" s="456">
        <f>(((_xll.xSPRDOPT($L367,$J367,$I367,$M367,$O367,$N367,$P367,$Q367-$C$3,$R367,4)*$H367)/10000)/100)-AB367</f>
        <v>1.5438005524230497E-2</v>
      </c>
      <c r="AJ367" s="456"/>
      <c r="AK367" s="456"/>
      <c r="AL367" s="456"/>
      <c r="AM367" s="472"/>
      <c r="CC367" s="141">
        <f t="shared" si="430"/>
        <v>37257</v>
      </c>
      <c r="CD367" s="234">
        <f>_xll.xSPRDOPT((VLOOKUP(G367,NGPrices,2,FALSE)+HLOOKUP(D367,Prices,VLOOKUP(G367,move_down,2,FALSE),FALSE)),VLOOKUP(G367,NGPrices,2,FALSE),I367,VLOOKUP(G367,NGPREVPRICES,4,FALSE),HLOOKUP(D367,PREVVOLS,VLOOKUP(G367,MOVE_DOWN2,2,FALSE),FALSE),VLOOKUP(G367,NGPREVPRICES,3,FALSE),HLOOKUP(D367,Correllate,VLOOKUP(G367,CorMove,2,FALSE),FALSE),Q367-$CD$3,R367,$CD$5)*H367-CJ367</f>
        <v>0</v>
      </c>
      <c r="CE367" s="234">
        <f>_xll.xSPRDOPT((VLOOKUP(G367,NGPREVPRICES,2,FALSE)+HLOOKUP(D367,PREVCURVES,VLOOKUP(G367,MOVE_DOWN2,2,FALSE),FALSE)),VLOOKUP(G367,NGPREVPRICES,2,FALSE),CK367,VLOOKUP(G367,NGPrices,4,FALSE),HLOOKUP(D367,PREVVOLS,VLOOKUP(G367,MOVE_DOWN2,2,FALSE),FALSE),VLOOKUP(G367,NGPREVPRICES,3,FALSE),HLOOKUP(D367,Correllate,VLOOKUP(G367,CorMove,2,FALSE),FALSE),Q367-$CD$3,R367,$CJ$5)*H367-CJ367</f>
        <v>0</v>
      </c>
      <c r="CF367" s="10">
        <f t="shared" si="431"/>
        <v>-33.603041235735873</v>
      </c>
      <c r="CG367" s="234">
        <f>_xll.xSPRDOPT((VLOOKUP(G367,NGPREVPRICES,2,FALSE)+HLOOKUP(D367,PREVCURVES,VLOOKUP(G367,MOVE_DOWN2,2,FALSE),FALSE)),VLOOKUP(G367,NGPREVPRICES,2,FALSE),CK367,VLOOKUP(G367,NGPREVPRICES,4,FALSE),HLOOKUP(D367,VOLS,VLOOKUP(G367,move_down,2,FALSE),FALSE),VLOOKUP(G367,NGPrices,3,FALSE),HLOOKUP(D367,Correllate,VLOOKUP(G367,CorMove,2,FALSE),FALSE),Q367-$CD$3,R367,$CJ$5)*H367-CJ367</f>
        <v>0</v>
      </c>
      <c r="CH367" s="234">
        <f>_xll.xSPRDOPT((VLOOKUP(G367,NGPREVPRICES,2,FALSE)+HLOOKUP(D367,PREVCURVES,VLOOKUP(G367,MOVE_DOWN2,2,FALSE),FALSE)),VLOOKUP(G367,NGPREVPRICES,2,FALSE),CK367,VLOOKUP(G367,NGPREVPRICES,4,FALSE),HLOOKUP(D367,PREVVOLS,VLOOKUP(G367,MOVE_DOWN2,2,FALSE),FALSE),VLOOKUP(G367,NGPREVPRICES,3,FALSE),HLOOKUP(D367,Correllate,VLOOKUP(G367,CorMove,2,FALSE),FALSE),Q367-$C$3,R367,$CJ$5)*H367-CJ367</f>
        <v>-181.15170113663771</v>
      </c>
      <c r="CI367" s="234">
        <f t="shared" si="432"/>
        <v>-214.75474237237358</v>
      </c>
      <c r="CJ367" s="234">
        <f>_xll.xSPRDOPT((VLOOKUP(G367,NGPREVPRICES,2,FALSE)+HLOOKUP(D367,PREVCURVES,VLOOKUP(G367,MOVE_DOWN2,2,FALSE),FALSE)),VLOOKUP(G367,NGPREVPRICES,2,FALSE),CK367,VLOOKUP(G367,NGPREVPRICES,4,FALSE),HLOOKUP(D367,PREVVOLS,VLOOKUP(G367,MOVE_DOWN2,2,FALSE),FALSE),VLOOKUP(G367,NGPREVPRICES,3,FALSE),HLOOKUP(D367,Correllate,VLOOKUP(G367,CorMove,2,FALSE),FALSE),Q367-$CD$3,R367,$CJ$5)*H367</f>
        <v>164542.76966693226</v>
      </c>
      <c r="CK367" s="235">
        <f t="shared" si="433"/>
        <v>1.33</v>
      </c>
      <c r="CM367" t="str">
        <f t="shared" si="434"/>
        <v>37257Curve Shift/Gamma</v>
      </c>
      <c r="CN367" t="str">
        <f t="shared" si="435"/>
        <v>37257Rho</v>
      </c>
      <c r="CO367" t="str">
        <f t="shared" si="436"/>
        <v>37257Drift</v>
      </c>
      <c r="CP367" t="str">
        <f t="shared" si="437"/>
        <v>37257Vega</v>
      </c>
      <c r="CQ367" t="str">
        <f t="shared" si="438"/>
        <v>37257Theta</v>
      </c>
    </row>
    <row r="368" spans="1:95" x14ac:dyDescent="0.25">
      <c r="A368" s="382" t="s">
        <v>279</v>
      </c>
      <c r="B368" t="s">
        <v>250</v>
      </c>
      <c r="C368" t="s">
        <v>455</v>
      </c>
      <c r="D368" s="4" t="s">
        <v>7</v>
      </c>
      <c r="E368" t="s">
        <v>20</v>
      </c>
      <c r="F368" t="s">
        <v>1</v>
      </c>
      <c r="G368" s="5">
        <v>37226</v>
      </c>
      <c r="H368" s="130">
        <v>500000</v>
      </c>
      <c r="I368">
        <v>1.33</v>
      </c>
      <c r="J368" s="53">
        <f t="shared" si="381"/>
        <v>3.968</v>
      </c>
      <c r="K368" s="7">
        <f t="shared" si="382"/>
        <v>1.31</v>
      </c>
      <c r="L368" s="53">
        <f t="shared" si="383"/>
        <v>5.2780000000000005</v>
      </c>
      <c r="M368" s="157">
        <f t="shared" si="423"/>
        <v>6.9362858204931002E-2</v>
      </c>
      <c r="N368" s="4">
        <f t="shared" si="424"/>
        <v>0.40749999999999997</v>
      </c>
      <c r="O368" s="4">
        <f t="shared" si="425"/>
        <v>0.44800000000000001</v>
      </c>
      <c r="P368" s="9">
        <f t="shared" si="426"/>
        <v>0.95</v>
      </c>
      <c r="Q368" s="5">
        <f t="shared" si="375"/>
        <v>37224</v>
      </c>
      <c r="R368" s="4">
        <f t="shared" si="427"/>
        <v>0</v>
      </c>
      <c r="S368" s="158">
        <f>_xll.xSPRDOPT($L368,$J368,$I368,$M368,$O368,$N368,$P368,$Q368-$C$3,$R368,0)</f>
        <v>0.40664093359162989</v>
      </c>
      <c r="T368" s="159">
        <f>_xll.xSPRDOPT($L368,$J368,$I368,$M368,$O368,$N368,$P368,$Q368-$C$3,$R368,1)*H368</f>
        <v>-206760.24205380154</v>
      </c>
      <c r="U368" s="160">
        <f t="shared" si="428"/>
        <v>203320.46679581495</v>
      </c>
      <c r="V368" s="159">
        <f>_xll.xSPRDOPT($L368,$J368,$I368,$M368,$O368,$N368,$P368,$Q368-$C$3,$R368,2)*H368</f>
        <v>231178.2493774216</v>
      </c>
      <c r="W368" s="159">
        <f t="shared" si="429"/>
        <v>24418.007323620055</v>
      </c>
      <c r="X368" s="51" t="str">
        <f t="shared" si="420"/>
        <v>37226IF-TRANSCO/Z6</v>
      </c>
      <c r="Y368" s="418">
        <f t="shared" si="421"/>
        <v>50</v>
      </c>
      <c r="Z368" s="456">
        <f t="shared" si="422"/>
        <v>-0.41352048410760306</v>
      </c>
      <c r="AA368" s="456">
        <f>_xll.xSPRDOPT($L368,$J368,$I368,$M368,$O368,$N368,$P368,$Q368-$C$3,$R368,3)</f>
        <v>0.3389311566571952</v>
      </c>
      <c r="AB368" s="456">
        <f>((_xll.xSPRDOPT($L368+AB$5,$J368,$I368,$M368,$O368,$N368,$P368,$Q368-$C$3,$R368,3)*$H368)/10000)/100</f>
        <v>0.1694655783285976</v>
      </c>
      <c r="AC368" s="456">
        <f>((_xll.xSPRDOPT($L368+$AB$5,$J368,$I368,$M368,$O368,$N368,$P368,$Q368-$C$3,$R368,7)*$H368)/100)</f>
        <v>-8227.3076380888033</v>
      </c>
      <c r="AD368" s="456">
        <f>(_xll.xSPRDOPT($L368+$AB$5,$J368,$I368,$M368,$O368,$N368,$P368,$Q368-$C$3,$R368,9)/365)*$H368</f>
        <v>-177.1168955348937</v>
      </c>
      <c r="AE368">
        <f t="shared" si="379"/>
        <v>0</v>
      </c>
      <c r="AF368" s="456">
        <f t="shared" si="380"/>
        <v>4835.9520202161948</v>
      </c>
      <c r="AG368" s="456">
        <f>((_xll.xSPRDOPT($L368,$J368,$I368,$M368,$O368,$N368,$P368,$Q368-$C$3,$R368,6)*$H368)/100)</f>
        <v>-5075.8922055601852</v>
      </c>
      <c r="AH368" s="456">
        <f>((_xll.xSPRDOPT($L368,$J368,$I368,$M368,$O368,$N368,$P368,$Q368-$C$3,$R368,5)*$H368)/100)</f>
        <v>9015.7958080443623</v>
      </c>
      <c r="AI368" s="456">
        <f>(((_xll.xSPRDOPT($L368,$J368,$I368,$M368,$O368,$N368,$P368,$Q368-$C$3,$R368,4)*$H368)/10000)/100)-AB368</f>
        <v>6.2278523906366678E-3</v>
      </c>
      <c r="AJ368" s="456"/>
      <c r="AK368" s="456"/>
      <c r="AL368" s="456"/>
      <c r="AM368" s="472"/>
      <c r="CC368" s="141">
        <f t="shared" si="430"/>
        <v>37226</v>
      </c>
      <c r="CD368" s="234">
        <f>_xll.xSPRDOPT((VLOOKUP(G368,NGPrices,2,FALSE)+HLOOKUP(D368,Prices,VLOOKUP(G368,move_down,2,FALSE),FALSE)),VLOOKUP(G368,NGPrices,2,FALSE),I368,VLOOKUP(G368,NGPREVPRICES,4,FALSE),HLOOKUP(D368,PREVVOLS,VLOOKUP(G368,MOVE_DOWN2,2,FALSE),FALSE),VLOOKUP(G368,NGPREVPRICES,3,FALSE),HLOOKUP(D368,Correllate,VLOOKUP(G368,CorMove,2,FALSE),FALSE),Q368-$CD$3,R368,$CD$5)*H368-CJ368</f>
        <v>0</v>
      </c>
      <c r="CE368" s="234">
        <f>_xll.xSPRDOPT((VLOOKUP(G368,NGPREVPRICES,2,FALSE)+HLOOKUP(D368,PREVCURVES,VLOOKUP(G368,MOVE_DOWN2,2,FALSE),FALSE)),VLOOKUP(G368,NGPREVPRICES,2,FALSE),CK368,VLOOKUP(G368,NGPrices,4,FALSE),HLOOKUP(D368,PREVVOLS,VLOOKUP(G368,MOVE_DOWN2,2,FALSE),FALSE),VLOOKUP(G368,NGPREVPRICES,3,FALSE),HLOOKUP(D368,Correllate,VLOOKUP(G368,CorMove,2,FALSE),FALSE),Q368-$CD$3,R368,$CJ$5)*H368-CJ368</f>
        <v>0</v>
      </c>
      <c r="CF368" s="10">
        <f t="shared" si="431"/>
        <v>-41.303196269873297</v>
      </c>
      <c r="CG368" s="234">
        <f>_xll.xSPRDOPT((VLOOKUP(G368,NGPREVPRICES,2,FALSE)+HLOOKUP(D368,PREVCURVES,VLOOKUP(G368,MOVE_DOWN2,2,FALSE),FALSE)),VLOOKUP(G368,NGPREVPRICES,2,FALSE),CK368,VLOOKUP(G368,NGPREVPRICES,4,FALSE),HLOOKUP(D368,VOLS,VLOOKUP(G368,move_down,2,FALSE),FALSE),VLOOKUP(G368,NGPrices,3,FALSE),HLOOKUP(D368,Correllate,VLOOKUP(G368,CorMove,2,FALSE),FALSE),Q368-$CD$3,R368,$CJ$5)*H368-CJ368</f>
        <v>0</v>
      </c>
      <c r="CH368" s="234">
        <f>_xll.xSPRDOPT((VLOOKUP(G368,NGPREVPRICES,2,FALSE)+HLOOKUP(D368,PREVCURVES,VLOOKUP(G368,MOVE_DOWN2,2,FALSE),FALSE)),VLOOKUP(G368,NGPREVPRICES,2,FALSE),CK368,VLOOKUP(G368,NGPREVPRICES,4,FALSE),HLOOKUP(D368,PREVVOLS,VLOOKUP(G368,MOVE_DOWN2,2,FALSE),FALSE),VLOOKUP(G368,NGPREVPRICES,3,FALSE),HLOOKUP(D368,Correllate,VLOOKUP(G368,CorMove,2,FALSE),FALSE),Q368-$C$3,R368,$CJ$5)*H368-CJ368</f>
        <v>-176.83779769006651</v>
      </c>
      <c r="CI368" s="234">
        <f t="shared" si="432"/>
        <v>-218.14099395993981</v>
      </c>
      <c r="CJ368" s="234">
        <f>_xll.xSPRDOPT((VLOOKUP(G368,NGPREVPRICES,2,FALSE)+HLOOKUP(D368,PREVCURVES,VLOOKUP(G368,MOVE_DOWN2,2,FALSE),FALSE)),VLOOKUP(G368,NGPREVPRICES,2,FALSE),CK368,VLOOKUP(G368,NGPREVPRICES,4,FALSE),HLOOKUP(D368,PREVVOLS,VLOOKUP(G368,MOVE_DOWN2,2,FALSE),FALSE),VLOOKUP(G368,NGPREVPRICES,3,FALSE),HLOOKUP(D368,Correllate,VLOOKUP(G368,CorMove,2,FALSE),FALSE),Q368-$CD$3,R368,$CJ$5)*H368</f>
        <v>203497.30459350502</v>
      </c>
      <c r="CK368" s="235">
        <f t="shared" si="433"/>
        <v>1.33</v>
      </c>
      <c r="CM368" t="str">
        <f t="shared" si="434"/>
        <v>37226Curve Shift/Gamma</v>
      </c>
      <c r="CN368" t="str">
        <f t="shared" si="435"/>
        <v>37226Rho</v>
      </c>
      <c r="CO368" t="str">
        <f t="shared" si="436"/>
        <v>37226Drift</v>
      </c>
      <c r="CP368" t="str">
        <f t="shared" si="437"/>
        <v>37226Vega</v>
      </c>
      <c r="CQ368" t="str">
        <f t="shared" si="438"/>
        <v>37226Theta</v>
      </c>
    </row>
    <row r="369" spans="1:95" x14ac:dyDescent="0.25">
      <c r="A369" s="382" t="s">
        <v>279</v>
      </c>
      <c r="B369" t="s">
        <v>250</v>
      </c>
      <c r="C369" t="s">
        <v>455</v>
      </c>
      <c r="D369" s="4" t="s">
        <v>7</v>
      </c>
      <c r="E369" t="s">
        <v>20</v>
      </c>
      <c r="F369" t="s">
        <v>1</v>
      </c>
      <c r="G369" s="5">
        <v>37196</v>
      </c>
      <c r="H369" s="130">
        <v>500000</v>
      </c>
      <c r="I369">
        <v>1.33</v>
      </c>
      <c r="J369" s="53">
        <f t="shared" si="381"/>
        <v>3.8780000000000001</v>
      </c>
      <c r="K369" s="7">
        <f t="shared" si="382"/>
        <v>0.89</v>
      </c>
      <c r="L369" s="53">
        <f t="shared" si="383"/>
        <v>4.7679999999999998</v>
      </c>
      <c r="M369" s="157">
        <f t="shared" si="423"/>
        <v>6.9332408860558997E-2</v>
      </c>
      <c r="N369" s="4">
        <f t="shared" si="424"/>
        <v>0.40250000000000002</v>
      </c>
      <c r="O369" s="4">
        <f t="shared" si="425"/>
        <v>0.443</v>
      </c>
      <c r="P369" s="9">
        <f t="shared" si="426"/>
        <v>0.95</v>
      </c>
      <c r="Q369" s="5">
        <f t="shared" si="375"/>
        <v>37194</v>
      </c>
      <c r="R369" s="4">
        <f t="shared" si="427"/>
        <v>0</v>
      </c>
      <c r="S369" s="158">
        <f>_xll.xSPRDOPT($L369,$J369,$I369,$M369,$O369,$N369,$P369,$Q369-$C$3,$R369,0)</f>
        <v>0.59624665260965926</v>
      </c>
      <c r="T369" s="159">
        <f>_xll.xSPRDOPT($L369,$J369,$I369,$M369,$O369,$N369,$P369,$Q369-$C$3,$R369,1)*H369</f>
        <v>-288505.25980450719</v>
      </c>
      <c r="U369" s="160">
        <f t="shared" si="428"/>
        <v>298123.32630482962</v>
      </c>
      <c r="V369" s="159">
        <f>_xll.xSPRDOPT($L369,$J369,$I369,$M369,$O369,$N369,$P369,$Q369-$C$3,$R369,2)*H369</f>
        <v>310717.69921743532</v>
      </c>
      <c r="W369" s="159">
        <f t="shared" si="429"/>
        <v>22212.439412928128</v>
      </c>
      <c r="X369" s="51" t="str">
        <f t="shared" si="420"/>
        <v>37196IF-TRANSCO/Z6</v>
      </c>
      <c r="Y369" s="418">
        <f t="shared" si="421"/>
        <v>50</v>
      </c>
      <c r="Z369" s="456">
        <f t="shared" si="422"/>
        <v>-0.57701051960901439</v>
      </c>
      <c r="AA369" s="456">
        <f>_xll.xSPRDOPT($L369,$J369,$I369,$M369,$O369,$N369,$P369,$Q369-$C$3,$R369,3)</f>
        <v>0.38569078001839135</v>
      </c>
      <c r="AB369" s="456">
        <f>((_xll.xSPRDOPT($L369+AB$5,$J369,$I369,$M369,$O369,$N369,$P369,$Q369-$C$3,$R369,3)*$H369)/10000)/100</f>
        <v>0.19284539000919568</v>
      </c>
      <c r="AC369" s="456">
        <f>((_xll.xSPRDOPT($L369+$AB$5,$J369,$I369,$M369,$O369,$N369,$P369,$Q369-$C$3,$R369,7)*$H369)/100)</f>
        <v>-7110.389176338078</v>
      </c>
      <c r="AD369" s="456">
        <f>(_xll.xSPRDOPT($L369+$AB$5,$J369,$I369,$M369,$O369,$N369,$P369,$Q369-$C$3,$R369,9)/365)*$H369</f>
        <v>-131.04977388518313</v>
      </c>
      <c r="AE369">
        <f t="shared" si="379"/>
        <v>0</v>
      </c>
      <c r="AF369" s="456">
        <f t="shared" si="380"/>
        <v>3979.3297513697044</v>
      </c>
      <c r="AG369" s="456">
        <f>((_xll.xSPRDOPT($L369,$J369,$I369,$M369,$O369,$N369,$P369,$Q369-$C$3,$R369,6)*$H369)/100)</f>
        <v>-4228.0802948538903</v>
      </c>
      <c r="AH369" s="456">
        <f>((_xll.xSPRDOPT($L369,$J369,$I369,$M369,$O369,$N369,$P369,$Q369-$C$3,$R369,5)*$H369)/100)</f>
        <v>7457.0712045259515</v>
      </c>
      <c r="AI369" s="456">
        <f>(((_xll.xSPRDOPT($L369,$J369,$I369,$M369,$O369,$N369,$P369,$Q369-$C$3,$R369,4)*$H369)/10000)/100)-AB369</f>
        <v>-1.5438592625395237E-2</v>
      </c>
      <c r="AJ369" s="456"/>
      <c r="AK369" s="456"/>
      <c r="AL369" s="456"/>
      <c r="AM369" s="472"/>
      <c r="CC369" s="141">
        <f t="shared" si="430"/>
        <v>37196</v>
      </c>
      <c r="CD369" s="234">
        <f>_xll.xSPRDOPT((VLOOKUP(G369,NGPrices,2,FALSE)+HLOOKUP(D369,Prices,VLOOKUP(G369,move_down,2,FALSE),FALSE)),VLOOKUP(G369,NGPrices,2,FALSE),I369,VLOOKUP(G369,NGPREVPRICES,4,FALSE),HLOOKUP(D369,PREVVOLS,VLOOKUP(G369,MOVE_DOWN2,2,FALSE),FALSE),VLOOKUP(G369,NGPREVPRICES,3,FALSE),HLOOKUP(D369,Correllate,VLOOKUP(G369,CorMove,2,FALSE),FALSE),Q369-$CD$3,R369,$CD$5)*H369-CJ369</f>
        <v>0</v>
      </c>
      <c r="CE369" s="234">
        <f>_xll.xSPRDOPT((VLOOKUP(G369,NGPREVPRICES,2,FALSE)+HLOOKUP(D369,PREVCURVES,VLOOKUP(G369,MOVE_DOWN2,2,FALSE),FALSE)),VLOOKUP(G369,NGPREVPRICES,2,FALSE),CK369,VLOOKUP(G369,NGPrices,4,FALSE),HLOOKUP(D369,PREVVOLS,VLOOKUP(G369,MOVE_DOWN2,2,FALSE),FALSE),VLOOKUP(G369,NGPREVPRICES,3,FALSE),HLOOKUP(D369,Correllate,VLOOKUP(G369,CorMove,2,FALSE),FALSE),Q369-$CD$3,R369,$CJ$5)*H369-CJ369</f>
        <v>0</v>
      </c>
      <c r="CF369" s="10">
        <f t="shared" si="431"/>
        <v>-60.181898211245425</v>
      </c>
      <c r="CG369" s="234">
        <f>_xll.xSPRDOPT((VLOOKUP(G369,NGPREVPRICES,2,FALSE)+HLOOKUP(D369,PREVCURVES,VLOOKUP(G369,MOVE_DOWN2,2,FALSE),FALSE)),VLOOKUP(G369,NGPREVPRICES,2,FALSE),CK369,VLOOKUP(G369,NGPREVPRICES,4,FALSE),HLOOKUP(D369,VOLS,VLOOKUP(G369,move_down,2,FALSE),FALSE),VLOOKUP(G369,NGPrices,3,FALSE),HLOOKUP(D369,Correllate,VLOOKUP(G369,CorMove,2,FALSE),FALSE),Q369-$CD$3,R369,$CJ$5)*H369-CJ369</f>
        <v>0</v>
      </c>
      <c r="CH369" s="234">
        <f>_xll.xSPRDOPT((VLOOKUP(G369,NGPREVPRICES,2,FALSE)+HLOOKUP(D369,PREVCURVES,VLOOKUP(G369,MOVE_DOWN2,2,FALSE),FALSE)),VLOOKUP(G369,NGPREVPRICES,2,FALSE),CK369,VLOOKUP(G369,NGPREVPRICES,4,FALSE),HLOOKUP(D369,PREVVOLS,VLOOKUP(G369,MOVE_DOWN2,2,FALSE),FALSE),VLOOKUP(G369,NGPREVPRICES,3,FALSE),HLOOKUP(D369,Correllate,VLOOKUP(G369,CorMove,2,FALSE),FALSE),Q369-$C$3,R369,$CJ$5)*H369-CJ369</f>
        <v>-130.8403244727524</v>
      </c>
      <c r="CI369" s="234">
        <f t="shared" si="432"/>
        <v>-191.02222268399782</v>
      </c>
      <c r="CJ369" s="234">
        <f>_xll.xSPRDOPT((VLOOKUP(G369,NGPREVPRICES,2,FALSE)+HLOOKUP(D369,PREVCURVES,VLOOKUP(G369,MOVE_DOWN2,2,FALSE),FALSE)),VLOOKUP(G369,NGPREVPRICES,2,FALSE),CK369,VLOOKUP(G369,NGPREVPRICES,4,FALSE),HLOOKUP(D369,PREVVOLS,VLOOKUP(G369,MOVE_DOWN2,2,FALSE),FALSE),VLOOKUP(G369,NGPREVPRICES,3,FALSE),HLOOKUP(D369,Correllate,VLOOKUP(G369,CorMove,2,FALSE),FALSE),Q369-$CD$3,R369,$CJ$5)*H369</f>
        <v>298254.16662930237</v>
      </c>
      <c r="CK369" s="235">
        <f t="shared" si="433"/>
        <v>1.33</v>
      </c>
      <c r="CM369" t="str">
        <f t="shared" si="434"/>
        <v>37196Curve Shift/Gamma</v>
      </c>
      <c r="CN369" t="str">
        <f t="shared" si="435"/>
        <v>37196Rho</v>
      </c>
      <c r="CO369" t="str">
        <f t="shared" si="436"/>
        <v>37196Drift</v>
      </c>
      <c r="CP369" t="str">
        <f t="shared" si="437"/>
        <v>37196Vega</v>
      </c>
      <c r="CQ369" t="str">
        <f t="shared" si="438"/>
        <v>37196Theta</v>
      </c>
    </row>
    <row r="370" spans="1:95" x14ac:dyDescent="0.25">
      <c r="A370" s="382" t="s">
        <v>279</v>
      </c>
      <c r="B370" t="s">
        <v>250</v>
      </c>
      <c r="C370" t="s">
        <v>456</v>
      </c>
      <c r="D370" s="4" t="s">
        <v>7</v>
      </c>
      <c r="E370" t="s">
        <v>20</v>
      </c>
      <c r="F370" t="s">
        <v>21</v>
      </c>
      <c r="G370" s="5">
        <v>36951</v>
      </c>
      <c r="H370" s="130">
        <v>-500000</v>
      </c>
      <c r="I370">
        <v>2.5</v>
      </c>
      <c r="J370" s="53">
        <f t="shared" si="381"/>
        <v>4.2130000000000001</v>
      </c>
      <c r="K370" s="7">
        <f t="shared" si="382"/>
        <v>1.075</v>
      </c>
      <c r="L370" s="53">
        <f t="shared" si="383"/>
        <v>5.2880000000000003</v>
      </c>
      <c r="M370" s="157">
        <f t="shared" si="423"/>
        <v>6.8879814952706994E-2</v>
      </c>
      <c r="N370" s="4">
        <f t="shared" si="424"/>
        <v>0.53249999999999997</v>
      </c>
      <c r="O370" s="4">
        <f t="shared" si="425"/>
        <v>0.61199999999999999</v>
      </c>
      <c r="P370" s="9">
        <f t="shared" si="426"/>
        <v>0.83</v>
      </c>
      <c r="Q370" s="5">
        <f t="shared" si="375"/>
        <v>36949</v>
      </c>
      <c r="R370" s="4">
        <f t="shared" si="427"/>
        <v>1</v>
      </c>
      <c r="S370" s="158">
        <f>_xll.xSPRDOPT($L370,$J370,$I370,$M370,$O370,$N370,$P370,$Q370-$C$3,$R370,0)</f>
        <v>0.15660034057175656</v>
      </c>
      <c r="T370" s="159">
        <f>_xll.xSPRDOPT($L370,$J370,$I370,$M370,$O370,$N370,$P370,$Q370-$C$3,$R370,1)*H370</f>
        <v>-109980.5926653334</v>
      </c>
      <c r="U370" s="160">
        <f t="shared" si="428"/>
        <v>-78300.170285878281</v>
      </c>
      <c r="V370" s="159">
        <f>_xll.xSPRDOPT($L370,$J370,$I370,$M370,$O370,$N370,$P370,$Q370-$C$3,$R370,2)*H370</f>
        <v>81461.670140424772</v>
      </c>
      <c r="W370" s="159">
        <f t="shared" si="429"/>
        <v>-28518.92252490863</v>
      </c>
      <c r="X370" s="51" t="str">
        <f t="shared" si="420"/>
        <v>36951IF-TRANSCO/Z6</v>
      </c>
      <c r="Y370" s="418">
        <f t="shared" si="421"/>
        <v>-50</v>
      </c>
      <c r="Z370" s="456">
        <f t="shared" si="422"/>
        <v>0.2199611853306668</v>
      </c>
      <c r="AA370" s="456">
        <f>_xll.xSPRDOPT($L370,$J370,$I370,$M370,$O370,$N370,$P370,$Q370-$C$3,$R370,3)</f>
        <v>0.20855990404016209</v>
      </c>
      <c r="AB370" s="456">
        <f>((_xll.xSPRDOPT($L370+AB$5,$J370,$I370,$M370,$O370,$N370,$P370,$Q370-$C$3,$R370,3)*$H370)/10000)/100</f>
        <v>-0.10427995202008104</v>
      </c>
      <c r="AC370" s="456">
        <f>((_xll.xSPRDOPT($L370+$AB$5,$J370,$I370,$M370,$O370,$N370,$P370,$Q370-$C$3,$R370,7)*$H370)/100)</f>
        <v>3159.6687978749046</v>
      </c>
      <c r="AD370" s="456">
        <f>(_xll.xSPRDOPT($L370+$AB$5,$J370,$I370,$M370,$O370,$N370,$P370,$Q370-$C$3,$R370,9)/365)*$H370</f>
        <v>549.51473423877326</v>
      </c>
      <c r="AE370">
        <f t="shared" si="379"/>
        <v>0</v>
      </c>
      <c r="AF370" s="456">
        <f t="shared" si="380"/>
        <v>-3854.6722633111217</v>
      </c>
      <c r="AG370" s="456">
        <f>((_xll.xSPRDOPT($L370,$J370,$I370,$M370,$O370,$N370,$P370,$Q370-$C$3,$R370,6)*$H370)/100)</f>
        <v>1440.3333195097489</v>
      </c>
      <c r="AH370" s="456">
        <f>((_xll.xSPRDOPT($L370,$J370,$I370,$M370,$O370,$N370,$P370,$Q370-$C$3,$R370,5)*$H370)/100)</f>
        <v>-4607.1739752485519</v>
      </c>
      <c r="AI370" s="456">
        <f>(((_xll.xSPRDOPT($L370,$J370,$I370,$M370,$O370,$N370,$P370,$Q370-$C$3,$R370,4)*$H370)/10000)/100)-AB370</f>
        <v>3.0290676252945348E-2</v>
      </c>
      <c r="AJ370" s="456"/>
      <c r="AK370" s="456"/>
      <c r="AL370" s="456"/>
      <c r="AM370" s="472"/>
      <c r="CC370" s="141">
        <f t="shared" si="430"/>
        <v>36951</v>
      </c>
      <c r="CD370" s="234">
        <f>_xll.xSPRDOPT((VLOOKUP(G370,NGPrices,2,FALSE)+HLOOKUP(D370,Prices,VLOOKUP(G370,move_down,2,FALSE),FALSE)),VLOOKUP(G370,NGPrices,2,FALSE),I370,VLOOKUP(G370,NGPREVPRICES,4,FALSE),HLOOKUP(D370,PREVVOLS,VLOOKUP(G370,MOVE_DOWN2,2,FALSE),FALSE),VLOOKUP(G370,NGPREVPRICES,3,FALSE),HLOOKUP(D370,Correllate,VLOOKUP(G370,CorMove,2,FALSE),FALSE),Q370-$CD$3,R370,$CD$5)*H370-CJ370</f>
        <v>0</v>
      </c>
      <c r="CE370" s="234">
        <f>_xll.xSPRDOPT((VLOOKUP(G370,NGPREVPRICES,2,FALSE)+HLOOKUP(D370,PREVCURVES,VLOOKUP(G370,MOVE_DOWN2,2,FALSE),FALSE)),VLOOKUP(G370,NGPREVPRICES,2,FALSE),CK370,VLOOKUP(G370,NGPrices,4,FALSE),HLOOKUP(D370,PREVVOLS,VLOOKUP(G370,MOVE_DOWN2,2,FALSE),FALSE),VLOOKUP(G370,NGPREVPRICES,3,FALSE),HLOOKUP(D370,Correllate,VLOOKUP(G370,CorMove,2,FALSE),FALSE),Q370-$CD$3,R370,$CJ$5)*H370-CJ370</f>
        <v>0</v>
      </c>
      <c r="CF370" s="10">
        <f t="shared" si="431"/>
        <v>15.122066252035438</v>
      </c>
      <c r="CG370" s="234">
        <f>_xll.xSPRDOPT((VLOOKUP(G370,NGPREVPRICES,2,FALSE)+HLOOKUP(D370,PREVCURVES,VLOOKUP(G370,MOVE_DOWN2,2,FALSE),FALSE)),VLOOKUP(G370,NGPREVPRICES,2,FALSE),CK370,VLOOKUP(G370,NGPREVPRICES,4,FALSE),HLOOKUP(D370,VOLS,VLOOKUP(G370,move_down,2,FALSE),FALSE),VLOOKUP(G370,NGPrices,3,FALSE),HLOOKUP(D370,Correllate,VLOOKUP(G370,CorMove,2,FALSE),FALSE),Q370-$CD$3,R370,$CJ$5)*H370-CJ370</f>
        <v>0</v>
      </c>
      <c r="CH370" s="234">
        <f>_xll.xSPRDOPT((VLOOKUP(G370,NGPREVPRICES,2,FALSE)+HLOOKUP(D370,PREVCURVES,VLOOKUP(G370,MOVE_DOWN2,2,FALSE),FALSE)),VLOOKUP(G370,NGPREVPRICES,2,FALSE),CK370,VLOOKUP(G370,NGPREVPRICES,4,FALSE),HLOOKUP(D370,PREVVOLS,VLOOKUP(G370,MOVE_DOWN2,2,FALSE),FALSE),VLOOKUP(G370,NGPREVPRICES,3,FALSE),HLOOKUP(D370,Correllate,VLOOKUP(G370,CorMove,2,FALSE),FALSE),Q370-$C$3,R370,$CJ$5)*H370-CJ370</f>
        <v>548.86299146656529</v>
      </c>
      <c r="CI370" s="234">
        <f t="shared" si="432"/>
        <v>563.98505771860073</v>
      </c>
      <c r="CJ370" s="234">
        <f>_xll.xSPRDOPT((VLOOKUP(G370,NGPREVPRICES,2,FALSE)+HLOOKUP(D370,PREVCURVES,VLOOKUP(G370,MOVE_DOWN2,2,FALSE),FALSE)),VLOOKUP(G370,NGPREVPRICES,2,FALSE),CK370,VLOOKUP(G370,NGPREVPRICES,4,FALSE),HLOOKUP(D370,PREVVOLS,VLOOKUP(G370,MOVE_DOWN2,2,FALSE),FALSE),VLOOKUP(G370,NGPREVPRICES,3,FALSE),HLOOKUP(D370,Correllate,VLOOKUP(G370,CorMove,2,FALSE),FALSE),Q370-$CD$3,R370,$CJ$5)*H370</f>
        <v>-78849.033277344846</v>
      </c>
      <c r="CK370" s="235">
        <f t="shared" si="433"/>
        <v>2.5</v>
      </c>
      <c r="CM370" t="str">
        <f t="shared" si="434"/>
        <v>36951Curve Shift/Gamma</v>
      </c>
      <c r="CN370" t="str">
        <f t="shared" si="435"/>
        <v>36951Rho</v>
      </c>
      <c r="CO370" t="str">
        <f t="shared" si="436"/>
        <v>36951Drift</v>
      </c>
      <c r="CP370" t="str">
        <f t="shared" si="437"/>
        <v>36951Vega</v>
      </c>
      <c r="CQ370" t="str">
        <f t="shared" si="438"/>
        <v>36951Theta</v>
      </c>
    </row>
    <row r="371" spans="1:95" x14ac:dyDescent="0.25">
      <c r="A371" s="382" t="s">
        <v>279</v>
      </c>
      <c r="B371" t="s">
        <v>250</v>
      </c>
      <c r="C371" t="s">
        <v>456</v>
      </c>
      <c r="D371" s="4" t="s">
        <v>7</v>
      </c>
      <c r="E371" t="s">
        <v>20</v>
      </c>
      <c r="F371" t="s">
        <v>21</v>
      </c>
      <c r="G371" s="5">
        <v>36923</v>
      </c>
      <c r="H371" s="130">
        <v>-500000</v>
      </c>
      <c r="I371">
        <v>2.5</v>
      </c>
      <c r="J371" s="53">
        <f t="shared" si="381"/>
        <v>4.4800000000000004</v>
      </c>
      <c r="K371" s="7">
        <f t="shared" si="382"/>
        <v>2.09</v>
      </c>
      <c r="L371" s="53">
        <f t="shared" si="383"/>
        <v>6.57</v>
      </c>
      <c r="M371" s="157">
        <f t="shared" si="423"/>
        <v>6.8640161611372E-2</v>
      </c>
      <c r="N371" s="4">
        <f t="shared" si="424"/>
        <v>0.59250000000000003</v>
      </c>
      <c r="O371" s="4">
        <f t="shared" si="425"/>
        <v>0.68100000000000005</v>
      </c>
      <c r="P371" s="9">
        <f t="shared" si="426"/>
        <v>0.83</v>
      </c>
      <c r="Q371" s="5">
        <f t="shared" si="375"/>
        <v>36921</v>
      </c>
      <c r="R371" s="4">
        <f t="shared" si="427"/>
        <v>1</v>
      </c>
      <c r="S371" s="158">
        <f>_xll.xSPRDOPT($L371,$J371,$I371,$M371,$O371,$N371,$P371,$Q371-$C$3,$R371,0)</f>
        <v>0.53494168201694325</v>
      </c>
      <c r="T371" s="159">
        <f>_xll.xSPRDOPT($L371,$J371,$I371,$M371,$O371,$N371,$P371,$Q371-$C$3,$R371,1)*H371</f>
        <v>-228723.97294227211</v>
      </c>
      <c r="U371" s="160">
        <f t="shared" si="428"/>
        <v>-267470.84100847162</v>
      </c>
      <c r="V371" s="159">
        <f>_xll.xSPRDOPT($L371,$J371,$I371,$M371,$O371,$N371,$P371,$Q371-$C$3,$R371,2)*H371</f>
        <v>187472.63589046008</v>
      </c>
      <c r="W371" s="159">
        <f t="shared" si="429"/>
        <v>-41251.337051812035</v>
      </c>
      <c r="X371" s="51" t="str">
        <f t="shared" si="420"/>
        <v>36923IF-TRANSCO/Z6</v>
      </c>
      <c r="Y371" s="418">
        <f t="shared" si="421"/>
        <v>-50</v>
      </c>
      <c r="Z371" s="456">
        <f t="shared" si="422"/>
        <v>0.45744794588454424</v>
      </c>
      <c r="AA371" s="456">
        <f>_xll.xSPRDOPT($L371,$J371,$I371,$M371,$O371,$N371,$P371,$Q371-$C$3,$R371,3)</f>
        <v>0.21618551080216697</v>
      </c>
      <c r="AB371" s="456">
        <f>((_xll.xSPRDOPT($L371+AB$5,$J371,$I371,$M371,$O371,$N371,$P371,$Q371-$C$3,$R371,3)*$H371)/10000)/100</f>
        <v>-0.10809275540108348</v>
      </c>
      <c r="AC371" s="456">
        <f>((_xll.xSPRDOPT($L371+$AB$5,$J371,$I371,$M371,$O371,$N371,$P371,$Q371-$C$3,$R371,7)*$H371)/100)</f>
        <v>5230.7137322153758</v>
      </c>
      <c r="AD371" s="456">
        <f>(_xll.xSPRDOPT($L371+$AB$5,$J371,$I371,$M371,$O371,$N371,$P371,$Q371-$C$3,$R371,9)/365)*$H371</f>
        <v>1079.9993027559465</v>
      </c>
      <c r="AE371">
        <f t="shared" si="379"/>
        <v>0</v>
      </c>
      <c r="AF371" s="456">
        <f t="shared" si="380"/>
        <v>-5871.6233510919374</v>
      </c>
      <c r="AG371" s="456">
        <f>((_xll.xSPRDOPT($L371,$J371,$I371,$M371,$O371,$N371,$P371,$Q371-$C$3,$R371,6)*$H371)/100)</f>
        <v>2198.9376795093563</v>
      </c>
      <c r="AH371" s="456">
        <f>((_xll.xSPRDOPT($L371,$J371,$I371,$M371,$O371,$N371,$P371,$Q371-$C$3,$R371,5)*$H371)/100)</f>
        <v>-7021.743627946058</v>
      </c>
      <c r="AI371" s="456">
        <f>(((_xll.xSPRDOPT($L371,$J371,$I371,$M371,$O371,$N371,$P371,$Q371-$C$3,$R371,4)*$H371)/10000)/100)-AB371</f>
        <v>5.8071627397417586E-3</v>
      </c>
      <c r="AJ371" s="456"/>
      <c r="AK371" s="456"/>
      <c r="AL371" s="456"/>
      <c r="AM371" s="472"/>
      <c r="CC371" s="141">
        <f t="shared" si="430"/>
        <v>36923</v>
      </c>
      <c r="CD371" s="234">
        <f>_xll.xSPRDOPT((VLOOKUP(G371,NGPrices,2,FALSE)+HLOOKUP(D371,Prices,VLOOKUP(G371,move_down,2,FALSE),FALSE)),VLOOKUP(G371,NGPrices,2,FALSE),I371,VLOOKUP(G371,NGPREVPRICES,4,FALSE),HLOOKUP(D371,PREVVOLS,VLOOKUP(G371,MOVE_DOWN2,2,FALSE),FALSE),VLOOKUP(G371,NGPREVPRICES,3,FALSE),HLOOKUP(D371,Correllate,VLOOKUP(G371,CorMove,2,FALSE),FALSE),Q371-$CD$3,R371,$CD$5)*H371-CJ371</f>
        <v>0</v>
      </c>
      <c r="CE371" s="234">
        <f>_xll.xSPRDOPT((VLOOKUP(G371,NGPREVPRICES,2,FALSE)+HLOOKUP(D371,PREVCURVES,VLOOKUP(G371,MOVE_DOWN2,2,FALSE),FALSE)),VLOOKUP(G371,NGPREVPRICES,2,FALSE),CK371,VLOOKUP(G371,NGPrices,4,FALSE),HLOOKUP(D371,PREVVOLS,VLOOKUP(G371,MOVE_DOWN2,2,FALSE),FALSE),VLOOKUP(G371,NGPREVPRICES,3,FALSE),HLOOKUP(D371,Correllate,VLOOKUP(G371,CorMove,2,FALSE),FALSE),Q371-$CD$3,R371,$CJ$5)*H371-CJ371</f>
        <v>0</v>
      </c>
      <c r="CF371" s="10">
        <f t="shared" si="431"/>
        <v>51.074756523768883</v>
      </c>
      <c r="CG371" s="234">
        <f>_xll.xSPRDOPT((VLOOKUP(G371,NGPREVPRICES,2,FALSE)+HLOOKUP(D371,PREVCURVES,VLOOKUP(G371,MOVE_DOWN2,2,FALSE),FALSE)),VLOOKUP(G371,NGPREVPRICES,2,FALSE),CK371,VLOOKUP(G371,NGPREVPRICES,4,FALSE),HLOOKUP(D371,VOLS,VLOOKUP(G371,move_down,2,FALSE),FALSE),VLOOKUP(G371,NGPrices,3,FALSE),HLOOKUP(D371,Correllate,VLOOKUP(G371,CorMove,2,FALSE),FALSE),Q371-$CD$3,R371,$CJ$5)*H371-CJ371</f>
        <v>0</v>
      </c>
      <c r="CH371" s="234">
        <f>_xll.xSPRDOPT((VLOOKUP(G371,NGPREVPRICES,2,FALSE)+HLOOKUP(D371,PREVCURVES,VLOOKUP(G371,MOVE_DOWN2,2,FALSE),FALSE)),VLOOKUP(G371,NGPREVPRICES,2,FALSE),CK371,VLOOKUP(G371,NGPREVPRICES,4,FALSE),HLOOKUP(D371,PREVVOLS,VLOOKUP(G371,MOVE_DOWN2,2,FALSE),FALSE),VLOOKUP(G371,NGPREVPRICES,3,FALSE),HLOOKUP(D371,Correllate,VLOOKUP(G371,CorMove,2,FALSE),FALSE),Q371-$C$3,R371,$CJ$5)*H371-CJ371</f>
        <v>1077.2871513639111</v>
      </c>
      <c r="CI371" s="234">
        <f t="shared" si="432"/>
        <v>1128.36190788768</v>
      </c>
      <c r="CJ371" s="234">
        <f>_xll.xSPRDOPT((VLOOKUP(G371,NGPREVPRICES,2,FALSE)+HLOOKUP(D371,PREVCURVES,VLOOKUP(G371,MOVE_DOWN2,2,FALSE),FALSE)),VLOOKUP(G371,NGPREVPRICES,2,FALSE),CK371,VLOOKUP(G371,NGPREVPRICES,4,FALSE),HLOOKUP(D371,PREVVOLS,VLOOKUP(G371,MOVE_DOWN2,2,FALSE),FALSE),VLOOKUP(G371,NGPREVPRICES,3,FALSE),HLOOKUP(D371,Correllate,VLOOKUP(G371,CorMove,2,FALSE),FALSE),Q371-$CD$3,R371,$CJ$5)*H371</f>
        <v>-268548.12815983553</v>
      </c>
      <c r="CK371" s="235">
        <f t="shared" si="433"/>
        <v>2.5</v>
      </c>
      <c r="CM371" t="str">
        <f t="shared" si="434"/>
        <v>36923Curve Shift/Gamma</v>
      </c>
      <c r="CN371" t="str">
        <f t="shared" si="435"/>
        <v>36923Rho</v>
      </c>
      <c r="CO371" t="str">
        <f t="shared" si="436"/>
        <v>36923Drift</v>
      </c>
      <c r="CP371" t="str">
        <f t="shared" si="437"/>
        <v>36923Vega</v>
      </c>
      <c r="CQ371" t="str">
        <f t="shared" si="438"/>
        <v>36923Theta</v>
      </c>
    </row>
    <row r="372" spans="1:95" x14ac:dyDescent="0.25">
      <c r="A372" s="382" t="s">
        <v>279</v>
      </c>
      <c r="B372" t="s">
        <v>250</v>
      </c>
      <c r="C372" t="s">
        <v>456</v>
      </c>
      <c r="D372" s="4" t="s">
        <v>7</v>
      </c>
      <c r="E372" t="s">
        <v>20</v>
      </c>
      <c r="F372" t="s">
        <v>21</v>
      </c>
      <c r="G372" s="5">
        <v>36892</v>
      </c>
      <c r="H372" s="130">
        <v>-500000</v>
      </c>
      <c r="I372">
        <v>2.5</v>
      </c>
      <c r="J372" s="53">
        <f t="shared" si="381"/>
        <v>4.7439999999999998</v>
      </c>
      <c r="K372" s="7">
        <f t="shared" si="382"/>
        <v>2.17</v>
      </c>
      <c r="L372" s="53">
        <f t="shared" si="383"/>
        <v>6.9139999999999997</v>
      </c>
      <c r="M372" s="157">
        <f t="shared" si="423"/>
        <v>6.8374831148490994E-2</v>
      </c>
      <c r="N372" s="4">
        <f t="shared" si="424"/>
        <v>0.60499999999999998</v>
      </c>
      <c r="O372" s="4">
        <f t="shared" si="425"/>
        <v>0.69599999999999995</v>
      </c>
      <c r="P372" s="9">
        <f t="shared" si="426"/>
        <v>0.83</v>
      </c>
      <c r="Q372" s="5">
        <f t="shared" si="375"/>
        <v>36888</v>
      </c>
      <c r="R372" s="4">
        <f t="shared" si="427"/>
        <v>1</v>
      </c>
      <c r="S372" s="158">
        <f>_xll.xSPRDOPT($L372,$J372,$I372,$M372,$O372,$N372,$P372,$Q372-$C$3,$R372,0)</f>
        <v>0.52922812131883945</v>
      </c>
      <c r="T372" s="159">
        <f>_xll.xSPRDOPT($L372,$J372,$I372,$M372,$O372,$N372,$P372,$Q372-$C$3,$R372,1)*H372</f>
        <v>-233367.12291376205</v>
      </c>
      <c r="U372" s="160">
        <f t="shared" si="428"/>
        <v>-264614.06065941975</v>
      </c>
      <c r="V372" s="159">
        <f>_xll.xSPRDOPT($L372,$J372,$I372,$M372,$O372,$N372,$P372,$Q372-$C$3,$R372,2)*H372</f>
        <v>195342.36879954021</v>
      </c>
      <c r="W372" s="159">
        <f t="shared" si="429"/>
        <v>-38024.75411422184</v>
      </c>
      <c r="X372" s="51" t="str">
        <f t="shared" si="420"/>
        <v>36892IF-TRANSCO/Z6</v>
      </c>
      <c r="Y372" s="418">
        <f t="shared" si="421"/>
        <v>-50</v>
      </c>
      <c r="Z372" s="456">
        <f t="shared" si="422"/>
        <v>0.4667342458275241</v>
      </c>
      <c r="AA372" s="456">
        <f>_xll.xSPRDOPT($L372,$J372,$I372,$M372,$O372,$N372,$P372,$Q372-$C$3,$R372,3)</f>
        <v>0.22967006797299966</v>
      </c>
      <c r="AB372" s="456">
        <f>((_xll.xSPRDOPT($L372+AB$5,$J372,$I372,$M372,$O372,$N372,$P372,$Q372-$C$3,$R372,3)*$H372)/10000)/100</f>
        <v>-0.11483503398649983</v>
      </c>
      <c r="AC372" s="456">
        <f>((_xll.xSPRDOPT($L372+$AB$5,$J372,$I372,$M372,$O372,$N372,$P372,$Q372-$C$3,$R372,7)*$H372)/100)</f>
        <v>5116.0331168110852</v>
      </c>
      <c r="AD372" s="456">
        <f>(_xll.xSPRDOPT($L372+$AB$5,$J372,$I372,$M372,$O372,$N372,$P372,$Q372-$C$3,$R372,9)/365)*$H372</f>
        <v>1322.9017009603915</v>
      </c>
      <c r="AE372">
        <f t="shared" si="379"/>
        <v>0</v>
      </c>
      <c r="AF372" s="456">
        <f t="shared" si="380"/>
        <v>-5486.127986502499</v>
      </c>
      <c r="AG372" s="456">
        <f>((_xll.xSPRDOPT($L372,$J372,$I372,$M372,$O372,$N372,$P372,$Q372-$C$3,$R372,6)*$H372)/100)</f>
        <v>2056.1843663886079</v>
      </c>
      <c r="AH372" s="456">
        <f>((_xll.xSPRDOPT($L372,$J372,$I372,$M372,$O372,$N372,$P372,$Q372-$C$3,$R372,5)*$H372)/100)</f>
        <v>-6556.1766860619546</v>
      </c>
      <c r="AI372" s="456">
        <f>(((_xll.xSPRDOPT($L372,$J372,$I372,$M372,$O372,$N372,$P372,$Q372-$C$3,$R372,4)*$H372)/10000)/100)-AB372</f>
        <v>4.8174741609229299E-3</v>
      </c>
      <c r="AJ372" s="456"/>
      <c r="AK372" s="456"/>
      <c r="AL372" s="456"/>
      <c r="AM372" s="472"/>
      <c r="CC372" s="141">
        <f t="shared" si="430"/>
        <v>36892</v>
      </c>
      <c r="CD372" s="234">
        <f>_xll.xSPRDOPT((VLOOKUP(G372,NGPrices,2,FALSE)+HLOOKUP(D372,Prices,VLOOKUP(G372,move_down,2,FALSE),FALSE)),VLOOKUP(G372,NGPrices,2,FALSE),I372,VLOOKUP(G372,NGPREVPRICES,4,FALSE),HLOOKUP(D372,PREVVOLS,VLOOKUP(G372,MOVE_DOWN2,2,FALSE),FALSE),VLOOKUP(G372,NGPREVPRICES,3,FALSE),HLOOKUP(D372,Correllate,VLOOKUP(G372,CorMove,2,FALSE),FALSE),Q372-$CD$3,R372,$CD$5)*H372-CJ372</f>
        <v>0</v>
      </c>
      <c r="CE372" s="234">
        <f>_xll.xSPRDOPT((VLOOKUP(G372,NGPREVPRICES,2,FALSE)+HLOOKUP(D372,PREVCURVES,VLOOKUP(G372,MOVE_DOWN2,2,FALSE),FALSE)),VLOOKUP(G372,NGPREVPRICES,2,FALSE),CK372,VLOOKUP(G372,NGPrices,4,FALSE),HLOOKUP(D372,PREVVOLS,VLOOKUP(G372,MOVE_DOWN2,2,FALSE),FALSE),VLOOKUP(G372,NGPREVPRICES,3,FALSE),HLOOKUP(D372,Correllate,VLOOKUP(G372,CorMove,2,FALSE),FALSE),Q372-$CD$3,R372,$CJ$5)*H372-CJ372</f>
        <v>0</v>
      </c>
      <c r="CF372" s="10">
        <f t="shared" si="431"/>
        <v>50.112733908230439</v>
      </c>
      <c r="CG372" s="234">
        <f>_xll.xSPRDOPT((VLOOKUP(G372,NGPREVPRICES,2,FALSE)+HLOOKUP(D372,PREVCURVES,VLOOKUP(G372,MOVE_DOWN2,2,FALSE),FALSE)),VLOOKUP(G372,NGPREVPRICES,2,FALSE),CK372,VLOOKUP(G372,NGPREVPRICES,4,FALSE),HLOOKUP(D372,VOLS,VLOOKUP(G372,move_down,2,FALSE),FALSE),VLOOKUP(G372,NGPrices,3,FALSE),HLOOKUP(D372,Correllate,VLOOKUP(G372,CorMove,2,FALSE),FALSE),Q372-$CD$3,R372,$CJ$5)*H372-CJ372</f>
        <v>0</v>
      </c>
      <c r="CH372" s="234">
        <f>_xll.xSPRDOPT((VLOOKUP(G372,NGPREVPRICES,2,FALSE)+HLOOKUP(D372,PREVCURVES,VLOOKUP(G372,MOVE_DOWN2,2,FALSE),FALSE)),VLOOKUP(G372,NGPREVPRICES,2,FALSE),CK372,VLOOKUP(G372,NGPREVPRICES,4,FALSE),HLOOKUP(D372,PREVVOLS,VLOOKUP(G372,MOVE_DOWN2,2,FALSE),FALSE),VLOOKUP(G372,NGPREVPRICES,3,FALSE),HLOOKUP(D372,Correllate,VLOOKUP(G372,CorMove,2,FALSE),FALSE),Q372-$C$3,R372,$CJ$5)*H372-CJ372</f>
        <v>1318.9913260466419</v>
      </c>
      <c r="CI372" s="234">
        <f t="shared" si="432"/>
        <v>1369.1040599548724</v>
      </c>
      <c r="CJ372" s="234">
        <f>_xll.xSPRDOPT((VLOOKUP(G372,NGPREVPRICES,2,FALSE)+HLOOKUP(D372,PREVCURVES,VLOOKUP(G372,MOVE_DOWN2,2,FALSE),FALSE)),VLOOKUP(G372,NGPREVPRICES,2,FALSE),CK372,VLOOKUP(G372,NGPREVPRICES,4,FALSE),HLOOKUP(D372,PREVVOLS,VLOOKUP(G372,MOVE_DOWN2,2,FALSE),FALSE),VLOOKUP(G372,NGPREVPRICES,3,FALSE),HLOOKUP(D372,Correllate,VLOOKUP(G372,CorMove,2,FALSE),FALSE),Q372-$CD$3,R372,$CJ$5)*H372</f>
        <v>-265933.05198546639</v>
      </c>
      <c r="CK372" s="235">
        <f t="shared" si="433"/>
        <v>2.5</v>
      </c>
      <c r="CM372" t="str">
        <f t="shared" si="434"/>
        <v>36892Curve Shift/Gamma</v>
      </c>
      <c r="CN372" t="str">
        <f t="shared" si="435"/>
        <v>36892Rho</v>
      </c>
      <c r="CO372" t="str">
        <f t="shared" si="436"/>
        <v>36892Drift</v>
      </c>
      <c r="CP372" t="str">
        <f t="shared" si="437"/>
        <v>36892Vega</v>
      </c>
      <c r="CQ372" t="str">
        <f t="shared" si="438"/>
        <v>36892Theta</v>
      </c>
    </row>
    <row r="373" spans="1:95" x14ac:dyDescent="0.25">
      <c r="A373" s="382" t="s">
        <v>279</v>
      </c>
      <c r="B373" t="s">
        <v>250</v>
      </c>
      <c r="C373" t="s">
        <v>456</v>
      </c>
      <c r="D373" s="4" t="s">
        <v>7</v>
      </c>
      <c r="E373" t="s">
        <v>20</v>
      </c>
      <c r="F373" t="s">
        <v>21</v>
      </c>
      <c r="G373" s="5">
        <v>36861</v>
      </c>
      <c r="H373" s="130">
        <v>-500000</v>
      </c>
      <c r="I373">
        <v>2.5</v>
      </c>
      <c r="J373" s="53">
        <f t="shared" si="381"/>
        <v>4.8</v>
      </c>
      <c r="K373" s="7">
        <f t="shared" si="382"/>
        <v>1.645</v>
      </c>
      <c r="L373" s="53">
        <f t="shared" si="383"/>
        <v>6.4450000000000003</v>
      </c>
      <c r="M373" s="157">
        <f t="shared" si="423"/>
        <v>6.8314027999354002E-2</v>
      </c>
      <c r="N373" s="4">
        <f t="shared" si="424"/>
        <v>0.6</v>
      </c>
      <c r="O373" s="4">
        <f t="shared" si="425"/>
        <v>0.69</v>
      </c>
      <c r="P373" s="9">
        <f t="shared" si="426"/>
        <v>0.83</v>
      </c>
      <c r="Q373" s="5">
        <f t="shared" si="375"/>
        <v>36859</v>
      </c>
      <c r="R373" s="4">
        <f t="shared" si="427"/>
        <v>1</v>
      </c>
      <c r="S373" s="158">
        <f>_xll.xSPRDOPT($L373,$J373,$I373,$M373,$O373,$N373,$P373,$Q373-$C$3,$R373,0)</f>
        <v>0.24519282370785345</v>
      </c>
      <c r="T373" s="159">
        <f>_xll.xSPRDOPT($L373,$J373,$I373,$M373,$O373,$N373,$P373,$Q373-$C$3,$R373,1)*H373</f>
        <v>-156149.22535683736</v>
      </c>
      <c r="U373" s="160">
        <f t="shared" si="428"/>
        <v>-122596.41185392672</v>
      </c>
      <c r="V373" s="159">
        <f>_xll.xSPRDOPT($L373,$J373,$I373,$M373,$O373,$N373,$P373,$Q373-$C$3,$R373,2)*H373</f>
        <v>127340.94724667705</v>
      </c>
      <c r="W373" s="159">
        <f t="shared" si="429"/>
        <v>-28808.278110160303</v>
      </c>
      <c r="X373" s="51" t="str">
        <f t="shared" si="420"/>
        <v>36861IF-TRANSCO/Z6</v>
      </c>
      <c r="Y373" s="418">
        <f t="shared" si="421"/>
        <v>-50</v>
      </c>
      <c r="Z373" s="456">
        <f t="shared" si="422"/>
        <v>0.31229845071367474</v>
      </c>
      <c r="AA373" s="456">
        <f>_xll.xSPRDOPT($L373,$J373,$I373,$M373,$O373,$N373,$P373,$Q373-$C$3,$R373,3)</f>
        <v>0.25819289510904975</v>
      </c>
      <c r="AB373" s="456">
        <f>((_xll.xSPRDOPT($L373+AB$5,$J373,$I373,$M373,$O373,$N373,$P373,$Q373-$C$3,$R373,3)*$H373)/10000)/100</f>
        <v>-0.12909644755452487</v>
      </c>
      <c r="AC373" s="456">
        <f>((_xll.xSPRDOPT($L373+$AB$5,$J373,$I373,$M373,$O373,$N373,$P373,$Q373-$C$3,$R373,7)*$H373)/100)</f>
        <v>3792.7879886265846</v>
      </c>
      <c r="AD373" s="456">
        <f>(_xll.xSPRDOPT($L373+$AB$5,$J373,$I373,$M373,$O373,$N373,$P373,$Q373-$C$3,$R373,9)/365)*$H373</f>
        <v>1275.7899118836981</v>
      </c>
      <c r="AE373">
        <f t="shared" si="379"/>
        <v>0</v>
      </c>
      <c r="AF373" s="456">
        <f t="shared" si="380"/>
        <v>-3980.0620754965062</v>
      </c>
      <c r="AG373" s="456">
        <f>((_xll.xSPRDOPT($L373,$J373,$I373,$M373,$O373,$N373,$P373,$Q373-$C$3,$R373,6)*$H373)/100)</f>
        <v>1491.0255746277276</v>
      </c>
      <c r="AH373" s="456">
        <f>((_xll.xSPRDOPT($L373,$J373,$I373,$M373,$O373,$N373,$P373,$Q373-$C$3,$R373,5)*$H373)/100)</f>
        <v>-4757.4675218471602</v>
      </c>
      <c r="AI373" s="456">
        <f>(((_xll.xSPRDOPT($L373,$J373,$I373,$M373,$O373,$N373,$P373,$Q373-$C$3,$R373,4)*$H373)/10000)/100)-AB373</f>
        <v>2.1237991617354318E-2</v>
      </c>
      <c r="AJ373" s="456"/>
      <c r="AK373" s="456"/>
      <c r="AL373" s="456"/>
      <c r="AM373" s="472"/>
      <c r="CC373" s="141">
        <f t="shared" si="430"/>
        <v>36861</v>
      </c>
      <c r="CD373" s="234">
        <f>_xll.xSPRDOPT((VLOOKUP(G373,NGPrices,2,FALSE)+HLOOKUP(D373,Prices,VLOOKUP(G373,move_down,2,FALSE),FALSE)),VLOOKUP(G373,NGPrices,2,FALSE),I373,VLOOKUP(G373,NGPREVPRICES,4,FALSE),HLOOKUP(D373,PREVVOLS,VLOOKUP(G373,MOVE_DOWN2,2,FALSE),FALSE),VLOOKUP(G373,NGPREVPRICES,3,FALSE),HLOOKUP(D373,Correllate,VLOOKUP(G373,CorMove,2,FALSE),FALSE),Q373-$CD$3,R373,$CD$5)*H373-CJ373</f>
        <v>0</v>
      </c>
      <c r="CE373" s="234">
        <f>_xll.xSPRDOPT((VLOOKUP(G373,NGPREVPRICES,2,FALSE)+HLOOKUP(D373,PREVCURVES,VLOOKUP(G373,MOVE_DOWN2,2,FALSE),FALSE)),VLOOKUP(G373,NGPREVPRICES,2,FALSE),CK373,VLOOKUP(G373,NGPrices,4,FALSE),HLOOKUP(D373,PREVVOLS,VLOOKUP(G373,MOVE_DOWN2,2,FALSE),FALSE),VLOOKUP(G373,NGPREVPRICES,3,FALSE),HLOOKUP(D373,Correllate,VLOOKUP(G373,CorMove,2,FALSE),FALSE),Q373-$CD$3,R373,$CJ$5)*H373-CJ373</f>
        <v>0</v>
      </c>
      <c r="CF373" s="10">
        <f t="shared" si="431"/>
        <v>23.205317710046074</v>
      </c>
      <c r="CG373" s="234">
        <f>_xll.xSPRDOPT((VLOOKUP(G373,NGPREVPRICES,2,FALSE)+HLOOKUP(D373,PREVCURVES,VLOOKUP(G373,MOVE_DOWN2,2,FALSE),FALSE)),VLOOKUP(G373,NGPREVPRICES,2,FALSE),CK373,VLOOKUP(G373,NGPREVPRICES,4,FALSE),HLOOKUP(D373,VOLS,VLOOKUP(G373,move_down,2,FALSE),FALSE),VLOOKUP(G373,NGPrices,3,FALSE),HLOOKUP(D373,Correllate,VLOOKUP(G373,CorMove,2,FALSE),FALSE),Q373-$CD$3,R373,$CJ$5)*H373-CJ373</f>
        <v>0</v>
      </c>
      <c r="CH373" s="234">
        <f>_xll.xSPRDOPT((VLOOKUP(G373,NGPREVPRICES,2,FALSE)+HLOOKUP(D373,PREVCURVES,VLOOKUP(G373,MOVE_DOWN2,2,FALSE),FALSE)),VLOOKUP(G373,NGPREVPRICES,2,FALSE),CK373,VLOOKUP(G373,NGPREVPRICES,4,FALSE),HLOOKUP(D373,PREVVOLS,VLOOKUP(G373,MOVE_DOWN2,2,FALSE),FALSE),VLOOKUP(G373,NGPREVPRICES,3,FALSE),HLOOKUP(D373,Correllate,VLOOKUP(G373,CorMove,2,FALSE),FALSE),Q373-$C$3,R373,$CJ$5)*H373-CJ373</f>
        <v>1272.3480463513843</v>
      </c>
      <c r="CI373" s="234">
        <f t="shared" si="432"/>
        <v>1295.5533640614303</v>
      </c>
      <c r="CJ373" s="234">
        <f>_xll.xSPRDOPT((VLOOKUP(G373,NGPREVPRICES,2,FALSE)+HLOOKUP(D373,PREVCURVES,VLOOKUP(G373,MOVE_DOWN2,2,FALSE),FALSE)),VLOOKUP(G373,NGPREVPRICES,2,FALSE),CK373,VLOOKUP(G373,NGPREVPRICES,4,FALSE),HLOOKUP(D373,PREVVOLS,VLOOKUP(G373,MOVE_DOWN2,2,FALSE),FALSE),VLOOKUP(G373,NGPREVPRICES,3,FALSE),HLOOKUP(D373,Correllate,VLOOKUP(G373,CorMove,2,FALSE),FALSE),Q373-$CD$3,R373,$CJ$5)*H373</f>
        <v>-123868.75990027811</v>
      </c>
      <c r="CK373" s="235">
        <f t="shared" si="433"/>
        <v>2.5</v>
      </c>
      <c r="CM373" t="str">
        <f t="shared" si="434"/>
        <v>36861Curve Shift/Gamma</v>
      </c>
      <c r="CN373" t="str">
        <f t="shared" si="435"/>
        <v>36861Rho</v>
      </c>
      <c r="CO373" t="str">
        <f t="shared" si="436"/>
        <v>36861Drift</v>
      </c>
      <c r="CP373" t="str">
        <f t="shared" si="437"/>
        <v>36861Vega</v>
      </c>
      <c r="CQ373" t="str">
        <f t="shared" si="438"/>
        <v>36861Theta</v>
      </c>
    </row>
    <row r="374" spans="1:95" x14ac:dyDescent="0.25">
      <c r="A374" s="382" t="s">
        <v>279</v>
      </c>
      <c r="B374" t="s">
        <v>250</v>
      </c>
      <c r="C374" t="s">
        <v>456</v>
      </c>
      <c r="D374" s="4" t="s">
        <v>7</v>
      </c>
      <c r="E374" t="s">
        <v>20</v>
      </c>
      <c r="F374" t="s">
        <v>21</v>
      </c>
      <c r="G374" s="5">
        <v>36831</v>
      </c>
      <c r="H374" s="130">
        <v>-500000</v>
      </c>
      <c r="I374">
        <v>2.5</v>
      </c>
      <c r="J374" s="53">
        <f t="shared" si="381"/>
        <v>4.7359999999999998</v>
      </c>
      <c r="K374" s="7">
        <f t="shared" si="382"/>
        <v>0.77</v>
      </c>
      <c r="L374" s="53">
        <f t="shared" si="383"/>
        <v>5.5060000000000002</v>
      </c>
      <c r="M374" s="157">
        <f t="shared" si="423"/>
        <v>6.810675983792E-2</v>
      </c>
      <c r="N374" s="4">
        <f t="shared" si="424"/>
        <v>0.59499999999999997</v>
      </c>
      <c r="O374" s="4">
        <f t="shared" si="425"/>
        <v>0.625</v>
      </c>
      <c r="P374" s="9">
        <f t="shared" si="426"/>
        <v>0.89</v>
      </c>
      <c r="Q374" s="5">
        <f t="shared" si="375"/>
        <v>36829</v>
      </c>
      <c r="R374" s="4">
        <f t="shared" si="427"/>
        <v>1</v>
      </c>
      <c r="S374" s="158">
        <f>_xll.xSPRDOPT($L374,$J374,$I374,$M374,$O374,$N374,$P374,$Q374-$C$3,$R374,0)</f>
        <v>6.1115926235317444E-3</v>
      </c>
      <c r="T374" s="159">
        <f>_xll.xSPRDOPT($L374,$J374,$I374,$M374,$O374,$N374,$P374,$Q374-$C$3,$R374,1)*H374</f>
        <v>-11885.669731484806</v>
      </c>
      <c r="U374" s="160">
        <f t="shared" si="428"/>
        <v>-3055.7963117658724</v>
      </c>
      <c r="V374" s="159">
        <f>_xll.xSPRDOPT($L374,$J374,$I374,$M374,$O374,$N374,$P374,$Q374-$C$3,$R374,2)*H374</f>
        <v>9375.577982594692</v>
      </c>
      <c r="W374" s="159">
        <f t="shared" si="429"/>
        <v>-2510.0917488901141</v>
      </c>
      <c r="X374" s="51" t="str">
        <f t="shared" si="420"/>
        <v>36831IF-TRANSCO/Z6</v>
      </c>
      <c r="Y374" s="418">
        <f t="shared" si="421"/>
        <v>-50</v>
      </c>
      <c r="Z374" s="456">
        <f t="shared" si="422"/>
        <v>2.3771339462969613E-2</v>
      </c>
      <c r="AA374" s="456">
        <f>_xll.xSPRDOPT($L374,$J374,$I374,$M374,$O374,$N374,$P374,$Q374-$C$3,$R374,3)</f>
        <v>7.7908481785274333E-2</v>
      </c>
      <c r="AB374" s="456">
        <f>((_xll.xSPRDOPT($L374+AB$5,$J374,$I374,$M374,$O374,$N374,$P374,$Q374-$C$3,$R374,3)*$H374)/10000)/100</f>
        <v>-3.8954240892637167E-2</v>
      </c>
      <c r="AC374" s="456">
        <f>((_xll.xSPRDOPT($L374+$AB$5,$J374,$I374,$M374,$O374,$N374,$P374,$Q374-$C$3,$R374,7)*$H374)/100)</f>
        <v>525.77485370391378</v>
      </c>
      <c r="AD374" s="456">
        <f>(_xll.xSPRDOPT($L374+$AB$5,$J374,$I374,$M374,$O374,$N374,$P374,$Q374-$C$3,$R374,9)/365)*$H374</f>
        <v>162.01938894955924</v>
      </c>
      <c r="AE374">
        <f t="shared" si="379"/>
        <v>0</v>
      </c>
      <c r="AF374" s="456">
        <f t="shared" si="380"/>
        <v>-338.61023503957097</v>
      </c>
      <c r="AG374" s="456">
        <f>((_xll.xSPRDOPT($L374,$J374,$I374,$M374,$O374,$N374,$P374,$Q374-$C$3,$R374,6)*$H374)/100)</f>
        <v>190.99836402994413</v>
      </c>
      <c r="AH374" s="456">
        <f>((_xll.xSPRDOPT($L374,$J374,$I374,$M374,$O374,$N374,$P374,$Q374-$C$3,$R374,5)*$H374)/100)</f>
        <v>-504.18738631417835</v>
      </c>
      <c r="AI374" s="456">
        <f>(((_xll.xSPRDOPT($L374,$J374,$I374,$M374,$O374,$N374,$P374,$Q374-$C$3,$R374,4)*$H374)/10000)/100)-AB374</f>
        <v>1.266978608327262E-2</v>
      </c>
      <c r="AJ374" s="456"/>
      <c r="AK374" s="456"/>
      <c r="AL374" s="456"/>
      <c r="AM374" s="472"/>
      <c r="CC374" s="141">
        <f t="shared" si="430"/>
        <v>36831</v>
      </c>
      <c r="CD374" s="234">
        <f>_xll.xSPRDOPT((VLOOKUP(G374,NGPrices,2,FALSE)+HLOOKUP(D374,Prices,VLOOKUP(G374,move_down,2,FALSE),FALSE)),VLOOKUP(G374,NGPrices,2,FALSE),I374,VLOOKUP(G374,NGPREVPRICES,4,FALSE),HLOOKUP(D374,PREVVOLS,VLOOKUP(G374,MOVE_DOWN2,2,FALSE),FALSE),VLOOKUP(G374,NGPREVPRICES,3,FALSE),HLOOKUP(D374,Correllate,VLOOKUP(G374,CorMove,2,FALSE),FALSE),Q374-$CD$3,R374,$CD$5)*H374-CJ374</f>
        <v>0</v>
      </c>
      <c r="CE374" s="234">
        <f>_xll.xSPRDOPT((VLOOKUP(G374,NGPREVPRICES,2,FALSE)+HLOOKUP(D374,PREVCURVES,VLOOKUP(G374,MOVE_DOWN2,2,FALSE),FALSE)),VLOOKUP(G374,NGPREVPRICES,2,FALSE),CK374,VLOOKUP(G374,NGPrices,4,FALSE),HLOOKUP(D374,PREVVOLS,VLOOKUP(G374,MOVE_DOWN2,2,FALSE),FALSE),VLOOKUP(G374,NGPREVPRICES,3,FALSE),HLOOKUP(D374,Correllate,VLOOKUP(G374,CorMove,2,FALSE),FALSE),Q374-$CD$3,R374,$CJ$5)*H374-CJ374</f>
        <v>0</v>
      </c>
      <c r="CF374" s="10">
        <f t="shared" si="431"/>
        <v>0.597946262563255</v>
      </c>
      <c r="CG374" s="234">
        <f>_xll.xSPRDOPT((VLOOKUP(G374,NGPREVPRICES,2,FALSE)+HLOOKUP(D374,PREVCURVES,VLOOKUP(G374,MOVE_DOWN2,2,FALSE),FALSE)),VLOOKUP(G374,NGPREVPRICES,2,FALSE),CK374,VLOOKUP(G374,NGPREVPRICES,4,FALSE),HLOOKUP(D374,VOLS,VLOOKUP(G374,move_down,2,FALSE),FALSE),VLOOKUP(G374,NGPrices,3,FALSE),HLOOKUP(D374,Correllate,VLOOKUP(G374,CorMove,2,FALSE),FALSE),Q374-$CD$3,R374,$CJ$5)*H374-CJ374</f>
        <v>0</v>
      </c>
      <c r="CH374" s="234">
        <f>_xll.xSPRDOPT((VLOOKUP(G374,NGPREVPRICES,2,FALSE)+HLOOKUP(D374,PREVCURVES,VLOOKUP(G374,MOVE_DOWN2,2,FALSE),FALSE)),VLOOKUP(G374,NGPREVPRICES,2,FALSE),CK374,VLOOKUP(G374,NGPREVPRICES,4,FALSE),HLOOKUP(D374,PREVVOLS,VLOOKUP(G374,MOVE_DOWN2,2,FALSE),FALSE),VLOOKUP(G374,NGPREVPRICES,3,FALSE),HLOOKUP(D374,Correllate,VLOOKUP(G374,CorMove,2,FALSE),FALSE),Q374-$C$3,R374,$CJ$5)*H374-CJ374</f>
        <v>163.97744299866281</v>
      </c>
      <c r="CI374" s="234">
        <f t="shared" si="432"/>
        <v>164.57538926122606</v>
      </c>
      <c r="CJ374" s="234">
        <f>_xll.xSPRDOPT((VLOOKUP(G374,NGPREVPRICES,2,FALSE)+HLOOKUP(D374,PREVCURVES,VLOOKUP(G374,MOVE_DOWN2,2,FALSE),FALSE)),VLOOKUP(G374,NGPREVPRICES,2,FALSE),CK374,VLOOKUP(G374,NGPREVPRICES,4,FALSE),HLOOKUP(D374,PREVVOLS,VLOOKUP(G374,MOVE_DOWN2,2,FALSE),FALSE),VLOOKUP(G374,NGPREVPRICES,3,FALSE),HLOOKUP(D374,Correllate,VLOOKUP(G374,CorMove,2,FALSE),FALSE),Q374-$CD$3,R374,$CJ$5)*H374</f>
        <v>-3219.7737547645352</v>
      </c>
      <c r="CK374" s="235">
        <f t="shared" si="433"/>
        <v>2.5</v>
      </c>
      <c r="CM374" t="str">
        <f t="shared" si="434"/>
        <v>36831Curve Shift/Gamma</v>
      </c>
      <c r="CN374" t="str">
        <f t="shared" si="435"/>
        <v>36831Rho</v>
      </c>
      <c r="CO374" t="str">
        <f t="shared" si="436"/>
        <v>36831Drift</v>
      </c>
      <c r="CP374" t="str">
        <f t="shared" si="437"/>
        <v>36831Vega</v>
      </c>
      <c r="CQ374" t="str">
        <f t="shared" si="438"/>
        <v>36831Theta</v>
      </c>
    </row>
    <row r="375" spans="1:95" x14ac:dyDescent="0.25">
      <c r="A375" s="382" t="s">
        <v>294</v>
      </c>
      <c r="B375" t="s">
        <v>250</v>
      </c>
      <c r="C375" t="s">
        <v>457</v>
      </c>
      <c r="D375" s="4" t="s">
        <v>7</v>
      </c>
      <c r="E375" t="s">
        <v>20</v>
      </c>
      <c r="F375" t="s">
        <v>1</v>
      </c>
      <c r="G375" s="5">
        <v>36951</v>
      </c>
      <c r="H375" s="130">
        <v>500000</v>
      </c>
      <c r="I375">
        <v>0.7</v>
      </c>
      <c r="J375" s="53">
        <f t="shared" si="381"/>
        <v>4.2130000000000001</v>
      </c>
      <c r="K375" s="7">
        <f t="shared" si="382"/>
        <v>1.075</v>
      </c>
      <c r="L375" s="53">
        <f t="shared" si="383"/>
        <v>5.2880000000000003</v>
      </c>
      <c r="M375" s="157">
        <f t="shared" si="423"/>
        <v>6.8879814952706994E-2</v>
      </c>
      <c r="N375" s="4">
        <f t="shared" si="424"/>
        <v>0.53249999999999997</v>
      </c>
      <c r="O375" s="4">
        <f t="shared" si="425"/>
        <v>0.61199999999999999</v>
      </c>
      <c r="P375" s="9">
        <f t="shared" si="426"/>
        <v>0.83</v>
      </c>
      <c r="Q375" s="5">
        <f t="shared" si="375"/>
        <v>36949</v>
      </c>
      <c r="R375" s="4">
        <f t="shared" si="427"/>
        <v>0</v>
      </c>
      <c r="S375" s="158">
        <f>_xll.xSPRDOPT($L375,$J375,$I375,$M375,$O375,$N375,$P375,$Q375-$C$3,$R375,0)</f>
        <v>0.31883698265392857</v>
      </c>
      <c r="T375" s="159">
        <f>_xll.xSPRDOPT($L375,$J375,$I375,$M375,$O375,$N375,$P375,$Q375-$C$3,$R375,1)*H375</f>
        <v>-162154.80346329458</v>
      </c>
      <c r="U375" s="160">
        <f t="shared" si="428"/>
        <v>159418.49132696429</v>
      </c>
      <c r="V375" s="159">
        <f>_xll.xSPRDOPT($L375,$J375,$I375,$M375,$O375,$N375,$P375,$Q375-$C$3,$R375,2)*H375</f>
        <v>205365.12451850498</v>
      </c>
      <c r="W375" s="159">
        <f t="shared" si="429"/>
        <v>43210.321055210399</v>
      </c>
      <c r="X375" s="51" t="str">
        <f t="shared" si="420"/>
        <v>36951IF-TRANSCO/Z6</v>
      </c>
      <c r="Y375" s="418">
        <f t="shared" si="421"/>
        <v>50</v>
      </c>
      <c r="Z375" s="456">
        <f t="shared" si="422"/>
        <v>-0.32430960692658917</v>
      </c>
      <c r="AA375" s="456">
        <f>_xll.xSPRDOPT($L375,$J375,$I375,$M375,$O375,$N375,$P375,$Q375-$C$3,$R375,3)</f>
        <v>0.27303208481340951</v>
      </c>
      <c r="AB375" s="456">
        <f>((_xll.xSPRDOPT($L375+AB$5,$J375,$I375,$M375,$O375,$N375,$P375,$Q375-$C$3,$R375,3)*$H375)/10000)/100</f>
        <v>0.13651604240670476</v>
      </c>
      <c r="AC375" s="456">
        <f>((_xll.xSPRDOPT($L375+$AB$5,$J375,$I375,$M375,$O375,$N375,$P375,$Q375-$C$3,$R375,7)*$H375)/100)</f>
        <v>-5311.8545450199872</v>
      </c>
      <c r="AD375" s="456">
        <f>(_xll.xSPRDOPT($L375+$AB$5,$J375,$I375,$M375,$O375,$N375,$P375,$Q375-$C$3,$R375,9)/365)*$H375</f>
        <v>-596.31352789022583</v>
      </c>
      <c r="AE375">
        <f t="shared" si="379"/>
        <v>0</v>
      </c>
      <c r="AF375" s="456">
        <f t="shared" si="380"/>
        <v>4278.923795981882</v>
      </c>
      <c r="AG375" s="456">
        <f>((_xll.xSPRDOPT($L375,$J375,$I375,$M375,$O375,$N375,$P375,$Q375-$C$3,$R375,6)*$H375)/100)</f>
        <v>-820.76525789435993</v>
      </c>
      <c r="AH375" s="456">
        <f>((_xll.xSPRDOPT($L375,$J375,$I375,$M375,$O375,$N375,$P375,$Q375-$C$3,$R375,5)*$H375)/100)</f>
        <v>4437.2294463874159</v>
      </c>
      <c r="AI375" s="456">
        <f>(((_xll.xSPRDOPT($L375,$J375,$I375,$M375,$O375,$N375,$P375,$Q375-$C$3,$R375,4)*$H375)/10000)/100)-AB375</f>
        <v>2.1858054995835263E-2</v>
      </c>
      <c r="AJ375" s="456"/>
      <c r="AK375" s="456"/>
      <c r="AL375" s="456"/>
      <c r="AM375" s="472"/>
      <c r="CC375" s="141">
        <f t="shared" si="430"/>
        <v>36951</v>
      </c>
      <c r="CD375" s="234">
        <f>_xll.xSPRDOPT((VLOOKUP(G375,NGPrices,2,FALSE)+HLOOKUP(D375,Prices,VLOOKUP(G375,move_down,2,FALSE),FALSE)),VLOOKUP(G375,NGPrices,2,FALSE),I375,VLOOKUP(G375,NGPREVPRICES,4,FALSE),HLOOKUP(D375,PREVVOLS,VLOOKUP(G375,MOVE_DOWN2,2,FALSE),FALSE),VLOOKUP(G375,NGPREVPRICES,3,FALSE),HLOOKUP(D375,Correllate,VLOOKUP(G375,CorMove,2,FALSE),FALSE),Q375-$CD$3,R375,$CD$5)*H375-CJ375</f>
        <v>0</v>
      </c>
      <c r="CE375" s="234">
        <f>_xll.xSPRDOPT((VLOOKUP(G375,NGPREVPRICES,2,FALSE)+HLOOKUP(D375,PREVCURVES,VLOOKUP(G375,MOVE_DOWN2,2,FALSE),FALSE)),VLOOKUP(G375,NGPREVPRICES,2,FALSE),CK375,VLOOKUP(G375,NGPrices,4,FALSE),HLOOKUP(D375,PREVVOLS,VLOOKUP(G375,MOVE_DOWN2,2,FALSE),FALSE),VLOOKUP(G375,NGPREVPRICES,3,FALSE),HLOOKUP(D375,Correllate,VLOOKUP(G375,CorMove,2,FALSE),FALSE),Q375-$CD$3,R375,$CJ$5)*H375-CJ375</f>
        <v>0</v>
      </c>
      <c r="CF375" s="10">
        <f t="shared" si="431"/>
        <v>-30.688197011506418</v>
      </c>
      <c r="CG375" s="234">
        <f>_xll.xSPRDOPT((VLOOKUP(G375,NGPREVPRICES,2,FALSE)+HLOOKUP(D375,PREVCURVES,VLOOKUP(G375,MOVE_DOWN2,2,FALSE),FALSE)),VLOOKUP(G375,NGPREVPRICES,2,FALSE),CK375,VLOOKUP(G375,NGPREVPRICES,4,FALSE),HLOOKUP(D375,VOLS,VLOOKUP(G375,move_down,2,FALSE),FALSE),VLOOKUP(G375,NGPrices,3,FALSE),HLOOKUP(D375,Correllate,VLOOKUP(G375,CorMove,2,FALSE),FALSE),Q375-$CD$3,R375,$CJ$5)*H375-CJ375</f>
        <v>0</v>
      </c>
      <c r="CH375" s="234">
        <f>_xll.xSPRDOPT((VLOOKUP(G375,NGPREVPRICES,2,FALSE)+HLOOKUP(D375,PREVCURVES,VLOOKUP(G375,MOVE_DOWN2,2,FALSE),FALSE)),VLOOKUP(G375,NGPREVPRICES,2,FALSE),CK375,VLOOKUP(G375,NGPREVPRICES,4,FALSE),HLOOKUP(D375,PREVVOLS,VLOOKUP(G375,MOVE_DOWN2,2,FALSE),FALSE),VLOOKUP(G375,NGPREVPRICES,3,FALSE),HLOOKUP(D375,Correllate,VLOOKUP(G375,CorMove,2,FALSE),FALSE),Q375-$C$3,R375,$CJ$5)*H375-CJ375</f>
        <v>-595.00332731904928</v>
      </c>
      <c r="CI375" s="234">
        <f t="shared" si="432"/>
        <v>-625.69152433055569</v>
      </c>
      <c r="CJ375" s="234">
        <f>_xll.xSPRDOPT((VLOOKUP(G375,NGPREVPRICES,2,FALSE)+HLOOKUP(D375,PREVCURVES,VLOOKUP(G375,MOVE_DOWN2,2,FALSE),FALSE)),VLOOKUP(G375,NGPREVPRICES,2,FALSE),CK375,VLOOKUP(G375,NGPREVPRICES,4,FALSE),HLOOKUP(D375,PREVVOLS,VLOOKUP(G375,MOVE_DOWN2,2,FALSE),FALSE),VLOOKUP(G375,NGPREVPRICES,3,FALSE),HLOOKUP(D375,Correllate,VLOOKUP(G375,CorMove,2,FALSE),FALSE),Q375-$CD$3,R375,$CJ$5)*H375</f>
        <v>160013.49465428333</v>
      </c>
      <c r="CK375" s="235">
        <f t="shared" si="433"/>
        <v>0.7</v>
      </c>
      <c r="CM375" t="str">
        <f t="shared" si="434"/>
        <v>36951Curve Shift/Gamma</v>
      </c>
      <c r="CN375" t="str">
        <f t="shared" si="435"/>
        <v>36951Rho</v>
      </c>
      <c r="CO375" t="str">
        <f t="shared" si="436"/>
        <v>36951Drift</v>
      </c>
      <c r="CP375" t="str">
        <f t="shared" si="437"/>
        <v>36951Vega</v>
      </c>
      <c r="CQ375" t="str">
        <f t="shared" si="438"/>
        <v>36951Theta</v>
      </c>
    </row>
    <row r="376" spans="1:95" x14ac:dyDescent="0.25">
      <c r="A376" s="382" t="s">
        <v>294</v>
      </c>
      <c r="B376" t="s">
        <v>250</v>
      </c>
      <c r="C376" t="s">
        <v>457</v>
      </c>
      <c r="D376" s="4" t="s">
        <v>7</v>
      </c>
      <c r="E376" t="s">
        <v>20</v>
      </c>
      <c r="F376" t="s">
        <v>1</v>
      </c>
      <c r="G376" s="5">
        <v>36923</v>
      </c>
      <c r="H376" s="130">
        <v>500000</v>
      </c>
      <c r="I376">
        <v>0.7</v>
      </c>
      <c r="J376" s="53">
        <f t="shared" si="381"/>
        <v>4.4800000000000004</v>
      </c>
      <c r="K376" s="7">
        <f t="shared" si="382"/>
        <v>2.09</v>
      </c>
      <c r="L376" s="53">
        <f t="shared" si="383"/>
        <v>6.57</v>
      </c>
      <c r="M376" s="157">
        <f t="shared" si="423"/>
        <v>6.8640161611372E-2</v>
      </c>
      <c r="N376" s="4">
        <f t="shared" si="424"/>
        <v>0.59250000000000003</v>
      </c>
      <c r="O376" s="4">
        <f t="shared" si="425"/>
        <v>0.68100000000000005</v>
      </c>
      <c r="P376" s="9">
        <f t="shared" si="426"/>
        <v>0.83</v>
      </c>
      <c r="Q376" s="5">
        <f t="shared" si="375"/>
        <v>36921</v>
      </c>
      <c r="R376" s="4">
        <f t="shared" si="427"/>
        <v>0</v>
      </c>
      <c r="S376" s="158">
        <f>_xll.xSPRDOPT($L376,$J376,$I376,$M376,$O376,$N376,$P376,$Q376-$C$3,$R376,0)</f>
        <v>0.12813563574901565</v>
      </c>
      <c r="T376" s="159">
        <f>_xll.xSPRDOPT($L376,$J376,$I376,$M376,$O376,$N376,$P376,$Q376-$C$3,$R376,1)*H376</f>
        <v>-68200.331943590092</v>
      </c>
      <c r="U376" s="160">
        <f t="shared" si="428"/>
        <v>64067.817874507826</v>
      </c>
      <c r="V376" s="159">
        <f>_xll.xSPRDOPT($L376,$J376,$I376,$M376,$O376,$N376,$P376,$Q376-$C$3,$R376,2)*H376</f>
        <v>97741.303430718239</v>
      </c>
      <c r="W376" s="159">
        <f t="shared" si="429"/>
        <v>29540.971487128147</v>
      </c>
      <c r="X376" s="51" t="str">
        <f t="shared" si="420"/>
        <v>36923IF-TRANSCO/Z6</v>
      </c>
      <c r="Y376" s="418">
        <f t="shared" si="421"/>
        <v>50</v>
      </c>
      <c r="Z376" s="456">
        <f t="shared" si="422"/>
        <v>-0.1364006638871802</v>
      </c>
      <c r="AA376" s="456">
        <f>_xll.xSPRDOPT($L376,$J376,$I376,$M376,$O376,$N376,$P376,$Q376-$C$3,$R376,3)</f>
        <v>0.13210552062423978</v>
      </c>
      <c r="AB376" s="456">
        <f>((_xll.xSPRDOPT($L376+AB$5,$J376,$I376,$M376,$O376,$N376,$P376,$Q376-$C$3,$R376,3)*$H376)/10000)/100</f>
        <v>6.6052760312119888E-2</v>
      </c>
      <c r="AC376" s="456">
        <f>((_xll.xSPRDOPT($L376+$AB$5,$J376,$I376,$M376,$O376,$N376,$P376,$Q376-$C$3,$R376,7)*$H376)/100)</f>
        <v>-4169.972898542017</v>
      </c>
      <c r="AD376" s="456">
        <f>(_xll.xSPRDOPT($L376+$AB$5,$J376,$I376,$M376,$O376,$N376,$P376,$Q376-$C$3,$R376,9)/365)*$H376</f>
        <v>-566.71350573031953</v>
      </c>
      <c r="AE376">
        <f t="shared" si="379"/>
        <v>0</v>
      </c>
      <c r="AF376" s="456">
        <f t="shared" si="380"/>
        <v>3006.5252514853069</v>
      </c>
      <c r="AG376" s="456">
        <f>((_xll.xSPRDOPT($L376,$J376,$I376,$M376,$O376,$N376,$P376,$Q376-$C$3,$R376,6)*$H376)/100)</f>
        <v>-561.30363747133333</v>
      </c>
      <c r="AH376" s="456">
        <f>((_xll.xSPRDOPT($L376,$J376,$I376,$M376,$O376,$N376,$P376,$Q376-$C$3,$R376,5)*$H376)/100)</f>
        <v>3104.1683064710851</v>
      </c>
      <c r="AI376" s="456">
        <f>(((_xll.xSPRDOPT($L376,$J376,$I376,$M376,$O376,$N376,$P376,$Q376-$C$3,$R376,4)*$H376)/10000)/100)-AB376</f>
        <v>3.9258964384149692E-2</v>
      </c>
      <c r="AJ376" s="456"/>
      <c r="AK376" s="456"/>
      <c r="AL376" s="456"/>
      <c r="AM376" s="472"/>
      <c r="CC376" s="141">
        <f t="shared" si="430"/>
        <v>36923</v>
      </c>
      <c r="CD376" s="234">
        <f>_xll.xSPRDOPT((VLOOKUP(G376,NGPrices,2,FALSE)+HLOOKUP(D376,Prices,VLOOKUP(G376,move_down,2,FALSE),FALSE)),VLOOKUP(G376,NGPrices,2,FALSE),I376,VLOOKUP(G376,NGPREVPRICES,4,FALSE),HLOOKUP(D376,PREVVOLS,VLOOKUP(G376,MOVE_DOWN2,2,FALSE),FALSE),VLOOKUP(G376,NGPREVPRICES,3,FALSE),HLOOKUP(D376,Correllate,VLOOKUP(G376,CorMove,2,FALSE),FALSE),Q376-$CD$3,R376,$CD$5)*H376-CJ376</f>
        <v>0</v>
      </c>
      <c r="CE376" s="234">
        <f>_xll.xSPRDOPT((VLOOKUP(G376,NGPREVPRICES,2,FALSE)+HLOOKUP(D376,PREVCURVES,VLOOKUP(G376,MOVE_DOWN2,2,FALSE),FALSE)),VLOOKUP(G376,NGPREVPRICES,2,FALSE),CK376,VLOOKUP(G376,NGPrices,4,FALSE),HLOOKUP(D376,PREVVOLS,VLOOKUP(G376,MOVE_DOWN2,2,FALSE),FALSE),VLOOKUP(G376,NGPREVPRICES,3,FALSE),HLOOKUP(D376,Correllate,VLOOKUP(G376,CorMove,2,FALSE),FALSE),Q376-$CD$3,R376,$CJ$5)*H376-CJ376</f>
        <v>0</v>
      </c>
      <c r="CF376" s="10">
        <f t="shared" si="431"/>
        <v>-12.292630176540115</v>
      </c>
      <c r="CG376" s="234">
        <f>_xll.xSPRDOPT((VLOOKUP(G376,NGPREVPRICES,2,FALSE)+HLOOKUP(D376,PREVCURVES,VLOOKUP(G376,MOVE_DOWN2,2,FALSE),FALSE)),VLOOKUP(G376,NGPREVPRICES,2,FALSE),CK376,VLOOKUP(G376,NGPREVPRICES,4,FALSE),HLOOKUP(D376,VOLS,VLOOKUP(G376,move_down,2,FALSE),FALSE),VLOOKUP(G376,NGPrices,3,FALSE),HLOOKUP(D376,Correllate,VLOOKUP(G376,CorMove,2,FALSE),FALSE),Q376-$CD$3,R376,$CJ$5)*H376-CJ376</f>
        <v>0</v>
      </c>
      <c r="CH376" s="234">
        <f>_xll.xSPRDOPT((VLOOKUP(G376,NGPREVPRICES,2,FALSE)+HLOOKUP(D376,PREVCURVES,VLOOKUP(G376,MOVE_DOWN2,2,FALSE),FALSE)),VLOOKUP(G376,NGPREVPRICES,2,FALSE),CK376,VLOOKUP(G376,NGPREVPRICES,4,FALSE),HLOOKUP(D376,PREVVOLS,VLOOKUP(G376,MOVE_DOWN2,2,FALSE),FALSE),VLOOKUP(G376,NGPREVPRICES,3,FALSE),HLOOKUP(D376,Correllate,VLOOKUP(G376,CorMove,2,FALSE),FALSE),Q376-$C$3,R376,$CJ$5)*H376-CJ376</f>
        <v>-566.12360174918285</v>
      </c>
      <c r="CI376" s="234">
        <f t="shared" si="432"/>
        <v>-578.41623192572297</v>
      </c>
      <c r="CJ376" s="234">
        <f>_xll.xSPRDOPT((VLOOKUP(G376,NGPREVPRICES,2,FALSE)+HLOOKUP(D376,PREVCURVES,VLOOKUP(G376,MOVE_DOWN2,2,FALSE),FALSE)),VLOOKUP(G376,NGPREVPRICES,2,FALSE),CK376,VLOOKUP(G376,NGPREVPRICES,4,FALSE),HLOOKUP(D376,PREVVOLS,VLOOKUP(G376,MOVE_DOWN2,2,FALSE),FALSE),VLOOKUP(G376,NGPREVPRICES,3,FALSE),HLOOKUP(D376,Correllate,VLOOKUP(G376,CorMove,2,FALSE),FALSE),Q376-$CD$3,R376,$CJ$5)*H376</f>
        <v>64633.941476257009</v>
      </c>
      <c r="CK376" s="235">
        <f t="shared" si="433"/>
        <v>0.7</v>
      </c>
      <c r="CM376" t="str">
        <f t="shared" si="434"/>
        <v>36923Curve Shift/Gamma</v>
      </c>
      <c r="CN376" t="str">
        <f t="shared" si="435"/>
        <v>36923Rho</v>
      </c>
      <c r="CO376" t="str">
        <f t="shared" si="436"/>
        <v>36923Drift</v>
      </c>
      <c r="CP376" t="str">
        <f t="shared" si="437"/>
        <v>36923Vega</v>
      </c>
      <c r="CQ376" t="str">
        <f t="shared" si="438"/>
        <v>36923Theta</v>
      </c>
    </row>
    <row r="377" spans="1:95" x14ac:dyDescent="0.25">
      <c r="A377" s="382" t="s">
        <v>294</v>
      </c>
      <c r="B377" t="s">
        <v>250</v>
      </c>
      <c r="C377" t="s">
        <v>457</v>
      </c>
      <c r="D377" s="4" t="s">
        <v>7</v>
      </c>
      <c r="E377" t="s">
        <v>20</v>
      </c>
      <c r="F377" t="s">
        <v>1</v>
      </c>
      <c r="G377" s="5">
        <v>36892</v>
      </c>
      <c r="H377" s="130">
        <v>500000</v>
      </c>
      <c r="I377">
        <v>0.7</v>
      </c>
      <c r="J377" s="53">
        <f t="shared" si="381"/>
        <v>4.7439999999999998</v>
      </c>
      <c r="K377" s="7">
        <f t="shared" si="382"/>
        <v>2.17</v>
      </c>
      <c r="L377" s="53">
        <f t="shared" si="383"/>
        <v>6.9139999999999997</v>
      </c>
      <c r="M377" s="157">
        <f t="shared" si="423"/>
        <v>6.8374831148490994E-2</v>
      </c>
      <c r="N377" s="4">
        <f t="shared" si="424"/>
        <v>0.60499999999999998</v>
      </c>
      <c r="O377" s="4">
        <f t="shared" si="425"/>
        <v>0.69599999999999995</v>
      </c>
      <c r="P377" s="9">
        <f t="shared" si="426"/>
        <v>0.83</v>
      </c>
      <c r="Q377" s="5">
        <f t="shared" si="375"/>
        <v>36888</v>
      </c>
      <c r="R377" s="4">
        <f t="shared" si="427"/>
        <v>0</v>
      </c>
      <c r="S377" s="158">
        <f>_xll.xSPRDOPT($L377,$J377,$I377,$M377,$O377,$N377,$P377,$Q377-$C$3,$R377,0)</f>
        <v>0.1001746166056221</v>
      </c>
      <c r="T377" s="159">
        <f>_xll.xSPRDOPT($L377,$J377,$I377,$M377,$O377,$N377,$P377,$Q377-$C$3,$R377,1)*H377</f>
        <v>-58868.466053644763</v>
      </c>
      <c r="U377" s="160">
        <f t="shared" si="428"/>
        <v>50087.308302811049</v>
      </c>
      <c r="V377" s="159">
        <f>_xll.xSPRDOPT($L377,$J377,$I377,$M377,$O377,$N377,$P377,$Q377-$C$3,$R377,2)*H377</f>
        <v>83146.457943560177</v>
      </c>
      <c r="W377" s="159">
        <f t="shared" si="429"/>
        <v>24277.991889915415</v>
      </c>
      <c r="X377" s="51" t="str">
        <f t="shared" si="420"/>
        <v>36892IF-TRANSCO/Z6</v>
      </c>
      <c r="Y377" s="418">
        <f t="shared" si="421"/>
        <v>50</v>
      </c>
      <c r="Z377" s="456">
        <f t="shared" si="422"/>
        <v>-0.11773693210728953</v>
      </c>
      <c r="AA377" s="456">
        <f>_xll.xSPRDOPT($L377,$J377,$I377,$M377,$O377,$N377,$P377,$Q377-$C$3,$R377,3)</f>
        <v>0.12559934703061812</v>
      </c>
      <c r="AB377" s="456">
        <f>((_xll.xSPRDOPT($L377+AB$5,$J377,$I377,$M377,$O377,$N377,$P377,$Q377-$C$3,$R377,3)*$H377)/10000)/100</f>
        <v>6.2799673515309073E-2</v>
      </c>
      <c r="AC377" s="456">
        <f>((_xll.xSPRDOPT($L377+$AB$5,$J377,$I377,$M377,$O377,$N377,$P377,$Q377-$C$3,$R377,7)*$H377)/100)</f>
        <v>-3628.6101732960942</v>
      </c>
      <c r="AD377" s="456">
        <f>(_xll.xSPRDOPT($L377+$AB$5,$J377,$I377,$M377,$O377,$N377,$P377,$Q377-$C$3,$R377,9)/365)*$H377</f>
        <v>-624.66513574719397</v>
      </c>
      <c r="AE377">
        <f t="shared" si="379"/>
        <v>0</v>
      </c>
      <c r="AF377" s="456">
        <f t="shared" si="380"/>
        <v>2534.4556967570661</v>
      </c>
      <c r="AG377" s="456">
        <f>((_xll.xSPRDOPT($L377,$J377,$I377,$M377,$O377,$N377,$P377,$Q377-$C$3,$R377,6)*$H377)/100)</f>
        <v>-450.3726293451266</v>
      </c>
      <c r="AH377" s="456">
        <f>((_xll.xSPRDOPT($L377,$J377,$I377,$M377,$O377,$N377,$P377,$Q377-$C$3,$R377,5)*$H377)/100)</f>
        <v>2594.5705995572221</v>
      </c>
      <c r="AI377" s="456">
        <f>(((_xll.xSPRDOPT($L377,$J377,$I377,$M377,$O377,$N377,$P377,$Q377-$C$3,$R377,4)*$H377)/10000)/100)-AB377</f>
        <v>3.7579800969219451E-2</v>
      </c>
      <c r="AJ377" s="456"/>
      <c r="AK377" s="456"/>
      <c r="AL377" s="456"/>
      <c r="AM377" s="472"/>
      <c r="CC377" s="141">
        <f t="shared" si="430"/>
        <v>36892</v>
      </c>
      <c r="CD377" s="234">
        <f>_xll.xSPRDOPT((VLOOKUP(G377,NGPrices,2,FALSE)+HLOOKUP(D377,Prices,VLOOKUP(G377,move_down,2,FALSE),FALSE)),VLOOKUP(G377,NGPrices,2,FALSE),I377,VLOOKUP(G377,NGPREVPRICES,4,FALSE),HLOOKUP(D377,PREVVOLS,VLOOKUP(G377,MOVE_DOWN2,2,FALSE),FALSE),VLOOKUP(G377,NGPREVPRICES,3,FALSE),HLOOKUP(D377,Correllate,VLOOKUP(G377,CorMove,2,FALSE),FALSE),Q377-$CD$3,R377,$CD$5)*H377-CJ377</f>
        <v>0</v>
      </c>
      <c r="CE377" s="234">
        <f>_xll.xSPRDOPT((VLOOKUP(G377,NGPREVPRICES,2,FALSE)+HLOOKUP(D377,PREVCURVES,VLOOKUP(G377,MOVE_DOWN2,2,FALSE),FALSE)),VLOOKUP(G377,NGPREVPRICES,2,FALSE),CK377,VLOOKUP(G377,NGPrices,4,FALSE),HLOOKUP(D377,PREVVOLS,VLOOKUP(G377,MOVE_DOWN2,2,FALSE),FALSE),VLOOKUP(G377,NGPREVPRICES,3,FALSE),HLOOKUP(D377,Correllate,VLOOKUP(G377,CorMove,2,FALSE),FALSE),Q377-$CD$3,R377,$CJ$5)*H377-CJ377</f>
        <v>0</v>
      </c>
      <c r="CF377" s="10">
        <f t="shared" si="431"/>
        <v>-9.5561484889985877</v>
      </c>
      <c r="CG377" s="234">
        <f>_xll.xSPRDOPT((VLOOKUP(G377,NGPREVPRICES,2,FALSE)+HLOOKUP(D377,PREVCURVES,VLOOKUP(G377,MOVE_DOWN2,2,FALSE),FALSE)),VLOOKUP(G377,NGPREVPRICES,2,FALSE),CK377,VLOOKUP(G377,NGPREVPRICES,4,FALSE),HLOOKUP(D377,VOLS,VLOOKUP(G377,move_down,2,FALSE),FALSE),VLOOKUP(G377,NGPrices,3,FALSE),HLOOKUP(D377,Correllate,VLOOKUP(G377,CorMove,2,FALSE),FALSE),Q377-$CD$3,R377,$CJ$5)*H377-CJ377</f>
        <v>0</v>
      </c>
      <c r="CH377" s="234">
        <f>_xll.xSPRDOPT((VLOOKUP(G377,NGPREVPRICES,2,FALSE)+HLOOKUP(D377,PREVCURVES,VLOOKUP(G377,MOVE_DOWN2,2,FALSE),FALSE)),VLOOKUP(G377,NGPREVPRICES,2,FALSE),CK377,VLOOKUP(G377,NGPREVPRICES,4,FALSE),HLOOKUP(D377,PREVVOLS,VLOOKUP(G377,MOVE_DOWN2,2,FALSE),FALSE),VLOOKUP(G377,NGPREVPRICES,3,FALSE),HLOOKUP(D377,Correllate,VLOOKUP(G377,CorMove,2,FALSE),FALSE),Q377-$C$3,R377,$CJ$5)*H377-CJ377</f>
        <v>-624.26807128318615</v>
      </c>
      <c r="CI377" s="234">
        <f t="shared" si="432"/>
        <v>-633.82421977218473</v>
      </c>
      <c r="CJ377" s="234">
        <f>_xll.xSPRDOPT((VLOOKUP(G377,NGPREVPRICES,2,FALSE)+HLOOKUP(D377,PREVCURVES,VLOOKUP(G377,MOVE_DOWN2,2,FALSE),FALSE)),VLOOKUP(G377,NGPREVPRICES,2,FALSE),CK377,VLOOKUP(G377,NGPREVPRICES,4,FALSE),HLOOKUP(D377,PREVVOLS,VLOOKUP(G377,MOVE_DOWN2,2,FALSE),FALSE),VLOOKUP(G377,NGPREVPRICES,3,FALSE),HLOOKUP(D377,Correllate,VLOOKUP(G377,CorMove,2,FALSE),FALSE),Q377-$CD$3,R377,$CJ$5)*H377</f>
        <v>50711.576374094235</v>
      </c>
      <c r="CK377" s="235">
        <f t="shared" si="433"/>
        <v>0.7</v>
      </c>
      <c r="CM377" t="str">
        <f t="shared" si="434"/>
        <v>36892Curve Shift/Gamma</v>
      </c>
      <c r="CN377" t="str">
        <f t="shared" si="435"/>
        <v>36892Rho</v>
      </c>
      <c r="CO377" t="str">
        <f t="shared" si="436"/>
        <v>36892Drift</v>
      </c>
      <c r="CP377" t="str">
        <f t="shared" si="437"/>
        <v>36892Vega</v>
      </c>
      <c r="CQ377" t="str">
        <f t="shared" si="438"/>
        <v>36892Theta</v>
      </c>
    </row>
    <row r="378" spans="1:95" x14ac:dyDescent="0.25">
      <c r="A378" s="382" t="s">
        <v>294</v>
      </c>
      <c r="B378" t="s">
        <v>250</v>
      </c>
      <c r="C378" t="s">
        <v>457</v>
      </c>
      <c r="D378" s="4" t="s">
        <v>7</v>
      </c>
      <c r="E378" t="s">
        <v>20</v>
      </c>
      <c r="F378" t="s">
        <v>1</v>
      </c>
      <c r="G378" s="5">
        <v>36861</v>
      </c>
      <c r="H378" s="130">
        <v>500000</v>
      </c>
      <c r="I378">
        <v>0.7</v>
      </c>
      <c r="J378" s="53">
        <f t="shared" si="381"/>
        <v>4.8</v>
      </c>
      <c r="K378" s="7">
        <f t="shared" si="382"/>
        <v>1.645</v>
      </c>
      <c r="L378" s="53">
        <f t="shared" si="383"/>
        <v>6.4450000000000003</v>
      </c>
      <c r="M378" s="157">
        <f t="shared" si="423"/>
        <v>6.8314027999354002E-2</v>
      </c>
      <c r="N378" s="4">
        <f t="shared" si="424"/>
        <v>0.6</v>
      </c>
      <c r="O378" s="4">
        <f t="shared" si="425"/>
        <v>0.69</v>
      </c>
      <c r="P378" s="9">
        <f t="shared" si="426"/>
        <v>0.83</v>
      </c>
      <c r="Q378" s="5">
        <f t="shared" si="375"/>
        <v>36859</v>
      </c>
      <c r="R378" s="4">
        <f t="shared" si="427"/>
        <v>0</v>
      </c>
      <c r="S378" s="158">
        <f>_xll.xSPRDOPT($L378,$J378,$I378,$M378,$O378,$N378,$P378,$Q378-$C$3,$R378,0)</f>
        <v>0.13350735548956805</v>
      </c>
      <c r="T378" s="159">
        <f>_xll.xSPRDOPT($L378,$J378,$I378,$M378,$O378,$N378,$P378,$Q378-$C$3,$R378,1)*H378</f>
        <v>-88969.021261736387</v>
      </c>
      <c r="U378" s="160">
        <f t="shared" si="428"/>
        <v>66753.677744784029</v>
      </c>
      <c r="V378" s="159">
        <f>_xll.xSPRDOPT($L378,$J378,$I378,$M378,$O378,$N378,$P378,$Q378-$C$3,$R378,2)*H378</f>
        <v>115589.04600083502</v>
      </c>
      <c r="W378" s="159">
        <f t="shared" si="429"/>
        <v>26620.024739098633</v>
      </c>
      <c r="X378" s="51" t="str">
        <f t="shared" si="420"/>
        <v>36861IF-TRANSCO/Z6</v>
      </c>
      <c r="Y378" s="418">
        <f t="shared" si="421"/>
        <v>50</v>
      </c>
      <c r="Z378" s="456">
        <f t="shared" si="422"/>
        <v>-0.17793804252347278</v>
      </c>
      <c r="AA378" s="456">
        <f>_xll.xSPRDOPT($L378,$J378,$I378,$M378,$O378,$N378,$P378,$Q378-$C$3,$R378,3)</f>
        <v>0.205994400015411</v>
      </c>
      <c r="AB378" s="456">
        <f>((_xll.xSPRDOPT($L378+AB$5,$J378,$I378,$M378,$O378,$N378,$P378,$Q378-$C$3,$R378,3)*$H378)/10000)/100</f>
        <v>0.1029972000077055</v>
      </c>
      <c r="AC378" s="456">
        <f>((_xll.xSPRDOPT($L378+$AB$5,$J378,$I378,$M378,$O378,$N378,$P378,$Q378-$C$3,$R378,7)*$H378)/100)</f>
        <v>-3880.2868102291895</v>
      </c>
      <c r="AD378" s="456">
        <f>(_xll.xSPRDOPT($L378+$AB$5,$J378,$I378,$M378,$O378,$N378,$P378,$Q378-$C$3,$R378,9)/365)*$H378</f>
        <v>-873.23798318647403</v>
      </c>
      <c r="AE378">
        <f t="shared" si="379"/>
        <v>0</v>
      </c>
      <c r="AF378" s="456">
        <f t="shared" si="380"/>
        <v>2714.3847596617688</v>
      </c>
      <c r="AG378" s="456">
        <f>((_xll.xSPRDOPT($L378,$J378,$I378,$M378,$O378,$N378,$P378,$Q378-$C$3,$R378,6)*$H378)/100)</f>
        <v>-468.89434035853191</v>
      </c>
      <c r="AH378" s="456">
        <f>((_xll.xSPRDOPT($L378,$J378,$I378,$M378,$O378,$N378,$P378,$Q378-$C$3,$R378,5)*$H378)/100)</f>
        <v>2768.0687826263484</v>
      </c>
      <c r="AI378" s="456">
        <f>(((_xll.xSPRDOPT($L378,$J378,$I378,$M378,$O378,$N378,$P378,$Q378-$C$3,$R378,4)*$H378)/10000)/100)-AB378</f>
        <v>3.7692015315480873E-2</v>
      </c>
      <c r="AJ378" s="456"/>
      <c r="AK378" s="456"/>
      <c r="AL378" s="456"/>
      <c r="AM378" s="472"/>
      <c r="CC378" s="141">
        <f t="shared" si="430"/>
        <v>36861</v>
      </c>
      <c r="CD378" s="234">
        <f>_xll.xSPRDOPT((VLOOKUP(G378,NGPrices,2,FALSE)+HLOOKUP(D378,Prices,VLOOKUP(G378,move_down,2,FALSE),FALSE)),VLOOKUP(G378,NGPrices,2,FALSE),I378,VLOOKUP(G378,NGPREVPRICES,4,FALSE),HLOOKUP(D378,PREVVOLS,VLOOKUP(G378,MOVE_DOWN2,2,FALSE),FALSE),VLOOKUP(G378,NGPREVPRICES,3,FALSE),HLOOKUP(D378,Correllate,VLOOKUP(G378,CorMove,2,FALSE),FALSE),Q378-$CD$3,R378,$CD$5)*H378-CJ378</f>
        <v>0</v>
      </c>
      <c r="CE378" s="234">
        <f>_xll.xSPRDOPT((VLOOKUP(G378,NGPREVPRICES,2,FALSE)+HLOOKUP(D378,PREVCURVES,VLOOKUP(G378,MOVE_DOWN2,2,FALSE),FALSE)),VLOOKUP(G378,NGPREVPRICES,2,FALSE),CK378,VLOOKUP(G378,NGPrices,4,FALSE),HLOOKUP(D378,PREVVOLS,VLOOKUP(G378,MOVE_DOWN2,2,FALSE),FALSE),VLOOKUP(G378,NGPREVPRICES,3,FALSE),HLOOKUP(D378,Correllate,VLOOKUP(G378,CorMove,2,FALSE),FALSE),Q378-$CD$3,R378,$CJ$5)*H378-CJ378</f>
        <v>0</v>
      </c>
      <c r="CF378" s="10">
        <f t="shared" si="431"/>
        <v>-12.668788987954031</v>
      </c>
      <c r="CG378" s="234">
        <f>_xll.xSPRDOPT((VLOOKUP(G378,NGPREVPRICES,2,FALSE)+HLOOKUP(D378,PREVCURVES,VLOOKUP(G378,MOVE_DOWN2,2,FALSE),FALSE)),VLOOKUP(G378,NGPREVPRICES,2,FALSE),CK378,VLOOKUP(G378,NGPREVPRICES,4,FALSE),HLOOKUP(D378,VOLS,VLOOKUP(G378,move_down,2,FALSE),FALSE),VLOOKUP(G378,NGPrices,3,FALSE),HLOOKUP(D378,Correllate,VLOOKUP(G378,CorMove,2,FALSE),FALSE),Q378-$CD$3,R378,$CJ$5)*H378-CJ378</f>
        <v>0</v>
      </c>
      <c r="CH378" s="234">
        <f>_xll.xSPRDOPT((VLOOKUP(G378,NGPREVPRICES,2,FALSE)+HLOOKUP(D378,PREVCURVES,VLOOKUP(G378,MOVE_DOWN2,2,FALSE),FALSE)),VLOOKUP(G378,NGPREVPRICES,2,FALSE),CK378,VLOOKUP(G378,NGPREVPRICES,4,FALSE),HLOOKUP(D378,PREVVOLS,VLOOKUP(G378,MOVE_DOWN2,2,FALSE),FALSE),VLOOKUP(G378,NGPREVPRICES,3,FALSE),HLOOKUP(D378,Correllate,VLOOKUP(G378,CorMove,2,FALSE),FALSE),Q378-$C$3,R378,$CJ$5)*H378-CJ378</f>
        <v>-871.64852679926844</v>
      </c>
      <c r="CI378" s="234">
        <f t="shared" si="432"/>
        <v>-884.31731578722247</v>
      </c>
      <c r="CJ378" s="234">
        <f>_xll.xSPRDOPT((VLOOKUP(G378,NGPREVPRICES,2,FALSE)+HLOOKUP(D378,PREVCURVES,VLOOKUP(G378,MOVE_DOWN2,2,FALSE),FALSE)),VLOOKUP(G378,NGPREVPRICES,2,FALSE),CK378,VLOOKUP(G378,NGPREVPRICES,4,FALSE),HLOOKUP(D378,PREVVOLS,VLOOKUP(G378,MOVE_DOWN2,2,FALSE),FALSE),VLOOKUP(G378,NGPREVPRICES,3,FALSE),HLOOKUP(D378,Correllate,VLOOKUP(G378,CorMove,2,FALSE),FALSE),Q378-$CD$3,R378,$CJ$5)*H378</f>
        <v>67625.326271583297</v>
      </c>
      <c r="CK378" s="235">
        <f t="shared" si="433"/>
        <v>0.7</v>
      </c>
      <c r="CM378" t="str">
        <f t="shared" si="434"/>
        <v>36861Curve Shift/Gamma</v>
      </c>
      <c r="CN378" t="str">
        <f t="shared" si="435"/>
        <v>36861Rho</v>
      </c>
      <c r="CO378" t="str">
        <f t="shared" si="436"/>
        <v>36861Drift</v>
      </c>
      <c r="CP378" t="str">
        <f t="shared" si="437"/>
        <v>36861Vega</v>
      </c>
      <c r="CQ378" t="str">
        <f t="shared" si="438"/>
        <v>36861Theta</v>
      </c>
    </row>
    <row r="379" spans="1:95" x14ac:dyDescent="0.25">
      <c r="A379" s="382" t="s">
        <v>294</v>
      </c>
      <c r="B379" t="s">
        <v>250</v>
      </c>
      <c r="C379" t="s">
        <v>457</v>
      </c>
      <c r="D379" s="4" t="s">
        <v>7</v>
      </c>
      <c r="E379" t="s">
        <v>20</v>
      </c>
      <c r="F379" t="s">
        <v>1</v>
      </c>
      <c r="G379" s="5">
        <v>36831</v>
      </c>
      <c r="H379" s="130">
        <v>500000</v>
      </c>
      <c r="I379">
        <v>0.7</v>
      </c>
      <c r="J379" s="53">
        <f t="shared" si="381"/>
        <v>4.7359999999999998</v>
      </c>
      <c r="K379" s="7">
        <f t="shared" si="382"/>
        <v>0.77</v>
      </c>
      <c r="L379" s="53">
        <f t="shared" si="383"/>
        <v>5.5060000000000002</v>
      </c>
      <c r="M379" s="157">
        <f t="shared" si="423"/>
        <v>6.810675983792E-2</v>
      </c>
      <c r="N379" s="4">
        <f t="shared" si="424"/>
        <v>0.59499999999999997</v>
      </c>
      <c r="O379" s="4">
        <f t="shared" si="425"/>
        <v>0.625</v>
      </c>
      <c r="P379" s="9">
        <f t="shared" si="426"/>
        <v>0.89</v>
      </c>
      <c r="Q379" s="5">
        <f t="shared" si="375"/>
        <v>36829</v>
      </c>
      <c r="R379" s="4">
        <f t="shared" si="427"/>
        <v>0</v>
      </c>
      <c r="S379" s="158">
        <f>_xll.xSPRDOPT($L379,$J379,$I379,$M379,$O379,$N379,$P379,$Q379-$C$3,$R379,0)</f>
        <v>0.22248740741004269</v>
      </c>
      <c r="T379" s="159">
        <f>_xll.xSPRDOPT($L379,$J379,$I379,$M379,$O379,$N379,$P379,$Q379-$C$3,$R379,1)*H379</f>
        <v>-214200.81959711219</v>
      </c>
      <c r="U379" s="160">
        <f t="shared" si="428"/>
        <v>111243.70370502134</v>
      </c>
      <c r="V379" s="159">
        <f>_xll.xSPRDOPT($L379,$J379,$I379,$M379,$O379,$N379,$P379,$Q379-$C$3,$R379,2)*H379</f>
        <v>236574.73028780241</v>
      </c>
      <c r="W379" s="159">
        <f t="shared" si="429"/>
        <v>22373.910690690216</v>
      </c>
      <c r="X379" s="51" t="str">
        <f t="shared" si="420"/>
        <v>36831IF-TRANSCO/Z6</v>
      </c>
      <c r="Y379" s="418">
        <f t="shared" si="421"/>
        <v>50</v>
      </c>
      <c r="Z379" s="456">
        <f t="shared" si="422"/>
        <v>-0.42840163919422436</v>
      </c>
      <c r="AA379" s="456">
        <f>_xll.xSPRDOPT($L379,$J379,$I379,$M379,$O379,$N379,$P379,$Q379-$C$3,$R379,3)</f>
        <v>0.59580392973276641</v>
      </c>
      <c r="AB379" s="456">
        <f>((_xll.xSPRDOPT($L379+AB$5,$J379,$I379,$M379,$O379,$N379,$P379,$Q379-$C$3,$R379,3)*$H379)/10000)/100</f>
        <v>0.29790196486638321</v>
      </c>
      <c r="AC379" s="456">
        <f>((_xll.xSPRDOPT($L379+$AB$5,$J379,$I379,$M379,$O379,$N379,$P379,$Q379-$C$3,$R379,7)*$H379)/100)</f>
        <v>-4967.2270996361149</v>
      </c>
      <c r="AD379" s="456">
        <f>(_xll.xSPRDOPT($L379+$AB$5,$J379,$I379,$M379,$O379,$N379,$P379,$Q379-$C$3,$R379,9)/365)*$H379</f>
        <v>-1004.9054636719072</v>
      </c>
      <c r="AE379">
        <f t="shared" si="379"/>
        <v>0</v>
      </c>
      <c r="AF379" s="456">
        <f t="shared" si="380"/>
        <v>2136.0528018365167</v>
      </c>
      <c r="AG379" s="456">
        <f>((_xll.xSPRDOPT($L379,$J379,$I379,$M379,$O379,$N379,$P379,$Q379-$C$3,$R379,6)*$H379)/100)</f>
        <v>-498.42596649418448</v>
      </c>
      <c r="AH379" s="456">
        <f>((_xll.xSPRDOPT($L379,$J379,$I379,$M379,$O379,$N379,$P379,$Q379-$C$3,$R379,5)*$H379)/100)</f>
        <v>2508.0237874508275</v>
      </c>
      <c r="AI379" s="456">
        <f>(((_xll.xSPRDOPT($L379,$J379,$I379,$M379,$O379,$N379,$P379,$Q379-$C$3,$R379,4)*$H379)/10000)/100)-AB379</f>
        <v>8.0769272004252435E-3</v>
      </c>
      <c r="AJ379" s="456"/>
      <c r="AK379" s="456"/>
      <c r="AL379" s="456"/>
      <c r="AM379" s="472"/>
      <c r="CC379" s="141">
        <f t="shared" si="430"/>
        <v>36831</v>
      </c>
      <c r="CD379" s="234">
        <f>_xll.xSPRDOPT((VLOOKUP(G379,NGPrices,2,FALSE)+HLOOKUP(D379,Prices,VLOOKUP(G379,move_down,2,FALSE),FALSE)),VLOOKUP(G379,NGPrices,2,FALSE),I379,VLOOKUP(G379,NGPREVPRICES,4,FALSE),HLOOKUP(D379,PREVVOLS,VLOOKUP(G379,MOVE_DOWN2,2,FALSE),FALSE),VLOOKUP(G379,NGPREVPRICES,3,FALSE),HLOOKUP(D379,Correllate,VLOOKUP(G379,CorMove,2,FALSE),FALSE),Q379-$CD$3,R379,$CD$5)*H379-CJ379</f>
        <v>0</v>
      </c>
      <c r="CE379" s="234">
        <f>_xll.xSPRDOPT((VLOOKUP(G379,NGPREVPRICES,2,FALSE)+HLOOKUP(D379,PREVCURVES,VLOOKUP(G379,MOVE_DOWN2,2,FALSE),FALSE)),VLOOKUP(G379,NGPREVPRICES,2,FALSE),CK379,VLOOKUP(G379,NGPrices,4,FALSE),HLOOKUP(D379,PREVVOLS,VLOOKUP(G379,MOVE_DOWN2,2,FALSE),FALSE),VLOOKUP(G379,NGPREVPRICES,3,FALSE),HLOOKUP(D379,Correllate,VLOOKUP(G379,CorMove,2,FALSE),FALSE),Q379-$CD$3,R379,$CJ$5)*H379-CJ379</f>
        <v>0</v>
      </c>
      <c r="CF379" s="10">
        <f t="shared" si="431"/>
        <v>-20.844847052896512</v>
      </c>
      <c r="CG379" s="234">
        <f>_xll.xSPRDOPT((VLOOKUP(G379,NGPREVPRICES,2,FALSE)+HLOOKUP(D379,PREVCURVES,VLOOKUP(G379,MOVE_DOWN2,2,FALSE),FALSE)),VLOOKUP(G379,NGPREVPRICES,2,FALSE),CK379,VLOOKUP(G379,NGPREVPRICES,4,FALSE),HLOOKUP(D379,VOLS,VLOOKUP(G379,move_down,2,FALSE),FALSE),VLOOKUP(G379,NGPrices,3,FALSE),HLOOKUP(D379,Correllate,VLOOKUP(G379,CorMove,2,FALSE),FALSE),Q379-$CD$3,R379,$CJ$5)*H379-CJ379</f>
        <v>0</v>
      </c>
      <c r="CH379" s="234">
        <f>_xll.xSPRDOPT((VLOOKUP(G379,NGPREVPRICES,2,FALSE)+HLOOKUP(D379,PREVCURVES,VLOOKUP(G379,MOVE_DOWN2,2,FALSE),FALSE)),VLOOKUP(G379,NGPREVPRICES,2,FALSE),CK379,VLOOKUP(G379,NGPREVPRICES,4,FALSE),HLOOKUP(D379,PREVVOLS,VLOOKUP(G379,MOVE_DOWN2,2,FALSE),FALSE),VLOOKUP(G379,NGPREVPRICES,3,FALSE),HLOOKUP(D379,Correllate,VLOOKUP(G379,CorMove,2,FALSE),FALSE),Q379-$C$3,R379,$CJ$5)*H379-CJ379</f>
        <v>-999.9804937945155</v>
      </c>
      <c r="CI379" s="234">
        <f t="shared" si="432"/>
        <v>-1020.825340847412</v>
      </c>
      <c r="CJ379" s="234">
        <f>_xll.xSPRDOPT((VLOOKUP(G379,NGPREVPRICES,2,FALSE)+HLOOKUP(D379,PREVCURVES,VLOOKUP(G379,MOVE_DOWN2,2,FALSE),FALSE)),VLOOKUP(G379,NGPREVPRICES,2,FALSE),CK379,VLOOKUP(G379,NGPREVPRICES,4,FALSE),HLOOKUP(D379,PREVVOLS,VLOOKUP(G379,MOVE_DOWN2,2,FALSE),FALSE),VLOOKUP(G379,NGPREVPRICES,3,FALSE),HLOOKUP(D379,Correllate,VLOOKUP(G379,CorMove,2,FALSE),FALSE),Q379-$CD$3,R379,$CJ$5)*H379</f>
        <v>112243.68419881586</v>
      </c>
      <c r="CK379" s="235">
        <f t="shared" si="433"/>
        <v>0.7</v>
      </c>
      <c r="CM379" t="str">
        <f t="shared" si="434"/>
        <v>36831Curve Shift/Gamma</v>
      </c>
      <c r="CN379" t="str">
        <f t="shared" si="435"/>
        <v>36831Rho</v>
      </c>
      <c r="CO379" t="str">
        <f t="shared" si="436"/>
        <v>36831Drift</v>
      </c>
      <c r="CP379" t="str">
        <f t="shared" si="437"/>
        <v>36831Vega</v>
      </c>
      <c r="CQ379" t="str">
        <f t="shared" si="438"/>
        <v>36831Theta</v>
      </c>
    </row>
    <row r="380" spans="1:95" x14ac:dyDescent="0.25">
      <c r="A380" s="382" t="s">
        <v>284</v>
      </c>
      <c r="B380" t="s">
        <v>250</v>
      </c>
      <c r="C380" t="s">
        <v>458</v>
      </c>
      <c r="D380" s="4" t="s">
        <v>7</v>
      </c>
      <c r="E380" t="s">
        <v>20</v>
      </c>
      <c r="F380" t="s">
        <v>1</v>
      </c>
      <c r="G380" s="5">
        <v>36951</v>
      </c>
      <c r="H380" s="130">
        <v>1500000</v>
      </c>
      <c r="I380">
        <v>0.75</v>
      </c>
      <c r="J380" s="53">
        <f t="shared" si="381"/>
        <v>4.2130000000000001</v>
      </c>
      <c r="K380" s="7">
        <f t="shared" si="382"/>
        <v>1.075</v>
      </c>
      <c r="L380" s="53">
        <f t="shared" si="383"/>
        <v>5.2880000000000003</v>
      </c>
      <c r="M380" s="157">
        <f t="shared" si="423"/>
        <v>6.8879814952706994E-2</v>
      </c>
      <c r="N380" s="4">
        <f t="shared" si="424"/>
        <v>0.53249999999999997</v>
      </c>
      <c r="O380" s="4">
        <f t="shared" si="425"/>
        <v>0.61199999999999999</v>
      </c>
      <c r="P380" s="9">
        <f t="shared" si="426"/>
        <v>0.83</v>
      </c>
      <c r="Q380" s="5">
        <f t="shared" si="375"/>
        <v>36949</v>
      </c>
      <c r="R380" s="4">
        <f t="shared" si="427"/>
        <v>0</v>
      </c>
      <c r="S380" s="158">
        <f>_xll.xSPRDOPT($L380,$J380,$I380,$M380,$O380,$N380,$P380,$Q380-$C$3,$R380,0)</f>
        <v>0.34094497957691405</v>
      </c>
      <c r="T380" s="159">
        <f>_xll.xSPRDOPT($L380,$J380,$I380,$M380,$O380,$N380,$P380,$Q380-$C$3,$R380,1)*H380</f>
        <v>-508631.78020003304</v>
      </c>
      <c r="U380" s="160">
        <f t="shared" si="428"/>
        <v>511417.4693653711</v>
      </c>
      <c r="V380" s="159">
        <f>_xll.xSPRDOPT($L380,$J380,$I380,$M380,$O380,$N380,$P380,$Q380-$C$3,$R380,2)*H380</f>
        <v>639405.77774176933</v>
      </c>
      <c r="W380" s="159">
        <f t="shared" si="429"/>
        <v>130773.99754173629</v>
      </c>
      <c r="X380" s="51" t="str">
        <f t="shared" si="420"/>
        <v>36951IF-TRANSCO/Z6</v>
      </c>
      <c r="Y380" s="418">
        <f t="shared" si="421"/>
        <v>150</v>
      </c>
      <c r="Z380" s="456">
        <f t="shared" si="422"/>
        <v>-0.33908785346668868</v>
      </c>
      <c r="AA380" s="456">
        <f>_xll.xSPRDOPT($L380,$J380,$I380,$M380,$O380,$N380,$P380,$Q380-$C$3,$R380,3)</f>
        <v>0.27707202713581769</v>
      </c>
      <c r="AB380" s="456">
        <f>((_xll.xSPRDOPT($L380+AB$5,$J380,$I380,$M380,$O380,$N380,$P380,$Q380-$C$3,$R380,3)*$H380)/10000)/100</f>
        <v>0.41560804070372653</v>
      </c>
      <c r="AC380" s="456">
        <f>((_xll.xSPRDOPT($L380+$AB$5,$J380,$I380,$M380,$O380,$N380,$P380,$Q380-$C$3,$R380,7)*$H380)/100)</f>
        <v>-16013.831228614037</v>
      </c>
      <c r="AD380" s="456">
        <f>(_xll.xSPRDOPT($L380+$AB$5,$J380,$I380,$M380,$O380,$N380,$P380,$Q380-$C$3,$R380,9)/365)*$H380</f>
        <v>-1818.9400203318269</v>
      </c>
      <c r="AE380">
        <f t="shared" si="379"/>
        <v>0</v>
      </c>
      <c r="AF380" s="456">
        <f t="shared" si="380"/>
        <v>13084.446423301353</v>
      </c>
      <c r="AG380" s="456">
        <f>((_xll.xSPRDOPT($L380,$J380,$I380,$M380,$O380,$N380,$P380,$Q380-$C$3,$R380,6)*$H380)/100)</f>
        <v>-2686.5271697201683</v>
      </c>
      <c r="AH380" s="456">
        <f>((_xll.xSPRDOPT($L380,$J380,$I380,$M380,$O380,$N380,$P380,$Q380-$C$3,$R380,5)*$H380)/100)</f>
        <v>13722.293199810392</v>
      </c>
      <c r="AI380" s="456">
        <f>(((_xll.xSPRDOPT($L380,$J380,$I380,$M380,$O380,$N380,$P380,$Q380-$C$3,$R380,4)*$H380)/10000)/100)-AB380</f>
        <v>5.7344705475683599E-2</v>
      </c>
      <c r="AJ380" s="456"/>
      <c r="AK380" s="456"/>
      <c r="AL380" s="456"/>
      <c r="AM380" s="472"/>
      <c r="CC380" s="141">
        <f t="shared" ref="CC380:CC406" si="439">G380</f>
        <v>36951</v>
      </c>
      <c r="CD380" s="234">
        <f>_xll.xSPRDOPT((VLOOKUP(G380,NGPrices,2,FALSE)+HLOOKUP(D380,Prices,VLOOKUP(G380,move_down,2,FALSE),FALSE)),VLOOKUP(G380,NGPrices,2,FALSE),I380,VLOOKUP(G380,NGPREVPRICES,4,FALSE),HLOOKUP(D380,PREVVOLS,VLOOKUP(G380,MOVE_DOWN2,2,FALSE),FALSE),VLOOKUP(G380,NGPREVPRICES,3,FALSE),HLOOKUP(D380,Correllate,VLOOKUP(G380,CorMove,2,FALSE),FALSE),Q380-$CD$3,R380,$CD$5)*H380-CJ380</f>
        <v>0</v>
      </c>
      <c r="CE380" s="234">
        <f>_xll.xSPRDOPT((VLOOKUP(G380,NGPREVPRICES,2,FALSE)+HLOOKUP(D380,PREVCURVES,VLOOKUP(G380,MOVE_DOWN2,2,FALSE),FALSE)),VLOOKUP(G380,NGPREVPRICES,2,FALSE),CK380,VLOOKUP(G380,NGPrices,4,FALSE),HLOOKUP(D380,PREVVOLS,VLOOKUP(G380,MOVE_DOWN2,2,FALSE),FALSE),VLOOKUP(G380,NGPREVPRICES,3,FALSE),HLOOKUP(D380,Correllate,VLOOKUP(G380,CorMove,2,FALSE),FALSE),Q380-$CD$3,R380,$CJ$5)*H380-CJ380</f>
        <v>0</v>
      </c>
      <c r="CF380" s="10">
        <f t="shared" ref="CF380:CF406" si="440">(CJ380/VLOOKUP(CC380,discount,3,FALSE))-(CJ380/VLOOKUP(CC380,discount,2,FALSE))</f>
        <v>-98.430294037680142</v>
      </c>
      <c r="CG380" s="234">
        <f>_xll.xSPRDOPT((VLOOKUP(G380,NGPREVPRICES,2,FALSE)+HLOOKUP(D380,PREVCURVES,VLOOKUP(G380,MOVE_DOWN2,2,FALSE),FALSE)),VLOOKUP(G380,NGPREVPRICES,2,FALSE),CK380,VLOOKUP(G380,NGPREVPRICES,4,FALSE),HLOOKUP(D380,VOLS,VLOOKUP(G380,move_down,2,FALSE),FALSE),VLOOKUP(G380,NGPrices,3,FALSE),HLOOKUP(D380,Correllate,VLOOKUP(G380,CorMove,2,FALSE),FALSE),Q380-$CD$3,R380,$CJ$5)*H380-CJ380</f>
        <v>0</v>
      </c>
      <c r="CH380" s="234">
        <f>_xll.xSPRDOPT((VLOOKUP(G380,NGPREVPRICES,2,FALSE)+HLOOKUP(D380,PREVCURVES,VLOOKUP(G380,MOVE_DOWN2,2,FALSE),FALSE)),VLOOKUP(G380,NGPREVPRICES,2,FALSE),CK380,VLOOKUP(G380,NGPREVPRICES,4,FALSE),HLOOKUP(D380,PREVVOLS,VLOOKUP(G380,MOVE_DOWN2,2,FALSE),FALSE),VLOOKUP(G380,NGPREVPRICES,3,FALSE),HLOOKUP(D380,Correllate,VLOOKUP(G380,CorMove,2,FALSE),FALSE),Q380-$C$3,R380,$CJ$5)*H380-CJ380</f>
        <v>-1814.8760510096326</v>
      </c>
      <c r="CI380" s="234">
        <f t="shared" ref="CI380:CI406" si="441">SUM(CD380:CH380)</f>
        <v>-1913.3063450473128</v>
      </c>
      <c r="CJ380" s="234">
        <f>_xll.xSPRDOPT((VLOOKUP(G380,NGPREVPRICES,2,FALSE)+HLOOKUP(D380,PREVCURVES,VLOOKUP(G380,MOVE_DOWN2,2,FALSE),FALSE)),VLOOKUP(G380,NGPREVPRICES,2,FALSE),CK380,VLOOKUP(G380,NGPREVPRICES,4,FALSE),HLOOKUP(D380,PREVVOLS,VLOOKUP(G380,MOVE_DOWN2,2,FALSE),FALSE),VLOOKUP(G380,NGPREVPRICES,3,FALSE),HLOOKUP(D380,Correllate,VLOOKUP(G380,CorMove,2,FALSE),FALSE),Q380-$CD$3,R380,$CJ$5)*H380</f>
        <v>513232.34541638073</v>
      </c>
      <c r="CK380" s="235">
        <f t="shared" ref="CK380:CK406" si="442">I380</f>
        <v>0.75</v>
      </c>
      <c r="CM380" t="str">
        <f t="shared" ref="CM380:CM406" si="443">CONCATENATE(CC380,$CD$6)</f>
        <v>36951Curve Shift/Gamma</v>
      </c>
      <c r="CN380" t="str">
        <f t="shared" si="435"/>
        <v>36951Rho</v>
      </c>
      <c r="CO380" t="str">
        <f t="shared" si="436"/>
        <v>36951Drift</v>
      </c>
      <c r="CP380" t="str">
        <f t="shared" si="437"/>
        <v>36951Vega</v>
      </c>
      <c r="CQ380" t="str">
        <f t="shared" si="438"/>
        <v>36951Theta</v>
      </c>
    </row>
    <row r="381" spans="1:95" x14ac:dyDescent="0.25">
      <c r="A381" s="382" t="s">
        <v>284</v>
      </c>
      <c r="B381" t="s">
        <v>250</v>
      </c>
      <c r="C381" t="s">
        <v>458</v>
      </c>
      <c r="D381" s="4" t="s">
        <v>7</v>
      </c>
      <c r="E381" t="s">
        <v>20</v>
      </c>
      <c r="F381" t="s">
        <v>1</v>
      </c>
      <c r="G381" s="5">
        <v>36923</v>
      </c>
      <c r="H381" s="130">
        <v>1500000</v>
      </c>
      <c r="I381">
        <v>0.75</v>
      </c>
      <c r="J381" s="53">
        <f t="shared" si="381"/>
        <v>4.4800000000000004</v>
      </c>
      <c r="K381" s="7">
        <f t="shared" si="382"/>
        <v>2.09</v>
      </c>
      <c r="L381" s="53">
        <f t="shared" si="383"/>
        <v>6.57</v>
      </c>
      <c r="M381" s="157">
        <f t="shared" si="423"/>
        <v>6.8640161611372E-2</v>
      </c>
      <c r="N381" s="4">
        <f t="shared" si="424"/>
        <v>0.59250000000000003</v>
      </c>
      <c r="O381" s="4">
        <f t="shared" si="425"/>
        <v>0.68100000000000005</v>
      </c>
      <c r="P381" s="9">
        <f t="shared" si="426"/>
        <v>0.83</v>
      </c>
      <c r="Q381" s="5">
        <f t="shared" si="375"/>
        <v>36921</v>
      </c>
      <c r="R381" s="4">
        <f t="shared" si="427"/>
        <v>0</v>
      </c>
      <c r="S381" s="158">
        <f>_xll.xSPRDOPT($L381,$J381,$I381,$M381,$O381,$N381,$P381,$Q381-$C$3,$R381,0)</f>
        <v>0.13906565808994997</v>
      </c>
      <c r="T381" s="159">
        <f>_xll.xSPRDOPT($L381,$J381,$I381,$M381,$O381,$N381,$P381,$Q381-$C$3,$R381,1)*H381</f>
        <v>-217853.83903496974</v>
      </c>
      <c r="U381" s="160">
        <f t="shared" si="428"/>
        <v>208598.48713492497</v>
      </c>
      <c r="V381" s="159">
        <f>_xll.xSPRDOPT($L381,$J381,$I381,$M381,$O381,$N381,$P381,$Q381-$C$3,$R381,2)*H381</f>
        <v>309532.12051117106</v>
      </c>
      <c r="W381" s="159">
        <f t="shared" si="429"/>
        <v>91678.281476201315</v>
      </c>
      <c r="X381" s="51" t="str">
        <f t="shared" si="420"/>
        <v>36923IF-TRANSCO/Z6</v>
      </c>
      <c r="Y381" s="418">
        <f t="shared" si="421"/>
        <v>150</v>
      </c>
      <c r="Z381" s="456">
        <f t="shared" si="422"/>
        <v>-0.14523589268997983</v>
      </c>
      <c r="AA381" s="456">
        <f>_xll.xSPRDOPT($L381,$J381,$I381,$M381,$O381,$N381,$P381,$Q381-$C$3,$R381,3)</f>
        <v>0.13751360448045827</v>
      </c>
      <c r="AB381" s="456">
        <f>((_xll.xSPRDOPT($L381+AB$5,$J381,$I381,$M381,$O381,$N381,$P381,$Q381-$C$3,$R381,3)*$H381)/10000)/100</f>
        <v>0.20627040672068742</v>
      </c>
      <c r="AC381" s="456">
        <f>((_xll.xSPRDOPT($L381+$AB$5,$J381,$I381,$M381,$O381,$N381,$P381,$Q381-$C$3,$R381,7)*$H381)/100)</f>
        <v>-12891.336742473231</v>
      </c>
      <c r="AD381" s="456">
        <f>(_xll.xSPRDOPT($L381+$AB$5,$J381,$I381,$M381,$O381,$N381,$P381,$Q381-$C$3,$R381,9)/365)*$H381</f>
        <v>-1776.3310413335921</v>
      </c>
      <c r="AE381">
        <f t="shared" si="379"/>
        <v>0</v>
      </c>
      <c r="AF381" s="456">
        <f t="shared" si="380"/>
        <v>9431.3831172820719</v>
      </c>
      <c r="AG381" s="456">
        <f>((_xll.xSPRDOPT($L381,$J381,$I381,$M381,$O381,$N381,$P381,$Q381-$C$3,$R381,6)*$H381)/100)</f>
        <v>-1893.4125175117415</v>
      </c>
      <c r="AH381" s="456">
        <f>((_xll.xSPRDOPT($L381,$J381,$I381,$M381,$O381,$N381,$P381,$Q381-$C$3,$R381,5)*$H381)/100)</f>
        <v>9853.071091946158</v>
      </c>
      <c r="AI381" s="456">
        <f>(((_xll.xSPRDOPT($L381,$J381,$I381,$M381,$O381,$N381,$P381,$Q381-$C$3,$R381,4)*$H381)/10000)/100)-AB381</f>
        <v>0.1161423208996179</v>
      </c>
      <c r="AJ381" s="456"/>
      <c r="AK381" s="456"/>
      <c r="AL381" s="456"/>
      <c r="AM381" s="472"/>
      <c r="CC381" s="141">
        <f t="shared" si="439"/>
        <v>36923</v>
      </c>
      <c r="CD381" s="234">
        <f>_xll.xSPRDOPT((VLOOKUP(G381,NGPrices,2,FALSE)+HLOOKUP(D381,Prices,VLOOKUP(G381,move_down,2,FALSE),FALSE)),VLOOKUP(G381,NGPrices,2,FALSE),I381,VLOOKUP(G381,NGPREVPRICES,4,FALSE),HLOOKUP(D381,PREVVOLS,VLOOKUP(G381,MOVE_DOWN2,2,FALSE),FALSE),VLOOKUP(G381,NGPREVPRICES,3,FALSE),HLOOKUP(D381,Correllate,VLOOKUP(G381,CorMove,2,FALSE),FALSE),Q381-$CD$3,R381,$CD$5)*H381-CJ381</f>
        <v>0</v>
      </c>
      <c r="CE381" s="234">
        <f>_xll.xSPRDOPT((VLOOKUP(G381,NGPREVPRICES,2,FALSE)+HLOOKUP(D381,PREVCURVES,VLOOKUP(G381,MOVE_DOWN2,2,FALSE),FALSE)),VLOOKUP(G381,NGPREVPRICES,2,FALSE),CK381,VLOOKUP(G381,NGPrices,4,FALSE),HLOOKUP(D381,PREVVOLS,VLOOKUP(G381,MOVE_DOWN2,2,FALSE),FALSE),VLOOKUP(G381,NGPREVPRICES,3,FALSE),HLOOKUP(D381,Correllate,VLOOKUP(G381,CorMove,2,FALSE),FALSE),Q381-$CD$3,R381,$CJ$5)*H381-CJ381</f>
        <v>0</v>
      </c>
      <c r="CF381" s="10">
        <f t="shared" si="440"/>
        <v>-40.010470374603756</v>
      </c>
      <c r="CG381" s="234">
        <f>_xll.xSPRDOPT((VLOOKUP(G381,NGPREVPRICES,2,FALSE)+HLOOKUP(D381,PREVCURVES,VLOOKUP(G381,MOVE_DOWN2,2,FALSE),FALSE)),VLOOKUP(G381,NGPREVPRICES,2,FALSE),CK381,VLOOKUP(G381,NGPREVPRICES,4,FALSE),HLOOKUP(D381,VOLS,VLOOKUP(G381,move_down,2,FALSE),FALSE),VLOOKUP(G381,NGPrices,3,FALSE),HLOOKUP(D381,Correllate,VLOOKUP(G381,CorMove,2,FALSE),FALSE),Q381-$CD$3,R381,$CJ$5)*H381-CJ381</f>
        <v>0</v>
      </c>
      <c r="CH381" s="234">
        <f>_xll.xSPRDOPT((VLOOKUP(G381,NGPREVPRICES,2,FALSE)+HLOOKUP(D381,PREVCURVES,VLOOKUP(G381,MOVE_DOWN2,2,FALSE),FALSE)),VLOOKUP(G381,NGPREVPRICES,2,FALSE),CK381,VLOOKUP(G381,NGPREVPRICES,4,FALSE),HLOOKUP(D381,PREVVOLS,VLOOKUP(G381,MOVE_DOWN2,2,FALSE),FALSE),VLOOKUP(G381,NGPREVPRICES,3,FALSE),HLOOKUP(D381,Correllate,VLOOKUP(G381,CorMove,2,FALSE),FALSE),Q381-$C$3,R381,$CJ$5)*H381-CJ381</f>
        <v>-1774.2616985506611</v>
      </c>
      <c r="CI381" s="234">
        <f t="shared" si="441"/>
        <v>-1814.2721689252649</v>
      </c>
      <c r="CJ381" s="234">
        <f>_xll.xSPRDOPT((VLOOKUP(G381,NGPREVPRICES,2,FALSE)+HLOOKUP(D381,PREVCURVES,VLOOKUP(G381,MOVE_DOWN2,2,FALSE),FALSE)),VLOOKUP(G381,NGPREVPRICES,2,FALSE),CK381,VLOOKUP(G381,NGPREVPRICES,4,FALSE),HLOOKUP(D381,PREVVOLS,VLOOKUP(G381,MOVE_DOWN2,2,FALSE),FALSE),VLOOKUP(G381,NGPREVPRICES,3,FALSE),HLOOKUP(D381,Correllate,VLOOKUP(G381,CorMove,2,FALSE),FALSE),Q381-$CD$3,R381,$CJ$5)*H381</f>
        <v>210372.74883347563</v>
      </c>
      <c r="CK381" s="235">
        <f t="shared" si="442"/>
        <v>0.75</v>
      </c>
      <c r="CM381" t="str">
        <f t="shared" si="443"/>
        <v>36923Curve Shift/Gamma</v>
      </c>
      <c r="CN381" t="str">
        <f t="shared" si="435"/>
        <v>36923Rho</v>
      </c>
      <c r="CO381" t="str">
        <f t="shared" si="436"/>
        <v>36923Drift</v>
      </c>
      <c r="CP381" t="str">
        <f t="shared" si="437"/>
        <v>36923Vega</v>
      </c>
      <c r="CQ381" t="str">
        <f t="shared" si="438"/>
        <v>36923Theta</v>
      </c>
    </row>
    <row r="382" spans="1:95" x14ac:dyDescent="0.25">
      <c r="A382" s="382" t="s">
        <v>284</v>
      </c>
      <c r="B382" t="s">
        <v>250</v>
      </c>
      <c r="C382" t="s">
        <v>458</v>
      </c>
      <c r="D382" s="4" t="s">
        <v>7</v>
      </c>
      <c r="E382" t="s">
        <v>20</v>
      </c>
      <c r="F382" t="s">
        <v>1</v>
      </c>
      <c r="G382" s="5">
        <v>36892</v>
      </c>
      <c r="H382" s="130">
        <v>1500000</v>
      </c>
      <c r="I382">
        <v>0.75</v>
      </c>
      <c r="J382" s="53">
        <f t="shared" si="381"/>
        <v>4.7439999999999998</v>
      </c>
      <c r="K382" s="7">
        <f t="shared" si="382"/>
        <v>2.17</v>
      </c>
      <c r="L382" s="53">
        <f t="shared" si="383"/>
        <v>6.9139999999999997</v>
      </c>
      <c r="M382" s="157">
        <f t="shared" si="423"/>
        <v>6.8374831148490994E-2</v>
      </c>
      <c r="N382" s="4">
        <f t="shared" si="424"/>
        <v>0.60499999999999998</v>
      </c>
      <c r="O382" s="4">
        <f t="shared" si="425"/>
        <v>0.69599999999999995</v>
      </c>
      <c r="P382" s="9">
        <f t="shared" si="426"/>
        <v>0.83</v>
      </c>
      <c r="Q382" s="5">
        <f t="shared" si="375"/>
        <v>36888</v>
      </c>
      <c r="R382" s="4">
        <f t="shared" si="427"/>
        <v>0</v>
      </c>
      <c r="S382" s="158">
        <f>_xll.xSPRDOPT($L382,$J382,$I382,$M382,$O382,$N382,$P382,$Q382-$C$3,$R382,0)</f>
        <v>0.10942744498145573</v>
      </c>
      <c r="T382" s="159">
        <f>_xll.xSPRDOPT($L382,$J382,$I382,$M382,$O382,$N382,$P382,$Q382-$C$3,$R382,1)*H382</f>
        <v>-189269.07740443383</v>
      </c>
      <c r="U382" s="160">
        <f t="shared" si="428"/>
        <v>164141.16747218359</v>
      </c>
      <c r="V382" s="159">
        <f>_xll.xSPRDOPT($L382,$J382,$I382,$M382,$O382,$N382,$P382,$Q382-$C$3,$R382,2)*H382</f>
        <v>265114.732007118</v>
      </c>
      <c r="W382" s="159">
        <f t="shared" si="429"/>
        <v>75845.654602684168</v>
      </c>
      <c r="X382" s="51" t="str">
        <f t="shared" si="420"/>
        <v>36892IF-TRANSCO/Z6</v>
      </c>
      <c r="Y382" s="418">
        <f t="shared" si="421"/>
        <v>150</v>
      </c>
      <c r="Z382" s="456">
        <f t="shared" si="422"/>
        <v>-0.12617938493628922</v>
      </c>
      <c r="AA382" s="456">
        <f>_xll.xSPRDOPT($L382,$J382,$I382,$M382,$O382,$N382,$P382,$Q382-$C$3,$R382,3)</f>
        <v>0.13157412676368174</v>
      </c>
      <c r="AB382" s="456">
        <f>((_xll.xSPRDOPT($L382+AB$5,$J382,$I382,$M382,$O382,$N382,$P382,$Q382-$C$3,$R382,3)*$H382)/10000)/100</f>
        <v>0.19736119014552261</v>
      </c>
      <c r="AC382" s="456">
        <f>((_xll.xSPRDOPT($L382+$AB$5,$J382,$I382,$M382,$O382,$N382,$P382,$Q382-$C$3,$R382,7)*$H382)/100)</f>
        <v>-11293.92204836766</v>
      </c>
      <c r="AD382" s="456">
        <f>(_xll.xSPRDOPT($L382+$AB$5,$J382,$I382,$M382,$O382,$N382,$P382,$Q382-$C$3,$R382,9)/365)*$H382</f>
        <v>-1969.9791400700597</v>
      </c>
      <c r="AE382">
        <f t="shared" si="379"/>
        <v>0</v>
      </c>
      <c r="AF382" s="456">
        <f t="shared" si="380"/>
        <v>7997.4320116933859</v>
      </c>
      <c r="AG382" s="456">
        <f>((_xll.xSPRDOPT($L382,$J382,$I382,$M382,$O382,$N382,$P382,$Q382-$C$3,$R382,6)*$H382)/100)</f>
        <v>-1533.6210946585991</v>
      </c>
      <c r="AH382" s="456">
        <f>((_xll.xSPRDOPT($L382,$J382,$I382,$M382,$O382,$N382,$P382,$Q382-$C$3,$R382,5)*$H382)/100)</f>
        <v>8284.8953007801028</v>
      </c>
      <c r="AI382" s="456">
        <f>(((_xll.xSPRDOPT($L382,$J382,$I382,$M382,$O382,$N382,$P382,$Q382-$C$3,$R382,4)*$H382)/10000)/100)-AB382</f>
        <v>0.11214289161547392</v>
      </c>
      <c r="AJ382" s="456"/>
      <c r="AK382" s="456"/>
      <c r="AL382" s="456"/>
      <c r="AM382" s="472"/>
      <c r="CC382" s="141">
        <f t="shared" si="439"/>
        <v>36892</v>
      </c>
      <c r="CD382" s="234">
        <f>_xll.xSPRDOPT((VLOOKUP(G382,NGPrices,2,FALSE)+HLOOKUP(D382,Prices,VLOOKUP(G382,move_down,2,FALSE),FALSE)),VLOOKUP(G382,NGPrices,2,FALSE),I382,VLOOKUP(G382,NGPREVPRICES,4,FALSE),HLOOKUP(D382,PREVVOLS,VLOOKUP(G382,MOVE_DOWN2,2,FALSE),FALSE),VLOOKUP(G382,NGPREVPRICES,3,FALSE),HLOOKUP(D382,Correllate,VLOOKUP(G382,CorMove,2,FALSE),FALSE),Q382-$CD$3,R382,$CD$5)*H382-CJ382</f>
        <v>0</v>
      </c>
      <c r="CE382" s="234">
        <f>_xll.xSPRDOPT((VLOOKUP(G382,NGPREVPRICES,2,FALSE)+HLOOKUP(D382,PREVCURVES,VLOOKUP(G382,MOVE_DOWN2,2,FALSE),FALSE)),VLOOKUP(G382,NGPREVPRICES,2,FALSE),CK382,VLOOKUP(G382,NGPrices,4,FALSE),HLOOKUP(D382,PREVVOLS,VLOOKUP(G382,MOVE_DOWN2,2,FALSE),FALSE),VLOOKUP(G382,NGPREVPRICES,3,FALSE),HLOOKUP(D382,Correllate,VLOOKUP(G382,CorMove,2,FALSE),FALSE),Q382-$CD$3,R382,$CJ$5)*H382-CJ382</f>
        <v>0</v>
      </c>
      <c r="CF382" s="10">
        <f t="shared" si="440"/>
        <v>-31.301874000113457</v>
      </c>
      <c r="CG382" s="234">
        <f>_xll.xSPRDOPT((VLOOKUP(G382,NGPREVPRICES,2,FALSE)+HLOOKUP(D382,PREVCURVES,VLOOKUP(G382,MOVE_DOWN2,2,FALSE),FALSE)),VLOOKUP(G382,NGPREVPRICES,2,FALSE),CK382,VLOOKUP(G382,NGPREVPRICES,4,FALSE),HLOOKUP(D382,VOLS,VLOOKUP(G382,move_down,2,FALSE),FALSE),VLOOKUP(G382,NGPrices,3,FALSE),HLOOKUP(D382,Correllate,VLOOKUP(G382,CorMove,2,FALSE),FALSE),Q382-$CD$3,R382,$CJ$5)*H382-CJ382</f>
        <v>0</v>
      </c>
      <c r="CH382" s="234">
        <f>_xll.xSPRDOPT((VLOOKUP(G382,NGPREVPRICES,2,FALSE)+HLOOKUP(D382,PREVCURVES,VLOOKUP(G382,MOVE_DOWN2,2,FALSE),FALSE)),VLOOKUP(G382,NGPREVPRICES,2,FALSE),CK382,VLOOKUP(G382,NGPREVPRICES,4,FALSE),HLOOKUP(D382,PREVVOLS,VLOOKUP(G382,MOVE_DOWN2,2,FALSE),FALSE),VLOOKUP(G382,NGPREVPRICES,3,FALSE),HLOOKUP(D382,Correllate,VLOOKUP(G382,CorMove,2,FALSE),FALSE),Q382-$C$3,R382,$CJ$5)*H382-CJ382</f>
        <v>-1968.3667022522131</v>
      </c>
      <c r="CI382" s="234">
        <f t="shared" si="441"/>
        <v>-1999.6685762523266</v>
      </c>
      <c r="CJ382" s="234">
        <f>_xll.xSPRDOPT((VLOOKUP(G382,NGPREVPRICES,2,FALSE)+HLOOKUP(D382,PREVCURVES,VLOOKUP(G382,MOVE_DOWN2,2,FALSE),FALSE)),VLOOKUP(G382,NGPREVPRICES,2,FALSE),CK382,VLOOKUP(G382,NGPREVPRICES,4,FALSE),HLOOKUP(D382,PREVVOLS,VLOOKUP(G382,MOVE_DOWN2,2,FALSE),FALSE),VLOOKUP(G382,NGPREVPRICES,3,FALSE),HLOOKUP(D382,Correllate,VLOOKUP(G382,CorMove,2,FALSE),FALSE),Q382-$CD$3,R382,$CJ$5)*H382</f>
        <v>166109.5341744358</v>
      </c>
      <c r="CK382" s="235">
        <f t="shared" si="442"/>
        <v>0.75</v>
      </c>
      <c r="CM382" t="str">
        <f t="shared" si="443"/>
        <v>36892Curve Shift/Gamma</v>
      </c>
      <c r="CN382" t="str">
        <f t="shared" si="435"/>
        <v>36892Rho</v>
      </c>
      <c r="CO382" t="str">
        <f t="shared" si="436"/>
        <v>36892Drift</v>
      </c>
      <c r="CP382" t="str">
        <f t="shared" si="437"/>
        <v>36892Vega</v>
      </c>
      <c r="CQ382" t="str">
        <f t="shared" si="438"/>
        <v>36892Theta</v>
      </c>
    </row>
    <row r="383" spans="1:95" x14ac:dyDescent="0.25">
      <c r="A383" s="382" t="s">
        <v>284</v>
      </c>
      <c r="B383" t="s">
        <v>250</v>
      </c>
      <c r="C383" t="s">
        <v>458</v>
      </c>
      <c r="D383" s="4" t="s">
        <v>7</v>
      </c>
      <c r="E383" t="s">
        <v>20</v>
      </c>
      <c r="F383" t="s">
        <v>1</v>
      </c>
      <c r="G383" s="5">
        <v>36861</v>
      </c>
      <c r="H383" s="130">
        <v>1500000</v>
      </c>
      <c r="I383">
        <v>0.75</v>
      </c>
      <c r="J383" s="53">
        <f t="shared" si="381"/>
        <v>4.8</v>
      </c>
      <c r="K383" s="7">
        <f t="shared" si="382"/>
        <v>1.645</v>
      </c>
      <c r="L383" s="53">
        <f t="shared" si="383"/>
        <v>6.4450000000000003</v>
      </c>
      <c r="M383" s="157">
        <f t="shared" ref="M383:M388" si="444">VLOOKUP(G383,NGPrices,4,FALSE)</f>
        <v>6.8314027999354002E-2</v>
      </c>
      <c r="N383" s="4">
        <f t="shared" ref="N383:N388" si="445">VLOOKUP(G383,NGPrices,3,FALSE)</f>
        <v>0.6</v>
      </c>
      <c r="O383" s="4">
        <f t="shared" ref="O383:O388" si="446">HLOOKUP(D383,VOLS,VLOOKUP(G383,move_down,2,FALSE),FALSE)</f>
        <v>0.69</v>
      </c>
      <c r="P383" s="9">
        <f t="shared" ref="P383:P388" si="447">HLOOKUP(D383,Correllate,VLOOKUP(G383,CorMove,2,FALSE),FALSE)</f>
        <v>0.83</v>
      </c>
      <c r="Q383" s="5">
        <f t="shared" si="375"/>
        <v>36859</v>
      </c>
      <c r="R383" s="4">
        <f t="shared" ref="R383:R388" si="448">IF(F383="P",0,1)</f>
        <v>0</v>
      </c>
      <c r="S383" s="158">
        <f>_xll.xSPRDOPT($L383,$J383,$I383,$M383,$O383,$N383,$P383,$Q383-$C$3,$R383,0)</f>
        <v>0.14609680639816691</v>
      </c>
      <c r="T383" s="159">
        <f>_xll.xSPRDOPT($L383,$J383,$I383,$M383,$O383,$N383,$P383,$Q383-$C$3,$R383,1)*H383</f>
        <v>-285731.7435644184</v>
      </c>
      <c r="U383" s="160">
        <f t="shared" ref="U383:U388" si="449">S383*H383</f>
        <v>219145.20959725036</v>
      </c>
      <c r="V383" s="159">
        <f>_xll.xSPRDOPT($L383,$J383,$I383,$M383,$O383,$N383,$P383,$Q383-$C$3,$R383,2)*H383</f>
        <v>368412.61441126058</v>
      </c>
      <c r="W383" s="159">
        <f t="shared" ref="W383:W388" si="450">+V383+T383</f>
        <v>82680.870846842183</v>
      </c>
      <c r="X383" s="51" t="str">
        <f t="shared" si="420"/>
        <v>36861IF-TRANSCO/Z6</v>
      </c>
      <c r="Y383" s="418">
        <f t="shared" si="421"/>
        <v>150</v>
      </c>
      <c r="Z383" s="456">
        <f t="shared" si="422"/>
        <v>-0.19048782904294559</v>
      </c>
      <c r="AA383" s="456">
        <f>_xll.xSPRDOPT($L383,$J383,$I383,$M383,$O383,$N383,$P383,$Q383-$C$3,$R383,3)</f>
        <v>0.21448030125474993</v>
      </c>
      <c r="AB383" s="456">
        <f>((_xll.xSPRDOPT($L383+AB$5,$J383,$I383,$M383,$O383,$N383,$P383,$Q383-$C$3,$R383,3)*$H383)/10000)/100</f>
        <v>0.32172045188212484</v>
      </c>
      <c r="AC383" s="456">
        <f>((_xll.xSPRDOPT($L383+$AB$5,$J383,$I383,$M383,$O383,$N383,$P383,$Q383-$C$3,$R383,7)*$H383)/100)</f>
        <v>-12008.54646197605</v>
      </c>
      <c r="AD383" s="456">
        <f>(_xll.xSPRDOPT($L383+$AB$5,$J383,$I383,$M383,$O383,$N383,$P383,$Q383-$C$3,$R383,9)/365)*$H383</f>
        <v>-2735.8119976022917</v>
      </c>
      <c r="AE383">
        <f t="shared" si="379"/>
        <v>0</v>
      </c>
      <c r="AF383" s="456">
        <f t="shared" si="380"/>
        <v>8509.7759904884515</v>
      </c>
      <c r="AG383" s="456">
        <f>((_xll.xSPRDOPT($L383,$J383,$I383,$M383,$O383,$N383,$P383,$Q383-$C$3,$R383,6)*$H383)/100)</f>
        <v>-1588.2137667346003</v>
      </c>
      <c r="AH383" s="456">
        <f>((_xll.xSPRDOPT($L383,$J383,$I383,$M383,$O383,$N383,$P383,$Q383-$C$3,$R383,5)*$H383)/100)</f>
        <v>8780.860658454827</v>
      </c>
      <c r="AI383" s="456">
        <f>(((_xll.xSPRDOPT($L383,$J383,$I383,$M383,$O383,$N383,$P383,$Q383-$C$3,$R383,4)*$H383)/10000)/100)-AB383</f>
        <v>0.10973995641311607</v>
      </c>
      <c r="AJ383" s="456"/>
      <c r="AK383" s="456"/>
      <c r="AL383" s="456"/>
      <c r="AM383" s="472"/>
      <c r="CC383" s="141">
        <f t="shared" si="439"/>
        <v>36861</v>
      </c>
      <c r="CD383" s="234">
        <f>_xll.xSPRDOPT((VLOOKUP(G383,NGPrices,2,FALSE)+HLOOKUP(D383,Prices,VLOOKUP(G383,move_down,2,FALSE),FALSE)),VLOOKUP(G383,NGPrices,2,FALSE),I383,VLOOKUP(G383,NGPREVPRICES,4,FALSE),HLOOKUP(D383,PREVVOLS,VLOOKUP(G383,MOVE_DOWN2,2,FALSE),FALSE),VLOOKUP(G383,NGPREVPRICES,3,FALSE),HLOOKUP(D383,Correllate,VLOOKUP(G383,CorMove,2,FALSE),FALSE),Q383-$CD$3,R383,$CD$5)*H383-CJ383</f>
        <v>0</v>
      </c>
      <c r="CE383" s="234">
        <f>_xll.xSPRDOPT((VLOOKUP(G383,NGPREVPRICES,2,FALSE)+HLOOKUP(D383,PREVCURVES,VLOOKUP(G383,MOVE_DOWN2,2,FALSE),FALSE)),VLOOKUP(G383,NGPREVPRICES,2,FALSE),CK383,VLOOKUP(G383,NGPrices,4,FALSE),HLOOKUP(D383,PREVVOLS,VLOOKUP(G383,MOVE_DOWN2,2,FALSE),FALSE),VLOOKUP(G383,NGPREVPRICES,3,FALSE),HLOOKUP(D383,Correllate,VLOOKUP(G383,CorMove,2,FALSE),FALSE),Q383-$CD$3,R383,$CJ$5)*H383-CJ383</f>
        <v>0</v>
      </c>
      <c r="CF383" s="10">
        <f t="shared" si="440"/>
        <v>-41.565693864715286</v>
      </c>
      <c r="CG383" s="234">
        <f>_xll.xSPRDOPT((VLOOKUP(G383,NGPREVPRICES,2,FALSE)+HLOOKUP(D383,PREVCURVES,VLOOKUP(G383,MOVE_DOWN2,2,FALSE),FALSE)),VLOOKUP(G383,NGPREVPRICES,2,FALSE),CK383,VLOOKUP(G383,NGPREVPRICES,4,FALSE),HLOOKUP(D383,VOLS,VLOOKUP(G383,move_down,2,FALSE),FALSE),VLOOKUP(G383,NGPrices,3,FALSE),HLOOKUP(D383,Correllate,VLOOKUP(G383,CorMove,2,FALSE),FALSE),Q383-$CD$3,R383,$CJ$5)*H383-CJ383</f>
        <v>0</v>
      </c>
      <c r="CH383" s="234">
        <f>_xll.xSPRDOPT((VLOOKUP(G383,NGPREVPRICES,2,FALSE)+HLOOKUP(D383,PREVCURVES,VLOOKUP(G383,MOVE_DOWN2,2,FALSE),FALSE)),VLOOKUP(G383,NGPREVPRICES,2,FALSE),CK383,VLOOKUP(G383,NGPREVPRICES,4,FALSE),HLOOKUP(D383,PREVVOLS,VLOOKUP(G383,MOVE_DOWN2,2,FALSE),FALSE),VLOOKUP(G383,NGPREVPRICES,3,FALSE),HLOOKUP(D383,Correllate,VLOOKUP(G383,CorMove,2,FALSE),FALSE),Q383-$C$3,R383,$CJ$5)*H383-CJ383</f>
        <v>-2730.2681596590555</v>
      </c>
      <c r="CI383" s="234">
        <f t="shared" si="441"/>
        <v>-2771.8338535237708</v>
      </c>
      <c r="CJ383" s="234">
        <f>_xll.xSPRDOPT((VLOOKUP(G383,NGPREVPRICES,2,FALSE)+HLOOKUP(D383,PREVCURVES,VLOOKUP(G383,MOVE_DOWN2,2,FALSE),FALSE)),VLOOKUP(G383,NGPREVPRICES,2,FALSE),CK383,VLOOKUP(G383,NGPREVPRICES,4,FALSE),HLOOKUP(D383,PREVVOLS,VLOOKUP(G383,MOVE_DOWN2,2,FALSE),FALSE),VLOOKUP(G383,NGPREVPRICES,3,FALSE),HLOOKUP(D383,Correllate,VLOOKUP(G383,CorMove,2,FALSE),FALSE),Q383-$CD$3,R383,$CJ$5)*H383</f>
        <v>221875.47775690941</v>
      </c>
      <c r="CK383" s="235">
        <f t="shared" si="442"/>
        <v>0.75</v>
      </c>
      <c r="CM383" t="str">
        <f t="shared" si="443"/>
        <v>36861Curve Shift/Gamma</v>
      </c>
      <c r="CN383" t="str">
        <f t="shared" si="435"/>
        <v>36861Rho</v>
      </c>
      <c r="CO383" t="str">
        <f t="shared" si="436"/>
        <v>36861Drift</v>
      </c>
      <c r="CP383" t="str">
        <f t="shared" si="437"/>
        <v>36861Vega</v>
      </c>
      <c r="CQ383" t="str">
        <f t="shared" si="438"/>
        <v>36861Theta</v>
      </c>
    </row>
    <row r="384" spans="1:95" x14ac:dyDescent="0.25">
      <c r="A384" s="382" t="s">
        <v>284</v>
      </c>
      <c r="B384" t="s">
        <v>250</v>
      </c>
      <c r="C384" t="s">
        <v>458</v>
      </c>
      <c r="D384" s="4" t="s">
        <v>7</v>
      </c>
      <c r="E384" t="s">
        <v>20</v>
      </c>
      <c r="F384" t="s">
        <v>1</v>
      </c>
      <c r="G384" s="5">
        <v>36831</v>
      </c>
      <c r="H384" s="130">
        <v>1500000</v>
      </c>
      <c r="I384">
        <v>0.75</v>
      </c>
      <c r="J384" s="53">
        <f t="shared" si="381"/>
        <v>4.7359999999999998</v>
      </c>
      <c r="K384" s="7">
        <f t="shared" si="382"/>
        <v>0.77</v>
      </c>
      <c r="L384" s="53">
        <f t="shared" si="383"/>
        <v>5.5060000000000002</v>
      </c>
      <c r="M384" s="157">
        <f t="shared" si="444"/>
        <v>6.810675983792E-2</v>
      </c>
      <c r="N384" s="4">
        <f t="shared" si="445"/>
        <v>0.59499999999999997</v>
      </c>
      <c r="O384" s="4">
        <f t="shared" si="446"/>
        <v>0.625</v>
      </c>
      <c r="P384" s="9">
        <f t="shared" si="447"/>
        <v>0.89</v>
      </c>
      <c r="Q384" s="5">
        <f t="shared" si="375"/>
        <v>36829</v>
      </c>
      <c r="R384" s="4">
        <f t="shared" si="448"/>
        <v>0</v>
      </c>
      <c r="S384" s="158">
        <f>_xll.xSPRDOPT($L384,$J384,$I384,$M384,$O384,$N384,$P384,$Q384-$C$3,$R384,0)</f>
        <v>0.24759733949464924</v>
      </c>
      <c r="T384" s="159">
        <f>_xll.xSPRDOPT($L384,$J384,$I384,$M384,$O384,$N384,$P384,$Q384-$C$3,$R384,1)*H384</f>
        <v>-687767.95369455486</v>
      </c>
      <c r="U384" s="160">
        <f t="shared" si="449"/>
        <v>371396.00924197386</v>
      </c>
      <c r="V384" s="159">
        <f>_xll.xSPRDOPT($L384,$J384,$I384,$M384,$O384,$N384,$P384,$Q384-$C$3,$R384,2)*H384</f>
        <v>754967.00519951736</v>
      </c>
      <c r="W384" s="159">
        <f t="shared" si="450"/>
        <v>67199.051504962496</v>
      </c>
      <c r="X384" s="51" t="str">
        <f t="shared" si="420"/>
        <v>36831IF-TRANSCO/Z6</v>
      </c>
      <c r="Y384" s="418">
        <f t="shared" si="421"/>
        <v>150</v>
      </c>
      <c r="Z384" s="456">
        <f t="shared" si="422"/>
        <v>-0.45851196912970327</v>
      </c>
      <c r="AA384" s="456">
        <f>_xll.xSPRDOPT($L384,$J384,$I384,$M384,$O384,$N384,$P384,$Q384-$C$3,$R384,3)</f>
        <v>0.60041672407622559</v>
      </c>
      <c r="AB384" s="456">
        <f>((_xll.xSPRDOPT($L384+AB$5,$J384,$I384,$M384,$O384,$N384,$P384,$Q384-$C$3,$R384,3)*$H384)/10000)/100</f>
        <v>0.90062508611433845</v>
      </c>
      <c r="AC384" s="456">
        <f>((_xll.xSPRDOPT($L384+$AB$5,$J384,$I384,$M384,$O384,$N384,$P384,$Q384-$C$3,$R384,7)*$H384)/100)</f>
        <v>-14886.580972226468</v>
      </c>
      <c r="AD384" s="456">
        <f>(_xll.xSPRDOPT($L384+$AB$5,$J384,$I384,$M384,$O384,$N384,$P384,$Q384-$C$3,$R384,9)/365)*$H384</f>
        <v>-3045.9122333260652</v>
      </c>
      <c r="AE384">
        <f t="shared" si="379"/>
        <v>0</v>
      </c>
      <c r="AF384" s="456">
        <f t="shared" si="380"/>
        <v>6487.7637338649474</v>
      </c>
      <c r="AG384" s="456">
        <f>((_xll.xSPRDOPT($L384,$J384,$I384,$M384,$O384,$N384,$P384,$Q384-$C$3,$R384,6)*$H384)/100)</f>
        <v>-1672.0604619509077</v>
      </c>
      <c r="AH384" s="456">
        <f>((_xll.xSPRDOPT($L384,$J384,$I384,$M384,$O384,$N384,$P384,$Q384-$C$3,$R384,5)*$H384)/100)</f>
        <v>7768.1526344166941</v>
      </c>
      <c r="AI384" s="456">
        <f>(((_xll.xSPRDOPT($L384,$J384,$I384,$M384,$O384,$N384,$P384,$Q384-$C$3,$R384,4)*$H384)/10000)/100)-AB384</f>
        <v>8.5008773030740281E-3</v>
      </c>
      <c r="AJ384" s="456"/>
      <c r="AK384" s="456"/>
      <c r="AL384" s="456"/>
      <c r="AM384" s="472"/>
      <c r="CC384" s="141">
        <f t="shared" si="439"/>
        <v>36831</v>
      </c>
      <c r="CD384" s="234">
        <f>_xll.xSPRDOPT((VLOOKUP(G384,NGPrices,2,FALSE)+HLOOKUP(D384,Prices,VLOOKUP(G384,move_down,2,FALSE),FALSE)),VLOOKUP(G384,NGPrices,2,FALSE),I384,VLOOKUP(G384,NGPREVPRICES,4,FALSE),HLOOKUP(D384,PREVVOLS,VLOOKUP(G384,MOVE_DOWN2,2,FALSE),FALSE),VLOOKUP(G384,NGPREVPRICES,3,FALSE),HLOOKUP(D384,Correllate,VLOOKUP(G384,CorMove,2,FALSE),FALSE),Q384-$CD$3,R384,$CD$5)*H384-CJ384</f>
        <v>0</v>
      </c>
      <c r="CE384" s="234">
        <f>_xll.xSPRDOPT((VLOOKUP(G384,NGPREVPRICES,2,FALSE)+HLOOKUP(D384,PREVCURVES,VLOOKUP(G384,MOVE_DOWN2,2,FALSE),FALSE)),VLOOKUP(G384,NGPREVPRICES,2,FALSE),CK384,VLOOKUP(G384,NGPrices,4,FALSE),HLOOKUP(D384,PREVVOLS,VLOOKUP(G384,MOVE_DOWN2,2,FALSE),FALSE),VLOOKUP(G384,NGPREVPRICES,3,FALSE),HLOOKUP(D384,Correllate,VLOOKUP(G384,CorMove,2,FALSE),FALSE),Q384-$CD$3,R384,$CJ$5)*H384-CJ384</f>
        <v>0</v>
      </c>
      <c r="CF384" s="10">
        <f t="shared" si="440"/>
        <v>-69.535049963800702</v>
      </c>
      <c r="CG384" s="234">
        <f>_xll.xSPRDOPT((VLOOKUP(G384,NGPREVPRICES,2,FALSE)+HLOOKUP(D384,PREVCURVES,VLOOKUP(G384,MOVE_DOWN2,2,FALSE),FALSE)),VLOOKUP(G384,NGPREVPRICES,2,FALSE),CK384,VLOOKUP(G384,NGPREVPRICES,4,FALSE),HLOOKUP(D384,VOLS,VLOOKUP(G384,move_down,2,FALSE),FALSE),VLOOKUP(G384,NGPrices,3,FALSE),HLOOKUP(D384,Correllate,VLOOKUP(G384,CorMove,2,FALSE),FALSE),Q384-$CD$3,R384,$CJ$5)*H384-CJ384</f>
        <v>0</v>
      </c>
      <c r="CH384" s="234">
        <f>_xll.xSPRDOPT((VLOOKUP(G384,NGPREVPRICES,2,FALSE)+HLOOKUP(D384,PREVCURVES,VLOOKUP(G384,MOVE_DOWN2,2,FALSE),FALSE)),VLOOKUP(G384,NGPREVPRICES,2,FALSE),CK384,VLOOKUP(G384,NGPREVPRICES,4,FALSE),HLOOKUP(D384,PREVVOLS,VLOOKUP(G384,MOVE_DOWN2,2,FALSE),FALSE),VLOOKUP(G384,NGPREVPRICES,3,FALSE),HLOOKUP(D384,Correllate,VLOOKUP(G384,CorMove,2,FALSE),FALSE),Q384-$C$3,R384,$CJ$5)*H384-CJ384</f>
        <v>-3030.8296346435091</v>
      </c>
      <c r="CI384" s="234">
        <f t="shared" si="441"/>
        <v>-3100.3646846073098</v>
      </c>
      <c r="CJ384" s="234">
        <f>_xll.xSPRDOPT((VLOOKUP(G384,NGPREVPRICES,2,FALSE)+HLOOKUP(D384,PREVCURVES,VLOOKUP(G384,MOVE_DOWN2,2,FALSE),FALSE)),VLOOKUP(G384,NGPREVPRICES,2,FALSE),CK384,VLOOKUP(G384,NGPREVPRICES,4,FALSE),HLOOKUP(D384,PREVVOLS,VLOOKUP(G384,MOVE_DOWN2,2,FALSE),FALSE),VLOOKUP(G384,NGPREVPRICES,3,FALSE),HLOOKUP(D384,Correllate,VLOOKUP(G384,CorMove,2,FALSE),FALSE),Q384-$CD$3,R384,$CJ$5)*H384</f>
        <v>374426.83887661737</v>
      </c>
      <c r="CK384" s="235">
        <f t="shared" si="442"/>
        <v>0.75</v>
      </c>
      <c r="CM384" t="str">
        <f t="shared" si="443"/>
        <v>36831Curve Shift/Gamma</v>
      </c>
      <c r="CN384" t="str">
        <f t="shared" si="435"/>
        <v>36831Rho</v>
      </c>
      <c r="CO384" t="str">
        <f t="shared" si="436"/>
        <v>36831Drift</v>
      </c>
      <c r="CP384" t="str">
        <f t="shared" si="437"/>
        <v>36831Vega</v>
      </c>
      <c r="CQ384" t="str">
        <f t="shared" si="438"/>
        <v>36831Theta</v>
      </c>
    </row>
    <row r="385" spans="1:95" x14ac:dyDescent="0.25">
      <c r="A385" s="382" t="s">
        <v>279</v>
      </c>
      <c r="B385" t="s">
        <v>250</v>
      </c>
      <c r="C385" t="s">
        <v>459</v>
      </c>
      <c r="D385" s="4" t="s">
        <v>7</v>
      </c>
      <c r="E385" t="s">
        <v>20</v>
      </c>
      <c r="F385" t="s">
        <v>1</v>
      </c>
      <c r="G385" s="5">
        <v>36800</v>
      </c>
      <c r="H385" s="130">
        <v>-500000</v>
      </c>
      <c r="I385">
        <v>0.65</v>
      </c>
      <c r="J385" s="53">
        <f t="shared" si="381"/>
        <v>4.6920000000000002</v>
      </c>
      <c r="K385" s="7">
        <f t="shared" si="382"/>
        <v>0.41499999999999998</v>
      </c>
      <c r="L385" s="53">
        <f t="shared" si="383"/>
        <v>5.1070000000000002</v>
      </c>
      <c r="M385" s="157">
        <f t="shared" si="444"/>
        <v>6.8050789414654006E-2</v>
      </c>
      <c r="N385" s="4">
        <f t="shared" si="445"/>
        <v>0.57499999999999996</v>
      </c>
      <c r="O385" s="4">
        <f t="shared" si="446"/>
        <v>0.56399999999999995</v>
      </c>
      <c r="P385" s="9">
        <f t="shared" si="447"/>
        <v>0.99250000000000005</v>
      </c>
      <c r="Q385" s="5">
        <f t="shared" si="375"/>
        <v>36797</v>
      </c>
      <c r="R385" s="4">
        <f t="shared" si="448"/>
        <v>0</v>
      </c>
      <c r="S385" s="158">
        <f>_xll.xSPRDOPT($L385,$J385,$I385,$M385,$O385,$N385,$P385,$Q385-$C$3,$R385,0)</f>
        <v>0.23529924644192435</v>
      </c>
      <c r="T385" s="159">
        <f>_xll.xSPRDOPT($L385,$J385,$I385,$M385,$O385,$N385,$P385,$Q385-$C$3,$R385,1)*H385</f>
        <v>480004.69568377564</v>
      </c>
      <c r="U385" s="160">
        <f t="shared" si="449"/>
        <v>-117649.62322096218</v>
      </c>
      <c r="V385" s="159">
        <f>_xll.xSPRDOPT($L385,$J385,$I385,$M385,$O385,$N385,$P385,$Q385-$C$3,$R385,2)*H385</f>
        <v>-480538.24193545344</v>
      </c>
      <c r="W385" s="159">
        <f t="shared" si="450"/>
        <v>-533.54625167779159</v>
      </c>
      <c r="X385" s="51" t="str">
        <f t="shared" si="420"/>
        <v>36800IF-TRANSCO/Z6</v>
      </c>
      <c r="Y385" s="418">
        <f t="shared" si="421"/>
        <v>-50</v>
      </c>
      <c r="Z385" s="456">
        <f t="shared" si="422"/>
        <v>-0.96000939136755126</v>
      </c>
      <c r="AA385" s="456">
        <f>_xll.xSPRDOPT($L385,$J385,$I385,$M385,$O385,$N385,$P385,$Q385-$C$3,$R385,3)</f>
        <v>0.63238329482660682</v>
      </c>
      <c r="AB385" s="456">
        <f>((_xll.xSPRDOPT($L385+AB$5,$J385,$I385,$M385,$O385,$N385,$P385,$Q385-$C$3,$R385,3)*$H385)/10000)/100</f>
        <v>-0.31619164741330347</v>
      </c>
      <c r="AC385" s="456">
        <f>((_xll.xSPRDOPT($L385+$AB$5,$J385,$I385,$M385,$O385,$N385,$P385,$Q385-$C$3,$R385,7)*$H385)/100)</f>
        <v>1967.7679351794973</v>
      </c>
      <c r="AD385" s="456">
        <f>(_xll.xSPRDOPT($L385+$AB$5,$J385,$I385,$M385,$O385,$N385,$P385,$Q385-$C$3,$R385,9)/365)*$H385</f>
        <v>54.862506831736802</v>
      </c>
      <c r="AE385">
        <f t="shared" si="379"/>
        <v>0</v>
      </c>
      <c r="AF385" s="456">
        <f t="shared" si="380"/>
        <v>-80.08133440106127</v>
      </c>
      <c r="AG385" s="456">
        <f>((_xll.xSPRDOPT($L385,$J385,$I385,$M385,$O385,$N385,$P385,$Q385-$C$3,$R385,6)*$H385)/100)</f>
        <v>270.56204738222272</v>
      </c>
      <c r="AH385" s="456">
        <f>((_xll.xSPRDOPT($L385,$J385,$I385,$M385,$O385,$N385,$P385,$Q385-$C$3,$R385,5)*$H385)/100)</f>
        <v>-357.48217114430548</v>
      </c>
      <c r="AI385" s="456">
        <f>(((_xll.xSPRDOPT($L385,$J385,$I385,$M385,$O385,$N385,$P385,$Q385-$C$3,$R385,4)*$H385)/10000)/100)-AB385</f>
        <v>1.5536083706647441E-2</v>
      </c>
      <c r="AJ385" s="456"/>
      <c r="AK385" s="456"/>
      <c r="AL385" s="456"/>
      <c r="AM385" s="472"/>
      <c r="CC385" s="141">
        <f t="shared" si="439"/>
        <v>36800</v>
      </c>
      <c r="CD385" s="234">
        <f>_xll.xSPRDOPT((VLOOKUP(G385,NGPrices,2,FALSE)+HLOOKUP(D385,Prices,VLOOKUP(G385,move_down,2,FALSE),FALSE)),VLOOKUP(G385,NGPrices,2,FALSE),I385,VLOOKUP(G385,NGPREVPRICES,4,FALSE),HLOOKUP(D385,PREVVOLS,VLOOKUP(G385,MOVE_DOWN2,2,FALSE),FALSE),VLOOKUP(G385,NGPREVPRICES,3,FALSE),HLOOKUP(D385,Correllate,VLOOKUP(G385,CorMove,2,FALSE),FALSE),Q385-$CD$3,R385,$CD$5)*H385-CJ385</f>
        <v>0</v>
      </c>
      <c r="CE385" s="234">
        <f>_xll.xSPRDOPT((VLOOKUP(G385,NGPREVPRICES,2,FALSE)+HLOOKUP(D385,PREVCURVES,VLOOKUP(G385,MOVE_DOWN2,2,FALSE),FALSE)),VLOOKUP(G385,NGPREVPRICES,2,FALSE),CK385,VLOOKUP(G385,NGPrices,4,FALSE),HLOOKUP(D385,PREVVOLS,VLOOKUP(G385,MOVE_DOWN2,2,FALSE),FALSE),VLOOKUP(G385,NGPREVPRICES,3,FALSE),HLOOKUP(D385,Correllate,VLOOKUP(G385,CorMove,2,FALSE),FALSE),Q385-$CD$3,R385,$CJ$5)*H385-CJ385</f>
        <v>0</v>
      </c>
      <c r="CF385" s="10">
        <f t="shared" si="440"/>
        <v>21.699769434213522</v>
      </c>
      <c r="CG385" s="234">
        <f>_xll.xSPRDOPT((VLOOKUP(G385,NGPREVPRICES,2,FALSE)+HLOOKUP(D385,PREVCURVES,VLOOKUP(G385,MOVE_DOWN2,2,FALSE),FALSE)),VLOOKUP(G385,NGPREVPRICES,2,FALSE),CK385,VLOOKUP(G385,NGPREVPRICES,4,FALSE),HLOOKUP(D385,VOLS,VLOOKUP(G385,move_down,2,FALSE),FALSE),VLOOKUP(G385,NGPrices,3,FALSE),HLOOKUP(D385,Correllate,VLOOKUP(G385,CorMove,2,FALSE),FALSE),Q385-$CD$3,R385,$CJ$5)*H385-CJ385</f>
        <v>0</v>
      </c>
      <c r="CH385" s="234">
        <f>_xll.xSPRDOPT((VLOOKUP(G385,NGPREVPRICES,2,FALSE)+HLOOKUP(D385,PREVCURVES,VLOOKUP(G385,MOVE_DOWN2,2,FALSE),FALSE)),VLOOKUP(G385,NGPREVPRICES,2,FALSE),CK385,VLOOKUP(G385,NGPREVPRICES,4,FALSE),HLOOKUP(D385,PREVVOLS,VLOOKUP(G385,MOVE_DOWN2,2,FALSE),FALSE),VLOOKUP(G385,NGPREVPRICES,3,FALSE),HLOOKUP(D385,Correllate,VLOOKUP(G385,CorMove,2,FALSE),FALSE),Q385-$C$3,R385,$CJ$5)*H385-CJ385</f>
        <v>56.337900860278751</v>
      </c>
      <c r="CI385" s="234">
        <f t="shared" si="441"/>
        <v>78.037670294492273</v>
      </c>
      <c r="CJ385" s="234">
        <f>_xll.xSPRDOPT((VLOOKUP(G385,NGPREVPRICES,2,FALSE)+HLOOKUP(D385,PREVCURVES,VLOOKUP(G385,MOVE_DOWN2,2,FALSE),FALSE)),VLOOKUP(G385,NGPREVPRICES,2,FALSE),CK385,VLOOKUP(G385,NGPREVPRICES,4,FALSE),HLOOKUP(D385,PREVVOLS,VLOOKUP(G385,MOVE_DOWN2,2,FALSE),FALSE),VLOOKUP(G385,NGPREVPRICES,3,FALSE),HLOOKUP(D385,Correllate,VLOOKUP(G385,CorMove,2,FALSE),FALSE),Q385-$CD$3,R385,$CJ$5)*H385</f>
        <v>-117705.96112182246</v>
      </c>
      <c r="CK385" s="235">
        <f t="shared" si="442"/>
        <v>0.65</v>
      </c>
      <c r="CM385" t="str">
        <f t="shared" si="443"/>
        <v>36800Curve Shift/Gamma</v>
      </c>
      <c r="CN385" t="str">
        <f t="shared" si="435"/>
        <v>36800Rho</v>
      </c>
      <c r="CO385" t="str">
        <f t="shared" si="436"/>
        <v>36800Drift</v>
      </c>
      <c r="CP385" t="str">
        <f t="shared" si="437"/>
        <v>36800Vega</v>
      </c>
      <c r="CQ385" t="str">
        <f t="shared" si="438"/>
        <v>36800Theta</v>
      </c>
    </row>
    <row r="386" spans="1:95" x14ac:dyDescent="0.25">
      <c r="A386" s="382" t="s">
        <v>279</v>
      </c>
      <c r="B386" t="s">
        <v>250</v>
      </c>
      <c r="C386" t="s">
        <v>460</v>
      </c>
      <c r="D386" s="4" t="s">
        <v>7</v>
      </c>
      <c r="E386" t="s">
        <v>20</v>
      </c>
      <c r="F386" t="s">
        <v>1</v>
      </c>
      <c r="G386" s="5">
        <v>36800</v>
      </c>
      <c r="H386" s="130">
        <v>500000</v>
      </c>
      <c r="I386">
        <v>0.35</v>
      </c>
      <c r="J386" s="53">
        <f t="shared" si="381"/>
        <v>4.6920000000000002</v>
      </c>
      <c r="K386" s="7">
        <f t="shared" si="382"/>
        <v>0.41499999999999998</v>
      </c>
      <c r="L386" s="53">
        <f t="shared" si="383"/>
        <v>5.1070000000000002</v>
      </c>
      <c r="M386" s="157">
        <f t="shared" si="444"/>
        <v>6.8050789414654006E-2</v>
      </c>
      <c r="N386" s="4">
        <f t="shared" si="445"/>
        <v>0.57499999999999996</v>
      </c>
      <c r="O386" s="4">
        <f t="shared" si="446"/>
        <v>0.56399999999999995</v>
      </c>
      <c r="P386" s="9">
        <f t="shared" si="447"/>
        <v>0.99250000000000005</v>
      </c>
      <c r="Q386" s="5">
        <f t="shared" si="375"/>
        <v>36797</v>
      </c>
      <c r="R386" s="4">
        <f t="shared" si="448"/>
        <v>0</v>
      </c>
      <c r="S386" s="158">
        <f>_xll.xSPRDOPT($L386,$J386,$I386,$M386,$O386,$N386,$P386,$Q386-$C$3,$R386,0)</f>
        <v>1.7718115149172875E-2</v>
      </c>
      <c r="T386" s="159">
        <f>_xll.xSPRDOPT($L386,$J386,$I386,$M386,$O386,$N386,$P386,$Q386-$C$3,$R386,1)*H386</f>
        <v>-132478.22848745756</v>
      </c>
      <c r="U386" s="160">
        <f t="shared" si="449"/>
        <v>8859.0575745864371</v>
      </c>
      <c r="V386" s="159">
        <f>_xll.xSPRDOPT($L386,$J386,$I386,$M386,$O386,$N386,$P386,$Q386-$C$3,$R386,2)*H386</f>
        <v>135262.28229746141</v>
      </c>
      <c r="W386" s="159">
        <f t="shared" si="450"/>
        <v>2784.0538100038539</v>
      </c>
      <c r="X386" s="51" t="str">
        <f t="shared" si="420"/>
        <v>36800IF-TRANSCO/Z6</v>
      </c>
      <c r="Y386" s="418">
        <f t="shared" si="421"/>
        <v>50</v>
      </c>
      <c r="Z386" s="456">
        <f t="shared" si="422"/>
        <v>-0.2649564569749151</v>
      </c>
      <c r="AA386" s="456">
        <f>_xll.xSPRDOPT($L386,$J386,$I386,$M386,$O386,$N386,$P386,$Q386-$C$3,$R386,3)</f>
        <v>3.0271974596238289</v>
      </c>
      <c r="AB386" s="456">
        <f>((_xll.xSPRDOPT($L386+AB$5,$J386,$I386,$M386,$O386,$N386,$P386,$Q386-$C$3,$R386,3)*$H386)/10000)/100</f>
        <v>1.5135987298119145</v>
      </c>
      <c r="AC386" s="456">
        <f>((_xll.xSPRDOPT($L386+$AB$5,$J386,$I386,$M386,$O386,$N386,$P386,$Q386-$C$3,$R386,7)*$H386)/100)</f>
        <v>-9765.2556454080895</v>
      </c>
      <c r="AD386" s="456">
        <f>(_xll.xSPRDOPT($L386+$AB$5,$J386,$I386,$M386,$O386,$N386,$P386,$Q386-$C$3,$R386,9)/365)*$H386</f>
        <v>-293.29641957370814</v>
      </c>
      <c r="AE386">
        <f t="shared" si="379"/>
        <v>0</v>
      </c>
      <c r="AF386" s="456">
        <f t="shared" si="380"/>
        <v>307.56125900931352</v>
      </c>
      <c r="AG386" s="456">
        <f>((_xll.xSPRDOPT($L386,$J386,$I386,$M386,$O386,$N386,$P386,$Q386-$C$3,$R386,6)*$H386)/100)</f>
        <v>-774.35862789572138</v>
      </c>
      <c r="AH386" s="456">
        <f>((_xll.xSPRDOPT($L386,$J386,$I386,$M386,$O386,$N386,$P386,$Q386-$C$3,$R386,5)*$H386)/100)</f>
        <v>1103.0211612950268</v>
      </c>
      <c r="AI386" s="456">
        <f>(((_xll.xSPRDOPT($L386,$J386,$I386,$M386,$O386,$N386,$P386,$Q386-$C$3,$R386,4)*$H386)/10000)/100)-AB386</f>
        <v>3.3104096392046589E-2</v>
      </c>
      <c r="AJ386" s="456"/>
      <c r="AK386" s="456"/>
      <c r="AL386" s="456"/>
      <c r="AM386" s="472"/>
      <c r="CC386" s="141">
        <f t="shared" si="439"/>
        <v>36800</v>
      </c>
      <c r="CD386" s="234">
        <f>_xll.xSPRDOPT((VLOOKUP(G386,NGPrices,2,FALSE)+HLOOKUP(D386,Prices,VLOOKUP(G386,move_down,2,FALSE),FALSE)),VLOOKUP(G386,NGPrices,2,FALSE),I386,VLOOKUP(G386,NGPREVPRICES,4,FALSE),HLOOKUP(D386,PREVVOLS,VLOOKUP(G386,MOVE_DOWN2,2,FALSE),FALSE),VLOOKUP(G386,NGPREVPRICES,3,FALSE),HLOOKUP(D386,Correllate,VLOOKUP(G386,CorMove,2,FALSE),FALSE),Q386-$CD$3,R386,$CD$5)*H386-CJ386</f>
        <v>0</v>
      </c>
      <c r="CE386" s="234">
        <f>_xll.xSPRDOPT((VLOOKUP(G386,NGPREVPRICES,2,FALSE)+HLOOKUP(D386,PREVCURVES,VLOOKUP(G386,MOVE_DOWN2,2,FALSE),FALSE)),VLOOKUP(G386,NGPREVPRICES,2,FALSE),CK386,VLOOKUP(G386,NGPrices,4,FALSE),HLOOKUP(D386,PREVVOLS,VLOOKUP(G386,MOVE_DOWN2,2,FALSE),FALSE),VLOOKUP(G386,NGPREVPRICES,3,FALSE),HLOOKUP(D386,Correllate,VLOOKUP(G386,CorMove,2,FALSE),FALSE),Q386-$CD$3,R386,$CJ$5)*H386-CJ386</f>
        <v>0</v>
      </c>
      <c r="CF386" s="10">
        <f t="shared" si="440"/>
        <v>-1.6869624275386741</v>
      </c>
      <c r="CG386" s="234">
        <f>_xll.xSPRDOPT((VLOOKUP(G386,NGPREVPRICES,2,FALSE)+HLOOKUP(D386,PREVCURVES,VLOOKUP(G386,MOVE_DOWN2,2,FALSE),FALSE)),VLOOKUP(G386,NGPREVPRICES,2,FALSE),CK386,VLOOKUP(G386,NGPREVPRICES,4,FALSE),HLOOKUP(D386,VOLS,VLOOKUP(G386,move_down,2,FALSE),FALSE),VLOOKUP(G386,NGPrices,3,FALSE),HLOOKUP(D386,Correllate,VLOOKUP(G386,CorMove,2,FALSE),FALSE),Q386-$CD$3,R386,$CJ$5)*H386-CJ386</f>
        <v>0</v>
      </c>
      <c r="CH386" s="234">
        <f>_xll.xSPRDOPT((VLOOKUP(G386,NGPREVPRICES,2,FALSE)+HLOOKUP(D386,PREVCURVES,VLOOKUP(G386,MOVE_DOWN2,2,FALSE),FALSE)),VLOOKUP(G386,NGPREVPRICES,2,FALSE),CK386,VLOOKUP(G386,NGPREVPRICES,4,FALSE),HLOOKUP(D386,PREVVOLS,VLOOKUP(G386,MOVE_DOWN2,2,FALSE),FALSE),VLOOKUP(G386,NGPREVPRICES,3,FALSE),HLOOKUP(D386,Correllate,VLOOKUP(G386,CorMove,2,FALSE),FALSE),Q386-$C$3,R386,$CJ$5)*H386-CJ386</f>
        <v>-291.52508537411086</v>
      </c>
      <c r="CI386" s="234">
        <f t="shared" si="441"/>
        <v>-293.21204780164953</v>
      </c>
      <c r="CJ386" s="234">
        <f>_xll.xSPRDOPT((VLOOKUP(G386,NGPREVPRICES,2,FALSE)+HLOOKUP(D386,PREVCURVES,VLOOKUP(G386,MOVE_DOWN2,2,FALSE),FALSE)),VLOOKUP(G386,NGPREVPRICES,2,FALSE),CK386,VLOOKUP(G386,NGPREVPRICES,4,FALSE),HLOOKUP(D386,PREVVOLS,VLOOKUP(G386,MOVE_DOWN2,2,FALSE),FALSE),VLOOKUP(G386,NGPREVPRICES,3,FALSE),HLOOKUP(D386,Correllate,VLOOKUP(G386,CorMove,2,FALSE),FALSE),Q386-$CD$3,R386,$CJ$5)*H386</f>
        <v>9150.582659960548</v>
      </c>
      <c r="CK386" s="235">
        <f t="shared" si="442"/>
        <v>0.35</v>
      </c>
      <c r="CM386" t="str">
        <f t="shared" si="443"/>
        <v>36800Curve Shift/Gamma</v>
      </c>
      <c r="CN386" t="str">
        <f t="shared" si="435"/>
        <v>36800Rho</v>
      </c>
      <c r="CO386" t="str">
        <f t="shared" si="436"/>
        <v>36800Drift</v>
      </c>
      <c r="CP386" t="str">
        <f t="shared" si="437"/>
        <v>36800Vega</v>
      </c>
      <c r="CQ386" t="str">
        <f t="shared" si="438"/>
        <v>36800Theta</v>
      </c>
    </row>
    <row r="387" spans="1:95" x14ac:dyDescent="0.25">
      <c r="A387" s="382" t="s">
        <v>279</v>
      </c>
      <c r="B387" t="s">
        <v>250</v>
      </c>
      <c r="C387" t="s">
        <v>461</v>
      </c>
      <c r="D387" s="4" t="s">
        <v>7</v>
      </c>
      <c r="E387" t="s">
        <v>20</v>
      </c>
      <c r="F387" t="s">
        <v>1</v>
      </c>
      <c r="G387" s="5">
        <v>36951</v>
      </c>
      <c r="H387" s="130">
        <v>1000000</v>
      </c>
      <c r="I387">
        <v>1</v>
      </c>
      <c r="J387" s="53">
        <f t="shared" si="381"/>
        <v>4.2130000000000001</v>
      </c>
      <c r="K387" s="7">
        <f t="shared" si="382"/>
        <v>1.075</v>
      </c>
      <c r="L387" s="53">
        <f t="shared" si="383"/>
        <v>5.2880000000000003</v>
      </c>
      <c r="M387" s="157">
        <f t="shared" si="444"/>
        <v>6.8879814952706994E-2</v>
      </c>
      <c r="N387" s="4">
        <f t="shared" si="445"/>
        <v>0.53249999999999997</v>
      </c>
      <c r="O387" s="4">
        <f t="shared" si="446"/>
        <v>0.61199999999999999</v>
      </c>
      <c r="P387" s="9">
        <f t="shared" si="447"/>
        <v>0.83</v>
      </c>
      <c r="Q387" s="5">
        <f t="shared" si="375"/>
        <v>36949</v>
      </c>
      <c r="R387" s="4">
        <f t="shared" si="448"/>
        <v>0</v>
      </c>
      <c r="S387" s="158">
        <f>_xll.xSPRDOPT($L387,$J387,$I387,$M387,$O387,$N387,$P387,$Q387-$C$3,$R387,0)</f>
        <v>0.46423253044064883</v>
      </c>
      <c r="T387" s="159">
        <f>_xll.xSPRDOPT($L387,$J387,$I387,$M387,$O387,$N387,$P387,$Q387-$C$3,$R387,1)*H387</f>
        <v>-412664.57893835718</v>
      </c>
      <c r="U387" s="160">
        <f t="shared" si="449"/>
        <v>464232.53044064884</v>
      </c>
      <c r="V387" s="159">
        <f>_xll.xSPRDOPT($L387,$J387,$I387,$M387,$O387,$N387,$P387,$Q387-$C$3,$R387,2)*H387</f>
        <v>501374.78737026098</v>
      </c>
      <c r="W387" s="159">
        <f t="shared" si="450"/>
        <v>88710.208431903797</v>
      </c>
      <c r="X387" s="51" t="str">
        <f t="shared" si="420"/>
        <v>36951IF-TRANSCO/Z6</v>
      </c>
      <c r="Y387" s="418">
        <f t="shared" si="421"/>
        <v>100</v>
      </c>
      <c r="Z387" s="456">
        <f t="shared" si="422"/>
        <v>-0.41266457893835717</v>
      </c>
      <c r="AA387" s="456">
        <f>_xll.xSPRDOPT($L387,$J387,$I387,$M387,$O387,$N387,$P387,$Q387-$C$3,$R387,3)</f>
        <v>0.28979330776443896</v>
      </c>
      <c r="AB387" s="456">
        <f>((_xll.xSPRDOPT($L387+AB$5,$J387,$I387,$M387,$O387,$N387,$P387,$Q387-$C$3,$R387,3)*$H387)/10000)/100</f>
        <v>0.28979330776443901</v>
      </c>
      <c r="AC387" s="456">
        <f>((_xll.xSPRDOPT($L387+$AB$5,$J387,$I387,$M387,$O387,$N387,$P387,$Q387-$C$3,$R387,7)*$H387)/100)</f>
        <v>-10664.804822557091</v>
      </c>
      <c r="AD387" s="456">
        <f>(_xll.xSPRDOPT($L387+$AB$5,$J387,$I387,$M387,$O387,$N387,$P387,$Q387-$C$3,$R387,9)/365)*$H387</f>
        <v>-1280.3925574088119</v>
      </c>
      <c r="AE387">
        <f t="shared" si="379"/>
        <v>0</v>
      </c>
      <c r="AF387" s="456">
        <f t="shared" si="380"/>
        <v>9344.8019757083639</v>
      </c>
      <c r="AG387" s="456">
        <f>((_xll.xSPRDOPT($L387,$J387,$I387,$M387,$O387,$N387,$P387,$Q387-$C$3,$R387,6)*$H387)/100)</f>
        <v>-2433.233319343929</v>
      </c>
      <c r="AH387" s="456">
        <f>((_xll.xSPRDOPT($L387,$J387,$I387,$M387,$O387,$N387,$P387,$Q387-$C$3,$R387,5)*$H387)/100)</f>
        <v>10248.045416038147</v>
      </c>
      <c r="AI387" s="456">
        <f>(((_xll.xSPRDOPT($L387,$J387,$I387,$M387,$O387,$N387,$P387,$Q387-$C$3,$R387,4)*$H387)/10000)/100)-AB387</f>
        <v>1.1505130574366362E-2</v>
      </c>
      <c r="AJ387" s="456"/>
      <c r="AK387" s="456"/>
      <c r="AL387" s="456"/>
      <c r="AM387" s="472"/>
      <c r="CC387" s="141">
        <f t="shared" si="439"/>
        <v>36951</v>
      </c>
      <c r="CD387" s="234">
        <f>_xll.xSPRDOPT((VLOOKUP(G387,NGPrices,2,FALSE)+HLOOKUP(D387,Prices,VLOOKUP(G387,move_down,2,FALSE),FALSE)),VLOOKUP(G387,NGPrices,2,FALSE),I387,VLOOKUP(G387,NGPREVPRICES,4,FALSE),HLOOKUP(D387,PREVVOLS,VLOOKUP(G387,MOVE_DOWN2,2,FALSE),FALSE),VLOOKUP(G387,NGPREVPRICES,3,FALSE),HLOOKUP(D387,Correllate,VLOOKUP(G387,CorMove,2,FALSE),FALSE),Q387-$CD$3,R387,$CD$5)*H387-CJ387</f>
        <v>0</v>
      </c>
      <c r="CE387" s="234">
        <f>_xll.xSPRDOPT((VLOOKUP(G387,NGPREVPRICES,2,FALSE)+HLOOKUP(D387,PREVCURVES,VLOOKUP(G387,MOVE_DOWN2,2,FALSE),FALSE)),VLOOKUP(G387,NGPREVPRICES,2,FALSE),CK387,VLOOKUP(G387,NGPrices,4,FALSE),HLOOKUP(D387,PREVVOLS,VLOOKUP(G387,MOVE_DOWN2,2,FALSE),FALSE),VLOOKUP(G387,NGPREVPRICES,3,FALSE),HLOOKUP(D387,Correllate,VLOOKUP(G387,CorMove,2,FALSE),FALSE),Q387-$CD$3,R387,$CJ$5)*H387-CJ387</f>
        <v>0</v>
      </c>
      <c r="CF387" s="10">
        <f t="shared" si="440"/>
        <v>-89.277845385950059</v>
      </c>
      <c r="CG387" s="234">
        <f>_xll.xSPRDOPT((VLOOKUP(G387,NGPREVPRICES,2,FALSE)+HLOOKUP(D387,PREVCURVES,VLOOKUP(G387,MOVE_DOWN2,2,FALSE),FALSE)),VLOOKUP(G387,NGPREVPRICES,2,FALSE),CK387,VLOOKUP(G387,NGPREVPRICES,4,FALSE),HLOOKUP(D387,VOLS,VLOOKUP(G387,move_down,2,FALSE),FALSE),VLOOKUP(G387,NGPrices,3,FALSE),HLOOKUP(D387,Correllate,VLOOKUP(G387,CorMove,2,FALSE),FALSE),Q387-$CD$3,R387,$CJ$5)*H387-CJ387</f>
        <v>0</v>
      </c>
      <c r="CH387" s="234">
        <f>_xll.xSPRDOPT((VLOOKUP(G387,NGPREVPRICES,2,FALSE)+HLOOKUP(D387,PREVCURVES,VLOOKUP(G387,MOVE_DOWN2,2,FALSE),FALSE)),VLOOKUP(G387,NGPREVPRICES,2,FALSE),CK387,VLOOKUP(G387,NGPREVPRICES,4,FALSE),HLOOKUP(D387,PREVVOLS,VLOOKUP(G387,MOVE_DOWN2,2,FALSE),FALSE),VLOOKUP(G387,NGPREVPRICES,3,FALSE),HLOOKUP(D387,Correllate,VLOOKUP(G387,CorMove,2,FALSE),FALSE),Q387-$C$3,R387,$CJ$5)*H387-CJ387</f>
        <v>-1277.3862891665194</v>
      </c>
      <c r="CI387" s="234">
        <f t="shared" si="441"/>
        <v>-1366.6641345524695</v>
      </c>
      <c r="CJ387" s="234">
        <f>_xll.xSPRDOPT((VLOOKUP(G387,NGPREVPRICES,2,FALSE)+HLOOKUP(D387,PREVCURVES,VLOOKUP(G387,MOVE_DOWN2,2,FALSE),FALSE)),VLOOKUP(G387,NGPREVPRICES,2,FALSE),CK387,VLOOKUP(G387,NGPREVPRICES,4,FALSE),HLOOKUP(D387,PREVVOLS,VLOOKUP(G387,MOVE_DOWN2,2,FALSE),FALSE),VLOOKUP(G387,NGPREVPRICES,3,FALSE),HLOOKUP(D387,Correllate,VLOOKUP(G387,CorMove,2,FALSE),FALSE),Q387-$CD$3,R387,$CJ$5)*H387</f>
        <v>465509.91672981536</v>
      </c>
      <c r="CK387" s="235">
        <f t="shared" si="442"/>
        <v>1</v>
      </c>
      <c r="CM387" t="str">
        <f t="shared" si="443"/>
        <v>36951Curve Shift/Gamma</v>
      </c>
      <c r="CN387" t="str">
        <f t="shared" si="435"/>
        <v>36951Rho</v>
      </c>
      <c r="CO387" t="str">
        <f t="shared" si="436"/>
        <v>36951Drift</v>
      </c>
      <c r="CP387" t="str">
        <f t="shared" si="437"/>
        <v>36951Vega</v>
      </c>
      <c r="CQ387" t="str">
        <f t="shared" si="438"/>
        <v>36951Theta</v>
      </c>
    </row>
    <row r="388" spans="1:95" x14ac:dyDescent="0.25">
      <c r="A388" s="382" t="s">
        <v>279</v>
      </c>
      <c r="B388" t="s">
        <v>250</v>
      </c>
      <c r="C388" t="s">
        <v>462</v>
      </c>
      <c r="D388" s="4" t="s">
        <v>7</v>
      </c>
      <c r="E388" t="s">
        <v>20</v>
      </c>
      <c r="F388" t="s">
        <v>1</v>
      </c>
      <c r="G388" s="5">
        <v>36951</v>
      </c>
      <c r="H388" s="130">
        <v>1000000</v>
      </c>
      <c r="I388">
        <v>1.1499999999999999</v>
      </c>
      <c r="J388" s="53">
        <f t="shared" si="381"/>
        <v>4.2130000000000001</v>
      </c>
      <c r="K388" s="7">
        <f t="shared" si="382"/>
        <v>1.075</v>
      </c>
      <c r="L388" s="53">
        <f t="shared" si="383"/>
        <v>5.2880000000000003</v>
      </c>
      <c r="M388" s="157">
        <f t="shared" si="444"/>
        <v>6.8879814952706994E-2</v>
      </c>
      <c r="N388" s="4">
        <f t="shared" si="445"/>
        <v>0.53249999999999997</v>
      </c>
      <c r="O388" s="4">
        <f t="shared" si="446"/>
        <v>0.61199999999999999</v>
      </c>
      <c r="P388" s="9">
        <f t="shared" si="447"/>
        <v>0.83</v>
      </c>
      <c r="Q388" s="5">
        <f t="shared" si="375"/>
        <v>36949</v>
      </c>
      <c r="R388" s="4">
        <f t="shared" si="448"/>
        <v>0</v>
      </c>
      <c r="S388" s="158">
        <f>_xll.xSPRDOPT($L388,$J388,$I388,$M388,$O388,$N388,$P388,$Q388-$C$3,$R388,0)</f>
        <v>0.54782224755499853</v>
      </c>
      <c r="T388" s="159">
        <f>_xll.xSPRDOPT($L388,$J388,$I388,$M388,$O388,$N388,$P388,$Q388-$C$3,$R388,1)*H388</f>
        <v>-455603.65175766469</v>
      </c>
      <c r="U388" s="160">
        <f t="shared" si="449"/>
        <v>547822.2475549985</v>
      </c>
      <c r="V388" s="159">
        <f>_xll.xSPRDOPT($L388,$J388,$I388,$M388,$O388,$N388,$P388,$Q388-$C$3,$R388,2)*H388</f>
        <v>543612.48241214885</v>
      </c>
      <c r="W388" s="159">
        <f t="shared" si="450"/>
        <v>88008.830654484162</v>
      </c>
      <c r="X388" s="51" t="str">
        <f t="shared" si="420"/>
        <v>36951IF-TRANSCO/Z6</v>
      </c>
      <c r="Y388" s="418">
        <f t="shared" si="421"/>
        <v>100</v>
      </c>
      <c r="Z388" s="456">
        <f t="shared" si="422"/>
        <v>-0.45560365175766471</v>
      </c>
      <c r="AA388" s="456">
        <f>_xll.xSPRDOPT($L388,$J388,$I388,$M388,$O388,$N388,$P388,$Q388-$C$3,$R388,3)</f>
        <v>0.29184141966594901</v>
      </c>
      <c r="AB388" s="456">
        <f>((_xll.xSPRDOPT($L388+AB$5,$J388,$I388,$M388,$O388,$N388,$P388,$Q388-$C$3,$R388,3)*$H388)/10000)/100</f>
        <v>0.29184141966594901</v>
      </c>
      <c r="AC388" s="456">
        <f>((_xll.xSPRDOPT($L388+$AB$5,$J388,$I388,$M388,$O388,$N388,$P388,$Q388-$C$3,$R388,7)*$H388)/100)</f>
        <v>-10472.443888326232</v>
      </c>
      <c r="AD388" s="456">
        <f>(_xll.xSPRDOPT($L388+$AB$5,$J388,$I388,$M388,$O388,$N388,$P388,$Q388-$C$3,$R388,9)/365)*$H388</f>
        <v>-1295.2326942231316</v>
      </c>
      <c r="AE388">
        <f t="shared" si="379"/>
        <v>0</v>
      </c>
      <c r="AF388" s="456">
        <f t="shared" si="380"/>
        <v>9553.9297186454387</v>
      </c>
      <c r="AG388" s="456">
        <f>((_xll.xSPRDOPT($L388,$J388,$I388,$M388,$O388,$N388,$P388,$Q388-$C$3,$R388,6)*$H388)/100)</f>
        <v>-2724.6746487887299</v>
      </c>
      <c r="AH388" s="456">
        <f>((_xll.xSPRDOPT($L388,$J388,$I388,$M388,$O388,$N388,$P388,$Q388-$C$3,$R388,5)*$H388)/100)</f>
        <v>10683.589584409632</v>
      </c>
      <c r="AI388" s="456">
        <f>(((_xll.xSPRDOPT($L388,$J388,$I388,$M388,$O388,$N388,$P388,$Q388-$C$3,$R388,4)*$H388)/10000)/100)-AB388</f>
        <v>-3.099146233118466E-3</v>
      </c>
      <c r="AJ388" s="456"/>
      <c r="AK388" s="456"/>
      <c r="AL388" s="456"/>
      <c r="AM388" s="472"/>
      <c r="CC388" s="141">
        <f t="shared" si="439"/>
        <v>36951</v>
      </c>
      <c r="CD388" s="234">
        <f>_xll.xSPRDOPT((VLOOKUP(G388,NGPrices,2,FALSE)+HLOOKUP(D388,Prices,VLOOKUP(G388,move_down,2,FALSE),FALSE)),VLOOKUP(G388,NGPrices,2,FALSE),I388,VLOOKUP(G388,NGPREVPRICES,4,FALSE),HLOOKUP(D388,PREVVOLS,VLOOKUP(G388,MOVE_DOWN2,2,FALSE),FALSE),VLOOKUP(G388,NGPREVPRICES,3,FALSE),HLOOKUP(D388,Correllate,VLOOKUP(G388,CorMove,2,FALSE),FALSE),Q388-$CD$3,R388,$CD$5)*H388-CJ388</f>
        <v>0</v>
      </c>
      <c r="CE388" s="234">
        <f>_xll.xSPRDOPT((VLOOKUP(G388,NGPREVPRICES,2,FALSE)+HLOOKUP(D388,PREVCURVES,VLOOKUP(G388,MOVE_DOWN2,2,FALSE),FALSE)),VLOOKUP(G388,NGPREVPRICES,2,FALSE),CK388,VLOOKUP(G388,NGPrices,4,FALSE),HLOOKUP(D388,PREVVOLS,VLOOKUP(G388,MOVE_DOWN2,2,FALSE),FALSE),VLOOKUP(G388,NGPREVPRICES,3,FALSE),HLOOKUP(D388,Correllate,VLOOKUP(G388,CorMove,2,FALSE),FALSE),Q388-$CD$3,R388,$CJ$5)*H388-CJ388</f>
        <v>0</v>
      </c>
      <c r="CF388" s="10">
        <f t="shared" si="440"/>
        <v>-105.31193915964104</v>
      </c>
      <c r="CG388" s="234">
        <f>_xll.xSPRDOPT((VLOOKUP(G388,NGPREVPRICES,2,FALSE)+HLOOKUP(D388,PREVCURVES,VLOOKUP(G388,MOVE_DOWN2,2,FALSE),FALSE)),VLOOKUP(G388,NGPREVPRICES,2,FALSE),CK388,VLOOKUP(G388,NGPREVPRICES,4,FALSE),HLOOKUP(D388,VOLS,VLOOKUP(G388,move_down,2,FALSE),FALSE),VLOOKUP(G388,NGPrices,3,FALSE),HLOOKUP(D388,Correllate,VLOOKUP(G388,CorMove,2,FALSE),FALSE),Q388-$CD$3,R388,$CJ$5)*H388-CJ388</f>
        <v>0</v>
      </c>
      <c r="CH388" s="234">
        <f>_xll.xSPRDOPT((VLOOKUP(G388,NGPREVPRICES,2,FALSE)+HLOOKUP(D388,PREVCURVES,VLOOKUP(G388,MOVE_DOWN2,2,FALSE),FALSE)),VLOOKUP(G388,NGPREVPRICES,2,FALSE),CK388,VLOOKUP(G388,NGPREVPRICES,4,FALSE),HLOOKUP(D388,PREVVOLS,VLOOKUP(G388,MOVE_DOWN2,2,FALSE),FALSE),VLOOKUP(G388,NGPREVPRICES,3,FALSE),HLOOKUP(D388,Correllate,VLOOKUP(G388,CorMove,2,FALSE),FALSE),Q388-$C$3,R388,$CJ$5)*H388-CJ388</f>
        <v>-1292.1695424079662</v>
      </c>
      <c r="CI388" s="234">
        <f t="shared" si="441"/>
        <v>-1397.4814815676073</v>
      </c>
      <c r="CJ388" s="234">
        <f>_xll.xSPRDOPT((VLOOKUP(G388,NGPREVPRICES,2,FALSE)+HLOOKUP(D388,PREVCURVES,VLOOKUP(G388,MOVE_DOWN2,2,FALSE),FALSE)),VLOOKUP(G388,NGPREVPRICES,2,FALSE),CK388,VLOOKUP(G388,NGPREVPRICES,4,FALSE),HLOOKUP(D388,PREVVOLS,VLOOKUP(G388,MOVE_DOWN2,2,FALSE),FALSE),VLOOKUP(G388,NGPREVPRICES,3,FALSE),HLOOKUP(D388,Correllate,VLOOKUP(G388,CorMove,2,FALSE),FALSE),Q388-$CD$3,R388,$CJ$5)*H388</f>
        <v>549114.41709740646</v>
      </c>
      <c r="CK388" s="235">
        <f t="shared" si="442"/>
        <v>1.1499999999999999</v>
      </c>
      <c r="CM388" t="str">
        <f t="shared" si="443"/>
        <v>36951Curve Shift/Gamma</v>
      </c>
      <c r="CN388" t="str">
        <f t="shared" si="435"/>
        <v>36951Rho</v>
      </c>
      <c r="CO388" t="str">
        <f t="shared" si="436"/>
        <v>36951Drift</v>
      </c>
      <c r="CP388" t="str">
        <f t="shared" si="437"/>
        <v>36951Vega</v>
      </c>
      <c r="CQ388" t="str">
        <f t="shared" si="438"/>
        <v>36951Theta</v>
      </c>
    </row>
    <row r="389" spans="1:95" x14ac:dyDescent="0.25">
      <c r="A389" s="382" t="s">
        <v>279</v>
      </c>
      <c r="B389" t="s">
        <v>250</v>
      </c>
      <c r="C389" t="s">
        <v>463</v>
      </c>
      <c r="D389" s="4" t="s">
        <v>7</v>
      </c>
      <c r="E389" t="s">
        <v>20</v>
      </c>
      <c r="F389" t="s">
        <v>21</v>
      </c>
      <c r="G389" s="5">
        <v>36800</v>
      </c>
      <c r="H389" s="130">
        <v>-1000000</v>
      </c>
      <c r="I389">
        <v>0.7</v>
      </c>
      <c r="J389" s="53">
        <f t="shared" si="381"/>
        <v>4.6920000000000002</v>
      </c>
      <c r="K389" s="7">
        <f t="shared" si="382"/>
        <v>0.41499999999999998</v>
      </c>
      <c r="L389" s="53">
        <f t="shared" si="383"/>
        <v>5.1070000000000002</v>
      </c>
      <c r="M389" s="157">
        <f t="shared" ref="M389:M396" si="451">VLOOKUP(G389,NGPrices,4,FALSE)</f>
        <v>6.8050789414654006E-2</v>
      </c>
      <c r="N389" s="4">
        <f t="shared" ref="N389:N396" si="452">VLOOKUP(G389,NGPrices,3,FALSE)</f>
        <v>0.57499999999999996</v>
      </c>
      <c r="O389" s="4">
        <f t="shared" ref="O389:O396" si="453">HLOOKUP(D389,VOLS,VLOOKUP(G389,move_down,2,FALSE),FALSE)</f>
        <v>0.56399999999999995</v>
      </c>
      <c r="P389" s="9">
        <f t="shared" ref="P389:P396" si="454">HLOOKUP(D389,Correllate,VLOOKUP(G389,CorMove,2,FALSE),FALSE)</f>
        <v>0.99250000000000005</v>
      </c>
      <c r="Q389" s="5">
        <f t="shared" si="375"/>
        <v>36797</v>
      </c>
      <c r="R389" s="4">
        <f t="shared" ref="R389:R396" si="455">IF(F389="P",0,1)</f>
        <v>1</v>
      </c>
      <c r="S389" s="158">
        <f>_xll.xSPRDOPT($L389,$J389,$I389,$M389,$O389,$N389,$P389,$Q389-$C$3,$R389,0)</f>
        <v>6.7579989208547823E-4</v>
      </c>
      <c r="T389" s="159">
        <f>_xll.xSPRDOPT($L389,$J389,$I389,$M389,$O389,$N389,$P389,$Q389-$C$3,$R389,1)*H389</f>
        <v>-15771.724358823447</v>
      </c>
      <c r="U389" s="160">
        <f t="shared" ref="U389:U396" si="456">S389*H389</f>
        <v>-675.79989208547818</v>
      </c>
      <c r="V389" s="159">
        <f>_xll.xSPRDOPT($L389,$J389,$I389,$M389,$O389,$N389,$P389,$Q389-$C$3,$R389,2)*H389</f>
        <v>15230.892129738904</v>
      </c>
      <c r="W389" s="159">
        <f t="shared" ref="W389:W396" si="457">+V389+T389</f>
        <v>-540.83222908454263</v>
      </c>
      <c r="X389" s="51" t="str">
        <f t="shared" si="420"/>
        <v>36800IF-TRANSCO/Z6</v>
      </c>
      <c r="Y389" s="418">
        <f t="shared" si="421"/>
        <v>-100</v>
      </c>
      <c r="Z389" s="456">
        <f t="shared" si="422"/>
        <v>1.5771724358823448E-2</v>
      </c>
      <c r="AA389" s="456">
        <f>_xll.xSPRDOPT($L389,$J389,$I389,$M389,$O389,$N389,$P389,$Q389-$C$3,$R389,3)</f>
        <v>0.32365395944546471</v>
      </c>
      <c r="AB389" s="456">
        <f>((_xll.xSPRDOPT($L389+AB$5,$J389,$I389,$M389,$O389,$N389,$P389,$Q389-$C$3,$R389,3)*$H389)/10000)/100</f>
        <v>-0.32365395944546471</v>
      </c>
      <c r="AC389" s="456">
        <f>((_xll.xSPRDOPT($L389+$AB$5,$J389,$I389,$M389,$O389,$N389,$P389,$Q389-$C$3,$R389,7)*$H389)/100)</f>
        <v>2006.1160002468273</v>
      </c>
      <c r="AD389" s="456">
        <f>(_xll.xSPRDOPT($L389+$AB$5,$J389,$I389,$M389,$O389,$N389,$P389,$Q389-$C$3,$R389,9)/365)*$H389</f>
        <v>80.677919602901724</v>
      </c>
      <c r="AE389">
        <f t="shared" si="379"/>
        <v>0</v>
      </c>
      <c r="AF389" s="456">
        <f t="shared" si="380"/>
        <v>-84.259448909447201</v>
      </c>
      <c r="AG389" s="456">
        <f>((_xll.xSPRDOPT($L389,$J389,$I389,$M389,$O389,$N389,$P389,$Q389-$C$3,$R389,6)*$H389)/100)</f>
        <v>288.62328159650292</v>
      </c>
      <c r="AH389" s="456">
        <f>((_xll.xSPRDOPT($L389,$J389,$I389,$M389,$O389,$N389,$P389,$Q389-$C$3,$R389,5)*$H389)/100)</f>
        <v>-380.15526603000234</v>
      </c>
      <c r="AI389" s="456">
        <f>(((_xll.xSPRDOPT($L389,$J389,$I389,$M389,$O389,$N389,$P389,$Q389-$C$3,$R389,4)*$H389)/10000)/100)-AB389</f>
        <v>1.8368425250491538E-2</v>
      </c>
      <c r="AJ389" s="456"/>
      <c r="AK389" s="456"/>
      <c r="AL389" s="456"/>
      <c r="AM389" s="472"/>
      <c r="CC389" s="141">
        <f t="shared" si="439"/>
        <v>36800</v>
      </c>
      <c r="CD389" s="234">
        <f>_xll.xSPRDOPT((VLOOKUP(G389,NGPrices,2,FALSE)+HLOOKUP(D389,Prices,VLOOKUP(G389,move_down,2,FALSE),FALSE)),VLOOKUP(G389,NGPrices,2,FALSE),I389,VLOOKUP(G389,NGPREVPRICES,4,FALSE),HLOOKUP(D389,PREVVOLS,VLOOKUP(G389,MOVE_DOWN2,2,FALSE),FALSE),VLOOKUP(G389,NGPREVPRICES,3,FALSE),HLOOKUP(D389,Correllate,VLOOKUP(G389,CorMove,2,FALSE),FALSE),Q389-$CD$3,R389,$CD$5)*H389-CJ389</f>
        <v>0</v>
      </c>
      <c r="CE389" s="234">
        <f>_xll.xSPRDOPT((VLOOKUP(G389,NGPREVPRICES,2,FALSE)+HLOOKUP(D389,PREVCURVES,VLOOKUP(G389,MOVE_DOWN2,2,FALSE),FALSE)),VLOOKUP(G389,NGPREVPRICES,2,FALSE),CK389,VLOOKUP(G389,NGPrices,4,FALSE),HLOOKUP(D389,PREVVOLS,VLOOKUP(G389,MOVE_DOWN2,2,FALSE),FALSE),VLOOKUP(G389,NGPREVPRICES,3,FALSE),HLOOKUP(D389,Correllate,VLOOKUP(G389,CorMove,2,FALSE),FALSE),Q389-$CD$3,R389,$CJ$5)*H389-CJ389</f>
        <v>0</v>
      </c>
      <c r="CF389" s="10">
        <f t="shared" si="440"/>
        <v>0.1399119726910385</v>
      </c>
      <c r="CG389" s="234">
        <f>_xll.xSPRDOPT((VLOOKUP(G389,NGPREVPRICES,2,FALSE)+HLOOKUP(D389,PREVCURVES,VLOOKUP(G389,MOVE_DOWN2,2,FALSE),FALSE)),VLOOKUP(G389,NGPREVPRICES,2,FALSE),CK389,VLOOKUP(G389,NGPREVPRICES,4,FALSE),HLOOKUP(D389,VOLS,VLOOKUP(G389,move_down,2,FALSE),FALSE),VLOOKUP(G389,NGPrices,3,FALSE),HLOOKUP(D389,Correllate,VLOOKUP(G389,CorMove,2,FALSE),FALSE),Q389-$CD$3,R389,$CJ$5)*H389-CJ389</f>
        <v>0</v>
      </c>
      <c r="CH389" s="234">
        <f>_xll.xSPRDOPT((VLOOKUP(G389,NGPREVPRICES,2,FALSE)+HLOOKUP(D389,PREVCURVES,VLOOKUP(G389,MOVE_DOWN2,2,FALSE),FALSE)),VLOOKUP(G389,NGPREVPRICES,2,FALSE),CK389,VLOOKUP(G389,NGPREVPRICES,4,FALSE),HLOOKUP(D389,PREVVOLS,VLOOKUP(G389,MOVE_DOWN2,2,FALSE),FALSE),VLOOKUP(G389,NGPREVPRICES,3,FALSE),HLOOKUP(D389,Correllate,VLOOKUP(G389,CorMove,2,FALSE),FALSE),Q389-$C$3,R389,$CJ$5)*H389-CJ389</f>
        <v>83.123988095916161</v>
      </c>
      <c r="CI389" s="234">
        <f t="shared" si="441"/>
        <v>83.2639000686072</v>
      </c>
      <c r="CJ389" s="234">
        <f>_xll.xSPRDOPT((VLOOKUP(G389,NGPREVPRICES,2,FALSE)+HLOOKUP(D389,PREVCURVES,VLOOKUP(G389,MOVE_DOWN2,2,FALSE),FALSE)),VLOOKUP(G389,NGPREVPRICES,2,FALSE),CK389,VLOOKUP(G389,NGPREVPRICES,4,FALSE),HLOOKUP(D389,PREVVOLS,VLOOKUP(G389,MOVE_DOWN2,2,FALSE),FALSE),VLOOKUP(G389,NGPREVPRICES,3,FALSE),HLOOKUP(D389,Correllate,VLOOKUP(G389,CorMove,2,FALSE),FALSE),Q389-$CD$3,R389,$CJ$5)*H389</f>
        <v>-758.92388018139434</v>
      </c>
      <c r="CK389" s="235">
        <f t="shared" si="442"/>
        <v>0.7</v>
      </c>
      <c r="CM389" t="str">
        <f t="shared" si="443"/>
        <v>36800Curve Shift/Gamma</v>
      </c>
      <c r="CN389" t="str">
        <f t="shared" si="435"/>
        <v>36800Rho</v>
      </c>
      <c r="CO389" t="str">
        <f t="shared" si="436"/>
        <v>36800Drift</v>
      </c>
      <c r="CP389" t="str">
        <f t="shared" si="437"/>
        <v>36800Vega</v>
      </c>
      <c r="CQ389" t="str">
        <f t="shared" si="438"/>
        <v>36800Theta</v>
      </c>
    </row>
    <row r="390" spans="1:95" x14ac:dyDescent="0.25">
      <c r="A390" s="382" t="s">
        <v>279</v>
      </c>
      <c r="B390" t="s">
        <v>250</v>
      </c>
      <c r="C390" t="s">
        <v>464</v>
      </c>
      <c r="D390" s="4" t="s">
        <v>7</v>
      </c>
      <c r="E390" t="s">
        <v>20</v>
      </c>
      <c r="F390" t="s">
        <v>21</v>
      </c>
      <c r="G390" s="5">
        <v>36831</v>
      </c>
      <c r="H390" s="130">
        <v>-1000000</v>
      </c>
      <c r="I390">
        <v>1</v>
      </c>
      <c r="J390" s="53">
        <f t="shared" si="381"/>
        <v>4.7359999999999998</v>
      </c>
      <c r="K390" s="7">
        <f t="shared" si="382"/>
        <v>0.77</v>
      </c>
      <c r="L390" s="53">
        <f t="shared" si="383"/>
        <v>5.5060000000000002</v>
      </c>
      <c r="M390" s="157">
        <f t="shared" si="451"/>
        <v>6.810675983792E-2</v>
      </c>
      <c r="N390" s="4">
        <f t="shared" si="452"/>
        <v>0.59499999999999997</v>
      </c>
      <c r="O390" s="4">
        <f t="shared" si="453"/>
        <v>0.625</v>
      </c>
      <c r="P390" s="9">
        <f t="shared" si="454"/>
        <v>0.89</v>
      </c>
      <c r="Q390" s="5">
        <f t="shared" si="375"/>
        <v>36829</v>
      </c>
      <c r="R390" s="4">
        <f t="shared" si="455"/>
        <v>1</v>
      </c>
      <c r="S390" s="158">
        <f>_xll.xSPRDOPT($L390,$J390,$I390,$M390,$O390,$N390,$P390,$Q390-$C$3,$R390,0)</f>
        <v>0.16844177648588188</v>
      </c>
      <c r="T390" s="159">
        <f>_xll.xSPRDOPT($L390,$J390,$I390,$M390,$O390,$N390,$P390,$Q390-$C$3,$R390,1)*H390</f>
        <v>-386136.45574664604</v>
      </c>
      <c r="U390" s="160">
        <f t="shared" si="456"/>
        <v>-168441.77648588188</v>
      </c>
      <c r="V390" s="159">
        <f>_xll.xSPRDOPT($L390,$J390,$I390,$M390,$O390,$N390,$P390,$Q390-$C$3,$R390,2)*H390</f>
        <v>344685.89366286009</v>
      </c>
      <c r="W390" s="159">
        <f t="shared" si="457"/>
        <v>-41450.562083785946</v>
      </c>
      <c r="X390" s="51" t="str">
        <f t="shared" si="420"/>
        <v>36831IF-TRANSCO/Z6</v>
      </c>
      <c r="Y390" s="418">
        <f t="shared" si="421"/>
        <v>-100</v>
      </c>
      <c r="Z390" s="456">
        <f t="shared" si="422"/>
        <v>0.38613645574664601</v>
      </c>
      <c r="AA390" s="456">
        <f>_xll.xSPRDOPT($L390,$J390,$I390,$M390,$O390,$N390,$P390,$Q390-$C$3,$R390,3)</f>
        <v>0.57258794695311976</v>
      </c>
      <c r="AB390" s="456">
        <f>((_xll.xSPRDOPT($L390+AB$5,$J390,$I390,$M390,$O390,$N390,$P390,$Q390-$C$3,$R390,3)*$H390)/10000)/100</f>
        <v>-0.57258794695311965</v>
      </c>
      <c r="AC390" s="456">
        <f>((_xll.xSPRDOPT($L390+$AB$5,$J390,$I390,$M390,$O390,$N390,$P390,$Q390-$C$3,$R390,7)*$H390)/100)</f>
        <v>9087.8127664351177</v>
      </c>
      <c r="AD390" s="456">
        <f>(_xll.xSPRDOPT($L390+$AB$5,$J390,$I390,$M390,$O390,$N390,$P390,$Q390-$C$3,$R390,9)/365)*$H390</f>
        <v>2002.7140312594049</v>
      </c>
      <c r="AE390">
        <f t="shared" si="379"/>
        <v>0</v>
      </c>
      <c r="AF390" s="456">
        <f t="shared" si="380"/>
        <v>-4236.3233387389027</v>
      </c>
      <c r="AG390" s="456">
        <f>((_xll.xSPRDOPT($L390,$J390,$I390,$M390,$O390,$N390,$P390,$Q390-$C$3,$R390,6)*$H390)/100)</f>
        <v>1514.7017230021625</v>
      </c>
      <c r="AH390" s="456">
        <f>((_xll.xSPRDOPT($L390,$J390,$I390,$M390,$O390,$N390,$P390,$Q390-$C$3,$R390,5)*$H390)/100)</f>
        <v>-5474.9758587774941</v>
      </c>
      <c r="AI390" s="456">
        <f>(((_xll.xSPRDOPT($L390,$J390,$I390,$M390,$O390,$N390,$P390,$Q390-$C$3,$R390,4)*$H390)/10000)/100)-AB390</f>
        <v>3.9392921170871564E-2</v>
      </c>
      <c r="AJ390" s="456"/>
      <c r="AK390" s="456"/>
      <c r="AL390" s="456"/>
      <c r="AM390" s="472"/>
      <c r="CC390" s="141">
        <f t="shared" si="439"/>
        <v>36831</v>
      </c>
      <c r="CD390" s="234">
        <f>_xll.xSPRDOPT((VLOOKUP(G390,NGPrices,2,FALSE)+HLOOKUP(D390,Prices,VLOOKUP(G390,move_down,2,FALSE),FALSE)),VLOOKUP(G390,NGPrices,2,FALSE),I390,VLOOKUP(G390,NGPREVPRICES,4,FALSE),HLOOKUP(D390,PREVVOLS,VLOOKUP(G390,MOVE_DOWN2,2,FALSE),FALSE),VLOOKUP(G390,NGPREVPRICES,3,FALSE),HLOOKUP(D390,Correllate,VLOOKUP(G390,CorMove,2,FALSE),FALSE),Q390-$CD$3,R390,$CD$5)*H390-CJ390</f>
        <v>0</v>
      </c>
      <c r="CE390" s="234">
        <f>_xll.xSPRDOPT((VLOOKUP(G390,NGPREVPRICES,2,FALSE)+HLOOKUP(D390,PREVCURVES,VLOOKUP(G390,MOVE_DOWN2,2,FALSE),FALSE)),VLOOKUP(G390,NGPREVPRICES,2,FALSE),CK390,VLOOKUP(G390,NGPrices,4,FALSE),HLOOKUP(D390,PREVVOLS,VLOOKUP(G390,MOVE_DOWN2,2,FALSE),FALSE),VLOOKUP(G390,NGPREVPRICES,3,FALSE),HLOOKUP(D390,Correllate,VLOOKUP(G390,CorMove,2,FALSE),FALSE),Q390-$CD$3,R390,$CJ$5)*H390-CJ390</f>
        <v>0</v>
      </c>
      <c r="CF390" s="10">
        <f t="shared" si="440"/>
        <v>31.651698591507738</v>
      </c>
      <c r="CG390" s="234">
        <f>_xll.xSPRDOPT((VLOOKUP(G390,NGPREVPRICES,2,FALSE)+HLOOKUP(D390,PREVCURVES,VLOOKUP(G390,MOVE_DOWN2,2,FALSE),FALSE)),VLOOKUP(G390,NGPREVPRICES,2,FALSE),CK390,VLOOKUP(G390,NGPREVPRICES,4,FALSE),HLOOKUP(D390,VOLS,VLOOKUP(G390,move_down,2,FALSE),FALSE),VLOOKUP(G390,NGPrices,3,FALSE),HLOOKUP(D390,Correllate,VLOOKUP(G390,CorMove,2,FALSE),FALSE),Q390-$CD$3,R390,$CJ$5)*H390-CJ390</f>
        <v>0</v>
      </c>
      <c r="CH390" s="234">
        <f>_xll.xSPRDOPT((VLOOKUP(G390,NGPREVPRICES,2,FALSE)+HLOOKUP(D390,PREVCURVES,VLOOKUP(G390,MOVE_DOWN2,2,FALSE),FALSE)),VLOOKUP(G390,NGPREVPRICES,2,FALSE),CK390,VLOOKUP(G390,NGPREVPRICES,4,FALSE),HLOOKUP(D390,PREVVOLS,VLOOKUP(G390,MOVE_DOWN2,2,FALSE),FALSE),VLOOKUP(G390,NGPREVPRICES,3,FALSE),HLOOKUP(D390,Correllate,VLOOKUP(G390,CorMove,2,FALSE),FALSE),Q390-$C$3,R390,$CJ$5)*H390-CJ390</f>
        <v>1993.787375289161</v>
      </c>
      <c r="CI390" s="234">
        <f t="shared" si="441"/>
        <v>2025.4390738806687</v>
      </c>
      <c r="CJ390" s="234">
        <f>_xll.xSPRDOPT((VLOOKUP(G390,NGPREVPRICES,2,FALSE)+HLOOKUP(D390,PREVCURVES,VLOOKUP(G390,MOVE_DOWN2,2,FALSE),FALSE)),VLOOKUP(G390,NGPREVPRICES,2,FALSE),CK390,VLOOKUP(G390,NGPREVPRICES,4,FALSE),HLOOKUP(D390,PREVVOLS,VLOOKUP(G390,MOVE_DOWN2,2,FALSE),FALSE),VLOOKUP(G390,NGPREVPRICES,3,FALSE),HLOOKUP(D390,Correllate,VLOOKUP(G390,CorMove,2,FALSE),FALSE),Q390-$CD$3,R390,$CJ$5)*H390</f>
        <v>-170435.56386117105</v>
      </c>
      <c r="CK390" s="235">
        <f t="shared" si="442"/>
        <v>1</v>
      </c>
      <c r="CM390" t="str">
        <f t="shared" si="443"/>
        <v>36831Curve Shift/Gamma</v>
      </c>
      <c r="CN390" t="str">
        <f t="shared" si="435"/>
        <v>36831Rho</v>
      </c>
      <c r="CO390" t="str">
        <f t="shared" si="436"/>
        <v>36831Drift</v>
      </c>
      <c r="CP390" t="str">
        <f t="shared" si="437"/>
        <v>36831Vega</v>
      </c>
      <c r="CQ390" t="str">
        <f t="shared" si="438"/>
        <v>36831Theta</v>
      </c>
    </row>
    <row r="391" spans="1:95" x14ac:dyDescent="0.25">
      <c r="A391" s="382" t="s">
        <v>279</v>
      </c>
      <c r="B391" t="s">
        <v>250</v>
      </c>
      <c r="C391" t="s">
        <v>466</v>
      </c>
      <c r="D391" s="4" t="s">
        <v>74</v>
      </c>
      <c r="E391" t="s">
        <v>20</v>
      </c>
      <c r="F391" t="s">
        <v>21</v>
      </c>
      <c r="G391" s="5">
        <v>36951</v>
      </c>
      <c r="H391" s="130">
        <v>-1500000</v>
      </c>
      <c r="I391">
        <v>0.3</v>
      </c>
      <c r="J391" s="53">
        <f t="shared" si="381"/>
        <v>4.2130000000000001</v>
      </c>
      <c r="K391" s="7">
        <f t="shared" si="382"/>
        <v>0.1225</v>
      </c>
      <c r="L391" s="53">
        <f t="shared" si="383"/>
        <v>4.3354999999999997</v>
      </c>
      <c r="M391" s="157">
        <f t="shared" si="451"/>
        <v>6.8879814952706994E-2</v>
      </c>
      <c r="N391" s="4">
        <f t="shared" si="452"/>
        <v>0.53249999999999997</v>
      </c>
      <c r="O391" s="4">
        <f t="shared" si="453"/>
        <v>0.53300000000000003</v>
      </c>
      <c r="P391" s="9">
        <f t="shared" si="454"/>
        <v>0.997</v>
      </c>
      <c r="Q391" s="5">
        <f t="shared" ref="Q391:Q454" si="458">WORKDAY(G391,-2)</f>
        <v>36949</v>
      </c>
      <c r="R391" s="4">
        <f t="shared" si="455"/>
        <v>1</v>
      </c>
      <c r="S391" s="158">
        <f>_xll.xSPRDOPT($L391,$J391,$I391,$M391,$O391,$N391,$P391,$Q391-$C$3,$R391,0)</f>
        <v>1.0578198512219118E-2</v>
      </c>
      <c r="T391" s="159">
        <f>_xll.xSPRDOPT($L391,$J391,$I391,$M391,$O391,$N391,$P391,$Q391-$C$3,$R391,1)*H391</f>
        <v>-211869.41263314645</v>
      </c>
      <c r="U391" s="160">
        <f t="shared" si="456"/>
        <v>-15867.297768328677</v>
      </c>
      <c r="V391" s="159">
        <f>_xll.xSPRDOPT($L391,$J391,$I391,$M391,$O391,$N391,$P391,$Q391-$C$3,$R391,2)*H391</f>
        <v>203986.69468204107</v>
      </c>
      <c r="W391" s="159">
        <f t="shared" si="457"/>
        <v>-7882.7179511053837</v>
      </c>
      <c r="X391" s="51" t="str">
        <f t="shared" ref="X391:X422" si="459">CONCATENATE(G391,D391)</f>
        <v>36951NGI/CHI. GATE</v>
      </c>
      <c r="Y391" s="418">
        <f t="shared" ref="Y391:Y422" si="460">H391/10000</f>
        <v>-150</v>
      </c>
      <c r="Z391" s="456">
        <f t="shared" ref="Z391:Z422" si="461">T391/H391</f>
        <v>0.14124627508876431</v>
      </c>
      <c r="AA391" s="456">
        <f>_xll.xSPRDOPT($L391,$J391,$I391,$M391,$O391,$N391,$P391,$Q391-$C$3,$R391,3)</f>
        <v>1.4716731519801054</v>
      </c>
      <c r="AB391" s="456">
        <f>((_xll.xSPRDOPT($L391+AB$5,$J391,$I391,$M391,$O391,$N391,$P391,$Q391-$C$3,$R391,3)*$H391)/10000)/100</f>
        <v>-2.2075097279701583</v>
      </c>
      <c r="AC391" s="456">
        <f>((_xll.xSPRDOPT($L391+$AB$5,$J391,$I391,$M391,$O391,$N391,$P391,$Q391-$C$3,$R391,7)*$H391)/100)</f>
        <v>55653.202996005566</v>
      </c>
      <c r="AD391" s="456">
        <f>(_xll.xSPRDOPT($L391+$AB$5,$J391,$I391,$M391,$O391,$N391,$P391,$Q391-$C$3,$R391,9)/365)*$H391</f>
        <v>136.57436086920546</v>
      </c>
      <c r="AE391">
        <f t="shared" ref="AE391:AE454" si="462">CD391</f>
        <v>0</v>
      </c>
      <c r="AF391" s="456">
        <f t="shared" ref="AF391:AF454" si="463">((O391/N391)*AH391)+AG391</f>
        <v>-953.39402002087081</v>
      </c>
      <c r="AG391" s="456">
        <f>((_xll.xSPRDOPT($L391,$J391,$I391,$M391,$O391,$N391,$P391,$Q391-$C$3,$R391,6)*$H391)/100)</f>
        <v>5152.5616208383826</v>
      </c>
      <c r="AH391" s="456">
        <f>((_xll.xSPRDOPT($L391,$J391,$I391,$M391,$O391,$N391,$P391,$Q391-$C$3,$R391,5)*$H391)/100)</f>
        <v>-6100.2277275000979</v>
      </c>
      <c r="AI391" s="456">
        <f>(((_xll.xSPRDOPT($L391,$J391,$I391,$M391,$O391,$N391,$P391,$Q391-$C$3,$R391,4)*$H391)/10000)/100)-AB391</f>
        <v>0.1044224115633865</v>
      </c>
      <c r="AJ391" s="456"/>
      <c r="AK391" s="456"/>
      <c r="AL391" s="456"/>
      <c r="AM391" s="472"/>
      <c r="CC391" s="141">
        <f t="shared" si="439"/>
        <v>36951</v>
      </c>
      <c r="CD391" s="234">
        <f>_xll.xSPRDOPT((VLOOKUP(G391,NGPrices,2,FALSE)+HLOOKUP(D391,Prices,VLOOKUP(G391,move_down,2,FALSE),FALSE)),VLOOKUP(G391,NGPrices,2,FALSE),I391,VLOOKUP(G391,NGPREVPRICES,4,FALSE),HLOOKUP(D391,PREVVOLS,VLOOKUP(G391,MOVE_DOWN2,2,FALSE),FALSE),VLOOKUP(G391,NGPREVPRICES,3,FALSE),HLOOKUP(D391,Correllate,VLOOKUP(G391,CorMove,2,FALSE),FALSE),Q391-$CD$3,R391,$CD$5)*H391-CJ391</f>
        <v>0</v>
      </c>
      <c r="CE391" s="234">
        <f>_xll.xSPRDOPT((VLOOKUP(G391,NGPREVPRICES,2,FALSE)+HLOOKUP(D391,PREVCURVES,VLOOKUP(G391,MOVE_DOWN2,2,FALSE),FALSE)),VLOOKUP(G391,NGPREVPRICES,2,FALSE),CK391,VLOOKUP(G391,NGPrices,4,FALSE),HLOOKUP(D391,PREVVOLS,VLOOKUP(G391,MOVE_DOWN2,2,FALSE),FALSE),VLOOKUP(G391,NGPREVPRICES,3,FALSE),HLOOKUP(D391,Correllate,VLOOKUP(G391,CorMove,2,FALSE),FALSE),Q391-$CD$3,R391,$CJ$5)*H391-CJ391</f>
        <v>0</v>
      </c>
      <c r="CF391" s="10">
        <f t="shared" si="440"/>
        <v>3.069289162500354</v>
      </c>
      <c r="CG391" s="234">
        <f>_xll.xSPRDOPT((VLOOKUP(G391,NGPREVPRICES,2,FALSE)+HLOOKUP(D391,PREVCURVES,VLOOKUP(G391,MOVE_DOWN2,2,FALSE),FALSE)),VLOOKUP(G391,NGPREVPRICES,2,FALSE),CK391,VLOOKUP(G391,NGPREVPRICES,4,FALSE),HLOOKUP(D391,VOLS,VLOOKUP(G391,move_down,2,FALSE),FALSE),VLOOKUP(G391,NGPrices,3,FALSE),HLOOKUP(D391,Correllate,VLOOKUP(G391,CorMove,2,FALSE),FALSE),Q391-$CD$3,R391,$CJ$5)*H391-CJ391</f>
        <v>0</v>
      </c>
      <c r="CH391" s="234">
        <f>_xll.xSPRDOPT((VLOOKUP(G391,NGPREVPRICES,2,FALSE)+HLOOKUP(D391,PREVCURVES,VLOOKUP(G391,MOVE_DOWN2,2,FALSE),FALSE)),VLOOKUP(G391,NGPREVPRICES,2,FALSE),CK391,VLOOKUP(G391,NGPREVPRICES,4,FALSE),HLOOKUP(D391,PREVVOLS,VLOOKUP(G391,MOVE_DOWN2,2,FALSE),FALSE),VLOOKUP(G391,NGPREVPRICES,3,FALSE),HLOOKUP(D391,Correllate,VLOOKUP(G391,CorMove,2,FALSE),FALSE),Q391-$C$3,R391,$CJ$5)*H391-CJ391</f>
        <v>136.49954866774897</v>
      </c>
      <c r="CI391" s="234">
        <f t="shared" si="441"/>
        <v>139.56883783024932</v>
      </c>
      <c r="CJ391" s="234">
        <f>_xll.xSPRDOPT((VLOOKUP(G391,NGPREVPRICES,2,FALSE)+HLOOKUP(D391,PREVCURVES,VLOOKUP(G391,MOVE_DOWN2,2,FALSE),FALSE)),VLOOKUP(G391,NGPREVPRICES,2,FALSE),CK391,VLOOKUP(G391,NGPREVPRICES,4,FALSE),HLOOKUP(D391,PREVVOLS,VLOOKUP(G391,MOVE_DOWN2,2,FALSE),FALSE),VLOOKUP(G391,NGPREVPRICES,3,FALSE),HLOOKUP(D391,Correllate,VLOOKUP(G391,CorMove,2,FALSE),FALSE),Q391-$CD$3,R391,$CJ$5)*H391</f>
        <v>-16003.797316996426</v>
      </c>
      <c r="CK391" s="235">
        <f t="shared" si="442"/>
        <v>0.3</v>
      </c>
      <c r="CM391" t="str">
        <f t="shared" si="443"/>
        <v>36951Curve Shift/Gamma</v>
      </c>
      <c r="CN391" t="str">
        <f t="shared" si="435"/>
        <v>36951Rho</v>
      </c>
      <c r="CO391" t="str">
        <f t="shared" si="436"/>
        <v>36951Drift</v>
      </c>
      <c r="CP391" t="str">
        <f t="shared" si="437"/>
        <v>36951Vega</v>
      </c>
      <c r="CQ391" t="str">
        <f t="shared" si="438"/>
        <v>36951Theta</v>
      </c>
    </row>
    <row r="392" spans="1:95" x14ac:dyDescent="0.25">
      <c r="A392" s="382" t="s">
        <v>279</v>
      </c>
      <c r="B392" t="s">
        <v>250</v>
      </c>
      <c r="C392" t="s">
        <v>466</v>
      </c>
      <c r="D392" s="4" t="s">
        <v>74</v>
      </c>
      <c r="E392" t="s">
        <v>20</v>
      </c>
      <c r="F392" t="s">
        <v>21</v>
      </c>
      <c r="G392" s="5">
        <v>36923</v>
      </c>
      <c r="H392" s="130">
        <v>-1500000</v>
      </c>
      <c r="I392">
        <v>0.3</v>
      </c>
      <c r="J392" s="53">
        <f t="shared" ref="J392:J455" si="464">VLOOKUP(G392,NGPrices,2,FALSE)</f>
        <v>4.4800000000000004</v>
      </c>
      <c r="K392" s="7">
        <f t="shared" ref="K392:K455" si="465">HLOOKUP(D392,Prices,VLOOKUP(G392,move_down,2,FALSE),FALSE)+VLOOKUP(G392,CHANGE,HLOOKUP(D392,CHANGE,2,FALSE),FALSE)</f>
        <v>0.13750000000000001</v>
      </c>
      <c r="L392" s="53">
        <f t="shared" ref="L392:L455" si="466">K392+J392</f>
        <v>4.6175000000000006</v>
      </c>
      <c r="M392" s="157">
        <f t="shared" si="451"/>
        <v>6.8640161611372E-2</v>
      </c>
      <c r="N392" s="4">
        <f t="shared" si="452"/>
        <v>0.59250000000000003</v>
      </c>
      <c r="O392" s="4">
        <f t="shared" si="453"/>
        <v>0.59299999999999997</v>
      </c>
      <c r="P392" s="9">
        <f t="shared" si="454"/>
        <v>0.997</v>
      </c>
      <c r="Q392" s="5">
        <f t="shared" si="458"/>
        <v>36921</v>
      </c>
      <c r="R392" s="4">
        <f t="shared" si="455"/>
        <v>1</v>
      </c>
      <c r="S392" s="158">
        <f>_xll.xSPRDOPT($L392,$J392,$I392,$M392,$O392,$N392,$P392,$Q392-$C$3,$R392,0)</f>
        <v>1.5479146357456964E-2</v>
      </c>
      <c r="T392" s="159">
        <f>_xll.xSPRDOPT($L392,$J392,$I392,$M392,$O392,$N392,$P392,$Q392-$C$3,$R392,1)*H392</f>
        <v>-270446.65051368636</v>
      </c>
      <c r="U392" s="160">
        <f t="shared" si="456"/>
        <v>-23218.719536185446</v>
      </c>
      <c r="V392" s="159">
        <f>_xll.xSPRDOPT($L392,$J392,$I392,$M392,$O392,$N392,$P392,$Q392-$C$3,$R392,2)*H392</f>
        <v>260883.90802586486</v>
      </c>
      <c r="W392" s="159">
        <f t="shared" si="457"/>
        <v>-9562.7424878214952</v>
      </c>
      <c r="X392" s="51" t="str">
        <f t="shared" si="459"/>
        <v>36923NGI/CHI. GATE</v>
      </c>
      <c r="Y392" s="418">
        <f t="shared" si="460"/>
        <v>-150</v>
      </c>
      <c r="Z392" s="456">
        <f t="shared" si="461"/>
        <v>0.18029776700912423</v>
      </c>
      <c r="AA392" s="456">
        <f>_xll.xSPRDOPT($L392,$J392,$I392,$M392,$O392,$N392,$P392,$Q392-$C$3,$R392,3)</f>
        <v>1.598334510651426</v>
      </c>
      <c r="AB392" s="456">
        <f>((_xll.xSPRDOPT($L392+AB$5,$J392,$I392,$M392,$O392,$N392,$P392,$Q392-$C$3,$R392,3)*$H392)/10000)/100</f>
        <v>-2.3975017659771392</v>
      </c>
      <c r="AC392" s="456">
        <f>((_xll.xSPRDOPT($L392+$AB$5,$J392,$I392,$M392,$O392,$N392,$P392,$Q392-$C$3,$R392,7)*$H392)/100)</f>
        <v>71928.346814795717</v>
      </c>
      <c r="AD392" s="456">
        <f>(_xll.xSPRDOPT($L392+$AB$5,$J392,$I392,$M392,$O392,$N392,$P392,$Q392-$C$3,$R392,9)/365)*$H392</f>
        <v>204.84781098951572</v>
      </c>
      <c r="AE392">
        <f t="shared" si="462"/>
        <v>0</v>
      </c>
      <c r="AF392" s="456">
        <f t="shared" si="463"/>
        <v>-1086.8163043580471</v>
      </c>
      <c r="AG392" s="456">
        <f>((_xll.xSPRDOPT($L392,$J392,$I392,$M392,$O392,$N392,$P392,$Q392-$C$3,$R392,6)*$H392)/100)</f>
        <v>5795.1616211047731</v>
      </c>
      <c r="AH392" s="456">
        <f>((_xll.xSPRDOPT($L392,$J392,$I392,$M392,$O392,$N392,$P392,$Q392-$C$3,$R392,5)*$H392)/100)</f>
        <v>-6876.1752459303907</v>
      </c>
      <c r="AI392" s="456">
        <f>(((_xll.xSPRDOPT($L392,$J392,$I392,$M392,$O392,$N392,$P392,$Q392-$C$3,$R392,4)*$H392)/10000)/100)-AB392</f>
        <v>9.9113901756206158E-2</v>
      </c>
      <c r="AJ392" s="456"/>
      <c r="AK392" s="456"/>
      <c r="AL392" s="456"/>
      <c r="AM392" s="472"/>
      <c r="CC392" s="141">
        <f t="shared" si="439"/>
        <v>36923</v>
      </c>
      <c r="CD392" s="234">
        <f>_xll.xSPRDOPT((VLOOKUP(G392,NGPrices,2,FALSE)+HLOOKUP(D392,Prices,VLOOKUP(G392,move_down,2,FALSE),FALSE)),VLOOKUP(G392,NGPrices,2,FALSE),I392,VLOOKUP(G392,NGPREVPRICES,4,FALSE),HLOOKUP(D392,PREVVOLS,VLOOKUP(G392,MOVE_DOWN2,2,FALSE),FALSE),VLOOKUP(G392,NGPREVPRICES,3,FALSE),HLOOKUP(D392,Correllate,VLOOKUP(G392,CorMove,2,FALSE),FALSE),Q392-$CD$3,R392,$CD$5)*H392-CJ392</f>
        <v>0</v>
      </c>
      <c r="CE392" s="234">
        <f>_xll.xSPRDOPT((VLOOKUP(G392,NGPREVPRICES,2,FALSE)+HLOOKUP(D392,PREVCURVES,VLOOKUP(G392,MOVE_DOWN2,2,FALSE),FALSE)),VLOOKUP(G392,NGPREVPRICES,2,FALSE),CK392,VLOOKUP(G392,NGPrices,4,FALSE),HLOOKUP(D392,PREVVOLS,VLOOKUP(G392,MOVE_DOWN2,2,FALSE),FALSE),VLOOKUP(G392,NGPREVPRICES,3,FALSE),HLOOKUP(D392,Correllate,VLOOKUP(G392,CorMove,2,FALSE),FALSE),Q392-$CD$3,R392,$CJ$5)*H392-CJ392</f>
        <v>0</v>
      </c>
      <c r="CF392" s="10">
        <f t="shared" si="440"/>
        <v>4.4548522982368013</v>
      </c>
      <c r="CG392" s="234">
        <f>_xll.xSPRDOPT((VLOOKUP(G392,NGPREVPRICES,2,FALSE)+HLOOKUP(D392,PREVCURVES,VLOOKUP(G392,MOVE_DOWN2,2,FALSE),FALSE)),VLOOKUP(G392,NGPREVPRICES,2,FALSE),CK392,VLOOKUP(G392,NGPREVPRICES,4,FALSE),HLOOKUP(D392,VOLS,VLOOKUP(G392,move_down,2,FALSE),FALSE),VLOOKUP(G392,NGPrices,3,FALSE),HLOOKUP(D392,Correllate,VLOOKUP(G392,CorMove,2,FALSE),FALSE),Q392-$CD$3,R392,$CJ$5)*H392-CJ392</f>
        <v>0</v>
      </c>
      <c r="CH392" s="234">
        <f>_xll.xSPRDOPT((VLOOKUP(G392,NGPREVPRICES,2,FALSE)+HLOOKUP(D392,PREVCURVES,VLOOKUP(G392,MOVE_DOWN2,2,FALSE),FALSE)),VLOOKUP(G392,NGPREVPRICES,2,FALSE),CK392,VLOOKUP(G392,NGPREVPRICES,4,FALSE),HLOOKUP(D392,PREVVOLS,VLOOKUP(G392,MOVE_DOWN2,2,FALSE),FALSE),VLOOKUP(G392,NGPREVPRICES,3,FALSE),HLOOKUP(D392,Correllate,VLOOKUP(G392,CorMove,2,FALSE),FALSE),Q392-$C$3,R392,$CJ$5)*H392-CJ392</f>
        <v>204.63727147171085</v>
      </c>
      <c r="CI392" s="234">
        <f t="shared" si="441"/>
        <v>209.09212376994765</v>
      </c>
      <c r="CJ392" s="234">
        <f>_xll.xSPRDOPT((VLOOKUP(G392,NGPREVPRICES,2,FALSE)+HLOOKUP(D392,PREVCURVES,VLOOKUP(G392,MOVE_DOWN2,2,FALSE),FALSE)),VLOOKUP(G392,NGPREVPRICES,2,FALSE),CK392,VLOOKUP(G392,NGPREVPRICES,4,FALSE),HLOOKUP(D392,PREVVOLS,VLOOKUP(G392,MOVE_DOWN2,2,FALSE),FALSE),VLOOKUP(G392,NGPREVPRICES,3,FALSE),HLOOKUP(D392,Correllate,VLOOKUP(G392,CorMove,2,FALSE),FALSE),Q392-$CD$3,R392,$CJ$5)*H392</f>
        <v>-23423.356807657157</v>
      </c>
      <c r="CK392" s="235">
        <f t="shared" si="442"/>
        <v>0.3</v>
      </c>
      <c r="CM392" t="str">
        <f t="shared" si="443"/>
        <v>36923Curve Shift/Gamma</v>
      </c>
      <c r="CN392" t="str">
        <f t="shared" si="435"/>
        <v>36923Rho</v>
      </c>
      <c r="CO392" t="str">
        <f t="shared" si="436"/>
        <v>36923Drift</v>
      </c>
      <c r="CP392" t="str">
        <f t="shared" si="437"/>
        <v>36923Vega</v>
      </c>
      <c r="CQ392" t="str">
        <f t="shared" si="438"/>
        <v>36923Theta</v>
      </c>
    </row>
    <row r="393" spans="1:95" x14ac:dyDescent="0.25">
      <c r="A393" s="382" t="s">
        <v>279</v>
      </c>
      <c r="B393" t="s">
        <v>250</v>
      </c>
      <c r="C393" t="s">
        <v>466</v>
      </c>
      <c r="D393" s="4" t="s">
        <v>74</v>
      </c>
      <c r="E393" t="s">
        <v>20</v>
      </c>
      <c r="F393" t="s">
        <v>21</v>
      </c>
      <c r="G393" s="5">
        <v>36892</v>
      </c>
      <c r="H393" s="130">
        <v>-1500000</v>
      </c>
      <c r="I393">
        <v>0.3</v>
      </c>
      <c r="J393" s="53">
        <f t="shared" si="464"/>
        <v>4.7439999999999998</v>
      </c>
      <c r="K393" s="7">
        <f t="shared" si="465"/>
        <v>0.1275</v>
      </c>
      <c r="L393" s="53">
        <f t="shared" si="466"/>
        <v>4.8715000000000002</v>
      </c>
      <c r="M393" s="157">
        <f t="shared" si="451"/>
        <v>6.8374831148490994E-2</v>
      </c>
      <c r="N393" s="4">
        <f t="shared" si="452"/>
        <v>0.60499999999999998</v>
      </c>
      <c r="O393" s="4">
        <f t="shared" si="453"/>
        <v>0.60499999999999998</v>
      </c>
      <c r="P393" s="9">
        <f t="shared" si="454"/>
        <v>0.997</v>
      </c>
      <c r="Q393" s="5">
        <f t="shared" si="458"/>
        <v>36888</v>
      </c>
      <c r="R393" s="4">
        <f t="shared" si="455"/>
        <v>1</v>
      </c>
      <c r="S393" s="158">
        <f>_xll.xSPRDOPT($L393,$J393,$I393,$M393,$O393,$N393,$P393,$Q393-$C$3,$R393,0)</f>
        <v>1.1335222038078166E-2</v>
      </c>
      <c r="T393" s="159">
        <f>_xll.xSPRDOPT($L393,$J393,$I393,$M393,$O393,$N393,$P393,$Q393-$C$3,$R393,1)*H393</f>
        <v>-221247.51761366596</v>
      </c>
      <c r="U393" s="160">
        <f t="shared" si="456"/>
        <v>-17002.833057117248</v>
      </c>
      <c r="V393" s="159">
        <f>_xll.xSPRDOPT($L393,$J393,$I393,$M393,$O393,$N393,$P393,$Q393-$C$3,$R393,2)*H393</f>
        <v>213547.31147225853</v>
      </c>
      <c r="W393" s="159">
        <f t="shared" si="457"/>
        <v>-7700.2061414074269</v>
      </c>
      <c r="X393" s="51" t="str">
        <f t="shared" si="459"/>
        <v>36892NGI/CHI. GATE</v>
      </c>
      <c r="Y393" s="418">
        <f t="shared" si="460"/>
        <v>-150</v>
      </c>
      <c r="Z393" s="456">
        <f t="shared" si="461"/>
        <v>0.1474983450757773</v>
      </c>
      <c r="AA393" s="456">
        <f>_xll.xSPRDOPT($L393,$J393,$I393,$M393,$O393,$N393,$P393,$Q393-$C$3,$R393,3)</f>
        <v>1.5008729116476063</v>
      </c>
      <c r="AB393" s="456">
        <f>((_xll.xSPRDOPT($L393+AB$5,$J393,$I393,$M393,$O393,$N393,$P393,$Q393-$C$3,$R393,3)*$H393)/10000)/100</f>
        <v>-2.2513093674714093</v>
      </c>
      <c r="AC393" s="456">
        <f>((_xll.xSPRDOPT($L393+$AB$5,$J393,$I393,$M393,$O393,$N393,$P393,$Q393-$C$3,$R393,7)*$H393)/100)</f>
        <v>61670.174889073438</v>
      </c>
      <c r="AD393" s="456">
        <f>(_xll.xSPRDOPT($L393+$AB$5,$J393,$I393,$M393,$O393,$N393,$P393,$Q393-$C$3,$R393,9)/365)*$H393</f>
        <v>216.02055820864123</v>
      </c>
      <c r="AE393">
        <f t="shared" si="462"/>
        <v>0</v>
      </c>
      <c r="AF393" s="456">
        <f t="shared" si="463"/>
        <v>-876.22246464992622</v>
      </c>
      <c r="AG393" s="456">
        <f>((_xll.xSPRDOPT($L393,$J393,$I393,$M393,$O393,$N393,$P393,$Q393-$C$3,$R393,6)*$H393)/100)</f>
        <v>4576.1024743593343</v>
      </c>
      <c r="AH393" s="456">
        <f>((_xll.xSPRDOPT($L393,$J393,$I393,$M393,$O393,$N393,$P393,$Q393-$C$3,$R393,5)*$H393)/100)</f>
        <v>-5452.3249390092606</v>
      </c>
      <c r="AI393" s="456">
        <f>(((_xll.xSPRDOPT($L393,$J393,$I393,$M393,$O393,$N393,$P393,$Q393-$C$3,$R393,4)*$H393)/10000)/100)-AB393</f>
        <v>9.9688343682063696E-2</v>
      </c>
      <c r="AJ393" s="456"/>
      <c r="AK393" s="456"/>
      <c r="AL393" s="456"/>
      <c r="AM393" s="472"/>
      <c r="CC393" s="141">
        <f t="shared" si="439"/>
        <v>36892</v>
      </c>
      <c r="CD393" s="234">
        <f>_xll.xSPRDOPT((VLOOKUP(G393,NGPrices,2,FALSE)+HLOOKUP(D393,Prices,VLOOKUP(G393,move_down,2,FALSE),FALSE)),VLOOKUP(G393,NGPrices,2,FALSE),I393,VLOOKUP(G393,NGPREVPRICES,4,FALSE),HLOOKUP(D393,PREVVOLS,VLOOKUP(G393,MOVE_DOWN2,2,FALSE),FALSE),VLOOKUP(G393,NGPREVPRICES,3,FALSE),HLOOKUP(D393,Correllate,VLOOKUP(G393,CorMove,2,FALSE),FALSE),Q393-$CD$3,R393,$CD$5)*H393-CJ393</f>
        <v>0</v>
      </c>
      <c r="CE393" s="234">
        <f>_xll.xSPRDOPT((VLOOKUP(G393,NGPREVPRICES,2,FALSE)+HLOOKUP(D393,PREVCURVES,VLOOKUP(G393,MOVE_DOWN2,2,FALSE),FALSE)),VLOOKUP(G393,NGPREVPRICES,2,FALSE),CK393,VLOOKUP(G393,NGPrices,4,FALSE),HLOOKUP(D393,PREVVOLS,VLOOKUP(G393,MOVE_DOWN2,2,FALSE),FALSE),VLOOKUP(G393,NGPREVPRICES,3,FALSE),HLOOKUP(D393,Correllate,VLOOKUP(G393,CorMove,2,FALSE),FALSE),Q393-$CD$3,R393,$CJ$5)*H393-CJ393</f>
        <v>0</v>
      </c>
      <c r="CF393" s="10">
        <f t="shared" si="440"/>
        <v>3.2447196680695924</v>
      </c>
      <c r="CG393" s="234">
        <f>_xll.xSPRDOPT((VLOOKUP(G393,NGPREVPRICES,2,FALSE)+HLOOKUP(D393,PREVCURVES,VLOOKUP(G393,MOVE_DOWN2,2,FALSE),FALSE)),VLOOKUP(G393,NGPREVPRICES,2,FALSE),CK393,VLOOKUP(G393,NGPREVPRICES,4,FALSE),HLOOKUP(D393,VOLS,VLOOKUP(G393,move_down,2,FALSE),FALSE),VLOOKUP(G393,NGPrices,3,FALSE),HLOOKUP(D393,Correllate,VLOOKUP(G393,CorMove,2,FALSE),FALSE),Q393-$CD$3,R393,$CJ$5)*H393-CJ393</f>
        <v>0</v>
      </c>
      <c r="CH393" s="234">
        <f>_xll.xSPRDOPT((VLOOKUP(G393,NGPREVPRICES,2,FALSE)+HLOOKUP(D393,PREVCURVES,VLOOKUP(G393,MOVE_DOWN2,2,FALSE),FALSE)),VLOOKUP(G393,NGPREVPRICES,2,FALSE),CK393,VLOOKUP(G393,NGPREVPRICES,4,FALSE),HLOOKUP(D393,PREVVOLS,VLOOKUP(G393,MOVE_DOWN2,2,FALSE),FALSE),VLOOKUP(G393,NGPREVPRICES,3,FALSE),HLOOKUP(D393,Correllate,VLOOKUP(G393,CorMove,2,FALSE),FALSE),Q393-$C$3,R393,$CJ$5)*H393-CJ393</f>
        <v>215.90830603615905</v>
      </c>
      <c r="CI393" s="234">
        <f t="shared" si="441"/>
        <v>219.15302570422864</v>
      </c>
      <c r="CJ393" s="234">
        <f>_xll.xSPRDOPT((VLOOKUP(G393,NGPREVPRICES,2,FALSE)+HLOOKUP(D393,PREVCURVES,VLOOKUP(G393,MOVE_DOWN2,2,FALSE),FALSE)),VLOOKUP(G393,NGPREVPRICES,2,FALSE),CK393,VLOOKUP(G393,NGPREVPRICES,4,FALSE),HLOOKUP(D393,PREVVOLS,VLOOKUP(G393,MOVE_DOWN2,2,FALSE),FALSE),VLOOKUP(G393,NGPREVPRICES,3,FALSE),HLOOKUP(D393,Correllate,VLOOKUP(G393,CorMove,2,FALSE),FALSE),Q393-$CD$3,R393,$CJ$5)*H393</f>
        <v>-17218.741363153407</v>
      </c>
      <c r="CK393" s="235">
        <f t="shared" si="442"/>
        <v>0.3</v>
      </c>
      <c r="CM393" t="str">
        <f t="shared" si="443"/>
        <v>36892Curve Shift/Gamma</v>
      </c>
      <c r="CN393" t="str">
        <f t="shared" si="435"/>
        <v>36892Rho</v>
      </c>
      <c r="CO393" t="str">
        <f t="shared" si="436"/>
        <v>36892Drift</v>
      </c>
      <c r="CP393" t="str">
        <f t="shared" si="437"/>
        <v>36892Vega</v>
      </c>
      <c r="CQ393" t="str">
        <f t="shared" si="438"/>
        <v>36892Theta</v>
      </c>
    </row>
    <row r="394" spans="1:95" x14ac:dyDescent="0.25">
      <c r="A394" s="382" t="s">
        <v>279</v>
      </c>
      <c r="B394" t="s">
        <v>250</v>
      </c>
      <c r="C394" t="s">
        <v>466</v>
      </c>
      <c r="D394" s="4" t="s">
        <v>74</v>
      </c>
      <c r="E394" t="s">
        <v>20</v>
      </c>
      <c r="F394" t="s">
        <v>21</v>
      </c>
      <c r="G394" s="5">
        <v>36861</v>
      </c>
      <c r="H394" s="130">
        <v>-1500000</v>
      </c>
      <c r="I394">
        <v>0.3</v>
      </c>
      <c r="J394" s="53">
        <f t="shared" si="464"/>
        <v>4.8</v>
      </c>
      <c r="K394" s="7">
        <f t="shared" si="465"/>
        <v>0.1</v>
      </c>
      <c r="L394" s="53">
        <f t="shared" si="466"/>
        <v>4.8999999999999995</v>
      </c>
      <c r="M394" s="157">
        <f t="shared" si="451"/>
        <v>6.8314027999354002E-2</v>
      </c>
      <c r="N394" s="4">
        <f t="shared" si="452"/>
        <v>0.6</v>
      </c>
      <c r="O394" s="4">
        <f t="shared" si="453"/>
        <v>0.6</v>
      </c>
      <c r="P394" s="9">
        <f t="shared" si="454"/>
        <v>0.997</v>
      </c>
      <c r="Q394" s="5">
        <f t="shared" si="458"/>
        <v>36859</v>
      </c>
      <c r="R394" s="4">
        <f t="shared" si="455"/>
        <v>1</v>
      </c>
      <c r="S394" s="158">
        <f>_xll.xSPRDOPT($L394,$J394,$I394,$M394,$O394,$N394,$P394,$Q394-$C$3,$R394,0)</f>
        <v>4.5888623708611517E-3</v>
      </c>
      <c r="T394" s="159">
        <f>_xll.xSPRDOPT($L394,$J394,$I394,$M394,$O394,$N394,$P394,$Q394-$C$3,$R394,1)*H394</f>
        <v>-117944.19886354345</v>
      </c>
      <c r="U394" s="160">
        <f t="shared" si="456"/>
        <v>-6883.2935562917273</v>
      </c>
      <c r="V394" s="159">
        <f>_xll.xSPRDOPT($L394,$J394,$I394,$M394,$O394,$N394,$P394,$Q394-$C$3,$R394,2)*H394</f>
        <v>113665.6671846136</v>
      </c>
      <c r="W394" s="159">
        <f t="shared" si="457"/>
        <v>-4278.5316789298522</v>
      </c>
      <c r="X394" s="51" t="str">
        <f t="shared" si="459"/>
        <v>36861NGI/CHI. GATE</v>
      </c>
      <c r="Y394" s="418">
        <f t="shared" si="460"/>
        <v>-150</v>
      </c>
      <c r="Z394" s="456">
        <f t="shared" si="461"/>
        <v>7.8629465909028973E-2</v>
      </c>
      <c r="AA394" s="456">
        <f>_xll.xSPRDOPT($L394,$J394,$I394,$M394,$O394,$N394,$P394,$Q394-$C$3,$R394,3)</f>
        <v>1.1105476423481193</v>
      </c>
      <c r="AB394" s="456">
        <f>((_xll.xSPRDOPT($L394+AB$5,$J394,$I394,$M394,$O394,$N394,$P394,$Q394-$C$3,$R394,3)*$H394)/10000)/100</f>
        <v>-1.6658214635221791</v>
      </c>
      <c r="AC394" s="456">
        <f>((_xll.xSPRDOPT($L394+$AB$5,$J394,$I394,$M394,$O394,$N394,$P394,$Q394-$C$3,$R394,7)*$H394)/100)</f>
        <v>34569.692954497266</v>
      </c>
      <c r="AD394" s="456">
        <f>(_xll.xSPRDOPT($L394+$AB$5,$J394,$I394,$M394,$O394,$N394,$P394,$Q394-$C$3,$R394,9)/365)*$H394</f>
        <v>157.02396874767612</v>
      </c>
      <c r="AE394">
        <f t="shared" si="462"/>
        <v>0</v>
      </c>
      <c r="AF394" s="456">
        <f t="shared" si="463"/>
        <v>-485.15863797108659</v>
      </c>
      <c r="AG394" s="456">
        <f>((_xll.xSPRDOPT($L394,$J394,$I394,$M394,$O394,$N394,$P394,$Q394-$C$3,$R394,6)*$H394)/100)</f>
        <v>2517.8123250579629</v>
      </c>
      <c r="AH394" s="456">
        <f>((_xll.xSPRDOPT($L394,$J394,$I394,$M394,$O394,$N394,$P394,$Q394-$C$3,$R394,5)*$H394)/100)</f>
        <v>-3002.9709630290495</v>
      </c>
      <c r="AI394" s="456">
        <f>(((_xll.xSPRDOPT($L394,$J394,$I394,$M394,$O394,$N394,$P394,$Q394-$C$3,$R394,4)*$H394)/10000)/100)-AB394</f>
        <v>8.8418924991755965E-2</v>
      </c>
      <c r="AJ394" s="456"/>
      <c r="AK394" s="456"/>
      <c r="AL394" s="456"/>
      <c r="AM394" s="472"/>
      <c r="CC394" s="141">
        <f t="shared" si="439"/>
        <v>36861</v>
      </c>
      <c r="CD394" s="234">
        <f>_xll.xSPRDOPT((VLOOKUP(G394,NGPrices,2,FALSE)+HLOOKUP(D394,Prices,VLOOKUP(G394,move_down,2,FALSE),FALSE)),VLOOKUP(G394,NGPrices,2,FALSE),I394,VLOOKUP(G394,NGPREVPRICES,4,FALSE),HLOOKUP(D394,PREVVOLS,VLOOKUP(G394,MOVE_DOWN2,2,FALSE),FALSE),VLOOKUP(G394,NGPREVPRICES,3,FALSE),HLOOKUP(D394,Correllate,VLOOKUP(G394,CorMove,2,FALSE),FALSE),Q394-$CD$3,R394,$CD$5)*H394-CJ394</f>
        <v>0</v>
      </c>
      <c r="CE394" s="234">
        <f>_xll.xSPRDOPT((VLOOKUP(G394,NGPREVPRICES,2,FALSE)+HLOOKUP(D394,PREVCURVES,VLOOKUP(G394,MOVE_DOWN2,2,FALSE),FALSE)),VLOOKUP(G394,NGPREVPRICES,2,FALSE),CK394,VLOOKUP(G394,NGPrices,4,FALSE),HLOOKUP(D394,PREVVOLS,VLOOKUP(G394,MOVE_DOWN2,2,FALSE),FALSE),VLOOKUP(G394,NGPREVPRICES,3,FALSE),HLOOKUP(D394,Correllate,VLOOKUP(G394,CorMove,2,FALSE),FALSE),Q394-$CD$3,R394,$CJ$5)*H394-CJ394</f>
        <v>0</v>
      </c>
      <c r="CF394" s="10">
        <f t="shared" si="440"/>
        <v>1.3189798960092958</v>
      </c>
      <c r="CG394" s="234">
        <f>_xll.xSPRDOPT((VLOOKUP(G394,NGPREVPRICES,2,FALSE)+HLOOKUP(D394,PREVCURVES,VLOOKUP(G394,MOVE_DOWN2,2,FALSE),FALSE)),VLOOKUP(G394,NGPREVPRICES,2,FALSE),CK394,VLOOKUP(G394,NGPREVPRICES,4,FALSE),HLOOKUP(D394,VOLS,VLOOKUP(G394,move_down,2,FALSE),FALSE),VLOOKUP(G394,NGPrices,3,FALSE),HLOOKUP(D394,Correllate,VLOOKUP(G394,CorMove,2,FALSE),FALSE),Q394-$CD$3,R394,$CJ$5)*H394-CJ394</f>
        <v>0</v>
      </c>
      <c r="CH394" s="234">
        <f>_xll.xSPRDOPT((VLOOKUP(G394,NGPREVPRICES,2,FALSE)+HLOOKUP(D394,PREVCURVES,VLOOKUP(G394,MOVE_DOWN2,2,FALSE),FALSE)),VLOOKUP(G394,NGPREVPRICES,2,FALSE),CK394,VLOOKUP(G394,NGPREVPRICES,4,FALSE),HLOOKUP(D394,PREVVOLS,VLOOKUP(G394,MOVE_DOWN2,2,FALSE),FALSE),VLOOKUP(G394,NGPREVPRICES,3,FALSE),HLOOKUP(D394,Correllate,VLOOKUP(G394,CorMove,2,FALSE),FALSE),Q394-$C$3,R394,$CJ$5)*H394-CJ394</f>
        <v>157.35144127062449</v>
      </c>
      <c r="CI394" s="234">
        <f t="shared" si="441"/>
        <v>158.67042116663379</v>
      </c>
      <c r="CJ394" s="234">
        <f>_xll.xSPRDOPT((VLOOKUP(G394,NGPREVPRICES,2,FALSE)+HLOOKUP(D394,PREVCURVES,VLOOKUP(G394,MOVE_DOWN2,2,FALSE),FALSE)),VLOOKUP(G394,NGPREVPRICES,2,FALSE),CK394,VLOOKUP(G394,NGPREVPRICES,4,FALSE),HLOOKUP(D394,PREVVOLS,VLOOKUP(G394,MOVE_DOWN2,2,FALSE),FALSE),VLOOKUP(G394,NGPREVPRICES,3,FALSE),HLOOKUP(D394,Correllate,VLOOKUP(G394,CorMove,2,FALSE),FALSE),Q394-$CD$3,R394,$CJ$5)*H394</f>
        <v>-7040.6449975623518</v>
      </c>
      <c r="CK394" s="235">
        <f t="shared" si="442"/>
        <v>0.3</v>
      </c>
      <c r="CM394" t="str">
        <f t="shared" si="443"/>
        <v>36861Curve Shift/Gamma</v>
      </c>
      <c r="CN394" t="str">
        <f t="shared" si="435"/>
        <v>36861Rho</v>
      </c>
      <c r="CO394" t="str">
        <f t="shared" si="436"/>
        <v>36861Drift</v>
      </c>
      <c r="CP394" t="str">
        <f t="shared" si="437"/>
        <v>36861Vega</v>
      </c>
      <c r="CQ394" t="str">
        <f t="shared" si="438"/>
        <v>36861Theta</v>
      </c>
    </row>
    <row r="395" spans="1:95" x14ac:dyDescent="0.25">
      <c r="A395" s="382" t="s">
        <v>279</v>
      </c>
      <c r="B395" t="s">
        <v>250</v>
      </c>
      <c r="C395" t="s">
        <v>466</v>
      </c>
      <c r="D395" s="4" t="s">
        <v>74</v>
      </c>
      <c r="E395" t="s">
        <v>20</v>
      </c>
      <c r="F395" t="s">
        <v>21</v>
      </c>
      <c r="G395" s="5">
        <v>36831</v>
      </c>
      <c r="H395" s="130">
        <v>-1500000</v>
      </c>
      <c r="I395">
        <v>0.3</v>
      </c>
      <c r="J395" s="53">
        <f t="shared" si="464"/>
        <v>4.7359999999999998</v>
      </c>
      <c r="K395" s="7">
        <f t="shared" si="465"/>
        <v>8.7499999999999994E-2</v>
      </c>
      <c r="L395" s="53">
        <f t="shared" si="466"/>
        <v>4.8235000000000001</v>
      </c>
      <c r="M395" s="157">
        <f t="shared" si="451"/>
        <v>6.810675983792E-2</v>
      </c>
      <c r="N395" s="4">
        <f t="shared" si="452"/>
        <v>0.59499999999999997</v>
      </c>
      <c r="O395" s="4">
        <f t="shared" si="453"/>
        <v>0.59499999999999997</v>
      </c>
      <c r="P395" s="9">
        <f t="shared" si="454"/>
        <v>0.997</v>
      </c>
      <c r="Q395" s="5">
        <f t="shared" si="458"/>
        <v>36829</v>
      </c>
      <c r="R395" s="4">
        <f t="shared" si="455"/>
        <v>1</v>
      </c>
      <c r="S395" s="158">
        <f>_xll.xSPRDOPT($L395,$J395,$I395,$M395,$O395,$N395,$P395,$Q395-$C$3,$R395,0)</f>
        <v>1.2075774416406551E-3</v>
      </c>
      <c r="T395" s="159">
        <f>_xll.xSPRDOPT($L395,$J395,$I395,$M395,$O395,$N395,$P395,$Q395-$C$3,$R395,1)*H395</f>
        <v>-44974.798594332198</v>
      </c>
      <c r="U395" s="160">
        <f t="shared" si="456"/>
        <v>-1811.3661624609827</v>
      </c>
      <c r="V395" s="159">
        <f>_xll.xSPRDOPT($L395,$J395,$I395,$M395,$O395,$N395,$P395,$Q395-$C$3,$R395,2)*H395</f>
        <v>43359.82905981996</v>
      </c>
      <c r="W395" s="159">
        <f t="shared" si="457"/>
        <v>-1614.9695345122382</v>
      </c>
      <c r="X395" s="51" t="str">
        <f t="shared" si="459"/>
        <v>36831NGI/CHI. GATE</v>
      </c>
      <c r="Y395" s="418">
        <f t="shared" si="460"/>
        <v>-150</v>
      </c>
      <c r="Z395" s="456">
        <f t="shared" si="461"/>
        <v>2.9983199062888131E-2</v>
      </c>
      <c r="AA395" s="456">
        <f>_xll.xSPRDOPT($L395,$J395,$I395,$M395,$O395,$N395,$P395,$Q395-$C$3,$R395,3)</f>
        <v>0.64345277330255835</v>
      </c>
      <c r="AB395" s="456">
        <f>((_xll.xSPRDOPT($L395+AB$5,$J395,$I395,$M395,$O395,$N395,$P395,$Q395-$C$3,$R395,3)*$H395)/10000)/100</f>
        <v>-0.96517915995383741</v>
      </c>
      <c r="AC395" s="456">
        <f>((_xll.xSPRDOPT($L395+$AB$5,$J395,$I395,$M395,$O395,$N395,$P395,$Q395-$C$3,$R395,7)*$H395)/100)</f>
        <v>12859.928553420208</v>
      </c>
      <c r="AD395" s="456">
        <f>(_xll.xSPRDOPT($L395+$AB$5,$J395,$I395,$M395,$O395,$N395,$P395,$Q395-$C$3,$R395,9)/365)*$H395</f>
        <v>86.874266509771104</v>
      </c>
      <c r="AE395">
        <f t="shared" si="462"/>
        <v>0</v>
      </c>
      <c r="AF395" s="456">
        <f t="shared" si="463"/>
        <v>-181.62893847720727</v>
      </c>
      <c r="AG395" s="456">
        <f>((_xll.xSPRDOPT($L395,$J395,$I395,$M395,$O395,$N395,$P395,$Q395-$C$3,$R395,6)*$H395)/100)</f>
        <v>950.39707464156129</v>
      </c>
      <c r="AH395" s="456">
        <f>((_xll.xSPRDOPT($L395,$J395,$I395,$M395,$O395,$N395,$P395,$Q395-$C$3,$R395,5)*$H395)/100)</f>
        <v>-1132.0260131187686</v>
      </c>
      <c r="AI395" s="456">
        <f>(((_xll.xSPRDOPT($L395,$J395,$I395,$M395,$O395,$N395,$P395,$Q395-$C$3,$R395,4)*$H395)/10000)/100)-AB395</f>
        <v>5.5930043424255005E-2</v>
      </c>
      <c r="AJ395" s="456"/>
      <c r="AK395" s="456"/>
      <c r="AL395" s="456"/>
      <c r="AM395" s="472"/>
      <c r="CC395" s="141">
        <f t="shared" si="439"/>
        <v>36831</v>
      </c>
      <c r="CD395" s="234">
        <f>_xll.xSPRDOPT((VLOOKUP(G395,NGPrices,2,FALSE)+HLOOKUP(D395,Prices,VLOOKUP(G395,move_down,2,FALSE),FALSE)),VLOOKUP(G395,NGPrices,2,FALSE),I395,VLOOKUP(G395,NGPREVPRICES,4,FALSE),HLOOKUP(D395,PREVVOLS,VLOOKUP(G395,MOVE_DOWN2,2,FALSE),FALSE),VLOOKUP(G395,NGPREVPRICES,3,FALSE),HLOOKUP(D395,Correllate,VLOOKUP(G395,CorMove,2,FALSE),FALSE),Q395-$CD$3,R395,$CD$5)*H395-CJ395</f>
        <v>0</v>
      </c>
      <c r="CE395" s="234">
        <f>_xll.xSPRDOPT((VLOOKUP(G395,NGPREVPRICES,2,FALSE)+HLOOKUP(D395,PREVCURVES,VLOOKUP(G395,MOVE_DOWN2,2,FALSE),FALSE)),VLOOKUP(G395,NGPREVPRICES,2,FALSE),CK395,VLOOKUP(G395,NGPrices,4,FALSE),HLOOKUP(D395,PREVVOLS,VLOOKUP(G395,MOVE_DOWN2,2,FALSE),FALSE),VLOOKUP(G395,NGPREVPRICES,3,FALSE),HLOOKUP(D395,Correllate,VLOOKUP(G395,CorMove,2,FALSE),FALSE),Q395-$CD$3,R395,$CJ$5)*H395-CJ395</f>
        <v>0</v>
      </c>
      <c r="CF395" s="10">
        <f t="shared" si="440"/>
        <v>0.35268071525115374</v>
      </c>
      <c r="CG395" s="234">
        <f>_xll.xSPRDOPT((VLOOKUP(G395,NGPREVPRICES,2,FALSE)+HLOOKUP(D395,PREVCURVES,VLOOKUP(G395,MOVE_DOWN2,2,FALSE),FALSE)),VLOOKUP(G395,NGPREVPRICES,2,FALSE),CK395,VLOOKUP(G395,NGPREVPRICES,4,FALSE),HLOOKUP(D395,VOLS,VLOOKUP(G395,move_down,2,FALSE),FALSE),VLOOKUP(G395,NGPrices,3,FALSE),HLOOKUP(D395,Correllate,VLOOKUP(G395,CorMove,2,FALSE),FALSE),Q395-$CD$3,R395,$CJ$5)*H395-CJ395</f>
        <v>0</v>
      </c>
      <c r="CH395" s="234">
        <f>_xll.xSPRDOPT((VLOOKUP(G395,NGPREVPRICES,2,FALSE)+HLOOKUP(D395,PREVCURVES,VLOOKUP(G395,MOVE_DOWN2,2,FALSE),FALSE)),VLOOKUP(G395,NGPREVPRICES,2,FALSE),CK395,VLOOKUP(G395,NGPREVPRICES,4,FALSE),HLOOKUP(D395,PREVVOLS,VLOOKUP(G395,MOVE_DOWN2,2,FALSE),FALSE),VLOOKUP(G395,NGPREVPRICES,3,FALSE),HLOOKUP(D395,Correllate,VLOOKUP(G395,CorMove,2,FALSE),FALSE),Q395-$C$3,R395,$CJ$5)*H395-CJ395</f>
        <v>87.721066397157756</v>
      </c>
      <c r="CI395" s="234">
        <f t="shared" si="441"/>
        <v>88.07374711240891</v>
      </c>
      <c r="CJ395" s="234">
        <f>_xll.xSPRDOPT((VLOOKUP(G395,NGPREVPRICES,2,FALSE)+HLOOKUP(D395,PREVCURVES,VLOOKUP(G395,MOVE_DOWN2,2,FALSE),FALSE)),VLOOKUP(G395,NGPREVPRICES,2,FALSE),CK395,VLOOKUP(G395,NGPREVPRICES,4,FALSE),HLOOKUP(D395,PREVVOLS,VLOOKUP(G395,MOVE_DOWN2,2,FALSE),FALSE),VLOOKUP(G395,NGPREVPRICES,3,FALSE),HLOOKUP(D395,Correllate,VLOOKUP(G395,CorMove,2,FALSE),FALSE),Q395-$CD$3,R395,$CJ$5)*H395</f>
        <v>-1899.0872288581404</v>
      </c>
      <c r="CK395" s="235">
        <f t="shared" si="442"/>
        <v>0.3</v>
      </c>
      <c r="CM395" t="str">
        <f t="shared" si="443"/>
        <v>36831Curve Shift/Gamma</v>
      </c>
      <c r="CN395" t="str">
        <f t="shared" si="435"/>
        <v>36831Rho</v>
      </c>
      <c r="CO395" t="str">
        <f t="shared" si="436"/>
        <v>36831Drift</v>
      </c>
      <c r="CP395" t="str">
        <f t="shared" si="437"/>
        <v>36831Vega</v>
      </c>
      <c r="CQ395" t="str">
        <f t="shared" si="438"/>
        <v>36831Theta</v>
      </c>
    </row>
    <row r="396" spans="1:95" x14ac:dyDescent="0.25">
      <c r="A396" s="382" t="s">
        <v>284</v>
      </c>
      <c r="B396" t="s">
        <v>250</v>
      </c>
      <c r="C396" t="s">
        <v>467</v>
      </c>
      <c r="D396" s="4" t="s">
        <v>7</v>
      </c>
      <c r="E396" t="s">
        <v>20</v>
      </c>
      <c r="F396" t="s">
        <v>1</v>
      </c>
      <c r="G396" s="5">
        <v>36800</v>
      </c>
      <c r="H396" s="130">
        <v>465000</v>
      </c>
      <c r="I396">
        <v>0.55000000000000004</v>
      </c>
      <c r="J396" s="53">
        <f t="shared" si="464"/>
        <v>4.6920000000000002</v>
      </c>
      <c r="K396" s="7">
        <f t="shared" si="465"/>
        <v>0.41499999999999998</v>
      </c>
      <c r="L396" s="53">
        <f t="shared" si="466"/>
        <v>5.1070000000000002</v>
      </c>
      <c r="M396" s="157">
        <f t="shared" si="451"/>
        <v>6.8050789414654006E-2</v>
      </c>
      <c r="N396" s="4">
        <f t="shared" si="452"/>
        <v>0.57499999999999996</v>
      </c>
      <c r="O396" s="4">
        <f t="shared" si="453"/>
        <v>0.56399999999999995</v>
      </c>
      <c r="P396" s="9">
        <f t="shared" si="454"/>
        <v>0.99250000000000005</v>
      </c>
      <c r="Q396" s="5">
        <f t="shared" si="458"/>
        <v>36797</v>
      </c>
      <c r="R396" s="4">
        <f t="shared" si="455"/>
        <v>0</v>
      </c>
      <c r="S396" s="158">
        <f>_xll.xSPRDOPT($L396,$J396,$I396,$M396,$O396,$N396,$P396,$Q396-$C$3,$R396,0)</f>
        <v>0.1421017285188616</v>
      </c>
      <c r="T396" s="159">
        <f>_xll.xSPRDOPT($L396,$J396,$I396,$M396,$O396,$N396,$P396,$Q396-$C$3,$R396,1)*H396</f>
        <v>-399394.19019669603</v>
      </c>
      <c r="U396" s="160">
        <f t="shared" si="456"/>
        <v>66077.303761270639</v>
      </c>
      <c r="V396" s="159">
        <f>_xll.xSPRDOPT($L396,$J396,$I396,$M396,$O396,$N396,$P396,$Q396-$C$3,$R396,2)*H396</f>
        <v>400888.67788335204</v>
      </c>
      <c r="W396" s="159">
        <f t="shared" si="457"/>
        <v>1494.487686656008</v>
      </c>
      <c r="X396" s="51" t="str">
        <f t="shared" si="459"/>
        <v>36800IF-TRANSCO/Z6</v>
      </c>
      <c r="Y396" s="418">
        <f t="shared" si="460"/>
        <v>46.5</v>
      </c>
      <c r="Z396" s="456">
        <f t="shared" si="461"/>
        <v>-0.85891223698214203</v>
      </c>
      <c r="AA396" s="456">
        <f>_xll.xSPRDOPT($L396,$J396,$I396,$M396,$O396,$N396,$P396,$Q396-$C$3,$R396,3)</f>
        <v>1.8620823755692615</v>
      </c>
      <c r="AB396" s="456">
        <f>((_xll.xSPRDOPT($L396+AB$5,$J396,$I396,$M396,$O396,$N396,$P396,$Q396-$C$3,$R396,3)*$H396)/10000)/100</f>
        <v>0.86586830463970654</v>
      </c>
      <c r="AC396" s="456">
        <f>((_xll.xSPRDOPT($L396+$AB$5,$J396,$I396,$M396,$O396,$N396,$P396,$Q396-$C$3,$R396,7)*$H396)/100)</f>
        <v>-5439.27663290694</v>
      </c>
      <c r="AD396" s="456">
        <f>(_xll.xSPRDOPT($L396+$AB$5,$J396,$I396,$M396,$O396,$N396,$P396,$Q396-$C$3,$R396,9)/365)*$H396</f>
        <v>-185.25163256325047</v>
      </c>
      <c r="AE396">
        <f t="shared" si="462"/>
        <v>0</v>
      </c>
      <c r="AF396" s="456">
        <f t="shared" si="463"/>
        <v>206.0200556326696</v>
      </c>
      <c r="AG396" s="456">
        <f>((_xll.xSPRDOPT($L396,$J396,$I396,$M396,$O396,$N396,$P396,$Q396-$C$3,$R396,6)*$H396)/100)</f>
        <v>-666.67647294816777</v>
      </c>
      <c r="AH396" s="456">
        <f>((_xll.xSPRDOPT($L396,$J396,$I396,$M396,$O396,$N396,$P396,$Q396-$C$3,$R396,5)*$H396)/100)</f>
        <v>889.7172055567047</v>
      </c>
      <c r="AI396" s="456">
        <f>(((_xll.xSPRDOPT($L396,$J396,$I396,$M396,$O396,$N396,$P396,$Q396-$C$3,$R396,4)*$H396)/10000)/100)-AB396</f>
        <v>-2.698640142427422E-2</v>
      </c>
      <c r="AJ396" s="456"/>
      <c r="AK396" s="456"/>
      <c r="AL396" s="456"/>
      <c r="AM396" s="472"/>
      <c r="CC396" s="141">
        <f t="shared" si="439"/>
        <v>36800</v>
      </c>
      <c r="CD396" s="234">
        <f>_xll.xSPRDOPT((VLOOKUP(G396,NGPrices,2,FALSE)+HLOOKUP(D396,Prices,VLOOKUP(G396,move_down,2,FALSE),FALSE)),VLOOKUP(G396,NGPrices,2,FALSE),I396,VLOOKUP(G396,NGPREVPRICES,4,FALSE),HLOOKUP(D396,PREVVOLS,VLOOKUP(G396,MOVE_DOWN2,2,FALSE),FALSE),VLOOKUP(G396,NGPREVPRICES,3,FALSE),HLOOKUP(D396,Correllate,VLOOKUP(G396,CorMove,2,FALSE),FALSE),Q396-$CD$3,R396,$CD$5)*H396-CJ396</f>
        <v>0</v>
      </c>
      <c r="CE396" s="234">
        <f>_xll.xSPRDOPT((VLOOKUP(G396,NGPREVPRICES,2,FALSE)+HLOOKUP(D396,PREVCURVES,VLOOKUP(G396,MOVE_DOWN2,2,FALSE),FALSE)),VLOOKUP(G396,NGPREVPRICES,2,FALSE),CK396,VLOOKUP(G396,NGPrices,4,FALSE),HLOOKUP(D396,PREVVOLS,VLOOKUP(G396,MOVE_DOWN2,2,FALSE),FALSE),VLOOKUP(G396,NGPREVPRICES,3,FALSE),HLOOKUP(D396,Correllate,VLOOKUP(G396,CorMove,2,FALSE),FALSE),Q396-$CD$3,R396,$CJ$5)*H396-CJ396</f>
        <v>0</v>
      </c>
      <c r="CF396" s="10">
        <f t="shared" si="440"/>
        <v>-12.215928761404939</v>
      </c>
      <c r="CG396" s="234">
        <f>_xll.xSPRDOPT((VLOOKUP(G396,NGPREVPRICES,2,FALSE)+HLOOKUP(D396,PREVCURVES,VLOOKUP(G396,MOVE_DOWN2,2,FALSE),FALSE)),VLOOKUP(G396,NGPREVPRICES,2,FALSE),CK396,VLOOKUP(G396,NGPREVPRICES,4,FALSE),HLOOKUP(D396,VOLS,VLOOKUP(G396,move_down,2,FALSE),FALSE),VLOOKUP(G396,NGPrices,3,FALSE),HLOOKUP(D396,Correllate,VLOOKUP(G396,CorMove,2,FALSE),FALSE),Q396-$CD$3,R396,$CJ$5)*H396-CJ396</f>
        <v>0</v>
      </c>
      <c r="CH396" s="234">
        <f>_xll.xSPRDOPT((VLOOKUP(G396,NGPREVPRICES,2,FALSE)+HLOOKUP(D396,PREVCURVES,VLOOKUP(G396,MOVE_DOWN2,2,FALSE),FALSE)),VLOOKUP(G396,NGPREVPRICES,2,FALSE),CK396,VLOOKUP(G396,NGPREVPRICES,4,FALSE),HLOOKUP(D396,PREVVOLS,VLOOKUP(G396,MOVE_DOWN2,2,FALSE),FALSE),VLOOKUP(G396,NGPREVPRICES,3,FALSE),HLOOKUP(D396,Correllate,VLOOKUP(G396,CorMove,2,FALSE),FALSE),Q396-$C$3,R396,$CJ$5)*H396-CJ396</f>
        <v>-185.50332600201364</v>
      </c>
      <c r="CI396" s="234">
        <f t="shared" si="441"/>
        <v>-197.71925476341858</v>
      </c>
      <c r="CJ396" s="234">
        <f>_xll.xSPRDOPT((VLOOKUP(G396,NGPREVPRICES,2,FALSE)+HLOOKUP(D396,PREVCURVES,VLOOKUP(G396,MOVE_DOWN2,2,FALSE),FALSE)),VLOOKUP(G396,NGPREVPRICES,2,FALSE),CK396,VLOOKUP(G396,NGPREVPRICES,4,FALSE),HLOOKUP(D396,PREVVOLS,VLOOKUP(G396,MOVE_DOWN2,2,FALSE),FALSE),VLOOKUP(G396,NGPREVPRICES,3,FALSE),HLOOKUP(D396,Correllate,VLOOKUP(G396,CorMove,2,FALSE),FALSE),Q396-$CD$3,R396,$CJ$5)*H396</f>
        <v>66262.807087272653</v>
      </c>
      <c r="CK396" s="235">
        <f t="shared" si="442"/>
        <v>0.55000000000000004</v>
      </c>
      <c r="CM396" t="str">
        <f t="shared" si="443"/>
        <v>36800Curve Shift/Gamma</v>
      </c>
      <c r="CN396" t="str">
        <f t="shared" si="435"/>
        <v>36800Rho</v>
      </c>
      <c r="CO396" t="str">
        <f t="shared" si="436"/>
        <v>36800Drift</v>
      </c>
      <c r="CP396" t="str">
        <f t="shared" si="437"/>
        <v>36800Vega</v>
      </c>
      <c r="CQ396" t="str">
        <f t="shared" si="438"/>
        <v>36800Theta</v>
      </c>
    </row>
    <row r="397" spans="1:95" x14ac:dyDescent="0.25">
      <c r="A397" s="382" t="s">
        <v>279</v>
      </c>
      <c r="B397" t="s">
        <v>250</v>
      </c>
      <c r="C397" t="s">
        <v>468</v>
      </c>
      <c r="D397" s="4" t="s">
        <v>7</v>
      </c>
      <c r="E397" t="s">
        <v>20</v>
      </c>
      <c r="F397" t="s">
        <v>21</v>
      </c>
      <c r="G397" s="5">
        <v>36831</v>
      </c>
      <c r="H397" s="130">
        <v>-500000</v>
      </c>
      <c r="I397">
        <v>1</v>
      </c>
      <c r="J397" s="53">
        <f t="shared" si="464"/>
        <v>4.7359999999999998</v>
      </c>
      <c r="K397" s="7">
        <f t="shared" si="465"/>
        <v>0.77</v>
      </c>
      <c r="L397" s="53">
        <f t="shared" si="466"/>
        <v>5.5060000000000002</v>
      </c>
      <c r="M397" s="157">
        <f t="shared" ref="M397:M427" si="467">VLOOKUP(G397,NGPrices,4,FALSE)</f>
        <v>6.810675983792E-2</v>
      </c>
      <c r="N397" s="4">
        <f t="shared" ref="N397:N427" si="468">VLOOKUP(G397,NGPrices,3,FALSE)</f>
        <v>0.59499999999999997</v>
      </c>
      <c r="O397" s="4">
        <f t="shared" ref="O397:O427" si="469">HLOOKUP(D397,VOLS,VLOOKUP(G397,move_down,2,FALSE),FALSE)</f>
        <v>0.625</v>
      </c>
      <c r="P397" s="9">
        <f t="shared" ref="P397:P427" si="470">HLOOKUP(D397,Correllate,VLOOKUP(G397,CorMove,2,FALSE),FALSE)</f>
        <v>0.89</v>
      </c>
      <c r="Q397" s="5">
        <f t="shared" si="458"/>
        <v>36829</v>
      </c>
      <c r="R397" s="4">
        <f t="shared" ref="R397:R427" si="471">IF(F397="P",0,1)</f>
        <v>1</v>
      </c>
      <c r="S397" s="158">
        <f>_xll.xSPRDOPT($L397,$J397,$I397,$M397,$O397,$N397,$P397,$Q397-$C$3,$R397,0)</f>
        <v>0.16844177648588188</v>
      </c>
      <c r="T397" s="159">
        <f>_xll.xSPRDOPT($L397,$J397,$I397,$M397,$O397,$N397,$P397,$Q397-$C$3,$R397,1)*H397</f>
        <v>-193068.22787332302</v>
      </c>
      <c r="U397" s="160">
        <f t="shared" ref="U397:U427" si="472">S397*H397</f>
        <v>-84220.888242940942</v>
      </c>
      <c r="V397" s="159">
        <f>_xll.xSPRDOPT($L397,$J397,$I397,$M397,$O397,$N397,$P397,$Q397-$C$3,$R397,2)*H397</f>
        <v>172342.94683143005</v>
      </c>
      <c r="W397" s="159">
        <f t="shared" ref="W397:W427" si="473">+V397+T397</f>
        <v>-20725.281041892973</v>
      </c>
      <c r="X397" s="51" t="str">
        <f t="shared" si="459"/>
        <v>36831IF-TRANSCO/Z6</v>
      </c>
      <c r="Y397" s="418">
        <f t="shared" si="460"/>
        <v>-50</v>
      </c>
      <c r="Z397" s="456">
        <f t="shared" si="461"/>
        <v>0.38613645574664601</v>
      </c>
      <c r="AA397" s="456">
        <f>_xll.xSPRDOPT($L397,$J397,$I397,$M397,$O397,$N397,$P397,$Q397-$C$3,$R397,3)</f>
        <v>0.57258794695311976</v>
      </c>
      <c r="AB397" s="456">
        <f>((_xll.xSPRDOPT($L397+AB$5,$J397,$I397,$M397,$O397,$N397,$P397,$Q397-$C$3,$R397,3)*$H397)/10000)/100</f>
        <v>-0.28629397347655983</v>
      </c>
      <c r="AC397" s="456">
        <f>((_xll.xSPRDOPT($L397+$AB$5,$J397,$I397,$M397,$O397,$N397,$P397,$Q397-$C$3,$R397,7)*$H397)/100)</f>
        <v>4543.9063832175589</v>
      </c>
      <c r="AD397" s="456">
        <f>(_xll.xSPRDOPT($L397+$AB$5,$J397,$I397,$M397,$O397,$N397,$P397,$Q397-$C$3,$R397,9)/365)*$H397</f>
        <v>1001.3570156297025</v>
      </c>
      <c r="AE397">
        <f t="shared" si="462"/>
        <v>0</v>
      </c>
      <c r="AF397" s="456">
        <f t="shared" si="463"/>
        <v>-2118.1616693694514</v>
      </c>
      <c r="AG397" s="456">
        <f>((_xll.xSPRDOPT($L397,$J397,$I397,$M397,$O397,$N397,$P397,$Q397-$C$3,$R397,6)*$H397)/100)</f>
        <v>757.35086150108123</v>
      </c>
      <c r="AH397" s="456">
        <f>((_xll.xSPRDOPT($L397,$J397,$I397,$M397,$O397,$N397,$P397,$Q397-$C$3,$R397,5)*$H397)/100)</f>
        <v>-2737.487929388747</v>
      </c>
      <c r="AI397" s="456">
        <f>(((_xll.xSPRDOPT($L397,$J397,$I397,$M397,$O397,$N397,$P397,$Q397-$C$3,$R397,4)*$H397)/10000)/100)-AB397</f>
        <v>1.9696460585435782E-2</v>
      </c>
      <c r="AJ397" s="456"/>
      <c r="AK397" s="456"/>
      <c r="AL397" s="456"/>
      <c r="AM397" s="472"/>
      <c r="CC397" s="141">
        <f t="shared" si="439"/>
        <v>36831</v>
      </c>
      <c r="CD397" s="234">
        <f>_xll.xSPRDOPT((VLOOKUP(G397,NGPrices,2,FALSE)+HLOOKUP(D397,Prices,VLOOKUP(G397,move_down,2,FALSE),FALSE)),VLOOKUP(G397,NGPrices,2,FALSE),I397,VLOOKUP(G397,NGPREVPRICES,4,FALSE),HLOOKUP(D397,PREVVOLS,VLOOKUP(G397,MOVE_DOWN2,2,FALSE),FALSE),VLOOKUP(G397,NGPREVPRICES,3,FALSE),HLOOKUP(D397,Correllate,VLOOKUP(G397,CorMove,2,FALSE),FALSE),Q397-$CD$3,R397,$CD$5)*H397-CJ397</f>
        <v>0</v>
      </c>
      <c r="CE397" s="234">
        <f>_xll.xSPRDOPT((VLOOKUP(G397,NGPREVPRICES,2,FALSE)+HLOOKUP(D397,PREVCURVES,VLOOKUP(G397,MOVE_DOWN2,2,FALSE),FALSE)),VLOOKUP(G397,NGPREVPRICES,2,FALSE),CK397,VLOOKUP(G397,NGPrices,4,FALSE),HLOOKUP(D397,PREVVOLS,VLOOKUP(G397,MOVE_DOWN2,2,FALSE),FALSE),VLOOKUP(G397,NGPREVPRICES,3,FALSE),HLOOKUP(D397,Correllate,VLOOKUP(G397,CorMove,2,FALSE),FALSE),Q397-$CD$3,R397,$CJ$5)*H397-CJ397</f>
        <v>0</v>
      </c>
      <c r="CF397" s="10">
        <f t="shared" si="440"/>
        <v>15.825849295753869</v>
      </c>
      <c r="CG397" s="234">
        <f>_xll.xSPRDOPT((VLOOKUP(G397,NGPREVPRICES,2,FALSE)+HLOOKUP(D397,PREVCURVES,VLOOKUP(G397,MOVE_DOWN2,2,FALSE),FALSE)),VLOOKUP(G397,NGPREVPRICES,2,FALSE),CK397,VLOOKUP(G397,NGPREVPRICES,4,FALSE),HLOOKUP(D397,VOLS,VLOOKUP(G397,move_down,2,FALSE),FALSE),VLOOKUP(G397,NGPrices,3,FALSE),HLOOKUP(D397,Correllate,VLOOKUP(G397,CorMove,2,FALSE),FALSE),Q397-$CD$3,R397,$CJ$5)*H397-CJ397</f>
        <v>0</v>
      </c>
      <c r="CH397" s="234">
        <f>_xll.xSPRDOPT((VLOOKUP(G397,NGPREVPRICES,2,FALSE)+HLOOKUP(D397,PREVCURVES,VLOOKUP(G397,MOVE_DOWN2,2,FALSE),FALSE)),VLOOKUP(G397,NGPREVPRICES,2,FALSE),CK397,VLOOKUP(G397,NGPREVPRICES,4,FALSE),HLOOKUP(D397,PREVVOLS,VLOOKUP(G397,MOVE_DOWN2,2,FALSE),FALSE),VLOOKUP(G397,NGPREVPRICES,3,FALSE),HLOOKUP(D397,Correllate,VLOOKUP(G397,CorMove,2,FALSE),FALSE),Q397-$C$3,R397,$CJ$5)*H397-CJ397</f>
        <v>996.8936876445805</v>
      </c>
      <c r="CI397" s="234">
        <f t="shared" si="441"/>
        <v>1012.7195369403344</v>
      </c>
      <c r="CJ397" s="234">
        <f>_xll.xSPRDOPT((VLOOKUP(G397,NGPREVPRICES,2,FALSE)+HLOOKUP(D397,PREVCURVES,VLOOKUP(G397,MOVE_DOWN2,2,FALSE),FALSE)),VLOOKUP(G397,NGPREVPRICES,2,FALSE),CK397,VLOOKUP(G397,NGPREVPRICES,4,FALSE),HLOOKUP(D397,PREVVOLS,VLOOKUP(G397,MOVE_DOWN2,2,FALSE),FALSE),VLOOKUP(G397,NGPREVPRICES,3,FALSE),HLOOKUP(D397,Correllate,VLOOKUP(G397,CorMove,2,FALSE),FALSE),Q397-$CD$3,R397,$CJ$5)*H397</f>
        <v>-85217.781930585523</v>
      </c>
      <c r="CK397" s="235">
        <f t="shared" si="442"/>
        <v>1</v>
      </c>
      <c r="CM397" t="str">
        <f t="shared" si="443"/>
        <v>36831Curve Shift/Gamma</v>
      </c>
      <c r="CN397" t="str">
        <f t="shared" si="435"/>
        <v>36831Rho</v>
      </c>
      <c r="CO397" t="str">
        <f t="shared" si="436"/>
        <v>36831Drift</v>
      </c>
      <c r="CP397" t="str">
        <f t="shared" si="437"/>
        <v>36831Vega</v>
      </c>
      <c r="CQ397" t="str">
        <f t="shared" si="438"/>
        <v>36831Theta</v>
      </c>
    </row>
    <row r="398" spans="1:95" x14ac:dyDescent="0.25">
      <c r="A398" s="382" t="s">
        <v>284</v>
      </c>
      <c r="B398" t="s">
        <v>250</v>
      </c>
      <c r="C398" t="s">
        <v>469</v>
      </c>
      <c r="D398" s="4" t="s">
        <v>7</v>
      </c>
      <c r="E398" t="s">
        <v>20</v>
      </c>
      <c r="F398" t="s">
        <v>1</v>
      </c>
      <c r="G398" s="5">
        <v>36923</v>
      </c>
      <c r="H398" s="130">
        <v>840000</v>
      </c>
      <c r="I398">
        <v>0.75</v>
      </c>
      <c r="J398" s="53">
        <f t="shared" si="464"/>
        <v>4.4800000000000004</v>
      </c>
      <c r="K398" s="7">
        <f t="shared" si="465"/>
        <v>2.09</v>
      </c>
      <c r="L398" s="53">
        <f t="shared" si="466"/>
        <v>6.57</v>
      </c>
      <c r="M398" s="157">
        <f t="shared" si="467"/>
        <v>6.8640161611372E-2</v>
      </c>
      <c r="N398" s="4">
        <f t="shared" si="468"/>
        <v>0.59250000000000003</v>
      </c>
      <c r="O398" s="4">
        <f t="shared" si="469"/>
        <v>0.68100000000000005</v>
      </c>
      <c r="P398" s="9">
        <f t="shared" si="470"/>
        <v>0.83</v>
      </c>
      <c r="Q398" s="5">
        <f t="shared" si="458"/>
        <v>36921</v>
      </c>
      <c r="R398" s="4">
        <f t="shared" si="471"/>
        <v>0</v>
      </c>
      <c r="S398" s="158">
        <f>_xll.xSPRDOPT($L398,$J398,$I398,$M398,$O398,$N398,$P398,$Q398-$C$3,$R398,0)</f>
        <v>0.13906565808994997</v>
      </c>
      <c r="T398" s="159">
        <f>_xll.xSPRDOPT($L398,$J398,$I398,$M398,$O398,$N398,$P398,$Q398-$C$3,$R398,1)*H398</f>
        <v>-121998.14985958305</v>
      </c>
      <c r="U398" s="160">
        <f t="shared" si="472"/>
        <v>116815.15279555798</v>
      </c>
      <c r="V398" s="159">
        <f>_xll.xSPRDOPT($L398,$J398,$I398,$M398,$O398,$N398,$P398,$Q398-$C$3,$R398,2)*H398</f>
        <v>173337.98748625579</v>
      </c>
      <c r="W398" s="159">
        <f t="shared" si="473"/>
        <v>51339.837626672743</v>
      </c>
      <c r="X398" s="51" t="str">
        <f t="shared" si="459"/>
        <v>36923IF-TRANSCO/Z6</v>
      </c>
      <c r="Y398" s="418">
        <f t="shared" si="460"/>
        <v>84</v>
      </c>
      <c r="Z398" s="456">
        <f t="shared" si="461"/>
        <v>-0.14523589268997983</v>
      </c>
      <c r="AA398" s="456">
        <f>_xll.xSPRDOPT($L398,$J398,$I398,$M398,$O398,$N398,$P398,$Q398-$C$3,$R398,3)</f>
        <v>0.13751360448045827</v>
      </c>
      <c r="AB398" s="456">
        <f>((_xll.xSPRDOPT($L398+AB$5,$J398,$I398,$M398,$O398,$N398,$P398,$Q398-$C$3,$R398,3)*$H398)/10000)/100</f>
        <v>0.11551142776358495</v>
      </c>
      <c r="AC398" s="456">
        <f>((_xll.xSPRDOPT($L398+$AB$5,$J398,$I398,$M398,$O398,$N398,$P398,$Q398-$C$3,$R398,7)*$H398)/100)</f>
        <v>-7219.1485757850087</v>
      </c>
      <c r="AD398" s="456">
        <f>(_xll.xSPRDOPT($L398+$AB$5,$J398,$I398,$M398,$O398,$N398,$P398,$Q398-$C$3,$R398,9)/365)*$H398</f>
        <v>-994.74538314681161</v>
      </c>
      <c r="AE398">
        <f t="shared" si="462"/>
        <v>0</v>
      </c>
      <c r="AF398" s="456">
        <f t="shared" si="463"/>
        <v>5281.5745456779596</v>
      </c>
      <c r="AG398" s="456">
        <f>((_xll.xSPRDOPT($L398,$J398,$I398,$M398,$O398,$N398,$P398,$Q398-$C$3,$R398,6)*$H398)/100)</f>
        <v>-1060.3110098065754</v>
      </c>
      <c r="AH398" s="456">
        <f>((_xll.xSPRDOPT($L398,$J398,$I398,$M398,$O398,$N398,$P398,$Q398-$C$3,$R398,5)*$H398)/100)</f>
        <v>5517.7198114898483</v>
      </c>
      <c r="AI398" s="456">
        <f>(((_xll.xSPRDOPT($L398,$J398,$I398,$M398,$O398,$N398,$P398,$Q398-$C$3,$R398,4)*$H398)/10000)/100)-AB398</f>
        <v>6.5039699703786036E-2</v>
      </c>
      <c r="AJ398" s="456"/>
      <c r="AK398" s="456"/>
      <c r="AL398" s="456"/>
      <c r="AM398" s="472"/>
      <c r="CC398" s="141">
        <f t="shared" si="439"/>
        <v>36923</v>
      </c>
      <c r="CD398" s="234">
        <f>_xll.xSPRDOPT((VLOOKUP(G398,NGPrices,2,FALSE)+HLOOKUP(D398,Prices,VLOOKUP(G398,move_down,2,FALSE),FALSE)),VLOOKUP(G398,NGPrices,2,FALSE),I398,VLOOKUP(G398,NGPREVPRICES,4,FALSE),HLOOKUP(D398,PREVVOLS,VLOOKUP(G398,MOVE_DOWN2,2,FALSE),FALSE),VLOOKUP(G398,NGPREVPRICES,3,FALSE),HLOOKUP(D398,Correllate,VLOOKUP(G398,CorMove,2,FALSE),FALSE),Q398-$CD$3,R398,$CD$5)*H398-CJ398</f>
        <v>0</v>
      </c>
      <c r="CE398" s="234">
        <f>_xll.xSPRDOPT((VLOOKUP(G398,NGPREVPRICES,2,FALSE)+HLOOKUP(D398,PREVCURVES,VLOOKUP(G398,MOVE_DOWN2,2,FALSE),FALSE)),VLOOKUP(G398,NGPREVPRICES,2,FALSE),CK398,VLOOKUP(G398,NGPrices,4,FALSE),HLOOKUP(D398,PREVVOLS,VLOOKUP(G398,MOVE_DOWN2,2,FALSE),FALSE),VLOOKUP(G398,NGPREVPRICES,3,FALSE),HLOOKUP(D398,Correllate,VLOOKUP(G398,CorMove,2,FALSE),FALSE),Q398-$CD$3,R398,$CJ$5)*H398-CJ398</f>
        <v>0</v>
      </c>
      <c r="CF398" s="10">
        <f t="shared" si="440"/>
        <v>-22.405863409789163</v>
      </c>
      <c r="CG398" s="234">
        <f>_xll.xSPRDOPT((VLOOKUP(G398,NGPREVPRICES,2,FALSE)+HLOOKUP(D398,PREVCURVES,VLOOKUP(G398,MOVE_DOWN2,2,FALSE),FALSE)),VLOOKUP(G398,NGPREVPRICES,2,FALSE),CK398,VLOOKUP(G398,NGPREVPRICES,4,FALSE),HLOOKUP(D398,VOLS,VLOOKUP(G398,move_down,2,FALSE),FALSE),VLOOKUP(G398,NGPrices,3,FALSE),HLOOKUP(D398,Correllate,VLOOKUP(G398,CorMove,2,FALSE),FALSE),Q398-$CD$3,R398,$CJ$5)*H398-CJ398</f>
        <v>0</v>
      </c>
      <c r="CH398" s="234">
        <f>_xll.xSPRDOPT((VLOOKUP(G398,NGPREVPRICES,2,FALSE)+HLOOKUP(D398,PREVCURVES,VLOOKUP(G398,MOVE_DOWN2,2,FALSE),FALSE)),VLOOKUP(G398,NGPREVPRICES,2,FALSE),CK398,VLOOKUP(G398,NGPREVPRICES,4,FALSE),HLOOKUP(D398,PREVVOLS,VLOOKUP(G398,MOVE_DOWN2,2,FALSE),FALSE),VLOOKUP(G398,NGPREVPRICES,3,FALSE),HLOOKUP(D398,Correllate,VLOOKUP(G398,CorMove,2,FALSE),FALSE),Q398-$C$3,R398,$CJ$5)*H398-CJ398</f>
        <v>-993.58655118836032</v>
      </c>
      <c r="CI398" s="234">
        <f t="shared" si="441"/>
        <v>-1015.9924145981495</v>
      </c>
      <c r="CJ398" s="234">
        <f>_xll.xSPRDOPT((VLOOKUP(G398,NGPREVPRICES,2,FALSE)+HLOOKUP(D398,PREVCURVES,VLOOKUP(G398,MOVE_DOWN2,2,FALSE),FALSE)),VLOOKUP(G398,NGPREVPRICES,2,FALSE),CK398,VLOOKUP(G398,NGPREVPRICES,4,FALSE),HLOOKUP(D398,PREVVOLS,VLOOKUP(G398,MOVE_DOWN2,2,FALSE),FALSE),VLOOKUP(G398,NGPREVPRICES,3,FALSE),HLOOKUP(D398,Correllate,VLOOKUP(G398,CorMove,2,FALSE),FALSE),Q398-$CD$3,R398,$CJ$5)*H398</f>
        <v>117808.73934674634</v>
      </c>
      <c r="CK398" s="235">
        <f t="shared" si="442"/>
        <v>0.75</v>
      </c>
      <c r="CM398" t="str">
        <f t="shared" si="443"/>
        <v>36923Curve Shift/Gamma</v>
      </c>
      <c r="CN398" t="str">
        <f t="shared" si="435"/>
        <v>36923Rho</v>
      </c>
      <c r="CO398" t="str">
        <f t="shared" si="436"/>
        <v>36923Drift</v>
      </c>
      <c r="CP398" t="str">
        <f t="shared" si="437"/>
        <v>36923Vega</v>
      </c>
      <c r="CQ398" t="str">
        <f t="shared" si="438"/>
        <v>36923Theta</v>
      </c>
    </row>
    <row r="399" spans="1:95" x14ac:dyDescent="0.25">
      <c r="A399" s="382" t="s">
        <v>284</v>
      </c>
      <c r="B399" t="s">
        <v>250</v>
      </c>
      <c r="C399" t="s">
        <v>469</v>
      </c>
      <c r="D399" s="4" t="s">
        <v>7</v>
      </c>
      <c r="E399" t="s">
        <v>20</v>
      </c>
      <c r="F399" t="s">
        <v>1</v>
      </c>
      <c r="G399" s="5">
        <v>36892</v>
      </c>
      <c r="H399" s="130">
        <v>930000</v>
      </c>
      <c r="I399">
        <v>0.75</v>
      </c>
      <c r="J399" s="53">
        <f t="shared" si="464"/>
        <v>4.7439999999999998</v>
      </c>
      <c r="K399" s="7">
        <f t="shared" si="465"/>
        <v>2.17</v>
      </c>
      <c r="L399" s="53">
        <f t="shared" si="466"/>
        <v>6.9139999999999997</v>
      </c>
      <c r="M399" s="157">
        <f t="shared" si="467"/>
        <v>6.8374831148490994E-2</v>
      </c>
      <c r="N399" s="4">
        <f t="shared" si="468"/>
        <v>0.60499999999999998</v>
      </c>
      <c r="O399" s="4">
        <f t="shared" si="469"/>
        <v>0.69599999999999995</v>
      </c>
      <c r="P399" s="9">
        <f t="shared" si="470"/>
        <v>0.83</v>
      </c>
      <c r="Q399" s="5">
        <f t="shared" si="458"/>
        <v>36888</v>
      </c>
      <c r="R399" s="4">
        <f t="shared" si="471"/>
        <v>0</v>
      </c>
      <c r="S399" s="158">
        <f>_xll.xSPRDOPT($L399,$J399,$I399,$M399,$O399,$N399,$P399,$Q399-$C$3,$R399,0)</f>
        <v>0.10942744498145573</v>
      </c>
      <c r="T399" s="159">
        <f>_xll.xSPRDOPT($L399,$J399,$I399,$M399,$O399,$N399,$P399,$Q399-$C$3,$R399,1)*H399</f>
        <v>-117346.82799074898</v>
      </c>
      <c r="U399" s="160">
        <f t="shared" si="472"/>
        <v>101767.52383275384</v>
      </c>
      <c r="V399" s="159">
        <f>_xll.xSPRDOPT($L399,$J399,$I399,$M399,$O399,$N399,$P399,$Q399-$C$3,$R399,2)*H399</f>
        <v>164371.13384441315</v>
      </c>
      <c r="W399" s="159">
        <f t="shared" si="473"/>
        <v>47024.305853664177</v>
      </c>
      <c r="X399" s="51" t="str">
        <f t="shared" si="459"/>
        <v>36892IF-TRANSCO/Z6</v>
      </c>
      <c r="Y399" s="418">
        <f t="shared" si="460"/>
        <v>93</v>
      </c>
      <c r="Z399" s="456">
        <f t="shared" si="461"/>
        <v>-0.12617938493628922</v>
      </c>
      <c r="AA399" s="456">
        <f>_xll.xSPRDOPT($L399,$J399,$I399,$M399,$O399,$N399,$P399,$Q399-$C$3,$R399,3)</f>
        <v>0.13157412676368174</v>
      </c>
      <c r="AB399" s="456">
        <f>((_xll.xSPRDOPT($L399+AB$5,$J399,$I399,$M399,$O399,$N399,$P399,$Q399-$C$3,$R399,3)*$H399)/10000)/100</f>
        <v>0.12236393789022401</v>
      </c>
      <c r="AC399" s="456">
        <f>((_xll.xSPRDOPT($L399+$AB$5,$J399,$I399,$M399,$O399,$N399,$P399,$Q399-$C$3,$R399,7)*$H399)/100)</f>
        <v>-7002.2316699879484</v>
      </c>
      <c r="AD399" s="456">
        <f>(_xll.xSPRDOPT($L399+$AB$5,$J399,$I399,$M399,$O399,$N399,$P399,$Q399-$C$3,$R399,9)/365)*$H399</f>
        <v>-1221.387066843437</v>
      </c>
      <c r="AE399">
        <f t="shared" si="462"/>
        <v>0</v>
      </c>
      <c r="AF399" s="456">
        <f t="shared" si="463"/>
        <v>4958.4078472498995</v>
      </c>
      <c r="AG399" s="456">
        <f>((_xll.xSPRDOPT($L399,$J399,$I399,$M399,$O399,$N399,$P399,$Q399-$C$3,$R399,6)*$H399)/100)</f>
        <v>-950.84507868833157</v>
      </c>
      <c r="AH399" s="456">
        <f>((_xll.xSPRDOPT($L399,$J399,$I399,$M399,$O399,$N399,$P399,$Q399-$C$3,$R399,5)*$H399)/100)</f>
        <v>5136.6350864836641</v>
      </c>
      <c r="AI399" s="456">
        <f>(((_xll.xSPRDOPT($L399,$J399,$I399,$M399,$O399,$N399,$P399,$Q399-$C$3,$R399,4)*$H399)/10000)/100)-AB399</f>
        <v>6.9528592801593875E-2</v>
      </c>
      <c r="AJ399" s="456"/>
      <c r="AK399" s="456"/>
      <c r="AL399" s="456"/>
      <c r="AM399" s="472"/>
      <c r="CC399" s="141">
        <f t="shared" si="439"/>
        <v>36892</v>
      </c>
      <c r="CD399" s="234">
        <f>_xll.xSPRDOPT((VLOOKUP(G399,NGPrices,2,FALSE)+HLOOKUP(D399,Prices,VLOOKUP(G399,move_down,2,FALSE),FALSE)),VLOOKUP(G399,NGPrices,2,FALSE),I399,VLOOKUP(G399,NGPREVPRICES,4,FALSE),HLOOKUP(D399,PREVVOLS,VLOOKUP(G399,MOVE_DOWN2,2,FALSE),FALSE),VLOOKUP(G399,NGPREVPRICES,3,FALSE),HLOOKUP(D399,Correllate,VLOOKUP(G399,CorMove,2,FALSE),FALSE),Q399-$CD$3,R399,$CD$5)*H399-CJ399</f>
        <v>0</v>
      </c>
      <c r="CE399" s="234">
        <f>_xll.xSPRDOPT((VLOOKUP(G399,NGPREVPRICES,2,FALSE)+HLOOKUP(D399,PREVCURVES,VLOOKUP(G399,MOVE_DOWN2,2,FALSE),FALSE)),VLOOKUP(G399,NGPREVPRICES,2,FALSE),CK399,VLOOKUP(G399,NGPrices,4,FALSE),HLOOKUP(D399,PREVVOLS,VLOOKUP(G399,MOVE_DOWN2,2,FALSE),FALSE),VLOOKUP(G399,NGPREVPRICES,3,FALSE),HLOOKUP(D399,Correllate,VLOOKUP(G399,CorMove,2,FALSE),FALSE),Q399-$CD$3,R399,$CJ$5)*H399-CJ399</f>
        <v>0</v>
      </c>
      <c r="CF399" s="10">
        <f t="shared" si="440"/>
        <v>-19.407161880066269</v>
      </c>
      <c r="CG399" s="234">
        <f>_xll.xSPRDOPT((VLOOKUP(G399,NGPREVPRICES,2,FALSE)+HLOOKUP(D399,PREVCURVES,VLOOKUP(G399,MOVE_DOWN2,2,FALSE),FALSE)),VLOOKUP(G399,NGPREVPRICES,2,FALSE),CK399,VLOOKUP(G399,NGPREVPRICES,4,FALSE),HLOOKUP(D399,VOLS,VLOOKUP(G399,move_down,2,FALSE),FALSE),VLOOKUP(G399,NGPrices,3,FALSE),HLOOKUP(D399,Correllate,VLOOKUP(G399,CorMove,2,FALSE),FALSE),Q399-$CD$3,R399,$CJ$5)*H399-CJ399</f>
        <v>0</v>
      </c>
      <c r="CH399" s="234">
        <f>_xll.xSPRDOPT((VLOOKUP(G399,NGPREVPRICES,2,FALSE)+HLOOKUP(D399,PREVCURVES,VLOOKUP(G399,MOVE_DOWN2,2,FALSE),FALSE)),VLOOKUP(G399,NGPREVPRICES,2,FALSE),CK399,VLOOKUP(G399,NGPREVPRICES,4,FALSE),HLOOKUP(D399,PREVVOLS,VLOOKUP(G399,MOVE_DOWN2,2,FALSE),FALSE),VLOOKUP(G399,NGPREVPRICES,3,FALSE),HLOOKUP(D399,Correllate,VLOOKUP(G399,CorMove,2,FALSE),FALSE),Q399-$C$3,R399,$CJ$5)*H399-CJ399</f>
        <v>-1220.387355396364</v>
      </c>
      <c r="CI399" s="234">
        <f t="shared" si="441"/>
        <v>-1239.7945172764303</v>
      </c>
      <c r="CJ399" s="234">
        <f>_xll.xSPRDOPT((VLOOKUP(G399,NGPREVPRICES,2,FALSE)+HLOOKUP(D399,PREVCURVES,VLOOKUP(G399,MOVE_DOWN2,2,FALSE),FALSE)),VLOOKUP(G399,NGPREVPRICES,2,FALSE),CK399,VLOOKUP(G399,NGPREVPRICES,4,FALSE),HLOOKUP(D399,PREVVOLS,VLOOKUP(G399,MOVE_DOWN2,2,FALSE),FALSE),VLOOKUP(G399,NGPREVPRICES,3,FALSE),HLOOKUP(D399,Correllate,VLOOKUP(G399,CorMove,2,FALSE),FALSE),Q399-$CD$3,R399,$CJ$5)*H399</f>
        <v>102987.9111881502</v>
      </c>
      <c r="CK399" s="235">
        <f t="shared" si="442"/>
        <v>0.75</v>
      </c>
      <c r="CM399" t="str">
        <f t="shared" si="443"/>
        <v>36892Curve Shift/Gamma</v>
      </c>
      <c r="CN399" t="str">
        <f t="shared" si="435"/>
        <v>36892Rho</v>
      </c>
      <c r="CO399" t="str">
        <f t="shared" si="436"/>
        <v>36892Drift</v>
      </c>
      <c r="CP399" t="str">
        <f t="shared" si="437"/>
        <v>36892Vega</v>
      </c>
      <c r="CQ399" t="str">
        <f t="shared" si="438"/>
        <v>36892Theta</v>
      </c>
    </row>
    <row r="400" spans="1:95" x14ac:dyDescent="0.25">
      <c r="A400" s="382" t="s">
        <v>284</v>
      </c>
      <c r="B400" t="s">
        <v>250</v>
      </c>
      <c r="C400" t="s">
        <v>469</v>
      </c>
      <c r="D400" s="4" t="s">
        <v>7</v>
      </c>
      <c r="E400" t="s">
        <v>20</v>
      </c>
      <c r="F400" t="s">
        <v>1</v>
      </c>
      <c r="G400" s="5">
        <v>36861</v>
      </c>
      <c r="H400" s="130">
        <v>930000</v>
      </c>
      <c r="I400">
        <v>0.75</v>
      </c>
      <c r="J400" s="53">
        <f t="shared" si="464"/>
        <v>4.8</v>
      </c>
      <c r="K400" s="7">
        <f t="shared" si="465"/>
        <v>1.645</v>
      </c>
      <c r="L400" s="53">
        <f t="shared" si="466"/>
        <v>6.4450000000000003</v>
      </c>
      <c r="M400" s="157">
        <f t="shared" si="467"/>
        <v>6.8314027999354002E-2</v>
      </c>
      <c r="N400" s="4">
        <f t="shared" si="468"/>
        <v>0.6</v>
      </c>
      <c r="O400" s="4">
        <f t="shared" si="469"/>
        <v>0.69</v>
      </c>
      <c r="P400" s="9">
        <f t="shared" si="470"/>
        <v>0.83</v>
      </c>
      <c r="Q400" s="5">
        <f t="shared" si="458"/>
        <v>36859</v>
      </c>
      <c r="R400" s="4">
        <f t="shared" si="471"/>
        <v>0</v>
      </c>
      <c r="S400" s="158">
        <f>_xll.xSPRDOPT($L400,$J400,$I400,$M400,$O400,$N400,$P400,$Q400-$C$3,$R400,0)</f>
        <v>0.14609680639816691</v>
      </c>
      <c r="T400" s="159">
        <f>_xll.xSPRDOPT($L400,$J400,$I400,$M400,$O400,$N400,$P400,$Q400-$C$3,$R400,1)*H400</f>
        <v>-177153.68100993941</v>
      </c>
      <c r="U400" s="160">
        <f t="shared" si="472"/>
        <v>135870.02995029523</v>
      </c>
      <c r="V400" s="159">
        <f>_xll.xSPRDOPT($L400,$J400,$I400,$M400,$O400,$N400,$P400,$Q400-$C$3,$R400,2)*H400</f>
        <v>228415.82093498157</v>
      </c>
      <c r="W400" s="159">
        <f t="shared" si="473"/>
        <v>51262.139925042167</v>
      </c>
      <c r="X400" s="51" t="str">
        <f t="shared" si="459"/>
        <v>36861IF-TRANSCO/Z6</v>
      </c>
      <c r="Y400" s="418">
        <f t="shared" si="460"/>
        <v>93</v>
      </c>
      <c r="Z400" s="456">
        <f t="shared" si="461"/>
        <v>-0.19048782904294559</v>
      </c>
      <c r="AA400" s="456">
        <f>_xll.xSPRDOPT($L400,$J400,$I400,$M400,$O400,$N400,$P400,$Q400-$C$3,$R400,3)</f>
        <v>0.21448030125474993</v>
      </c>
      <c r="AB400" s="456">
        <f>((_xll.xSPRDOPT($L400+AB$5,$J400,$I400,$M400,$O400,$N400,$P400,$Q400-$C$3,$R400,3)*$H400)/10000)/100</f>
        <v>0.19946668016691746</v>
      </c>
      <c r="AC400" s="456">
        <f>((_xll.xSPRDOPT($L400+$AB$5,$J400,$I400,$M400,$O400,$N400,$P400,$Q400-$C$3,$R400,7)*$H400)/100)</f>
        <v>-7445.2988064251504</v>
      </c>
      <c r="AD400" s="456">
        <f>(_xll.xSPRDOPT($L400+$AB$5,$J400,$I400,$M400,$O400,$N400,$P400,$Q400-$C$3,$R400,9)/365)*$H400</f>
        <v>-1696.2034385134207</v>
      </c>
      <c r="AE400">
        <f t="shared" si="462"/>
        <v>0</v>
      </c>
      <c r="AF400" s="456">
        <f t="shared" si="463"/>
        <v>5276.0611141028394</v>
      </c>
      <c r="AG400" s="456">
        <f>((_xll.xSPRDOPT($L400,$J400,$I400,$M400,$O400,$N400,$P400,$Q400-$C$3,$R400,6)*$H400)/100)</f>
        <v>-984.69253537545217</v>
      </c>
      <c r="AH400" s="456">
        <f>((_xll.xSPRDOPT($L400,$J400,$I400,$M400,$O400,$N400,$P400,$Q400-$C$3,$R400,5)*$H400)/100)</f>
        <v>5444.133608241993</v>
      </c>
      <c r="AI400" s="456">
        <f>(((_xll.xSPRDOPT($L400,$J400,$I400,$M400,$O400,$N400,$P400,$Q400-$C$3,$R400,4)*$H400)/10000)/100)-AB400</f>
        <v>6.8038772976131895E-2</v>
      </c>
      <c r="AJ400" s="456"/>
      <c r="AK400" s="456"/>
      <c r="AL400" s="456"/>
      <c r="AM400" s="472"/>
      <c r="CC400" s="141">
        <f t="shared" si="439"/>
        <v>36861</v>
      </c>
      <c r="CD400" s="234">
        <f>_xll.xSPRDOPT((VLOOKUP(G400,NGPrices,2,FALSE)+HLOOKUP(D400,Prices,VLOOKUP(G400,move_down,2,FALSE),FALSE)),VLOOKUP(G400,NGPrices,2,FALSE),I400,VLOOKUP(G400,NGPREVPRICES,4,FALSE),HLOOKUP(D400,PREVVOLS,VLOOKUP(G400,MOVE_DOWN2,2,FALSE),FALSE),VLOOKUP(G400,NGPREVPRICES,3,FALSE),HLOOKUP(D400,Correllate,VLOOKUP(G400,CorMove,2,FALSE),FALSE),Q400-$CD$3,R400,$CD$5)*H400-CJ400</f>
        <v>0</v>
      </c>
      <c r="CE400" s="234">
        <f>_xll.xSPRDOPT((VLOOKUP(G400,NGPREVPRICES,2,FALSE)+HLOOKUP(D400,PREVCURVES,VLOOKUP(G400,MOVE_DOWN2,2,FALSE),FALSE)),VLOOKUP(G400,NGPREVPRICES,2,FALSE),CK400,VLOOKUP(G400,NGPrices,4,FALSE),HLOOKUP(D400,PREVVOLS,VLOOKUP(G400,MOVE_DOWN2,2,FALSE),FALSE),VLOOKUP(G400,NGPREVPRICES,3,FALSE),HLOOKUP(D400,Correllate,VLOOKUP(G400,CorMove,2,FALSE),FALSE),Q400-$CD$3,R400,$CJ$5)*H400-CJ400</f>
        <v>0</v>
      </c>
      <c r="CF400" s="10">
        <f t="shared" si="440"/>
        <v>-25.770730196119985</v>
      </c>
      <c r="CG400" s="234">
        <f>_xll.xSPRDOPT((VLOOKUP(G400,NGPREVPRICES,2,FALSE)+HLOOKUP(D400,PREVCURVES,VLOOKUP(G400,MOVE_DOWN2,2,FALSE),FALSE)),VLOOKUP(G400,NGPREVPRICES,2,FALSE),CK400,VLOOKUP(G400,NGPREVPRICES,4,FALSE),HLOOKUP(D400,VOLS,VLOOKUP(G400,move_down,2,FALSE),FALSE),VLOOKUP(G400,NGPrices,3,FALSE),HLOOKUP(D400,Correllate,VLOOKUP(G400,CorMove,2,FALSE),FALSE),Q400-$CD$3,R400,$CJ$5)*H400-CJ400</f>
        <v>0</v>
      </c>
      <c r="CH400" s="234">
        <f>_xll.xSPRDOPT((VLOOKUP(G400,NGPREVPRICES,2,FALSE)+HLOOKUP(D400,PREVCURVES,VLOOKUP(G400,MOVE_DOWN2,2,FALSE),FALSE)),VLOOKUP(G400,NGPREVPRICES,2,FALSE),CK400,VLOOKUP(G400,NGPREVPRICES,4,FALSE),HLOOKUP(D400,PREVVOLS,VLOOKUP(G400,MOVE_DOWN2,2,FALSE),FALSE),VLOOKUP(G400,NGPREVPRICES,3,FALSE),HLOOKUP(D400,Correllate,VLOOKUP(G400,CorMove,2,FALSE),FALSE),Q400-$C$3,R400,$CJ$5)*H400-CJ400</f>
        <v>-1692.7662589886168</v>
      </c>
      <c r="CI400" s="234">
        <f t="shared" si="441"/>
        <v>-1718.5369891847367</v>
      </c>
      <c r="CJ400" s="234">
        <f>_xll.xSPRDOPT((VLOOKUP(G400,NGPREVPRICES,2,FALSE)+HLOOKUP(D400,PREVCURVES,VLOOKUP(G400,MOVE_DOWN2,2,FALSE),FALSE)),VLOOKUP(G400,NGPREVPRICES,2,FALSE),CK400,VLOOKUP(G400,NGPREVPRICES,4,FALSE),HLOOKUP(D400,PREVVOLS,VLOOKUP(G400,MOVE_DOWN2,2,FALSE),FALSE),VLOOKUP(G400,NGPREVPRICES,3,FALSE),HLOOKUP(D400,Correllate,VLOOKUP(G400,CorMove,2,FALSE),FALSE),Q400-$CD$3,R400,$CJ$5)*H400</f>
        <v>137562.79620928384</v>
      </c>
      <c r="CK400" s="235">
        <f t="shared" si="442"/>
        <v>0.75</v>
      </c>
      <c r="CM400" t="str">
        <f t="shared" si="443"/>
        <v>36861Curve Shift/Gamma</v>
      </c>
      <c r="CN400" t="str">
        <f t="shared" si="435"/>
        <v>36861Rho</v>
      </c>
      <c r="CO400" t="str">
        <f t="shared" si="436"/>
        <v>36861Drift</v>
      </c>
      <c r="CP400" t="str">
        <f t="shared" si="437"/>
        <v>36861Vega</v>
      </c>
      <c r="CQ400" t="str">
        <f t="shared" si="438"/>
        <v>36861Theta</v>
      </c>
    </row>
    <row r="401" spans="1:95" x14ac:dyDescent="0.25">
      <c r="A401" s="382" t="s">
        <v>279</v>
      </c>
      <c r="B401" t="s">
        <v>250</v>
      </c>
      <c r="C401" t="s">
        <v>470</v>
      </c>
      <c r="D401" s="4" t="s">
        <v>7</v>
      </c>
      <c r="E401" t="s">
        <v>20</v>
      </c>
      <c r="F401" t="s">
        <v>21</v>
      </c>
      <c r="G401" s="5">
        <v>36951</v>
      </c>
      <c r="H401" s="130">
        <v>-500000</v>
      </c>
      <c r="I401">
        <v>1.6</v>
      </c>
      <c r="J401" s="53">
        <f t="shared" si="464"/>
        <v>4.2130000000000001</v>
      </c>
      <c r="K401" s="7">
        <f t="shared" si="465"/>
        <v>1.075</v>
      </c>
      <c r="L401" s="53">
        <f t="shared" si="466"/>
        <v>5.2880000000000003</v>
      </c>
      <c r="M401" s="157">
        <f t="shared" si="467"/>
        <v>6.8879814952706994E-2</v>
      </c>
      <c r="N401" s="4">
        <f t="shared" si="468"/>
        <v>0.53249999999999997</v>
      </c>
      <c r="O401" s="4">
        <f t="shared" si="469"/>
        <v>0.61199999999999999</v>
      </c>
      <c r="P401" s="9">
        <f t="shared" si="470"/>
        <v>0.83</v>
      </c>
      <c r="Q401" s="5">
        <f t="shared" si="458"/>
        <v>36949</v>
      </c>
      <c r="R401" s="4">
        <f t="shared" si="471"/>
        <v>1</v>
      </c>
      <c r="S401" s="158">
        <f>_xll.xSPRDOPT($L401,$J401,$I401,$M401,$O401,$N401,$P401,$Q401-$C$3,$R401,0)</f>
        <v>0.32865712182356605</v>
      </c>
      <c r="T401" s="159">
        <f>_xll.xSPRDOPT($L401,$J401,$I401,$M401,$O401,$N401,$P401,$Q401-$C$3,$R401,1)*H401</f>
        <v>-196390.40631295045</v>
      </c>
      <c r="U401" s="160">
        <f t="shared" si="472"/>
        <v>-164328.56091178302</v>
      </c>
      <c r="V401" s="159">
        <f>_xll.xSPRDOPT($L401,$J401,$I401,$M401,$O401,$N401,$P401,$Q401-$C$3,$R401,2)*H401</f>
        <v>156022.52794599545</v>
      </c>
      <c r="W401" s="159">
        <f t="shared" si="473"/>
        <v>-40367.878366955003</v>
      </c>
      <c r="X401" s="51" t="str">
        <f t="shared" si="459"/>
        <v>36951IF-TRANSCO/Z6</v>
      </c>
      <c r="Y401" s="418">
        <f t="shared" si="460"/>
        <v>-50</v>
      </c>
      <c r="Z401" s="456">
        <f t="shared" si="461"/>
        <v>0.39278081262590092</v>
      </c>
      <c r="AA401" s="456">
        <f>_xll.xSPRDOPT($L401,$J401,$I401,$M401,$O401,$N401,$P401,$Q401-$C$3,$R401,3)</f>
        <v>0.27838187776051626</v>
      </c>
      <c r="AB401" s="456">
        <f>((_xll.xSPRDOPT($L401+AB$5,$J401,$I401,$M401,$O401,$N401,$P401,$Q401-$C$3,$R401,3)*$H401)/10000)/100</f>
        <v>-0.13919093888025813</v>
      </c>
      <c r="AC401" s="456">
        <f>((_xll.xSPRDOPT($L401+$AB$5,$J401,$I401,$M401,$O401,$N401,$P401,$Q401-$C$3,$R401,7)*$H401)/100)</f>
        <v>4672.8043226816735</v>
      </c>
      <c r="AD401" s="456">
        <f>(_xll.xSPRDOPT($L401+$AB$5,$J401,$I401,$M401,$O401,$N401,$P401,$Q401-$C$3,$R401,9)/365)*$H401</f>
        <v>666.47489308900913</v>
      </c>
      <c r="AE401">
        <f t="shared" si="462"/>
        <v>0</v>
      </c>
      <c r="AF401" s="456">
        <f t="shared" si="463"/>
        <v>-4764.5257485153224</v>
      </c>
      <c r="AG401" s="456">
        <f>((_xll.xSPRDOPT($L401,$J401,$I401,$M401,$O401,$N401,$P401,$Q401-$C$3,$R401,6)*$H401)/100)</f>
        <v>1593.4217697894862</v>
      </c>
      <c r="AH401" s="456">
        <f>((_xll.xSPRDOPT($L401,$J401,$I401,$M401,$O401,$N401,$P401,$Q401-$C$3,$R401,5)*$H401)/100)</f>
        <v>-5532.0376691132524</v>
      </c>
      <c r="AI401" s="456">
        <f>(((_xll.xSPRDOPT($L401,$J401,$I401,$M401,$O401,$N401,$P401,$Q401-$C$3,$R401,4)*$H401)/10000)/100)-AB401</f>
        <v>1.8373882565995384E-2</v>
      </c>
      <c r="AJ401" s="456"/>
      <c r="AK401" s="456"/>
      <c r="AL401" s="456"/>
      <c r="AM401" s="472"/>
      <c r="CC401" s="141">
        <f t="shared" si="439"/>
        <v>36951</v>
      </c>
      <c r="CD401" s="234">
        <f>_xll.xSPRDOPT((VLOOKUP(G401,NGPrices,2,FALSE)+HLOOKUP(D401,Prices,VLOOKUP(G401,move_down,2,FALSE),FALSE)),VLOOKUP(G401,NGPrices,2,FALSE),I401,VLOOKUP(G401,NGPREVPRICES,4,FALSE),HLOOKUP(D401,PREVVOLS,VLOOKUP(G401,MOVE_DOWN2,2,FALSE),FALSE),VLOOKUP(G401,NGPREVPRICES,3,FALSE),HLOOKUP(D401,Correllate,VLOOKUP(G401,CorMove,2,FALSE),FALSE),Q401-$CD$3,R401,$CD$5)*H401-CJ401</f>
        <v>0</v>
      </c>
      <c r="CE401" s="234">
        <f>_xll.xSPRDOPT((VLOOKUP(G401,NGPREVPRICES,2,FALSE)+HLOOKUP(D401,PREVCURVES,VLOOKUP(G401,MOVE_DOWN2,2,FALSE),FALSE)),VLOOKUP(G401,NGPREVPRICES,2,FALSE),CK401,VLOOKUP(G401,NGPrices,4,FALSE),HLOOKUP(D401,PREVVOLS,VLOOKUP(G401,MOVE_DOWN2,2,FALSE),FALSE),VLOOKUP(G401,NGPREVPRICES,3,FALSE),HLOOKUP(D401,Correllate,VLOOKUP(G401,CorMove,2,FALSE),FALSE),Q401-$CD$3,R401,$CJ$5)*H401-CJ401</f>
        <v>0</v>
      </c>
      <c r="CF401" s="10">
        <f t="shared" si="440"/>
        <v>31.643310363811906</v>
      </c>
      <c r="CG401" s="234">
        <f>_xll.xSPRDOPT((VLOOKUP(G401,NGPREVPRICES,2,FALSE)+HLOOKUP(D401,PREVCURVES,VLOOKUP(G401,MOVE_DOWN2,2,FALSE),FALSE)),VLOOKUP(G401,NGPREVPRICES,2,FALSE),CK401,VLOOKUP(G401,NGPREVPRICES,4,FALSE),HLOOKUP(D401,VOLS,VLOOKUP(G401,move_down,2,FALSE),FALSE),VLOOKUP(G401,NGPrices,3,FALSE),HLOOKUP(D401,Correllate,VLOOKUP(G401,CorMove,2,FALSE),FALSE),Q401-$CD$3,R401,$CJ$5)*H401-CJ401</f>
        <v>0</v>
      </c>
      <c r="CH401" s="234">
        <f>_xll.xSPRDOPT((VLOOKUP(G401,NGPREVPRICES,2,FALSE)+HLOOKUP(D401,PREVCURVES,VLOOKUP(G401,MOVE_DOWN2,2,FALSE),FALSE)),VLOOKUP(G401,NGPREVPRICES,2,FALSE),CK401,VLOOKUP(G401,NGPREVPRICES,4,FALSE),HLOOKUP(D401,PREVVOLS,VLOOKUP(G401,MOVE_DOWN2,2,FALSE),FALSE),VLOOKUP(G401,NGPREVPRICES,3,FALSE),HLOOKUP(D401,Correllate,VLOOKUP(G401,CorMove,2,FALSE),FALSE),Q401-$C$3,R401,$CJ$5)*H401-CJ401</f>
        <v>665.05770476773614</v>
      </c>
      <c r="CI401" s="234">
        <f t="shared" si="441"/>
        <v>696.70101513154805</v>
      </c>
      <c r="CJ401" s="234">
        <f>_xll.xSPRDOPT((VLOOKUP(G401,NGPREVPRICES,2,FALSE)+HLOOKUP(D401,PREVCURVES,VLOOKUP(G401,MOVE_DOWN2,2,FALSE),FALSE)),VLOOKUP(G401,NGPREVPRICES,2,FALSE),CK401,VLOOKUP(G401,NGPREVPRICES,4,FALSE),HLOOKUP(D401,PREVVOLS,VLOOKUP(G401,MOVE_DOWN2,2,FALSE),FALSE),VLOOKUP(G401,NGPREVPRICES,3,FALSE),HLOOKUP(D401,Correllate,VLOOKUP(G401,CorMove,2,FALSE),FALSE),Q401-$CD$3,R401,$CJ$5)*H401</f>
        <v>-164993.61861655075</v>
      </c>
      <c r="CK401" s="235">
        <f t="shared" si="442"/>
        <v>1.6</v>
      </c>
      <c r="CM401" t="str">
        <f t="shared" si="443"/>
        <v>36951Curve Shift/Gamma</v>
      </c>
      <c r="CN401" t="str">
        <f t="shared" si="435"/>
        <v>36951Rho</v>
      </c>
      <c r="CO401" t="str">
        <f t="shared" si="436"/>
        <v>36951Drift</v>
      </c>
      <c r="CP401" t="str">
        <f t="shared" si="437"/>
        <v>36951Vega</v>
      </c>
      <c r="CQ401" t="str">
        <f t="shared" si="438"/>
        <v>36951Theta</v>
      </c>
    </row>
    <row r="402" spans="1:95" x14ac:dyDescent="0.25">
      <c r="A402" s="382" t="s">
        <v>279</v>
      </c>
      <c r="B402" t="s">
        <v>250</v>
      </c>
      <c r="C402" t="s">
        <v>470</v>
      </c>
      <c r="D402" s="4" t="s">
        <v>7</v>
      </c>
      <c r="E402" t="s">
        <v>20</v>
      </c>
      <c r="F402" t="s">
        <v>21</v>
      </c>
      <c r="G402" s="5">
        <v>36923</v>
      </c>
      <c r="H402" s="130">
        <v>-500000</v>
      </c>
      <c r="I402">
        <v>1.6</v>
      </c>
      <c r="J402" s="53">
        <f t="shared" si="464"/>
        <v>4.4800000000000004</v>
      </c>
      <c r="K402" s="7">
        <f t="shared" si="465"/>
        <v>2.09</v>
      </c>
      <c r="L402" s="53">
        <f t="shared" si="466"/>
        <v>6.57</v>
      </c>
      <c r="M402" s="157">
        <f t="shared" si="467"/>
        <v>6.8640161611372E-2</v>
      </c>
      <c r="N402" s="4">
        <f t="shared" si="468"/>
        <v>0.59250000000000003</v>
      </c>
      <c r="O402" s="4">
        <f t="shared" si="469"/>
        <v>0.68100000000000005</v>
      </c>
      <c r="P402" s="9">
        <f t="shared" si="470"/>
        <v>0.83</v>
      </c>
      <c r="Q402" s="5">
        <f t="shared" si="458"/>
        <v>36921</v>
      </c>
      <c r="R402" s="4">
        <f t="shared" si="471"/>
        <v>1</v>
      </c>
      <c r="S402" s="158">
        <f>_xll.xSPRDOPT($L402,$J402,$I402,$M402,$O402,$N402,$P402,$Q402-$C$3,$R402,0)</f>
        <v>0.90434668378695238</v>
      </c>
      <c r="T402" s="159">
        <f>_xll.xSPRDOPT($L402,$J402,$I402,$M402,$O402,$N402,$P402,$Q402-$C$3,$R402,1)*H402</f>
        <v>-324304.27091843303</v>
      </c>
      <c r="U402" s="160">
        <f t="shared" si="472"/>
        <v>-452173.3418934762</v>
      </c>
      <c r="V402" s="159">
        <f>_xll.xSPRDOPT($L402,$J402,$I402,$M402,$O402,$N402,$P402,$Q402-$C$3,$R402,2)*H402</f>
        <v>282459.90666030475</v>
      </c>
      <c r="W402" s="159">
        <f t="shared" si="473"/>
        <v>-41844.364258128277</v>
      </c>
      <c r="X402" s="51" t="str">
        <f t="shared" si="459"/>
        <v>36923IF-TRANSCO/Z6</v>
      </c>
      <c r="Y402" s="418">
        <f t="shared" si="460"/>
        <v>-50</v>
      </c>
      <c r="Z402" s="456">
        <f t="shared" si="461"/>
        <v>0.64860854183686611</v>
      </c>
      <c r="AA402" s="456">
        <f>_xll.xSPRDOPT($L402,$J402,$I402,$M402,$O402,$N402,$P402,$Q402-$C$3,$R402,3)</f>
        <v>0.20562130469864384</v>
      </c>
      <c r="AB402" s="456">
        <f>((_xll.xSPRDOPT($L402+AB$5,$J402,$I402,$M402,$O402,$N402,$P402,$Q402-$C$3,$R402,3)*$H402)/10000)/100</f>
        <v>-0.10281065234932191</v>
      </c>
      <c r="AC402" s="456">
        <f>((_xll.xSPRDOPT($L402+$AB$5,$J402,$I402,$M402,$O402,$N402,$P402,$Q402-$C$3,$R402,7)*$H402)/100)</f>
        <v>5554.6647006338935</v>
      </c>
      <c r="AD402" s="456">
        <f>(_xll.xSPRDOPT($L402+$AB$5,$J402,$I402,$M402,$O402,$N402,$P402,$Q402-$C$3,$R402,9)/365)*$H402</f>
        <v>904.17825356218725</v>
      </c>
      <c r="AE402">
        <f t="shared" si="462"/>
        <v>0</v>
      </c>
      <c r="AF402" s="456">
        <f t="shared" si="463"/>
        <v>-5138.712227410897</v>
      </c>
      <c r="AG402" s="456">
        <f>((_xll.xSPRDOPT($L402,$J402,$I402,$M402,$O402,$N402,$P402,$Q402-$C$3,$R402,6)*$H402)/100)</f>
        <v>1725.6111133841791</v>
      </c>
      <c r="AH402" s="456">
        <f>((_xll.xSPRDOPT($L402,$J402,$I402,$M402,$O402,$N402,$P402,$Q402-$C$3,$R402,5)*$H402)/100)</f>
        <v>-5972.2636995904286</v>
      </c>
      <c r="AI402" s="456">
        <f>(((_xll.xSPRDOPT($L402,$J402,$I402,$M402,$O402,$N402,$P402,$Q402-$C$3,$R402,4)*$H402)/10000)/100)-AB402</f>
        <v>-1.7965238590623586E-2</v>
      </c>
      <c r="AJ402" s="456"/>
      <c r="AK402" s="456"/>
      <c r="AL402" s="456"/>
      <c r="AM402" s="472"/>
      <c r="CC402" s="141">
        <f t="shared" si="439"/>
        <v>36923</v>
      </c>
      <c r="CD402" s="234">
        <f>_xll.xSPRDOPT((VLOOKUP(G402,NGPrices,2,FALSE)+HLOOKUP(D402,Prices,VLOOKUP(G402,move_down,2,FALSE),FALSE)),VLOOKUP(G402,NGPrices,2,FALSE),I402,VLOOKUP(G402,NGPREVPRICES,4,FALSE),HLOOKUP(D402,PREVVOLS,VLOOKUP(G402,MOVE_DOWN2,2,FALSE),FALSE),VLOOKUP(G402,NGPREVPRICES,3,FALSE),HLOOKUP(D402,Correllate,VLOOKUP(G402,CorMove,2,FALSE),FALSE),Q402-$CD$3,R402,$CD$5)*H402-CJ402</f>
        <v>0</v>
      </c>
      <c r="CE402" s="234">
        <f>_xll.xSPRDOPT((VLOOKUP(G402,NGPREVPRICES,2,FALSE)+HLOOKUP(D402,PREVCURVES,VLOOKUP(G402,MOVE_DOWN2,2,FALSE),FALSE)),VLOOKUP(G402,NGPREVPRICES,2,FALSE),CK402,VLOOKUP(G402,NGPrices,4,FALSE),HLOOKUP(D402,PREVVOLS,VLOOKUP(G402,MOVE_DOWN2,2,FALSE),FALSE),VLOOKUP(G402,NGPREVPRICES,3,FALSE),HLOOKUP(D402,Correllate,VLOOKUP(G402,CorMove,2,FALSE),FALSE),Q402-$CD$3,R402,$CJ$5)*H402-CJ402</f>
        <v>0</v>
      </c>
      <c r="CF402" s="10">
        <f t="shared" si="440"/>
        <v>86.169686789158732</v>
      </c>
      <c r="CG402" s="234">
        <f>_xll.xSPRDOPT((VLOOKUP(G402,NGPREVPRICES,2,FALSE)+HLOOKUP(D402,PREVCURVES,VLOOKUP(G402,MOVE_DOWN2,2,FALSE),FALSE)),VLOOKUP(G402,NGPREVPRICES,2,FALSE),CK402,VLOOKUP(G402,NGPREVPRICES,4,FALSE),HLOOKUP(D402,VOLS,VLOOKUP(G402,move_down,2,FALSE),FALSE),VLOOKUP(G402,NGPrices,3,FALSE),HLOOKUP(D402,Correllate,VLOOKUP(G402,CorMove,2,FALSE),FALSE),Q402-$CD$3,R402,$CJ$5)*H402-CJ402</f>
        <v>0</v>
      </c>
      <c r="CH402" s="234">
        <f>_xll.xSPRDOPT((VLOOKUP(G402,NGPREVPRICES,2,FALSE)+HLOOKUP(D402,PREVCURVES,VLOOKUP(G402,MOVE_DOWN2,2,FALSE),FALSE)),VLOOKUP(G402,NGPREVPRICES,2,FALSE),CK402,VLOOKUP(G402,NGPREVPRICES,4,FALSE),HLOOKUP(D402,PREVVOLS,VLOOKUP(G402,MOVE_DOWN2,2,FALSE),FALSE),VLOOKUP(G402,NGPREVPRICES,3,FALSE),HLOOKUP(D402,Correllate,VLOOKUP(G402,CorMove,2,FALSE),FALSE),Q402-$C$3,R402,$CJ$5)*H402-CJ402</f>
        <v>901.90831540949875</v>
      </c>
      <c r="CI402" s="234">
        <f t="shared" si="441"/>
        <v>988.07800219865749</v>
      </c>
      <c r="CJ402" s="234">
        <f>_xll.xSPRDOPT((VLOOKUP(G402,NGPREVPRICES,2,FALSE)+HLOOKUP(D402,PREVCURVES,VLOOKUP(G402,MOVE_DOWN2,2,FALSE),FALSE)),VLOOKUP(G402,NGPREVPRICES,2,FALSE),CK402,VLOOKUP(G402,NGPREVPRICES,4,FALSE),HLOOKUP(D402,PREVVOLS,VLOOKUP(G402,MOVE_DOWN2,2,FALSE),FALSE),VLOOKUP(G402,NGPREVPRICES,3,FALSE),HLOOKUP(D402,Correllate,VLOOKUP(G402,CorMove,2,FALSE),FALSE),Q402-$CD$3,R402,$CJ$5)*H402</f>
        <v>-453075.2502088857</v>
      </c>
      <c r="CK402" s="235">
        <f t="shared" si="442"/>
        <v>1.6</v>
      </c>
      <c r="CM402" t="str">
        <f t="shared" si="443"/>
        <v>36923Curve Shift/Gamma</v>
      </c>
      <c r="CN402" t="str">
        <f t="shared" si="435"/>
        <v>36923Rho</v>
      </c>
      <c r="CO402" t="str">
        <f t="shared" si="436"/>
        <v>36923Drift</v>
      </c>
      <c r="CP402" t="str">
        <f t="shared" si="437"/>
        <v>36923Vega</v>
      </c>
      <c r="CQ402" t="str">
        <f t="shared" si="438"/>
        <v>36923Theta</v>
      </c>
    </row>
    <row r="403" spans="1:95" x14ac:dyDescent="0.25">
      <c r="A403" s="382" t="s">
        <v>279</v>
      </c>
      <c r="B403" t="s">
        <v>250</v>
      </c>
      <c r="C403" t="s">
        <v>470</v>
      </c>
      <c r="D403" s="4" t="s">
        <v>7</v>
      </c>
      <c r="E403" t="s">
        <v>20</v>
      </c>
      <c r="F403" t="s">
        <v>21</v>
      </c>
      <c r="G403" s="5">
        <v>36892</v>
      </c>
      <c r="H403" s="130">
        <v>-500000</v>
      </c>
      <c r="I403">
        <v>1.6</v>
      </c>
      <c r="J403" s="53">
        <f t="shared" si="464"/>
        <v>4.7439999999999998</v>
      </c>
      <c r="K403" s="7">
        <f t="shared" si="465"/>
        <v>2.17</v>
      </c>
      <c r="L403" s="53">
        <f t="shared" si="466"/>
        <v>6.9139999999999997</v>
      </c>
      <c r="M403" s="157">
        <f t="shared" si="467"/>
        <v>6.8374831148490994E-2</v>
      </c>
      <c r="N403" s="4">
        <f t="shared" si="468"/>
        <v>0.60499999999999998</v>
      </c>
      <c r="O403" s="4">
        <f t="shared" si="469"/>
        <v>0.69599999999999995</v>
      </c>
      <c r="P403" s="9">
        <f t="shared" si="470"/>
        <v>0.83</v>
      </c>
      <c r="Q403" s="5">
        <f t="shared" si="458"/>
        <v>36888</v>
      </c>
      <c r="R403" s="4">
        <f t="shared" si="471"/>
        <v>1</v>
      </c>
      <c r="S403" s="158">
        <f>_xll.xSPRDOPT($L403,$J403,$I403,$M403,$O403,$N403,$P403,$Q403-$C$3,$R403,0)</f>
        <v>0.92593922821099572</v>
      </c>
      <c r="T403" s="159">
        <f>_xll.xSPRDOPT($L403,$J403,$I403,$M403,$O403,$N403,$P403,$Q403-$C$3,$R403,1)*H403</f>
        <v>-335938.6494050764</v>
      </c>
      <c r="U403" s="160">
        <f t="shared" si="472"/>
        <v>-462969.61410549784</v>
      </c>
      <c r="V403" s="159">
        <f>_xll.xSPRDOPT($L403,$J403,$I403,$M403,$O403,$N403,$P403,$Q403-$C$3,$R403,2)*H403</f>
        <v>298434.51204525173</v>
      </c>
      <c r="W403" s="159">
        <f t="shared" si="473"/>
        <v>-37504.137359824672</v>
      </c>
      <c r="X403" s="51" t="str">
        <f t="shared" si="459"/>
        <v>36892IF-TRANSCO/Z6</v>
      </c>
      <c r="Y403" s="418">
        <f t="shared" si="460"/>
        <v>-50</v>
      </c>
      <c r="Z403" s="456">
        <f t="shared" si="461"/>
        <v>0.67187729881015279</v>
      </c>
      <c r="AA403" s="456">
        <f>_xll.xSPRDOPT($L403,$J403,$I403,$M403,$O403,$N403,$P403,$Q403-$C$3,$R403,3)</f>
        <v>0.21258143875178478</v>
      </c>
      <c r="AB403" s="456">
        <f>((_xll.xSPRDOPT($L403+AB$5,$J403,$I403,$M403,$O403,$N403,$P403,$Q403-$C$3,$R403,3)*$H403)/10000)/100</f>
        <v>-0.10629071937589239</v>
      </c>
      <c r="AC403" s="456">
        <f>((_xll.xSPRDOPT($L403+$AB$5,$J403,$I403,$M403,$O403,$N403,$P403,$Q403-$C$3,$R403,7)*$H403)/100)</f>
        <v>5279.9366967826572</v>
      </c>
      <c r="AD403" s="456">
        <f>(_xll.xSPRDOPT($L403+$AB$5,$J403,$I403,$M403,$O403,$N403,$P403,$Q403-$C$3,$R403,9)/365)*$H403</f>
        <v>1084.4711419958712</v>
      </c>
      <c r="AE403">
        <f t="shared" si="462"/>
        <v>0</v>
      </c>
      <c r="AF403" s="456">
        <f t="shared" si="463"/>
        <v>-4681.5872442152022</v>
      </c>
      <c r="AG403" s="456">
        <f>((_xll.xSPRDOPT($L403,$J403,$I403,$M403,$O403,$N403,$P403,$Q403-$C$3,$R403,6)*$H403)/100)</f>
        <v>1552.4671085031514</v>
      </c>
      <c r="AH403" s="456">
        <f>((_xll.xSPRDOPT($L403,$J403,$I403,$M403,$O403,$N403,$P403,$Q403-$C$3,$R403,5)*$H403)/100)</f>
        <v>-5418.9696600497191</v>
      </c>
      <c r="AI403" s="456">
        <f>(((_xll.xSPRDOPT($L403,$J403,$I403,$M403,$O403,$N403,$P403,$Q403-$C$3,$R403,4)*$H403)/10000)/100)-AB403</f>
        <v>-1.9878090689224151E-2</v>
      </c>
      <c r="AJ403" s="456"/>
      <c r="AK403" s="456"/>
      <c r="AL403" s="456"/>
      <c r="AM403" s="472"/>
      <c r="CC403" s="141">
        <f t="shared" si="439"/>
        <v>36892</v>
      </c>
      <c r="CD403" s="234">
        <f>_xll.xSPRDOPT((VLOOKUP(G403,NGPrices,2,FALSE)+HLOOKUP(D403,Prices,VLOOKUP(G403,move_down,2,FALSE),FALSE)),VLOOKUP(G403,NGPrices,2,FALSE),I403,VLOOKUP(G403,NGPREVPRICES,4,FALSE),HLOOKUP(D403,PREVVOLS,VLOOKUP(G403,MOVE_DOWN2,2,FALSE),FALSE),VLOOKUP(G403,NGPREVPRICES,3,FALSE),HLOOKUP(D403,Correllate,VLOOKUP(G403,CorMove,2,FALSE),FALSE),Q403-$CD$3,R403,$CD$5)*H403-CJ403</f>
        <v>0</v>
      </c>
      <c r="CE403" s="234">
        <f>_xll.xSPRDOPT((VLOOKUP(G403,NGPREVPRICES,2,FALSE)+HLOOKUP(D403,PREVCURVES,VLOOKUP(G403,MOVE_DOWN2,2,FALSE),FALSE)),VLOOKUP(G403,NGPREVPRICES,2,FALSE),CK403,VLOOKUP(G403,NGPrices,4,FALSE),HLOOKUP(D403,PREVVOLS,VLOOKUP(G403,MOVE_DOWN2,2,FALSE),FALSE),VLOOKUP(G403,NGPREVPRICES,3,FALSE),HLOOKUP(D403,Correllate,VLOOKUP(G403,CorMove,2,FALSE),FALSE),Q403-$CD$3,R403,$CJ$5)*H403-CJ403</f>
        <v>0</v>
      </c>
      <c r="CF403" s="10">
        <f t="shared" si="440"/>
        <v>87.446315992216114</v>
      </c>
      <c r="CG403" s="234">
        <f>_xll.xSPRDOPT((VLOOKUP(G403,NGPREVPRICES,2,FALSE)+HLOOKUP(D403,PREVCURVES,VLOOKUP(G403,MOVE_DOWN2,2,FALSE),FALSE)),VLOOKUP(G403,NGPREVPRICES,2,FALSE),CK403,VLOOKUP(G403,NGPREVPRICES,4,FALSE),HLOOKUP(D403,VOLS,VLOOKUP(G403,move_down,2,FALSE),FALSE),VLOOKUP(G403,NGPrices,3,FALSE),HLOOKUP(D403,Correllate,VLOOKUP(G403,CorMove,2,FALSE),FALSE),Q403-$CD$3,R403,$CJ$5)*H403-CJ403</f>
        <v>0</v>
      </c>
      <c r="CH403" s="234">
        <f>_xll.xSPRDOPT((VLOOKUP(G403,NGPREVPRICES,2,FALSE)+HLOOKUP(D403,PREVCURVES,VLOOKUP(G403,MOVE_DOWN2,2,FALSE),FALSE)),VLOOKUP(G403,NGPREVPRICES,2,FALSE),CK403,VLOOKUP(G403,NGPREVPRICES,4,FALSE),HLOOKUP(D403,PREVVOLS,VLOOKUP(G403,MOVE_DOWN2,2,FALSE),FALSE),VLOOKUP(G403,NGPREVPRICES,3,FALSE),HLOOKUP(D403,Correllate,VLOOKUP(G403,CorMove,2,FALSE),FALSE),Q403-$C$3,R403,$CJ$5)*H403-CJ403</f>
        <v>1081.4141072871862</v>
      </c>
      <c r="CI403" s="234">
        <f t="shared" si="441"/>
        <v>1168.8604232794023</v>
      </c>
      <c r="CJ403" s="234">
        <f>_xll.xSPRDOPT((VLOOKUP(G403,NGPREVPRICES,2,FALSE)+HLOOKUP(D403,PREVCURVES,VLOOKUP(G403,MOVE_DOWN2,2,FALSE),FALSE)),VLOOKUP(G403,NGPREVPRICES,2,FALSE),CK403,VLOOKUP(G403,NGPREVPRICES,4,FALSE),HLOOKUP(D403,PREVVOLS,VLOOKUP(G403,MOVE_DOWN2,2,FALSE),FALSE),VLOOKUP(G403,NGPREVPRICES,3,FALSE),HLOOKUP(D403,Correllate,VLOOKUP(G403,CorMove,2,FALSE),FALSE),Q403-$CD$3,R403,$CJ$5)*H403</f>
        <v>-464051.02821278502</v>
      </c>
      <c r="CK403" s="235">
        <f t="shared" si="442"/>
        <v>1.6</v>
      </c>
      <c r="CM403" t="str">
        <f t="shared" si="443"/>
        <v>36892Curve Shift/Gamma</v>
      </c>
      <c r="CN403" t="str">
        <f t="shared" si="435"/>
        <v>36892Rho</v>
      </c>
      <c r="CO403" t="str">
        <f t="shared" si="436"/>
        <v>36892Drift</v>
      </c>
      <c r="CP403" t="str">
        <f t="shared" si="437"/>
        <v>36892Vega</v>
      </c>
      <c r="CQ403" t="str">
        <f t="shared" si="438"/>
        <v>36892Theta</v>
      </c>
    </row>
    <row r="404" spans="1:95" x14ac:dyDescent="0.25">
      <c r="A404" s="382" t="s">
        <v>279</v>
      </c>
      <c r="B404" t="s">
        <v>250</v>
      </c>
      <c r="C404" t="s">
        <v>470</v>
      </c>
      <c r="D404" s="4" t="s">
        <v>7</v>
      </c>
      <c r="E404" t="s">
        <v>20</v>
      </c>
      <c r="F404" t="s">
        <v>21</v>
      </c>
      <c r="G404" s="5">
        <v>36861</v>
      </c>
      <c r="H404" s="130">
        <v>-500000</v>
      </c>
      <c r="I404">
        <v>1.6</v>
      </c>
      <c r="J404" s="53">
        <f t="shared" si="464"/>
        <v>4.8</v>
      </c>
      <c r="K404" s="7">
        <f t="shared" si="465"/>
        <v>1.645</v>
      </c>
      <c r="L404" s="53">
        <f t="shared" si="466"/>
        <v>6.4450000000000003</v>
      </c>
      <c r="M404" s="157">
        <f t="shared" si="467"/>
        <v>6.8314027999354002E-2</v>
      </c>
      <c r="N404" s="4">
        <f t="shared" si="468"/>
        <v>0.6</v>
      </c>
      <c r="O404" s="4">
        <f t="shared" si="469"/>
        <v>0.69</v>
      </c>
      <c r="P404" s="9">
        <f t="shared" si="470"/>
        <v>0.83</v>
      </c>
      <c r="Q404" s="5">
        <f t="shared" si="458"/>
        <v>36859</v>
      </c>
      <c r="R404" s="4">
        <f t="shared" si="471"/>
        <v>1</v>
      </c>
      <c r="S404" s="158">
        <f>_xll.xSPRDOPT($L404,$J404,$I404,$M404,$O404,$N404,$P404,$Q404-$C$3,$R404,0)</f>
        <v>0.53268342050603656</v>
      </c>
      <c r="T404" s="159">
        <f>_xll.xSPRDOPT($L404,$J404,$I404,$M404,$O404,$N404,$P404,$Q404-$C$3,$R404,1)*H404</f>
        <v>-273085.18779679958</v>
      </c>
      <c r="U404" s="160">
        <f t="shared" si="472"/>
        <v>-266341.7102530183</v>
      </c>
      <c r="V404" s="159">
        <f>_xll.xSPRDOPT($L404,$J404,$I404,$M404,$O404,$N404,$P404,$Q404-$C$3,$R404,2)*H404</f>
        <v>237868.49307894084</v>
      </c>
      <c r="W404" s="159">
        <f t="shared" si="473"/>
        <v>-35216.694717858743</v>
      </c>
      <c r="X404" s="51" t="str">
        <f t="shared" si="459"/>
        <v>36861IF-TRANSCO/Z6</v>
      </c>
      <c r="Y404" s="418">
        <f t="shared" si="460"/>
        <v>-50</v>
      </c>
      <c r="Z404" s="456">
        <f t="shared" si="461"/>
        <v>0.54617037559359916</v>
      </c>
      <c r="AA404" s="456">
        <f>_xll.xSPRDOPT($L404,$J404,$I404,$M404,$O404,$N404,$P404,$Q404-$C$3,$R404,3)</f>
        <v>0.29714880405850658</v>
      </c>
      <c r="AB404" s="456">
        <f>((_xll.xSPRDOPT($L404+AB$5,$J404,$I404,$M404,$O404,$N404,$P404,$Q404-$C$3,$R404,3)*$H404)/10000)/100</f>
        <v>-0.14857440202925329</v>
      </c>
      <c r="AC404" s="456">
        <f>((_xll.xSPRDOPT($L404+$AB$5,$J404,$I404,$M404,$O404,$N404,$P404,$Q404-$C$3,$R404,7)*$H404)/100)</f>
        <v>4844.3605137473232</v>
      </c>
      <c r="AD404" s="456">
        <f>(_xll.xSPRDOPT($L404+$AB$5,$J404,$I404,$M404,$O404,$N404,$P404,$Q404-$C$3,$R404,9)/365)*$H404</f>
        <v>1334.685800503742</v>
      </c>
      <c r="AE404">
        <f t="shared" si="462"/>
        <v>0</v>
      </c>
      <c r="AF404" s="456">
        <f t="shared" si="463"/>
        <v>-4243.0004612647135</v>
      </c>
      <c r="AG404" s="456">
        <f>((_xll.xSPRDOPT($L404,$J404,$I404,$M404,$O404,$N404,$P404,$Q404-$C$3,$R404,6)*$H404)/100)</f>
        <v>1390.4905351003306</v>
      </c>
      <c r="AH404" s="456">
        <f>((_xll.xSPRDOPT($L404,$J404,$I404,$M404,$O404,$N404,$P404,$Q404-$C$3,$R404,5)*$H404)/100)</f>
        <v>-4898.6878229261256</v>
      </c>
      <c r="AI404" s="456">
        <f>(((_xll.xSPRDOPT($L404,$J404,$I404,$M404,$O404,$N404,$P404,$Q404-$C$3,$R404,4)*$H404)/10000)/100)-AB404</f>
        <v>-3.9490858649893767E-3</v>
      </c>
      <c r="AJ404" s="456"/>
      <c r="AK404" s="456"/>
      <c r="AL404" s="456"/>
      <c r="AM404" s="472"/>
      <c r="CC404" s="141">
        <f t="shared" si="439"/>
        <v>36861</v>
      </c>
      <c r="CD404" s="234">
        <f>_xll.xSPRDOPT((VLOOKUP(G404,NGPrices,2,FALSE)+HLOOKUP(D404,Prices,VLOOKUP(G404,move_down,2,FALSE),FALSE)),VLOOKUP(G404,NGPrices,2,FALSE),I404,VLOOKUP(G404,NGPREVPRICES,4,FALSE),HLOOKUP(D404,PREVVOLS,VLOOKUP(G404,MOVE_DOWN2,2,FALSE),FALSE),VLOOKUP(G404,NGPREVPRICES,3,FALSE),HLOOKUP(D404,Correllate,VLOOKUP(G404,CorMove,2,FALSE),FALSE),Q404-$CD$3,R404,$CD$5)*H404-CJ404</f>
        <v>0</v>
      </c>
      <c r="CE404" s="234">
        <f>_xll.xSPRDOPT((VLOOKUP(G404,NGPREVPRICES,2,FALSE)+HLOOKUP(D404,PREVCURVES,VLOOKUP(G404,MOVE_DOWN2,2,FALSE),FALSE)),VLOOKUP(G404,NGPREVPRICES,2,FALSE),CK404,VLOOKUP(G404,NGPrices,4,FALSE),HLOOKUP(D404,PREVVOLS,VLOOKUP(G404,MOVE_DOWN2,2,FALSE),FALSE),VLOOKUP(G404,NGPREVPRICES,3,FALSE),HLOOKUP(D404,Correllate,VLOOKUP(G404,CorMove,2,FALSE),FALSE),Q404-$CD$3,R404,$CJ$5)*H404-CJ404</f>
        <v>0</v>
      </c>
      <c r="CF404" s="10">
        <f t="shared" si="440"/>
        <v>50.145021510426886</v>
      </c>
      <c r="CG404" s="234">
        <f>_xll.xSPRDOPT((VLOOKUP(G404,NGPREVPRICES,2,FALSE)+HLOOKUP(D404,PREVCURVES,VLOOKUP(G404,MOVE_DOWN2,2,FALSE),FALSE)),VLOOKUP(G404,NGPREVPRICES,2,FALSE),CK404,VLOOKUP(G404,NGPREVPRICES,4,FALSE),HLOOKUP(D404,VOLS,VLOOKUP(G404,move_down,2,FALSE),FALSE),VLOOKUP(G404,NGPrices,3,FALSE),HLOOKUP(D404,Correllate,VLOOKUP(G404,CorMove,2,FALSE),FALSE),Q404-$CD$3,R404,$CJ$5)*H404-CJ404</f>
        <v>0</v>
      </c>
      <c r="CH404" s="234">
        <f>_xll.xSPRDOPT((VLOOKUP(G404,NGPREVPRICES,2,FALSE)+HLOOKUP(D404,PREVCURVES,VLOOKUP(G404,MOVE_DOWN2,2,FALSE),FALSE)),VLOOKUP(G404,NGPREVPRICES,2,FALSE),CK404,VLOOKUP(G404,NGPREVPRICES,4,FALSE),HLOOKUP(D404,PREVVOLS,VLOOKUP(G404,MOVE_DOWN2,2,FALSE),FALSE),VLOOKUP(G404,NGPREVPRICES,3,FALSE),HLOOKUP(D404,Correllate,VLOOKUP(G404,CorMove,2,FALSE),FALSE),Q404-$C$3,R404,$CJ$5)*H404-CJ404</f>
        <v>1329.7651941083022</v>
      </c>
      <c r="CI404" s="234">
        <f t="shared" si="441"/>
        <v>1379.9102156187291</v>
      </c>
      <c r="CJ404" s="234">
        <f>_xll.xSPRDOPT((VLOOKUP(G404,NGPREVPRICES,2,FALSE)+HLOOKUP(D404,PREVCURVES,VLOOKUP(G404,MOVE_DOWN2,2,FALSE),FALSE)),VLOOKUP(G404,NGPREVPRICES,2,FALSE),CK404,VLOOKUP(G404,NGPREVPRICES,4,FALSE),HLOOKUP(D404,PREVVOLS,VLOOKUP(G404,MOVE_DOWN2,2,FALSE),FALSE),VLOOKUP(G404,NGPREVPRICES,3,FALSE),HLOOKUP(D404,Correllate,VLOOKUP(G404,CorMove,2,FALSE),FALSE),Q404-$CD$3,R404,$CJ$5)*H404</f>
        <v>-267671.47544712661</v>
      </c>
      <c r="CK404" s="235">
        <f t="shared" si="442"/>
        <v>1.6</v>
      </c>
      <c r="CM404" t="str">
        <f t="shared" si="443"/>
        <v>36861Curve Shift/Gamma</v>
      </c>
      <c r="CN404" t="str">
        <f t="shared" si="435"/>
        <v>36861Rho</v>
      </c>
      <c r="CO404" t="str">
        <f t="shared" si="436"/>
        <v>36861Drift</v>
      </c>
      <c r="CP404" t="str">
        <f t="shared" si="437"/>
        <v>36861Vega</v>
      </c>
      <c r="CQ404" t="str">
        <f t="shared" si="438"/>
        <v>36861Theta</v>
      </c>
    </row>
    <row r="405" spans="1:95" x14ac:dyDescent="0.25">
      <c r="A405" s="382" t="s">
        <v>279</v>
      </c>
      <c r="B405" t="s">
        <v>250</v>
      </c>
      <c r="C405" t="s">
        <v>470</v>
      </c>
      <c r="D405" s="4" t="s">
        <v>7</v>
      </c>
      <c r="E405" t="s">
        <v>20</v>
      </c>
      <c r="F405" t="s">
        <v>21</v>
      </c>
      <c r="G405" s="5">
        <v>36831</v>
      </c>
      <c r="H405" s="130">
        <v>-500000</v>
      </c>
      <c r="I405">
        <v>1.6</v>
      </c>
      <c r="J405" s="53">
        <f t="shared" si="464"/>
        <v>4.7359999999999998</v>
      </c>
      <c r="K405" s="7">
        <f t="shared" si="465"/>
        <v>0.77</v>
      </c>
      <c r="L405" s="53">
        <f t="shared" si="466"/>
        <v>5.5060000000000002</v>
      </c>
      <c r="M405" s="157">
        <f t="shared" si="467"/>
        <v>6.810675983792E-2</v>
      </c>
      <c r="N405" s="4">
        <f t="shared" si="468"/>
        <v>0.59499999999999997</v>
      </c>
      <c r="O405" s="4">
        <f t="shared" si="469"/>
        <v>0.625</v>
      </c>
      <c r="P405" s="9">
        <f t="shared" si="470"/>
        <v>0.89</v>
      </c>
      <c r="Q405" s="5">
        <f t="shared" si="458"/>
        <v>36829</v>
      </c>
      <c r="R405" s="4">
        <f t="shared" si="471"/>
        <v>1</v>
      </c>
      <c r="S405" s="158">
        <f>_xll.xSPRDOPT($L405,$J405,$I405,$M405,$O405,$N405,$P405,$Q405-$C$3,$R405,0)</f>
        <v>4.8303483936106333E-2</v>
      </c>
      <c r="T405" s="159">
        <f>_xll.xSPRDOPT($L405,$J405,$I405,$M405,$O405,$N405,$P405,$Q405-$C$3,$R405,1)*H405</f>
        <v>-72402.183264638632</v>
      </c>
      <c r="U405" s="160">
        <f t="shared" si="472"/>
        <v>-24151.741968053168</v>
      </c>
      <c r="V405" s="159">
        <f>_xll.xSPRDOPT($L405,$J405,$I405,$M405,$O405,$N405,$P405,$Q405-$C$3,$R405,2)*H405</f>
        <v>61101.144293502584</v>
      </c>
      <c r="W405" s="159">
        <f t="shared" si="473"/>
        <v>-11301.038971136048</v>
      </c>
      <c r="X405" s="51" t="str">
        <f t="shared" si="459"/>
        <v>36831IF-TRANSCO/Z6</v>
      </c>
      <c r="Y405" s="418">
        <f t="shared" si="460"/>
        <v>-50</v>
      </c>
      <c r="Z405" s="456">
        <f t="shared" si="461"/>
        <v>0.14480436652927725</v>
      </c>
      <c r="AA405" s="456">
        <f>_xll.xSPRDOPT($L405,$J405,$I405,$M405,$O405,$N405,$P405,$Q405-$C$3,$R405,3)</f>
        <v>0.33065335827695025</v>
      </c>
      <c r="AB405" s="456">
        <f>((_xll.xSPRDOPT($L405+AB$5,$J405,$I405,$M405,$O405,$N405,$P405,$Q405-$C$3,$R405,3)*$H405)/10000)/100</f>
        <v>-0.16532667913847512</v>
      </c>
      <c r="AC405" s="456">
        <f>((_xll.xSPRDOPT($L405+$AB$5,$J405,$I405,$M405,$O405,$N405,$P405,$Q405-$C$3,$R405,7)*$H405)/100)</f>
        <v>2425.4419605565913</v>
      </c>
      <c r="AD405" s="456">
        <f>(_xll.xSPRDOPT($L405+$AB$5,$J405,$I405,$M405,$O405,$N405,$P405,$Q405-$C$3,$R405,9)/365)*$H405</f>
        <v>625.64745835230121</v>
      </c>
      <c r="AE405">
        <f t="shared" si="462"/>
        <v>0</v>
      </c>
      <c r="AF405" s="456">
        <f t="shared" si="463"/>
        <v>-1312.3632933907788</v>
      </c>
      <c r="AG405" s="456">
        <f>((_xll.xSPRDOPT($L405,$J405,$I405,$M405,$O405,$N405,$P405,$Q405-$C$3,$R405,6)*$H405)/100)</f>
        <v>645.12910727896497</v>
      </c>
      <c r="AH405" s="456">
        <f>((_xll.xSPRDOPT($L405,$J405,$I405,$M405,$O405,$N405,$P405,$Q405-$C$3,$R405,5)*$H405)/100)</f>
        <v>-1863.532765437596</v>
      </c>
      <c r="AI405" s="456">
        <f>(((_xll.xSPRDOPT($L405,$J405,$I405,$M405,$O405,$N405,$P405,$Q405-$C$3,$R405,4)*$H405)/10000)/100)-AB405</f>
        <v>3.3655213655945898E-2</v>
      </c>
      <c r="AJ405" s="456"/>
      <c r="AK405" s="456"/>
      <c r="AL405" s="456"/>
      <c r="AM405" s="472"/>
      <c r="CC405" s="141">
        <f t="shared" si="439"/>
        <v>36831</v>
      </c>
      <c r="CD405" s="234">
        <f>_xll.xSPRDOPT((VLOOKUP(G405,NGPrices,2,FALSE)+HLOOKUP(D405,Prices,VLOOKUP(G405,move_down,2,FALSE),FALSE)),VLOOKUP(G405,NGPrices,2,FALSE),I405,VLOOKUP(G405,NGPREVPRICES,4,FALSE),HLOOKUP(D405,PREVVOLS,VLOOKUP(G405,MOVE_DOWN2,2,FALSE),FALSE),VLOOKUP(G405,NGPREVPRICES,3,FALSE),HLOOKUP(D405,Correllate,VLOOKUP(G405,CorMove,2,FALSE),FALSE),Q405-$CD$3,R405,$CD$5)*H405-CJ405</f>
        <v>0</v>
      </c>
      <c r="CE405" s="234">
        <f>_xll.xSPRDOPT((VLOOKUP(G405,NGPREVPRICES,2,FALSE)+HLOOKUP(D405,PREVCURVES,VLOOKUP(G405,MOVE_DOWN2,2,FALSE),FALSE)),VLOOKUP(G405,NGPREVPRICES,2,FALSE),CK405,VLOOKUP(G405,NGPrices,4,FALSE),HLOOKUP(D405,PREVVOLS,VLOOKUP(G405,MOVE_DOWN2,2,FALSE),FALSE),VLOOKUP(G405,NGPREVPRICES,3,FALSE),HLOOKUP(D405,Correllate,VLOOKUP(G405,CorMove,2,FALSE),FALSE),Q405-$CD$3,R405,$CJ$5)*H405-CJ405</f>
        <v>0</v>
      </c>
      <c r="CF405" s="10">
        <f t="shared" si="440"/>
        <v>4.6014413042175875</v>
      </c>
      <c r="CG405" s="234">
        <f>_xll.xSPRDOPT((VLOOKUP(G405,NGPREVPRICES,2,FALSE)+HLOOKUP(D405,PREVCURVES,VLOOKUP(G405,MOVE_DOWN2,2,FALSE),FALSE)),VLOOKUP(G405,NGPREVPRICES,2,FALSE),CK405,VLOOKUP(G405,NGPREVPRICES,4,FALSE),HLOOKUP(D405,VOLS,VLOOKUP(G405,move_down,2,FALSE),FALSE),VLOOKUP(G405,NGPrices,3,FALSE),HLOOKUP(D405,Correllate,VLOOKUP(G405,CorMove,2,FALSE),FALSE),Q405-$CD$3,R405,$CJ$5)*H405-CJ405</f>
        <v>0</v>
      </c>
      <c r="CH405" s="234">
        <f>_xll.xSPRDOPT((VLOOKUP(G405,NGPREVPRICES,2,FALSE)+HLOOKUP(D405,PREVCURVES,VLOOKUP(G405,MOVE_DOWN2,2,FALSE),FALSE)),VLOOKUP(G405,NGPREVPRICES,2,FALSE),CK405,VLOOKUP(G405,NGPREVPRICES,4,FALSE),HLOOKUP(D405,PREVVOLS,VLOOKUP(G405,MOVE_DOWN2,2,FALSE),FALSE),VLOOKUP(G405,NGPREVPRICES,3,FALSE),HLOOKUP(D405,Correllate,VLOOKUP(G405,CorMove,2,FALSE),FALSE),Q405-$C$3,R405,$CJ$5)*H405-CJ405</f>
        <v>625.73532882458312</v>
      </c>
      <c r="CI405" s="234">
        <f t="shared" si="441"/>
        <v>630.33677012880071</v>
      </c>
      <c r="CJ405" s="234">
        <f>_xll.xSPRDOPT((VLOOKUP(G405,NGPREVPRICES,2,FALSE)+HLOOKUP(D405,PREVCURVES,VLOOKUP(G405,MOVE_DOWN2,2,FALSE),FALSE)),VLOOKUP(G405,NGPREVPRICES,2,FALSE),CK405,VLOOKUP(G405,NGPREVPRICES,4,FALSE),HLOOKUP(D405,PREVVOLS,VLOOKUP(G405,MOVE_DOWN2,2,FALSE),FALSE),VLOOKUP(G405,NGPREVPRICES,3,FALSE),HLOOKUP(D405,Correllate,VLOOKUP(G405,CorMove,2,FALSE),FALSE),Q405-$CD$3,R405,$CJ$5)*H405</f>
        <v>-24777.477296877751</v>
      </c>
      <c r="CK405" s="235">
        <f t="shared" si="442"/>
        <v>1.6</v>
      </c>
      <c r="CM405" t="str">
        <f t="shared" si="443"/>
        <v>36831Curve Shift/Gamma</v>
      </c>
      <c r="CN405" t="str">
        <f t="shared" si="435"/>
        <v>36831Rho</v>
      </c>
      <c r="CO405" t="str">
        <f t="shared" si="436"/>
        <v>36831Drift</v>
      </c>
      <c r="CP405" t="str">
        <f t="shared" si="437"/>
        <v>36831Vega</v>
      </c>
      <c r="CQ405" t="str">
        <f t="shared" si="438"/>
        <v>36831Theta</v>
      </c>
    </row>
    <row r="406" spans="1:95" x14ac:dyDescent="0.25">
      <c r="A406" s="382" t="s">
        <v>279</v>
      </c>
      <c r="B406" t="s">
        <v>250</v>
      </c>
      <c r="C406" t="s">
        <v>471</v>
      </c>
      <c r="D406" s="4" t="s">
        <v>7</v>
      </c>
      <c r="E406" t="s">
        <v>20</v>
      </c>
      <c r="F406" t="s">
        <v>1</v>
      </c>
      <c r="G406" s="5">
        <v>36951</v>
      </c>
      <c r="H406" s="130">
        <v>-500000</v>
      </c>
      <c r="I406">
        <v>1.6</v>
      </c>
      <c r="J406" s="53">
        <f t="shared" si="464"/>
        <v>4.2130000000000001</v>
      </c>
      <c r="K406" s="7">
        <f t="shared" si="465"/>
        <v>1.075</v>
      </c>
      <c r="L406" s="53">
        <f t="shared" si="466"/>
        <v>5.2880000000000003</v>
      </c>
      <c r="M406" s="157">
        <f t="shared" si="467"/>
        <v>6.8879814952706994E-2</v>
      </c>
      <c r="N406" s="4">
        <f t="shared" si="468"/>
        <v>0.53249999999999997</v>
      </c>
      <c r="O406" s="4">
        <f t="shared" si="469"/>
        <v>0.61199999999999999</v>
      </c>
      <c r="P406" s="9">
        <f t="shared" si="470"/>
        <v>0.83</v>
      </c>
      <c r="Q406" s="5">
        <f t="shared" si="458"/>
        <v>36949</v>
      </c>
      <c r="R406" s="4">
        <f t="shared" si="471"/>
        <v>0</v>
      </c>
      <c r="S406" s="158">
        <f>_xll.xSPRDOPT($L406,$J406,$I406,$M406,$O406,$N406,$P406,$Q406-$C$3,$R406,0)</f>
        <v>0.83594376717586028</v>
      </c>
      <c r="T406" s="159">
        <f>_xll.xSPRDOPT($L406,$J406,$I406,$M406,$O406,$N406,$P406,$Q406-$C$3,$R406,1)*H406</f>
        <v>286739.73211780586</v>
      </c>
      <c r="U406" s="160">
        <f t="shared" si="472"/>
        <v>-417971.88358793012</v>
      </c>
      <c r="V406" s="159">
        <f>_xll.xSPRDOPT($L406,$J406,$I406,$M406,$O406,$N406,$P406,$Q406-$C$3,$R406,2)*H406</f>
        <v>-327107.61048476089</v>
      </c>
      <c r="W406" s="159">
        <f t="shared" si="473"/>
        <v>-40367.878366955032</v>
      </c>
      <c r="X406" s="51" t="str">
        <f t="shared" si="459"/>
        <v>36951IF-TRANSCO/Z6</v>
      </c>
      <c r="Y406" s="418">
        <f t="shared" si="460"/>
        <v>-50</v>
      </c>
      <c r="Z406" s="456">
        <f t="shared" si="461"/>
        <v>-0.57347946423561169</v>
      </c>
      <c r="AA406" s="456">
        <f>_xll.xSPRDOPT($L406,$J406,$I406,$M406,$O406,$N406,$P406,$Q406-$C$3,$R406,3)</f>
        <v>0.27838187776051626</v>
      </c>
      <c r="AB406" s="456">
        <f>((_xll.xSPRDOPT($L406+AB$5,$J406,$I406,$M406,$O406,$N406,$P406,$Q406-$C$3,$R406,3)*$H406)/10000)/100</f>
        <v>-0.13919093888025813</v>
      </c>
      <c r="AC406" s="456">
        <f>((_xll.xSPRDOPT($L406+$AB$5,$J406,$I406,$M406,$O406,$N406,$P406,$Q406-$C$3,$R406,7)*$H406)/100)</f>
        <v>4672.8043226816735</v>
      </c>
      <c r="AD406" s="456">
        <f>(_xll.xSPRDOPT($L406+$AB$5,$J406,$I406,$M406,$O406,$N406,$P406,$Q406-$C$3,$R406,9)/365)*$H406</f>
        <v>618.60939958237145</v>
      </c>
      <c r="AE406">
        <f t="shared" si="462"/>
        <v>0</v>
      </c>
      <c r="AF406" s="456">
        <f t="shared" si="463"/>
        <v>-4764.5257485153224</v>
      </c>
      <c r="AG406" s="456">
        <f>((_xll.xSPRDOPT($L406,$J406,$I406,$M406,$O406,$N406,$P406,$Q406-$C$3,$R406,6)*$H406)/100)</f>
        <v>1593.4217697894862</v>
      </c>
      <c r="AH406" s="456">
        <f>((_xll.xSPRDOPT($L406,$J406,$I406,$M406,$O406,$N406,$P406,$Q406-$C$3,$R406,5)*$H406)/100)</f>
        <v>-5532.0376691132524</v>
      </c>
      <c r="AI406" s="456">
        <f>(((_xll.xSPRDOPT($L406,$J406,$I406,$M406,$O406,$N406,$P406,$Q406-$C$3,$R406,4)*$H406)/10000)/100)-AB406</f>
        <v>1.8373882565995384E-2</v>
      </c>
      <c r="AJ406" s="456"/>
      <c r="AK406" s="456"/>
      <c r="AL406" s="456"/>
      <c r="AM406" s="472"/>
      <c r="CC406" s="141">
        <f t="shared" si="439"/>
        <v>36951</v>
      </c>
      <c r="CD406" s="234">
        <f>_xll.xSPRDOPT((VLOOKUP(G406,NGPrices,2,FALSE)+HLOOKUP(D406,Prices,VLOOKUP(G406,move_down,2,FALSE),FALSE)),VLOOKUP(G406,NGPrices,2,FALSE),I406,VLOOKUP(G406,NGPREVPRICES,4,FALSE),HLOOKUP(D406,PREVVOLS,VLOOKUP(G406,MOVE_DOWN2,2,FALSE),FALSE),VLOOKUP(G406,NGPREVPRICES,3,FALSE),HLOOKUP(D406,Correllate,VLOOKUP(G406,CorMove,2,FALSE),FALSE),Q406-$CD$3,R406,$CD$5)*H406-CJ406</f>
        <v>0</v>
      </c>
      <c r="CE406" s="234">
        <f>_xll.xSPRDOPT((VLOOKUP(G406,NGPREVPRICES,2,FALSE)+HLOOKUP(D406,PREVCURVES,VLOOKUP(G406,MOVE_DOWN2,2,FALSE),FALSE)),VLOOKUP(G406,NGPREVPRICES,2,FALSE),CK406,VLOOKUP(G406,NGPrices,4,FALSE),HLOOKUP(D406,PREVVOLS,VLOOKUP(G406,MOVE_DOWN2,2,FALSE),FALSE),VLOOKUP(G406,NGPREVPRICES,3,FALSE),HLOOKUP(D406,Correllate,VLOOKUP(G406,CorMove,2,FALSE),FALSE),Q406-$CD$3,R406,$CJ$5)*H406-CJ406</f>
        <v>0</v>
      </c>
      <c r="CF406" s="10">
        <f t="shared" si="440"/>
        <v>80.279136435012333</v>
      </c>
      <c r="CG406" s="234">
        <f>_xll.xSPRDOPT((VLOOKUP(G406,NGPREVPRICES,2,FALSE)+HLOOKUP(D406,PREVCURVES,VLOOKUP(G406,MOVE_DOWN2,2,FALSE),FALSE)),VLOOKUP(G406,NGPREVPRICES,2,FALSE),CK406,VLOOKUP(G406,NGPREVPRICES,4,FALSE),HLOOKUP(D406,VOLS,VLOOKUP(G406,move_down,2,FALSE),FALSE),VLOOKUP(G406,NGPrices,3,FALSE),HLOOKUP(D406,Correllate,VLOOKUP(G406,CorMove,2,FALSE),FALSE),Q406-$CD$3,R406,$CJ$5)*H406-CJ406</f>
        <v>0</v>
      </c>
      <c r="CH406" s="234">
        <f>_xll.xSPRDOPT((VLOOKUP(G406,NGPREVPRICES,2,FALSE)+HLOOKUP(D406,PREVCURVES,VLOOKUP(G406,MOVE_DOWN2,2,FALSE),FALSE)),VLOOKUP(G406,NGPREVPRICES,2,FALSE),CK406,VLOOKUP(G406,NGPREVPRICES,4,FALSE),HLOOKUP(D406,PREVVOLS,VLOOKUP(G406,MOVE_DOWN2,2,FALSE),FALSE),VLOOKUP(G406,NGPREVPRICES,3,FALSE),HLOOKUP(D406,Correllate,VLOOKUP(G406,CorMove,2,FALSE),FALSE),Q406-$C$3,R406,$CJ$5)*H406-CJ406</f>
        <v>617.22948333411478</v>
      </c>
      <c r="CI406" s="234">
        <f t="shared" si="441"/>
        <v>697.50861976912711</v>
      </c>
      <c r="CJ406" s="234">
        <f>_xll.xSPRDOPT((VLOOKUP(G406,NGPREVPRICES,2,FALSE)+HLOOKUP(D406,PREVCURVES,VLOOKUP(G406,MOVE_DOWN2,2,FALSE),FALSE)),VLOOKUP(G406,NGPREVPRICES,2,FALSE),CK406,VLOOKUP(G406,NGPREVPRICES,4,FALSE),HLOOKUP(D406,PREVVOLS,VLOOKUP(G406,MOVE_DOWN2,2,FALSE),FALSE),VLOOKUP(G406,NGPREVPRICES,3,FALSE),HLOOKUP(D406,Correllate,VLOOKUP(G406,CorMove,2,FALSE),FALSE),Q406-$CD$3,R406,$CJ$5)*H406</f>
        <v>-418589.11307126423</v>
      </c>
      <c r="CK406" s="235">
        <f t="shared" si="442"/>
        <v>1.6</v>
      </c>
      <c r="CM406" t="str">
        <f t="shared" si="443"/>
        <v>36951Curve Shift/Gamma</v>
      </c>
      <c r="CN406" t="str">
        <f t="shared" si="435"/>
        <v>36951Rho</v>
      </c>
      <c r="CO406" t="str">
        <f t="shared" si="436"/>
        <v>36951Drift</v>
      </c>
      <c r="CP406" t="str">
        <f t="shared" si="437"/>
        <v>36951Vega</v>
      </c>
      <c r="CQ406" t="str">
        <f t="shared" si="438"/>
        <v>36951Theta</v>
      </c>
    </row>
    <row r="407" spans="1:95" x14ac:dyDescent="0.25">
      <c r="A407" s="382" t="s">
        <v>279</v>
      </c>
      <c r="B407" t="s">
        <v>250</v>
      </c>
      <c r="C407" t="s">
        <v>471</v>
      </c>
      <c r="D407" s="4" t="s">
        <v>7</v>
      </c>
      <c r="E407" t="s">
        <v>20</v>
      </c>
      <c r="F407" t="s">
        <v>1</v>
      </c>
      <c r="G407" s="5">
        <v>36923</v>
      </c>
      <c r="H407" s="130">
        <v>-500000</v>
      </c>
      <c r="I407">
        <v>1.6</v>
      </c>
      <c r="J407" s="53">
        <f t="shared" si="464"/>
        <v>4.4800000000000004</v>
      </c>
      <c r="K407" s="7">
        <f t="shared" si="465"/>
        <v>2.09</v>
      </c>
      <c r="L407" s="53">
        <f t="shared" si="466"/>
        <v>6.57</v>
      </c>
      <c r="M407" s="157">
        <f t="shared" si="467"/>
        <v>6.8640161611372E-2</v>
      </c>
      <c r="N407" s="4">
        <f t="shared" si="468"/>
        <v>0.59250000000000003</v>
      </c>
      <c r="O407" s="4">
        <f t="shared" si="469"/>
        <v>0.68100000000000005</v>
      </c>
      <c r="P407" s="9">
        <f t="shared" si="470"/>
        <v>0.83</v>
      </c>
      <c r="Q407" s="5">
        <f t="shared" si="458"/>
        <v>36921</v>
      </c>
      <c r="R407" s="4">
        <f t="shared" si="471"/>
        <v>0</v>
      </c>
      <c r="S407" s="158">
        <f>_xll.xSPRDOPT($L407,$J407,$I407,$M407,$O407,$N407,$P407,$Q407-$C$3,$R407,0)</f>
        <v>0.42832438137130535</v>
      </c>
      <c r="T407" s="159">
        <f>_xll.xSPRDOPT($L407,$J407,$I407,$M407,$O407,$N407,$P407,$Q407-$C$3,$R407,1)*H407</f>
        <v>161432.7723628403</v>
      </c>
      <c r="U407" s="160">
        <f t="shared" si="472"/>
        <v>-214162.19068565266</v>
      </c>
      <c r="V407" s="159">
        <f>_xll.xSPRDOPT($L407,$J407,$I407,$M407,$O407,$N407,$P407,$Q407-$C$3,$R407,2)*H407</f>
        <v>-203277.13662096858</v>
      </c>
      <c r="W407" s="159">
        <f t="shared" si="473"/>
        <v>-41844.364258128277</v>
      </c>
      <c r="X407" s="51" t="str">
        <f t="shared" si="459"/>
        <v>36923IF-TRANSCO/Z6</v>
      </c>
      <c r="Y407" s="418">
        <f t="shared" si="460"/>
        <v>-50</v>
      </c>
      <c r="Z407" s="456">
        <f t="shared" si="461"/>
        <v>-0.32286554472568063</v>
      </c>
      <c r="AA407" s="456">
        <f>_xll.xSPRDOPT($L407,$J407,$I407,$M407,$O407,$N407,$P407,$Q407-$C$3,$R407,3)</f>
        <v>0.20562130469864384</v>
      </c>
      <c r="AB407" s="456">
        <f>((_xll.xSPRDOPT($L407+AB$5,$J407,$I407,$M407,$O407,$N407,$P407,$Q407-$C$3,$R407,3)*$H407)/10000)/100</f>
        <v>-0.10281065234932191</v>
      </c>
      <c r="AC407" s="456">
        <f>((_xll.xSPRDOPT($L407+$AB$5,$J407,$I407,$M407,$O407,$N407,$P407,$Q407-$C$3,$R407,7)*$H407)/100)</f>
        <v>5554.6647006338935</v>
      </c>
      <c r="AD407" s="456">
        <f>(_xll.xSPRDOPT($L407+$AB$5,$J407,$I407,$M407,$O407,$N407,$P407,$Q407-$C$3,$R407,9)/365)*$H407</f>
        <v>948.93749708058112</v>
      </c>
      <c r="AE407">
        <f t="shared" si="462"/>
        <v>0</v>
      </c>
      <c r="AF407" s="456">
        <f t="shared" si="463"/>
        <v>-5138.712227410897</v>
      </c>
      <c r="AG407" s="456">
        <f>((_xll.xSPRDOPT($L407,$J407,$I407,$M407,$O407,$N407,$P407,$Q407-$C$3,$R407,6)*$H407)/100)</f>
        <v>1725.6111133841791</v>
      </c>
      <c r="AH407" s="456">
        <f>((_xll.xSPRDOPT($L407,$J407,$I407,$M407,$O407,$N407,$P407,$Q407-$C$3,$R407,5)*$H407)/100)</f>
        <v>-5972.2636995904286</v>
      </c>
      <c r="AI407" s="456">
        <f>(((_xll.xSPRDOPT($L407,$J407,$I407,$M407,$O407,$N407,$P407,$Q407-$C$3,$R407,4)*$H407)/10000)/100)-AB407</f>
        <v>-1.7965238590623586E-2</v>
      </c>
      <c r="AJ407" s="456"/>
      <c r="AK407" s="456"/>
      <c r="AL407" s="456"/>
      <c r="AM407" s="472"/>
      <c r="CC407" s="141">
        <f t="shared" ref="CC407:CC420" si="474">G407</f>
        <v>36923</v>
      </c>
      <c r="CD407" s="234">
        <f>_xll.xSPRDOPT((VLOOKUP(G407,NGPrices,2,FALSE)+HLOOKUP(D407,Prices,VLOOKUP(G407,move_down,2,FALSE),FALSE)),VLOOKUP(G407,NGPrices,2,FALSE),I407,VLOOKUP(G407,NGPREVPRICES,4,FALSE),HLOOKUP(D407,PREVVOLS,VLOOKUP(G407,MOVE_DOWN2,2,FALSE),FALSE),VLOOKUP(G407,NGPREVPRICES,3,FALSE),HLOOKUP(D407,Correllate,VLOOKUP(G407,CorMove,2,FALSE),FALSE),Q407-$CD$3,R407,$CD$5)*H407-CJ407</f>
        <v>0</v>
      </c>
      <c r="CE407" s="234">
        <f>_xll.xSPRDOPT((VLOOKUP(G407,NGPREVPRICES,2,FALSE)+HLOOKUP(D407,PREVCURVES,VLOOKUP(G407,MOVE_DOWN2,2,FALSE),FALSE)),VLOOKUP(G407,NGPREVPRICES,2,FALSE),CK407,VLOOKUP(G407,NGPrices,4,FALSE),HLOOKUP(D407,PREVVOLS,VLOOKUP(G407,MOVE_DOWN2,2,FALSE),FALSE),VLOOKUP(G407,NGPREVPRICES,3,FALSE),HLOOKUP(D407,Correllate,VLOOKUP(G407,CorMove,2,FALSE),FALSE),Q407-$CD$3,R407,$CJ$5)*H407-CJ407</f>
        <v>0</v>
      </c>
      <c r="CF407" s="10">
        <f t="shared" ref="CF407:CF420" si="475">(CJ407/VLOOKUP(CC407,discount,3,FALSE))-(CJ407/VLOOKUP(CC407,discount,2,FALSE))</f>
        <v>40.911217132088495</v>
      </c>
      <c r="CG407" s="234">
        <f>_xll.xSPRDOPT((VLOOKUP(G407,NGPREVPRICES,2,FALSE)+HLOOKUP(D407,PREVCURVES,VLOOKUP(G407,MOVE_DOWN2,2,FALSE),FALSE)),VLOOKUP(G407,NGPREVPRICES,2,FALSE),CK407,VLOOKUP(G407,NGPREVPRICES,4,FALSE),HLOOKUP(D407,VOLS,VLOOKUP(G407,move_down,2,FALSE),FALSE),VLOOKUP(G407,NGPrices,3,FALSE),HLOOKUP(D407,Correllate,VLOOKUP(G407,CorMove,2,FALSE),FALSE),Q407-$CD$3,R407,$CJ$5)*H407-CJ407</f>
        <v>0</v>
      </c>
      <c r="CH407" s="234">
        <f>_xll.xSPRDOPT((VLOOKUP(G407,NGPREVPRICES,2,FALSE)+HLOOKUP(D407,PREVCURVES,VLOOKUP(G407,MOVE_DOWN2,2,FALSE),FALSE)),VLOOKUP(G407,NGPREVPRICES,2,FALSE),CK407,VLOOKUP(G407,NGPREVPRICES,4,FALSE),HLOOKUP(D407,PREVVOLS,VLOOKUP(G407,MOVE_DOWN2,2,FALSE),FALSE),VLOOKUP(G407,NGPREVPRICES,3,FALSE),HLOOKUP(D407,Correllate,VLOOKUP(G407,CorMove,2,FALSE),FALSE),Q407-$C$3,R407,$CJ$5)*H407-CJ407</f>
        <v>946.63272031239467</v>
      </c>
      <c r="CI407" s="234">
        <f t="shared" ref="CI407:CI420" si="476">SUM(CD407:CH407)</f>
        <v>987.54393744448316</v>
      </c>
      <c r="CJ407" s="234">
        <f>_xll.xSPRDOPT((VLOOKUP(G407,NGPREVPRICES,2,FALSE)+HLOOKUP(D407,PREVCURVES,VLOOKUP(G407,MOVE_DOWN2,2,FALSE),FALSE)),VLOOKUP(G407,NGPREVPRICES,2,FALSE),CK407,VLOOKUP(G407,NGPREVPRICES,4,FALSE),HLOOKUP(D407,PREVVOLS,VLOOKUP(G407,MOVE_DOWN2,2,FALSE),FALSE),VLOOKUP(G407,NGPREVPRICES,3,FALSE),HLOOKUP(D407,Correllate,VLOOKUP(G407,CorMove,2,FALSE),FALSE),Q407-$CD$3,R407,$CJ$5)*H407</f>
        <v>-215108.82340596506</v>
      </c>
      <c r="CK407" s="235">
        <f t="shared" ref="CK407:CK420" si="477">I407</f>
        <v>1.6</v>
      </c>
      <c r="CM407" t="str">
        <f t="shared" ref="CM407:CM420" si="478">CONCATENATE(CC407,$CD$6)</f>
        <v>36923Curve Shift/Gamma</v>
      </c>
      <c r="CN407" t="str">
        <f t="shared" si="435"/>
        <v>36923Rho</v>
      </c>
      <c r="CO407" t="str">
        <f t="shared" si="436"/>
        <v>36923Drift</v>
      </c>
      <c r="CP407" t="str">
        <f t="shared" si="437"/>
        <v>36923Vega</v>
      </c>
      <c r="CQ407" t="str">
        <f t="shared" si="438"/>
        <v>36923Theta</v>
      </c>
    </row>
    <row r="408" spans="1:95" x14ac:dyDescent="0.25">
      <c r="A408" s="382" t="s">
        <v>279</v>
      </c>
      <c r="B408" t="s">
        <v>250</v>
      </c>
      <c r="C408" t="s">
        <v>471</v>
      </c>
      <c r="D408" s="4" t="s">
        <v>7</v>
      </c>
      <c r="E408" t="s">
        <v>20</v>
      </c>
      <c r="F408" t="s">
        <v>1</v>
      </c>
      <c r="G408" s="5">
        <v>36892</v>
      </c>
      <c r="H408" s="130">
        <v>-500000</v>
      </c>
      <c r="I408">
        <v>1.6</v>
      </c>
      <c r="J408" s="53">
        <f t="shared" si="464"/>
        <v>4.7439999999999998</v>
      </c>
      <c r="K408" s="7">
        <f t="shared" si="465"/>
        <v>2.17</v>
      </c>
      <c r="L408" s="53">
        <f t="shared" si="466"/>
        <v>6.9139999999999997</v>
      </c>
      <c r="M408" s="157">
        <f t="shared" si="467"/>
        <v>6.8374831148490994E-2</v>
      </c>
      <c r="N408" s="4">
        <f t="shared" si="468"/>
        <v>0.60499999999999998</v>
      </c>
      <c r="O408" s="4">
        <f t="shared" si="469"/>
        <v>0.69599999999999995</v>
      </c>
      <c r="P408" s="9">
        <f t="shared" si="470"/>
        <v>0.83</v>
      </c>
      <c r="Q408" s="5">
        <f t="shared" si="458"/>
        <v>36888</v>
      </c>
      <c r="R408" s="4">
        <f t="shared" si="471"/>
        <v>0</v>
      </c>
      <c r="S408" s="158">
        <f>_xll.xSPRDOPT($L408,$J408,$I408,$M408,$O408,$N408,$P408,$Q408-$C$3,$R408,0)</f>
        <v>0.36870528890321785</v>
      </c>
      <c r="T408" s="159">
        <f>_xll.xSPRDOPT($L408,$J408,$I408,$M408,$O408,$N408,$P408,$Q408-$C$3,$R408,1)*H408</f>
        <v>152863.05174209725</v>
      </c>
      <c r="U408" s="160">
        <f t="shared" si="472"/>
        <v>-184352.64445160894</v>
      </c>
      <c r="V408" s="159">
        <f>_xll.xSPRDOPT($L408,$J408,$I408,$M408,$O408,$N408,$P408,$Q408-$C$3,$R408,2)*H408</f>
        <v>-190367.18910192192</v>
      </c>
      <c r="W408" s="159">
        <f t="shared" si="473"/>
        <v>-37504.137359824672</v>
      </c>
      <c r="X408" s="51" t="str">
        <f t="shared" si="459"/>
        <v>36892IF-TRANSCO/Z6</v>
      </c>
      <c r="Y408" s="418">
        <f t="shared" si="460"/>
        <v>-50</v>
      </c>
      <c r="Z408" s="456">
        <f t="shared" si="461"/>
        <v>-0.30572610348419449</v>
      </c>
      <c r="AA408" s="456">
        <f>_xll.xSPRDOPT($L408,$J408,$I408,$M408,$O408,$N408,$P408,$Q408-$C$3,$R408,3)</f>
        <v>0.21258143875178478</v>
      </c>
      <c r="AB408" s="456">
        <f>((_xll.xSPRDOPT($L408+AB$5,$J408,$I408,$M408,$O408,$N408,$P408,$Q408-$C$3,$R408,3)*$H408)/10000)/100</f>
        <v>-0.10629071937589239</v>
      </c>
      <c r="AC408" s="456">
        <f>((_xll.xSPRDOPT($L408+$AB$5,$J408,$I408,$M408,$O408,$N408,$P408,$Q408-$C$3,$R408,7)*$H408)/100)</f>
        <v>5279.9366967826572</v>
      </c>
      <c r="AD408" s="456">
        <f>(_xll.xSPRDOPT($L408+$AB$5,$J408,$I408,$M408,$O408,$N408,$P408,$Q408-$C$3,$R408,9)/365)*$H408</f>
        <v>1136.6639865306352</v>
      </c>
      <c r="AE408">
        <f t="shared" si="462"/>
        <v>0</v>
      </c>
      <c r="AF408" s="456">
        <f t="shared" si="463"/>
        <v>-4681.5872442152022</v>
      </c>
      <c r="AG408" s="456">
        <f>((_xll.xSPRDOPT($L408,$J408,$I408,$M408,$O408,$N408,$P408,$Q408-$C$3,$R408,6)*$H408)/100)</f>
        <v>1552.4671085031514</v>
      </c>
      <c r="AH408" s="456">
        <f>((_xll.xSPRDOPT($L408,$J408,$I408,$M408,$O408,$N408,$P408,$Q408-$C$3,$R408,5)*$H408)/100)</f>
        <v>-5418.9696600497191</v>
      </c>
      <c r="AI408" s="456">
        <f>(((_xll.xSPRDOPT($L408,$J408,$I408,$M408,$O408,$N408,$P408,$Q408-$C$3,$R408,4)*$H408)/10000)/100)-AB408</f>
        <v>-1.9878090689224151E-2</v>
      </c>
      <c r="AJ408" s="456"/>
      <c r="AK408" s="456"/>
      <c r="AL408" s="456"/>
      <c r="AM408" s="472"/>
      <c r="CC408" s="141">
        <f t="shared" si="474"/>
        <v>36892</v>
      </c>
      <c r="CD408" s="234">
        <f>_xll.xSPRDOPT((VLOOKUP(G408,NGPrices,2,FALSE)+HLOOKUP(D408,Prices,VLOOKUP(G408,move_down,2,FALSE),FALSE)),VLOOKUP(G408,NGPrices,2,FALSE),I408,VLOOKUP(G408,NGPREVPRICES,4,FALSE),HLOOKUP(D408,PREVVOLS,VLOOKUP(G408,MOVE_DOWN2,2,FALSE),FALSE),VLOOKUP(G408,NGPREVPRICES,3,FALSE),HLOOKUP(D408,Correllate,VLOOKUP(G408,CorMove,2,FALSE),FALSE),Q408-$CD$3,R408,$CD$5)*H408-CJ408</f>
        <v>0</v>
      </c>
      <c r="CE408" s="234">
        <f>_xll.xSPRDOPT((VLOOKUP(G408,NGPREVPRICES,2,FALSE)+HLOOKUP(D408,PREVCURVES,VLOOKUP(G408,MOVE_DOWN2,2,FALSE),FALSE)),VLOOKUP(G408,NGPREVPRICES,2,FALSE),CK408,VLOOKUP(G408,NGPrices,4,FALSE),HLOOKUP(D408,PREVVOLS,VLOOKUP(G408,MOVE_DOWN2,2,FALSE),FALSE),VLOOKUP(G408,NGPREVPRICES,3,FALSE),HLOOKUP(D408,Correllate,VLOOKUP(G408,CorMove,2,FALSE),FALSE),Q408-$CD$3,R408,$CJ$5)*H408-CJ408</f>
        <v>0</v>
      </c>
      <c r="CF408" s="10">
        <f t="shared" si="475"/>
        <v>34.953237500798423</v>
      </c>
      <c r="CG408" s="234">
        <f>_xll.xSPRDOPT((VLOOKUP(G408,NGPREVPRICES,2,FALSE)+HLOOKUP(D408,PREVCURVES,VLOOKUP(G408,MOVE_DOWN2,2,FALSE),FALSE)),VLOOKUP(G408,NGPREVPRICES,2,FALSE),CK408,VLOOKUP(G408,NGPREVPRICES,4,FALSE),HLOOKUP(D408,VOLS,VLOOKUP(G408,move_down,2,FALSE),FALSE),VLOOKUP(G408,NGPrices,3,FALSE),HLOOKUP(D408,Correllate,VLOOKUP(G408,CorMove,2,FALSE),FALSE),Q408-$CD$3,R408,$CJ$5)*H408-CJ408</f>
        <v>0</v>
      </c>
      <c r="CH408" s="234">
        <f>_xll.xSPRDOPT((VLOOKUP(G408,NGPREVPRICES,2,FALSE)+HLOOKUP(D408,PREVCURVES,VLOOKUP(G408,MOVE_DOWN2,2,FALSE),FALSE)),VLOOKUP(G408,NGPREVPRICES,2,FALSE),CK408,VLOOKUP(G408,NGPREVPRICES,4,FALSE),HLOOKUP(D408,PREVVOLS,VLOOKUP(G408,MOVE_DOWN2,2,FALSE),FALSE),VLOOKUP(G408,NGPREVPRICES,3,FALSE),HLOOKUP(D408,Correllate,VLOOKUP(G408,CorMove,2,FALSE),FALSE),Q408-$C$3,R408,$CJ$5)*H408-CJ408</f>
        <v>1133.5663461624354</v>
      </c>
      <c r="CI408" s="234">
        <f t="shared" si="476"/>
        <v>1168.5195836632338</v>
      </c>
      <c r="CJ408" s="234">
        <f>_xll.xSPRDOPT((VLOOKUP(G408,NGPREVPRICES,2,FALSE)+HLOOKUP(D408,PREVCURVES,VLOOKUP(G408,MOVE_DOWN2,2,FALSE),FALSE)),VLOOKUP(G408,NGPREVPRICES,2,FALSE),CK408,VLOOKUP(G408,NGPREVPRICES,4,FALSE),HLOOKUP(D408,PREVVOLS,VLOOKUP(G408,MOVE_DOWN2,2,FALSE),FALSE),VLOOKUP(G408,NGPREVPRICES,3,FALSE),HLOOKUP(D408,Correllate,VLOOKUP(G408,CorMove,2,FALSE),FALSE),Q408-$CD$3,R408,$CJ$5)*H408</f>
        <v>-185486.21079777137</v>
      </c>
      <c r="CK408" s="235">
        <f t="shared" si="477"/>
        <v>1.6</v>
      </c>
      <c r="CM408" t="str">
        <f t="shared" si="478"/>
        <v>36892Curve Shift/Gamma</v>
      </c>
      <c r="CN408" t="str">
        <f t="shared" si="435"/>
        <v>36892Rho</v>
      </c>
      <c r="CO408" t="str">
        <f t="shared" si="436"/>
        <v>36892Drift</v>
      </c>
      <c r="CP408" t="str">
        <f t="shared" si="437"/>
        <v>36892Vega</v>
      </c>
      <c r="CQ408" t="str">
        <f t="shared" si="438"/>
        <v>36892Theta</v>
      </c>
    </row>
    <row r="409" spans="1:95" x14ac:dyDescent="0.25">
      <c r="A409" s="382" t="s">
        <v>279</v>
      </c>
      <c r="B409" t="s">
        <v>250</v>
      </c>
      <c r="C409" t="s">
        <v>471</v>
      </c>
      <c r="D409" s="4" t="s">
        <v>7</v>
      </c>
      <c r="E409" t="s">
        <v>20</v>
      </c>
      <c r="F409" t="s">
        <v>1</v>
      </c>
      <c r="G409" s="5">
        <v>36861</v>
      </c>
      <c r="H409" s="130">
        <v>-500000</v>
      </c>
      <c r="I409">
        <v>1.6</v>
      </c>
      <c r="J409" s="53">
        <f t="shared" si="464"/>
        <v>4.8</v>
      </c>
      <c r="K409" s="7">
        <f t="shared" si="465"/>
        <v>1.645</v>
      </c>
      <c r="L409" s="53">
        <f t="shared" si="466"/>
        <v>6.4450000000000003</v>
      </c>
      <c r="M409" s="157">
        <f t="shared" si="467"/>
        <v>6.8314027999354002E-2</v>
      </c>
      <c r="N409" s="4">
        <f t="shared" si="468"/>
        <v>0.6</v>
      </c>
      <c r="O409" s="4">
        <f t="shared" si="469"/>
        <v>0.69</v>
      </c>
      <c r="P409" s="9">
        <f t="shared" si="470"/>
        <v>0.83</v>
      </c>
      <c r="Q409" s="5">
        <f t="shared" si="458"/>
        <v>36859</v>
      </c>
      <c r="R409" s="4">
        <f t="shared" si="471"/>
        <v>0</v>
      </c>
      <c r="S409" s="158">
        <f>_xll.xSPRDOPT($L409,$J409,$I409,$M409,$O409,$N409,$P409,$Q409-$C$3,$R409,0)</f>
        <v>0.48845111582947331</v>
      </c>
      <c r="T409" s="159">
        <f>_xll.xSPRDOPT($L409,$J409,$I409,$M409,$O409,$N409,$P409,$Q409-$C$3,$R409,1)*H409</f>
        <v>218384.86416502041</v>
      </c>
      <c r="U409" s="160">
        <f t="shared" si="472"/>
        <v>-244225.55791473665</v>
      </c>
      <c r="V409" s="159">
        <f>_xll.xSPRDOPT($L409,$J409,$I409,$M409,$O409,$N409,$P409,$Q409-$C$3,$R409,2)*H409</f>
        <v>-253601.55888287915</v>
      </c>
      <c r="W409" s="159">
        <f t="shared" si="473"/>
        <v>-35216.694717858743</v>
      </c>
      <c r="X409" s="51" t="str">
        <f t="shared" si="459"/>
        <v>36861IF-TRANSCO/Z6</v>
      </c>
      <c r="Y409" s="418">
        <f t="shared" si="460"/>
        <v>-50</v>
      </c>
      <c r="Z409" s="456">
        <f t="shared" si="461"/>
        <v>-0.4367697283300408</v>
      </c>
      <c r="AA409" s="456">
        <f>_xll.xSPRDOPT($L409,$J409,$I409,$M409,$O409,$N409,$P409,$Q409-$C$3,$R409,3)</f>
        <v>0.29714880405850658</v>
      </c>
      <c r="AB409" s="456">
        <f>((_xll.xSPRDOPT($L409+AB$5,$J409,$I409,$M409,$O409,$N409,$P409,$Q409-$C$3,$R409,3)*$H409)/10000)/100</f>
        <v>-0.14857440202925329</v>
      </c>
      <c r="AC409" s="456">
        <f>((_xll.xSPRDOPT($L409+$AB$5,$J409,$I409,$M409,$O409,$N409,$P409,$Q409-$C$3,$R409,7)*$H409)/100)</f>
        <v>4844.3605137473232</v>
      </c>
      <c r="AD409" s="456">
        <f>(_xll.xSPRDOPT($L409+$AB$5,$J409,$I409,$M409,$O409,$N409,$P409,$Q409-$C$3,$R409,9)/365)*$H409</f>
        <v>1338.8250976272363</v>
      </c>
      <c r="AE409">
        <f t="shared" si="462"/>
        <v>0</v>
      </c>
      <c r="AF409" s="456">
        <f t="shared" si="463"/>
        <v>-4243.0004612647135</v>
      </c>
      <c r="AG409" s="456">
        <f>((_xll.xSPRDOPT($L409,$J409,$I409,$M409,$O409,$N409,$P409,$Q409-$C$3,$R409,6)*$H409)/100)</f>
        <v>1390.4905351003306</v>
      </c>
      <c r="AH409" s="456">
        <f>((_xll.xSPRDOPT($L409,$J409,$I409,$M409,$O409,$N409,$P409,$Q409-$C$3,$R409,5)*$H409)/100)</f>
        <v>-4898.6878229261256</v>
      </c>
      <c r="AI409" s="456">
        <f>(((_xll.xSPRDOPT($L409,$J409,$I409,$M409,$O409,$N409,$P409,$Q409-$C$3,$R409,4)*$H409)/10000)/100)-AB409</f>
        <v>-3.9490858649893767E-3</v>
      </c>
      <c r="AJ409" s="456"/>
      <c r="AK409" s="456"/>
      <c r="AL409" s="456"/>
      <c r="AM409" s="472"/>
      <c r="CC409" s="141">
        <f t="shared" si="474"/>
        <v>36861</v>
      </c>
      <c r="CD409" s="234">
        <f>_xll.xSPRDOPT((VLOOKUP(G409,NGPrices,2,FALSE)+HLOOKUP(D409,Prices,VLOOKUP(G409,move_down,2,FALSE),FALSE)),VLOOKUP(G409,NGPrices,2,FALSE),I409,VLOOKUP(G409,NGPREVPRICES,4,FALSE),HLOOKUP(D409,PREVVOLS,VLOOKUP(G409,MOVE_DOWN2,2,FALSE),FALSE),VLOOKUP(G409,NGPREVPRICES,3,FALSE),HLOOKUP(D409,Correllate,VLOOKUP(G409,CorMove,2,FALSE),FALSE),Q409-$CD$3,R409,$CD$5)*H409-CJ409</f>
        <v>0</v>
      </c>
      <c r="CE409" s="234">
        <f>_xll.xSPRDOPT((VLOOKUP(G409,NGPREVPRICES,2,FALSE)+HLOOKUP(D409,PREVCURVES,VLOOKUP(G409,MOVE_DOWN2,2,FALSE),FALSE)),VLOOKUP(G409,NGPREVPRICES,2,FALSE),CK409,VLOOKUP(G409,NGPrices,4,FALSE),HLOOKUP(D409,PREVVOLS,VLOOKUP(G409,MOVE_DOWN2,2,FALSE),FALSE),VLOOKUP(G409,NGPREVPRICES,3,FALSE),HLOOKUP(D409,Correllate,VLOOKUP(G409,CorMove,2,FALSE),FALSE),Q409-$CD$3,R409,$CJ$5)*H409-CJ409</f>
        <v>0</v>
      </c>
      <c r="CF409" s="10">
        <f t="shared" si="475"/>
        <v>46.002602041902719</v>
      </c>
      <c r="CG409" s="234">
        <f>_xll.xSPRDOPT((VLOOKUP(G409,NGPREVPRICES,2,FALSE)+HLOOKUP(D409,PREVCURVES,VLOOKUP(G409,MOVE_DOWN2,2,FALSE),FALSE)),VLOOKUP(G409,NGPREVPRICES,2,FALSE),CK409,VLOOKUP(G409,NGPREVPRICES,4,FALSE),HLOOKUP(D409,VOLS,VLOOKUP(G409,move_down,2,FALSE),FALSE),VLOOKUP(G409,NGPrices,3,FALSE),HLOOKUP(D409,Correllate,VLOOKUP(G409,CorMove,2,FALSE),FALSE),Q409-$CD$3,R409,$CJ$5)*H409-CJ409</f>
        <v>0</v>
      </c>
      <c r="CH409" s="234">
        <f>_xll.xSPRDOPT((VLOOKUP(G409,NGPREVPRICES,2,FALSE)+HLOOKUP(D409,PREVCURVES,VLOOKUP(G409,MOVE_DOWN2,2,FALSE),FALSE)),VLOOKUP(G409,NGPREVPRICES,2,FALSE),CK409,VLOOKUP(G409,NGPREVPRICES,4,FALSE),HLOOKUP(D409,PREVVOLS,VLOOKUP(G409,MOVE_DOWN2,2,FALSE),FALSE),VLOOKUP(G409,NGPREVPRICES,3,FALSE),HLOOKUP(D409,Correllate,VLOOKUP(G409,CorMove,2,FALSE),FALSE),Q409-$C$3,R409,$CJ$5)*H409-CJ409</f>
        <v>1333.9012712320255</v>
      </c>
      <c r="CI409" s="234">
        <f t="shared" si="476"/>
        <v>1379.9038732739282</v>
      </c>
      <c r="CJ409" s="234">
        <f>_xll.xSPRDOPT((VLOOKUP(G409,NGPREVPRICES,2,FALSE)+HLOOKUP(D409,PREVCURVES,VLOOKUP(G409,MOVE_DOWN2,2,FALSE),FALSE)),VLOOKUP(G409,NGPREVPRICES,2,FALSE),CK409,VLOOKUP(G409,NGPREVPRICES,4,FALSE),HLOOKUP(D409,PREVVOLS,VLOOKUP(G409,MOVE_DOWN2,2,FALSE),FALSE),VLOOKUP(G409,NGPREVPRICES,3,FALSE),HLOOKUP(D409,Correllate,VLOOKUP(G409,CorMove,2,FALSE),FALSE),Q409-$CD$3,R409,$CJ$5)*H409</f>
        <v>-245559.45918596868</v>
      </c>
      <c r="CK409" s="235">
        <f t="shared" si="477"/>
        <v>1.6</v>
      </c>
      <c r="CM409" t="str">
        <f t="shared" si="478"/>
        <v>36861Curve Shift/Gamma</v>
      </c>
      <c r="CN409" t="str">
        <f t="shared" si="435"/>
        <v>36861Rho</v>
      </c>
      <c r="CO409" t="str">
        <f t="shared" si="436"/>
        <v>36861Drift</v>
      </c>
      <c r="CP409" t="str">
        <f t="shared" si="437"/>
        <v>36861Vega</v>
      </c>
      <c r="CQ409" t="str">
        <f t="shared" si="438"/>
        <v>36861Theta</v>
      </c>
    </row>
    <row r="410" spans="1:95" x14ac:dyDescent="0.25">
      <c r="A410" s="382" t="s">
        <v>279</v>
      </c>
      <c r="B410" t="s">
        <v>250</v>
      </c>
      <c r="C410" t="s">
        <v>471</v>
      </c>
      <c r="D410" s="4" t="s">
        <v>7</v>
      </c>
      <c r="E410" t="s">
        <v>20</v>
      </c>
      <c r="F410" t="s">
        <v>1</v>
      </c>
      <c r="G410" s="5">
        <v>36831</v>
      </c>
      <c r="H410" s="130">
        <v>-500000</v>
      </c>
      <c r="I410">
        <v>1.6</v>
      </c>
      <c r="J410" s="53">
        <f t="shared" si="464"/>
        <v>4.7359999999999998</v>
      </c>
      <c r="K410" s="7">
        <f t="shared" si="465"/>
        <v>0.77</v>
      </c>
      <c r="L410" s="53">
        <f t="shared" si="466"/>
        <v>5.5060000000000002</v>
      </c>
      <c r="M410" s="157">
        <f t="shared" si="467"/>
        <v>6.810675983792E-2</v>
      </c>
      <c r="N410" s="4">
        <f t="shared" si="468"/>
        <v>0.59499999999999997</v>
      </c>
      <c r="O410" s="4">
        <f t="shared" si="469"/>
        <v>0.625</v>
      </c>
      <c r="P410" s="9">
        <f t="shared" si="470"/>
        <v>0.89</v>
      </c>
      <c r="Q410" s="5">
        <f t="shared" si="458"/>
        <v>36829</v>
      </c>
      <c r="R410" s="4">
        <f t="shared" si="471"/>
        <v>0</v>
      </c>
      <c r="S410" s="158">
        <f>_xll.xSPRDOPT($L410,$J410,$I410,$M410,$O410,$N410,$P410,$Q410-$C$3,$R410,0)</f>
        <v>0.86876318951954157</v>
      </c>
      <c r="T410" s="159">
        <f>_xll.xSPRDOPT($L410,$J410,$I410,$M410,$O410,$N410,$P410,$Q410-$C$3,$R410,1)*H410</f>
        <v>421850.65142417798</v>
      </c>
      <c r="U410" s="160">
        <f t="shared" si="472"/>
        <v>-434381.59475977079</v>
      </c>
      <c r="V410" s="159">
        <f>_xll.xSPRDOPT($L410,$J410,$I410,$M410,$O410,$N410,$P410,$Q410-$C$3,$R410,2)*H410</f>
        <v>-433151.69039531396</v>
      </c>
      <c r="W410" s="159">
        <f t="shared" si="473"/>
        <v>-11301.038971135975</v>
      </c>
      <c r="X410" s="51" t="str">
        <f t="shared" si="459"/>
        <v>36831IF-TRANSCO/Z6</v>
      </c>
      <c r="Y410" s="418">
        <f t="shared" si="460"/>
        <v>-50</v>
      </c>
      <c r="Z410" s="456">
        <f t="shared" si="461"/>
        <v>-0.84370130284835598</v>
      </c>
      <c r="AA410" s="456">
        <f>_xll.xSPRDOPT($L410,$J410,$I410,$M410,$O410,$N410,$P410,$Q410-$C$3,$R410,3)</f>
        <v>0.33065335827695025</v>
      </c>
      <c r="AB410" s="456">
        <f>((_xll.xSPRDOPT($L410+AB$5,$J410,$I410,$M410,$O410,$N410,$P410,$Q410-$C$3,$R410,3)*$H410)/10000)/100</f>
        <v>-0.16532667913847512</v>
      </c>
      <c r="AC410" s="456">
        <f>((_xll.xSPRDOPT($L410+$AB$5,$J410,$I410,$M410,$O410,$N410,$P410,$Q410-$C$3,$R410,7)*$H410)/100)</f>
        <v>2425.4419605565913</v>
      </c>
      <c r="AD410" s="456">
        <f>(_xll.xSPRDOPT($L410+$AB$5,$J410,$I410,$M410,$O410,$N410,$P410,$Q410-$C$3,$R410,9)/365)*$H410</f>
        <v>549.10108557851822</v>
      </c>
      <c r="AE410">
        <f t="shared" si="462"/>
        <v>0</v>
      </c>
      <c r="AF410" s="456">
        <f t="shared" si="463"/>
        <v>-1312.3632933907788</v>
      </c>
      <c r="AG410" s="456">
        <f>((_xll.xSPRDOPT($L410,$J410,$I410,$M410,$O410,$N410,$P410,$Q410-$C$3,$R410,6)*$H410)/100)</f>
        <v>645.12910727896497</v>
      </c>
      <c r="AH410" s="456">
        <f>((_xll.xSPRDOPT($L410,$J410,$I410,$M410,$O410,$N410,$P410,$Q410-$C$3,$R410,5)*$H410)/100)</f>
        <v>-1863.532765437596</v>
      </c>
      <c r="AI410" s="456">
        <f>(((_xll.xSPRDOPT($L410,$J410,$I410,$M410,$O410,$N410,$P410,$Q410-$C$3,$R410,4)*$H410)/10000)/100)-AB410</f>
        <v>3.3655213655945898E-2</v>
      </c>
      <c r="AJ410" s="456"/>
      <c r="AK410" s="456"/>
      <c r="AL410" s="456"/>
      <c r="AM410" s="472"/>
      <c r="CC410" s="141">
        <f t="shared" si="474"/>
        <v>36831</v>
      </c>
      <c r="CD410" s="234">
        <f>_xll.xSPRDOPT((VLOOKUP(G410,NGPrices,2,FALSE)+HLOOKUP(D410,Prices,VLOOKUP(G410,move_down,2,FALSE),FALSE)),VLOOKUP(G410,NGPrices,2,FALSE),I410,VLOOKUP(G410,NGPREVPRICES,4,FALSE),HLOOKUP(D410,PREVVOLS,VLOOKUP(G410,MOVE_DOWN2,2,FALSE),FALSE),VLOOKUP(G410,NGPREVPRICES,3,FALSE),HLOOKUP(D410,Correllate,VLOOKUP(G410,CorMove,2,FALSE),FALSE),Q410-$CD$3,R410,$CD$5)*H410-CJ410</f>
        <v>0</v>
      </c>
      <c r="CE410" s="234">
        <f>_xll.xSPRDOPT((VLOOKUP(G410,NGPREVPRICES,2,FALSE)+HLOOKUP(D410,PREVCURVES,VLOOKUP(G410,MOVE_DOWN2,2,FALSE),FALSE)),VLOOKUP(G410,NGPREVPRICES,2,FALSE),CK410,VLOOKUP(G410,NGPrices,4,FALSE),HLOOKUP(D410,PREVVOLS,VLOOKUP(G410,MOVE_DOWN2,2,FALSE),FALSE),VLOOKUP(G410,NGPREVPRICES,3,FALSE),HLOOKUP(D410,Correllate,VLOOKUP(G410,CorMove,2,FALSE),FALSE),Q410-$CD$3,R410,$CJ$5)*H410-CJ410</f>
        <v>0</v>
      </c>
      <c r="CF410" s="10">
        <f t="shared" si="475"/>
        <v>80.771287673269399</v>
      </c>
      <c r="CG410" s="234">
        <f>_xll.xSPRDOPT((VLOOKUP(G410,NGPREVPRICES,2,FALSE)+HLOOKUP(D410,PREVCURVES,VLOOKUP(G410,MOVE_DOWN2,2,FALSE),FALSE)),VLOOKUP(G410,NGPREVPRICES,2,FALSE),CK410,VLOOKUP(G410,NGPREVPRICES,4,FALSE),HLOOKUP(D410,VOLS,VLOOKUP(G410,move_down,2,FALSE),FALSE),VLOOKUP(G410,NGPrices,3,FALSE),HLOOKUP(D410,Correllate,VLOOKUP(G410,CorMove,2,FALSE),FALSE),Q410-$CD$3,R410,$CJ$5)*H410-CJ410</f>
        <v>0</v>
      </c>
      <c r="CH410" s="234">
        <f>_xll.xSPRDOPT((VLOOKUP(G410,NGPREVPRICES,2,FALSE)+HLOOKUP(D410,PREVCURVES,VLOOKUP(G410,MOVE_DOWN2,2,FALSE),FALSE)),VLOOKUP(G410,NGPREVPRICES,2,FALSE),CK410,VLOOKUP(G410,NGPREVPRICES,4,FALSE),HLOOKUP(D410,PREVVOLS,VLOOKUP(G410,MOVE_DOWN2,2,FALSE),FALSE),VLOOKUP(G410,NGPREVPRICES,3,FALSE),HLOOKUP(D410,Correllate,VLOOKUP(G410,CorMove,2,FALSE),FALSE),Q410-$C$3,R410,$CJ$5)*H410-CJ410</f>
        <v>549.24848051305162</v>
      </c>
      <c r="CI410" s="234">
        <f t="shared" si="476"/>
        <v>630.01976818632102</v>
      </c>
      <c r="CJ410" s="234">
        <f>_xll.xSPRDOPT((VLOOKUP(G410,NGPREVPRICES,2,FALSE)+HLOOKUP(D410,PREVCURVES,VLOOKUP(G410,MOVE_DOWN2,2,FALSE),FALSE)),VLOOKUP(G410,NGPREVPRICES,2,FALSE),CK410,VLOOKUP(G410,NGPREVPRICES,4,FALSE),HLOOKUP(D410,PREVVOLS,VLOOKUP(G410,MOVE_DOWN2,2,FALSE),FALSE),VLOOKUP(G410,NGPREVPRICES,3,FALSE),HLOOKUP(D410,Correllate,VLOOKUP(G410,CorMove,2,FALSE),FALSE),Q410-$CD$3,R410,$CJ$5)*H410</f>
        <v>-434930.84324028384</v>
      </c>
      <c r="CK410" s="235">
        <f t="shared" si="477"/>
        <v>1.6</v>
      </c>
      <c r="CM410" t="str">
        <f t="shared" si="478"/>
        <v>36831Curve Shift/Gamma</v>
      </c>
      <c r="CN410" t="str">
        <f t="shared" si="435"/>
        <v>36831Rho</v>
      </c>
      <c r="CO410" t="str">
        <f t="shared" si="436"/>
        <v>36831Drift</v>
      </c>
      <c r="CP410" t="str">
        <f t="shared" si="437"/>
        <v>36831Vega</v>
      </c>
      <c r="CQ410" t="str">
        <f t="shared" si="438"/>
        <v>36831Theta</v>
      </c>
    </row>
    <row r="411" spans="1:95" x14ac:dyDescent="0.25">
      <c r="A411" s="140" t="s">
        <v>480</v>
      </c>
      <c r="B411" t="s">
        <v>250</v>
      </c>
      <c r="C411" t="s">
        <v>481</v>
      </c>
      <c r="D411" t="s">
        <v>7</v>
      </c>
      <c r="E411" t="s">
        <v>20</v>
      </c>
      <c r="F411" t="s">
        <v>1</v>
      </c>
      <c r="G411" s="5">
        <v>36800</v>
      </c>
      <c r="H411" s="130">
        <v>-2170000</v>
      </c>
      <c r="I411">
        <v>0.55000000000000004</v>
      </c>
      <c r="J411" s="53">
        <f t="shared" si="464"/>
        <v>4.6920000000000002</v>
      </c>
      <c r="K411" s="7">
        <f t="shared" si="465"/>
        <v>0.41499999999999998</v>
      </c>
      <c r="L411" s="53">
        <f t="shared" si="466"/>
        <v>5.1070000000000002</v>
      </c>
      <c r="M411" s="157">
        <f t="shared" si="467"/>
        <v>6.8050789414654006E-2</v>
      </c>
      <c r="N411" s="4">
        <f t="shared" si="468"/>
        <v>0.57499999999999996</v>
      </c>
      <c r="O411" s="4">
        <f t="shared" si="469"/>
        <v>0.56399999999999995</v>
      </c>
      <c r="P411" s="9">
        <f t="shared" si="470"/>
        <v>0.99250000000000005</v>
      </c>
      <c r="Q411" s="5">
        <f t="shared" si="458"/>
        <v>36797</v>
      </c>
      <c r="R411" s="4">
        <f t="shared" si="471"/>
        <v>0</v>
      </c>
      <c r="S411" s="158">
        <f>_xll.xSPRDOPT($L411,$J411,$I411,$M411,$O411,$N411,$P411,$Q411-$C$3,$R411,0)</f>
        <v>0.1421017285188616</v>
      </c>
      <c r="T411" s="159">
        <f>_xll.xSPRDOPT($L411,$J411,$I411,$M411,$O411,$N411,$P411,$Q411-$C$3,$R411,1)*H411</f>
        <v>1863839.5542512482</v>
      </c>
      <c r="U411" s="160">
        <f t="shared" si="472"/>
        <v>-308360.75088592968</v>
      </c>
      <c r="V411" s="159">
        <f>_xll.xSPRDOPT($L411,$J411,$I411,$M411,$O411,$N411,$P411,$Q411-$C$3,$R411,2)*H411</f>
        <v>-1870813.8301223095</v>
      </c>
      <c r="W411" s="159">
        <f t="shared" si="473"/>
        <v>-6974.2758710612543</v>
      </c>
      <c r="X411" s="51" t="str">
        <f t="shared" si="459"/>
        <v>36800IF-TRANSCO/Z6</v>
      </c>
      <c r="Y411" s="418">
        <f t="shared" si="460"/>
        <v>-217</v>
      </c>
      <c r="Z411" s="456">
        <f t="shared" si="461"/>
        <v>-0.85891223698214203</v>
      </c>
      <c r="AA411" s="456">
        <f>_xll.xSPRDOPT($L411,$J411,$I411,$M411,$O411,$N411,$P411,$Q411-$C$3,$R411,3)</f>
        <v>1.8620823755692615</v>
      </c>
      <c r="AB411" s="456">
        <f>((_xll.xSPRDOPT($L411+AB$5,$J411,$I411,$M411,$O411,$N411,$P411,$Q411-$C$3,$R411,3)*$H411)/10000)/100</f>
        <v>-4.0407187549852974</v>
      </c>
      <c r="AC411" s="456">
        <f>((_xll.xSPRDOPT($L411+$AB$5,$J411,$I411,$M411,$O411,$N411,$P411,$Q411-$C$3,$R411,7)*$H411)/100)</f>
        <v>25383.29095356572</v>
      </c>
      <c r="AD411" s="456">
        <f>(_xll.xSPRDOPT($L411+$AB$5,$J411,$I411,$M411,$O411,$N411,$P411,$Q411-$C$3,$R411,9)/365)*$H411</f>
        <v>864.5076186285022</v>
      </c>
      <c r="AE411">
        <f t="shared" si="462"/>
        <v>0</v>
      </c>
      <c r="AF411" s="456">
        <f t="shared" si="463"/>
        <v>-961.42692628579107</v>
      </c>
      <c r="AG411" s="456">
        <f>((_xll.xSPRDOPT($L411,$J411,$I411,$M411,$O411,$N411,$P411,$Q411-$C$3,$R411,6)*$H411)/100)</f>
        <v>3111.1568737581165</v>
      </c>
      <c r="AH411" s="456">
        <f>((_xll.xSPRDOPT($L411,$J411,$I411,$M411,$O411,$N411,$P411,$Q411-$C$3,$R411,5)*$H411)/100)</f>
        <v>-4152.0136259312885</v>
      </c>
      <c r="AI411" s="456">
        <f>(((_xll.xSPRDOPT($L411,$J411,$I411,$M411,$O411,$N411,$P411,$Q411-$C$3,$R411,4)*$H411)/10000)/100)-AB411</f>
        <v>0.12593653997994636</v>
      </c>
      <c r="AJ411" s="456"/>
      <c r="AK411" s="456"/>
      <c r="AL411" s="456"/>
      <c r="AM411" s="472"/>
      <c r="CC411" s="141">
        <f t="shared" si="474"/>
        <v>36800</v>
      </c>
      <c r="CD411" s="234">
        <f>_xll.xSPRDOPT((VLOOKUP(G411,NGPrices,2,FALSE)+HLOOKUP(D411,Prices,VLOOKUP(G411,move_down,2,FALSE),FALSE)),VLOOKUP(G411,NGPrices,2,FALSE),I411,VLOOKUP(G411,NGPREVPRICES,4,FALSE),HLOOKUP(D411,PREVVOLS,VLOOKUP(G411,MOVE_DOWN2,2,FALSE),FALSE),VLOOKUP(G411,NGPREVPRICES,3,FALSE),HLOOKUP(D411,Correllate,VLOOKUP(G411,CorMove,2,FALSE),FALSE),Q411-$CD$3,R411,$CD$5)*H411-CJ411</f>
        <v>0</v>
      </c>
      <c r="CE411" s="234">
        <f>_xll.xSPRDOPT((VLOOKUP(G411,NGPREVPRICES,2,FALSE)+HLOOKUP(D411,PREVCURVES,VLOOKUP(G411,MOVE_DOWN2,2,FALSE),FALSE)),VLOOKUP(G411,NGPREVPRICES,2,FALSE),CK411,VLOOKUP(G411,NGPrices,4,FALSE),HLOOKUP(D411,PREVVOLS,VLOOKUP(G411,MOVE_DOWN2,2,FALSE),FALSE),VLOOKUP(G411,NGPREVPRICES,3,FALSE),HLOOKUP(D411,Correllate,VLOOKUP(G411,CorMove,2,FALSE),FALSE),Q411-$CD$3,R411,$CJ$5)*H411-CJ411</f>
        <v>0</v>
      </c>
      <c r="CF411" s="10">
        <f t="shared" si="475"/>
        <v>57.007667553261854</v>
      </c>
      <c r="CG411" s="234">
        <f>_xll.xSPRDOPT((VLOOKUP(G411,NGPREVPRICES,2,FALSE)+HLOOKUP(D411,PREVCURVES,VLOOKUP(G411,MOVE_DOWN2,2,FALSE),FALSE)),VLOOKUP(G411,NGPREVPRICES,2,FALSE),CK411,VLOOKUP(G411,NGPREVPRICES,4,FALSE),HLOOKUP(D411,VOLS,VLOOKUP(G411,move_down,2,FALSE),FALSE),VLOOKUP(G411,NGPrices,3,FALSE),HLOOKUP(D411,Correllate,VLOOKUP(G411,CorMove,2,FALSE),FALSE),Q411-$CD$3,R411,$CJ$5)*H411-CJ411</f>
        <v>0</v>
      </c>
      <c r="CH411" s="234">
        <f>_xll.xSPRDOPT((VLOOKUP(G411,NGPREVPRICES,2,FALSE)+HLOOKUP(D411,PREVCURVES,VLOOKUP(G411,MOVE_DOWN2,2,FALSE),FALSE)),VLOOKUP(G411,NGPREVPRICES,2,FALSE),CK411,VLOOKUP(G411,NGPREVPRICES,4,FALSE),HLOOKUP(D411,PREVVOLS,VLOOKUP(G411,MOVE_DOWN2,2,FALSE),FALSE),VLOOKUP(G411,NGPREVPRICES,3,FALSE),HLOOKUP(D411,Correllate,VLOOKUP(G411,CorMove,2,FALSE),FALSE),Q411-$C$3,R411,$CJ$5)*H411-CJ411</f>
        <v>865.68218800937757</v>
      </c>
      <c r="CI411" s="234">
        <f t="shared" si="476"/>
        <v>922.68985556263942</v>
      </c>
      <c r="CJ411" s="234">
        <f>_xll.xSPRDOPT((VLOOKUP(G411,NGPREVPRICES,2,FALSE)+HLOOKUP(D411,PREVCURVES,VLOOKUP(G411,MOVE_DOWN2,2,FALSE),FALSE)),VLOOKUP(G411,NGPREVPRICES,2,FALSE),CK411,VLOOKUP(G411,NGPREVPRICES,4,FALSE),HLOOKUP(D411,PREVVOLS,VLOOKUP(G411,MOVE_DOWN2,2,FALSE),FALSE),VLOOKUP(G411,NGPREVPRICES,3,FALSE),HLOOKUP(D411,Correllate,VLOOKUP(G411,CorMove,2,FALSE),FALSE),Q411-$CD$3,R411,$CJ$5)*H411</f>
        <v>-309226.43307393906</v>
      </c>
      <c r="CK411" s="235">
        <f t="shared" si="477"/>
        <v>0.55000000000000004</v>
      </c>
      <c r="CM411" t="str">
        <f t="shared" si="478"/>
        <v>36800Curve Shift/Gamma</v>
      </c>
      <c r="CN411" t="str">
        <f t="shared" si="435"/>
        <v>36800Rho</v>
      </c>
      <c r="CO411" t="str">
        <f t="shared" si="436"/>
        <v>36800Drift</v>
      </c>
      <c r="CP411" t="str">
        <f t="shared" si="437"/>
        <v>36800Vega</v>
      </c>
      <c r="CQ411" t="str">
        <f t="shared" si="438"/>
        <v>36800Theta</v>
      </c>
    </row>
    <row r="412" spans="1:95" x14ac:dyDescent="0.25">
      <c r="A412" t="s">
        <v>480</v>
      </c>
      <c r="B412" t="s">
        <v>250</v>
      </c>
      <c r="C412" t="s">
        <v>482</v>
      </c>
      <c r="D412" t="s">
        <v>7</v>
      </c>
      <c r="E412" t="s">
        <v>20</v>
      </c>
      <c r="F412" t="s">
        <v>1</v>
      </c>
      <c r="G412" s="5">
        <v>36800</v>
      </c>
      <c r="H412" s="130">
        <v>-930000</v>
      </c>
      <c r="I412">
        <v>0.55000000000000004</v>
      </c>
      <c r="J412" s="53">
        <f t="shared" si="464"/>
        <v>4.6920000000000002</v>
      </c>
      <c r="K412" s="7">
        <f t="shared" si="465"/>
        <v>0.41499999999999998</v>
      </c>
      <c r="L412" s="53">
        <f t="shared" si="466"/>
        <v>5.1070000000000002</v>
      </c>
      <c r="M412" s="157">
        <f t="shared" si="467"/>
        <v>6.8050789414654006E-2</v>
      </c>
      <c r="N412" s="4">
        <f t="shared" si="468"/>
        <v>0.57499999999999996</v>
      </c>
      <c r="O412" s="4">
        <f t="shared" si="469"/>
        <v>0.56399999999999995</v>
      </c>
      <c r="P412" s="9">
        <f t="shared" si="470"/>
        <v>0.99250000000000005</v>
      </c>
      <c r="Q412" s="5">
        <f t="shared" si="458"/>
        <v>36797</v>
      </c>
      <c r="R412" s="4">
        <f t="shared" si="471"/>
        <v>0</v>
      </c>
      <c r="S412" s="158">
        <f>_xll.xSPRDOPT($L412,$J412,$I412,$M412,$O412,$N412,$P412,$Q412-$C$3,$R412,0)</f>
        <v>0.1421017285188616</v>
      </c>
      <c r="T412" s="159">
        <f>_xll.xSPRDOPT($L412,$J412,$I412,$M412,$O412,$N412,$P412,$Q412-$C$3,$R412,1)*H412</f>
        <v>798788.38039339206</v>
      </c>
      <c r="U412" s="160">
        <f t="shared" si="472"/>
        <v>-132154.60752254128</v>
      </c>
      <c r="V412" s="159">
        <f>_xll.xSPRDOPT($L412,$J412,$I412,$M412,$O412,$N412,$P412,$Q412-$C$3,$R412,2)*H412</f>
        <v>-801777.35576670407</v>
      </c>
      <c r="W412" s="159">
        <f t="shared" si="473"/>
        <v>-2988.975373312016</v>
      </c>
      <c r="X412" s="51" t="str">
        <f t="shared" si="459"/>
        <v>36800IF-TRANSCO/Z6</v>
      </c>
      <c r="Y412" s="418">
        <f t="shared" si="460"/>
        <v>-93</v>
      </c>
      <c r="Z412" s="456">
        <f t="shared" si="461"/>
        <v>-0.85891223698214203</v>
      </c>
      <c r="AA412" s="456">
        <f>_xll.xSPRDOPT($L412,$J412,$I412,$M412,$O412,$N412,$P412,$Q412-$C$3,$R412,3)</f>
        <v>1.8620823755692615</v>
      </c>
      <c r="AB412" s="456">
        <f>((_xll.xSPRDOPT($L412+AB$5,$J412,$I412,$M412,$O412,$N412,$P412,$Q412-$C$3,$R412,3)*$H412)/10000)/100</f>
        <v>-1.7317366092794131</v>
      </c>
      <c r="AC412" s="456">
        <f>((_xll.xSPRDOPT($L412+$AB$5,$J412,$I412,$M412,$O412,$N412,$P412,$Q412-$C$3,$R412,7)*$H412)/100)</f>
        <v>10878.55326581388</v>
      </c>
      <c r="AD412" s="456">
        <f>(_xll.xSPRDOPT($L412+$AB$5,$J412,$I412,$M412,$O412,$N412,$P412,$Q412-$C$3,$R412,9)/365)*$H412</f>
        <v>370.50326512650093</v>
      </c>
      <c r="AE412">
        <f t="shared" si="462"/>
        <v>0</v>
      </c>
      <c r="AF412" s="456">
        <f t="shared" si="463"/>
        <v>-412.04011126533919</v>
      </c>
      <c r="AG412" s="456">
        <f>((_xll.xSPRDOPT($L412,$J412,$I412,$M412,$O412,$N412,$P412,$Q412-$C$3,$R412,6)*$H412)/100)</f>
        <v>1333.3529458963355</v>
      </c>
      <c r="AH412" s="456">
        <f>((_xll.xSPRDOPT($L412,$J412,$I412,$M412,$O412,$N412,$P412,$Q412-$C$3,$R412,5)*$H412)/100)</f>
        <v>-1779.4344111134094</v>
      </c>
      <c r="AI412" s="456">
        <f>(((_xll.xSPRDOPT($L412,$J412,$I412,$M412,$O412,$N412,$P412,$Q412-$C$3,$R412,4)*$H412)/10000)/100)-AB412</f>
        <v>5.397280284854844E-2</v>
      </c>
      <c r="AJ412" s="456"/>
      <c r="AK412" s="456"/>
      <c r="AL412" s="456"/>
      <c r="AM412" s="472"/>
      <c r="CC412" s="141">
        <f t="shared" si="474"/>
        <v>36800</v>
      </c>
      <c r="CD412" s="234">
        <f>_xll.xSPRDOPT((VLOOKUP(G412,NGPrices,2,FALSE)+HLOOKUP(D412,Prices,VLOOKUP(G412,move_down,2,FALSE),FALSE)),VLOOKUP(G412,NGPrices,2,FALSE),I412,VLOOKUP(G412,NGPREVPRICES,4,FALSE),HLOOKUP(D412,PREVVOLS,VLOOKUP(G412,MOVE_DOWN2,2,FALSE),FALSE),VLOOKUP(G412,NGPREVPRICES,3,FALSE),HLOOKUP(D412,Correllate,VLOOKUP(G412,CorMove,2,FALSE),FALSE),Q412-$CD$3,R412,$CD$5)*H412-CJ412</f>
        <v>0</v>
      </c>
      <c r="CE412" s="234">
        <f>_xll.xSPRDOPT((VLOOKUP(G412,NGPREVPRICES,2,FALSE)+HLOOKUP(D412,PREVCURVES,VLOOKUP(G412,MOVE_DOWN2,2,FALSE),FALSE)),VLOOKUP(G412,NGPREVPRICES,2,FALSE),CK412,VLOOKUP(G412,NGPrices,4,FALSE),HLOOKUP(D412,PREVVOLS,VLOOKUP(G412,MOVE_DOWN2,2,FALSE),FALSE),VLOOKUP(G412,NGPREVPRICES,3,FALSE),HLOOKUP(D412,Correllate,VLOOKUP(G412,CorMove,2,FALSE),FALSE),Q412-$CD$3,R412,$CJ$5)*H412-CJ412</f>
        <v>0</v>
      </c>
      <c r="CF412" s="10">
        <f t="shared" si="475"/>
        <v>24.431857522809878</v>
      </c>
      <c r="CG412" s="234">
        <f>_xll.xSPRDOPT((VLOOKUP(G412,NGPREVPRICES,2,FALSE)+HLOOKUP(D412,PREVCURVES,VLOOKUP(G412,MOVE_DOWN2,2,FALSE),FALSE)),VLOOKUP(G412,NGPREVPRICES,2,FALSE),CK412,VLOOKUP(G412,NGPREVPRICES,4,FALSE),HLOOKUP(D412,VOLS,VLOOKUP(G412,move_down,2,FALSE),FALSE),VLOOKUP(G412,NGPrices,3,FALSE),HLOOKUP(D412,Correllate,VLOOKUP(G412,CorMove,2,FALSE),FALSE),Q412-$CD$3,R412,$CJ$5)*H412-CJ412</f>
        <v>0</v>
      </c>
      <c r="CH412" s="234">
        <f>_xll.xSPRDOPT((VLOOKUP(G412,NGPREVPRICES,2,FALSE)+HLOOKUP(D412,PREVCURVES,VLOOKUP(G412,MOVE_DOWN2,2,FALSE),FALSE)),VLOOKUP(G412,NGPREVPRICES,2,FALSE),CK412,VLOOKUP(G412,NGPREVPRICES,4,FALSE),HLOOKUP(D412,PREVVOLS,VLOOKUP(G412,MOVE_DOWN2,2,FALSE),FALSE),VLOOKUP(G412,NGPREVPRICES,3,FALSE),HLOOKUP(D412,Correllate,VLOOKUP(G412,CorMove,2,FALSE),FALSE),Q412-$C$3,R412,$CJ$5)*H412-CJ412</f>
        <v>371.00665200402727</v>
      </c>
      <c r="CI412" s="234">
        <f t="shared" si="476"/>
        <v>395.43850952683715</v>
      </c>
      <c r="CJ412" s="234">
        <f>_xll.xSPRDOPT((VLOOKUP(G412,NGPREVPRICES,2,FALSE)+HLOOKUP(D412,PREVCURVES,VLOOKUP(G412,MOVE_DOWN2,2,FALSE),FALSE)),VLOOKUP(G412,NGPREVPRICES,2,FALSE),CK412,VLOOKUP(G412,NGPREVPRICES,4,FALSE),HLOOKUP(D412,PREVVOLS,VLOOKUP(G412,MOVE_DOWN2,2,FALSE),FALSE),VLOOKUP(G412,NGPREVPRICES,3,FALSE),HLOOKUP(D412,Correllate,VLOOKUP(G412,CorMove,2,FALSE),FALSE),Q412-$CD$3,R412,$CJ$5)*H412</f>
        <v>-132525.61417454531</v>
      </c>
      <c r="CK412" s="235">
        <f t="shared" si="477"/>
        <v>0.55000000000000004</v>
      </c>
      <c r="CM412" t="str">
        <f t="shared" si="478"/>
        <v>36800Curve Shift/Gamma</v>
      </c>
      <c r="CN412" t="str">
        <f t="shared" si="435"/>
        <v>36800Rho</v>
      </c>
      <c r="CO412" t="str">
        <f t="shared" si="436"/>
        <v>36800Drift</v>
      </c>
      <c r="CP412" t="str">
        <f t="shared" si="437"/>
        <v>36800Vega</v>
      </c>
      <c r="CQ412" t="str">
        <f t="shared" si="438"/>
        <v>36800Theta</v>
      </c>
    </row>
    <row r="413" spans="1:95" x14ac:dyDescent="0.25">
      <c r="A413" s="140" t="s">
        <v>284</v>
      </c>
      <c r="B413" t="s">
        <v>250</v>
      </c>
      <c r="C413" t="s">
        <v>479</v>
      </c>
      <c r="D413" t="s">
        <v>6</v>
      </c>
      <c r="E413" t="s">
        <v>20</v>
      </c>
      <c r="F413" t="s">
        <v>1</v>
      </c>
      <c r="G413" s="5">
        <v>36951</v>
      </c>
      <c r="H413" s="130">
        <v>-620000</v>
      </c>
      <c r="I413">
        <v>-0.3</v>
      </c>
      <c r="J413" s="53">
        <f t="shared" si="464"/>
        <v>4.2130000000000001</v>
      </c>
      <c r="K413" s="7">
        <f t="shared" si="465"/>
        <v>-0.13750000000000001</v>
      </c>
      <c r="L413" s="53">
        <f t="shared" si="466"/>
        <v>4.0754999999999999</v>
      </c>
      <c r="M413" s="157">
        <f t="shared" si="467"/>
        <v>6.8879814952706994E-2</v>
      </c>
      <c r="N413" s="4">
        <f t="shared" si="468"/>
        <v>0.53249999999999997</v>
      </c>
      <c r="O413" s="4">
        <f t="shared" si="469"/>
        <v>0.53300000000000003</v>
      </c>
      <c r="P413" s="9">
        <f t="shared" si="470"/>
        <v>0.995</v>
      </c>
      <c r="Q413" s="5">
        <f t="shared" si="458"/>
        <v>36949</v>
      </c>
      <c r="R413" s="4">
        <f t="shared" si="471"/>
        <v>0</v>
      </c>
      <c r="S413" s="158">
        <f>_xll.xSPRDOPT($L413,$J413,$I413,$M413,$O413,$N413,$P413,$Q413-$C$3,$R413,0)</f>
        <v>1.9162857175157314E-2</v>
      </c>
      <c r="T413" s="159">
        <f>_xll.xSPRDOPT($L413,$J413,$I413,$M413,$O413,$N413,$P413,$Q413-$C$3,$R413,1)*H413</f>
        <v>117012.67930240193</v>
      </c>
      <c r="U413" s="160">
        <f t="shared" si="472"/>
        <v>-11880.971448597535</v>
      </c>
      <c r="V413" s="159">
        <f>_xll.xSPRDOPT($L413,$J413,$I413,$M413,$O413,$N413,$P413,$Q413-$C$3,$R413,2)*H413</f>
        <v>-122416.01853769668</v>
      </c>
      <c r="W413" s="159">
        <f t="shared" si="473"/>
        <v>-5403.3392352947558</v>
      </c>
      <c r="X413" s="51" t="str">
        <f t="shared" si="459"/>
        <v>36951IF-PAN/TX/OK</v>
      </c>
      <c r="Y413" s="418">
        <f t="shared" si="460"/>
        <v>-62</v>
      </c>
      <c r="Z413" s="456">
        <f t="shared" si="461"/>
        <v>-0.18873012790709989</v>
      </c>
      <c r="AA413" s="456">
        <f>_xll.xSPRDOPT($L413,$J413,$I413,$M413,$O413,$N413,$P413,$Q413-$C$3,$R413,3)</f>
        <v>1.4565900664622249</v>
      </c>
      <c r="AB413" s="456">
        <f>((_xll.xSPRDOPT($L413+AB$5,$J413,$I413,$M413,$O413,$N413,$P413,$Q413-$C$3,$R413,3)*$H413)/10000)/100</f>
        <v>-0.90308584120657942</v>
      </c>
      <c r="AC413" s="456">
        <f>((_xll.xSPRDOPT($L413+$AB$5,$J413,$I413,$M413,$O413,$N413,$P413,$Q413-$C$3,$R413,7)*$H413)/100)</f>
        <v>22497.97541271073</v>
      </c>
      <c r="AD413" s="456">
        <f>(_xll.xSPRDOPT($L413+$AB$5,$J413,$I413,$M413,$O413,$N413,$P413,$Q413-$C$3,$R413,9)/365)*$H413</f>
        <v>82.376643146671285</v>
      </c>
      <c r="AE413">
        <f t="shared" si="462"/>
        <v>0</v>
      </c>
      <c r="AF413" s="456">
        <f t="shared" si="463"/>
        <v>-578.03062264765003</v>
      </c>
      <c r="AG413" s="456">
        <f>((_xll.xSPRDOPT($L413,$J413,$I413,$M413,$O413,$N413,$P413,$Q413-$C$3,$R413,6)*$H413)/100)</f>
        <v>-2740.9323939496053</v>
      </c>
      <c r="AH413" s="456">
        <f>((_xll.xSPRDOPT($L413,$J413,$I413,$M413,$O413,$N413,$P413,$Q413-$C$3,$R413,5)*$H413)/100)</f>
        <v>2160.8727827735293</v>
      </c>
      <c r="AI413" s="456">
        <f>(((_xll.xSPRDOPT($L413,$J413,$I413,$M413,$O413,$N413,$P413,$Q413-$C$3,$R413,4)*$H413)/10000)/100)-AB413</f>
        <v>-4.7725838577008961E-2</v>
      </c>
      <c r="AJ413" s="456"/>
      <c r="AK413" s="456"/>
      <c r="AL413" s="456"/>
      <c r="AM413" s="472"/>
      <c r="CC413" s="141">
        <f t="shared" si="474"/>
        <v>36951</v>
      </c>
      <c r="CD413" s="234">
        <f>_xll.xSPRDOPT((VLOOKUP(G413,NGPrices,2,FALSE)+HLOOKUP(D413,Prices,VLOOKUP(G413,move_down,2,FALSE),FALSE)),VLOOKUP(G413,NGPrices,2,FALSE),I413,VLOOKUP(G413,NGPREVPRICES,4,FALSE),HLOOKUP(D413,PREVVOLS,VLOOKUP(G413,MOVE_DOWN2,2,FALSE),FALSE),VLOOKUP(G413,NGPREVPRICES,3,FALSE),HLOOKUP(D413,Correllate,VLOOKUP(G413,CorMove,2,FALSE),FALSE),Q413-$CD$3,R413,$CD$5)*H413-CJ413</f>
        <v>0</v>
      </c>
      <c r="CE413" s="234">
        <f>_xll.xSPRDOPT((VLOOKUP(G413,NGPREVPRICES,2,FALSE)+HLOOKUP(D413,PREVCURVES,VLOOKUP(G413,MOVE_DOWN2,2,FALSE),FALSE)),VLOOKUP(G413,NGPREVPRICES,2,FALSE),CK413,VLOOKUP(G413,NGPrices,4,FALSE),HLOOKUP(D413,PREVVOLS,VLOOKUP(G413,MOVE_DOWN2,2,FALSE),FALSE),VLOOKUP(G413,NGPREVPRICES,3,FALSE),HLOOKUP(D413,Correllate,VLOOKUP(G413,CorMove,2,FALSE),FALSE),Q413-$CD$3,R413,$CJ$5)*H413-CJ413</f>
        <v>0</v>
      </c>
      <c r="CF413" s="10">
        <f t="shared" si="475"/>
        <v>2.2943725768291188</v>
      </c>
      <c r="CG413" s="234">
        <f>_xll.xSPRDOPT((VLOOKUP(G413,NGPREVPRICES,2,FALSE)+HLOOKUP(D413,PREVCURVES,VLOOKUP(G413,MOVE_DOWN2,2,FALSE),FALSE)),VLOOKUP(G413,NGPREVPRICES,2,FALSE),CK413,VLOOKUP(G413,NGPREVPRICES,4,FALSE),HLOOKUP(D413,VOLS,VLOOKUP(G413,move_down,2,FALSE),FALSE),VLOOKUP(G413,NGPrices,3,FALSE),HLOOKUP(D413,Correllate,VLOOKUP(G413,CorMove,2,FALSE),FALSE),Q413-$CD$3,R413,$CJ$5)*H413-CJ413</f>
        <v>0</v>
      </c>
      <c r="CH413" s="234">
        <f>_xll.xSPRDOPT((VLOOKUP(G413,NGPREVPRICES,2,FALSE)+HLOOKUP(D413,PREVCURVES,VLOOKUP(G413,MOVE_DOWN2,2,FALSE),FALSE)),VLOOKUP(G413,NGPREVPRICES,2,FALSE),CK413,VLOOKUP(G413,NGPREVPRICES,4,FALSE),HLOOKUP(D413,PREVVOLS,VLOOKUP(G413,MOVE_DOWN2,2,FALSE),FALSE),VLOOKUP(G413,NGPREVPRICES,3,FALSE),HLOOKUP(D413,Correllate,VLOOKUP(G413,CorMove,2,FALSE),FALSE),Q413-$C$3,R413,$CJ$5)*H413-CJ413</f>
        <v>82.278589192239451</v>
      </c>
      <c r="CI413" s="234">
        <f t="shared" si="476"/>
        <v>84.57296176906857</v>
      </c>
      <c r="CJ413" s="234">
        <f>_xll.xSPRDOPT((VLOOKUP(G413,NGPREVPRICES,2,FALSE)+HLOOKUP(D413,PREVCURVES,VLOOKUP(G413,MOVE_DOWN2,2,FALSE),FALSE)),VLOOKUP(G413,NGPREVPRICES,2,FALSE),CK413,VLOOKUP(G413,NGPREVPRICES,4,FALSE),HLOOKUP(D413,PREVVOLS,VLOOKUP(G413,MOVE_DOWN2,2,FALSE),FALSE),VLOOKUP(G413,NGPREVPRICES,3,FALSE),HLOOKUP(D413,Correllate,VLOOKUP(G413,CorMove,2,FALSE),FALSE),Q413-$CD$3,R413,$CJ$5)*H413</f>
        <v>-11963.250037789774</v>
      </c>
      <c r="CK413" s="235">
        <f t="shared" si="477"/>
        <v>-0.3</v>
      </c>
      <c r="CM413" t="str">
        <f t="shared" si="478"/>
        <v>36951Curve Shift/Gamma</v>
      </c>
      <c r="CN413" t="str">
        <f t="shared" si="435"/>
        <v>36951Rho</v>
      </c>
      <c r="CO413" t="str">
        <f t="shared" si="436"/>
        <v>36951Drift</v>
      </c>
      <c r="CP413" t="str">
        <f t="shared" si="437"/>
        <v>36951Vega</v>
      </c>
      <c r="CQ413" t="str">
        <f t="shared" si="438"/>
        <v>36951Theta</v>
      </c>
    </row>
    <row r="414" spans="1:95" x14ac:dyDescent="0.25">
      <c r="A414" s="140" t="s">
        <v>284</v>
      </c>
      <c r="B414" t="s">
        <v>250</v>
      </c>
      <c r="C414" t="s">
        <v>479</v>
      </c>
      <c r="D414" t="s">
        <v>6</v>
      </c>
      <c r="E414" t="s">
        <v>20</v>
      </c>
      <c r="F414" t="s">
        <v>1</v>
      </c>
      <c r="G414" s="5">
        <v>36923</v>
      </c>
      <c r="H414" s="130">
        <v>-560000</v>
      </c>
      <c r="I414">
        <v>-0.3</v>
      </c>
      <c r="J414" s="53">
        <f t="shared" si="464"/>
        <v>4.4800000000000004</v>
      </c>
      <c r="K414" s="7">
        <f t="shared" si="465"/>
        <v>-0.14499999999999999</v>
      </c>
      <c r="L414" s="53">
        <f t="shared" si="466"/>
        <v>4.3350000000000009</v>
      </c>
      <c r="M414" s="157">
        <f t="shared" si="467"/>
        <v>6.8640161611372E-2</v>
      </c>
      <c r="N414" s="4">
        <f t="shared" si="468"/>
        <v>0.59250000000000003</v>
      </c>
      <c r="O414" s="4">
        <f t="shared" si="469"/>
        <v>0.59299999999999997</v>
      </c>
      <c r="P414" s="9">
        <f t="shared" si="470"/>
        <v>0.995</v>
      </c>
      <c r="Q414" s="5">
        <f t="shared" si="458"/>
        <v>36921</v>
      </c>
      <c r="R414" s="4">
        <f t="shared" si="471"/>
        <v>0</v>
      </c>
      <c r="S414" s="158">
        <f>_xll.xSPRDOPT($L414,$J414,$I414,$M414,$O414,$N414,$P414,$Q414-$C$3,$R414,0)</f>
        <v>2.453689792150128E-2</v>
      </c>
      <c r="T414" s="159">
        <f>_xll.xSPRDOPT($L414,$J414,$I414,$M414,$O414,$N414,$P414,$Q414-$C$3,$R414,1)*H414</f>
        <v>120952.39283179338</v>
      </c>
      <c r="U414" s="160">
        <f t="shared" si="472"/>
        <v>-13740.662836040718</v>
      </c>
      <c r="V414" s="159">
        <f>_xll.xSPRDOPT($L414,$J414,$I414,$M414,$O414,$N414,$P414,$Q414-$C$3,$R414,2)*H414</f>
        <v>-126425.3325408278</v>
      </c>
      <c r="W414" s="159">
        <f t="shared" si="473"/>
        <v>-5472.9397090344282</v>
      </c>
      <c r="X414" s="51" t="str">
        <f t="shared" si="459"/>
        <v>36923IF-PAN/TX/OK</v>
      </c>
      <c r="Y414" s="418">
        <f t="shared" si="460"/>
        <v>-56</v>
      </c>
      <c r="Z414" s="456">
        <f t="shared" si="461"/>
        <v>-0.21598641577105959</v>
      </c>
      <c r="AA414" s="456">
        <f>_xll.xSPRDOPT($L414,$J414,$I414,$M414,$O414,$N414,$P414,$Q414-$C$3,$R414,3)</f>
        <v>1.4683920154444698</v>
      </c>
      <c r="AB414" s="456">
        <f>((_xll.xSPRDOPT($L414+AB$5,$J414,$I414,$M414,$O414,$N414,$P414,$Q414-$C$3,$R414,3)*$H414)/10000)/100</f>
        <v>-0.8222995286489031</v>
      </c>
      <c r="AC414" s="456">
        <f>((_xll.xSPRDOPT($L414+$AB$5,$J414,$I414,$M414,$O414,$N414,$P414,$Q414-$C$3,$R414,7)*$H414)/100)</f>
        <v>24217.918756993953</v>
      </c>
      <c r="AD414" s="456">
        <f>(_xll.xSPRDOPT($L414+$AB$5,$J414,$I414,$M414,$O414,$N414,$P414,$Q414-$C$3,$R414,9)/365)*$H414</f>
        <v>102.92638664334716</v>
      </c>
      <c r="AE414">
        <f t="shared" si="462"/>
        <v>0</v>
      </c>
      <c r="AF414" s="456">
        <f t="shared" si="463"/>
        <v>-548.10050752177858</v>
      </c>
      <c r="AG414" s="456">
        <f>((_xll.xSPRDOPT($L414,$J414,$I414,$M414,$O414,$N414,$P414,$Q414-$C$3,$R414,6)*$H414)/100)</f>
        <v>-2549.1285103845421</v>
      </c>
      <c r="AH414" s="456">
        <f>((_xll.xSPRDOPT($L414,$J414,$I414,$M414,$O414,$N414,$P414,$Q414-$C$3,$R414,5)*$H414)/100)</f>
        <v>1999.3407954404511</v>
      </c>
      <c r="AI414" s="456">
        <f>(((_xll.xSPRDOPT($L414,$J414,$I414,$M414,$O414,$N414,$P414,$Q414-$C$3,$R414,4)*$H414)/10000)/100)-AB414</f>
        <v>-3.968321346767012E-2</v>
      </c>
      <c r="AJ414" s="456"/>
      <c r="AK414" s="456"/>
      <c r="AL414" s="456"/>
      <c r="AM414" s="472"/>
      <c r="CC414" s="141">
        <f t="shared" si="474"/>
        <v>36923</v>
      </c>
      <c r="CD414" s="234">
        <f>_xll.xSPRDOPT((VLOOKUP(G414,NGPrices,2,FALSE)+HLOOKUP(D414,Prices,VLOOKUP(G414,move_down,2,FALSE),FALSE)),VLOOKUP(G414,NGPrices,2,FALSE),I414,VLOOKUP(G414,NGPREVPRICES,4,FALSE),HLOOKUP(D414,PREVVOLS,VLOOKUP(G414,MOVE_DOWN2,2,FALSE),FALSE),VLOOKUP(G414,NGPREVPRICES,3,FALSE),HLOOKUP(D414,Correllate,VLOOKUP(G414,CorMove,2,FALSE),FALSE),Q414-$CD$3,R414,$CD$5)*H414-CJ414</f>
        <v>0</v>
      </c>
      <c r="CE414" s="234">
        <f>_xll.xSPRDOPT((VLOOKUP(G414,NGPREVPRICES,2,FALSE)+HLOOKUP(D414,PREVCURVES,VLOOKUP(G414,MOVE_DOWN2,2,FALSE),FALSE)),VLOOKUP(G414,NGPREVPRICES,2,FALSE),CK414,VLOOKUP(G414,NGPrices,4,FALSE),HLOOKUP(D414,PREVVOLS,VLOOKUP(G414,MOVE_DOWN2,2,FALSE),FALSE),VLOOKUP(G414,NGPREVPRICES,3,FALSE),HLOOKUP(D414,Correllate,VLOOKUP(G414,CorMove,2,FALSE),FALSE),Q414-$CD$3,R414,$CJ$5)*H414-CJ414</f>
        <v>0</v>
      </c>
      <c r="CF414" s="10">
        <f t="shared" si="475"/>
        <v>2.6328614821541123</v>
      </c>
      <c r="CG414" s="234">
        <f>_xll.xSPRDOPT((VLOOKUP(G414,NGPREVPRICES,2,FALSE)+HLOOKUP(D414,PREVCURVES,VLOOKUP(G414,MOVE_DOWN2,2,FALSE),FALSE)),VLOOKUP(G414,NGPREVPRICES,2,FALSE),CK414,VLOOKUP(G414,NGPREVPRICES,4,FALSE),HLOOKUP(D414,VOLS,VLOOKUP(G414,move_down,2,FALSE),FALSE),VLOOKUP(G414,NGPrices,3,FALSE),HLOOKUP(D414,Correllate,VLOOKUP(G414,CorMove,2,FALSE),FALSE),Q414-$CD$3,R414,$CJ$5)*H414-CJ414</f>
        <v>0</v>
      </c>
      <c r="CH414" s="234">
        <f>_xll.xSPRDOPT((VLOOKUP(G414,NGPREVPRICES,2,FALSE)+HLOOKUP(D414,PREVCURVES,VLOOKUP(G414,MOVE_DOWN2,2,FALSE),FALSE)),VLOOKUP(G414,NGPREVPRICES,2,FALSE),CK414,VLOOKUP(G414,NGPREVPRICES,4,FALSE),HLOOKUP(D414,PREVVOLS,VLOOKUP(G414,MOVE_DOWN2,2,FALSE),FALSE),VLOOKUP(G414,NGPREVPRICES,3,FALSE),HLOOKUP(D414,Correllate,VLOOKUP(G414,CorMove,2,FALSE),FALSE),Q414-$C$3,R414,$CJ$5)*H414-CJ414</f>
        <v>102.7711979144151</v>
      </c>
      <c r="CI414" s="234">
        <f t="shared" si="476"/>
        <v>105.40405939656921</v>
      </c>
      <c r="CJ414" s="234">
        <f>_xll.xSPRDOPT((VLOOKUP(G414,NGPREVPRICES,2,FALSE)+HLOOKUP(D414,PREVCURVES,VLOOKUP(G414,MOVE_DOWN2,2,FALSE),FALSE)),VLOOKUP(G414,NGPREVPRICES,2,FALSE),CK414,VLOOKUP(G414,NGPREVPRICES,4,FALSE),HLOOKUP(D414,PREVVOLS,VLOOKUP(G414,MOVE_DOWN2,2,FALSE),FALSE),VLOOKUP(G414,NGPREVPRICES,3,FALSE),HLOOKUP(D414,Correllate,VLOOKUP(G414,CorMove,2,FALSE),FALSE),Q414-$CD$3,R414,$CJ$5)*H414</f>
        <v>-13843.434033955133</v>
      </c>
      <c r="CK414" s="235">
        <f t="shared" si="477"/>
        <v>-0.3</v>
      </c>
      <c r="CM414" t="str">
        <f t="shared" si="478"/>
        <v>36923Curve Shift/Gamma</v>
      </c>
      <c r="CN414" t="str">
        <f t="shared" si="435"/>
        <v>36923Rho</v>
      </c>
      <c r="CO414" t="str">
        <f t="shared" si="436"/>
        <v>36923Drift</v>
      </c>
      <c r="CP414" t="str">
        <f t="shared" si="437"/>
        <v>36923Vega</v>
      </c>
      <c r="CQ414" t="str">
        <f t="shared" si="438"/>
        <v>36923Theta</v>
      </c>
    </row>
    <row r="415" spans="1:95" x14ac:dyDescent="0.25">
      <c r="A415" s="140" t="s">
        <v>284</v>
      </c>
      <c r="B415" t="s">
        <v>250</v>
      </c>
      <c r="C415" t="s">
        <v>479</v>
      </c>
      <c r="D415" t="s">
        <v>6</v>
      </c>
      <c r="E415" t="s">
        <v>20</v>
      </c>
      <c r="F415" t="s">
        <v>1</v>
      </c>
      <c r="G415" s="5">
        <v>36892</v>
      </c>
      <c r="H415" s="130">
        <v>-620000</v>
      </c>
      <c r="I415">
        <v>-0.3</v>
      </c>
      <c r="J415" s="53">
        <f t="shared" si="464"/>
        <v>4.7439999999999998</v>
      </c>
      <c r="K415" s="7">
        <f t="shared" si="465"/>
        <v>-0.16</v>
      </c>
      <c r="L415" s="53">
        <f t="shared" si="466"/>
        <v>4.5839999999999996</v>
      </c>
      <c r="M415" s="157">
        <f t="shared" si="467"/>
        <v>6.8374831148490994E-2</v>
      </c>
      <c r="N415" s="4">
        <f t="shared" si="468"/>
        <v>0.60499999999999998</v>
      </c>
      <c r="O415" s="4">
        <f t="shared" si="469"/>
        <v>0.60499999999999998</v>
      </c>
      <c r="P415" s="9">
        <f t="shared" si="470"/>
        <v>0.995</v>
      </c>
      <c r="Q415" s="5">
        <f t="shared" si="458"/>
        <v>36888</v>
      </c>
      <c r="R415" s="4">
        <f t="shared" si="471"/>
        <v>0</v>
      </c>
      <c r="S415" s="158">
        <f>_xll.xSPRDOPT($L415,$J415,$I415,$M415,$O415,$N415,$P415,$Q415-$C$3,$R415,0)</f>
        <v>2.4970232835891861E-2</v>
      </c>
      <c r="T415" s="159">
        <f>_xll.xSPRDOPT($L415,$J415,$I415,$M415,$O415,$N415,$P415,$Q415-$C$3,$R415,1)*H415</f>
        <v>141080.31039630674</v>
      </c>
      <c r="U415" s="160">
        <f t="shared" si="472"/>
        <v>-15481.544358252953</v>
      </c>
      <c r="V415" s="159">
        <f>_xll.xSPRDOPT($L415,$J415,$I415,$M415,$O415,$N415,$P415,$Q415-$C$3,$R415,2)*H415</f>
        <v>-146778.85408049542</v>
      </c>
      <c r="W415" s="159">
        <f t="shared" si="473"/>
        <v>-5698.543684188684</v>
      </c>
      <c r="X415" s="51" t="str">
        <f t="shared" si="459"/>
        <v>36892IF-PAN/TX/OK</v>
      </c>
      <c r="Y415" s="418">
        <f t="shared" si="460"/>
        <v>-62</v>
      </c>
      <c r="Z415" s="456">
        <f t="shared" si="461"/>
        <v>-0.22754888773597862</v>
      </c>
      <c r="AA415" s="456">
        <f>_xll.xSPRDOPT($L415,$J415,$I415,$M415,$O415,$N415,$P415,$Q415-$C$3,$R415,3)</f>
        <v>1.5915518952046446</v>
      </c>
      <c r="AB415" s="456">
        <f>((_xll.xSPRDOPT($L415+AB$5,$J415,$I415,$M415,$O415,$N415,$P415,$Q415-$C$3,$R415,3)*$H415)/10000)/100</f>
        <v>-0.98676217502687957</v>
      </c>
      <c r="AC415" s="456">
        <f>((_xll.xSPRDOPT($L415+$AB$5,$J415,$I415,$M415,$O415,$N415,$P415,$Q415-$C$3,$R415,7)*$H415)/100)</f>
        <v>26559.814584651176</v>
      </c>
      <c r="AD415" s="456">
        <f>(_xll.xSPRDOPT($L415+$AB$5,$J415,$I415,$M415,$O415,$N415,$P415,$Q415-$C$3,$R415,9)/365)*$H415</f>
        <v>142.86974345471313</v>
      </c>
      <c r="AE415">
        <f t="shared" si="462"/>
        <v>0</v>
      </c>
      <c r="AF415" s="456">
        <f t="shared" si="463"/>
        <v>-582.68036826442722</v>
      </c>
      <c r="AG415" s="456">
        <f>((_xll.xSPRDOPT($L415,$J415,$I415,$M415,$O415,$N415,$P415,$Q415-$C$3,$R415,6)*$H415)/100)</f>
        <v>-2705.9066049999005</v>
      </c>
      <c r="AH415" s="456">
        <f>((_xll.xSPRDOPT($L415,$J415,$I415,$M415,$O415,$N415,$P415,$Q415-$C$3,$R415,5)*$H415)/100)</f>
        <v>2123.2262367354733</v>
      </c>
      <c r="AI415" s="456">
        <f>(((_xll.xSPRDOPT($L415,$J415,$I415,$M415,$O415,$N415,$P415,$Q415-$C$3,$R415,4)*$H415)/10000)/100)-AB415</f>
        <v>-4.1622558432941492E-2</v>
      </c>
      <c r="AJ415" s="456"/>
      <c r="AK415" s="456"/>
      <c r="AL415" s="456"/>
      <c r="AM415" s="472"/>
      <c r="CC415" s="141">
        <f t="shared" si="474"/>
        <v>36892</v>
      </c>
      <c r="CD415" s="234">
        <f>_xll.xSPRDOPT((VLOOKUP(G415,NGPrices,2,FALSE)+HLOOKUP(D415,Prices,VLOOKUP(G415,move_down,2,FALSE),FALSE)),VLOOKUP(G415,NGPrices,2,FALSE),I415,VLOOKUP(G415,NGPREVPRICES,4,FALSE),HLOOKUP(D415,PREVVOLS,VLOOKUP(G415,MOVE_DOWN2,2,FALSE),FALSE),VLOOKUP(G415,NGPREVPRICES,3,FALSE),HLOOKUP(D415,Correllate,VLOOKUP(G415,CorMove,2,FALSE),FALSE),Q415-$CD$3,R415,$CD$5)*H415-CJ415</f>
        <v>0</v>
      </c>
      <c r="CE415" s="234">
        <f>_xll.xSPRDOPT((VLOOKUP(G415,NGPREVPRICES,2,FALSE)+HLOOKUP(D415,PREVCURVES,VLOOKUP(G415,MOVE_DOWN2,2,FALSE),FALSE)),VLOOKUP(G415,NGPREVPRICES,2,FALSE),CK415,VLOOKUP(G415,NGPrices,4,FALSE),HLOOKUP(D415,PREVVOLS,VLOOKUP(G415,MOVE_DOWN2,2,FALSE),FALSE),VLOOKUP(G415,NGPREVPRICES,3,FALSE),HLOOKUP(D415,Correllate,VLOOKUP(G415,CorMove,2,FALSE),FALSE),Q415-$CD$3,R415,$CJ$5)*H415-CJ415</f>
        <v>0</v>
      </c>
      <c r="CF415" s="10">
        <f t="shared" si="475"/>
        <v>2.9442343057653488</v>
      </c>
      <c r="CG415" s="234">
        <f>_xll.xSPRDOPT((VLOOKUP(G415,NGPREVPRICES,2,FALSE)+HLOOKUP(D415,PREVCURVES,VLOOKUP(G415,MOVE_DOWN2,2,FALSE),FALSE)),VLOOKUP(G415,NGPREVPRICES,2,FALSE),CK415,VLOOKUP(G415,NGPREVPRICES,4,FALSE),HLOOKUP(D415,VOLS,VLOOKUP(G415,move_down,2,FALSE),FALSE),VLOOKUP(G415,NGPrices,3,FALSE),HLOOKUP(D415,Correllate,VLOOKUP(G415,CorMove,2,FALSE),FALSE),Q415-$CD$3,R415,$CJ$5)*H415-CJ415</f>
        <v>0</v>
      </c>
      <c r="CH415" s="234">
        <f>_xll.xSPRDOPT((VLOOKUP(G415,NGPREVPRICES,2,FALSE)+HLOOKUP(D415,PREVCURVES,VLOOKUP(G415,MOVE_DOWN2,2,FALSE),FALSE)),VLOOKUP(G415,NGPREVPRICES,2,FALSE),CK415,VLOOKUP(G415,NGPREVPRICES,4,FALSE),HLOOKUP(D415,PREVVOLS,VLOOKUP(G415,MOVE_DOWN2,2,FALSE),FALSE),VLOOKUP(G415,NGPREVPRICES,3,FALSE),HLOOKUP(D415,Correllate,VLOOKUP(G415,CorMove,2,FALSE),FALSE),Q415-$C$3,R415,$CJ$5)*H415-CJ415</f>
        <v>142.61249028783095</v>
      </c>
      <c r="CI415" s="234">
        <f t="shared" si="476"/>
        <v>145.5567245935963</v>
      </c>
      <c r="CJ415" s="234">
        <f>_xll.xSPRDOPT((VLOOKUP(G415,NGPREVPRICES,2,FALSE)+HLOOKUP(D415,PREVCURVES,VLOOKUP(G415,MOVE_DOWN2,2,FALSE),FALSE)),VLOOKUP(G415,NGPREVPRICES,2,FALSE),CK415,VLOOKUP(G415,NGPREVPRICES,4,FALSE),HLOOKUP(D415,PREVVOLS,VLOOKUP(G415,MOVE_DOWN2,2,FALSE),FALSE),VLOOKUP(G415,NGPREVPRICES,3,FALSE),HLOOKUP(D415,Correllate,VLOOKUP(G415,CorMove,2,FALSE),FALSE),Q415-$CD$3,R415,$CJ$5)*H415</f>
        <v>-15624.156848540784</v>
      </c>
      <c r="CK415" s="235">
        <f t="shared" si="477"/>
        <v>-0.3</v>
      </c>
      <c r="CM415" t="str">
        <f t="shared" si="478"/>
        <v>36892Curve Shift/Gamma</v>
      </c>
      <c r="CN415" t="str">
        <f t="shared" si="435"/>
        <v>36892Rho</v>
      </c>
      <c r="CO415" t="str">
        <f t="shared" si="436"/>
        <v>36892Drift</v>
      </c>
      <c r="CP415" t="str">
        <f t="shared" si="437"/>
        <v>36892Vega</v>
      </c>
      <c r="CQ415" t="str">
        <f t="shared" si="438"/>
        <v>36892Theta</v>
      </c>
    </row>
    <row r="416" spans="1:95" x14ac:dyDescent="0.25">
      <c r="A416" s="140" t="s">
        <v>284</v>
      </c>
      <c r="B416" t="s">
        <v>250</v>
      </c>
      <c r="C416" t="s">
        <v>479</v>
      </c>
      <c r="D416" t="s">
        <v>6</v>
      </c>
      <c r="E416" t="s">
        <v>20</v>
      </c>
      <c r="F416" t="s">
        <v>1</v>
      </c>
      <c r="G416" s="5">
        <v>36861</v>
      </c>
      <c r="H416" s="130">
        <v>-620000</v>
      </c>
      <c r="I416">
        <v>-0.3</v>
      </c>
      <c r="J416" s="53">
        <f t="shared" si="464"/>
        <v>4.8</v>
      </c>
      <c r="K416" s="7">
        <f t="shared" si="465"/>
        <v>-0.1525</v>
      </c>
      <c r="L416" s="53">
        <f t="shared" si="466"/>
        <v>4.6475</v>
      </c>
      <c r="M416" s="157">
        <f t="shared" si="467"/>
        <v>6.8314027999354002E-2</v>
      </c>
      <c r="N416" s="4">
        <f t="shared" si="468"/>
        <v>0.6</v>
      </c>
      <c r="O416" s="4">
        <f t="shared" si="469"/>
        <v>0.6</v>
      </c>
      <c r="P416" s="9">
        <f t="shared" si="470"/>
        <v>0.995</v>
      </c>
      <c r="Q416" s="5">
        <f t="shared" si="458"/>
        <v>36859</v>
      </c>
      <c r="R416" s="4">
        <f t="shared" si="471"/>
        <v>0</v>
      </c>
      <c r="S416" s="158">
        <f>_xll.xSPRDOPT($L416,$J416,$I416,$M416,$O416,$N416,$P416,$Q416-$C$3,$R416,0)</f>
        <v>1.6678929293437655E-2</v>
      </c>
      <c r="T416" s="159">
        <f>_xll.xSPRDOPT($L416,$J416,$I416,$M416,$O416,$N416,$P416,$Q416-$C$3,$R416,1)*H416</f>
        <v>114644.35812818758</v>
      </c>
      <c r="U416" s="160">
        <f t="shared" si="472"/>
        <v>-10340.936161931346</v>
      </c>
      <c r="V416" s="159">
        <f>_xll.xSPRDOPT($L416,$J416,$I416,$M416,$O416,$N416,$P416,$Q416-$C$3,$R416,2)*H416</f>
        <v>-119031.28661188517</v>
      </c>
      <c r="W416" s="159">
        <f t="shared" si="473"/>
        <v>-4386.9284836975858</v>
      </c>
      <c r="X416" s="51" t="str">
        <f t="shared" si="459"/>
        <v>36861IF-PAN/TX/OK</v>
      </c>
      <c r="Y416" s="418">
        <f t="shared" si="460"/>
        <v>-62</v>
      </c>
      <c r="Z416" s="456">
        <f t="shared" si="461"/>
        <v>-0.18491025504546385</v>
      </c>
      <c r="AA416" s="456">
        <f>_xll.xSPRDOPT($L416,$J416,$I416,$M416,$O416,$N416,$P416,$Q416-$C$3,$R416,3)</f>
        <v>1.6151726715376302</v>
      </c>
      <c r="AB416" s="456">
        <f>((_xll.xSPRDOPT($L416+AB$5,$J416,$I416,$M416,$O416,$N416,$P416,$Q416-$C$3,$R416,3)*$H416)/10000)/100</f>
        <v>-1.0014070563533308</v>
      </c>
      <c r="AC416" s="456">
        <f>((_xll.xSPRDOPT($L416+$AB$5,$J416,$I416,$M416,$O416,$N416,$P416,$Q416-$C$3,$R416,7)*$H416)/100)</f>
        <v>20709.739694955482</v>
      </c>
      <c r="AD416" s="456">
        <f>(_xll.xSPRDOPT($L416+$AB$5,$J416,$I416,$M416,$O416,$N416,$P416,$Q416-$C$3,$R416,9)/365)*$H416</f>
        <v>146.23458316538051</v>
      </c>
      <c r="AE416">
        <f t="shared" si="462"/>
        <v>0</v>
      </c>
      <c r="AF416" s="456">
        <f t="shared" si="463"/>
        <v>-454.07699631780315</v>
      </c>
      <c r="AG416" s="456">
        <f>((_xll.xSPRDOPT($L416,$J416,$I416,$M416,$O416,$N416,$P416,$Q416-$C$3,$R416,6)*$H416)/100)</f>
        <v>-2108.9701470575365</v>
      </c>
      <c r="AH416" s="456">
        <f>((_xll.xSPRDOPT($L416,$J416,$I416,$M416,$O416,$N416,$P416,$Q416-$C$3,$R416,5)*$H416)/100)</f>
        <v>1654.8931507397333</v>
      </c>
      <c r="AI416" s="456">
        <f>(((_xll.xSPRDOPT($L416,$J416,$I416,$M416,$O416,$N416,$P416,$Q416-$C$3,$R416,4)*$H416)/10000)/100)-AB416</f>
        <v>-4.5474097343838782E-2</v>
      </c>
      <c r="AJ416" s="456"/>
      <c r="AK416" s="456"/>
      <c r="AL416" s="456"/>
      <c r="AM416" s="472"/>
      <c r="CC416" s="141">
        <f t="shared" si="474"/>
        <v>36861</v>
      </c>
      <c r="CD416" s="234">
        <f>_xll.xSPRDOPT((VLOOKUP(G416,NGPrices,2,FALSE)+HLOOKUP(D416,Prices,VLOOKUP(G416,move_down,2,FALSE),FALSE)),VLOOKUP(G416,NGPrices,2,FALSE),I416,VLOOKUP(G416,NGPREVPRICES,4,FALSE),HLOOKUP(D416,PREVVOLS,VLOOKUP(G416,MOVE_DOWN2,2,FALSE),FALSE),VLOOKUP(G416,NGPREVPRICES,3,FALSE),HLOOKUP(D416,Correllate,VLOOKUP(G416,CorMove,2,FALSE),FALSE),Q416-$CD$3,R416,$CD$5)*H416-CJ416</f>
        <v>0</v>
      </c>
      <c r="CE416" s="234">
        <f>_xll.xSPRDOPT((VLOOKUP(G416,NGPREVPRICES,2,FALSE)+HLOOKUP(D416,PREVCURVES,VLOOKUP(G416,MOVE_DOWN2,2,FALSE),FALSE)),VLOOKUP(G416,NGPREVPRICES,2,FALSE),CK416,VLOOKUP(G416,NGPrices,4,FALSE),HLOOKUP(D416,PREVVOLS,VLOOKUP(G416,MOVE_DOWN2,2,FALSE),FALSE),VLOOKUP(G416,NGPREVPRICES,3,FALSE),HLOOKUP(D416,Correllate,VLOOKUP(G416,CorMove,2,FALSE),FALSE),Q416-$CD$3,R416,$CJ$5)*H416-CJ416</f>
        <v>0</v>
      </c>
      <c r="CF416" s="10">
        <f t="shared" si="475"/>
        <v>1.9646062559459097</v>
      </c>
      <c r="CG416" s="234">
        <f>_xll.xSPRDOPT((VLOOKUP(G416,NGPREVPRICES,2,FALSE)+HLOOKUP(D416,PREVCURVES,VLOOKUP(G416,MOVE_DOWN2,2,FALSE),FALSE)),VLOOKUP(G416,NGPREVPRICES,2,FALSE),CK416,VLOOKUP(G416,NGPREVPRICES,4,FALSE),HLOOKUP(D416,VOLS,VLOOKUP(G416,move_down,2,FALSE),FALSE),VLOOKUP(G416,NGPrices,3,FALSE),HLOOKUP(D416,Correllate,VLOOKUP(G416,CorMove,2,FALSE),FALSE),Q416-$CD$3,R416,$CJ$5)*H416-CJ416</f>
        <v>0</v>
      </c>
      <c r="CH416" s="234">
        <f>_xll.xSPRDOPT((VLOOKUP(G416,NGPREVPRICES,2,FALSE)+HLOOKUP(D416,PREVCURVES,VLOOKUP(G416,MOVE_DOWN2,2,FALSE),FALSE)),VLOOKUP(G416,NGPREVPRICES,2,FALSE),CK416,VLOOKUP(G416,NGPREVPRICES,4,FALSE),HLOOKUP(D416,PREVVOLS,VLOOKUP(G416,MOVE_DOWN2,2,FALSE),FALSE),VLOOKUP(G416,NGPREVPRICES,3,FALSE),HLOOKUP(D416,Correllate,VLOOKUP(G416,CorMove,2,FALSE),FALSE),Q416-$C$3,R416,$CJ$5)*H416-CJ416</f>
        <v>146.02823377832283</v>
      </c>
      <c r="CI416" s="234">
        <f t="shared" si="476"/>
        <v>147.99284003426874</v>
      </c>
      <c r="CJ416" s="234">
        <f>_xll.xSPRDOPT((VLOOKUP(G416,NGPREVPRICES,2,FALSE)+HLOOKUP(D416,PREVCURVES,VLOOKUP(G416,MOVE_DOWN2,2,FALSE),FALSE)),VLOOKUP(G416,NGPREVPRICES,2,FALSE),CK416,VLOOKUP(G416,NGPREVPRICES,4,FALSE),HLOOKUP(D416,PREVVOLS,VLOOKUP(G416,MOVE_DOWN2,2,FALSE),FALSE),VLOOKUP(G416,NGPREVPRICES,3,FALSE),HLOOKUP(D416,Correllate,VLOOKUP(G416,CorMove,2,FALSE),FALSE),Q416-$CD$3,R416,$CJ$5)*H416</f>
        <v>-10486.964395709669</v>
      </c>
      <c r="CK416" s="235">
        <f t="shared" si="477"/>
        <v>-0.3</v>
      </c>
      <c r="CM416" t="str">
        <f t="shared" si="478"/>
        <v>36861Curve Shift/Gamma</v>
      </c>
      <c r="CN416" t="str">
        <f t="shared" si="435"/>
        <v>36861Rho</v>
      </c>
      <c r="CO416" t="str">
        <f t="shared" si="436"/>
        <v>36861Drift</v>
      </c>
      <c r="CP416" t="str">
        <f t="shared" si="437"/>
        <v>36861Vega</v>
      </c>
      <c r="CQ416" t="str">
        <f t="shared" si="438"/>
        <v>36861Theta</v>
      </c>
    </row>
    <row r="417" spans="1:95" x14ac:dyDescent="0.25">
      <c r="A417" s="140" t="s">
        <v>284</v>
      </c>
      <c r="B417" t="s">
        <v>250</v>
      </c>
      <c r="C417" t="s">
        <v>479</v>
      </c>
      <c r="D417" t="s">
        <v>6</v>
      </c>
      <c r="E417" t="s">
        <v>20</v>
      </c>
      <c r="F417" t="s">
        <v>1</v>
      </c>
      <c r="G417" s="5">
        <v>36831</v>
      </c>
      <c r="H417" s="130">
        <v>-600000</v>
      </c>
      <c r="I417">
        <v>-0.3</v>
      </c>
      <c r="J417" s="53">
        <f t="shared" si="464"/>
        <v>4.7359999999999998</v>
      </c>
      <c r="K417" s="7">
        <f t="shared" si="465"/>
        <v>-0.14249999999999999</v>
      </c>
      <c r="L417" s="53">
        <f t="shared" si="466"/>
        <v>4.5934999999999997</v>
      </c>
      <c r="M417" s="157">
        <f t="shared" si="467"/>
        <v>6.810675983792E-2</v>
      </c>
      <c r="N417" s="4">
        <f t="shared" si="468"/>
        <v>0.59499999999999997</v>
      </c>
      <c r="O417" s="4">
        <f t="shared" si="469"/>
        <v>0.59499999999999997</v>
      </c>
      <c r="P417" s="9">
        <f t="shared" si="470"/>
        <v>0.995</v>
      </c>
      <c r="Q417" s="5">
        <f t="shared" si="458"/>
        <v>36829</v>
      </c>
      <c r="R417" s="4">
        <f t="shared" si="471"/>
        <v>0</v>
      </c>
      <c r="S417" s="158">
        <f>_xll.xSPRDOPT($L417,$J417,$I417,$M417,$O417,$N417,$P417,$Q417-$C$3,$R417,0)</f>
        <v>7.7040876883224746E-3</v>
      </c>
      <c r="T417" s="159">
        <f>_xll.xSPRDOPT($L417,$J417,$I417,$M417,$O417,$N417,$P417,$Q417-$C$3,$R417,1)*H417</f>
        <v>71014.985886506169</v>
      </c>
      <c r="U417" s="160">
        <f t="shared" si="472"/>
        <v>-4622.4526129934848</v>
      </c>
      <c r="V417" s="159">
        <f>_xll.xSPRDOPT($L417,$J417,$I417,$M417,$O417,$N417,$P417,$Q417-$C$3,$R417,2)*H417</f>
        <v>-73587.870127114307</v>
      </c>
      <c r="W417" s="159">
        <f t="shared" si="473"/>
        <v>-2572.8842406081385</v>
      </c>
      <c r="X417" s="51" t="str">
        <f t="shared" si="459"/>
        <v>36831IF-PAN/TX/OK</v>
      </c>
      <c r="Y417" s="418">
        <f t="shared" si="460"/>
        <v>-60</v>
      </c>
      <c r="Z417" s="456">
        <f t="shared" si="461"/>
        <v>-0.11835830981084361</v>
      </c>
      <c r="AA417" s="456">
        <f>_xll.xSPRDOPT($L417,$J417,$I417,$M417,$O417,$N417,$P417,$Q417-$C$3,$R417,3)</f>
        <v>1.4922818157248519</v>
      </c>
      <c r="AB417" s="456">
        <f>((_xll.xSPRDOPT($L417+AB$5,$J417,$I417,$M417,$O417,$N417,$P417,$Q417-$C$3,$R417,3)*$H417)/10000)/100</f>
        <v>-0.89536908943491111</v>
      </c>
      <c r="AC417" s="456">
        <f>((_xll.xSPRDOPT($L417+$AB$5,$J417,$I417,$M417,$O417,$N417,$P417,$Q417-$C$3,$R417,7)*$H417)/100)</f>
        <v>11994.777266973244</v>
      </c>
      <c r="AD417" s="456">
        <f>(_xll.xSPRDOPT($L417+$AB$5,$J417,$I417,$M417,$O417,$N417,$P417,$Q417-$C$3,$R417,9)/365)*$H417</f>
        <v>126.45065386937122</v>
      </c>
      <c r="AE417">
        <f t="shared" si="462"/>
        <v>0</v>
      </c>
      <c r="AF417" s="456">
        <f t="shared" si="463"/>
        <v>-265.1433261518082</v>
      </c>
      <c r="AG417" s="456">
        <f>((_xll.xSPRDOPT($L417,$J417,$I417,$M417,$O417,$N417,$P417,$Q417-$C$3,$R417,6)*$H417)/100)</f>
        <v>-1242.3482873842011</v>
      </c>
      <c r="AH417" s="456">
        <f>((_xll.xSPRDOPT($L417,$J417,$I417,$M417,$O417,$N417,$P417,$Q417-$C$3,$R417,5)*$H417)/100)</f>
        <v>977.20496123239286</v>
      </c>
      <c r="AI417" s="456">
        <f>(((_xll.xSPRDOPT($L417,$J417,$I417,$M417,$O417,$N417,$P417,$Q417-$C$3,$R417,4)*$H417)/10000)/100)-AB417</f>
        <v>-4.4906420680811632E-2</v>
      </c>
      <c r="AJ417" s="456"/>
      <c r="AK417" s="456"/>
      <c r="AL417" s="456"/>
      <c r="AM417" s="472"/>
      <c r="CC417" s="141">
        <f t="shared" si="474"/>
        <v>36831</v>
      </c>
      <c r="CD417" s="234">
        <f>_xll.xSPRDOPT((VLOOKUP(G417,NGPrices,2,FALSE)+HLOOKUP(D417,Prices,VLOOKUP(G417,move_down,2,FALSE),FALSE)),VLOOKUP(G417,NGPrices,2,FALSE),I417,VLOOKUP(G417,NGPREVPRICES,4,FALSE),HLOOKUP(D417,PREVVOLS,VLOOKUP(G417,MOVE_DOWN2,2,FALSE),FALSE),VLOOKUP(G417,NGPREVPRICES,3,FALSE),HLOOKUP(D417,Correllate,VLOOKUP(G417,CorMove,2,FALSE),FALSE),Q417-$CD$3,R417,$CD$5)*H417-CJ417</f>
        <v>0</v>
      </c>
      <c r="CE417" s="234">
        <f>_xll.xSPRDOPT((VLOOKUP(G417,NGPREVPRICES,2,FALSE)+HLOOKUP(D417,PREVCURVES,VLOOKUP(G417,MOVE_DOWN2,2,FALSE),FALSE)),VLOOKUP(G417,NGPREVPRICES,2,FALSE),CK417,VLOOKUP(G417,NGPrices,4,FALSE),HLOOKUP(D417,PREVVOLS,VLOOKUP(G417,MOVE_DOWN2,2,FALSE),FALSE),VLOOKUP(G417,NGPREVPRICES,3,FALSE),HLOOKUP(D417,Correllate,VLOOKUP(G417,CorMove,2,FALSE),FALSE),Q417-$CD$3,R417,$CJ$5)*H417-CJ417</f>
        <v>0</v>
      </c>
      <c r="CF417" s="10">
        <f t="shared" si="475"/>
        <v>0.88193912885162717</v>
      </c>
      <c r="CG417" s="234">
        <f>_xll.xSPRDOPT((VLOOKUP(G417,NGPREVPRICES,2,FALSE)+HLOOKUP(D417,PREVCURVES,VLOOKUP(G417,MOVE_DOWN2,2,FALSE),FALSE)),VLOOKUP(G417,NGPREVPRICES,2,FALSE),CK417,VLOOKUP(G417,NGPREVPRICES,4,FALSE),HLOOKUP(D417,VOLS,VLOOKUP(G417,move_down,2,FALSE),FALSE),VLOOKUP(G417,NGPrices,3,FALSE),HLOOKUP(D417,Correllate,VLOOKUP(G417,CorMove,2,FALSE),FALSE),Q417-$CD$3,R417,$CJ$5)*H417-CJ417</f>
        <v>0</v>
      </c>
      <c r="CH417" s="234">
        <f>_xll.xSPRDOPT((VLOOKUP(G417,NGPREVPRICES,2,FALSE)+HLOOKUP(D417,PREVCURVES,VLOOKUP(G417,MOVE_DOWN2,2,FALSE),FALSE)),VLOOKUP(G417,NGPREVPRICES,2,FALSE),CK417,VLOOKUP(G417,NGPREVPRICES,4,FALSE),HLOOKUP(D417,PREVVOLS,VLOOKUP(G417,MOVE_DOWN2,2,FALSE),FALSE),VLOOKUP(G417,NGPREVPRICES,3,FALSE),HLOOKUP(D417,Correllate,VLOOKUP(G417,CorMove,2,FALSE),FALSE),Q417-$C$3,R417,$CJ$5)*H417-CJ417</f>
        <v>126.54347271062852</v>
      </c>
      <c r="CI417" s="234">
        <f t="shared" si="476"/>
        <v>127.42541183948015</v>
      </c>
      <c r="CJ417" s="234">
        <f>_xll.xSPRDOPT((VLOOKUP(G417,NGPREVPRICES,2,FALSE)+HLOOKUP(D417,PREVCURVES,VLOOKUP(G417,MOVE_DOWN2,2,FALSE),FALSE)),VLOOKUP(G417,NGPREVPRICES,2,FALSE),CK417,VLOOKUP(G417,NGPREVPRICES,4,FALSE),HLOOKUP(D417,PREVVOLS,VLOOKUP(G417,MOVE_DOWN2,2,FALSE),FALSE),VLOOKUP(G417,NGPREVPRICES,3,FALSE),HLOOKUP(D417,Correllate,VLOOKUP(G417,CorMove,2,FALSE),FALSE),Q417-$CD$3,R417,$CJ$5)*H417</f>
        <v>-4748.9960857041133</v>
      </c>
      <c r="CK417" s="235">
        <f t="shared" si="477"/>
        <v>-0.3</v>
      </c>
      <c r="CM417" t="str">
        <f t="shared" si="478"/>
        <v>36831Curve Shift/Gamma</v>
      </c>
      <c r="CN417" t="str">
        <f t="shared" si="435"/>
        <v>36831Rho</v>
      </c>
      <c r="CO417" t="str">
        <f t="shared" si="436"/>
        <v>36831Drift</v>
      </c>
      <c r="CP417" t="str">
        <f t="shared" si="437"/>
        <v>36831Vega</v>
      </c>
      <c r="CQ417" t="str">
        <f t="shared" si="438"/>
        <v>36831Theta</v>
      </c>
    </row>
    <row r="418" spans="1:95" x14ac:dyDescent="0.25">
      <c r="A418" s="384" t="s">
        <v>268</v>
      </c>
      <c r="B418" t="s">
        <v>250</v>
      </c>
      <c r="C418" t="s">
        <v>483</v>
      </c>
      <c r="D418" t="s">
        <v>6</v>
      </c>
      <c r="E418" t="s">
        <v>20</v>
      </c>
      <c r="F418" t="s">
        <v>1</v>
      </c>
      <c r="G418" s="5">
        <v>36951</v>
      </c>
      <c r="H418" s="130">
        <v>-310000</v>
      </c>
      <c r="I418">
        <v>-0.3</v>
      </c>
      <c r="J418" s="53">
        <f t="shared" si="464"/>
        <v>4.2130000000000001</v>
      </c>
      <c r="K418" s="7">
        <f t="shared" si="465"/>
        <v>-0.13750000000000001</v>
      </c>
      <c r="L418" s="53">
        <f t="shared" si="466"/>
        <v>4.0754999999999999</v>
      </c>
      <c r="M418" s="157">
        <f t="shared" si="467"/>
        <v>6.8879814952706994E-2</v>
      </c>
      <c r="N418" s="4">
        <f t="shared" si="468"/>
        <v>0.53249999999999997</v>
      </c>
      <c r="O418" s="4">
        <f t="shared" si="469"/>
        <v>0.53300000000000003</v>
      </c>
      <c r="P418" s="9">
        <f t="shared" si="470"/>
        <v>0.995</v>
      </c>
      <c r="Q418" s="5">
        <f t="shared" si="458"/>
        <v>36949</v>
      </c>
      <c r="R418" s="4">
        <f t="shared" si="471"/>
        <v>0</v>
      </c>
      <c r="S418" s="158">
        <f>_xll.xSPRDOPT($L418,$J418,$I418,$M418,$O418,$N418,$P418,$Q418-$C$3,$R418,0)</f>
        <v>1.9162857175157314E-2</v>
      </c>
      <c r="T418" s="159">
        <f>_xll.xSPRDOPT($L418,$J418,$I418,$M418,$O418,$N418,$P418,$Q418-$C$3,$R418,1)*H418</f>
        <v>58506.339651200964</v>
      </c>
      <c r="U418" s="160">
        <f t="shared" si="472"/>
        <v>-5940.4857242987673</v>
      </c>
      <c r="V418" s="159">
        <f>_xll.xSPRDOPT($L418,$J418,$I418,$M418,$O418,$N418,$P418,$Q418-$C$3,$R418,2)*H418</f>
        <v>-61208.009268848342</v>
      </c>
      <c r="W418" s="159">
        <f t="shared" si="473"/>
        <v>-2701.6696176473779</v>
      </c>
      <c r="X418" s="51" t="str">
        <f t="shared" si="459"/>
        <v>36951IF-PAN/TX/OK</v>
      </c>
      <c r="Y418" s="418">
        <f t="shared" si="460"/>
        <v>-31</v>
      </c>
      <c r="Z418" s="456">
        <f t="shared" si="461"/>
        <v>-0.18873012790709989</v>
      </c>
      <c r="AA418" s="456">
        <f>_xll.xSPRDOPT($L418,$J418,$I418,$M418,$O418,$N418,$P418,$Q418-$C$3,$R418,3)</f>
        <v>1.4565900664622249</v>
      </c>
      <c r="AB418" s="456">
        <f>((_xll.xSPRDOPT($L418+AB$5,$J418,$I418,$M418,$O418,$N418,$P418,$Q418-$C$3,$R418,3)*$H418)/10000)/100</f>
        <v>-0.45154292060328971</v>
      </c>
      <c r="AC418" s="456">
        <f>((_xll.xSPRDOPT($L418+$AB$5,$J418,$I418,$M418,$O418,$N418,$P418,$Q418-$C$3,$R418,7)*$H418)/100)</f>
        <v>11248.987706355365</v>
      </c>
      <c r="AD418" s="456">
        <f>(_xll.xSPRDOPT($L418+$AB$5,$J418,$I418,$M418,$O418,$N418,$P418,$Q418-$C$3,$R418,9)/365)*$H418</f>
        <v>41.188321573335642</v>
      </c>
      <c r="AE418">
        <f t="shared" si="462"/>
        <v>0</v>
      </c>
      <c r="AF418" s="456">
        <f t="shared" si="463"/>
        <v>-289.01531132382502</v>
      </c>
      <c r="AG418" s="456">
        <f>((_xll.xSPRDOPT($L418,$J418,$I418,$M418,$O418,$N418,$P418,$Q418-$C$3,$R418,6)*$H418)/100)</f>
        <v>-1370.4661969748026</v>
      </c>
      <c r="AH418" s="456">
        <f>((_xll.xSPRDOPT($L418,$J418,$I418,$M418,$O418,$N418,$P418,$Q418-$C$3,$R418,5)*$H418)/100)</f>
        <v>1080.4363913867646</v>
      </c>
      <c r="AI418" s="456">
        <f>(((_xll.xSPRDOPT($L418,$J418,$I418,$M418,$O418,$N418,$P418,$Q418-$C$3,$R418,4)*$H418)/10000)/100)-AB418</f>
        <v>-2.3862919288504481E-2</v>
      </c>
      <c r="AJ418" s="456"/>
      <c r="AK418" s="456"/>
      <c r="AL418" s="456"/>
      <c r="AM418" s="472"/>
      <c r="CC418" s="141">
        <f t="shared" si="474"/>
        <v>36951</v>
      </c>
      <c r="CD418" s="234">
        <f>_xll.xSPRDOPT((VLOOKUP(G418,NGPrices,2,FALSE)+HLOOKUP(D418,Prices,VLOOKUP(G418,move_down,2,FALSE),FALSE)),VLOOKUP(G418,NGPrices,2,FALSE),I418,VLOOKUP(G418,NGPREVPRICES,4,FALSE),HLOOKUP(D418,PREVVOLS,VLOOKUP(G418,MOVE_DOWN2,2,FALSE),FALSE),VLOOKUP(G418,NGPREVPRICES,3,FALSE),HLOOKUP(D418,Correllate,VLOOKUP(G418,CorMove,2,FALSE),FALSE),Q418-$CD$3,R418,$CD$5)*H418-CJ418</f>
        <v>0</v>
      </c>
      <c r="CE418" s="234">
        <f>_xll.xSPRDOPT((VLOOKUP(G418,NGPREVPRICES,2,FALSE)+HLOOKUP(D418,PREVCURVES,VLOOKUP(G418,MOVE_DOWN2,2,FALSE),FALSE)),VLOOKUP(G418,NGPREVPRICES,2,FALSE),CK418,VLOOKUP(G418,NGPrices,4,FALSE),HLOOKUP(D418,PREVVOLS,VLOOKUP(G418,MOVE_DOWN2,2,FALSE),FALSE),VLOOKUP(G418,NGPREVPRICES,3,FALSE),HLOOKUP(D418,Correllate,VLOOKUP(G418,CorMove,2,FALSE),FALSE),Q418-$CD$3,R418,$CJ$5)*H418-CJ418</f>
        <v>0</v>
      </c>
      <c r="CF418" s="10">
        <f t="shared" si="475"/>
        <v>1.1471862884145594</v>
      </c>
      <c r="CG418" s="234">
        <f>_xll.xSPRDOPT((VLOOKUP(G418,NGPREVPRICES,2,FALSE)+HLOOKUP(D418,PREVCURVES,VLOOKUP(G418,MOVE_DOWN2,2,FALSE),FALSE)),VLOOKUP(G418,NGPREVPRICES,2,FALSE),CK418,VLOOKUP(G418,NGPREVPRICES,4,FALSE),HLOOKUP(D418,VOLS,VLOOKUP(G418,move_down,2,FALSE),FALSE),VLOOKUP(G418,NGPrices,3,FALSE),HLOOKUP(D418,Correllate,VLOOKUP(G418,CorMove,2,FALSE),FALSE),Q418-$CD$3,R418,$CJ$5)*H418-CJ418</f>
        <v>0</v>
      </c>
      <c r="CH418" s="234">
        <f>_xll.xSPRDOPT((VLOOKUP(G418,NGPREVPRICES,2,FALSE)+HLOOKUP(D418,PREVCURVES,VLOOKUP(G418,MOVE_DOWN2,2,FALSE),FALSE)),VLOOKUP(G418,NGPREVPRICES,2,FALSE),CK418,VLOOKUP(G418,NGPREVPRICES,4,FALSE),HLOOKUP(D418,PREVVOLS,VLOOKUP(G418,MOVE_DOWN2,2,FALSE),FALSE),VLOOKUP(G418,NGPREVPRICES,3,FALSE),HLOOKUP(D418,Correllate,VLOOKUP(G418,CorMove,2,FALSE),FALSE),Q418-$C$3,R418,$CJ$5)*H418-CJ418</f>
        <v>41.139294596119726</v>
      </c>
      <c r="CI418" s="234">
        <f t="shared" si="476"/>
        <v>42.286480884534285</v>
      </c>
      <c r="CJ418" s="234">
        <f>_xll.xSPRDOPT((VLOOKUP(G418,NGPREVPRICES,2,FALSE)+HLOOKUP(D418,PREVCURVES,VLOOKUP(G418,MOVE_DOWN2,2,FALSE),FALSE)),VLOOKUP(G418,NGPREVPRICES,2,FALSE),CK418,VLOOKUP(G418,NGPREVPRICES,4,FALSE),HLOOKUP(D418,PREVVOLS,VLOOKUP(G418,MOVE_DOWN2,2,FALSE),FALSE),VLOOKUP(G418,NGPREVPRICES,3,FALSE),HLOOKUP(D418,Correllate,VLOOKUP(G418,CorMove,2,FALSE),FALSE),Q418-$CD$3,R418,$CJ$5)*H418</f>
        <v>-5981.625018894887</v>
      </c>
      <c r="CK418" s="235">
        <f t="shared" si="477"/>
        <v>-0.3</v>
      </c>
      <c r="CM418" t="str">
        <f t="shared" si="478"/>
        <v>36951Curve Shift/Gamma</v>
      </c>
      <c r="CN418" t="str">
        <f t="shared" si="435"/>
        <v>36951Rho</v>
      </c>
      <c r="CO418" t="str">
        <f t="shared" si="436"/>
        <v>36951Drift</v>
      </c>
      <c r="CP418" t="str">
        <f t="shared" si="437"/>
        <v>36951Vega</v>
      </c>
      <c r="CQ418" t="str">
        <f t="shared" si="438"/>
        <v>36951Theta</v>
      </c>
    </row>
    <row r="419" spans="1:95" x14ac:dyDescent="0.25">
      <c r="A419" s="384" t="s">
        <v>268</v>
      </c>
      <c r="B419" t="s">
        <v>250</v>
      </c>
      <c r="C419" t="s">
        <v>483</v>
      </c>
      <c r="D419" t="s">
        <v>6</v>
      </c>
      <c r="E419" t="s">
        <v>20</v>
      </c>
      <c r="F419" t="s">
        <v>1</v>
      </c>
      <c r="G419" s="5">
        <v>36923</v>
      </c>
      <c r="H419" s="130">
        <v>-280000</v>
      </c>
      <c r="I419">
        <v>-0.3</v>
      </c>
      <c r="J419" s="53">
        <f t="shared" si="464"/>
        <v>4.4800000000000004</v>
      </c>
      <c r="K419" s="7">
        <f t="shared" si="465"/>
        <v>-0.14499999999999999</v>
      </c>
      <c r="L419" s="53">
        <f t="shared" si="466"/>
        <v>4.3350000000000009</v>
      </c>
      <c r="M419" s="157">
        <f t="shared" si="467"/>
        <v>6.8640161611372E-2</v>
      </c>
      <c r="N419" s="4">
        <f t="shared" si="468"/>
        <v>0.59250000000000003</v>
      </c>
      <c r="O419" s="4">
        <f t="shared" si="469"/>
        <v>0.59299999999999997</v>
      </c>
      <c r="P419" s="9">
        <f t="shared" si="470"/>
        <v>0.995</v>
      </c>
      <c r="Q419" s="5">
        <f t="shared" si="458"/>
        <v>36921</v>
      </c>
      <c r="R419" s="4">
        <f t="shared" si="471"/>
        <v>0</v>
      </c>
      <c r="S419" s="158">
        <f>_xll.xSPRDOPT($L419,$J419,$I419,$M419,$O419,$N419,$P419,$Q419-$C$3,$R419,0)</f>
        <v>2.453689792150128E-2</v>
      </c>
      <c r="T419" s="159">
        <f>_xll.xSPRDOPT($L419,$J419,$I419,$M419,$O419,$N419,$P419,$Q419-$C$3,$R419,1)*H419</f>
        <v>60476.196415896688</v>
      </c>
      <c r="U419" s="160">
        <f t="shared" si="472"/>
        <v>-6870.3314180203588</v>
      </c>
      <c r="V419" s="159">
        <f>_xll.xSPRDOPT($L419,$J419,$I419,$M419,$O419,$N419,$P419,$Q419-$C$3,$R419,2)*H419</f>
        <v>-63212.666270413902</v>
      </c>
      <c r="W419" s="159">
        <f t="shared" si="473"/>
        <v>-2736.4698545172141</v>
      </c>
      <c r="X419" s="51" t="str">
        <f t="shared" si="459"/>
        <v>36923IF-PAN/TX/OK</v>
      </c>
      <c r="Y419" s="418">
        <f t="shared" si="460"/>
        <v>-28</v>
      </c>
      <c r="Z419" s="456">
        <f t="shared" si="461"/>
        <v>-0.21598641577105959</v>
      </c>
      <c r="AA419" s="456">
        <f>_xll.xSPRDOPT($L419,$J419,$I419,$M419,$O419,$N419,$P419,$Q419-$C$3,$R419,3)</f>
        <v>1.4683920154444698</v>
      </c>
      <c r="AB419" s="456">
        <f>((_xll.xSPRDOPT($L419+AB$5,$J419,$I419,$M419,$O419,$N419,$P419,$Q419-$C$3,$R419,3)*$H419)/10000)/100</f>
        <v>-0.41114976432445155</v>
      </c>
      <c r="AC419" s="456">
        <f>((_xll.xSPRDOPT($L419+$AB$5,$J419,$I419,$M419,$O419,$N419,$P419,$Q419-$C$3,$R419,7)*$H419)/100)</f>
        <v>12108.959378496977</v>
      </c>
      <c r="AD419" s="456">
        <f>(_xll.xSPRDOPT($L419+$AB$5,$J419,$I419,$M419,$O419,$N419,$P419,$Q419-$C$3,$R419,9)/365)*$H419</f>
        <v>51.463193321673579</v>
      </c>
      <c r="AE419">
        <f t="shared" si="462"/>
        <v>0</v>
      </c>
      <c r="AF419" s="456">
        <f t="shared" si="463"/>
        <v>-274.05025376088929</v>
      </c>
      <c r="AG419" s="456">
        <f>((_xll.xSPRDOPT($L419,$J419,$I419,$M419,$O419,$N419,$P419,$Q419-$C$3,$R419,6)*$H419)/100)</f>
        <v>-1274.564255192271</v>
      </c>
      <c r="AH419" s="456">
        <f>((_xll.xSPRDOPT($L419,$J419,$I419,$M419,$O419,$N419,$P419,$Q419-$C$3,$R419,5)*$H419)/100)</f>
        <v>999.67039772022554</v>
      </c>
      <c r="AI419" s="456">
        <f>(((_xll.xSPRDOPT($L419,$J419,$I419,$M419,$O419,$N419,$P419,$Q419-$C$3,$R419,4)*$H419)/10000)/100)-AB419</f>
        <v>-1.984160673383506E-2</v>
      </c>
      <c r="AJ419" s="456"/>
      <c r="AK419" s="456"/>
      <c r="AL419" s="456"/>
      <c r="AM419" s="472"/>
      <c r="CC419" s="141">
        <f t="shared" si="474"/>
        <v>36923</v>
      </c>
      <c r="CD419" s="234">
        <f>_xll.xSPRDOPT((VLOOKUP(G419,NGPrices,2,FALSE)+HLOOKUP(D419,Prices,VLOOKUP(G419,move_down,2,FALSE),FALSE)),VLOOKUP(G419,NGPrices,2,FALSE),I419,VLOOKUP(G419,NGPREVPRICES,4,FALSE),HLOOKUP(D419,PREVVOLS,VLOOKUP(G419,MOVE_DOWN2,2,FALSE),FALSE),VLOOKUP(G419,NGPREVPRICES,3,FALSE),HLOOKUP(D419,Correllate,VLOOKUP(G419,CorMove,2,FALSE),FALSE),Q419-$CD$3,R419,$CD$5)*H419-CJ419</f>
        <v>0</v>
      </c>
      <c r="CE419" s="234">
        <f>_xll.xSPRDOPT((VLOOKUP(G419,NGPREVPRICES,2,FALSE)+HLOOKUP(D419,PREVCURVES,VLOOKUP(G419,MOVE_DOWN2,2,FALSE),FALSE)),VLOOKUP(G419,NGPREVPRICES,2,FALSE),CK419,VLOOKUP(G419,NGPrices,4,FALSE),HLOOKUP(D419,PREVVOLS,VLOOKUP(G419,MOVE_DOWN2,2,FALSE),FALSE),VLOOKUP(G419,NGPREVPRICES,3,FALSE),HLOOKUP(D419,Correllate,VLOOKUP(G419,CorMove,2,FALSE),FALSE),Q419-$CD$3,R419,$CJ$5)*H419-CJ419</f>
        <v>0</v>
      </c>
      <c r="CF419" s="10">
        <f t="shared" si="475"/>
        <v>1.3164307410770562</v>
      </c>
      <c r="CG419" s="234">
        <f>_xll.xSPRDOPT((VLOOKUP(G419,NGPREVPRICES,2,FALSE)+HLOOKUP(D419,PREVCURVES,VLOOKUP(G419,MOVE_DOWN2,2,FALSE),FALSE)),VLOOKUP(G419,NGPREVPRICES,2,FALSE),CK419,VLOOKUP(G419,NGPREVPRICES,4,FALSE),HLOOKUP(D419,VOLS,VLOOKUP(G419,move_down,2,FALSE),FALSE),VLOOKUP(G419,NGPrices,3,FALSE),HLOOKUP(D419,Correllate,VLOOKUP(G419,CorMove,2,FALSE),FALSE),Q419-$CD$3,R419,$CJ$5)*H419-CJ419</f>
        <v>0</v>
      </c>
      <c r="CH419" s="234">
        <f>_xll.xSPRDOPT((VLOOKUP(G419,NGPREVPRICES,2,FALSE)+HLOOKUP(D419,PREVCURVES,VLOOKUP(G419,MOVE_DOWN2,2,FALSE),FALSE)),VLOOKUP(G419,NGPREVPRICES,2,FALSE),CK419,VLOOKUP(G419,NGPREVPRICES,4,FALSE),HLOOKUP(D419,PREVVOLS,VLOOKUP(G419,MOVE_DOWN2,2,FALSE),FALSE),VLOOKUP(G419,NGPREVPRICES,3,FALSE),HLOOKUP(D419,Correllate,VLOOKUP(G419,CorMove,2,FALSE),FALSE),Q419-$C$3,R419,$CJ$5)*H419-CJ419</f>
        <v>51.385598957207549</v>
      </c>
      <c r="CI419" s="234">
        <f t="shared" si="476"/>
        <v>52.702029698284605</v>
      </c>
      <c r="CJ419" s="234">
        <f>_xll.xSPRDOPT((VLOOKUP(G419,NGPREVPRICES,2,FALSE)+HLOOKUP(D419,PREVCURVES,VLOOKUP(G419,MOVE_DOWN2,2,FALSE),FALSE)),VLOOKUP(G419,NGPREVPRICES,2,FALSE),CK419,VLOOKUP(G419,NGPREVPRICES,4,FALSE),HLOOKUP(D419,PREVVOLS,VLOOKUP(G419,MOVE_DOWN2,2,FALSE),FALSE),VLOOKUP(G419,NGPREVPRICES,3,FALSE),HLOOKUP(D419,Correllate,VLOOKUP(G419,CorMove,2,FALSE),FALSE),Q419-$CD$3,R419,$CJ$5)*H419</f>
        <v>-6921.7170169775663</v>
      </c>
      <c r="CK419" s="235">
        <f t="shared" si="477"/>
        <v>-0.3</v>
      </c>
      <c r="CM419" t="str">
        <f t="shared" si="478"/>
        <v>36923Curve Shift/Gamma</v>
      </c>
      <c r="CN419" t="str">
        <f t="shared" si="435"/>
        <v>36923Rho</v>
      </c>
      <c r="CO419" t="str">
        <f t="shared" si="436"/>
        <v>36923Drift</v>
      </c>
      <c r="CP419" t="str">
        <f t="shared" si="437"/>
        <v>36923Vega</v>
      </c>
      <c r="CQ419" t="str">
        <f t="shared" si="438"/>
        <v>36923Theta</v>
      </c>
    </row>
    <row r="420" spans="1:95" x14ac:dyDescent="0.25">
      <c r="A420" s="384" t="s">
        <v>268</v>
      </c>
      <c r="B420" t="s">
        <v>250</v>
      </c>
      <c r="C420" t="s">
        <v>483</v>
      </c>
      <c r="D420" t="s">
        <v>6</v>
      </c>
      <c r="E420" t="s">
        <v>20</v>
      </c>
      <c r="F420" t="s">
        <v>1</v>
      </c>
      <c r="G420" s="5">
        <v>36892</v>
      </c>
      <c r="H420" s="130">
        <v>-310000</v>
      </c>
      <c r="I420">
        <v>-0.3</v>
      </c>
      <c r="J420" s="53">
        <f t="shared" si="464"/>
        <v>4.7439999999999998</v>
      </c>
      <c r="K420" s="7">
        <f t="shared" si="465"/>
        <v>-0.16</v>
      </c>
      <c r="L420" s="53">
        <f t="shared" si="466"/>
        <v>4.5839999999999996</v>
      </c>
      <c r="M420" s="157">
        <f t="shared" si="467"/>
        <v>6.8374831148490994E-2</v>
      </c>
      <c r="N420" s="4">
        <f t="shared" si="468"/>
        <v>0.60499999999999998</v>
      </c>
      <c r="O420" s="4">
        <f t="shared" si="469"/>
        <v>0.60499999999999998</v>
      </c>
      <c r="P420" s="9">
        <f t="shared" si="470"/>
        <v>0.995</v>
      </c>
      <c r="Q420" s="5">
        <f t="shared" si="458"/>
        <v>36888</v>
      </c>
      <c r="R420" s="4">
        <f t="shared" si="471"/>
        <v>0</v>
      </c>
      <c r="S420" s="158">
        <f>_xll.xSPRDOPT($L420,$J420,$I420,$M420,$O420,$N420,$P420,$Q420-$C$3,$R420,0)</f>
        <v>2.4970232835891861E-2</v>
      </c>
      <c r="T420" s="159">
        <f>_xll.xSPRDOPT($L420,$J420,$I420,$M420,$O420,$N420,$P420,$Q420-$C$3,$R420,1)*H420</f>
        <v>70540.15519815337</v>
      </c>
      <c r="U420" s="160">
        <f t="shared" si="472"/>
        <v>-7740.7721791264767</v>
      </c>
      <c r="V420" s="159">
        <f>_xll.xSPRDOPT($L420,$J420,$I420,$M420,$O420,$N420,$P420,$Q420-$C$3,$R420,2)*H420</f>
        <v>-73389.427040247712</v>
      </c>
      <c r="W420" s="159">
        <f t="shared" si="473"/>
        <v>-2849.271842094342</v>
      </c>
      <c r="X420" s="51" t="str">
        <f t="shared" si="459"/>
        <v>36892IF-PAN/TX/OK</v>
      </c>
      <c r="Y420" s="418">
        <f t="shared" si="460"/>
        <v>-31</v>
      </c>
      <c r="Z420" s="456">
        <f t="shared" si="461"/>
        <v>-0.22754888773597862</v>
      </c>
      <c r="AA420" s="456">
        <f>_xll.xSPRDOPT($L420,$J420,$I420,$M420,$O420,$N420,$P420,$Q420-$C$3,$R420,3)</f>
        <v>1.5915518952046446</v>
      </c>
      <c r="AB420" s="456">
        <f>((_xll.xSPRDOPT($L420+AB$5,$J420,$I420,$M420,$O420,$N420,$P420,$Q420-$C$3,$R420,3)*$H420)/10000)/100</f>
        <v>-0.49338108751343979</v>
      </c>
      <c r="AC420" s="456">
        <f>((_xll.xSPRDOPT($L420+$AB$5,$J420,$I420,$M420,$O420,$N420,$P420,$Q420-$C$3,$R420,7)*$H420)/100)</f>
        <v>13279.907292325588</v>
      </c>
      <c r="AD420" s="456">
        <f>(_xll.xSPRDOPT($L420+$AB$5,$J420,$I420,$M420,$O420,$N420,$P420,$Q420-$C$3,$R420,9)/365)*$H420</f>
        <v>71.434871727356565</v>
      </c>
      <c r="AE420">
        <f t="shared" si="462"/>
        <v>0</v>
      </c>
      <c r="AF420" s="456">
        <f t="shared" si="463"/>
        <v>-291.34018413221361</v>
      </c>
      <c r="AG420" s="456">
        <f>((_xll.xSPRDOPT($L420,$J420,$I420,$M420,$O420,$N420,$P420,$Q420-$C$3,$R420,6)*$H420)/100)</f>
        <v>-1352.9533024999503</v>
      </c>
      <c r="AH420" s="456">
        <f>((_xll.xSPRDOPT($L420,$J420,$I420,$M420,$O420,$N420,$P420,$Q420-$C$3,$R420,5)*$H420)/100)</f>
        <v>1061.6131183677367</v>
      </c>
      <c r="AI420" s="456">
        <f>(((_xll.xSPRDOPT($L420,$J420,$I420,$M420,$O420,$N420,$P420,$Q420-$C$3,$R420,4)*$H420)/10000)/100)-AB420</f>
        <v>-2.0811279216470746E-2</v>
      </c>
      <c r="AJ420" s="456"/>
      <c r="AK420" s="456"/>
      <c r="AL420" s="456"/>
      <c r="AM420" s="472"/>
      <c r="CC420" s="141">
        <f t="shared" si="474"/>
        <v>36892</v>
      </c>
      <c r="CD420" s="234">
        <f>_xll.xSPRDOPT((VLOOKUP(G420,NGPrices,2,FALSE)+HLOOKUP(D420,Prices,VLOOKUP(G420,move_down,2,FALSE),FALSE)),VLOOKUP(G420,NGPrices,2,FALSE),I420,VLOOKUP(G420,NGPREVPRICES,4,FALSE),HLOOKUP(D420,PREVVOLS,VLOOKUP(G420,MOVE_DOWN2,2,FALSE),FALSE),VLOOKUP(G420,NGPREVPRICES,3,FALSE),HLOOKUP(D420,Correllate,VLOOKUP(G420,CorMove,2,FALSE),FALSE),Q420-$CD$3,R420,$CD$5)*H420-CJ420</f>
        <v>0</v>
      </c>
      <c r="CE420" s="234">
        <f>_xll.xSPRDOPT((VLOOKUP(G420,NGPREVPRICES,2,FALSE)+HLOOKUP(D420,PREVCURVES,VLOOKUP(G420,MOVE_DOWN2,2,FALSE),FALSE)),VLOOKUP(G420,NGPREVPRICES,2,FALSE),CK420,VLOOKUP(G420,NGPrices,4,FALSE),HLOOKUP(D420,PREVVOLS,VLOOKUP(G420,MOVE_DOWN2,2,FALSE),FALSE),VLOOKUP(G420,NGPREVPRICES,3,FALSE),HLOOKUP(D420,Correllate,VLOOKUP(G420,CorMove,2,FALSE),FALSE),Q420-$CD$3,R420,$CJ$5)*H420-CJ420</f>
        <v>0</v>
      </c>
      <c r="CF420" s="10">
        <f t="shared" si="475"/>
        <v>1.4721171528826744</v>
      </c>
      <c r="CG420" s="234">
        <f>_xll.xSPRDOPT((VLOOKUP(G420,NGPREVPRICES,2,FALSE)+HLOOKUP(D420,PREVCURVES,VLOOKUP(G420,MOVE_DOWN2,2,FALSE),FALSE)),VLOOKUP(G420,NGPREVPRICES,2,FALSE),CK420,VLOOKUP(G420,NGPREVPRICES,4,FALSE),HLOOKUP(D420,VOLS,VLOOKUP(G420,move_down,2,FALSE),FALSE),VLOOKUP(G420,NGPrices,3,FALSE),HLOOKUP(D420,Correllate,VLOOKUP(G420,CorMove,2,FALSE),FALSE),Q420-$CD$3,R420,$CJ$5)*H420-CJ420</f>
        <v>0</v>
      </c>
      <c r="CH420" s="234">
        <f>_xll.xSPRDOPT((VLOOKUP(G420,NGPREVPRICES,2,FALSE)+HLOOKUP(D420,PREVCURVES,VLOOKUP(G420,MOVE_DOWN2,2,FALSE),FALSE)),VLOOKUP(G420,NGPREVPRICES,2,FALSE),CK420,VLOOKUP(G420,NGPREVPRICES,4,FALSE),HLOOKUP(D420,PREVVOLS,VLOOKUP(G420,MOVE_DOWN2,2,FALSE),FALSE),VLOOKUP(G420,NGPREVPRICES,3,FALSE),HLOOKUP(D420,Correllate,VLOOKUP(G420,CorMove,2,FALSE),FALSE),Q420-$C$3,R420,$CJ$5)*H420-CJ420</f>
        <v>71.306245143915476</v>
      </c>
      <c r="CI420" s="234">
        <f t="shared" si="476"/>
        <v>72.77836229679815</v>
      </c>
      <c r="CJ420" s="234">
        <f>_xll.xSPRDOPT((VLOOKUP(G420,NGPREVPRICES,2,FALSE)+HLOOKUP(D420,PREVCURVES,VLOOKUP(G420,MOVE_DOWN2,2,FALSE),FALSE)),VLOOKUP(G420,NGPREVPRICES,2,FALSE),CK420,VLOOKUP(G420,NGPREVPRICES,4,FALSE),HLOOKUP(D420,PREVVOLS,VLOOKUP(G420,MOVE_DOWN2,2,FALSE),FALSE),VLOOKUP(G420,NGPREVPRICES,3,FALSE),HLOOKUP(D420,Correllate,VLOOKUP(G420,CorMove,2,FALSE),FALSE),Q420-$CD$3,R420,$CJ$5)*H420</f>
        <v>-7812.0784242703921</v>
      </c>
      <c r="CK420" s="235">
        <f t="shared" si="477"/>
        <v>-0.3</v>
      </c>
      <c r="CM420" t="str">
        <f t="shared" si="478"/>
        <v>36892Curve Shift/Gamma</v>
      </c>
      <c r="CN420" t="str">
        <f t="shared" si="435"/>
        <v>36892Rho</v>
      </c>
      <c r="CO420" t="str">
        <f t="shared" si="436"/>
        <v>36892Drift</v>
      </c>
      <c r="CP420" t="str">
        <f t="shared" si="437"/>
        <v>36892Vega</v>
      </c>
      <c r="CQ420" t="str">
        <f t="shared" si="438"/>
        <v>36892Theta</v>
      </c>
    </row>
    <row r="421" spans="1:95" x14ac:dyDescent="0.25">
      <c r="A421" s="384" t="s">
        <v>268</v>
      </c>
      <c r="B421" t="s">
        <v>250</v>
      </c>
      <c r="C421" t="s">
        <v>483</v>
      </c>
      <c r="D421" t="s">
        <v>6</v>
      </c>
      <c r="E421" t="s">
        <v>20</v>
      </c>
      <c r="F421" t="s">
        <v>1</v>
      </c>
      <c r="G421" s="5">
        <v>36861</v>
      </c>
      <c r="H421" s="130">
        <v>-310000</v>
      </c>
      <c r="I421">
        <v>-0.3</v>
      </c>
      <c r="J421" s="53">
        <f t="shared" si="464"/>
        <v>4.8</v>
      </c>
      <c r="K421" s="7">
        <f t="shared" si="465"/>
        <v>-0.1525</v>
      </c>
      <c r="L421" s="53">
        <f t="shared" si="466"/>
        <v>4.6475</v>
      </c>
      <c r="M421" s="157">
        <f t="shared" si="467"/>
        <v>6.8314027999354002E-2</v>
      </c>
      <c r="N421" s="4">
        <f t="shared" si="468"/>
        <v>0.6</v>
      </c>
      <c r="O421" s="4">
        <f t="shared" si="469"/>
        <v>0.6</v>
      </c>
      <c r="P421" s="9">
        <f t="shared" si="470"/>
        <v>0.995</v>
      </c>
      <c r="Q421" s="5">
        <f t="shared" si="458"/>
        <v>36859</v>
      </c>
      <c r="R421" s="4">
        <f t="shared" si="471"/>
        <v>0</v>
      </c>
      <c r="S421" s="158">
        <f>_xll.xSPRDOPT($L421,$J421,$I421,$M421,$O421,$N421,$P421,$Q421-$C$3,$R421,0)</f>
        <v>1.6678929293437655E-2</v>
      </c>
      <c r="T421" s="159">
        <f>_xll.xSPRDOPT($L421,$J421,$I421,$M421,$O421,$N421,$P421,$Q421-$C$3,$R421,1)*H421</f>
        <v>57322.179064093791</v>
      </c>
      <c r="U421" s="160">
        <f t="shared" si="472"/>
        <v>-5170.4680809656729</v>
      </c>
      <c r="V421" s="159">
        <f>_xll.xSPRDOPT($L421,$J421,$I421,$M421,$O421,$N421,$P421,$Q421-$C$3,$R421,2)*H421</f>
        <v>-59515.643305942584</v>
      </c>
      <c r="W421" s="159">
        <f t="shared" si="473"/>
        <v>-2193.4642418487929</v>
      </c>
      <c r="X421" s="51" t="str">
        <f t="shared" si="459"/>
        <v>36861IF-PAN/TX/OK</v>
      </c>
      <c r="Y421" s="418">
        <f t="shared" si="460"/>
        <v>-31</v>
      </c>
      <c r="Z421" s="456">
        <f t="shared" si="461"/>
        <v>-0.18491025504546385</v>
      </c>
      <c r="AA421" s="456">
        <f>_xll.xSPRDOPT($L421,$J421,$I421,$M421,$O421,$N421,$P421,$Q421-$C$3,$R421,3)</f>
        <v>1.6151726715376302</v>
      </c>
      <c r="AB421" s="456">
        <f>((_xll.xSPRDOPT($L421+AB$5,$J421,$I421,$M421,$O421,$N421,$P421,$Q421-$C$3,$R421,3)*$H421)/10000)/100</f>
        <v>-0.50070352817666541</v>
      </c>
      <c r="AC421" s="456">
        <f>((_xll.xSPRDOPT($L421+$AB$5,$J421,$I421,$M421,$O421,$N421,$P421,$Q421-$C$3,$R421,7)*$H421)/100)</f>
        <v>10354.869847477741</v>
      </c>
      <c r="AD421" s="456">
        <f>(_xll.xSPRDOPT($L421+$AB$5,$J421,$I421,$M421,$O421,$N421,$P421,$Q421-$C$3,$R421,9)/365)*$H421</f>
        <v>73.117291582690257</v>
      </c>
      <c r="AE421">
        <f t="shared" si="462"/>
        <v>0</v>
      </c>
      <c r="AF421" s="456">
        <f t="shared" si="463"/>
        <v>-227.03849815890158</v>
      </c>
      <c r="AG421" s="456">
        <f>((_xll.xSPRDOPT($L421,$J421,$I421,$M421,$O421,$N421,$P421,$Q421-$C$3,$R421,6)*$H421)/100)</f>
        <v>-1054.4850735287682</v>
      </c>
      <c r="AH421" s="456">
        <f>((_xll.xSPRDOPT($L421,$J421,$I421,$M421,$O421,$N421,$P421,$Q421-$C$3,$R421,5)*$H421)/100)</f>
        <v>827.44657536986665</v>
      </c>
      <c r="AI421" s="456">
        <f>(((_xll.xSPRDOPT($L421,$J421,$I421,$M421,$O421,$N421,$P421,$Q421-$C$3,$R421,4)*$H421)/10000)/100)-AB421</f>
        <v>-2.2737048671919391E-2</v>
      </c>
      <c r="AJ421" s="456"/>
      <c r="AK421" s="456"/>
      <c r="AL421" s="456"/>
      <c r="AM421" s="472"/>
      <c r="CC421" s="141">
        <f t="shared" ref="CC421:CC427" si="479">G421</f>
        <v>36861</v>
      </c>
      <c r="CD421" s="234">
        <f>_xll.xSPRDOPT((VLOOKUP(G421,NGPrices,2,FALSE)+HLOOKUP(D421,Prices,VLOOKUP(G421,move_down,2,FALSE),FALSE)),VLOOKUP(G421,NGPrices,2,FALSE),I421,VLOOKUP(G421,NGPREVPRICES,4,FALSE),HLOOKUP(D421,PREVVOLS,VLOOKUP(G421,MOVE_DOWN2,2,FALSE),FALSE),VLOOKUP(G421,NGPREVPRICES,3,FALSE),HLOOKUP(D421,Correllate,VLOOKUP(G421,CorMove,2,FALSE),FALSE),Q421-$CD$3,R421,$CD$5)*H421-CJ421</f>
        <v>0</v>
      </c>
      <c r="CE421" s="234">
        <f>_xll.xSPRDOPT((VLOOKUP(G421,NGPREVPRICES,2,FALSE)+HLOOKUP(D421,PREVCURVES,VLOOKUP(G421,MOVE_DOWN2,2,FALSE),FALSE)),VLOOKUP(G421,NGPREVPRICES,2,FALSE),CK421,VLOOKUP(G421,NGPrices,4,FALSE),HLOOKUP(D421,PREVVOLS,VLOOKUP(G421,MOVE_DOWN2,2,FALSE),FALSE),VLOOKUP(G421,NGPREVPRICES,3,FALSE),HLOOKUP(D421,Correllate,VLOOKUP(G421,CorMove,2,FALSE),FALSE),Q421-$CD$3,R421,$CJ$5)*H421-CJ421</f>
        <v>0</v>
      </c>
      <c r="CF421" s="10">
        <f t="shared" ref="CF421:CF427" si="480">(CJ421/VLOOKUP(CC421,discount,3,FALSE))-(CJ421/VLOOKUP(CC421,discount,2,FALSE))</f>
        <v>0.98230312797295483</v>
      </c>
      <c r="CG421" s="234">
        <f>_xll.xSPRDOPT((VLOOKUP(G421,NGPREVPRICES,2,FALSE)+HLOOKUP(D421,PREVCURVES,VLOOKUP(G421,MOVE_DOWN2,2,FALSE),FALSE)),VLOOKUP(G421,NGPREVPRICES,2,FALSE),CK421,VLOOKUP(G421,NGPREVPRICES,4,FALSE),HLOOKUP(D421,VOLS,VLOOKUP(G421,move_down,2,FALSE),FALSE),VLOOKUP(G421,NGPrices,3,FALSE),HLOOKUP(D421,Correllate,VLOOKUP(G421,CorMove,2,FALSE),FALSE),Q421-$CD$3,R421,$CJ$5)*H421-CJ421</f>
        <v>0</v>
      </c>
      <c r="CH421" s="234">
        <f>_xll.xSPRDOPT((VLOOKUP(G421,NGPREVPRICES,2,FALSE)+HLOOKUP(D421,PREVCURVES,VLOOKUP(G421,MOVE_DOWN2,2,FALSE),FALSE)),VLOOKUP(G421,NGPREVPRICES,2,FALSE),CK421,VLOOKUP(G421,NGPREVPRICES,4,FALSE),HLOOKUP(D421,PREVVOLS,VLOOKUP(G421,MOVE_DOWN2,2,FALSE),FALSE),VLOOKUP(G421,NGPREVPRICES,3,FALSE),HLOOKUP(D421,Correllate,VLOOKUP(G421,CorMove,2,FALSE),FALSE),Q421-$C$3,R421,$CJ$5)*H421-CJ421</f>
        <v>73.014116889161414</v>
      </c>
      <c r="CI421" s="234">
        <f t="shared" ref="CI421:CI427" si="481">SUM(CD421:CH421)</f>
        <v>73.996420017134369</v>
      </c>
      <c r="CJ421" s="234">
        <f>_xll.xSPRDOPT((VLOOKUP(G421,NGPREVPRICES,2,FALSE)+HLOOKUP(D421,PREVCURVES,VLOOKUP(G421,MOVE_DOWN2,2,FALSE),FALSE)),VLOOKUP(G421,NGPREVPRICES,2,FALSE),CK421,VLOOKUP(G421,NGPREVPRICES,4,FALSE),HLOOKUP(D421,PREVVOLS,VLOOKUP(G421,MOVE_DOWN2,2,FALSE),FALSE),VLOOKUP(G421,NGPREVPRICES,3,FALSE),HLOOKUP(D421,Correllate,VLOOKUP(G421,CorMove,2,FALSE),FALSE),Q421-$CD$3,R421,$CJ$5)*H421</f>
        <v>-5243.4821978548343</v>
      </c>
      <c r="CK421" s="235">
        <f t="shared" ref="CK421:CK427" si="482">I421</f>
        <v>-0.3</v>
      </c>
      <c r="CM421" t="str">
        <f t="shared" ref="CM421:CM427" si="483">CONCATENATE(CC421,$CD$6)</f>
        <v>36861Curve Shift/Gamma</v>
      </c>
      <c r="CN421" t="str">
        <f t="shared" si="435"/>
        <v>36861Rho</v>
      </c>
      <c r="CO421" t="str">
        <f t="shared" si="436"/>
        <v>36861Drift</v>
      </c>
      <c r="CP421" t="str">
        <f t="shared" si="437"/>
        <v>36861Vega</v>
      </c>
      <c r="CQ421" t="str">
        <f t="shared" si="438"/>
        <v>36861Theta</v>
      </c>
    </row>
    <row r="422" spans="1:95" x14ac:dyDescent="0.25">
      <c r="A422" s="384" t="s">
        <v>268</v>
      </c>
      <c r="B422" t="s">
        <v>250</v>
      </c>
      <c r="C422" t="s">
        <v>483</v>
      </c>
      <c r="D422" t="s">
        <v>6</v>
      </c>
      <c r="E422" t="s">
        <v>20</v>
      </c>
      <c r="F422" t="s">
        <v>1</v>
      </c>
      <c r="G422" s="5">
        <v>36831</v>
      </c>
      <c r="H422" s="130">
        <v>-300000</v>
      </c>
      <c r="I422">
        <v>-0.3</v>
      </c>
      <c r="J422" s="53">
        <f t="shared" si="464"/>
        <v>4.7359999999999998</v>
      </c>
      <c r="K422" s="7">
        <f t="shared" si="465"/>
        <v>-0.14249999999999999</v>
      </c>
      <c r="L422" s="53">
        <f t="shared" si="466"/>
        <v>4.5934999999999997</v>
      </c>
      <c r="M422" s="157">
        <f t="shared" si="467"/>
        <v>6.810675983792E-2</v>
      </c>
      <c r="N422" s="4">
        <f t="shared" si="468"/>
        <v>0.59499999999999997</v>
      </c>
      <c r="O422" s="4">
        <f t="shared" si="469"/>
        <v>0.59499999999999997</v>
      </c>
      <c r="P422" s="9">
        <f t="shared" si="470"/>
        <v>0.995</v>
      </c>
      <c r="Q422" s="5">
        <f t="shared" si="458"/>
        <v>36829</v>
      </c>
      <c r="R422" s="4">
        <f t="shared" si="471"/>
        <v>0</v>
      </c>
      <c r="S422" s="158">
        <f>_xll.xSPRDOPT($L422,$J422,$I422,$M422,$O422,$N422,$P422,$Q422-$C$3,$R422,0)</f>
        <v>7.7040876883224746E-3</v>
      </c>
      <c r="T422" s="159">
        <f>_xll.xSPRDOPT($L422,$J422,$I422,$M422,$O422,$N422,$P422,$Q422-$C$3,$R422,1)*H422</f>
        <v>35507.492943253084</v>
      </c>
      <c r="U422" s="160">
        <f t="shared" si="472"/>
        <v>-2311.2263064967424</v>
      </c>
      <c r="V422" s="159">
        <f>_xll.xSPRDOPT($L422,$J422,$I422,$M422,$O422,$N422,$P422,$Q422-$C$3,$R422,2)*H422</f>
        <v>-36793.935063557154</v>
      </c>
      <c r="W422" s="159">
        <f t="shared" si="473"/>
        <v>-1286.4421203040692</v>
      </c>
      <c r="X422" s="51" t="str">
        <f t="shared" si="459"/>
        <v>36831IF-PAN/TX/OK</v>
      </c>
      <c r="Y422" s="418">
        <f t="shared" si="460"/>
        <v>-30</v>
      </c>
      <c r="Z422" s="456">
        <f t="shared" si="461"/>
        <v>-0.11835830981084361</v>
      </c>
      <c r="AA422" s="456">
        <f>_xll.xSPRDOPT($L422,$J422,$I422,$M422,$O422,$N422,$P422,$Q422-$C$3,$R422,3)</f>
        <v>1.4922818157248519</v>
      </c>
      <c r="AB422" s="456">
        <f>((_xll.xSPRDOPT($L422+AB$5,$J422,$I422,$M422,$O422,$N422,$P422,$Q422-$C$3,$R422,3)*$H422)/10000)/100</f>
        <v>-0.44768454471745556</v>
      </c>
      <c r="AC422" s="456">
        <f>((_xll.xSPRDOPT($L422+$AB$5,$J422,$I422,$M422,$O422,$N422,$P422,$Q422-$C$3,$R422,7)*$H422)/100)</f>
        <v>5997.388633486622</v>
      </c>
      <c r="AD422" s="456">
        <f>(_xll.xSPRDOPT($L422+$AB$5,$J422,$I422,$M422,$O422,$N422,$P422,$Q422-$C$3,$R422,9)/365)*$H422</f>
        <v>63.225326934685611</v>
      </c>
      <c r="AE422">
        <f t="shared" si="462"/>
        <v>0</v>
      </c>
      <c r="AF422" s="456">
        <f t="shared" si="463"/>
        <v>-132.5716630759041</v>
      </c>
      <c r="AG422" s="456">
        <f>((_xll.xSPRDOPT($L422,$J422,$I422,$M422,$O422,$N422,$P422,$Q422-$C$3,$R422,6)*$H422)/100)</f>
        <v>-621.17414369210053</v>
      </c>
      <c r="AH422" s="456">
        <f>((_xll.xSPRDOPT($L422,$J422,$I422,$M422,$O422,$N422,$P422,$Q422-$C$3,$R422,5)*$H422)/100)</f>
        <v>488.60248061619643</v>
      </c>
      <c r="AI422" s="456">
        <f>(((_xll.xSPRDOPT($L422,$J422,$I422,$M422,$O422,$N422,$P422,$Q422-$C$3,$R422,4)*$H422)/10000)/100)-AB422</f>
        <v>-2.2453210340405816E-2</v>
      </c>
      <c r="AJ422" s="456"/>
      <c r="AK422" s="456"/>
      <c r="AL422" s="456"/>
      <c r="AM422" s="472"/>
      <c r="CC422" s="141">
        <f t="shared" si="479"/>
        <v>36831</v>
      </c>
      <c r="CD422" s="234">
        <f>_xll.xSPRDOPT((VLOOKUP(G422,NGPrices,2,FALSE)+HLOOKUP(D422,Prices,VLOOKUP(G422,move_down,2,FALSE),FALSE)),VLOOKUP(G422,NGPrices,2,FALSE),I422,VLOOKUP(G422,NGPREVPRICES,4,FALSE),HLOOKUP(D422,PREVVOLS,VLOOKUP(G422,MOVE_DOWN2,2,FALSE),FALSE),VLOOKUP(G422,NGPREVPRICES,3,FALSE),HLOOKUP(D422,Correllate,VLOOKUP(G422,CorMove,2,FALSE),FALSE),Q422-$CD$3,R422,$CD$5)*H422-CJ422</f>
        <v>0</v>
      </c>
      <c r="CE422" s="234">
        <f>_xll.xSPRDOPT((VLOOKUP(G422,NGPREVPRICES,2,FALSE)+HLOOKUP(D422,PREVCURVES,VLOOKUP(G422,MOVE_DOWN2,2,FALSE),FALSE)),VLOOKUP(G422,NGPREVPRICES,2,FALSE),CK422,VLOOKUP(G422,NGPrices,4,FALSE),HLOOKUP(D422,PREVVOLS,VLOOKUP(G422,MOVE_DOWN2,2,FALSE),FALSE),VLOOKUP(G422,NGPREVPRICES,3,FALSE),HLOOKUP(D422,Correllate,VLOOKUP(G422,CorMove,2,FALSE),FALSE),Q422-$CD$3,R422,$CJ$5)*H422-CJ422</f>
        <v>0</v>
      </c>
      <c r="CF422" s="10">
        <f t="shared" si="480"/>
        <v>0.44096956442581359</v>
      </c>
      <c r="CG422" s="234">
        <f>_xll.xSPRDOPT((VLOOKUP(G422,NGPREVPRICES,2,FALSE)+HLOOKUP(D422,PREVCURVES,VLOOKUP(G422,MOVE_DOWN2,2,FALSE),FALSE)),VLOOKUP(G422,NGPREVPRICES,2,FALSE),CK422,VLOOKUP(G422,NGPREVPRICES,4,FALSE),HLOOKUP(D422,VOLS,VLOOKUP(G422,move_down,2,FALSE),FALSE),VLOOKUP(G422,NGPrices,3,FALSE),HLOOKUP(D422,Correllate,VLOOKUP(G422,CorMove,2,FALSE),FALSE),Q422-$CD$3,R422,$CJ$5)*H422-CJ422</f>
        <v>0</v>
      </c>
      <c r="CH422" s="234">
        <f>_xll.xSPRDOPT((VLOOKUP(G422,NGPREVPRICES,2,FALSE)+HLOOKUP(D422,PREVCURVES,VLOOKUP(G422,MOVE_DOWN2,2,FALSE),FALSE)),VLOOKUP(G422,NGPREVPRICES,2,FALSE),CK422,VLOOKUP(G422,NGPREVPRICES,4,FALSE),HLOOKUP(D422,PREVVOLS,VLOOKUP(G422,MOVE_DOWN2,2,FALSE),FALSE),VLOOKUP(G422,NGPREVPRICES,3,FALSE),HLOOKUP(D422,Correllate,VLOOKUP(G422,CorMove,2,FALSE),FALSE),Q422-$C$3,R422,$CJ$5)*H422-CJ422</f>
        <v>63.27173635531426</v>
      </c>
      <c r="CI422" s="234">
        <f t="shared" si="481"/>
        <v>63.712705919740074</v>
      </c>
      <c r="CJ422" s="234">
        <f>_xll.xSPRDOPT((VLOOKUP(G422,NGPREVPRICES,2,FALSE)+HLOOKUP(D422,PREVCURVES,VLOOKUP(G422,MOVE_DOWN2,2,FALSE),FALSE)),VLOOKUP(G422,NGPREVPRICES,2,FALSE),CK422,VLOOKUP(G422,NGPREVPRICES,4,FALSE),HLOOKUP(D422,PREVVOLS,VLOOKUP(G422,MOVE_DOWN2,2,FALSE),FALSE),VLOOKUP(G422,NGPREVPRICES,3,FALSE),HLOOKUP(D422,Correllate,VLOOKUP(G422,CorMove,2,FALSE),FALSE),Q422-$CD$3,R422,$CJ$5)*H422</f>
        <v>-2374.4980428520566</v>
      </c>
      <c r="CK422" s="235">
        <f t="shared" si="482"/>
        <v>-0.3</v>
      </c>
      <c r="CM422" t="str">
        <f t="shared" si="483"/>
        <v>36831Curve Shift/Gamma</v>
      </c>
      <c r="CN422" t="str">
        <f t="shared" si="435"/>
        <v>36831Rho</v>
      </c>
      <c r="CO422" t="str">
        <f t="shared" si="436"/>
        <v>36831Drift</v>
      </c>
      <c r="CP422" t="str">
        <f t="shared" si="437"/>
        <v>36831Vega</v>
      </c>
      <c r="CQ422" t="str">
        <f t="shared" si="438"/>
        <v>36831Theta</v>
      </c>
    </row>
    <row r="423" spans="1:95" x14ac:dyDescent="0.25">
      <c r="A423" s="384" t="s">
        <v>480</v>
      </c>
      <c r="B423" t="s">
        <v>250</v>
      </c>
      <c r="C423" t="s">
        <v>484</v>
      </c>
      <c r="D423" t="s">
        <v>7</v>
      </c>
      <c r="E423" t="s">
        <v>20</v>
      </c>
      <c r="F423" t="s">
        <v>1</v>
      </c>
      <c r="G423" s="5">
        <v>36800</v>
      </c>
      <c r="H423" s="130">
        <v>-1550000</v>
      </c>
      <c r="I423">
        <v>0.55000000000000004</v>
      </c>
      <c r="J423" s="53">
        <f t="shared" si="464"/>
        <v>4.6920000000000002</v>
      </c>
      <c r="K423" s="7">
        <f t="shared" si="465"/>
        <v>0.41499999999999998</v>
      </c>
      <c r="L423" s="53">
        <f t="shared" si="466"/>
        <v>5.1070000000000002</v>
      </c>
      <c r="M423" s="157">
        <f t="shared" si="467"/>
        <v>6.8050789414654006E-2</v>
      </c>
      <c r="N423" s="4">
        <f t="shared" si="468"/>
        <v>0.57499999999999996</v>
      </c>
      <c r="O423" s="4">
        <f t="shared" si="469"/>
        <v>0.56399999999999995</v>
      </c>
      <c r="P423" s="9">
        <f t="shared" si="470"/>
        <v>0.99250000000000005</v>
      </c>
      <c r="Q423" s="5">
        <f t="shared" si="458"/>
        <v>36797</v>
      </c>
      <c r="R423" s="4">
        <f t="shared" si="471"/>
        <v>0</v>
      </c>
      <c r="S423" s="158">
        <f>_xll.xSPRDOPT($L423,$J423,$I423,$M423,$O423,$N423,$P423,$Q423-$C$3,$R423,0)</f>
        <v>0.1421017285188616</v>
      </c>
      <c r="T423" s="159">
        <f>_xll.xSPRDOPT($L423,$J423,$I423,$M423,$O423,$N423,$P423,$Q423-$C$3,$R423,1)*H423</f>
        <v>1331313.9673223202</v>
      </c>
      <c r="U423" s="160">
        <f t="shared" si="472"/>
        <v>-220257.67920423549</v>
      </c>
      <c r="V423" s="159">
        <f>_xll.xSPRDOPT($L423,$J423,$I423,$M423,$O423,$N423,$P423,$Q423-$C$3,$R423,2)*H423</f>
        <v>-1336295.5929445068</v>
      </c>
      <c r="W423" s="159">
        <f t="shared" si="473"/>
        <v>-4981.6256221865769</v>
      </c>
      <c r="X423" s="51" t="str">
        <f t="shared" ref="X423:X450" si="484">CONCATENATE(G423,D423)</f>
        <v>36800IF-TRANSCO/Z6</v>
      </c>
      <c r="Y423" s="418">
        <f t="shared" ref="Y423:Y450" si="485">H423/10000</f>
        <v>-155</v>
      </c>
      <c r="Z423" s="456">
        <f t="shared" ref="Z423:Z450" si="486">T423/H423</f>
        <v>-0.85891223698214203</v>
      </c>
      <c r="AA423" s="456">
        <f>_xll.xSPRDOPT($L423,$J423,$I423,$M423,$O423,$N423,$P423,$Q423-$C$3,$R423,3)</f>
        <v>1.8620823755692615</v>
      </c>
      <c r="AB423" s="456">
        <f>((_xll.xSPRDOPT($L423+AB$5,$J423,$I423,$M423,$O423,$N423,$P423,$Q423-$C$3,$R423,3)*$H423)/10000)/100</f>
        <v>-2.8862276821323554</v>
      </c>
      <c r="AC423" s="456">
        <f>((_xll.xSPRDOPT($L423+$AB$5,$J423,$I423,$M423,$O423,$N423,$P423,$Q423-$C$3,$R423,7)*$H423)/100)</f>
        <v>18130.9221096898</v>
      </c>
      <c r="AD423" s="456">
        <f>(_xll.xSPRDOPT($L423+$AB$5,$J423,$I423,$M423,$O423,$N423,$P423,$Q423-$C$3,$R423,9)/365)*$H423</f>
        <v>617.50544187750154</v>
      </c>
      <c r="AE423">
        <f t="shared" si="462"/>
        <v>0</v>
      </c>
      <c r="AF423" s="456">
        <f t="shared" si="463"/>
        <v>-686.73351877556524</v>
      </c>
      <c r="AG423" s="456">
        <f>((_xll.xSPRDOPT($L423,$J423,$I423,$M423,$O423,$N423,$P423,$Q423-$C$3,$R423,6)*$H423)/100)</f>
        <v>2222.2549098272261</v>
      </c>
      <c r="AH423" s="456">
        <f>((_xll.xSPRDOPT($L423,$J423,$I423,$M423,$O423,$N423,$P423,$Q423-$C$3,$R423,5)*$H423)/100)</f>
        <v>-2965.7240185223491</v>
      </c>
      <c r="AI423" s="456">
        <f>(((_xll.xSPRDOPT($L423,$J423,$I423,$M423,$O423,$N423,$P423,$Q423-$C$3,$R423,4)*$H423)/10000)/100)-AB423</f>
        <v>8.99546714142474E-2</v>
      </c>
      <c r="AJ423" s="456"/>
      <c r="AK423" s="456"/>
      <c r="AL423" s="456"/>
      <c r="AM423" s="472"/>
      <c r="CC423" s="141">
        <f t="shared" si="479"/>
        <v>36800</v>
      </c>
      <c r="CD423" s="234">
        <f>_xll.xSPRDOPT((VLOOKUP(G423,NGPrices,2,FALSE)+HLOOKUP(D423,Prices,VLOOKUP(G423,move_down,2,FALSE),FALSE)),VLOOKUP(G423,NGPrices,2,FALSE),I423,VLOOKUP(G423,NGPREVPRICES,4,FALSE),HLOOKUP(D423,PREVVOLS,VLOOKUP(G423,MOVE_DOWN2,2,FALSE),FALSE),VLOOKUP(G423,NGPREVPRICES,3,FALSE),HLOOKUP(D423,Correllate,VLOOKUP(G423,CorMove,2,FALSE),FALSE),Q423-$CD$3,R423,$CD$5)*H423-CJ423</f>
        <v>0</v>
      </c>
      <c r="CE423" s="234">
        <f>_xll.xSPRDOPT((VLOOKUP(G423,NGPREVPRICES,2,FALSE)+HLOOKUP(D423,PREVCURVES,VLOOKUP(G423,MOVE_DOWN2,2,FALSE),FALSE)),VLOOKUP(G423,NGPREVPRICES,2,FALSE),CK423,VLOOKUP(G423,NGPrices,4,FALSE),HLOOKUP(D423,PREVVOLS,VLOOKUP(G423,MOVE_DOWN2,2,FALSE),FALSE),VLOOKUP(G423,NGPREVPRICES,3,FALSE),HLOOKUP(D423,Correllate,VLOOKUP(G423,CorMove,2,FALSE),FALSE),Q423-$CD$3,R423,$CJ$5)*H423-CJ423</f>
        <v>0</v>
      </c>
      <c r="CF423" s="10">
        <f t="shared" si="480"/>
        <v>40.719762538035866</v>
      </c>
      <c r="CG423" s="234">
        <f>_xll.xSPRDOPT((VLOOKUP(G423,NGPREVPRICES,2,FALSE)+HLOOKUP(D423,PREVCURVES,VLOOKUP(G423,MOVE_DOWN2,2,FALSE),FALSE)),VLOOKUP(G423,NGPREVPRICES,2,FALSE),CK423,VLOOKUP(G423,NGPREVPRICES,4,FALSE),HLOOKUP(D423,VOLS,VLOOKUP(G423,move_down,2,FALSE),FALSE),VLOOKUP(G423,NGPrices,3,FALSE),HLOOKUP(D423,Correllate,VLOOKUP(G423,CorMove,2,FALSE),FALSE),Q423-$CD$3,R423,$CJ$5)*H423-CJ423</f>
        <v>0</v>
      </c>
      <c r="CH423" s="234">
        <f>_xll.xSPRDOPT((VLOOKUP(G423,NGPREVPRICES,2,FALSE)+HLOOKUP(D423,PREVCURVES,VLOOKUP(G423,MOVE_DOWN2,2,FALSE),FALSE)),VLOOKUP(G423,NGPREVPRICES,2,FALSE),CK423,VLOOKUP(G423,NGPREVPRICES,4,FALSE),HLOOKUP(D423,PREVVOLS,VLOOKUP(G423,MOVE_DOWN2,2,FALSE),FALSE),VLOOKUP(G423,NGPREVPRICES,3,FALSE),HLOOKUP(D423,Correllate,VLOOKUP(G423,CorMove,2,FALSE),FALSE),Q423-$C$3,R423,$CJ$5)*H423-CJ423</f>
        <v>618.34442000670242</v>
      </c>
      <c r="CI423" s="234">
        <f t="shared" si="481"/>
        <v>659.06418254473829</v>
      </c>
      <c r="CJ423" s="234">
        <f>_xll.xSPRDOPT((VLOOKUP(G423,NGPREVPRICES,2,FALSE)+HLOOKUP(D423,PREVCURVES,VLOOKUP(G423,MOVE_DOWN2,2,FALSE),FALSE)),VLOOKUP(G423,NGPREVPRICES,2,FALSE),CK423,VLOOKUP(G423,NGPREVPRICES,4,FALSE),HLOOKUP(D423,PREVVOLS,VLOOKUP(G423,MOVE_DOWN2,2,FALSE),FALSE),VLOOKUP(G423,NGPREVPRICES,3,FALSE),HLOOKUP(D423,Correllate,VLOOKUP(G423,CorMove,2,FALSE),FALSE),Q423-$CD$3,R423,$CJ$5)*H423</f>
        <v>-220876.0236242422</v>
      </c>
      <c r="CK423" s="235">
        <f t="shared" si="482"/>
        <v>0.55000000000000004</v>
      </c>
      <c r="CM423" t="str">
        <f t="shared" si="483"/>
        <v>36800Curve Shift/Gamma</v>
      </c>
      <c r="CN423" t="str">
        <f t="shared" si="435"/>
        <v>36800Rho</v>
      </c>
      <c r="CO423" t="str">
        <f t="shared" si="436"/>
        <v>36800Drift</v>
      </c>
      <c r="CP423" t="str">
        <f t="shared" si="437"/>
        <v>36800Vega</v>
      </c>
      <c r="CQ423" t="str">
        <f t="shared" si="438"/>
        <v>36800Theta</v>
      </c>
    </row>
    <row r="424" spans="1:95" x14ac:dyDescent="0.25">
      <c r="A424" s="384" t="s">
        <v>279</v>
      </c>
      <c r="B424" t="s">
        <v>250</v>
      </c>
      <c r="C424" t="s">
        <v>485</v>
      </c>
      <c r="D424" t="s">
        <v>7</v>
      </c>
      <c r="E424" t="s">
        <v>20</v>
      </c>
      <c r="F424" t="s">
        <v>21</v>
      </c>
      <c r="G424" s="5">
        <v>36951</v>
      </c>
      <c r="H424" s="130">
        <v>500000</v>
      </c>
      <c r="I424">
        <v>2.2999999999999998</v>
      </c>
      <c r="J424" s="53">
        <f t="shared" si="464"/>
        <v>4.2130000000000001</v>
      </c>
      <c r="K424" s="7">
        <f t="shared" si="465"/>
        <v>1.075</v>
      </c>
      <c r="L424" s="53">
        <f t="shared" si="466"/>
        <v>5.2880000000000003</v>
      </c>
      <c r="M424" s="157">
        <f t="shared" si="467"/>
        <v>6.8879814952706994E-2</v>
      </c>
      <c r="N424" s="4">
        <f t="shared" si="468"/>
        <v>0.53249999999999997</v>
      </c>
      <c r="O424" s="4">
        <f t="shared" si="469"/>
        <v>0.61199999999999999</v>
      </c>
      <c r="P424" s="9">
        <f t="shared" si="470"/>
        <v>0.83</v>
      </c>
      <c r="Q424" s="5">
        <f t="shared" si="458"/>
        <v>36949</v>
      </c>
      <c r="R424" s="4">
        <f t="shared" si="471"/>
        <v>1</v>
      </c>
      <c r="S424" s="158">
        <f>_xll.xSPRDOPT($L424,$J424,$I424,$M424,$O424,$N424,$P424,$Q424-$C$3,$R424,0)</f>
        <v>0.18449994441616008</v>
      </c>
      <c r="T424" s="159">
        <f>_xll.xSPRDOPT($L424,$J424,$I424,$M424,$O424,$N424,$P424,$Q424-$C$3,$R424,1)*H424</f>
        <v>125593.11951845723</v>
      </c>
      <c r="U424" s="160">
        <f t="shared" si="472"/>
        <v>92249.972208080042</v>
      </c>
      <c r="V424" s="159">
        <f>_xll.xSPRDOPT($L424,$J424,$I424,$M424,$O424,$N424,$P424,$Q424-$C$3,$R424,2)*H424</f>
        <v>-94366.142410237022</v>
      </c>
      <c r="W424" s="159">
        <f t="shared" si="473"/>
        <v>31226.977108220206</v>
      </c>
      <c r="X424" s="51" t="str">
        <f t="shared" si="484"/>
        <v>36951IF-TRANSCO/Z6</v>
      </c>
      <c r="Y424" s="418">
        <f t="shared" si="485"/>
        <v>50</v>
      </c>
      <c r="Z424" s="456">
        <f t="shared" si="486"/>
        <v>0.25118623903691445</v>
      </c>
      <c r="AA424" s="456">
        <f>_xll.xSPRDOPT($L424,$J424,$I424,$M424,$O424,$N424,$P424,$Q424-$C$3,$R424,3)</f>
        <v>0.22579164649955882</v>
      </c>
      <c r="AB424" s="456">
        <f>((_xll.xSPRDOPT($L424+AB$5,$J424,$I424,$M424,$O424,$N424,$P424,$Q424-$C$3,$R424,3)*$H424)/10000)/100</f>
        <v>0.11289582324977941</v>
      </c>
      <c r="AC424" s="456">
        <f>((_xll.xSPRDOPT($L424+$AB$5,$J424,$I424,$M424,$O424,$N424,$P424,$Q424-$C$3,$R424,7)*$H424)/100)</f>
        <v>-3489.8715729955329</v>
      </c>
      <c r="AD424" s="456">
        <f>(_xll.xSPRDOPT($L424+$AB$5,$J424,$I424,$M424,$O424,$N424,$P424,$Q424-$C$3,$R424,9)/365)*$H424</f>
        <v>-584.13129149740939</v>
      </c>
      <c r="AE424">
        <f t="shared" si="462"/>
        <v>0</v>
      </c>
      <c r="AF424" s="456">
        <f t="shared" si="463"/>
        <v>4109.1205959494246</v>
      </c>
      <c r="AG424" s="456">
        <f>((_xll.xSPRDOPT($L424,$J424,$I424,$M424,$O424,$N424,$P424,$Q424-$C$3,$R424,6)*$H424)/100)</f>
        <v>-1515.6005256542373</v>
      </c>
      <c r="AH424" s="456">
        <f>((_xll.xSPRDOPT($L424,$J424,$I424,$M424,$O424,$N424,$P424,$Q424-$C$3,$R424,5)*$H424)/100)</f>
        <v>4894.0588190424023</v>
      </c>
      <c r="AI424" s="456">
        <f>(((_xll.xSPRDOPT($L424,$J424,$I424,$M424,$O424,$N424,$P424,$Q424-$C$3,$R424,4)*$H424)/10000)/100)-AB424</f>
        <v>-2.957644680262532E-2</v>
      </c>
      <c r="AJ424" s="456"/>
      <c r="AK424" s="456"/>
      <c r="AL424" s="456"/>
      <c r="AM424" s="472"/>
      <c r="CC424" s="141">
        <f t="shared" si="479"/>
        <v>36951</v>
      </c>
      <c r="CD424" s="234">
        <f>_xll.xSPRDOPT((VLOOKUP(G424,NGPrices,2,FALSE)+HLOOKUP(D424,Prices,VLOOKUP(G424,move_down,2,FALSE),FALSE)),VLOOKUP(G424,NGPrices,2,FALSE),I424,VLOOKUP(G424,NGPREVPRICES,4,FALSE),HLOOKUP(D424,PREVVOLS,VLOOKUP(G424,MOVE_DOWN2,2,FALSE),FALSE),VLOOKUP(G424,NGPREVPRICES,3,FALSE),HLOOKUP(D424,Correllate,VLOOKUP(G424,CorMove,2,FALSE),FALSE),Q424-$CD$3,R424,$CD$5)*H424-CJ424</f>
        <v>0</v>
      </c>
      <c r="CE424" s="234">
        <f>_xll.xSPRDOPT((VLOOKUP(G424,NGPREVPRICES,2,FALSE)+HLOOKUP(D424,PREVCURVES,VLOOKUP(G424,MOVE_DOWN2,2,FALSE),FALSE)),VLOOKUP(G424,NGPREVPRICES,2,FALSE),CK424,VLOOKUP(G424,NGPrices,4,FALSE),HLOOKUP(D424,PREVVOLS,VLOOKUP(G424,MOVE_DOWN2,2,FALSE),FALSE),VLOOKUP(G424,NGPREVPRICES,3,FALSE),HLOOKUP(D424,Correllate,VLOOKUP(G424,CorMove,2,FALSE),FALSE),Q424-$CD$3,R424,$CJ$5)*H424-CJ424</f>
        <v>0</v>
      </c>
      <c r="CF424" s="10">
        <f t="shared" si="480"/>
        <v>-17.804033058710047</v>
      </c>
      <c r="CG424" s="234">
        <f>_xll.xSPRDOPT((VLOOKUP(G424,NGPREVPRICES,2,FALSE)+HLOOKUP(D424,PREVCURVES,VLOOKUP(G424,MOVE_DOWN2,2,FALSE),FALSE)),VLOOKUP(G424,NGPREVPRICES,2,FALSE),CK424,VLOOKUP(G424,NGPREVPRICES,4,FALSE),HLOOKUP(D424,VOLS,VLOOKUP(G424,move_down,2,FALSE),FALSE),VLOOKUP(G424,NGPrices,3,FALSE),HLOOKUP(D424,Correllate,VLOOKUP(G424,CorMove,2,FALSE),FALSE),Q424-$CD$3,R424,$CJ$5)*H424-CJ424</f>
        <v>0</v>
      </c>
      <c r="CH424" s="234">
        <f>_xll.xSPRDOPT((VLOOKUP(G424,NGPREVPRICES,2,FALSE)+HLOOKUP(D424,PREVCURVES,VLOOKUP(G424,MOVE_DOWN2,2,FALSE),FALSE)),VLOOKUP(G424,NGPREVPRICES,2,FALSE),CK424,VLOOKUP(G424,NGPREVPRICES,4,FALSE),HLOOKUP(D424,PREVVOLS,VLOOKUP(G424,MOVE_DOWN2,2,FALSE),FALSE),VLOOKUP(G424,NGPREVPRICES,3,FALSE),HLOOKUP(D424,Correllate,VLOOKUP(G424,CorMove,2,FALSE),FALSE),Q424-$C$3,R424,$CJ$5)*H424-CJ424</f>
        <v>-583.29354536539176</v>
      </c>
      <c r="CI424" s="234">
        <f t="shared" si="481"/>
        <v>-601.09757842410181</v>
      </c>
      <c r="CJ424" s="234">
        <f>_xll.xSPRDOPT((VLOOKUP(G424,NGPREVPRICES,2,FALSE)+HLOOKUP(D424,PREVCURVES,VLOOKUP(G424,MOVE_DOWN2,2,FALSE),FALSE)),VLOOKUP(G424,NGPREVPRICES,2,FALSE),CK424,VLOOKUP(G424,NGPREVPRICES,4,FALSE),HLOOKUP(D424,PREVVOLS,VLOOKUP(G424,MOVE_DOWN2,2,FALSE),FALSE),VLOOKUP(G424,NGPREVPRICES,3,FALSE),HLOOKUP(D424,Correllate,VLOOKUP(G424,CorMove,2,FALSE),FALSE),Q424-$CD$3,R424,$CJ$5)*H424</f>
        <v>92833.265753445434</v>
      </c>
      <c r="CK424" s="235">
        <f t="shared" si="482"/>
        <v>2.2999999999999998</v>
      </c>
      <c r="CM424" t="str">
        <f t="shared" si="483"/>
        <v>36951Curve Shift/Gamma</v>
      </c>
      <c r="CN424" t="str">
        <f t="shared" si="435"/>
        <v>36951Rho</v>
      </c>
      <c r="CO424" t="str">
        <f t="shared" si="436"/>
        <v>36951Drift</v>
      </c>
      <c r="CP424" t="str">
        <f t="shared" si="437"/>
        <v>36951Vega</v>
      </c>
      <c r="CQ424" t="str">
        <f t="shared" si="438"/>
        <v>36951Theta</v>
      </c>
    </row>
    <row r="425" spans="1:95" x14ac:dyDescent="0.25">
      <c r="A425" s="384" t="s">
        <v>279</v>
      </c>
      <c r="B425" t="s">
        <v>250</v>
      </c>
      <c r="C425" t="s">
        <v>485</v>
      </c>
      <c r="D425" t="s">
        <v>7</v>
      </c>
      <c r="E425" t="s">
        <v>20</v>
      </c>
      <c r="F425" t="s">
        <v>21</v>
      </c>
      <c r="G425" s="5">
        <v>36923</v>
      </c>
      <c r="H425" s="130">
        <v>500000</v>
      </c>
      <c r="I425">
        <v>2.2999999999999998</v>
      </c>
      <c r="J425" s="53">
        <f t="shared" si="464"/>
        <v>4.4800000000000004</v>
      </c>
      <c r="K425" s="7">
        <f t="shared" si="465"/>
        <v>2.09</v>
      </c>
      <c r="L425" s="53">
        <f t="shared" si="466"/>
        <v>6.57</v>
      </c>
      <c r="M425" s="157">
        <f t="shared" si="467"/>
        <v>6.8640161611372E-2</v>
      </c>
      <c r="N425" s="4">
        <f t="shared" si="468"/>
        <v>0.59250000000000003</v>
      </c>
      <c r="O425" s="4">
        <f t="shared" si="469"/>
        <v>0.68100000000000005</v>
      </c>
      <c r="P425" s="9">
        <f t="shared" si="470"/>
        <v>0.83</v>
      </c>
      <c r="Q425" s="5">
        <f t="shared" si="458"/>
        <v>36921</v>
      </c>
      <c r="R425" s="4">
        <f t="shared" si="471"/>
        <v>1</v>
      </c>
      <c r="S425" s="158">
        <f>_xll.xSPRDOPT($L425,$J425,$I425,$M425,$O425,$N425,$P425,$Q425-$C$3,$R425,0)</f>
        <v>0.60196502119895934</v>
      </c>
      <c r="T425" s="159">
        <f>_xll.xSPRDOPT($L425,$J425,$I425,$M425,$O425,$N425,$P425,$Q425-$C$3,$R425,1)*H425</f>
        <v>248615.53571312554</v>
      </c>
      <c r="U425" s="160">
        <f t="shared" si="472"/>
        <v>300982.51059947966</v>
      </c>
      <c r="V425" s="159">
        <f>_xll.xSPRDOPT($L425,$J425,$I425,$M425,$O425,$N425,$P425,$Q425-$C$3,$R425,2)*H425</f>
        <v>-206405.73713238849</v>
      </c>
      <c r="W425" s="159">
        <f t="shared" si="473"/>
        <v>42209.798580737057</v>
      </c>
      <c r="X425" s="51" t="str">
        <f t="shared" si="484"/>
        <v>36923IF-TRANSCO/Z6</v>
      </c>
      <c r="Y425" s="418">
        <f t="shared" si="485"/>
        <v>50</v>
      </c>
      <c r="Z425" s="456">
        <f t="shared" si="486"/>
        <v>0.49723107142625111</v>
      </c>
      <c r="AA425" s="456">
        <f>_xll.xSPRDOPT($L425,$J425,$I425,$M425,$O425,$N425,$P425,$Q425-$C$3,$R425,3)</f>
        <v>0.21847665002477443</v>
      </c>
      <c r="AB425" s="456">
        <f>((_xll.xSPRDOPT($L425+AB$5,$J425,$I425,$M425,$O425,$N425,$P425,$Q425-$C$3,$R425,3)*$H425)/10000)/100</f>
        <v>0.10923832501238721</v>
      </c>
      <c r="AC425" s="456">
        <f>((_xll.xSPRDOPT($L425+$AB$5,$J425,$I425,$M425,$O425,$N425,$P425,$Q425-$C$3,$R425,7)*$H425)/100)</f>
        <v>-5401.1643378528852</v>
      </c>
      <c r="AD425" s="456">
        <f>(_xll.xSPRDOPT($L425+$AB$5,$J425,$I425,$M425,$O425,$N425,$P425,$Q425-$C$3,$R425,9)/365)*$H425</f>
        <v>-1066.7401411730957</v>
      </c>
      <c r="AE425">
        <f t="shared" si="462"/>
        <v>0</v>
      </c>
      <c r="AF425" s="456">
        <f t="shared" si="463"/>
        <v>5835.4828403599295</v>
      </c>
      <c r="AG425" s="456">
        <f>((_xll.xSPRDOPT($L425,$J425,$I425,$M425,$O425,$N425,$P425,$Q425-$C$3,$R425,6)*$H425)/100)</f>
        <v>-2159.4907016967186</v>
      </c>
      <c r="AH425" s="456">
        <f>((_xll.xSPRDOPT($L425,$J425,$I425,$M425,$O425,$N425,$P425,$Q425-$C$3,$R425,5)*$H425)/100)</f>
        <v>6955.9791830669064</v>
      </c>
      <c r="AI425" s="456">
        <f>(((_xll.xSPRDOPT($L425,$J425,$I425,$M425,$O425,$N425,$P425,$Q425-$C$3,$R425,4)*$H425)/10000)/100)-AB425</f>
        <v>-1.4036923930258322E-3</v>
      </c>
      <c r="AJ425" s="456"/>
      <c r="AK425" s="456"/>
      <c r="AL425" s="456"/>
      <c r="AM425" s="472"/>
      <c r="CC425" s="141">
        <f t="shared" si="479"/>
        <v>36923</v>
      </c>
      <c r="CD425" s="234">
        <f>_xll.xSPRDOPT((VLOOKUP(G425,NGPrices,2,FALSE)+HLOOKUP(D425,Prices,VLOOKUP(G425,move_down,2,FALSE),FALSE)),VLOOKUP(G425,NGPrices,2,FALSE),I425,VLOOKUP(G425,NGPREVPRICES,4,FALSE),HLOOKUP(D425,PREVVOLS,VLOOKUP(G425,MOVE_DOWN2,2,FALSE),FALSE),VLOOKUP(G425,NGPREVPRICES,3,FALSE),HLOOKUP(D425,Correllate,VLOOKUP(G425,CorMove,2,FALSE),FALSE),Q425-$CD$3,R425,$CD$5)*H425-CJ425</f>
        <v>0</v>
      </c>
      <c r="CE425" s="234">
        <f>_xll.xSPRDOPT((VLOOKUP(G425,NGPREVPRICES,2,FALSE)+HLOOKUP(D425,PREVCURVES,VLOOKUP(G425,MOVE_DOWN2,2,FALSE),FALSE)),VLOOKUP(G425,NGPREVPRICES,2,FALSE),CK425,VLOOKUP(G425,NGPrices,4,FALSE),HLOOKUP(D425,PREVVOLS,VLOOKUP(G425,MOVE_DOWN2,2,FALSE),FALSE),VLOOKUP(G425,NGPREVPRICES,3,FALSE),HLOOKUP(D425,Correllate,VLOOKUP(G425,CorMove,2,FALSE),FALSE),Q425-$CD$3,R425,$CJ$5)*H425-CJ425</f>
        <v>0</v>
      </c>
      <c r="CF425" s="10">
        <f t="shared" si="480"/>
        <v>-57.445760213595349</v>
      </c>
      <c r="CG425" s="234">
        <f>_xll.xSPRDOPT((VLOOKUP(G425,NGPREVPRICES,2,FALSE)+HLOOKUP(D425,PREVCURVES,VLOOKUP(G425,MOVE_DOWN2,2,FALSE),FALSE)),VLOOKUP(G425,NGPREVPRICES,2,FALSE),CK425,VLOOKUP(G425,NGPREVPRICES,4,FALSE),HLOOKUP(D425,VOLS,VLOOKUP(G425,move_down,2,FALSE),FALSE),VLOOKUP(G425,NGPrices,3,FALSE),HLOOKUP(D425,Correllate,VLOOKUP(G425,CorMove,2,FALSE),FALSE),Q425-$CD$3,R425,$CJ$5)*H425-CJ425</f>
        <v>0</v>
      </c>
      <c r="CH425" s="234">
        <f>_xll.xSPRDOPT((VLOOKUP(G425,NGPREVPRICES,2,FALSE)+HLOOKUP(D425,PREVCURVES,VLOOKUP(G425,MOVE_DOWN2,2,FALSE),FALSE)),VLOOKUP(G425,NGPREVPRICES,2,FALSE),CK425,VLOOKUP(G425,NGPREVPRICES,4,FALSE),HLOOKUP(D425,PREVVOLS,VLOOKUP(G425,MOVE_DOWN2,2,FALSE),FALSE),VLOOKUP(G425,NGPREVPRICES,3,FALSE),HLOOKUP(D425,Correllate,VLOOKUP(G425,CorMove,2,FALSE),FALSE),Q425-$C$3,R425,$CJ$5)*H425-CJ425</f>
        <v>-1063.9880247193505</v>
      </c>
      <c r="CI425" s="234">
        <f t="shared" si="481"/>
        <v>-1121.4337849329459</v>
      </c>
      <c r="CJ425" s="234">
        <f>_xll.xSPRDOPT((VLOOKUP(G425,NGPREVPRICES,2,FALSE)+HLOOKUP(D425,PREVCURVES,VLOOKUP(G425,MOVE_DOWN2,2,FALSE),FALSE)),VLOOKUP(G425,NGPREVPRICES,2,FALSE),CK425,VLOOKUP(G425,NGPREVPRICES,4,FALSE),HLOOKUP(D425,PREVVOLS,VLOOKUP(G425,MOVE_DOWN2,2,FALSE),FALSE),VLOOKUP(G425,NGPREVPRICES,3,FALSE),HLOOKUP(D425,Correllate,VLOOKUP(G425,CorMove,2,FALSE),FALSE),Q425-$CD$3,R425,$CJ$5)*H425</f>
        <v>302046.49862419901</v>
      </c>
      <c r="CK425" s="235">
        <f t="shared" si="482"/>
        <v>2.2999999999999998</v>
      </c>
      <c r="CM425" t="str">
        <f t="shared" si="483"/>
        <v>36923Curve Shift/Gamma</v>
      </c>
      <c r="CN425" t="str">
        <f t="shared" si="435"/>
        <v>36923Rho</v>
      </c>
      <c r="CO425" t="str">
        <f t="shared" si="436"/>
        <v>36923Drift</v>
      </c>
      <c r="CP425" t="str">
        <f t="shared" si="437"/>
        <v>36923Vega</v>
      </c>
      <c r="CQ425" t="str">
        <f t="shared" si="438"/>
        <v>36923Theta</v>
      </c>
    </row>
    <row r="426" spans="1:95" x14ac:dyDescent="0.25">
      <c r="A426" s="384" t="s">
        <v>279</v>
      </c>
      <c r="B426" t="s">
        <v>250</v>
      </c>
      <c r="C426" t="s">
        <v>485</v>
      </c>
      <c r="D426" t="s">
        <v>7</v>
      </c>
      <c r="E426" t="s">
        <v>20</v>
      </c>
      <c r="F426" t="s">
        <v>21</v>
      </c>
      <c r="G426" s="5">
        <v>36892</v>
      </c>
      <c r="H426" s="130">
        <v>500000</v>
      </c>
      <c r="I426">
        <v>2.2999999999999998</v>
      </c>
      <c r="J426" s="53">
        <f t="shared" si="464"/>
        <v>4.7439999999999998</v>
      </c>
      <c r="K426" s="7">
        <f t="shared" si="465"/>
        <v>2.17</v>
      </c>
      <c r="L426" s="53">
        <f t="shared" si="466"/>
        <v>6.9139999999999997</v>
      </c>
      <c r="M426" s="157">
        <f t="shared" si="467"/>
        <v>6.8374831148490994E-2</v>
      </c>
      <c r="N426" s="4">
        <f t="shared" si="468"/>
        <v>0.60499999999999998</v>
      </c>
      <c r="O426" s="4">
        <f t="shared" si="469"/>
        <v>0.69599999999999995</v>
      </c>
      <c r="P426" s="9">
        <f t="shared" si="470"/>
        <v>0.83</v>
      </c>
      <c r="Q426" s="5">
        <f t="shared" si="458"/>
        <v>36888</v>
      </c>
      <c r="R426" s="4">
        <f t="shared" si="471"/>
        <v>1</v>
      </c>
      <c r="S426" s="158">
        <f>_xll.xSPRDOPT($L426,$J426,$I426,$M426,$O426,$N426,$P426,$Q426-$C$3,$R426,0)</f>
        <v>0.60093796901895769</v>
      </c>
      <c r="T426" s="159">
        <f>_xll.xSPRDOPT($L426,$J426,$I426,$M426,$O426,$N426,$P426,$Q426-$C$3,$R426,1)*H426</f>
        <v>254974.61073092214</v>
      </c>
      <c r="U426" s="160">
        <f t="shared" si="472"/>
        <v>300468.98450947885</v>
      </c>
      <c r="V426" s="159">
        <f>_xll.xSPRDOPT($L426,$J426,$I426,$M426,$O426,$N426,$P426,$Q426-$C$3,$R426,2)*H426</f>
        <v>-216156.85095188458</v>
      </c>
      <c r="W426" s="159">
        <f t="shared" si="473"/>
        <v>38817.759779037558</v>
      </c>
      <c r="X426" s="51" t="str">
        <f t="shared" si="484"/>
        <v>36892IF-TRANSCO/Z6</v>
      </c>
      <c r="Y426" s="418">
        <f t="shared" si="485"/>
        <v>50</v>
      </c>
      <c r="Z426" s="456">
        <f t="shared" si="486"/>
        <v>0.50994922146184429</v>
      </c>
      <c r="AA426" s="456">
        <f>_xll.xSPRDOPT($L426,$J426,$I426,$M426,$O426,$N426,$P426,$Q426-$C$3,$R426,3)</f>
        <v>0.23159046209232084</v>
      </c>
      <c r="AB426" s="456">
        <f>((_xll.xSPRDOPT($L426+AB$5,$J426,$I426,$M426,$O426,$N426,$P426,$Q426-$C$3,$R426,3)*$H426)/10000)/100</f>
        <v>0.11579523104616042</v>
      </c>
      <c r="AC426" s="456">
        <f>((_xll.xSPRDOPT($L426+$AB$5,$J426,$I426,$M426,$O426,$N426,$P426,$Q426-$C$3,$R426,7)*$H426)/100)</f>
        <v>-5270.1070053605663</v>
      </c>
      <c r="AD426" s="456">
        <f>(_xll.xSPRDOPT($L426+$AB$5,$J426,$I426,$M426,$O426,$N426,$P426,$Q426-$C$3,$R426,9)/365)*$H426</f>
        <v>-1305.0336716712345</v>
      </c>
      <c r="AE426">
        <f t="shared" si="462"/>
        <v>0</v>
      </c>
      <c r="AF426" s="456">
        <f t="shared" si="463"/>
        <v>5441.5529682738652</v>
      </c>
      <c r="AG426" s="456">
        <f>((_xll.xSPRDOPT($L426,$J426,$I426,$M426,$O426,$N426,$P426,$Q426-$C$3,$R426,6)*$H426)/100)</f>
        <v>-2011.1361741496155</v>
      </c>
      <c r="AH426" s="456">
        <f>((_xll.xSPRDOPT($L426,$J426,$I426,$M426,$O426,$N426,$P426,$Q426-$C$3,$R426,5)*$H426)/100)</f>
        <v>6478.271452825009</v>
      </c>
      <c r="AI426" s="456">
        <f>(((_xll.xSPRDOPT($L426,$J426,$I426,$M426,$O426,$N426,$P426,$Q426-$C$3,$R426,4)*$H426)/10000)/100)-AB426</f>
        <v>-9.2765849739301354E-5</v>
      </c>
      <c r="AJ426" s="456"/>
      <c r="AK426" s="456"/>
      <c r="AL426" s="456"/>
      <c r="AM426" s="472"/>
      <c r="CC426" s="141">
        <f t="shared" si="479"/>
        <v>36892</v>
      </c>
      <c r="CD426" s="234">
        <f>_xll.xSPRDOPT((VLOOKUP(G426,NGPrices,2,FALSE)+HLOOKUP(D426,Prices,VLOOKUP(G426,move_down,2,FALSE),FALSE)),VLOOKUP(G426,NGPrices,2,FALSE),I426,VLOOKUP(G426,NGPREVPRICES,4,FALSE),HLOOKUP(D426,PREVVOLS,VLOOKUP(G426,MOVE_DOWN2,2,FALSE),FALSE),VLOOKUP(G426,NGPREVPRICES,3,FALSE),HLOOKUP(D426,Correllate,VLOOKUP(G426,CorMove,2,FALSE),FALSE),Q426-$CD$3,R426,$CD$5)*H426-CJ426</f>
        <v>0</v>
      </c>
      <c r="CE426" s="234">
        <f>_xll.xSPRDOPT((VLOOKUP(G426,NGPREVPRICES,2,FALSE)+HLOOKUP(D426,PREVCURVES,VLOOKUP(G426,MOVE_DOWN2,2,FALSE),FALSE)),VLOOKUP(G426,NGPREVPRICES,2,FALSE),CK426,VLOOKUP(G426,NGPrices,4,FALSE),HLOOKUP(D426,PREVVOLS,VLOOKUP(G426,MOVE_DOWN2,2,FALSE),FALSE),VLOOKUP(G426,NGPREVPRICES,3,FALSE),HLOOKUP(D426,Correllate,VLOOKUP(G426,CorMove,2,FALSE),FALSE),Q426-$CD$3,R426,$CJ$5)*H426-CJ426</f>
        <v>0</v>
      </c>
      <c r="CF426" s="10">
        <f t="shared" si="480"/>
        <v>-56.865902234974783</v>
      </c>
      <c r="CG426" s="234">
        <f>_xll.xSPRDOPT((VLOOKUP(G426,NGPREVPRICES,2,FALSE)+HLOOKUP(D426,PREVCURVES,VLOOKUP(G426,MOVE_DOWN2,2,FALSE),FALSE)),VLOOKUP(G426,NGPREVPRICES,2,FALSE),CK426,VLOOKUP(G426,NGPREVPRICES,4,FALSE),HLOOKUP(D426,VOLS,VLOOKUP(G426,move_down,2,FALSE),FALSE),VLOOKUP(G426,NGPrices,3,FALSE),HLOOKUP(D426,Correllate,VLOOKUP(G426,CorMove,2,FALSE),FALSE),Q426-$CD$3,R426,$CJ$5)*H426-CJ426</f>
        <v>0</v>
      </c>
      <c r="CH426" s="234">
        <f>_xll.xSPRDOPT((VLOOKUP(G426,NGPREVPRICES,2,FALSE)+HLOOKUP(D426,PREVCURVES,VLOOKUP(G426,MOVE_DOWN2,2,FALSE),FALSE)),VLOOKUP(G426,NGPREVPRICES,2,FALSE),CK426,VLOOKUP(G426,NGPREVPRICES,4,FALSE),HLOOKUP(D426,PREVVOLS,VLOOKUP(G426,MOVE_DOWN2,2,FALSE),FALSE),VLOOKUP(G426,NGPREVPRICES,3,FALSE),HLOOKUP(D426,Correllate,VLOOKUP(G426,CorMove,2,FALSE),FALSE),Q426-$C$3,R426,$CJ$5)*H426-CJ426</f>
        <v>-1301.0798203337472</v>
      </c>
      <c r="CI426" s="234">
        <f t="shared" si="481"/>
        <v>-1357.945722568722</v>
      </c>
      <c r="CJ426" s="234">
        <f>_xll.xSPRDOPT((VLOOKUP(G426,NGPREVPRICES,2,FALSE)+HLOOKUP(D426,PREVCURVES,VLOOKUP(G426,MOVE_DOWN2,2,FALSE),FALSE)),VLOOKUP(G426,NGPREVPRICES,2,FALSE),CK426,VLOOKUP(G426,NGPREVPRICES,4,FALSE),HLOOKUP(D426,PREVVOLS,VLOOKUP(G426,MOVE_DOWN2,2,FALSE),FALSE),VLOOKUP(G426,NGPREVPRICES,3,FALSE),HLOOKUP(D426,Correllate,VLOOKUP(G426,CorMove,2,FALSE),FALSE),Q426-$CD$3,R426,$CJ$5)*H426</f>
        <v>301770.06432981259</v>
      </c>
      <c r="CK426" s="235">
        <f t="shared" si="482"/>
        <v>2.2999999999999998</v>
      </c>
      <c r="CM426" t="str">
        <f t="shared" si="483"/>
        <v>36892Curve Shift/Gamma</v>
      </c>
      <c r="CN426" t="str">
        <f t="shared" si="435"/>
        <v>36892Rho</v>
      </c>
      <c r="CO426" t="str">
        <f t="shared" si="436"/>
        <v>36892Drift</v>
      </c>
      <c r="CP426" t="str">
        <f t="shared" si="437"/>
        <v>36892Vega</v>
      </c>
      <c r="CQ426" t="str">
        <f t="shared" si="438"/>
        <v>36892Theta</v>
      </c>
    </row>
    <row r="427" spans="1:95" x14ac:dyDescent="0.25">
      <c r="A427" s="384" t="s">
        <v>279</v>
      </c>
      <c r="B427" t="s">
        <v>250</v>
      </c>
      <c r="C427" t="s">
        <v>485</v>
      </c>
      <c r="D427" t="s">
        <v>7</v>
      </c>
      <c r="E427" t="s">
        <v>20</v>
      </c>
      <c r="F427" t="s">
        <v>21</v>
      </c>
      <c r="G427" s="5">
        <v>36861</v>
      </c>
      <c r="H427" s="130">
        <v>500000</v>
      </c>
      <c r="I427">
        <v>2.2999999999999998</v>
      </c>
      <c r="J427" s="53">
        <f t="shared" si="464"/>
        <v>4.8</v>
      </c>
      <c r="K427" s="7">
        <f t="shared" si="465"/>
        <v>1.645</v>
      </c>
      <c r="L427" s="53">
        <f t="shared" si="466"/>
        <v>6.4450000000000003</v>
      </c>
      <c r="M427" s="157">
        <f t="shared" si="467"/>
        <v>6.8314027999354002E-2</v>
      </c>
      <c r="N427" s="4">
        <f t="shared" si="468"/>
        <v>0.6</v>
      </c>
      <c r="O427" s="4">
        <f t="shared" si="469"/>
        <v>0.69</v>
      </c>
      <c r="P427" s="9">
        <f t="shared" si="470"/>
        <v>0.83</v>
      </c>
      <c r="Q427" s="5">
        <f t="shared" si="458"/>
        <v>36859</v>
      </c>
      <c r="R427" s="4">
        <f t="shared" si="471"/>
        <v>1</v>
      </c>
      <c r="S427" s="158">
        <f>_xll.xSPRDOPT($L427,$J427,$I427,$M427,$O427,$N427,$P427,$Q427-$C$3,$R427,0)</f>
        <v>0.29264842169745336</v>
      </c>
      <c r="T427" s="159">
        <f>_xll.xSPRDOPT($L427,$J427,$I427,$M427,$O427,$N427,$P427,$Q427-$C$3,$R427,1)*H427</f>
        <v>178671.7937954496</v>
      </c>
      <c r="U427" s="160">
        <f t="shared" si="472"/>
        <v>146324.21084872668</v>
      </c>
      <c r="V427" s="159">
        <f>_xll.xSPRDOPT($L427,$J427,$I427,$M427,$O427,$N427,$P427,$Q427-$C$3,$R427,2)*H427</f>
        <v>-147744.16910177379</v>
      </c>
      <c r="W427" s="159">
        <f t="shared" si="473"/>
        <v>30927.624693675811</v>
      </c>
      <c r="X427" s="51" t="str">
        <f t="shared" si="484"/>
        <v>36861IF-TRANSCO/Z6</v>
      </c>
      <c r="Y427" s="418">
        <f t="shared" si="485"/>
        <v>50</v>
      </c>
      <c r="Z427" s="456">
        <f t="shared" si="486"/>
        <v>0.35734358759089918</v>
      </c>
      <c r="AA427" s="456">
        <f>_xll.xSPRDOPT($L427,$J427,$I427,$M427,$O427,$N427,$P427,$Q427-$C$3,$R427,3)</f>
        <v>0.27395821870002757</v>
      </c>
      <c r="AB427" s="456">
        <f>((_xll.xSPRDOPT($L427+AB$5,$J427,$I427,$M427,$O427,$N427,$P427,$Q427-$C$3,$R427,3)*$H427)/10000)/100</f>
        <v>0.13697910935001378</v>
      </c>
      <c r="AC427" s="456">
        <f>((_xll.xSPRDOPT($L427+$AB$5,$J427,$I427,$M427,$O427,$N427,$P427,$Q427-$C$3,$R427,7)*$H427)/100)</f>
        <v>-4107.5987884462265</v>
      </c>
      <c r="AD427" s="456">
        <f>(_xll.xSPRDOPT($L427+$AB$5,$J427,$I427,$M427,$O427,$N427,$P427,$Q427-$C$3,$R427,9)/365)*$H427</f>
        <v>-1329.2393642306981</v>
      </c>
      <c r="AE427">
        <f t="shared" si="462"/>
        <v>0</v>
      </c>
      <c r="AF427" s="456">
        <f t="shared" si="463"/>
        <v>4157.4710842504719</v>
      </c>
      <c r="AG427" s="456">
        <f>((_xll.xSPRDOPT($L427,$J427,$I427,$M427,$O427,$N427,$P427,$Q427-$C$3,$R427,6)*$H427)/100)</f>
        <v>-1532.5589045978027</v>
      </c>
      <c r="AH427" s="456">
        <f>((_xll.xSPRDOPT($L427,$J427,$I427,$M427,$O427,$N427,$P427,$Q427-$C$3,$R427,5)*$H427)/100)</f>
        <v>4947.8521642158912</v>
      </c>
      <c r="AI427" s="456">
        <f>(((_xll.xSPRDOPT($L427,$J427,$I427,$M427,$O427,$N427,$P427,$Q427-$C$3,$R427,4)*$H427)/10000)/100)-AB427</f>
        <v>-1.780637741292751E-2</v>
      </c>
      <c r="AJ427" s="456"/>
      <c r="AK427" s="456"/>
      <c r="AL427" s="456"/>
      <c r="AM427" s="472"/>
      <c r="CC427" s="141">
        <f t="shared" si="479"/>
        <v>36861</v>
      </c>
      <c r="CD427" s="234">
        <f>_xll.xSPRDOPT((VLOOKUP(G427,NGPrices,2,FALSE)+HLOOKUP(D427,Prices,VLOOKUP(G427,move_down,2,FALSE),FALSE)),VLOOKUP(G427,NGPrices,2,FALSE),I427,VLOOKUP(G427,NGPREVPRICES,4,FALSE),HLOOKUP(D427,PREVVOLS,VLOOKUP(G427,MOVE_DOWN2,2,FALSE),FALSE),VLOOKUP(G427,NGPREVPRICES,3,FALSE),HLOOKUP(D427,Correllate,VLOOKUP(G427,CorMove,2,FALSE),FALSE),Q427-$CD$3,R427,$CD$5)*H427-CJ427</f>
        <v>0</v>
      </c>
      <c r="CE427" s="234">
        <f>_xll.xSPRDOPT((VLOOKUP(G427,NGPREVPRICES,2,FALSE)+HLOOKUP(D427,PREVCURVES,VLOOKUP(G427,MOVE_DOWN2,2,FALSE),FALSE)),VLOOKUP(G427,NGPREVPRICES,2,FALSE),CK427,VLOOKUP(G427,NGPrices,4,FALSE),HLOOKUP(D427,PREVVOLS,VLOOKUP(G427,MOVE_DOWN2,2,FALSE),FALSE),VLOOKUP(G427,NGPREVPRICES,3,FALSE),HLOOKUP(D427,Correllate,VLOOKUP(G427,CorMove,2,FALSE),FALSE),Q427-$CD$3,R427,$CJ$5)*H427-CJ427</f>
        <v>0</v>
      </c>
      <c r="CF427" s="10">
        <f t="shared" si="480"/>
        <v>-27.660329013626324</v>
      </c>
      <c r="CG427" s="234">
        <f>_xll.xSPRDOPT((VLOOKUP(G427,NGPREVPRICES,2,FALSE)+HLOOKUP(D427,PREVCURVES,VLOOKUP(G427,MOVE_DOWN2,2,FALSE),FALSE)),VLOOKUP(G427,NGPREVPRICES,2,FALSE),CK427,VLOOKUP(G427,NGPREVPRICES,4,FALSE),HLOOKUP(D427,VOLS,VLOOKUP(G427,move_down,2,FALSE),FALSE),VLOOKUP(G427,NGPrices,3,FALSE),HLOOKUP(D427,Correllate,VLOOKUP(G427,CorMove,2,FALSE),FALSE),Q427-$CD$3,R427,$CJ$5)*H427-CJ427</f>
        <v>0</v>
      </c>
      <c r="CH427" s="234">
        <f>_xll.xSPRDOPT((VLOOKUP(G427,NGPREVPRICES,2,FALSE)+HLOOKUP(D427,PREVCURVES,VLOOKUP(G427,MOVE_DOWN2,2,FALSE),FALSE)),VLOOKUP(G427,NGPREVPRICES,2,FALSE),CK427,VLOOKUP(G427,NGPREVPRICES,4,FALSE),HLOOKUP(D427,PREVVOLS,VLOOKUP(G427,MOVE_DOWN2,2,FALSE),FALSE),VLOOKUP(G427,NGPREVPRICES,3,FALSE),HLOOKUP(D427,Correllate,VLOOKUP(G427,CorMove,2,FALSE),FALSE),Q427-$C$3,R427,$CJ$5)*H427-CJ427</f>
        <v>-1325.1640127727878</v>
      </c>
      <c r="CI427" s="234">
        <f t="shared" si="481"/>
        <v>-1352.8243417864142</v>
      </c>
      <c r="CJ427" s="234">
        <f>_xll.xSPRDOPT((VLOOKUP(G427,NGPREVPRICES,2,FALSE)+HLOOKUP(D427,PREVCURVES,VLOOKUP(G427,MOVE_DOWN2,2,FALSE),FALSE)),VLOOKUP(G427,NGPREVPRICES,2,FALSE),CK427,VLOOKUP(G427,NGPREVPRICES,4,FALSE),HLOOKUP(D427,PREVVOLS,VLOOKUP(G427,MOVE_DOWN2,2,FALSE),FALSE),VLOOKUP(G427,NGPREVPRICES,3,FALSE),HLOOKUP(D427,Correllate,VLOOKUP(G427,CorMove,2,FALSE),FALSE),Q427-$CD$3,R427,$CJ$5)*H427</f>
        <v>147649.37486149947</v>
      </c>
      <c r="CK427" s="235">
        <f t="shared" si="482"/>
        <v>2.2999999999999998</v>
      </c>
      <c r="CM427" t="str">
        <f t="shared" si="483"/>
        <v>36861Curve Shift/Gamma</v>
      </c>
      <c r="CN427" t="str">
        <f t="shared" si="435"/>
        <v>36861Rho</v>
      </c>
      <c r="CO427" t="str">
        <f t="shared" si="436"/>
        <v>36861Drift</v>
      </c>
      <c r="CP427" t="str">
        <f t="shared" si="437"/>
        <v>36861Vega</v>
      </c>
      <c r="CQ427" t="str">
        <f t="shared" si="438"/>
        <v>36861Theta</v>
      </c>
    </row>
    <row r="428" spans="1:95" x14ac:dyDescent="0.25">
      <c r="A428" s="384" t="s">
        <v>279</v>
      </c>
      <c r="B428" t="s">
        <v>250</v>
      </c>
      <c r="C428" t="s">
        <v>485</v>
      </c>
      <c r="D428" t="s">
        <v>7</v>
      </c>
      <c r="E428" t="s">
        <v>20</v>
      </c>
      <c r="F428" t="s">
        <v>21</v>
      </c>
      <c r="G428" s="5">
        <v>36831</v>
      </c>
      <c r="H428" s="130">
        <v>500000</v>
      </c>
      <c r="I428">
        <v>2.2999999999999998</v>
      </c>
      <c r="J428" s="53">
        <f t="shared" si="464"/>
        <v>4.7359999999999998</v>
      </c>
      <c r="K428" s="7">
        <f t="shared" si="465"/>
        <v>0.77</v>
      </c>
      <c r="L428" s="53">
        <f t="shared" si="466"/>
        <v>5.5060000000000002</v>
      </c>
      <c r="M428" s="157">
        <f t="shared" ref="M428:M437" si="487">VLOOKUP(G428,NGPrices,4,FALSE)</f>
        <v>6.810675983792E-2</v>
      </c>
      <c r="N428" s="4">
        <f t="shared" ref="N428:N437" si="488">VLOOKUP(G428,NGPrices,3,FALSE)</f>
        <v>0.59499999999999997</v>
      </c>
      <c r="O428" s="4">
        <f t="shared" ref="O428:O437" si="489">HLOOKUP(D428,VOLS,VLOOKUP(G428,move_down,2,FALSE),FALSE)</f>
        <v>0.625</v>
      </c>
      <c r="P428" s="9">
        <f t="shared" ref="P428:P437" si="490">HLOOKUP(D428,Correllate,VLOOKUP(G428,CorMove,2,FALSE),FALSE)</f>
        <v>0.89</v>
      </c>
      <c r="Q428" s="5">
        <f t="shared" si="458"/>
        <v>36829</v>
      </c>
      <c r="R428" s="4">
        <f t="shared" ref="R428:R437" si="491">IF(F428="P",0,1)</f>
        <v>1</v>
      </c>
      <c r="S428" s="158">
        <f>_xll.xSPRDOPT($L428,$J428,$I428,$M428,$O428,$N428,$P428,$Q428-$C$3,$R428,0)</f>
        <v>9.7722612646606241E-3</v>
      </c>
      <c r="T428" s="159">
        <f>_xll.xSPRDOPT($L428,$J428,$I428,$M428,$O428,$N428,$P428,$Q428-$C$3,$R428,1)*H428</f>
        <v>18120.579651198772</v>
      </c>
      <c r="U428" s="160">
        <f t="shared" ref="U428:U437" si="492">S428*H428</f>
        <v>4886.1306323303124</v>
      </c>
      <c r="V428" s="159">
        <f>_xll.xSPRDOPT($L428,$J428,$I428,$M428,$O428,$N428,$P428,$Q428-$C$3,$R428,2)*H428</f>
        <v>-14486.580675684711</v>
      </c>
      <c r="W428" s="159">
        <f t="shared" ref="W428:W437" si="493">+V428+T428</f>
        <v>3633.9989755140614</v>
      </c>
      <c r="X428" s="51" t="str">
        <f t="shared" si="484"/>
        <v>36831IF-TRANSCO/Z6</v>
      </c>
      <c r="Y428" s="418">
        <f t="shared" si="485"/>
        <v>50</v>
      </c>
      <c r="Z428" s="456">
        <f t="shared" si="486"/>
        <v>3.6241159302397546E-2</v>
      </c>
      <c r="AA428" s="456">
        <f>_xll.xSPRDOPT($L428,$J428,$I428,$M428,$O428,$N428,$P428,$Q428-$C$3,$R428,3)</f>
        <v>0.11154316978458968</v>
      </c>
      <c r="AB428" s="456">
        <f>((_xll.xSPRDOPT($L428+AB$5,$J428,$I428,$M428,$O428,$N428,$P428,$Q428-$C$3,$R428,3)*$H428)/10000)/100</f>
        <v>5.5771584892294841E-2</v>
      </c>
      <c r="AC428" s="456">
        <f>((_xll.xSPRDOPT($L428+$AB$5,$J428,$I428,$M428,$O428,$N428,$P428,$Q428-$C$3,$R428,7)*$H428)/100)</f>
        <v>-764.84353909565164</v>
      </c>
      <c r="AD428" s="456">
        <f>(_xll.xSPRDOPT($L428+$AB$5,$J428,$I428,$M428,$O428,$N428,$P428,$Q428-$C$3,$R428,9)/365)*$H428</f>
        <v>-227.68850676881632</v>
      </c>
      <c r="AE428">
        <f t="shared" si="462"/>
        <v>0</v>
      </c>
      <c r="AF428" s="456">
        <f t="shared" si="463"/>
        <v>476.08448225173282</v>
      </c>
      <c r="AG428" s="456">
        <f>((_xll.xSPRDOPT($L428,$J428,$I428,$M428,$O428,$N428,$P428,$Q428-$C$3,$R428,6)*$H428)/100)</f>
        <v>-264.08983676004226</v>
      </c>
      <c r="AH428" s="456">
        <f>((_xll.xSPRDOPT($L428,$J428,$I428,$M428,$O428,$N428,$P428,$Q428-$C$3,$R428,5)*$H428)/100)</f>
        <v>704.64595169920983</v>
      </c>
      <c r="AI428" s="456">
        <f>(((_xll.xSPRDOPT($L428,$J428,$I428,$M428,$O428,$N428,$P428,$Q428-$C$3,$R428,4)*$H428)/10000)/100)-AB428</f>
        <v>-1.692851161753655E-2</v>
      </c>
      <c r="AJ428" s="456"/>
      <c r="AK428" s="456"/>
      <c r="AL428" s="456"/>
      <c r="AM428" s="472"/>
      <c r="CC428" s="141">
        <f t="shared" ref="CC428:CC470" si="494">G428</f>
        <v>36831</v>
      </c>
      <c r="CD428" s="234">
        <f>_xll.xSPRDOPT((VLOOKUP(G428,NGPrices,2,FALSE)+HLOOKUP(D428,Prices,VLOOKUP(G428,move_down,2,FALSE),FALSE)),VLOOKUP(G428,NGPrices,2,FALSE),I428,VLOOKUP(G428,NGPREVPRICES,4,FALSE),HLOOKUP(D428,PREVVOLS,VLOOKUP(G428,MOVE_DOWN2,2,FALSE),FALSE),VLOOKUP(G428,NGPREVPRICES,3,FALSE),HLOOKUP(D428,Correllate,VLOOKUP(G428,CorMove,2,FALSE),FALSE),Q428-$CD$3,R428,$CD$5)*H428-CJ428</f>
        <v>0</v>
      </c>
      <c r="CE428" s="234">
        <f>_xll.xSPRDOPT((VLOOKUP(G428,NGPREVPRICES,2,FALSE)+HLOOKUP(D428,PREVCURVES,VLOOKUP(G428,MOVE_DOWN2,2,FALSE),FALSE)),VLOOKUP(G428,NGPREVPRICES,2,FALSE),CK428,VLOOKUP(G428,NGPrices,4,FALSE),HLOOKUP(D428,PREVVOLS,VLOOKUP(G428,MOVE_DOWN2,2,FALSE),FALSE),VLOOKUP(G428,NGPREVPRICES,3,FALSE),HLOOKUP(D428,Correllate,VLOOKUP(G428,CorMove,2,FALSE),FALSE),Q428-$CD$3,R428,$CJ$5)*H428-CJ428</f>
        <v>0</v>
      </c>
      <c r="CF428" s="10">
        <f t="shared" ref="CF428:CF470" si="495">(CJ428/VLOOKUP(CC428,discount,3,FALSE))-(CJ428/VLOOKUP(CC428,discount,2,FALSE))</f>
        <v>-0.95007586682731926</v>
      </c>
      <c r="CG428" s="234">
        <f>_xll.xSPRDOPT((VLOOKUP(G428,NGPREVPRICES,2,FALSE)+HLOOKUP(D428,PREVCURVES,VLOOKUP(G428,MOVE_DOWN2,2,FALSE),FALSE)),VLOOKUP(G428,NGPREVPRICES,2,FALSE),CK428,VLOOKUP(G428,NGPREVPRICES,4,FALSE),HLOOKUP(D428,VOLS,VLOOKUP(G428,move_down,2,FALSE),FALSE),VLOOKUP(G428,NGPrices,3,FALSE),HLOOKUP(D428,Correllate,VLOOKUP(G428,CorMove,2,FALSE),FALSE),Q428-$CD$3,R428,$CJ$5)*H428-CJ428</f>
        <v>0</v>
      </c>
      <c r="CH428" s="234">
        <f>_xll.xSPRDOPT((VLOOKUP(G428,NGPREVPRICES,2,FALSE)+HLOOKUP(D428,PREVCURVES,VLOOKUP(G428,MOVE_DOWN2,2,FALSE),FALSE)),VLOOKUP(G428,NGPREVPRICES,2,FALSE),CK428,VLOOKUP(G428,NGPREVPRICES,4,FALSE),HLOOKUP(D428,PREVVOLS,VLOOKUP(G428,MOVE_DOWN2,2,FALSE),FALSE),VLOOKUP(G428,NGPREVPRICES,3,FALSE),HLOOKUP(D428,Correllate,VLOOKUP(G428,CorMove,2,FALSE),FALSE),Q428-$C$3,R428,$CJ$5)*H428-CJ428</f>
        <v>-229.76277242896595</v>
      </c>
      <c r="CI428" s="234">
        <f t="shared" ref="CI428:CI470" si="496">SUM(CD428:CH428)</f>
        <v>-230.71284829579326</v>
      </c>
      <c r="CJ428" s="234">
        <f>_xll.xSPRDOPT((VLOOKUP(G428,NGPREVPRICES,2,FALSE)+HLOOKUP(D428,PREVCURVES,VLOOKUP(G428,MOVE_DOWN2,2,FALSE),FALSE)),VLOOKUP(G428,NGPREVPRICES,2,FALSE),CK428,VLOOKUP(G428,NGPREVPRICES,4,FALSE),HLOOKUP(D428,PREVVOLS,VLOOKUP(G428,MOVE_DOWN2,2,FALSE),FALSE),VLOOKUP(G428,NGPREVPRICES,3,FALSE),HLOOKUP(D428,Correllate,VLOOKUP(G428,CorMove,2,FALSE),FALSE),Q428-$CD$3,R428,$CJ$5)*H428</f>
        <v>5115.8934047592784</v>
      </c>
      <c r="CK428" s="235">
        <f t="shared" ref="CK428:CK470" si="497">I428</f>
        <v>2.2999999999999998</v>
      </c>
      <c r="CM428" t="str">
        <f t="shared" ref="CM428:CM470" si="498">CONCATENATE(CC428,$CD$6)</f>
        <v>36831Curve Shift/Gamma</v>
      </c>
      <c r="CN428" t="str">
        <f t="shared" si="435"/>
        <v>36831Rho</v>
      </c>
      <c r="CO428" t="str">
        <f t="shared" si="436"/>
        <v>36831Drift</v>
      </c>
      <c r="CP428" t="str">
        <f t="shared" si="437"/>
        <v>36831Vega</v>
      </c>
      <c r="CQ428" t="str">
        <f t="shared" si="438"/>
        <v>36831Theta</v>
      </c>
    </row>
    <row r="429" spans="1:95" x14ac:dyDescent="0.25">
      <c r="A429" s="140" t="s">
        <v>320</v>
      </c>
      <c r="B429" t="s">
        <v>250</v>
      </c>
      <c r="C429" t="s">
        <v>486</v>
      </c>
      <c r="D429" t="s">
        <v>7</v>
      </c>
      <c r="E429" t="s">
        <v>20</v>
      </c>
      <c r="F429" t="s">
        <v>1</v>
      </c>
      <c r="G429" s="5">
        <v>36951</v>
      </c>
      <c r="H429" s="130">
        <v>1000000</v>
      </c>
      <c r="I429">
        <v>0.95</v>
      </c>
      <c r="J429" s="53">
        <f t="shared" si="464"/>
        <v>4.2130000000000001</v>
      </c>
      <c r="K429" s="7">
        <f t="shared" si="465"/>
        <v>1.075</v>
      </c>
      <c r="L429" s="53">
        <f t="shared" si="466"/>
        <v>5.2880000000000003</v>
      </c>
      <c r="M429" s="157">
        <f t="shared" si="487"/>
        <v>6.8879814952706994E-2</v>
      </c>
      <c r="N429" s="4">
        <f t="shared" si="488"/>
        <v>0.53249999999999997</v>
      </c>
      <c r="O429" s="4">
        <f t="shared" si="489"/>
        <v>0.61199999999999999</v>
      </c>
      <c r="P429" s="9">
        <f t="shared" si="490"/>
        <v>0.83</v>
      </c>
      <c r="Q429" s="5">
        <f t="shared" si="458"/>
        <v>36949</v>
      </c>
      <c r="R429" s="4">
        <f t="shared" si="491"/>
        <v>0</v>
      </c>
      <c r="S429" s="158">
        <f>_xll.xSPRDOPT($L429,$J429,$I429,$M429,$O429,$N429,$P429,$Q429-$C$3,$R429,0)</f>
        <v>0.43792535757140783</v>
      </c>
      <c r="T429" s="159">
        <f>_xll.xSPRDOPT($L429,$J429,$I429,$M429,$O429,$N429,$P429,$Q429-$C$3,$R429,1)*H429</f>
        <v>-398086.13151725434</v>
      </c>
      <c r="U429" s="160">
        <f t="shared" si="492"/>
        <v>437925.3575714078</v>
      </c>
      <c r="V429" s="159">
        <f>_xll.xSPRDOPT($L429,$J429,$I429,$M429,$O429,$N429,$P429,$Q429-$C$3,$R429,2)*H429</f>
        <v>486777.55562516704</v>
      </c>
      <c r="W429" s="159">
        <f t="shared" si="493"/>
        <v>88691.424107912695</v>
      </c>
      <c r="X429" s="51" t="str">
        <f t="shared" si="484"/>
        <v>36951IF-TRANSCO/Z6</v>
      </c>
      <c r="Y429" s="418">
        <f t="shared" si="485"/>
        <v>100</v>
      </c>
      <c r="Z429" s="456">
        <f t="shared" si="486"/>
        <v>-0.39808613151725436</v>
      </c>
      <c r="AA429" s="456">
        <f>_xll.xSPRDOPT($L429,$J429,$I429,$M429,$O429,$N429,$P429,$Q429-$C$3,$R429,3)</f>
        <v>0.28821738225150678</v>
      </c>
      <c r="AB429" s="456">
        <f>((_xll.xSPRDOPT($L429+AB$5,$J429,$I429,$M429,$O429,$N429,$P429,$Q429-$C$3,$R429,3)*$H429)/10000)/100</f>
        <v>0.28821738225150678</v>
      </c>
      <c r="AC429" s="456">
        <f>((_xll.xSPRDOPT($L429+$AB$5,$J429,$I429,$M429,$O429,$N429,$P429,$Q429-$C$3,$R429,7)*$H429)/100)</f>
        <v>-10700.47043658742</v>
      </c>
      <c r="AD429" s="456">
        <f>(_xll.xSPRDOPT($L429+$AB$5,$J429,$I429,$M429,$O429,$N429,$P429,$Q429-$C$3,$R429,9)/365)*$H429</f>
        <v>-1271.1844275440958</v>
      </c>
      <c r="AE429">
        <f t="shared" si="462"/>
        <v>0</v>
      </c>
      <c r="AF429" s="456">
        <f t="shared" si="463"/>
        <v>9247.9888870459254</v>
      </c>
      <c r="AG429" s="456">
        <f>((_xll.xSPRDOPT($L429,$J429,$I429,$M429,$O429,$N429,$P429,$Q429-$C$3,$R429,6)*$H429)/100)</f>
        <v>-2320.0072113708557</v>
      </c>
      <c r="AH429" s="456">
        <f>((_xll.xSPRDOPT($L429,$J429,$I429,$M429,$O429,$N429,$P429,$Q429-$C$3,$R429,5)*$H429)/100)</f>
        <v>10065.29072288715</v>
      </c>
      <c r="AI429" s="456">
        <f>(((_xll.xSPRDOPT($L429,$J429,$I429,$M429,$O429,$N429,$P429,$Q429-$C$3,$R429,4)*$H429)/10000)/100)-AB429</f>
        <v>1.6665762201773682E-2</v>
      </c>
      <c r="AJ429" s="456"/>
      <c r="AK429" s="456"/>
      <c r="AL429" s="456"/>
      <c r="AM429" s="472"/>
      <c r="CC429" s="141">
        <f t="shared" si="494"/>
        <v>36951</v>
      </c>
      <c r="CD429" s="234">
        <f>_xll.xSPRDOPT((VLOOKUP(G429,NGPrices,2,FALSE)+HLOOKUP(D429,Prices,VLOOKUP(G429,move_down,2,FALSE),FALSE)),VLOOKUP(G429,NGPrices,2,FALSE),I429,VLOOKUP(G429,NGPREVPRICES,4,FALSE),HLOOKUP(D429,PREVVOLS,VLOOKUP(G429,MOVE_DOWN2,2,FALSE),FALSE),VLOOKUP(G429,NGPREVPRICES,3,FALSE),HLOOKUP(D429,Correllate,VLOOKUP(G429,CorMove,2,FALSE),FALSE),Q429-$CD$3,R429,$CD$5)*H429-CJ429</f>
        <v>0</v>
      </c>
      <c r="CE429" s="234">
        <f>_xll.xSPRDOPT((VLOOKUP(G429,NGPREVPRICES,2,FALSE)+HLOOKUP(D429,PREVCURVES,VLOOKUP(G429,MOVE_DOWN2,2,FALSE),FALSE)),VLOOKUP(G429,NGPREVPRICES,2,FALSE),CK429,VLOOKUP(G429,NGPrices,4,FALSE),HLOOKUP(D429,PREVVOLS,VLOOKUP(G429,MOVE_DOWN2,2,FALSE),FALSE),VLOOKUP(G429,NGPREVPRICES,3,FALSE),HLOOKUP(D429,Correllate,VLOOKUP(G429,CorMove,2,FALSE),FALSE),Q429-$CD$3,R429,$CJ$5)*H429-CJ429</f>
        <v>0</v>
      </c>
      <c r="CF429" s="10">
        <f t="shared" si="495"/>
        <v>-84.230764286825433</v>
      </c>
      <c r="CG429" s="234">
        <f>_xll.xSPRDOPT((VLOOKUP(G429,NGPREVPRICES,2,FALSE)+HLOOKUP(D429,PREVCURVES,VLOOKUP(G429,MOVE_DOWN2,2,FALSE),FALSE)),VLOOKUP(G429,NGPREVPRICES,2,FALSE),CK429,VLOOKUP(G429,NGPREVPRICES,4,FALSE),HLOOKUP(D429,VOLS,VLOOKUP(G429,move_down,2,FALSE),FALSE),VLOOKUP(G429,NGPrices,3,FALSE),HLOOKUP(D429,Correllate,VLOOKUP(G429,CorMove,2,FALSE),FALSE),Q429-$CD$3,R429,$CJ$5)*H429-CJ429</f>
        <v>0</v>
      </c>
      <c r="CH429" s="234">
        <f>_xll.xSPRDOPT((VLOOKUP(G429,NGPREVPRICES,2,FALSE)+HLOOKUP(D429,PREVCURVES,VLOOKUP(G429,MOVE_DOWN2,2,FALSE),FALSE)),VLOOKUP(G429,NGPREVPRICES,2,FALSE),CK429,VLOOKUP(G429,NGPREVPRICES,4,FALSE),HLOOKUP(D429,PREVVOLS,VLOOKUP(G429,MOVE_DOWN2,2,FALSE),FALSE),VLOOKUP(G429,NGPREVPRICES,3,FALSE),HLOOKUP(D429,Correllate,VLOOKUP(G429,CorMove,2,FALSE),FALSE),Q429-$C$3,R429,$CJ$5)*H429-CJ429</f>
        <v>-1268.2172705553821</v>
      </c>
      <c r="CI429" s="234">
        <f t="shared" si="496"/>
        <v>-1352.4480348422076</v>
      </c>
      <c r="CJ429" s="234">
        <f>_xll.xSPRDOPT((VLOOKUP(G429,NGPREVPRICES,2,FALSE)+HLOOKUP(D429,PREVCURVES,VLOOKUP(G429,MOVE_DOWN2,2,FALSE),FALSE)),VLOOKUP(G429,NGPREVPRICES,2,FALSE),CK429,VLOOKUP(G429,NGPREVPRICES,4,FALSE),HLOOKUP(D429,PREVVOLS,VLOOKUP(G429,MOVE_DOWN2,2,FALSE),FALSE),VLOOKUP(G429,NGPREVPRICES,3,FALSE),HLOOKUP(D429,Correllate,VLOOKUP(G429,CorMove,2,FALSE),FALSE),Q429-$CD$3,R429,$CJ$5)*H429</f>
        <v>439193.57484196319</v>
      </c>
      <c r="CK429" s="235">
        <f t="shared" si="497"/>
        <v>0.95</v>
      </c>
      <c r="CM429" t="str">
        <f t="shared" si="498"/>
        <v>36951Curve Shift/Gamma</v>
      </c>
      <c r="CN429" t="str">
        <f t="shared" si="435"/>
        <v>36951Rho</v>
      </c>
      <c r="CO429" t="str">
        <f t="shared" si="436"/>
        <v>36951Drift</v>
      </c>
      <c r="CP429" t="str">
        <f t="shared" si="437"/>
        <v>36951Vega</v>
      </c>
      <c r="CQ429" t="str">
        <f t="shared" si="438"/>
        <v>36951Theta</v>
      </c>
    </row>
    <row r="430" spans="1:95" x14ac:dyDescent="0.25">
      <c r="A430" s="140" t="s">
        <v>320</v>
      </c>
      <c r="B430" t="s">
        <v>250</v>
      </c>
      <c r="C430" t="s">
        <v>486</v>
      </c>
      <c r="D430" t="s">
        <v>7</v>
      </c>
      <c r="E430" t="s">
        <v>20</v>
      </c>
      <c r="F430" t="s">
        <v>1</v>
      </c>
      <c r="G430" s="5">
        <v>36923</v>
      </c>
      <c r="H430" s="130">
        <v>1000000</v>
      </c>
      <c r="I430">
        <v>0.95</v>
      </c>
      <c r="J430" s="53">
        <f t="shared" si="464"/>
        <v>4.4800000000000004</v>
      </c>
      <c r="K430" s="7">
        <f t="shared" si="465"/>
        <v>2.09</v>
      </c>
      <c r="L430" s="53">
        <f t="shared" si="466"/>
        <v>6.57</v>
      </c>
      <c r="M430" s="157">
        <f t="shared" si="487"/>
        <v>6.8640161611372E-2</v>
      </c>
      <c r="N430" s="4">
        <f t="shared" si="488"/>
        <v>0.59250000000000003</v>
      </c>
      <c r="O430" s="4">
        <f t="shared" si="489"/>
        <v>0.68100000000000005</v>
      </c>
      <c r="P430" s="9">
        <f t="shared" si="490"/>
        <v>0.83</v>
      </c>
      <c r="Q430" s="5">
        <f t="shared" si="458"/>
        <v>36921</v>
      </c>
      <c r="R430" s="4">
        <f t="shared" si="491"/>
        <v>0</v>
      </c>
      <c r="S430" s="158">
        <f>_xll.xSPRDOPT($L430,$J430,$I430,$M430,$O430,$N430,$P430,$Q430-$C$3,$R430,0)</f>
        <v>0.1893795248282355</v>
      </c>
      <c r="T430" s="159">
        <f>_xll.xSPRDOPT($L430,$J430,$I430,$M430,$O430,$N430,$P430,$Q430-$C$3,$R430,1)*H430</f>
        <v>-183075.1487073593</v>
      </c>
      <c r="U430" s="160">
        <f t="shared" si="492"/>
        <v>189379.5248282355</v>
      </c>
      <c r="V430" s="159">
        <f>_xll.xSPRDOPT($L430,$J430,$I430,$M430,$O430,$N430,$P430,$Q430-$C$3,$R430,2)*H430</f>
        <v>251697.26816811011</v>
      </c>
      <c r="W430" s="159">
        <f t="shared" si="493"/>
        <v>68622.119460750808</v>
      </c>
      <c r="X430" s="51" t="str">
        <f t="shared" si="484"/>
        <v>36923IF-TRANSCO/Z6</v>
      </c>
      <c r="Y430" s="418">
        <f t="shared" si="485"/>
        <v>100</v>
      </c>
      <c r="Z430" s="456">
        <f t="shared" si="486"/>
        <v>-0.1830751487073593</v>
      </c>
      <c r="AA430" s="456">
        <f>_xll.xSPRDOPT($L430,$J430,$I430,$M430,$O430,$N430,$P430,$Q430-$C$3,$R430,3)</f>
        <v>0.15810070426631745</v>
      </c>
      <c r="AB430" s="456">
        <f>((_xll.xSPRDOPT($L430+AB$5,$J430,$I430,$M430,$O430,$N430,$P430,$Q430-$C$3,$R430,3)*$H430)/10000)/100</f>
        <v>0.15810070426631745</v>
      </c>
      <c r="AC430" s="456">
        <f>((_xll.xSPRDOPT($L430+$AB$5,$J430,$I430,$M430,$O430,$N430,$P430,$Q430-$C$3,$R430,7)*$H430)/100)</f>
        <v>-9506.043306596097</v>
      </c>
      <c r="AD430" s="456">
        <f>(_xll.xSPRDOPT($L430+$AB$5,$J430,$I430,$M430,$O430,$N430,$P430,$Q430-$C$3,$R430,9)/365)*$H430</f>
        <v>-1383.7622127881953</v>
      </c>
      <c r="AE430">
        <f t="shared" si="462"/>
        <v>0</v>
      </c>
      <c r="AF430" s="456">
        <f t="shared" si="463"/>
        <v>7373.3095318931837</v>
      </c>
      <c r="AG430" s="456">
        <f>((_xll.xSPRDOPT($L430,$J430,$I430,$M430,$O430,$N430,$P430,$Q430-$C$3,$R430,6)*$H430)/100)</f>
        <v>-1831.9551317366468</v>
      </c>
      <c r="AH430" s="456">
        <f>((_xll.xSPRDOPT($L430,$J430,$I430,$M430,$O430,$N430,$P430,$Q430-$C$3,$R430,5)*$H430)/100)</f>
        <v>8008.9857756250713</v>
      </c>
      <c r="AI430" s="456">
        <f>(((_xll.xSPRDOPT($L430,$J430,$I430,$M430,$O430,$N430,$P430,$Q430-$C$3,$R430,4)*$H430)/10000)/100)-AB430</f>
        <v>7.095278330618901E-2</v>
      </c>
      <c r="AJ430" s="456"/>
      <c r="AK430" s="456"/>
      <c r="AL430" s="456"/>
      <c r="AM430" s="472"/>
      <c r="CC430" s="141">
        <f t="shared" si="494"/>
        <v>36923</v>
      </c>
      <c r="CD430" s="234">
        <f>_xll.xSPRDOPT((VLOOKUP(G430,NGPrices,2,FALSE)+HLOOKUP(D430,Prices,VLOOKUP(G430,move_down,2,FALSE),FALSE)),VLOOKUP(G430,NGPrices,2,FALSE),I430,VLOOKUP(G430,NGPREVPRICES,4,FALSE),HLOOKUP(D430,PREVVOLS,VLOOKUP(G430,MOVE_DOWN2,2,FALSE),FALSE),VLOOKUP(G430,NGPREVPRICES,3,FALSE),HLOOKUP(D430,Correllate,VLOOKUP(G430,CorMove,2,FALSE),FALSE),Q430-$CD$3,R430,$CD$5)*H430-CJ430</f>
        <v>0</v>
      </c>
      <c r="CE430" s="234">
        <f>_xll.xSPRDOPT((VLOOKUP(G430,NGPREVPRICES,2,FALSE)+HLOOKUP(D430,PREVCURVES,VLOOKUP(G430,MOVE_DOWN2,2,FALSE),FALSE)),VLOOKUP(G430,NGPREVPRICES,2,FALSE),CK430,VLOOKUP(G430,NGPrices,4,FALSE),HLOOKUP(D430,PREVVOLS,VLOOKUP(G430,MOVE_DOWN2,2,FALSE),FALSE),VLOOKUP(G430,NGPREVPRICES,3,FALSE),HLOOKUP(D430,Correllate,VLOOKUP(G430,CorMove,2,FALSE),FALSE),Q430-$CD$3,R430,$CJ$5)*H430-CJ430</f>
        <v>0</v>
      </c>
      <c r="CF430" s="10">
        <f t="shared" si="495"/>
        <v>-36.280556000332581</v>
      </c>
      <c r="CG430" s="234">
        <f>_xll.xSPRDOPT((VLOOKUP(G430,NGPREVPRICES,2,FALSE)+HLOOKUP(D430,PREVCURVES,VLOOKUP(G430,MOVE_DOWN2,2,FALSE),FALSE)),VLOOKUP(G430,NGPREVPRICES,2,FALSE),CK430,VLOOKUP(G430,NGPREVPRICES,4,FALSE),HLOOKUP(D430,VOLS,VLOOKUP(G430,move_down,2,FALSE),FALSE),VLOOKUP(G430,NGPrices,3,FALSE),HLOOKUP(D430,Correllate,VLOOKUP(G430,CorMove,2,FALSE),FALSE),Q430-$CD$3,R430,$CJ$5)*H430-CJ430</f>
        <v>0</v>
      </c>
      <c r="CH430" s="234">
        <f>_xll.xSPRDOPT((VLOOKUP(G430,NGPREVPRICES,2,FALSE)+HLOOKUP(D430,PREVCURVES,VLOOKUP(G430,MOVE_DOWN2,2,FALSE),FALSE)),VLOOKUP(G430,NGPREVPRICES,2,FALSE),CK430,VLOOKUP(G430,NGPREVPRICES,4,FALSE),HLOOKUP(D430,PREVVOLS,VLOOKUP(G430,MOVE_DOWN2,2,FALSE),FALSE),VLOOKUP(G430,NGPREVPRICES,3,FALSE),HLOOKUP(D430,Correllate,VLOOKUP(G430,CorMove,2,FALSE),FALSE),Q430-$C$3,R430,$CJ$5)*H430-CJ430</f>
        <v>-1381.549049144116</v>
      </c>
      <c r="CI430" s="234">
        <f t="shared" si="496"/>
        <v>-1417.8296051444486</v>
      </c>
      <c r="CJ430" s="234">
        <f>_xll.xSPRDOPT((VLOOKUP(G430,NGPREVPRICES,2,FALSE)+HLOOKUP(D430,PREVCURVES,VLOOKUP(G430,MOVE_DOWN2,2,FALSE),FALSE)),VLOOKUP(G430,NGPREVPRICES,2,FALSE),CK430,VLOOKUP(G430,NGPREVPRICES,4,FALSE),HLOOKUP(D430,PREVVOLS,VLOOKUP(G430,MOVE_DOWN2,2,FALSE),FALSE),VLOOKUP(G430,NGPREVPRICES,3,FALSE),HLOOKUP(D430,Correllate,VLOOKUP(G430,CorMove,2,FALSE),FALSE),Q430-$CD$3,R430,$CJ$5)*H430</f>
        <v>190761.07387737962</v>
      </c>
      <c r="CK430" s="235">
        <f t="shared" si="497"/>
        <v>0.95</v>
      </c>
      <c r="CM430" t="str">
        <f t="shared" si="498"/>
        <v>36923Curve Shift/Gamma</v>
      </c>
      <c r="CN430" t="str">
        <f t="shared" ref="CN430:CN493" si="499">CONCATENATE($CC430,$CE$6)</f>
        <v>36923Rho</v>
      </c>
      <c r="CO430" t="str">
        <f t="shared" ref="CO430:CO493" si="500">CONCATENATE($CC430,$CF$6)</f>
        <v>36923Drift</v>
      </c>
      <c r="CP430" t="str">
        <f t="shared" ref="CP430:CP493" si="501">CONCATENATE($CC430,$CG$6)</f>
        <v>36923Vega</v>
      </c>
      <c r="CQ430" t="str">
        <f t="shared" ref="CQ430:CQ493" si="502">CONCATENATE($CC430,$CH$6)</f>
        <v>36923Theta</v>
      </c>
    </row>
    <row r="431" spans="1:95" x14ac:dyDescent="0.25">
      <c r="A431" s="140" t="s">
        <v>320</v>
      </c>
      <c r="B431" t="s">
        <v>250</v>
      </c>
      <c r="C431" t="s">
        <v>486</v>
      </c>
      <c r="D431" t="s">
        <v>7</v>
      </c>
      <c r="E431" t="s">
        <v>20</v>
      </c>
      <c r="F431" t="s">
        <v>1</v>
      </c>
      <c r="G431" s="5">
        <v>36892</v>
      </c>
      <c r="H431" s="130">
        <v>1000000</v>
      </c>
      <c r="I431">
        <v>0.95</v>
      </c>
      <c r="J431" s="53">
        <f t="shared" si="464"/>
        <v>4.7439999999999998</v>
      </c>
      <c r="K431" s="7">
        <f t="shared" si="465"/>
        <v>2.17</v>
      </c>
      <c r="L431" s="53">
        <f t="shared" si="466"/>
        <v>6.9139999999999997</v>
      </c>
      <c r="M431" s="157">
        <f t="shared" si="487"/>
        <v>6.8374831148490994E-2</v>
      </c>
      <c r="N431" s="4">
        <f t="shared" si="488"/>
        <v>0.60499999999999998</v>
      </c>
      <c r="O431" s="4">
        <f t="shared" si="489"/>
        <v>0.69599999999999995</v>
      </c>
      <c r="P431" s="9">
        <f t="shared" si="490"/>
        <v>0.83</v>
      </c>
      <c r="Q431" s="5">
        <f t="shared" si="458"/>
        <v>36888</v>
      </c>
      <c r="R431" s="4">
        <f t="shared" si="491"/>
        <v>0</v>
      </c>
      <c r="S431" s="158">
        <f>_xll.xSPRDOPT($L431,$J431,$I431,$M431,$O431,$N431,$P431,$Q431-$C$3,$R431,0)</f>
        <v>0.15272864479355774</v>
      </c>
      <c r="T431" s="159">
        <f>_xll.xSPRDOPT($L431,$J431,$I431,$M431,$O431,$N431,$P431,$Q431-$C$3,$R431,1)*H431</f>
        <v>-162980.11069688477</v>
      </c>
      <c r="U431" s="160">
        <f t="shared" si="492"/>
        <v>152728.64479355773</v>
      </c>
      <c r="V431" s="159">
        <f>_xll.xSPRDOPT($L431,$J431,$I431,$M431,$O431,$N431,$P431,$Q431-$C$3,$R431,2)*H431</f>
        <v>221152.03223556979</v>
      </c>
      <c r="W431" s="159">
        <f t="shared" si="493"/>
        <v>58171.921538685012</v>
      </c>
      <c r="X431" s="51" t="str">
        <f t="shared" si="484"/>
        <v>36892IF-TRANSCO/Z6</v>
      </c>
      <c r="Y431" s="418">
        <f t="shared" si="485"/>
        <v>100</v>
      </c>
      <c r="Z431" s="456">
        <f t="shared" si="486"/>
        <v>-0.16298011069688478</v>
      </c>
      <c r="AA431" s="456">
        <f>_xll.xSPRDOPT($L431,$J431,$I431,$M431,$O431,$N431,$P431,$Q431-$C$3,$R431,3)</f>
        <v>0.15486108343643903</v>
      </c>
      <c r="AB431" s="456">
        <f>((_xll.xSPRDOPT($L431+AB$5,$J431,$I431,$M431,$O431,$N431,$P431,$Q431-$C$3,$R431,3)*$H431)/10000)/100</f>
        <v>0.15486108343643903</v>
      </c>
      <c r="AC431" s="456">
        <f>((_xll.xSPRDOPT($L431+$AB$5,$J431,$I431,$M431,$O431,$N431,$P431,$Q431-$C$3,$R431,7)*$H431)/100)</f>
        <v>-8537.9300555608988</v>
      </c>
      <c r="AD431" s="456">
        <f>(_xll.xSPRDOPT($L431+$AB$5,$J431,$I431,$M431,$O431,$N431,$P431,$Q431-$C$3,$R431,9)/365)*$H431</f>
        <v>-1569.8048540583495</v>
      </c>
      <c r="AE431">
        <f t="shared" si="462"/>
        <v>0</v>
      </c>
      <c r="AF431" s="456">
        <f t="shared" si="463"/>
        <v>6389.2847796330943</v>
      </c>
      <c r="AG431" s="456">
        <f>((_xll.xSPRDOPT($L431,$J431,$I431,$M431,$O431,$N431,$P431,$Q431-$C$3,$R431,6)*$H431)/100)</f>
        <v>-1533.8311920810049</v>
      </c>
      <c r="AH431" s="456">
        <f>((_xll.xSPRDOPT($L431,$J431,$I431,$M431,$O431,$N431,$P431,$Q431-$C$3,$R431,5)*$H431)/100)</f>
        <v>6887.1913259871126</v>
      </c>
      <c r="AI431" s="456">
        <f>(((_xll.xSPRDOPT($L431,$J431,$I431,$M431,$O431,$N431,$P431,$Q431-$C$3,$R431,4)*$H431)/10000)/100)-AB431</f>
        <v>7.0813128689725863E-2</v>
      </c>
      <c r="AJ431" s="456"/>
      <c r="AK431" s="456"/>
      <c r="AL431" s="456"/>
      <c r="AM431" s="472"/>
      <c r="CC431" s="141">
        <f t="shared" si="494"/>
        <v>36892</v>
      </c>
      <c r="CD431" s="234">
        <f>_xll.xSPRDOPT((VLOOKUP(G431,NGPrices,2,FALSE)+HLOOKUP(D431,Prices,VLOOKUP(G431,move_down,2,FALSE),FALSE)),VLOOKUP(G431,NGPrices,2,FALSE),I431,VLOOKUP(G431,NGPREVPRICES,4,FALSE),HLOOKUP(D431,PREVVOLS,VLOOKUP(G431,MOVE_DOWN2,2,FALSE),FALSE),VLOOKUP(G431,NGPREVPRICES,3,FALSE),HLOOKUP(D431,Correllate,VLOOKUP(G431,CorMove,2,FALSE),FALSE),Q431-$CD$3,R431,$CD$5)*H431-CJ431</f>
        <v>0</v>
      </c>
      <c r="CE431" s="234">
        <f>_xll.xSPRDOPT((VLOOKUP(G431,NGPREVPRICES,2,FALSE)+HLOOKUP(D431,PREVCURVES,VLOOKUP(G431,MOVE_DOWN2,2,FALSE),FALSE)),VLOOKUP(G431,NGPREVPRICES,2,FALSE),CK431,VLOOKUP(G431,NGPrices,4,FALSE),HLOOKUP(D431,PREVVOLS,VLOOKUP(G431,MOVE_DOWN2,2,FALSE),FALSE),VLOOKUP(G431,NGPREVPRICES,3,FALSE),HLOOKUP(D431,Correllate,VLOOKUP(G431,CorMove,2,FALSE),FALSE),Q431-$CD$3,R431,$CJ$5)*H431-CJ431</f>
        <v>0</v>
      </c>
      <c r="CF431" s="10">
        <f t="shared" si="495"/>
        <v>-29.075746721558971</v>
      </c>
      <c r="CG431" s="234">
        <f>_xll.xSPRDOPT((VLOOKUP(G431,NGPREVPRICES,2,FALSE)+HLOOKUP(D431,PREVCURVES,VLOOKUP(G431,MOVE_DOWN2,2,FALSE),FALSE)),VLOOKUP(G431,NGPREVPRICES,2,FALSE),CK431,VLOOKUP(G431,NGPREVPRICES,4,FALSE),HLOOKUP(D431,VOLS,VLOOKUP(G431,move_down,2,FALSE),FALSE),VLOOKUP(G431,NGPrices,3,FALSE),HLOOKUP(D431,Correllate,VLOOKUP(G431,CorMove,2,FALSE),FALSE),Q431-$CD$3,R431,$CJ$5)*H431-CJ431</f>
        <v>0</v>
      </c>
      <c r="CH431" s="234">
        <f>_xll.xSPRDOPT((VLOOKUP(G431,NGPREVPRICES,2,FALSE)+HLOOKUP(D431,PREVCURVES,VLOOKUP(G431,MOVE_DOWN2,2,FALSE),FALSE)),VLOOKUP(G431,NGPREVPRICES,2,FALSE),CK431,VLOOKUP(G431,NGPREVPRICES,4,FALSE),HLOOKUP(D431,PREVVOLS,VLOOKUP(G431,MOVE_DOWN2,2,FALSE),FALSE),VLOOKUP(G431,NGPREVPRICES,3,FALSE),HLOOKUP(D431,Correllate,VLOOKUP(G431,CorMove,2,FALSE),FALSE),Q431-$C$3,R431,$CJ$5)*H431-CJ431</f>
        <v>-1567.5083273733035</v>
      </c>
      <c r="CI431" s="234">
        <f t="shared" si="496"/>
        <v>-1596.5840740948624</v>
      </c>
      <c r="CJ431" s="234">
        <f>_xll.xSPRDOPT((VLOOKUP(G431,NGPREVPRICES,2,FALSE)+HLOOKUP(D431,PREVCURVES,VLOOKUP(G431,MOVE_DOWN2,2,FALSE),FALSE)),VLOOKUP(G431,NGPREVPRICES,2,FALSE),CK431,VLOOKUP(G431,NGPREVPRICES,4,FALSE),HLOOKUP(D431,PREVVOLS,VLOOKUP(G431,MOVE_DOWN2,2,FALSE),FALSE),VLOOKUP(G431,NGPREVPRICES,3,FALSE),HLOOKUP(D431,Correllate,VLOOKUP(G431,CorMove,2,FALSE),FALSE),Q431-$CD$3,R431,$CJ$5)*H431</f>
        <v>154296.15312093103</v>
      </c>
      <c r="CK431" s="235">
        <f t="shared" si="497"/>
        <v>0.95</v>
      </c>
      <c r="CM431" t="str">
        <f t="shared" si="498"/>
        <v>36892Curve Shift/Gamma</v>
      </c>
      <c r="CN431" t="str">
        <f t="shared" si="499"/>
        <v>36892Rho</v>
      </c>
      <c r="CO431" t="str">
        <f t="shared" si="500"/>
        <v>36892Drift</v>
      </c>
      <c r="CP431" t="str">
        <f t="shared" si="501"/>
        <v>36892Vega</v>
      </c>
      <c r="CQ431" t="str">
        <f t="shared" si="502"/>
        <v>36892Theta</v>
      </c>
    </row>
    <row r="432" spans="1:95" x14ac:dyDescent="0.25">
      <c r="A432" s="140" t="s">
        <v>320</v>
      </c>
      <c r="B432" t="s">
        <v>250</v>
      </c>
      <c r="C432" t="s">
        <v>486</v>
      </c>
      <c r="D432" t="s">
        <v>7</v>
      </c>
      <c r="E432" t="s">
        <v>20</v>
      </c>
      <c r="F432" t="s">
        <v>1</v>
      </c>
      <c r="G432" s="5">
        <v>36861</v>
      </c>
      <c r="H432" s="130">
        <v>1000000</v>
      </c>
      <c r="I432">
        <v>0.95</v>
      </c>
      <c r="J432" s="53">
        <f t="shared" si="464"/>
        <v>4.8</v>
      </c>
      <c r="K432" s="7">
        <f t="shared" si="465"/>
        <v>1.645</v>
      </c>
      <c r="L432" s="53">
        <f t="shared" si="466"/>
        <v>6.4450000000000003</v>
      </c>
      <c r="M432" s="157">
        <f t="shared" si="487"/>
        <v>6.8314027999354002E-2</v>
      </c>
      <c r="N432" s="4">
        <f t="shared" si="488"/>
        <v>0.6</v>
      </c>
      <c r="O432" s="4">
        <f t="shared" si="489"/>
        <v>0.69</v>
      </c>
      <c r="P432" s="9">
        <f t="shared" si="490"/>
        <v>0.83</v>
      </c>
      <c r="Q432" s="5">
        <f t="shared" si="458"/>
        <v>36859</v>
      </c>
      <c r="R432" s="4">
        <f t="shared" si="491"/>
        <v>0</v>
      </c>
      <c r="S432" s="158">
        <f>_xll.xSPRDOPT($L432,$J432,$I432,$M432,$O432,$N432,$P432,$Q432-$C$3,$R432,0)</f>
        <v>0.20467101113385944</v>
      </c>
      <c r="T432" s="159">
        <f>_xll.xSPRDOPT($L432,$J432,$I432,$M432,$O432,$N432,$P432,$Q432-$C$3,$R432,1)*H432</f>
        <v>-244174.14482355749</v>
      </c>
      <c r="U432" s="160">
        <f t="shared" si="492"/>
        <v>204671.01113385943</v>
      </c>
      <c r="V432" s="159">
        <f>_xll.xSPRDOPT($L432,$J432,$I432,$M432,$O432,$N432,$P432,$Q432-$C$3,$R432,2)*H432</f>
        <v>305880.84589909494</v>
      </c>
      <c r="W432" s="159">
        <f t="shared" si="493"/>
        <v>61706.70107553745</v>
      </c>
      <c r="X432" s="51" t="str">
        <f t="shared" si="484"/>
        <v>36861IF-TRANSCO/Z6</v>
      </c>
      <c r="Y432" s="418">
        <f t="shared" si="485"/>
        <v>100</v>
      </c>
      <c r="Z432" s="456">
        <f t="shared" si="486"/>
        <v>-0.24417414482355748</v>
      </c>
      <c r="AA432" s="456">
        <f>_xll.xSPRDOPT($L432,$J432,$I432,$M432,$O432,$N432,$P432,$Q432-$C$3,$R432,3)</f>
        <v>0.24535174838685014</v>
      </c>
      <c r="AB432" s="456">
        <f>((_xll.xSPRDOPT($L432+AB$5,$J432,$I432,$M432,$O432,$N432,$P432,$Q432-$C$3,$R432,3)*$H432)/10000)/100</f>
        <v>0.24535174838685017</v>
      </c>
      <c r="AC432" s="456">
        <f>((_xll.xSPRDOPT($L432+$AB$5,$J432,$I432,$M432,$O432,$N432,$P432,$Q432-$C$3,$R432,7)*$H432)/100)</f>
        <v>-8837.3893361566315</v>
      </c>
      <c r="AD432" s="456">
        <f>(_xll.xSPRDOPT($L432+$AB$5,$J432,$I432,$M432,$O432,$N432,$P432,$Q432-$C$3,$R432,9)/365)*$H432</f>
        <v>-2114.3175487268968</v>
      </c>
      <c r="AE432">
        <f t="shared" si="462"/>
        <v>0</v>
      </c>
      <c r="AF432" s="456">
        <f t="shared" si="463"/>
        <v>6596.8622436018495</v>
      </c>
      <c r="AG432" s="456">
        <f>((_xll.xSPRDOPT($L432,$J432,$I432,$M432,$O432,$N432,$P432,$Q432-$C$3,$R432,6)*$H432)/100)</f>
        <v>-1547.605859195477</v>
      </c>
      <c r="AH432" s="456">
        <f>((_xll.xSPRDOPT($L432,$J432,$I432,$M432,$O432,$N432,$P432,$Q432-$C$3,$R432,5)*$H432)/100)</f>
        <v>7082.1461763455018</v>
      </c>
      <c r="AI432" s="456">
        <f>(((_xll.xSPRDOPT($L432,$J432,$I432,$M432,$O432,$N432,$P432,$Q432-$C$3,$R432,4)*$H432)/10000)/100)-AB432</f>
        <v>6.1289785757673437E-2</v>
      </c>
      <c r="AJ432" s="456"/>
      <c r="AK432" s="456"/>
      <c r="AL432" s="456"/>
      <c r="AM432" s="472"/>
      <c r="CC432" s="141">
        <f t="shared" si="494"/>
        <v>36861</v>
      </c>
      <c r="CD432" s="234">
        <f>_xll.xSPRDOPT((VLOOKUP(G432,NGPrices,2,FALSE)+HLOOKUP(D432,Prices,VLOOKUP(G432,move_down,2,FALSE),FALSE)),VLOOKUP(G432,NGPrices,2,FALSE),I432,VLOOKUP(G432,NGPREVPRICES,4,FALSE),HLOOKUP(D432,PREVVOLS,VLOOKUP(G432,MOVE_DOWN2,2,FALSE),FALSE),VLOOKUP(G432,NGPREVPRICES,3,FALSE),HLOOKUP(D432,Correllate,VLOOKUP(G432,CorMove,2,FALSE),FALSE),Q432-$CD$3,R432,$CD$5)*H432-CJ432</f>
        <v>0</v>
      </c>
      <c r="CE432" s="234">
        <f>_xll.xSPRDOPT((VLOOKUP(G432,NGPREVPRICES,2,FALSE)+HLOOKUP(D432,PREVCURVES,VLOOKUP(G432,MOVE_DOWN2,2,FALSE),FALSE)),VLOOKUP(G432,NGPREVPRICES,2,FALSE),CK432,VLOOKUP(G432,NGPrices,4,FALSE),HLOOKUP(D432,PREVVOLS,VLOOKUP(G432,MOVE_DOWN2,2,FALSE),FALSE),VLOOKUP(G432,NGPREVPRICES,3,FALSE),HLOOKUP(D432,Correllate,VLOOKUP(G432,CorMove,2,FALSE),FALSE),Q432-$CD$3,R432,$CJ$5)*H432-CJ432</f>
        <v>0</v>
      </c>
      <c r="CF432" s="10">
        <f t="shared" si="495"/>
        <v>-38.737661466759164</v>
      </c>
      <c r="CG432" s="234">
        <f>_xll.xSPRDOPT((VLOOKUP(G432,NGPREVPRICES,2,FALSE)+HLOOKUP(D432,PREVCURVES,VLOOKUP(G432,MOVE_DOWN2,2,FALSE),FALSE)),VLOOKUP(G432,NGPREVPRICES,2,FALSE),CK432,VLOOKUP(G432,NGPREVPRICES,4,FALSE),HLOOKUP(D432,VOLS,VLOOKUP(G432,move_down,2,FALSE),FALSE),VLOOKUP(G432,NGPrices,3,FALSE),HLOOKUP(D432,Correllate,VLOOKUP(G432,CorMove,2,FALSE),FALSE),Q432-$CD$3,R432,$CJ$5)*H432-CJ432</f>
        <v>0</v>
      </c>
      <c r="CH432" s="234">
        <f>_xll.xSPRDOPT((VLOOKUP(G432,NGPREVPRICES,2,FALSE)+HLOOKUP(D432,PREVCURVES,VLOOKUP(G432,MOVE_DOWN2,2,FALSE),FALSE)),VLOOKUP(G432,NGPREVPRICES,2,FALSE),CK432,VLOOKUP(G432,NGPREVPRICES,4,FALSE),HLOOKUP(D432,PREVVOLS,VLOOKUP(G432,MOVE_DOWN2,2,FALSE),FALSE),VLOOKUP(G432,NGPREVPRICES,3,FALSE),HLOOKUP(D432,Correllate,VLOOKUP(G432,CorMove,2,FALSE),FALSE),Q432-$C$3,R432,$CJ$5)*H432-CJ432</f>
        <v>-2108.5790997942386</v>
      </c>
      <c r="CI432" s="234">
        <f t="shared" si="496"/>
        <v>-2147.3167612609977</v>
      </c>
      <c r="CJ432" s="234">
        <f>_xll.xSPRDOPT((VLOOKUP(G432,NGPREVPRICES,2,FALSE)+HLOOKUP(D432,PREVCURVES,VLOOKUP(G432,MOVE_DOWN2,2,FALSE),FALSE)),VLOOKUP(G432,NGPREVPRICES,2,FALSE),CK432,VLOOKUP(G432,NGPREVPRICES,4,FALSE),HLOOKUP(D432,PREVVOLS,VLOOKUP(G432,MOVE_DOWN2,2,FALSE),FALSE),VLOOKUP(G432,NGPREVPRICES,3,FALSE),HLOOKUP(D432,Correllate,VLOOKUP(G432,CorMove,2,FALSE),FALSE),Q432-$CD$3,R432,$CJ$5)*H432</f>
        <v>206779.59023365367</v>
      </c>
      <c r="CK432" s="235">
        <f t="shared" si="497"/>
        <v>0.95</v>
      </c>
      <c r="CM432" t="str">
        <f t="shared" si="498"/>
        <v>36861Curve Shift/Gamma</v>
      </c>
      <c r="CN432" t="str">
        <f t="shared" si="499"/>
        <v>36861Rho</v>
      </c>
      <c r="CO432" t="str">
        <f t="shared" si="500"/>
        <v>36861Drift</v>
      </c>
      <c r="CP432" t="str">
        <f t="shared" si="501"/>
        <v>36861Vega</v>
      </c>
      <c r="CQ432" t="str">
        <f t="shared" si="502"/>
        <v>36861Theta</v>
      </c>
    </row>
    <row r="433" spans="1:95" x14ac:dyDescent="0.25">
      <c r="A433" s="140" t="s">
        <v>320</v>
      </c>
      <c r="B433" t="s">
        <v>250</v>
      </c>
      <c r="C433" t="s">
        <v>486</v>
      </c>
      <c r="D433" t="s">
        <v>7</v>
      </c>
      <c r="E433" t="s">
        <v>20</v>
      </c>
      <c r="F433" t="s">
        <v>1</v>
      </c>
      <c r="G433" s="5">
        <v>36831</v>
      </c>
      <c r="H433" s="130">
        <v>1000000</v>
      </c>
      <c r="I433">
        <v>0.95</v>
      </c>
      <c r="J433" s="53">
        <f t="shared" si="464"/>
        <v>4.7359999999999998</v>
      </c>
      <c r="K433" s="7">
        <f t="shared" si="465"/>
        <v>0.77</v>
      </c>
      <c r="L433" s="53">
        <f t="shared" si="466"/>
        <v>5.5060000000000002</v>
      </c>
      <c r="M433" s="157">
        <f t="shared" si="487"/>
        <v>6.810675983792E-2</v>
      </c>
      <c r="N433" s="4">
        <f t="shared" si="488"/>
        <v>0.59499999999999997</v>
      </c>
      <c r="O433" s="4">
        <f t="shared" si="489"/>
        <v>0.625</v>
      </c>
      <c r="P433" s="9">
        <f t="shared" si="490"/>
        <v>0.89</v>
      </c>
      <c r="Q433" s="5">
        <f t="shared" si="458"/>
        <v>36829</v>
      </c>
      <c r="R433" s="4">
        <f t="shared" si="491"/>
        <v>0</v>
      </c>
      <c r="S433" s="158">
        <f>_xll.xSPRDOPT($L433,$J433,$I433,$M433,$O433,$N433,$P433,$Q433-$C$3,$R433,0)</f>
        <v>0.36329892687479826</v>
      </c>
      <c r="T433" s="159">
        <f>_xll.xSPRDOPT($L433,$J433,$I433,$M433,$O433,$N433,$P433,$Q433-$C$3,$R433,1)*H433</f>
        <v>-575012.07044925843</v>
      </c>
      <c r="U433" s="160">
        <f t="shared" si="492"/>
        <v>363298.92687479826</v>
      </c>
      <c r="V433" s="159">
        <f>_xll.xSPRDOPT($L433,$J433,$I433,$M433,$O433,$N433,$P433,$Q433-$C$3,$R433,2)*H433</f>
        <v>617545.11248015345</v>
      </c>
      <c r="W433" s="159">
        <f t="shared" si="493"/>
        <v>42533.042030895012</v>
      </c>
      <c r="X433" s="51" t="str">
        <f t="shared" si="484"/>
        <v>36831IF-TRANSCO/Z6</v>
      </c>
      <c r="Y433" s="418">
        <f t="shared" si="485"/>
        <v>100</v>
      </c>
      <c r="Z433" s="456">
        <f t="shared" si="486"/>
        <v>-0.57501207044925839</v>
      </c>
      <c r="AA433" s="456">
        <f>_xll.xSPRDOPT($L433,$J433,$I433,$M433,$O433,$N433,$P433,$Q433-$C$3,$R433,3)</f>
        <v>0.58419351190951563</v>
      </c>
      <c r="AB433" s="456">
        <f>((_xll.xSPRDOPT($L433+AB$5,$J433,$I433,$M433,$O433,$N433,$P433,$Q433-$C$3,$R433,3)*$H433)/10000)/100</f>
        <v>0.58419351190951563</v>
      </c>
      <c r="AC433" s="456">
        <f>((_xll.xSPRDOPT($L433+$AB$5,$J433,$I433,$M433,$O433,$N433,$P433,$Q433-$C$3,$R433,7)*$H433)/100)</f>
        <v>-9343.8293609424072</v>
      </c>
      <c r="AD433" s="456">
        <f>(_xll.xSPRDOPT($L433+$AB$5,$J433,$I433,$M433,$O433,$N433,$P433,$Q433-$C$3,$R433,9)/365)*$H433</f>
        <v>-1995.8383014487654</v>
      </c>
      <c r="AE433">
        <f t="shared" si="462"/>
        <v>0</v>
      </c>
      <c r="AF433" s="456">
        <f t="shared" si="463"/>
        <v>4297.725715210845</v>
      </c>
      <c r="AG433" s="456">
        <f>((_xll.xSPRDOPT($L433,$J433,$I433,$M433,$O433,$N433,$P433,$Q433-$C$3,$R433,6)*$H433)/100)</f>
        <v>-1462.4406921582524</v>
      </c>
      <c r="AH433" s="456">
        <f>((_xll.xSPRDOPT($L433,$J433,$I433,$M433,$O433,$N433,$P433,$Q433-$C$3,$R433,5)*$H433)/100)</f>
        <v>5483.67841981538</v>
      </c>
      <c r="AI433" s="456">
        <f>(((_xll.xSPRDOPT($L433,$J433,$I433,$M433,$O433,$N433,$P433,$Q433-$C$3,$R433,4)*$H433)/10000)/100)-AB433</f>
        <v>-3.1787789464280625E-2</v>
      </c>
      <c r="AJ433" s="456"/>
      <c r="AK433" s="456"/>
      <c r="AL433" s="456"/>
      <c r="AM433" s="472"/>
      <c r="CC433" s="141">
        <f t="shared" si="494"/>
        <v>36831</v>
      </c>
      <c r="CD433" s="234">
        <f>_xll.xSPRDOPT((VLOOKUP(G433,NGPrices,2,FALSE)+HLOOKUP(D433,Prices,VLOOKUP(G433,move_down,2,FALSE),FALSE)),VLOOKUP(G433,NGPrices,2,FALSE),I433,VLOOKUP(G433,NGPREVPRICES,4,FALSE),HLOOKUP(D433,PREVVOLS,VLOOKUP(G433,MOVE_DOWN2,2,FALSE),FALSE),VLOOKUP(G433,NGPREVPRICES,3,FALSE),HLOOKUP(D433,Correllate,VLOOKUP(G433,CorMove,2,FALSE),FALSE),Q433-$CD$3,R433,$CD$5)*H433-CJ433</f>
        <v>0</v>
      </c>
      <c r="CE433" s="234">
        <f>_xll.xSPRDOPT((VLOOKUP(G433,NGPREVPRICES,2,FALSE)+HLOOKUP(D433,PREVCURVES,VLOOKUP(G433,MOVE_DOWN2,2,FALSE),FALSE)),VLOOKUP(G433,NGPREVPRICES,2,FALSE),CK433,VLOOKUP(G433,NGPrices,4,FALSE),HLOOKUP(D433,PREVVOLS,VLOOKUP(G433,MOVE_DOWN2,2,FALSE),FALSE),VLOOKUP(G433,NGPREVPRICES,3,FALSE),HLOOKUP(D433,Correllate,VLOOKUP(G433,CorMove,2,FALSE),FALSE),Q433-$CD$3,R433,$CJ$5)*H433-CJ433</f>
        <v>0</v>
      </c>
      <c r="CF433" s="10">
        <f t="shared" si="495"/>
        <v>-67.837383352103643</v>
      </c>
      <c r="CG433" s="234">
        <f>_xll.xSPRDOPT((VLOOKUP(G433,NGPREVPRICES,2,FALSE)+HLOOKUP(D433,PREVCURVES,VLOOKUP(G433,MOVE_DOWN2,2,FALSE),FALSE)),VLOOKUP(G433,NGPREVPRICES,2,FALSE),CK433,VLOOKUP(G433,NGPREVPRICES,4,FALSE),HLOOKUP(D433,VOLS,VLOOKUP(G433,move_down,2,FALSE),FALSE),VLOOKUP(G433,NGPrices,3,FALSE),HLOOKUP(D433,Correllate,VLOOKUP(G433,CorMove,2,FALSE),FALSE),Q433-$CD$3,R433,$CJ$5)*H433-CJ433</f>
        <v>0</v>
      </c>
      <c r="CH433" s="234">
        <f>_xll.xSPRDOPT((VLOOKUP(G433,NGPREVPRICES,2,FALSE)+HLOOKUP(D433,PREVCURVES,VLOOKUP(G433,MOVE_DOWN2,2,FALSE),FALSE)),VLOOKUP(G433,NGPREVPRICES,2,FALSE),CK433,VLOOKUP(G433,NGPREVPRICES,4,FALSE),HLOOKUP(D433,PREVVOLS,VLOOKUP(G433,MOVE_DOWN2,2,FALSE),FALSE),VLOOKUP(G433,NGPREVPRICES,3,FALSE),HLOOKUP(D433,Correllate,VLOOKUP(G433,CorMove,2,FALSE),FALSE),Q433-$C$3,R433,$CJ$5)*H433-CJ433</f>
        <v>-1986.4510666116839</v>
      </c>
      <c r="CI433" s="234">
        <f t="shared" si="496"/>
        <v>-2054.2884499637876</v>
      </c>
      <c r="CJ433" s="234">
        <f>_xll.xSPRDOPT((VLOOKUP(G433,NGPREVPRICES,2,FALSE)+HLOOKUP(D433,PREVCURVES,VLOOKUP(G433,MOVE_DOWN2,2,FALSE),FALSE)),VLOOKUP(G433,NGPREVPRICES,2,FALSE),CK433,VLOOKUP(G433,NGPREVPRICES,4,FALSE),HLOOKUP(D433,PREVVOLS,VLOOKUP(G433,MOVE_DOWN2,2,FALSE),FALSE),VLOOKUP(G433,NGPREVPRICES,3,FALSE),HLOOKUP(D433,Correllate,VLOOKUP(G433,CorMove,2,FALSE),FALSE),Q433-$CD$3,R433,$CJ$5)*H433</f>
        <v>365285.37794140994</v>
      </c>
      <c r="CK433" s="235">
        <f t="shared" si="497"/>
        <v>0.95</v>
      </c>
      <c r="CM433" t="str">
        <f t="shared" si="498"/>
        <v>36831Curve Shift/Gamma</v>
      </c>
      <c r="CN433" t="str">
        <f t="shared" si="499"/>
        <v>36831Rho</v>
      </c>
      <c r="CO433" t="str">
        <f t="shared" si="500"/>
        <v>36831Drift</v>
      </c>
      <c r="CP433" t="str">
        <f t="shared" si="501"/>
        <v>36831Vega</v>
      </c>
      <c r="CQ433" t="str">
        <f t="shared" si="502"/>
        <v>36831Theta</v>
      </c>
    </row>
    <row r="434" spans="1:95" x14ac:dyDescent="0.25">
      <c r="A434" s="140" t="s">
        <v>324</v>
      </c>
      <c r="B434" t="s">
        <v>250</v>
      </c>
      <c r="C434" t="s">
        <v>488</v>
      </c>
      <c r="D434" t="s">
        <v>487</v>
      </c>
      <c r="E434" t="s">
        <v>20</v>
      </c>
      <c r="F434" t="s">
        <v>21</v>
      </c>
      <c r="G434" s="5">
        <v>36951</v>
      </c>
      <c r="H434" s="130">
        <v>-500000</v>
      </c>
      <c r="I434">
        <v>0.35</v>
      </c>
      <c r="J434" s="53">
        <f t="shared" si="464"/>
        <v>4.2130000000000001</v>
      </c>
      <c r="K434" s="7">
        <f t="shared" si="465"/>
        <v>0.22750000000000001</v>
      </c>
      <c r="L434" s="53">
        <f t="shared" si="466"/>
        <v>4.4405000000000001</v>
      </c>
      <c r="M434" s="157">
        <f t="shared" si="487"/>
        <v>6.8879814952706994E-2</v>
      </c>
      <c r="N434" s="4">
        <f t="shared" si="488"/>
        <v>0.53249999999999997</v>
      </c>
      <c r="O434" s="4">
        <f t="shared" si="489"/>
        <v>0.53300000000000003</v>
      </c>
      <c r="P434" s="9">
        <f t="shared" si="490"/>
        <v>0.995</v>
      </c>
      <c r="Q434" s="5">
        <f t="shared" si="458"/>
        <v>36949</v>
      </c>
      <c r="R434" s="4">
        <f t="shared" si="491"/>
        <v>1</v>
      </c>
      <c r="S434" s="158">
        <f>_xll.xSPRDOPT($L434,$J434,$I434,$M434,$O434,$N434,$P434,$Q434-$C$3,$R434,0)</f>
        <v>3.3695782493579796E-2</v>
      </c>
      <c r="T434" s="159">
        <f>_xll.xSPRDOPT($L434,$J434,$I434,$M434,$O434,$N434,$P434,$Q434-$C$3,$R434,1)*H434</f>
        <v>-141804.75238436894</v>
      </c>
      <c r="U434" s="160">
        <f t="shared" si="492"/>
        <v>-16847.891246789899</v>
      </c>
      <c r="V434" s="159">
        <f>_xll.xSPRDOPT($L434,$J434,$I434,$M434,$O434,$N434,$P434,$Q434-$C$3,$R434,2)*H434</f>
        <v>136686.97691361696</v>
      </c>
      <c r="W434" s="159">
        <f t="shared" si="493"/>
        <v>-5117.775470751978</v>
      </c>
      <c r="X434" s="51" t="str">
        <f t="shared" si="484"/>
        <v>36951MICH_CG-GD</v>
      </c>
      <c r="Y434" s="418">
        <f t="shared" si="485"/>
        <v>-50</v>
      </c>
      <c r="Z434" s="456">
        <f t="shared" si="486"/>
        <v>0.28360950476873786</v>
      </c>
      <c r="AA434" s="456">
        <f>_xll.xSPRDOPT($L434,$J434,$I434,$M434,$O434,$N434,$P434,$Q434-$C$3,$R434,3)</f>
        <v>1.6874794787546044</v>
      </c>
      <c r="AB434" s="456">
        <f>((_xll.xSPRDOPT($L434+AB$5,$J434,$I434,$M434,$O434,$N434,$P434,$Q434-$C$3,$R434,3)*$H434)/10000)/100</f>
        <v>-0.84373973937730229</v>
      </c>
      <c r="AC434" s="456">
        <f>((_xll.xSPRDOPT($L434+$AB$5,$J434,$I434,$M434,$O434,$N434,$P434,$Q434-$C$3,$R434,7)*$H434)/100)</f>
        <v>21976.320177102367</v>
      </c>
      <c r="AD434" s="456">
        <f>(_xll.xSPRDOPT($L434+$AB$5,$J434,$I434,$M434,$O434,$N434,$P434,$Q434-$C$3,$R434,9)/365)*$H434</f>
        <v>88.40236312121408</v>
      </c>
      <c r="AE434">
        <f t="shared" si="462"/>
        <v>0</v>
      </c>
      <c r="AF434" s="456">
        <f t="shared" si="463"/>
        <v>-625.59513262202609</v>
      </c>
      <c r="AG434" s="456">
        <f>((_xll.xSPRDOPT($L434,$J434,$I434,$M434,$O434,$N434,$P434,$Q434-$C$3,$R434,6)*$H434)/100)</f>
        <v>2537.7375126890961</v>
      </c>
      <c r="AH434" s="456">
        <f>((_xll.xSPRDOPT($L434,$J434,$I434,$M434,$O434,$N434,$P434,$Q434-$C$3,$R434,5)*$H434)/100)</f>
        <v>-3160.3651662817492</v>
      </c>
      <c r="AI434" s="456">
        <f>(((_xll.xSPRDOPT($L434,$J434,$I434,$M434,$O434,$N434,$P434,$Q434-$C$3,$R434,4)*$H434)/10000)/100)-AB434</f>
        <v>2.5707913429933948E-2</v>
      </c>
      <c r="AJ434" s="456"/>
      <c r="AK434" s="456"/>
      <c r="AL434" s="456"/>
      <c r="AM434" s="472"/>
      <c r="CC434" s="141">
        <f t="shared" si="494"/>
        <v>36951</v>
      </c>
      <c r="CD434" s="234">
        <f>_xll.xSPRDOPT((VLOOKUP(G434,NGPrices,2,FALSE)+HLOOKUP(D434,Prices,VLOOKUP(G434,move_down,2,FALSE),FALSE)),VLOOKUP(G434,NGPrices,2,FALSE),I434,VLOOKUP(G434,NGPREVPRICES,4,FALSE),HLOOKUP(D434,PREVVOLS,VLOOKUP(G434,MOVE_DOWN2,2,FALSE),FALSE),VLOOKUP(G434,NGPREVPRICES,3,FALSE),HLOOKUP(D434,Correllate,VLOOKUP(G434,CorMove,2,FALSE),FALSE),Q434-$CD$3,R434,$CD$5)*H434-CJ434</f>
        <v>0</v>
      </c>
      <c r="CE434" s="234">
        <f>_xll.xSPRDOPT((VLOOKUP(G434,NGPREVPRICES,2,FALSE)+HLOOKUP(D434,PREVCURVES,VLOOKUP(G434,MOVE_DOWN2,2,FALSE),FALSE)),VLOOKUP(G434,NGPREVPRICES,2,FALSE),CK434,VLOOKUP(G434,NGPrices,4,FALSE),HLOOKUP(D434,PREVVOLS,VLOOKUP(G434,MOVE_DOWN2,2,FALSE),FALSE),VLOOKUP(G434,NGPREVPRICES,3,FALSE),HLOOKUP(D434,Correllate,VLOOKUP(G434,CorMove,2,FALSE),FALSE),Q434-$CD$3,R434,$CJ$5)*H434-CJ434</f>
        <v>0</v>
      </c>
      <c r="CF434" s="10">
        <f t="shared" si="495"/>
        <v>3.2480979991996719</v>
      </c>
      <c r="CG434" s="234">
        <f>_xll.xSPRDOPT((VLOOKUP(G434,NGPREVPRICES,2,FALSE)+HLOOKUP(D434,PREVCURVES,VLOOKUP(G434,MOVE_DOWN2,2,FALSE),FALSE)),VLOOKUP(G434,NGPREVPRICES,2,FALSE),CK434,VLOOKUP(G434,NGPREVPRICES,4,FALSE),HLOOKUP(D434,VOLS,VLOOKUP(G434,move_down,2,FALSE),FALSE),VLOOKUP(G434,NGPrices,3,FALSE),HLOOKUP(D434,Correllate,VLOOKUP(G434,CorMove,2,FALSE),FALSE),Q434-$CD$3,R434,$CJ$5)*H434-CJ434</f>
        <v>0</v>
      </c>
      <c r="CH434" s="234">
        <f>_xll.xSPRDOPT((VLOOKUP(G434,NGPREVPRICES,2,FALSE)+HLOOKUP(D434,PREVCURVES,VLOOKUP(G434,MOVE_DOWN2,2,FALSE),FALSE)),VLOOKUP(G434,NGPREVPRICES,2,FALSE),CK434,VLOOKUP(G434,NGPREVPRICES,4,FALSE),HLOOKUP(D434,PREVVOLS,VLOOKUP(G434,MOVE_DOWN2,2,FALSE),FALSE),VLOOKUP(G434,NGPREVPRICES,3,FALSE),HLOOKUP(D434,Correllate,VLOOKUP(G434,CorMove,2,FALSE),FALSE),Q434-$C$3,R434,$CJ$5)*H434-CJ434</f>
        <v>88.245849735776574</v>
      </c>
      <c r="CI434" s="234">
        <f t="shared" si="496"/>
        <v>91.493947734976246</v>
      </c>
      <c r="CJ434" s="234">
        <f>_xll.xSPRDOPT((VLOOKUP(G434,NGPREVPRICES,2,FALSE)+HLOOKUP(D434,PREVCURVES,VLOOKUP(G434,MOVE_DOWN2,2,FALSE),FALSE)),VLOOKUP(G434,NGPREVPRICES,2,FALSE),CK434,VLOOKUP(G434,NGPREVPRICES,4,FALSE),HLOOKUP(D434,PREVVOLS,VLOOKUP(G434,MOVE_DOWN2,2,FALSE),FALSE),VLOOKUP(G434,NGPREVPRICES,3,FALSE),HLOOKUP(D434,Correllate,VLOOKUP(G434,CorMove,2,FALSE),FALSE),Q434-$CD$3,R434,$CJ$5)*H434</f>
        <v>-16936.137096525676</v>
      </c>
      <c r="CK434" s="235">
        <f t="shared" si="497"/>
        <v>0.35</v>
      </c>
      <c r="CM434" t="str">
        <f t="shared" si="498"/>
        <v>36951Curve Shift/Gamma</v>
      </c>
      <c r="CN434" t="str">
        <f t="shared" si="499"/>
        <v>36951Rho</v>
      </c>
      <c r="CO434" t="str">
        <f t="shared" si="500"/>
        <v>36951Drift</v>
      </c>
      <c r="CP434" t="str">
        <f t="shared" si="501"/>
        <v>36951Vega</v>
      </c>
      <c r="CQ434" t="str">
        <f t="shared" si="502"/>
        <v>36951Theta</v>
      </c>
    </row>
    <row r="435" spans="1:95" x14ac:dyDescent="0.25">
      <c r="A435" s="140" t="s">
        <v>324</v>
      </c>
      <c r="B435" t="s">
        <v>250</v>
      </c>
      <c r="C435" t="s">
        <v>488</v>
      </c>
      <c r="D435" t="s">
        <v>487</v>
      </c>
      <c r="E435" t="s">
        <v>20</v>
      </c>
      <c r="F435" t="s">
        <v>21</v>
      </c>
      <c r="G435" s="5">
        <v>36923</v>
      </c>
      <c r="H435" s="130">
        <v>-500000</v>
      </c>
      <c r="I435">
        <v>0.35</v>
      </c>
      <c r="J435" s="53">
        <f t="shared" si="464"/>
        <v>4.4800000000000004</v>
      </c>
      <c r="K435" s="7">
        <f t="shared" si="465"/>
        <v>0.24</v>
      </c>
      <c r="L435" s="53">
        <f t="shared" si="466"/>
        <v>4.7200000000000006</v>
      </c>
      <c r="M435" s="157">
        <f t="shared" si="487"/>
        <v>6.8640161611372E-2</v>
      </c>
      <c r="N435" s="4">
        <f t="shared" si="488"/>
        <v>0.59250000000000003</v>
      </c>
      <c r="O435" s="4">
        <f t="shared" si="489"/>
        <v>0.59299999999999997</v>
      </c>
      <c r="P435" s="9">
        <f t="shared" si="490"/>
        <v>0.995</v>
      </c>
      <c r="Q435" s="5">
        <f t="shared" si="458"/>
        <v>36921</v>
      </c>
      <c r="R435" s="4">
        <f t="shared" si="491"/>
        <v>1</v>
      </c>
      <c r="S435" s="158">
        <f>_xll.xSPRDOPT($L435,$J435,$I435,$M435,$O435,$N435,$P435,$Q435-$C$3,$R435,0)</f>
        <v>4.2135021020426329E-2</v>
      </c>
      <c r="T435" s="159">
        <f>_xll.xSPRDOPT($L435,$J435,$I435,$M435,$O435,$N435,$P435,$Q435-$C$3,$R435,1)*H435</f>
        <v>-158609.02774092089</v>
      </c>
      <c r="U435" s="160">
        <f t="shared" si="492"/>
        <v>-21067.510510213164</v>
      </c>
      <c r="V435" s="159">
        <f>_xll.xSPRDOPT($L435,$J435,$I435,$M435,$O435,$N435,$P435,$Q435-$C$3,$R435,2)*H435</f>
        <v>153018.81814367714</v>
      </c>
      <c r="W435" s="159">
        <f t="shared" si="493"/>
        <v>-5590.2095972437528</v>
      </c>
      <c r="X435" s="51" t="str">
        <f t="shared" si="484"/>
        <v>36923MICH_CG-GD</v>
      </c>
      <c r="Y435" s="418">
        <f t="shared" si="485"/>
        <v>-50</v>
      </c>
      <c r="Z435" s="456">
        <f t="shared" si="486"/>
        <v>0.31721805548184179</v>
      </c>
      <c r="AA435" s="456">
        <f>_xll.xSPRDOPT($L435,$J435,$I435,$M435,$O435,$N435,$P435,$Q435-$C$3,$R435,3)</f>
        <v>1.6528283811891444</v>
      </c>
      <c r="AB435" s="456">
        <f>((_xll.xSPRDOPT($L435+AB$5,$J435,$I435,$M435,$O435,$N435,$P435,$Q435-$C$3,$R435,3)*$H435)/10000)/100</f>
        <v>-0.82641419059457222</v>
      </c>
      <c r="AC435" s="456">
        <f>((_xll.xSPRDOPT($L435+$AB$5,$J435,$I435,$M435,$O435,$N435,$P435,$Q435-$C$3,$R435,7)*$H435)/100)</f>
        <v>25544.965737544149</v>
      </c>
      <c r="AD435" s="456">
        <f>(_xll.xSPRDOPT($L435+$AB$5,$J435,$I435,$M435,$O435,$N435,$P435,$Q435-$C$3,$R435,9)/365)*$H435</f>
        <v>118.64842724180595</v>
      </c>
      <c r="AE435">
        <f t="shared" si="462"/>
        <v>0</v>
      </c>
      <c r="AF435" s="456">
        <f t="shared" si="463"/>
        <v>-636.93024109441558</v>
      </c>
      <c r="AG435" s="456">
        <f>((_xll.xSPRDOPT($L435,$J435,$I435,$M435,$O435,$N435,$P435,$Q435-$C$3,$R435,6)*$H435)/100)</f>
        <v>2536.3686624676425</v>
      </c>
      <c r="AH435" s="456">
        <f>((_xll.xSPRDOPT($L435,$J435,$I435,$M435,$O435,$N435,$P435,$Q435-$C$3,$R435,5)*$H435)/100)</f>
        <v>-3170.6232721088022</v>
      </c>
      <c r="AI435" s="456">
        <f>(((_xll.xSPRDOPT($L435,$J435,$I435,$M435,$O435,$N435,$P435,$Q435-$C$3,$R435,4)*$H435)/10000)/100)-AB435</f>
        <v>2.1410981986196065E-2</v>
      </c>
      <c r="AJ435" s="456"/>
      <c r="AK435" s="456"/>
      <c r="AL435" s="456"/>
      <c r="AM435" s="472"/>
      <c r="CC435" s="141">
        <f t="shared" si="494"/>
        <v>36923</v>
      </c>
      <c r="CD435" s="234">
        <f>_xll.xSPRDOPT((VLOOKUP(G435,NGPrices,2,FALSE)+HLOOKUP(D435,Prices,VLOOKUP(G435,move_down,2,FALSE),FALSE)),VLOOKUP(G435,NGPrices,2,FALSE),I435,VLOOKUP(G435,NGPREVPRICES,4,FALSE),HLOOKUP(D435,PREVVOLS,VLOOKUP(G435,MOVE_DOWN2,2,FALSE),FALSE),VLOOKUP(G435,NGPREVPRICES,3,FALSE),HLOOKUP(D435,Correllate,VLOOKUP(G435,CorMove,2,FALSE),FALSE),Q435-$CD$3,R435,$CD$5)*H435-CJ435</f>
        <v>0</v>
      </c>
      <c r="CE435" s="234">
        <f>_xll.xSPRDOPT((VLOOKUP(G435,NGPREVPRICES,2,FALSE)+HLOOKUP(D435,PREVCURVES,VLOOKUP(G435,MOVE_DOWN2,2,FALSE),FALSE)),VLOOKUP(G435,NGPREVPRICES,2,FALSE),CK435,VLOOKUP(G435,NGPrices,4,FALSE),HLOOKUP(D435,PREVVOLS,VLOOKUP(G435,MOVE_DOWN2,2,FALSE),FALSE),VLOOKUP(G435,NGPREVPRICES,3,FALSE),HLOOKUP(D435,Correllate,VLOOKUP(G435,CorMove,2,FALSE),FALSE),Q435-$CD$3,R435,$CJ$5)*H435-CJ435</f>
        <v>0</v>
      </c>
      <c r="CF435" s="10">
        <f t="shared" si="495"/>
        <v>4.0293156537409232</v>
      </c>
      <c r="CG435" s="234">
        <f>_xll.xSPRDOPT((VLOOKUP(G435,NGPREVPRICES,2,FALSE)+HLOOKUP(D435,PREVCURVES,VLOOKUP(G435,MOVE_DOWN2,2,FALSE),FALSE)),VLOOKUP(G435,NGPREVPRICES,2,FALSE),CK435,VLOOKUP(G435,NGPREVPRICES,4,FALSE),HLOOKUP(D435,VOLS,VLOOKUP(G435,move_down,2,FALSE),FALSE),VLOOKUP(G435,NGPrices,3,FALSE),HLOOKUP(D435,Correllate,VLOOKUP(G435,CorMove,2,FALSE),FALSE),Q435-$CD$3,R435,$CJ$5)*H435-CJ435</f>
        <v>0</v>
      </c>
      <c r="CH435" s="234">
        <f>_xll.xSPRDOPT((VLOOKUP(G435,NGPREVPRICES,2,FALSE)+HLOOKUP(D435,PREVCURVES,VLOOKUP(G435,MOVE_DOWN2,2,FALSE),FALSE)),VLOOKUP(G435,NGPREVPRICES,2,FALSE),CK435,VLOOKUP(G435,NGPREVPRICES,4,FALSE),HLOOKUP(D435,PREVVOLS,VLOOKUP(G435,MOVE_DOWN2,2,FALSE),FALSE),VLOOKUP(G435,NGPREVPRICES,3,FALSE),HLOOKUP(D435,Correllate,VLOOKUP(G435,CorMove,2,FALSE),FALSE),Q435-$C$3,R435,$CJ$5)*H435-CJ435</f>
        <v>118.39912939345595</v>
      </c>
      <c r="CI435" s="234">
        <f t="shared" si="496"/>
        <v>122.42844504719687</v>
      </c>
      <c r="CJ435" s="234">
        <f>_xll.xSPRDOPT((VLOOKUP(G435,NGPREVPRICES,2,FALSE)+HLOOKUP(D435,PREVCURVES,VLOOKUP(G435,MOVE_DOWN2,2,FALSE),FALSE)),VLOOKUP(G435,NGPREVPRICES,2,FALSE),CK435,VLOOKUP(G435,NGPREVPRICES,4,FALSE),HLOOKUP(D435,PREVVOLS,VLOOKUP(G435,MOVE_DOWN2,2,FALSE),FALSE),VLOOKUP(G435,NGPREVPRICES,3,FALSE),HLOOKUP(D435,Correllate,VLOOKUP(G435,CorMove,2,FALSE),FALSE),Q435-$CD$3,R435,$CJ$5)*H435</f>
        <v>-21185.90963960662</v>
      </c>
      <c r="CK435" s="235">
        <f t="shared" si="497"/>
        <v>0.35</v>
      </c>
      <c r="CM435" t="str">
        <f t="shared" si="498"/>
        <v>36923Curve Shift/Gamma</v>
      </c>
      <c r="CN435" t="str">
        <f t="shared" si="499"/>
        <v>36923Rho</v>
      </c>
      <c r="CO435" t="str">
        <f t="shared" si="500"/>
        <v>36923Drift</v>
      </c>
      <c r="CP435" t="str">
        <f t="shared" si="501"/>
        <v>36923Vega</v>
      </c>
      <c r="CQ435" t="str">
        <f t="shared" si="502"/>
        <v>36923Theta</v>
      </c>
    </row>
    <row r="436" spans="1:95" x14ac:dyDescent="0.25">
      <c r="A436" s="140" t="s">
        <v>324</v>
      </c>
      <c r="B436" t="s">
        <v>250</v>
      </c>
      <c r="C436" t="s">
        <v>488</v>
      </c>
      <c r="D436" t="s">
        <v>487</v>
      </c>
      <c r="E436" t="s">
        <v>20</v>
      </c>
      <c r="F436" t="s">
        <v>21</v>
      </c>
      <c r="G436" s="5">
        <v>36892</v>
      </c>
      <c r="H436" s="130">
        <v>-500000</v>
      </c>
      <c r="I436">
        <v>0.35</v>
      </c>
      <c r="J436" s="53">
        <f t="shared" si="464"/>
        <v>4.7439999999999998</v>
      </c>
      <c r="K436" s="7">
        <f t="shared" si="465"/>
        <v>0.22</v>
      </c>
      <c r="L436" s="53">
        <f t="shared" si="466"/>
        <v>4.9639999999999995</v>
      </c>
      <c r="M436" s="157">
        <f t="shared" si="487"/>
        <v>6.8374831148490994E-2</v>
      </c>
      <c r="N436" s="4">
        <f t="shared" si="488"/>
        <v>0.60499999999999998</v>
      </c>
      <c r="O436" s="4">
        <f t="shared" si="489"/>
        <v>0.60499999999999998</v>
      </c>
      <c r="P436" s="9">
        <f t="shared" si="490"/>
        <v>0.995</v>
      </c>
      <c r="Q436" s="5">
        <f t="shared" si="458"/>
        <v>36888</v>
      </c>
      <c r="R436" s="4">
        <f t="shared" si="491"/>
        <v>1</v>
      </c>
      <c r="S436" s="158">
        <f>_xll.xSPRDOPT($L436,$J436,$I436,$M436,$O436,$N436,$P436,$Q436-$C$3,$R436,0)</f>
        <v>3.1894093589011227E-2</v>
      </c>
      <c r="T436" s="159">
        <f>_xll.xSPRDOPT($L436,$J436,$I436,$M436,$O436,$N436,$P436,$Q436-$C$3,$R436,1)*H436</f>
        <v>-135334.92969241252</v>
      </c>
      <c r="U436" s="160">
        <f t="shared" si="492"/>
        <v>-15947.046794505613</v>
      </c>
      <c r="V436" s="159">
        <f>_xll.xSPRDOPT($L436,$J436,$I436,$M436,$O436,$N436,$P436,$Q436-$C$3,$R436,2)*H436</f>
        <v>130547.54242035105</v>
      </c>
      <c r="W436" s="159">
        <f t="shared" si="493"/>
        <v>-4787.3872720614745</v>
      </c>
      <c r="X436" s="51" t="str">
        <f t="shared" si="484"/>
        <v>36892MICH_CG-GD</v>
      </c>
      <c r="Y436" s="418">
        <f t="shared" si="485"/>
        <v>-50</v>
      </c>
      <c r="Z436" s="456">
        <f t="shared" si="486"/>
        <v>0.27066985938482507</v>
      </c>
      <c r="AA436" s="456">
        <f>_xll.xSPRDOPT($L436,$J436,$I436,$M436,$O436,$N436,$P436,$Q436-$C$3,$R436,3)</f>
        <v>1.6535130759685053</v>
      </c>
      <c r="AB436" s="456">
        <f>((_xll.xSPRDOPT($L436+AB$5,$J436,$I436,$M436,$O436,$N436,$P436,$Q436-$C$3,$R436,3)*$H436)/10000)/100</f>
        <v>-0.82675653798425275</v>
      </c>
      <c r="AC436" s="456">
        <f>((_xll.xSPRDOPT($L436+$AB$5,$J436,$I436,$M436,$O436,$N436,$P436,$Q436-$C$3,$R436,7)*$H436)/100)</f>
        <v>23217.125900952327</v>
      </c>
      <c r="AD436" s="456">
        <f>(_xll.xSPRDOPT($L436+$AB$5,$J436,$I436,$M436,$O436,$N436,$P436,$Q436-$C$3,$R436,9)/365)*$H436</f>
        <v>132.67702064045724</v>
      </c>
      <c r="AE436">
        <f t="shared" si="462"/>
        <v>0</v>
      </c>
      <c r="AF436" s="456">
        <f t="shared" si="463"/>
        <v>-542.28595334639976</v>
      </c>
      <c r="AG436" s="456">
        <f>((_xll.xSPRDOPT($L436,$J436,$I436,$M436,$O436,$N436,$P436,$Q436-$C$3,$R436,6)*$H436)/100)</f>
        <v>2105.3320479634613</v>
      </c>
      <c r="AH436" s="456">
        <f>((_xll.xSPRDOPT($L436,$J436,$I436,$M436,$O436,$N436,$P436,$Q436-$C$3,$R436,5)*$H436)/100)</f>
        <v>-2647.618001309861</v>
      </c>
      <c r="AI436" s="456">
        <f>(((_xll.xSPRDOPT($L436,$J436,$I436,$M436,$O436,$N436,$P436,$Q436-$C$3,$R436,4)*$H436)/10000)/100)-AB436</f>
        <v>2.6913045577866335E-2</v>
      </c>
      <c r="AJ436" s="456"/>
      <c r="AK436" s="456"/>
      <c r="AL436" s="456"/>
      <c r="AM436" s="472"/>
      <c r="CC436" s="141">
        <f t="shared" si="494"/>
        <v>36892</v>
      </c>
      <c r="CD436" s="234">
        <f>_xll.xSPRDOPT((VLOOKUP(G436,NGPrices,2,FALSE)+HLOOKUP(D436,Prices,VLOOKUP(G436,move_down,2,FALSE),FALSE)),VLOOKUP(G436,NGPrices,2,FALSE),I436,VLOOKUP(G436,NGPREVPRICES,4,FALSE),HLOOKUP(D436,PREVVOLS,VLOOKUP(G436,MOVE_DOWN2,2,FALSE),FALSE),VLOOKUP(G436,NGPREVPRICES,3,FALSE),HLOOKUP(D436,Correllate,VLOOKUP(G436,CorMove,2,FALSE),FALSE),Q436-$CD$3,R436,$CD$5)*H436-CJ436</f>
        <v>0</v>
      </c>
      <c r="CE436" s="234">
        <f>_xll.xSPRDOPT((VLOOKUP(G436,NGPREVPRICES,2,FALSE)+HLOOKUP(D436,PREVCURVES,VLOOKUP(G436,MOVE_DOWN2,2,FALSE),FALSE)),VLOOKUP(G436,NGPREVPRICES,2,FALSE),CK436,VLOOKUP(G436,NGPrices,4,FALSE),HLOOKUP(D436,PREVVOLS,VLOOKUP(G436,MOVE_DOWN2,2,FALSE),FALSE),VLOOKUP(G436,NGPREVPRICES,3,FALSE),HLOOKUP(D436,Correllate,VLOOKUP(G436,CorMove,2,FALSE),FALSE),Q436-$CD$3,R436,$CJ$5)*H436-CJ436</f>
        <v>0</v>
      </c>
      <c r="CF436" s="10">
        <f t="shared" si="495"/>
        <v>3.0300294225635298</v>
      </c>
      <c r="CG436" s="234">
        <f>_xll.xSPRDOPT((VLOOKUP(G436,NGPREVPRICES,2,FALSE)+HLOOKUP(D436,PREVCURVES,VLOOKUP(G436,MOVE_DOWN2,2,FALSE),FALSE)),VLOOKUP(G436,NGPREVPRICES,2,FALSE),CK436,VLOOKUP(G436,NGPREVPRICES,4,FALSE),HLOOKUP(D436,VOLS,VLOOKUP(G436,move_down,2,FALSE),FALSE),VLOOKUP(G436,NGPrices,3,FALSE),HLOOKUP(D436,Correllate,VLOOKUP(G436,CorMove,2,FALSE),FALSE),Q436-$CD$3,R436,$CJ$5)*H436-CJ436</f>
        <v>0</v>
      </c>
      <c r="CH436" s="234">
        <f>_xll.xSPRDOPT((VLOOKUP(G436,NGPREVPRICES,2,FALSE)+HLOOKUP(D436,PREVCURVES,VLOOKUP(G436,MOVE_DOWN2,2,FALSE),FALSE)),VLOOKUP(G436,NGPREVPRICES,2,FALSE),CK436,VLOOKUP(G436,NGPREVPRICES,4,FALSE),HLOOKUP(D436,PREVVOLS,VLOOKUP(G436,MOVE_DOWN2,2,FALSE),FALSE),VLOOKUP(G436,NGPREVPRICES,3,FALSE),HLOOKUP(D436,Correllate,VLOOKUP(G436,CorMove,2,FALSE),FALSE),Q436-$C$3,R436,$CJ$5)*H436-CJ436</f>
        <v>132.39866985237313</v>
      </c>
      <c r="CI436" s="234">
        <f t="shared" si="496"/>
        <v>135.42869927493666</v>
      </c>
      <c r="CJ436" s="234">
        <f>_xll.xSPRDOPT((VLOOKUP(G436,NGPREVPRICES,2,FALSE)+HLOOKUP(D436,PREVCURVES,VLOOKUP(G436,MOVE_DOWN2,2,FALSE),FALSE)),VLOOKUP(G436,NGPREVPRICES,2,FALSE),CK436,VLOOKUP(G436,NGPREVPRICES,4,FALSE),HLOOKUP(D436,PREVVOLS,VLOOKUP(G436,MOVE_DOWN2,2,FALSE),FALSE),VLOOKUP(G436,NGPREVPRICES,3,FALSE),HLOOKUP(D436,Correllate,VLOOKUP(G436,CorMove,2,FALSE),FALSE),Q436-$CD$3,R436,$CJ$5)*H436</f>
        <v>-16079.445464357987</v>
      </c>
      <c r="CK436" s="235">
        <f t="shared" si="497"/>
        <v>0.35</v>
      </c>
      <c r="CM436" t="str">
        <f t="shared" si="498"/>
        <v>36892Curve Shift/Gamma</v>
      </c>
      <c r="CN436" t="str">
        <f t="shared" si="499"/>
        <v>36892Rho</v>
      </c>
      <c r="CO436" t="str">
        <f t="shared" si="500"/>
        <v>36892Drift</v>
      </c>
      <c r="CP436" t="str">
        <f t="shared" si="501"/>
        <v>36892Vega</v>
      </c>
      <c r="CQ436" t="str">
        <f t="shared" si="502"/>
        <v>36892Theta</v>
      </c>
    </row>
    <row r="437" spans="1:95" x14ac:dyDescent="0.25">
      <c r="A437" s="140" t="s">
        <v>324</v>
      </c>
      <c r="B437" t="s">
        <v>250</v>
      </c>
      <c r="C437" t="s">
        <v>488</v>
      </c>
      <c r="D437" t="s">
        <v>487</v>
      </c>
      <c r="E437" t="s">
        <v>20</v>
      </c>
      <c r="F437" t="s">
        <v>21</v>
      </c>
      <c r="G437" s="5">
        <v>36861</v>
      </c>
      <c r="H437" s="130">
        <v>-500000</v>
      </c>
      <c r="I437">
        <v>0.35</v>
      </c>
      <c r="J437" s="53">
        <f t="shared" si="464"/>
        <v>4.8</v>
      </c>
      <c r="K437" s="7">
        <f t="shared" si="465"/>
        <v>0.1925</v>
      </c>
      <c r="L437" s="53">
        <f t="shared" si="466"/>
        <v>4.9924999999999997</v>
      </c>
      <c r="M437" s="157">
        <f t="shared" si="487"/>
        <v>6.8314027999354002E-2</v>
      </c>
      <c r="N437" s="4">
        <f t="shared" si="488"/>
        <v>0.6</v>
      </c>
      <c r="O437" s="4">
        <f t="shared" si="489"/>
        <v>0.6</v>
      </c>
      <c r="P437" s="9">
        <f t="shared" si="490"/>
        <v>0.995</v>
      </c>
      <c r="Q437" s="5">
        <f t="shared" si="458"/>
        <v>36859</v>
      </c>
      <c r="R437" s="4">
        <f t="shared" si="491"/>
        <v>1</v>
      </c>
      <c r="S437" s="158">
        <f>_xll.xSPRDOPT($L437,$J437,$I437,$M437,$O437,$N437,$P437,$Q437-$C$3,$R437,0)</f>
        <v>1.7911657761642361E-2</v>
      </c>
      <c r="T437" s="159">
        <f>_xll.xSPRDOPT($L437,$J437,$I437,$M437,$O437,$N437,$P437,$Q437-$C$3,$R437,1)*H437</f>
        <v>-96858.80014392802</v>
      </c>
      <c r="U437" s="160">
        <f t="shared" si="492"/>
        <v>-8955.8288808211801</v>
      </c>
      <c r="V437" s="159">
        <f>_xll.xSPRDOPT($L437,$J437,$I437,$M437,$O437,$N437,$P437,$Q437-$C$3,$R437,2)*H437</f>
        <v>93392.824736403476</v>
      </c>
      <c r="W437" s="159">
        <f t="shared" si="493"/>
        <v>-3465.9754075245437</v>
      </c>
      <c r="X437" s="51" t="str">
        <f t="shared" si="484"/>
        <v>36861MICH_CG-GD</v>
      </c>
      <c r="Y437" s="418">
        <f t="shared" si="485"/>
        <v>-50</v>
      </c>
      <c r="Z437" s="456">
        <f t="shared" si="486"/>
        <v>0.19371760028785603</v>
      </c>
      <c r="AA437" s="456">
        <f>_xll.xSPRDOPT($L437,$J437,$I437,$M437,$O437,$N437,$P437,$Q437-$C$3,$R437,3)</f>
        <v>1.5944029202369059</v>
      </c>
      <c r="AB437" s="456">
        <f>((_xll.xSPRDOPT($L437+AB$5,$J437,$I437,$M437,$O437,$N437,$P437,$Q437-$C$3,$R437,3)*$H437)/10000)/100</f>
        <v>-0.79720146011845283</v>
      </c>
      <c r="AC437" s="456">
        <f>((_xll.xSPRDOPT($L437+$AB$5,$J437,$I437,$M437,$O437,$N437,$P437,$Q437-$C$3,$R437,7)*$H437)/100)</f>
        <v>16957.010732649062</v>
      </c>
      <c r="AD437" s="456">
        <f>(_xll.xSPRDOPT($L437+$AB$5,$J437,$I437,$M437,$O437,$N437,$P437,$Q437-$C$3,$R437,9)/365)*$H437</f>
        <v>126.39194021182965</v>
      </c>
      <c r="AE437">
        <f t="shared" si="462"/>
        <v>0</v>
      </c>
      <c r="AF437" s="456">
        <f t="shared" si="463"/>
        <v>-392.47340657589393</v>
      </c>
      <c r="AG437" s="456">
        <f>((_xll.xSPRDOPT($L437,$J437,$I437,$M437,$O437,$N437,$P437,$Q437-$C$3,$R437,6)*$H437)/100)</f>
        <v>1517.0039492796118</v>
      </c>
      <c r="AH437" s="456">
        <f>((_xll.xSPRDOPT($L437,$J437,$I437,$M437,$O437,$N437,$P437,$Q437-$C$3,$R437,5)*$H437)/100)</f>
        <v>-1909.4773558555057</v>
      </c>
      <c r="AI437" s="456">
        <f>(((_xll.xSPRDOPT($L437,$J437,$I437,$M437,$O437,$N437,$P437,$Q437-$C$3,$R437,4)*$H437)/10000)/100)-AB437</f>
        <v>3.3179826773934162E-2</v>
      </c>
      <c r="AJ437" s="456"/>
      <c r="AK437" s="456"/>
      <c r="AL437" s="456"/>
      <c r="AM437" s="472"/>
      <c r="CC437" s="141">
        <f t="shared" si="494"/>
        <v>36861</v>
      </c>
      <c r="CD437" s="234">
        <f>_xll.xSPRDOPT((VLOOKUP(G437,NGPrices,2,FALSE)+HLOOKUP(D437,Prices,VLOOKUP(G437,move_down,2,FALSE),FALSE)),VLOOKUP(G437,NGPrices,2,FALSE),I437,VLOOKUP(G437,NGPREVPRICES,4,FALSE),HLOOKUP(D437,PREVVOLS,VLOOKUP(G437,MOVE_DOWN2,2,FALSE),FALSE),VLOOKUP(G437,NGPREVPRICES,3,FALSE),HLOOKUP(D437,Correllate,VLOOKUP(G437,CorMove,2,FALSE),FALSE),Q437-$CD$3,R437,$CD$5)*H437-CJ437</f>
        <v>0</v>
      </c>
      <c r="CE437" s="234">
        <f>_xll.xSPRDOPT((VLOOKUP(G437,NGPREVPRICES,2,FALSE)+HLOOKUP(D437,PREVCURVES,VLOOKUP(G437,MOVE_DOWN2,2,FALSE),FALSE)),VLOOKUP(G437,NGPREVPRICES,2,FALSE),CK437,VLOOKUP(G437,NGPrices,4,FALSE),HLOOKUP(D437,PREVVOLS,VLOOKUP(G437,MOVE_DOWN2,2,FALSE),FALSE),VLOOKUP(G437,NGPREVPRICES,3,FALSE),HLOOKUP(D437,Correllate,VLOOKUP(G437,CorMove,2,FALSE),FALSE),Q437-$CD$3,R437,$CJ$5)*H437-CJ437</f>
        <v>0</v>
      </c>
      <c r="CF437" s="10">
        <f t="shared" si="495"/>
        <v>1.7014108121366007</v>
      </c>
      <c r="CG437" s="234">
        <f>_xll.xSPRDOPT((VLOOKUP(G437,NGPREVPRICES,2,FALSE)+HLOOKUP(D437,PREVCURVES,VLOOKUP(G437,MOVE_DOWN2,2,FALSE),FALSE)),VLOOKUP(G437,NGPREVPRICES,2,FALSE),CK437,VLOOKUP(G437,NGPREVPRICES,4,FALSE),HLOOKUP(D437,VOLS,VLOOKUP(G437,move_down,2,FALSE),FALSE),VLOOKUP(G437,NGPrices,3,FALSE),HLOOKUP(D437,Correllate,VLOOKUP(G437,CorMove,2,FALSE),FALSE),Q437-$CD$3,R437,$CJ$5)*H437-CJ437</f>
        <v>0</v>
      </c>
      <c r="CH437" s="234">
        <f>_xll.xSPRDOPT((VLOOKUP(G437,NGPREVPRICES,2,FALSE)+HLOOKUP(D437,PREVCURVES,VLOOKUP(G437,MOVE_DOWN2,2,FALSE),FALSE)),VLOOKUP(G437,NGPREVPRICES,2,FALSE),CK437,VLOOKUP(G437,NGPREVPRICES,4,FALSE),HLOOKUP(D437,PREVVOLS,VLOOKUP(G437,MOVE_DOWN2,2,FALSE),FALSE),VLOOKUP(G437,NGPREVPRICES,3,FALSE),HLOOKUP(D437,Correllate,VLOOKUP(G437,CorMove,2,FALSE),FALSE),Q437-$C$3,R437,$CJ$5)*H437-CJ437</f>
        <v>126.21214157064969</v>
      </c>
      <c r="CI437" s="234">
        <f t="shared" si="496"/>
        <v>127.91355238278629</v>
      </c>
      <c r="CJ437" s="234">
        <f>_xll.xSPRDOPT((VLOOKUP(G437,NGPREVPRICES,2,FALSE)+HLOOKUP(D437,PREVCURVES,VLOOKUP(G437,MOVE_DOWN2,2,FALSE),FALSE)),VLOOKUP(G437,NGPREVPRICES,2,FALSE),CK437,VLOOKUP(G437,NGPREVPRICES,4,FALSE),HLOOKUP(D437,PREVVOLS,VLOOKUP(G437,MOVE_DOWN2,2,FALSE),FALSE),VLOOKUP(G437,NGPREVPRICES,3,FALSE),HLOOKUP(D437,Correllate,VLOOKUP(G437,CorMove,2,FALSE),FALSE),Q437-$CD$3,R437,$CJ$5)*H437</f>
        <v>-9082.0410223918298</v>
      </c>
      <c r="CK437" s="235">
        <f t="shared" si="497"/>
        <v>0.35</v>
      </c>
      <c r="CM437" t="str">
        <f t="shared" si="498"/>
        <v>36861Curve Shift/Gamma</v>
      </c>
      <c r="CN437" t="str">
        <f t="shared" si="499"/>
        <v>36861Rho</v>
      </c>
      <c r="CO437" t="str">
        <f t="shared" si="500"/>
        <v>36861Drift</v>
      </c>
      <c r="CP437" t="str">
        <f t="shared" si="501"/>
        <v>36861Vega</v>
      </c>
      <c r="CQ437" t="str">
        <f t="shared" si="502"/>
        <v>36861Theta</v>
      </c>
    </row>
    <row r="438" spans="1:95" x14ac:dyDescent="0.25">
      <c r="A438" s="140" t="s">
        <v>324</v>
      </c>
      <c r="B438" t="s">
        <v>250</v>
      </c>
      <c r="C438" t="s">
        <v>488</v>
      </c>
      <c r="D438" t="s">
        <v>487</v>
      </c>
      <c r="E438" t="s">
        <v>20</v>
      </c>
      <c r="F438" t="s">
        <v>21</v>
      </c>
      <c r="G438" s="5">
        <v>36831</v>
      </c>
      <c r="H438" s="130">
        <v>-500000</v>
      </c>
      <c r="I438">
        <v>0.35</v>
      </c>
      <c r="J438" s="53">
        <f t="shared" si="464"/>
        <v>4.7359999999999998</v>
      </c>
      <c r="K438" s="7">
        <f t="shared" si="465"/>
        <v>0.17</v>
      </c>
      <c r="L438" s="53">
        <f t="shared" si="466"/>
        <v>4.9059999999999997</v>
      </c>
      <c r="M438" s="157">
        <f t="shared" ref="M438:M445" si="503">VLOOKUP(G438,NGPrices,4,FALSE)</f>
        <v>6.810675983792E-2</v>
      </c>
      <c r="N438" s="4">
        <f t="shared" ref="N438:N445" si="504">VLOOKUP(G438,NGPrices,3,FALSE)</f>
        <v>0.59499999999999997</v>
      </c>
      <c r="O438" s="4">
        <f t="shared" ref="O438:O445" si="505">HLOOKUP(D438,VOLS,VLOOKUP(G438,move_down,2,FALSE),FALSE)</f>
        <v>0.59499999999999997</v>
      </c>
      <c r="P438" s="9">
        <f t="shared" ref="P438:P445" si="506">HLOOKUP(D438,Correllate,VLOOKUP(G438,CorMove,2,FALSE),FALSE)</f>
        <v>0.995</v>
      </c>
      <c r="Q438" s="5">
        <f t="shared" si="458"/>
        <v>36829</v>
      </c>
      <c r="R438" s="4">
        <f t="shared" ref="R438:R445" si="507">IF(F438="P",0,1)</f>
        <v>1</v>
      </c>
      <c r="S438" s="158">
        <f>_xll.xSPRDOPT($L438,$J438,$I438,$M438,$O438,$N438,$P438,$Q438-$C$3,$R438,0)</f>
        <v>6.8981469870572432E-3</v>
      </c>
      <c r="T438" s="159">
        <f>_xll.xSPRDOPT($L438,$J438,$I438,$M438,$O438,$N438,$P438,$Q438-$C$3,$R438,1)*H438</f>
        <v>-53492.288446081919</v>
      </c>
      <c r="U438" s="160">
        <f t="shared" ref="U438:U445" si="508">S438*H438</f>
        <v>-3449.0734935286214</v>
      </c>
      <c r="V438" s="159">
        <f>_xll.xSPRDOPT($L438,$J438,$I438,$M438,$O438,$N438,$P438,$Q438-$C$3,$R438,2)*H438</f>
        <v>51594.835859441759</v>
      </c>
      <c r="W438" s="159">
        <f t="shared" ref="W438:W445" si="509">+V438+T438</f>
        <v>-1897.45258664016</v>
      </c>
      <c r="X438" s="51" t="str">
        <f t="shared" si="484"/>
        <v>36831MICH_CG-GD</v>
      </c>
      <c r="Y438" s="418">
        <f t="shared" si="485"/>
        <v>-50</v>
      </c>
      <c r="Z438" s="456">
        <f t="shared" si="486"/>
        <v>0.10698457689216384</v>
      </c>
      <c r="AA438" s="456">
        <f>_xll.xSPRDOPT($L438,$J438,$I438,$M438,$O438,$N438,$P438,$Q438-$C$3,$R438,3)</f>
        <v>1.3431791567146172</v>
      </c>
      <c r="AB438" s="456">
        <f>((_xll.xSPRDOPT($L438+AB$5,$J438,$I438,$M438,$O438,$N438,$P438,$Q438-$C$3,$R438,3)*$H438)/10000)/100</f>
        <v>-0.67158957835730859</v>
      </c>
      <c r="AC438" s="456">
        <f>((_xll.xSPRDOPT($L438+$AB$5,$J438,$I438,$M438,$O438,$N438,$P438,$Q438-$C$3,$R438,7)*$H438)/100)</f>
        <v>9141.0665077836693</v>
      </c>
      <c r="AD438" s="456">
        <f>(_xll.xSPRDOPT($L438+$AB$5,$J438,$I438,$M438,$O438,$N438,$P438,$Q438-$C$3,$R438,9)/365)*$H438</f>
        <v>101.37734954568634</v>
      </c>
      <c r="AE438">
        <f t="shared" si="462"/>
        <v>0</v>
      </c>
      <c r="AF438" s="456">
        <f t="shared" si="463"/>
        <v>-212.46950816490676</v>
      </c>
      <c r="AG438" s="456">
        <f>((_xll.xSPRDOPT($L438,$J438,$I438,$M438,$O438,$N438,$P438,$Q438-$C$3,$R438,6)*$H438)/100)</f>
        <v>827.11949227595551</v>
      </c>
      <c r="AH438" s="456">
        <f>((_xll.xSPRDOPT($L438,$J438,$I438,$M438,$O438,$N438,$P438,$Q438-$C$3,$R438,5)*$H438)/100)</f>
        <v>-1039.5890004408623</v>
      </c>
      <c r="AI438" s="456">
        <f>(((_xll.xSPRDOPT($L438,$J438,$I438,$M438,$O438,$N438,$P438,$Q438-$C$3,$R438,4)*$H438)/10000)/100)-AB438</f>
        <v>3.3322279010880806E-2</v>
      </c>
      <c r="AJ438" s="456"/>
      <c r="AK438" s="456"/>
      <c r="AL438" s="456"/>
      <c r="AM438" s="472"/>
      <c r="CC438" s="141">
        <f t="shared" si="494"/>
        <v>36831</v>
      </c>
      <c r="CD438" s="234">
        <f>_xll.xSPRDOPT((VLOOKUP(G438,NGPrices,2,FALSE)+HLOOKUP(D438,Prices,VLOOKUP(G438,move_down,2,FALSE),FALSE)),VLOOKUP(G438,NGPrices,2,FALSE),I438,VLOOKUP(G438,NGPREVPRICES,4,FALSE),HLOOKUP(D438,PREVVOLS,VLOOKUP(G438,MOVE_DOWN2,2,FALSE),FALSE),VLOOKUP(G438,NGPREVPRICES,3,FALSE),HLOOKUP(D438,Correllate,VLOOKUP(G438,CorMove,2,FALSE),FALSE),Q438-$CD$3,R438,$CD$5)*H438-CJ438</f>
        <v>0</v>
      </c>
      <c r="CE438" s="234">
        <f>_xll.xSPRDOPT((VLOOKUP(G438,NGPREVPRICES,2,FALSE)+HLOOKUP(D438,PREVCURVES,VLOOKUP(G438,MOVE_DOWN2,2,FALSE),FALSE)),VLOOKUP(G438,NGPREVPRICES,2,FALSE),CK438,VLOOKUP(G438,NGPrices,4,FALSE),HLOOKUP(D438,PREVVOLS,VLOOKUP(G438,MOVE_DOWN2,2,FALSE),FALSE),VLOOKUP(G438,NGPREVPRICES,3,FALSE),HLOOKUP(D438,Correllate,VLOOKUP(G438,CorMove,2,FALSE),FALSE),Q438-$CD$3,R438,$CJ$5)*H438-CJ438</f>
        <v>0</v>
      </c>
      <c r="CF438" s="10">
        <f t="shared" si="495"/>
        <v>0.65938597579315683</v>
      </c>
      <c r="CG438" s="234">
        <f>_xll.xSPRDOPT((VLOOKUP(G438,NGPREVPRICES,2,FALSE)+HLOOKUP(D438,PREVCURVES,VLOOKUP(G438,MOVE_DOWN2,2,FALSE),FALSE)),VLOOKUP(G438,NGPREVPRICES,2,FALSE),CK438,VLOOKUP(G438,NGPREVPRICES,4,FALSE),HLOOKUP(D438,VOLS,VLOOKUP(G438,move_down,2,FALSE),FALSE),VLOOKUP(G438,NGPrices,3,FALSE),HLOOKUP(D438,Correllate,VLOOKUP(G438,CorMove,2,FALSE),FALSE),Q438-$CD$3,R438,$CJ$5)*H438-CJ438</f>
        <v>0</v>
      </c>
      <c r="CH438" s="234">
        <f>_xll.xSPRDOPT((VLOOKUP(G438,NGPREVPRICES,2,FALSE)+HLOOKUP(D438,PREVCURVES,VLOOKUP(G438,MOVE_DOWN2,2,FALSE),FALSE)),VLOOKUP(G438,NGPREVPRICES,2,FALSE),CK438,VLOOKUP(G438,NGPREVPRICES,4,FALSE),HLOOKUP(D438,PREVVOLS,VLOOKUP(G438,MOVE_DOWN2,2,FALSE),FALSE),VLOOKUP(G438,NGPREVPRICES,3,FALSE),HLOOKUP(D438,Correllate,VLOOKUP(G438,CorMove,2,FALSE),FALSE),Q438-$C$3,R438,$CJ$5)*H438-CJ438</f>
        <v>101.53597096970634</v>
      </c>
      <c r="CI438" s="234">
        <f t="shared" si="496"/>
        <v>102.1953569454995</v>
      </c>
      <c r="CJ438" s="234">
        <f>_xll.xSPRDOPT((VLOOKUP(G438,NGPREVPRICES,2,FALSE)+HLOOKUP(D438,PREVCURVES,VLOOKUP(G438,MOVE_DOWN2,2,FALSE),FALSE)),VLOOKUP(G438,NGPREVPRICES,2,FALSE),CK438,VLOOKUP(G438,NGPREVPRICES,4,FALSE),HLOOKUP(D438,PREVVOLS,VLOOKUP(G438,MOVE_DOWN2,2,FALSE),FALSE),VLOOKUP(G438,NGPREVPRICES,3,FALSE),HLOOKUP(D438,Correllate,VLOOKUP(G438,CorMove,2,FALSE),FALSE),Q438-$CD$3,R438,$CJ$5)*H438</f>
        <v>-3550.6094644983277</v>
      </c>
      <c r="CK438" s="235">
        <f t="shared" si="497"/>
        <v>0.35</v>
      </c>
      <c r="CM438" t="str">
        <f t="shared" si="498"/>
        <v>36831Curve Shift/Gamma</v>
      </c>
      <c r="CN438" t="str">
        <f t="shared" si="499"/>
        <v>36831Rho</v>
      </c>
      <c r="CO438" t="str">
        <f t="shared" si="500"/>
        <v>36831Drift</v>
      </c>
      <c r="CP438" t="str">
        <f t="shared" si="501"/>
        <v>36831Vega</v>
      </c>
      <c r="CQ438" t="str">
        <f t="shared" si="502"/>
        <v>36831Theta</v>
      </c>
    </row>
    <row r="439" spans="1:95" x14ac:dyDescent="0.25">
      <c r="A439" s="140" t="s">
        <v>268</v>
      </c>
      <c r="B439" t="s">
        <v>250</v>
      </c>
      <c r="C439" t="s">
        <v>489</v>
      </c>
      <c r="D439" s="4" t="s">
        <v>9</v>
      </c>
      <c r="E439" t="s">
        <v>20</v>
      </c>
      <c r="F439" t="s">
        <v>1</v>
      </c>
      <c r="G439" s="5">
        <v>36951</v>
      </c>
      <c r="H439" s="130">
        <v>-310000</v>
      </c>
      <c r="I439">
        <v>-0.4</v>
      </c>
      <c r="J439" s="53">
        <f t="shared" si="464"/>
        <v>4.2130000000000001</v>
      </c>
      <c r="K439" s="7">
        <f t="shared" si="465"/>
        <v>-0.39750000000000002</v>
      </c>
      <c r="L439" s="53">
        <f t="shared" si="466"/>
        <v>3.8155000000000001</v>
      </c>
      <c r="M439" s="157">
        <f t="shared" si="503"/>
        <v>6.8879814952706994E-2</v>
      </c>
      <c r="N439" s="4">
        <f t="shared" si="504"/>
        <v>0.53249999999999997</v>
      </c>
      <c r="O439" s="4">
        <f t="shared" si="505"/>
        <v>0.51100000000000001</v>
      </c>
      <c r="P439" s="9">
        <f t="shared" si="506"/>
        <v>0.93</v>
      </c>
      <c r="Q439" s="5">
        <f t="shared" si="458"/>
        <v>36949</v>
      </c>
      <c r="R439" s="4">
        <f t="shared" si="507"/>
        <v>0</v>
      </c>
      <c r="S439" s="158">
        <f>_xll.xSPRDOPT($L439,$J439,$I439,$M439,$O439,$N439,$P439,$Q439-$C$3,$R439,0)</f>
        <v>0.22648392432861555</v>
      </c>
      <c r="T439" s="159">
        <f>_xll.xSPRDOPT($L439,$J439,$I439,$M439,$O439,$N439,$P439,$Q439-$C$3,$R439,1)*H439</f>
        <v>141746.68600742079</v>
      </c>
      <c r="U439" s="160">
        <f t="shared" si="508"/>
        <v>-70210.01654187082</v>
      </c>
      <c r="V439" s="159">
        <f>_xll.xSPRDOPT($L439,$J439,$I439,$M439,$O439,$N439,$P439,$Q439-$C$3,$R439,2)*H439</f>
        <v>-157791.51720951509</v>
      </c>
      <c r="W439" s="159">
        <f t="shared" si="509"/>
        <v>-16044.831202094298</v>
      </c>
      <c r="X439" s="51" t="str">
        <f t="shared" si="484"/>
        <v>36951IF-NWPL_ROCKY_M</v>
      </c>
      <c r="Y439" s="418">
        <f t="shared" si="485"/>
        <v>-31</v>
      </c>
      <c r="Z439" s="456">
        <f t="shared" si="486"/>
        <v>-0.45724737421748646</v>
      </c>
      <c r="AA439" s="456">
        <f>_xll.xSPRDOPT($L439,$J439,$I439,$M439,$O439,$N439,$P439,$Q439-$C$3,$R439,3)</f>
        <v>0.65237104406047619</v>
      </c>
      <c r="AB439" s="456">
        <f>((_xll.xSPRDOPT($L439+AB$5,$J439,$I439,$M439,$O439,$N439,$P439,$Q439-$C$3,$R439,3)*$H439)/10000)/100</f>
        <v>-0.20223502365874763</v>
      </c>
      <c r="AC439" s="456">
        <f>((_xll.xSPRDOPT($L439+$AB$5,$J439,$I439,$M439,$O439,$N439,$P439,$Q439-$C$3,$R439,7)*$H439)/100)</f>
        <v>4400.8356523840275</v>
      </c>
      <c r="AD439" s="456">
        <f>(_xll.xSPRDOPT($L439+$AB$5,$J439,$I439,$M439,$O439,$N439,$P439,$Q439-$C$3,$R439,9)/365)*$H439</f>
        <v>181.00904183481802</v>
      </c>
      <c r="AE439">
        <f t="shared" si="462"/>
        <v>0</v>
      </c>
      <c r="AF439" s="456">
        <f t="shared" si="463"/>
        <v>-1326.9802002746205</v>
      </c>
      <c r="AG439" s="456">
        <f>((_xll.xSPRDOPT($L439,$J439,$I439,$M439,$O439,$N439,$P439,$Q439-$C$3,$R439,6)*$H439)/100)</f>
        <v>-1819.0401435858721</v>
      </c>
      <c r="AH439" s="456">
        <f>((_xll.xSPRDOPT($L439,$J439,$I439,$M439,$O439,$N439,$P439,$Q439-$C$3,$R439,5)*$H439)/100)</f>
        <v>512.76305247209689</v>
      </c>
      <c r="AI439" s="456">
        <f>(((_xll.xSPRDOPT($L439,$J439,$I439,$M439,$O439,$N439,$P439,$Q439-$C$3,$R439,4)*$H439)/10000)/100)-AB439</f>
        <v>4.130846267330901E-4</v>
      </c>
      <c r="AJ439" s="456"/>
      <c r="AK439" s="456"/>
      <c r="AL439" s="456"/>
      <c r="AM439" s="472"/>
      <c r="CC439" s="141">
        <f t="shared" si="494"/>
        <v>36951</v>
      </c>
      <c r="CD439" s="234">
        <f>_xll.xSPRDOPT((VLOOKUP(G439,NGPrices,2,FALSE)+HLOOKUP(D439,Prices,VLOOKUP(G439,move_down,2,FALSE),FALSE)),VLOOKUP(G439,NGPrices,2,FALSE),I439,VLOOKUP(G439,NGPREVPRICES,4,FALSE),HLOOKUP(D439,PREVVOLS,VLOOKUP(G439,MOVE_DOWN2,2,FALSE),FALSE),VLOOKUP(G439,NGPREVPRICES,3,FALSE),HLOOKUP(D439,Correllate,VLOOKUP(G439,CorMove,2,FALSE),FALSE),Q439-$CD$3,R439,$CD$5)*H439-CJ439</f>
        <v>0</v>
      </c>
      <c r="CE439" s="234">
        <f>_xll.xSPRDOPT((VLOOKUP(G439,NGPREVPRICES,2,FALSE)+HLOOKUP(D439,PREVCURVES,VLOOKUP(G439,MOVE_DOWN2,2,FALSE),FALSE)),VLOOKUP(G439,NGPREVPRICES,2,FALSE),CK439,VLOOKUP(G439,NGPrices,4,FALSE),HLOOKUP(D439,PREVVOLS,VLOOKUP(G439,MOVE_DOWN2,2,FALSE),FALSE),VLOOKUP(G439,NGPREVPRICES,3,FALSE),HLOOKUP(D439,Correllate,VLOOKUP(G439,CorMove,2,FALSE),FALSE),Q439-$CD$3,R439,$CJ$5)*H439-CJ439</f>
        <v>0</v>
      </c>
      <c r="CF439" s="10">
        <f t="shared" si="495"/>
        <v>13.499865403122385</v>
      </c>
      <c r="CG439" s="234">
        <f>_xll.xSPRDOPT((VLOOKUP(G439,NGPREVPRICES,2,FALSE)+HLOOKUP(D439,PREVCURVES,VLOOKUP(G439,MOVE_DOWN2,2,FALSE),FALSE)),VLOOKUP(G439,NGPREVPRICES,2,FALSE),CK439,VLOOKUP(G439,NGPREVPRICES,4,FALSE),HLOOKUP(D439,VOLS,VLOOKUP(G439,move_down,2,FALSE),FALSE),VLOOKUP(G439,NGPrices,3,FALSE),HLOOKUP(D439,Correllate,VLOOKUP(G439,CorMove,2,FALSE),FALSE),Q439-$CD$3,R439,$CJ$5)*H439-CJ439</f>
        <v>0</v>
      </c>
      <c r="CH439" s="234">
        <f>_xll.xSPRDOPT((VLOOKUP(G439,NGPREVPRICES,2,FALSE)+HLOOKUP(D439,PREVCURVES,VLOOKUP(G439,MOVE_DOWN2,2,FALSE),FALSE)),VLOOKUP(G439,NGPREVPRICES,2,FALSE),CK439,VLOOKUP(G439,NGPREVPRICES,4,FALSE),HLOOKUP(D439,PREVVOLS,VLOOKUP(G439,MOVE_DOWN2,2,FALSE),FALSE),VLOOKUP(G439,NGPREVPRICES,3,FALSE),HLOOKUP(D439,Correllate,VLOOKUP(G439,CorMove,2,FALSE),FALSE),Q439-$C$3,R439,$CJ$5)*H439-CJ439</f>
        <v>180.58476022222021</v>
      </c>
      <c r="CI439" s="234">
        <f t="shared" si="496"/>
        <v>194.0846256253426</v>
      </c>
      <c r="CJ439" s="234">
        <f>_xll.xSPRDOPT((VLOOKUP(G439,NGPREVPRICES,2,FALSE)+HLOOKUP(D439,PREVCURVES,VLOOKUP(G439,MOVE_DOWN2,2,FALSE),FALSE)),VLOOKUP(G439,NGPREVPRICES,2,FALSE),CK439,VLOOKUP(G439,NGPREVPRICES,4,FALSE),HLOOKUP(D439,PREVVOLS,VLOOKUP(G439,MOVE_DOWN2,2,FALSE),FALSE),VLOOKUP(G439,NGPREVPRICES,3,FALSE),HLOOKUP(D439,Correllate,VLOOKUP(G439,CorMove,2,FALSE),FALSE),Q439-$CD$3,R439,$CJ$5)*H439</f>
        <v>-70390.60130209304</v>
      </c>
      <c r="CK439" s="235">
        <f t="shared" si="497"/>
        <v>-0.4</v>
      </c>
      <c r="CM439" t="str">
        <f t="shared" si="498"/>
        <v>36951Curve Shift/Gamma</v>
      </c>
      <c r="CN439" t="str">
        <f t="shared" si="499"/>
        <v>36951Rho</v>
      </c>
      <c r="CO439" t="str">
        <f t="shared" si="500"/>
        <v>36951Drift</v>
      </c>
      <c r="CP439" t="str">
        <f t="shared" si="501"/>
        <v>36951Vega</v>
      </c>
      <c r="CQ439" t="str">
        <f t="shared" si="502"/>
        <v>36951Theta</v>
      </c>
    </row>
    <row r="440" spans="1:95" x14ac:dyDescent="0.25">
      <c r="A440" s="140" t="s">
        <v>268</v>
      </c>
      <c r="B440" t="s">
        <v>250</v>
      </c>
      <c r="C440" t="s">
        <v>489</v>
      </c>
      <c r="D440" s="4" t="s">
        <v>9</v>
      </c>
      <c r="E440" t="s">
        <v>20</v>
      </c>
      <c r="F440" t="s">
        <v>1</v>
      </c>
      <c r="G440" s="5">
        <v>36923</v>
      </c>
      <c r="H440" s="130">
        <v>-280000</v>
      </c>
      <c r="I440">
        <v>-0.4</v>
      </c>
      <c r="J440" s="53">
        <f t="shared" si="464"/>
        <v>4.4800000000000004</v>
      </c>
      <c r="K440" s="7">
        <f t="shared" si="465"/>
        <v>-0.38750000000000001</v>
      </c>
      <c r="L440" s="53">
        <f t="shared" si="466"/>
        <v>4.0925000000000002</v>
      </c>
      <c r="M440" s="157">
        <f t="shared" si="503"/>
        <v>6.8640161611372E-2</v>
      </c>
      <c r="N440" s="4">
        <f t="shared" si="504"/>
        <v>0.59250000000000003</v>
      </c>
      <c r="O440" s="4">
        <f t="shared" si="505"/>
        <v>0.56899999999999995</v>
      </c>
      <c r="P440" s="9">
        <f t="shared" si="506"/>
        <v>0.93</v>
      </c>
      <c r="Q440" s="5">
        <f t="shared" si="458"/>
        <v>36921</v>
      </c>
      <c r="R440" s="4">
        <f t="shared" si="507"/>
        <v>0</v>
      </c>
      <c r="S440" s="158">
        <f>_xll.xSPRDOPT($L440,$J440,$I440,$M440,$O440,$N440,$P440,$Q440-$C$3,$R440,0)</f>
        <v>0.24271805539737565</v>
      </c>
      <c r="T440" s="159">
        <f>_xll.xSPRDOPT($L440,$J440,$I440,$M440,$O440,$N440,$P440,$Q440-$C$3,$R440,1)*H440</f>
        <v>126806.22098860313</v>
      </c>
      <c r="U440" s="160">
        <f t="shared" si="508"/>
        <v>-67961.055511265178</v>
      </c>
      <c r="V440" s="159">
        <f>_xll.xSPRDOPT($L440,$J440,$I440,$M440,$O440,$N440,$P440,$Q440-$C$3,$R440,2)*H440</f>
        <v>-141771.88513366054</v>
      </c>
      <c r="W440" s="159">
        <f t="shared" si="509"/>
        <v>-14965.66414505741</v>
      </c>
      <c r="X440" s="51" t="str">
        <f t="shared" si="484"/>
        <v>36923IF-NWPL_ROCKY_M</v>
      </c>
      <c r="Y440" s="418">
        <f t="shared" si="485"/>
        <v>-28</v>
      </c>
      <c r="Z440" s="456">
        <f t="shared" si="486"/>
        <v>-0.45287936067358264</v>
      </c>
      <c r="AA440" s="456">
        <f>_xll.xSPRDOPT($L440,$J440,$I440,$M440,$O440,$N440,$P440,$Q440-$C$3,$R440,3)</f>
        <v>0.60197099338615956</v>
      </c>
      <c r="AB440" s="456">
        <f>((_xll.xSPRDOPT($L440+AB$5,$J440,$I440,$M440,$O440,$N440,$P440,$Q440-$C$3,$R440,3)*$H440)/10000)/100</f>
        <v>-0.16855187814812467</v>
      </c>
      <c r="AC440" s="456">
        <f>((_xll.xSPRDOPT($L440+$AB$5,$J440,$I440,$M440,$O440,$N440,$P440,$Q440-$C$3,$R440,7)*$H440)/100)</f>
        <v>4396.0161472478221</v>
      </c>
      <c r="AD440" s="456">
        <f>(_xll.xSPRDOPT($L440+$AB$5,$J440,$I440,$M440,$O440,$N440,$P440,$Q440-$C$3,$R440,9)/365)*$H440</f>
        <v>213.67732595696646</v>
      </c>
      <c r="AE440">
        <f t="shared" si="462"/>
        <v>0</v>
      </c>
      <c r="AF440" s="456">
        <f t="shared" si="463"/>
        <v>-1176.3923790738261</v>
      </c>
      <c r="AG440" s="456">
        <f>((_xll.xSPRDOPT($L440,$J440,$I440,$M440,$O440,$N440,$P440,$Q440-$C$3,$R440,6)*$H440)/100)</f>
        <v>-1572.445721059438</v>
      </c>
      <c r="AH440" s="456">
        <f>((_xll.xSPRDOPT($L440,$J440,$I440,$M440,$O440,$N440,$P440,$Q440-$C$3,$R440,5)*$H440)/100)</f>
        <v>412.41055382508807</v>
      </c>
      <c r="AI440" s="456">
        <f>(((_xll.xSPRDOPT($L440,$J440,$I440,$M440,$O440,$N440,$P440,$Q440-$C$3,$R440,4)*$H440)/10000)/100)-AB440</f>
        <v>-4.2886690904883618E-4</v>
      </c>
      <c r="AJ440" s="456"/>
      <c r="AK440" s="456"/>
      <c r="AL440" s="456"/>
      <c r="AM440" s="472"/>
      <c r="CC440" s="141">
        <f t="shared" si="494"/>
        <v>36923</v>
      </c>
      <c r="CD440" s="234">
        <f>_xll.xSPRDOPT((VLOOKUP(G440,NGPrices,2,FALSE)+HLOOKUP(D440,Prices,VLOOKUP(G440,move_down,2,FALSE),FALSE)),VLOOKUP(G440,NGPrices,2,FALSE),I440,VLOOKUP(G440,NGPREVPRICES,4,FALSE),HLOOKUP(D440,PREVVOLS,VLOOKUP(G440,MOVE_DOWN2,2,FALSE),FALSE),VLOOKUP(G440,NGPREVPRICES,3,FALSE),HLOOKUP(D440,Correllate,VLOOKUP(G440,CorMove,2,FALSE),FALSE),Q440-$CD$3,R440,$CD$5)*H440-CJ440</f>
        <v>0</v>
      </c>
      <c r="CE440" s="234">
        <f>_xll.xSPRDOPT((VLOOKUP(G440,NGPREVPRICES,2,FALSE)+HLOOKUP(D440,PREVCURVES,VLOOKUP(G440,MOVE_DOWN2,2,FALSE),FALSE)),VLOOKUP(G440,NGPREVPRICES,2,FALSE),CK440,VLOOKUP(G440,NGPrices,4,FALSE),HLOOKUP(D440,PREVVOLS,VLOOKUP(G440,MOVE_DOWN2,2,FALSE),FALSE),VLOOKUP(G440,NGPREVPRICES,3,FALSE),HLOOKUP(D440,Correllate,VLOOKUP(G440,CorMove,2,FALSE),FALSE),Q440-$CD$3,R440,$CJ$5)*H440-CJ440</f>
        <v>0</v>
      </c>
      <c r="CF440" s="10">
        <f t="shared" si="495"/>
        <v>12.965942763446947</v>
      </c>
      <c r="CG440" s="234">
        <f>_xll.xSPRDOPT((VLOOKUP(G440,NGPREVPRICES,2,FALSE)+HLOOKUP(D440,PREVCURVES,VLOOKUP(G440,MOVE_DOWN2,2,FALSE),FALSE)),VLOOKUP(G440,NGPREVPRICES,2,FALSE),CK440,VLOOKUP(G440,NGPREVPRICES,4,FALSE),HLOOKUP(D440,VOLS,VLOOKUP(G440,move_down,2,FALSE),FALSE),VLOOKUP(G440,NGPrices,3,FALSE),HLOOKUP(D440,Correllate,VLOOKUP(G440,CorMove,2,FALSE),FALSE),Q440-$CD$3,R440,$CJ$5)*H440-CJ440</f>
        <v>0</v>
      </c>
      <c r="CH440" s="234">
        <f>_xll.xSPRDOPT((VLOOKUP(G440,NGPREVPRICES,2,FALSE)+HLOOKUP(D440,PREVCURVES,VLOOKUP(G440,MOVE_DOWN2,2,FALSE),FALSE)),VLOOKUP(G440,NGPREVPRICES,2,FALSE),CK440,VLOOKUP(G440,NGPREVPRICES,4,FALSE),HLOOKUP(D440,PREVVOLS,VLOOKUP(G440,MOVE_DOWN2,2,FALSE),FALSE),VLOOKUP(G440,NGPREVPRICES,3,FALSE),HLOOKUP(D440,Correllate,VLOOKUP(G440,CorMove,2,FALSE),FALSE),Q440-$C$3,R440,$CJ$5)*H440-CJ440</f>
        <v>213.12476770284411</v>
      </c>
      <c r="CI440" s="234">
        <f t="shared" si="496"/>
        <v>226.09071046629106</v>
      </c>
      <c r="CJ440" s="234">
        <f>_xll.xSPRDOPT((VLOOKUP(G440,NGPREVPRICES,2,FALSE)+HLOOKUP(D440,PREVCURVES,VLOOKUP(G440,MOVE_DOWN2,2,FALSE),FALSE)),VLOOKUP(G440,NGPREVPRICES,2,FALSE),CK440,VLOOKUP(G440,NGPREVPRICES,4,FALSE),HLOOKUP(D440,PREVVOLS,VLOOKUP(G440,MOVE_DOWN2,2,FALSE),FALSE),VLOOKUP(G440,NGPREVPRICES,3,FALSE),HLOOKUP(D440,Correllate,VLOOKUP(G440,CorMove,2,FALSE),FALSE),Q440-$CD$3,R440,$CJ$5)*H440</f>
        <v>-68174.180278968022</v>
      </c>
      <c r="CK440" s="235">
        <f t="shared" si="497"/>
        <v>-0.4</v>
      </c>
      <c r="CM440" t="str">
        <f t="shared" si="498"/>
        <v>36923Curve Shift/Gamma</v>
      </c>
      <c r="CN440" t="str">
        <f t="shared" si="499"/>
        <v>36923Rho</v>
      </c>
      <c r="CO440" t="str">
        <f t="shared" si="500"/>
        <v>36923Drift</v>
      </c>
      <c r="CP440" t="str">
        <f t="shared" si="501"/>
        <v>36923Vega</v>
      </c>
      <c r="CQ440" t="str">
        <f t="shared" si="502"/>
        <v>36923Theta</v>
      </c>
    </row>
    <row r="441" spans="1:95" x14ac:dyDescent="0.25">
      <c r="A441" s="140" t="s">
        <v>268</v>
      </c>
      <c r="B441" t="s">
        <v>250</v>
      </c>
      <c r="C441" t="s">
        <v>489</v>
      </c>
      <c r="D441" s="4" t="s">
        <v>9</v>
      </c>
      <c r="E441" t="s">
        <v>20</v>
      </c>
      <c r="F441" t="s">
        <v>1</v>
      </c>
      <c r="G441" s="5">
        <v>36892</v>
      </c>
      <c r="H441" s="130">
        <v>-310000</v>
      </c>
      <c r="I441">
        <v>-0.4</v>
      </c>
      <c r="J441" s="53">
        <f t="shared" si="464"/>
        <v>4.7439999999999998</v>
      </c>
      <c r="K441" s="7">
        <f t="shared" si="465"/>
        <v>-0.36749999999999999</v>
      </c>
      <c r="L441" s="53">
        <f t="shared" si="466"/>
        <v>4.3765000000000001</v>
      </c>
      <c r="M441" s="157">
        <f t="shared" si="503"/>
        <v>6.8374831148490994E-2</v>
      </c>
      <c r="N441" s="4">
        <f t="shared" si="504"/>
        <v>0.60499999999999998</v>
      </c>
      <c r="O441" s="4">
        <f t="shared" si="505"/>
        <v>0.58099999999999996</v>
      </c>
      <c r="P441" s="9">
        <f t="shared" si="506"/>
        <v>0.93</v>
      </c>
      <c r="Q441" s="5">
        <f t="shared" si="458"/>
        <v>36888</v>
      </c>
      <c r="R441" s="4">
        <f t="shared" si="507"/>
        <v>0</v>
      </c>
      <c r="S441" s="158">
        <f>_xll.xSPRDOPT($L441,$J441,$I441,$M441,$O441,$N441,$P441,$Q441-$C$3,$R441,0)</f>
        <v>0.2243315594967504</v>
      </c>
      <c r="T441" s="159">
        <f>_xll.xSPRDOPT($L441,$J441,$I441,$M441,$O441,$N441,$P441,$Q441-$C$3,$R441,1)*H441</f>
        <v>137921.64518437374</v>
      </c>
      <c r="U441" s="160">
        <f t="shared" si="508"/>
        <v>-69542.783443992623</v>
      </c>
      <c r="V441" s="159">
        <f>_xll.xSPRDOPT($L441,$J441,$I441,$M441,$O441,$N441,$P441,$Q441-$C$3,$R441,2)*H441</f>
        <v>-153046.92666509713</v>
      </c>
      <c r="W441" s="159">
        <f t="shared" si="509"/>
        <v>-15125.281480723381</v>
      </c>
      <c r="X441" s="51" t="str">
        <f t="shared" si="484"/>
        <v>36892IF-NWPL_ROCKY_M</v>
      </c>
      <c r="Y441" s="418">
        <f t="shared" si="485"/>
        <v>-31</v>
      </c>
      <c r="Z441" s="456">
        <f t="shared" si="486"/>
        <v>-0.44490853285281851</v>
      </c>
      <c r="AA441" s="456">
        <f>_xll.xSPRDOPT($L441,$J441,$I441,$M441,$O441,$N441,$P441,$Q441-$C$3,$R441,3)</f>
        <v>0.62875922902551618</v>
      </c>
      <c r="AB441" s="456">
        <f>((_xll.xSPRDOPT($L441+AB$5,$J441,$I441,$M441,$O441,$N441,$P441,$Q441-$C$3,$R441,3)*$H441)/10000)/100</f>
        <v>-0.19491536099790999</v>
      </c>
      <c r="AC441" s="456">
        <f>((_xll.xSPRDOPT($L441+$AB$5,$J441,$I441,$M441,$O441,$N441,$P441,$Q441-$C$3,$R441,7)*$H441)/100)</f>
        <v>4737.2991130903347</v>
      </c>
      <c r="AD441" s="456">
        <f>(_xll.xSPRDOPT($L441+$AB$5,$J441,$I441,$M441,$O441,$N441,$P441,$Q441-$C$3,$R441,9)/365)*$H441</f>
        <v>294.23033101024731</v>
      </c>
      <c r="AE441">
        <f t="shared" si="462"/>
        <v>0</v>
      </c>
      <c r="AF441" s="456">
        <f t="shared" si="463"/>
        <v>-1228.1894155144305</v>
      </c>
      <c r="AG441" s="456">
        <f>((_xll.xSPRDOPT($L441,$J441,$I441,$M441,$O441,$N441,$P441,$Q441-$C$3,$R441,6)*$H441)/100)</f>
        <v>-1609.5301408280932</v>
      </c>
      <c r="AH441" s="456">
        <f>((_xll.xSPRDOPT($L441,$J441,$I441,$M441,$O441,$N441,$P441,$Q441-$C$3,$R441,5)*$H441)/100)</f>
        <v>397.09318212524255</v>
      </c>
      <c r="AI441" s="456">
        <f>(((_xll.xSPRDOPT($L441,$J441,$I441,$M441,$O441,$N441,$P441,$Q441-$C$3,$R441,4)*$H441)/10000)/100)-AB441</f>
        <v>-2.2098662754748977E-3</v>
      </c>
      <c r="AJ441" s="456"/>
      <c r="AK441" s="456"/>
      <c r="AL441" s="456"/>
      <c r="AM441" s="472"/>
      <c r="CC441" s="141">
        <f t="shared" si="494"/>
        <v>36892</v>
      </c>
      <c r="CD441" s="234">
        <f>_xll.xSPRDOPT((VLOOKUP(G441,NGPrices,2,FALSE)+HLOOKUP(D441,Prices,VLOOKUP(G441,move_down,2,FALSE),FALSE)),VLOOKUP(G441,NGPrices,2,FALSE),I441,VLOOKUP(G441,NGPREVPRICES,4,FALSE),HLOOKUP(D441,PREVVOLS,VLOOKUP(G441,MOVE_DOWN2,2,FALSE),FALSE),VLOOKUP(G441,NGPREVPRICES,3,FALSE),HLOOKUP(D441,Correllate,VLOOKUP(G441,CorMove,2,FALSE),FALSE),Q441-$CD$3,R441,$CD$5)*H441-CJ441</f>
        <v>0</v>
      </c>
      <c r="CE441" s="234">
        <f>_xll.xSPRDOPT((VLOOKUP(G441,NGPREVPRICES,2,FALSE)+HLOOKUP(D441,PREVCURVES,VLOOKUP(G441,MOVE_DOWN2,2,FALSE),FALSE)),VLOOKUP(G441,NGPREVPRICES,2,FALSE),CK441,VLOOKUP(G441,NGPrices,4,FALSE),HLOOKUP(D441,PREVVOLS,VLOOKUP(G441,MOVE_DOWN2,2,FALSE),FALSE),VLOOKUP(G441,NGPREVPRICES,3,FALSE),HLOOKUP(D441,Correllate,VLOOKUP(G441,CorMove,2,FALSE),FALSE),Q441-$CD$3,R441,$CJ$5)*H441-CJ441</f>
        <v>0</v>
      </c>
      <c r="CF441" s="10">
        <f t="shared" si="495"/>
        <v>13.160001138327061</v>
      </c>
      <c r="CG441" s="234">
        <f>_xll.xSPRDOPT((VLOOKUP(G441,NGPREVPRICES,2,FALSE)+HLOOKUP(D441,PREVCURVES,VLOOKUP(G441,MOVE_DOWN2,2,FALSE),FALSE)),VLOOKUP(G441,NGPREVPRICES,2,FALSE),CK441,VLOOKUP(G441,NGPREVPRICES,4,FALSE),HLOOKUP(D441,VOLS,VLOOKUP(G441,move_down,2,FALSE),FALSE),VLOOKUP(G441,NGPrices,3,FALSE),HLOOKUP(D441,Correllate,VLOOKUP(G441,CorMove,2,FALSE),FALSE),Q441-$CD$3,R441,$CJ$5)*H441-CJ441</f>
        <v>0</v>
      </c>
      <c r="CH441" s="234">
        <f>_xll.xSPRDOPT((VLOOKUP(G441,NGPREVPRICES,2,FALSE)+HLOOKUP(D441,PREVCURVES,VLOOKUP(G441,MOVE_DOWN2,2,FALSE),FALSE)),VLOOKUP(G441,NGPREVPRICES,2,FALSE),CK441,VLOOKUP(G441,NGPREVPRICES,4,FALSE),HLOOKUP(D441,PREVVOLS,VLOOKUP(G441,MOVE_DOWN2,2,FALSE),FALSE),VLOOKUP(G441,NGPREVPRICES,3,FALSE),HLOOKUP(D441,Correllate,VLOOKUP(G441,CorMove,2,FALSE),FALSE),Q441-$C$3,R441,$CJ$5)*H441-CJ441</f>
        <v>293.34390151470143</v>
      </c>
      <c r="CI441" s="234">
        <f t="shared" si="496"/>
        <v>306.50390265302849</v>
      </c>
      <c r="CJ441" s="234">
        <f>_xll.xSPRDOPT((VLOOKUP(G441,NGPREVPRICES,2,FALSE)+HLOOKUP(D441,PREVCURVES,VLOOKUP(G441,MOVE_DOWN2,2,FALSE),FALSE)),VLOOKUP(G441,NGPREVPRICES,2,FALSE),CK441,VLOOKUP(G441,NGPREVPRICES,4,FALSE),HLOOKUP(D441,PREVVOLS,VLOOKUP(G441,MOVE_DOWN2,2,FALSE),FALSE),VLOOKUP(G441,NGPREVPRICES,3,FALSE),HLOOKUP(D441,Correllate,VLOOKUP(G441,CorMove,2,FALSE),FALSE),Q441-$CD$3,R441,$CJ$5)*H441</f>
        <v>-69836.127345507324</v>
      </c>
      <c r="CK441" s="235">
        <f t="shared" si="497"/>
        <v>-0.4</v>
      </c>
      <c r="CM441" t="str">
        <f t="shared" si="498"/>
        <v>36892Curve Shift/Gamma</v>
      </c>
      <c r="CN441" t="str">
        <f t="shared" si="499"/>
        <v>36892Rho</v>
      </c>
      <c r="CO441" t="str">
        <f t="shared" si="500"/>
        <v>36892Drift</v>
      </c>
      <c r="CP441" t="str">
        <f t="shared" si="501"/>
        <v>36892Vega</v>
      </c>
      <c r="CQ441" t="str">
        <f t="shared" si="502"/>
        <v>36892Theta</v>
      </c>
    </row>
    <row r="442" spans="1:95" x14ac:dyDescent="0.25">
      <c r="A442" s="140" t="s">
        <v>268</v>
      </c>
      <c r="B442" t="s">
        <v>250</v>
      </c>
      <c r="C442" t="s">
        <v>489</v>
      </c>
      <c r="D442" s="4" t="s">
        <v>9</v>
      </c>
      <c r="E442" t="s">
        <v>20</v>
      </c>
      <c r="F442" t="s">
        <v>1</v>
      </c>
      <c r="G442" s="5">
        <v>36861</v>
      </c>
      <c r="H442" s="130">
        <v>-310000</v>
      </c>
      <c r="I442">
        <v>-0.4</v>
      </c>
      <c r="J442" s="53">
        <f t="shared" si="464"/>
        <v>4.8</v>
      </c>
      <c r="K442" s="7">
        <f t="shared" si="465"/>
        <v>-0.35749999999999998</v>
      </c>
      <c r="L442" s="53">
        <f t="shared" si="466"/>
        <v>4.4424999999999999</v>
      </c>
      <c r="M442" s="157">
        <f t="shared" si="503"/>
        <v>6.8314027999354002E-2</v>
      </c>
      <c r="N442" s="4">
        <f t="shared" si="504"/>
        <v>0.6</v>
      </c>
      <c r="O442" s="4">
        <f t="shared" si="505"/>
        <v>0.57599999999999996</v>
      </c>
      <c r="P442" s="9">
        <f t="shared" si="506"/>
        <v>0.93</v>
      </c>
      <c r="Q442" s="5">
        <f t="shared" si="458"/>
        <v>36859</v>
      </c>
      <c r="R442" s="4">
        <f t="shared" si="507"/>
        <v>0</v>
      </c>
      <c r="S442" s="158">
        <f>_xll.xSPRDOPT($L442,$J442,$I442,$M442,$O442,$N442,$P442,$Q442-$C$3,$R442,0)</f>
        <v>0.19093396805932569</v>
      </c>
      <c r="T442" s="159">
        <f>_xll.xSPRDOPT($L442,$J442,$I442,$M442,$O442,$N442,$P442,$Q442-$C$3,$R442,1)*H442</f>
        <v>136486.97255920479</v>
      </c>
      <c r="U442" s="160">
        <f t="shared" si="508"/>
        <v>-59189.530098390962</v>
      </c>
      <c r="V442" s="159">
        <f>_xll.xSPRDOPT($L442,$J442,$I442,$M442,$O442,$N442,$P442,$Q442-$C$3,$R442,2)*H442</f>
        <v>-149627.86394366337</v>
      </c>
      <c r="W442" s="159">
        <f t="shared" si="509"/>
        <v>-13140.891384458577</v>
      </c>
      <c r="X442" s="51" t="str">
        <f t="shared" si="484"/>
        <v>36861IF-NWPL_ROCKY_M</v>
      </c>
      <c r="Y442" s="418">
        <f t="shared" si="485"/>
        <v>-31</v>
      </c>
      <c r="Z442" s="456">
        <f t="shared" si="486"/>
        <v>-0.44028055664259608</v>
      </c>
      <c r="AA442" s="456">
        <f>_xll.xSPRDOPT($L442,$J442,$I442,$M442,$O442,$N442,$P442,$Q442-$C$3,$R442,3)</f>
        <v>0.71957998916916899</v>
      </c>
      <c r="AB442" s="456">
        <f>((_xll.xSPRDOPT($L442+AB$5,$J442,$I442,$M442,$O442,$N442,$P442,$Q442-$C$3,$R442,3)*$H442)/10000)/100</f>
        <v>-0.22306979664244239</v>
      </c>
      <c r="AC442" s="456">
        <f>((_xll.xSPRDOPT($L442+$AB$5,$J442,$I442,$M442,$O442,$N442,$P442,$Q442-$C$3,$R442,7)*$H442)/100)</f>
        <v>4172.2947928346666</v>
      </c>
      <c r="AD442" s="456">
        <f>(_xll.xSPRDOPT($L442+$AB$5,$J442,$I442,$M442,$O442,$N442,$P442,$Q442-$C$3,$R442,9)/365)*$H442</f>
        <v>343.9761902472863</v>
      </c>
      <c r="AE442">
        <f t="shared" si="462"/>
        <v>0</v>
      </c>
      <c r="AF442" s="456">
        <f t="shared" si="463"/>
        <v>-1088.0876188137706</v>
      </c>
      <c r="AG442" s="456">
        <f>((_xll.xSPRDOPT($L442,$J442,$I442,$M442,$O442,$N442,$P442,$Q442-$C$3,$R442,6)*$H442)/100)</f>
        <v>-1423.2769035115268</v>
      </c>
      <c r="AH442" s="456">
        <f>((_xll.xSPRDOPT($L442,$J442,$I442,$M442,$O442,$N442,$P442,$Q442-$C$3,$R442,5)*$H442)/100)</f>
        <v>349.15550489349596</v>
      </c>
      <c r="AI442" s="456">
        <f>(((_xll.xSPRDOPT($L442,$J442,$I442,$M442,$O442,$N442,$P442,$Q442-$C$3,$R442,4)*$H442)/10000)/100)-AB442</f>
        <v>-3.5320451645385331E-3</v>
      </c>
      <c r="AJ442" s="456"/>
      <c r="AK442" s="456"/>
      <c r="AL442" s="456"/>
      <c r="AM442" s="472"/>
      <c r="CC442" s="141">
        <f t="shared" si="494"/>
        <v>36861</v>
      </c>
      <c r="CD442" s="234">
        <f>_xll.xSPRDOPT((VLOOKUP(G442,NGPrices,2,FALSE)+HLOOKUP(D442,Prices,VLOOKUP(G442,move_down,2,FALSE),FALSE)),VLOOKUP(G442,NGPrices,2,FALSE),I442,VLOOKUP(G442,NGPREVPRICES,4,FALSE),HLOOKUP(D442,PREVVOLS,VLOOKUP(G442,MOVE_DOWN2,2,FALSE),FALSE),VLOOKUP(G442,NGPREVPRICES,3,FALSE),HLOOKUP(D442,Correllate,VLOOKUP(G442,CorMove,2,FALSE),FALSE),Q442-$CD$3,R442,$CD$5)*H442-CJ442</f>
        <v>0</v>
      </c>
      <c r="CE442" s="234">
        <f>_xll.xSPRDOPT((VLOOKUP(G442,NGPREVPRICES,2,FALSE)+HLOOKUP(D442,PREVCURVES,VLOOKUP(G442,MOVE_DOWN2,2,FALSE),FALSE)),VLOOKUP(G442,NGPREVPRICES,2,FALSE),CK442,VLOOKUP(G442,NGPrices,4,FALSE),HLOOKUP(D442,PREVVOLS,VLOOKUP(G442,MOVE_DOWN2,2,FALSE),FALSE),VLOOKUP(G442,NGPREVPRICES,3,FALSE),HLOOKUP(D442,Correllate,VLOOKUP(G442,CorMove,2,FALSE),FALSE),Q442-$CD$3,R442,$CJ$5)*H442-CJ442</f>
        <v>0</v>
      </c>
      <c r="CF442" s="10">
        <f t="shared" si="495"/>
        <v>11.152649521864078</v>
      </c>
      <c r="CG442" s="234">
        <f>_xll.xSPRDOPT((VLOOKUP(G442,NGPREVPRICES,2,FALSE)+HLOOKUP(D442,PREVCURVES,VLOOKUP(G442,MOVE_DOWN2,2,FALSE),FALSE)),VLOOKUP(G442,NGPREVPRICES,2,FALSE),CK442,VLOOKUP(G442,NGPREVPRICES,4,FALSE),HLOOKUP(D442,VOLS,VLOOKUP(G442,move_down,2,FALSE),FALSE),VLOOKUP(G442,NGPrices,3,FALSE),HLOOKUP(D442,Correllate,VLOOKUP(G442,CorMove,2,FALSE),FALSE),Q442-$CD$3,R442,$CJ$5)*H442-CJ442</f>
        <v>0</v>
      </c>
      <c r="CH442" s="234">
        <f>_xll.xSPRDOPT((VLOOKUP(G442,NGPREVPRICES,2,FALSE)+HLOOKUP(D442,PREVCURVES,VLOOKUP(G442,MOVE_DOWN2,2,FALSE),FALSE)),VLOOKUP(G442,NGPREVPRICES,2,FALSE),CK442,VLOOKUP(G442,NGPREVPRICES,4,FALSE),HLOOKUP(D442,PREVVOLS,VLOOKUP(G442,MOVE_DOWN2,2,FALSE),FALSE),VLOOKUP(G442,NGPREVPRICES,3,FALSE),HLOOKUP(D442,Correllate,VLOOKUP(G442,CorMove,2,FALSE),FALSE),Q442-$C$3,R442,$CJ$5)*H442-CJ442</f>
        <v>342.72380726173287</v>
      </c>
      <c r="CI442" s="234">
        <f t="shared" si="496"/>
        <v>353.87645678359695</v>
      </c>
      <c r="CJ442" s="234">
        <f>_xll.xSPRDOPT((VLOOKUP(G442,NGPREVPRICES,2,FALSE)+HLOOKUP(D442,PREVCURVES,VLOOKUP(G442,MOVE_DOWN2,2,FALSE),FALSE)),VLOOKUP(G442,NGPREVPRICES,2,FALSE),CK442,VLOOKUP(G442,NGPREVPRICES,4,FALSE),HLOOKUP(D442,PREVVOLS,VLOOKUP(G442,MOVE_DOWN2,2,FALSE),FALSE),VLOOKUP(G442,NGPREVPRICES,3,FALSE),HLOOKUP(D442,Correllate,VLOOKUP(G442,CorMove,2,FALSE),FALSE),Q442-$CD$3,R442,$CJ$5)*H442</f>
        <v>-59532.253905652695</v>
      </c>
      <c r="CK442" s="235">
        <f t="shared" si="497"/>
        <v>-0.4</v>
      </c>
      <c r="CM442" t="str">
        <f t="shared" si="498"/>
        <v>36861Curve Shift/Gamma</v>
      </c>
      <c r="CN442" t="str">
        <f t="shared" si="499"/>
        <v>36861Rho</v>
      </c>
      <c r="CO442" t="str">
        <f t="shared" si="500"/>
        <v>36861Drift</v>
      </c>
      <c r="CP442" t="str">
        <f t="shared" si="501"/>
        <v>36861Vega</v>
      </c>
      <c r="CQ442" t="str">
        <f t="shared" si="502"/>
        <v>36861Theta</v>
      </c>
    </row>
    <row r="443" spans="1:95" x14ac:dyDescent="0.25">
      <c r="A443" s="140" t="s">
        <v>268</v>
      </c>
      <c r="B443" t="s">
        <v>250</v>
      </c>
      <c r="C443" t="s">
        <v>489</v>
      </c>
      <c r="D443" s="4" t="s">
        <v>9</v>
      </c>
      <c r="E443" t="s">
        <v>20</v>
      </c>
      <c r="F443" t="s">
        <v>1</v>
      </c>
      <c r="G443" s="5">
        <v>36831</v>
      </c>
      <c r="H443" s="130">
        <v>-300000</v>
      </c>
      <c r="I443">
        <v>-0.4</v>
      </c>
      <c r="J443" s="53">
        <f t="shared" si="464"/>
        <v>4.7359999999999998</v>
      </c>
      <c r="K443" s="7">
        <f t="shared" si="465"/>
        <v>-0.46750000000000003</v>
      </c>
      <c r="L443" s="53">
        <f t="shared" si="466"/>
        <v>4.2684999999999995</v>
      </c>
      <c r="M443" s="157">
        <f t="shared" si="503"/>
        <v>6.810675983792E-2</v>
      </c>
      <c r="N443" s="4">
        <f t="shared" si="504"/>
        <v>0.59499999999999997</v>
      </c>
      <c r="O443" s="4">
        <f t="shared" si="505"/>
        <v>0.57099999999999995</v>
      </c>
      <c r="P443" s="9">
        <f t="shared" si="506"/>
        <v>0.93</v>
      </c>
      <c r="Q443" s="5">
        <f t="shared" si="458"/>
        <v>36829</v>
      </c>
      <c r="R443" s="4">
        <f t="shared" si="507"/>
        <v>0</v>
      </c>
      <c r="S443" s="158">
        <f>_xll.xSPRDOPT($L443,$J443,$I443,$M443,$O443,$N443,$P443,$Q443-$C$3,$R443,0)</f>
        <v>0.20428212377576557</v>
      </c>
      <c r="T443" s="159">
        <f>_xll.xSPRDOPT($L443,$J443,$I443,$M443,$O443,$N443,$P443,$Q443-$C$3,$R443,1)*H443</f>
        <v>161917.18519884921</v>
      </c>
      <c r="U443" s="160">
        <f t="shared" si="508"/>
        <v>-61284.637132729673</v>
      </c>
      <c r="V443" s="159">
        <f>_xll.xSPRDOPT($L443,$J443,$I443,$M443,$O443,$N443,$P443,$Q443-$C$3,$R443,2)*H443</f>
        <v>-172207.40220787752</v>
      </c>
      <c r="W443" s="159">
        <f t="shared" si="509"/>
        <v>-10290.217009028303</v>
      </c>
      <c r="X443" s="51" t="str">
        <f t="shared" si="484"/>
        <v>36831IF-NWPL_ROCKY_M</v>
      </c>
      <c r="Y443" s="418">
        <f t="shared" si="485"/>
        <v>-30</v>
      </c>
      <c r="Z443" s="456">
        <f t="shared" si="486"/>
        <v>-0.53972395066283074</v>
      </c>
      <c r="AA443" s="456">
        <f>_xll.xSPRDOPT($L443,$J443,$I443,$M443,$O443,$N443,$P443,$Q443-$C$3,$R443,3)</f>
        <v>0.92168964637380391</v>
      </c>
      <c r="AB443" s="456">
        <f>((_xll.xSPRDOPT($L443+AB$5,$J443,$I443,$M443,$O443,$N443,$P443,$Q443-$C$3,$R443,3)*$H443)/10000)/100</f>
        <v>-0.27650689391214117</v>
      </c>
      <c r="AC443" s="456">
        <f>((_xll.xSPRDOPT($L443+$AB$5,$J443,$I443,$M443,$O443,$N443,$P443,$Q443-$C$3,$R443,7)*$H443)/100)</f>
        <v>3176.8681537042371</v>
      </c>
      <c r="AD443" s="456">
        <f>(_xll.xSPRDOPT($L443+$AB$5,$J443,$I443,$M443,$O443,$N443,$P443,$Q443-$C$3,$R443,9)/365)*$H443</f>
        <v>392.38809773868735</v>
      </c>
      <c r="AE443">
        <f t="shared" si="462"/>
        <v>0</v>
      </c>
      <c r="AF443" s="456">
        <f t="shared" si="463"/>
        <v>-841.00557199208538</v>
      </c>
      <c r="AG443" s="456">
        <f>((_xll.xSPRDOPT($L443,$J443,$I443,$M443,$O443,$N443,$P443,$Q443-$C$3,$R443,6)*$H443)/100)</f>
        <v>-1120.4544703047543</v>
      </c>
      <c r="AH443" s="456">
        <f>((_xll.xSPRDOPT($L443,$J443,$I443,$M443,$O443,$N443,$P443,$Q443-$C$3,$R443,5)*$H443)/100)</f>
        <v>291.19456128903335</v>
      </c>
      <c r="AI443" s="456">
        <f>(((_xll.xSPRDOPT($L443,$J443,$I443,$M443,$O443,$N443,$P443,$Q443-$C$3,$R443,4)*$H443)/10000)/100)-AB443</f>
        <v>7.8553171659148657E-3</v>
      </c>
      <c r="AJ443" s="456"/>
      <c r="AK443" s="456"/>
      <c r="AL443" s="456"/>
      <c r="AM443" s="472"/>
      <c r="CC443" s="141">
        <f t="shared" si="494"/>
        <v>36831</v>
      </c>
      <c r="CD443" s="234">
        <f>_xll.xSPRDOPT((VLOOKUP(G443,NGPrices,2,FALSE)+HLOOKUP(D443,Prices,VLOOKUP(G443,move_down,2,FALSE),FALSE)),VLOOKUP(G443,NGPrices,2,FALSE),I443,VLOOKUP(G443,NGPREVPRICES,4,FALSE),HLOOKUP(D443,PREVVOLS,VLOOKUP(G443,MOVE_DOWN2,2,FALSE),FALSE),VLOOKUP(G443,NGPREVPRICES,3,FALSE),HLOOKUP(D443,Correllate,VLOOKUP(G443,CorMove,2,FALSE),FALSE),Q443-$CD$3,R443,$CD$5)*H443-CJ443</f>
        <v>0</v>
      </c>
      <c r="CE443" s="234">
        <f>_xll.xSPRDOPT((VLOOKUP(G443,NGPREVPRICES,2,FALSE)+HLOOKUP(D443,PREVCURVES,VLOOKUP(G443,MOVE_DOWN2,2,FALSE),FALSE)),VLOOKUP(G443,NGPREVPRICES,2,FALSE),CK443,VLOOKUP(G443,NGPrices,4,FALSE),HLOOKUP(D443,PREVVOLS,VLOOKUP(G443,MOVE_DOWN2,2,FALSE),FALSE),VLOOKUP(G443,NGPREVPRICES,3,FALSE),HLOOKUP(D443,Correllate,VLOOKUP(G443,CorMove,2,FALSE),FALSE),Q443-$CD$3,R443,$CJ$5)*H443-CJ443</f>
        <v>0</v>
      </c>
      <c r="CF443" s="10">
        <f t="shared" si="495"/>
        <v>11.453724509286985</v>
      </c>
      <c r="CG443" s="234">
        <f>_xll.xSPRDOPT((VLOOKUP(G443,NGPREVPRICES,2,FALSE)+HLOOKUP(D443,PREVCURVES,VLOOKUP(G443,MOVE_DOWN2,2,FALSE),FALSE)),VLOOKUP(G443,NGPREVPRICES,2,FALSE),CK443,VLOOKUP(G443,NGPREVPRICES,4,FALSE),HLOOKUP(D443,VOLS,VLOOKUP(G443,move_down,2,FALSE),FALSE),VLOOKUP(G443,NGPrices,3,FALSE),HLOOKUP(D443,Correllate,VLOOKUP(G443,CorMove,2,FALSE),FALSE),Q443-$CD$3,R443,$CJ$5)*H443-CJ443</f>
        <v>0</v>
      </c>
      <c r="CH443" s="234">
        <f>_xll.xSPRDOPT((VLOOKUP(G443,NGPREVPRICES,2,FALSE)+HLOOKUP(D443,PREVCURVES,VLOOKUP(G443,MOVE_DOWN2,2,FALSE),FALSE)),VLOOKUP(G443,NGPREVPRICES,2,FALSE),CK443,VLOOKUP(G443,NGPREVPRICES,4,FALSE),HLOOKUP(D443,PREVVOLS,VLOOKUP(G443,MOVE_DOWN2,2,FALSE),FALSE),VLOOKUP(G443,NGPREVPRICES,3,FALSE),HLOOKUP(D443,Correllate,VLOOKUP(G443,CorMove,2,FALSE),FALSE),Q443-$C$3,R443,$CJ$5)*H443-CJ443</f>
        <v>390.47295360959106</v>
      </c>
      <c r="CI443" s="234">
        <f t="shared" si="496"/>
        <v>401.92667811887804</v>
      </c>
      <c r="CJ443" s="234">
        <f>_xll.xSPRDOPT((VLOOKUP(G443,NGPREVPRICES,2,FALSE)+HLOOKUP(D443,PREVCURVES,VLOOKUP(G443,MOVE_DOWN2,2,FALSE),FALSE)),VLOOKUP(G443,NGPREVPRICES,2,FALSE),CK443,VLOOKUP(G443,NGPREVPRICES,4,FALSE),HLOOKUP(D443,PREVVOLS,VLOOKUP(G443,MOVE_DOWN2,2,FALSE),FALSE),VLOOKUP(G443,NGPREVPRICES,3,FALSE),HLOOKUP(D443,Correllate,VLOOKUP(G443,CorMove,2,FALSE),FALSE),Q443-$CD$3,R443,$CJ$5)*H443</f>
        <v>-61675.110086339264</v>
      </c>
      <c r="CK443" s="235">
        <f t="shared" si="497"/>
        <v>-0.4</v>
      </c>
      <c r="CM443" t="str">
        <f t="shared" si="498"/>
        <v>36831Curve Shift/Gamma</v>
      </c>
      <c r="CN443" t="str">
        <f t="shared" si="499"/>
        <v>36831Rho</v>
      </c>
      <c r="CO443" t="str">
        <f t="shared" si="500"/>
        <v>36831Drift</v>
      </c>
      <c r="CP443" t="str">
        <f t="shared" si="501"/>
        <v>36831Vega</v>
      </c>
      <c r="CQ443" t="str">
        <f t="shared" si="502"/>
        <v>36831Theta</v>
      </c>
    </row>
    <row r="444" spans="1:95" x14ac:dyDescent="0.25">
      <c r="A444" s="140" t="s">
        <v>268</v>
      </c>
      <c r="B444" t="s">
        <v>250</v>
      </c>
      <c r="C444" t="s">
        <v>490</v>
      </c>
      <c r="D444" s="4" t="s">
        <v>9</v>
      </c>
      <c r="E444" t="s">
        <v>20</v>
      </c>
      <c r="F444" t="s">
        <v>21</v>
      </c>
      <c r="G444" s="5">
        <v>36951</v>
      </c>
      <c r="H444" s="130">
        <v>310000</v>
      </c>
      <c r="I444">
        <v>-0.1</v>
      </c>
      <c r="J444" s="53">
        <f t="shared" si="464"/>
        <v>4.2130000000000001</v>
      </c>
      <c r="K444" s="7">
        <f t="shared" si="465"/>
        <v>-0.39750000000000002</v>
      </c>
      <c r="L444" s="53">
        <f t="shared" si="466"/>
        <v>3.8155000000000001</v>
      </c>
      <c r="M444" s="157">
        <f t="shared" si="503"/>
        <v>6.8879814952706994E-2</v>
      </c>
      <c r="N444" s="4">
        <f t="shared" si="504"/>
        <v>0.53249999999999997</v>
      </c>
      <c r="O444" s="4">
        <f t="shared" si="505"/>
        <v>0.51100000000000001</v>
      </c>
      <c r="P444" s="9">
        <f t="shared" si="506"/>
        <v>0.93</v>
      </c>
      <c r="Q444" s="5">
        <f t="shared" si="458"/>
        <v>36949</v>
      </c>
      <c r="R444" s="4">
        <f t="shared" si="507"/>
        <v>1</v>
      </c>
      <c r="S444" s="158">
        <f>_xll.xSPRDOPT($L444,$J444,$I444,$M444,$O444,$N444,$P444,$Q444-$C$3,$R444,0)</f>
        <v>0.10222656645323804</v>
      </c>
      <c r="T444" s="159">
        <f>_xll.xSPRDOPT($L444,$J444,$I444,$M444,$O444,$N444,$P444,$Q444-$C$3,$R444,1)*H444</f>
        <v>96600.378303144404</v>
      </c>
      <c r="U444" s="160">
        <f t="shared" si="508"/>
        <v>31690.235600503791</v>
      </c>
      <c r="V444" s="159">
        <f>_xll.xSPRDOPT($L444,$J444,$I444,$M444,$O444,$N444,$P444,$Q444-$C$3,$R444,2)*H444</f>
        <v>-82247.920454278428</v>
      </c>
      <c r="W444" s="159">
        <f t="shared" si="509"/>
        <v>14352.457848865975</v>
      </c>
      <c r="X444" s="51" t="str">
        <f t="shared" si="484"/>
        <v>36951IF-NWPL_ROCKY_M</v>
      </c>
      <c r="Y444" s="418">
        <f t="shared" si="485"/>
        <v>31</v>
      </c>
      <c r="Z444" s="456">
        <f t="shared" si="486"/>
        <v>0.31161412355853035</v>
      </c>
      <c r="AA444" s="456">
        <f>_xll.xSPRDOPT($L444,$J444,$I444,$M444,$O444,$N444,$P444,$Q444-$C$3,$R444,3)</f>
        <v>0.64074497550164533</v>
      </c>
      <c r="AB444" s="456">
        <f>((_xll.xSPRDOPT($L444+AB$5,$J444,$I444,$M444,$O444,$N444,$P444,$Q444-$C$3,$R444,3)*$H444)/10000)/100</f>
        <v>0.19863094240551007</v>
      </c>
      <c r="AC444" s="456">
        <f>((_xll.xSPRDOPT($L444+$AB$5,$J444,$I444,$M444,$O444,$N444,$P444,$Q444-$C$3,$R444,7)*$H444)/100)</f>
        <v>-4023.012387226383</v>
      </c>
      <c r="AD444" s="456">
        <f>(_xll.xSPRDOPT($L444+$AB$5,$J444,$I444,$M444,$O444,$N444,$P444,$Q444-$C$3,$R444,9)/365)*$H444</f>
        <v>-153.92365867853155</v>
      </c>
      <c r="AE444">
        <f t="shared" si="462"/>
        <v>0</v>
      </c>
      <c r="AF444" s="456">
        <f t="shared" si="463"/>
        <v>1092.3044005454919</v>
      </c>
      <c r="AG444" s="456">
        <f>((_xll.xSPRDOPT($L444,$J444,$I444,$M444,$O444,$N444,$P444,$Q444-$C$3,$R444,6)*$H444)/100)</f>
        <v>1052.7292262781523</v>
      </c>
      <c r="AH444" s="456">
        <f>((_xll.xSPRDOPT($L444,$J444,$I444,$M444,$O444,$N444,$P444,$Q444-$C$3,$R444,5)*$H444)/100)</f>
        <v>41.240274554517462</v>
      </c>
      <c r="AI444" s="456">
        <f>(((_xll.xSPRDOPT($L444,$J444,$I444,$M444,$O444,$N444,$P444,$Q444-$C$3,$R444,4)*$H444)/10000)/100)-AB444</f>
        <v>-2.7091567664905725E-2</v>
      </c>
      <c r="AJ444" s="456"/>
      <c r="AK444" s="456"/>
      <c r="AL444" s="456"/>
      <c r="AM444" s="472"/>
      <c r="CC444" s="141">
        <f t="shared" si="494"/>
        <v>36951</v>
      </c>
      <c r="CD444" s="234">
        <f>_xll.xSPRDOPT((VLOOKUP(G444,NGPrices,2,FALSE)+HLOOKUP(D444,Prices,VLOOKUP(G444,move_down,2,FALSE),FALSE)),VLOOKUP(G444,NGPrices,2,FALSE),I444,VLOOKUP(G444,NGPREVPRICES,4,FALSE),HLOOKUP(D444,PREVVOLS,VLOOKUP(G444,MOVE_DOWN2,2,FALSE),FALSE),VLOOKUP(G444,NGPREVPRICES,3,FALSE),HLOOKUP(D444,Correllate,VLOOKUP(G444,CorMove,2,FALSE),FALSE),Q444-$CD$3,R444,$CD$5)*H444-CJ444</f>
        <v>0</v>
      </c>
      <c r="CE444" s="234">
        <f>_xll.xSPRDOPT((VLOOKUP(G444,NGPREVPRICES,2,FALSE)+HLOOKUP(D444,PREVCURVES,VLOOKUP(G444,MOVE_DOWN2,2,FALSE),FALSE)),VLOOKUP(G444,NGPREVPRICES,2,FALSE),CK444,VLOOKUP(G444,NGPrices,4,FALSE),HLOOKUP(D444,PREVVOLS,VLOOKUP(G444,MOVE_DOWN2,2,FALSE),FALSE),VLOOKUP(G444,NGPREVPRICES,3,FALSE),HLOOKUP(D444,Correllate,VLOOKUP(G444,CorMove,2,FALSE),FALSE),Q444-$CD$3,R444,$CJ$5)*H444-CJ444</f>
        <v>0</v>
      </c>
      <c r="CF444" s="10">
        <f t="shared" si="495"/>
        <v>-6.1071776113676606</v>
      </c>
      <c r="CG444" s="234">
        <f>_xll.xSPRDOPT((VLOOKUP(G444,NGPREVPRICES,2,FALSE)+HLOOKUP(D444,PREVCURVES,VLOOKUP(G444,MOVE_DOWN2,2,FALSE),FALSE)),VLOOKUP(G444,NGPREVPRICES,2,FALSE),CK444,VLOOKUP(G444,NGPREVPRICES,4,FALSE),HLOOKUP(D444,VOLS,VLOOKUP(G444,move_down,2,FALSE),FALSE),VLOOKUP(G444,NGPrices,3,FALSE),HLOOKUP(D444,Correllate,VLOOKUP(G444,CorMove,2,FALSE),FALSE),Q444-$CD$3,R444,$CJ$5)*H444-CJ444</f>
        <v>0</v>
      </c>
      <c r="CH444" s="234">
        <f>_xll.xSPRDOPT((VLOOKUP(G444,NGPREVPRICES,2,FALSE)+HLOOKUP(D444,PREVCURVES,VLOOKUP(G444,MOVE_DOWN2,2,FALSE),FALSE)),VLOOKUP(G444,NGPREVPRICES,2,FALSE),CK444,VLOOKUP(G444,NGPREVPRICES,4,FALSE),HLOOKUP(D444,PREVVOLS,VLOOKUP(G444,MOVE_DOWN2,2,FALSE),FALSE),VLOOKUP(G444,NGPREVPRICES,3,FALSE),HLOOKUP(D444,Correllate,VLOOKUP(G444,CorMove,2,FALSE),FALSE),Q444-$C$3,R444,$CJ$5)*H444-CJ444</f>
        <v>-153.6303556098901</v>
      </c>
      <c r="CI444" s="234">
        <f t="shared" si="496"/>
        <v>-159.73753322125776</v>
      </c>
      <c r="CJ444" s="234">
        <f>_xll.xSPRDOPT((VLOOKUP(G444,NGPREVPRICES,2,FALSE)+HLOOKUP(D444,PREVCURVES,VLOOKUP(G444,MOVE_DOWN2,2,FALSE),FALSE)),VLOOKUP(G444,NGPREVPRICES,2,FALSE),CK444,VLOOKUP(G444,NGPREVPRICES,4,FALSE),HLOOKUP(D444,PREVVOLS,VLOOKUP(G444,MOVE_DOWN2,2,FALSE),FALSE),VLOOKUP(G444,NGPREVPRICES,3,FALSE),HLOOKUP(D444,Correllate,VLOOKUP(G444,CorMove,2,FALSE),FALSE),Q444-$CD$3,R444,$CJ$5)*H444</f>
        <v>31843.865956113681</v>
      </c>
      <c r="CK444" s="235">
        <f t="shared" si="497"/>
        <v>-0.1</v>
      </c>
      <c r="CM444" t="str">
        <f t="shared" si="498"/>
        <v>36951Curve Shift/Gamma</v>
      </c>
      <c r="CN444" t="str">
        <f t="shared" si="499"/>
        <v>36951Rho</v>
      </c>
      <c r="CO444" t="str">
        <f t="shared" si="500"/>
        <v>36951Drift</v>
      </c>
      <c r="CP444" t="str">
        <f t="shared" si="501"/>
        <v>36951Vega</v>
      </c>
      <c r="CQ444" t="str">
        <f t="shared" si="502"/>
        <v>36951Theta</v>
      </c>
    </row>
    <row r="445" spans="1:95" x14ac:dyDescent="0.25">
      <c r="A445" s="140" t="s">
        <v>268</v>
      </c>
      <c r="B445" t="s">
        <v>250</v>
      </c>
      <c r="C445" t="s">
        <v>490</v>
      </c>
      <c r="D445" s="4" t="s">
        <v>9</v>
      </c>
      <c r="E445" t="s">
        <v>20</v>
      </c>
      <c r="F445" t="s">
        <v>21</v>
      </c>
      <c r="G445" s="5">
        <v>36923</v>
      </c>
      <c r="H445" s="130">
        <v>280000</v>
      </c>
      <c r="I445">
        <v>-0.1</v>
      </c>
      <c r="J445" s="53">
        <f t="shared" si="464"/>
        <v>4.4800000000000004</v>
      </c>
      <c r="K445" s="7">
        <f t="shared" si="465"/>
        <v>-0.38750000000000001</v>
      </c>
      <c r="L445" s="53">
        <f t="shared" si="466"/>
        <v>4.0925000000000002</v>
      </c>
      <c r="M445" s="157">
        <f t="shared" si="503"/>
        <v>6.8640161611372E-2</v>
      </c>
      <c r="N445" s="4">
        <f t="shared" si="504"/>
        <v>0.59250000000000003</v>
      </c>
      <c r="O445" s="4">
        <f t="shared" si="505"/>
        <v>0.56899999999999995</v>
      </c>
      <c r="P445" s="9">
        <f t="shared" si="506"/>
        <v>0.93</v>
      </c>
      <c r="Q445" s="5">
        <f t="shared" si="458"/>
        <v>36921</v>
      </c>
      <c r="R445" s="4">
        <f t="shared" si="507"/>
        <v>1</v>
      </c>
      <c r="S445" s="158">
        <f>_xll.xSPRDOPT($L445,$J445,$I445,$M445,$O445,$N445,$P445,$Q445-$C$3,$R445,0)</f>
        <v>0.12346981784274953</v>
      </c>
      <c r="T445" s="159">
        <f>_xll.xSPRDOPT($L445,$J445,$I445,$M445,$O445,$N445,$P445,$Q445-$C$3,$R445,1)*H445</f>
        <v>93929.496525888215</v>
      </c>
      <c r="U445" s="160">
        <f t="shared" si="508"/>
        <v>34571.548995969868</v>
      </c>
      <c r="V445" s="159">
        <f>_xll.xSPRDOPT($L445,$J445,$I445,$M445,$O445,$N445,$P445,$Q445-$C$3,$R445,2)*H445</f>
        <v>-80171.400329673255</v>
      </c>
      <c r="W445" s="159">
        <f t="shared" si="509"/>
        <v>13758.096196214959</v>
      </c>
      <c r="X445" s="51" t="str">
        <f t="shared" si="484"/>
        <v>36923IF-NWPL_ROCKY_M</v>
      </c>
      <c r="Y445" s="418">
        <f t="shared" si="485"/>
        <v>28</v>
      </c>
      <c r="Z445" s="456">
        <f t="shared" si="486"/>
        <v>0.33546248759245789</v>
      </c>
      <c r="AA445" s="456">
        <f>_xll.xSPRDOPT($L445,$J445,$I445,$M445,$O445,$N445,$P445,$Q445-$C$3,$R445,3)</f>
        <v>0.60380969036015797</v>
      </c>
      <c r="AB445" s="456">
        <f>((_xll.xSPRDOPT($L445+AB$5,$J445,$I445,$M445,$O445,$N445,$P445,$Q445-$C$3,$R445,3)*$H445)/10000)/100</f>
        <v>0.16906671330084422</v>
      </c>
      <c r="AC445" s="456">
        <f>((_xll.xSPRDOPT($L445+$AB$5,$J445,$I445,$M445,$O445,$N445,$P445,$Q445-$C$3,$R445,7)*$H445)/100)</f>
        <v>-4122.788174871529</v>
      </c>
      <c r="AD445" s="456">
        <f>(_xll.xSPRDOPT($L445+$AB$5,$J445,$I445,$M445,$O445,$N445,$P445,$Q445-$C$3,$R445,9)/365)*$H445</f>
        <v>-186.7148917796786</v>
      </c>
      <c r="AE445">
        <f t="shared" si="462"/>
        <v>0</v>
      </c>
      <c r="AF445" s="456">
        <f t="shared" si="463"/>
        <v>1003.7109294986356</v>
      </c>
      <c r="AG445" s="456">
        <f>((_xll.xSPRDOPT($L445,$J445,$I445,$M445,$O445,$N445,$P445,$Q445-$C$3,$R445,6)*$H445)/100)</f>
        <v>951.10771534026094</v>
      </c>
      <c r="AH445" s="456">
        <f>((_xll.xSPRDOPT($L445,$J445,$I445,$M445,$O445,$N445,$P445,$Q445-$C$3,$R445,5)*$H445)/100)</f>
        <v>54.775754637674801</v>
      </c>
      <c r="AI445" s="456">
        <f>(((_xll.xSPRDOPT($L445,$J445,$I445,$M445,$O445,$N445,$P445,$Q445-$C$3,$R445,4)*$H445)/10000)/100)-AB445</f>
        <v>-2.1031629527640511E-2</v>
      </c>
      <c r="AJ445" s="456"/>
      <c r="AK445" s="456"/>
      <c r="AL445" s="456"/>
      <c r="AM445" s="472"/>
      <c r="CC445" s="141">
        <f t="shared" si="494"/>
        <v>36923</v>
      </c>
      <c r="CD445" s="234">
        <f>_xll.xSPRDOPT((VLOOKUP(G445,NGPrices,2,FALSE)+HLOOKUP(D445,Prices,VLOOKUP(G445,move_down,2,FALSE),FALSE)),VLOOKUP(G445,NGPrices,2,FALSE),I445,VLOOKUP(G445,NGPREVPRICES,4,FALSE),HLOOKUP(D445,PREVVOLS,VLOOKUP(G445,MOVE_DOWN2,2,FALSE),FALSE),VLOOKUP(G445,NGPREVPRICES,3,FALSE),HLOOKUP(D445,Correllate,VLOOKUP(G445,CorMove,2,FALSE),FALSE),Q445-$CD$3,R445,$CD$5)*H445-CJ445</f>
        <v>0</v>
      </c>
      <c r="CE445" s="234">
        <f>_xll.xSPRDOPT((VLOOKUP(G445,NGPREVPRICES,2,FALSE)+HLOOKUP(D445,PREVCURVES,VLOOKUP(G445,MOVE_DOWN2,2,FALSE),FALSE)),VLOOKUP(G445,NGPREVPRICES,2,FALSE),CK445,VLOOKUP(G445,NGPrices,4,FALSE),HLOOKUP(D445,PREVVOLS,VLOOKUP(G445,MOVE_DOWN2,2,FALSE),FALSE),VLOOKUP(G445,NGPREVPRICES,3,FALSE),HLOOKUP(D445,Correllate,VLOOKUP(G445,CorMove,2,FALSE),FALSE),Q445-$CD$3,R445,$CJ$5)*H445-CJ445</f>
        <v>0</v>
      </c>
      <c r="CF445" s="10">
        <f t="shared" si="495"/>
        <v>-6.6105431641553878</v>
      </c>
      <c r="CG445" s="234">
        <f>_xll.xSPRDOPT((VLOOKUP(G445,NGPREVPRICES,2,FALSE)+HLOOKUP(D445,PREVCURVES,VLOOKUP(G445,MOVE_DOWN2,2,FALSE),FALSE)),VLOOKUP(G445,NGPREVPRICES,2,FALSE),CK445,VLOOKUP(G445,NGPREVPRICES,4,FALSE),HLOOKUP(D445,VOLS,VLOOKUP(G445,move_down,2,FALSE),FALSE),VLOOKUP(G445,NGPrices,3,FALSE),HLOOKUP(D445,Correllate,VLOOKUP(G445,CorMove,2,FALSE),FALSE),Q445-$CD$3,R445,$CJ$5)*H445-CJ445</f>
        <v>0</v>
      </c>
      <c r="CH445" s="234">
        <f>_xll.xSPRDOPT((VLOOKUP(G445,NGPREVPRICES,2,FALSE)+HLOOKUP(D445,PREVCURVES,VLOOKUP(G445,MOVE_DOWN2,2,FALSE),FALSE)),VLOOKUP(G445,NGPREVPRICES,2,FALSE),CK445,VLOOKUP(G445,NGPREVPRICES,4,FALSE),HLOOKUP(D445,PREVVOLS,VLOOKUP(G445,MOVE_DOWN2,2,FALSE),FALSE),VLOOKUP(G445,NGPREVPRICES,3,FALSE),HLOOKUP(D445,Correllate,VLOOKUP(G445,CorMove,2,FALSE),FALSE),Q445-$C$3,R445,$CJ$5)*H445-CJ445</f>
        <v>-186.3062280248414</v>
      </c>
      <c r="CI445" s="234">
        <f t="shared" si="496"/>
        <v>-192.91677118899679</v>
      </c>
      <c r="CJ445" s="234">
        <f>_xll.xSPRDOPT((VLOOKUP(G445,NGPREVPRICES,2,FALSE)+HLOOKUP(D445,PREVCURVES,VLOOKUP(G445,MOVE_DOWN2,2,FALSE),FALSE)),VLOOKUP(G445,NGPREVPRICES,2,FALSE),CK445,VLOOKUP(G445,NGPREVPRICES,4,FALSE),HLOOKUP(D445,PREVVOLS,VLOOKUP(G445,MOVE_DOWN2,2,FALSE),FALSE),VLOOKUP(G445,NGPREVPRICES,3,FALSE),HLOOKUP(D445,Correllate,VLOOKUP(G445,CorMove,2,FALSE),FALSE),Q445-$CD$3,R445,$CJ$5)*H445</f>
        <v>34757.855223994709</v>
      </c>
      <c r="CK445" s="235">
        <f t="shared" si="497"/>
        <v>-0.1</v>
      </c>
      <c r="CM445" t="str">
        <f t="shared" si="498"/>
        <v>36923Curve Shift/Gamma</v>
      </c>
      <c r="CN445" t="str">
        <f t="shared" si="499"/>
        <v>36923Rho</v>
      </c>
      <c r="CO445" t="str">
        <f t="shared" si="500"/>
        <v>36923Drift</v>
      </c>
      <c r="CP445" t="str">
        <f t="shared" si="501"/>
        <v>36923Vega</v>
      </c>
      <c r="CQ445" t="str">
        <f t="shared" si="502"/>
        <v>36923Theta</v>
      </c>
    </row>
    <row r="446" spans="1:95" x14ac:dyDescent="0.25">
      <c r="A446" s="140" t="s">
        <v>268</v>
      </c>
      <c r="B446" t="s">
        <v>250</v>
      </c>
      <c r="C446" t="s">
        <v>490</v>
      </c>
      <c r="D446" s="4" t="s">
        <v>9</v>
      </c>
      <c r="E446" t="s">
        <v>20</v>
      </c>
      <c r="F446" t="s">
        <v>21</v>
      </c>
      <c r="G446" s="5">
        <v>36892</v>
      </c>
      <c r="H446" s="130">
        <v>310000</v>
      </c>
      <c r="I446">
        <v>-0.1</v>
      </c>
      <c r="J446" s="53">
        <f t="shared" si="464"/>
        <v>4.7439999999999998</v>
      </c>
      <c r="K446" s="7">
        <f t="shared" si="465"/>
        <v>-0.36749999999999999</v>
      </c>
      <c r="L446" s="53">
        <f t="shared" si="466"/>
        <v>4.3765000000000001</v>
      </c>
      <c r="M446" s="157">
        <f>VLOOKUP(G446,NGPrices,4,FALSE)</f>
        <v>6.8374831148490994E-2</v>
      </c>
      <c r="N446" s="4">
        <f>VLOOKUP(G446,NGPrices,3,FALSE)</f>
        <v>0.60499999999999998</v>
      </c>
      <c r="O446" s="4">
        <f>HLOOKUP(D446,VOLS,VLOOKUP(G446,move_down,2,FALSE),FALSE)</f>
        <v>0.58099999999999996</v>
      </c>
      <c r="P446" s="9">
        <f>HLOOKUP(D446,Correllate,VLOOKUP(G446,CorMove,2,FALSE),FALSE)</f>
        <v>0.93</v>
      </c>
      <c r="Q446" s="5">
        <f t="shared" si="458"/>
        <v>36888</v>
      </c>
      <c r="R446" s="4">
        <f>IF(F446="P",0,1)</f>
        <v>1</v>
      </c>
      <c r="S446" s="158">
        <f>_xll.xSPRDOPT($L446,$J446,$I446,$M446,$O446,$N446,$P446,$Q446-$C$3,$R446,0)</f>
        <v>0.1225094652423742</v>
      </c>
      <c r="T446" s="159">
        <f>_xll.xSPRDOPT($L446,$J446,$I446,$M446,$O446,$N446,$P446,$Q446-$C$3,$R446,1)*H446</f>
        <v>105644.50756078654</v>
      </c>
      <c r="U446" s="160">
        <f>S446*H446</f>
        <v>37977.934225135999</v>
      </c>
      <c r="V446" s="159">
        <f>_xll.xSPRDOPT($L446,$J446,$I446,$M446,$O446,$N446,$P446,$Q446-$C$3,$R446,2)*H446</f>
        <v>-91665.391704454101</v>
      </c>
      <c r="W446" s="159">
        <f>+V446+T446</f>
        <v>13979.115856332442</v>
      </c>
      <c r="X446" s="51" t="str">
        <f t="shared" si="484"/>
        <v>36892IF-NWPL_ROCKY_M</v>
      </c>
      <c r="Y446" s="418">
        <f t="shared" si="485"/>
        <v>31</v>
      </c>
      <c r="Z446" s="456">
        <f t="shared" si="486"/>
        <v>0.34078873406705334</v>
      </c>
      <c r="AA446" s="456">
        <f>_xll.xSPRDOPT($L446,$J446,$I446,$M446,$O446,$N446,$P446,$Q446-$C$3,$R446,3)</f>
        <v>0.63089388340974362</v>
      </c>
      <c r="AB446" s="456">
        <f>((_xll.xSPRDOPT($L446+AB$5,$J446,$I446,$M446,$O446,$N446,$P446,$Q446-$C$3,$R446,3)*$H446)/10000)/100</f>
        <v>0.19557710385702051</v>
      </c>
      <c r="AC446" s="456">
        <f>((_xll.xSPRDOPT($L446+$AB$5,$J446,$I446,$M446,$O446,$N446,$P446,$Q446-$C$3,$R446,7)*$H446)/100)</f>
        <v>-4461.268816765004</v>
      </c>
      <c r="AD446" s="456">
        <f>(_xll.xSPRDOPT($L446+$AB$5,$J446,$I446,$M446,$O446,$N446,$P446,$Q446-$C$3,$R446,9)/365)*$H446</f>
        <v>-258.58105643963836</v>
      </c>
      <c r="AE446">
        <f t="shared" si="462"/>
        <v>0</v>
      </c>
      <c r="AF446" s="456">
        <f t="shared" si="463"/>
        <v>1062.0541514908314</v>
      </c>
      <c r="AG446" s="456">
        <f>((_xll.xSPRDOPT($L446,$J446,$I446,$M446,$O446,$N446,$P446,$Q446-$C$3,$R446,6)*$H446)/100)</f>
        <v>995.77780375576401</v>
      </c>
      <c r="AH446" s="456">
        <f>((_xll.xSPRDOPT($L446,$J446,$I446,$M446,$O446,$N446,$P446,$Q446-$C$3,$R446,5)*$H446)/100)</f>
        <v>69.014097039097692</v>
      </c>
      <c r="AI446" s="456">
        <f>(((_xll.xSPRDOPT($L446,$J446,$I446,$M446,$O446,$N446,$P446,$Q446-$C$3,$R446,4)*$H446)/10000)/100)-AB446</f>
        <v>-2.146505556694947E-2</v>
      </c>
      <c r="AJ446" s="456"/>
      <c r="AK446" s="456"/>
      <c r="AL446" s="456"/>
      <c r="AM446" s="472"/>
      <c r="CC446" s="141">
        <f t="shared" si="494"/>
        <v>36892</v>
      </c>
      <c r="CD446" s="234">
        <f>_xll.xSPRDOPT((VLOOKUP(G446,NGPrices,2,FALSE)+HLOOKUP(D446,Prices,VLOOKUP(G446,move_down,2,FALSE),FALSE)),VLOOKUP(G446,NGPrices,2,FALSE),I446,VLOOKUP(G446,NGPREVPRICES,4,FALSE),HLOOKUP(D446,PREVVOLS,VLOOKUP(G446,MOVE_DOWN2,2,FALSE),FALSE),VLOOKUP(G446,NGPREVPRICES,3,FALSE),HLOOKUP(D446,Correllate,VLOOKUP(G446,CorMove,2,FALSE),FALSE),Q446-$CD$3,R446,$CD$5)*H446-CJ446</f>
        <v>0</v>
      </c>
      <c r="CE446" s="234">
        <f>_xll.xSPRDOPT((VLOOKUP(G446,NGPREVPRICES,2,FALSE)+HLOOKUP(D446,PREVCURVES,VLOOKUP(G446,MOVE_DOWN2,2,FALSE),FALSE)),VLOOKUP(G446,NGPREVPRICES,2,FALSE),CK446,VLOOKUP(G446,NGPrices,4,FALSE),HLOOKUP(D446,PREVVOLS,VLOOKUP(G446,MOVE_DOWN2,2,FALSE),FALSE),VLOOKUP(G446,NGPREVPRICES,3,FALSE),HLOOKUP(D446,Correllate,VLOOKUP(G446,CorMove,2,FALSE),FALSE),Q446-$CD$3,R446,$CJ$5)*H446-CJ446</f>
        <v>0</v>
      </c>
      <c r="CF446" s="10">
        <f t="shared" si="495"/>
        <v>-7.2052086401527049</v>
      </c>
      <c r="CG446" s="234">
        <f>_xll.xSPRDOPT((VLOOKUP(G446,NGPREVPRICES,2,FALSE)+HLOOKUP(D446,PREVCURVES,VLOOKUP(G446,MOVE_DOWN2,2,FALSE),FALSE)),VLOOKUP(G446,NGPREVPRICES,2,FALSE),CK446,VLOOKUP(G446,NGPREVPRICES,4,FALSE),HLOOKUP(D446,VOLS,VLOOKUP(G446,move_down,2,FALSE),FALSE),VLOOKUP(G446,NGPrices,3,FALSE),HLOOKUP(D446,Correllate,VLOOKUP(G446,CorMove,2,FALSE),FALSE),Q446-$CD$3,R446,$CJ$5)*H446-CJ446</f>
        <v>0</v>
      </c>
      <c r="CH446" s="234">
        <f>_xll.xSPRDOPT((VLOOKUP(G446,NGPREVPRICES,2,FALSE)+HLOOKUP(D446,PREVCURVES,VLOOKUP(G446,MOVE_DOWN2,2,FALSE),FALSE)),VLOOKUP(G446,NGPREVPRICES,2,FALSE),CK446,VLOOKUP(G446,NGPREVPRICES,4,FALSE),HLOOKUP(D446,PREVVOLS,VLOOKUP(G446,MOVE_DOWN2,2,FALSE),FALSE),VLOOKUP(G446,NGPREVPRICES,3,FALSE),HLOOKUP(D446,Correllate,VLOOKUP(G446,CorMove,2,FALSE),FALSE),Q446-$C$3,R446,$CJ$5)*H446-CJ446</f>
        <v>-257.91870945469418</v>
      </c>
      <c r="CI446" s="234">
        <f t="shared" si="496"/>
        <v>-265.12391809484689</v>
      </c>
      <c r="CJ446" s="234">
        <f>_xll.xSPRDOPT((VLOOKUP(G446,NGPREVPRICES,2,FALSE)+HLOOKUP(D446,PREVCURVES,VLOOKUP(G446,MOVE_DOWN2,2,FALSE),FALSE)),VLOOKUP(G446,NGPREVPRICES,2,FALSE),CK446,VLOOKUP(G446,NGPREVPRICES,4,FALSE),HLOOKUP(D446,PREVVOLS,VLOOKUP(G446,MOVE_DOWN2,2,FALSE),FALSE),VLOOKUP(G446,NGPREVPRICES,3,FALSE),HLOOKUP(D446,Correllate,VLOOKUP(G446,CorMove,2,FALSE),FALSE),Q446-$CD$3,R446,$CJ$5)*H446</f>
        <v>38235.852934590694</v>
      </c>
      <c r="CK446" s="235">
        <f t="shared" si="497"/>
        <v>-0.1</v>
      </c>
      <c r="CM446" t="str">
        <f t="shared" si="498"/>
        <v>36892Curve Shift/Gamma</v>
      </c>
      <c r="CN446" t="str">
        <f t="shared" si="499"/>
        <v>36892Rho</v>
      </c>
      <c r="CO446" t="str">
        <f t="shared" si="500"/>
        <v>36892Drift</v>
      </c>
      <c r="CP446" t="str">
        <f t="shared" si="501"/>
        <v>36892Vega</v>
      </c>
      <c r="CQ446" t="str">
        <f t="shared" si="502"/>
        <v>36892Theta</v>
      </c>
    </row>
    <row r="447" spans="1:95" x14ac:dyDescent="0.25">
      <c r="A447" s="140" t="s">
        <v>268</v>
      </c>
      <c r="B447" t="s">
        <v>250</v>
      </c>
      <c r="C447" t="s">
        <v>490</v>
      </c>
      <c r="D447" s="4" t="s">
        <v>9</v>
      </c>
      <c r="E447" t="s">
        <v>20</v>
      </c>
      <c r="F447" t="s">
        <v>21</v>
      </c>
      <c r="G447" s="5">
        <v>36861</v>
      </c>
      <c r="H447" s="130">
        <v>310000</v>
      </c>
      <c r="I447">
        <v>-0.1</v>
      </c>
      <c r="J447" s="53">
        <f t="shared" si="464"/>
        <v>4.8</v>
      </c>
      <c r="K447" s="7">
        <f t="shared" si="465"/>
        <v>-0.35749999999999998</v>
      </c>
      <c r="L447" s="53">
        <f t="shared" si="466"/>
        <v>4.4424999999999999</v>
      </c>
      <c r="M447" s="157">
        <f>VLOOKUP(G447,NGPrices,4,FALSE)</f>
        <v>6.8314027999354002E-2</v>
      </c>
      <c r="N447" s="4">
        <f>VLOOKUP(G447,NGPrices,3,FALSE)</f>
        <v>0.6</v>
      </c>
      <c r="O447" s="4">
        <f>HLOOKUP(D447,VOLS,VLOOKUP(G447,move_down,2,FALSE),FALSE)</f>
        <v>0.57599999999999996</v>
      </c>
      <c r="P447" s="9">
        <f>HLOOKUP(D447,Correllate,VLOOKUP(G447,CorMove,2,FALSE),FALSE)</f>
        <v>0.93</v>
      </c>
      <c r="Q447" s="5">
        <f t="shared" si="458"/>
        <v>36859</v>
      </c>
      <c r="R447" s="4">
        <f>IF(F447="P",0,1)</f>
        <v>1</v>
      </c>
      <c r="S447" s="158">
        <f>_xll.xSPRDOPT($L447,$J447,$I447,$M447,$O447,$N447,$P447,$Q447-$C$3,$R447,0)</f>
        <v>0.10075630026447295</v>
      </c>
      <c r="T447" s="159">
        <f>_xll.xSPRDOPT($L447,$J447,$I447,$M447,$O447,$N447,$P447,$Q447-$C$3,$R447,1)*H447</f>
        <v>100270.2012941109</v>
      </c>
      <c r="U447" s="160">
        <f>S447*H447</f>
        <v>31234.453081986616</v>
      </c>
      <c r="V447" s="159">
        <f>_xll.xSPRDOPT($L447,$J447,$I447,$M447,$O447,$N447,$P447,$Q447-$C$3,$R447,2)*H447</f>
        <v>-88369.392453429318</v>
      </c>
      <c r="W447" s="159">
        <f>+V447+T447</f>
        <v>11900.80884068158</v>
      </c>
      <c r="X447" s="51" t="str">
        <f t="shared" si="484"/>
        <v>36861IF-NWPL_ROCKY_M</v>
      </c>
      <c r="Y447" s="418">
        <f t="shared" si="485"/>
        <v>31</v>
      </c>
      <c r="Z447" s="456">
        <f t="shared" si="486"/>
        <v>0.32345226223906742</v>
      </c>
      <c r="AA447" s="456">
        <f>_xll.xSPRDOPT($L447,$J447,$I447,$M447,$O447,$N447,$P447,$Q447-$C$3,$R447,3)</f>
        <v>0.70702220313677933</v>
      </c>
      <c r="AB447" s="456">
        <f>((_xll.xSPRDOPT($L447+AB$5,$J447,$I447,$M447,$O447,$N447,$P447,$Q447-$C$3,$R447,3)*$H447)/10000)/100</f>
        <v>0.21917688297240157</v>
      </c>
      <c r="AC447" s="456">
        <f>((_xll.xSPRDOPT($L447+$AB$5,$J447,$I447,$M447,$O447,$N447,$P447,$Q447-$C$3,$R447,7)*$H447)/100)</f>
        <v>-3849.8551430348107</v>
      </c>
      <c r="AD447" s="456">
        <f>(_xll.xSPRDOPT($L447+$AB$5,$J447,$I447,$M447,$O447,$N447,$P447,$Q447-$C$3,$R447,9)/365)*$H447</f>
        <v>-295.68014475454589</v>
      </c>
      <c r="AE447">
        <f t="shared" si="462"/>
        <v>0</v>
      </c>
      <c r="AF447" s="456">
        <f t="shared" si="463"/>
        <v>924.04693615185261</v>
      </c>
      <c r="AG447" s="456">
        <f>((_xll.xSPRDOPT($L447,$J447,$I447,$M447,$O447,$N447,$P447,$Q447-$C$3,$R447,6)*$H447)/100)</f>
        <v>866.54647451421476</v>
      </c>
      <c r="AH447" s="456">
        <f>((_xll.xSPRDOPT($L447,$J447,$I447,$M447,$O447,$N447,$P447,$Q447-$C$3,$R447,5)*$H447)/100)</f>
        <v>59.896314205872706</v>
      </c>
      <c r="AI447" s="456">
        <f>(((_xll.xSPRDOPT($L447,$J447,$I447,$M447,$O447,$N447,$P447,$Q447-$C$3,$R447,4)*$H447)/10000)/100)-AB447</f>
        <v>-2.2916950809897668E-2</v>
      </c>
      <c r="AJ447" s="456"/>
      <c r="AK447" s="456"/>
      <c r="AL447" s="456"/>
      <c r="AM447" s="472"/>
      <c r="CC447" s="141">
        <f t="shared" si="494"/>
        <v>36861</v>
      </c>
      <c r="CD447" s="234">
        <f>_xll.xSPRDOPT((VLOOKUP(G447,NGPrices,2,FALSE)+HLOOKUP(D447,Prices,VLOOKUP(G447,move_down,2,FALSE),FALSE)),VLOOKUP(G447,NGPrices,2,FALSE),I447,VLOOKUP(G447,NGPREVPRICES,4,FALSE),HLOOKUP(D447,PREVVOLS,VLOOKUP(G447,MOVE_DOWN2,2,FALSE),FALSE),VLOOKUP(G447,NGPREVPRICES,3,FALSE),HLOOKUP(D447,Correllate,VLOOKUP(G447,CorMove,2,FALSE),FALSE),Q447-$CD$3,R447,$CD$5)*H447-CJ447</f>
        <v>0</v>
      </c>
      <c r="CE447" s="234">
        <f>_xll.xSPRDOPT((VLOOKUP(G447,NGPREVPRICES,2,FALSE)+HLOOKUP(D447,PREVCURVES,VLOOKUP(G447,MOVE_DOWN2,2,FALSE),FALSE)),VLOOKUP(G447,NGPREVPRICES,2,FALSE),CK447,VLOOKUP(G447,NGPrices,4,FALSE),HLOOKUP(D447,PREVVOLS,VLOOKUP(G447,MOVE_DOWN2,2,FALSE),FALSE),VLOOKUP(G447,NGPREVPRICES,3,FALSE),HLOOKUP(D447,Correllate,VLOOKUP(G447,CorMove,2,FALSE),FALSE),Q447-$CD$3,R447,$CJ$5)*H447-CJ447</f>
        <v>0</v>
      </c>
      <c r="CF447" s="10">
        <f t="shared" si="495"/>
        <v>-5.9066263884305954</v>
      </c>
      <c r="CG447" s="234">
        <f>_xll.xSPRDOPT((VLOOKUP(G447,NGPREVPRICES,2,FALSE)+HLOOKUP(D447,PREVCURVES,VLOOKUP(G447,MOVE_DOWN2,2,FALSE),FALSE)),VLOOKUP(G447,NGPREVPRICES,2,FALSE),CK447,VLOOKUP(G447,NGPREVPRICES,4,FALSE),HLOOKUP(D447,VOLS,VLOOKUP(G447,move_down,2,FALSE),FALSE),VLOOKUP(G447,NGPrices,3,FALSE),HLOOKUP(D447,Correllate,VLOOKUP(G447,CorMove,2,FALSE),FALSE),Q447-$CD$3,R447,$CJ$5)*H447-CJ447</f>
        <v>0</v>
      </c>
      <c r="CH447" s="234">
        <f>_xll.xSPRDOPT((VLOOKUP(G447,NGPREVPRICES,2,FALSE)+HLOOKUP(D447,PREVCURVES,VLOOKUP(G447,MOVE_DOWN2,2,FALSE),FALSE)),VLOOKUP(G447,NGPREVPRICES,2,FALSE),CK447,VLOOKUP(G447,NGPREVPRICES,4,FALSE),HLOOKUP(D447,PREVVOLS,VLOOKUP(G447,MOVE_DOWN2,2,FALSE),FALSE),VLOOKUP(G447,NGPREVPRICES,3,FALSE),HLOOKUP(D447,Correllate,VLOOKUP(G447,CorMove,2,FALSE),FALSE),Q447-$C$3,R447,$CJ$5)*H447-CJ447</f>
        <v>-294.80650719082041</v>
      </c>
      <c r="CI447" s="234">
        <f t="shared" si="496"/>
        <v>-300.71313357925101</v>
      </c>
      <c r="CJ447" s="234">
        <f>_xll.xSPRDOPT((VLOOKUP(G447,NGPREVPRICES,2,FALSE)+HLOOKUP(D447,PREVCURVES,VLOOKUP(G447,MOVE_DOWN2,2,FALSE),FALSE)),VLOOKUP(G447,NGPREVPRICES,2,FALSE),CK447,VLOOKUP(G447,NGPREVPRICES,4,FALSE),HLOOKUP(D447,PREVVOLS,VLOOKUP(G447,MOVE_DOWN2,2,FALSE),FALSE),VLOOKUP(G447,NGPREVPRICES,3,FALSE),HLOOKUP(D447,Correllate,VLOOKUP(G447,CorMove,2,FALSE),FALSE),Q447-$CD$3,R447,$CJ$5)*H447</f>
        <v>31529.259589177436</v>
      </c>
      <c r="CK447" s="235">
        <f t="shared" si="497"/>
        <v>-0.1</v>
      </c>
      <c r="CM447" t="str">
        <f t="shared" si="498"/>
        <v>36861Curve Shift/Gamma</v>
      </c>
      <c r="CN447" t="str">
        <f t="shared" si="499"/>
        <v>36861Rho</v>
      </c>
      <c r="CO447" t="str">
        <f t="shared" si="500"/>
        <v>36861Drift</v>
      </c>
      <c r="CP447" t="str">
        <f t="shared" si="501"/>
        <v>36861Vega</v>
      </c>
      <c r="CQ447" t="str">
        <f t="shared" si="502"/>
        <v>36861Theta</v>
      </c>
    </row>
    <row r="448" spans="1:95" x14ac:dyDescent="0.25">
      <c r="A448" s="140" t="s">
        <v>268</v>
      </c>
      <c r="B448" t="s">
        <v>250</v>
      </c>
      <c r="C448" t="s">
        <v>490</v>
      </c>
      <c r="D448" s="4" t="s">
        <v>9</v>
      </c>
      <c r="E448" t="s">
        <v>20</v>
      </c>
      <c r="F448" t="s">
        <v>21</v>
      </c>
      <c r="G448" s="5">
        <v>36831</v>
      </c>
      <c r="H448" s="130">
        <v>300000</v>
      </c>
      <c r="I448">
        <v>-0.1</v>
      </c>
      <c r="J448" s="53">
        <f t="shared" si="464"/>
        <v>4.7359999999999998</v>
      </c>
      <c r="K448" s="7">
        <f t="shared" si="465"/>
        <v>-0.46750000000000003</v>
      </c>
      <c r="L448" s="53">
        <f t="shared" si="466"/>
        <v>4.2684999999999995</v>
      </c>
      <c r="M448" s="157">
        <f>VLOOKUP(G448,NGPrices,4,FALSE)</f>
        <v>6.810675983792E-2</v>
      </c>
      <c r="N448" s="4">
        <f>VLOOKUP(G448,NGPrices,3,FALSE)</f>
        <v>0.59499999999999997</v>
      </c>
      <c r="O448" s="4">
        <f>HLOOKUP(D448,VOLS,VLOOKUP(G448,move_down,2,FALSE),FALSE)</f>
        <v>0.57099999999999995</v>
      </c>
      <c r="P448" s="9">
        <f>HLOOKUP(D448,Correllate,VLOOKUP(G448,CorMove,2,FALSE),FALSE)</f>
        <v>0.93</v>
      </c>
      <c r="Q448" s="5">
        <f t="shared" si="458"/>
        <v>36829</v>
      </c>
      <c r="R448" s="4">
        <f>IF(F448="P",0,1)</f>
        <v>1</v>
      </c>
      <c r="S448" s="158">
        <f>_xll.xSPRDOPT($L448,$J448,$I448,$M448,$O448,$N448,$P448,$Q448-$C$3,$R448,0)</f>
        <v>4.0957526632248872E-2</v>
      </c>
      <c r="T448" s="159">
        <f>_xll.xSPRDOPT($L448,$J448,$I448,$M448,$O448,$N448,$P448,$Q448-$C$3,$R448,1)*H448</f>
        <v>58531.976126595175</v>
      </c>
      <c r="U448" s="160">
        <f>S448*H448</f>
        <v>12287.257989674661</v>
      </c>
      <c r="V448" s="159">
        <f>_xll.xSPRDOPT($L448,$J448,$I448,$M448,$O448,$N448,$P448,$Q448-$C$3,$R448,2)*H448</f>
        <v>-51387.630959241906</v>
      </c>
      <c r="W448" s="159">
        <f>+V448+T448</f>
        <v>7144.3451673532691</v>
      </c>
      <c r="X448" s="51" t="str">
        <f t="shared" si="484"/>
        <v>36831IF-NWPL_ROCKY_M</v>
      </c>
      <c r="Y448" s="418">
        <f t="shared" si="485"/>
        <v>30</v>
      </c>
      <c r="Z448" s="456">
        <f t="shared" si="486"/>
        <v>0.19510658708865058</v>
      </c>
      <c r="AA448" s="456">
        <f>_xll.xSPRDOPT($L448,$J448,$I448,$M448,$O448,$N448,$P448,$Q448-$C$3,$R448,3)</f>
        <v>0.69738654008389656</v>
      </c>
      <c r="AB448" s="456">
        <f>((_xll.xSPRDOPT($L448+AB$5,$J448,$I448,$M448,$O448,$N448,$P448,$Q448-$C$3,$R448,3)*$H448)/10000)/100</f>
        <v>0.20921596202516896</v>
      </c>
      <c r="AC448" s="456">
        <f>((_xll.xSPRDOPT($L448+$AB$5,$J448,$I448,$M448,$O448,$N448,$P448,$Q448-$C$3,$R448,7)*$H448)/100)</f>
        <v>-2249.608886832269</v>
      </c>
      <c r="AD448" s="456">
        <f>(_xll.xSPRDOPT($L448+$AB$5,$J448,$I448,$M448,$O448,$N448,$P448,$Q448-$C$3,$R448,9)/365)*$H448</f>
        <v>-259.41473580412281</v>
      </c>
      <c r="AE448">
        <f t="shared" si="462"/>
        <v>0</v>
      </c>
      <c r="AF448" s="456">
        <f t="shared" si="463"/>
        <v>545.0338379225667</v>
      </c>
      <c r="AG448" s="456">
        <f>((_xll.xSPRDOPT($L448,$J448,$I448,$M448,$O448,$N448,$P448,$Q448-$C$3,$R448,6)*$H448)/100)</f>
        <v>515.51531779811023</v>
      </c>
      <c r="AH448" s="456">
        <f>((_xll.xSPRDOPT($L448,$J448,$I448,$M448,$O448,$N448,$P448,$Q448-$C$3,$R448,5)*$H448)/100)</f>
        <v>30.759228500965978</v>
      </c>
      <c r="AI448" s="456">
        <f>(((_xll.xSPRDOPT($L448,$J448,$I448,$M448,$O448,$N448,$P448,$Q448-$C$3,$R448,4)*$H448)/10000)/100)-AB448</f>
        <v>-3.1246154142571925E-2</v>
      </c>
      <c r="AJ448" s="456"/>
      <c r="AK448" s="456"/>
      <c r="AL448" s="456"/>
      <c r="AM448" s="472"/>
      <c r="CC448" s="141">
        <f t="shared" si="494"/>
        <v>36831</v>
      </c>
      <c r="CD448" s="234">
        <f>_xll.xSPRDOPT((VLOOKUP(G448,NGPrices,2,FALSE)+HLOOKUP(D448,Prices,VLOOKUP(G448,move_down,2,FALSE),FALSE)),VLOOKUP(G448,NGPrices,2,FALSE),I448,VLOOKUP(G448,NGPREVPRICES,4,FALSE),HLOOKUP(D448,PREVVOLS,VLOOKUP(G448,MOVE_DOWN2,2,FALSE),FALSE),VLOOKUP(G448,NGPREVPRICES,3,FALSE),HLOOKUP(D448,Correllate,VLOOKUP(G448,CorMove,2,FALSE),FALSE),Q448-$CD$3,R448,$CD$5)*H448-CJ448</f>
        <v>0</v>
      </c>
      <c r="CE448" s="234">
        <f>_xll.xSPRDOPT((VLOOKUP(G448,NGPREVPRICES,2,FALSE)+HLOOKUP(D448,PREVCURVES,VLOOKUP(G448,MOVE_DOWN2,2,FALSE),FALSE)),VLOOKUP(G448,NGPREVPRICES,2,FALSE),CK448,VLOOKUP(G448,NGPrices,4,FALSE),HLOOKUP(D448,PREVVOLS,VLOOKUP(G448,MOVE_DOWN2,2,FALSE),FALSE),VLOOKUP(G448,NGPREVPRICES,3,FALSE),HLOOKUP(D448,Correllate,VLOOKUP(G448,CorMove,2,FALSE),FALSE),Q448-$CD$3,R448,$CJ$5)*H448-CJ448</f>
        <v>0</v>
      </c>
      <c r="CF448" s="10">
        <f t="shared" si="495"/>
        <v>-2.3299692392301949</v>
      </c>
      <c r="CG448" s="234">
        <f>_xll.xSPRDOPT((VLOOKUP(G448,NGPREVPRICES,2,FALSE)+HLOOKUP(D448,PREVCURVES,VLOOKUP(G448,MOVE_DOWN2,2,FALSE),FALSE)),VLOOKUP(G448,NGPREVPRICES,2,FALSE),CK448,VLOOKUP(G448,NGPREVPRICES,4,FALSE),HLOOKUP(D448,VOLS,VLOOKUP(G448,move_down,2,FALSE),FALSE),VLOOKUP(G448,NGPrices,3,FALSE),HLOOKUP(D448,Correllate,VLOOKUP(G448,CorMove,2,FALSE),FALSE),Q448-$CD$3,R448,$CJ$5)*H448-CJ448</f>
        <v>0</v>
      </c>
      <c r="CH448" s="234">
        <f>_xll.xSPRDOPT((VLOOKUP(G448,NGPREVPRICES,2,FALSE)+HLOOKUP(D448,PREVCURVES,VLOOKUP(G448,MOVE_DOWN2,2,FALSE),FALSE)),VLOOKUP(G448,NGPREVPRICES,2,FALSE),CK448,VLOOKUP(G448,NGPREVPRICES,4,FALSE),HLOOKUP(D448,PREVVOLS,VLOOKUP(G448,MOVE_DOWN2,2,FALSE),FALSE),VLOOKUP(G448,NGPREVPRICES,3,FALSE),HLOOKUP(D448,Correllate,VLOOKUP(G448,CorMove,2,FALSE),FALSE),Q448-$C$3,R448,$CJ$5)*H448-CJ448</f>
        <v>-258.97613798898601</v>
      </c>
      <c r="CI448" s="234">
        <f t="shared" si="496"/>
        <v>-261.30610722821621</v>
      </c>
      <c r="CJ448" s="234">
        <f>_xll.xSPRDOPT((VLOOKUP(G448,NGPREVPRICES,2,FALSE)+HLOOKUP(D448,PREVCURVES,VLOOKUP(G448,MOVE_DOWN2,2,FALSE),FALSE)),VLOOKUP(G448,NGPREVPRICES,2,FALSE),CK448,VLOOKUP(G448,NGPREVPRICES,4,FALSE),HLOOKUP(D448,PREVVOLS,VLOOKUP(G448,MOVE_DOWN2,2,FALSE),FALSE),VLOOKUP(G448,NGPREVPRICES,3,FALSE),HLOOKUP(D448,Correllate,VLOOKUP(G448,CorMove,2,FALSE),FALSE),Q448-$CD$3,R448,$CJ$5)*H448</f>
        <v>12546.234127663647</v>
      </c>
      <c r="CK448" s="235">
        <f t="shared" si="497"/>
        <v>-0.1</v>
      </c>
      <c r="CM448" t="str">
        <f t="shared" si="498"/>
        <v>36831Curve Shift/Gamma</v>
      </c>
      <c r="CN448" t="str">
        <f t="shared" si="499"/>
        <v>36831Rho</v>
      </c>
      <c r="CO448" t="str">
        <f t="shared" si="500"/>
        <v>36831Drift</v>
      </c>
      <c r="CP448" t="str">
        <f t="shared" si="501"/>
        <v>36831Vega</v>
      </c>
      <c r="CQ448" t="str">
        <f t="shared" si="502"/>
        <v>36831Theta</v>
      </c>
    </row>
    <row r="449" spans="1:95" x14ac:dyDescent="0.25">
      <c r="A449" s="140" t="s">
        <v>284</v>
      </c>
      <c r="B449" t="s">
        <v>250</v>
      </c>
      <c r="C449" t="s">
        <v>491</v>
      </c>
      <c r="D449" s="4" t="s">
        <v>190</v>
      </c>
      <c r="E449" t="s">
        <v>20</v>
      </c>
      <c r="F449" t="s">
        <v>21</v>
      </c>
      <c r="G449" s="5">
        <v>36951</v>
      </c>
      <c r="H449" s="130">
        <v>155000</v>
      </c>
      <c r="I449">
        <v>0.2</v>
      </c>
      <c r="J449" s="53">
        <f t="shared" si="464"/>
        <v>4.2130000000000001</v>
      </c>
      <c r="K449" s="7">
        <f t="shared" si="465"/>
        <v>0.59750000000000003</v>
      </c>
      <c r="L449" s="53">
        <f t="shared" si="466"/>
        <v>4.8105000000000002</v>
      </c>
      <c r="M449" s="157">
        <f>VLOOKUP(G449,NGPrices,4,FALSE)</f>
        <v>6.8879814952706994E-2</v>
      </c>
      <c r="N449" s="4">
        <f>VLOOKUP(G449,NGPrices,3,FALSE)</f>
        <v>0.53249999999999997</v>
      </c>
      <c r="O449" s="4">
        <f>HLOOKUP(D449,VOLS,VLOOKUP(G449,move_down,2,FALSE),FALSE)</f>
        <v>0.51700000000000002</v>
      </c>
      <c r="P449" s="9">
        <f>HLOOKUP(D449,Correllate,VLOOKUP(G449,CorMove,2,FALSE),FALSE)</f>
        <v>0.85</v>
      </c>
      <c r="Q449" s="5">
        <f t="shared" si="458"/>
        <v>36949</v>
      </c>
      <c r="R449" s="4">
        <f>IF(F449="P",0,1)</f>
        <v>1</v>
      </c>
      <c r="S449" s="158">
        <f>_xll.xSPRDOPT($L449,$J449,$I449,$M449,$O449,$N449,$P449,$Q449-$C$3,$R449,0)</f>
        <v>0.57682170592015281</v>
      </c>
      <c r="T449" s="159">
        <f>_xll.xSPRDOPT($L449,$J449,$I449,$M449,$O449,$N449,$P449,$Q449-$C$3,$R449,1)*H449</f>
        <v>105378.15118302921</v>
      </c>
      <c r="U449" s="160">
        <f>S449*H449</f>
        <v>89407.364417623685</v>
      </c>
      <c r="V449" s="159">
        <f>_xll.xSPRDOPT($L449,$J449,$I449,$M449,$O449,$N449,$P449,$Q449-$C$3,$R449,2)*H449</f>
        <v>-94379.913919448591</v>
      </c>
      <c r="W449" s="159">
        <f>+V449+T449</f>
        <v>10998.237263580624</v>
      </c>
      <c r="X449" s="51" t="str">
        <f t="shared" si="484"/>
        <v>36951NGI-SOCAL</v>
      </c>
      <c r="Y449" s="418">
        <f t="shared" si="485"/>
        <v>15.5</v>
      </c>
      <c r="Z449" s="456">
        <f t="shared" si="486"/>
        <v>0.67985903989051111</v>
      </c>
      <c r="AA449" s="456">
        <f>_xll.xSPRDOPT($L449,$J449,$I449,$M449,$O449,$N449,$P449,$Q449-$C$3,$R449,3)</f>
        <v>0.34995008483250378</v>
      </c>
      <c r="AB449" s="456">
        <f>((_xll.xSPRDOPT($L449+AB$5,$J449,$I449,$M449,$O449,$N449,$P449,$Q449-$C$3,$R449,3)*$H449)/10000)/100</f>
        <v>5.4242263149038086E-2</v>
      </c>
      <c r="AC449" s="456">
        <f>((_xll.xSPRDOPT($L449+$AB$5,$J449,$I449,$M449,$O449,$N449,$P449,$Q449-$C$3,$R449,7)*$H449)/100)</f>
        <v>-1646.204642254723</v>
      </c>
      <c r="AD449" s="456">
        <f>(_xll.xSPRDOPT($L449+$AB$5,$J449,$I449,$M449,$O449,$N449,$P449,$Q449-$C$3,$R449,9)/365)*$H449</f>
        <v>-119.1270968193393</v>
      </c>
      <c r="AE449">
        <f t="shared" si="462"/>
        <v>0</v>
      </c>
      <c r="AF449" s="456">
        <f t="shared" si="463"/>
        <v>929.01164368860373</v>
      </c>
      <c r="AG449" s="456">
        <f>((_xll.xSPRDOPT($L449,$J449,$I449,$M449,$O449,$N449,$P449,$Q449-$C$3,$R449,6)*$H449)/100)</f>
        <v>417.25044167891656</v>
      </c>
      <c r="AH449" s="456">
        <f>((_xll.xSPRDOPT($L449,$J449,$I449,$M449,$O449,$N449,$P449,$Q449-$C$3,$R449,5)*$H449)/100)</f>
        <v>527.10413940069327</v>
      </c>
      <c r="AI449" s="456">
        <f>(((_xll.xSPRDOPT($L449,$J449,$I449,$M449,$O449,$N449,$P449,$Q449-$C$3,$R449,4)*$H449)/10000)/100)-AB449</f>
        <v>1.0412938695667423E-2</v>
      </c>
      <c r="AJ449" s="456"/>
      <c r="AK449" s="456"/>
      <c r="AL449" s="456"/>
      <c r="AM449" s="472"/>
      <c r="CC449" s="141">
        <f t="shared" si="494"/>
        <v>36951</v>
      </c>
      <c r="CD449" s="234">
        <f>_xll.xSPRDOPT((VLOOKUP(G449,NGPrices,2,FALSE)+HLOOKUP(D449,Prices,VLOOKUP(G449,move_down,2,FALSE),FALSE)),VLOOKUP(G449,NGPrices,2,FALSE),I449,VLOOKUP(G449,NGPREVPRICES,4,FALSE),HLOOKUP(D449,PREVVOLS,VLOOKUP(G449,MOVE_DOWN2,2,FALSE),FALSE),VLOOKUP(G449,NGPREVPRICES,3,FALSE),HLOOKUP(D449,Correllate,VLOOKUP(G449,CorMove,2,FALSE),FALSE),Q449-$CD$3,R449,$CD$5)*H449-CJ449</f>
        <v>0</v>
      </c>
      <c r="CE449" s="234">
        <f>_xll.xSPRDOPT((VLOOKUP(G449,NGPREVPRICES,2,FALSE)+HLOOKUP(D449,PREVCURVES,VLOOKUP(G449,MOVE_DOWN2,2,FALSE),FALSE)),VLOOKUP(G449,NGPREVPRICES,2,FALSE),CK449,VLOOKUP(G449,NGPrices,4,FALSE),HLOOKUP(D449,PREVVOLS,VLOOKUP(G449,MOVE_DOWN2,2,FALSE),FALSE),VLOOKUP(G449,NGPREVPRICES,3,FALSE),HLOOKUP(D449,Correllate,VLOOKUP(G449,CorMove,2,FALSE),FALSE),Q449-$CD$3,R449,$CJ$5)*H449-CJ449</f>
        <v>0</v>
      </c>
      <c r="CF449" s="10">
        <f t="shared" si="495"/>
        <v>-17.169793643799494</v>
      </c>
      <c r="CG449" s="234">
        <f>_xll.xSPRDOPT((VLOOKUP(G449,NGPREVPRICES,2,FALSE)+HLOOKUP(D449,PREVCURVES,VLOOKUP(G449,MOVE_DOWN2,2,FALSE),FALSE)),VLOOKUP(G449,NGPREVPRICES,2,FALSE),CK449,VLOOKUP(G449,NGPREVPRICES,4,FALSE),HLOOKUP(D449,VOLS,VLOOKUP(G449,move_down,2,FALSE),FALSE),VLOOKUP(G449,NGPrices,3,FALSE),HLOOKUP(D449,Correllate,VLOOKUP(G449,CorMove,2,FALSE),FALSE),Q449-$CD$3,R449,$CJ$5)*H449-CJ449</f>
        <v>0</v>
      </c>
      <c r="CH449" s="234">
        <f>_xll.xSPRDOPT((VLOOKUP(G449,NGPREVPRICES,2,FALSE)+HLOOKUP(D449,PREVCURVES,VLOOKUP(G449,MOVE_DOWN2,2,FALSE),FALSE)),VLOOKUP(G449,NGPREVPRICES,2,FALSE),CK449,VLOOKUP(G449,NGPREVPRICES,4,FALSE),HLOOKUP(D449,PREVVOLS,VLOOKUP(G449,MOVE_DOWN2,2,FALSE),FALSE),VLOOKUP(G449,NGPREVPRICES,3,FALSE),HLOOKUP(D449,Correllate,VLOOKUP(G449,CorMove,2,FALSE),FALSE),Q449-$C$3,R449,$CJ$5)*H449-CJ449</f>
        <v>-118.86882463657821</v>
      </c>
      <c r="CI449" s="234">
        <f t="shared" si="496"/>
        <v>-136.0386182803777</v>
      </c>
      <c r="CJ449" s="234">
        <f>_xll.xSPRDOPT((VLOOKUP(G449,NGPREVPRICES,2,FALSE)+HLOOKUP(D449,PREVCURVES,VLOOKUP(G449,MOVE_DOWN2,2,FALSE),FALSE)),VLOOKUP(G449,NGPREVPRICES,2,FALSE),CK449,VLOOKUP(G449,NGPREVPRICES,4,FALSE),HLOOKUP(D449,PREVVOLS,VLOOKUP(G449,MOVE_DOWN2,2,FALSE),FALSE),VLOOKUP(G449,NGPREVPRICES,3,FALSE),HLOOKUP(D449,Correllate,VLOOKUP(G449,CorMove,2,FALSE),FALSE),Q449-$CD$3,R449,$CJ$5)*H449</f>
        <v>89526.233242260263</v>
      </c>
      <c r="CK449" s="235">
        <f t="shared" si="497"/>
        <v>0.2</v>
      </c>
      <c r="CM449" t="str">
        <f t="shared" si="498"/>
        <v>36951Curve Shift/Gamma</v>
      </c>
      <c r="CN449" t="str">
        <f t="shared" si="499"/>
        <v>36951Rho</v>
      </c>
      <c r="CO449" t="str">
        <f t="shared" si="500"/>
        <v>36951Drift</v>
      </c>
      <c r="CP449" t="str">
        <f t="shared" si="501"/>
        <v>36951Vega</v>
      </c>
      <c r="CQ449" t="str">
        <f t="shared" si="502"/>
        <v>36951Theta</v>
      </c>
    </row>
    <row r="450" spans="1:95" x14ac:dyDescent="0.25">
      <c r="A450" s="140" t="s">
        <v>284</v>
      </c>
      <c r="B450" t="s">
        <v>250</v>
      </c>
      <c r="C450" t="s">
        <v>491</v>
      </c>
      <c r="D450" s="4" t="s">
        <v>190</v>
      </c>
      <c r="E450" t="s">
        <v>20</v>
      </c>
      <c r="F450" t="s">
        <v>21</v>
      </c>
      <c r="G450" s="5">
        <v>36923</v>
      </c>
      <c r="H450" s="130">
        <v>140000</v>
      </c>
      <c r="I450">
        <v>0.2</v>
      </c>
      <c r="J450" s="53">
        <f t="shared" si="464"/>
        <v>4.4800000000000004</v>
      </c>
      <c r="K450" s="7">
        <f t="shared" si="465"/>
        <v>0.61750000000000005</v>
      </c>
      <c r="L450" s="53">
        <f t="shared" si="466"/>
        <v>5.0975000000000001</v>
      </c>
      <c r="M450" s="157">
        <f>VLOOKUP(G450,NGPrices,4,FALSE)</f>
        <v>6.8640161611372E-2</v>
      </c>
      <c r="N450" s="4">
        <f>VLOOKUP(G450,NGPrices,3,FALSE)</f>
        <v>0.59250000000000003</v>
      </c>
      <c r="O450" s="4">
        <f>HLOOKUP(D450,VOLS,VLOOKUP(G450,move_down,2,FALSE),FALSE)</f>
        <v>0.57499999999999996</v>
      </c>
      <c r="P450" s="9">
        <f>HLOOKUP(D450,Correllate,VLOOKUP(G450,CorMove,2,FALSE),FALSE)</f>
        <v>0.85</v>
      </c>
      <c r="Q450" s="5">
        <f t="shared" si="458"/>
        <v>36921</v>
      </c>
      <c r="R450" s="4">
        <f>IF(F450="P",0,1)</f>
        <v>1</v>
      </c>
      <c r="S450" s="158">
        <f>_xll.xSPRDOPT($L450,$J450,$I450,$M450,$O450,$N450,$P450,$Q450-$C$3,$R450,0)</f>
        <v>0.62061488922896846</v>
      </c>
      <c r="T450" s="159">
        <f>_xll.xSPRDOPT($L450,$J450,$I450,$M450,$O450,$N450,$P450,$Q450-$C$3,$R450,1)*H450</f>
        <v>95134.413686548418</v>
      </c>
      <c r="U450" s="160">
        <f>S450*H450</f>
        <v>86886.084492055583</v>
      </c>
      <c r="V450" s="159">
        <f>_xll.xSPRDOPT($L450,$J450,$I450,$M450,$O450,$N450,$P450,$Q450-$C$3,$R450,2)*H450</f>
        <v>-84848.702432005244</v>
      </c>
      <c r="W450" s="159">
        <f>+V450+T450</f>
        <v>10285.711254543174</v>
      </c>
      <c r="X450" s="51" t="str">
        <f t="shared" si="484"/>
        <v>36923NGI-SOCAL</v>
      </c>
      <c r="Y450" s="418">
        <f t="shared" si="485"/>
        <v>14</v>
      </c>
      <c r="Z450" s="456">
        <f t="shared" si="486"/>
        <v>0.6795315263324887</v>
      </c>
      <c r="AA450" s="456">
        <f>_xll.xSPRDOPT($L450,$J450,$I450,$M450,$O450,$N450,$P450,$Q450-$C$3,$R450,3)</f>
        <v>0.32613613781435152</v>
      </c>
      <c r="AB450" s="456">
        <f>((_xll.xSPRDOPT($L450+AB$5,$J450,$I450,$M450,$O450,$N450,$P450,$Q450-$C$3,$R450,3)*$H450)/10000)/100</f>
        <v>4.5659059294009215E-2</v>
      </c>
      <c r="AC450" s="456">
        <f>((_xll.xSPRDOPT($L450+$AB$5,$J450,$I450,$M450,$O450,$N450,$P450,$Q450-$C$3,$R450,7)*$H450)/100)</f>
        <v>-1633.5953673173351</v>
      </c>
      <c r="AD450" s="456">
        <f>(_xll.xSPRDOPT($L450+$AB$5,$J450,$I450,$M450,$O450,$N450,$P450,$Q450-$C$3,$R450,9)/365)*$H450</f>
        <v>-143.1012150026331</v>
      </c>
      <c r="AE450">
        <f t="shared" si="462"/>
        <v>0</v>
      </c>
      <c r="AF450" s="456">
        <f t="shared" si="463"/>
        <v>828.25471163587008</v>
      </c>
      <c r="AG450" s="456">
        <f>((_xll.xSPRDOPT($L450,$J450,$I450,$M450,$O450,$N450,$P450,$Q450-$C$3,$R450,6)*$H450)/100)</f>
        <v>380.42535607472439</v>
      </c>
      <c r="AH450" s="456">
        <f>((_xll.xSPRDOPT($L450,$J450,$I450,$M450,$O450,$N450,$P450,$Q450-$C$3,$R450,5)*$H450)/100)</f>
        <v>461.45894464344144</v>
      </c>
      <c r="AI450" s="456">
        <f>(((_xll.xSPRDOPT($L450,$J450,$I450,$M450,$O450,$N450,$P450,$Q450-$C$3,$R450,4)*$H450)/10000)/100)-AB450</f>
        <v>8.669691255974471E-3</v>
      </c>
      <c r="AJ450" s="456"/>
      <c r="AK450" s="456"/>
      <c r="AL450" s="456"/>
      <c r="AM450" s="472"/>
      <c r="CC450" s="141">
        <f t="shared" si="494"/>
        <v>36923</v>
      </c>
      <c r="CD450" s="234">
        <f>_xll.xSPRDOPT((VLOOKUP(G450,NGPrices,2,FALSE)+HLOOKUP(D450,Prices,VLOOKUP(G450,move_down,2,FALSE),FALSE)),VLOOKUP(G450,NGPrices,2,FALSE),I450,VLOOKUP(G450,NGPREVPRICES,4,FALSE),HLOOKUP(D450,PREVVOLS,VLOOKUP(G450,MOVE_DOWN2,2,FALSE),FALSE),VLOOKUP(G450,NGPREVPRICES,3,FALSE),HLOOKUP(D450,Correllate,VLOOKUP(G450,CorMove,2,FALSE),FALSE),Q450-$CD$3,R450,$CD$5)*H450-CJ450</f>
        <v>0</v>
      </c>
      <c r="CE450" s="234">
        <f>_xll.xSPRDOPT((VLOOKUP(G450,NGPREVPRICES,2,FALSE)+HLOOKUP(D450,PREVCURVES,VLOOKUP(G450,MOVE_DOWN2,2,FALSE),FALSE)),VLOOKUP(G450,NGPREVPRICES,2,FALSE),CK450,VLOOKUP(G450,NGPrices,4,FALSE),HLOOKUP(D450,PREVVOLS,VLOOKUP(G450,MOVE_DOWN2,2,FALSE),FALSE),VLOOKUP(G450,NGPREVPRICES,3,FALSE),HLOOKUP(D450,Correllate,VLOOKUP(G450,CorMove,2,FALSE),FALSE),Q450-$CD$3,R450,$CJ$5)*H450-CJ450</f>
        <v>0</v>
      </c>
      <c r="CF450" s="10">
        <f t="shared" si="495"/>
        <v>-16.551882441461203</v>
      </c>
      <c r="CG450" s="234">
        <f>_xll.xSPRDOPT((VLOOKUP(G450,NGPREVPRICES,2,FALSE)+HLOOKUP(D450,PREVCURVES,VLOOKUP(G450,MOVE_DOWN2,2,FALSE),FALSE)),VLOOKUP(G450,NGPREVPRICES,2,FALSE),CK450,VLOOKUP(G450,NGPREVPRICES,4,FALSE),HLOOKUP(D450,VOLS,VLOOKUP(G450,move_down,2,FALSE),FALSE),VLOOKUP(G450,NGPrices,3,FALSE),HLOOKUP(D450,Correllate,VLOOKUP(G450,CorMove,2,FALSE),FALSE),Q450-$CD$3,R450,$CJ$5)*H450-CJ450</f>
        <v>0</v>
      </c>
      <c r="CH450" s="234">
        <f>_xll.xSPRDOPT((VLOOKUP(G450,NGPREVPRICES,2,FALSE)+HLOOKUP(D450,PREVCURVES,VLOOKUP(G450,MOVE_DOWN2,2,FALSE),FALSE)),VLOOKUP(G450,NGPREVPRICES,2,FALSE),CK450,VLOOKUP(G450,NGPREVPRICES,4,FALSE),HLOOKUP(D450,PREVVOLS,VLOOKUP(G450,MOVE_DOWN2,2,FALSE),FALSE),VLOOKUP(G450,NGPREVPRICES,3,FALSE),HLOOKUP(D450,Correllate,VLOOKUP(G450,CorMove,2,FALSE),FALSE),Q450-$C$3,R450,$CJ$5)*H450-CJ450</f>
        <v>-142.7600822946988</v>
      </c>
      <c r="CI450" s="234">
        <f t="shared" si="496"/>
        <v>-159.31196473616001</v>
      </c>
      <c r="CJ450" s="234">
        <f>_xll.xSPRDOPT((VLOOKUP(G450,NGPREVPRICES,2,FALSE)+HLOOKUP(D450,PREVCURVES,VLOOKUP(G450,MOVE_DOWN2,2,FALSE),FALSE)),VLOOKUP(G450,NGPREVPRICES,2,FALSE),CK450,VLOOKUP(G450,NGPREVPRICES,4,FALSE),HLOOKUP(D450,PREVVOLS,VLOOKUP(G450,MOVE_DOWN2,2,FALSE),FALSE),VLOOKUP(G450,NGPREVPRICES,3,FALSE),HLOOKUP(D450,Correllate,VLOOKUP(G450,CorMove,2,FALSE),FALSE),Q450-$CD$3,R450,$CJ$5)*H450</f>
        <v>87028.844574350282</v>
      </c>
      <c r="CK450" s="235">
        <f t="shared" si="497"/>
        <v>0.2</v>
      </c>
      <c r="CM450" t="str">
        <f t="shared" si="498"/>
        <v>36923Curve Shift/Gamma</v>
      </c>
      <c r="CN450" t="str">
        <f t="shared" si="499"/>
        <v>36923Rho</v>
      </c>
      <c r="CO450" t="str">
        <f t="shared" si="500"/>
        <v>36923Drift</v>
      </c>
      <c r="CP450" t="str">
        <f t="shared" si="501"/>
        <v>36923Vega</v>
      </c>
      <c r="CQ450" t="str">
        <f t="shared" si="502"/>
        <v>36923Theta</v>
      </c>
    </row>
    <row r="451" spans="1:95" x14ac:dyDescent="0.25">
      <c r="A451" s="140" t="s">
        <v>284</v>
      </c>
      <c r="B451" t="s">
        <v>250</v>
      </c>
      <c r="C451" t="s">
        <v>491</v>
      </c>
      <c r="D451" s="4" t="s">
        <v>190</v>
      </c>
      <c r="E451" t="s">
        <v>20</v>
      </c>
      <c r="F451" t="s">
        <v>21</v>
      </c>
      <c r="G451" s="5">
        <v>36892</v>
      </c>
      <c r="H451" s="130">
        <v>155000</v>
      </c>
      <c r="I451">
        <v>0.2</v>
      </c>
      <c r="J451" s="53">
        <f t="shared" si="464"/>
        <v>4.7439999999999998</v>
      </c>
      <c r="K451" s="7">
        <f t="shared" si="465"/>
        <v>0.76749999999999996</v>
      </c>
      <c r="L451" s="53">
        <f t="shared" si="466"/>
        <v>5.5114999999999998</v>
      </c>
      <c r="M451" s="157">
        <f t="shared" ref="M451:M460" si="510">VLOOKUP(G451,NGPrices,4,FALSE)</f>
        <v>6.8374831148490994E-2</v>
      </c>
      <c r="N451" s="4">
        <f t="shared" ref="N451:N460" si="511">VLOOKUP(G451,NGPrices,3,FALSE)</f>
        <v>0.60499999999999998</v>
      </c>
      <c r="O451" s="4">
        <f t="shared" ref="O451:O460" si="512">HLOOKUP(D451,VOLS,VLOOKUP(G451,move_down,2,FALSE),FALSE)</f>
        <v>0.58699999999999997</v>
      </c>
      <c r="P451" s="9">
        <f t="shared" ref="P451:P460" si="513">HLOOKUP(D451,Correllate,VLOOKUP(G451,CorMove,2,FALSE),FALSE)</f>
        <v>0.85</v>
      </c>
      <c r="Q451" s="5">
        <f t="shared" si="458"/>
        <v>36888</v>
      </c>
      <c r="R451" s="4">
        <f t="shared" ref="R451:R460" si="514">IF(F451="P",0,1)</f>
        <v>1</v>
      </c>
      <c r="S451" s="158">
        <f>_xll.xSPRDOPT($L451,$J451,$I451,$M451,$O451,$N451,$P451,$Q451-$C$3,$R451,0)</f>
        <v>0.7155463028512834</v>
      </c>
      <c r="T451" s="159">
        <f>_xll.xSPRDOPT($L451,$J451,$I451,$M451,$O451,$N451,$P451,$Q451-$C$3,$R451,1)*H451</f>
        <v>114049.92148043605</v>
      </c>
      <c r="U451" s="160">
        <f t="shared" ref="U451:U460" si="515">S451*H451</f>
        <v>110909.67694194893</v>
      </c>
      <c r="V451" s="159">
        <f>_xll.xSPRDOPT($L451,$J451,$I451,$M451,$O451,$N451,$P451,$Q451-$C$3,$R451,2)*H451</f>
        <v>-104520.67601827458</v>
      </c>
      <c r="W451" s="159">
        <f t="shared" ref="W451:W460" si="516">+V451+T451</f>
        <v>9529.2454621614743</v>
      </c>
      <c r="X451" s="51" t="str">
        <f t="shared" ref="X451:X482" si="517">CONCATENATE(G451,D451)</f>
        <v>36892NGI-SOCAL</v>
      </c>
      <c r="Y451" s="418">
        <f t="shared" ref="Y451:Y482" si="518">H451/10000</f>
        <v>15.5</v>
      </c>
      <c r="Z451" s="456">
        <f t="shared" ref="Z451:Z482" si="519">T451/H451</f>
        <v>0.73580594503507135</v>
      </c>
      <c r="AA451" s="456">
        <f>_xll.xSPRDOPT($L451,$J451,$I451,$M451,$O451,$N451,$P451,$Q451-$C$3,$R451,3)</f>
        <v>0.3041827553217113</v>
      </c>
      <c r="AB451" s="456">
        <f>((_xll.xSPRDOPT($L451+AB$5,$J451,$I451,$M451,$O451,$N451,$P451,$Q451-$C$3,$R451,3)*$H451)/10000)/100</f>
        <v>4.714832707486525E-2</v>
      </c>
      <c r="AC451" s="456">
        <f>((_xll.xSPRDOPT($L451+$AB$5,$J451,$I451,$M451,$O451,$N451,$P451,$Q451-$C$3,$R451,7)*$H451)/100)</f>
        <v>-1619.7433950663267</v>
      </c>
      <c r="AD451" s="456">
        <f>(_xll.xSPRDOPT($L451+$AB$5,$J451,$I451,$M451,$O451,$N451,$P451,$Q451-$C$3,$R451,9)/365)*$H451</f>
        <v>-180.33359783882119</v>
      </c>
      <c r="AE451">
        <f t="shared" si="462"/>
        <v>0</v>
      </c>
      <c r="AF451" s="456">
        <f t="shared" si="463"/>
        <v>803.88986624820654</v>
      </c>
      <c r="AG451" s="456">
        <f>((_xll.xSPRDOPT($L451,$J451,$I451,$M451,$O451,$N451,$P451,$Q451-$C$3,$R451,6)*$H451)/100)</f>
        <v>377.33045613779808</v>
      </c>
      <c r="AH451" s="456">
        <f>((_xll.xSPRDOPT($L451,$J451,$I451,$M451,$O451,$N451,$P451,$Q451-$C$3,$R451,5)*$H451)/100)</f>
        <v>439.63959645110242</v>
      </c>
      <c r="AI451" s="456">
        <f>(((_xll.xSPRDOPT($L451,$J451,$I451,$M451,$O451,$N451,$P451,$Q451-$C$3,$R451,4)*$H451)/10000)/100)-AB451</f>
        <v>1.1668038798490481E-2</v>
      </c>
      <c r="AJ451" s="456"/>
      <c r="AK451" s="456"/>
      <c r="AL451" s="456"/>
      <c r="AM451" s="472"/>
      <c r="CC451" s="141">
        <f t="shared" si="494"/>
        <v>36892</v>
      </c>
      <c r="CD451" s="234">
        <f>_xll.xSPRDOPT((VLOOKUP(G451,NGPrices,2,FALSE)+HLOOKUP(D451,Prices,VLOOKUP(G451,move_down,2,FALSE),FALSE)),VLOOKUP(G451,NGPrices,2,FALSE),I451,VLOOKUP(G451,NGPREVPRICES,4,FALSE),HLOOKUP(D451,PREVVOLS,VLOOKUP(G451,MOVE_DOWN2,2,FALSE),FALSE),VLOOKUP(G451,NGPREVPRICES,3,FALSE),HLOOKUP(D451,Correllate,VLOOKUP(G451,CorMove,2,FALSE),FALSE),Q451-$CD$3,R451,$CD$5)*H451-CJ451</f>
        <v>0</v>
      </c>
      <c r="CE451" s="234">
        <f>_xll.xSPRDOPT((VLOOKUP(G451,NGPREVPRICES,2,FALSE)+HLOOKUP(D451,PREVCURVES,VLOOKUP(G451,MOVE_DOWN2,2,FALSE),FALSE)),VLOOKUP(G451,NGPREVPRICES,2,FALSE),CK451,VLOOKUP(G451,NGPrices,4,FALSE),HLOOKUP(D451,PREVVOLS,VLOOKUP(G451,MOVE_DOWN2,2,FALSE),FALSE),VLOOKUP(G451,NGPREVPRICES,3,FALSE),HLOOKUP(D451,Correllate,VLOOKUP(G451,CorMove,2,FALSE),FALSE),Q451-$CD$3,R451,$CJ$5)*H451-CJ451</f>
        <v>0</v>
      </c>
      <c r="CF451" s="10">
        <f t="shared" si="495"/>
        <v>-20.933849431879935</v>
      </c>
      <c r="CG451" s="234">
        <f>_xll.xSPRDOPT((VLOOKUP(G451,NGPREVPRICES,2,FALSE)+HLOOKUP(D451,PREVCURVES,VLOOKUP(G451,MOVE_DOWN2,2,FALSE),FALSE)),VLOOKUP(G451,NGPREVPRICES,2,FALSE),CK451,VLOOKUP(G451,NGPREVPRICES,4,FALSE),HLOOKUP(D451,VOLS,VLOOKUP(G451,move_down,2,FALSE),FALSE),VLOOKUP(G451,NGPrices,3,FALSE),HLOOKUP(D451,Correllate,VLOOKUP(G451,CorMove,2,FALSE),FALSE),Q451-$CD$3,R451,$CJ$5)*H451-CJ451</f>
        <v>0</v>
      </c>
      <c r="CH451" s="234">
        <f>_xll.xSPRDOPT((VLOOKUP(G451,NGPREVPRICES,2,FALSE)+HLOOKUP(D451,PREVCURVES,VLOOKUP(G451,MOVE_DOWN2,2,FALSE),FALSE)),VLOOKUP(G451,NGPREVPRICES,2,FALSE),CK451,VLOOKUP(G451,NGPREVPRICES,4,FALSE),HLOOKUP(D451,PREVVOLS,VLOOKUP(G451,MOVE_DOWN2,2,FALSE),FALSE),VLOOKUP(G451,NGPREVPRICES,3,FALSE),HLOOKUP(D451,Correllate,VLOOKUP(G451,CorMove,2,FALSE),FALSE),Q451-$C$3,R451,$CJ$5)*H451-CJ451</f>
        <v>-179.90119627035165</v>
      </c>
      <c r="CI451" s="234">
        <f t="shared" si="496"/>
        <v>-200.83504570223158</v>
      </c>
      <c r="CJ451" s="234">
        <f>_xll.xSPRDOPT((VLOOKUP(G451,NGPREVPRICES,2,FALSE)+HLOOKUP(D451,PREVCURVES,VLOOKUP(G451,MOVE_DOWN2,2,FALSE),FALSE)),VLOOKUP(G451,NGPREVPRICES,2,FALSE),CK451,VLOOKUP(G451,NGPREVPRICES,4,FALSE),HLOOKUP(D451,PREVVOLS,VLOOKUP(G451,MOVE_DOWN2,2,FALSE),FALSE),VLOOKUP(G451,NGPREVPRICES,3,FALSE),HLOOKUP(D451,Correllate,VLOOKUP(G451,CorMove,2,FALSE),FALSE),Q451-$CD$3,R451,$CJ$5)*H451</f>
        <v>111089.57813821928</v>
      </c>
      <c r="CK451" s="235">
        <f t="shared" si="497"/>
        <v>0.2</v>
      </c>
      <c r="CM451" t="str">
        <f t="shared" si="498"/>
        <v>36892Curve Shift/Gamma</v>
      </c>
      <c r="CN451" t="str">
        <f t="shared" si="499"/>
        <v>36892Rho</v>
      </c>
      <c r="CO451" t="str">
        <f t="shared" si="500"/>
        <v>36892Drift</v>
      </c>
      <c r="CP451" t="str">
        <f t="shared" si="501"/>
        <v>36892Vega</v>
      </c>
      <c r="CQ451" t="str">
        <f t="shared" si="502"/>
        <v>36892Theta</v>
      </c>
    </row>
    <row r="452" spans="1:95" x14ac:dyDescent="0.25">
      <c r="A452" s="140" t="s">
        <v>284</v>
      </c>
      <c r="B452" t="s">
        <v>250</v>
      </c>
      <c r="C452" t="s">
        <v>491</v>
      </c>
      <c r="D452" s="4" t="s">
        <v>190</v>
      </c>
      <c r="E452" t="s">
        <v>20</v>
      </c>
      <c r="F452" t="s">
        <v>21</v>
      </c>
      <c r="G452" s="5">
        <v>36861</v>
      </c>
      <c r="H452" s="130">
        <v>155000</v>
      </c>
      <c r="I452">
        <v>0.2</v>
      </c>
      <c r="J452" s="53">
        <f t="shared" si="464"/>
        <v>4.8</v>
      </c>
      <c r="K452" s="7">
        <f t="shared" si="465"/>
        <v>1.0049999999999999</v>
      </c>
      <c r="L452" s="53">
        <f t="shared" si="466"/>
        <v>5.8049999999999997</v>
      </c>
      <c r="M452" s="157">
        <f t="shared" si="510"/>
        <v>6.8314027999354002E-2</v>
      </c>
      <c r="N452" s="4">
        <f t="shared" si="511"/>
        <v>0.6</v>
      </c>
      <c r="O452" s="4">
        <f t="shared" si="512"/>
        <v>0.58199999999999996</v>
      </c>
      <c r="P452" s="9">
        <f t="shared" si="513"/>
        <v>0.85</v>
      </c>
      <c r="Q452" s="5">
        <f t="shared" si="458"/>
        <v>36859</v>
      </c>
      <c r="R452" s="4">
        <f t="shared" si="514"/>
        <v>1</v>
      </c>
      <c r="S452" s="158">
        <f>_xll.xSPRDOPT($L452,$J452,$I452,$M452,$O452,$N452,$P452,$Q452-$C$3,$R452,0)</f>
        <v>0.87022864767690866</v>
      </c>
      <c r="T452" s="159">
        <f>_xll.xSPRDOPT($L452,$J452,$I452,$M452,$O452,$N452,$P452,$Q452-$C$3,$R452,1)*H452</f>
        <v>128821.07339640813</v>
      </c>
      <c r="U452" s="160">
        <f t="shared" si="515"/>
        <v>134885.44038992084</v>
      </c>
      <c r="V452" s="159">
        <f>_xll.xSPRDOPT($L452,$J452,$I452,$M452,$O452,$N452,$P452,$Q452-$C$3,$R452,2)*H452</f>
        <v>-122457.43903892311</v>
      </c>
      <c r="W452" s="159">
        <f t="shared" si="516"/>
        <v>6363.634357485018</v>
      </c>
      <c r="X452" s="51" t="str">
        <f t="shared" si="517"/>
        <v>36861NGI-SOCAL</v>
      </c>
      <c r="Y452" s="418">
        <f t="shared" si="518"/>
        <v>15.5</v>
      </c>
      <c r="Z452" s="456">
        <f t="shared" si="519"/>
        <v>0.83110369933166539</v>
      </c>
      <c r="AA452" s="456">
        <f>_xll.xSPRDOPT($L452,$J452,$I452,$M452,$O452,$N452,$P452,$Q452-$C$3,$R452,3)</f>
        <v>0.25255637924462004</v>
      </c>
      <c r="AB452" s="456">
        <f>((_xll.xSPRDOPT($L452+AB$5,$J452,$I452,$M452,$O452,$N452,$P452,$Q452-$C$3,$R452,3)*$H452)/10000)/100</f>
        <v>3.9146238782916107E-2</v>
      </c>
      <c r="AC452" s="456">
        <f>((_xll.xSPRDOPT($L452+$AB$5,$J452,$I452,$M452,$O452,$N452,$P452,$Q452-$C$3,$R452,7)*$H452)/100)</f>
        <v>-1116.813764837008</v>
      </c>
      <c r="AD452" s="456">
        <f>(_xll.xSPRDOPT($L452+$AB$5,$J452,$I452,$M452,$O452,$N452,$P452,$Q452-$C$3,$R452,9)/365)*$H452</f>
        <v>-157.08031674053274</v>
      </c>
      <c r="AE452">
        <f t="shared" si="462"/>
        <v>0</v>
      </c>
      <c r="AF452" s="456">
        <f t="shared" si="463"/>
        <v>558.74946570930945</v>
      </c>
      <c r="AG452" s="456">
        <f>((_xll.xSPRDOPT($L452,$J452,$I452,$M452,$O452,$N452,$P452,$Q452-$C$3,$R452,6)*$H452)/100)</f>
        <v>265.102592621648</v>
      </c>
      <c r="AH452" s="456">
        <f>((_xll.xSPRDOPT($L452,$J452,$I452,$M452,$O452,$N452,$P452,$Q452-$C$3,$R452,5)*$H452)/100)</f>
        <v>302.728735141919</v>
      </c>
      <c r="AI452" s="456">
        <f>(((_xll.xSPRDOPT($L452,$J452,$I452,$M452,$O452,$N452,$P452,$Q452-$C$3,$R452,4)*$H452)/10000)/100)-AB452</f>
        <v>1.3904837137880037E-2</v>
      </c>
      <c r="AJ452" s="456"/>
      <c r="AK452" s="456"/>
      <c r="AL452" s="456"/>
      <c r="AM452" s="472"/>
      <c r="CC452" s="141">
        <f t="shared" si="494"/>
        <v>36861</v>
      </c>
      <c r="CD452" s="234">
        <f>_xll.xSPRDOPT((VLOOKUP(G452,NGPrices,2,FALSE)+HLOOKUP(D452,Prices,VLOOKUP(G452,move_down,2,FALSE),FALSE)),VLOOKUP(G452,NGPrices,2,FALSE),I452,VLOOKUP(G452,NGPREVPRICES,4,FALSE),HLOOKUP(D452,PREVVOLS,VLOOKUP(G452,MOVE_DOWN2,2,FALSE),FALSE),VLOOKUP(G452,NGPREVPRICES,3,FALSE),HLOOKUP(D452,Correllate,VLOOKUP(G452,CorMove,2,FALSE),FALSE),Q452-$CD$3,R452,$CD$5)*H452-CJ452</f>
        <v>0</v>
      </c>
      <c r="CE452" s="234">
        <f>_xll.xSPRDOPT((VLOOKUP(G452,NGPREVPRICES,2,FALSE)+HLOOKUP(D452,PREVCURVES,VLOOKUP(G452,MOVE_DOWN2,2,FALSE),FALSE)),VLOOKUP(G452,NGPREVPRICES,2,FALSE),CK452,VLOOKUP(G452,NGPrices,4,FALSE),HLOOKUP(D452,PREVVOLS,VLOOKUP(G452,MOVE_DOWN2,2,FALSE),FALSE),VLOOKUP(G452,NGPREVPRICES,3,FALSE),HLOOKUP(D452,Correllate,VLOOKUP(G452,CorMove,2,FALSE),FALSE),Q452-$CD$3,R452,$CJ$5)*H452-CJ452</f>
        <v>0</v>
      </c>
      <c r="CF452" s="10">
        <f t="shared" si="495"/>
        <v>-25.298548812424997</v>
      </c>
      <c r="CG452" s="234">
        <f>_xll.xSPRDOPT((VLOOKUP(G452,NGPREVPRICES,2,FALSE)+HLOOKUP(D452,PREVCURVES,VLOOKUP(G452,MOVE_DOWN2,2,FALSE),FALSE)),VLOOKUP(G452,NGPREVPRICES,2,FALSE),CK452,VLOOKUP(G452,NGPREVPRICES,4,FALSE),HLOOKUP(D452,VOLS,VLOOKUP(G452,move_down,2,FALSE),FALSE),VLOOKUP(G452,NGPrices,3,FALSE),HLOOKUP(D452,Correllate,VLOOKUP(G452,CorMove,2,FALSE),FALSE),Q452-$CD$3,R452,$CJ$5)*H452-CJ452</f>
        <v>0</v>
      </c>
      <c r="CH452" s="234">
        <f>_xll.xSPRDOPT((VLOOKUP(G452,NGPREVPRICES,2,FALSE)+HLOOKUP(D452,PREVCURVES,VLOOKUP(G452,MOVE_DOWN2,2,FALSE),FALSE)),VLOOKUP(G452,NGPREVPRICES,2,FALSE),CK452,VLOOKUP(G452,NGPREVPRICES,4,FALSE),HLOOKUP(D452,PREVVOLS,VLOOKUP(G452,MOVE_DOWN2,2,FALSE),FALSE),VLOOKUP(G452,NGPREVPRICES,3,FALSE),HLOOKUP(D452,Correllate,VLOOKUP(G452,CorMove,2,FALSE),FALSE),Q452-$C$3,R452,$CJ$5)*H452-CJ452</f>
        <v>-156.87654047497199</v>
      </c>
      <c r="CI452" s="234">
        <f t="shared" si="496"/>
        <v>-182.17508928739699</v>
      </c>
      <c r="CJ452" s="234">
        <f>_xll.xSPRDOPT((VLOOKUP(G452,NGPREVPRICES,2,FALSE)+HLOOKUP(D452,PREVCURVES,VLOOKUP(G452,MOVE_DOWN2,2,FALSE),FALSE)),VLOOKUP(G452,NGPREVPRICES,2,FALSE),CK452,VLOOKUP(G452,NGPREVPRICES,4,FALSE),HLOOKUP(D452,PREVVOLS,VLOOKUP(G452,MOVE_DOWN2,2,FALSE),FALSE),VLOOKUP(G452,NGPREVPRICES,3,FALSE),HLOOKUP(D452,Correllate,VLOOKUP(G452,CorMove,2,FALSE),FALSE),Q452-$CD$3,R452,$CJ$5)*H452</f>
        <v>135042.31693039581</v>
      </c>
      <c r="CK452" s="235">
        <f t="shared" si="497"/>
        <v>0.2</v>
      </c>
      <c r="CM452" t="str">
        <f t="shared" si="498"/>
        <v>36861Curve Shift/Gamma</v>
      </c>
      <c r="CN452" t="str">
        <f t="shared" si="499"/>
        <v>36861Rho</v>
      </c>
      <c r="CO452" t="str">
        <f t="shared" si="500"/>
        <v>36861Drift</v>
      </c>
      <c r="CP452" t="str">
        <f t="shared" si="501"/>
        <v>36861Vega</v>
      </c>
      <c r="CQ452" t="str">
        <f t="shared" si="502"/>
        <v>36861Theta</v>
      </c>
    </row>
    <row r="453" spans="1:95" x14ac:dyDescent="0.25">
      <c r="A453" s="140" t="s">
        <v>284</v>
      </c>
      <c r="B453" t="s">
        <v>250</v>
      </c>
      <c r="C453" t="s">
        <v>491</v>
      </c>
      <c r="D453" s="4" t="s">
        <v>190</v>
      </c>
      <c r="E453" t="s">
        <v>20</v>
      </c>
      <c r="F453" t="s">
        <v>21</v>
      </c>
      <c r="G453" s="5">
        <v>36831</v>
      </c>
      <c r="H453" s="130">
        <v>150000</v>
      </c>
      <c r="I453">
        <v>0.2</v>
      </c>
      <c r="J453" s="53">
        <f t="shared" si="464"/>
        <v>4.7359999999999998</v>
      </c>
      <c r="K453" s="7">
        <f t="shared" si="465"/>
        <v>1.5449999999999999</v>
      </c>
      <c r="L453" s="53">
        <f t="shared" si="466"/>
        <v>6.2809999999999997</v>
      </c>
      <c r="M453" s="157">
        <f t="shared" si="510"/>
        <v>6.810675983792E-2</v>
      </c>
      <c r="N453" s="4">
        <f t="shared" si="511"/>
        <v>0.59499999999999997</v>
      </c>
      <c r="O453" s="4">
        <f t="shared" si="512"/>
        <v>0.57699999999999996</v>
      </c>
      <c r="P453" s="9">
        <f t="shared" si="513"/>
        <v>0.85</v>
      </c>
      <c r="Q453" s="5">
        <f t="shared" si="458"/>
        <v>36829</v>
      </c>
      <c r="R453" s="4">
        <f t="shared" si="514"/>
        <v>1</v>
      </c>
      <c r="S453" s="158">
        <f>_xll.xSPRDOPT($L453,$J453,$I453,$M453,$O453,$N453,$P453,$Q453-$C$3,$R453,0)</f>
        <v>1.3383172986188145</v>
      </c>
      <c r="T453" s="159">
        <f>_xll.xSPRDOPT($L453,$J453,$I453,$M453,$O453,$N453,$P453,$Q453-$C$3,$R453,1)*H453</f>
        <v>144241.88109054291</v>
      </c>
      <c r="U453" s="160">
        <f t="shared" si="515"/>
        <v>200747.59479282217</v>
      </c>
      <c r="V453" s="159">
        <f>_xll.xSPRDOPT($L453,$J453,$I453,$M453,$O453,$N453,$P453,$Q453-$C$3,$R453,2)*H453</f>
        <v>-142846.76108270121</v>
      </c>
      <c r="W453" s="159">
        <f t="shared" si="516"/>
        <v>1395.1200078417023</v>
      </c>
      <c r="X453" s="51" t="str">
        <f t="shared" si="517"/>
        <v>36831NGI-SOCAL</v>
      </c>
      <c r="Y453" s="418">
        <f t="shared" si="518"/>
        <v>15</v>
      </c>
      <c r="Z453" s="456">
        <f t="shared" si="519"/>
        <v>0.96161254060361945</v>
      </c>
      <c r="AA453" s="456">
        <f>_xll.xSPRDOPT($L453,$J453,$I453,$M453,$O453,$N453,$P453,$Q453-$C$3,$R453,3)</f>
        <v>7.6044402620471657E-2</v>
      </c>
      <c r="AB453" s="456">
        <f>((_xll.xSPRDOPT($L453+AB$5,$J453,$I453,$M453,$O453,$N453,$P453,$Q453-$C$3,$R453,3)*$H453)/10000)/100</f>
        <v>1.1406660393070749E-2</v>
      </c>
      <c r="AC453" s="456">
        <f>((_xll.xSPRDOPT($L453+$AB$5,$J453,$I453,$M453,$O453,$N453,$P453,$Q453-$C$3,$R453,7)*$H453)/100)</f>
        <v>-252.74524737026101</v>
      </c>
      <c r="AD453" s="456">
        <f>(_xll.xSPRDOPT($L453+$AB$5,$J453,$I453,$M453,$O453,$N453,$P453,$Q453-$C$3,$R453,9)/365)*$H453</f>
        <v>-23.755400383407217</v>
      </c>
      <c r="AE453">
        <f t="shared" si="462"/>
        <v>0</v>
      </c>
      <c r="AF453" s="456">
        <f t="shared" si="463"/>
        <v>127.48402931485916</v>
      </c>
      <c r="AG453" s="456">
        <f>((_xll.xSPRDOPT($L453,$J453,$I453,$M453,$O453,$N453,$P453,$Q453-$C$3,$R453,6)*$H453)/100)</f>
        <v>61.123911492969157</v>
      </c>
      <c r="AH453" s="456">
        <f>((_xll.xSPRDOPT($L453,$J453,$I453,$M453,$O453,$N453,$P453,$Q453-$C$3,$R453,5)*$H453)/100)</f>
        <v>68.430277476645671</v>
      </c>
      <c r="AI453" s="456">
        <f>(((_xll.xSPRDOPT($L453,$J453,$I453,$M453,$O453,$N453,$P453,$Q453-$C$3,$R453,4)*$H453)/10000)/100)-AB453</f>
        <v>7.2297011617403727E-3</v>
      </c>
      <c r="AJ453" s="456"/>
      <c r="AK453" s="456"/>
      <c r="AL453" s="456"/>
      <c r="AM453" s="472"/>
      <c r="CC453" s="141">
        <f t="shared" si="494"/>
        <v>36831</v>
      </c>
      <c r="CD453" s="234">
        <f>_xll.xSPRDOPT((VLOOKUP(G453,NGPrices,2,FALSE)+HLOOKUP(D453,Prices,VLOOKUP(G453,move_down,2,FALSE),FALSE)),VLOOKUP(G453,NGPrices,2,FALSE),I453,VLOOKUP(G453,NGPREVPRICES,4,FALSE),HLOOKUP(D453,PREVVOLS,VLOOKUP(G453,MOVE_DOWN2,2,FALSE),FALSE),VLOOKUP(G453,NGPREVPRICES,3,FALSE),HLOOKUP(D453,Correllate,VLOOKUP(G453,CorMove,2,FALSE),FALSE),Q453-$CD$3,R453,$CD$5)*H453-CJ453</f>
        <v>0</v>
      </c>
      <c r="CE453" s="234">
        <f>_xll.xSPRDOPT((VLOOKUP(G453,NGPREVPRICES,2,FALSE)+HLOOKUP(D453,PREVCURVES,VLOOKUP(G453,MOVE_DOWN2,2,FALSE),FALSE)),VLOOKUP(G453,NGPREVPRICES,2,FALSE),CK453,VLOOKUP(G453,NGPrices,4,FALSE),HLOOKUP(D453,PREVVOLS,VLOOKUP(G453,MOVE_DOWN2,2,FALSE),FALSE),VLOOKUP(G453,NGPREVPRICES,3,FALSE),HLOOKUP(D453,Correllate,VLOOKUP(G453,CorMove,2,FALSE),FALSE),Q453-$CD$3,R453,$CJ$5)*H453-CJ453</f>
        <v>0</v>
      </c>
      <c r="CF453" s="10">
        <f t="shared" si="495"/>
        <v>-37.285483999992721</v>
      </c>
      <c r="CG453" s="234">
        <f>_xll.xSPRDOPT((VLOOKUP(G453,NGPREVPRICES,2,FALSE)+HLOOKUP(D453,PREVCURVES,VLOOKUP(G453,MOVE_DOWN2,2,FALSE),FALSE)),VLOOKUP(G453,NGPREVPRICES,2,FALSE),CK453,VLOOKUP(G453,NGPREVPRICES,4,FALSE),HLOOKUP(D453,VOLS,VLOOKUP(G453,move_down,2,FALSE),FALSE),VLOOKUP(G453,NGPrices,3,FALSE),HLOOKUP(D453,Correllate,VLOOKUP(G453,CorMove,2,FALSE),FALSE),Q453-$CD$3,R453,$CJ$5)*H453-CJ453</f>
        <v>0</v>
      </c>
      <c r="CH453" s="234">
        <f>_xll.xSPRDOPT((VLOOKUP(G453,NGPREVPRICES,2,FALSE)+HLOOKUP(D453,PREVCURVES,VLOOKUP(G453,MOVE_DOWN2,2,FALSE),FALSE)),VLOOKUP(G453,NGPREVPRICES,2,FALSE),CK453,VLOOKUP(G453,NGPREVPRICES,4,FALSE),HLOOKUP(D453,PREVVOLS,VLOOKUP(G453,MOVE_DOWN2,2,FALSE),FALSE),VLOOKUP(G453,NGPREVPRICES,3,FALSE),HLOOKUP(D453,Correllate,VLOOKUP(G453,CorMove,2,FALSE),FALSE),Q453-$C$3,R453,$CJ$5)*H453-CJ453</f>
        <v>-24.331270079390379</v>
      </c>
      <c r="CI453" s="234">
        <f t="shared" si="496"/>
        <v>-61.616754079383099</v>
      </c>
      <c r="CJ453" s="234">
        <f>_xll.xSPRDOPT((VLOOKUP(G453,NGPREVPRICES,2,FALSE)+HLOOKUP(D453,PREVCURVES,VLOOKUP(G453,MOVE_DOWN2,2,FALSE),FALSE)),VLOOKUP(G453,NGPREVPRICES,2,FALSE),CK453,VLOOKUP(G453,NGPREVPRICES,4,FALSE),HLOOKUP(D453,PREVVOLS,VLOOKUP(G453,MOVE_DOWN2,2,FALSE),FALSE),VLOOKUP(G453,NGPREVPRICES,3,FALSE),HLOOKUP(D453,Correllate,VLOOKUP(G453,CorMove,2,FALSE),FALSE),Q453-$CD$3,R453,$CJ$5)*H453</f>
        <v>200771.92606290156</v>
      </c>
      <c r="CK453" s="235">
        <f t="shared" si="497"/>
        <v>0.2</v>
      </c>
      <c r="CM453" t="str">
        <f t="shared" si="498"/>
        <v>36831Curve Shift/Gamma</v>
      </c>
      <c r="CN453" t="str">
        <f t="shared" si="499"/>
        <v>36831Rho</v>
      </c>
      <c r="CO453" t="str">
        <f t="shared" si="500"/>
        <v>36831Drift</v>
      </c>
      <c r="CP453" t="str">
        <f t="shared" si="501"/>
        <v>36831Vega</v>
      </c>
      <c r="CQ453" t="str">
        <f t="shared" si="502"/>
        <v>36831Theta</v>
      </c>
    </row>
    <row r="454" spans="1:95" x14ac:dyDescent="0.25">
      <c r="A454" s="140" t="s">
        <v>320</v>
      </c>
      <c r="B454" t="s">
        <v>250</v>
      </c>
      <c r="C454" t="s">
        <v>502</v>
      </c>
      <c r="D454" s="4" t="s">
        <v>7</v>
      </c>
      <c r="E454" t="s">
        <v>20</v>
      </c>
      <c r="F454" t="s">
        <v>1</v>
      </c>
      <c r="G454" s="5">
        <v>36951</v>
      </c>
      <c r="H454" s="130">
        <v>500000</v>
      </c>
      <c r="I454">
        <v>0.95</v>
      </c>
      <c r="J454" s="53">
        <f t="shared" si="464"/>
        <v>4.2130000000000001</v>
      </c>
      <c r="K454" s="7">
        <f t="shared" si="465"/>
        <v>1.075</v>
      </c>
      <c r="L454" s="53">
        <f t="shared" si="466"/>
        <v>5.2880000000000003</v>
      </c>
      <c r="M454" s="157">
        <f t="shared" si="510"/>
        <v>6.8879814952706994E-2</v>
      </c>
      <c r="N454" s="4">
        <f t="shared" si="511"/>
        <v>0.53249999999999997</v>
      </c>
      <c r="O454" s="4">
        <f t="shared" si="512"/>
        <v>0.61199999999999999</v>
      </c>
      <c r="P454" s="9">
        <f t="shared" si="513"/>
        <v>0.83</v>
      </c>
      <c r="Q454" s="5">
        <f t="shared" si="458"/>
        <v>36949</v>
      </c>
      <c r="R454" s="4">
        <f t="shared" si="514"/>
        <v>0</v>
      </c>
      <c r="S454" s="158">
        <f>_xll.xSPRDOPT($L454,$J454,$I454,$M454,$O454,$N454,$P454,$Q454-$C$3,$R454,0)</f>
        <v>0.43792535757140783</v>
      </c>
      <c r="T454" s="159">
        <f>_xll.xSPRDOPT($L454,$J454,$I454,$M454,$O454,$N454,$P454,$Q454-$C$3,$R454,1)*H454</f>
        <v>-199043.06575862717</v>
      </c>
      <c r="U454" s="160">
        <f t="shared" si="515"/>
        <v>218962.6787857039</v>
      </c>
      <c r="V454" s="159">
        <f>_xll.xSPRDOPT($L454,$J454,$I454,$M454,$O454,$N454,$P454,$Q454-$C$3,$R454,2)*H454</f>
        <v>243388.77781258352</v>
      </c>
      <c r="W454" s="159">
        <f t="shared" si="516"/>
        <v>44345.712053956348</v>
      </c>
      <c r="X454" s="51" t="str">
        <f t="shared" si="517"/>
        <v>36951IF-TRANSCO/Z6</v>
      </c>
      <c r="Y454" s="418">
        <f t="shared" si="518"/>
        <v>50</v>
      </c>
      <c r="Z454" s="456">
        <f t="shared" si="519"/>
        <v>-0.39808613151725436</v>
      </c>
      <c r="AA454" s="456">
        <f>_xll.xSPRDOPT($L454,$J454,$I454,$M454,$O454,$N454,$P454,$Q454-$C$3,$R454,3)</f>
        <v>0.28821738225150678</v>
      </c>
      <c r="AB454" s="456">
        <f>((_xll.xSPRDOPT($L454+AB$5,$J454,$I454,$M454,$O454,$N454,$P454,$Q454-$C$3,$R454,3)*$H454)/10000)/100</f>
        <v>0.14410869112575339</v>
      </c>
      <c r="AC454" s="456">
        <f>((_xll.xSPRDOPT($L454+$AB$5,$J454,$I454,$M454,$O454,$N454,$P454,$Q454-$C$3,$R454,7)*$H454)/100)</f>
        <v>-5350.2352182937102</v>
      </c>
      <c r="AD454" s="456">
        <f>(_xll.xSPRDOPT($L454+$AB$5,$J454,$I454,$M454,$O454,$N454,$P454,$Q454-$C$3,$R454,9)/365)*$H454</f>
        <v>-635.5922137720479</v>
      </c>
      <c r="AE454">
        <f t="shared" si="462"/>
        <v>0</v>
      </c>
      <c r="AF454" s="456">
        <f t="shared" si="463"/>
        <v>4623.9944435229627</v>
      </c>
      <c r="AG454" s="456">
        <f>((_xll.xSPRDOPT($L454,$J454,$I454,$M454,$O454,$N454,$P454,$Q454-$C$3,$R454,6)*$H454)/100)</f>
        <v>-1160.0036056854278</v>
      </c>
      <c r="AH454" s="456">
        <f>((_xll.xSPRDOPT($L454,$J454,$I454,$M454,$O454,$N454,$P454,$Q454-$C$3,$R454,5)*$H454)/100)</f>
        <v>5032.645361443575</v>
      </c>
      <c r="AI454" s="456">
        <f>(((_xll.xSPRDOPT($L454,$J454,$I454,$M454,$O454,$N454,$P454,$Q454-$C$3,$R454,4)*$H454)/10000)/100)-AB454</f>
        <v>8.3328811008868409E-3</v>
      </c>
      <c r="AJ454" s="456"/>
      <c r="AK454" s="456"/>
      <c r="AL454" s="456"/>
      <c r="AM454" s="472"/>
      <c r="CC454" s="141">
        <f t="shared" si="494"/>
        <v>36951</v>
      </c>
      <c r="CD454" s="234">
        <f>_xll.xSPRDOPT((VLOOKUP(G454,NGPrices,2,FALSE)+HLOOKUP(D454,Prices,VLOOKUP(G454,move_down,2,FALSE),FALSE)),VLOOKUP(G454,NGPrices,2,FALSE),I454,VLOOKUP(G454,NGPREVPRICES,4,FALSE),HLOOKUP(D454,PREVVOLS,VLOOKUP(G454,MOVE_DOWN2,2,FALSE),FALSE),VLOOKUP(G454,NGPREVPRICES,3,FALSE),HLOOKUP(D454,Correllate,VLOOKUP(G454,CorMove,2,FALSE),FALSE),Q454-$CD$3,R454,$CD$5)*H454-CJ454</f>
        <v>0</v>
      </c>
      <c r="CE454" s="234">
        <f>_xll.xSPRDOPT((VLOOKUP(G454,NGPREVPRICES,2,FALSE)+HLOOKUP(D454,PREVCURVES,VLOOKUP(G454,MOVE_DOWN2,2,FALSE),FALSE)),VLOOKUP(G454,NGPREVPRICES,2,FALSE),CK454,VLOOKUP(G454,NGPrices,4,FALSE),HLOOKUP(D454,PREVVOLS,VLOOKUP(G454,MOVE_DOWN2,2,FALSE),FALSE),VLOOKUP(G454,NGPREVPRICES,3,FALSE),HLOOKUP(D454,Correllate,VLOOKUP(G454,CorMove,2,FALSE),FALSE),Q454-$CD$3,R454,$CJ$5)*H454-CJ454</f>
        <v>0</v>
      </c>
      <c r="CF454" s="10">
        <f t="shared" si="495"/>
        <v>-42.115382143412717</v>
      </c>
      <c r="CG454" s="234">
        <f>_xll.xSPRDOPT((VLOOKUP(G454,NGPREVPRICES,2,FALSE)+HLOOKUP(D454,PREVCURVES,VLOOKUP(G454,MOVE_DOWN2,2,FALSE),FALSE)),VLOOKUP(G454,NGPREVPRICES,2,FALSE),CK454,VLOOKUP(G454,NGPREVPRICES,4,FALSE),HLOOKUP(D454,VOLS,VLOOKUP(G454,move_down,2,FALSE),FALSE),VLOOKUP(G454,NGPrices,3,FALSE),HLOOKUP(D454,Correllate,VLOOKUP(G454,CorMove,2,FALSE),FALSE),Q454-$CD$3,R454,$CJ$5)*H454-CJ454</f>
        <v>0</v>
      </c>
      <c r="CH454" s="234">
        <f>_xll.xSPRDOPT((VLOOKUP(G454,NGPREVPRICES,2,FALSE)+HLOOKUP(D454,PREVCURVES,VLOOKUP(G454,MOVE_DOWN2,2,FALSE),FALSE)),VLOOKUP(G454,NGPREVPRICES,2,FALSE),CK454,VLOOKUP(G454,NGPREVPRICES,4,FALSE),HLOOKUP(D454,PREVVOLS,VLOOKUP(G454,MOVE_DOWN2,2,FALSE),FALSE),VLOOKUP(G454,NGPREVPRICES,3,FALSE),HLOOKUP(D454,Correllate,VLOOKUP(G454,CorMove,2,FALSE),FALSE),Q454-$C$3,R454,$CJ$5)*H454-CJ454</f>
        <v>-634.10863527769106</v>
      </c>
      <c r="CI454" s="234">
        <f t="shared" si="496"/>
        <v>-676.22401742110378</v>
      </c>
      <c r="CJ454" s="234">
        <f>_xll.xSPRDOPT((VLOOKUP(G454,NGPREVPRICES,2,FALSE)+HLOOKUP(D454,PREVCURVES,VLOOKUP(G454,MOVE_DOWN2,2,FALSE),FALSE)),VLOOKUP(G454,NGPREVPRICES,2,FALSE),CK454,VLOOKUP(G454,NGPREVPRICES,4,FALSE),HLOOKUP(D454,PREVVOLS,VLOOKUP(G454,MOVE_DOWN2,2,FALSE),FALSE),VLOOKUP(G454,NGPREVPRICES,3,FALSE),HLOOKUP(D454,Correllate,VLOOKUP(G454,CorMove,2,FALSE),FALSE),Q454-$CD$3,R454,$CJ$5)*H454</f>
        <v>219596.78742098159</v>
      </c>
      <c r="CK454" s="235">
        <f t="shared" si="497"/>
        <v>0.95</v>
      </c>
      <c r="CM454" t="str">
        <f t="shared" si="498"/>
        <v>36951Curve Shift/Gamma</v>
      </c>
      <c r="CN454" t="str">
        <f t="shared" si="499"/>
        <v>36951Rho</v>
      </c>
      <c r="CO454" t="str">
        <f t="shared" si="500"/>
        <v>36951Drift</v>
      </c>
      <c r="CP454" t="str">
        <f t="shared" si="501"/>
        <v>36951Vega</v>
      </c>
      <c r="CQ454" t="str">
        <f t="shared" si="502"/>
        <v>36951Theta</v>
      </c>
    </row>
    <row r="455" spans="1:95" x14ac:dyDescent="0.25">
      <c r="A455" s="140" t="s">
        <v>320</v>
      </c>
      <c r="B455" t="s">
        <v>250</v>
      </c>
      <c r="C455" t="s">
        <v>502</v>
      </c>
      <c r="D455" s="4" t="s">
        <v>7</v>
      </c>
      <c r="E455" t="s">
        <v>20</v>
      </c>
      <c r="F455" t="s">
        <v>1</v>
      </c>
      <c r="G455" s="5">
        <v>36923</v>
      </c>
      <c r="H455" s="130">
        <v>500000</v>
      </c>
      <c r="I455">
        <v>0.95</v>
      </c>
      <c r="J455" s="53">
        <f t="shared" si="464"/>
        <v>4.4800000000000004</v>
      </c>
      <c r="K455" s="7">
        <f t="shared" si="465"/>
        <v>2.09</v>
      </c>
      <c r="L455" s="53">
        <f t="shared" si="466"/>
        <v>6.57</v>
      </c>
      <c r="M455" s="157">
        <f t="shared" si="510"/>
        <v>6.8640161611372E-2</v>
      </c>
      <c r="N455" s="4">
        <f t="shared" si="511"/>
        <v>0.59250000000000003</v>
      </c>
      <c r="O455" s="4">
        <f t="shared" si="512"/>
        <v>0.68100000000000005</v>
      </c>
      <c r="P455" s="9">
        <f t="shared" si="513"/>
        <v>0.83</v>
      </c>
      <c r="Q455" s="5">
        <f t="shared" ref="Q455:Q518" si="520">WORKDAY(G455,-2)</f>
        <v>36921</v>
      </c>
      <c r="R455" s="4">
        <f t="shared" si="514"/>
        <v>0</v>
      </c>
      <c r="S455" s="158">
        <f>_xll.xSPRDOPT($L455,$J455,$I455,$M455,$O455,$N455,$P455,$Q455-$C$3,$R455,0)</f>
        <v>0.1893795248282355</v>
      </c>
      <c r="T455" s="159">
        <f>_xll.xSPRDOPT($L455,$J455,$I455,$M455,$O455,$N455,$P455,$Q455-$C$3,$R455,1)*H455</f>
        <v>-91537.574353679651</v>
      </c>
      <c r="U455" s="160">
        <f t="shared" si="515"/>
        <v>94689.762414117751</v>
      </c>
      <c r="V455" s="159">
        <f>_xll.xSPRDOPT($L455,$J455,$I455,$M455,$O455,$N455,$P455,$Q455-$C$3,$R455,2)*H455</f>
        <v>125848.63408405505</v>
      </c>
      <c r="W455" s="159">
        <f t="shared" si="516"/>
        <v>34311.059730375404</v>
      </c>
      <c r="X455" s="51" t="str">
        <f t="shared" si="517"/>
        <v>36923IF-TRANSCO/Z6</v>
      </c>
      <c r="Y455" s="418">
        <f t="shared" si="518"/>
        <v>50</v>
      </c>
      <c r="Z455" s="456">
        <f t="shared" si="519"/>
        <v>-0.1830751487073593</v>
      </c>
      <c r="AA455" s="456">
        <f>_xll.xSPRDOPT($L455,$J455,$I455,$M455,$O455,$N455,$P455,$Q455-$C$3,$R455,3)</f>
        <v>0.15810070426631745</v>
      </c>
      <c r="AB455" s="456">
        <f>((_xll.xSPRDOPT($L455+AB$5,$J455,$I455,$M455,$O455,$N455,$P455,$Q455-$C$3,$R455,3)*$H455)/10000)/100</f>
        <v>7.9050352133158724E-2</v>
      </c>
      <c r="AC455" s="456">
        <f>((_xll.xSPRDOPT($L455+$AB$5,$J455,$I455,$M455,$O455,$N455,$P455,$Q455-$C$3,$R455,7)*$H455)/100)</f>
        <v>-4753.0216532980485</v>
      </c>
      <c r="AD455" s="456">
        <f>(_xll.xSPRDOPT($L455+$AB$5,$J455,$I455,$M455,$O455,$N455,$P455,$Q455-$C$3,$R455,9)/365)*$H455</f>
        <v>-691.88110639409763</v>
      </c>
      <c r="AE455">
        <f t="shared" ref="AE455:AE518" si="521">CD455</f>
        <v>0</v>
      </c>
      <c r="AF455" s="456">
        <f t="shared" ref="AF455:AF518" si="522">((O455/N455)*AH455)+AG455</f>
        <v>3686.6547659465919</v>
      </c>
      <c r="AG455" s="456">
        <f>((_xll.xSPRDOPT($L455,$J455,$I455,$M455,$O455,$N455,$P455,$Q455-$C$3,$R455,6)*$H455)/100)</f>
        <v>-915.97756586832338</v>
      </c>
      <c r="AH455" s="456">
        <f>((_xll.xSPRDOPT($L455,$J455,$I455,$M455,$O455,$N455,$P455,$Q455-$C$3,$R455,5)*$H455)/100)</f>
        <v>4004.4928878125356</v>
      </c>
      <c r="AI455" s="456">
        <f>(((_xll.xSPRDOPT($L455,$J455,$I455,$M455,$O455,$N455,$P455,$Q455-$C$3,$R455,4)*$H455)/10000)/100)-AB455</f>
        <v>3.5476391653094505E-2</v>
      </c>
      <c r="AJ455" s="456"/>
      <c r="AK455" s="456"/>
      <c r="AL455" s="456"/>
      <c r="AM455" s="472"/>
      <c r="CC455" s="141">
        <f t="shared" si="494"/>
        <v>36923</v>
      </c>
      <c r="CD455" s="234">
        <f>_xll.xSPRDOPT((VLOOKUP(G455,NGPrices,2,FALSE)+HLOOKUP(D455,Prices,VLOOKUP(G455,move_down,2,FALSE),FALSE)),VLOOKUP(G455,NGPrices,2,FALSE),I455,VLOOKUP(G455,NGPREVPRICES,4,FALSE),HLOOKUP(D455,PREVVOLS,VLOOKUP(G455,MOVE_DOWN2,2,FALSE),FALSE),VLOOKUP(G455,NGPREVPRICES,3,FALSE),HLOOKUP(D455,Correllate,VLOOKUP(G455,CorMove,2,FALSE),FALSE),Q455-$CD$3,R455,$CD$5)*H455-CJ455</f>
        <v>0</v>
      </c>
      <c r="CE455" s="234">
        <f>_xll.xSPRDOPT((VLOOKUP(G455,NGPREVPRICES,2,FALSE)+HLOOKUP(D455,PREVCURVES,VLOOKUP(G455,MOVE_DOWN2,2,FALSE),FALSE)),VLOOKUP(G455,NGPREVPRICES,2,FALSE),CK455,VLOOKUP(G455,NGPrices,4,FALSE),HLOOKUP(D455,PREVVOLS,VLOOKUP(G455,MOVE_DOWN2,2,FALSE),FALSE),VLOOKUP(G455,NGPREVPRICES,3,FALSE),HLOOKUP(D455,Correllate,VLOOKUP(G455,CorMove,2,FALSE),FALSE),Q455-$CD$3,R455,$CJ$5)*H455-CJ455</f>
        <v>0</v>
      </c>
      <c r="CF455" s="10">
        <f t="shared" si="495"/>
        <v>-18.14027800016629</v>
      </c>
      <c r="CG455" s="234">
        <f>_xll.xSPRDOPT((VLOOKUP(G455,NGPREVPRICES,2,FALSE)+HLOOKUP(D455,PREVCURVES,VLOOKUP(G455,MOVE_DOWN2,2,FALSE),FALSE)),VLOOKUP(G455,NGPREVPRICES,2,FALSE),CK455,VLOOKUP(G455,NGPREVPRICES,4,FALSE),HLOOKUP(D455,VOLS,VLOOKUP(G455,move_down,2,FALSE),FALSE),VLOOKUP(G455,NGPrices,3,FALSE),HLOOKUP(D455,Correllate,VLOOKUP(G455,CorMove,2,FALSE),FALSE),Q455-$CD$3,R455,$CJ$5)*H455-CJ455</f>
        <v>0</v>
      </c>
      <c r="CH455" s="234">
        <f>_xll.xSPRDOPT((VLOOKUP(G455,NGPREVPRICES,2,FALSE)+HLOOKUP(D455,PREVCURVES,VLOOKUP(G455,MOVE_DOWN2,2,FALSE),FALSE)),VLOOKUP(G455,NGPREVPRICES,2,FALSE),CK455,VLOOKUP(G455,NGPREVPRICES,4,FALSE),HLOOKUP(D455,PREVVOLS,VLOOKUP(G455,MOVE_DOWN2,2,FALSE),FALSE),VLOOKUP(G455,NGPREVPRICES,3,FALSE),HLOOKUP(D455,Correllate,VLOOKUP(G455,CorMove,2,FALSE),FALSE),Q455-$C$3,R455,$CJ$5)*H455-CJ455</f>
        <v>-690.774524572058</v>
      </c>
      <c r="CI455" s="234">
        <f t="shared" si="496"/>
        <v>-708.91480257222429</v>
      </c>
      <c r="CJ455" s="234">
        <f>_xll.xSPRDOPT((VLOOKUP(G455,NGPREVPRICES,2,FALSE)+HLOOKUP(D455,PREVCURVES,VLOOKUP(G455,MOVE_DOWN2,2,FALSE),FALSE)),VLOOKUP(G455,NGPREVPRICES,2,FALSE),CK455,VLOOKUP(G455,NGPREVPRICES,4,FALSE),HLOOKUP(D455,PREVVOLS,VLOOKUP(G455,MOVE_DOWN2,2,FALSE),FALSE),VLOOKUP(G455,NGPREVPRICES,3,FALSE),HLOOKUP(D455,Correllate,VLOOKUP(G455,CorMove,2,FALSE),FALSE),Q455-$CD$3,R455,$CJ$5)*H455</f>
        <v>95380.536938689809</v>
      </c>
      <c r="CK455" s="235">
        <f t="shared" si="497"/>
        <v>0.95</v>
      </c>
      <c r="CM455" t="str">
        <f t="shared" si="498"/>
        <v>36923Curve Shift/Gamma</v>
      </c>
      <c r="CN455" t="str">
        <f t="shared" si="499"/>
        <v>36923Rho</v>
      </c>
      <c r="CO455" t="str">
        <f t="shared" si="500"/>
        <v>36923Drift</v>
      </c>
      <c r="CP455" t="str">
        <f t="shared" si="501"/>
        <v>36923Vega</v>
      </c>
      <c r="CQ455" t="str">
        <f t="shared" si="502"/>
        <v>36923Theta</v>
      </c>
    </row>
    <row r="456" spans="1:95" x14ac:dyDescent="0.25">
      <c r="A456" s="140" t="s">
        <v>320</v>
      </c>
      <c r="B456" t="s">
        <v>250</v>
      </c>
      <c r="C456" t="s">
        <v>502</v>
      </c>
      <c r="D456" s="4" t="s">
        <v>7</v>
      </c>
      <c r="E456" t="s">
        <v>20</v>
      </c>
      <c r="F456" t="s">
        <v>1</v>
      </c>
      <c r="G456" s="5">
        <v>36892</v>
      </c>
      <c r="H456" s="130">
        <v>500000</v>
      </c>
      <c r="I456">
        <v>0.95</v>
      </c>
      <c r="J456" s="53">
        <f t="shared" ref="J456:J497" si="523">VLOOKUP(G456,NGPrices,2,FALSE)</f>
        <v>4.7439999999999998</v>
      </c>
      <c r="K456" s="7">
        <f t="shared" ref="K456:K497" si="524">HLOOKUP(D456,Prices,VLOOKUP(G456,move_down,2,FALSE),FALSE)+VLOOKUP(G456,CHANGE,HLOOKUP(D456,CHANGE,2,FALSE),FALSE)</f>
        <v>2.17</v>
      </c>
      <c r="L456" s="53">
        <f t="shared" ref="L456:L497" si="525">K456+J456</f>
        <v>6.9139999999999997</v>
      </c>
      <c r="M456" s="157">
        <f t="shared" si="510"/>
        <v>6.8374831148490994E-2</v>
      </c>
      <c r="N456" s="4">
        <f t="shared" si="511"/>
        <v>0.60499999999999998</v>
      </c>
      <c r="O456" s="4">
        <f t="shared" si="512"/>
        <v>0.69599999999999995</v>
      </c>
      <c r="P456" s="9">
        <f t="shared" si="513"/>
        <v>0.83</v>
      </c>
      <c r="Q456" s="5">
        <f t="shared" si="520"/>
        <v>36888</v>
      </c>
      <c r="R456" s="4">
        <f t="shared" si="514"/>
        <v>0</v>
      </c>
      <c r="S456" s="158">
        <f>_xll.xSPRDOPT($L456,$J456,$I456,$M456,$O456,$N456,$P456,$Q456-$C$3,$R456,0)</f>
        <v>0.15272864479355774</v>
      </c>
      <c r="T456" s="159">
        <f>_xll.xSPRDOPT($L456,$J456,$I456,$M456,$O456,$N456,$P456,$Q456-$C$3,$R456,1)*H456</f>
        <v>-81490.055348442387</v>
      </c>
      <c r="U456" s="160">
        <f t="shared" si="515"/>
        <v>76364.322396778865</v>
      </c>
      <c r="V456" s="159">
        <f>_xll.xSPRDOPT($L456,$J456,$I456,$M456,$O456,$N456,$P456,$Q456-$C$3,$R456,2)*H456</f>
        <v>110576.01611778489</v>
      </c>
      <c r="W456" s="159">
        <f t="shared" si="516"/>
        <v>29085.960769342506</v>
      </c>
      <c r="X456" s="51" t="str">
        <f t="shared" si="517"/>
        <v>36892IF-TRANSCO/Z6</v>
      </c>
      <c r="Y456" s="418">
        <f t="shared" si="518"/>
        <v>50</v>
      </c>
      <c r="Z456" s="456">
        <f t="shared" si="519"/>
        <v>-0.16298011069688478</v>
      </c>
      <c r="AA456" s="456">
        <f>_xll.xSPRDOPT($L456,$J456,$I456,$M456,$O456,$N456,$P456,$Q456-$C$3,$R456,3)</f>
        <v>0.15486108343643903</v>
      </c>
      <c r="AB456" s="456">
        <f>((_xll.xSPRDOPT($L456+AB$5,$J456,$I456,$M456,$O456,$N456,$P456,$Q456-$C$3,$R456,3)*$H456)/10000)/100</f>
        <v>7.7430541718219517E-2</v>
      </c>
      <c r="AC456" s="456">
        <f>((_xll.xSPRDOPT($L456+$AB$5,$J456,$I456,$M456,$O456,$N456,$P456,$Q456-$C$3,$R456,7)*$H456)/100)</f>
        <v>-4268.9650277804494</v>
      </c>
      <c r="AD456" s="456">
        <f>(_xll.xSPRDOPT($L456+$AB$5,$J456,$I456,$M456,$O456,$N456,$P456,$Q456-$C$3,$R456,9)/365)*$H456</f>
        <v>-784.90242702917476</v>
      </c>
      <c r="AE456">
        <f t="shared" si="521"/>
        <v>0</v>
      </c>
      <c r="AF456" s="456">
        <f t="shared" si="522"/>
        <v>3194.6423898165472</v>
      </c>
      <c r="AG456" s="456">
        <f>((_xll.xSPRDOPT($L456,$J456,$I456,$M456,$O456,$N456,$P456,$Q456-$C$3,$R456,6)*$H456)/100)</f>
        <v>-766.91559604050246</v>
      </c>
      <c r="AH456" s="456">
        <f>((_xll.xSPRDOPT($L456,$J456,$I456,$M456,$O456,$N456,$P456,$Q456-$C$3,$R456,5)*$H456)/100)</f>
        <v>3443.5956629935563</v>
      </c>
      <c r="AI456" s="456">
        <f>(((_xll.xSPRDOPT($L456,$J456,$I456,$M456,$O456,$N456,$P456,$Q456-$C$3,$R456,4)*$H456)/10000)/100)-AB456</f>
        <v>3.5406564344862931E-2</v>
      </c>
      <c r="AJ456" s="456"/>
      <c r="AK456" s="456"/>
      <c r="AL456" s="456"/>
      <c r="AM456" s="472"/>
      <c r="CC456" s="141">
        <f t="shared" si="494"/>
        <v>36892</v>
      </c>
      <c r="CD456" s="234">
        <f>_xll.xSPRDOPT((VLOOKUP(G456,NGPrices,2,FALSE)+HLOOKUP(D456,Prices,VLOOKUP(G456,move_down,2,FALSE),FALSE)),VLOOKUP(G456,NGPrices,2,FALSE),I456,VLOOKUP(G456,NGPREVPRICES,4,FALSE),HLOOKUP(D456,PREVVOLS,VLOOKUP(G456,MOVE_DOWN2,2,FALSE),FALSE),VLOOKUP(G456,NGPREVPRICES,3,FALSE),HLOOKUP(D456,Correllate,VLOOKUP(G456,CorMove,2,FALSE),FALSE),Q456-$CD$3,R456,$CD$5)*H456-CJ456</f>
        <v>0</v>
      </c>
      <c r="CE456" s="234">
        <f>_xll.xSPRDOPT((VLOOKUP(G456,NGPREVPRICES,2,FALSE)+HLOOKUP(D456,PREVCURVES,VLOOKUP(G456,MOVE_DOWN2,2,FALSE),FALSE)),VLOOKUP(G456,NGPREVPRICES,2,FALSE),CK456,VLOOKUP(G456,NGPrices,4,FALSE),HLOOKUP(D456,PREVVOLS,VLOOKUP(G456,MOVE_DOWN2,2,FALSE),FALSE),VLOOKUP(G456,NGPREVPRICES,3,FALSE),HLOOKUP(D456,Correllate,VLOOKUP(G456,CorMove,2,FALSE),FALSE),Q456-$CD$3,R456,$CJ$5)*H456-CJ456</f>
        <v>0</v>
      </c>
      <c r="CF456" s="10">
        <f t="shared" si="495"/>
        <v>-14.537873360779486</v>
      </c>
      <c r="CG456" s="234">
        <f>_xll.xSPRDOPT((VLOOKUP(G456,NGPREVPRICES,2,FALSE)+HLOOKUP(D456,PREVCURVES,VLOOKUP(G456,MOVE_DOWN2,2,FALSE),FALSE)),VLOOKUP(G456,NGPREVPRICES,2,FALSE),CK456,VLOOKUP(G456,NGPREVPRICES,4,FALSE),HLOOKUP(D456,VOLS,VLOOKUP(G456,move_down,2,FALSE),FALSE),VLOOKUP(G456,NGPrices,3,FALSE),HLOOKUP(D456,Correllate,VLOOKUP(G456,CorMove,2,FALSE),FALSE),Q456-$CD$3,R456,$CJ$5)*H456-CJ456</f>
        <v>0</v>
      </c>
      <c r="CH456" s="234">
        <f>_xll.xSPRDOPT((VLOOKUP(G456,NGPREVPRICES,2,FALSE)+HLOOKUP(D456,PREVCURVES,VLOOKUP(G456,MOVE_DOWN2,2,FALSE),FALSE)),VLOOKUP(G456,NGPREVPRICES,2,FALSE),CK456,VLOOKUP(G456,NGPREVPRICES,4,FALSE),HLOOKUP(D456,PREVVOLS,VLOOKUP(G456,MOVE_DOWN2,2,FALSE),FALSE),VLOOKUP(G456,NGPREVPRICES,3,FALSE),HLOOKUP(D456,Correllate,VLOOKUP(G456,CorMove,2,FALSE),FALSE),Q456-$C$3,R456,$CJ$5)*H456-CJ456</f>
        <v>-783.75416368665174</v>
      </c>
      <c r="CI456" s="234">
        <f t="shared" si="496"/>
        <v>-798.29203704743122</v>
      </c>
      <c r="CJ456" s="234">
        <f>_xll.xSPRDOPT((VLOOKUP(G456,NGPREVPRICES,2,FALSE)+HLOOKUP(D456,PREVCURVES,VLOOKUP(G456,MOVE_DOWN2,2,FALSE),FALSE)),VLOOKUP(G456,NGPREVPRICES,2,FALSE),CK456,VLOOKUP(G456,NGPREVPRICES,4,FALSE),HLOOKUP(D456,PREVVOLS,VLOOKUP(G456,MOVE_DOWN2,2,FALSE),FALSE),VLOOKUP(G456,NGPREVPRICES,3,FALSE),HLOOKUP(D456,Correllate,VLOOKUP(G456,CorMove,2,FALSE),FALSE),Q456-$CD$3,R456,$CJ$5)*H456</f>
        <v>77148.076560465517</v>
      </c>
      <c r="CK456" s="235">
        <f t="shared" si="497"/>
        <v>0.95</v>
      </c>
      <c r="CM456" t="str">
        <f t="shared" si="498"/>
        <v>36892Curve Shift/Gamma</v>
      </c>
      <c r="CN456" t="str">
        <f t="shared" si="499"/>
        <v>36892Rho</v>
      </c>
      <c r="CO456" t="str">
        <f t="shared" si="500"/>
        <v>36892Drift</v>
      </c>
      <c r="CP456" t="str">
        <f t="shared" si="501"/>
        <v>36892Vega</v>
      </c>
      <c r="CQ456" t="str">
        <f t="shared" si="502"/>
        <v>36892Theta</v>
      </c>
    </row>
    <row r="457" spans="1:95" x14ac:dyDescent="0.25">
      <c r="A457" s="140" t="s">
        <v>320</v>
      </c>
      <c r="B457" t="s">
        <v>250</v>
      </c>
      <c r="C457" t="s">
        <v>502</v>
      </c>
      <c r="D457" s="4" t="s">
        <v>7</v>
      </c>
      <c r="E457" t="s">
        <v>20</v>
      </c>
      <c r="F457" t="s">
        <v>1</v>
      </c>
      <c r="G457" s="5">
        <v>36861</v>
      </c>
      <c r="H457" s="130">
        <v>500000</v>
      </c>
      <c r="I457">
        <v>0.95</v>
      </c>
      <c r="J457" s="53">
        <f t="shared" si="523"/>
        <v>4.8</v>
      </c>
      <c r="K457" s="7">
        <f t="shared" si="524"/>
        <v>1.645</v>
      </c>
      <c r="L457" s="53">
        <f t="shared" si="525"/>
        <v>6.4450000000000003</v>
      </c>
      <c r="M457" s="157">
        <f t="shared" si="510"/>
        <v>6.8314027999354002E-2</v>
      </c>
      <c r="N457" s="4">
        <f t="shared" si="511"/>
        <v>0.6</v>
      </c>
      <c r="O457" s="4">
        <f t="shared" si="512"/>
        <v>0.69</v>
      </c>
      <c r="P457" s="9">
        <f t="shared" si="513"/>
        <v>0.83</v>
      </c>
      <c r="Q457" s="5">
        <f t="shared" si="520"/>
        <v>36859</v>
      </c>
      <c r="R457" s="4">
        <f t="shared" si="514"/>
        <v>0</v>
      </c>
      <c r="S457" s="158">
        <f>_xll.xSPRDOPT($L457,$J457,$I457,$M457,$O457,$N457,$P457,$Q457-$C$3,$R457,0)</f>
        <v>0.20467101113385944</v>
      </c>
      <c r="T457" s="159">
        <f>_xll.xSPRDOPT($L457,$J457,$I457,$M457,$O457,$N457,$P457,$Q457-$C$3,$R457,1)*H457</f>
        <v>-122087.07241177875</v>
      </c>
      <c r="U457" s="160">
        <f t="shared" si="515"/>
        <v>102335.50556692971</v>
      </c>
      <c r="V457" s="159">
        <f>_xll.xSPRDOPT($L457,$J457,$I457,$M457,$O457,$N457,$P457,$Q457-$C$3,$R457,2)*H457</f>
        <v>152940.42294954747</v>
      </c>
      <c r="W457" s="159">
        <f t="shared" si="516"/>
        <v>30853.350537768725</v>
      </c>
      <c r="X457" s="51" t="str">
        <f t="shared" si="517"/>
        <v>36861IF-TRANSCO/Z6</v>
      </c>
      <c r="Y457" s="418">
        <f t="shared" si="518"/>
        <v>50</v>
      </c>
      <c r="Z457" s="456">
        <f t="shared" si="519"/>
        <v>-0.24417414482355748</v>
      </c>
      <c r="AA457" s="456">
        <f>_xll.xSPRDOPT($L457,$J457,$I457,$M457,$O457,$N457,$P457,$Q457-$C$3,$R457,3)</f>
        <v>0.24535174838685014</v>
      </c>
      <c r="AB457" s="456">
        <f>((_xll.xSPRDOPT($L457+AB$5,$J457,$I457,$M457,$O457,$N457,$P457,$Q457-$C$3,$R457,3)*$H457)/10000)/100</f>
        <v>0.12267587419342509</v>
      </c>
      <c r="AC457" s="456">
        <f>((_xll.xSPRDOPT($L457+$AB$5,$J457,$I457,$M457,$O457,$N457,$P457,$Q457-$C$3,$R457,7)*$H457)/100)</f>
        <v>-4418.6946680783158</v>
      </c>
      <c r="AD457" s="456">
        <f>(_xll.xSPRDOPT($L457+$AB$5,$J457,$I457,$M457,$O457,$N457,$P457,$Q457-$C$3,$R457,9)/365)*$H457</f>
        <v>-1057.1587743634484</v>
      </c>
      <c r="AE457">
        <f t="shared" si="521"/>
        <v>0</v>
      </c>
      <c r="AF457" s="456">
        <f t="shared" si="522"/>
        <v>3298.4311218009248</v>
      </c>
      <c r="AG457" s="456">
        <f>((_xll.xSPRDOPT($L457,$J457,$I457,$M457,$O457,$N457,$P457,$Q457-$C$3,$R457,6)*$H457)/100)</f>
        <v>-773.80292959773851</v>
      </c>
      <c r="AH457" s="456">
        <f>((_xll.xSPRDOPT($L457,$J457,$I457,$M457,$O457,$N457,$P457,$Q457-$C$3,$R457,5)*$H457)/100)</f>
        <v>3541.0730881727509</v>
      </c>
      <c r="AI457" s="456">
        <f>(((_xll.xSPRDOPT($L457,$J457,$I457,$M457,$O457,$N457,$P457,$Q457-$C$3,$R457,4)*$H457)/10000)/100)-AB457</f>
        <v>3.0644892878836719E-2</v>
      </c>
      <c r="AJ457" s="456"/>
      <c r="AK457" s="456"/>
      <c r="AL457" s="456"/>
      <c r="AM457" s="472"/>
      <c r="CC457" s="141">
        <f t="shared" si="494"/>
        <v>36861</v>
      </c>
      <c r="CD457" s="234">
        <f>_xll.xSPRDOPT((VLOOKUP(G457,NGPrices,2,FALSE)+HLOOKUP(D457,Prices,VLOOKUP(G457,move_down,2,FALSE),FALSE)),VLOOKUP(G457,NGPrices,2,FALSE),I457,VLOOKUP(G457,NGPREVPRICES,4,FALSE),HLOOKUP(D457,PREVVOLS,VLOOKUP(G457,MOVE_DOWN2,2,FALSE),FALSE),VLOOKUP(G457,NGPREVPRICES,3,FALSE),HLOOKUP(D457,Correllate,VLOOKUP(G457,CorMove,2,FALSE),FALSE),Q457-$CD$3,R457,$CD$5)*H457-CJ457</f>
        <v>0</v>
      </c>
      <c r="CE457" s="234">
        <f>_xll.xSPRDOPT((VLOOKUP(G457,NGPREVPRICES,2,FALSE)+HLOOKUP(D457,PREVCURVES,VLOOKUP(G457,MOVE_DOWN2,2,FALSE),FALSE)),VLOOKUP(G457,NGPREVPRICES,2,FALSE),CK457,VLOOKUP(G457,NGPrices,4,FALSE),HLOOKUP(D457,PREVVOLS,VLOOKUP(G457,MOVE_DOWN2,2,FALSE),FALSE),VLOOKUP(G457,NGPREVPRICES,3,FALSE),HLOOKUP(D457,Correllate,VLOOKUP(G457,CorMove,2,FALSE),FALSE),Q457-$CD$3,R457,$CJ$5)*H457-CJ457</f>
        <v>0</v>
      </c>
      <c r="CF457" s="10">
        <f t="shared" si="495"/>
        <v>-19.368830733379582</v>
      </c>
      <c r="CG457" s="234">
        <f>_xll.xSPRDOPT((VLOOKUP(G457,NGPREVPRICES,2,FALSE)+HLOOKUP(D457,PREVCURVES,VLOOKUP(G457,MOVE_DOWN2,2,FALSE),FALSE)),VLOOKUP(G457,NGPREVPRICES,2,FALSE),CK457,VLOOKUP(G457,NGPREVPRICES,4,FALSE),HLOOKUP(D457,VOLS,VLOOKUP(G457,move_down,2,FALSE),FALSE),VLOOKUP(G457,NGPrices,3,FALSE),HLOOKUP(D457,Correllate,VLOOKUP(G457,CorMove,2,FALSE),FALSE),Q457-$CD$3,R457,$CJ$5)*H457-CJ457</f>
        <v>0</v>
      </c>
      <c r="CH457" s="234">
        <f>_xll.xSPRDOPT((VLOOKUP(G457,NGPREVPRICES,2,FALSE)+HLOOKUP(D457,PREVCURVES,VLOOKUP(G457,MOVE_DOWN2,2,FALSE),FALSE)),VLOOKUP(G457,NGPREVPRICES,2,FALSE),CK457,VLOOKUP(G457,NGPREVPRICES,4,FALSE),HLOOKUP(D457,PREVVOLS,VLOOKUP(G457,MOVE_DOWN2,2,FALSE),FALSE),VLOOKUP(G457,NGPREVPRICES,3,FALSE),HLOOKUP(D457,Correllate,VLOOKUP(G457,CorMove,2,FALSE),FALSE),Q457-$C$3,R457,$CJ$5)*H457-CJ457</f>
        <v>-1054.2895498971193</v>
      </c>
      <c r="CI457" s="234">
        <f t="shared" si="496"/>
        <v>-1073.6583806304989</v>
      </c>
      <c r="CJ457" s="234">
        <f>_xll.xSPRDOPT((VLOOKUP(G457,NGPREVPRICES,2,FALSE)+HLOOKUP(D457,PREVCURVES,VLOOKUP(G457,MOVE_DOWN2,2,FALSE),FALSE)),VLOOKUP(G457,NGPREVPRICES,2,FALSE),CK457,VLOOKUP(G457,NGPREVPRICES,4,FALSE),HLOOKUP(D457,PREVVOLS,VLOOKUP(G457,MOVE_DOWN2,2,FALSE),FALSE),VLOOKUP(G457,NGPREVPRICES,3,FALSE),HLOOKUP(D457,Correllate,VLOOKUP(G457,CorMove,2,FALSE),FALSE),Q457-$CD$3,R457,$CJ$5)*H457</f>
        <v>103389.79511682683</v>
      </c>
      <c r="CK457" s="235">
        <f t="shared" si="497"/>
        <v>0.95</v>
      </c>
      <c r="CM457" t="str">
        <f t="shared" si="498"/>
        <v>36861Curve Shift/Gamma</v>
      </c>
      <c r="CN457" t="str">
        <f t="shared" si="499"/>
        <v>36861Rho</v>
      </c>
      <c r="CO457" t="str">
        <f t="shared" si="500"/>
        <v>36861Drift</v>
      </c>
      <c r="CP457" t="str">
        <f t="shared" si="501"/>
        <v>36861Vega</v>
      </c>
      <c r="CQ457" t="str">
        <f t="shared" si="502"/>
        <v>36861Theta</v>
      </c>
    </row>
    <row r="458" spans="1:95" x14ac:dyDescent="0.25">
      <c r="A458" s="140" t="s">
        <v>320</v>
      </c>
      <c r="B458" t="s">
        <v>250</v>
      </c>
      <c r="C458" t="s">
        <v>502</v>
      </c>
      <c r="D458" s="4" t="s">
        <v>7</v>
      </c>
      <c r="E458" t="s">
        <v>20</v>
      </c>
      <c r="F458" t="s">
        <v>1</v>
      </c>
      <c r="G458" s="5">
        <v>36831</v>
      </c>
      <c r="H458" s="130">
        <v>500000</v>
      </c>
      <c r="I458">
        <v>0.95</v>
      </c>
      <c r="J458" s="53">
        <f t="shared" si="523"/>
        <v>4.7359999999999998</v>
      </c>
      <c r="K458" s="7">
        <f t="shared" si="524"/>
        <v>0.77</v>
      </c>
      <c r="L458" s="53">
        <f t="shared" si="525"/>
        <v>5.5060000000000002</v>
      </c>
      <c r="M458" s="157">
        <f t="shared" si="510"/>
        <v>6.810675983792E-2</v>
      </c>
      <c r="N458" s="4">
        <f t="shared" si="511"/>
        <v>0.59499999999999997</v>
      </c>
      <c r="O458" s="4">
        <f t="shared" si="512"/>
        <v>0.625</v>
      </c>
      <c r="P458" s="9">
        <f t="shared" si="513"/>
        <v>0.89</v>
      </c>
      <c r="Q458" s="5">
        <f t="shared" si="520"/>
        <v>36829</v>
      </c>
      <c r="R458" s="4">
        <f t="shared" si="514"/>
        <v>0</v>
      </c>
      <c r="S458" s="158">
        <f>_xll.xSPRDOPT($L458,$J458,$I458,$M458,$O458,$N458,$P458,$Q458-$C$3,$R458,0)</f>
        <v>0.36329892687479826</v>
      </c>
      <c r="T458" s="159">
        <f>_xll.xSPRDOPT($L458,$J458,$I458,$M458,$O458,$N458,$P458,$Q458-$C$3,$R458,1)*H458</f>
        <v>-287506.03522462922</v>
      </c>
      <c r="U458" s="160">
        <f t="shared" si="515"/>
        <v>181649.46343739913</v>
      </c>
      <c r="V458" s="159">
        <f>_xll.xSPRDOPT($L458,$J458,$I458,$M458,$O458,$N458,$P458,$Q458-$C$3,$R458,2)*H458</f>
        <v>308772.55624007672</v>
      </c>
      <c r="W458" s="159">
        <f t="shared" si="516"/>
        <v>21266.521015447506</v>
      </c>
      <c r="X458" s="51" t="str">
        <f t="shared" si="517"/>
        <v>36831IF-TRANSCO/Z6</v>
      </c>
      <c r="Y458" s="418">
        <f t="shared" si="518"/>
        <v>50</v>
      </c>
      <c r="Z458" s="456">
        <f t="shared" si="519"/>
        <v>-0.57501207044925839</v>
      </c>
      <c r="AA458" s="456">
        <f>_xll.xSPRDOPT($L458,$J458,$I458,$M458,$O458,$N458,$P458,$Q458-$C$3,$R458,3)</f>
        <v>0.58419351190951563</v>
      </c>
      <c r="AB458" s="456">
        <f>((_xll.xSPRDOPT($L458+AB$5,$J458,$I458,$M458,$O458,$N458,$P458,$Q458-$C$3,$R458,3)*$H458)/10000)/100</f>
        <v>0.29209675595475781</v>
      </c>
      <c r="AC458" s="456">
        <f>((_xll.xSPRDOPT($L458+$AB$5,$J458,$I458,$M458,$O458,$N458,$P458,$Q458-$C$3,$R458,7)*$H458)/100)</f>
        <v>-4671.9146804712036</v>
      </c>
      <c r="AD458" s="456">
        <f>(_xll.xSPRDOPT($L458+$AB$5,$J458,$I458,$M458,$O458,$N458,$P458,$Q458-$C$3,$R458,9)/365)*$H458</f>
        <v>-997.91915072438269</v>
      </c>
      <c r="AE458">
        <f t="shared" si="521"/>
        <v>0</v>
      </c>
      <c r="AF458" s="456">
        <f t="shared" si="522"/>
        <v>2148.8628576054225</v>
      </c>
      <c r="AG458" s="456">
        <f>((_xll.xSPRDOPT($L458,$J458,$I458,$M458,$O458,$N458,$P458,$Q458-$C$3,$R458,6)*$H458)/100)</f>
        <v>-731.22034607912622</v>
      </c>
      <c r="AH458" s="456">
        <f>((_xll.xSPRDOPT($L458,$J458,$I458,$M458,$O458,$N458,$P458,$Q458-$C$3,$R458,5)*$H458)/100)</f>
        <v>2741.83920990769</v>
      </c>
      <c r="AI458" s="456">
        <f>(((_xll.xSPRDOPT($L458,$J458,$I458,$M458,$O458,$N458,$P458,$Q458-$C$3,$R458,4)*$H458)/10000)/100)-AB458</f>
        <v>-1.5893894732140312E-2</v>
      </c>
      <c r="AJ458" s="456"/>
      <c r="AK458" s="456"/>
      <c r="AL458" s="456"/>
      <c r="AM458" s="472"/>
      <c r="CC458" s="141">
        <f t="shared" si="494"/>
        <v>36831</v>
      </c>
      <c r="CD458" s="234">
        <f>_xll.xSPRDOPT((VLOOKUP(G458,NGPrices,2,FALSE)+HLOOKUP(D458,Prices,VLOOKUP(G458,move_down,2,FALSE),FALSE)),VLOOKUP(G458,NGPrices,2,FALSE),I458,VLOOKUP(G458,NGPREVPRICES,4,FALSE),HLOOKUP(D458,PREVVOLS,VLOOKUP(G458,MOVE_DOWN2,2,FALSE),FALSE),VLOOKUP(G458,NGPREVPRICES,3,FALSE),HLOOKUP(D458,Correllate,VLOOKUP(G458,CorMove,2,FALSE),FALSE),Q458-$CD$3,R458,$CD$5)*H458-CJ458</f>
        <v>0</v>
      </c>
      <c r="CE458" s="234">
        <f>_xll.xSPRDOPT((VLOOKUP(G458,NGPREVPRICES,2,FALSE)+HLOOKUP(D458,PREVCURVES,VLOOKUP(G458,MOVE_DOWN2,2,FALSE),FALSE)),VLOOKUP(G458,NGPREVPRICES,2,FALSE),CK458,VLOOKUP(G458,NGPrices,4,FALSE),HLOOKUP(D458,PREVVOLS,VLOOKUP(G458,MOVE_DOWN2,2,FALSE),FALSE),VLOOKUP(G458,NGPREVPRICES,3,FALSE),HLOOKUP(D458,Correllate,VLOOKUP(G458,CorMove,2,FALSE),FALSE),Q458-$CD$3,R458,$CJ$5)*H458-CJ458</f>
        <v>0</v>
      </c>
      <c r="CF458" s="10">
        <f t="shared" si="495"/>
        <v>-33.918691676051822</v>
      </c>
      <c r="CG458" s="234">
        <f>_xll.xSPRDOPT((VLOOKUP(G458,NGPREVPRICES,2,FALSE)+HLOOKUP(D458,PREVCURVES,VLOOKUP(G458,MOVE_DOWN2,2,FALSE),FALSE)),VLOOKUP(G458,NGPREVPRICES,2,FALSE),CK458,VLOOKUP(G458,NGPREVPRICES,4,FALSE),HLOOKUP(D458,VOLS,VLOOKUP(G458,move_down,2,FALSE),FALSE),VLOOKUP(G458,NGPrices,3,FALSE),HLOOKUP(D458,Correllate,VLOOKUP(G458,CorMove,2,FALSE),FALSE),Q458-$CD$3,R458,$CJ$5)*H458-CJ458</f>
        <v>0</v>
      </c>
      <c r="CH458" s="234">
        <f>_xll.xSPRDOPT((VLOOKUP(G458,NGPREVPRICES,2,FALSE)+HLOOKUP(D458,PREVCURVES,VLOOKUP(G458,MOVE_DOWN2,2,FALSE),FALSE)),VLOOKUP(G458,NGPREVPRICES,2,FALSE),CK458,VLOOKUP(G458,NGPREVPRICES,4,FALSE),HLOOKUP(D458,PREVVOLS,VLOOKUP(G458,MOVE_DOWN2,2,FALSE),FALSE),VLOOKUP(G458,NGPREVPRICES,3,FALSE),HLOOKUP(D458,Correllate,VLOOKUP(G458,CorMove,2,FALSE),FALSE),Q458-$C$3,R458,$CJ$5)*H458-CJ458</f>
        <v>-993.22553330584196</v>
      </c>
      <c r="CI458" s="234">
        <f t="shared" si="496"/>
        <v>-1027.1442249818938</v>
      </c>
      <c r="CJ458" s="234">
        <f>_xll.xSPRDOPT((VLOOKUP(G458,NGPREVPRICES,2,FALSE)+HLOOKUP(D458,PREVCURVES,VLOOKUP(G458,MOVE_DOWN2,2,FALSE),FALSE)),VLOOKUP(G458,NGPREVPRICES,2,FALSE),CK458,VLOOKUP(G458,NGPREVPRICES,4,FALSE),HLOOKUP(D458,PREVVOLS,VLOOKUP(G458,MOVE_DOWN2,2,FALSE),FALSE),VLOOKUP(G458,NGPREVPRICES,3,FALSE),HLOOKUP(D458,Correllate,VLOOKUP(G458,CorMove,2,FALSE),FALSE),Q458-$CD$3,R458,$CJ$5)*H458</f>
        <v>182642.68897070497</v>
      </c>
      <c r="CK458" s="235">
        <f t="shared" si="497"/>
        <v>0.95</v>
      </c>
      <c r="CM458" t="str">
        <f t="shared" si="498"/>
        <v>36831Curve Shift/Gamma</v>
      </c>
      <c r="CN458" t="str">
        <f t="shared" si="499"/>
        <v>36831Rho</v>
      </c>
      <c r="CO458" t="str">
        <f t="shared" si="500"/>
        <v>36831Drift</v>
      </c>
      <c r="CP458" t="str">
        <f t="shared" si="501"/>
        <v>36831Vega</v>
      </c>
      <c r="CQ458" t="str">
        <f t="shared" si="502"/>
        <v>36831Theta</v>
      </c>
    </row>
    <row r="459" spans="1:95" x14ac:dyDescent="0.25">
      <c r="A459" s="140" t="s">
        <v>348</v>
      </c>
      <c r="B459" t="s">
        <v>250</v>
      </c>
      <c r="C459" t="s">
        <v>503</v>
      </c>
      <c r="D459" s="4" t="s">
        <v>7</v>
      </c>
      <c r="E459" t="s">
        <v>20</v>
      </c>
      <c r="F459" t="s">
        <v>1</v>
      </c>
      <c r="G459" s="5">
        <v>37316</v>
      </c>
      <c r="H459" s="130">
        <v>-1000000</v>
      </c>
      <c r="I459">
        <v>0.95</v>
      </c>
      <c r="J459" s="53">
        <f t="shared" si="523"/>
        <v>3.605</v>
      </c>
      <c r="K459" s="7">
        <f t="shared" si="524"/>
        <v>0.99</v>
      </c>
      <c r="L459" s="53">
        <f t="shared" si="525"/>
        <v>4.5949999999999998</v>
      </c>
      <c r="M459" s="157">
        <f t="shared" si="510"/>
        <v>6.9499863695118999E-2</v>
      </c>
      <c r="N459" s="4">
        <f t="shared" si="511"/>
        <v>0.36499999999999999</v>
      </c>
      <c r="O459" s="4">
        <f t="shared" si="512"/>
        <v>0.40200000000000002</v>
      </c>
      <c r="P459" s="9">
        <f t="shared" si="513"/>
        <v>0.95</v>
      </c>
      <c r="Q459" s="5">
        <f t="shared" si="520"/>
        <v>37314</v>
      </c>
      <c r="R459" s="4">
        <f t="shared" si="514"/>
        <v>0</v>
      </c>
      <c r="S459" s="158">
        <f>_xll.xSPRDOPT($L459,$J459,$I459,$M459,$O459,$N459,$P459,$Q459-$C$3,$R459,0)</f>
        <v>0.29641350037405367</v>
      </c>
      <c r="T459" s="159">
        <f>_xll.xSPRDOPT($L459,$J459,$I459,$M459,$O459,$N459,$P459,$Q459-$C$3,$R459,1)*H459</f>
        <v>389307.45555589977</v>
      </c>
      <c r="U459" s="160">
        <f t="shared" si="515"/>
        <v>-296413.50037405366</v>
      </c>
      <c r="V459" s="159">
        <f>_xll.xSPRDOPT($L459,$J459,$I459,$M459,$O459,$N459,$P459,$Q459-$C$3,$R459,2)*H459</f>
        <v>-438201.07396769978</v>
      </c>
      <c r="W459" s="159">
        <f t="shared" si="516"/>
        <v>-48893.618411800009</v>
      </c>
      <c r="X459" s="51" t="str">
        <f t="shared" si="517"/>
        <v>37316IF-TRANSCO/Z6</v>
      </c>
      <c r="Y459" s="418">
        <f t="shared" si="518"/>
        <v>-100</v>
      </c>
      <c r="Z459" s="456">
        <f t="shared" si="519"/>
        <v>-0.38930745555589974</v>
      </c>
      <c r="AA459" s="456">
        <f>_xll.xSPRDOPT($L459,$J459,$I459,$M459,$O459,$N459,$P459,$Q459-$C$3,$R459,3)</f>
        <v>0.40692116771061981</v>
      </c>
      <c r="AB459" s="456">
        <f>((_xll.xSPRDOPT($L459+AB$5,$J459,$I459,$M459,$O459,$N459,$P459,$Q459-$C$3,$R459,3)*$H459)/10000)/100</f>
        <v>-0.40692116771061981</v>
      </c>
      <c r="AC459" s="456">
        <f>((_xll.xSPRDOPT($L459+$AB$5,$J459,$I459,$M459,$O459,$N459,$P459,$Q459-$C$3,$R459,7)*$H459)/100)</f>
        <v>15105.856895288547</v>
      </c>
      <c r="AD459" s="456">
        <f>(_xll.xSPRDOPT($L459+$AB$5,$J459,$I459,$M459,$O459,$N459,$P459,$Q459-$C$3,$R459,9)/365)*$H459</f>
        <v>229.08539045264877</v>
      </c>
      <c r="AE459">
        <f t="shared" si="521"/>
        <v>0</v>
      </c>
      <c r="AF459" s="456">
        <f t="shared" si="522"/>
        <v>-8552.0895056386489</v>
      </c>
      <c r="AG459" s="456">
        <f>((_xll.xSPRDOPT($L459,$J459,$I459,$M459,$O459,$N459,$P459,$Q459-$C$3,$R459,6)*$H459)/100)</f>
        <v>9100.1711453777189</v>
      </c>
      <c r="AH459" s="456">
        <f>((_xll.xSPRDOPT($L459,$J459,$I459,$M459,$O459,$N459,$P459,$Q459-$C$3,$R459,5)*$H459)/100)</f>
        <v>-16027.550093584512</v>
      </c>
      <c r="AI459" s="456">
        <f>(((_xll.xSPRDOPT($L459,$J459,$I459,$M459,$O459,$N459,$P459,$Q459-$C$3,$R459,4)*$H459)/10000)/100)-AB459</f>
        <v>-1.8425364214728401E-2</v>
      </c>
      <c r="AJ459" s="456"/>
      <c r="AK459" s="456"/>
      <c r="AL459" s="456"/>
      <c r="AM459" s="472"/>
      <c r="CC459" s="141">
        <f t="shared" si="494"/>
        <v>37316</v>
      </c>
      <c r="CD459" s="234">
        <f>_xll.xSPRDOPT((VLOOKUP(G459,NGPrices,2,FALSE)+HLOOKUP(D459,Prices,VLOOKUP(G459,move_down,2,FALSE),FALSE)),VLOOKUP(G459,NGPrices,2,FALSE),I459,VLOOKUP(G459,NGPREVPRICES,4,FALSE),HLOOKUP(D459,PREVVOLS,VLOOKUP(G459,MOVE_DOWN2,2,FALSE),FALSE),VLOOKUP(G459,NGPREVPRICES,3,FALSE),HLOOKUP(D459,Correllate,VLOOKUP(G459,CorMove,2,FALSE),FALSE),Q459-$CD$3,R459,$CD$5)*H459-CJ459</f>
        <v>0</v>
      </c>
      <c r="CE459" s="234">
        <f>_xll.xSPRDOPT((VLOOKUP(G459,NGPREVPRICES,2,FALSE)+HLOOKUP(D459,PREVCURVES,VLOOKUP(G459,MOVE_DOWN2,2,FALSE),FALSE)),VLOOKUP(G459,NGPREVPRICES,2,FALSE),CK459,VLOOKUP(G459,NGPrices,4,FALSE),HLOOKUP(D459,PREVVOLS,VLOOKUP(G459,MOVE_DOWN2,2,FALSE),FALSE),VLOOKUP(G459,NGPREVPRICES,3,FALSE),HLOOKUP(D459,Correllate,VLOOKUP(G459,CorMove,2,FALSE),FALSE),Q459-$CD$3,R459,$CJ$5)*H459-CJ459</f>
        <v>0</v>
      </c>
      <c r="CF459" s="10">
        <f t="shared" si="495"/>
        <v>61.311603085370734</v>
      </c>
      <c r="CG459" s="234">
        <f>_xll.xSPRDOPT((VLOOKUP(G459,NGPREVPRICES,2,FALSE)+HLOOKUP(D459,PREVCURVES,VLOOKUP(G459,MOVE_DOWN2,2,FALSE),FALSE)),VLOOKUP(G459,NGPREVPRICES,2,FALSE),CK459,VLOOKUP(G459,NGPREVPRICES,4,FALSE),HLOOKUP(D459,VOLS,VLOOKUP(G459,move_down,2,FALSE),FALSE),VLOOKUP(G459,NGPrices,3,FALSE),HLOOKUP(D459,Correllate,VLOOKUP(G459,CorMove,2,FALSE),FALSE),Q459-$CD$3,R459,$CJ$5)*H459-CJ459</f>
        <v>0</v>
      </c>
      <c r="CH459" s="234">
        <f>_xll.xSPRDOPT((VLOOKUP(G459,NGPREVPRICES,2,FALSE)+HLOOKUP(D459,PREVCURVES,VLOOKUP(G459,MOVE_DOWN2,2,FALSE),FALSE)),VLOOKUP(G459,NGPREVPRICES,2,FALSE),CK459,VLOOKUP(G459,NGPREVPRICES,4,FALSE),HLOOKUP(D459,PREVVOLS,VLOOKUP(G459,MOVE_DOWN2,2,FALSE),FALSE),VLOOKUP(G459,NGPREVPRICES,3,FALSE),HLOOKUP(D459,Correllate,VLOOKUP(G459,CorMove,2,FALSE),FALSE),Q459-$C$3,R459,$CJ$5)*H459-CJ459</f>
        <v>228.74760596390115</v>
      </c>
      <c r="CI459" s="234">
        <f t="shared" si="496"/>
        <v>290.05920904927189</v>
      </c>
      <c r="CJ459" s="234">
        <f>_xll.xSPRDOPT((VLOOKUP(G459,NGPREVPRICES,2,FALSE)+HLOOKUP(D459,PREVCURVES,VLOOKUP(G459,MOVE_DOWN2,2,FALSE),FALSE)),VLOOKUP(G459,NGPREVPRICES,2,FALSE),CK459,VLOOKUP(G459,NGPREVPRICES,4,FALSE),HLOOKUP(D459,PREVVOLS,VLOOKUP(G459,MOVE_DOWN2,2,FALSE),FALSE),VLOOKUP(G459,NGPREVPRICES,3,FALSE),HLOOKUP(D459,Correllate,VLOOKUP(G459,CorMove,2,FALSE),FALSE),Q459-$CD$3,R459,$CJ$5)*H459</f>
        <v>-296642.24798001756</v>
      </c>
      <c r="CK459" s="235">
        <f t="shared" si="497"/>
        <v>0.95</v>
      </c>
      <c r="CM459" t="str">
        <f t="shared" si="498"/>
        <v>37316Curve Shift/Gamma</v>
      </c>
      <c r="CN459" t="str">
        <f t="shared" si="499"/>
        <v>37316Rho</v>
      </c>
      <c r="CO459" t="str">
        <f t="shared" si="500"/>
        <v>37316Drift</v>
      </c>
      <c r="CP459" t="str">
        <f t="shared" si="501"/>
        <v>37316Vega</v>
      </c>
      <c r="CQ459" t="str">
        <f t="shared" si="502"/>
        <v>37316Theta</v>
      </c>
    </row>
    <row r="460" spans="1:95" x14ac:dyDescent="0.25">
      <c r="A460" s="140" t="s">
        <v>348</v>
      </c>
      <c r="B460" t="s">
        <v>250</v>
      </c>
      <c r="C460" t="s">
        <v>503</v>
      </c>
      <c r="D460" s="4" t="s">
        <v>7</v>
      </c>
      <c r="E460" t="s">
        <v>20</v>
      </c>
      <c r="F460" t="s">
        <v>1</v>
      </c>
      <c r="G460" s="5">
        <v>37288</v>
      </c>
      <c r="H460" s="130">
        <v>-1000000</v>
      </c>
      <c r="I460">
        <v>0.95</v>
      </c>
      <c r="J460" s="53">
        <f t="shared" si="523"/>
        <v>3.77</v>
      </c>
      <c r="K460" s="7">
        <f t="shared" si="524"/>
        <v>1.56</v>
      </c>
      <c r="L460" s="53">
        <f t="shared" si="525"/>
        <v>5.33</v>
      </c>
      <c r="M460" s="157">
        <f t="shared" si="510"/>
        <v>6.9453688628792004E-2</v>
      </c>
      <c r="N460" s="4">
        <f t="shared" si="511"/>
        <v>0.39500000000000002</v>
      </c>
      <c r="O460" s="4">
        <f t="shared" si="512"/>
        <v>0.435</v>
      </c>
      <c r="P460" s="9">
        <f t="shared" si="513"/>
        <v>0.95</v>
      </c>
      <c r="Q460" s="5">
        <f t="shared" si="520"/>
        <v>37286</v>
      </c>
      <c r="R460" s="4">
        <f t="shared" si="514"/>
        <v>0</v>
      </c>
      <c r="S460" s="158">
        <f>_xll.xSPRDOPT($L460,$J460,$I460,$M460,$O460,$N460,$P460,$Q460-$C$3,$R460,0)</f>
        <v>0.15578013570875615</v>
      </c>
      <c r="T460" s="159">
        <f>_xll.xSPRDOPT($L460,$J460,$I460,$M460,$O460,$N460,$P460,$Q460-$C$3,$R460,1)*H460</f>
        <v>209516.65748151261</v>
      </c>
      <c r="U460" s="160">
        <f t="shared" si="515"/>
        <v>-155780.13570875616</v>
      </c>
      <c r="V460" s="159">
        <f>_xll.xSPRDOPT($L460,$J460,$I460,$M460,$O460,$N460,$P460,$Q460-$C$3,$R460,2)*H460</f>
        <v>-250575.25532229542</v>
      </c>
      <c r="W460" s="159">
        <f t="shared" si="516"/>
        <v>-41058.597840782808</v>
      </c>
      <c r="X460" s="51" t="str">
        <f t="shared" si="517"/>
        <v>37288IF-TRANSCO/Z6</v>
      </c>
      <c r="Y460" s="418">
        <f t="shared" si="518"/>
        <v>-100</v>
      </c>
      <c r="Z460" s="456">
        <f t="shared" si="519"/>
        <v>-0.2095166574815126</v>
      </c>
      <c r="AA460" s="456">
        <f>_xll.xSPRDOPT($L460,$J460,$I460,$M460,$O460,$N460,$P460,$Q460-$C$3,$R460,3)</f>
        <v>0.2529648690916495</v>
      </c>
      <c r="AB460" s="456">
        <f>((_xll.xSPRDOPT($L460+AB$5,$J460,$I460,$M460,$O460,$N460,$P460,$Q460-$C$3,$R460,3)*$H460)/10000)/100</f>
        <v>-0.2529648690916495</v>
      </c>
      <c r="AC460" s="456">
        <f>((_xll.xSPRDOPT($L460+$AB$5,$J460,$I460,$M460,$O460,$N460,$P460,$Q460-$C$3,$R460,7)*$H460)/100)</f>
        <v>13734.815460609112</v>
      </c>
      <c r="AD460" s="456">
        <f>(_xll.xSPRDOPT($L460+$AB$5,$J460,$I460,$M460,$O460,$N460,$P460,$Q460-$C$3,$R460,9)/365)*$H460</f>
        <v>264.81070778486225</v>
      </c>
      <c r="AE460">
        <f t="shared" si="521"/>
        <v>0</v>
      </c>
      <c r="AF460" s="456">
        <f t="shared" si="522"/>
        <v>-7732.4862139637507</v>
      </c>
      <c r="AG460" s="456">
        <f>((_xll.xSPRDOPT($L460,$J460,$I460,$M460,$O460,$N460,$P460,$Q460-$C$3,$R460,6)*$H460)/100)</f>
        <v>8152.8987579439681</v>
      </c>
      <c r="AH460" s="456">
        <f>((_xll.xSPRDOPT($L460,$J460,$I460,$M460,$O460,$N460,$P460,$Q460-$C$3,$R460,5)*$H460)/100)</f>
        <v>-14424.659917019655</v>
      </c>
      <c r="AI460" s="456">
        <f>(((_xll.xSPRDOPT($L460,$J460,$I460,$M460,$O460,$N460,$P460,$Q460-$C$3,$R460,4)*$H460)/10000)/100)-AB460</f>
        <v>-5.8921393055342219E-2</v>
      </c>
      <c r="AJ460" s="456"/>
      <c r="AK460" s="456"/>
      <c r="AL460" s="456"/>
      <c r="AM460" s="472"/>
      <c r="CC460" s="141">
        <f t="shared" si="494"/>
        <v>37288</v>
      </c>
      <c r="CD460" s="234">
        <f>_xll.xSPRDOPT((VLOOKUP(G460,NGPrices,2,FALSE)+HLOOKUP(D460,Prices,VLOOKUP(G460,move_down,2,FALSE),FALSE)),VLOOKUP(G460,NGPrices,2,FALSE),I460,VLOOKUP(G460,NGPREVPRICES,4,FALSE),HLOOKUP(D460,PREVVOLS,VLOOKUP(G460,MOVE_DOWN2,2,FALSE),FALSE),VLOOKUP(G460,NGPREVPRICES,3,FALSE),HLOOKUP(D460,Correllate,VLOOKUP(G460,CorMove,2,FALSE),FALSE),Q460-$CD$3,R460,$CD$5)*H460-CJ460</f>
        <v>0</v>
      </c>
      <c r="CE460" s="234">
        <f>_xll.xSPRDOPT((VLOOKUP(G460,NGPREVPRICES,2,FALSE)+HLOOKUP(D460,PREVCURVES,VLOOKUP(G460,MOVE_DOWN2,2,FALSE),FALSE)),VLOOKUP(G460,NGPREVPRICES,2,FALSE),CK460,VLOOKUP(G460,NGPrices,4,FALSE),HLOOKUP(D460,PREVVOLS,VLOOKUP(G460,MOVE_DOWN2,2,FALSE),FALSE),VLOOKUP(G460,NGPREVPRICES,3,FALSE),HLOOKUP(D460,Correllate,VLOOKUP(G460,CorMove,2,FALSE),FALSE),Q460-$CD$3,R460,$CJ$5)*H460-CJ460</f>
        <v>0</v>
      </c>
      <c r="CF460" s="10">
        <f t="shared" si="495"/>
        <v>32.068964707810665</v>
      </c>
      <c r="CG460" s="234">
        <f>_xll.xSPRDOPT((VLOOKUP(G460,NGPREVPRICES,2,FALSE)+HLOOKUP(D460,PREVCURVES,VLOOKUP(G460,MOVE_DOWN2,2,FALSE),FALSE)),VLOOKUP(G460,NGPREVPRICES,2,FALSE),CK460,VLOOKUP(G460,NGPREVPRICES,4,FALSE),HLOOKUP(D460,VOLS,VLOOKUP(G460,move_down,2,FALSE),FALSE),VLOOKUP(G460,NGPrices,3,FALSE),HLOOKUP(D460,Correllate,VLOOKUP(G460,CorMove,2,FALSE),FALSE),Q460-$CD$3,R460,$CJ$5)*H460-CJ460</f>
        <v>0</v>
      </c>
      <c r="CH460" s="234">
        <f>_xll.xSPRDOPT((VLOOKUP(G460,NGPREVPRICES,2,FALSE)+HLOOKUP(D460,PREVCURVES,VLOOKUP(G460,MOVE_DOWN2,2,FALSE),FALSE)),VLOOKUP(G460,NGPREVPRICES,2,FALSE),CK460,VLOOKUP(G460,NGPREVPRICES,4,FALSE),HLOOKUP(D460,PREVVOLS,VLOOKUP(G460,MOVE_DOWN2,2,FALSE),FALSE),VLOOKUP(G460,NGPREVPRICES,3,FALSE),HLOOKUP(D460,Correllate,VLOOKUP(G460,CorMove,2,FALSE),FALSE),Q460-$C$3,R460,$CJ$5)*H460-CJ460</f>
        <v>264.48231415142072</v>
      </c>
      <c r="CI460" s="234">
        <f t="shared" si="496"/>
        <v>296.55127885923139</v>
      </c>
      <c r="CJ460" s="234">
        <f>_xll.xSPRDOPT((VLOOKUP(G460,NGPREVPRICES,2,FALSE)+HLOOKUP(D460,PREVCURVES,VLOOKUP(G460,MOVE_DOWN2,2,FALSE),FALSE)),VLOOKUP(G460,NGPREVPRICES,2,FALSE),CK460,VLOOKUP(G460,NGPREVPRICES,4,FALSE),HLOOKUP(D460,PREVVOLS,VLOOKUP(G460,MOVE_DOWN2,2,FALSE),FALSE),VLOOKUP(G460,NGPREVPRICES,3,FALSE),HLOOKUP(D460,Correllate,VLOOKUP(G460,CorMove,2,FALSE),FALSE),Q460-$CD$3,R460,$CJ$5)*H460</f>
        <v>-156044.61802290758</v>
      </c>
      <c r="CK460" s="235">
        <f t="shared" si="497"/>
        <v>0.95</v>
      </c>
      <c r="CM460" t="str">
        <f t="shared" si="498"/>
        <v>37288Curve Shift/Gamma</v>
      </c>
      <c r="CN460" t="str">
        <f t="shared" si="499"/>
        <v>37288Rho</v>
      </c>
      <c r="CO460" t="str">
        <f t="shared" si="500"/>
        <v>37288Drift</v>
      </c>
      <c r="CP460" t="str">
        <f t="shared" si="501"/>
        <v>37288Vega</v>
      </c>
      <c r="CQ460" t="str">
        <f t="shared" si="502"/>
        <v>37288Theta</v>
      </c>
    </row>
    <row r="461" spans="1:95" x14ac:dyDescent="0.25">
      <c r="A461" s="140" t="s">
        <v>348</v>
      </c>
      <c r="B461" t="s">
        <v>250</v>
      </c>
      <c r="C461" t="s">
        <v>503</v>
      </c>
      <c r="D461" s="4" t="s">
        <v>7</v>
      </c>
      <c r="E461" t="s">
        <v>20</v>
      </c>
      <c r="F461" t="s">
        <v>1</v>
      </c>
      <c r="G461" s="5">
        <v>37257</v>
      </c>
      <c r="H461" s="130">
        <v>-1000000</v>
      </c>
      <c r="I461">
        <v>0.95</v>
      </c>
      <c r="J461" s="53">
        <f t="shared" si="523"/>
        <v>3.94</v>
      </c>
      <c r="K461" s="7">
        <f t="shared" si="524"/>
        <v>1.56</v>
      </c>
      <c r="L461" s="53">
        <f t="shared" si="525"/>
        <v>5.5</v>
      </c>
      <c r="M461" s="157">
        <f t="shared" ref="M461:M470" si="526">VLOOKUP(G461,NGPrices,4,FALSE)</f>
        <v>6.9402566234750995E-2</v>
      </c>
      <c r="N461" s="4">
        <f t="shared" ref="N461:N470" si="527">VLOOKUP(G461,NGPrices,3,FALSE)</f>
        <v>0.41249999999999998</v>
      </c>
      <c r="O461" s="4">
        <f t="shared" ref="O461:O470" si="528">HLOOKUP(D461,VOLS,VLOOKUP(G461,move_down,2,FALSE),FALSE)</f>
        <v>0.45400000000000001</v>
      </c>
      <c r="P461" s="9">
        <f t="shared" ref="P461:P470" si="529">HLOOKUP(D461,Correllate,VLOOKUP(G461,CorMove,2,FALSE),FALSE)</f>
        <v>0.95</v>
      </c>
      <c r="Q461" s="5">
        <f t="shared" si="520"/>
        <v>37253</v>
      </c>
      <c r="R461" s="4">
        <f t="shared" ref="R461:R470" si="530">IF(F461="P",0,1)</f>
        <v>0</v>
      </c>
      <c r="S461" s="158">
        <f>_xll.xSPRDOPT($L461,$J461,$I461,$M461,$O461,$N461,$P461,$Q461-$C$3,$R461,0)</f>
        <v>0.16682407736549187</v>
      </c>
      <c r="T461" s="159">
        <f>_xll.xSPRDOPT($L461,$J461,$I461,$M461,$O461,$N461,$P461,$Q461-$C$3,$R461,1)*H461</f>
        <v>216572.2829368003</v>
      </c>
      <c r="U461" s="160">
        <f t="shared" ref="U461:U470" si="531">S461*H461</f>
        <v>-166824.07736549189</v>
      </c>
      <c r="V461" s="159">
        <f>_xll.xSPRDOPT($L461,$J461,$I461,$M461,$O461,$N461,$P461,$Q461-$C$3,$R461,2)*H461</f>
        <v>-259245.70788448042</v>
      </c>
      <c r="W461" s="159">
        <f t="shared" ref="W461:W470" si="532">+V461+T461</f>
        <v>-42673.42494768012</v>
      </c>
      <c r="X461" s="51" t="str">
        <f t="shared" si="517"/>
        <v>37257IF-TRANSCO/Z6</v>
      </c>
      <c r="Y461" s="418">
        <f t="shared" si="518"/>
        <v>-100</v>
      </c>
      <c r="Z461" s="456">
        <f t="shared" si="519"/>
        <v>-0.21657228293680031</v>
      </c>
      <c r="AA461" s="456">
        <f>_xll.xSPRDOPT($L461,$J461,$I461,$M461,$O461,$N461,$P461,$Q461-$C$3,$R461,3)</f>
        <v>0.25108709576968602</v>
      </c>
      <c r="AB461" s="456">
        <f>((_xll.xSPRDOPT($L461+AB$5,$J461,$I461,$M461,$O461,$N461,$P461,$Q461-$C$3,$R461,3)*$H461)/10000)/100</f>
        <v>-0.25108709576968602</v>
      </c>
      <c r="AC461" s="456">
        <f>((_xll.xSPRDOPT($L461+$AB$5,$J461,$I461,$M461,$O461,$N461,$P461,$Q461-$C$3,$R461,7)*$H461)/100)</f>
        <v>14980.076908111763</v>
      </c>
      <c r="AD461" s="456">
        <f>(_xll.xSPRDOPT($L461+$AB$5,$J461,$I461,$M461,$O461,$N461,$P461,$Q461-$C$3,$R461,9)/365)*$H461</f>
        <v>298.7737247406269</v>
      </c>
      <c r="AE461">
        <f t="shared" si="521"/>
        <v>0</v>
      </c>
      <c r="AF461" s="456">
        <f t="shared" si="522"/>
        <v>-7782.3176871792548</v>
      </c>
      <c r="AG461" s="456">
        <f>((_xll.xSPRDOPT($L461,$J461,$I461,$M461,$O461,$N461,$P461,$Q461-$C$3,$R461,6)*$H461)/100)</f>
        <v>8217.1904710350573</v>
      </c>
      <c r="AH461" s="456">
        <f>((_xll.xSPRDOPT($L461,$J461,$I461,$M461,$O461,$N461,$P461,$Q461-$C$3,$R461,5)*$H461)/100)</f>
        <v>-14536.998051240975</v>
      </c>
      <c r="AI461" s="456">
        <f>(((_xll.xSPRDOPT($L461,$J461,$I461,$M461,$O461,$N461,$P461,$Q461-$C$3,$R461,4)*$H461)/10000)/100)-AB461</f>
        <v>-5.7374821566052392E-2</v>
      </c>
      <c r="AJ461" s="456"/>
      <c r="AK461" s="456"/>
      <c r="AL461" s="456"/>
      <c r="AM461" s="472"/>
      <c r="CC461" s="141">
        <f t="shared" si="494"/>
        <v>37257</v>
      </c>
      <c r="CD461" s="234">
        <f>_xll.xSPRDOPT((VLOOKUP(G461,NGPrices,2,FALSE)+HLOOKUP(D461,Prices,VLOOKUP(G461,move_down,2,FALSE),FALSE)),VLOOKUP(G461,NGPrices,2,FALSE),I461,VLOOKUP(G461,NGPREVPRICES,4,FALSE),HLOOKUP(D461,PREVVOLS,VLOOKUP(G461,MOVE_DOWN2,2,FALSE),FALSE),VLOOKUP(G461,NGPREVPRICES,3,FALSE),HLOOKUP(D461,Correllate,VLOOKUP(G461,CorMove,2,FALSE),FALSE),Q461-$CD$3,R461,$CD$5)*H461-CJ461</f>
        <v>0</v>
      </c>
      <c r="CE461" s="234">
        <f>_xll.xSPRDOPT((VLOOKUP(G461,NGPREVPRICES,2,FALSE)+HLOOKUP(D461,PREVCURVES,VLOOKUP(G461,MOVE_DOWN2,2,FALSE),FALSE)),VLOOKUP(G461,NGPREVPRICES,2,FALSE),CK461,VLOOKUP(G461,NGPrices,4,FALSE),HLOOKUP(D461,PREVVOLS,VLOOKUP(G461,MOVE_DOWN2,2,FALSE),FALSE),VLOOKUP(G461,NGPREVPRICES,3,FALSE),HLOOKUP(D461,Correllate,VLOOKUP(G461,CorMove,2,FALSE),FALSE),Q461-$CD$3,R461,$CJ$5)*H461-CJ461</f>
        <v>0</v>
      </c>
      <c r="CF461" s="10">
        <f t="shared" si="495"/>
        <v>34.129869625146966</v>
      </c>
      <c r="CG461" s="234">
        <f>_xll.xSPRDOPT((VLOOKUP(G461,NGPREVPRICES,2,FALSE)+HLOOKUP(D461,PREVCURVES,VLOOKUP(G461,MOVE_DOWN2,2,FALSE),FALSE)),VLOOKUP(G461,NGPREVPRICES,2,FALSE),CK461,VLOOKUP(G461,NGPREVPRICES,4,FALSE),HLOOKUP(D461,VOLS,VLOOKUP(G461,move_down,2,FALSE),FALSE),VLOOKUP(G461,NGPrices,3,FALSE),HLOOKUP(D461,Correllate,VLOOKUP(G461,CorMove,2,FALSE),FALSE),Q461-$CD$3,R461,$CJ$5)*H461-CJ461</f>
        <v>0</v>
      </c>
      <c r="CH461" s="234">
        <f>_xll.xSPRDOPT((VLOOKUP(G461,NGPREVPRICES,2,FALSE)+HLOOKUP(D461,PREVCURVES,VLOOKUP(G461,MOVE_DOWN2,2,FALSE),FALSE)),VLOOKUP(G461,NGPREVPRICES,2,FALSE),CK461,VLOOKUP(G461,NGPREVPRICES,4,FALSE),HLOOKUP(D461,PREVVOLS,VLOOKUP(G461,MOVE_DOWN2,2,FALSE),FALSE),VLOOKUP(G461,NGPREVPRICES,3,FALSE),HLOOKUP(D461,Correllate,VLOOKUP(G461,CorMove,2,FALSE),FALSE),Q461-$C$3,R461,$CJ$5)*H461-CJ461</f>
        <v>298.39339832225232</v>
      </c>
      <c r="CI461" s="234">
        <f t="shared" si="496"/>
        <v>332.52326794739929</v>
      </c>
      <c r="CJ461" s="234">
        <f>_xll.xSPRDOPT((VLOOKUP(G461,NGPREVPRICES,2,FALSE)+HLOOKUP(D461,PREVCURVES,VLOOKUP(G461,MOVE_DOWN2,2,FALSE),FALSE)),VLOOKUP(G461,NGPREVPRICES,2,FALSE),CK461,VLOOKUP(G461,NGPREVPRICES,4,FALSE),HLOOKUP(D461,PREVVOLS,VLOOKUP(G461,MOVE_DOWN2,2,FALSE),FALSE),VLOOKUP(G461,NGPREVPRICES,3,FALSE),HLOOKUP(D461,Correllate,VLOOKUP(G461,CorMove,2,FALSE),FALSE),Q461-$CD$3,R461,$CJ$5)*H461</f>
        <v>-167122.47076381414</v>
      </c>
      <c r="CK461" s="235">
        <f t="shared" si="497"/>
        <v>0.95</v>
      </c>
      <c r="CM461" t="str">
        <f t="shared" si="498"/>
        <v>37257Curve Shift/Gamma</v>
      </c>
      <c r="CN461" t="str">
        <f t="shared" si="499"/>
        <v>37257Rho</v>
      </c>
      <c r="CO461" t="str">
        <f t="shared" si="500"/>
        <v>37257Drift</v>
      </c>
      <c r="CP461" t="str">
        <f t="shared" si="501"/>
        <v>37257Vega</v>
      </c>
      <c r="CQ461" t="str">
        <f t="shared" si="502"/>
        <v>37257Theta</v>
      </c>
    </row>
    <row r="462" spans="1:95" x14ac:dyDescent="0.25">
      <c r="A462" s="140" t="s">
        <v>348</v>
      </c>
      <c r="B462" t="s">
        <v>250</v>
      </c>
      <c r="C462" t="s">
        <v>503</v>
      </c>
      <c r="D462" s="4" t="s">
        <v>7</v>
      </c>
      <c r="E462" t="s">
        <v>20</v>
      </c>
      <c r="F462" t="s">
        <v>1</v>
      </c>
      <c r="G462" s="5">
        <v>37226</v>
      </c>
      <c r="H462" s="130">
        <v>-1000000</v>
      </c>
      <c r="I462">
        <v>0.95</v>
      </c>
      <c r="J462" s="53">
        <f t="shared" si="523"/>
        <v>3.968</v>
      </c>
      <c r="K462" s="7">
        <f t="shared" si="524"/>
        <v>1.31</v>
      </c>
      <c r="L462" s="53">
        <f t="shared" si="525"/>
        <v>5.2780000000000005</v>
      </c>
      <c r="M462" s="157">
        <f t="shared" si="526"/>
        <v>6.9362858204931002E-2</v>
      </c>
      <c r="N462" s="4">
        <f t="shared" si="527"/>
        <v>0.40749999999999997</v>
      </c>
      <c r="O462" s="4">
        <f t="shared" si="528"/>
        <v>0.44800000000000001</v>
      </c>
      <c r="P462" s="9">
        <f t="shared" si="529"/>
        <v>0.95</v>
      </c>
      <c r="Q462" s="5">
        <f t="shared" si="520"/>
        <v>37224</v>
      </c>
      <c r="R462" s="4">
        <f t="shared" si="530"/>
        <v>0</v>
      </c>
      <c r="S462" s="158">
        <f>_xll.xSPRDOPT($L462,$J462,$I462,$M462,$O462,$N462,$P462,$Q462-$C$3,$R462,0)</f>
        <v>0.21660887616499802</v>
      </c>
      <c r="T462" s="159">
        <f>_xll.xSPRDOPT($L462,$J462,$I462,$M462,$O462,$N462,$P462,$Q462-$C$3,$R462,1)*H462</f>
        <v>285040.35612679191</v>
      </c>
      <c r="U462" s="160">
        <f t="shared" si="531"/>
        <v>-216608.87616499802</v>
      </c>
      <c r="V462" s="159">
        <f>_xll.xSPRDOPT($L462,$J462,$I462,$M462,$O462,$N462,$P462,$Q462-$C$3,$R462,2)*H462</f>
        <v>-331621.14247400529</v>
      </c>
      <c r="W462" s="159">
        <f t="shared" si="532"/>
        <v>-46580.786347213376</v>
      </c>
      <c r="X462" s="51" t="str">
        <f t="shared" si="517"/>
        <v>37226IF-TRANSCO/Z6</v>
      </c>
      <c r="Y462" s="418">
        <f t="shared" si="518"/>
        <v>-100</v>
      </c>
      <c r="Z462" s="456">
        <f t="shared" si="519"/>
        <v>-0.28504035612679191</v>
      </c>
      <c r="AA462" s="456">
        <f>_xll.xSPRDOPT($L462,$J462,$I462,$M462,$O462,$N462,$P462,$Q462-$C$3,$R462,3)</f>
        <v>0.31941649058578103</v>
      </c>
      <c r="AB462" s="456">
        <f>((_xll.xSPRDOPT($L462+AB$5,$J462,$I462,$M462,$O462,$N462,$P462,$Q462-$C$3,$R462,3)*$H462)/10000)/100</f>
        <v>-0.31941649058578103</v>
      </c>
      <c r="AC462" s="456">
        <f>((_xll.xSPRDOPT($L462+$AB$5,$J462,$I462,$M462,$O462,$N462,$P462,$Q462-$C$3,$R462,7)*$H462)/100)</f>
        <v>16305.96165634813</v>
      </c>
      <c r="AD462" s="456">
        <f>(_xll.xSPRDOPT($L462+$AB$5,$J462,$I462,$M462,$O462,$N462,$P462,$Q462-$C$3,$R462,9)/365)*$H462</f>
        <v>322.99881253255296</v>
      </c>
      <c r="AE462">
        <f t="shared" si="521"/>
        <v>0</v>
      </c>
      <c r="AF462" s="456">
        <f t="shared" si="522"/>
        <v>-8162.3647943535998</v>
      </c>
      <c r="AG462" s="456">
        <f>((_xll.xSPRDOPT($L462,$J462,$I462,$M462,$O462,$N462,$P462,$Q462-$C$3,$R462,6)*$H462)/100)</f>
        <v>8657.8241672577078</v>
      </c>
      <c r="AH462" s="456">
        <f>((_xll.xSPRDOPT($L462,$J462,$I462,$M462,$O462,$N462,$P462,$Q462-$C$3,$R462,5)*$H462)/100)</f>
        <v>-15299.613843429928</v>
      </c>
      <c r="AI462" s="456">
        <f>(((_xll.xSPRDOPT($L462,$J462,$I462,$M462,$O462,$N462,$P462,$Q462-$C$3,$R462,4)*$H462)/10000)/100)-AB462</f>
        <v>-4.6263958779086733E-2</v>
      </c>
      <c r="AJ462" s="456"/>
      <c r="AK462" s="456"/>
      <c r="AL462" s="456"/>
      <c r="AM462" s="472"/>
      <c r="CC462" s="141">
        <f t="shared" si="494"/>
        <v>37226</v>
      </c>
      <c r="CD462" s="234">
        <f>_xll.xSPRDOPT((VLOOKUP(G462,NGPrices,2,FALSE)+HLOOKUP(D462,Prices,VLOOKUP(G462,move_down,2,FALSE),FALSE)),VLOOKUP(G462,NGPrices,2,FALSE),I462,VLOOKUP(G462,NGPREVPRICES,4,FALSE),HLOOKUP(D462,PREVVOLS,VLOOKUP(G462,MOVE_DOWN2,2,FALSE),FALSE),VLOOKUP(G462,NGPREVPRICES,3,FALSE),HLOOKUP(D462,Correllate,VLOOKUP(G462,CorMove,2,FALSE),FALSE),Q462-$CD$3,R462,$CD$5)*H462-CJ462</f>
        <v>0</v>
      </c>
      <c r="CE462" s="234">
        <f>_xll.xSPRDOPT((VLOOKUP(G462,NGPREVPRICES,2,FALSE)+HLOOKUP(D462,PREVCURVES,VLOOKUP(G462,MOVE_DOWN2,2,FALSE),FALSE)),VLOOKUP(G462,NGPREVPRICES,2,FALSE),CK462,VLOOKUP(G462,NGPrices,4,FALSE),HLOOKUP(D462,PREVVOLS,VLOOKUP(G462,MOVE_DOWN2,2,FALSE),FALSE),VLOOKUP(G462,NGPREVPRICES,3,FALSE),HLOOKUP(D462,Correllate,VLOOKUP(G462,CorMove,2,FALSE),FALSE),Q462-$CD$3,R462,$CJ$5)*H462-CJ462</f>
        <v>0</v>
      </c>
      <c r="CF462" s="10">
        <f t="shared" si="495"/>
        <v>44.029874370957259</v>
      </c>
      <c r="CG462" s="234">
        <f>_xll.xSPRDOPT((VLOOKUP(G462,NGPREVPRICES,2,FALSE)+HLOOKUP(D462,PREVCURVES,VLOOKUP(G462,MOVE_DOWN2,2,FALSE),FALSE)),VLOOKUP(G462,NGPREVPRICES,2,FALSE),CK462,VLOOKUP(G462,NGPREVPRICES,4,FALSE),HLOOKUP(D462,VOLS,VLOOKUP(G462,move_down,2,FALSE),FALSE),VLOOKUP(G462,NGPrices,3,FALSE),HLOOKUP(D462,Correllate,VLOOKUP(G462,CorMove,2,FALSE),FALSE),Q462-$CD$3,R462,$CJ$5)*H462-CJ462</f>
        <v>0</v>
      </c>
      <c r="CH462" s="234">
        <f>_xll.xSPRDOPT((VLOOKUP(G462,NGPREVPRICES,2,FALSE)+HLOOKUP(D462,PREVCURVES,VLOOKUP(G462,MOVE_DOWN2,2,FALSE),FALSE)),VLOOKUP(G462,NGPREVPRICES,2,FALSE),CK462,VLOOKUP(G462,NGPREVPRICES,4,FALSE),HLOOKUP(D462,PREVVOLS,VLOOKUP(G462,MOVE_DOWN2,2,FALSE),FALSE),VLOOKUP(G462,NGPREVPRICES,3,FALSE),HLOOKUP(D462,Correllate,VLOOKUP(G462,CorMove,2,FALSE),FALSE),Q462-$C$3,R462,$CJ$5)*H462-CJ462</f>
        <v>322.53750917600701</v>
      </c>
      <c r="CI462" s="234">
        <f t="shared" si="496"/>
        <v>366.56738354696427</v>
      </c>
      <c r="CJ462" s="234">
        <f>_xll.xSPRDOPT((VLOOKUP(G462,NGPREVPRICES,2,FALSE)+HLOOKUP(D462,PREVCURVES,VLOOKUP(G462,MOVE_DOWN2,2,FALSE),FALSE)),VLOOKUP(G462,NGPREVPRICES,2,FALSE),CK462,VLOOKUP(G462,NGPREVPRICES,4,FALSE),HLOOKUP(D462,PREVVOLS,VLOOKUP(G462,MOVE_DOWN2,2,FALSE),FALSE),VLOOKUP(G462,NGPREVPRICES,3,FALSE),HLOOKUP(D462,Correllate,VLOOKUP(G462,CorMove,2,FALSE),FALSE),Q462-$CD$3,R462,$CJ$5)*H462</f>
        <v>-216931.41367417402</v>
      </c>
      <c r="CK462" s="235">
        <f t="shared" si="497"/>
        <v>0.95</v>
      </c>
      <c r="CM462" t="str">
        <f t="shared" si="498"/>
        <v>37226Curve Shift/Gamma</v>
      </c>
      <c r="CN462" t="str">
        <f t="shared" si="499"/>
        <v>37226Rho</v>
      </c>
      <c r="CO462" t="str">
        <f t="shared" si="500"/>
        <v>37226Drift</v>
      </c>
      <c r="CP462" t="str">
        <f t="shared" si="501"/>
        <v>37226Vega</v>
      </c>
      <c r="CQ462" t="str">
        <f t="shared" si="502"/>
        <v>37226Theta</v>
      </c>
    </row>
    <row r="463" spans="1:95" x14ac:dyDescent="0.25">
      <c r="A463" s="140" t="s">
        <v>348</v>
      </c>
      <c r="B463" t="s">
        <v>250</v>
      </c>
      <c r="C463" t="s">
        <v>503</v>
      </c>
      <c r="D463" s="4" t="s">
        <v>7</v>
      </c>
      <c r="E463" t="s">
        <v>20</v>
      </c>
      <c r="F463" t="s">
        <v>1</v>
      </c>
      <c r="G463" s="5">
        <v>37196</v>
      </c>
      <c r="H463" s="130">
        <v>-1000000</v>
      </c>
      <c r="I463">
        <v>0.95</v>
      </c>
      <c r="J463" s="53">
        <f t="shared" si="523"/>
        <v>3.8780000000000001</v>
      </c>
      <c r="K463" s="7">
        <f t="shared" si="524"/>
        <v>0.89</v>
      </c>
      <c r="L463" s="53">
        <f t="shared" si="525"/>
        <v>4.7679999999999998</v>
      </c>
      <c r="M463" s="157">
        <f t="shared" si="526"/>
        <v>6.9332408860558997E-2</v>
      </c>
      <c r="N463" s="4">
        <f t="shared" si="527"/>
        <v>0.40250000000000002</v>
      </c>
      <c r="O463" s="4">
        <f t="shared" si="528"/>
        <v>0.443</v>
      </c>
      <c r="P463" s="9">
        <f t="shared" si="529"/>
        <v>0.95</v>
      </c>
      <c r="Q463" s="5">
        <f t="shared" si="520"/>
        <v>37194</v>
      </c>
      <c r="R463" s="4">
        <f t="shared" si="530"/>
        <v>0</v>
      </c>
      <c r="S463" s="158">
        <f>_xll.xSPRDOPT($L463,$J463,$I463,$M463,$O463,$N463,$P463,$Q463-$C$3,$R463,0)</f>
        <v>0.35024377486450309</v>
      </c>
      <c r="T463" s="159">
        <f>_xll.xSPRDOPT($L463,$J463,$I463,$M463,$O463,$N463,$P463,$Q463-$C$3,$R463,1)*H463</f>
        <v>443157.78401892248</v>
      </c>
      <c r="U463" s="160">
        <f t="shared" si="531"/>
        <v>-350243.77486450307</v>
      </c>
      <c r="V463" s="159">
        <f>_xll.xSPRDOPT($L463,$J463,$I463,$M463,$O463,$N463,$P463,$Q463-$C$3,$R463,2)*H463</f>
        <v>-492820.44383197068</v>
      </c>
      <c r="W463" s="159">
        <f t="shared" si="532"/>
        <v>-49662.659813048202</v>
      </c>
      <c r="X463" s="51" t="str">
        <f t="shared" si="517"/>
        <v>37196IF-TRANSCO/Z6</v>
      </c>
      <c r="Y463" s="418">
        <f t="shared" si="518"/>
        <v>-100</v>
      </c>
      <c r="Z463" s="456">
        <f t="shared" si="519"/>
        <v>-0.44315778401892247</v>
      </c>
      <c r="AA463" s="456">
        <f>_xll.xSPRDOPT($L463,$J463,$I463,$M463,$O463,$N463,$P463,$Q463-$C$3,$R463,3)</f>
        <v>0.42673730702636242</v>
      </c>
      <c r="AB463" s="456">
        <f>((_xll.xSPRDOPT($L463+AB$5,$J463,$I463,$M463,$O463,$N463,$P463,$Q463-$C$3,$R463,3)*$H463)/10000)/100</f>
        <v>-0.42673730702636242</v>
      </c>
      <c r="AC463" s="456">
        <f>((_xll.xSPRDOPT($L463+$AB$5,$J463,$I463,$M463,$O463,$N463,$P463,$Q463-$C$3,$R463,7)*$H463)/100)</f>
        <v>16482.9162399427</v>
      </c>
      <c r="AD463" s="456">
        <f>(_xll.xSPRDOPT($L463+$AB$5,$J463,$I463,$M463,$O463,$N463,$P463,$Q463-$C$3,$R463,9)/365)*$H463</f>
        <v>308.20235197320613</v>
      </c>
      <c r="AE463">
        <f t="shared" si="521"/>
        <v>0</v>
      </c>
      <c r="AF463" s="456">
        <f t="shared" si="522"/>
        <v>-7945.3889237365547</v>
      </c>
      <c r="AG463" s="456">
        <f>((_xll.xSPRDOPT($L463,$J463,$I463,$M463,$O463,$N463,$P463,$Q463-$C$3,$R463,6)*$H463)/100)</f>
        <v>8449.2321263130725</v>
      </c>
      <c r="AH463" s="456">
        <f>((_xll.xSPRDOPT($L463,$J463,$I463,$M463,$O463,$N463,$P463,$Q463-$C$3,$R463,5)*$H463)/100)</f>
        <v>-14895.790005970597</v>
      </c>
      <c r="AI463" s="456">
        <f>(((_xll.xSPRDOPT($L463,$J463,$I463,$M463,$O463,$N463,$P463,$Q463-$C$3,$R463,4)*$H463)/10000)/100)-AB463</f>
        <v>-3.6231104200132314E-3</v>
      </c>
      <c r="AJ463" s="456"/>
      <c r="AK463" s="456"/>
      <c r="AL463" s="456"/>
      <c r="AM463" s="472"/>
      <c r="CC463" s="141">
        <f t="shared" si="494"/>
        <v>37196</v>
      </c>
      <c r="CD463" s="234">
        <f>_xll.xSPRDOPT((VLOOKUP(G463,NGPrices,2,FALSE)+HLOOKUP(D463,Prices,VLOOKUP(G463,move_down,2,FALSE),FALSE)),VLOOKUP(G463,NGPrices,2,FALSE),I463,VLOOKUP(G463,NGPREVPRICES,4,FALSE),HLOOKUP(D463,PREVVOLS,VLOOKUP(G463,MOVE_DOWN2,2,FALSE),FALSE),VLOOKUP(G463,NGPREVPRICES,3,FALSE),HLOOKUP(D463,Correllate,VLOOKUP(G463,CorMove,2,FALSE),FALSE),Q463-$CD$3,R463,$CD$5)*H463-CJ463</f>
        <v>0</v>
      </c>
      <c r="CE463" s="234">
        <f>_xll.xSPRDOPT((VLOOKUP(G463,NGPREVPRICES,2,FALSE)+HLOOKUP(D463,PREVCURVES,VLOOKUP(G463,MOVE_DOWN2,2,FALSE),FALSE)),VLOOKUP(G463,NGPREVPRICES,2,FALSE),CK463,VLOOKUP(G463,NGPrices,4,FALSE),HLOOKUP(D463,PREVVOLS,VLOOKUP(G463,MOVE_DOWN2,2,FALSE),FALSE),VLOOKUP(G463,NGPREVPRICES,3,FALSE),HLOOKUP(D463,Correllate,VLOOKUP(G463,CorMove,2,FALSE),FALSE),Q463-$CD$3,R463,$CJ$5)*H463-CJ463</f>
        <v>0</v>
      </c>
      <c r="CF463" s="10">
        <f t="shared" si="495"/>
        <v>70.73448052193271</v>
      </c>
      <c r="CG463" s="234">
        <f>_xll.xSPRDOPT((VLOOKUP(G463,NGPREVPRICES,2,FALSE)+HLOOKUP(D463,PREVCURVES,VLOOKUP(G463,MOVE_DOWN2,2,FALSE),FALSE)),VLOOKUP(G463,NGPREVPRICES,2,FALSE),CK463,VLOOKUP(G463,NGPREVPRICES,4,FALSE),HLOOKUP(D463,VOLS,VLOOKUP(G463,move_down,2,FALSE),FALSE),VLOOKUP(G463,NGPrices,3,FALSE),HLOOKUP(D463,Correllate,VLOOKUP(G463,CorMove,2,FALSE),FALSE),Q463-$CD$3,R463,$CJ$5)*H463-CJ463</f>
        <v>0</v>
      </c>
      <c r="CH463" s="234">
        <f>_xll.xSPRDOPT((VLOOKUP(G463,NGPREVPRICES,2,FALSE)+HLOOKUP(D463,PREVCURVES,VLOOKUP(G463,MOVE_DOWN2,2,FALSE),FALSE)),VLOOKUP(G463,NGPREVPRICES,2,FALSE),CK463,VLOOKUP(G463,NGPREVPRICES,4,FALSE),HLOOKUP(D463,PREVVOLS,VLOOKUP(G463,MOVE_DOWN2,2,FALSE),FALSE),VLOOKUP(G463,NGPREVPRICES,3,FALSE),HLOOKUP(D463,Correllate,VLOOKUP(G463,CorMove,2,FALSE),FALSE),Q463-$C$3,R463,$CJ$5)*H463-CJ463</f>
        <v>307.70601383538451</v>
      </c>
      <c r="CI463" s="234">
        <f t="shared" si="496"/>
        <v>378.44049435731722</v>
      </c>
      <c r="CJ463" s="234">
        <f>_xll.xSPRDOPT((VLOOKUP(G463,NGPREVPRICES,2,FALSE)+HLOOKUP(D463,PREVCURVES,VLOOKUP(G463,MOVE_DOWN2,2,FALSE),FALSE)),VLOOKUP(G463,NGPREVPRICES,2,FALSE),CK463,VLOOKUP(G463,NGPREVPRICES,4,FALSE),HLOOKUP(D463,PREVVOLS,VLOOKUP(G463,MOVE_DOWN2,2,FALSE),FALSE),VLOOKUP(G463,NGPREVPRICES,3,FALSE),HLOOKUP(D463,Correllate,VLOOKUP(G463,CorMove,2,FALSE),FALSE),Q463-$CD$3,R463,$CJ$5)*H463</f>
        <v>-350551.48087833845</v>
      </c>
      <c r="CK463" s="235">
        <f t="shared" si="497"/>
        <v>0.95</v>
      </c>
      <c r="CM463" t="str">
        <f t="shared" si="498"/>
        <v>37196Curve Shift/Gamma</v>
      </c>
      <c r="CN463" t="str">
        <f t="shared" si="499"/>
        <v>37196Rho</v>
      </c>
      <c r="CO463" t="str">
        <f t="shared" si="500"/>
        <v>37196Drift</v>
      </c>
      <c r="CP463" t="str">
        <f t="shared" si="501"/>
        <v>37196Vega</v>
      </c>
      <c r="CQ463" t="str">
        <f t="shared" si="502"/>
        <v>37196Theta</v>
      </c>
    </row>
    <row r="464" spans="1:95" x14ac:dyDescent="0.25">
      <c r="A464" s="140" t="s">
        <v>279</v>
      </c>
      <c r="B464" t="s">
        <v>250</v>
      </c>
      <c r="C464" t="s">
        <v>504</v>
      </c>
      <c r="D464" s="4" t="s">
        <v>7</v>
      </c>
      <c r="E464" t="s">
        <v>20</v>
      </c>
      <c r="F464" t="s">
        <v>21</v>
      </c>
      <c r="G464" s="5">
        <v>36951</v>
      </c>
      <c r="H464" s="130">
        <v>-1000000</v>
      </c>
      <c r="I464">
        <v>1.7</v>
      </c>
      <c r="J464" s="53">
        <f t="shared" si="523"/>
        <v>4.2130000000000001</v>
      </c>
      <c r="K464" s="7">
        <f t="shared" si="524"/>
        <v>1.075</v>
      </c>
      <c r="L464" s="53">
        <f t="shared" si="525"/>
        <v>5.2880000000000003</v>
      </c>
      <c r="M464" s="157">
        <f t="shared" si="526"/>
        <v>6.8879814952706994E-2</v>
      </c>
      <c r="N464" s="4">
        <f t="shared" si="527"/>
        <v>0.53249999999999997</v>
      </c>
      <c r="O464" s="4">
        <f t="shared" si="528"/>
        <v>0.61199999999999999</v>
      </c>
      <c r="P464" s="9">
        <f t="shared" si="529"/>
        <v>0.83</v>
      </c>
      <c r="Q464" s="5">
        <f t="shared" si="520"/>
        <v>36949</v>
      </c>
      <c r="R464" s="4">
        <f t="shared" si="530"/>
        <v>1</v>
      </c>
      <c r="S464" s="158">
        <f>_xll.xSPRDOPT($L464,$J464,$I464,$M464,$O464,$N464,$P464,$Q464-$C$3,$R464,0)</f>
        <v>0.3026232088169003</v>
      </c>
      <c r="T464" s="159">
        <f>_xll.xSPRDOPT($L464,$J464,$I464,$M464,$O464,$N464,$P464,$Q464-$C$3,$R464,1)*H464</f>
        <v>-369330.72088067548</v>
      </c>
      <c r="U464" s="160">
        <f t="shared" si="531"/>
        <v>-302623.20881690033</v>
      </c>
      <c r="V464" s="159">
        <f>_xll.xSPRDOPT($L464,$J464,$I464,$M464,$O464,$N464,$P464,$Q464-$C$3,$R464,2)*H464</f>
        <v>290918.41184634954</v>
      </c>
      <c r="W464" s="159">
        <f t="shared" si="532"/>
        <v>-78412.309034325939</v>
      </c>
      <c r="X464" s="51" t="str">
        <f t="shared" si="517"/>
        <v>36951IF-TRANSCO/Z6</v>
      </c>
      <c r="Y464" s="418">
        <f t="shared" si="518"/>
        <v>-100</v>
      </c>
      <c r="Z464" s="456">
        <f t="shared" si="519"/>
        <v>0.36933072088067548</v>
      </c>
      <c r="AA464" s="456">
        <f>_xll.xSPRDOPT($L464,$J464,$I464,$M464,$O464,$N464,$P464,$Q464-$C$3,$R464,3)</f>
        <v>0.27244434414798091</v>
      </c>
      <c r="AB464" s="456">
        <f>((_xll.xSPRDOPT($L464+AB$5,$J464,$I464,$M464,$O464,$N464,$P464,$Q464-$C$3,$R464,3)*$H464)/10000)/100</f>
        <v>-0.27244434414798091</v>
      </c>
      <c r="AC464" s="456">
        <f>((_xll.xSPRDOPT($L464+$AB$5,$J464,$I464,$M464,$O464,$N464,$P464,$Q464-$C$3,$R464,7)*$H464)/100)</f>
        <v>9026.4813379309653</v>
      </c>
      <c r="AD464" s="456">
        <f>(_xll.xSPRDOPT($L464+$AB$5,$J464,$I464,$M464,$O464,$N464,$P464,$Q464-$C$3,$R464,9)/365)*$H464</f>
        <v>1321.0829653334667</v>
      </c>
      <c r="AE464">
        <f t="shared" si="521"/>
        <v>0</v>
      </c>
      <c r="AF464" s="456">
        <f t="shared" si="522"/>
        <v>-9414.429142316365</v>
      </c>
      <c r="AG464" s="456">
        <f>((_xll.xSPRDOPT($L464,$J464,$I464,$M464,$O464,$N464,$P464,$Q464-$C$3,$R464,6)*$H464)/100)</f>
        <v>3216.9802144158816</v>
      </c>
      <c r="AH464" s="456">
        <f>((_xll.xSPRDOPT($L464,$J464,$I464,$M464,$O464,$N464,$P464,$Q464-$C$3,$R464,5)*$H464)/100)</f>
        <v>-10990.564513823401</v>
      </c>
      <c r="AI464" s="456">
        <f>(((_xll.xSPRDOPT($L464,$J464,$I464,$M464,$O464,$N464,$P464,$Q464-$C$3,$R464,4)*$H464)/10000)/100)-AB464</f>
        <v>4.2011825632287614E-2</v>
      </c>
      <c r="AJ464" s="456"/>
      <c r="AK464" s="456"/>
      <c r="AL464" s="456"/>
      <c r="AM464" s="472"/>
      <c r="CC464" s="141">
        <f t="shared" si="494"/>
        <v>36951</v>
      </c>
      <c r="CD464" s="234">
        <f>_xll.xSPRDOPT((VLOOKUP(G464,NGPrices,2,FALSE)+HLOOKUP(D464,Prices,VLOOKUP(G464,move_down,2,FALSE),FALSE)),VLOOKUP(G464,NGPrices,2,FALSE),I464,VLOOKUP(G464,NGPREVPRICES,4,FALSE),HLOOKUP(D464,PREVVOLS,VLOOKUP(G464,MOVE_DOWN2,2,FALSE),FALSE),VLOOKUP(G464,NGPREVPRICES,3,FALSE),HLOOKUP(D464,Correllate,VLOOKUP(G464,CorMove,2,FALSE),FALSE),Q464-$CD$3,R464,$CD$5)*H464-CJ464</f>
        <v>0</v>
      </c>
      <c r="CE464" s="234">
        <f>_xll.xSPRDOPT((VLOOKUP(G464,NGPREVPRICES,2,FALSE)+HLOOKUP(D464,PREVCURVES,VLOOKUP(G464,MOVE_DOWN2,2,FALSE),FALSE)),VLOOKUP(G464,NGPREVPRICES,2,FALSE),CK464,VLOOKUP(G464,NGPrices,4,FALSE),HLOOKUP(D464,PREVVOLS,VLOOKUP(G464,MOVE_DOWN2,2,FALSE),FALSE),VLOOKUP(G464,NGPREVPRICES,3,FALSE),HLOOKUP(D464,Correllate,VLOOKUP(G464,CorMove,2,FALSE),FALSE),Q464-$CD$3,R464,$CJ$5)*H464-CJ464</f>
        <v>0</v>
      </c>
      <c r="CF464" s="10">
        <f t="shared" si="495"/>
        <v>58.291453853598796</v>
      </c>
      <c r="CG464" s="234">
        <f>_xll.xSPRDOPT((VLOOKUP(G464,NGPREVPRICES,2,FALSE)+HLOOKUP(D464,PREVCURVES,VLOOKUP(G464,MOVE_DOWN2,2,FALSE),FALSE)),VLOOKUP(G464,NGPREVPRICES,2,FALSE),CK464,VLOOKUP(G464,NGPREVPRICES,4,FALSE),HLOOKUP(D464,VOLS,VLOOKUP(G464,move_down,2,FALSE),FALSE),VLOOKUP(G464,NGPrices,3,FALSE),HLOOKUP(D464,Correllate,VLOOKUP(G464,CorMove,2,FALSE),FALSE),Q464-$CD$3,R464,$CJ$5)*H464-CJ464</f>
        <v>0</v>
      </c>
      <c r="CH464" s="234">
        <f>_xll.xSPRDOPT((VLOOKUP(G464,NGPREVPRICES,2,FALSE)+HLOOKUP(D464,PREVCURVES,VLOOKUP(G464,MOVE_DOWN2,2,FALSE),FALSE)),VLOOKUP(G464,NGPREVPRICES,2,FALSE),CK464,VLOOKUP(G464,NGPREVPRICES,4,FALSE),HLOOKUP(D464,PREVVOLS,VLOOKUP(G464,MOVE_DOWN2,2,FALSE),FALSE),VLOOKUP(G464,NGPREVPRICES,3,FALSE),HLOOKUP(D464,Correllate,VLOOKUP(G464,CorMove,2,FALSE),FALSE),Q464-$C$3,R464,$CJ$5)*H464-CJ464</f>
        <v>1318.3761547042523</v>
      </c>
      <c r="CI464" s="234">
        <f t="shared" si="496"/>
        <v>1376.6676085578511</v>
      </c>
      <c r="CJ464" s="234">
        <f>_xll.xSPRDOPT((VLOOKUP(G464,NGPREVPRICES,2,FALSE)+HLOOKUP(D464,PREVCURVES,VLOOKUP(G464,MOVE_DOWN2,2,FALSE),FALSE)),VLOOKUP(G464,NGPREVPRICES,2,FALSE),CK464,VLOOKUP(G464,NGPREVPRICES,4,FALSE),HLOOKUP(D464,PREVVOLS,VLOOKUP(G464,MOVE_DOWN2,2,FALSE),FALSE),VLOOKUP(G464,NGPREVPRICES,3,FALSE),HLOOKUP(D464,Correllate,VLOOKUP(G464,CorMove,2,FALSE),FALSE),Q464-$CD$3,R464,$CJ$5)*H464</f>
        <v>-303941.58497160458</v>
      </c>
      <c r="CK464" s="235">
        <f t="shared" si="497"/>
        <v>1.7</v>
      </c>
      <c r="CM464" t="str">
        <f t="shared" si="498"/>
        <v>36951Curve Shift/Gamma</v>
      </c>
      <c r="CN464" t="str">
        <f t="shared" si="499"/>
        <v>36951Rho</v>
      </c>
      <c r="CO464" t="str">
        <f t="shared" si="500"/>
        <v>36951Drift</v>
      </c>
      <c r="CP464" t="str">
        <f t="shared" si="501"/>
        <v>36951Vega</v>
      </c>
      <c r="CQ464" t="str">
        <f t="shared" si="502"/>
        <v>36951Theta</v>
      </c>
    </row>
    <row r="465" spans="1:95" x14ac:dyDescent="0.25">
      <c r="A465" s="140" t="s">
        <v>279</v>
      </c>
      <c r="B465" t="s">
        <v>250</v>
      </c>
      <c r="C465" t="s">
        <v>504</v>
      </c>
      <c r="D465" s="4" t="s">
        <v>7</v>
      </c>
      <c r="E465" t="s">
        <v>20</v>
      </c>
      <c r="F465" t="s">
        <v>21</v>
      </c>
      <c r="G465" s="5">
        <v>36923</v>
      </c>
      <c r="H465" s="130">
        <v>-1000000</v>
      </c>
      <c r="I465">
        <v>1.7</v>
      </c>
      <c r="J465" s="53">
        <f t="shared" si="523"/>
        <v>4.4800000000000004</v>
      </c>
      <c r="K465" s="7">
        <f t="shared" si="524"/>
        <v>2.09</v>
      </c>
      <c r="L465" s="53">
        <f t="shared" si="525"/>
        <v>6.57</v>
      </c>
      <c r="M465" s="157">
        <f t="shared" si="526"/>
        <v>6.8640161611372E-2</v>
      </c>
      <c r="N465" s="4">
        <f t="shared" si="527"/>
        <v>0.59250000000000003</v>
      </c>
      <c r="O465" s="4">
        <f t="shared" si="528"/>
        <v>0.68100000000000005</v>
      </c>
      <c r="P465" s="9">
        <f t="shared" si="529"/>
        <v>0.83</v>
      </c>
      <c r="Q465" s="5">
        <f t="shared" si="520"/>
        <v>36921</v>
      </c>
      <c r="R465" s="4">
        <f t="shared" si="530"/>
        <v>1</v>
      </c>
      <c r="S465" s="158">
        <f>_xll.xSPRDOPT($L465,$J465,$I465,$M465,$O465,$N465,$P465,$Q465-$C$3,$R465,0)</f>
        <v>0.85399543885001772</v>
      </c>
      <c r="T465" s="159">
        <f>_xll.xSPRDOPT($L465,$J465,$I465,$M465,$O465,$N465,$P465,$Q465-$C$3,$R465,1)*H465</f>
        <v>-626312.56450626266</v>
      </c>
      <c r="U465" s="160">
        <f t="shared" si="531"/>
        <v>-853995.43885001773</v>
      </c>
      <c r="V465" s="159">
        <f>_xll.xSPRDOPT($L465,$J465,$I465,$M465,$O465,$N465,$P465,$Q465-$C$3,$R465,2)*H465</f>
        <v>541639.23471932858</v>
      </c>
      <c r="W465" s="159">
        <f t="shared" si="532"/>
        <v>-84673.329786934075</v>
      </c>
      <c r="X465" s="51" t="str">
        <f t="shared" si="517"/>
        <v>36923IF-TRANSCO/Z6</v>
      </c>
      <c r="Y465" s="418">
        <f t="shared" si="518"/>
        <v>-100</v>
      </c>
      <c r="Z465" s="456">
        <f t="shared" si="519"/>
        <v>0.6263125645062626</v>
      </c>
      <c r="AA465" s="456">
        <f>_xll.xSPRDOPT($L465,$J465,$I465,$M465,$O465,$N465,$P465,$Q465-$C$3,$R465,3)</f>
        <v>0.20978838708944192</v>
      </c>
      <c r="AB465" s="456">
        <f>((_xll.xSPRDOPT($L465+AB$5,$J465,$I465,$M465,$O465,$N465,$P465,$Q465-$C$3,$R465,3)*$H465)/10000)/100</f>
        <v>-0.20978838708944192</v>
      </c>
      <c r="AC465" s="456">
        <f>((_xll.xSPRDOPT($L465+$AB$5,$J465,$I465,$M465,$O465,$N465,$P465,$Q465-$C$3,$R465,7)*$H465)/100)</f>
        <v>11175.326972786605</v>
      </c>
      <c r="AD465" s="456">
        <f>(_xll.xSPRDOPT($L465+$AB$5,$J465,$I465,$M465,$O465,$N465,$P465,$Q465-$C$3,$R465,9)/365)*$H465</f>
        <v>1878.6979721003722</v>
      </c>
      <c r="AE465">
        <f t="shared" si="521"/>
        <v>0</v>
      </c>
      <c r="AF465" s="456">
        <f t="shared" si="522"/>
        <v>-10593.642906510735</v>
      </c>
      <c r="AG465" s="456">
        <f>((_xll.xSPRDOPT($L465,$J465,$I465,$M465,$O465,$N465,$P465,$Q465-$C$3,$R465,6)*$H465)/100)</f>
        <v>3636.1525144899601</v>
      </c>
      <c r="AH465" s="456">
        <f>((_xll.xSPRDOPT($L465,$J465,$I465,$M465,$O465,$N465,$P465,$Q465-$C$3,$R465,5)*$H465)/100)</f>
        <v>-12380.54887950501</v>
      </c>
      <c r="AI465" s="456">
        <f>(((_xll.xSPRDOPT($L465,$J465,$I465,$M465,$O465,$N465,$P465,$Q465-$C$3,$R465,4)*$H465)/10000)/100)-AB465</f>
        <v>-2.9919394726779514E-2</v>
      </c>
      <c r="AJ465" s="456"/>
      <c r="AK465" s="456"/>
      <c r="AL465" s="456"/>
      <c r="AM465" s="472"/>
      <c r="CC465" s="141">
        <f t="shared" si="494"/>
        <v>36923</v>
      </c>
      <c r="CD465" s="234">
        <f>_xll.xSPRDOPT((VLOOKUP(G465,NGPrices,2,FALSE)+HLOOKUP(D465,Prices,VLOOKUP(G465,move_down,2,FALSE),FALSE)),VLOOKUP(G465,NGPrices,2,FALSE),I465,VLOOKUP(G465,NGPREVPRICES,4,FALSE),HLOOKUP(D465,PREVVOLS,VLOOKUP(G465,MOVE_DOWN2,2,FALSE),FALSE),VLOOKUP(G465,NGPREVPRICES,3,FALSE),HLOOKUP(D465,Correllate,VLOOKUP(G465,CorMove,2,FALSE),FALSE),Q465-$CD$3,R465,$CD$5)*H465-CJ465</f>
        <v>0</v>
      </c>
      <c r="CE465" s="234">
        <f>_xll.xSPRDOPT((VLOOKUP(G465,NGPREVPRICES,2,FALSE)+HLOOKUP(D465,PREVCURVES,VLOOKUP(G465,MOVE_DOWN2,2,FALSE),FALSE)),VLOOKUP(G465,NGPREVPRICES,2,FALSE),CK465,VLOOKUP(G465,NGPrices,4,FALSE),HLOOKUP(D465,PREVVOLS,VLOOKUP(G465,MOVE_DOWN2,2,FALSE),FALSE),VLOOKUP(G465,NGPREVPRICES,3,FALSE),HLOOKUP(D465,Correllate,VLOOKUP(G465,CorMove,2,FALSE),FALSE),Q465-$CD$3,R465,$CJ$5)*H465-CJ465</f>
        <v>0</v>
      </c>
      <c r="CF465" s="10">
        <f t="shared" si="495"/>
        <v>162.7764754279051</v>
      </c>
      <c r="CG465" s="234">
        <f>_xll.xSPRDOPT((VLOOKUP(G465,NGPREVPRICES,2,FALSE)+HLOOKUP(D465,PREVCURVES,VLOOKUP(G465,MOVE_DOWN2,2,FALSE),FALSE)),VLOOKUP(G465,NGPREVPRICES,2,FALSE),CK465,VLOOKUP(G465,NGPREVPRICES,4,FALSE),HLOOKUP(D465,VOLS,VLOOKUP(G465,move_down,2,FALSE),FALSE),VLOOKUP(G465,NGPrices,3,FALSE),HLOOKUP(D465,Correllate,VLOOKUP(G465,CorMove,2,FALSE),FALSE),Q465-$CD$3,R465,$CJ$5)*H465-CJ465</f>
        <v>0</v>
      </c>
      <c r="CH465" s="234">
        <f>_xll.xSPRDOPT((VLOOKUP(G465,NGPREVPRICES,2,FALSE)+HLOOKUP(D465,PREVCURVES,VLOOKUP(G465,MOVE_DOWN2,2,FALSE),FALSE)),VLOOKUP(G465,NGPREVPRICES,2,FALSE),CK465,VLOOKUP(G465,NGPREVPRICES,4,FALSE),HLOOKUP(D465,PREVVOLS,VLOOKUP(G465,MOVE_DOWN2,2,FALSE),FALSE),VLOOKUP(G465,NGPREVPRICES,3,FALSE),HLOOKUP(D465,Correllate,VLOOKUP(G465,CorMove,2,FALSE),FALSE),Q465-$C$3,R465,$CJ$5)*H465-CJ465</f>
        <v>1873.8938664708985</v>
      </c>
      <c r="CI465" s="234">
        <f t="shared" si="496"/>
        <v>2036.6703418988036</v>
      </c>
      <c r="CJ465" s="234">
        <f>_xll.xSPRDOPT((VLOOKUP(G465,NGPREVPRICES,2,FALSE)+HLOOKUP(D465,PREVCURVES,VLOOKUP(G465,MOVE_DOWN2,2,FALSE),FALSE)),VLOOKUP(G465,NGPREVPRICES,2,FALSE),CK465,VLOOKUP(G465,NGPREVPRICES,4,FALSE),HLOOKUP(D465,PREVVOLS,VLOOKUP(G465,MOVE_DOWN2,2,FALSE),FALSE),VLOOKUP(G465,NGPREVPRICES,3,FALSE),HLOOKUP(D465,Correllate,VLOOKUP(G465,CorMove,2,FALSE),FALSE),Q465-$CD$3,R465,$CJ$5)*H465</f>
        <v>-855869.33271648863</v>
      </c>
      <c r="CK465" s="235">
        <f t="shared" si="497"/>
        <v>1.7</v>
      </c>
      <c r="CM465" t="str">
        <f t="shared" si="498"/>
        <v>36923Curve Shift/Gamma</v>
      </c>
      <c r="CN465" t="str">
        <f t="shared" si="499"/>
        <v>36923Rho</v>
      </c>
      <c r="CO465" t="str">
        <f t="shared" si="500"/>
        <v>36923Drift</v>
      </c>
      <c r="CP465" t="str">
        <f t="shared" si="501"/>
        <v>36923Vega</v>
      </c>
      <c r="CQ465" t="str">
        <f t="shared" si="502"/>
        <v>36923Theta</v>
      </c>
    </row>
    <row r="466" spans="1:95" x14ac:dyDescent="0.25">
      <c r="A466" s="140" t="s">
        <v>279</v>
      </c>
      <c r="B466" t="s">
        <v>250</v>
      </c>
      <c r="C466" t="s">
        <v>504</v>
      </c>
      <c r="D466" s="4" t="s">
        <v>7</v>
      </c>
      <c r="E466" t="s">
        <v>20</v>
      </c>
      <c r="F466" t="s">
        <v>21</v>
      </c>
      <c r="G466" s="5">
        <v>36892</v>
      </c>
      <c r="H466" s="130">
        <v>-1000000</v>
      </c>
      <c r="I466">
        <v>1.7</v>
      </c>
      <c r="J466" s="53">
        <f t="shared" si="523"/>
        <v>4.7439999999999998</v>
      </c>
      <c r="K466" s="7">
        <f t="shared" si="524"/>
        <v>2.17</v>
      </c>
      <c r="L466" s="53">
        <f t="shared" si="525"/>
        <v>6.9139999999999997</v>
      </c>
      <c r="M466" s="157">
        <f t="shared" si="526"/>
        <v>6.8374831148490994E-2</v>
      </c>
      <c r="N466" s="4">
        <f t="shared" si="527"/>
        <v>0.60499999999999998</v>
      </c>
      <c r="O466" s="4">
        <f t="shared" si="528"/>
        <v>0.69599999999999995</v>
      </c>
      <c r="P466" s="9">
        <f t="shared" si="529"/>
        <v>0.83</v>
      </c>
      <c r="Q466" s="5">
        <f t="shared" si="520"/>
        <v>36888</v>
      </c>
      <c r="R466" s="4">
        <f t="shared" si="530"/>
        <v>1</v>
      </c>
      <c r="S466" s="158">
        <f>_xll.xSPRDOPT($L466,$J466,$I466,$M466,$O466,$N466,$P466,$Q466-$C$3,$R466,0)</f>
        <v>0.87180818810778116</v>
      </c>
      <c r="T466" s="159">
        <f>_xll.xSPRDOPT($L466,$J466,$I466,$M466,$O466,$N466,$P466,$Q466-$C$3,$R466,1)*H466</f>
        <v>-648383.93765824835</v>
      </c>
      <c r="U466" s="160">
        <f t="shared" si="531"/>
        <v>-871808.18810778111</v>
      </c>
      <c r="V466" s="159">
        <f>_xll.xSPRDOPT($L466,$J466,$I466,$M466,$O466,$N466,$P466,$Q466-$C$3,$R466,2)*H466</f>
        <v>572066.22882671142</v>
      </c>
      <c r="W466" s="159">
        <f t="shared" si="532"/>
        <v>-76317.708831536933</v>
      </c>
      <c r="X466" s="51" t="str">
        <f t="shared" si="517"/>
        <v>36892IF-TRANSCO/Z6</v>
      </c>
      <c r="Y466" s="418">
        <f t="shared" si="518"/>
        <v>-100</v>
      </c>
      <c r="Z466" s="456">
        <f t="shared" si="519"/>
        <v>0.64838393765824831</v>
      </c>
      <c r="AA466" s="456">
        <f>_xll.xSPRDOPT($L466,$J466,$I466,$M466,$O466,$N466,$P466,$Q466-$C$3,$R466,3)</f>
        <v>0.21807698285626295</v>
      </c>
      <c r="AB466" s="456">
        <f>((_xll.xSPRDOPT($L466+AB$5,$J466,$I466,$M466,$O466,$N466,$P466,$Q466-$C$3,$R466,3)*$H466)/10000)/100</f>
        <v>-0.21807698285626295</v>
      </c>
      <c r="AC466" s="456">
        <f>((_xll.xSPRDOPT($L466+$AB$5,$J466,$I466,$M466,$O466,$N466,$P466,$Q466-$C$3,$R466,7)*$H466)/100)</f>
        <v>10683.308102727286</v>
      </c>
      <c r="AD466" s="456">
        <f>(_xll.xSPRDOPT($L466+$AB$5,$J466,$I466,$M466,$O466,$N466,$P466,$Q466-$C$3,$R466,9)/365)*$H466</f>
        <v>2263.4805964837651</v>
      </c>
      <c r="AE466">
        <f t="shared" si="521"/>
        <v>0</v>
      </c>
      <c r="AF466" s="456">
        <f t="shared" si="522"/>
        <v>-9700.53556488309</v>
      </c>
      <c r="AG466" s="456">
        <f>((_xll.xSPRDOPT($L466,$J466,$I466,$M466,$O466,$N466,$P466,$Q466-$C$3,$R466,6)*$H466)/100)</f>
        <v>3295.0567040940082</v>
      </c>
      <c r="AH466" s="456">
        <f>((_xll.xSPRDOPT($L466,$J466,$I466,$M466,$O466,$N466,$P466,$Q466-$C$3,$R466,5)*$H466)/100)</f>
        <v>-11296.455923464289</v>
      </c>
      <c r="AI466" s="456">
        <f>(((_xll.xSPRDOPT($L466,$J466,$I466,$M466,$O466,$N466,$P466,$Q466-$C$3,$R466,4)*$H466)/10000)/100)-AB466</f>
        <v>-3.380023817853553E-2</v>
      </c>
      <c r="AJ466" s="456"/>
      <c r="AK466" s="456"/>
      <c r="AL466" s="456"/>
      <c r="AM466" s="472"/>
      <c r="CC466" s="141">
        <f t="shared" si="494"/>
        <v>36892</v>
      </c>
      <c r="CD466" s="234">
        <f>_xll.xSPRDOPT((VLOOKUP(G466,NGPrices,2,FALSE)+HLOOKUP(D466,Prices,VLOOKUP(G466,move_down,2,FALSE),FALSE)),VLOOKUP(G466,NGPrices,2,FALSE),I466,VLOOKUP(G466,NGPREVPRICES,4,FALSE),HLOOKUP(D466,PREVVOLS,VLOOKUP(G466,MOVE_DOWN2,2,FALSE),FALSE),VLOOKUP(G466,NGPREVPRICES,3,FALSE),HLOOKUP(D466,Correllate,VLOOKUP(G466,CorMove,2,FALSE),FALSE),Q466-$CD$3,R466,$CD$5)*H466-CJ466</f>
        <v>0</v>
      </c>
      <c r="CE466" s="234">
        <f>_xll.xSPRDOPT((VLOOKUP(G466,NGPREVPRICES,2,FALSE)+HLOOKUP(D466,PREVCURVES,VLOOKUP(G466,MOVE_DOWN2,2,FALSE),FALSE)),VLOOKUP(G466,NGPREVPRICES,2,FALSE),CK466,VLOOKUP(G466,NGPrices,4,FALSE),HLOOKUP(D466,PREVVOLS,VLOOKUP(G466,MOVE_DOWN2,2,FALSE),FALSE),VLOOKUP(G466,NGPREVPRICES,3,FALSE),HLOOKUP(D466,Correllate,VLOOKUP(G466,CorMove,2,FALSE),FALSE),Q466-$CD$3,R466,$CJ$5)*H466-CJ466</f>
        <v>0</v>
      </c>
      <c r="CF466" s="10">
        <f t="shared" si="495"/>
        <v>164.70984410052188</v>
      </c>
      <c r="CG466" s="234">
        <f>_xll.xSPRDOPT((VLOOKUP(G466,NGPREVPRICES,2,FALSE)+HLOOKUP(D466,PREVCURVES,VLOOKUP(G466,MOVE_DOWN2,2,FALSE),FALSE)),VLOOKUP(G466,NGPREVPRICES,2,FALSE),CK466,VLOOKUP(G466,NGPREVPRICES,4,FALSE),HLOOKUP(D466,VOLS,VLOOKUP(G466,move_down,2,FALSE),FALSE),VLOOKUP(G466,NGPrices,3,FALSE),HLOOKUP(D466,Correllate,VLOOKUP(G466,CorMove,2,FALSE),FALSE),Q466-$CD$3,R466,$CJ$5)*H466-CJ466</f>
        <v>0</v>
      </c>
      <c r="CH466" s="234">
        <f>_xll.xSPRDOPT((VLOOKUP(G466,NGPREVPRICES,2,FALSE)+HLOOKUP(D466,PREVCURVES,VLOOKUP(G466,MOVE_DOWN2,2,FALSE),FALSE)),VLOOKUP(G466,NGPREVPRICES,2,FALSE),CK466,VLOOKUP(G466,NGPREVPRICES,4,FALSE),HLOOKUP(D466,PREVVOLS,VLOOKUP(G466,MOVE_DOWN2,2,FALSE),FALSE),VLOOKUP(G466,NGPREVPRICES,3,FALSE),HLOOKUP(D466,Correllate,VLOOKUP(G466,CorMove,2,FALSE),FALSE),Q466-$C$3,R466,$CJ$5)*H466-CJ466</f>
        <v>2256.907080943929</v>
      </c>
      <c r="CI466" s="234">
        <f t="shared" si="496"/>
        <v>2421.6169250444509</v>
      </c>
      <c r="CJ466" s="234">
        <f>_xll.xSPRDOPT((VLOOKUP(G466,NGPREVPRICES,2,FALSE)+HLOOKUP(D466,PREVCURVES,VLOOKUP(G466,MOVE_DOWN2,2,FALSE),FALSE)),VLOOKUP(G466,NGPREVPRICES,2,FALSE),CK466,VLOOKUP(G466,NGPREVPRICES,4,FALSE),HLOOKUP(D466,PREVVOLS,VLOOKUP(G466,MOVE_DOWN2,2,FALSE),FALSE),VLOOKUP(G466,NGPREVPRICES,3,FALSE),HLOOKUP(D466,Correllate,VLOOKUP(G466,CorMove,2,FALSE),FALSE),Q466-$CD$3,R466,$CJ$5)*H466</f>
        <v>-874065.09518872504</v>
      </c>
      <c r="CK466" s="235">
        <f t="shared" si="497"/>
        <v>1.7</v>
      </c>
      <c r="CM466" t="str">
        <f t="shared" si="498"/>
        <v>36892Curve Shift/Gamma</v>
      </c>
      <c r="CN466" t="str">
        <f t="shared" si="499"/>
        <v>36892Rho</v>
      </c>
      <c r="CO466" t="str">
        <f t="shared" si="500"/>
        <v>36892Drift</v>
      </c>
      <c r="CP466" t="str">
        <f t="shared" si="501"/>
        <v>36892Vega</v>
      </c>
      <c r="CQ466" t="str">
        <f t="shared" si="502"/>
        <v>36892Theta</v>
      </c>
    </row>
    <row r="467" spans="1:95" x14ac:dyDescent="0.25">
      <c r="A467" s="140" t="s">
        <v>279</v>
      </c>
      <c r="B467" t="s">
        <v>250</v>
      </c>
      <c r="C467" t="s">
        <v>504</v>
      </c>
      <c r="D467" s="4" t="s">
        <v>7</v>
      </c>
      <c r="E467" t="s">
        <v>20</v>
      </c>
      <c r="F467" t="s">
        <v>21</v>
      </c>
      <c r="G467" s="5">
        <v>36861</v>
      </c>
      <c r="H467" s="130">
        <v>-1000000</v>
      </c>
      <c r="I467">
        <v>1.7</v>
      </c>
      <c r="J467" s="53">
        <f t="shared" si="523"/>
        <v>4.8</v>
      </c>
      <c r="K467" s="7">
        <f t="shared" si="524"/>
        <v>1.645</v>
      </c>
      <c r="L467" s="53">
        <f t="shared" si="525"/>
        <v>6.4450000000000003</v>
      </c>
      <c r="M467" s="157">
        <f t="shared" si="526"/>
        <v>6.8314027999354002E-2</v>
      </c>
      <c r="N467" s="4">
        <f t="shared" si="527"/>
        <v>0.6</v>
      </c>
      <c r="O467" s="4">
        <f t="shared" si="528"/>
        <v>0.69</v>
      </c>
      <c r="P467" s="9">
        <f t="shared" si="529"/>
        <v>0.83</v>
      </c>
      <c r="Q467" s="5">
        <f t="shared" si="520"/>
        <v>36859</v>
      </c>
      <c r="R467" s="4">
        <f t="shared" si="530"/>
        <v>1</v>
      </c>
      <c r="S467" s="158">
        <f>_xll.xSPRDOPT($L467,$J467,$I467,$M467,$O467,$N467,$P467,$Q467-$C$3,$R467,0)</f>
        <v>0.49021366030166119</v>
      </c>
      <c r="T467" s="159">
        <f>_xll.xSPRDOPT($L467,$J467,$I467,$M467,$O467,$N467,$P467,$Q467-$C$3,$R467,1)*H467</f>
        <v>-516827.6717562562</v>
      </c>
      <c r="U467" s="160">
        <f t="shared" si="531"/>
        <v>-490213.66030166118</v>
      </c>
      <c r="V467" s="159">
        <f>_xll.xSPRDOPT($L467,$J467,$I467,$M467,$O467,$N467,$P467,$Q467-$C$3,$R467,2)*H467</f>
        <v>446719.78174808598</v>
      </c>
      <c r="W467" s="159">
        <f t="shared" si="532"/>
        <v>-70107.890008170216</v>
      </c>
      <c r="X467" s="51" t="str">
        <f t="shared" si="517"/>
        <v>36861IF-TRANSCO/Z6</v>
      </c>
      <c r="Y467" s="418">
        <f t="shared" si="518"/>
        <v>-100</v>
      </c>
      <c r="Z467" s="456">
        <f t="shared" si="519"/>
        <v>0.51682767175625621</v>
      </c>
      <c r="AA467" s="456">
        <f>_xll.xSPRDOPT($L467,$J467,$I467,$M467,$O467,$N467,$P467,$Q467-$C$3,$R467,3)</f>
        <v>0.29808769103853244</v>
      </c>
      <c r="AB467" s="456">
        <f>((_xll.xSPRDOPT($L467+AB$5,$J467,$I467,$M467,$O467,$N467,$P467,$Q467-$C$3,$R467,3)*$H467)/10000)/100</f>
        <v>-0.29808769103853239</v>
      </c>
      <c r="AC467" s="456">
        <f>((_xll.xSPRDOPT($L467+$AB$5,$J467,$I467,$M467,$O467,$N467,$P467,$Q467-$C$3,$R467,7)*$H467)/100)</f>
        <v>9591.0943045594558</v>
      </c>
      <c r="AD467" s="456">
        <f>(_xll.xSPRDOPT($L467+$AB$5,$J467,$I467,$M467,$O467,$N467,$P467,$Q467-$C$3,$R467,9)/365)*$H467</f>
        <v>2711.7757418878059</v>
      </c>
      <c r="AE467">
        <f t="shared" si="521"/>
        <v>0</v>
      </c>
      <c r="AF467" s="456">
        <f t="shared" si="522"/>
        <v>-8591.5919109490824</v>
      </c>
      <c r="AG467" s="456">
        <f>((_xll.xSPRDOPT($L467,$J467,$I467,$M467,$O467,$N467,$P467,$Q467-$C$3,$R467,6)*$H467)/100)</f>
        <v>2888.3915705862723</v>
      </c>
      <c r="AH467" s="456">
        <f>((_xll.xSPRDOPT($L467,$J467,$I467,$M467,$O467,$N467,$P467,$Q467-$C$3,$R467,5)*$H467)/100)</f>
        <v>-9982.5943317698748</v>
      </c>
      <c r="AI467" s="456">
        <f>(((_xll.xSPRDOPT($L467,$J467,$I467,$M467,$O467,$N467,$P467,$Q467-$C$3,$R467,4)*$H467)/10000)/100)-AB467</f>
        <v>4.0940080665019529E-6</v>
      </c>
      <c r="AJ467" s="456"/>
      <c r="AK467" s="456"/>
      <c r="AL467" s="456"/>
      <c r="AM467" s="472"/>
      <c r="CC467" s="141">
        <f t="shared" si="494"/>
        <v>36861</v>
      </c>
      <c r="CD467" s="234">
        <f>_xll.xSPRDOPT((VLOOKUP(G467,NGPrices,2,FALSE)+HLOOKUP(D467,Prices,VLOOKUP(G467,move_down,2,FALSE),FALSE)),VLOOKUP(G467,NGPrices,2,FALSE),I467,VLOOKUP(G467,NGPREVPRICES,4,FALSE),HLOOKUP(D467,PREVVOLS,VLOOKUP(G467,MOVE_DOWN2,2,FALSE),FALSE),VLOOKUP(G467,NGPREVPRICES,3,FALSE),HLOOKUP(D467,Correllate,VLOOKUP(G467,CorMove,2,FALSE),FALSE),Q467-$CD$3,R467,$CD$5)*H467-CJ467</f>
        <v>0</v>
      </c>
      <c r="CE467" s="234">
        <f>_xll.xSPRDOPT((VLOOKUP(G467,NGPREVPRICES,2,FALSE)+HLOOKUP(D467,PREVCURVES,VLOOKUP(G467,MOVE_DOWN2,2,FALSE),FALSE)),VLOOKUP(G467,NGPREVPRICES,2,FALSE),CK467,VLOOKUP(G467,NGPrices,4,FALSE),HLOOKUP(D467,PREVVOLS,VLOOKUP(G467,MOVE_DOWN2,2,FALSE),FALSE),VLOOKUP(G467,NGPREVPRICES,3,FALSE),HLOOKUP(D467,Correllate,VLOOKUP(G467,CorMove,2,FALSE),FALSE),Q467-$CD$3,R467,$CJ$5)*H467-CJ467</f>
        <v>0</v>
      </c>
      <c r="CF467" s="10">
        <f t="shared" si="495"/>
        <v>92.341765882156324</v>
      </c>
      <c r="CG467" s="234">
        <f>_xll.xSPRDOPT((VLOOKUP(G467,NGPREVPRICES,2,FALSE)+HLOOKUP(D467,PREVCURVES,VLOOKUP(G467,MOVE_DOWN2,2,FALSE),FALSE)),VLOOKUP(G467,NGPREVPRICES,2,FALSE),CK467,VLOOKUP(G467,NGPREVPRICES,4,FALSE),HLOOKUP(D467,VOLS,VLOOKUP(G467,move_down,2,FALSE),FALSE),VLOOKUP(G467,NGPrices,3,FALSE),HLOOKUP(D467,Correllate,VLOOKUP(G467,CorMove,2,FALSE),FALSE),Q467-$CD$3,R467,$CJ$5)*H467-CJ467</f>
        <v>0</v>
      </c>
      <c r="CH467" s="234">
        <f>_xll.xSPRDOPT((VLOOKUP(G467,NGPREVPRICES,2,FALSE)+HLOOKUP(D467,PREVCURVES,VLOOKUP(G467,MOVE_DOWN2,2,FALSE),FALSE)),VLOOKUP(G467,NGPREVPRICES,2,FALSE),CK467,VLOOKUP(G467,NGPREVPRICES,4,FALSE),HLOOKUP(D467,PREVVOLS,VLOOKUP(G467,MOVE_DOWN2,2,FALSE),FALSE),VLOOKUP(G467,NGPREVPRICES,3,FALSE),HLOOKUP(D467,Correllate,VLOOKUP(G467,CorMove,2,FALSE),FALSE),Q467-$C$3,R467,$CJ$5)*H467-CJ467</f>
        <v>2701.8071676695254</v>
      </c>
      <c r="CI467" s="234">
        <f t="shared" si="496"/>
        <v>2794.1489335516817</v>
      </c>
      <c r="CJ467" s="234">
        <f>_xll.xSPRDOPT((VLOOKUP(G467,NGPREVPRICES,2,FALSE)+HLOOKUP(D467,PREVCURVES,VLOOKUP(G467,MOVE_DOWN2,2,FALSE),FALSE)),VLOOKUP(G467,NGPREVPRICES,2,FALSE),CK467,VLOOKUP(G467,NGPREVPRICES,4,FALSE),HLOOKUP(D467,PREVVOLS,VLOOKUP(G467,MOVE_DOWN2,2,FALSE),FALSE),VLOOKUP(G467,NGPREVPRICES,3,FALSE),HLOOKUP(D467,Correllate,VLOOKUP(G467,CorMove,2,FALSE),FALSE),Q467-$CD$3,R467,$CJ$5)*H467</f>
        <v>-492915.4674693307</v>
      </c>
      <c r="CK467" s="235">
        <f t="shared" si="497"/>
        <v>1.7</v>
      </c>
      <c r="CM467" t="str">
        <f t="shared" si="498"/>
        <v>36861Curve Shift/Gamma</v>
      </c>
      <c r="CN467" t="str">
        <f t="shared" si="499"/>
        <v>36861Rho</v>
      </c>
      <c r="CO467" t="str">
        <f t="shared" si="500"/>
        <v>36861Drift</v>
      </c>
      <c r="CP467" t="str">
        <f t="shared" si="501"/>
        <v>36861Vega</v>
      </c>
      <c r="CQ467" t="str">
        <f t="shared" si="502"/>
        <v>36861Theta</v>
      </c>
    </row>
    <row r="468" spans="1:95" x14ac:dyDescent="0.25">
      <c r="A468" s="140" t="s">
        <v>279</v>
      </c>
      <c r="B468" t="s">
        <v>250</v>
      </c>
      <c r="C468" t="s">
        <v>504</v>
      </c>
      <c r="D468" s="4" t="s">
        <v>7</v>
      </c>
      <c r="E468" t="s">
        <v>20</v>
      </c>
      <c r="F468" t="s">
        <v>21</v>
      </c>
      <c r="G468" s="5">
        <v>36831</v>
      </c>
      <c r="H468" s="130">
        <v>-1000000</v>
      </c>
      <c r="I468">
        <v>1.7</v>
      </c>
      <c r="J468" s="53">
        <f t="shared" si="523"/>
        <v>4.7359999999999998</v>
      </c>
      <c r="K468" s="7">
        <f t="shared" si="524"/>
        <v>0.77</v>
      </c>
      <c r="L468" s="53">
        <f t="shared" si="525"/>
        <v>5.5060000000000002</v>
      </c>
      <c r="M468" s="157">
        <f t="shared" si="526"/>
        <v>6.810675983792E-2</v>
      </c>
      <c r="N468" s="4">
        <f t="shared" si="527"/>
        <v>0.59499999999999997</v>
      </c>
      <c r="O468" s="4">
        <f t="shared" si="528"/>
        <v>0.625</v>
      </c>
      <c r="P468" s="9">
        <f t="shared" si="529"/>
        <v>0.89</v>
      </c>
      <c r="Q468" s="5">
        <f t="shared" si="520"/>
        <v>36829</v>
      </c>
      <c r="R468" s="4">
        <f t="shared" si="530"/>
        <v>1</v>
      </c>
      <c r="S468" s="158">
        <f>_xll.xSPRDOPT($L468,$J468,$I468,$M468,$O468,$N468,$P468,$Q468-$C$3,$R468,0)</f>
        <v>3.869619962728707E-2</v>
      </c>
      <c r="T468" s="159">
        <f>_xll.xSPRDOPT($L468,$J468,$I468,$M468,$O468,$N468,$P468,$Q468-$C$3,$R468,1)*H468</f>
        <v>-120231.94542354338</v>
      </c>
      <c r="U468" s="160">
        <f t="shared" si="531"/>
        <v>-38696.199627287067</v>
      </c>
      <c r="V468" s="159">
        <f>_xll.xSPRDOPT($L468,$J468,$I468,$M468,$O468,$N468,$P468,$Q468-$C$3,$R468,2)*H468</f>
        <v>100608.35887301552</v>
      </c>
      <c r="W468" s="159">
        <f t="shared" si="532"/>
        <v>-19623.586550527863</v>
      </c>
      <c r="X468" s="51" t="str">
        <f t="shared" si="517"/>
        <v>36831IF-TRANSCO/Z6</v>
      </c>
      <c r="Y468" s="418">
        <f t="shared" si="518"/>
        <v>-100</v>
      </c>
      <c r="Z468" s="456">
        <f t="shared" si="519"/>
        <v>0.12023194542354337</v>
      </c>
      <c r="AA468" s="456">
        <f>_xll.xSPRDOPT($L468,$J468,$I468,$M468,$O468,$N468,$P468,$Q468-$C$3,$R468,3)</f>
        <v>0.28935113951239921</v>
      </c>
      <c r="AB468" s="456">
        <f>((_xll.xSPRDOPT($L468+AB$5,$J468,$I468,$M468,$O468,$N468,$P468,$Q468-$C$3,$R468,3)*$H468)/10000)/100</f>
        <v>-0.28935113951239921</v>
      </c>
      <c r="AC468" s="456">
        <f>((_xll.xSPRDOPT($L468+$AB$5,$J468,$I468,$M468,$O468,$N468,$P468,$Q468-$C$3,$R468,7)*$H468)/100)</f>
        <v>4198.5983330425552</v>
      </c>
      <c r="AD468" s="456">
        <f>(_xll.xSPRDOPT($L468+$AB$5,$J468,$I468,$M468,$O468,$N468,$P468,$Q468-$C$3,$R468,9)/365)*$H468</f>
        <v>1108.1321005161294</v>
      </c>
      <c r="AE468">
        <f t="shared" si="521"/>
        <v>0</v>
      </c>
      <c r="AF468" s="456">
        <f t="shared" si="522"/>
        <v>-2322.8412752932663</v>
      </c>
      <c r="AG468" s="456">
        <f>((_xll.xSPRDOPT($L468,$J468,$I468,$M468,$O468,$N468,$P468,$Q468-$C$3,$R468,6)*$H468)/100)</f>
        <v>1172.4526828328435</v>
      </c>
      <c r="AH468" s="456">
        <f>((_xll.xSPRDOPT($L468,$J468,$I468,$M468,$O468,$N468,$P468,$Q468-$C$3,$R468,5)*$H468)/100)</f>
        <v>-3327.5198481360562</v>
      </c>
      <c r="AI468" s="456">
        <f>(((_xll.xSPRDOPT($L468,$J468,$I468,$M468,$O468,$N468,$P468,$Q468-$C$3,$R468,4)*$H468)/10000)/100)-AB468</f>
        <v>6.3877827963317285E-2</v>
      </c>
      <c r="AJ468" s="456"/>
      <c r="AK468" s="456"/>
      <c r="AL468" s="456"/>
      <c r="AM468" s="472"/>
      <c r="CC468" s="141">
        <f t="shared" si="494"/>
        <v>36831</v>
      </c>
      <c r="CD468" s="234">
        <f>_xll.xSPRDOPT((VLOOKUP(G468,NGPrices,2,FALSE)+HLOOKUP(D468,Prices,VLOOKUP(G468,move_down,2,FALSE),FALSE)),VLOOKUP(G468,NGPrices,2,FALSE),I468,VLOOKUP(G468,NGPREVPRICES,4,FALSE),HLOOKUP(D468,PREVVOLS,VLOOKUP(G468,MOVE_DOWN2,2,FALSE),FALSE),VLOOKUP(G468,NGPREVPRICES,3,FALSE),HLOOKUP(D468,Correllate,VLOOKUP(G468,CorMove,2,FALSE),FALSE),Q468-$CD$3,R468,$CD$5)*H468-CJ468</f>
        <v>0</v>
      </c>
      <c r="CE468" s="234">
        <f>_xll.xSPRDOPT((VLOOKUP(G468,NGPREVPRICES,2,FALSE)+HLOOKUP(D468,PREVCURVES,VLOOKUP(G468,MOVE_DOWN2,2,FALSE),FALSE)),VLOOKUP(G468,NGPREVPRICES,2,FALSE),CK468,VLOOKUP(G468,NGPrices,4,FALSE),HLOOKUP(D468,PREVVOLS,VLOOKUP(G468,MOVE_DOWN2,2,FALSE),FALSE),VLOOKUP(G468,NGPREVPRICES,3,FALSE),HLOOKUP(D468,Correllate,VLOOKUP(G468,CorMove,2,FALSE),FALSE),Q468-$CD$3,R468,$CJ$5)*H468-CJ468</f>
        <v>0</v>
      </c>
      <c r="CF468" s="10">
        <f t="shared" si="495"/>
        <v>7.3923435608739965</v>
      </c>
      <c r="CG468" s="234">
        <f>_xll.xSPRDOPT((VLOOKUP(G468,NGPREVPRICES,2,FALSE)+HLOOKUP(D468,PREVCURVES,VLOOKUP(G468,MOVE_DOWN2,2,FALSE),FALSE)),VLOOKUP(G468,NGPREVPRICES,2,FALSE),CK468,VLOOKUP(G468,NGPREVPRICES,4,FALSE),HLOOKUP(D468,VOLS,VLOOKUP(G468,move_down,2,FALSE),FALSE),VLOOKUP(G468,NGPrices,3,FALSE),HLOOKUP(D468,Correllate,VLOOKUP(G468,CorMove,2,FALSE),FALSE),Q468-$CD$3,R468,$CJ$5)*H468-CJ468</f>
        <v>0</v>
      </c>
      <c r="CH468" s="234">
        <f>_xll.xSPRDOPT((VLOOKUP(G468,NGPREVPRICES,2,FALSE)+HLOOKUP(D468,PREVCURVES,VLOOKUP(G468,MOVE_DOWN2,2,FALSE),FALSE)),VLOOKUP(G468,NGPREVPRICES,2,FALSE),CK468,VLOOKUP(G468,NGPREVPRICES,4,FALSE),HLOOKUP(D468,PREVVOLS,VLOOKUP(G468,MOVE_DOWN2,2,FALSE),FALSE),VLOOKUP(G468,NGPREVPRICES,3,FALSE),HLOOKUP(D468,Correllate,VLOOKUP(G468,CorMove,2,FALSE),FALSE),Q468-$C$3,R468,$CJ$5)*H468-CJ468</f>
        <v>1109.5074633000768</v>
      </c>
      <c r="CI468" s="234">
        <f t="shared" si="496"/>
        <v>1116.8998068609508</v>
      </c>
      <c r="CJ468" s="234">
        <f>_xll.xSPRDOPT((VLOOKUP(G468,NGPREVPRICES,2,FALSE)+HLOOKUP(D468,PREVCURVES,VLOOKUP(G468,MOVE_DOWN2,2,FALSE),FALSE)),VLOOKUP(G468,NGPREVPRICES,2,FALSE),CK468,VLOOKUP(G468,NGPREVPRICES,4,FALSE),HLOOKUP(D468,PREVVOLS,VLOOKUP(G468,MOVE_DOWN2,2,FALSE),FALSE),VLOOKUP(G468,NGPREVPRICES,3,FALSE),HLOOKUP(D468,Correllate,VLOOKUP(G468,CorMove,2,FALSE),FALSE),Q468-$CD$3,R468,$CJ$5)*H468</f>
        <v>-39805.707090587144</v>
      </c>
      <c r="CK468" s="235">
        <f t="shared" si="497"/>
        <v>1.7</v>
      </c>
      <c r="CM468" t="str">
        <f t="shared" si="498"/>
        <v>36831Curve Shift/Gamma</v>
      </c>
      <c r="CN468" t="str">
        <f t="shared" si="499"/>
        <v>36831Rho</v>
      </c>
      <c r="CO468" t="str">
        <f t="shared" si="500"/>
        <v>36831Drift</v>
      </c>
      <c r="CP468" t="str">
        <f t="shared" si="501"/>
        <v>36831Vega</v>
      </c>
      <c r="CQ468" t="str">
        <f t="shared" si="502"/>
        <v>36831Theta</v>
      </c>
    </row>
    <row r="469" spans="1:95" x14ac:dyDescent="0.25">
      <c r="A469" s="140" t="s">
        <v>279</v>
      </c>
      <c r="B469" t="s">
        <v>250</v>
      </c>
      <c r="C469" t="s">
        <v>505</v>
      </c>
      <c r="D469" s="4" t="s">
        <v>7</v>
      </c>
      <c r="E469" t="s">
        <v>20</v>
      </c>
      <c r="F469" t="s">
        <v>1</v>
      </c>
      <c r="G469" s="5">
        <v>36951</v>
      </c>
      <c r="H469" s="130">
        <v>-1000000</v>
      </c>
      <c r="I469">
        <v>1.7</v>
      </c>
      <c r="J469" s="53">
        <f t="shared" si="523"/>
        <v>4.2130000000000001</v>
      </c>
      <c r="K469" s="7">
        <f t="shared" si="524"/>
        <v>1.075</v>
      </c>
      <c r="L469" s="53">
        <f t="shared" si="525"/>
        <v>5.2880000000000003</v>
      </c>
      <c r="M469" s="157">
        <f t="shared" si="526"/>
        <v>6.8879814952706994E-2</v>
      </c>
      <c r="N469" s="4">
        <f t="shared" si="527"/>
        <v>0.53249999999999997</v>
      </c>
      <c r="O469" s="4">
        <f t="shared" si="528"/>
        <v>0.61199999999999999</v>
      </c>
      <c r="P469" s="9">
        <f t="shared" si="529"/>
        <v>0.83</v>
      </c>
      <c r="Q469" s="5">
        <f t="shared" si="520"/>
        <v>36949</v>
      </c>
      <c r="R469" s="4">
        <f t="shared" si="530"/>
        <v>0</v>
      </c>
      <c r="S469" s="158">
        <f>_xll.xSPRDOPT($L469,$J469,$I469,$M469,$O469,$N469,$P469,$Q469-$C$3,$R469,0)</f>
        <v>0.90653588185534573</v>
      </c>
      <c r="T469" s="159">
        <f>_xll.xSPRDOPT($L469,$J469,$I469,$M469,$O469,$N469,$P469,$Q469-$C$3,$R469,1)*H469</f>
        <v>596929.55598083721</v>
      </c>
      <c r="U469" s="160">
        <f t="shared" si="531"/>
        <v>-906535.88185534568</v>
      </c>
      <c r="V469" s="159">
        <f>_xll.xSPRDOPT($L469,$J469,$I469,$M469,$O469,$N469,$P469,$Q469-$C$3,$R469,2)*H469</f>
        <v>-675341.86501516297</v>
      </c>
      <c r="W469" s="159">
        <f t="shared" si="532"/>
        <v>-78412.309034325765</v>
      </c>
      <c r="X469" s="51" t="str">
        <f t="shared" si="517"/>
        <v>36951IF-TRANSCO/Z6</v>
      </c>
      <c r="Y469" s="418">
        <f t="shared" si="518"/>
        <v>-100</v>
      </c>
      <c r="Z469" s="456">
        <f t="shared" si="519"/>
        <v>-0.59692955598083719</v>
      </c>
      <c r="AA469" s="456">
        <f>_xll.xSPRDOPT($L469,$J469,$I469,$M469,$O469,$N469,$P469,$Q469-$C$3,$R469,3)</f>
        <v>0.27244434414798091</v>
      </c>
      <c r="AB469" s="456">
        <f>((_xll.xSPRDOPT($L469+AB$5,$J469,$I469,$M469,$O469,$N469,$P469,$Q469-$C$3,$R469,3)*$H469)/10000)/100</f>
        <v>-0.27244434414798091</v>
      </c>
      <c r="AC469" s="456">
        <f>((_xll.xSPRDOPT($L469+$AB$5,$J469,$I469,$M469,$O469,$N469,$P469,$Q469-$C$3,$R469,7)*$H469)/100)</f>
        <v>9026.4813379309653</v>
      </c>
      <c r="AD469" s="456">
        <f>(_xll.xSPRDOPT($L469+$AB$5,$J469,$I469,$M469,$O469,$N469,$P469,$Q469-$C$3,$R469,9)/365)*$H469</f>
        <v>1207.1175046033768</v>
      </c>
      <c r="AE469">
        <f t="shared" si="521"/>
        <v>0</v>
      </c>
      <c r="AF469" s="456">
        <f t="shared" si="522"/>
        <v>-9414.429142316365</v>
      </c>
      <c r="AG469" s="456">
        <f>((_xll.xSPRDOPT($L469,$J469,$I469,$M469,$O469,$N469,$P469,$Q469-$C$3,$R469,6)*$H469)/100)</f>
        <v>3216.9802144158816</v>
      </c>
      <c r="AH469" s="456">
        <f>((_xll.xSPRDOPT($L469,$J469,$I469,$M469,$O469,$N469,$P469,$Q469-$C$3,$R469,5)*$H469)/100)</f>
        <v>-10990.564513823401</v>
      </c>
      <c r="AI469" s="456">
        <f>(((_xll.xSPRDOPT($L469,$J469,$I469,$M469,$O469,$N469,$P469,$Q469-$C$3,$R469,4)*$H469)/10000)/100)-AB469</f>
        <v>4.2011825632287614E-2</v>
      </c>
      <c r="AJ469" s="456"/>
      <c r="AK469" s="456"/>
      <c r="AL469" s="456"/>
      <c r="AM469" s="472"/>
      <c r="CC469" s="141">
        <f t="shared" si="494"/>
        <v>36951</v>
      </c>
      <c r="CD469" s="234">
        <f>_xll.xSPRDOPT((VLOOKUP(G469,NGPrices,2,FALSE)+HLOOKUP(D469,Prices,VLOOKUP(G469,move_down,2,FALSE),FALSE)),VLOOKUP(G469,NGPrices,2,FALSE),I469,VLOOKUP(G469,NGPREVPRICES,4,FALSE),HLOOKUP(D469,PREVVOLS,VLOOKUP(G469,MOVE_DOWN2,2,FALSE),FALSE),VLOOKUP(G469,NGPREVPRICES,3,FALSE),HLOOKUP(D469,Correllate,VLOOKUP(G469,CorMove,2,FALSE),FALSE),Q469-$CD$3,R469,$CD$5)*H469-CJ469</f>
        <v>0</v>
      </c>
      <c r="CE469" s="234">
        <f>_xll.xSPRDOPT((VLOOKUP(G469,NGPREVPRICES,2,FALSE)+HLOOKUP(D469,PREVCURVES,VLOOKUP(G469,MOVE_DOWN2,2,FALSE),FALSE)),VLOOKUP(G469,NGPREVPRICES,2,FALSE),CK469,VLOOKUP(G469,NGPrices,4,FALSE),HLOOKUP(D469,PREVVOLS,VLOOKUP(G469,MOVE_DOWN2,2,FALSE),FALSE),VLOOKUP(G469,NGPREVPRICES,3,FALSE),HLOOKUP(D469,Correllate,VLOOKUP(G469,CorMove,2,FALSE),FALSE),Q469-$CD$3,R469,$CJ$5)*H469-CJ469</f>
        <v>0</v>
      </c>
      <c r="CF469" s="10">
        <f t="shared" si="495"/>
        <v>174.09103973745368</v>
      </c>
      <c r="CG469" s="234">
        <f>_xll.xSPRDOPT((VLOOKUP(G469,NGPREVPRICES,2,FALSE)+HLOOKUP(D469,PREVCURVES,VLOOKUP(G469,MOVE_DOWN2,2,FALSE),FALSE)),VLOOKUP(G469,NGPREVPRICES,2,FALSE),CK469,VLOOKUP(G469,NGPREVPRICES,4,FALSE),HLOOKUP(D469,VOLS,VLOOKUP(G469,move_down,2,FALSE),FALSE),VLOOKUP(G469,NGPrices,3,FALSE),HLOOKUP(D469,Correllate,VLOOKUP(G469,CorMove,2,FALSE),FALSE),Q469-$CD$3,R469,$CJ$5)*H469-CJ469</f>
        <v>0</v>
      </c>
      <c r="CH469" s="234">
        <f>_xll.xSPRDOPT((VLOOKUP(G469,NGPREVPRICES,2,FALSE)+HLOOKUP(D469,PREVCURVES,VLOOKUP(G469,MOVE_DOWN2,2,FALSE),FALSE)),VLOOKUP(G469,NGPREVPRICES,2,FALSE),CK469,VLOOKUP(G469,NGPREVPRICES,4,FALSE),HLOOKUP(D469,PREVVOLS,VLOOKUP(G469,MOVE_DOWN2,2,FALSE),FALSE),VLOOKUP(G469,NGPREVPRICES,3,FALSE),HLOOKUP(D469,Correllate,VLOOKUP(G469,CorMove,2,FALSE),FALSE),Q469-$C$3,R469,$CJ$5)*H469-CJ469</f>
        <v>1204.4994370049099</v>
      </c>
      <c r="CI469" s="234">
        <f t="shared" si="496"/>
        <v>1378.5904767423635</v>
      </c>
      <c r="CJ469" s="234">
        <f>_xll.xSPRDOPT((VLOOKUP(G469,NGPREVPRICES,2,FALSE)+HLOOKUP(D469,PREVCURVES,VLOOKUP(G469,MOVE_DOWN2,2,FALSE),FALSE)),VLOOKUP(G469,NGPREVPRICES,2,FALSE),CK469,VLOOKUP(G469,NGPREVPRICES,4,FALSE),HLOOKUP(D469,PREVVOLS,VLOOKUP(G469,MOVE_DOWN2,2,FALSE),FALSE),VLOOKUP(G469,NGPREVPRICES,3,FALSE),HLOOKUP(D469,Correllate,VLOOKUP(G469,CorMove,2,FALSE),FALSE),Q469-$CD$3,R469,$CJ$5)*H469</f>
        <v>-907740.38129235059</v>
      </c>
      <c r="CK469" s="235">
        <f t="shared" si="497"/>
        <v>1.7</v>
      </c>
      <c r="CM469" t="str">
        <f t="shared" si="498"/>
        <v>36951Curve Shift/Gamma</v>
      </c>
      <c r="CN469" t="str">
        <f t="shared" si="499"/>
        <v>36951Rho</v>
      </c>
      <c r="CO469" t="str">
        <f t="shared" si="500"/>
        <v>36951Drift</v>
      </c>
      <c r="CP469" t="str">
        <f t="shared" si="501"/>
        <v>36951Vega</v>
      </c>
      <c r="CQ469" t="str">
        <f t="shared" si="502"/>
        <v>36951Theta</v>
      </c>
    </row>
    <row r="470" spans="1:95" x14ac:dyDescent="0.25">
      <c r="A470" s="140" t="s">
        <v>279</v>
      </c>
      <c r="B470" t="s">
        <v>250</v>
      </c>
      <c r="C470" t="s">
        <v>505</v>
      </c>
      <c r="D470" s="4" t="s">
        <v>7</v>
      </c>
      <c r="E470" t="s">
        <v>20</v>
      </c>
      <c r="F470" t="s">
        <v>1</v>
      </c>
      <c r="G470" s="5">
        <v>36923</v>
      </c>
      <c r="H470" s="130">
        <v>-1000000</v>
      </c>
      <c r="I470">
        <v>1.7</v>
      </c>
      <c r="J470" s="53">
        <f t="shared" si="523"/>
        <v>4.4800000000000004</v>
      </c>
      <c r="K470" s="7">
        <f t="shared" si="524"/>
        <v>2.09</v>
      </c>
      <c r="L470" s="53">
        <f t="shared" si="525"/>
        <v>6.57</v>
      </c>
      <c r="M470" s="157">
        <f t="shared" si="526"/>
        <v>6.8640161611372E-2</v>
      </c>
      <c r="N470" s="4">
        <f t="shared" si="527"/>
        <v>0.59250000000000003</v>
      </c>
      <c r="O470" s="4">
        <f t="shared" si="528"/>
        <v>0.68100000000000005</v>
      </c>
      <c r="P470" s="9">
        <f t="shared" si="529"/>
        <v>0.83</v>
      </c>
      <c r="Q470" s="5">
        <f t="shared" si="520"/>
        <v>36921</v>
      </c>
      <c r="R470" s="4">
        <f t="shared" si="530"/>
        <v>0</v>
      </c>
      <c r="S470" s="158">
        <f>_xll.xSPRDOPT($L470,$J470,$I470,$M470,$O470,$N470,$P470,$Q470-$C$3,$R470,0)</f>
        <v>0.47512054509062507</v>
      </c>
      <c r="T470" s="159">
        <f>_xll.xSPRDOPT($L470,$J470,$I470,$M470,$O470,$N470,$P470,$Q470-$C$3,$R470,1)*H470</f>
        <v>345161.52205628401</v>
      </c>
      <c r="U470" s="160">
        <f t="shared" si="531"/>
        <v>-475120.54509062506</v>
      </c>
      <c r="V470" s="159">
        <f>_xll.xSPRDOPT($L470,$J470,$I470,$M470,$O470,$N470,$P470,$Q470-$C$3,$R470,2)*H470</f>
        <v>-429834.85184321803</v>
      </c>
      <c r="W470" s="159">
        <f t="shared" si="532"/>
        <v>-84673.329786934017</v>
      </c>
      <c r="X470" s="51" t="str">
        <f t="shared" si="517"/>
        <v>36923IF-TRANSCO/Z6</v>
      </c>
      <c r="Y470" s="418">
        <f t="shared" si="518"/>
        <v>-100</v>
      </c>
      <c r="Z470" s="456">
        <f t="shared" si="519"/>
        <v>-0.34516152205628403</v>
      </c>
      <c r="AA470" s="456">
        <f>_xll.xSPRDOPT($L470,$J470,$I470,$M470,$O470,$N470,$P470,$Q470-$C$3,$R470,3)</f>
        <v>0.20978838708944192</v>
      </c>
      <c r="AB470" s="456">
        <f>((_xll.xSPRDOPT($L470+AB$5,$J470,$I470,$M470,$O470,$N470,$P470,$Q470-$C$3,$R470,3)*$H470)/10000)/100</f>
        <v>-0.20978838708944192</v>
      </c>
      <c r="AC470" s="456">
        <f>((_xll.xSPRDOPT($L470+$AB$5,$J470,$I470,$M470,$O470,$N470,$P470,$Q470-$C$3,$R470,7)*$H470)/100)</f>
        <v>11175.326972786605</v>
      </c>
      <c r="AD470" s="456">
        <f>(_xll.xSPRDOPT($L470+$AB$5,$J470,$I470,$M470,$O470,$N470,$P470,$Q470-$C$3,$R470,9)/365)*$H470</f>
        <v>1949.9473801500606</v>
      </c>
      <c r="AE470">
        <f t="shared" si="521"/>
        <v>0</v>
      </c>
      <c r="AF470" s="456">
        <f t="shared" si="522"/>
        <v>-10593.642906510735</v>
      </c>
      <c r="AG470" s="456">
        <f>((_xll.xSPRDOPT($L470,$J470,$I470,$M470,$O470,$N470,$P470,$Q470-$C$3,$R470,6)*$H470)/100)</f>
        <v>3636.1525144899601</v>
      </c>
      <c r="AH470" s="456">
        <f>((_xll.xSPRDOPT($L470,$J470,$I470,$M470,$O470,$N470,$P470,$Q470-$C$3,$R470,5)*$H470)/100)</f>
        <v>-12380.54887950501</v>
      </c>
      <c r="AI470" s="456">
        <f>(((_xll.xSPRDOPT($L470,$J470,$I470,$M470,$O470,$N470,$P470,$Q470-$C$3,$R470,4)*$H470)/10000)/100)-AB470</f>
        <v>-2.9919394726779514E-2</v>
      </c>
      <c r="AJ470" s="456"/>
      <c r="AK470" s="456"/>
      <c r="AL470" s="456"/>
      <c r="AM470" s="472"/>
      <c r="CC470" s="141">
        <f t="shared" si="494"/>
        <v>36923</v>
      </c>
      <c r="CD470" s="234">
        <f>_xll.xSPRDOPT((VLOOKUP(G470,NGPrices,2,FALSE)+HLOOKUP(D470,Prices,VLOOKUP(G470,move_down,2,FALSE),FALSE)),VLOOKUP(G470,NGPrices,2,FALSE),I470,VLOOKUP(G470,NGPREVPRICES,4,FALSE),HLOOKUP(D470,PREVVOLS,VLOOKUP(G470,MOVE_DOWN2,2,FALSE),FALSE),VLOOKUP(G470,NGPREVPRICES,3,FALSE),HLOOKUP(D470,Correllate,VLOOKUP(G470,CorMove,2,FALSE),FALSE),Q470-$CD$3,R470,$CD$5)*H470-CJ470</f>
        <v>0</v>
      </c>
      <c r="CE470" s="234">
        <f>_xll.xSPRDOPT((VLOOKUP(G470,NGPREVPRICES,2,FALSE)+HLOOKUP(D470,PREVCURVES,VLOOKUP(G470,MOVE_DOWN2,2,FALSE),FALSE)),VLOOKUP(G470,NGPREVPRICES,2,FALSE),CK470,VLOOKUP(G470,NGPrices,4,FALSE),HLOOKUP(D470,PREVVOLS,VLOOKUP(G470,MOVE_DOWN2,2,FALSE),FALSE),VLOOKUP(G470,NGPREVPRICES,3,FALSE),HLOOKUP(D470,Correllate,VLOOKUP(G470,CorMove,2,FALSE),FALSE),Q470-$CD$3,R470,$CJ$5)*H470-CJ470</f>
        <v>0</v>
      </c>
      <c r="CF470" s="10">
        <f t="shared" si="495"/>
        <v>90.732380871777423</v>
      </c>
      <c r="CG470" s="234">
        <f>_xll.xSPRDOPT((VLOOKUP(G470,NGPREVPRICES,2,FALSE)+HLOOKUP(D470,PREVCURVES,VLOOKUP(G470,MOVE_DOWN2,2,FALSE),FALSE)),VLOOKUP(G470,NGPREVPRICES,2,FALSE),CK470,VLOOKUP(G470,NGPREVPRICES,4,FALSE),HLOOKUP(D470,VOLS,VLOOKUP(G470,move_down,2,FALSE),FALSE),VLOOKUP(G470,NGPrices,3,FALSE),HLOOKUP(D470,Correllate,VLOOKUP(G470,CorMove,2,FALSE),FALSE),Q470-$CD$3,R470,$CJ$5)*H470-CJ470</f>
        <v>0</v>
      </c>
      <c r="CH470" s="234">
        <f>_xll.xSPRDOPT((VLOOKUP(G470,NGPREVPRICES,2,FALSE)+HLOOKUP(D470,PREVCURVES,VLOOKUP(G470,MOVE_DOWN2,2,FALSE),FALSE)),VLOOKUP(G470,NGPREVPRICES,2,FALSE),CK470,VLOOKUP(G470,NGPREVPRICES,4,FALSE),HLOOKUP(D470,PREVVOLS,VLOOKUP(G470,MOVE_DOWN2,2,FALSE),FALSE),VLOOKUP(G470,NGPREVPRICES,3,FALSE),HLOOKUP(D470,Correllate,VLOOKUP(G470,CorMove,2,FALSE),FALSE),Q470-$C$3,R470,$CJ$5)*H470-CJ470</f>
        <v>1945.0878171321237</v>
      </c>
      <c r="CI470" s="234">
        <f t="shared" si="496"/>
        <v>2035.8201980039012</v>
      </c>
      <c r="CJ470" s="234">
        <f>_xll.xSPRDOPT((VLOOKUP(G470,NGPREVPRICES,2,FALSE)+HLOOKUP(D470,PREVCURVES,VLOOKUP(G470,MOVE_DOWN2,2,FALSE),FALSE)),VLOOKUP(G470,NGPREVPRICES,2,FALSE),CK470,VLOOKUP(G470,NGPREVPRICES,4,FALSE),HLOOKUP(D470,PREVVOLS,VLOOKUP(G470,MOVE_DOWN2,2,FALSE),FALSE),VLOOKUP(G470,NGPREVPRICES,3,FALSE),HLOOKUP(D470,Correllate,VLOOKUP(G470,CorMove,2,FALSE),FALSE),Q470-$CD$3,R470,$CJ$5)*H470</f>
        <v>-477065.63290775719</v>
      </c>
      <c r="CK470" s="235">
        <f t="shared" si="497"/>
        <v>1.7</v>
      </c>
      <c r="CM470" t="str">
        <f t="shared" si="498"/>
        <v>36923Curve Shift/Gamma</v>
      </c>
      <c r="CN470" t="str">
        <f t="shared" si="499"/>
        <v>36923Rho</v>
      </c>
      <c r="CO470" t="str">
        <f t="shared" si="500"/>
        <v>36923Drift</v>
      </c>
      <c r="CP470" t="str">
        <f t="shared" si="501"/>
        <v>36923Vega</v>
      </c>
      <c r="CQ470" t="str">
        <f t="shared" si="502"/>
        <v>36923Theta</v>
      </c>
    </row>
    <row r="471" spans="1:95" x14ac:dyDescent="0.25">
      <c r="A471" s="140" t="s">
        <v>279</v>
      </c>
      <c r="B471" t="s">
        <v>250</v>
      </c>
      <c r="C471" t="s">
        <v>505</v>
      </c>
      <c r="D471" s="4" t="s">
        <v>7</v>
      </c>
      <c r="E471" t="s">
        <v>20</v>
      </c>
      <c r="F471" t="s">
        <v>1</v>
      </c>
      <c r="G471" s="5">
        <v>36892</v>
      </c>
      <c r="H471" s="130">
        <v>-1000000</v>
      </c>
      <c r="I471">
        <v>1.7</v>
      </c>
      <c r="J471" s="53">
        <f t="shared" si="523"/>
        <v>4.7439999999999998</v>
      </c>
      <c r="K471" s="7">
        <f t="shared" si="524"/>
        <v>2.17</v>
      </c>
      <c r="L471" s="53">
        <f t="shared" si="525"/>
        <v>6.9139999999999997</v>
      </c>
      <c r="M471" s="157">
        <f t="shared" ref="M471:M476" si="533">VLOOKUP(G471,NGPrices,4,FALSE)</f>
        <v>6.8374831148490994E-2</v>
      </c>
      <c r="N471" s="4">
        <f t="shared" ref="N471:N476" si="534">VLOOKUP(G471,NGPrices,3,FALSE)</f>
        <v>0.60499999999999998</v>
      </c>
      <c r="O471" s="4">
        <f t="shared" ref="O471:O476" si="535">HLOOKUP(D471,VOLS,VLOOKUP(G471,move_down,2,FALSE),FALSE)</f>
        <v>0.69599999999999995</v>
      </c>
      <c r="P471" s="9">
        <f t="shared" ref="P471:P476" si="536">HLOOKUP(D471,Correllate,VLOOKUP(G471,CorMove,2,FALSE),FALSE)</f>
        <v>0.83</v>
      </c>
      <c r="Q471" s="5">
        <f t="shared" si="520"/>
        <v>36888</v>
      </c>
      <c r="R471" s="4">
        <f t="shared" ref="R471:R476" si="537">IF(F471="P",0,1)</f>
        <v>0</v>
      </c>
      <c r="S471" s="158">
        <f>_xll.xSPRDOPT($L471,$J471,$I471,$M471,$O471,$N471,$P471,$Q471-$C$3,$R471,0)</f>
        <v>0.41233458902943831</v>
      </c>
      <c r="T471" s="159">
        <f>_xll.xSPRDOPT($L471,$J471,$I471,$M471,$O471,$N471,$P471,$Q471-$C$3,$R471,1)*H471</f>
        <v>329219.46463609894</v>
      </c>
      <c r="U471" s="160">
        <f t="shared" ref="U471:U476" si="538">S471*H471</f>
        <v>-412334.58902943833</v>
      </c>
      <c r="V471" s="159">
        <f>_xll.xSPRDOPT($L471,$J471,$I471,$M471,$O471,$N471,$P471,$Q471-$C$3,$R471,2)*H471</f>
        <v>-405537.17346763588</v>
      </c>
      <c r="W471" s="159">
        <f t="shared" ref="W471:W476" si="539">+V471+T471</f>
        <v>-76317.708831536933</v>
      </c>
      <c r="X471" s="51" t="str">
        <f t="shared" si="517"/>
        <v>36892IF-TRANSCO/Z6</v>
      </c>
      <c r="Y471" s="418">
        <f t="shared" si="518"/>
        <v>-100</v>
      </c>
      <c r="Z471" s="456">
        <f t="shared" si="519"/>
        <v>-0.32921946463609897</v>
      </c>
      <c r="AA471" s="456">
        <f>_xll.xSPRDOPT($L471,$J471,$I471,$M471,$O471,$N471,$P471,$Q471-$C$3,$R471,3)</f>
        <v>0.21807698285626295</v>
      </c>
      <c r="AB471" s="456">
        <f>((_xll.xSPRDOPT($L471+AB$5,$J471,$I471,$M471,$O471,$N471,$P471,$Q471-$C$3,$R471,3)*$H471)/10000)/100</f>
        <v>-0.21807698285626295</v>
      </c>
      <c r="AC471" s="456">
        <f>((_xll.xSPRDOPT($L471+$AB$5,$J471,$I471,$M471,$O471,$N471,$P471,$Q471-$C$3,$R471,7)*$H471)/100)</f>
        <v>10683.308102727286</v>
      </c>
      <c r="AD471" s="456">
        <f>(_xll.xSPRDOPT($L471+$AB$5,$J471,$I471,$M471,$O471,$N471,$P471,$Q471-$C$3,$R471,9)/365)*$H471</f>
        <v>2349.5530067691652</v>
      </c>
      <c r="AE471">
        <f t="shared" si="521"/>
        <v>0</v>
      </c>
      <c r="AF471" s="456">
        <f t="shared" si="522"/>
        <v>-9700.53556488309</v>
      </c>
      <c r="AG471" s="456">
        <f>((_xll.xSPRDOPT($L471,$J471,$I471,$M471,$O471,$N471,$P471,$Q471-$C$3,$R471,6)*$H471)/100)</f>
        <v>3295.0567040940082</v>
      </c>
      <c r="AH471" s="456">
        <f>((_xll.xSPRDOPT($L471,$J471,$I471,$M471,$O471,$N471,$P471,$Q471-$C$3,$R471,5)*$H471)/100)</f>
        <v>-11296.455923464289</v>
      </c>
      <c r="AI471" s="456">
        <f>(((_xll.xSPRDOPT($L471,$J471,$I471,$M471,$O471,$N471,$P471,$Q471-$C$3,$R471,4)*$H471)/10000)/100)-AB471</f>
        <v>-3.380023817853553E-2</v>
      </c>
      <c r="AJ471" s="456"/>
      <c r="AK471" s="456"/>
      <c r="AL471" s="456"/>
      <c r="AM471" s="472"/>
      <c r="CC471" s="141">
        <f t="shared" ref="CC471:CC476" si="540">G471</f>
        <v>36892</v>
      </c>
      <c r="CD471" s="234">
        <f>_xll.xSPRDOPT((VLOOKUP(G471,NGPrices,2,FALSE)+HLOOKUP(D471,Prices,VLOOKUP(G471,move_down,2,FALSE),FALSE)),VLOOKUP(G471,NGPrices,2,FALSE),I471,VLOOKUP(G471,NGPREVPRICES,4,FALSE),HLOOKUP(D471,PREVVOLS,VLOOKUP(G471,MOVE_DOWN2,2,FALSE),FALSE),VLOOKUP(G471,NGPREVPRICES,3,FALSE),HLOOKUP(D471,Correllate,VLOOKUP(G471,CorMove,2,FALSE),FALSE),Q471-$CD$3,R471,$CD$5)*H471-CJ471</f>
        <v>0</v>
      </c>
      <c r="CE471" s="234">
        <f>_xll.xSPRDOPT((VLOOKUP(G471,NGPREVPRICES,2,FALSE)+HLOOKUP(D471,PREVCURVES,VLOOKUP(G471,MOVE_DOWN2,2,FALSE),FALSE)),VLOOKUP(G471,NGPREVPRICES,2,FALSE),CK471,VLOOKUP(G471,NGPrices,4,FALSE),HLOOKUP(D471,PREVVOLS,VLOOKUP(G471,MOVE_DOWN2,2,FALSE),FALSE),VLOOKUP(G471,NGPREVPRICES,3,FALSE),HLOOKUP(D471,Correllate,VLOOKUP(G471,CorMove,2,FALSE),FALSE),Q471-$CD$3,R471,$CJ$5)*H471-CJ471</f>
        <v>0</v>
      </c>
      <c r="CF471" s="10">
        <f t="shared" ref="CF471:CF476" si="541">(CJ471/VLOOKUP(CC471,discount,3,FALSE))-(CJ471/VLOOKUP(CC471,discount,2,FALSE))</f>
        <v>78.14231114985887</v>
      </c>
      <c r="CG471" s="234">
        <f>_xll.xSPRDOPT((VLOOKUP(G471,NGPREVPRICES,2,FALSE)+HLOOKUP(D471,PREVCURVES,VLOOKUP(G471,MOVE_DOWN2,2,FALSE),FALSE)),VLOOKUP(G471,NGPREVPRICES,2,FALSE),CK471,VLOOKUP(G471,NGPREVPRICES,4,FALSE),HLOOKUP(D471,VOLS,VLOOKUP(G471,move_down,2,FALSE),FALSE),VLOOKUP(G471,NGPrices,3,FALSE),HLOOKUP(D471,Correllate,VLOOKUP(G471,CorMove,2,FALSE),FALSE),Q471-$CD$3,R471,$CJ$5)*H471-CJ471</f>
        <v>0</v>
      </c>
      <c r="CH471" s="234">
        <f>_xll.xSPRDOPT((VLOOKUP(G471,NGPREVPRICES,2,FALSE)+HLOOKUP(D471,PREVCURVES,VLOOKUP(G471,MOVE_DOWN2,2,FALSE),FALSE)),VLOOKUP(G471,NGPREVPRICES,2,FALSE),CK471,VLOOKUP(G471,NGPREVPRICES,4,FALSE),HLOOKUP(D471,PREVVOLS,VLOOKUP(G471,MOVE_DOWN2,2,FALSE),FALSE),VLOOKUP(G471,NGPREVPRICES,3,FALSE),HLOOKUP(D471,Correllate,VLOOKUP(G471,CorMove,2,FALSE),FALSE),Q471-$C$3,R471,$CJ$5)*H471-CJ471</f>
        <v>2342.9125275098486</v>
      </c>
      <c r="CI471" s="234">
        <f t="shared" ref="CI471:CI476" si="542">SUM(CD471:CH471)</f>
        <v>2421.0548386597075</v>
      </c>
      <c r="CJ471" s="234">
        <f>_xll.xSPRDOPT((VLOOKUP(G471,NGPREVPRICES,2,FALSE)+HLOOKUP(D471,PREVCURVES,VLOOKUP(G471,MOVE_DOWN2,2,FALSE),FALSE)),VLOOKUP(G471,NGPREVPRICES,2,FALSE),CK471,VLOOKUP(G471,NGPREVPRICES,4,FALSE),HLOOKUP(D471,PREVVOLS,VLOOKUP(G471,MOVE_DOWN2,2,FALSE),FALSE),VLOOKUP(G471,NGPREVPRICES,3,FALSE),HLOOKUP(D471,Correllate,VLOOKUP(G471,CorMove,2,FALSE),FALSE),Q471-$CD$3,R471,$CJ$5)*H471</f>
        <v>-414677.50155694818</v>
      </c>
      <c r="CK471" s="235">
        <f t="shared" ref="CK471:CK476" si="543">I471</f>
        <v>1.7</v>
      </c>
      <c r="CM471" t="str">
        <f t="shared" ref="CM471:CM476" si="544">CONCATENATE(CC471,$CD$6)</f>
        <v>36892Curve Shift/Gamma</v>
      </c>
      <c r="CN471" t="str">
        <f t="shared" si="499"/>
        <v>36892Rho</v>
      </c>
      <c r="CO471" t="str">
        <f t="shared" si="500"/>
        <v>36892Drift</v>
      </c>
      <c r="CP471" t="str">
        <f t="shared" si="501"/>
        <v>36892Vega</v>
      </c>
      <c r="CQ471" t="str">
        <f t="shared" si="502"/>
        <v>36892Theta</v>
      </c>
    </row>
    <row r="472" spans="1:95" x14ac:dyDescent="0.25">
      <c r="A472" s="140" t="s">
        <v>279</v>
      </c>
      <c r="B472" t="s">
        <v>250</v>
      </c>
      <c r="C472" t="s">
        <v>505</v>
      </c>
      <c r="D472" s="4" t="s">
        <v>7</v>
      </c>
      <c r="E472" t="s">
        <v>20</v>
      </c>
      <c r="F472" t="s">
        <v>1</v>
      </c>
      <c r="G472" s="5">
        <v>36861</v>
      </c>
      <c r="H472" s="130">
        <v>-1000000</v>
      </c>
      <c r="I472">
        <v>1.7</v>
      </c>
      <c r="J472" s="53">
        <f t="shared" si="523"/>
        <v>4.8</v>
      </c>
      <c r="K472" s="7">
        <f t="shared" si="524"/>
        <v>1.645</v>
      </c>
      <c r="L472" s="53">
        <f t="shared" si="525"/>
        <v>6.4450000000000003</v>
      </c>
      <c r="M472" s="157">
        <f t="shared" si="533"/>
        <v>6.8314027999354002E-2</v>
      </c>
      <c r="N472" s="4">
        <f t="shared" si="534"/>
        <v>0.6</v>
      </c>
      <c r="O472" s="4">
        <f t="shared" si="535"/>
        <v>0.69</v>
      </c>
      <c r="P472" s="9">
        <f t="shared" si="536"/>
        <v>0.83</v>
      </c>
      <c r="Q472" s="5">
        <f t="shared" si="520"/>
        <v>36859</v>
      </c>
      <c r="R472" s="4">
        <f t="shared" si="537"/>
        <v>0</v>
      </c>
      <c r="S472" s="158">
        <f>_xll.xSPRDOPT($L472,$J472,$I472,$M472,$O472,$N472,$P472,$Q472-$C$3,$R472,0)</f>
        <v>0.54427536601746151</v>
      </c>
      <c r="T472" s="159">
        <f>_xll.xSPRDOPT($L472,$J472,$I472,$M472,$O472,$N472,$P472,$Q472-$C$3,$R472,1)*H472</f>
        <v>466112.43216738373</v>
      </c>
      <c r="U472" s="160">
        <f t="shared" si="538"/>
        <v>-544275.36601746152</v>
      </c>
      <c r="V472" s="159">
        <f>_xll.xSPRDOPT($L472,$J472,$I472,$M472,$O472,$N472,$P472,$Q472-$C$3,$R472,2)*H472</f>
        <v>-536220.32217555388</v>
      </c>
      <c r="W472" s="159">
        <f t="shared" si="539"/>
        <v>-70107.890008170158</v>
      </c>
      <c r="X472" s="51" t="str">
        <f t="shared" si="517"/>
        <v>36861IF-TRANSCO/Z6</v>
      </c>
      <c r="Y472" s="418">
        <f t="shared" si="518"/>
        <v>-100</v>
      </c>
      <c r="Z472" s="456">
        <f t="shared" si="519"/>
        <v>-0.46611243216738374</v>
      </c>
      <c r="AA472" s="456">
        <f>_xll.xSPRDOPT($L472,$J472,$I472,$M472,$O472,$N472,$P472,$Q472-$C$3,$R472,3)</f>
        <v>0.29808769103853244</v>
      </c>
      <c r="AB472" s="456">
        <f>((_xll.xSPRDOPT($L472+AB$5,$J472,$I472,$M472,$O472,$N472,$P472,$Q472-$C$3,$R472,3)*$H472)/10000)/100</f>
        <v>-0.29808769103853239</v>
      </c>
      <c r="AC472" s="456">
        <f>((_xll.xSPRDOPT($L472+$AB$5,$J472,$I472,$M472,$O472,$N472,$P472,$Q472-$C$3,$R472,7)*$H472)/100)</f>
        <v>9591.0943045594558</v>
      </c>
      <c r="AD472" s="456">
        <f>(_xll.xSPRDOPT($L472+$AB$5,$J472,$I472,$M472,$O472,$N472,$P472,$Q472-$C$3,$R472,9)/365)*$H472</f>
        <v>2701.6574600303757</v>
      </c>
      <c r="AE472">
        <f t="shared" si="521"/>
        <v>0</v>
      </c>
      <c r="AF472" s="456">
        <f t="shared" si="522"/>
        <v>-8591.5919109490824</v>
      </c>
      <c r="AG472" s="456">
        <f>((_xll.xSPRDOPT($L472,$J472,$I472,$M472,$O472,$N472,$P472,$Q472-$C$3,$R472,6)*$H472)/100)</f>
        <v>2888.3915705862723</v>
      </c>
      <c r="AH472" s="456">
        <f>((_xll.xSPRDOPT($L472,$J472,$I472,$M472,$O472,$N472,$P472,$Q472-$C$3,$R472,5)*$H472)/100)</f>
        <v>-9982.5943317698748</v>
      </c>
      <c r="AI472" s="456">
        <f>(((_xll.xSPRDOPT($L472,$J472,$I472,$M472,$O472,$N472,$P472,$Q472-$C$3,$R472,4)*$H472)/10000)/100)-AB472</f>
        <v>4.0940080665019529E-6</v>
      </c>
      <c r="AJ472" s="456"/>
      <c r="AK472" s="456"/>
      <c r="AL472" s="456"/>
      <c r="AM472" s="472"/>
      <c r="CC472" s="141">
        <f t="shared" si="540"/>
        <v>36861</v>
      </c>
      <c r="CD472" s="234">
        <f>_xll.xSPRDOPT((VLOOKUP(G472,NGPrices,2,FALSE)+HLOOKUP(D472,Prices,VLOOKUP(G472,move_down,2,FALSE),FALSE)),VLOOKUP(G472,NGPrices,2,FALSE),I472,VLOOKUP(G472,NGPREVPRICES,4,FALSE),HLOOKUP(D472,PREVVOLS,VLOOKUP(G472,MOVE_DOWN2,2,FALSE),FALSE),VLOOKUP(G472,NGPREVPRICES,3,FALSE),HLOOKUP(D472,Correllate,VLOOKUP(G472,CorMove,2,FALSE),FALSE),Q472-$CD$3,R472,$CD$5)*H472-CJ472</f>
        <v>0</v>
      </c>
      <c r="CE472" s="234">
        <f>_xll.xSPRDOPT((VLOOKUP(G472,NGPREVPRICES,2,FALSE)+HLOOKUP(D472,PREVCURVES,VLOOKUP(G472,MOVE_DOWN2,2,FALSE),FALSE)),VLOOKUP(G472,NGPREVPRICES,2,FALSE),CK472,VLOOKUP(G472,NGPrices,4,FALSE),HLOOKUP(D472,PREVVOLS,VLOOKUP(G472,MOVE_DOWN2,2,FALSE),FALSE),VLOOKUP(G472,NGPREVPRICES,3,FALSE),HLOOKUP(D472,Correllate,VLOOKUP(G472,CorMove,2,FALSE),FALSE),Q472-$CD$3,R472,$CJ$5)*H472-CJ472</f>
        <v>0</v>
      </c>
      <c r="CF472" s="10">
        <f t="shared" si="541"/>
        <v>102.46768013841938</v>
      </c>
      <c r="CG472" s="234">
        <f>_xll.xSPRDOPT((VLOOKUP(G472,NGPREVPRICES,2,FALSE)+HLOOKUP(D472,PREVCURVES,VLOOKUP(G472,MOVE_DOWN2,2,FALSE),FALSE)),VLOOKUP(G472,NGPREVPRICES,2,FALSE),CK472,VLOOKUP(G472,NGPREVPRICES,4,FALSE),HLOOKUP(D472,VOLS,VLOOKUP(G472,move_down,2,FALSE),FALSE),VLOOKUP(G472,NGPrices,3,FALSE),HLOOKUP(D472,Correllate,VLOOKUP(G472,CorMove,2,FALSE),FALSE),Q472-$CD$3,R472,$CJ$5)*H472-CJ472</f>
        <v>0</v>
      </c>
      <c r="CH472" s="234">
        <f>_xll.xSPRDOPT((VLOOKUP(G472,NGPREVPRICES,2,FALSE)+HLOOKUP(D472,PREVCURVES,VLOOKUP(G472,MOVE_DOWN2,2,FALSE),FALSE)),VLOOKUP(G472,NGPREVPRICES,2,FALSE),CK472,VLOOKUP(G472,NGPREVPRICES,4,FALSE),HLOOKUP(D472,PREVVOLS,VLOOKUP(G472,MOVE_DOWN2,2,FALSE),FALSE),VLOOKUP(G472,NGPREVPRICES,3,FALSE),HLOOKUP(D472,Correllate,VLOOKUP(G472,CorMove,2,FALSE),FALSE),Q472-$C$3,R472,$CJ$5)*H472-CJ472</f>
        <v>2691.6967569207773</v>
      </c>
      <c r="CI472" s="234">
        <f t="shared" si="542"/>
        <v>2794.1644370591966</v>
      </c>
      <c r="CJ472" s="234">
        <f>_xll.xSPRDOPT((VLOOKUP(G472,NGPREVPRICES,2,FALSE)+HLOOKUP(D472,PREVCURVES,VLOOKUP(G472,MOVE_DOWN2,2,FALSE),FALSE)),VLOOKUP(G472,NGPREVPRICES,2,FALSE),CK472,VLOOKUP(G472,NGPREVPRICES,4,FALSE),HLOOKUP(D472,PREVVOLS,VLOOKUP(G472,MOVE_DOWN2,2,FALSE),FALSE),VLOOKUP(G472,NGPREVPRICES,3,FALSE),HLOOKUP(D472,Correllate,VLOOKUP(G472,CorMove,2,FALSE),FALSE),Q472-$CD$3,R472,$CJ$5)*H472</f>
        <v>-546967.0627743823</v>
      </c>
      <c r="CK472" s="235">
        <f t="shared" si="543"/>
        <v>1.7</v>
      </c>
      <c r="CM472" t="str">
        <f t="shared" si="544"/>
        <v>36861Curve Shift/Gamma</v>
      </c>
      <c r="CN472" t="str">
        <f t="shared" si="499"/>
        <v>36861Rho</v>
      </c>
      <c r="CO472" t="str">
        <f t="shared" si="500"/>
        <v>36861Drift</v>
      </c>
      <c r="CP472" t="str">
        <f t="shared" si="501"/>
        <v>36861Vega</v>
      </c>
      <c r="CQ472" t="str">
        <f t="shared" si="502"/>
        <v>36861Theta</v>
      </c>
    </row>
    <row r="473" spans="1:95" x14ac:dyDescent="0.25">
      <c r="A473" s="140" t="s">
        <v>279</v>
      </c>
      <c r="B473" t="s">
        <v>250</v>
      </c>
      <c r="C473" t="s">
        <v>505</v>
      </c>
      <c r="D473" s="4" t="s">
        <v>7</v>
      </c>
      <c r="E473" t="s">
        <v>20</v>
      </c>
      <c r="F473" t="s">
        <v>1</v>
      </c>
      <c r="G473" s="5">
        <v>36831</v>
      </c>
      <c r="H473" s="130">
        <v>-1000000</v>
      </c>
      <c r="I473">
        <v>1.7</v>
      </c>
      <c r="J473" s="53">
        <f t="shared" si="523"/>
        <v>4.7359999999999998</v>
      </c>
      <c r="K473" s="7">
        <f t="shared" si="524"/>
        <v>0.77</v>
      </c>
      <c r="L473" s="53">
        <f t="shared" si="525"/>
        <v>5.5060000000000002</v>
      </c>
      <c r="M473" s="157">
        <f t="shared" si="533"/>
        <v>6.810675983792E-2</v>
      </c>
      <c r="N473" s="4">
        <f t="shared" si="534"/>
        <v>0.59499999999999997</v>
      </c>
      <c r="O473" s="4">
        <f t="shared" si="535"/>
        <v>0.625</v>
      </c>
      <c r="P473" s="9">
        <f t="shared" si="536"/>
        <v>0.89</v>
      </c>
      <c r="Q473" s="5">
        <f t="shared" si="520"/>
        <v>36829</v>
      </c>
      <c r="R473" s="4">
        <f t="shared" si="537"/>
        <v>0</v>
      </c>
      <c r="S473" s="158">
        <f>_xll.xSPRDOPT($L473,$J473,$I473,$M473,$O473,$N473,$P473,$Q473-$C$3,$R473,0)</f>
        <v>0.95800647214848555</v>
      </c>
      <c r="T473" s="159">
        <f>_xll.xSPRDOPT($L473,$J473,$I473,$M473,$O473,$N473,$P473,$Q473-$C$3,$R473,1)*H473</f>
        <v>868273.7239540898</v>
      </c>
      <c r="U473" s="160">
        <f t="shared" si="538"/>
        <v>-958006.4721484856</v>
      </c>
      <c r="V473" s="159">
        <f>_xll.xSPRDOPT($L473,$J473,$I473,$M473,$O473,$N473,$P473,$Q473-$C$3,$R473,2)*H473</f>
        <v>-887897.31050461764</v>
      </c>
      <c r="W473" s="159">
        <f t="shared" si="539"/>
        <v>-19623.586550527834</v>
      </c>
      <c r="X473" s="51" t="str">
        <f t="shared" si="517"/>
        <v>36831IF-TRANSCO/Z6</v>
      </c>
      <c r="Y473" s="418">
        <f t="shared" si="518"/>
        <v>-100</v>
      </c>
      <c r="Z473" s="456">
        <f t="shared" si="519"/>
        <v>-0.86827372395408975</v>
      </c>
      <c r="AA473" s="456">
        <f>_xll.xSPRDOPT($L473,$J473,$I473,$M473,$O473,$N473,$P473,$Q473-$C$3,$R473,3)</f>
        <v>0.28935113951239921</v>
      </c>
      <c r="AB473" s="456">
        <f>((_xll.xSPRDOPT($L473+AB$5,$J473,$I473,$M473,$O473,$N473,$P473,$Q473-$C$3,$R473,3)*$H473)/10000)/100</f>
        <v>-0.28935113951239921</v>
      </c>
      <c r="AC473" s="456">
        <f>((_xll.xSPRDOPT($L473+$AB$5,$J473,$I473,$M473,$O473,$N473,$P473,$Q473-$C$3,$R473,7)*$H473)/100)</f>
        <v>4198.5983330425552</v>
      </c>
      <c r="AD473" s="456">
        <f>(_xll.xSPRDOPT($L473+$AB$5,$J473,$I473,$M473,$O473,$N473,$P473,$Q473-$C$3,$R473,9)/365)*$H473</f>
        <v>936.59444586644702</v>
      </c>
      <c r="AE473">
        <f t="shared" si="521"/>
        <v>0</v>
      </c>
      <c r="AF473" s="456">
        <f t="shared" si="522"/>
        <v>-2322.8412752932663</v>
      </c>
      <c r="AG473" s="456">
        <f>((_xll.xSPRDOPT($L473,$J473,$I473,$M473,$O473,$N473,$P473,$Q473-$C$3,$R473,6)*$H473)/100)</f>
        <v>1172.4526828328435</v>
      </c>
      <c r="AH473" s="456">
        <f>((_xll.xSPRDOPT($L473,$J473,$I473,$M473,$O473,$N473,$P473,$Q473-$C$3,$R473,5)*$H473)/100)</f>
        <v>-3327.5198481360562</v>
      </c>
      <c r="AI473" s="456">
        <f>(((_xll.xSPRDOPT($L473,$J473,$I473,$M473,$O473,$N473,$P473,$Q473-$C$3,$R473,4)*$H473)/10000)/100)-AB473</f>
        <v>6.3877827963317285E-2</v>
      </c>
      <c r="AJ473" s="456"/>
      <c r="AK473" s="456"/>
      <c r="AL473" s="456"/>
      <c r="AM473" s="472"/>
      <c r="CC473" s="141">
        <f t="shared" si="540"/>
        <v>36831</v>
      </c>
      <c r="CD473" s="234">
        <f>_xll.xSPRDOPT((VLOOKUP(G473,NGPrices,2,FALSE)+HLOOKUP(D473,Prices,VLOOKUP(G473,move_down,2,FALSE),FALSE)),VLOOKUP(G473,NGPrices,2,FALSE),I473,VLOOKUP(G473,NGPREVPRICES,4,FALSE),HLOOKUP(D473,PREVVOLS,VLOOKUP(G473,MOVE_DOWN2,2,FALSE),FALSE),VLOOKUP(G473,NGPREVPRICES,3,FALSE),HLOOKUP(D473,Correllate,VLOOKUP(G473,CorMove,2,FALSE),FALSE),Q473-$CD$3,R473,$CD$5)*H473-CJ473</f>
        <v>0</v>
      </c>
      <c r="CE473" s="234">
        <f>_xll.xSPRDOPT((VLOOKUP(G473,NGPREVPRICES,2,FALSE)+HLOOKUP(D473,PREVCURVES,VLOOKUP(G473,MOVE_DOWN2,2,FALSE),FALSE)),VLOOKUP(G473,NGPREVPRICES,2,FALSE),CK473,VLOOKUP(G473,NGPrices,4,FALSE),HLOOKUP(D473,PREVVOLS,VLOOKUP(G473,MOVE_DOWN2,2,FALSE),FALSE),VLOOKUP(G473,NGPREVPRICES,3,FALSE),HLOOKUP(D473,Correllate,VLOOKUP(G473,CorMove,2,FALSE),FALSE),Q473-$CD$3,R473,$CJ$5)*H473-CJ473</f>
        <v>0</v>
      </c>
      <c r="CF473" s="10">
        <f t="shared" si="541"/>
        <v>178.08621614705771</v>
      </c>
      <c r="CG473" s="234">
        <f>_xll.xSPRDOPT((VLOOKUP(G473,NGPREVPRICES,2,FALSE)+HLOOKUP(D473,PREVCURVES,VLOOKUP(G473,MOVE_DOWN2,2,FALSE),FALSE)),VLOOKUP(G473,NGPREVPRICES,2,FALSE),CK473,VLOOKUP(G473,NGPREVPRICES,4,FALSE),HLOOKUP(D473,VOLS,VLOOKUP(G473,move_down,2,FALSE),FALSE),VLOOKUP(G473,NGPrices,3,FALSE),HLOOKUP(D473,Correllate,VLOOKUP(G473,CorMove,2,FALSE),FALSE),Q473-$CD$3,R473,$CJ$5)*H473-CJ473</f>
        <v>0</v>
      </c>
      <c r="CH473" s="234">
        <f>_xll.xSPRDOPT((VLOOKUP(G473,NGPREVPRICES,2,FALSE)+HLOOKUP(D473,PREVCURVES,VLOOKUP(G473,MOVE_DOWN2,2,FALSE),FALSE)),VLOOKUP(G473,NGPREVPRICES,2,FALSE),CK473,VLOOKUP(G473,NGPREVPRICES,4,FALSE),HLOOKUP(D473,PREVVOLS,VLOOKUP(G473,MOVE_DOWN2,2,FALSE),FALSE),VLOOKUP(G473,NGPREVPRICES,3,FALSE),HLOOKUP(D473,Correllate,VLOOKUP(G473,CorMove,2,FALSE),FALSE),Q473-$C$3,R473,$CJ$5)*H473-CJ473</f>
        <v>938.10320081864484</v>
      </c>
      <c r="CI473" s="234">
        <f t="shared" si="542"/>
        <v>1116.1894169657025</v>
      </c>
      <c r="CJ473" s="234">
        <f>_xll.xSPRDOPT((VLOOKUP(G473,NGPREVPRICES,2,FALSE)+HLOOKUP(D473,PREVCURVES,VLOOKUP(G473,MOVE_DOWN2,2,FALSE),FALSE)),VLOOKUP(G473,NGPREVPRICES,2,FALSE),CK473,VLOOKUP(G473,NGPREVPRICES,4,FALSE),HLOOKUP(D473,PREVVOLS,VLOOKUP(G473,MOVE_DOWN2,2,FALSE),FALSE),VLOOKUP(G473,NGPREVPRICES,3,FALSE),HLOOKUP(D473,Correllate,VLOOKUP(G473,CorMove,2,FALSE),FALSE),Q473-$CD$3,R473,$CJ$5)*H473</f>
        <v>-958944.57534930424</v>
      </c>
      <c r="CK473" s="235">
        <f t="shared" si="543"/>
        <v>1.7</v>
      </c>
      <c r="CM473" t="str">
        <f t="shared" si="544"/>
        <v>36831Curve Shift/Gamma</v>
      </c>
      <c r="CN473" t="str">
        <f t="shared" si="499"/>
        <v>36831Rho</v>
      </c>
      <c r="CO473" t="str">
        <f t="shared" si="500"/>
        <v>36831Drift</v>
      </c>
      <c r="CP473" t="str">
        <f t="shared" si="501"/>
        <v>36831Vega</v>
      </c>
      <c r="CQ473" t="str">
        <f t="shared" si="502"/>
        <v>36831Theta</v>
      </c>
    </row>
    <row r="474" spans="1:95" x14ac:dyDescent="0.25">
      <c r="A474" s="140" t="s">
        <v>480</v>
      </c>
      <c r="B474" t="s">
        <v>250</v>
      </c>
      <c r="C474" t="s">
        <v>506</v>
      </c>
      <c r="D474" s="4" t="s">
        <v>74</v>
      </c>
      <c r="E474" t="s">
        <v>20</v>
      </c>
      <c r="F474" t="s">
        <v>21</v>
      </c>
      <c r="G474" s="5">
        <v>36951</v>
      </c>
      <c r="H474" s="130">
        <v>-155000</v>
      </c>
      <c r="I474">
        <v>0.15</v>
      </c>
      <c r="J474" s="53">
        <f t="shared" si="523"/>
        <v>4.2130000000000001</v>
      </c>
      <c r="K474" s="7">
        <f t="shared" si="524"/>
        <v>0.1225</v>
      </c>
      <c r="L474" s="53">
        <f t="shared" si="525"/>
        <v>4.3354999999999997</v>
      </c>
      <c r="M474" s="157">
        <f t="shared" si="533"/>
        <v>6.8879814952706994E-2</v>
      </c>
      <c r="N474" s="4">
        <f t="shared" si="534"/>
        <v>0.53249999999999997</v>
      </c>
      <c r="O474" s="4">
        <f t="shared" si="535"/>
        <v>0.53300000000000003</v>
      </c>
      <c r="P474" s="9">
        <f t="shared" si="536"/>
        <v>0.997</v>
      </c>
      <c r="Q474" s="5">
        <f t="shared" si="520"/>
        <v>36949</v>
      </c>
      <c r="R474" s="4">
        <f t="shared" si="537"/>
        <v>1</v>
      </c>
      <c r="S474" s="158">
        <f>_xll.xSPRDOPT($L474,$J474,$I474,$M474,$O474,$N474,$P474,$Q474-$C$3,$R474,0)</f>
        <v>4.0723005471356676E-2</v>
      </c>
      <c r="T474" s="159">
        <f>_xll.xSPRDOPT($L474,$J474,$I474,$M474,$O474,$N474,$P474,$Q474-$C$3,$R474,1)*H474</f>
        <v>-64571.166314393551</v>
      </c>
      <c r="U474" s="160">
        <f t="shared" si="538"/>
        <v>-6312.0658480602851</v>
      </c>
      <c r="V474" s="159">
        <f>_xll.xSPRDOPT($L474,$J474,$I474,$M474,$O474,$N474,$P474,$Q474-$C$3,$R474,2)*H474</f>
        <v>63001.770140242072</v>
      </c>
      <c r="W474" s="159">
        <f t="shared" si="539"/>
        <v>-1569.3961741514795</v>
      </c>
      <c r="X474" s="51" t="str">
        <f t="shared" si="517"/>
        <v>36951NGI/CHI. GATE</v>
      </c>
      <c r="Y474" s="418">
        <f t="shared" si="518"/>
        <v>-15.5</v>
      </c>
      <c r="Z474" s="456">
        <f t="shared" si="519"/>
        <v>0.41658816977028096</v>
      </c>
      <c r="AA474" s="456">
        <f>_xll.xSPRDOPT($L474,$J474,$I474,$M474,$O474,$N474,$P474,$Q474-$C$3,$R474,3)</f>
        <v>2.7889064827494936</v>
      </c>
      <c r="AB474" s="456">
        <f>((_xll.xSPRDOPT($L474+AB$5,$J474,$I474,$M474,$O474,$N474,$P474,$Q474-$C$3,$R474,3)*$H474)/10000)/100</f>
        <v>-0.43228050482617147</v>
      </c>
      <c r="AC474" s="456">
        <f>((_xll.xSPRDOPT($L474+$AB$5,$J474,$I474,$M474,$O474,$N474,$P474,$Q474-$C$3,$R474,7)*$H474)/100)</f>
        <v>11117.200610768956</v>
      </c>
      <c r="AD474" s="456">
        <f>(_xll.xSPRDOPT($L474+$AB$5,$J474,$I474,$M474,$O474,$N474,$P474,$Q474-$C$3,$R474,9)/365)*$H474</f>
        <v>21.05514251289652</v>
      </c>
      <c r="AE474">
        <f t="shared" si="521"/>
        <v>0</v>
      </c>
      <c r="AF474" s="456">
        <f t="shared" si="522"/>
        <v>-151.96452751142021</v>
      </c>
      <c r="AG474" s="456">
        <f>((_xll.xSPRDOPT($L474,$J474,$I474,$M474,$O474,$N474,$P474,$Q474-$C$3,$R474,6)*$H474)/100)</f>
        <v>633.61245872812844</v>
      </c>
      <c r="AH474" s="456">
        <f>((_xll.xSPRDOPT($L474,$J474,$I474,$M474,$O474,$N474,$P474,$Q474-$C$3,$R474,5)*$H474)/100)</f>
        <v>-784.84004722806674</v>
      </c>
      <c r="AI474" s="456">
        <f>(((_xll.xSPRDOPT($L474,$J474,$I474,$M474,$O474,$N474,$P474,$Q474-$C$3,$R474,4)*$H474)/10000)/100)-AB474</f>
        <v>3.769088298460288E-3</v>
      </c>
      <c r="AJ474" s="456"/>
      <c r="AK474" s="456"/>
      <c r="AL474" s="456"/>
      <c r="AM474" s="472"/>
      <c r="CC474" s="141">
        <f t="shared" si="540"/>
        <v>36951</v>
      </c>
      <c r="CD474" s="234">
        <f>_xll.xSPRDOPT((VLOOKUP(G474,NGPrices,2,FALSE)+HLOOKUP(D474,Prices,VLOOKUP(G474,move_down,2,FALSE),FALSE)),VLOOKUP(G474,NGPrices,2,FALSE),I474,VLOOKUP(G474,NGPREVPRICES,4,FALSE),HLOOKUP(D474,PREVVOLS,VLOOKUP(G474,MOVE_DOWN2,2,FALSE),FALSE),VLOOKUP(G474,NGPREVPRICES,3,FALSE),HLOOKUP(D474,Correllate,VLOOKUP(G474,CorMove,2,FALSE),FALSE),Q474-$CD$3,R474,$CD$5)*H474-CJ474</f>
        <v>0</v>
      </c>
      <c r="CE474" s="234">
        <f>_xll.xSPRDOPT((VLOOKUP(G474,NGPREVPRICES,2,FALSE)+HLOOKUP(D474,PREVCURVES,VLOOKUP(G474,MOVE_DOWN2,2,FALSE),FALSE)),VLOOKUP(G474,NGPREVPRICES,2,FALSE),CK474,VLOOKUP(G474,NGPrices,4,FALSE),HLOOKUP(D474,PREVVOLS,VLOOKUP(G474,MOVE_DOWN2,2,FALSE),FALSE),VLOOKUP(G474,NGPREVPRICES,3,FALSE),HLOOKUP(D474,Correllate,VLOOKUP(G474,CorMove,2,FALSE),FALSE),Q474-$CD$3,R474,$CJ$5)*H474-CJ474</f>
        <v>0</v>
      </c>
      <c r="CF474" s="10">
        <f t="shared" si="541"/>
        <v>1.2145889087514661</v>
      </c>
      <c r="CG474" s="234">
        <f>_xll.xSPRDOPT((VLOOKUP(G474,NGPREVPRICES,2,FALSE)+HLOOKUP(D474,PREVCURVES,VLOOKUP(G474,MOVE_DOWN2,2,FALSE),FALSE)),VLOOKUP(G474,NGPREVPRICES,2,FALSE),CK474,VLOOKUP(G474,NGPREVPRICES,4,FALSE),HLOOKUP(D474,VOLS,VLOOKUP(G474,move_down,2,FALSE),FALSE),VLOOKUP(G474,NGPrices,3,FALSE),HLOOKUP(D474,Correllate,VLOOKUP(G474,CorMove,2,FALSE),FALSE),Q474-$CD$3,R474,$CJ$5)*H474-CJ474</f>
        <v>0</v>
      </c>
      <c r="CH474" s="234">
        <f>_xll.xSPRDOPT((VLOOKUP(G474,NGPREVPRICES,2,FALSE)+HLOOKUP(D474,PREVCURVES,VLOOKUP(G474,MOVE_DOWN2,2,FALSE),FALSE)),VLOOKUP(G474,NGPREVPRICES,2,FALSE),CK474,VLOOKUP(G474,NGPREVPRICES,4,FALSE),HLOOKUP(D474,PREVVOLS,VLOOKUP(G474,MOVE_DOWN2,2,FALSE),FALSE),VLOOKUP(G474,NGPREVPRICES,3,FALSE),HLOOKUP(D474,Correllate,VLOOKUP(G474,CorMove,2,FALSE),FALSE),Q474-$C$3,R474,$CJ$5)*H474-CJ474</f>
        <v>21.007932222605632</v>
      </c>
      <c r="CI474" s="234">
        <f t="shared" si="542"/>
        <v>22.222521131357098</v>
      </c>
      <c r="CJ474" s="234">
        <f>_xll.xSPRDOPT((VLOOKUP(G474,NGPREVPRICES,2,FALSE)+HLOOKUP(D474,PREVCURVES,VLOOKUP(G474,MOVE_DOWN2,2,FALSE),FALSE)),VLOOKUP(G474,NGPREVPRICES,2,FALSE),CK474,VLOOKUP(G474,NGPREVPRICES,4,FALSE),HLOOKUP(D474,PREVVOLS,VLOOKUP(G474,MOVE_DOWN2,2,FALSE),FALSE),VLOOKUP(G474,NGPREVPRICES,3,FALSE),HLOOKUP(D474,Correllate,VLOOKUP(G474,CorMove,2,FALSE),FALSE),Q474-$CD$3,R474,$CJ$5)*H474</f>
        <v>-6333.0737802828908</v>
      </c>
      <c r="CK474" s="235">
        <f t="shared" si="543"/>
        <v>0.15</v>
      </c>
      <c r="CM474" t="str">
        <f t="shared" si="544"/>
        <v>36951Curve Shift/Gamma</v>
      </c>
      <c r="CN474" t="str">
        <f t="shared" si="499"/>
        <v>36951Rho</v>
      </c>
      <c r="CO474" t="str">
        <f t="shared" si="500"/>
        <v>36951Drift</v>
      </c>
      <c r="CP474" t="str">
        <f t="shared" si="501"/>
        <v>36951Vega</v>
      </c>
      <c r="CQ474" t="str">
        <f t="shared" si="502"/>
        <v>36951Theta</v>
      </c>
    </row>
    <row r="475" spans="1:95" x14ac:dyDescent="0.25">
      <c r="A475" s="140" t="s">
        <v>480</v>
      </c>
      <c r="B475" t="s">
        <v>250</v>
      </c>
      <c r="C475" t="s">
        <v>506</v>
      </c>
      <c r="D475" s="4" t="s">
        <v>74</v>
      </c>
      <c r="E475" t="s">
        <v>20</v>
      </c>
      <c r="F475" t="s">
        <v>21</v>
      </c>
      <c r="G475" s="5">
        <v>36923</v>
      </c>
      <c r="H475" s="130">
        <v>-140000</v>
      </c>
      <c r="I475">
        <v>0.15</v>
      </c>
      <c r="J475" s="53">
        <f t="shared" si="523"/>
        <v>4.4800000000000004</v>
      </c>
      <c r="K475" s="7">
        <f t="shared" si="524"/>
        <v>0.13750000000000001</v>
      </c>
      <c r="L475" s="53">
        <f t="shared" si="525"/>
        <v>4.6175000000000006</v>
      </c>
      <c r="M475" s="157">
        <f t="shared" si="533"/>
        <v>6.8640161611372E-2</v>
      </c>
      <c r="N475" s="4">
        <f t="shared" si="534"/>
        <v>0.59250000000000003</v>
      </c>
      <c r="O475" s="4">
        <f t="shared" si="535"/>
        <v>0.59299999999999997</v>
      </c>
      <c r="P475" s="9">
        <f t="shared" si="536"/>
        <v>0.997</v>
      </c>
      <c r="Q475" s="5">
        <f t="shared" si="520"/>
        <v>36921</v>
      </c>
      <c r="R475" s="4">
        <f t="shared" si="537"/>
        <v>1</v>
      </c>
      <c r="S475" s="158">
        <f>_xll.xSPRDOPT($L475,$J475,$I475,$M475,$O475,$N475,$P475,$Q475-$C$3,$R475,0)</f>
        <v>5.1601903862221528E-2</v>
      </c>
      <c r="T475" s="159">
        <f>_xll.xSPRDOPT($L475,$J475,$I475,$M475,$O475,$N475,$P475,$Q475-$C$3,$R475,1)*H475</f>
        <v>-64842.486731537138</v>
      </c>
      <c r="U475" s="160">
        <f t="shared" si="538"/>
        <v>-7224.2665407110135</v>
      </c>
      <c r="V475" s="159">
        <f>_xll.xSPRDOPT($L475,$J475,$I475,$M475,$O475,$N475,$P475,$Q475-$C$3,$R475,2)*H475</f>
        <v>63352.742517692641</v>
      </c>
      <c r="W475" s="159">
        <f t="shared" si="539"/>
        <v>-1489.7442138444967</v>
      </c>
      <c r="X475" s="51" t="str">
        <f t="shared" si="517"/>
        <v>36923NGI/CHI. GATE</v>
      </c>
      <c r="Y475" s="418">
        <f t="shared" si="518"/>
        <v>-14</v>
      </c>
      <c r="Z475" s="456">
        <f t="shared" si="519"/>
        <v>0.46316061951097953</v>
      </c>
      <c r="AA475" s="456">
        <f>_xll.xSPRDOPT($L475,$J475,$I475,$M475,$O475,$N475,$P475,$Q475-$C$3,$R475,3)</f>
        <v>2.6234575744327917</v>
      </c>
      <c r="AB475" s="456">
        <f>((_xll.xSPRDOPT($L475+AB$5,$J475,$I475,$M475,$O475,$N475,$P475,$Q475-$C$3,$R475,3)*$H475)/10000)/100</f>
        <v>-0.36728406042059086</v>
      </c>
      <c r="AC475" s="456">
        <f>((_xll.xSPRDOPT($L475+$AB$5,$J475,$I475,$M475,$O475,$N475,$P475,$Q475-$C$3,$R475,7)*$H475)/100)</f>
        <v>11239.061169372009</v>
      </c>
      <c r="AD475" s="456">
        <f>(_xll.xSPRDOPT($L475+$AB$5,$J475,$I475,$M475,$O475,$N475,$P475,$Q475-$C$3,$R475,9)/365)*$H475</f>
        <v>24.847880508340118</v>
      </c>
      <c r="AE475">
        <f t="shared" si="521"/>
        <v>0</v>
      </c>
      <c r="AF475" s="456">
        <f t="shared" si="522"/>
        <v>-136.13600176878947</v>
      </c>
      <c r="AG475" s="456">
        <f>((_xll.xSPRDOPT($L475,$J475,$I475,$M475,$O475,$N475,$P475,$Q475-$C$3,$R475,6)*$H475)/100)</f>
        <v>547.88001726274456</v>
      </c>
      <c r="AH475" s="456">
        <f>((_xll.xSPRDOPT($L475,$J475,$I475,$M475,$O475,$N475,$P475,$Q475-$C$3,$R475,5)*$H475)/100)</f>
        <v>-683.43927702560529</v>
      </c>
      <c r="AI475" s="456">
        <f>(((_xll.xSPRDOPT($L475,$J475,$I475,$M475,$O475,$N475,$P475,$Q475-$C$3,$R475,4)*$H475)/10000)/100)-AB475</f>
        <v>1.019452406138599E-3</v>
      </c>
      <c r="AJ475" s="456"/>
      <c r="AK475" s="456"/>
      <c r="AL475" s="456"/>
      <c r="AM475" s="472"/>
      <c r="CC475" s="141">
        <f t="shared" si="540"/>
        <v>36923</v>
      </c>
      <c r="CD475" s="234">
        <f>_xll.xSPRDOPT((VLOOKUP(G475,NGPrices,2,FALSE)+HLOOKUP(D475,Prices,VLOOKUP(G475,move_down,2,FALSE),FALSE)),VLOOKUP(G475,NGPrices,2,FALSE),I475,VLOOKUP(G475,NGPREVPRICES,4,FALSE),HLOOKUP(D475,PREVVOLS,VLOOKUP(G475,MOVE_DOWN2,2,FALSE),FALSE),VLOOKUP(G475,NGPREVPRICES,3,FALSE),HLOOKUP(D475,Correllate,VLOOKUP(G475,CorMove,2,FALSE),FALSE),Q475-$CD$3,R475,$CD$5)*H475-CJ475</f>
        <v>0</v>
      </c>
      <c r="CE475" s="234">
        <f>_xll.xSPRDOPT((VLOOKUP(G475,NGPREVPRICES,2,FALSE)+HLOOKUP(D475,PREVCURVES,VLOOKUP(G475,MOVE_DOWN2,2,FALSE),FALSE)),VLOOKUP(G475,NGPREVPRICES,2,FALSE),CK475,VLOOKUP(G475,NGPrices,4,FALSE),HLOOKUP(D475,PREVVOLS,VLOOKUP(G475,MOVE_DOWN2,2,FALSE),FALSE),VLOOKUP(G475,NGPREVPRICES,3,FALSE),HLOOKUP(D475,Correllate,VLOOKUP(G475,CorMove,2,FALSE),FALSE),Q475-$CD$3,R475,$CJ$5)*H475-CJ475</f>
        <v>0</v>
      </c>
      <c r="CF475" s="10">
        <f t="shared" si="541"/>
        <v>1.3786859424844806</v>
      </c>
      <c r="CG475" s="234">
        <f>_xll.xSPRDOPT((VLOOKUP(G475,NGPREVPRICES,2,FALSE)+HLOOKUP(D475,PREVCURVES,VLOOKUP(G475,MOVE_DOWN2,2,FALSE),FALSE)),VLOOKUP(G475,NGPREVPRICES,2,FALSE),CK475,VLOOKUP(G475,NGPREVPRICES,4,FALSE),HLOOKUP(D475,VOLS,VLOOKUP(G475,move_down,2,FALSE),FALSE),VLOOKUP(G475,NGPrices,3,FALSE),HLOOKUP(D475,Correllate,VLOOKUP(G475,CorMove,2,FALSE),FALSE),Q475-$CD$3,R475,$CJ$5)*H475-CJ475</f>
        <v>0</v>
      </c>
      <c r="CH475" s="234">
        <f>_xll.xSPRDOPT((VLOOKUP(G475,NGPREVPRICES,2,FALSE)+HLOOKUP(D475,PREVCURVES,VLOOKUP(G475,MOVE_DOWN2,2,FALSE),FALSE)),VLOOKUP(G475,NGPREVPRICES,2,FALSE),CK475,VLOOKUP(G475,NGPREVPRICES,4,FALSE),HLOOKUP(D475,PREVVOLS,VLOOKUP(G475,MOVE_DOWN2,2,FALSE),FALSE),VLOOKUP(G475,NGPREVPRICES,3,FALSE),HLOOKUP(D475,Correllate,VLOOKUP(G475,CorMove,2,FALSE),FALSE),Q475-$C$3,R475,$CJ$5)*H475-CJ475</f>
        <v>24.784739693030133</v>
      </c>
      <c r="CI475" s="234">
        <f t="shared" si="542"/>
        <v>26.163425635514614</v>
      </c>
      <c r="CJ475" s="234">
        <f>_xll.xSPRDOPT((VLOOKUP(G475,NGPREVPRICES,2,FALSE)+HLOOKUP(D475,PREVCURVES,VLOOKUP(G475,MOVE_DOWN2,2,FALSE),FALSE)),VLOOKUP(G475,NGPREVPRICES,2,FALSE),CK475,VLOOKUP(G475,NGPREVPRICES,4,FALSE),HLOOKUP(D475,PREVVOLS,VLOOKUP(G475,MOVE_DOWN2,2,FALSE),FALSE),VLOOKUP(G475,NGPREVPRICES,3,FALSE),HLOOKUP(D475,Correllate,VLOOKUP(G475,CorMove,2,FALSE),FALSE),Q475-$CD$3,R475,$CJ$5)*H475</f>
        <v>-7249.0512804040436</v>
      </c>
      <c r="CK475" s="235">
        <f t="shared" si="543"/>
        <v>0.15</v>
      </c>
      <c r="CM475" t="str">
        <f t="shared" si="544"/>
        <v>36923Curve Shift/Gamma</v>
      </c>
      <c r="CN475" t="str">
        <f t="shared" si="499"/>
        <v>36923Rho</v>
      </c>
      <c r="CO475" t="str">
        <f t="shared" si="500"/>
        <v>36923Drift</v>
      </c>
      <c r="CP475" t="str">
        <f t="shared" si="501"/>
        <v>36923Vega</v>
      </c>
      <c r="CQ475" t="str">
        <f t="shared" si="502"/>
        <v>36923Theta</v>
      </c>
    </row>
    <row r="476" spans="1:95" x14ac:dyDescent="0.25">
      <c r="A476" s="140" t="s">
        <v>480</v>
      </c>
      <c r="B476" t="s">
        <v>250</v>
      </c>
      <c r="C476" t="s">
        <v>506</v>
      </c>
      <c r="D476" s="4" t="s">
        <v>74</v>
      </c>
      <c r="E476" t="s">
        <v>20</v>
      </c>
      <c r="F476" t="s">
        <v>21</v>
      </c>
      <c r="G476" s="5">
        <v>36892</v>
      </c>
      <c r="H476" s="130">
        <v>-155000</v>
      </c>
      <c r="I476">
        <v>0.15</v>
      </c>
      <c r="J476" s="53">
        <f t="shared" si="523"/>
        <v>4.7439999999999998</v>
      </c>
      <c r="K476" s="7">
        <f t="shared" si="524"/>
        <v>0.1275</v>
      </c>
      <c r="L476" s="53">
        <f t="shared" si="525"/>
        <v>4.8715000000000002</v>
      </c>
      <c r="M476" s="157">
        <f t="shared" si="533"/>
        <v>6.8374831148490994E-2</v>
      </c>
      <c r="N476" s="4">
        <f t="shared" si="534"/>
        <v>0.60499999999999998</v>
      </c>
      <c r="O476" s="4">
        <f t="shared" si="535"/>
        <v>0.60499999999999998</v>
      </c>
      <c r="P476" s="9">
        <f t="shared" si="536"/>
        <v>0.997</v>
      </c>
      <c r="Q476" s="5">
        <f t="shared" si="520"/>
        <v>36888</v>
      </c>
      <c r="R476" s="4">
        <f t="shared" si="537"/>
        <v>1</v>
      </c>
      <c r="S476" s="158">
        <f>_xll.xSPRDOPT($L476,$J476,$I476,$M476,$O476,$N476,$P476,$Q476-$C$3,$R476,0)</f>
        <v>4.428805516998615E-2</v>
      </c>
      <c r="T476" s="159">
        <f>_xll.xSPRDOPT($L476,$J476,$I476,$M476,$O476,$N476,$P476,$Q476-$C$3,$R476,1)*H476</f>
        <v>-67380.135095438804</v>
      </c>
      <c r="U476" s="160">
        <f t="shared" si="538"/>
        <v>-6864.6485513478528</v>
      </c>
      <c r="V476" s="159">
        <f>_xll.xSPRDOPT($L476,$J476,$I476,$M476,$O476,$N476,$P476,$Q476-$C$3,$R476,2)*H476</f>
        <v>65880.474557833106</v>
      </c>
      <c r="W476" s="159">
        <f t="shared" si="539"/>
        <v>-1499.6605376056978</v>
      </c>
      <c r="X476" s="51" t="str">
        <f t="shared" si="517"/>
        <v>36892NGI/CHI. GATE</v>
      </c>
      <c r="Y476" s="418">
        <f t="shared" si="518"/>
        <v>-15.5</v>
      </c>
      <c r="Z476" s="456">
        <f t="shared" si="519"/>
        <v>0.43471054900283101</v>
      </c>
      <c r="AA476" s="456">
        <f>_xll.xSPRDOPT($L476,$J476,$I476,$M476,$O476,$N476,$P476,$Q476-$C$3,$R476,3)</f>
        <v>2.7753049195088875</v>
      </c>
      <c r="AB476" s="456">
        <f>((_xll.xSPRDOPT($L476+AB$5,$J476,$I476,$M476,$O476,$N476,$P476,$Q476-$C$3,$R476,3)*$H476)/10000)/100</f>
        <v>-0.43017226252387758</v>
      </c>
      <c r="AC476" s="456">
        <f>((_xll.xSPRDOPT($L476+$AB$5,$J476,$I476,$M476,$O476,$N476,$P476,$Q476-$C$3,$R476,7)*$H476)/100)</f>
        <v>12013.345576705244</v>
      </c>
      <c r="AD476" s="456">
        <f>(_xll.xSPRDOPT($L476+$AB$5,$J476,$I476,$M476,$O476,$N476,$P476,$Q476-$C$3,$R476,9)/365)*$H476</f>
        <v>33.420995907459343</v>
      </c>
      <c r="AE476">
        <f t="shared" si="521"/>
        <v>0</v>
      </c>
      <c r="AF476" s="456">
        <f t="shared" si="522"/>
        <v>-138.73271203751676</v>
      </c>
      <c r="AG476" s="456">
        <f>((_xll.xSPRDOPT($L476,$J476,$I476,$M476,$O476,$N476,$P476,$Q476-$C$3,$R476,6)*$H476)/100)</f>
        <v>524.66096534292581</v>
      </c>
      <c r="AH476" s="456">
        <f>((_xll.xSPRDOPT($L476,$J476,$I476,$M476,$O476,$N476,$P476,$Q476-$C$3,$R476,5)*$H476)/100)</f>
        <v>-663.39367738044257</v>
      </c>
      <c r="AI476" s="456">
        <f>(((_xll.xSPRDOPT($L476,$J476,$I476,$M476,$O476,$N476,$P476,$Q476-$C$3,$R476,4)*$H476)/10000)/100)-AB476</f>
        <v>2.9055200851766938E-3</v>
      </c>
      <c r="AJ476" s="456"/>
      <c r="AK476" s="456"/>
      <c r="AL476" s="456"/>
      <c r="AM476" s="472"/>
      <c r="CC476" s="141">
        <f t="shared" si="540"/>
        <v>36892</v>
      </c>
      <c r="CD476" s="234">
        <f>_xll.xSPRDOPT((VLOOKUP(G476,NGPrices,2,FALSE)+HLOOKUP(D476,Prices,VLOOKUP(G476,move_down,2,FALSE),FALSE)),VLOOKUP(G476,NGPrices,2,FALSE),I476,VLOOKUP(G476,NGPREVPRICES,4,FALSE),HLOOKUP(D476,PREVVOLS,VLOOKUP(G476,MOVE_DOWN2,2,FALSE),FALSE),VLOOKUP(G476,NGPREVPRICES,3,FALSE),HLOOKUP(D476,Correllate,VLOOKUP(G476,CorMove,2,FALSE),FALSE),Q476-$CD$3,R476,$CD$5)*H476-CJ476</f>
        <v>0</v>
      </c>
      <c r="CE476" s="234">
        <f>_xll.xSPRDOPT((VLOOKUP(G476,NGPREVPRICES,2,FALSE)+HLOOKUP(D476,PREVCURVES,VLOOKUP(G476,MOVE_DOWN2,2,FALSE),FALSE)),VLOOKUP(G476,NGPREVPRICES,2,FALSE),CK476,VLOOKUP(G476,NGPrices,4,FALSE),HLOOKUP(D476,PREVVOLS,VLOOKUP(G476,MOVE_DOWN2,2,FALSE),FALSE),VLOOKUP(G476,NGPREVPRICES,3,FALSE),HLOOKUP(D476,Correllate,VLOOKUP(G476,CorMove,2,FALSE),FALSE),Q476-$CD$3,R476,$CJ$5)*H476-CJ476</f>
        <v>0</v>
      </c>
      <c r="CF476" s="10">
        <f t="shared" si="541"/>
        <v>1.2998618394321966</v>
      </c>
      <c r="CG476" s="234">
        <f>_xll.xSPRDOPT((VLOOKUP(G476,NGPREVPRICES,2,FALSE)+HLOOKUP(D476,PREVCURVES,VLOOKUP(G476,MOVE_DOWN2,2,FALSE),FALSE)),VLOOKUP(G476,NGPREVPRICES,2,FALSE),CK476,VLOOKUP(G476,NGPREVPRICES,4,FALSE),HLOOKUP(D476,VOLS,VLOOKUP(G476,move_down,2,FALSE),FALSE),VLOOKUP(G476,NGPrices,3,FALSE),HLOOKUP(D476,Correllate,VLOOKUP(G476,CorMove,2,FALSE),FALSE),Q476-$CD$3,R476,$CJ$5)*H476-CJ476</f>
        <v>0</v>
      </c>
      <c r="CH476" s="234">
        <f>_xll.xSPRDOPT((VLOOKUP(G476,NGPREVPRICES,2,FALSE)+HLOOKUP(D476,PREVCURVES,VLOOKUP(G476,MOVE_DOWN2,2,FALSE),FALSE)),VLOOKUP(G476,NGPREVPRICES,2,FALSE),CK476,VLOOKUP(G476,NGPREVPRICES,4,FALSE),HLOOKUP(D476,PREVVOLS,VLOOKUP(G476,MOVE_DOWN2,2,FALSE),FALSE),VLOOKUP(G476,NGPREVPRICES,3,FALSE),HLOOKUP(D476,Correllate,VLOOKUP(G476,CorMove,2,FALSE),FALSE),Q476-$C$3,R476,$CJ$5)*H476-CJ476</f>
        <v>33.3232646032302</v>
      </c>
      <c r="CI476" s="234">
        <f t="shared" si="542"/>
        <v>34.623126442662397</v>
      </c>
      <c r="CJ476" s="234">
        <f>_xll.xSPRDOPT((VLOOKUP(G476,NGPREVPRICES,2,FALSE)+HLOOKUP(D476,PREVCURVES,VLOOKUP(G476,MOVE_DOWN2,2,FALSE),FALSE)),VLOOKUP(G476,NGPREVPRICES,2,FALSE),CK476,VLOOKUP(G476,NGPREVPRICES,4,FALSE),HLOOKUP(D476,PREVVOLS,VLOOKUP(G476,MOVE_DOWN2,2,FALSE),FALSE),VLOOKUP(G476,NGPREVPRICES,3,FALSE),HLOOKUP(D476,Correllate,VLOOKUP(G476,CorMove,2,FALSE),FALSE),Q476-$CD$3,R476,$CJ$5)*H476</f>
        <v>-6897.971815951083</v>
      </c>
      <c r="CK476" s="235">
        <f t="shared" si="543"/>
        <v>0.15</v>
      </c>
      <c r="CM476" t="str">
        <f t="shared" si="544"/>
        <v>36892Curve Shift/Gamma</v>
      </c>
      <c r="CN476" t="str">
        <f t="shared" si="499"/>
        <v>36892Rho</v>
      </c>
      <c r="CO476" t="str">
        <f t="shared" si="500"/>
        <v>36892Drift</v>
      </c>
      <c r="CP476" t="str">
        <f t="shared" si="501"/>
        <v>36892Vega</v>
      </c>
      <c r="CQ476" t="str">
        <f t="shared" si="502"/>
        <v>36892Theta</v>
      </c>
    </row>
    <row r="477" spans="1:95" x14ac:dyDescent="0.25">
      <c r="A477" s="140" t="s">
        <v>480</v>
      </c>
      <c r="B477" t="s">
        <v>250</v>
      </c>
      <c r="C477" t="s">
        <v>506</v>
      </c>
      <c r="D477" s="4" t="s">
        <v>74</v>
      </c>
      <c r="E477" t="s">
        <v>20</v>
      </c>
      <c r="F477" t="s">
        <v>21</v>
      </c>
      <c r="G477" s="5">
        <v>36861</v>
      </c>
      <c r="H477" s="130">
        <v>-155000</v>
      </c>
      <c r="I477">
        <v>0.15</v>
      </c>
      <c r="J477" s="53">
        <f t="shared" si="523"/>
        <v>4.8</v>
      </c>
      <c r="K477" s="7">
        <f t="shared" si="524"/>
        <v>0.1</v>
      </c>
      <c r="L477" s="53">
        <f t="shared" si="525"/>
        <v>4.8999999999999995</v>
      </c>
      <c r="M477" s="157">
        <f t="shared" ref="M477:M482" si="545">VLOOKUP(G477,NGPrices,4,FALSE)</f>
        <v>6.8314027999354002E-2</v>
      </c>
      <c r="N477" s="4">
        <f t="shared" ref="N477:N482" si="546">VLOOKUP(G477,NGPrices,3,FALSE)</f>
        <v>0.6</v>
      </c>
      <c r="O477" s="4">
        <f t="shared" ref="O477:O482" si="547">HLOOKUP(D477,VOLS,VLOOKUP(G477,move_down,2,FALSE),FALSE)</f>
        <v>0.6</v>
      </c>
      <c r="P477" s="9">
        <f t="shared" ref="P477:P482" si="548">HLOOKUP(D477,Correllate,VLOOKUP(G477,CorMove,2,FALSE),FALSE)</f>
        <v>0.997</v>
      </c>
      <c r="Q477" s="5">
        <f t="shared" si="520"/>
        <v>36859</v>
      </c>
      <c r="R477" s="4">
        <f t="shared" ref="R477:R482" si="549">IF(F477="P",0,1)</f>
        <v>1</v>
      </c>
      <c r="S477" s="158">
        <f>_xll.xSPRDOPT($L477,$J477,$I477,$M477,$O477,$N477,$P477,$Q477-$C$3,$R477,0)</f>
        <v>2.7108270418358397E-2</v>
      </c>
      <c r="T477" s="159">
        <f>_xll.xSPRDOPT($L477,$J477,$I477,$M477,$O477,$N477,$P477,$Q477-$C$3,$R477,1)*H477</f>
        <v>-52897.494011376861</v>
      </c>
      <c r="U477" s="160">
        <f t="shared" ref="U477:U482" si="550">S477*H477</f>
        <v>-4201.7819148455519</v>
      </c>
      <c r="V477" s="159">
        <f>_xll.xSPRDOPT($L477,$J477,$I477,$M477,$O477,$N477,$P477,$Q477-$C$3,$R477,2)*H477</f>
        <v>51676.714359762344</v>
      </c>
      <c r="W477" s="159">
        <f t="shared" ref="W477:W482" si="551">+V477+T477</f>
        <v>-1220.7796516145172</v>
      </c>
      <c r="X477" s="51" t="str">
        <f t="shared" si="517"/>
        <v>36861NGI/CHI. GATE</v>
      </c>
      <c r="Y477" s="418">
        <f t="shared" si="518"/>
        <v>-15.5</v>
      </c>
      <c r="Z477" s="456">
        <f t="shared" si="519"/>
        <v>0.34127415491210877</v>
      </c>
      <c r="AA477" s="456">
        <f>_xll.xSPRDOPT($L477,$J477,$I477,$M477,$O477,$N477,$P477,$Q477-$C$3,$R477,3)</f>
        <v>3.010063694198406</v>
      </c>
      <c r="AB477" s="456">
        <f>((_xll.xSPRDOPT($L477+AB$5,$J477,$I477,$M477,$O477,$N477,$P477,$Q477-$C$3,$R477,3)*$H477)/10000)/100</f>
        <v>-0.46655987260075293</v>
      </c>
      <c r="AC477" s="456">
        <f>((_xll.xSPRDOPT($L477+$AB$5,$J477,$I477,$M477,$O477,$N477,$P477,$Q477-$C$3,$R477,7)*$H477)/100)</f>
        <v>9865.816551905149</v>
      </c>
      <c r="AD477" s="456">
        <f>(_xll.xSPRDOPT($L477+$AB$5,$J477,$I477,$M477,$O477,$N477,$P477,$Q477-$C$3,$R477,9)/365)*$H477</f>
        <v>36.307992142397261</v>
      </c>
      <c r="AE477">
        <f t="shared" si="521"/>
        <v>0</v>
      </c>
      <c r="AF477" s="456">
        <f t="shared" si="522"/>
        <v>-113.67829673315509</v>
      </c>
      <c r="AG477" s="456">
        <f>((_xll.xSPRDOPT($L477,$J477,$I477,$M477,$O477,$N477,$P477,$Q477-$C$3,$R477,6)*$H477)/100)</f>
        <v>422.29079709087841</v>
      </c>
      <c r="AH477" s="456">
        <f>((_xll.xSPRDOPT($L477,$J477,$I477,$M477,$O477,$N477,$P477,$Q477-$C$3,$R477,5)*$H477)/100)</f>
        <v>-535.96909382403351</v>
      </c>
      <c r="AI477" s="456">
        <f>(((_xll.xSPRDOPT($L477,$J477,$I477,$M477,$O477,$N477,$P477,$Q477-$C$3,$R477,4)*$H477)/10000)/100)-AB477</f>
        <v>7.8774790667963668E-3</v>
      </c>
      <c r="AJ477" s="456"/>
      <c r="AK477" s="456"/>
      <c r="AL477" s="456"/>
      <c r="AM477" s="472"/>
      <c r="CC477" s="141">
        <f t="shared" ref="CC477:CC486" si="552">G477</f>
        <v>36861</v>
      </c>
      <c r="CD477" s="234">
        <f>_xll.xSPRDOPT((VLOOKUP(G477,NGPrices,2,FALSE)+HLOOKUP(D477,Prices,VLOOKUP(G477,move_down,2,FALSE),FALSE)),VLOOKUP(G477,NGPrices,2,FALSE),I477,VLOOKUP(G477,NGPREVPRICES,4,FALSE),HLOOKUP(D477,PREVVOLS,VLOOKUP(G477,MOVE_DOWN2,2,FALSE),FALSE),VLOOKUP(G477,NGPREVPRICES,3,FALSE),HLOOKUP(D477,Correllate,VLOOKUP(G477,CorMove,2,FALSE),FALSE),Q477-$CD$3,R477,$CD$5)*H477-CJ477</f>
        <v>0</v>
      </c>
      <c r="CE477" s="234">
        <f>_xll.xSPRDOPT((VLOOKUP(G477,NGPREVPRICES,2,FALSE)+HLOOKUP(D477,PREVCURVES,VLOOKUP(G477,MOVE_DOWN2,2,FALSE),FALSE)),VLOOKUP(G477,NGPREVPRICES,2,FALSE),CK477,VLOOKUP(G477,NGPrices,4,FALSE),HLOOKUP(D477,PREVVOLS,VLOOKUP(G477,MOVE_DOWN2,2,FALSE),FALSE),VLOOKUP(G477,NGPREVPRICES,3,FALSE),HLOOKUP(D477,Correllate,VLOOKUP(G477,CorMove,2,FALSE),FALSE),Q477-$CD$3,R477,$CJ$5)*H477-CJ477</f>
        <v>0</v>
      </c>
      <c r="CF477" s="10">
        <f t="shared" ref="CF477:CF486" si="553">(CJ477/VLOOKUP(CC477,discount,3,FALSE))-(CJ477/VLOOKUP(CC477,discount,2,FALSE))</f>
        <v>0.79393366897511441</v>
      </c>
      <c r="CG477" s="234">
        <f>_xll.xSPRDOPT((VLOOKUP(G477,NGPREVPRICES,2,FALSE)+HLOOKUP(D477,PREVCURVES,VLOOKUP(G477,MOVE_DOWN2,2,FALSE),FALSE)),VLOOKUP(G477,NGPREVPRICES,2,FALSE),CK477,VLOOKUP(G477,NGPREVPRICES,4,FALSE),HLOOKUP(D477,VOLS,VLOOKUP(G477,move_down,2,FALSE),FALSE),VLOOKUP(G477,NGPrices,3,FALSE),HLOOKUP(D477,Correllate,VLOOKUP(G477,CorMove,2,FALSE),FALSE),Q477-$CD$3,R477,$CJ$5)*H477-CJ477</f>
        <v>0</v>
      </c>
      <c r="CH477" s="234">
        <f>_xll.xSPRDOPT((VLOOKUP(G477,NGPREVPRICES,2,FALSE)+HLOOKUP(D477,PREVCURVES,VLOOKUP(G477,MOVE_DOWN2,2,FALSE),FALSE)),VLOOKUP(G477,NGPREVPRICES,2,FALSE),CK477,VLOOKUP(G477,NGPREVPRICES,4,FALSE),HLOOKUP(D477,PREVVOLS,VLOOKUP(G477,MOVE_DOWN2,2,FALSE),FALSE),VLOOKUP(G477,NGPREVPRICES,3,FALSE),HLOOKUP(D477,Correllate,VLOOKUP(G477,CorMove,2,FALSE),FALSE),Q477-$C$3,R477,$CJ$5)*H477-CJ477</f>
        <v>36.194063242747688</v>
      </c>
      <c r="CI477" s="234">
        <f t="shared" ref="CI477:CI486" si="554">SUM(CD477:CH477)</f>
        <v>36.987996911722803</v>
      </c>
      <c r="CJ477" s="234">
        <f>_xll.xSPRDOPT((VLOOKUP(G477,NGPREVPRICES,2,FALSE)+HLOOKUP(D477,PREVCURVES,VLOOKUP(G477,MOVE_DOWN2,2,FALSE),FALSE)),VLOOKUP(G477,NGPREVPRICES,2,FALSE),CK477,VLOOKUP(G477,NGPREVPRICES,4,FALSE),HLOOKUP(D477,PREVVOLS,VLOOKUP(G477,MOVE_DOWN2,2,FALSE),FALSE),VLOOKUP(G477,NGPREVPRICES,3,FALSE),HLOOKUP(D477,Correllate,VLOOKUP(G477,CorMove,2,FALSE),FALSE),Q477-$CD$3,R477,$CJ$5)*H477</f>
        <v>-4237.9759780882996</v>
      </c>
      <c r="CK477" s="235">
        <f t="shared" ref="CK477:CK486" si="555">I477</f>
        <v>0.15</v>
      </c>
      <c r="CM477" t="str">
        <f t="shared" ref="CM477:CM486" si="556">CONCATENATE(CC477,$CD$6)</f>
        <v>36861Curve Shift/Gamma</v>
      </c>
      <c r="CN477" t="str">
        <f t="shared" si="499"/>
        <v>36861Rho</v>
      </c>
      <c r="CO477" t="str">
        <f t="shared" si="500"/>
        <v>36861Drift</v>
      </c>
      <c r="CP477" t="str">
        <f t="shared" si="501"/>
        <v>36861Vega</v>
      </c>
      <c r="CQ477" t="str">
        <f t="shared" si="502"/>
        <v>36861Theta</v>
      </c>
    </row>
    <row r="478" spans="1:95" x14ac:dyDescent="0.25">
      <c r="A478" s="140" t="s">
        <v>480</v>
      </c>
      <c r="B478" t="s">
        <v>250</v>
      </c>
      <c r="C478" t="s">
        <v>506</v>
      </c>
      <c r="D478" s="4" t="s">
        <v>74</v>
      </c>
      <c r="E478" t="s">
        <v>20</v>
      </c>
      <c r="F478" t="s">
        <v>21</v>
      </c>
      <c r="G478" s="5">
        <v>36831</v>
      </c>
      <c r="H478" s="130">
        <v>-150000</v>
      </c>
      <c r="I478">
        <v>0.15</v>
      </c>
      <c r="J478" s="53">
        <f t="shared" si="523"/>
        <v>4.7359999999999998</v>
      </c>
      <c r="K478" s="7">
        <f t="shared" si="524"/>
        <v>8.7499999999999994E-2</v>
      </c>
      <c r="L478" s="53">
        <f t="shared" si="525"/>
        <v>4.8235000000000001</v>
      </c>
      <c r="M478" s="157">
        <f t="shared" si="545"/>
        <v>6.810675983792E-2</v>
      </c>
      <c r="N478" s="4">
        <f t="shared" si="546"/>
        <v>0.59499999999999997</v>
      </c>
      <c r="O478" s="4">
        <f t="shared" si="547"/>
        <v>0.59499999999999997</v>
      </c>
      <c r="P478" s="9">
        <f t="shared" si="548"/>
        <v>0.997</v>
      </c>
      <c r="Q478" s="5">
        <f t="shared" si="520"/>
        <v>36829</v>
      </c>
      <c r="R478" s="4">
        <f t="shared" si="549"/>
        <v>1</v>
      </c>
      <c r="S478" s="158">
        <f>_xll.xSPRDOPT($L478,$J478,$I478,$M478,$O478,$N478,$P478,$Q478-$C$3,$R478,0)</f>
        <v>1.5250320595656583E-2</v>
      </c>
      <c r="T478" s="159">
        <f>_xll.xSPRDOPT($L478,$J478,$I478,$M478,$O478,$N478,$P478,$Q478-$C$3,$R478,1)*H478</f>
        <v>-39424.882332315945</v>
      </c>
      <c r="U478" s="160">
        <f t="shared" si="550"/>
        <v>-2287.5480893484873</v>
      </c>
      <c r="V478" s="159">
        <f>_xll.xSPRDOPT($L478,$J478,$I478,$M478,$O478,$N478,$P478,$Q478-$C$3,$R478,2)*H478</f>
        <v>38566.944721765321</v>
      </c>
      <c r="W478" s="159">
        <f t="shared" si="551"/>
        <v>-857.9376105506235</v>
      </c>
      <c r="X478" s="51" t="str">
        <f t="shared" si="517"/>
        <v>36831NGI/CHI. GATE</v>
      </c>
      <c r="Y478" s="418">
        <f t="shared" si="518"/>
        <v>-15</v>
      </c>
      <c r="Z478" s="456">
        <f t="shared" si="519"/>
        <v>0.26283254888210628</v>
      </c>
      <c r="AA478" s="456">
        <f>_xll.xSPRDOPT($L478,$J478,$I478,$M478,$O478,$N478,$P478,$Q478-$C$3,$R478,3)</f>
        <v>3.3553439431036649</v>
      </c>
      <c r="AB478" s="456">
        <f>((_xll.xSPRDOPT($L478+AB$5,$J478,$I478,$M478,$O478,$N478,$P478,$Q478-$C$3,$R478,3)*$H478)/10000)/100</f>
        <v>-0.50330159146554965</v>
      </c>
      <c r="AC478" s="456">
        <f>((_xll.xSPRDOPT($L478+$AB$5,$J478,$I478,$M478,$O478,$N478,$P478,$Q478-$C$3,$R478,7)*$H478)/100)</f>
        <v>6833.2367079844898</v>
      </c>
      <c r="AD478" s="456">
        <f>(_xll.xSPRDOPT($L478+$AB$5,$J478,$I478,$M478,$O478,$N478,$P478,$Q478-$C$3,$R478,9)/365)*$H478</f>
        <v>37.652559426196113</v>
      </c>
      <c r="AE478">
        <f t="shared" si="521"/>
        <v>0</v>
      </c>
      <c r="AF478" s="456">
        <f t="shared" si="522"/>
        <v>-79.304425364416318</v>
      </c>
      <c r="AG478" s="456">
        <f>((_xll.xSPRDOPT($L478,$J478,$I478,$M478,$O478,$N478,$P478,$Q478-$C$3,$R478,6)*$H478)/100)</f>
        <v>297.63575718439324</v>
      </c>
      <c r="AH478" s="456">
        <f>((_xll.xSPRDOPT($L478,$J478,$I478,$M478,$O478,$N478,$P478,$Q478-$C$3,$R478,5)*$H478)/100)</f>
        <v>-376.94018254880956</v>
      </c>
      <c r="AI478" s="456">
        <f>(((_xll.xSPRDOPT($L478,$J478,$I478,$M478,$O478,$N478,$P478,$Q478-$C$3,$R478,4)*$H478)/10000)/100)-AB478</f>
        <v>1.1008389680403574E-2</v>
      </c>
      <c r="AJ478" s="456"/>
      <c r="AK478" s="456"/>
      <c r="AL478" s="456"/>
      <c r="AM478" s="472"/>
      <c r="CC478" s="141">
        <f t="shared" si="552"/>
        <v>36831</v>
      </c>
      <c r="CD478" s="234">
        <f>_xll.xSPRDOPT((VLOOKUP(G478,NGPrices,2,FALSE)+HLOOKUP(D478,Prices,VLOOKUP(G478,move_down,2,FALSE),FALSE)),VLOOKUP(G478,NGPrices,2,FALSE),I478,VLOOKUP(G478,NGPREVPRICES,4,FALSE),HLOOKUP(D478,PREVVOLS,VLOOKUP(G478,MOVE_DOWN2,2,FALSE),FALSE),VLOOKUP(G478,NGPREVPRICES,3,FALSE),HLOOKUP(D478,Correllate,VLOOKUP(G478,CorMove,2,FALSE),FALSE),Q478-$CD$3,R478,$CD$5)*H478-CJ478</f>
        <v>0</v>
      </c>
      <c r="CE478" s="234">
        <f>_xll.xSPRDOPT((VLOOKUP(G478,NGPREVPRICES,2,FALSE)+HLOOKUP(D478,PREVCURVES,VLOOKUP(G478,MOVE_DOWN2,2,FALSE),FALSE)),VLOOKUP(G478,NGPREVPRICES,2,FALSE),CK478,VLOOKUP(G478,NGPrices,4,FALSE),HLOOKUP(D478,PREVVOLS,VLOOKUP(G478,MOVE_DOWN2,2,FALSE),FALSE),VLOOKUP(G478,NGPREVPRICES,3,FALSE),HLOOKUP(D478,Correllate,VLOOKUP(G478,CorMove,2,FALSE),FALSE),Q478-$CD$3,R478,$CJ$5)*H478-CJ478</f>
        <v>0</v>
      </c>
      <c r="CF478" s="10">
        <f t="shared" si="553"/>
        <v>0.43179188110116229</v>
      </c>
      <c r="CG478" s="234">
        <f>_xll.xSPRDOPT((VLOOKUP(G478,NGPREVPRICES,2,FALSE)+HLOOKUP(D478,PREVCURVES,VLOOKUP(G478,MOVE_DOWN2,2,FALSE),FALSE)),VLOOKUP(G478,NGPREVPRICES,2,FALSE),CK478,VLOOKUP(G478,NGPREVPRICES,4,FALSE),HLOOKUP(D478,VOLS,VLOOKUP(G478,move_down,2,FALSE),FALSE),VLOOKUP(G478,NGPrices,3,FALSE),HLOOKUP(D478,Correllate,VLOOKUP(G478,CorMove,2,FALSE),FALSE),Q478-$CD$3,R478,$CJ$5)*H478-CJ478</f>
        <v>0</v>
      </c>
      <c r="CH478" s="234">
        <f>_xll.xSPRDOPT((VLOOKUP(G478,NGPREVPRICES,2,FALSE)+HLOOKUP(D478,PREVCURVES,VLOOKUP(G478,MOVE_DOWN2,2,FALSE),FALSE)),VLOOKUP(G478,NGPREVPRICES,2,FALSE),CK478,VLOOKUP(G478,NGPREVPRICES,4,FALSE),HLOOKUP(D478,PREVVOLS,VLOOKUP(G478,MOVE_DOWN2,2,FALSE),FALSE),VLOOKUP(G478,NGPREVPRICES,3,FALSE),HLOOKUP(D478,Correllate,VLOOKUP(G478,CorMove,2,FALSE),FALSE),Q478-$C$3,R478,$CJ$5)*H478-CJ478</f>
        <v>37.530690024179421</v>
      </c>
      <c r="CI478" s="234">
        <f t="shared" si="554"/>
        <v>37.962481905280583</v>
      </c>
      <c r="CJ478" s="234">
        <f>_xll.xSPRDOPT((VLOOKUP(G478,NGPREVPRICES,2,FALSE)+HLOOKUP(D478,PREVCURVES,VLOOKUP(G478,MOVE_DOWN2,2,FALSE),FALSE)),VLOOKUP(G478,NGPREVPRICES,2,FALSE),CK478,VLOOKUP(G478,NGPREVPRICES,4,FALSE),HLOOKUP(D478,PREVVOLS,VLOOKUP(G478,MOVE_DOWN2,2,FALSE),FALSE),VLOOKUP(G478,NGPREVPRICES,3,FALSE),HLOOKUP(D478,Correllate,VLOOKUP(G478,CorMove,2,FALSE),FALSE),Q478-$CD$3,R478,$CJ$5)*H478</f>
        <v>-2325.0787793726668</v>
      </c>
      <c r="CK478" s="235">
        <f t="shared" si="555"/>
        <v>0.15</v>
      </c>
      <c r="CM478" t="str">
        <f t="shared" si="556"/>
        <v>36831Curve Shift/Gamma</v>
      </c>
      <c r="CN478" t="str">
        <f t="shared" si="499"/>
        <v>36831Rho</v>
      </c>
      <c r="CO478" t="str">
        <f t="shared" si="500"/>
        <v>36831Drift</v>
      </c>
      <c r="CP478" t="str">
        <f t="shared" si="501"/>
        <v>36831Vega</v>
      </c>
      <c r="CQ478" t="str">
        <f t="shared" si="502"/>
        <v>36831Theta</v>
      </c>
    </row>
    <row r="479" spans="1:95" x14ac:dyDescent="0.25">
      <c r="A479" s="140" t="s">
        <v>279</v>
      </c>
      <c r="B479" t="s">
        <v>250</v>
      </c>
      <c r="C479" t="s">
        <v>507</v>
      </c>
      <c r="D479" s="4" t="s">
        <v>190</v>
      </c>
      <c r="E479" t="s">
        <v>20</v>
      </c>
      <c r="F479" t="s">
        <v>21</v>
      </c>
      <c r="G479" s="5">
        <v>36951</v>
      </c>
      <c r="H479" s="130">
        <v>1000000</v>
      </c>
      <c r="I479">
        <v>0.3</v>
      </c>
      <c r="J479" s="53">
        <f t="shared" si="523"/>
        <v>4.2130000000000001</v>
      </c>
      <c r="K479" s="7">
        <f t="shared" si="524"/>
        <v>0.59750000000000003</v>
      </c>
      <c r="L479" s="53">
        <f t="shared" si="525"/>
        <v>4.8105000000000002</v>
      </c>
      <c r="M479" s="157">
        <f t="shared" si="545"/>
        <v>6.8879814952706994E-2</v>
      </c>
      <c r="N479" s="4">
        <f t="shared" si="546"/>
        <v>0.53249999999999997</v>
      </c>
      <c r="O479" s="4">
        <f t="shared" si="547"/>
        <v>0.51700000000000002</v>
      </c>
      <c r="P479" s="9">
        <f t="shared" si="548"/>
        <v>0.85</v>
      </c>
      <c r="Q479" s="5">
        <f t="shared" si="520"/>
        <v>36949</v>
      </c>
      <c r="R479" s="4">
        <f t="shared" si="549"/>
        <v>1</v>
      </c>
      <c r="S479" s="158">
        <f>_xll.xSPRDOPT($L479,$J479,$I479,$M479,$O479,$N479,$P479,$Q479-$C$3,$R479,0)</f>
        <v>0.51490268222906133</v>
      </c>
      <c r="T479" s="159">
        <f>_xll.xSPRDOPT($L479,$J479,$I479,$M479,$O479,$N479,$P479,$Q479-$C$3,$R479,1)*H479</f>
        <v>641763.01435512444</v>
      </c>
      <c r="U479" s="160">
        <f t="shared" si="550"/>
        <v>514902.68222906132</v>
      </c>
      <c r="V479" s="159">
        <f>_xll.xSPRDOPT($L479,$J479,$I479,$M479,$O479,$N479,$P479,$Q479-$C$3,$R479,2)*H479</f>
        <v>-568094.77531463443</v>
      </c>
      <c r="W479" s="159">
        <f t="shared" si="551"/>
        <v>73668.239040490007</v>
      </c>
      <c r="X479" s="51" t="str">
        <f t="shared" si="517"/>
        <v>36951NGI-SOCAL</v>
      </c>
      <c r="Y479" s="418">
        <f t="shared" si="518"/>
        <v>100</v>
      </c>
      <c r="Z479" s="456">
        <f t="shared" si="519"/>
        <v>0.64176301435512439</v>
      </c>
      <c r="AA479" s="456">
        <f>_xll.xSPRDOPT($L479,$J479,$I479,$M479,$O479,$N479,$P479,$Q479-$C$3,$R479,3)</f>
        <v>0.37242484350268151</v>
      </c>
      <c r="AB479" s="456">
        <f>((_xll.xSPRDOPT($L479+AB$5,$J479,$I479,$M479,$O479,$N479,$P479,$Q479-$C$3,$R479,3)*$H479)/10000)/100</f>
        <v>0.37242484350268151</v>
      </c>
      <c r="AC479" s="456">
        <f>((_xll.xSPRDOPT($L479+$AB$5,$J479,$I479,$M479,$O479,$N479,$P479,$Q479-$C$3,$R479,7)*$H479)/100)</f>
        <v>-11048.635639461738</v>
      </c>
      <c r="AD479" s="456">
        <f>(_xll.xSPRDOPT($L479+$AB$5,$J479,$I479,$M479,$O479,$N479,$P479,$Q479-$C$3,$R479,9)/365)*$H479</f>
        <v>-820.28336943369766</v>
      </c>
      <c r="AE479">
        <f t="shared" si="521"/>
        <v>0</v>
      </c>
      <c r="AF479" s="456">
        <f t="shared" si="522"/>
        <v>6267.1136156394095</v>
      </c>
      <c r="AG479" s="456">
        <f>((_xll.xSPRDOPT($L479,$J479,$I479,$M479,$O479,$N479,$P479,$Q479-$C$3,$R479,6)*$H479)/100)</f>
        <v>2347.7600546198532</v>
      </c>
      <c r="AH479" s="456">
        <f>((_xll.xSPRDOPT($L479,$J479,$I479,$M479,$O479,$N479,$P479,$Q479-$C$3,$R479,5)*$H479)/100)</f>
        <v>4036.8583583035083</v>
      </c>
      <c r="AI479" s="456">
        <f>(((_xll.xSPRDOPT($L479,$J479,$I479,$M479,$O479,$N479,$P479,$Q479-$C$3,$R479,4)*$H479)/10000)/100)-AB479</f>
        <v>5.1902265741756548E-2</v>
      </c>
      <c r="AJ479" s="456"/>
      <c r="AK479" s="456"/>
      <c r="AL479" s="456"/>
      <c r="AM479" s="472"/>
      <c r="CC479" s="141">
        <f t="shared" si="552"/>
        <v>36951</v>
      </c>
      <c r="CD479" s="234">
        <f>_xll.xSPRDOPT((VLOOKUP(G479,NGPrices,2,FALSE)+HLOOKUP(D479,Prices,VLOOKUP(G479,move_down,2,FALSE),FALSE)),VLOOKUP(G479,NGPrices,2,FALSE),I479,VLOOKUP(G479,NGPREVPRICES,4,FALSE),HLOOKUP(D479,PREVVOLS,VLOOKUP(G479,MOVE_DOWN2,2,FALSE),FALSE),VLOOKUP(G479,NGPREVPRICES,3,FALSE),HLOOKUP(D479,Correllate,VLOOKUP(G479,CorMove,2,FALSE),FALSE),Q479-$CD$3,R479,$CD$5)*H479-CJ479</f>
        <v>0</v>
      </c>
      <c r="CE479" s="234">
        <f>_xll.xSPRDOPT((VLOOKUP(G479,NGPREVPRICES,2,FALSE)+HLOOKUP(D479,PREVCURVES,VLOOKUP(G479,MOVE_DOWN2,2,FALSE),FALSE)),VLOOKUP(G479,NGPREVPRICES,2,FALSE),CK479,VLOOKUP(G479,NGPrices,4,FALSE),HLOOKUP(D479,PREVVOLS,VLOOKUP(G479,MOVE_DOWN2,2,FALSE),FALSE),VLOOKUP(G479,NGPREVPRICES,3,FALSE),HLOOKUP(D479,Correllate,VLOOKUP(G479,CorMove,2,FALSE),FALSE),Q479-$CD$3,R479,$CJ$5)*H479-CJ479</f>
        <v>0</v>
      </c>
      <c r="CF479" s="10">
        <f t="shared" si="553"/>
        <v>-98.907601498416625</v>
      </c>
      <c r="CG479" s="234">
        <f>_xll.xSPRDOPT((VLOOKUP(G479,NGPREVPRICES,2,FALSE)+HLOOKUP(D479,PREVCURVES,VLOOKUP(G479,MOVE_DOWN2,2,FALSE),FALSE)),VLOOKUP(G479,NGPREVPRICES,2,FALSE),CK479,VLOOKUP(G479,NGPREVPRICES,4,FALSE),HLOOKUP(D479,VOLS,VLOOKUP(G479,move_down,2,FALSE),FALSE),VLOOKUP(G479,NGPrices,3,FALSE),HLOOKUP(D479,Correllate,VLOOKUP(G479,CorMove,2,FALSE),FALSE),Q479-$CD$3,R479,$CJ$5)*H479-CJ479</f>
        <v>0</v>
      </c>
      <c r="CH479" s="234">
        <f>_xll.xSPRDOPT((VLOOKUP(G479,NGPREVPRICES,2,FALSE)+HLOOKUP(D479,PREVCURVES,VLOOKUP(G479,MOVE_DOWN2,2,FALSE),FALSE)),VLOOKUP(G479,NGPREVPRICES,2,FALSE),CK479,VLOOKUP(G479,NGPREVPRICES,4,FALSE),HLOOKUP(D479,PREVVOLS,VLOOKUP(G479,MOVE_DOWN2,2,FALSE),FALSE),VLOOKUP(G479,NGPREVPRICES,3,FALSE),HLOOKUP(D479,Correllate,VLOOKUP(G479,CorMove,2,FALSE),FALSE),Q479-$C$3,R479,$CJ$5)*H479-CJ479</f>
        <v>-818.42571679101093</v>
      </c>
      <c r="CI479" s="234">
        <f t="shared" si="554"/>
        <v>-917.33331828942755</v>
      </c>
      <c r="CJ479" s="234">
        <f>_xll.xSPRDOPT((VLOOKUP(G479,NGPREVPRICES,2,FALSE)+HLOOKUP(D479,PREVCURVES,VLOOKUP(G479,MOVE_DOWN2,2,FALSE),FALSE)),VLOOKUP(G479,NGPREVPRICES,2,FALSE),CK479,VLOOKUP(G479,NGPREVPRICES,4,FALSE),HLOOKUP(D479,PREVVOLS,VLOOKUP(G479,MOVE_DOWN2,2,FALSE),FALSE),VLOOKUP(G479,NGPREVPRICES,3,FALSE),HLOOKUP(D479,Correllate,VLOOKUP(G479,CorMove,2,FALSE),FALSE),Q479-$CD$3,R479,$CJ$5)*H479</f>
        <v>515721.10794585233</v>
      </c>
      <c r="CK479" s="235">
        <f t="shared" si="555"/>
        <v>0.3</v>
      </c>
      <c r="CM479" t="str">
        <f t="shared" si="556"/>
        <v>36951Curve Shift/Gamma</v>
      </c>
      <c r="CN479" t="str">
        <f t="shared" si="499"/>
        <v>36951Rho</v>
      </c>
      <c r="CO479" t="str">
        <f t="shared" si="500"/>
        <v>36951Drift</v>
      </c>
      <c r="CP479" t="str">
        <f t="shared" si="501"/>
        <v>36951Vega</v>
      </c>
      <c r="CQ479" t="str">
        <f t="shared" si="502"/>
        <v>36951Theta</v>
      </c>
    </row>
    <row r="480" spans="1:95" x14ac:dyDescent="0.25">
      <c r="A480" s="140" t="s">
        <v>279</v>
      </c>
      <c r="B480" t="s">
        <v>250</v>
      </c>
      <c r="C480" t="s">
        <v>507</v>
      </c>
      <c r="D480" s="4" t="s">
        <v>190</v>
      </c>
      <c r="E480" t="s">
        <v>20</v>
      </c>
      <c r="F480" t="s">
        <v>21</v>
      </c>
      <c r="G480" s="5">
        <v>36923</v>
      </c>
      <c r="H480" s="130">
        <v>1000000</v>
      </c>
      <c r="I480">
        <v>0.3</v>
      </c>
      <c r="J480" s="53">
        <f t="shared" si="523"/>
        <v>4.4800000000000004</v>
      </c>
      <c r="K480" s="7">
        <f t="shared" si="524"/>
        <v>0.61750000000000005</v>
      </c>
      <c r="L480" s="53">
        <f t="shared" si="525"/>
        <v>5.0975000000000001</v>
      </c>
      <c r="M480" s="157">
        <f t="shared" si="545"/>
        <v>6.8640161611372E-2</v>
      </c>
      <c r="N480" s="4">
        <f t="shared" si="546"/>
        <v>0.59250000000000003</v>
      </c>
      <c r="O480" s="4">
        <f t="shared" si="547"/>
        <v>0.57499999999999996</v>
      </c>
      <c r="P480" s="9">
        <f t="shared" si="548"/>
        <v>0.85</v>
      </c>
      <c r="Q480" s="5">
        <f t="shared" si="520"/>
        <v>36921</v>
      </c>
      <c r="R480" s="4">
        <f t="shared" si="549"/>
        <v>1</v>
      </c>
      <c r="S480" s="158">
        <f>_xll.xSPRDOPT($L480,$J480,$I480,$M480,$O480,$N480,$P480,$Q480-$C$3,$R480,0)</f>
        <v>0.55864567410775812</v>
      </c>
      <c r="T480" s="159">
        <f>_xll.xSPRDOPT($L480,$J480,$I480,$M480,$O480,$N480,$P480,$Q480-$C$3,$R480,1)*H480</f>
        <v>644151.18933309312</v>
      </c>
      <c r="U480" s="160">
        <f t="shared" si="550"/>
        <v>558645.6741077581</v>
      </c>
      <c r="V480" s="159">
        <f>_xll.xSPRDOPT($L480,$J480,$I480,$M480,$O480,$N480,$P480,$Q480-$C$3,$R480,2)*H480</f>
        <v>-568168.07092657546</v>
      </c>
      <c r="W480" s="159">
        <f t="shared" si="551"/>
        <v>75983.118406517664</v>
      </c>
      <c r="X480" s="51" t="str">
        <f t="shared" si="517"/>
        <v>36923NGI-SOCAL</v>
      </c>
      <c r="Y480" s="418">
        <f t="shared" si="518"/>
        <v>100</v>
      </c>
      <c r="Z480" s="456">
        <f t="shared" si="519"/>
        <v>0.64415118933309312</v>
      </c>
      <c r="AA480" s="456">
        <f>_xll.xSPRDOPT($L480,$J480,$I480,$M480,$O480,$N480,$P480,$Q480-$C$3,$R480,3)</f>
        <v>0.34526336742509806</v>
      </c>
      <c r="AB480" s="456">
        <f>((_xll.xSPRDOPT($L480+AB$5,$J480,$I480,$M480,$O480,$N480,$P480,$Q480-$C$3,$R480,3)*$H480)/10000)/100</f>
        <v>0.34526336742509806</v>
      </c>
      <c r="AC480" s="456">
        <f>((_xll.xSPRDOPT($L480+$AB$5,$J480,$I480,$M480,$O480,$N480,$P480,$Q480-$C$3,$R480,7)*$H480)/100)</f>
        <v>-12091.092424657971</v>
      </c>
      <c r="AD480" s="456">
        <f>(_xll.xSPRDOPT($L480+$AB$5,$J480,$I480,$M480,$O480,$N480,$P480,$Q480-$C$3,$R480,9)/365)*$H480</f>
        <v>-1080.117500992598</v>
      </c>
      <c r="AE480">
        <f t="shared" si="521"/>
        <v>0</v>
      </c>
      <c r="AF480" s="456">
        <f t="shared" si="522"/>
        <v>6156.6862486995897</v>
      </c>
      <c r="AG480" s="456">
        <f>((_xll.xSPRDOPT($L480,$J480,$I480,$M480,$O480,$N480,$P480,$Q480-$C$3,$R480,6)*$H480)/100)</f>
        <v>2394.7729595378187</v>
      </c>
      <c r="AH480" s="456">
        <f>((_xll.xSPRDOPT($L480,$J480,$I480,$M480,$O480,$N480,$P480,$Q480-$C$3,$R480,5)*$H480)/100)</f>
        <v>3876.406302310173</v>
      </c>
      <c r="AI480" s="456">
        <f>(((_xll.xSPRDOPT($L480,$J480,$I480,$M480,$O480,$N480,$P480,$Q480-$C$3,$R480,4)*$H480)/10000)/100)-AB480</f>
        <v>4.8456041573521069E-2</v>
      </c>
      <c r="AJ480" s="456"/>
      <c r="AK480" s="456"/>
      <c r="AL480" s="456"/>
      <c r="AM480" s="472"/>
      <c r="CC480" s="141">
        <f t="shared" si="552"/>
        <v>36923</v>
      </c>
      <c r="CD480" s="234">
        <f>_xll.xSPRDOPT((VLOOKUP(G480,NGPrices,2,FALSE)+HLOOKUP(D480,Prices,VLOOKUP(G480,move_down,2,FALSE),FALSE)),VLOOKUP(G480,NGPrices,2,FALSE),I480,VLOOKUP(G480,NGPREVPRICES,4,FALSE),HLOOKUP(D480,PREVVOLS,VLOOKUP(G480,MOVE_DOWN2,2,FALSE),FALSE),VLOOKUP(G480,NGPREVPRICES,3,FALSE),HLOOKUP(D480,Correllate,VLOOKUP(G480,CorMove,2,FALSE),FALSE),Q480-$CD$3,R480,$CD$5)*H480-CJ480</f>
        <v>0</v>
      </c>
      <c r="CE480" s="234">
        <f>_xll.xSPRDOPT((VLOOKUP(G480,NGPREVPRICES,2,FALSE)+HLOOKUP(D480,PREVCURVES,VLOOKUP(G480,MOVE_DOWN2,2,FALSE),FALSE)),VLOOKUP(G480,NGPREVPRICES,2,FALSE),CK480,VLOOKUP(G480,NGPrices,4,FALSE),HLOOKUP(D480,PREVVOLS,VLOOKUP(G480,MOVE_DOWN2,2,FALSE),FALSE),VLOOKUP(G480,NGPREVPRICES,3,FALSE),HLOOKUP(D480,Correllate,VLOOKUP(G480,CorMove,2,FALSE),FALSE),Q480-$CD$3,R480,$CJ$5)*H480-CJ480</f>
        <v>0</v>
      </c>
      <c r="CF480" s="10">
        <f t="shared" si="553"/>
        <v>-106.45287837309297</v>
      </c>
      <c r="CG480" s="234">
        <f>_xll.xSPRDOPT((VLOOKUP(G480,NGPREVPRICES,2,FALSE)+HLOOKUP(D480,PREVCURVES,VLOOKUP(G480,MOVE_DOWN2,2,FALSE),FALSE)),VLOOKUP(G480,NGPREVPRICES,2,FALSE),CK480,VLOOKUP(G480,NGPREVPRICES,4,FALSE),HLOOKUP(D480,VOLS,VLOOKUP(G480,move_down,2,FALSE),FALSE),VLOOKUP(G480,NGPrices,3,FALSE),HLOOKUP(D480,Correllate,VLOOKUP(G480,CorMove,2,FALSE),FALSE),Q480-$CD$3,R480,$CJ$5)*H480-CJ480</f>
        <v>0</v>
      </c>
      <c r="CH480" s="234">
        <f>_xll.xSPRDOPT((VLOOKUP(G480,NGPREVPRICES,2,FALSE)+HLOOKUP(D480,PREVCURVES,VLOOKUP(G480,MOVE_DOWN2,2,FALSE),FALSE)),VLOOKUP(G480,NGPREVPRICES,2,FALSE),CK480,VLOOKUP(G480,NGPREVPRICES,4,FALSE),HLOOKUP(D480,PREVVOLS,VLOOKUP(G480,MOVE_DOWN2,2,FALSE),FALSE),VLOOKUP(G480,NGPREVPRICES,3,FALSE),HLOOKUP(D480,Correllate,VLOOKUP(G480,CorMove,2,FALSE),FALSE),Q480-$C$3,R480,$CJ$5)*H480-CJ480</f>
        <v>-1077.4292424727464</v>
      </c>
      <c r="CI480" s="234">
        <f t="shared" si="554"/>
        <v>-1183.8821208458394</v>
      </c>
      <c r="CJ480" s="234">
        <f>_xll.xSPRDOPT((VLOOKUP(G480,NGPREVPRICES,2,FALSE)+HLOOKUP(D480,PREVCURVES,VLOOKUP(G480,MOVE_DOWN2,2,FALSE),FALSE)),VLOOKUP(G480,NGPREVPRICES,2,FALSE),CK480,VLOOKUP(G480,NGPREVPRICES,4,FALSE),HLOOKUP(D480,PREVVOLS,VLOOKUP(G480,MOVE_DOWN2,2,FALSE),FALSE),VLOOKUP(G480,NGPREVPRICES,3,FALSE),HLOOKUP(D480,Correllate,VLOOKUP(G480,CorMove,2,FALSE),FALSE),Q480-$CD$3,R480,$CJ$5)*H480</f>
        <v>559723.10335023084</v>
      </c>
      <c r="CK480" s="235">
        <f t="shared" si="555"/>
        <v>0.3</v>
      </c>
      <c r="CM480" t="str">
        <f t="shared" si="556"/>
        <v>36923Curve Shift/Gamma</v>
      </c>
      <c r="CN480" t="str">
        <f t="shared" si="499"/>
        <v>36923Rho</v>
      </c>
      <c r="CO480" t="str">
        <f t="shared" si="500"/>
        <v>36923Drift</v>
      </c>
      <c r="CP480" t="str">
        <f t="shared" si="501"/>
        <v>36923Vega</v>
      </c>
      <c r="CQ480" t="str">
        <f t="shared" si="502"/>
        <v>36923Theta</v>
      </c>
    </row>
    <row r="481" spans="1:95" x14ac:dyDescent="0.25">
      <c r="A481" s="140" t="s">
        <v>279</v>
      </c>
      <c r="B481" t="s">
        <v>250</v>
      </c>
      <c r="C481" t="s">
        <v>507</v>
      </c>
      <c r="D481" s="4" t="s">
        <v>190</v>
      </c>
      <c r="E481" t="s">
        <v>20</v>
      </c>
      <c r="F481" t="s">
        <v>21</v>
      </c>
      <c r="G481" s="5">
        <v>36892</v>
      </c>
      <c r="H481" s="130">
        <v>1000000</v>
      </c>
      <c r="I481">
        <v>0.3</v>
      </c>
      <c r="J481" s="53">
        <f t="shared" si="523"/>
        <v>4.7439999999999998</v>
      </c>
      <c r="K481" s="7">
        <f t="shared" si="524"/>
        <v>0.76749999999999996</v>
      </c>
      <c r="L481" s="53">
        <f t="shared" si="525"/>
        <v>5.5114999999999998</v>
      </c>
      <c r="M481" s="157">
        <f t="shared" si="545"/>
        <v>6.8374831148490994E-2</v>
      </c>
      <c r="N481" s="4">
        <f t="shared" si="546"/>
        <v>0.60499999999999998</v>
      </c>
      <c r="O481" s="4">
        <f t="shared" si="547"/>
        <v>0.58699999999999997</v>
      </c>
      <c r="P481" s="9">
        <f t="shared" si="548"/>
        <v>0.85</v>
      </c>
      <c r="Q481" s="5">
        <f t="shared" si="520"/>
        <v>36888</v>
      </c>
      <c r="R481" s="4">
        <f t="shared" si="549"/>
        <v>1</v>
      </c>
      <c r="S481" s="158">
        <f>_xll.xSPRDOPT($L481,$J481,$I481,$M481,$O481,$N481,$P481,$Q481-$C$3,$R481,0)</f>
        <v>0.64709519353176437</v>
      </c>
      <c r="T481" s="159">
        <f>_xll.xSPRDOPT($L481,$J481,$I481,$M481,$O481,$N481,$P481,$Q481-$C$3,$R481,1)*H481</f>
        <v>702135.09423821559</v>
      </c>
      <c r="U481" s="160">
        <f t="shared" si="550"/>
        <v>647095.19353176432</v>
      </c>
      <c r="V481" s="159">
        <f>_xll.xSPRDOPT($L481,$J481,$I481,$M481,$O481,$N481,$P481,$Q481-$C$3,$R481,2)*H481</f>
        <v>-637311.06546940689</v>
      </c>
      <c r="W481" s="159">
        <f t="shared" si="551"/>
        <v>64824.028768808697</v>
      </c>
      <c r="X481" s="51" t="str">
        <f t="shared" si="517"/>
        <v>36892NGI-SOCAL</v>
      </c>
      <c r="Y481" s="418">
        <f t="shared" si="518"/>
        <v>100</v>
      </c>
      <c r="Z481" s="456">
        <f t="shared" si="519"/>
        <v>0.70213509423821563</v>
      </c>
      <c r="AA481" s="456">
        <f>_xll.xSPRDOPT($L481,$J481,$I481,$M481,$O481,$N481,$P481,$Q481-$C$3,$R481,3)</f>
        <v>0.32785906506017948</v>
      </c>
      <c r="AB481" s="456">
        <f>((_xll.xSPRDOPT($L481+AB$5,$J481,$I481,$M481,$O481,$N481,$P481,$Q481-$C$3,$R481,3)*$H481)/10000)/100</f>
        <v>0.32785906506017953</v>
      </c>
      <c r="AC481" s="456">
        <f>((_xll.xSPRDOPT($L481+$AB$5,$J481,$I481,$M481,$O481,$N481,$P481,$Q481-$C$3,$R481,7)*$H481)/100)</f>
        <v>-11039.432825406569</v>
      </c>
      <c r="AD481" s="456">
        <f>(_xll.xSPRDOPT($L481+$AB$5,$J481,$I481,$M481,$O481,$N481,$P481,$Q481-$C$3,$R481,9)/365)*$H481</f>
        <v>-1253.9972536554653</v>
      </c>
      <c r="AE481">
        <f t="shared" si="521"/>
        <v>0</v>
      </c>
      <c r="AF481" s="456">
        <f t="shared" si="522"/>
        <v>5497.1008377843891</v>
      </c>
      <c r="AG481" s="456">
        <f>((_xll.xSPRDOPT($L481,$J481,$I481,$M481,$O481,$N481,$P481,$Q481-$C$3,$R481,6)*$H481)/100)</f>
        <v>2216.3285026528183</v>
      </c>
      <c r="AH481" s="456">
        <f>((_xll.xSPRDOPT($L481,$J481,$I481,$M481,$O481,$N481,$P481,$Q481-$C$3,$R481,5)*$H481)/100)</f>
        <v>3381.3752346756396</v>
      </c>
      <c r="AI481" s="456">
        <f>(((_xll.xSPRDOPT($L481,$J481,$I481,$M481,$O481,$N481,$P481,$Q481-$C$3,$R481,4)*$H481)/10000)/100)-AB481</f>
        <v>6.512844811358548E-2</v>
      </c>
      <c r="AJ481" s="456"/>
      <c r="AK481" s="456"/>
      <c r="AL481" s="456"/>
      <c r="AM481" s="472"/>
      <c r="CC481" s="141">
        <f t="shared" si="552"/>
        <v>36892</v>
      </c>
      <c r="CD481" s="234">
        <f>_xll.xSPRDOPT((VLOOKUP(G481,NGPrices,2,FALSE)+HLOOKUP(D481,Prices,VLOOKUP(G481,move_down,2,FALSE),FALSE)),VLOOKUP(G481,NGPrices,2,FALSE),I481,VLOOKUP(G481,NGPREVPRICES,4,FALSE),HLOOKUP(D481,PREVVOLS,VLOOKUP(G481,MOVE_DOWN2,2,FALSE),FALSE),VLOOKUP(G481,NGPREVPRICES,3,FALSE),HLOOKUP(D481,Correllate,VLOOKUP(G481,CorMove,2,FALSE),FALSE),Q481-$CD$3,R481,$CD$5)*H481-CJ481</f>
        <v>0</v>
      </c>
      <c r="CE481" s="234">
        <f>_xll.xSPRDOPT((VLOOKUP(G481,NGPREVPRICES,2,FALSE)+HLOOKUP(D481,PREVCURVES,VLOOKUP(G481,MOVE_DOWN2,2,FALSE),FALSE)),VLOOKUP(G481,NGPREVPRICES,2,FALSE),CK481,VLOOKUP(G481,NGPrices,4,FALSE),HLOOKUP(D481,PREVVOLS,VLOOKUP(G481,MOVE_DOWN2,2,FALSE),FALSE),VLOOKUP(G481,NGPREVPRICES,3,FALSE),HLOOKUP(D481,Correllate,VLOOKUP(G481,CorMove,2,FALSE),FALSE),Q481-$CD$3,R481,$CJ$5)*H481-CJ481</f>
        <v>0</v>
      </c>
      <c r="CF481" s="10">
        <f t="shared" si="553"/>
        <v>-122.17505699116737</v>
      </c>
      <c r="CG481" s="234">
        <f>_xll.xSPRDOPT((VLOOKUP(G481,NGPREVPRICES,2,FALSE)+HLOOKUP(D481,PREVCURVES,VLOOKUP(G481,MOVE_DOWN2,2,FALSE),FALSE)),VLOOKUP(G481,NGPREVPRICES,2,FALSE),CK481,VLOOKUP(G481,NGPREVPRICES,4,FALSE),HLOOKUP(D481,VOLS,VLOOKUP(G481,move_down,2,FALSE),FALSE),VLOOKUP(G481,NGPrices,3,FALSE),HLOOKUP(D481,Correllate,VLOOKUP(G481,CorMove,2,FALSE),FALSE),Q481-$CD$3,R481,$CJ$5)*H481-CJ481</f>
        <v>0</v>
      </c>
      <c r="CH481" s="234">
        <f>_xll.xSPRDOPT((VLOOKUP(G481,NGPREVPRICES,2,FALSE)+HLOOKUP(D481,PREVCURVES,VLOOKUP(G481,MOVE_DOWN2,2,FALSE),FALSE)),VLOOKUP(G481,NGPREVPRICES,2,FALSE),CK481,VLOOKUP(G481,NGPREVPRICES,4,FALSE),HLOOKUP(D481,PREVVOLS,VLOOKUP(G481,MOVE_DOWN2,2,FALSE),FALSE),VLOOKUP(G481,NGPREVPRICES,3,FALSE),HLOOKUP(D481,Correllate,VLOOKUP(G481,CorMove,2,FALSE),FALSE),Q481-$C$3,R481,$CJ$5)*H481-CJ481</f>
        <v>-1250.7107570039807</v>
      </c>
      <c r="CI481" s="234">
        <f t="shared" si="554"/>
        <v>-1372.8858139951481</v>
      </c>
      <c r="CJ481" s="234">
        <f>_xll.xSPRDOPT((VLOOKUP(G481,NGPREVPRICES,2,FALSE)+HLOOKUP(D481,PREVCURVES,VLOOKUP(G481,MOVE_DOWN2,2,FALSE),FALSE)),VLOOKUP(G481,NGPREVPRICES,2,FALSE),CK481,VLOOKUP(G481,NGPREVPRICES,4,FALSE),HLOOKUP(D481,PREVVOLS,VLOOKUP(G481,MOVE_DOWN2,2,FALSE),FALSE),VLOOKUP(G481,NGPREVPRICES,3,FALSE),HLOOKUP(D481,Correllate,VLOOKUP(G481,CorMove,2,FALSE),FALSE),Q481-$CD$3,R481,$CJ$5)*H481</f>
        <v>648345.9042887683</v>
      </c>
      <c r="CK481" s="235">
        <f t="shared" si="555"/>
        <v>0.3</v>
      </c>
      <c r="CM481" t="str">
        <f t="shared" si="556"/>
        <v>36892Curve Shift/Gamma</v>
      </c>
      <c r="CN481" t="str">
        <f t="shared" si="499"/>
        <v>36892Rho</v>
      </c>
      <c r="CO481" t="str">
        <f t="shared" si="500"/>
        <v>36892Drift</v>
      </c>
      <c r="CP481" t="str">
        <f t="shared" si="501"/>
        <v>36892Vega</v>
      </c>
      <c r="CQ481" t="str">
        <f t="shared" si="502"/>
        <v>36892Theta</v>
      </c>
    </row>
    <row r="482" spans="1:95" x14ac:dyDescent="0.25">
      <c r="A482" s="140" t="s">
        <v>279</v>
      </c>
      <c r="B482" t="s">
        <v>250</v>
      </c>
      <c r="C482" t="s">
        <v>507</v>
      </c>
      <c r="D482" s="4" t="s">
        <v>190</v>
      </c>
      <c r="E482" t="s">
        <v>20</v>
      </c>
      <c r="F482" t="s">
        <v>21</v>
      </c>
      <c r="G482" s="5">
        <v>36861</v>
      </c>
      <c r="H482" s="130">
        <v>1000000</v>
      </c>
      <c r="I482">
        <v>0.3</v>
      </c>
      <c r="J482" s="53">
        <f t="shared" si="523"/>
        <v>4.8</v>
      </c>
      <c r="K482" s="7">
        <f t="shared" si="524"/>
        <v>1.0049999999999999</v>
      </c>
      <c r="L482" s="53">
        <f t="shared" si="525"/>
        <v>5.8049999999999997</v>
      </c>
      <c r="M482" s="157">
        <f t="shared" si="545"/>
        <v>6.8314027999354002E-2</v>
      </c>
      <c r="N482" s="4">
        <f t="shared" si="546"/>
        <v>0.6</v>
      </c>
      <c r="O482" s="4">
        <f t="shared" si="547"/>
        <v>0.58199999999999996</v>
      </c>
      <c r="P482" s="9">
        <f t="shared" si="548"/>
        <v>0.85</v>
      </c>
      <c r="Q482" s="5">
        <f t="shared" si="520"/>
        <v>36859</v>
      </c>
      <c r="R482" s="4">
        <f t="shared" si="549"/>
        <v>1</v>
      </c>
      <c r="S482" s="158">
        <f>_xll.xSPRDOPT($L482,$J482,$I482,$M482,$O482,$N482,$P482,$Q482-$C$3,$R482,0)</f>
        <v>0.79086517743194373</v>
      </c>
      <c r="T482" s="159">
        <f>_xll.xSPRDOPT($L482,$J482,$I482,$M482,$O482,$N482,$P482,$Q482-$C$3,$R482,1)*H482</f>
        <v>801876.9901195413</v>
      </c>
      <c r="U482" s="160">
        <f t="shared" si="550"/>
        <v>790865.17743194371</v>
      </c>
      <c r="V482" s="159">
        <f>_xll.xSPRDOPT($L482,$J482,$I482,$M482,$O482,$N482,$P482,$Q482-$C$3,$R482,2)*H482</f>
        <v>-756499.39965542324</v>
      </c>
      <c r="W482" s="159">
        <f t="shared" si="551"/>
        <v>45377.590464118053</v>
      </c>
      <c r="X482" s="51" t="str">
        <f t="shared" si="517"/>
        <v>36861NGI-SOCAL</v>
      </c>
      <c r="Y482" s="418">
        <f t="shared" si="518"/>
        <v>100</v>
      </c>
      <c r="Z482" s="456">
        <f t="shared" si="519"/>
        <v>0.80187699011954128</v>
      </c>
      <c r="AA482" s="456">
        <f>_xll.xSPRDOPT($L482,$J482,$I482,$M482,$O482,$N482,$P482,$Q482-$C$3,$R482,3)</f>
        <v>0.28521344905962409</v>
      </c>
      <c r="AB482" s="456">
        <f>((_xll.xSPRDOPT($L482+AB$5,$J482,$I482,$M482,$O482,$N482,$P482,$Q482-$C$3,$R482,3)*$H482)/10000)/100</f>
        <v>0.28521344905962409</v>
      </c>
      <c r="AC482" s="456">
        <f>((_xll.xSPRDOPT($L482+$AB$5,$J482,$I482,$M482,$O482,$N482,$P482,$Q482-$C$3,$R482,7)*$H482)/100)</f>
        <v>-7979.2886783822614</v>
      </c>
      <c r="AD482" s="456">
        <f>(_xll.xSPRDOPT($L482+$AB$5,$J482,$I482,$M482,$O482,$N482,$P482,$Q482-$C$3,$R482,9)/365)*$H482</f>
        <v>-1158.2886757742294</v>
      </c>
      <c r="AE482">
        <f t="shared" si="521"/>
        <v>0</v>
      </c>
      <c r="AF482" s="456">
        <f t="shared" si="522"/>
        <v>4003.2703424236133</v>
      </c>
      <c r="AG482" s="456">
        <f>((_xll.xSPRDOPT($L482,$J482,$I482,$M482,$O482,$N482,$P482,$Q482-$C$3,$R482,6)*$H482)/100)</f>
        <v>1640.443821193755</v>
      </c>
      <c r="AH482" s="456">
        <f>((_xll.xSPRDOPT($L482,$J482,$I482,$M482,$O482,$N482,$P482,$Q482-$C$3,$R482,5)*$H482)/100)</f>
        <v>2435.9036301338747</v>
      </c>
      <c r="AI482" s="456">
        <f>(((_xll.xSPRDOPT($L482,$J482,$I482,$M482,$O482,$N482,$P482,$Q482-$C$3,$R482,4)*$H482)/10000)/100)-AB482</f>
        <v>8.6536008441225276E-2</v>
      </c>
      <c r="AJ482" s="456"/>
      <c r="AK482" s="456"/>
      <c r="AL482" s="456"/>
      <c r="AM482" s="472"/>
      <c r="CC482" s="141">
        <f t="shared" si="552"/>
        <v>36861</v>
      </c>
      <c r="CD482" s="234">
        <f>_xll.xSPRDOPT((VLOOKUP(G482,NGPrices,2,FALSE)+HLOOKUP(D482,Prices,VLOOKUP(G482,move_down,2,FALSE),FALSE)),VLOOKUP(G482,NGPrices,2,FALSE),I482,VLOOKUP(G482,NGPREVPRICES,4,FALSE),HLOOKUP(D482,PREVVOLS,VLOOKUP(G482,MOVE_DOWN2,2,FALSE),FALSE),VLOOKUP(G482,NGPREVPRICES,3,FALSE),HLOOKUP(D482,Correllate,VLOOKUP(G482,CorMove,2,FALSE),FALSE),Q482-$CD$3,R482,$CD$5)*H482-CJ482</f>
        <v>0</v>
      </c>
      <c r="CE482" s="234">
        <f>_xll.xSPRDOPT((VLOOKUP(G482,NGPREVPRICES,2,FALSE)+HLOOKUP(D482,PREVCURVES,VLOOKUP(G482,MOVE_DOWN2,2,FALSE),FALSE)),VLOOKUP(G482,NGPREVPRICES,2,FALSE),CK482,VLOOKUP(G482,NGPrices,4,FALSE),HLOOKUP(D482,PREVVOLS,VLOOKUP(G482,MOVE_DOWN2,2,FALSE),FALSE),VLOOKUP(G482,NGPREVPRICES,3,FALSE),HLOOKUP(D482,Correllate,VLOOKUP(G482,CorMove,2,FALSE),FALSE),Q482-$CD$3,R482,$CJ$5)*H482-CJ482</f>
        <v>0</v>
      </c>
      <c r="CF482" s="10">
        <f t="shared" si="553"/>
        <v>-148.37562714866363</v>
      </c>
      <c r="CG482" s="234">
        <f>_xll.xSPRDOPT((VLOOKUP(G482,NGPREVPRICES,2,FALSE)+HLOOKUP(D482,PREVCURVES,VLOOKUP(G482,MOVE_DOWN2,2,FALSE),FALSE)),VLOOKUP(G482,NGPREVPRICES,2,FALSE),CK482,VLOOKUP(G482,NGPREVPRICES,4,FALSE),HLOOKUP(D482,VOLS,VLOOKUP(G482,move_down,2,FALSE),FALSE),VLOOKUP(G482,NGPrices,3,FALSE),HLOOKUP(D482,Correllate,VLOOKUP(G482,CorMove,2,FALSE),FALSE),Q482-$CD$3,R482,$CJ$5)*H482-CJ482</f>
        <v>0</v>
      </c>
      <c r="CH482" s="234">
        <f>_xll.xSPRDOPT((VLOOKUP(G482,NGPREVPRICES,2,FALSE)+HLOOKUP(D482,PREVCURVES,VLOOKUP(G482,MOVE_DOWN2,2,FALSE),FALSE)),VLOOKUP(G482,NGPREVPRICES,2,FALSE),CK482,VLOOKUP(G482,NGPREVPRICES,4,FALSE),HLOOKUP(D482,PREVVOLS,VLOOKUP(G482,MOVE_DOWN2,2,FALSE),FALSE),VLOOKUP(G482,NGPREVPRICES,3,FALSE),HLOOKUP(D482,Correllate,VLOOKUP(G482,CorMove,2,FALSE),FALSE),Q482-$C$3,R482,$CJ$5)*H482-CJ482</f>
        <v>-1156.0809697007062</v>
      </c>
      <c r="CI482" s="234">
        <f t="shared" si="554"/>
        <v>-1304.4565968493698</v>
      </c>
      <c r="CJ482" s="234">
        <f>_xll.xSPRDOPT((VLOOKUP(G482,NGPREVPRICES,2,FALSE)+HLOOKUP(D482,PREVCURVES,VLOOKUP(G482,MOVE_DOWN2,2,FALSE),FALSE)),VLOOKUP(G482,NGPREVPRICES,2,FALSE),CK482,VLOOKUP(G482,NGPREVPRICES,4,FALSE),HLOOKUP(D482,PREVVOLS,VLOOKUP(G482,MOVE_DOWN2,2,FALSE),FALSE),VLOOKUP(G482,NGPREVPRICES,3,FALSE),HLOOKUP(D482,Correllate,VLOOKUP(G482,CorMove,2,FALSE),FALSE),Q482-$CD$3,R482,$CJ$5)*H482</f>
        <v>792021.25840164442</v>
      </c>
      <c r="CK482" s="235">
        <f t="shared" si="555"/>
        <v>0.3</v>
      </c>
      <c r="CM482" t="str">
        <f t="shared" si="556"/>
        <v>36861Curve Shift/Gamma</v>
      </c>
      <c r="CN482" t="str">
        <f t="shared" si="499"/>
        <v>36861Rho</v>
      </c>
      <c r="CO482" t="str">
        <f t="shared" si="500"/>
        <v>36861Drift</v>
      </c>
      <c r="CP482" t="str">
        <f t="shared" si="501"/>
        <v>36861Vega</v>
      </c>
      <c r="CQ482" t="str">
        <f t="shared" si="502"/>
        <v>36861Theta</v>
      </c>
    </row>
    <row r="483" spans="1:95" x14ac:dyDescent="0.25">
      <c r="A483" s="140" t="s">
        <v>279</v>
      </c>
      <c r="B483" t="s">
        <v>250</v>
      </c>
      <c r="C483" t="s">
        <v>507</v>
      </c>
      <c r="D483" s="4" t="s">
        <v>190</v>
      </c>
      <c r="E483" t="s">
        <v>20</v>
      </c>
      <c r="F483" t="s">
        <v>21</v>
      </c>
      <c r="G483" s="5">
        <v>36831</v>
      </c>
      <c r="H483" s="130">
        <v>1000000</v>
      </c>
      <c r="I483">
        <v>0.3</v>
      </c>
      <c r="J483" s="53">
        <f t="shared" si="523"/>
        <v>4.7359999999999998</v>
      </c>
      <c r="K483" s="7">
        <f t="shared" si="524"/>
        <v>1.5449999999999999</v>
      </c>
      <c r="L483" s="53">
        <f t="shared" si="525"/>
        <v>6.2809999999999997</v>
      </c>
      <c r="M483" s="157">
        <f t="shared" ref="M483:M497" si="557">VLOOKUP(G483,NGPrices,4,FALSE)</f>
        <v>6.810675983792E-2</v>
      </c>
      <c r="N483" s="4">
        <f t="shared" ref="N483:N497" si="558">VLOOKUP(G483,NGPrices,3,FALSE)</f>
        <v>0.59499999999999997</v>
      </c>
      <c r="O483" s="4">
        <f t="shared" ref="O483:O497" si="559">HLOOKUP(D483,VOLS,VLOOKUP(G483,move_down,2,FALSE),FALSE)</f>
        <v>0.57699999999999996</v>
      </c>
      <c r="P483" s="9">
        <f t="shared" ref="P483:P497" si="560">HLOOKUP(D483,Correllate,VLOOKUP(G483,CorMove,2,FALSE),FALSE)</f>
        <v>0.85</v>
      </c>
      <c r="Q483" s="5">
        <f t="shared" si="520"/>
        <v>36829</v>
      </c>
      <c r="R483" s="4">
        <f t="shared" ref="R483:R497" si="561">IF(F483="P",0,1)</f>
        <v>1</v>
      </c>
      <c r="S483" s="158">
        <f>_xll.xSPRDOPT($L483,$J483,$I483,$M483,$O483,$N483,$P483,$Q483-$C$3,$R483,0)</f>
        <v>1.2431783155446245</v>
      </c>
      <c r="T483" s="159">
        <f>_xll.xSPRDOPT($L483,$J483,$I483,$M483,$O483,$N483,$P483,$Q483-$C$3,$R483,1)*H483</f>
        <v>951643.31752391008</v>
      </c>
      <c r="U483" s="160">
        <f t="shared" ref="U483:U497" si="562">S483*H483</f>
        <v>1243178.3155446246</v>
      </c>
      <c r="V483" s="159">
        <f>_xll.xSPRDOPT($L483,$J483,$I483,$M483,$O483,$N483,$P483,$Q483-$C$3,$R483,2)*H483</f>
        <v>-939729.3741162098</v>
      </c>
      <c r="W483" s="159">
        <f t="shared" ref="W483:W497" si="563">+V483+T483</f>
        <v>11913.943407700281</v>
      </c>
      <c r="X483" s="51" t="str">
        <f>CONCATENATE(G483,D483)</f>
        <v>36831NGI-SOCAL</v>
      </c>
      <c r="Y483" s="418">
        <f>H483/10000</f>
        <v>100</v>
      </c>
      <c r="Z483" s="456">
        <f>T483/H483</f>
        <v>0.95164331752391007</v>
      </c>
      <c r="AA483" s="456">
        <f>_xll.xSPRDOPT($L483,$J483,$I483,$M483,$O483,$N483,$P483,$Q483-$C$3,$R483,3)</f>
        <v>9.9509688054344972E-2</v>
      </c>
      <c r="AB483" s="456">
        <f>((_xll.xSPRDOPT($L483+AB$5,$J483,$I483,$M483,$O483,$N483,$P483,$Q483-$C$3,$R483,3)*$H483)/10000)/100</f>
        <v>9.9509688054344972E-2</v>
      </c>
      <c r="AC483" s="456">
        <f>((_xll.xSPRDOPT($L483+$AB$5,$J483,$I483,$M483,$O483,$N483,$P483,$Q483-$C$3,$R483,7)*$H483)/100)</f>
        <v>-2162.9093166471407</v>
      </c>
      <c r="AD483" s="456">
        <f>(_xll.xSPRDOPT($L483+$AB$5,$J483,$I483,$M483,$O483,$N483,$P483,$Q483-$C$3,$R483,9)/365)*$H483</f>
        <v>-293.11081025664021</v>
      </c>
      <c r="AE483">
        <f t="shared" si="521"/>
        <v>0</v>
      </c>
      <c r="AF483" s="456">
        <f t="shared" si="522"/>
        <v>1093.5359199068084</v>
      </c>
      <c r="AG483" s="456">
        <f>((_xll.xSPRDOPT($L483,$J483,$I483,$M483,$O483,$N483,$P483,$Q483-$C$3,$R483,6)*$H483)/100)</f>
        <v>454.66206273723503</v>
      </c>
      <c r="AH483" s="456">
        <f>((_xll.xSPRDOPT($L483,$J483,$I483,$M483,$O483,$N483,$P483,$Q483-$C$3,$R483,5)*$H483)/100)</f>
        <v>658.80406415233301</v>
      </c>
      <c r="AI483" s="456">
        <f>(((_xll.xSPRDOPT($L483,$J483,$I483,$M483,$O483,$N483,$P483,$Q483-$C$3,$R483,4)*$H483)/10000)/100)-AB483</f>
        <v>5.6955344879604505E-2</v>
      </c>
      <c r="AJ483" s="456"/>
      <c r="AK483" s="456"/>
      <c r="AL483" s="456"/>
      <c r="AM483" s="472"/>
      <c r="CC483" s="141">
        <f t="shared" si="552"/>
        <v>36831</v>
      </c>
      <c r="CD483" s="234">
        <f>_xll.xSPRDOPT((VLOOKUP(G483,NGPrices,2,FALSE)+HLOOKUP(D483,Prices,VLOOKUP(G483,move_down,2,FALSE),FALSE)),VLOOKUP(G483,NGPrices,2,FALSE),I483,VLOOKUP(G483,NGPREVPRICES,4,FALSE),HLOOKUP(D483,PREVVOLS,VLOOKUP(G483,MOVE_DOWN2,2,FALSE),FALSE),VLOOKUP(G483,NGPREVPRICES,3,FALSE),HLOOKUP(D483,Correllate,VLOOKUP(G483,CorMove,2,FALSE),FALSE),Q483-$CD$3,R483,$CD$5)*H483-CJ483</f>
        <v>0</v>
      </c>
      <c r="CE483" s="234">
        <f>_xll.xSPRDOPT((VLOOKUP(G483,NGPREVPRICES,2,FALSE)+HLOOKUP(D483,PREVCURVES,VLOOKUP(G483,MOVE_DOWN2,2,FALSE),FALSE)),VLOOKUP(G483,NGPREVPRICES,2,FALSE),CK483,VLOOKUP(G483,NGPrices,4,FALSE),HLOOKUP(D483,PREVVOLS,VLOOKUP(G483,MOVE_DOWN2,2,FALSE),FALSE),VLOOKUP(G483,NGPREVPRICES,3,FALSE),HLOOKUP(D483,Correllate,VLOOKUP(G483,CorMove,2,FALSE),FALSE),Q483-$CD$3,R483,$CJ$5)*H483-CJ483</f>
        <v>0</v>
      </c>
      <c r="CF483" s="10">
        <f t="shared" si="553"/>
        <v>-230.92658922169358</v>
      </c>
      <c r="CG483" s="234">
        <f>_xll.xSPRDOPT((VLOOKUP(G483,NGPREVPRICES,2,FALSE)+HLOOKUP(D483,PREVCURVES,VLOOKUP(G483,MOVE_DOWN2,2,FALSE),FALSE)),VLOOKUP(G483,NGPREVPRICES,2,FALSE),CK483,VLOOKUP(G483,NGPREVPRICES,4,FALSE),HLOOKUP(D483,VOLS,VLOOKUP(G483,move_down,2,FALSE),FALSE),VLOOKUP(G483,NGPrices,3,FALSE),HLOOKUP(D483,Correllate,VLOOKUP(G483,CorMove,2,FALSE),FALSE),Q483-$CD$3,R483,$CJ$5)*H483-CJ483</f>
        <v>0</v>
      </c>
      <c r="CH483" s="234">
        <f>_xll.xSPRDOPT((VLOOKUP(G483,NGPREVPRICES,2,FALSE)+HLOOKUP(D483,PREVCURVES,VLOOKUP(G483,MOVE_DOWN2,2,FALSE),FALSE)),VLOOKUP(G483,NGPREVPRICES,2,FALSE),CK483,VLOOKUP(G483,NGPREVPRICES,4,FALSE),HLOOKUP(D483,PREVVOLS,VLOOKUP(G483,MOVE_DOWN2,2,FALSE),FALSE),VLOOKUP(G483,NGPREVPRICES,3,FALSE),HLOOKUP(D483,Correllate,VLOOKUP(G483,CorMove,2,FALSE),FALSE),Q483-$C$3,R483,$CJ$5)*H483-CJ483</f>
        <v>-296.92262453981675</v>
      </c>
      <c r="CI483" s="234">
        <f t="shared" si="554"/>
        <v>-527.84921376151033</v>
      </c>
      <c r="CJ483" s="234">
        <f>_xll.xSPRDOPT((VLOOKUP(G483,NGPREVPRICES,2,FALSE)+HLOOKUP(D483,PREVCURVES,VLOOKUP(G483,MOVE_DOWN2,2,FALSE),FALSE)),VLOOKUP(G483,NGPREVPRICES,2,FALSE),CK483,VLOOKUP(G483,NGPREVPRICES,4,FALSE),HLOOKUP(D483,PREVVOLS,VLOOKUP(G483,MOVE_DOWN2,2,FALSE),FALSE),VLOOKUP(G483,NGPREVPRICES,3,FALSE),HLOOKUP(D483,Correllate,VLOOKUP(G483,CorMove,2,FALSE),FALSE),Q483-$CD$3,R483,$CJ$5)*H483</f>
        <v>1243475.2381691644</v>
      </c>
      <c r="CK483" s="235">
        <f t="shared" si="555"/>
        <v>0.3</v>
      </c>
      <c r="CM483" t="str">
        <f t="shared" si="556"/>
        <v>36831Curve Shift/Gamma</v>
      </c>
      <c r="CN483" t="str">
        <f t="shared" si="499"/>
        <v>36831Rho</v>
      </c>
      <c r="CO483" t="str">
        <f t="shared" si="500"/>
        <v>36831Drift</v>
      </c>
      <c r="CP483" t="str">
        <f t="shared" si="501"/>
        <v>36831Vega</v>
      </c>
      <c r="CQ483" t="str">
        <f t="shared" si="502"/>
        <v>36831Theta</v>
      </c>
    </row>
    <row r="484" spans="1:95" x14ac:dyDescent="0.25">
      <c r="A484" s="140" t="s">
        <v>509</v>
      </c>
      <c r="B484" t="s">
        <v>250</v>
      </c>
      <c r="C484" t="s">
        <v>508</v>
      </c>
      <c r="D484" s="4" t="s">
        <v>190</v>
      </c>
      <c r="E484" t="s">
        <v>20</v>
      </c>
      <c r="F484" t="s">
        <v>21</v>
      </c>
      <c r="G484" s="5">
        <v>36951</v>
      </c>
      <c r="H484" s="130">
        <v>500000</v>
      </c>
      <c r="I484">
        <v>0.3</v>
      </c>
      <c r="J484" s="53">
        <f t="shared" si="523"/>
        <v>4.2130000000000001</v>
      </c>
      <c r="K484" s="7">
        <f t="shared" si="524"/>
        <v>0.59750000000000003</v>
      </c>
      <c r="L484" s="53">
        <f t="shared" si="525"/>
        <v>4.8105000000000002</v>
      </c>
      <c r="M484" s="157">
        <f t="shared" si="557"/>
        <v>6.8879814952706994E-2</v>
      </c>
      <c r="N484" s="4">
        <f t="shared" si="558"/>
        <v>0.53249999999999997</v>
      </c>
      <c r="O484" s="4">
        <f t="shared" si="559"/>
        <v>0.51700000000000002</v>
      </c>
      <c r="P484" s="9">
        <f t="shared" si="560"/>
        <v>0.85</v>
      </c>
      <c r="Q484" s="5">
        <f t="shared" si="520"/>
        <v>36949</v>
      </c>
      <c r="R484" s="4">
        <f t="shared" si="561"/>
        <v>1</v>
      </c>
      <c r="S484" s="158">
        <f>_xll.xSPRDOPT($L484,$J484,$I484,$M484,$O484,$N484,$P484,$Q484-$C$3,$R484,0)</f>
        <v>0.51490268222906133</v>
      </c>
      <c r="T484" s="159">
        <f>_xll.xSPRDOPT($L484,$J484,$I484,$M484,$O484,$N484,$P484,$Q484-$C$3,$R484,1)*H484</f>
        <v>320881.50717756222</v>
      </c>
      <c r="U484" s="160">
        <f t="shared" si="562"/>
        <v>257451.34111453066</v>
      </c>
      <c r="V484" s="159">
        <f>_xll.xSPRDOPT($L484,$J484,$I484,$M484,$O484,$N484,$P484,$Q484-$C$3,$R484,2)*H484</f>
        <v>-284047.38765731722</v>
      </c>
      <c r="W484" s="159">
        <f t="shared" si="563"/>
        <v>36834.119520245004</v>
      </c>
      <c r="X484" s="51" t="str">
        <f>CONCATENATE(G484,D484)</f>
        <v>36951NGI-SOCAL</v>
      </c>
      <c r="Y484" s="418">
        <f>H484/10000</f>
        <v>50</v>
      </c>
      <c r="Z484" s="456">
        <f>T484/H484</f>
        <v>0.64176301435512439</v>
      </c>
      <c r="AA484" s="456">
        <f>_xll.xSPRDOPT($L484,$J484,$I484,$M484,$O484,$N484,$P484,$Q484-$C$3,$R484,3)</f>
        <v>0.37242484350268151</v>
      </c>
      <c r="AB484" s="456">
        <f>((_xll.xSPRDOPT($L484+AB$5,$J484,$I484,$M484,$O484,$N484,$P484,$Q484-$C$3,$R484,3)*$H484)/10000)/100</f>
        <v>0.18621242175134076</v>
      </c>
      <c r="AC484" s="456">
        <f>((_xll.xSPRDOPT($L484+$AB$5,$J484,$I484,$M484,$O484,$N484,$P484,$Q484-$C$3,$R484,7)*$H484)/100)</f>
        <v>-5524.3178197308689</v>
      </c>
      <c r="AD484" s="456">
        <f>(_xll.xSPRDOPT($L484+$AB$5,$J484,$I484,$M484,$O484,$N484,$P484,$Q484-$C$3,$R484,9)/365)*$H484</f>
        <v>-410.14168471684883</v>
      </c>
      <c r="AE484">
        <f t="shared" si="521"/>
        <v>0</v>
      </c>
      <c r="AF484" s="456">
        <f t="shared" si="522"/>
        <v>3133.5568078197048</v>
      </c>
      <c r="AG484" s="456">
        <f>((_xll.xSPRDOPT($L484,$J484,$I484,$M484,$O484,$N484,$P484,$Q484-$C$3,$R484,6)*$H484)/100)</f>
        <v>1173.8800273099266</v>
      </c>
      <c r="AH484" s="456">
        <f>((_xll.xSPRDOPT($L484,$J484,$I484,$M484,$O484,$N484,$P484,$Q484-$C$3,$R484,5)*$H484)/100)</f>
        <v>2018.4291791517542</v>
      </c>
      <c r="AI484" s="456">
        <f>(((_xll.xSPRDOPT($L484,$J484,$I484,$M484,$O484,$N484,$P484,$Q484-$C$3,$R484,4)*$H484)/10000)/100)-AB484</f>
        <v>2.5951132870878274E-2</v>
      </c>
      <c r="AJ484" s="456"/>
      <c r="AK484" s="456"/>
      <c r="AL484" s="456"/>
      <c r="AM484" s="472"/>
      <c r="CC484" s="141">
        <f t="shared" si="552"/>
        <v>36951</v>
      </c>
      <c r="CD484" s="234">
        <f>_xll.xSPRDOPT((VLOOKUP(G484,NGPrices,2,FALSE)+HLOOKUP(D484,Prices,VLOOKUP(G484,move_down,2,FALSE),FALSE)),VLOOKUP(G484,NGPrices,2,FALSE),I484,VLOOKUP(G484,NGPREVPRICES,4,FALSE),HLOOKUP(D484,PREVVOLS,VLOOKUP(G484,MOVE_DOWN2,2,FALSE),FALSE),VLOOKUP(G484,NGPREVPRICES,3,FALSE),HLOOKUP(D484,Correllate,VLOOKUP(G484,CorMove,2,FALSE),FALSE),Q484-$CD$3,R484,$CD$5)*H484-CJ484</f>
        <v>0</v>
      </c>
      <c r="CE484" s="234">
        <f>_xll.xSPRDOPT((VLOOKUP(G484,NGPREVPRICES,2,FALSE)+HLOOKUP(D484,PREVCURVES,VLOOKUP(G484,MOVE_DOWN2,2,FALSE),FALSE)),VLOOKUP(G484,NGPREVPRICES,2,FALSE),CK484,VLOOKUP(G484,NGPrices,4,FALSE),HLOOKUP(D484,PREVVOLS,VLOOKUP(G484,MOVE_DOWN2,2,FALSE),FALSE),VLOOKUP(G484,NGPREVPRICES,3,FALSE),HLOOKUP(D484,Correllate,VLOOKUP(G484,CorMove,2,FALSE),FALSE),Q484-$CD$3,R484,$CJ$5)*H484-CJ484</f>
        <v>0</v>
      </c>
      <c r="CF484" s="10">
        <f t="shared" si="553"/>
        <v>-49.453800749208312</v>
      </c>
      <c r="CG484" s="234">
        <f>_xll.xSPRDOPT((VLOOKUP(G484,NGPREVPRICES,2,FALSE)+HLOOKUP(D484,PREVCURVES,VLOOKUP(G484,MOVE_DOWN2,2,FALSE),FALSE)),VLOOKUP(G484,NGPREVPRICES,2,FALSE),CK484,VLOOKUP(G484,NGPREVPRICES,4,FALSE),HLOOKUP(D484,VOLS,VLOOKUP(G484,move_down,2,FALSE),FALSE),VLOOKUP(G484,NGPrices,3,FALSE),HLOOKUP(D484,Correllate,VLOOKUP(G484,CorMove,2,FALSE),FALSE),Q484-$CD$3,R484,$CJ$5)*H484-CJ484</f>
        <v>0</v>
      </c>
      <c r="CH484" s="234">
        <f>_xll.xSPRDOPT((VLOOKUP(G484,NGPREVPRICES,2,FALSE)+HLOOKUP(D484,PREVCURVES,VLOOKUP(G484,MOVE_DOWN2,2,FALSE),FALSE)),VLOOKUP(G484,NGPREVPRICES,2,FALSE),CK484,VLOOKUP(G484,NGPREVPRICES,4,FALSE),HLOOKUP(D484,PREVVOLS,VLOOKUP(G484,MOVE_DOWN2,2,FALSE),FALSE),VLOOKUP(G484,NGPREVPRICES,3,FALSE),HLOOKUP(D484,Correllate,VLOOKUP(G484,CorMove,2,FALSE),FALSE),Q484-$C$3,R484,$CJ$5)*H484-CJ484</f>
        <v>-409.21285839550546</v>
      </c>
      <c r="CI484" s="234">
        <f t="shared" si="554"/>
        <v>-458.66665914471378</v>
      </c>
      <c r="CJ484" s="234">
        <f>_xll.xSPRDOPT((VLOOKUP(G484,NGPREVPRICES,2,FALSE)+HLOOKUP(D484,PREVCURVES,VLOOKUP(G484,MOVE_DOWN2,2,FALSE),FALSE)),VLOOKUP(G484,NGPREVPRICES,2,FALSE),CK484,VLOOKUP(G484,NGPREVPRICES,4,FALSE),HLOOKUP(D484,PREVVOLS,VLOOKUP(G484,MOVE_DOWN2,2,FALSE),FALSE),VLOOKUP(G484,NGPREVPRICES,3,FALSE),HLOOKUP(D484,Correllate,VLOOKUP(G484,CorMove,2,FALSE),FALSE),Q484-$CD$3,R484,$CJ$5)*H484</f>
        <v>257860.55397292617</v>
      </c>
      <c r="CK484" s="235">
        <f t="shared" si="555"/>
        <v>0.3</v>
      </c>
      <c r="CM484" t="str">
        <f t="shared" si="556"/>
        <v>36951Curve Shift/Gamma</v>
      </c>
      <c r="CN484" t="str">
        <f t="shared" si="499"/>
        <v>36951Rho</v>
      </c>
      <c r="CO484" t="str">
        <f t="shared" si="500"/>
        <v>36951Drift</v>
      </c>
      <c r="CP484" t="str">
        <f t="shared" si="501"/>
        <v>36951Vega</v>
      </c>
      <c r="CQ484" t="str">
        <f t="shared" si="502"/>
        <v>36951Theta</v>
      </c>
    </row>
    <row r="485" spans="1:95" x14ac:dyDescent="0.25">
      <c r="A485" s="140" t="s">
        <v>509</v>
      </c>
      <c r="B485" t="s">
        <v>250</v>
      </c>
      <c r="C485" t="s">
        <v>508</v>
      </c>
      <c r="D485" s="4" t="s">
        <v>190</v>
      </c>
      <c r="E485" t="s">
        <v>20</v>
      </c>
      <c r="F485" t="s">
        <v>21</v>
      </c>
      <c r="G485" s="5">
        <v>36923</v>
      </c>
      <c r="H485" s="130">
        <v>500000</v>
      </c>
      <c r="I485">
        <v>0.3</v>
      </c>
      <c r="J485" s="53">
        <f t="shared" si="523"/>
        <v>4.4800000000000004</v>
      </c>
      <c r="K485" s="7">
        <f t="shared" si="524"/>
        <v>0.61750000000000005</v>
      </c>
      <c r="L485" s="53">
        <f t="shared" si="525"/>
        <v>5.0975000000000001</v>
      </c>
      <c r="M485" s="157">
        <f t="shared" si="557"/>
        <v>6.8640161611372E-2</v>
      </c>
      <c r="N485" s="4">
        <f t="shared" si="558"/>
        <v>0.59250000000000003</v>
      </c>
      <c r="O485" s="4">
        <f t="shared" si="559"/>
        <v>0.57499999999999996</v>
      </c>
      <c r="P485" s="9">
        <f t="shared" si="560"/>
        <v>0.85</v>
      </c>
      <c r="Q485" s="5">
        <f t="shared" si="520"/>
        <v>36921</v>
      </c>
      <c r="R485" s="4">
        <f t="shared" si="561"/>
        <v>1</v>
      </c>
      <c r="S485" s="158">
        <f>_xll.xSPRDOPT($L485,$J485,$I485,$M485,$O485,$N485,$P485,$Q485-$C$3,$R485,0)</f>
        <v>0.55864567410775812</v>
      </c>
      <c r="T485" s="159">
        <f>_xll.xSPRDOPT($L485,$J485,$I485,$M485,$O485,$N485,$P485,$Q485-$C$3,$R485,1)*H485</f>
        <v>322075.59466654656</v>
      </c>
      <c r="U485" s="160">
        <f t="shared" si="562"/>
        <v>279322.83705387905</v>
      </c>
      <c r="V485" s="159">
        <f>_xll.xSPRDOPT($L485,$J485,$I485,$M485,$O485,$N485,$P485,$Q485-$C$3,$R485,2)*H485</f>
        <v>-284084.03546328773</v>
      </c>
      <c r="W485" s="159">
        <f t="shared" si="563"/>
        <v>37991.559203258832</v>
      </c>
      <c r="X485" s="51" t="str">
        <f>CONCATENATE(G485,D485)</f>
        <v>36923NGI-SOCAL</v>
      </c>
      <c r="Y485" s="418">
        <f>H485/10000</f>
        <v>50</v>
      </c>
      <c r="Z485" s="456">
        <f>T485/H485</f>
        <v>0.64415118933309312</v>
      </c>
      <c r="AA485" s="456">
        <f>_xll.xSPRDOPT($L485,$J485,$I485,$M485,$O485,$N485,$P485,$Q485-$C$3,$R485,3)</f>
        <v>0.34526336742509806</v>
      </c>
      <c r="AB485" s="456">
        <f>((_xll.xSPRDOPT($L485+AB$5,$J485,$I485,$M485,$O485,$N485,$P485,$Q485-$C$3,$R485,3)*$H485)/10000)/100</f>
        <v>0.17263168371254903</v>
      </c>
      <c r="AC485" s="456">
        <f>((_xll.xSPRDOPT($L485+$AB$5,$J485,$I485,$M485,$O485,$N485,$P485,$Q485-$C$3,$R485,7)*$H485)/100)</f>
        <v>-6045.5462123289853</v>
      </c>
      <c r="AD485" s="456">
        <f>(_xll.xSPRDOPT($L485+$AB$5,$J485,$I485,$M485,$O485,$N485,$P485,$Q485-$C$3,$R485,9)/365)*$H485</f>
        <v>-540.05875049629901</v>
      </c>
      <c r="AE485">
        <f t="shared" si="521"/>
        <v>0</v>
      </c>
      <c r="AF485" s="456">
        <f t="shared" si="522"/>
        <v>3078.3431243497948</v>
      </c>
      <c r="AG485" s="456">
        <f>((_xll.xSPRDOPT($L485,$J485,$I485,$M485,$O485,$N485,$P485,$Q485-$C$3,$R485,6)*$H485)/100)</f>
        <v>1197.3864797689093</v>
      </c>
      <c r="AH485" s="456">
        <f>((_xll.xSPRDOPT($L485,$J485,$I485,$M485,$O485,$N485,$P485,$Q485-$C$3,$R485,5)*$H485)/100)</f>
        <v>1938.2031511550865</v>
      </c>
      <c r="AI485" s="456">
        <f>(((_xll.xSPRDOPT($L485,$J485,$I485,$M485,$O485,$N485,$P485,$Q485-$C$3,$R485,4)*$H485)/10000)/100)-AB485</f>
        <v>2.4228020786760535E-2</v>
      </c>
      <c r="AJ485" s="456"/>
      <c r="AK485" s="456"/>
      <c r="AL485" s="456"/>
      <c r="AM485" s="472"/>
      <c r="CC485" s="141">
        <f t="shared" si="552"/>
        <v>36923</v>
      </c>
      <c r="CD485" s="234">
        <f>_xll.xSPRDOPT((VLOOKUP(G485,NGPrices,2,FALSE)+HLOOKUP(D485,Prices,VLOOKUP(G485,move_down,2,FALSE),FALSE)),VLOOKUP(G485,NGPrices,2,FALSE),I485,VLOOKUP(G485,NGPREVPRICES,4,FALSE),HLOOKUP(D485,PREVVOLS,VLOOKUP(G485,MOVE_DOWN2,2,FALSE),FALSE),VLOOKUP(G485,NGPREVPRICES,3,FALSE),HLOOKUP(D485,Correllate,VLOOKUP(G485,CorMove,2,FALSE),FALSE),Q485-$CD$3,R485,$CD$5)*H485-CJ485</f>
        <v>0</v>
      </c>
      <c r="CE485" s="234">
        <f>_xll.xSPRDOPT((VLOOKUP(G485,NGPREVPRICES,2,FALSE)+HLOOKUP(D485,PREVCURVES,VLOOKUP(G485,MOVE_DOWN2,2,FALSE),FALSE)),VLOOKUP(G485,NGPREVPRICES,2,FALSE),CK485,VLOOKUP(G485,NGPrices,4,FALSE),HLOOKUP(D485,PREVVOLS,VLOOKUP(G485,MOVE_DOWN2,2,FALSE),FALSE),VLOOKUP(G485,NGPREVPRICES,3,FALSE),HLOOKUP(D485,Correllate,VLOOKUP(G485,CorMove,2,FALSE),FALSE),Q485-$CD$3,R485,$CJ$5)*H485-CJ485</f>
        <v>0</v>
      </c>
      <c r="CF485" s="10">
        <f t="shared" si="553"/>
        <v>-53.226439186546486</v>
      </c>
      <c r="CG485" s="234">
        <f>_xll.xSPRDOPT((VLOOKUP(G485,NGPREVPRICES,2,FALSE)+HLOOKUP(D485,PREVCURVES,VLOOKUP(G485,MOVE_DOWN2,2,FALSE),FALSE)),VLOOKUP(G485,NGPREVPRICES,2,FALSE),CK485,VLOOKUP(G485,NGPREVPRICES,4,FALSE),HLOOKUP(D485,VOLS,VLOOKUP(G485,move_down,2,FALSE),FALSE),VLOOKUP(G485,NGPrices,3,FALSE),HLOOKUP(D485,Correllate,VLOOKUP(G485,CorMove,2,FALSE),FALSE),Q485-$CD$3,R485,$CJ$5)*H485-CJ485</f>
        <v>0</v>
      </c>
      <c r="CH485" s="234">
        <f>_xll.xSPRDOPT((VLOOKUP(G485,NGPREVPRICES,2,FALSE)+HLOOKUP(D485,PREVCURVES,VLOOKUP(G485,MOVE_DOWN2,2,FALSE),FALSE)),VLOOKUP(G485,NGPREVPRICES,2,FALSE),CK485,VLOOKUP(G485,NGPREVPRICES,4,FALSE),HLOOKUP(D485,PREVVOLS,VLOOKUP(G485,MOVE_DOWN2,2,FALSE),FALSE),VLOOKUP(G485,NGPREVPRICES,3,FALSE),HLOOKUP(D485,Correllate,VLOOKUP(G485,CorMove,2,FALSE),FALSE),Q485-$C$3,R485,$CJ$5)*H485-CJ485</f>
        <v>-538.7146212363732</v>
      </c>
      <c r="CI485" s="234">
        <f t="shared" si="554"/>
        <v>-591.94106042291969</v>
      </c>
      <c r="CJ485" s="234">
        <f>_xll.xSPRDOPT((VLOOKUP(G485,NGPREVPRICES,2,FALSE)+HLOOKUP(D485,PREVCURVES,VLOOKUP(G485,MOVE_DOWN2,2,FALSE),FALSE)),VLOOKUP(G485,NGPREVPRICES,2,FALSE),CK485,VLOOKUP(G485,NGPREVPRICES,4,FALSE),HLOOKUP(D485,PREVVOLS,VLOOKUP(G485,MOVE_DOWN2,2,FALSE),FALSE),VLOOKUP(G485,NGPREVPRICES,3,FALSE),HLOOKUP(D485,Correllate,VLOOKUP(G485,CorMove,2,FALSE),FALSE),Q485-$CD$3,R485,$CJ$5)*H485</f>
        <v>279861.55167511542</v>
      </c>
      <c r="CK485" s="235">
        <f t="shared" si="555"/>
        <v>0.3</v>
      </c>
      <c r="CM485" t="str">
        <f t="shared" si="556"/>
        <v>36923Curve Shift/Gamma</v>
      </c>
      <c r="CN485" t="str">
        <f t="shared" si="499"/>
        <v>36923Rho</v>
      </c>
      <c r="CO485" t="str">
        <f t="shared" si="500"/>
        <v>36923Drift</v>
      </c>
      <c r="CP485" t="str">
        <f t="shared" si="501"/>
        <v>36923Vega</v>
      </c>
      <c r="CQ485" t="str">
        <f t="shared" si="502"/>
        <v>36923Theta</v>
      </c>
    </row>
    <row r="486" spans="1:95" x14ac:dyDescent="0.25">
      <c r="A486" s="140" t="s">
        <v>509</v>
      </c>
      <c r="B486" t="s">
        <v>250</v>
      </c>
      <c r="C486" t="s">
        <v>508</v>
      </c>
      <c r="D486" s="4" t="s">
        <v>190</v>
      </c>
      <c r="E486" t="s">
        <v>20</v>
      </c>
      <c r="F486" t="s">
        <v>21</v>
      </c>
      <c r="G486" s="5">
        <v>36892</v>
      </c>
      <c r="H486" s="130">
        <v>500000</v>
      </c>
      <c r="I486">
        <v>0.3</v>
      </c>
      <c r="J486" s="53">
        <f t="shared" si="523"/>
        <v>4.7439999999999998</v>
      </c>
      <c r="K486" s="7">
        <f t="shared" si="524"/>
        <v>0.76749999999999996</v>
      </c>
      <c r="L486" s="53">
        <f t="shared" si="525"/>
        <v>5.5114999999999998</v>
      </c>
      <c r="M486" s="157">
        <f t="shared" si="557"/>
        <v>6.8374831148490994E-2</v>
      </c>
      <c r="N486" s="4">
        <f t="shared" si="558"/>
        <v>0.60499999999999998</v>
      </c>
      <c r="O486" s="4">
        <f t="shared" si="559"/>
        <v>0.58699999999999997</v>
      </c>
      <c r="P486" s="9">
        <f t="shared" si="560"/>
        <v>0.85</v>
      </c>
      <c r="Q486" s="5">
        <f t="shared" si="520"/>
        <v>36888</v>
      </c>
      <c r="R486" s="4">
        <f t="shared" si="561"/>
        <v>1</v>
      </c>
      <c r="S486" s="158">
        <f>_xll.xSPRDOPT($L486,$J486,$I486,$M486,$O486,$N486,$P486,$Q486-$C$3,$R486,0)</f>
        <v>0.64709519353176437</v>
      </c>
      <c r="T486" s="159">
        <f>_xll.xSPRDOPT($L486,$J486,$I486,$M486,$O486,$N486,$P486,$Q486-$C$3,$R486,1)*H486</f>
        <v>351067.5471191078</v>
      </c>
      <c r="U486" s="160">
        <f t="shared" si="562"/>
        <v>323547.59676588216</v>
      </c>
      <c r="V486" s="159">
        <f>_xll.xSPRDOPT($L486,$J486,$I486,$M486,$O486,$N486,$P486,$Q486-$C$3,$R486,2)*H486</f>
        <v>-318655.53273470345</v>
      </c>
      <c r="W486" s="159">
        <f t="shared" si="563"/>
        <v>32412.014384404349</v>
      </c>
      <c r="X486" s="51" t="str">
        <f>CONCATENATE(G486,D486)</f>
        <v>36892NGI-SOCAL</v>
      </c>
      <c r="Y486" s="418">
        <f>H486/10000</f>
        <v>50</v>
      </c>
      <c r="Z486" s="456">
        <f>T486/H486</f>
        <v>0.70213509423821563</v>
      </c>
      <c r="AA486" s="456">
        <f>_xll.xSPRDOPT($L486,$J486,$I486,$M486,$O486,$N486,$P486,$Q486-$C$3,$R486,3)</f>
        <v>0.32785906506017948</v>
      </c>
      <c r="AB486" s="456">
        <f>((_xll.xSPRDOPT($L486+AB$5,$J486,$I486,$M486,$O486,$N486,$P486,$Q486-$C$3,$R486,3)*$H486)/10000)/100</f>
        <v>0.16392953253008977</v>
      </c>
      <c r="AC486" s="456">
        <f>((_xll.xSPRDOPT($L486+$AB$5,$J486,$I486,$M486,$O486,$N486,$P486,$Q486-$C$3,$R486,7)*$H486)/100)</f>
        <v>-5519.7164127032847</v>
      </c>
      <c r="AD486" s="456">
        <f>(_xll.xSPRDOPT($L486+$AB$5,$J486,$I486,$M486,$O486,$N486,$P486,$Q486-$C$3,$R486,9)/365)*$H486</f>
        <v>-626.99862682773266</v>
      </c>
      <c r="AE486">
        <f t="shared" si="521"/>
        <v>0</v>
      </c>
      <c r="AF486" s="456">
        <f t="shared" si="522"/>
        <v>2748.5504188921946</v>
      </c>
      <c r="AG486" s="456">
        <f>((_xll.xSPRDOPT($L486,$J486,$I486,$M486,$O486,$N486,$P486,$Q486-$C$3,$R486,6)*$H486)/100)</f>
        <v>1108.1642513264092</v>
      </c>
      <c r="AH486" s="456">
        <f>((_xll.xSPRDOPT($L486,$J486,$I486,$M486,$O486,$N486,$P486,$Q486-$C$3,$R486,5)*$H486)/100)</f>
        <v>1690.6876173378198</v>
      </c>
      <c r="AI486" s="456">
        <f>(((_xll.xSPRDOPT($L486,$J486,$I486,$M486,$O486,$N486,$P486,$Q486-$C$3,$R486,4)*$H486)/10000)/100)-AB486</f>
        <v>3.256422405679274E-2</v>
      </c>
      <c r="AJ486" s="456"/>
      <c r="AK486" s="456"/>
      <c r="AL486" s="456"/>
      <c r="AM486" s="472"/>
      <c r="CC486" s="141">
        <f t="shared" si="552"/>
        <v>36892</v>
      </c>
      <c r="CD486" s="234">
        <f>_xll.xSPRDOPT((VLOOKUP(G486,NGPrices,2,FALSE)+HLOOKUP(D486,Prices,VLOOKUP(G486,move_down,2,FALSE),FALSE)),VLOOKUP(G486,NGPrices,2,FALSE),I486,VLOOKUP(G486,NGPREVPRICES,4,FALSE),HLOOKUP(D486,PREVVOLS,VLOOKUP(G486,MOVE_DOWN2,2,FALSE),FALSE),VLOOKUP(G486,NGPREVPRICES,3,FALSE),HLOOKUP(D486,Correllate,VLOOKUP(G486,CorMove,2,FALSE),FALSE),Q486-$CD$3,R486,$CD$5)*H486-CJ486</f>
        <v>0</v>
      </c>
      <c r="CE486" s="234">
        <f>_xll.xSPRDOPT((VLOOKUP(G486,NGPREVPRICES,2,FALSE)+HLOOKUP(D486,PREVCURVES,VLOOKUP(G486,MOVE_DOWN2,2,FALSE),FALSE)),VLOOKUP(G486,NGPREVPRICES,2,FALSE),CK486,VLOOKUP(G486,NGPrices,4,FALSE),HLOOKUP(D486,PREVVOLS,VLOOKUP(G486,MOVE_DOWN2,2,FALSE),FALSE),VLOOKUP(G486,NGPREVPRICES,3,FALSE),HLOOKUP(D486,Correllate,VLOOKUP(G486,CorMove,2,FALSE),FALSE),Q486-$CD$3,R486,$CJ$5)*H486-CJ486</f>
        <v>0</v>
      </c>
      <c r="CF486" s="10">
        <f t="shared" si="553"/>
        <v>-61.087528495583683</v>
      </c>
      <c r="CG486" s="234">
        <f>_xll.xSPRDOPT((VLOOKUP(G486,NGPREVPRICES,2,FALSE)+HLOOKUP(D486,PREVCURVES,VLOOKUP(G486,MOVE_DOWN2,2,FALSE),FALSE)),VLOOKUP(G486,NGPREVPRICES,2,FALSE),CK486,VLOOKUP(G486,NGPREVPRICES,4,FALSE),HLOOKUP(D486,VOLS,VLOOKUP(G486,move_down,2,FALSE),FALSE),VLOOKUP(G486,NGPrices,3,FALSE),HLOOKUP(D486,Correllate,VLOOKUP(G486,CorMove,2,FALSE),FALSE),Q486-$CD$3,R486,$CJ$5)*H486-CJ486</f>
        <v>0</v>
      </c>
      <c r="CH486" s="234">
        <f>_xll.xSPRDOPT((VLOOKUP(G486,NGPREVPRICES,2,FALSE)+HLOOKUP(D486,PREVCURVES,VLOOKUP(G486,MOVE_DOWN2,2,FALSE),FALSE)),VLOOKUP(G486,NGPREVPRICES,2,FALSE),CK486,VLOOKUP(G486,NGPREVPRICES,4,FALSE),HLOOKUP(D486,PREVVOLS,VLOOKUP(G486,MOVE_DOWN2,2,FALSE),FALSE),VLOOKUP(G486,NGPREVPRICES,3,FALSE),HLOOKUP(D486,Correllate,VLOOKUP(G486,CorMove,2,FALSE),FALSE),Q486-$C$3,R486,$CJ$5)*H486-CJ486</f>
        <v>-625.35537850199034</v>
      </c>
      <c r="CI486" s="234">
        <f t="shared" si="554"/>
        <v>-686.44290699757403</v>
      </c>
      <c r="CJ486" s="234">
        <f>_xll.xSPRDOPT((VLOOKUP(G486,NGPREVPRICES,2,FALSE)+HLOOKUP(D486,PREVCURVES,VLOOKUP(G486,MOVE_DOWN2,2,FALSE),FALSE)),VLOOKUP(G486,NGPREVPRICES,2,FALSE),CK486,VLOOKUP(G486,NGPREVPRICES,4,FALSE),HLOOKUP(D486,PREVVOLS,VLOOKUP(G486,MOVE_DOWN2,2,FALSE),FALSE),VLOOKUP(G486,NGPREVPRICES,3,FALSE),HLOOKUP(D486,Correllate,VLOOKUP(G486,CorMove,2,FALSE),FALSE),Q486-$CD$3,R486,$CJ$5)*H486</f>
        <v>324172.95214438415</v>
      </c>
      <c r="CK486" s="235">
        <f t="shared" si="555"/>
        <v>0.3</v>
      </c>
      <c r="CM486" t="str">
        <f t="shared" si="556"/>
        <v>36892Curve Shift/Gamma</v>
      </c>
      <c r="CN486" t="str">
        <f t="shared" si="499"/>
        <v>36892Rho</v>
      </c>
      <c r="CO486" t="str">
        <f t="shared" si="500"/>
        <v>36892Drift</v>
      </c>
      <c r="CP486" t="str">
        <f t="shared" si="501"/>
        <v>36892Vega</v>
      </c>
      <c r="CQ486" t="str">
        <f t="shared" si="502"/>
        <v>36892Theta</v>
      </c>
    </row>
    <row r="487" spans="1:95" x14ac:dyDescent="0.25">
      <c r="A487" s="140" t="s">
        <v>509</v>
      </c>
      <c r="B487" t="s">
        <v>250</v>
      </c>
      <c r="C487" t="s">
        <v>508</v>
      </c>
      <c r="D487" s="4" t="s">
        <v>190</v>
      </c>
      <c r="E487" t="s">
        <v>20</v>
      </c>
      <c r="F487" t="s">
        <v>21</v>
      </c>
      <c r="G487" s="5">
        <v>36861</v>
      </c>
      <c r="H487" s="130">
        <v>500000</v>
      </c>
      <c r="I487">
        <v>0.3</v>
      </c>
      <c r="J487" s="53">
        <f t="shared" si="523"/>
        <v>4.8</v>
      </c>
      <c r="K487" s="7">
        <f t="shared" si="524"/>
        <v>1.0049999999999999</v>
      </c>
      <c r="L487" s="53">
        <f t="shared" si="525"/>
        <v>5.8049999999999997</v>
      </c>
      <c r="M487" s="157">
        <f t="shared" si="557"/>
        <v>6.8314027999354002E-2</v>
      </c>
      <c r="N487" s="4">
        <f t="shared" si="558"/>
        <v>0.6</v>
      </c>
      <c r="O487" s="4">
        <f t="shared" si="559"/>
        <v>0.58199999999999996</v>
      </c>
      <c r="P487" s="9">
        <f t="shared" si="560"/>
        <v>0.85</v>
      </c>
      <c r="Q487" s="5">
        <f t="shared" si="520"/>
        <v>36859</v>
      </c>
      <c r="R487" s="4">
        <f t="shared" si="561"/>
        <v>1</v>
      </c>
      <c r="S487" s="158">
        <f>_xll.xSPRDOPT($L487,$J487,$I487,$M487,$O487,$N487,$P487,$Q487-$C$3,$R487,0)</f>
        <v>0.79086517743194373</v>
      </c>
      <c r="T487" s="159">
        <f>_xll.xSPRDOPT($L487,$J487,$I487,$M487,$O487,$N487,$P487,$Q487-$C$3,$R487,1)*H487</f>
        <v>400938.49505977065</v>
      </c>
      <c r="U487" s="160">
        <f t="shared" si="562"/>
        <v>395432.58871597185</v>
      </c>
      <c r="V487" s="159">
        <f>_xll.xSPRDOPT($L487,$J487,$I487,$M487,$O487,$N487,$P487,$Q487-$C$3,$R487,2)*H487</f>
        <v>-378249.69982771162</v>
      </c>
      <c r="W487" s="159">
        <f t="shared" si="563"/>
        <v>22688.795232059027</v>
      </c>
      <c r="X487" s="51" t="str">
        <f>CONCATENATE(G487,D487)</f>
        <v>36861NGI-SOCAL</v>
      </c>
      <c r="Y487" s="418">
        <f>H487/10000</f>
        <v>50</v>
      </c>
      <c r="Z487" s="456">
        <f>T487/H487</f>
        <v>0.80187699011954128</v>
      </c>
      <c r="AA487" s="456">
        <f>_xll.xSPRDOPT($L487,$J487,$I487,$M487,$O487,$N487,$P487,$Q487-$C$3,$R487,3)</f>
        <v>0.28521344905962409</v>
      </c>
      <c r="AB487" s="456">
        <f>((_xll.xSPRDOPT($L487+AB$5,$J487,$I487,$M487,$O487,$N487,$P487,$Q487-$C$3,$R487,3)*$H487)/10000)/100</f>
        <v>0.14260672452981205</v>
      </c>
      <c r="AC487" s="456">
        <f>((_xll.xSPRDOPT($L487+$AB$5,$J487,$I487,$M487,$O487,$N487,$P487,$Q487-$C$3,$R487,7)*$H487)/100)</f>
        <v>-3989.6443391911307</v>
      </c>
      <c r="AD487" s="456">
        <f>(_xll.xSPRDOPT($L487+$AB$5,$J487,$I487,$M487,$O487,$N487,$P487,$Q487-$C$3,$R487,9)/365)*$H487</f>
        <v>-579.14433788711472</v>
      </c>
      <c r="AE487">
        <f t="shared" si="521"/>
        <v>0</v>
      </c>
      <c r="AF487" s="456">
        <f t="shared" si="522"/>
        <v>2001.6351712118067</v>
      </c>
      <c r="AG487" s="456">
        <f>((_xll.xSPRDOPT($L487,$J487,$I487,$M487,$O487,$N487,$P487,$Q487-$C$3,$R487,6)*$H487)/100)</f>
        <v>820.22191059687748</v>
      </c>
      <c r="AH487" s="456">
        <f>((_xll.xSPRDOPT($L487,$J487,$I487,$M487,$O487,$N487,$P487,$Q487-$C$3,$R487,5)*$H487)/100)</f>
        <v>1217.9518150669373</v>
      </c>
      <c r="AI487" s="456">
        <f>(((_xll.xSPRDOPT($L487,$J487,$I487,$M487,$O487,$N487,$P487,$Q487-$C$3,$R487,4)*$H487)/10000)/100)-AB487</f>
        <v>4.3268004220612638E-2</v>
      </c>
      <c r="AJ487" s="456"/>
      <c r="AK487" s="456"/>
      <c r="AL487" s="456"/>
      <c r="AM487" s="472"/>
      <c r="CC487" s="141">
        <f>G487</f>
        <v>36861</v>
      </c>
      <c r="CD487" s="234">
        <f>_xll.xSPRDOPT((VLOOKUP(G487,NGPrices,2,FALSE)+HLOOKUP(D487,Prices,VLOOKUP(G487,move_down,2,FALSE),FALSE)),VLOOKUP(G487,NGPrices,2,FALSE),I487,VLOOKUP(G487,NGPREVPRICES,4,FALSE),HLOOKUP(D487,PREVVOLS,VLOOKUP(G487,MOVE_DOWN2,2,FALSE),FALSE),VLOOKUP(G487,NGPREVPRICES,3,FALSE),HLOOKUP(D487,Correllate,VLOOKUP(G487,CorMove,2,FALSE),FALSE),Q487-$CD$3,R487,$CD$5)*H487-CJ487</f>
        <v>0</v>
      </c>
      <c r="CE487" s="234">
        <f>_xll.xSPRDOPT((VLOOKUP(G487,NGPREVPRICES,2,FALSE)+HLOOKUP(D487,PREVCURVES,VLOOKUP(G487,MOVE_DOWN2,2,FALSE),FALSE)),VLOOKUP(G487,NGPREVPRICES,2,FALSE),CK487,VLOOKUP(G487,NGPrices,4,FALSE),HLOOKUP(D487,PREVVOLS,VLOOKUP(G487,MOVE_DOWN2,2,FALSE),FALSE),VLOOKUP(G487,NGPREVPRICES,3,FALSE),HLOOKUP(D487,Correllate,VLOOKUP(G487,CorMove,2,FALSE),FALSE),Q487-$CD$3,R487,$CJ$5)*H487-CJ487</f>
        <v>0</v>
      </c>
      <c r="CF487" s="10">
        <f>(CJ487/VLOOKUP(CC487,discount,3,FALSE))-(CJ487/VLOOKUP(CC487,discount,2,FALSE))</f>
        <v>-74.187813574331813</v>
      </c>
      <c r="CG487" s="234">
        <f>_xll.xSPRDOPT((VLOOKUP(G487,NGPREVPRICES,2,FALSE)+HLOOKUP(D487,PREVCURVES,VLOOKUP(G487,MOVE_DOWN2,2,FALSE),FALSE)),VLOOKUP(G487,NGPREVPRICES,2,FALSE),CK487,VLOOKUP(G487,NGPREVPRICES,4,FALSE),HLOOKUP(D487,VOLS,VLOOKUP(G487,move_down,2,FALSE),FALSE),VLOOKUP(G487,NGPrices,3,FALSE),HLOOKUP(D487,Correllate,VLOOKUP(G487,CorMove,2,FALSE),FALSE),Q487-$CD$3,R487,$CJ$5)*H487-CJ487</f>
        <v>0</v>
      </c>
      <c r="CH487" s="234">
        <f>_xll.xSPRDOPT((VLOOKUP(G487,NGPREVPRICES,2,FALSE)+HLOOKUP(D487,PREVCURVES,VLOOKUP(G487,MOVE_DOWN2,2,FALSE),FALSE)),VLOOKUP(G487,NGPREVPRICES,2,FALSE),CK487,VLOOKUP(G487,NGPREVPRICES,4,FALSE),HLOOKUP(D487,PREVVOLS,VLOOKUP(G487,MOVE_DOWN2,2,FALSE),FALSE),VLOOKUP(G487,NGPREVPRICES,3,FALSE),HLOOKUP(D487,Correllate,VLOOKUP(G487,CorMove,2,FALSE),FALSE),Q487-$C$3,R487,$CJ$5)*H487-CJ487</f>
        <v>-578.0404848503531</v>
      </c>
      <c r="CI487" s="234">
        <f>SUM(CD487:CH487)</f>
        <v>-652.22829842468491</v>
      </c>
      <c r="CJ487" s="234">
        <f>_xll.xSPRDOPT((VLOOKUP(G487,NGPREVPRICES,2,FALSE)+HLOOKUP(D487,PREVCURVES,VLOOKUP(G487,MOVE_DOWN2,2,FALSE),FALSE)),VLOOKUP(G487,NGPREVPRICES,2,FALSE),CK487,VLOOKUP(G487,NGPREVPRICES,4,FALSE),HLOOKUP(D487,PREVVOLS,VLOOKUP(G487,MOVE_DOWN2,2,FALSE),FALSE),VLOOKUP(G487,NGPREVPRICES,3,FALSE),HLOOKUP(D487,Correllate,VLOOKUP(G487,CorMove,2,FALSE),FALSE),Q487-$CD$3,R487,$CJ$5)*H487</f>
        <v>396010.62920082221</v>
      </c>
      <c r="CK487" s="235">
        <f>I487</f>
        <v>0.3</v>
      </c>
      <c r="CM487" t="str">
        <f>CONCATENATE(CC487,$CD$6)</f>
        <v>36861Curve Shift/Gamma</v>
      </c>
      <c r="CN487" t="str">
        <f t="shared" si="499"/>
        <v>36861Rho</v>
      </c>
      <c r="CO487" t="str">
        <f t="shared" si="500"/>
        <v>36861Drift</v>
      </c>
      <c r="CP487" t="str">
        <f t="shared" si="501"/>
        <v>36861Vega</v>
      </c>
      <c r="CQ487" t="str">
        <f t="shared" si="502"/>
        <v>36861Theta</v>
      </c>
    </row>
    <row r="488" spans="1:95" x14ac:dyDescent="0.25">
      <c r="A488" s="140" t="s">
        <v>509</v>
      </c>
      <c r="B488" t="s">
        <v>250</v>
      </c>
      <c r="C488" t="s">
        <v>508</v>
      </c>
      <c r="D488" s="4" t="s">
        <v>190</v>
      </c>
      <c r="E488" t="s">
        <v>20</v>
      </c>
      <c r="F488" t="s">
        <v>21</v>
      </c>
      <c r="G488" s="5">
        <v>36831</v>
      </c>
      <c r="H488" s="130">
        <v>500000</v>
      </c>
      <c r="I488">
        <v>0.3</v>
      </c>
      <c r="J488" s="53">
        <f t="shared" si="523"/>
        <v>4.7359999999999998</v>
      </c>
      <c r="K488" s="7">
        <f t="shared" si="524"/>
        <v>1.5449999999999999</v>
      </c>
      <c r="L488" s="53">
        <f t="shared" si="525"/>
        <v>6.2809999999999997</v>
      </c>
      <c r="M488" s="157">
        <f t="shared" si="557"/>
        <v>6.810675983792E-2</v>
      </c>
      <c r="N488" s="4">
        <f t="shared" si="558"/>
        <v>0.59499999999999997</v>
      </c>
      <c r="O488" s="4">
        <f t="shared" si="559"/>
        <v>0.57699999999999996</v>
      </c>
      <c r="P488" s="9">
        <f t="shared" si="560"/>
        <v>0.85</v>
      </c>
      <c r="Q488" s="5">
        <f t="shared" si="520"/>
        <v>36829</v>
      </c>
      <c r="R488" s="4">
        <f t="shared" si="561"/>
        <v>1</v>
      </c>
      <c r="S488" s="158">
        <f>_xll.xSPRDOPT($L488,$J488,$I488,$M488,$O488,$N488,$P488,$Q488-$C$3,$R488,0)</f>
        <v>1.2431783155446245</v>
      </c>
      <c r="T488" s="159">
        <f>_xll.xSPRDOPT($L488,$J488,$I488,$M488,$O488,$N488,$P488,$Q488-$C$3,$R488,1)*H488</f>
        <v>475821.65876195504</v>
      </c>
      <c r="U488" s="160">
        <f t="shared" si="562"/>
        <v>621589.15777231229</v>
      </c>
      <c r="V488" s="159">
        <f>_xll.xSPRDOPT($L488,$J488,$I488,$M488,$O488,$N488,$P488,$Q488-$C$3,$R488,2)*H488</f>
        <v>-469864.6870581049</v>
      </c>
      <c r="W488" s="159">
        <f t="shared" si="563"/>
        <v>5956.9717038501403</v>
      </c>
      <c r="X488" s="51" t="str">
        <f t="shared" ref="X488:X497" si="564">CONCATENATE(G488,D488)</f>
        <v>36831NGI-SOCAL</v>
      </c>
      <c r="Y488" s="418">
        <f t="shared" ref="Y488:Y497" si="565">H488/10000</f>
        <v>50</v>
      </c>
      <c r="Z488" s="456">
        <f t="shared" ref="Z488:Z497" si="566">T488/H488</f>
        <v>0.95164331752391007</v>
      </c>
      <c r="AA488" s="456">
        <f>_xll.xSPRDOPT($L488,$J488,$I488,$M488,$O488,$N488,$P488,$Q488-$C$3,$R488,3)</f>
        <v>9.9509688054344972E-2</v>
      </c>
      <c r="AB488" s="456">
        <f>((_xll.xSPRDOPT($L488+AB$5,$J488,$I488,$M488,$O488,$N488,$P488,$Q488-$C$3,$R488,3)*$H488)/10000)/100</f>
        <v>4.9754844027172486E-2</v>
      </c>
      <c r="AC488" s="456">
        <f>((_xll.xSPRDOPT($L488+$AB$5,$J488,$I488,$M488,$O488,$N488,$P488,$Q488-$C$3,$R488,7)*$H488)/100)</f>
        <v>-1081.4546583235704</v>
      </c>
      <c r="AD488" s="456">
        <f>(_xll.xSPRDOPT($L488+$AB$5,$J488,$I488,$M488,$O488,$N488,$P488,$Q488-$C$3,$R488,9)/365)*$H488</f>
        <v>-146.5554051283201</v>
      </c>
      <c r="AE488">
        <f t="shared" si="521"/>
        <v>0</v>
      </c>
      <c r="AF488" s="456">
        <f t="shared" si="522"/>
        <v>546.76795995340422</v>
      </c>
      <c r="AG488" s="456">
        <f>((_xll.xSPRDOPT($L488,$J488,$I488,$M488,$O488,$N488,$P488,$Q488-$C$3,$R488,6)*$H488)/100)</f>
        <v>227.33103136861752</v>
      </c>
      <c r="AH488" s="456">
        <f>((_xll.xSPRDOPT($L488,$J488,$I488,$M488,$O488,$N488,$P488,$Q488-$C$3,$R488,5)*$H488)/100)</f>
        <v>329.40203207616651</v>
      </c>
      <c r="AI488" s="456">
        <f>(((_xll.xSPRDOPT($L488,$J488,$I488,$M488,$O488,$N488,$P488,$Q488-$C$3,$R488,4)*$H488)/10000)/100)-AB488</f>
        <v>2.8477672439802253E-2</v>
      </c>
      <c r="AJ488" s="456"/>
      <c r="AK488" s="456"/>
      <c r="AL488" s="456"/>
      <c r="AM488" s="472"/>
      <c r="CC488" s="141">
        <f t="shared" ref="CC488:CC497" si="567">G488</f>
        <v>36831</v>
      </c>
      <c r="CD488" s="234">
        <f>_xll.xSPRDOPT((VLOOKUP(G488,NGPrices,2,FALSE)+HLOOKUP(D488,Prices,VLOOKUP(G488,move_down,2,FALSE),FALSE)),VLOOKUP(G488,NGPrices,2,FALSE),I488,VLOOKUP(G488,NGPREVPRICES,4,FALSE),HLOOKUP(D488,PREVVOLS,VLOOKUP(G488,MOVE_DOWN2,2,FALSE),FALSE),VLOOKUP(G488,NGPREVPRICES,3,FALSE),HLOOKUP(D488,Correllate,VLOOKUP(G488,CorMove,2,FALSE),FALSE),Q488-$CD$3,R488,$CD$5)*H488-CJ488</f>
        <v>0</v>
      </c>
      <c r="CE488" s="234">
        <f>_xll.xSPRDOPT((VLOOKUP(G488,NGPREVPRICES,2,FALSE)+HLOOKUP(D488,PREVCURVES,VLOOKUP(G488,MOVE_DOWN2,2,FALSE),FALSE)),VLOOKUP(G488,NGPREVPRICES,2,FALSE),CK488,VLOOKUP(G488,NGPrices,4,FALSE),HLOOKUP(D488,PREVVOLS,VLOOKUP(G488,MOVE_DOWN2,2,FALSE),FALSE),VLOOKUP(G488,NGPREVPRICES,3,FALSE),HLOOKUP(D488,Correllate,VLOOKUP(G488,CorMove,2,FALSE),FALSE),Q488-$CD$3,R488,$CJ$5)*H488-CJ488</f>
        <v>0</v>
      </c>
      <c r="CF488" s="10">
        <f t="shared" ref="CF488:CF497" si="568">(CJ488/VLOOKUP(CC488,discount,3,FALSE))-(CJ488/VLOOKUP(CC488,discount,2,FALSE))</f>
        <v>-115.46329461084679</v>
      </c>
      <c r="CG488" s="234">
        <f>_xll.xSPRDOPT((VLOOKUP(G488,NGPREVPRICES,2,FALSE)+HLOOKUP(D488,PREVCURVES,VLOOKUP(G488,MOVE_DOWN2,2,FALSE),FALSE)),VLOOKUP(G488,NGPREVPRICES,2,FALSE),CK488,VLOOKUP(G488,NGPREVPRICES,4,FALSE),HLOOKUP(D488,VOLS,VLOOKUP(G488,move_down,2,FALSE),FALSE),VLOOKUP(G488,NGPrices,3,FALSE),HLOOKUP(D488,Correllate,VLOOKUP(G488,CorMove,2,FALSE),FALSE),Q488-$CD$3,R488,$CJ$5)*H488-CJ488</f>
        <v>0</v>
      </c>
      <c r="CH488" s="234">
        <f>_xll.xSPRDOPT((VLOOKUP(G488,NGPREVPRICES,2,FALSE)+HLOOKUP(D488,PREVCURVES,VLOOKUP(G488,MOVE_DOWN2,2,FALSE),FALSE)),VLOOKUP(G488,NGPREVPRICES,2,FALSE),CK488,VLOOKUP(G488,NGPREVPRICES,4,FALSE),HLOOKUP(D488,PREVVOLS,VLOOKUP(G488,MOVE_DOWN2,2,FALSE),FALSE),VLOOKUP(G488,NGPREVPRICES,3,FALSE),HLOOKUP(D488,Correllate,VLOOKUP(G488,CorMove,2,FALSE),FALSE),Q488-$C$3,R488,$CJ$5)*H488-CJ488</f>
        <v>-148.46131226990838</v>
      </c>
      <c r="CI488" s="234">
        <f t="shared" ref="CI488:CI497" si="569">SUM(CD488:CH488)</f>
        <v>-263.92460688075516</v>
      </c>
      <c r="CJ488" s="234">
        <f>_xll.xSPRDOPT((VLOOKUP(G488,NGPREVPRICES,2,FALSE)+HLOOKUP(D488,PREVCURVES,VLOOKUP(G488,MOVE_DOWN2,2,FALSE),FALSE)),VLOOKUP(G488,NGPREVPRICES,2,FALSE),CK488,VLOOKUP(G488,NGPREVPRICES,4,FALSE),HLOOKUP(D488,PREVVOLS,VLOOKUP(G488,MOVE_DOWN2,2,FALSE),FALSE),VLOOKUP(G488,NGPREVPRICES,3,FALSE),HLOOKUP(D488,Correllate,VLOOKUP(G488,CorMove,2,FALSE),FALSE),Q488-$CD$3,R488,$CJ$5)*H488</f>
        <v>621737.6190845822</v>
      </c>
      <c r="CK488" s="235">
        <f t="shared" ref="CK488:CK497" si="570">I488</f>
        <v>0.3</v>
      </c>
      <c r="CM488" t="str">
        <f t="shared" ref="CM488:CM497" si="571">CONCATENATE(CC488,$CD$6)</f>
        <v>36831Curve Shift/Gamma</v>
      </c>
      <c r="CN488" t="str">
        <f t="shared" si="499"/>
        <v>36831Rho</v>
      </c>
      <c r="CO488" t="str">
        <f t="shared" si="500"/>
        <v>36831Drift</v>
      </c>
      <c r="CP488" t="str">
        <f t="shared" si="501"/>
        <v>36831Vega</v>
      </c>
      <c r="CQ488" t="str">
        <f t="shared" si="502"/>
        <v>36831Theta</v>
      </c>
    </row>
    <row r="489" spans="1:95" x14ac:dyDescent="0.25">
      <c r="A489" s="140" t="s">
        <v>281</v>
      </c>
      <c r="B489" t="s">
        <v>250</v>
      </c>
      <c r="C489" t="s">
        <v>510</v>
      </c>
      <c r="D489" s="4" t="s">
        <v>7</v>
      </c>
      <c r="E489" t="s">
        <v>20</v>
      </c>
      <c r="F489" t="s">
        <v>21</v>
      </c>
      <c r="G489" s="5">
        <v>37165</v>
      </c>
      <c r="H489" s="130">
        <v>310000</v>
      </c>
      <c r="I489">
        <v>0.5</v>
      </c>
      <c r="J489" s="53">
        <f t="shared" si="523"/>
        <v>3.7730000000000001</v>
      </c>
      <c r="K489" s="7">
        <f t="shared" si="524"/>
        <v>0.46100000000000002</v>
      </c>
      <c r="L489" s="53">
        <f t="shared" si="525"/>
        <v>4.234</v>
      </c>
      <c r="M489" s="157">
        <f t="shared" si="557"/>
        <v>6.9300944538363995E-2</v>
      </c>
      <c r="N489" s="4">
        <f t="shared" si="558"/>
        <v>0.40250000000000002</v>
      </c>
      <c r="O489" s="4">
        <f t="shared" si="559"/>
        <v>0.39400000000000002</v>
      </c>
      <c r="P489" s="9">
        <f t="shared" si="560"/>
        <v>0.9738</v>
      </c>
      <c r="Q489" s="5">
        <f t="shared" si="520"/>
        <v>37161</v>
      </c>
      <c r="R489" s="4">
        <f t="shared" si="561"/>
        <v>1</v>
      </c>
      <c r="S489" s="158">
        <f>_xll.xSPRDOPT($L489,$J489,$I489,$M489,$O489,$N489,$P489,$Q489-$C$3,$R489,0)</f>
        <v>0.13697160605231973</v>
      </c>
      <c r="T489" s="159">
        <f>_xll.xSPRDOPT($L489,$J489,$I489,$M489,$O489,$N489,$P489,$Q489-$C$3,$R489,1)*H489</f>
        <v>139779.78471957063</v>
      </c>
      <c r="U489" s="160">
        <f t="shared" si="562"/>
        <v>42461.197876219114</v>
      </c>
      <c r="V489" s="159">
        <f>_xll.xSPRDOPT($L489,$J489,$I489,$M489,$O489,$N489,$P489,$Q489-$C$3,$R489,2)*H489</f>
        <v>-130245.84338871772</v>
      </c>
      <c r="W489" s="159">
        <f t="shared" si="563"/>
        <v>9533.9413308529038</v>
      </c>
      <c r="X489" s="51" t="str">
        <f t="shared" si="564"/>
        <v>37165IF-TRANSCO/Z6</v>
      </c>
      <c r="Y489" s="418">
        <f t="shared" si="565"/>
        <v>31</v>
      </c>
      <c r="Z489" s="456">
        <f t="shared" si="566"/>
        <v>0.45090253135345365</v>
      </c>
      <c r="AA489" s="456">
        <f>_xll.xSPRDOPT($L489,$J489,$I489,$M489,$O489,$N489,$P489,$Q489-$C$3,$R489,3)</f>
        <v>0.89495583167160031</v>
      </c>
      <c r="AB489" s="456">
        <f>((_xll.xSPRDOPT($L489+AB$5,$J489,$I489,$M489,$O489,$N489,$P489,$Q489-$C$3,$R489,3)*$H489)/10000)/100</f>
        <v>0.27743630781819606</v>
      </c>
      <c r="AC489" s="456">
        <f>((_xll.xSPRDOPT($L489+$AB$5,$J489,$I489,$M489,$O489,$N489,$P489,$Q489-$C$3,$R489,7)*$H489)/100)</f>
        <v>-7550.0036918771139</v>
      </c>
      <c r="AD489" s="456">
        <f>(_xll.xSPRDOPT($L489+$AB$5,$J489,$I489,$M489,$O489,$N489,$P489,$Q489-$C$3,$R489,9)/365)*$H489</f>
        <v>-53.080531613002236</v>
      </c>
      <c r="AE489">
        <f t="shared" si="521"/>
        <v>0</v>
      </c>
      <c r="AF489" s="456">
        <f t="shared" si="522"/>
        <v>1196.2055424133791</v>
      </c>
      <c r="AG489" s="456">
        <f>((_xll.xSPRDOPT($L489,$J489,$I489,$M489,$O489,$N489,$P489,$Q489-$C$3,$R489,6)*$H489)/100)</f>
        <v>-1229.2360379430133</v>
      </c>
      <c r="AH489" s="456">
        <f>((_xll.xSPRDOPT($L489,$J489,$I489,$M489,$O489,$N489,$P489,$Q489-$C$3,$R489,5)*$H489)/100)</f>
        <v>2477.7670966838782</v>
      </c>
      <c r="AI489" s="456">
        <f>(((_xll.xSPRDOPT($L489,$J489,$I489,$M489,$O489,$N489,$P489,$Q489-$C$3,$R489,4)*$H489)/10000)/100)-AB489</f>
        <v>-1.7912605337044307E-3</v>
      </c>
      <c r="AJ489" s="456"/>
      <c r="AK489" s="456"/>
      <c r="AL489" s="456"/>
      <c r="AM489" s="472"/>
      <c r="CC489" s="141">
        <f t="shared" si="567"/>
        <v>37165</v>
      </c>
      <c r="CD489" s="234">
        <f>_xll.xSPRDOPT((VLOOKUP(G489,NGPrices,2,FALSE)+HLOOKUP(D489,Prices,VLOOKUP(G489,move_down,2,FALSE),FALSE)),VLOOKUP(G489,NGPrices,2,FALSE),I489,VLOOKUP(G489,NGPREVPRICES,4,FALSE),HLOOKUP(D489,PREVVOLS,VLOOKUP(G489,MOVE_DOWN2,2,FALSE),FALSE),VLOOKUP(G489,NGPREVPRICES,3,FALSE),HLOOKUP(D489,Correllate,VLOOKUP(G489,CorMove,2,FALSE),FALSE),Q489-$CD$3,R489,$CD$5)*H489-CJ489</f>
        <v>0</v>
      </c>
      <c r="CE489" s="234">
        <f>_xll.xSPRDOPT((VLOOKUP(G489,NGPREVPRICES,2,FALSE)+HLOOKUP(D489,PREVCURVES,VLOOKUP(G489,MOVE_DOWN2,2,FALSE),FALSE)),VLOOKUP(G489,NGPREVPRICES,2,FALSE),CK489,VLOOKUP(G489,NGPrices,4,FALSE),HLOOKUP(D489,PREVVOLS,VLOOKUP(G489,MOVE_DOWN2,2,FALSE),FALSE),VLOOKUP(G489,NGPREVPRICES,3,FALSE),HLOOKUP(D489,Correllate,VLOOKUP(G489,CorMove,2,FALSE),FALSE),Q489-$CD$3,R489,$CJ$5)*H489-CJ489</f>
        <v>0</v>
      </c>
      <c r="CF489" s="10">
        <f t="shared" si="568"/>
        <v>-8.5267606990892091</v>
      </c>
      <c r="CG489" s="234">
        <f>_xll.xSPRDOPT((VLOOKUP(G489,NGPREVPRICES,2,FALSE)+HLOOKUP(D489,PREVCURVES,VLOOKUP(G489,MOVE_DOWN2,2,FALSE),FALSE)),VLOOKUP(G489,NGPREVPRICES,2,FALSE),CK489,VLOOKUP(G489,NGPREVPRICES,4,FALSE),HLOOKUP(D489,VOLS,VLOOKUP(G489,move_down,2,FALSE),FALSE),VLOOKUP(G489,NGPrices,3,FALSE),HLOOKUP(D489,Correllate,VLOOKUP(G489,CorMove,2,FALSE),FALSE),Q489-$CD$3,R489,$CJ$5)*H489-CJ489</f>
        <v>0</v>
      </c>
      <c r="CH489" s="234">
        <f>_xll.xSPRDOPT((VLOOKUP(G489,NGPREVPRICES,2,FALSE)+HLOOKUP(D489,PREVCURVES,VLOOKUP(G489,MOVE_DOWN2,2,FALSE),FALSE)),VLOOKUP(G489,NGPREVPRICES,2,FALSE),CK489,VLOOKUP(G489,NGPREVPRICES,4,FALSE),HLOOKUP(D489,PREVVOLS,VLOOKUP(G489,MOVE_DOWN2,2,FALSE),FALSE),VLOOKUP(G489,NGPREVPRICES,3,FALSE),HLOOKUP(D489,Correllate,VLOOKUP(G489,CorMove,2,FALSE),FALSE),Q489-$C$3,R489,$CJ$5)*H489-CJ489</f>
        <v>-52.996097761417332</v>
      </c>
      <c r="CI489" s="234">
        <f t="shared" si="569"/>
        <v>-61.522858460506541</v>
      </c>
      <c r="CJ489" s="234">
        <f>_xll.xSPRDOPT((VLOOKUP(G489,NGPREVPRICES,2,FALSE)+HLOOKUP(D489,PREVCURVES,VLOOKUP(G489,MOVE_DOWN2,2,FALSE),FALSE)),VLOOKUP(G489,NGPREVPRICES,2,FALSE),CK489,VLOOKUP(G489,NGPREVPRICES,4,FALSE),HLOOKUP(D489,PREVVOLS,VLOOKUP(G489,MOVE_DOWN2,2,FALSE),FALSE),VLOOKUP(G489,NGPREVPRICES,3,FALSE),HLOOKUP(D489,Correllate,VLOOKUP(G489,CorMove,2,FALSE),FALSE),Q489-$CD$3,R489,$CJ$5)*H489</f>
        <v>42514.193973980531</v>
      </c>
      <c r="CK489" s="235">
        <f t="shared" si="570"/>
        <v>0.5</v>
      </c>
      <c r="CM489" t="str">
        <f t="shared" si="571"/>
        <v>37165Curve Shift/Gamma</v>
      </c>
      <c r="CN489" t="str">
        <f t="shared" si="499"/>
        <v>37165Rho</v>
      </c>
      <c r="CO489" t="str">
        <f t="shared" si="500"/>
        <v>37165Drift</v>
      </c>
      <c r="CP489" t="str">
        <f t="shared" si="501"/>
        <v>37165Vega</v>
      </c>
      <c r="CQ489" t="str">
        <f t="shared" si="502"/>
        <v>37165Theta</v>
      </c>
    </row>
    <row r="490" spans="1:95" x14ac:dyDescent="0.25">
      <c r="A490" s="140" t="s">
        <v>281</v>
      </c>
      <c r="B490" t="s">
        <v>250</v>
      </c>
      <c r="C490" t="s">
        <v>510</v>
      </c>
      <c r="D490" s="4" t="s">
        <v>7</v>
      </c>
      <c r="E490" t="s">
        <v>20</v>
      </c>
      <c r="F490" t="s">
        <v>21</v>
      </c>
      <c r="G490" s="5">
        <v>37135</v>
      </c>
      <c r="H490" s="130">
        <v>300000</v>
      </c>
      <c r="I490">
        <v>0.5</v>
      </c>
      <c r="J490" s="53">
        <f t="shared" si="523"/>
        <v>3.7879999999999998</v>
      </c>
      <c r="K490" s="7">
        <f t="shared" si="524"/>
        <v>0.39500000000000002</v>
      </c>
      <c r="L490" s="53">
        <f t="shared" si="525"/>
        <v>4.1829999999999998</v>
      </c>
      <c r="M490" s="157">
        <f t="shared" si="557"/>
        <v>6.9264550207512002E-2</v>
      </c>
      <c r="N490" s="4">
        <f t="shared" si="558"/>
        <v>0.4</v>
      </c>
      <c r="O490" s="4">
        <f t="shared" si="559"/>
        <v>0.39200000000000002</v>
      </c>
      <c r="P490" s="9">
        <f t="shared" si="560"/>
        <v>0.9738</v>
      </c>
      <c r="Q490" s="5">
        <f t="shared" si="520"/>
        <v>37133</v>
      </c>
      <c r="R490" s="4">
        <f t="shared" si="561"/>
        <v>1</v>
      </c>
      <c r="S490" s="158">
        <f>_xll.xSPRDOPT($L490,$J490,$I490,$M490,$O490,$N490,$P490,$Q490-$C$3,$R490,0)</f>
        <v>0.1041854050668512</v>
      </c>
      <c r="T490" s="159">
        <f>_xll.xSPRDOPT($L490,$J490,$I490,$M490,$O490,$N490,$P490,$Q490-$C$3,$R490,1)*H490</f>
        <v>116807.34240370027</v>
      </c>
      <c r="U490" s="160">
        <f t="shared" si="562"/>
        <v>31255.62152005536</v>
      </c>
      <c r="V490" s="159">
        <f>_xll.xSPRDOPT($L490,$J490,$I490,$M490,$O490,$N490,$P490,$Q490-$C$3,$R490,2)*H490</f>
        <v>-108121.39015088526</v>
      </c>
      <c r="W490" s="159">
        <f t="shared" si="563"/>
        <v>8685.9522528150119</v>
      </c>
      <c r="X490" s="51" t="str">
        <f t="shared" si="564"/>
        <v>37135IF-TRANSCO/Z6</v>
      </c>
      <c r="Y490" s="418">
        <f t="shared" si="565"/>
        <v>30</v>
      </c>
      <c r="Z490" s="456">
        <f t="shared" si="566"/>
        <v>0.38935780801233422</v>
      </c>
      <c r="AA490" s="456">
        <f>_xll.xSPRDOPT($L490,$J490,$I490,$M490,$O490,$N490,$P490,$Q490-$C$3,$R490,3)</f>
        <v>0.93165781042035256</v>
      </c>
      <c r="AB490" s="456">
        <f>((_xll.xSPRDOPT($L490+AB$5,$J490,$I490,$M490,$O490,$N490,$P490,$Q490-$C$3,$R490,3)*$H490)/10000)/100</f>
        <v>0.27949734312610575</v>
      </c>
      <c r="AC490" s="456">
        <f>((_xll.xSPRDOPT($L490+$AB$5,$J490,$I490,$M490,$O490,$N490,$P490,$Q490-$C$3,$R490,7)*$H490)/100)</f>
        <v>-6833.9119940581513</v>
      </c>
      <c r="AD490" s="456">
        <f>(_xll.xSPRDOPT($L490+$AB$5,$J490,$I490,$M490,$O490,$N490,$P490,$Q490-$C$3,$R490,9)/365)*$H490</f>
        <v>-53.2427967492779</v>
      </c>
      <c r="AE490">
        <f t="shared" si="521"/>
        <v>0</v>
      </c>
      <c r="AF490" s="456">
        <f t="shared" si="522"/>
        <v>1082.1438353221695</v>
      </c>
      <c r="AG490" s="456">
        <f>((_xll.xSPRDOPT($L490,$J490,$I490,$M490,$O490,$N490,$P490,$Q490-$C$3,$R490,6)*$H490)/100)</f>
        <v>-1106.6404169231521</v>
      </c>
      <c r="AH490" s="456">
        <f>((_xll.xSPRDOPT($L490,$J490,$I490,$M490,$O490,$N490,$P490,$Q490-$C$3,$R490,5)*$H490)/100)</f>
        <v>2233.453318617675</v>
      </c>
      <c r="AI490" s="456">
        <f>(((_xll.xSPRDOPT($L490,$J490,$I490,$M490,$O490,$N490,$P490,$Q490-$C$3,$R490,4)*$H490)/10000)/100)-AB490</f>
        <v>-9.4666698920046199E-3</v>
      </c>
      <c r="AJ490" s="456"/>
      <c r="AK490" s="456"/>
      <c r="AL490" s="456"/>
      <c r="AM490" s="472"/>
      <c r="CC490" s="141">
        <f t="shared" si="567"/>
        <v>37135</v>
      </c>
      <c r="CD490" s="234">
        <f>_xll.xSPRDOPT((VLOOKUP(G490,NGPrices,2,FALSE)+HLOOKUP(D490,Prices,VLOOKUP(G490,move_down,2,FALSE),FALSE)),VLOOKUP(G490,NGPrices,2,FALSE),I490,VLOOKUP(G490,NGPREVPRICES,4,FALSE),HLOOKUP(D490,PREVVOLS,VLOOKUP(G490,MOVE_DOWN2,2,FALSE),FALSE),VLOOKUP(G490,NGPREVPRICES,3,FALSE),HLOOKUP(D490,Correllate,VLOOKUP(G490,CorMove,2,FALSE),FALSE),Q490-$CD$3,R490,$CD$5)*H490-CJ490</f>
        <v>0</v>
      </c>
      <c r="CE490" s="234">
        <f>_xll.xSPRDOPT((VLOOKUP(G490,NGPREVPRICES,2,FALSE)+HLOOKUP(D490,PREVCURVES,VLOOKUP(G490,MOVE_DOWN2,2,FALSE),FALSE)),VLOOKUP(G490,NGPREVPRICES,2,FALSE),CK490,VLOOKUP(G490,NGPrices,4,FALSE),HLOOKUP(D490,PREVVOLS,VLOOKUP(G490,MOVE_DOWN2,2,FALSE),FALSE),VLOOKUP(G490,NGPREVPRICES,3,FALSE),HLOOKUP(D490,Correllate,VLOOKUP(G490,CorMove,2,FALSE),FALSE),Q490-$CD$3,R490,$CJ$5)*H490-CJ490</f>
        <v>0</v>
      </c>
      <c r="CF490" s="10">
        <f t="shared" si="568"/>
        <v>-6.2423030584759545</v>
      </c>
      <c r="CG490" s="234">
        <f>_xll.xSPRDOPT((VLOOKUP(G490,NGPREVPRICES,2,FALSE)+HLOOKUP(D490,PREVCURVES,VLOOKUP(G490,MOVE_DOWN2,2,FALSE),FALSE)),VLOOKUP(G490,NGPREVPRICES,2,FALSE),CK490,VLOOKUP(G490,NGPREVPRICES,4,FALSE),HLOOKUP(D490,VOLS,VLOOKUP(G490,move_down,2,FALSE),FALSE),VLOOKUP(G490,NGPrices,3,FALSE),HLOOKUP(D490,Correllate,VLOOKUP(G490,CorMove,2,FALSE),FALSE),Q490-$CD$3,R490,$CJ$5)*H490-CJ490</f>
        <v>0</v>
      </c>
      <c r="CH490" s="234">
        <f>_xll.xSPRDOPT((VLOOKUP(G490,NGPREVPRICES,2,FALSE)+HLOOKUP(D490,PREVCURVES,VLOOKUP(G490,MOVE_DOWN2,2,FALSE),FALSE)),VLOOKUP(G490,NGPREVPRICES,2,FALSE),CK490,VLOOKUP(G490,NGPREVPRICES,4,FALSE),HLOOKUP(D490,PREVVOLS,VLOOKUP(G490,MOVE_DOWN2,2,FALSE),FALSE),VLOOKUP(G490,NGPREVPRICES,3,FALSE),HLOOKUP(D490,Correllate,VLOOKUP(G490,CorMove,2,FALSE),FALSE),Q490-$C$3,R490,$CJ$5)*H490-CJ490</f>
        <v>-53.159233919734106</v>
      </c>
      <c r="CI490" s="234">
        <f t="shared" si="569"/>
        <v>-59.401536978210061</v>
      </c>
      <c r="CJ490" s="234">
        <f>_xll.xSPRDOPT((VLOOKUP(G490,NGPREVPRICES,2,FALSE)+HLOOKUP(D490,PREVCURVES,VLOOKUP(G490,MOVE_DOWN2,2,FALSE),FALSE)),VLOOKUP(G490,NGPREVPRICES,2,FALSE),CK490,VLOOKUP(G490,NGPREVPRICES,4,FALSE),HLOOKUP(D490,PREVVOLS,VLOOKUP(G490,MOVE_DOWN2,2,FALSE),FALSE),VLOOKUP(G490,NGPREVPRICES,3,FALSE),HLOOKUP(D490,Correllate,VLOOKUP(G490,CorMove,2,FALSE),FALSE),Q490-$CD$3,R490,$CJ$5)*H490</f>
        <v>31308.780753975094</v>
      </c>
      <c r="CK490" s="235">
        <f t="shared" si="570"/>
        <v>0.5</v>
      </c>
      <c r="CM490" t="str">
        <f t="shared" si="571"/>
        <v>37135Curve Shift/Gamma</v>
      </c>
      <c r="CN490" t="str">
        <f t="shared" si="499"/>
        <v>37135Rho</v>
      </c>
      <c r="CO490" t="str">
        <f t="shared" si="500"/>
        <v>37135Drift</v>
      </c>
      <c r="CP490" t="str">
        <f t="shared" si="501"/>
        <v>37135Vega</v>
      </c>
      <c r="CQ490" t="str">
        <f t="shared" si="502"/>
        <v>37135Theta</v>
      </c>
    </row>
    <row r="491" spans="1:95" x14ac:dyDescent="0.25">
      <c r="A491" s="140" t="s">
        <v>281</v>
      </c>
      <c r="B491" t="s">
        <v>250</v>
      </c>
      <c r="C491" t="s">
        <v>510</v>
      </c>
      <c r="D491" s="4" t="s">
        <v>7</v>
      </c>
      <c r="E491" t="s">
        <v>20</v>
      </c>
      <c r="F491" t="s">
        <v>21</v>
      </c>
      <c r="G491" s="5">
        <v>37104</v>
      </c>
      <c r="H491" s="130">
        <v>310000</v>
      </c>
      <c r="I491">
        <v>0.5</v>
      </c>
      <c r="J491" s="53">
        <f t="shared" si="523"/>
        <v>3.8079999999999998</v>
      </c>
      <c r="K491" s="7">
        <f t="shared" si="524"/>
        <v>0.46</v>
      </c>
      <c r="L491" s="53">
        <f t="shared" si="525"/>
        <v>4.2679999999999998</v>
      </c>
      <c r="M491" s="157">
        <f t="shared" si="557"/>
        <v>6.9223060737754999E-2</v>
      </c>
      <c r="N491" s="4">
        <f t="shared" si="558"/>
        <v>0.4</v>
      </c>
      <c r="O491" s="4">
        <f t="shared" si="559"/>
        <v>0.39200000000000002</v>
      </c>
      <c r="P491" s="9">
        <f t="shared" si="560"/>
        <v>0.9738</v>
      </c>
      <c r="Q491" s="5">
        <f t="shared" si="520"/>
        <v>37102</v>
      </c>
      <c r="R491" s="4">
        <f t="shared" si="561"/>
        <v>1</v>
      </c>
      <c r="S491" s="158">
        <f>_xll.xSPRDOPT($L491,$J491,$I491,$M491,$O491,$N491,$P491,$Q491-$C$3,$R491,0)</f>
        <v>0.12629012827674946</v>
      </c>
      <c r="T491" s="159">
        <f>_xll.xSPRDOPT($L491,$J491,$I491,$M491,$O491,$N491,$P491,$Q491-$C$3,$R491,1)*H491</f>
        <v>139585.95653922687</v>
      </c>
      <c r="U491" s="160">
        <f t="shared" si="562"/>
        <v>39149.939765792333</v>
      </c>
      <c r="V491" s="159">
        <f>_xll.xSPRDOPT($L491,$J491,$I491,$M491,$O491,$N491,$P491,$Q491-$C$3,$R491,2)*H491</f>
        <v>-130740.21130054982</v>
      </c>
      <c r="W491" s="159">
        <f t="shared" si="563"/>
        <v>8845.7452386770456</v>
      </c>
      <c r="X491" s="51" t="str">
        <f t="shared" si="564"/>
        <v>37104IF-TRANSCO/Z6</v>
      </c>
      <c r="Y491" s="418">
        <f t="shared" si="565"/>
        <v>31</v>
      </c>
      <c r="Z491" s="456">
        <f t="shared" si="566"/>
        <v>0.45027727915879634</v>
      </c>
      <c r="AA491" s="456">
        <f>_xll.xSPRDOPT($L491,$J491,$I491,$M491,$O491,$N491,$P491,$Q491-$C$3,$R491,3)</f>
        <v>0.97832373520049332</v>
      </c>
      <c r="AB491" s="456">
        <f>((_xll.xSPRDOPT($L491+AB$5,$J491,$I491,$M491,$O491,$N491,$P491,$Q491-$C$3,$R491,3)*$H491)/10000)/100</f>
        <v>0.30328035791215296</v>
      </c>
      <c r="AC491" s="456">
        <f>((_xll.xSPRDOPT($L491+$AB$5,$J491,$I491,$M491,$O491,$N491,$P491,$Q491-$C$3,$R491,7)*$H491)/100)</f>
        <v>-7053.699725487144</v>
      </c>
      <c r="AD491" s="456">
        <f>(_xll.xSPRDOPT($L491+$AB$5,$J491,$I491,$M491,$O491,$N491,$P491,$Q491-$C$3,$R491,9)/365)*$H491</f>
        <v>-59.599469207074229</v>
      </c>
      <c r="AE491">
        <f t="shared" si="521"/>
        <v>0</v>
      </c>
      <c r="AF491" s="456">
        <f t="shared" si="522"/>
        <v>1121.8892703906679</v>
      </c>
      <c r="AG491" s="456">
        <f>((_xll.xSPRDOPT($L491,$J491,$I491,$M491,$O491,$N491,$P491,$Q491-$C$3,$R491,6)*$H491)/100)</f>
        <v>-1171.1156222201732</v>
      </c>
      <c r="AH491" s="456">
        <f>((_xll.xSPRDOPT($L491,$J491,$I491,$M491,$O491,$N491,$P491,$Q491-$C$3,$R491,5)*$H491)/100)</f>
        <v>2339.8009108273891</v>
      </c>
      <c r="AI491" s="456">
        <f>(((_xll.xSPRDOPT($L491,$J491,$I491,$M491,$O491,$N491,$P491,$Q491-$C$3,$R491,4)*$H491)/10000)/100)-AB491</f>
        <v>-2.5049847348468379E-3</v>
      </c>
      <c r="AJ491" s="456"/>
      <c r="AK491" s="456"/>
      <c r="AL491" s="456"/>
      <c r="AM491" s="472"/>
      <c r="CC491" s="141">
        <f t="shared" si="567"/>
        <v>37104</v>
      </c>
      <c r="CD491" s="234">
        <f>_xll.xSPRDOPT((VLOOKUP(G491,NGPrices,2,FALSE)+HLOOKUP(D491,Prices,VLOOKUP(G491,move_down,2,FALSE),FALSE)),VLOOKUP(G491,NGPrices,2,FALSE),I491,VLOOKUP(G491,NGPREVPRICES,4,FALSE),HLOOKUP(D491,PREVVOLS,VLOOKUP(G491,MOVE_DOWN2,2,FALSE),FALSE),VLOOKUP(G491,NGPREVPRICES,3,FALSE),HLOOKUP(D491,Correllate,VLOOKUP(G491,CorMove,2,FALSE),FALSE),Q491-$CD$3,R491,$CD$5)*H491-CJ491</f>
        <v>0</v>
      </c>
      <c r="CE491" s="234">
        <f>_xll.xSPRDOPT((VLOOKUP(G491,NGPREVPRICES,2,FALSE)+HLOOKUP(D491,PREVCURVES,VLOOKUP(G491,MOVE_DOWN2,2,FALSE),FALSE)),VLOOKUP(G491,NGPREVPRICES,2,FALSE),CK491,VLOOKUP(G491,NGPrices,4,FALSE),HLOOKUP(D491,PREVVOLS,VLOOKUP(G491,MOVE_DOWN2,2,FALSE),FALSE),VLOOKUP(G491,NGPREVPRICES,3,FALSE),HLOOKUP(D491,Correllate,VLOOKUP(G491,CorMove,2,FALSE),FALSE),Q491-$CD$3,R491,$CJ$5)*H491-CJ491</f>
        <v>0</v>
      </c>
      <c r="CF491" s="10">
        <f t="shared" si="568"/>
        <v>-7.7695414142799564</v>
      </c>
      <c r="CG491" s="234">
        <f>_xll.xSPRDOPT((VLOOKUP(G491,NGPREVPRICES,2,FALSE)+HLOOKUP(D491,PREVCURVES,VLOOKUP(G491,MOVE_DOWN2,2,FALSE),FALSE)),VLOOKUP(G491,NGPREVPRICES,2,FALSE),CK491,VLOOKUP(G491,NGPREVPRICES,4,FALSE),HLOOKUP(D491,VOLS,VLOOKUP(G491,move_down,2,FALSE),FALSE),VLOOKUP(G491,NGPrices,3,FALSE),HLOOKUP(D491,Correllate,VLOOKUP(G491,CorMove,2,FALSE),FALSE),Q491-$CD$3,R491,$CJ$5)*H491-CJ491</f>
        <v>0</v>
      </c>
      <c r="CH491" s="234">
        <f>_xll.xSPRDOPT((VLOOKUP(G491,NGPREVPRICES,2,FALSE)+HLOOKUP(D491,PREVCURVES,VLOOKUP(G491,MOVE_DOWN2,2,FALSE),FALSE)),VLOOKUP(G491,NGPREVPRICES,2,FALSE),CK491,VLOOKUP(G491,NGPREVPRICES,4,FALSE),HLOOKUP(D491,PREVVOLS,VLOOKUP(G491,MOVE_DOWN2,2,FALSE),FALSE),VLOOKUP(G491,NGPREVPRICES,3,FALSE),HLOOKUP(D491,Correllate,VLOOKUP(G491,CorMove,2,FALSE),FALSE),Q491-$C$3,R491,$CJ$5)*H491-CJ491</f>
        <v>-59.498533354249957</v>
      </c>
      <c r="CI491" s="234">
        <f t="shared" si="569"/>
        <v>-67.268074768529914</v>
      </c>
      <c r="CJ491" s="234">
        <f>_xll.xSPRDOPT((VLOOKUP(G491,NGPREVPRICES,2,FALSE)+HLOOKUP(D491,PREVCURVES,VLOOKUP(G491,MOVE_DOWN2,2,FALSE),FALSE)),VLOOKUP(G491,NGPREVPRICES,2,FALSE),CK491,VLOOKUP(G491,NGPREVPRICES,4,FALSE),HLOOKUP(D491,PREVVOLS,VLOOKUP(G491,MOVE_DOWN2,2,FALSE),FALSE),VLOOKUP(G491,NGPREVPRICES,3,FALSE),HLOOKUP(D491,Correllate,VLOOKUP(G491,CorMove,2,FALSE),FALSE),Q491-$CD$3,R491,$CJ$5)*H491</f>
        <v>39209.438299146583</v>
      </c>
      <c r="CK491" s="235">
        <f t="shared" si="570"/>
        <v>0.5</v>
      </c>
      <c r="CM491" t="str">
        <f t="shared" si="571"/>
        <v>37104Curve Shift/Gamma</v>
      </c>
      <c r="CN491" t="str">
        <f t="shared" si="499"/>
        <v>37104Rho</v>
      </c>
      <c r="CO491" t="str">
        <f t="shared" si="500"/>
        <v>37104Drift</v>
      </c>
      <c r="CP491" t="str">
        <f t="shared" si="501"/>
        <v>37104Vega</v>
      </c>
      <c r="CQ491" t="str">
        <f t="shared" si="502"/>
        <v>37104Theta</v>
      </c>
    </row>
    <row r="492" spans="1:95" x14ac:dyDescent="0.25">
      <c r="A492" s="140" t="s">
        <v>281</v>
      </c>
      <c r="B492" t="s">
        <v>250</v>
      </c>
      <c r="C492" t="s">
        <v>510</v>
      </c>
      <c r="D492" s="4" t="s">
        <v>7</v>
      </c>
      <c r="E492" t="s">
        <v>20</v>
      </c>
      <c r="F492" t="s">
        <v>21</v>
      </c>
      <c r="G492" s="5">
        <v>37073</v>
      </c>
      <c r="H492" s="130">
        <v>310000</v>
      </c>
      <c r="I492">
        <v>0.5</v>
      </c>
      <c r="J492" s="53">
        <f t="shared" si="523"/>
        <v>3.8029999999999999</v>
      </c>
      <c r="K492" s="7">
        <f t="shared" si="524"/>
        <v>0.46</v>
      </c>
      <c r="L492" s="53">
        <f t="shared" si="525"/>
        <v>4.2629999999999999</v>
      </c>
      <c r="M492" s="157">
        <f t="shared" si="557"/>
        <v>6.9181571268567998E-2</v>
      </c>
      <c r="N492" s="4">
        <f t="shared" si="558"/>
        <v>0.4</v>
      </c>
      <c r="O492" s="4">
        <f t="shared" si="559"/>
        <v>0.39200000000000002</v>
      </c>
      <c r="P492" s="9">
        <f t="shared" si="560"/>
        <v>0.9738</v>
      </c>
      <c r="Q492" s="5">
        <f t="shared" si="520"/>
        <v>37070</v>
      </c>
      <c r="R492" s="4">
        <f t="shared" si="561"/>
        <v>1</v>
      </c>
      <c r="S492" s="158">
        <f>_xll.xSPRDOPT($L492,$J492,$I492,$M492,$O492,$N492,$P492,$Q492-$C$3,$R492,0)</f>
        <v>0.11980175281069419</v>
      </c>
      <c r="T492" s="159">
        <f>_xll.xSPRDOPT($L492,$J492,$I492,$M492,$O492,$N492,$P492,$Q492-$C$3,$R492,1)*H492</f>
        <v>139490.38785421287</v>
      </c>
      <c r="U492" s="160">
        <f t="shared" si="562"/>
        <v>37138.543371315202</v>
      </c>
      <c r="V492" s="159">
        <f>_xll.xSPRDOPT($L492,$J492,$I492,$M492,$O492,$N492,$P492,$Q492-$C$3,$R492,2)*H492</f>
        <v>-131035.42281900471</v>
      </c>
      <c r="W492" s="159">
        <f t="shared" si="563"/>
        <v>8454.9650352081517</v>
      </c>
      <c r="X492" s="51" t="str">
        <f t="shared" si="564"/>
        <v>37073IF-TRANSCO/Z6</v>
      </c>
      <c r="Y492" s="418">
        <f t="shared" si="565"/>
        <v>31</v>
      </c>
      <c r="Z492" s="456">
        <f t="shared" si="566"/>
        <v>0.44996899307810601</v>
      </c>
      <c r="AA492" s="456">
        <f>_xll.xSPRDOPT($L492,$J492,$I492,$M492,$O492,$N492,$P492,$Q492-$C$3,$R492,3)</f>
        <v>1.0357146025088457</v>
      </c>
      <c r="AB492" s="456">
        <f>((_xll.xSPRDOPT($L492+AB$5,$J492,$I492,$M492,$O492,$N492,$P492,$Q492-$C$3,$R492,3)*$H492)/10000)/100</f>
        <v>0.32107152677774214</v>
      </c>
      <c r="AC492" s="456">
        <f>((_xll.xSPRDOPT($L492+$AB$5,$J492,$I492,$M492,$O492,$N492,$P492,$Q492-$C$3,$R492,7)*$H492)/100)</f>
        <v>-6735.5052382603699</v>
      </c>
      <c r="AD492" s="456">
        <f>(_xll.xSPRDOPT($L492+$AB$5,$J492,$I492,$M492,$O492,$N492,$P492,$Q492-$C$3,$R492,9)/365)*$H492</f>
        <v>-63.672649867082505</v>
      </c>
      <c r="AE492">
        <f t="shared" si="521"/>
        <v>0</v>
      </c>
      <c r="AF492" s="456">
        <f t="shared" si="522"/>
        <v>1070.5510117846022</v>
      </c>
      <c r="AG492" s="456">
        <f>((_xll.xSPRDOPT($L492,$J492,$I492,$M492,$O492,$N492,$P492,$Q492-$C$3,$R492,6)*$H492)/100)</f>
        <v>-1126.8908766275474</v>
      </c>
      <c r="AH492" s="456">
        <f>((_xll.xSPRDOPT($L492,$J492,$I492,$M492,$O492,$N492,$P492,$Q492-$C$3,$R492,5)*$H492)/100)</f>
        <v>2242.2876412368873</v>
      </c>
      <c r="AI492" s="456">
        <f>(((_xll.xSPRDOPT($L492,$J492,$I492,$M492,$O492,$N492,$P492,$Q492-$C$3,$R492,4)*$H492)/10000)/100)-AB492</f>
        <v>-2.8758882840599354E-3</v>
      </c>
      <c r="AJ492" s="456"/>
      <c r="AK492" s="456"/>
      <c r="AL492" s="456"/>
      <c r="AM492" s="472"/>
      <c r="CC492" s="141">
        <f t="shared" si="567"/>
        <v>37073</v>
      </c>
      <c r="CD492" s="234">
        <f>_xll.xSPRDOPT((VLOOKUP(G492,NGPrices,2,FALSE)+HLOOKUP(D492,Prices,VLOOKUP(G492,move_down,2,FALSE),FALSE)),VLOOKUP(G492,NGPrices,2,FALSE),I492,VLOOKUP(G492,NGPREVPRICES,4,FALSE),HLOOKUP(D492,PREVVOLS,VLOOKUP(G492,MOVE_DOWN2,2,FALSE),FALSE),VLOOKUP(G492,NGPREVPRICES,3,FALSE),HLOOKUP(D492,Correllate,VLOOKUP(G492,CorMove,2,FALSE),FALSE),Q492-$CD$3,R492,$CD$5)*H492-CJ492</f>
        <v>0</v>
      </c>
      <c r="CE492" s="234">
        <f>_xll.xSPRDOPT((VLOOKUP(G492,NGPREVPRICES,2,FALSE)+HLOOKUP(D492,PREVCURVES,VLOOKUP(G492,MOVE_DOWN2,2,FALSE),FALSE)),VLOOKUP(G492,NGPREVPRICES,2,FALSE),CK492,VLOOKUP(G492,NGPrices,4,FALSE),HLOOKUP(D492,PREVVOLS,VLOOKUP(G492,MOVE_DOWN2,2,FALSE),FALSE),VLOOKUP(G492,NGPREVPRICES,3,FALSE),HLOOKUP(D492,Correllate,VLOOKUP(G492,CorMove,2,FALSE),FALSE),Q492-$CD$3,R492,$CJ$5)*H492-CJ492</f>
        <v>0</v>
      </c>
      <c r="CF492" s="10">
        <f t="shared" si="568"/>
        <v>-7.326559719753277</v>
      </c>
      <c r="CG492" s="234">
        <f>_xll.xSPRDOPT((VLOOKUP(G492,NGPREVPRICES,2,FALSE)+HLOOKUP(D492,PREVCURVES,VLOOKUP(G492,MOVE_DOWN2,2,FALSE),FALSE)),VLOOKUP(G492,NGPREVPRICES,2,FALSE),CK492,VLOOKUP(G492,NGPREVPRICES,4,FALSE),HLOOKUP(D492,VOLS,VLOOKUP(G492,move_down,2,FALSE),FALSE),VLOOKUP(G492,NGPrices,3,FALSE),HLOOKUP(D492,Correllate,VLOOKUP(G492,CorMove,2,FALSE),FALSE),Q492-$CD$3,R492,$CJ$5)*H492-CJ492</f>
        <v>0</v>
      </c>
      <c r="CH492" s="234">
        <f>_xll.xSPRDOPT((VLOOKUP(G492,NGPREVPRICES,2,FALSE)+HLOOKUP(D492,PREVCURVES,VLOOKUP(G492,MOVE_DOWN2,2,FALSE),FALSE)),VLOOKUP(G492,NGPREVPRICES,2,FALSE),CK492,VLOOKUP(G492,NGPREVPRICES,4,FALSE),HLOOKUP(D492,PREVVOLS,VLOOKUP(G492,MOVE_DOWN2,2,FALSE),FALSE),VLOOKUP(G492,NGPREVPRICES,3,FALSE),HLOOKUP(D492,Correllate,VLOOKUP(G492,CorMove,2,FALSE),FALSE),Q492-$C$3,R492,$CJ$5)*H492-CJ492</f>
        <v>-63.560149942873977</v>
      </c>
      <c r="CI492" s="234">
        <f t="shared" si="569"/>
        <v>-70.886709662627254</v>
      </c>
      <c r="CJ492" s="234">
        <f>_xll.xSPRDOPT((VLOOKUP(G492,NGPREVPRICES,2,FALSE)+HLOOKUP(D492,PREVCURVES,VLOOKUP(G492,MOVE_DOWN2,2,FALSE),FALSE)),VLOOKUP(G492,NGPREVPRICES,2,FALSE),CK492,VLOOKUP(G492,NGPREVPRICES,4,FALSE),HLOOKUP(D492,PREVVOLS,VLOOKUP(G492,MOVE_DOWN2,2,FALSE),FALSE),VLOOKUP(G492,NGPREVPRICES,3,FALSE),HLOOKUP(D492,Correllate,VLOOKUP(G492,CorMove,2,FALSE),FALSE),Q492-$CD$3,R492,$CJ$5)*H492</f>
        <v>37202.103521258075</v>
      </c>
      <c r="CK492" s="235">
        <f t="shared" si="570"/>
        <v>0.5</v>
      </c>
      <c r="CM492" t="str">
        <f t="shared" si="571"/>
        <v>37073Curve Shift/Gamma</v>
      </c>
      <c r="CN492" t="str">
        <f t="shared" si="499"/>
        <v>37073Rho</v>
      </c>
      <c r="CO492" t="str">
        <f t="shared" si="500"/>
        <v>37073Drift</v>
      </c>
      <c r="CP492" t="str">
        <f t="shared" si="501"/>
        <v>37073Vega</v>
      </c>
      <c r="CQ492" t="str">
        <f t="shared" si="502"/>
        <v>37073Theta</v>
      </c>
    </row>
    <row r="493" spans="1:95" x14ac:dyDescent="0.25">
      <c r="A493" s="140" t="s">
        <v>281</v>
      </c>
      <c r="B493" t="s">
        <v>250</v>
      </c>
      <c r="C493" t="s">
        <v>510</v>
      </c>
      <c r="D493" s="4" t="s">
        <v>7</v>
      </c>
      <c r="E493" t="s">
        <v>20</v>
      </c>
      <c r="F493" t="s">
        <v>21</v>
      </c>
      <c r="G493" s="5">
        <v>37043</v>
      </c>
      <c r="H493" s="130">
        <v>300000</v>
      </c>
      <c r="I493">
        <v>0.5</v>
      </c>
      <c r="J493" s="53">
        <f t="shared" si="523"/>
        <v>3.8180000000000001</v>
      </c>
      <c r="K493" s="7">
        <f t="shared" si="524"/>
        <v>0.39500000000000002</v>
      </c>
      <c r="L493" s="53">
        <f t="shared" si="525"/>
        <v>4.2130000000000001</v>
      </c>
      <c r="M493" s="157">
        <f t="shared" si="557"/>
        <v>6.9141890053328006E-2</v>
      </c>
      <c r="N493" s="4">
        <f t="shared" si="558"/>
        <v>0.4</v>
      </c>
      <c r="O493" s="4">
        <f t="shared" si="559"/>
        <v>0.39200000000000002</v>
      </c>
      <c r="P493" s="9">
        <f t="shared" si="560"/>
        <v>0.9738</v>
      </c>
      <c r="Q493" s="5">
        <f t="shared" si="520"/>
        <v>37041</v>
      </c>
      <c r="R493" s="4">
        <f t="shared" si="561"/>
        <v>1</v>
      </c>
      <c r="S493" s="158">
        <f>_xll.xSPRDOPT($L493,$J493,$I493,$M493,$O493,$N493,$P493,$Q493-$C$3,$R493,0)</f>
        <v>8.7137041152656705E-2</v>
      </c>
      <c r="T493" s="159">
        <f>_xll.xSPRDOPT($L493,$J493,$I493,$M493,$O493,$N493,$P493,$Q493-$C$3,$R493,1)*H493</f>
        <v>113621.33177488485</v>
      </c>
      <c r="U493" s="160">
        <f t="shared" si="562"/>
        <v>26141.11234579701</v>
      </c>
      <c r="V493" s="159">
        <f>_xll.xSPRDOPT($L493,$J493,$I493,$M493,$O493,$N493,$P493,$Q493-$C$3,$R493,2)*H493</f>
        <v>-106052.43502742605</v>
      </c>
      <c r="W493" s="159">
        <f t="shared" si="563"/>
        <v>7568.8967474587989</v>
      </c>
      <c r="X493" s="51" t="str">
        <f t="shared" si="564"/>
        <v>37043IF-TRANSCO/Z6</v>
      </c>
      <c r="Y493" s="418">
        <f t="shared" si="565"/>
        <v>30</v>
      </c>
      <c r="Z493" s="456">
        <f t="shared" si="566"/>
        <v>0.37873777258294949</v>
      </c>
      <c r="AA493" s="456">
        <f>_xll.xSPRDOPT($L493,$J493,$I493,$M493,$O493,$N493,$P493,$Q493-$C$3,$R493,3)</f>
        <v>1.0774400090850123</v>
      </c>
      <c r="AB493" s="456">
        <f>((_xll.xSPRDOPT($L493+AB$5,$J493,$I493,$M493,$O493,$N493,$P493,$Q493-$C$3,$R493,3)*$H493)/10000)/100</f>
        <v>0.32323200272550373</v>
      </c>
      <c r="AC493" s="456">
        <f>((_xll.xSPRDOPT($L493+$AB$5,$J493,$I493,$M493,$O493,$N493,$P493,$Q493-$C$3,$R493,7)*$H493)/100)</f>
        <v>-6001.8461059524843</v>
      </c>
      <c r="AD493" s="456">
        <f>(_xll.xSPRDOPT($L493+$AB$5,$J493,$I493,$M493,$O493,$N493,$P493,$Q493-$C$3,$R493,9)/365)*$H493</f>
        <v>-64.061054761048155</v>
      </c>
      <c r="AE493">
        <f t="shared" si="521"/>
        <v>0</v>
      </c>
      <c r="AF493" s="456">
        <f t="shared" si="522"/>
        <v>944.83039036878699</v>
      </c>
      <c r="AG493" s="456">
        <f>((_xll.xSPRDOPT($L493,$J493,$I493,$M493,$O493,$N493,$P493,$Q493-$C$3,$R493,6)*$H493)/100)</f>
        <v>-977.37172402597889</v>
      </c>
      <c r="AH493" s="456">
        <f>((_xll.xSPRDOPT($L493,$J493,$I493,$M493,$O493,$N493,$P493,$Q493-$C$3,$R493,5)*$H493)/100)</f>
        <v>1961.430728974251</v>
      </c>
      <c r="AI493" s="456">
        <f>(((_xll.xSPRDOPT($L493,$J493,$I493,$M493,$O493,$N493,$P493,$Q493-$C$3,$R493,4)*$H493)/10000)/100)-AB493</f>
        <v>-1.1533987159853321E-2</v>
      </c>
      <c r="AJ493" s="456"/>
      <c r="AK493" s="456"/>
      <c r="AL493" s="456"/>
      <c r="AM493" s="472"/>
      <c r="CC493" s="141">
        <f t="shared" si="567"/>
        <v>37043</v>
      </c>
      <c r="CD493" s="234">
        <f>_xll.xSPRDOPT((VLOOKUP(G493,NGPrices,2,FALSE)+HLOOKUP(D493,Prices,VLOOKUP(G493,move_down,2,FALSE),FALSE)),VLOOKUP(G493,NGPrices,2,FALSE),I493,VLOOKUP(G493,NGPREVPRICES,4,FALSE),HLOOKUP(D493,PREVVOLS,VLOOKUP(G493,MOVE_DOWN2,2,FALSE),FALSE),VLOOKUP(G493,NGPREVPRICES,3,FALSE),HLOOKUP(D493,Correllate,VLOOKUP(G493,CorMove,2,FALSE),FALSE),Q493-$CD$3,R493,$CD$5)*H493-CJ493</f>
        <v>0</v>
      </c>
      <c r="CE493" s="234">
        <f>_xll.xSPRDOPT((VLOOKUP(G493,NGPREVPRICES,2,FALSE)+HLOOKUP(D493,PREVCURVES,VLOOKUP(G493,MOVE_DOWN2,2,FALSE),FALSE)),VLOOKUP(G493,NGPREVPRICES,2,FALSE),CK493,VLOOKUP(G493,NGPrices,4,FALSE),HLOOKUP(D493,PREVVOLS,VLOOKUP(G493,MOVE_DOWN2,2,FALSE),FALSE),VLOOKUP(G493,NGPREVPRICES,3,FALSE),HLOOKUP(D493,Correllate,VLOOKUP(G493,CorMove,2,FALSE),FALSE),Q493-$CD$3,R493,$CJ$5)*H493-CJ493</f>
        <v>0</v>
      </c>
      <c r="CF493" s="10">
        <f t="shared" si="568"/>
        <v>-5.1297859438091109</v>
      </c>
      <c r="CG493" s="234">
        <f>_xll.xSPRDOPT((VLOOKUP(G493,NGPREVPRICES,2,FALSE)+HLOOKUP(D493,PREVCURVES,VLOOKUP(G493,MOVE_DOWN2,2,FALSE),FALSE)),VLOOKUP(G493,NGPREVPRICES,2,FALSE),CK493,VLOOKUP(G493,NGPREVPRICES,4,FALSE),HLOOKUP(D493,VOLS,VLOOKUP(G493,move_down,2,FALSE),FALSE),VLOOKUP(G493,NGPrices,3,FALSE),HLOOKUP(D493,Correllate,VLOOKUP(G493,CorMove,2,FALSE),FALSE),Q493-$CD$3,R493,$CJ$5)*H493-CJ493</f>
        <v>0</v>
      </c>
      <c r="CH493" s="234">
        <f>_xll.xSPRDOPT((VLOOKUP(G493,NGPREVPRICES,2,FALSE)+HLOOKUP(D493,PREVCURVES,VLOOKUP(G493,MOVE_DOWN2,2,FALSE),FALSE)),VLOOKUP(G493,NGPREVPRICES,2,FALSE),CK493,VLOOKUP(G493,NGPREVPRICES,4,FALSE),HLOOKUP(D493,PREVVOLS,VLOOKUP(G493,MOVE_DOWN2,2,FALSE),FALSE),VLOOKUP(G493,NGPREVPRICES,3,FALSE),HLOOKUP(D493,Correllate,VLOOKUP(G493,CorMove,2,FALSE),FALSE),Q493-$C$3,R493,$CJ$5)*H493-CJ493</f>
        <v>-63.948897408674384</v>
      </c>
      <c r="CI493" s="234">
        <f t="shared" si="569"/>
        <v>-69.078683352483495</v>
      </c>
      <c r="CJ493" s="234">
        <f>_xll.xSPRDOPT((VLOOKUP(G493,NGPREVPRICES,2,FALSE)+HLOOKUP(D493,PREVCURVES,VLOOKUP(G493,MOVE_DOWN2,2,FALSE),FALSE)),VLOOKUP(G493,NGPREVPRICES,2,FALSE),CK493,VLOOKUP(G493,NGPREVPRICES,4,FALSE),HLOOKUP(D493,PREVVOLS,VLOOKUP(G493,MOVE_DOWN2,2,FALSE),FALSE),VLOOKUP(G493,NGPREVPRICES,3,FALSE),HLOOKUP(D493,Correllate,VLOOKUP(G493,CorMove,2,FALSE),FALSE),Q493-$CD$3,R493,$CJ$5)*H493</f>
        <v>26205.061243205684</v>
      </c>
      <c r="CK493" s="235">
        <f t="shared" si="570"/>
        <v>0.5</v>
      </c>
      <c r="CM493" t="str">
        <f t="shared" si="571"/>
        <v>37043Curve Shift/Gamma</v>
      </c>
      <c r="CN493" t="str">
        <f t="shared" si="499"/>
        <v>37043Rho</v>
      </c>
      <c r="CO493" t="str">
        <f t="shared" si="500"/>
        <v>37043Drift</v>
      </c>
      <c r="CP493" t="str">
        <f t="shared" si="501"/>
        <v>37043Vega</v>
      </c>
      <c r="CQ493" t="str">
        <f t="shared" si="502"/>
        <v>37043Theta</v>
      </c>
    </row>
    <row r="494" spans="1:95" x14ac:dyDescent="0.25">
      <c r="A494" s="140" t="s">
        <v>281</v>
      </c>
      <c r="B494" t="s">
        <v>250</v>
      </c>
      <c r="C494" t="s">
        <v>510</v>
      </c>
      <c r="D494" s="4" t="s">
        <v>7</v>
      </c>
      <c r="E494" t="s">
        <v>20</v>
      </c>
      <c r="F494" t="s">
        <v>21</v>
      </c>
      <c r="G494" s="5">
        <v>37012</v>
      </c>
      <c r="H494" s="130">
        <v>310000</v>
      </c>
      <c r="I494">
        <v>0.5</v>
      </c>
      <c r="J494" s="53">
        <f t="shared" si="523"/>
        <v>3.8380000000000001</v>
      </c>
      <c r="K494" s="7">
        <f t="shared" si="524"/>
        <v>0.40500000000000003</v>
      </c>
      <c r="L494" s="53">
        <f t="shared" si="525"/>
        <v>4.2430000000000003</v>
      </c>
      <c r="M494" s="157">
        <f t="shared" si="557"/>
        <v>6.9101151218999998E-2</v>
      </c>
      <c r="N494" s="4">
        <f t="shared" si="558"/>
        <v>0.40500000000000003</v>
      </c>
      <c r="O494" s="4">
        <f t="shared" si="559"/>
        <v>0.39700000000000002</v>
      </c>
      <c r="P494" s="9">
        <f t="shared" si="560"/>
        <v>0.9738</v>
      </c>
      <c r="Q494" s="5">
        <f t="shared" si="520"/>
        <v>37008</v>
      </c>
      <c r="R494" s="4">
        <f t="shared" si="561"/>
        <v>1</v>
      </c>
      <c r="S494" s="158">
        <f>_xll.xSPRDOPT($L494,$J494,$I494,$M494,$O494,$N494,$P494,$Q494-$C$3,$R494,0)</f>
        <v>8.5657482166036525E-2</v>
      </c>
      <c r="T494" s="159">
        <f>_xll.xSPRDOPT($L494,$J494,$I494,$M494,$O494,$N494,$P494,$Q494-$C$3,$R494,1)*H494</f>
        <v>119689.40746163913</v>
      </c>
      <c r="U494" s="160">
        <f t="shared" si="562"/>
        <v>26553.819471471325</v>
      </c>
      <c r="V494" s="159">
        <f>_xll.xSPRDOPT($L494,$J494,$I494,$M494,$O494,$N494,$P494,$Q494-$C$3,$R494,2)*H494</f>
        <v>-112180.63076889825</v>
      </c>
      <c r="W494" s="159">
        <f t="shared" si="563"/>
        <v>7508.7766927408811</v>
      </c>
      <c r="X494" s="51" t="str">
        <f t="shared" si="564"/>
        <v>37012IF-TRANSCO/Z6</v>
      </c>
      <c r="Y494" s="418">
        <f t="shared" si="565"/>
        <v>31</v>
      </c>
      <c r="Z494" s="456">
        <f t="shared" si="566"/>
        <v>0.38609486277948107</v>
      </c>
      <c r="AA494" s="456">
        <f>_xll.xSPRDOPT($L494,$J494,$I494,$M494,$O494,$N494,$P494,$Q494-$C$3,$R494,3)</f>
        <v>1.1373780888041054</v>
      </c>
      <c r="AB494" s="456">
        <f>((_xll.xSPRDOPT($L494+AB$5,$J494,$I494,$M494,$O494,$N494,$P494,$Q494-$C$3,$R494,3)*$H494)/10000)/100</f>
        <v>0.35258720752927269</v>
      </c>
      <c r="AC494" s="456">
        <f>((_xll.xSPRDOPT($L494+$AB$5,$J494,$I494,$M494,$O494,$N494,$P494,$Q494-$C$3,$R494,7)*$H494)/100)</f>
        <v>-5989.2275658922617</v>
      </c>
      <c r="AD494" s="456">
        <f>(_xll.xSPRDOPT($L494+$AB$5,$J494,$I494,$M494,$O494,$N494,$P494,$Q494-$C$3,$R494,9)/365)*$H494</f>
        <v>-73.196693334097475</v>
      </c>
      <c r="AE494">
        <f t="shared" si="521"/>
        <v>0</v>
      </c>
      <c r="AF494" s="456">
        <f t="shared" si="522"/>
        <v>930.32273119645095</v>
      </c>
      <c r="AG494" s="456">
        <f>((_xll.xSPRDOPT($L494,$J494,$I494,$M494,$O494,$N494,$P494,$Q494-$C$3,$R494,6)*$H494)/100)</f>
        <v>-968.08632543397164</v>
      </c>
      <c r="AH494" s="456">
        <f>((_xll.xSPRDOPT($L494,$J494,$I494,$M494,$O494,$N494,$P494,$Q494-$C$3,$R494,5)*$H494)/100)</f>
        <v>1936.6641509705823</v>
      </c>
      <c r="AI494" s="456">
        <f>(((_xll.xSPRDOPT($L494,$J494,$I494,$M494,$O494,$N494,$P494,$Q494-$C$3,$R494,4)*$H494)/10000)/100)-AB494</f>
        <v>-1.1339540426136885E-2</v>
      </c>
      <c r="AJ494" s="456"/>
      <c r="AK494" s="456"/>
      <c r="AL494" s="456"/>
      <c r="AM494" s="472"/>
      <c r="CC494" s="141">
        <f t="shared" si="567"/>
        <v>37012</v>
      </c>
      <c r="CD494" s="234">
        <f>_xll.xSPRDOPT((VLOOKUP(G494,NGPrices,2,FALSE)+HLOOKUP(D494,Prices,VLOOKUP(G494,move_down,2,FALSE),FALSE)),VLOOKUP(G494,NGPrices,2,FALSE),I494,VLOOKUP(G494,NGPREVPRICES,4,FALSE),HLOOKUP(D494,PREVVOLS,VLOOKUP(G494,MOVE_DOWN2,2,FALSE),FALSE),VLOOKUP(G494,NGPREVPRICES,3,FALSE),HLOOKUP(D494,Correllate,VLOOKUP(G494,CorMove,2,FALSE),FALSE),Q494-$CD$3,R494,$CD$5)*H494-CJ494</f>
        <v>0</v>
      </c>
      <c r="CE494" s="234">
        <f>_xll.xSPRDOPT((VLOOKUP(G494,NGPREVPRICES,2,FALSE)+HLOOKUP(D494,PREVCURVES,VLOOKUP(G494,MOVE_DOWN2,2,FALSE),FALSE)),VLOOKUP(G494,NGPREVPRICES,2,FALSE),CK494,VLOOKUP(G494,NGPrices,4,FALSE),HLOOKUP(D494,PREVVOLS,VLOOKUP(G494,MOVE_DOWN2,2,FALSE),FALSE),VLOOKUP(G494,NGPREVPRICES,3,FALSE),HLOOKUP(D494,Correllate,VLOOKUP(G494,CorMove,2,FALSE),FALSE),Q494-$CD$3,R494,$CJ$5)*H494-CJ494</f>
        <v>0</v>
      </c>
      <c r="CF494" s="10">
        <f t="shared" si="568"/>
        <v>-5.1797787186369533</v>
      </c>
      <c r="CG494" s="234">
        <f>_xll.xSPRDOPT((VLOOKUP(G494,NGPREVPRICES,2,FALSE)+HLOOKUP(D494,PREVCURVES,VLOOKUP(G494,MOVE_DOWN2,2,FALSE),FALSE)),VLOOKUP(G494,NGPREVPRICES,2,FALSE),CK494,VLOOKUP(G494,NGPREVPRICES,4,FALSE),HLOOKUP(D494,VOLS,VLOOKUP(G494,move_down,2,FALSE),FALSE),VLOOKUP(G494,NGPrices,3,FALSE),HLOOKUP(D494,Correllate,VLOOKUP(G494,CorMove,2,FALSE),FALSE),Q494-$CD$3,R494,$CJ$5)*H494-CJ494</f>
        <v>0</v>
      </c>
      <c r="CH494" s="234">
        <f>_xll.xSPRDOPT((VLOOKUP(G494,NGPREVPRICES,2,FALSE)+HLOOKUP(D494,PREVCURVES,VLOOKUP(G494,MOVE_DOWN2,2,FALSE),FALSE)),VLOOKUP(G494,NGPREVPRICES,2,FALSE),CK494,VLOOKUP(G494,NGPREVPRICES,4,FALSE),HLOOKUP(D494,PREVVOLS,VLOOKUP(G494,MOVE_DOWN2,2,FALSE),FALSE),VLOOKUP(G494,NGPREVPRICES,3,FALSE),HLOOKUP(D494,Correllate,VLOOKUP(G494,CorMove,2,FALSE),FALSE),Q494-$C$3,R494,$CJ$5)*H494-CJ494</f>
        <v>-73.059575064373348</v>
      </c>
      <c r="CI494" s="234">
        <f t="shared" si="569"/>
        <v>-78.239353783010301</v>
      </c>
      <c r="CJ494" s="234">
        <f>_xll.xSPRDOPT((VLOOKUP(G494,NGPREVPRICES,2,FALSE)+HLOOKUP(D494,PREVCURVES,VLOOKUP(G494,MOVE_DOWN2,2,FALSE),FALSE)),VLOOKUP(G494,NGPREVPRICES,2,FALSE),CK494,VLOOKUP(G494,NGPREVPRICES,4,FALSE),HLOOKUP(D494,PREVVOLS,VLOOKUP(G494,MOVE_DOWN2,2,FALSE),FALSE),VLOOKUP(G494,NGPREVPRICES,3,FALSE),HLOOKUP(D494,Correllate,VLOOKUP(G494,CorMove,2,FALSE),FALSE),Q494-$CD$3,R494,$CJ$5)*H494</f>
        <v>26626.879046535698</v>
      </c>
      <c r="CK494" s="235">
        <f t="shared" si="570"/>
        <v>0.5</v>
      </c>
      <c r="CM494" t="str">
        <f t="shared" si="571"/>
        <v>37012Curve Shift/Gamma</v>
      </c>
      <c r="CN494" t="str">
        <f t="shared" ref="CN494:CN557" si="572">CONCATENATE($CC494,$CE$6)</f>
        <v>37012Rho</v>
      </c>
      <c r="CO494" t="str">
        <f t="shared" ref="CO494:CO557" si="573">CONCATENATE($CC494,$CF$6)</f>
        <v>37012Drift</v>
      </c>
      <c r="CP494" t="str">
        <f t="shared" ref="CP494:CP557" si="574">CONCATENATE($CC494,$CG$6)</f>
        <v>37012Vega</v>
      </c>
      <c r="CQ494" t="str">
        <f t="shared" ref="CQ494:CQ557" si="575">CONCATENATE($CC494,$CH$6)</f>
        <v>37012Theta</v>
      </c>
    </row>
    <row r="495" spans="1:95" x14ac:dyDescent="0.25">
      <c r="A495" s="140" t="s">
        <v>281</v>
      </c>
      <c r="B495" t="s">
        <v>250</v>
      </c>
      <c r="C495" t="s">
        <v>510</v>
      </c>
      <c r="D495" s="4" t="s">
        <v>7</v>
      </c>
      <c r="E495" t="s">
        <v>20</v>
      </c>
      <c r="F495" t="s">
        <v>21</v>
      </c>
      <c r="G495" s="5">
        <v>36982</v>
      </c>
      <c r="H495" s="130">
        <v>300000</v>
      </c>
      <c r="I495">
        <v>0.5</v>
      </c>
      <c r="J495" s="53">
        <f t="shared" si="523"/>
        <v>3.9380000000000002</v>
      </c>
      <c r="K495" s="7">
        <f t="shared" si="524"/>
        <v>0.52</v>
      </c>
      <c r="L495" s="53">
        <f t="shared" si="525"/>
        <v>4.4580000000000002</v>
      </c>
      <c r="M495" s="157">
        <f t="shared" si="557"/>
        <v>6.9061726541120999E-2</v>
      </c>
      <c r="N495" s="4">
        <f t="shared" si="558"/>
        <v>0.4425</v>
      </c>
      <c r="O495" s="4">
        <f t="shared" si="559"/>
        <v>0.434</v>
      </c>
      <c r="P495" s="9">
        <f t="shared" si="560"/>
        <v>0.9738</v>
      </c>
      <c r="Q495" s="5">
        <f t="shared" si="520"/>
        <v>36979</v>
      </c>
      <c r="R495" s="4">
        <f t="shared" si="561"/>
        <v>1</v>
      </c>
      <c r="S495" s="158">
        <f>_xll.xSPRDOPT($L495,$J495,$I495,$M495,$O495,$N495,$P495,$Q495-$C$3,$R495,0)</f>
        <v>0.14432555431731731</v>
      </c>
      <c r="T495" s="159">
        <f>_xll.xSPRDOPT($L495,$J495,$I495,$M495,$O495,$N495,$P495,$Q495-$C$3,$R495,1)*H495</f>
        <v>155953.16793368856</v>
      </c>
      <c r="U495" s="160">
        <f t="shared" si="562"/>
        <v>43297.666295195195</v>
      </c>
      <c r="V495" s="159">
        <f>_xll.xSPRDOPT($L495,$J495,$I495,$M495,$O495,$N495,$P495,$Q495-$C$3,$R495,2)*H495</f>
        <v>-148204.38761448424</v>
      </c>
      <c r="W495" s="159">
        <f t="shared" si="563"/>
        <v>7748.7803192043211</v>
      </c>
      <c r="X495" s="51" t="str">
        <f t="shared" si="564"/>
        <v>36982IF-TRANSCO/Z6</v>
      </c>
      <c r="Y495" s="418">
        <f t="shared" si="565"/>
        <v>30</v>
      </c>
      <c r="Z495" s="456">
        <f t="shared" si="566"/>
        <v>0.51984389311229517</v>
      </c>
      <c r="AA495" s="456">
        <f>_xll.xSPRDOPT($L495,$J495,$I495,$M495,$O495,$N495,$P495,$Q495-$C$3,$R495,3)</f>
        <v>1.085706904640773</v>
      </c>
      <c r="AB495" s="456">
        <f>((_xll.xSPRDOPT($L495+AB$5,$J495,$I495,$M495,$O495,$N495,$P495,$Q495-$C$3,$R495,3)*$H495)/10000)/100</f>
        <v>0.32571207139223191</v>
      </c>
      <c r="AC495" s="456">
        <f>((_xll.xSPRDOPT($L495+$AB$5,$J495,$I495,$M495,$O495,$N495,$P495,$Q495-$C$3,$R495,7)*$H495)/100)</f>
        <v>-6413.0000459356925</v>
      </c>
      <c r="AD495" s="456">
        <f>(_xll.xSPRDOPT($L495+$AB$5,$J495,$I495,$M495,$O495,$N495,$P495,$Q495-$C$3,$R495,9)/365)*$H495</f>
        <v>-87.541181755133536</v>
      </c>
      <c r="AE495">
        <f t="shared" si="521"/>
        <v>0</v>
      </c>
      <c r="AF495" s="456">
        <f t="shared" si="522"/>
        <v>916.68333330977202</v>
      </c>
      <c r="AG495" s="456">
        <f>((_xll.xSPRDOPT($L495,$J495,$I495,$M495,$O495,$N495,$P495,$Q495-$C$3,$R495,6)*$H495)/100)</f>
        <v>-963.20153417571328</v>
      </c>
      <c r="AH495" s="456">
        <f>((_xll.xSPRDOPT($L495,$J495,$I495,$M495,$O495,$N495,$P495,$Q495-$C$3,$R495,5)*$H495)/100)</f>
        <v>1916.7028890837034</v>
      </c>
      <c r="AI495" s="456">
        <f>(((_xll.xSPRDOPT($L495,$J495,$I495,$M495,$O495,$N495,$P495,$Q495-$C$3,$R495,4)*$H495)/10000)/100)-AB495</f>
        <v>4.4357118138991791E-3</v>
      </c>
      <c r="AJ495" s="456"/>
      <c r="AK495" s="456"/>
      <c r="AL495" s="456"/>
      <c r="AM495" s="472"/>
      <c r="CC495" s="141">
        <f t="shared" si="567"/>
        <v>36982</v>
      </c>
      <c r="CD495" s="234">
        <f>_xll.xSPRDOPT((VLOOKUP(G495,NGPrices,2,FALSE)+HLOOKUP(D495,Prices,VLOOKUP(G495,move_down,2,FALSE),FALSE)),VLOOKUP(G495,NGPrices,2,FALSE),I495,VLOOKUP(G495,NGPREVPRICES,4,FALSE),HLOOKUP(D495,PREVVOLS,VLOOKUP(G495,MOVE_DOWN2,2,FALSE),FALSE),VLOOKUP(G495,NGPREVPRICES,3,FALSE),HLOOKUP(D495,Correllate,VLOOKUP(G495,CorMove,2,FALSE),FALSE),Q495-$CD$3,R495,$CD$5)*H495-CJ495</f>
        <v>0</v>
      </c>
      <c r="CE495" s="234">
        <f>_xll.xSPRDOPT((VLOOKUP(G495,NGPREVPRICES,2,FALSE)+HLOOKUP(D495,PREVCURVES,VLOOKUP(G495,MOVE_DOWN2,2,FALSE),FALSE)),VLOOKUP(G495,NGPREVPRICES,2,FALSE),CK495,VLOOKUP(G495,NGPrices,4,FALSE),HLOOKUP(D495,PREVVOLS,VLOOKUP(G495,MOVE_DOWN2,2,FALSE),FALSE),VLOOKUP(G495,NGPREVPRICES,3,FALSE),HLOOKUP(D495,Correllate,VLOOKUP(G495,CorMove,2,FALSE),FALSE),Q495-$CD$3,R495,$CJ$5)*H495-CJ495</f>
        <v>0</v>
      </c>
      <c r="CF495" s="10">
        <f t="shared" si="568"/>
        <v>-8.3887581142698764</v>
      </c>
      <c r="CG495" s="234">
        <f>_xll.xSPRDOPT((VLOOKUP(G495,NGPREVPRICES,2,FALSE)+HLOOKUP(D495,PREVCURVES,VLOOKUP(G495,MOVE_DOWN2,2,FALSE),FALSE)),VLOOKUP(G495,NGPREVPRICES,2,FALSE),CK495,VLOOKUP(G495,NGPREVPRICES,4,FALSE),HLOOKUP(D495,VOLS,VLOOKUP(G495,move_down,2,FALSE),FALSE),VLOOKUP(G495,NGPrices,3,FALSE),HLOOKUP(D495,Correllate,VLOOKUP(G495,CorMove,2,FALSE),FALSE),Q495-$CD$3,R495,$CJ$5)*H495-CJ495</f>
        <v>0</v>
      </c>
      <c r="CH495" s="234">
        <f>_xll.xSPRDOPT((VLOOKUP(G495,NGPREVPRICES,2,FALSE)+HLOOKUP(D495,PREVCURVES,VLOOKUP(G495,MOVE_DOWN2,2,FALSE),FALSE)),VLOOKUP(G495,NGPREVPRICES,2,FALSE),CK495,VLOOKUP(G495,NGPREVPRICES,4,FALSE),HLOOKUP(D495,PREVVOLS,VLOOKUP(G495,MOVE_DOWN2,2,FALSE),FALSE),VLOOKUP(G495,NGPREVPRICES,3,FALSE),HLOOKUP(D495,Correllate,VLOOKUP(G495,CorMove,2,FALSE),FALSE),Q495-$C$3,R495,$CJ$5)*H495-CJ495</f>
        <v>-87.353981018844934</v>
      </c>
      <c r="CI495" s="234">
        <f t="shared" si="569"/>
        <v>-95.74273913311481</v>
      </c>
      <c r="CJ495" s="234">
        <f>_xll.xSPRDOPT((VLOOKUP(G495,NGPREVPRICES,2,FALSE)+HLOOKUP(D495,PREVCURVES,VLOOKUP(G495,MOVE_DOWN2,2,FALSE),FALSE)),VLOOKUP(G495,NGPREVPRICES,2,FALSE),CK495,VLOOKUP(G495,NGPREVPRICES,4,FALSE),HLOOKUP(D495,PREVVOLS,VLOOKUP(G495,MOVE_DOWN2,2,FALSE),FALSE),VLOOKUP(G495,NGPREVPRICES,3,FALSE),HLOOKUP(D495,Correllate,VLOOKUP(G495,CorMove,2,FALSE),FALSE),Q495-$CD$3,R495,$CJ$5)*H495</f>
        <v>43385.02027621404</v>
      </c>
      <c r="CK495" s="235">
        <f t="shared" si="570"/>
        <v>0.5</v>
      </c>
      <c r="CM495" t="str">
        <f t="shared" si="571"/>
        <v>36982Curve Shift/Gamma</v>
      </c>
      <c r="CN495" t="str">
        <f t="shared" si="572"/>
        <v>36982Rho</v>
      </c>
      <c r="CO495" t="str">
        <f t="shared" si="573"/>
        <v>36982Drift</v>
      </c>
      <c r="CP495" t="str">
        <f t="shared" si="574"/>
        <v>36982Vega</v>
      </c>
      <c r="CQ495" t="str">
        <f t="shared" si="575"/>
        <v>36982Theta</v>
      </c>
    </row>
    <row r="496" spans="1:95" x14ac:dyDescent="0.25">
      <c r="A496" s="140" t="s">
        <v>279</v>
      </c>
      <c r="B496" t="s">
        <v>250</v>
      </c>
      <c r="C496" t="s">
        <v>511</v>
      </c>
      <c r="D496" s="4" t="s">
        <v>190</v>
      </c>
      <c r="E496" t="s">
        <v>20</v>
      </c>
      <c r="F496" t="s">
        <v>21</v>
      </c>
      <c r="G496" s="5">
        <v>36951</v>
      </c>
      <c r="H496" s="130">
        <v>500000</v>
      </c>
      <c r="I496">
        <v>0.3</v>
      </c>
      <c r="J496" s="53">
        <f t="shared" si="523"/>
        <v>4.2130000000000001</v>
      </c>
      <c r="K496" s="7">
        <f t="shared" si="524"/>
        <v>0.59750000000000003</v>
      </c>
      <c r="L496" s="53">
        <f t="shared" si="525"/>
        <v>4.8105000000000002</v>
      </c>
      <c r="M496" s="157">
        <f t="shared" si="557"/>
        <v>6.8879814952706994E-2</v>
      </c>
      <c r="N496" s="4">
        <f t="shared" si="558"/>
        <v>0.53249999999999997</v>
      </c>
      <c r="O496" s="4">
        <f t="shared" si="559"/>
        <v>0.51700000000000002</v>
      </c>
      <c r="P496" s="9">
        <f t="shared" si="560"/>
        <v>0.85</v>
      </c>
      <c r="Q496" s="5">
        <f t="shared" si="520"/>
        <v>36949</v>
      </c>
      <c r="R496" s="4">
        <f t="shared" si="561"/>
        <v>1</v>
      </c>
      <c r="S496" s="158">
        <f>_xll.xSPRDOPT($L496,$J496,$I496,$M496,$O496,$N496,$P496,$Q496-$C$3,$R496,0)</f>
        <v>0.51490268222906133</v>
      </c>
      <c r="T496" s="159">
        <f>_xll.xSPRDOPT($L496,$J496,$I496,$M496,$O496,$N496,$P496,$Q496-$C$3,$R496,1)*H496</f>
        <v>320881.50717756222</v>
      </c>
      <c r="U496" s="160">
        <f t="shared" si="562"/>
        <v>257451.34111453066</v>
      </c>
      <c r="V496" s="159">
        <f>_xll.xSPRDOPT($L496,$J496,$I496,$M496,$O496,$N496,$P496,$Q496-$C$3,$R496,2)*H496</f>
        <v>-284047.38765731722</v>
      </c>
      <c r="W496" s="159">
        <f t="shared" si="563"/>
        <v>36834.119520245004</v>
      </c>
      <c r="X496" s="51" t="str">
        <f t="shared" si="564"/>
        <v>36951NGI-SOCAL</v>
      </c>
      <c r="Y496" s="418">
        <f t="shared" si="565"/>
        <v>50</v>
      </c>
      <c r="Z496" s="456">
        <f t="shared" si="566"/>
        <v>0.64176301435512439</v>
      </c>
      <c r="AA496" s="456">
        <f>_xll.xSPRDOPT($L496,$J496,$I496,$M496,$O496,$N496,$P496,$Q496-$C$3,$R496,3)</f>
        <v>0.37242484350268151</v>
      </c>
      <c r="AB496" s="456">
        <f>((_xll.xSPRDOPT($L496+AB$5,$J496,$I496,$M496,$O496,$N496,$P496,$Q496-$C$3,$R496,3)*$H496)/10000)/100</f>
        <v>0.18621242175134076</v>
      </c>
      <c r="AC496" s="456">
        <f>((_xll.xSPRDOPT($L496+$AB$5,$J496,$I496,$M496,$O496,$N496,$P496,$Q496-$C$3,$R496,7)*$H496)/100)</f>
        <v>-5524.3178197308689</v>
      </c>
      <c r="AD496" s="456">
        <f>(_xll.xSPRDOPT($L496+$AB$5,$J496,$I496,$M496,$O496,$N496,$P496,$Q496-$C$3,$R496,9)/365)*$H496</f>
        <v>-410.14168471684883</v>
      </c>
      <c r="AE496">
        <f t="shared" si="521"/>
        <v>0</v>
      </c>
      <c r="AF496" s="456">
        <f t="shared" si="522"/>
        <v>3133.5568078197048</v>
      </c>
      <c r="AG496" s="456">
        <f>((_xll.xSPRDOPT($L496,$J496,$I496,$M496,$O496,$N496,$P496,$Q496-$C$3,$R496,6)*$H496)/100)</f>
        <v>1173.8800273099266</v>
      </c>
      <c r="AH496" s="456">
        <f>((_xll.xSPRDOPT($L496,$J496,$I496,$M496,$O496,$N496,$P496,$Q496-$C$3,$R496,5)*$H496)/100)</f>
        <v>2018.4291791517542</v>
      </c>
      <c r="AI496" s="456">
        <f>(((_xll.xSPRDOPT($L496,$J496,$I496,$M496,$O496,$N496,$P496,$Q496-$C$3,$R496,4)*$H496)/10000)/100)-AB496</f>
        <v>2.5951132870878274E-2</v>
      </c>
      <c r="AJ496" s="456"/>
      <c r="AK496" s="456"/>
      <c r="AL496" s="456"/>
      <c r="AM496" s="472"/>
      <c r="CC496" s="141">
        <f t="shared" si="567"/>
        <v>36951</v>
      </c>
      <c r="CD496" s="234">
        <f>_xll.xSPRDOPT((VLOOKUP(G496,NGPrices,2,FALSE)+HLOOKUP(D496,Prices,VLOOKUP(G496,move_down,2,FALSE),FALSE)),VLOOKUP(G496,NGPrices,2,FALSE),I496,VLOOKUP(G496,NGPREVPRICES,4,FALSE),HLOOKUP(D496,PREVVOLS,VLOOKUP(G496,MOVE_DOWN2,2,FALSE),FALSE),VLOOKUP(G496,NGPREVPRICES,3,FALSE),HLOOKUP(D496,Correllate,VLOOKUP(G496,CorMove,2,FALSE),FALSE),Q496-$CD$3,R496,$CD$5)*H496-CJ496</f>
        <v>0</v>
      </c>
      <c r="CE496" s="234">
        <f>_xll.xSPRDOPT((VLOOKUP(G496,NGPREVPRICES,2,FALSE)+HLOOKUP(D496,PREVCURVES,VLOOKUP(G496,MOVE_DOWN2,2,FALSE),FALSE)),VLOOKUP(G496,NGPREVPRICES,2,FALSE),CK496,VLOOKUP(G496,NGPrices,4,FALSE),HLOOKUP(D496,PREVVOLS,VLOOKUP(G496,MOVE_DOWN2,2,FALSE),FALSE),VLOOKUP(G496,NGPREVPRICES,3,FALSE),HLOOKUP(D496,Correllate,VLOOKUP(G496,CorMove,2,FALSE),FALSE),Q496-$CD$3,R496,$CJ$5)*H496-CJ496</f>
        <v>0</v>
      </c>
      <c r="CF496" s="10">
        <f t="shared" si="568"/>
        <v>-49.453800749208312</v>
      </c>
      <c r="CG496" s="234">
        <f>_xll.xSPRDOPT((VLOOKUP(G496,NGPREVPRICES,2,FALSE)+HLOOKUP(D496,PREVCURVES,VLOOKUP(G496,MOVE_DOWN2,2,FALSE),FALSE)),VLOOKUP(G496,NGPREVPRICES,2,FALSE),CK496,VLOOKUP(G496,NGPREVPRICES,4,FALSE),HLOOKUP(D496,VOLS,VLOOKUP(G496,move_down,2,FALSE),FALSE),VLOOKUP(G496,NGPrices,3,FALSE),HLOOKUP(D496,Correllate,VLOOKUP(G496,CorMove,2,FALSE),FALSE),Q496-$CD$3,R496,$CJ$5)*H496-CJ496</f>
        <v>0</v>
      </c>
      <c r="CH496" s="234">
        <f>_xll.xSPRDOPT((VLOOKUP(G496,NGPREVPRICES,2,FALSE)+HLOOKUP(D496,PREVCURVES,VLOOKUP(G496,MOVE_DOWN2,2,FALSE),FALSE)),VLOOKUP(G496,NGPREVPRICES,2,FALSE),CK496,VLOOKUP(G496,NGPREVPRICES,4,FALSE),HLOOKUP(D496,PREVVOLS,VLOOKUP(G496,MOVE_DOWN2,2,FALSE),FALSE),VLOOKUP(G496,NGPREVPRICES,3,FALSE),HLOOKUP(D496,Correllate,VLOOKUP(G496,CorMove,2,FALSE),FALSE),Q496-$C$3,R496,$CJ$5)*H496-CJ496</f>
        <v>-409.21285839550546</v>
      </c>
      <c r="CI496" s="234">
        <f t="shared" si="569"/>
        <v>-458.66665914471378</v>
      </c>
      <c r="CJ496" s="234">
        <f>_xll.xSPRDOPT((VLOOKUP(G496,NGPREVPRICES,2,FALSE)+HLOOKUP(D496,PREVCURVES,VLOOKUP(G496,MOVE_DOWN2,2,FALSE),FALSE)),VLOOKUP(G496,NGPREVPRICES,2,FALSE),CK496,VLOOKUP(G496,NGPREVPRICES,4,FALSE),HLOOKUP(D496,PREVVOLS,VLOOKUP(G496,MOVE_DOWN2,2,FALSE),FALSE),VLOOKUP(G496,NGPREVPRICES,3,FALSE),HLOOKUP(D496,Correllate,VLOOKUP(G496,CorMove,2,FALSE),FALSE),Q496-$CD$3,R496,$CJ$5)*H496</f>
        <v>257860.55397292617</v>
      </c>
      <c r="CK496" s="235">
        <f t="shared" si="570"/>
        <v>0.3</v>
      </c>
      <c r="CM496" t="str">
        <f t="shared" si="571"/>
        <v>36951Curve Shift/Gamma</v>
      </c>
      <c r="CN496" t="str">
        <f t="shared" si="572"/>
        <v>36951Rho</v>
      </c>
      <c r="CO496" t="str">
        <f t="shared" si="573"/>
        <v>36951Drift</v>
      </c>
      <c r="CP496" t="str">
        <f t="shared" si="574"/>
        <v>36951Vega</v>
      </c>
      <c r="CQ496" t="str">
        <f t="shared" si="575"/>
        <v>36951Theta</v>
      </c>
    </row>
    <row r="497" spans="1:95" x14ac:dyDescent="0.25">
      <c r="A497" s="140" t="s">
        <v>279</v>
      </c>
      <c r="B497" t="s">
        <v>250</v>
      </c>
      <c r="C497" t="s">
        <v>511</v>
      </c>
      <c r="D497" s="4" t="s">
        <v>190</v>
      </c>
      <c r="E497" t="s">
        <v>20</v>
      </c>
      <c r="F497" t="s">
        <v>21</v>
      </c>
      <c r="G497" s="5">
        <v>36923</v>
      </c>
      <c r="H497" s="130">
        <v>500000</v>
      </c>
      <c r="I497">
        <v>0.3</v>
      </c>
      <c r="J497" s="53">
        <f t="shared" si="523"/>
        <v>4.4800000000000004</v>
      </c>
      <c r="K497" s="7">
        <f t="shared" si="524"/>
        <v>0.61750000000000005</v>
      </c>
      <c r="L497" s="53">
        <f t="shared" si="525"/>
        <v>5.0975000000000001</v>
      </c>
      <c r="M497" s="157">
        <f t="shared" si="557"/>
        <v>6.8640161611372E-2</v>
      </c>
      <c r="N497" s="4">
        <f t="shared" si="558"/>
        <v>0.59250000000000003</v>
      </c>
      <c r="O497" s="4">
        <f t="shared" si="559"/>
        <v>0.57499999999999996</v>
      </c>
      <c r="P497" s="9">
        <f t="shared" si="560"/>
        <v>0.85</v>
      </c>
      <c r="Q497" s="5">
        <f t="shared" si="520"/>
        <v>36921</v>
      </c>
      <c r="R497" s="4">
        <f t="shared" si="561"/>
        <v>1</v>
      </c>
      <c r="S497" s="158">
        <f>_xll.xSPRDOPT($L497,$J497,$I497,$M497,$O497,$N497,$P497,$Q497-$C$3,$R497,0)</f>
        <v>0.55864567410775812</v>
      </c>
      <c r="T497" s="159">
        <f>_xll.xSPRDOPT($L497,$J497,$I497,$M497,$O497,$N497,$P497,$Q497-$C$3,$R497,1)*H497</f>
        <v>322075.59466654656</v>
      </c>
      <c r="U497" s="160">
        <f t="shared" si="562"/>
        <v>279322.83705387905</v>
      </c>
      <c r="V497" s="159">
        <f>_xll.xSPRDOPT($L497,$J497,$I497,$M497,$O497,$N497,$P497,$Q497-$C$3,$R497,2)*H497</f>
        <v>-284084.03546328773</v>
      </c>
      <c r="W497" s="159">
        <f t="shared" si="563"/>
        <v>37991.559203258832</v>
      </c>
      <c r="X497" s="51" t="str">
        <f t="shared" si="564"/>
        <v>36923NGI-SOCAL</v>
      </c>
      <c r="Y497" s="418">
        <f t="shared" si="565"/>
        <v>50</v>
      </c>
      <c r="Z497" s="456">
        <f t="shared" si="566"/>
        <v>0.64415118933309312</v>
      </c>
      <c r="AA497" s="456">
        <f>_xll.xSPRDOPT($L497,$J497,$I497,$M497,$O497,$N497,$P497,$Q497-$C$3,$R497,3)</f>
        <v>0.34526336742509806</v>
      </c>
      <c r="AB497" s="456">
        <f>((_xll.xSPRDOPT($L497+AB$5,$J497,$I497,$M497,$O497,$N497,$P497,$Q497-$C$3,$R497,3)*$H497)/10000)/100</f>
        <v>0.17263168371254903</v>
      </c>
      <c r="AC497" s="456">
        <f>((_xll.xSPRDOPT($L497+$AB$5,$J497,$I497,$M497,$O497,$N497,$P497,$Q497-$C$3,$R497,7)*$H497)/100)</f>
        <v>-6045.5462123289853</v>
      </c>
      <c r="AD497" s="456">
        <f>(_xll.xSPRDOPT($L497+$AB$5,$J497,$I497,$M497,$O497,$N497,$P497,$Q497-$C$3,$R497,9)/365)*$H497</f>
        <v>-540.05875049629901</v>
      </c>
      <c r="AE497">
        <f t="shared" si="521"/>
        <v>0</v>
      </c>
      <c r="AF497" s="456">
        <f t="shared" si="522"/>
        <v>3078.3431243497948</v>
      </c>
      <c r="AG497" s="456">
        <f>((_xll.xSPRDOPT($L497,$J497,$I497,$M497,$O497,$N497,$P497,$Q497-$C$3,$R497,6)*$H497)/100)</f>
        <v>1197.3864797689093</v>
      </c>
      <c r="AH497" s="456">
        <f>((_xll.xSPRDOPT($L497,$J497,$I497,$M497,$O497,$N497,$P497,$Q497-$C$3,$R497,5)*$H497)/100)</f>
        <v>1938.2031511550865</v>
      </c>
      <c r="AI497" s="456">
        <f>(((_xll.xSPRDOPT($L497,$J497,$I497,$M497,$O497,$N497,$P497,$Q497-$C$3,$R497,4)*$H497)/10000)/100)-AB497</f>
        <v>2.4228020786760535E-2</v>
      </c>
      <c r="AJ497" s="456"/>
      <c r="AK497" s="456"/>
      <c r="AL497" s="456"/>
      <c r="AM497" s="472"/>
      <c r="CC497" s="141">
        <f t="shared" si="567"/>
        <v>36923</v>
      </c>
      <c r="CD497" s="234">
        <f>_xll.xSPRDOPT((VLOOKUP(G497,NGPrices,2,FALSE)+HLOOKUP(D497,Prices,VLOOKUP(G497,move_down,2,FALSE),FALSE)),VLOOKUP(G497,NGPrices,2,FALSE),I497,VLOOKUP(G497,NGPREVPRICES,4,FALSE),HLOOKUP(D497,PREVVOLS,VLOOKUP(G497,MOVE_DOWN2,2,FALSE),FALSE),VLOOKUP(G497,NGPREVPRICES,3,FALSE),HLOOKUP(D497,Correllate,VLOOKUP(G497,CorMove,2,FALSE),FALSE),Q497-$CD$3,R497,$CD$5)*H497-CJ497</f>
        <v>0</v>
      </c>
      <c r="CE497" s="234">
        <f>_xll.xSPRDOPT((VLOOKUP(G497,NGPREVPRICES,2,FALSE)+HLOOKUP(D497,PREVCURVES,VLOOKUP(G497,MOVE_DOWN2,2,FALSE),FALSE)),VLOOKUP(G497,NGPREVPRICES,2,FALSE),CK497,VLOOKUP(G497,NGPrices,4,FALSE),HLOOKUP(D497,PREVVOLS,VLOOKUP(G497,MOVE_DOWN2,2,FALSE),FALSE),VLOOKUP(G497,NGPREVPRICES,3,FALSE),HLOOKUP(D497,Correllate,VLOOKUP(G497,CorMove,2,FALSE),FALSE),Q497-$CD$3,R497,$CJ$5)*H497-CJ497</f>
        <v>0</v>
      </c>
      <c r="CF497" s="10">
        <f t="shared" si="568"/>
        <v>-53.226439186546486</v>
      </c>
      <c r="CG497" s="234">
        <f>_xll.xSPRDOPT((VLOOKUP(G497,NGPREVPRICES,2,FALSE)+HLOOKUP(D497,PREVCURVES,VLOOKUP(G497,MOVE_DOWN2,2,FALSE),FALSE)),VLOOKUP(G497,NGPREVPRICES,2,FALSE),CK497,VLOOKUP(G497,NGPREVPRICES,4,FALSE),HLOOKUP(D497,VOLS,VLOOKUP(G497,move_down,2,FALSE),FALSE),VLOOKUP(G497,NGPrices,3,FALSE),HLOOKUP(D497,Correllate,VLOOKUP(G497,CorMove,2,FALSE),FALSE),Q497-$CD$3,R497,$CJ$5)*H497-CJ497</f>
        <v>0</v>
      </c>
      <c r="CH497" s="234">
        <f>_xll.xSPRDOPT((VLOOKUP(G497,NGPREVPRICES,2,FALSE)+HLOOKUP(D497,PREVCURVES,VLOOKUP(G497,MOVE_DOWN2,2,FALSE),FALSE)),VLOOKUP(G497,NGPREVPRICES,2,FALSE),CK497,VLOOKUP(G497,NGPREVPRICES,4,FALSE),HLOOKUP(D497,PREVVOLS,VLOOKUP(G497,MOVE_DOWN2,2,FALSE),FALSE),VLOOKUP(G497,NGPREVPRICES,3,FALSE),HLOOKUP(D497,Correllate,VLOOKUP(G497,CorMove,2,FALSE),FALSE),Q497-$C$3,R497,$CJ$5)*H497-CJ497</f>
        <v>-538.7146212363732</v>
      </c>
      <c r="CI497" s="234">
        <f t="shared" si="569"/>
        <v>-591.94106042291969</v>
      </c>
      <c r="CJ497" s="234">
        <f>_xll.xSPRDOPT((VLOOKUP(G497,NGPREVPRICES,2,FALSE)+HLOOKUP(D497,PREVCURVES,VLOOKUP(G497,MOVE_DOWN2,2,FALSE),FALSE)),VLOOKUP(G497,NGPREVPRICES,2,FALSE),CK497,VLOOKUP(G497,NGPREVPRICES,4,FALSE),HLOOKUP(D497,PREVVOLS,VLOOKUP(G497,MOVE_DOWN2,2,FALSE),FALSE),VLOOKUP(G497,NGPREVPRICES,3,FALSE),HLOOKUP(D497,Correllate,VLOOKUP(G497,CorMove,2,FALSE),FALSE),Q497-$CD$3,R497,$CJ$5)*H497</f>
        <v>279861.55167511542</v>
      </c>
      <c r="CK497" s="235">
        <f t="shared" si="570"/>
        <v>0.3</v>
      </c>
      <c r="CM497" t="str">
        <f t="shared" si="571"/>
        <v>36923Curve Shift/Gamma</v>
      </c>
      <c r="CN497" t="str">
        <f t="shared" si="572"/>
        <v>36923Rho</v>
      </c>
      <c r="CO497" t="str">
        <f t="shared" si="573"/>
        <v>36923Drift</v>
      </c>
      <c r="CP497" t="str">
        <f t="shared" si="574"/>
        <v>36923Vega</v>
      </c>
      <c r="CQ497" t="str">
        <f t="shared" si="575"/>
        <v>36923Theta</v>
      </c>
    </row>
    <row r="498" spans="1:95" x14ac:dyDescent="0.25">
      <c r="A498" s="140" t="s">
        <v>279</v>
      </c>
      <c r="B498" t="s">
        <v>250</v>
      </c>
      <c r="C498" t="s">
        <v>511</v>
      </c>
      <c r="D498" s="4" t="s">
        <v>190</v>
      </c>
      <c r="E498" t="s">
        <v>20</v>
      </c>
      <c r="F498" t="s">
        <v>21</v>
      </c>
      <c r="G498" s="5">
        <v>36892</v>
      </c>
      <c r="H498" s="130">
        <v>500000</v>
      </c>
      <c r="I498">
        <v>0.3</v>
      </c>
      <c r="J498" s="53">
        <f t="shared" ref="J498:J517" si="576">VLOOKUP(G498,NGPrices,2,FALSE)</f>
        <v>4.7439999999999998</v>
      </c>
      <c r="K498" s="7">
        <f t="shared" ref="K498:K517" si="577">HLOOKUP(D498,Prices,VLOOKUP(G498,move_down,2,FALSE),FALSE)+VLOOKUP(G498,CHANGE,HLOOKUP(D498,CHANGE,2,FALSE),FALSE)</f>
        <v>0.76749999999999996</v>
      </c>
      <c r="L498" s="53">
        <f t="shared" ref="L498:L517" si="578">K498+J498</f>
        <v>5.5114999999999998</v>
      </c>
      <c r="M498" s="157">
        <f t="shared" ref="M498:M517" si="579">VLOOKUP(G498,NGPrices,4,FALSE)</f>
        <v>6.8374831148490994E-2</v>
      </c>
      <c r="N498" s="4">
        <f t="shared" ref="N498:N517" si="580">VLOOKUP(G498,NGPrices,3,FALSE)</f>
        <v>0.60499999999999998</v>
      </c>
      <c r="O498" s="4">
        <f t="shared" ref="O498:O517" si="581">HLOOKUP(D498,VOLS,VLOOKUP(G498,move_down,2,FALSE),FALSE)</f>
        <v>0.58699999999999997</v>
      </c>
      <c r="P498" s="9">
        <f t="shared" ref="P498:P517" si="582">HLOOKUP(D498,Correllate,VLOOKUP(G498,CorMove,2,FALSE),FALSE)</f>
        <v>0.85</v>
      </c>
      <c r="Q498" s="5">
        <f t="shared" si="520"/>
        <v>36888</v>
      </c>
      <c r="R498" s="4">
        <f t="shared" ref="R498:R517" si="583">IF(F498="P",0,1)</f>
        <v>1</v>
      </c>
      <c r="S498" s="158">
        <f>_xll.xSPRDOPT($L498,$J498,$I498,$M498,$O498,$N498,$P498,$Q498-$C$3,$R498,0)</f>
        <v>0.64709519353176437</v>
      </c>
      <c r="T498" s="159">
        <f>_xll.xSPRDOPT($L498,$J498,$I498,$M498,$O498,$N498,$P498,$Q498-$C$3,$R498,1)*H498</f>
        <v>351067.5471191078</v>
      </c>
      <c r="U498" s="160">
        <f t="shared" ref="U498:U517" si="584">S498*H498</f>
        <v>323547.59676588216</v>
      </c>
      <c r="V498" s="159">
        <f>_xll.xSPRDOPT($L498,$J498,$I498,$M498,$O498,$N498,$P498,$Q498-$C$3,$R498,2)*H498</f>
        <v>-318655.53273470345</v>
      </c>
      <c r="W498" s="159">
        <f t="shared" ref="W498:W517" si="585">+V498+T498</f>
        <v>32412.014384404349</v>
      </c>
      <c r="X498" s="51" t="str">
        <f t="shared" ref="X498:X517" si="586">CONCATENATE(G498,D498)</f>
        <v>36892NGI-SOCAL</v>
      </c>
      <c r="Y498" s="418">
        <f t="shared" ref="Y498:Y517" si="587">H498/10000</f>
        <v>50</v>
      </c>
      <c r="Z498" s="456">
        <f t="shared" ref="Z498:Z517" si="588">T498/H498</f>
        <v>0.70213509423821563</v>
      </c>
      <c r="AA498" s="456">
        <f>_xll.xSPRDOPT($L498,$J498,$I498,$M498,$O498,$N498,$P498,$Q498-$C$3,$R498,3)</f>
        <v>0.32785906506017948</v>
      </c>
      <c r="AB498" s="456">
        <f>((_xll.xSPRDOPT($L498+AB$5,$J498,$I498,$M498,$O498,$N498,$P498,$Q498-$C$3,$R498,3)*$H498)/10000)/100</f>
        <v>0.16392953253008977</v>
      </c>
      <c r="AC498" s="456">
        <f>((_xll.xSPRDOPT($L498+$AB$5,$J498,$I498,$M498,$O498,$N498,$P498,$Q498-$C$3,$R498,7)*$H498)/100)</f>
        <v>-5519.7164127032847</v>
      </c>
      <c r="AD498" s="456">
        <f>(_xll.xSPRDOPT($L498+$AB$5,$J498,$I498,$M498,$O498,$N498,$P498,$Q498-$C$3,$R498,9)/365)*$H498</f>
        <v>-626.99862682773266</v>
      </c>
      <c r="AE498">
        <f t="shared" si="521"/>
        <v>0</v>
      </c>
      <c r="AF498" s="456">
        <f t="shared" si="522"/>
        <v>2748.5504188921946</v>
      </c>
      <c r="AG498" s="456">
        <f>((_xll.xSPRDOPT($L498,$J498,$I498,$M498,$O498,$N498,$P498,$Q498-$C$3,$R498,6)*$H498)/100)</f>
        <v>1108.1642513264092</v>
      </c>
      <c r="AH498" s="456">
        <f>((_xll.xSPRDOPT($L498,$J498,$I498,$M498,$O498,$N498,$P498,$Q498-$C$3,$R498,5)*$H498)/100)</f>
        <v>1690.6876173378198</v>
      </c>
      <c r="AI498" s="456">
        <f>(((_xll.xSPRDOPT($L498,$J498,$I498,$M498,$O498,$N498,$P498,$Q498-$C$3,$R498,4)*$H498)/10000)/100)-AB498</f>
        <v>3.256422405679274E-2</v>
      </c>
      <c r="AJ498" s="456"/>
      <c r="AK498" s="456"/>
      <c r="AL498" s="456"/>
      <c r="AM498" s="472"/>
      <c r="CC498" s="141">
        <f>G498</f>
        <v>36892</v>
      </c>
      <c r="CD498" s="234">
        <f>_xll.xSPRDOPT((VLOOKUP(G498,NGPrices,2,FALSE)+HLOOKUP(D498,Prices,VLOOKUP(G498,move_down,2,FALSE),FALSE)),VLOOKUP(G498,NGPrices,2,FALSE),I498,VLOOKUP(G498,NGPREVPRICES,4,FALSE),HLOOKUP(D498,PREVVOLS,VLOOKUP(G498,MOVE_DOWN2,2,FALSE),FALSE),VLOOKUP(G498,NGPREVPRICES,3,FALSE),HLOOKUP(D498,Correllate,VLOOKUP(G498,CorMove,2,FALSE),FALSE),Q498-$CD$3,R498,$CD$5)*H498-CJ498</f>
        <v>0</v>
      </c>
      <c r="CE498" s="234">
        <f>_xll.xSPRDOPT((VLOOKUP(G498,NGPREVPRICES,2,FALSE)+HLOOKUP(D498,PREVCURVES,VLOOKUP(G498,MOVE_DOWN2,2,FALSE),FALSE)),VLOOKUP(G498,NGPREVPRICES,2,FALSE),CK498,VLOOKUP(G498,NGPrices,4,FALSE),HLOOKUP(D498,PREVVOLS,VLOOKUP(G498,MOVE_DOWN2,2,FALSE),FALSE),VLOOKUP(G498,NGPREVPRICES,3,FALSE),HLOOKUP(D498,Correllate,VLOOKUP(G498,CorMove,2,FALSE),FALSE),Q498-$CD$3,R498,$CJ$5)*H498-CJ498</f>
        <v>0</v>
      </c>
      <c r="CF498" s="10">
        <f>(CJ498/VLOOKUP(CC498,discount,3,FALSE))-(CJ498/VLOOKUP(CC498,discount,2,FALSE))</f>
        <v>-61.087528495583683</v>
      </c>
      <c r="CG498" s="234">
        <f>_xll.xSPRDOPT((VLOOKUP(G498,NGPREVPRICES,2,FALSE)+HLOOKUP(D498,PREVCURVES,VLOOKUP(G498,MOVE_DOWN2,2,FALSE),FALSE)),VLOOKUP(G498,NGPREVPRICES,2,FALSE),CK498,VLOOKUP(G498,NGPREVPRICES,4,FALSE),HLOOKUP(D498,VOLS,VLOOKUP(G498,move_down,2,FALSE),FALSE),VLOOKUP(G498,NGPrices,3,FALSE),HLOOKUP(D498,Correllate,VLOOKUP(G498,CorMove,2,FALSE),FALSE),Q498-$CD$3,R498,$CJ$5)*H498-CJ498</f>
        <v>0</v>
      </c>
      <c r="CH498" s="234">
        <f>_xll.xSPRDOPT((VLOOKUP(G498,NGPREVPRICES,2,FALSE)+HLOOKUP(D498,PREVCURVES,VLOOKUP(G498,MOVE_DOWN2,2,FALSE),FALSE)),VLOOKUP(G498,NGPREVPRICES,2,FALSE),CK498,VLOOKUP(G498,NGPREVPRICES,4,FALSE),HLOOKUP(D498,PREVVOLS,VLOOKUP(G498,MOVE_DOWN2,2,FALSE),FALSE),VLOOKUP(G498,NGPREVPRICES,3,FALSE),HLOOKUP(D498,Correllate,VLOOKUP(G498,CorMove,2,FALSE),FALSE),Q498-$C$3,R498,$CJ$5)*H498-CJ498</f>
        <v>-625.35537850199034</v>
      </c>
      <c r="CI498" s="234">
        <f>SUM(CD498:CH498)</f>
        <v>-686.44290699757403</v>
      </c>
      <c r="CJ498" s="234">
        <f>_xll.xSPRDOPT((VLOOKUP(G498,NGPREVPRICES,2,FALSE)+HLOOKUP(D498,PREVCURVES,VLOOKUP(G498,MOVE_DOWN2,2,FALSE),FALSE)),VLOOKUP(G498,NGPREVPRICES,2,FALSE),CK498,VLOOKUP(G498,NGPREVPRICES,4,FALSE),HLOOKUP(D498,PREVVOLS,VLOOKUP(G498,MOVE_DOWN2,2,FALSE),FALSE),VLOOKUP(G498,NGPREVPRICES,3,FALSE),HLOOKUP(D498,Correllate,VLOOKUP(G498,CorMove,2,FALSE),FALSE),Q498-$CD$3,R498,$CJ$5)*H498</f>
        <v>324172.95214438415</v>
      </c>
      <c r="CK498" s="235">
        <f>I498</f>
        <v>0.3</v>
      </c>
      <c r="CM498" t="str">
        <f>CONCATENATE(CC498,$CD$6)</f>
        <v>36892Curve Shift/Gamma</v>
      </c>
      <c r="CN498" t="str">
        <f t="shared" si="572"/>
        <v>36892Rho</v>
      </c>
      <c r="CO498" t="str">
        <f t="shared" si="573"/>
        <v>36892Drift</v>
      </c>
      <c r="CP498" t="str">
        <f t="shared" si="574"/>
        <v>36892Vega</v>
      </c>
      <c r="CQ498" t="str">
        <f t="shared" si="575"/>
        <v>36892Theta</v>
      </c>
    </row>
    <row r="499" spans="1:95" x14ac:dyDescent="0.25">
      <c r="A499" s="140" t="s">
        <v>279</v>
      </c>
      <c r="B499" t="s">
        <v>250</v>
      </c>
      <c r="C499" t="s">
        <v>511</v>
      </c>
      <c r="D499" s="4" t="s">
        <v>190</v>
      </c>
      <c r="E499" t="s">
        <v>20</v>
      </c>
      <c r="F499" t="s">
        <v>21</v>
      </c>
      <c r="G499" s="5">
        <v>36861</v>
      </c>
      <c r="H499" s="130">
        <v>500000</v>
      </c>
      <c r="I499">
        <v>0.3</v>
      </c>
      <c r="J499" s="53">
        <f t="shared" si="576"/>
        <v>4.8</v>
      </c>
      <c r="K499" s="7">
        <f t="shared" si="577"/>
        <v>1.0049999999999999</v>
      </c>
      <c r="L499" s="53">
        <f t="shared" si="578"/>
        <v>5.8049999999999997</v>
      </c>
      <c r="M499" s="157">
        <f t="shared" si="579"/>
        <v>6.8314027999354002E-2</v>
      </c>
      <c r="N499" s="4">
        <f t="shared" si="580"/>
        <v>0.6</v>
      </c>
      <c r="O499" s="4">
        <f t="shared" si="581"/>
        <v>0.58199999999999996</v>
      </c>
      <c r="P499" s="9">
        <f t="shared" si="582"/>
        <v>0.85</v>
      </c>
      <c r="Q499" s="5">
        <f t="shared" si="520"/>
        <v>36859</v>
      </c>
      <c r="R499" s="4">
        <f t="shared" si="583"/>
        <v>1</v>
      </c>
      <c r="S499" s="158">
        <f>_xll.xSPRDOPT($L499,$J499,$I499,$M499,$O499,$N499,$P499,$Q499-$C$3,$R499,0)</f>
        <v>0.79086517743194373</v>
      </c>
      <c r="T499" s="159">
        <f>_xll.xSPRDOPT($L499,$J499,$I499,$M499,$O499,$N499,$P499,$Q499-$C$3,$R499,1)*H499</f>
        <v>400938.49505977065</v>
      </c>
      <c r="U499" s="160">
        <f t="shared" si="584"/>
        <v>395432.58871597185</v>
      </c>
      <c r="V499" s="159">
        <f>_xll.xSPRDOPT($L499,$J499,$I499,$M499,$O499,$N499,$P499,$Q499-$C$3,$R499,2)*H499</f>
        <v>-378249.69982771162</v>
      </c>
      <c r="W499" s="159">
        <f t="shared" si="585"/>
        <v>22688.795232059027</v>
      </c>
      <c r="X499" s="51" t="str">
        <f t="shared" si="586"/>
        <v>36861NGI-SOCAL</v>
      </c>
      <c r="Y499" s="418">
        <f t="shared" si="587"/>
        <v>50</v>
      </c>
      <c r="Z499" s="456">
        <f t="shared" si="588"/>
        <v>0.80187699011954128</v>
      </c>
      <c r="AA499" s="456">
        <f>_xll.xSPRDOPT($L499,$J499,$I499,$M499,$O499,$N499,$P499,$Q499-$C$3,$R499,3)</f>
        <v>0.28521344905962409</v>
      </c>
      <c r="AB499" s="456">
        <f>((_xll.xSPRDOPT($L499+AB$5,$J499,$I499,$M499,$O499,$N499,$P499,$Q499-$C$3,$R499,3)*$H499)/10000)/100</f>
        <v>0.14260672452981205</v>
      </c>
      <c r="AC499" s="456">
        <f>((_xll.xSPRDOPT($L499+$AB$5,$J499,$I499,$M499,$O499,$N499,$P499,$Q499-$C$3,$R499,7)*$H499)/100)</f>
        <v>-3989.6443391911307</v>
      </c>
      <c r="AD499" s="456">
        <f>(_xll.xSPRDOPT($L499+$AB$5,$J499,$I499,$M499,$O499,$N499,$P499,$Q499-$C$3,$R499,9)/365)*$H499</f>
        <v>-579.14433788711472</v>
      </c>
      <c r="AE499">
        <f t="shared" si="521"/>
        <v>0</v>
      </c>
      <c r="AF499" s="456">
        <f t="shared" si="522"/>
        <v>2001.6351712118067</v>
      </c>
      <c r="AG499" s="456">
        <f>((_xll.xSPRDOPT($L499,$J499,$I499,$M499,$O499,$N499,$P499,$Q499-$C$3,$R499,6)*$H499)/100)</f>
        <v>820.22191059687748</v>
      </c>
      <c r="AH499" s="456">
        <f>((_xll.xSPRDOPT($L499,$J499,$I499,$M499,$O499,$N499,$P499,$Q499-$C$3,$R499,5)*$H499)/100)</f>
        <v>1217.9518150669373</v>
      </c>
      <c r="AI499" s="456">
        <f>(((_xll.xSPRDOPT($L499,$J499,$I499,$M499,$O499,$N499,$P499,$Q499-$C$3,$R499,4)*$H499)/10000)/100)-AB499</f>
        <v>4.3268004220612638E-2</v>
      </c>
      <c r="AJ499" s="456"/>
      <c r="AK499" s="456"/>
      <c r="AL499" s="456"/>
      <c r="AM499" s="472"/>
      <c r="CC499" s="141">
        <f>G499</f>
        <v>36861</v>
      </c>
      <c r="CD499" s="234">
        <f>_xll.xSPRDOPT((VLOOKUP(G499,NGPrices,2,FALSE)+HLOOKUP(D499,Prices,VLOOKUP(G499,move_down,2,FALSE),FALSE)),VLOOKUP(G499,NGPrices,2,FALSE),I499,VLOOKUP(G499,NGPREVPRICES,4,FALSE),HLOOKUP(D499,PREVVOLS,VLOOKUP(G499,MOVE_DOWN2,2,FALSE),FALSE),VLOOKUP(G499,NGPREVPRICES,3,FALSE),HLOOKUP(D499,Correllate,VLOOKUP(G499,CorMove,2,FALSE),FALSE),Q499-$CD$3,R499,$CD$5)*H499-CJ499</f>
        <v>0</v>
      </c>
      <c r="CE499" s="234">
        <f>_xll.xSPRDOPT((VLOOKUP(G499,NGPREVPRICES,2,FALSE)+HLOOKUP(D499,PREVCURVES,VLOOKUP(G499,MOVE_DOWN2,2,FALSE),FALSE)),VLOOKUP(G499,NGPREVPRICES,2,FALSE),CK499,VLOOKUP(G499,NGPrices,4,FALSE),HLOOKUP(D499,PREVVOLS,VLOOKUP(G499,MOVE_DOWN2,2,FALSE),FALSE),VLOOKUP(G499,NGPREVPRICES,3,FALSE),HLOOKUP(D499,Correllate,VLOOKUP(G499,CorMove,2,FALSE),FALSE),Q499-$CD$3,R499,$CJ$5)*H499-CJ499</f>
        <v>0</v>
      </c>
      <c r="CF499" s="10">
        <f>(CJ499/VLOOKUP(CC499,discount,3,FALSE))-(CJ499/VLOOKUP(CC499,discount,2,FALSE))</f>
        <v>-74.187813574331813</v>
      </c>
      <c r="CG499" s="234">
        <f>_xll.xSPRDOPT((VLOOKUP(G499,NGPREVPRICES,2,FALSE)+HLOOKUP(D499,PREVCURVES,VLOOKUP(G499,MOVE_DOWN2,2,FALSE),FALSE)),VLOOKUP(G499,NGPREVPRICES,2,FALSE),CK499,VLOOKUP(G499,NGPREVPRICES,4,FALSE),HLOOKUP(D499,VOLS,VLOOKUP(G499,move_down,2,FALSE),FALSE),VLOOKUP(G499,NGPrices,3,FALSE),HLOOKUP(D499,Correllate,VLOOKUP(G499,CorMove,2,FALSE),FALSE),Q499-$CD$3,R499,$CJ$5)*H499-CJ499</f>
        <v>0</v>
      </c>
      <c r="CH499" s="234">
        <f>_xll.xSPRDOPT((VLOOKUP(G499,NGPREVPRICES,2,FALSE)+HLOOKUP(D499,PREVCURVES,VLOOKUP(G499,MOVE_DOWN2,2,FALSE),FALSE)),VLOOKUP(G499,NGPREVPRICES,2,FALSE),CK499,VLOOKUP(G499,NGPREVPRICES,4,FALSE),HLOOKUP(D499,PREVVOLS,VLOOKUP(G499,MOVE_DOWN2,2,FALSE),FALSE),VLOOKUP(G499,NGPREVPRICES,3,FALSE),HLOOKUP(D499,Correllate,VLOOKUP(G499,CorMove,2,FALSE),FALSE),Q499-$C$3,R499,$CJ$5)*H499-CJ499</f>
        <v>-578.0404848503531</v>
      </c>
      <c r="CI499" s="234">
        <f>SUM(CD499:CH499)</f>
        <v>-652.22829842468491</v>
      </c>
      <c r="CJ499" s="234">
        <f>_xll.xSPRDOPT((VLOOKUP(G499,NGPREVPRICES,2,FALSE)+HLOOKUP(D499,PREVCURVES,VLOOKUP(G499,MOVE_DOWN2,2,FALSE),FALSE)),VLOOKUP(G499,NGPREVPRICES,2,FALSE),CK499,VLOOKUP(G499,NGPREVPRICES,4,FALSE),HLOOKUP(D499,PREVVOLS,VLOOKUP(G499,MOVE_DOWN2,2,FALSE),FALSE),VLOOKUP(G499,NGPREVPRICES,3,FALSE),HLOOKUP(D499,Correllate,VLOOKUP(G499,CorMove,2,FALSE),FALSE),Q499-$CD$3,R499,$CJ$5)*H499</f>
        <v>396010.62920082221</v>
      </c>
      <c r="CK499" s="235">
        <f>I499</f>
        <v>0.3</v>
      </c>
      <c r="CM499" t="str">
        <f>CONCATENATE(CC499,$CD$6)</f>
        <v>36861Curve Shift/Gamma</v>
      </c>
      <c r="CN499" t="str">
        <f t="shared" si="572"/>
        <v>36861Rho</v>
      </c>
      <c r="CO499" t="str">
        <f t="shared" si="573"/>
        <v>36861Drift</v>
      </c>
      <c r="CP499" t="str">
        <f t="shared" si="574"/>
        <v>36861Vega</v>
      </c>
      <c r="CQ499" t="str">
        <f t="shared" si="575"/>
        <v>36861Theta</v>
      </c>
    </row>
    <row r="500" spans="1:95" x14ac:dyDescent="0.25">
      <c r="A500" s="140" t="s">
        <v>279</v>
      </c>
      <c r="B500" t="s">
        <v>250</v>
      </c>
      <c r="C500" t="s">
        <v>511</v>
      </c>
      <c r="D500" s="4" t="s">
        <v>190</v>
      </c>
      <c r="E500" t="s">
        <v>20</v>
      </c>
      <c r="F500" t="s">
        <v>21</v>
      </c>
      <c r="G500" s="5">
        <v>36831</v>
      </c>
      <c r="H500" s="130">
        <v>500000</v>
      </c>
      <c r="I500">
        <v>0.3</v>
      </c>
      <c r="J500" s="53">
        <f t="shared" si="576"/>
        <v>4.7359999999999998</v>
      </c>
      <c r="K500" s="7">
        <f t="shared" si="577"/>
        <v>1.5449999999999999</v>
      </c>
      <c r="L500" s="53">
        <f t="shared" si="578"/>
        <v>6.2809999999999997</v>
      </c>
      <c r="M500" s="157">
        <f t="shared" si="579"/>
        <v>6.810675983792E-2</v>
      </c>
      <c r="N500" s="4">
        <f t="shared" si="580"/>
        <v>0.59499999999999997</v>
      </c>
      <c r="O500" s="4">
        <f t="shared" si="581"/>
        <v>0.57699999999999996</v>
      </c>
      <c r="P500" s="9">
        <f t="shared" si="582"/>
        <v>0.85</v>
      </c>
      <c r="Q500" s="5">
        <f t="shared" si="520"/>
        <v>36829</v>
      </c>
      <c r="R500" s="4">
        <f t="shared" si="583"/>
        <v>1</v>
      </c>
      <c r="S500" s="158">
        <f>_xll.xSPRDOPT($L500,$J500,$I500,$M500,$O500,$N500,$P500,$Q500-$C$3,$R500,0)</f>
        <v>1.2431783155446245</v>
      </c>
      <c r="T500" s="159">
        <f>_xll.xSPRDOPT($L500,$J500,$I500,$M500,$O500,$N500,$P500,$Q500-$C$3,$R500,1)*H500</f>
        <v>475821.65876195504</v>
      </c>
      <c r="U500" s="160">
        <f t="shared" si="584"/>
        <v>621589.15777231229</v>
      </c>
      <c r="V500" s="159">
        <f>_xll.xSPRDOPT($L500,$J500,$I500,$M500,$O500,$N500,$P500,$Q500-$C$3,$R500,2)*H500</f>
        <v>-469864.6870581049</v>
      </c>
      <c r="W500" s="159">
        <f t="shared" si="585"/>
        <v>5956.9717038501403</v>
      </c>
      <c r="X500" s="51" t="str">
        <f t="shared" si="586"/>
        <v>36831NGI-SOCAL</v>
      </c>
      <c r="Y500" s="418">
        <f t="shared" si="587"/>
        <v>50</v>
      </c>
      <c r="Z500" s="456">
        <f t="shared" si="588"/>
        <v>0.95164331752391007</v>
      </c>
      <c r="AA500" s="456">
        <f>_xll.xSPRDOPT($L500,$J500,$I500,$M500,$O500,$N500,$P500,$Q500-$C$3,$R500,3)</f>
        <v>9.9509688054344972E-2</v>
      </c>
      <c r="AB500" s="456">
        <f>((_xll.xSPRDOPT($L500+AB$5,$J500,$I500,$M500,$O500,$N500,$P500,$Q500-$C$3,$R500,3)*$H500)/10000)/100</f>
        <v>4.9754844027172486E-2</v>
      </c>
      <c r="AC500" s="456">
        <f>((_xll.xSPRDOPT($L500+$AB$5,$J500,$I500,$M500,$O500,$N500,$P500,$Q500-$C$3,$R500,7)*$H500)/100)</f>
        <v>-1081.4546583235704</v>
      </c>
      <c r="AD500" s="456">
        <f>(_xll.xSPRDOPT($L500+$AB$5,$J500,$I500,$M500,$O500,$N500,$P500,$Q500-$C$3,$R500,9)/365)*$H500</f>
        <v>-146.5554051283201</v>
      </c>
      <c r="AE500">
        <f t="shared" si="521"/>
        <v>0</v>
      </c>
      <c r="AF500" s="456">
        <f t="shared" si="522"/>
        <v>546.76795995340422</v>
      </c>
      <c r="AG500" s="456">
        <f>((_xll.xSPRDOPT($L500,$J500,$I500,$M500,$O500,$N500,$P500,$Q500-$C$3,$R500,6)*$H500)/100)</f>
        <v>227.33103136861752</v>
      </c>
      <c r="AH500" s="456">
        <f>((_xll.xSPRDOPT($L500,$J500,$I500,$M500,$O500,$N500,$P500,$Q500-$C$3,$R500,5)*$H500)/100)</f>
        <v>329.40203207616651</v>
      </c>
      <c r="AI500" s="456">
        <f>(((_xll.xSPRDOPT($L500,$J500,$I500,$M500,$O500,$N500,$P500,$Q500-$C$3,$R500,4)*$H500)/10000)/100)-AB500</f>
        <v>2.8477672439802253E-2</v>
      </c>
      <c r="AJ500" s="456"/>
      <c r="AK500" s="456"/>
      <c r="AL500" s="456"/>
      <c r="AM500" s="472"/>
      <c r="CC500" s="141">
        <f>G500</f>
        <v>36831</v>
      </c>
      <c r="CD500" s="234">
        <f>_xll.xSPRDOPT((VLOOKUP(G500,NGPrices,2,FALSE)+HLOOKUP(D500,Prices,VLOOKUP(G500,move_down,2,FALSE),FALSE)),VLOOKUP(G500,NGPrices,2,FALSE),I500,VLOOKUP(G500,NGPREVPRICES,4,FALSE),HLOOKUP(D500,PREVVOLS,VLOOKUP(G500,MOVE_DOWN2,2,FALSE),FALSE),VLOOKUP(G500,NGPREVPRICES,3,FALSE),HLOOKUP(D500,Correllate,VLOOKUP(G500,CorMove,2,FALSE),FALSE),Q500-$CD$3,R500,$CD$5)*H500-CJ500</f>
        <v>0</v>
      </c>
      <c r="CE500" s="234">
        <f>_xll.xSPRDOPT((VLOOKUP(G500,NGPREVPRICES,2,FALSE)+HLOOKUP(D500,PREVCURVES,VLOOKUP(G500,MOVE_DOWN2,2,FALSE),FALSE)),VLOOKUP(G500,NGPREVPRICES,2,FALSE),CK500,VLOOKUP(G500,NGPrices,4,FALSE),HLOOKUP(D500,PREVVOLS,VLOOKUP(G500,MOVE_DOWN2,2,FALSE),FALSE),VLOOKUP(G500,NGPREVPRICES,3,FALSE),HLOOKUP(D500,Correllate,VLOOKUP(G500,CorMove,2,FALSE),FALSE),Q500-$CD$3,R500,$CJ$5)*H500-CJ500</f>
        <v>0</v>
      </c>
      <c r="CF500" s="10">
        <f>(CJ500/VLOOKUP(CC500,discount,3,FALSE))-(CJ500/VLOOKUP(CC500,discount,2,FALSE))</f>
        <v>-115.46329461084679</v>
      </c>
      <c r="CG500" s="234">
        <f>_xll.xSPRDOPT((VLOOKUP(G500,NGPREVPRICES,2,FALSE)+HLOOKUP(D500,PREVCURVES,VLOOKUP(G500,MOVE_DOWN2,2,FALSE),FALSE)),VLOOKUP(G500,NGPREVPRICES,2,FALSE),CK500,VLOOKUP(G500,NGPREVPRICES,4,FALSE),HLOOKUP(D500,VOLS,VLOOKUP(G500,move_down,2,FALSE),FALSE),VLOOKUP(G500,NGPrices,3,FALSE),HLOOKUP(D500,Correllate,VLOOKUP(G500,CorMove,2,FALSE),FALSE),Q500-$CD$3,R500,$CJ$5)*H500-CJ500</f>
        <v>0</v>
      </c>
      <c r="CH500" s="234">
        <f>_xll.xSPRDOPT((VLOOKUP(G500,NGPREVPRICES,2,FALSE)+HLOOKUP(D500,PREVCURVES,VLOOKUP(G500,MOVE_DOWN2,2,FALSE),FALSE)),VLOOKUP(G500,NGPREVPRICES,2,FALSE),CK500,VLOOKUP(G500,NGPREVPRICES,4,FALSE),HLOOKUP(D500,PREVVOLS,VLOOKUP(G500,MOVE_DOWN2,2,FALSE),FALSE),VLOOKUP(G500,NGPREVPRICES,3,FALSE),HLOOKUP(D500,Correllate,VLOOKUP(G500,CorMove,2,FALSE),FALSE),Q500-$C$3,R500,$CJ$5)*H500-CJ500</f>
        <v>-148.46131226990838</v>
      </c>
      <c r="CI500" s="234">
        <f>SUM(CD500:CH500)</f>
        <v>-263.92460688075516</v>
      </c>
      <c r="CJ500" s="234">
        <f>_xll.xSPRDOPT((VLOOKUP(G500,NGPREVPRICES,2,FALSE)+HLOOKUP(D500,PREVCURVES,VLOOKUP(G500,MOVE_DOWN2,2,FALSE),FALSE)),VLOOKUP(G500,NGPREVPRICES,2,FALSE),CK500,VLOOKUP(G500,NGPREVPRICES,4,FALSE),HLOOKUP(D500,PREVVOLS,VLOOKUP(G500,MOVE_DOWN2,2,FALSE),FALSE),VLOOKUP(G500,NGPREVPRICES,3,FALSE),HLOOKUP(D500,Correllate,VLOOKUP(G500,CorMove,2,FALSE),FALSE),Q500-$CD$3,R500,$CJ$5)*H500</f>
        <v>621737.6190845822</v>
      </c>
      <c r="CK500" s="235">
        <f>I500</f>
        <v>0.3</v>
      </c>
      <c r="CM500" t="str">
        <f>CONCATENATE(CC500,$CD$6)</f>
        <v>36831Curve Shift/Gamma</v>
      </c>
      <c r="CN500" t="str">
        <f t="shared" si="572"/>
        <v>36831Rho</v>
      </c>
      <c r="CO500" t="str">
        <f t="shared" si="573"/>
        <v>36831Drift</v>
      </c>
      <c r="CP500" t="str">
        <f t="shared" si="574"/>
        <v>36831Vega</v>
      </c>
      <c r="CQ500" t="str">
        <f t="shared" si="575"/>
        <v>36831Theta</v>
      </c>
    </row>
    <row r="501" spans="1:95" x14ac:dyDescent="0.25">
      <c r="A501" s="140" t="s">
        <v>509</v>
      </c>
      <c r="B501" t="s">
        <v>250</v>
      </c>
      <c r="C501" t="s">
        <v>512</v>
      </c>
      <c r="D501" s="4" t="s">
        <v>7</v>
      </c>
      <c r="E501" t="s">
        <v>20</v>
      </c>
      <c r="F501" t="s">
        <v>21</v>
      </c>
      <c r="G501" s="5">
        <v>36831</v>
      </c>
      <c r="H501" s="130">
        <v>1000000</v>
      </c>
      <c r="I501">
        <v>0.8</v>
      </c>
      <c r="J501" s="53">
        <f t="shared" si="576"/>
        <v>4.7359999999999998</v>
      </c>
      <c r="K501" s="7">
        <f t="shared" si="577"/>
        <v>0.77</v>
      </c>
      <c r="L501" s="53">
        <f t="shared" si="578"/>
        <v>5.5060000000000002</v>
      </c>
      <c r="M501" s="157">
        <f t="shared" si="579"/>
        <v>6.810675983792E-2</v>
      </c>
      <c r="N501" s="4">
        <f t="shared" si="580"/>
        <v>0.59499999999999997</v>
      </c>
      <c r="O501" s="4">
        <f t="shared" si="581"/>
        <v>0.625</v>
      </c>
      <c r="P501" s="9">
        <f t="shared" si="582"/>
        <v>0.89</v>
      </c>
      <c r="Q501" s="5">
        <f t="shared" si="520"/>
        <v>36829</v>
      </c>
      <c r="R501" s="4">
        <f t="shared" si="583"/>
        <v>1</v>
      </c>
      <c r="S501" s="158">
        <f>_xll.xSPRDOPT($L501,$J501,$I501,$M501,$O501,$N501,$P501,$Q501-$C$3,$R501,0)</f>
        <v>0.2446191821729268</v>
      </c>
      <c r="T501" s="159">
        <f>_xll.xSPRDOPT($L501,$J501,$I501,$M501,$O501,$N501,$P501,$Q501-$C$3,$R501,1)*H501</f>
        <v>500102.83078433503</v>
      </c>
      <c r="U501" s="160">
        <f t="shared" si="584"/>
        <v>244619.18217292681</v>
      </c>
      <c r="V501" s="159">
        <f>_xll.xSPRDOPT($L501,$J501,$I501,$M501,$O501,$N501,$P501,$Q501-$C$3,$R501,2)*H501</f>
        <v>-455516.60905932024</v>
      </c>
      <c r="W501" s="159">
        <f t="shared" si="585"/>
        <v>44586.221725014795</v>
      </c>
      <c r="X501" s="51" t="str">
        <f t="shared" si="586"/>
        <v>36831IF-TRANSCO/Z6</v>
      </c>
      <c r="Y501" s="418">
        <f t="shared" si="587"/>
        <v>100</v>
      </c>
      <c r="Z501" s="456">
        <f t="shared" si="588"/>
        <v>0.50010283078433504</v>
      </c>
      <c r="AA501" s="456">
        <f>_xll.xSPRDOPT($L501,$J501,$I501,$M501,$O501,$N501,$P501,$Q501-$C$3,$R501,3)</f>
        <v>0.6013880264093785</v>
      </c>
      <c r="AB501" s="456">
        <f>((_xll.xSPRDOPT($L501+AB$5,$J501,$I501,$M501,$O501,$N501,$P501,$Q501-$C$3,$R501,3)*$H501)/10000)/100</f>
        <v>0.6013880264093785</v>
      </c>
      <c r="AC501" s="456">
        <f>((_xll.xSPRDOPT($L501+$AB$5,$J501,$I501,$M501,$O501,$N501,$P501,$Q501-$C$3,$R501,7)*$H501)/100)</f>
        <v>-9856.0687843425367</v>
      </c>
      <c r="AD501" s="456">
        <f>(_xll.xSPRDOPT($L501+$AB$5,$J501,$I501,$M501,$O501,$N501,$P501,$Q501-$C$3,$R501,9)/365)*$H501</f>
        <v>-2044.798780404677</v>
      </c>
      <c r="AE501">
        <f t="shared" si="521"/>
        <v>0</v>
      </c>
      <c r="AF501" s="456">
        <f t="shared" si="522"/>
        <v>4353.572003020653</v>
      </c>
      <c r="AG501" s="456">
        <f>((_xll.xSPRDOPT($L501,$J501,$I501,$M501,$O501,$N501,$P501,$Q501-$C$3,$R501,6)*$H501)/100)</f>
        <v>-1221.3246011050603</v>
      </c>
      <c r="AH501" s="456">
        <f>((_xll.xSPRDOPT($L501,$J501,$I501,$M501,$O501,$N501,$P501,$Q501-$C$3,$R501,5)*$H501)/100)</f>
        <v>5307.3015671276789</v>
      </c>
      <c r="AI501" s="456">
        <f>(((_xll.xSPRDOPT($L501,$J501,$I501,$M501,$O501,$N501,$P501,$Q501-$C$3,$R501,4)*$H501)/10000)/100)-AB501</f>
        <v>-4.5255524937033442E-3</v>
      </c>
      <c r="AJ501" s="456"/>
      <c r="AK501" s="456"/>
      <c r="AL501" s="456"/>
      <c r="AM501" s="472"/>
      <c r="CC501" s="141">
        <f>G501</f>
        <v>36831</v>
      </c>
      <c r="CD501" s="234">
        <f>_xll.xSPRDOPT((VLOOKUP(G501,NGPrices,2,FALSE)+HLOOKUP(D501,Prices,VLOOKUP(G501,move_down,2,FALSE),FALSE)),VLOOKUP(G501,NGPrices,2,FALSE),I501,VLOOKUP(G501,NGPREVPRICES,4,FALSE),HLOOKUP(D501,PREVVOLS,VLOOKUP(G501,MOVE_DOWN2,2,FALSE),FALSE),VLOOKUP(G501,NGPREVPRICES,3,FALSE),HLOOKUP(D501,Correllate,VLOOKUP(G501,CorMove,2,FALSE),FALSE),Q501-$CD$3,R501,$CD$5)*H501-CJ501</f>
        <v>0</v>
      </c>
      <c r="CE501" s="234">
        <f>_xll.xSPRDOPT((VLOOKUP(G501,NGPREVPRICES,2,FALSE)+HLOOKUP(D501,PREVCURVES,VLOOKUP(G501,MOVE_DOWN2,2,FALSE),FALSE)),VLOOKUP(G501,NGPREVPRICES,2,FALSE),CK501,VLOOKUP(G501,NGPrices,4,FALSE),HLOOKUP(D501,PREVVOLS,VLOOKUP(G501,MOVE_DOWN2,2,FALSE),FALSE),VLOOKUP(G501,NGPREVPRICES,3,FALSE),HLOOKUP(D501,Correllate,VLOOKUP(G501,CorMove,2,FALSE),FALSE),Q501-$CD$3,R501,$CJ$5)*H501-CJ501</f>
        <v>0</v>
      </c>
      <c r="CF501" s="10">
        <f>(CJ501/VLOOKUP(CC501,discount,3,FALSE))-(CJ501/VLOOKUP(CC501,discount,2,FALSE))</f>
        <v>-45.806249567889608</v>
      </c>
      <c r="CG501" s="234">
        <f>_xll.xSPRDOPT((VLOOKUP(G501,NGPREVPRICES,2,FALSE)+HLOOKUP(D501,PREVCURVES,VLOOKUP(G501,MOVE_DOWN2,2,FALSE),FALSE)),VLOOKUP(G501,NGPREVPRICES,2,FALSE),CK501,VLOOKUP(G501,NGPREVPRICES,4,FALSE),HLOOKUP(D501,VOLS,VLOOKUP(G501,move_down,2,FALSE),FALSE),VLOOKUP(G501,NGPrices,3,FALSE),HLOOKUP(D501,Correllate,VLOOKUP(G501,CorMove,2,FALSE),FALSE),Q501-$CD$3,R501,$CJ$5)*H501-CJ501</f>
        <v>0</v>
      </c>
      <c r="CH501" s="234">
        <f>_xll.xSPRDOPT((VLOOKUP(G501,NGPREVPRICES,2,FALSE)+HLOOKUP(D501,PREVCURVES,VLOOKUP(G501,MOVE_DOWN2,2,FALSE),FALSE)),VLOOKUP(G501,NGPREVPRICES,2,FALSE),CK501,VLOOKUP(G501,NGPREVPRICES,4,FALSE),HLOOKUP(D501,PREVVOLS,VLOOKUP(G501,MOVE_DOWN2,2,FALSE),FALSE),VLOOKUP(G501,NGPREVPRICES,3,FALSE),HLOOKUP(D501,Correllate,VLOOKUP(G501,CorMove,2,FALSE),FALSE),Q501-$C$3,R501,$CJ$5)*H501-CJ501</f>
        <v>-2034.6885790399101</v>
      </c>
      <c r="CI501" s="234">
        <f>SUM(CD501:CH501)</f>
        <v>-2080.4948286077997</v>
      </c>
      <c r="CJ501" s="234">
        <f>_xll.xSPRDOPT((VLOOKUP(G501,NGPREVPRICES,2,FALSE)+HLOOKUP(D501,PREVCURVES,VLOOKUP(G501,MOVE_DOWN2,2,FALSE),FALSE)),VLOOKUP(G501,NGPREVPRICES,2,FALSE),CK501,VLOOKUP(G501,NGPREVPRICES,4,FALSE),HLOOKUP(D501,PREVVOLS,VLOOKUP(G501,MOVE_DOWN2,2,FALSE),FALSE),VLOOKUP(G501,NGPREVPRICES,3,FALSE),HLOOKUP(D501,Correllate,VLOOKUP(G501,CorMove,2,FALSE),FALSE),Q501-$CD$3,R501,$CJ$5)*H501</f>
        <v>246653.87075196672</v>
      </c>
      <c r="CK501" s="235">
        <f>I501</f>
        <v>0.8</v>
      </c>
      <c r="CM501" t="str">
        <f>CONCATENATE(CC501,$CD$6)</f>
        <v>36831Curve Shift/Gamma</v>
      </c>
      <c r="CN501" t="str">
        <f t="shared" si="572"/>
        <v>36831Rho</v>
      </c>
      <c r="CO501" t="str">
        <f t="shared" si="573"/>
        <v>36831Drift</v>
      </c>
      <c r="CP501" t="str">
        <f t="shared" si="574"/>
        <v>36831Vega</v>
      </c>
      <c r="CQ501" t="str">
        <f t="shared" si="575"/>
        <v>36831Theta</v>
      </c>
    </row>
    <row r="502" spans="1:95" x14ac:dyDescent="0.25">
      <c r="A502" s="140" t="s">
        <v>509</v>
      </c>
      <c r="B502" t="s">
        <v>250</v>
      </c>
      <c r="C502" t="s">
        <v>514</v>
      </c>
      <c r="D502" s="4" t="s">
        <v>7</v>
      </c>
      <c r="E502" t="s">
        <v>20</v>
      </c>
      <c r="F502" t="s">
        <v>21</v>
      </c>
      <c r="G502" s="5">
        <v>36800</v>
      </c>
      <c r="H502" s="130">
        <v>310000</v>
      </c>
      <c r="I502">
        <v>0.7</v>
      </c>
      <c r="J502" s="53">
        <f t="shared" si="576"/>
        <v>4.6920000000000002</v>
      </c>
      <c r="K502" s="7">
        <f t="shared" si="577"/>
        <v>0.41499999999999998</v>
      </c>
      <c r="L502" s="53">
        <f t="shared" si="578"/>
        <v>5.1070000000000002</v>
      </c>
      <c r="M502" s="157">
        <f t="shared" si="579"/>
        <v>6.8050789414654006E-2</v>
      </c>
      <c r="N502" s="4">
        <f t="shared" si="580"/>
        <v>0.57499999999999996</v>
      </c>
      <c r="O502" s="4">
        <f t="shared" si="581"/>
        <v>0.56399999999999995</v>
      </c>
      <c r="P502" s="9">
        <f t="shared" si="582"/>
        <v>0.99250000000000005</v>
      </c>
      <c r="Q502" s="5">
        <f t="shared" si="520"/>
        <v>36797</v>
      </c>
      <c r="R502" s="4">
        <f t="shared" si="583"/>
        <v>1</v>
      </c>
      <c r="S502" s="158">
        <f>_xll.xSPRDOPT($L502,$J502,$I502,$M502,$O502,$N502,$P502,$Q502-$C$3,$R502,0)</f>
        <v>6.7579989208547823E-4</v>
      </c>
      <c r="T502" s="159">
        <f>_xll.xSPRDOPT($L502,$J502,$I502,$M502,$O502,$N502,$P502,$Q502-$C$3,$R502,1)*H502</f>
        <v>4889.2345512352686</v>
      </c>
      <c r="U502" s="160">
        <f t="shared" si="584"/>
        <v>209.49796654649825</v>
      </c>
      <c r="V502" s="159">
        <f>_xll.xSPRDOPT($L502,$J502,$I502,$M502,$O502,$N502,$P502,$Q502-$C$3,$R502,2)*H502</f>
        <v>-4721.5765602190604</v>
      </c>
      <c r="W502" s="159">
        <f t="shared" si="585"/>
        <v>167.65799101620814</v>
      </c>
      <c r="X502" s="51" t="str">
        <f t="shared" si="586"/>
        <v>36800IF-TRANSCO/Z6</v>
      </c>
      <c r="Y502" s="418">
        <f t="shared" si="587"/>
        <v>31</v>
      </c>
      <c r="Z502" s="456">
        <f t="shared" si="588"/>
        <v>1.5771724358823448E-2</v>
      </c>
      <c r="AA502" s="456">
        <f>_xll.xSPRDOPT($L502,$J502,$I502,$M502,$O502,$N502,$P502,$Q502-$C$3,$R502,3)</f>
        <v>0.32365395944546471</v>
      </c>
      <c r="AB502" s="456">
        <f>((_xll.xSPRDOPT($L502+AB$5,$J502,$I502,$M502,$O502,$N502,$P502,$Q502-$C$3,$R502,3)*$H502)/10000)/100</f>
        <v>0.10033272742809407</v>
      </c>
      <c r="AC502" s="456">
        <f>((_xll.xSPRDOPT($L502+$AB$5,$J502,$I502,$M502,$O502,$N502,$P502,$Q502-$C$3,$R502,7)*$H502)/100)</f>
        <v>-621.89596007651653</v>
      </c>
      <c r="AD502" s="456">
        <f>(_xll.xSPRDOPT($L502+$AB$5,$J502,$I502,$M502,$O502,$N502,$P502,$Q502-$C$3,$R502,9)/365)*$H502</f>
        <v>-25.010155076899533</v>
      </c>
      <c r="AE502">
        <f t="shared" si="521"/>
        <v>0</v>
      </c>
      <c r="AF502" s="456">
        <f t="shared" si="522"/>
        <v>26.120429161928641</v>
      </c>
      <c r="AG502" s="456">
        <f>((_xll.xSPRDOPT($L502,$J502,$I502,$M502,$O502,$N502,$P502,$Q502-$C$3,$R502,6)*$H502)/100)</f>
        <v>-89.473217294915898</v>
      </c>
      <c r="AH502" s="456">
        <f>((_xll.xSPRDOPT($L502,$J502,$I502,$M502,$O502,$N502,$P502,$Q502-$C$3,$R502,5)*$H502)/100)</f>
        <v>117.84813246930072</v>
      </c>
      <c r="AI502" s="456">
        <f>(((_xll.xSPRDOPT($L502,$J502,$I502,$M502,$O502,$N502,$P502,$Q502-$C$3,$R502,4)*$H502)/10000)/100)-AB502</f>
        <v>-5.6942118276523956E-3</v>
      </c>
      <c r="AJ502" s="456"/>
      <c r="AK502" s="456"/>
      <c r="AL502" s="456"/>
      <c r="AM502" s="472"/>
      <c r="CC502" s="141">
        <f>G502</f>
        <v>36800</v>
      </c>
      <c r="CD502" s="234">
        <f>_xll.xSPRDOPT((VLOOKUP(G502,NGPrices,2,FALSE)+HLOOKUP(D502,Prices,VLOOKUP(G502,move_down,2,FALSE),FALSE)),VLOOKUP(G502,NGPrices,2,FALSE),I502,VLOOKUP(G502,NGPREVPRICES,4,FALSE),HLOOKUP(D502,PREVVOLS,VLOOKUP(G502,MOVE_DOWN2,2,FALSE),FALSE),VLOOKUP(G502,NGPREVPRICES,3,FALSE),HLOOKUP(D502,Correllate,VLOOKUP(G502,CorMove,2,FALSE),FALSE),Q502-$CD$3,R502,$CD$5)*H502-CJ502</f>
        <v>0</v>
      </c>
      <c r="CE502" s="234">
        <f>_xll.xSPRDOPT((VLOOKUP(G502,NGPREVPRICES,2,FALSE)+HLOOKUP(D502,PREVCURVES,VLOOKUP(G502,MOVE_DOWN2,2,FALSE),FALSE)),VLOOKUP(G502,NGPREVPRICES,2,FALSE),CK502,VLOOKUP(G502,NGPrices,4,FALSE),HLOOKUP(D502,PREVVOLS,VLOOKUP(G502,MOVE_DOWN2,2,FALSE),FALSE),VLOOKUP(G502,NGPREVPRICES,3,FALSE),HLOOKUP(D502,Correllate,VLOOKUP(G502,CorMove,2,FALSE),FALSE),Q502-$CD$3,R502,$CJ$5)*H502-CJ502</f>
        <v>0</v>
      </c>
      <c r="CF502" s="10">
        <f>(CJ502/VLOOKUP(CC502,discount,3,FALSE))-(CJ502/VLOOKUP(CC502,discount,2,FALSE))</f>
        <v>-4.3372711534232167E-2</v>
      </c>
      <c r="CG502" s="234">
        <f>_xll.xSPRDOPT((VLOOKUP(G502,NGPREVPRICES,2,FALSE)+HLOOKUP(D502,PREVCURVES,VLOOKUP(G502,MOVE_DOWN2,2,FALSE),FALSE)),VLOOKUP(G502,NGPREVPRICES,2,FALSE),CK502,VLOOKUP(G502,NGPREVPRICES,4,FALSE),HLOOKUP(D502,VOLS,VLOOKUP(G502,move_down,2,FALSE),FALSE),VLOOKUP(G502,NGPrices,3,FALSE),HLOOKUP(D502,Correllate,VLOOKUP(G502,CorMove,2,FALSE),FALSE),Q502-$CD$3,R502,$CJ$5)*H502-CJ502</f>
        <v>0</v>
      </c>
      <c r="CH502" s="234">
        <f>_xll.xSPRDOPT((VLOOKUP(G502,NGPREVPRICES,2,FALSE)+HLOOKUP(D502,PREVCURVES,VLOOKUP(G502,MOVE_DOWN2,2,FALSE),FALSE)),VLOOKUP(G502,NGPREVPRICES,2,FALSE),CK502,VLOOKUP(G502,NGPREVPRICES,4,FALSE),HLOOKUP(D502,PREVVOLS,VLOOKUP(G502,MOVE_DOWN2,2,FALSE),FALSE),VLOOKUP(G502,NGPREVPRICES,3,FALSE),HLOOKUP(D502,Correllate,VLOOKUP(G502,CorMove,2,FALSE),FALSE),Q502-$C$3,R502,$CJ$5)*H502-CJ502</f>
        <v>-25.768436309734</v>
      </c>
      <c r="CI502" s="234">
        <f>SUM(CD502:CH502)</f>
        <v>-25.811809021268232</v>
      </c>
      <c r="CJ502" s="234">
        <f>_xll.xSPRDOPT((VLOOKUP(G502,NGPREVPRICES,2,FALSE)+HLOOKUP(D502,PREVCURVES,VLOOKUP(G502,MOVE_DOWN2,2,FALSE),FALSE)),VLOOKUP(G502,NGPREVPRICES,2,FALSE),CK502,VLOOKUP(G502,NGPREVPRICES,4,FALSE),HLOOKUP(D502,PREVVOLS,VLOOKUP(G502,MOVE_DOWN2,2,FALSE),FALSE),VLOOKUP(G502,NGPREVPRICES,3,FALSE),HLOOKUP(D502,Correllate,VLOOKUP(G502,CorMove,2,FALSE),FALSE),Q502-$CD$3,R502,$CJ$5)*H502</f>
        <v>235.26640285623225</v>
      </c>
      <c r="CK502" s="235">
        <f>I502</f>
        <v>0.7</v>
      </c>
      <c r="CM502" t="str">
        <f>CONCATENATE(CC502,$CD$6)</f>
        <v>36800Curve Shift/Gamma</v>
      </c>
      <c r="CN502" t="str">
        <f t="shared" si="572"/>
        <v>36800Rho</v>
      </c>
      <c r="CO502" t="str">
        <f t="shared" si="573"/>
        <v>36800Drift</v>
      </c>
      <c r="CP502" t="str">
        <f t="shared" si="574"/>
        <v>36800Vega</v>
      </c>
      <c r="CQ502" t="str">
        <f t="shared" si="575"/>
        <v>36800Theta</v>
      </c>
    </row>
    <row r="503" spans="1:95" x14ac:dyDescent="0.25">
      <c r="A503" s="140" t="s">
        <v>324</v>
      </c>
      <c r="B503" t="s">
        <v>250</v>
      </c>
      <c r="C503" t="s">
        <v>513</v>
      </c>
      <c r="D503" s="4" t="s">
        <v>7</v>
      </c>
      <c r="E503" t="s">
        <v>20</v>
      </c>
      <c r="F503" t="s">
        <v>21</v>
      </c>
      <c r="G503" s="5">
        <v>36951</v>
      </c>
      <c r="H503" s="130">
        <v>310000</v>
      </c>
      <c r="I503">
        <v>2.5</v>
      </c>
      <c r="J503" s="53">
        <f t="shared" si="576"/>
        <v>4.2130000000000001</v>
      </c>
      <c r="K503" s="7">
        <f t="shared" si="577"/>
        <v>1.075</v>
      </c>
      <c r="L503" s="53">
        <f t="shared" si="578"/>
        <v>5.2880000000000003</v>
      </c>
      <c r="M503" s="157">
        <f t="shared" si="579"/>
        <v>6.8879814952706994E-2</v>
      </c>
      <c r="N503" s="4">
        <f t="shared" si="580"/>
        <v>0.53249999999999997</v>
      </c>
      <c r="O503" s="4">
        <f t="shared" si="581"/>
        <v>0.61199999999999999</v>
      </c>
      <c r="P503" s="9">
        <f t="shared" si="582"/>
        <v>0.83</v>
      </c>
      <c r="Q503" s="5">
        <f t="shared" si="520"/>
        <v>36949</v>
      </c>
      <c r="R503" s="4">
        <f t="shared" si="583"/>
        <v>1</v>
      </c>
      <c r="S503" s="158">
        <f>_xll.xSPRDOPT($L503,$J503,$I503,$M503,$O503,$N503,$P503,$Q503-$C$3,$R503,0)</f>
        <v>0.15660034057175656</v>
      </c>
      <c r="T503" s="159">
        <f>_xll.xSPRDOPT($L503,$J503,$I503,$M503,$O503,$N503,$P503,$Q503-$C$3,$R503,1)*H503</f>
        <v>68187.967452506709</v>
      </c>
      <c r="U503" s="160">
        <f t="shared" si="584"/>
        <v>48546.105577244532</v>
      </c>
      <c r="V503" s="159">
        <f>_xll.xSPRDOPT($L503,$J503,$I503,$M503,$O503,$N503,$P503,$Q503-$C$3,$R503,2)*H503</f>
        <v>-50506.235487063357</v>
      </c>
      <c r="W503" s="159">
        <f t="shared" si="585"/>
        <v>17681.731965443352</v>
      </c>
      <c r="X503" s="51" t="str">
        <f t="shared" si="586"/>
        <v>36951IF-TRANSCO/Z6</v>
      </c>
      <c r="Y503" s="418">
        <f t="shared" si="587"/>
        <v>31</v>
      </c>
      <c r="Z503" s="456">
        <f t="shared" si="588"/>
        <v>0.2199611853306668</v>
      </c>
      <c r="AA503" s="456">
        <f>_xll.xSPRDOPT($L503,$J503,$I503,$M503,$O503,$N503,$P503,$Q503-$C$3,$R503,3)</f>
        <v>0.20855990404016209</v>
      </c>
      <c r="AB503" s="456">
        <f>((_xll.xSPRDOPT($L503+AB$5,$J503,$I503,$M503,$O503,$N503,$P503,$Q503-$C$3,$R503,3)*$H503)/10000)/100</f>
        <v>6.4653570252450249E-2</v>
      </c>
      <c r="AC503" s="456">
        <f>((_xll.xSPRDOPT($L503+$AB$5,$J503,$I503,$M503,$O503,$N503,$P503,$Q503-$C$3,$R503,7)*$H503)/100)</f>
        <v>-1958.994654682441</v>
      </c>
      <c r="AD503" s="456">
        <f>(_xll.xSPRDOPT($L503+$AB$5,$J503,$I503,$M503,$O503,$N503,$P503,$Q503-$C$3,$R503,9)/365)*$H503</f>
        <v>-340.69913522803944</v>
      </c>
      <c r="AE503">
        <f t="shared" si="521"/>
        <v>0</v>
      </c>
      <c r="AF503" s="456">
        <f t="shared" si="522"/>
        <v>2389.896803252896</v>
      </c>
      <c r="AG503" s="456">
        <f>((_xll.xSPRDOPT($L503,$J503,$I503,$M503,$O503,$N503,$P503,$Q503-$C$3,$R503,6)*$H503)/100)</f>
        <v>-893.00665809604436</v>
      </c>
      <c r="AH503" s="456">
        <f>((_xll.xSPRDOPT($L503,$J503,$I503,$M503,$O503,$N503,$P503,$Q503-$C$3,$R503,5)*$H503)/100)</f>
        <v>2856.4478646541024</v>
      </c>
      <c r="AI503" s="456">
        <f>(((_xll.xSPRDOPT($L503,$J503,$I503,$M503,$O503,$N503,$P503,$Q503-$C$3,$R503,4)*$H503)/10000)/100)-AB503</f>
        <v>-1.8780219276826111E-2</v>
      </c>
      <c r="AJ503" s="456"/>
      <c r="AK503" s="456"/>
      <c r="AL503" s="456"/>
      <c r="AM503" s="472"/>
      <c r="CC503" s="141">
        <f t="shared" ref="CC503:CC517" si="589">G503</f>
        <v>36951</v>
      </c>
      <c r="CD503" s="234">
        <f>_xll.xSPRDOPT((VLOOKUP(G503,NGPrices,2,FALSE)+HLOOKUP(D503,Prices,VLOOKUP(G503,move_down,2,FALSE),FALSE)),VLOOKUP(G503,NGPrices,2,FALSE),I503,VLOOKUP(G503,NGPREVPRICES,4,FALSE),HLOOKUP(D503,PREVVOLS,VLOOKUP(G503,MOVE_DOWN2,2,FALSE),FALSE),VLOOKUP(G503,NGPREVPRICES,3,FALSE),HLOOKUP(D503,Correllate,VLOOKUP(G503,CorMove,2,FALSE),FALSE),Q503-$CD$3,R503,$CD$5)*H503-CJ503</f>
        <v>0</v>
      </c>
      <c r="CE503" s="234">
        <f>_xll.xSPRDOPT((VLOOKUP(G503,NGPREVPRICES,2,FALSE)+HLOOKUP(D503,PREVCURVES,VLOOKUP(G503,MOVE_DOWN2,2,FALSE),FALSE)),VLOOKUP(G503,NGPREVPRICES,2,FALSE),CK503,VLOOKUP(G503,NGPrices,4,FALSE),HLOOKUP(D503,PREVVOLS,VLOOKUP(G503,MOVE_DOWN2,2,FALSE),FALSE),VLOOKUP(G503,NGPREVPRICES,3,FALSE),HLOOKUP(D503,Correllate,VLOOKUP(G503,CorMove,2,FALSE),FALSE),Q503-$CD$3,R503,$CJ$5)*H503-CJ503</f>
        <v>0</v>
      </c>
      <c r="CF503" s="10">
        <f t="shared" ref="CF503:CF517" si="590">(CJ503/VLOOKUP(CC503,discount,3,FALSE))-(CJ503/VLOOKUP(CC503,discount,2,FALSE))</f>
        <v>-9.375681076257024</v>
      </c>
      <c r="CG503" s="234">
        <f>_xll.xSPRDOPT((VLOOKUP(G503,NGPREVPRICES,2,FALSE)+HLOOKUP(D503,PREVCURVES,VLOOKUP(G503,MOVE_DOWN2,2,FALSE),FALSE)),VLOOKUP(G503,NGPREVPRICES,2,FALSE),CK503,VLOOKUP(G503,NGPREVPRICES,4,FALSE),HLOOKUP(D503,VOLS,VLOOKUP(G503,move_down,2,FALSE),FALSE),VLOOKUP(G503,NGPrices,3,FALSE),HLOOKUP(D503,Correllate,VLOOKUP(G503,CorMove,2,FALSE),FALSE),Q503-$CD$3,R503,$CJ$5)*H503-CJ503</f>
        <v>0</v>
      </c>
      <c r="CH503" s="234">
        <f>_xll.xSPRDOPT((VLOOKUP(G503,NGPREVPRICES,2,FALSE)+HLOOKUP(D503,PREVCURVES,VLOOKUP(G503,MOVE_DOWN2,2,FALSE),FALSE)),VLOOKUP(G503,NGPREVPRICES,2,FALSE),CK503,VLOOKUP(G503,NGPREVPRICES,4,FALSE),HLOOKUP(D503,PREVVOLS,VLOOKUP(G503,MOVE_DOWN2,2,FALSE),FALSE),VLOOKUP(G503,NGPREVPRICES,3,FALSE),HLOOKUP(D503,Correllate,VLOOKUP(G503,CorMove,2,FALSE),FALSE),Q503-$C$3,R503,$CJ$5)*H503-CJ503</f>
        <v>-340.29505470926961</v>
      </c>
      <c r="CI503" s="234">
        <f t="shared" ref="CI503:CI517" si="591">SUM(CD503:CH503)</f>
        <v>-349.67073578552663</v>
      </c>
      <c r="CJ503" s="234">
        <f>_xll.xSPRDOPT((VLOOKUP(G503,NGPREVPRICES,2,FALSE)+HLOOKUP(D503,PREVCURVES,VLOOKUP(G503,MOVE_DOWN2,2,FALSE),FALSE)),VLOOKUP(G503,NGPREVPRICES,2,FALSE),CK503,VLOOKUP(G503,NGPREVPRICES,4,FALSE),HLOOKUP(D503,PREVVOLS,VLOOKUP(G503,MOVE_DOWN2,2,FALSE),FALSE),VLOOKUP(G503,NGPREVPRICES,3,FALSE),HLOOKUP(D503,Correllate,VLOOKUP(G503,CorMove,2,FALSE),FALSE),Q503-$CD$3,R503,$CJ$5)*H503</f>
        <v>48886.400631953802</v>
      </c>
      <c r="CK503" s="235">
        <f t="shared" ref="CK503:CK517" si="592">I503</f>
        <v>2.5</v>
      </c>
      <c r="CM503" t="str">
        <f t="shared" ref="CM503:CM517" si="593">CONCATENATE(CC503,$CD$6)</f>
        <v>36951Curve Shift/Gamma</v>
      </c>
      <c r="CN503" t="str">
        <f t="shared" si="572"/>
        <v>36951Rho</v>
      </c>
      <c r="CO503" t="str">
        <f t="shared" si="573"/>
        <v>36951Drift</v>
      </c>
      <c r="CP503" t="str">
        <f t="shared" si="574"/>
        <v>36951Vega</v>
      </c>
      <c r="CQ503" t="str">
        <f t="shared" si="575"/>
        <v>36951Theta</v>
      </c>
    </row>
    <row r="504" spans="1:95" x14ac:dyDescent="0.25">
      <c r="A504" s="140" t="s">
        <v>324</v>
      </c>
      <c r="B504" t="s">
        <v>250</v>
      </c>
      <c r="C504" t="s">
        <v>513</v>
      </c>
      <c r="D504" s="4" t="s">
        <v>7</v>
      </c>
      <c r="E504" t="s">
        <v>20</v>
      </c>
      <c r="F504" t="s">
        <v>21</v>
      </c>
      <c r="G504" s="5">
        <v>36923</v>
      </c>
      <c r="H504" s="130">
        <v>280000</v>
      </c>
      <c r="I504">
        <v>2.5</v>
      </c>
      <c r="J504" s="53">
        <f t="shared" si="576"/>
        <v>4.4800000000000004</v>
      </c>
      <c r="K504" s="7">
        <f t="shared" si="577"/>
        <v>2.09</v>
      </c>
      <c r="L504" s="53">
        <f t="shared" si="578"/>
        <v>6.57</v>
      </c>
      <c r="M504" s="157">
        <f t="shared" si="579"/>
        <v>6.8640161611372E-2</v>
      </c>
      <c r="N504" s="4">
        <f t="shared" si="580"/>
        <v>0.59250000000000003</v>
      </c>
      <c r="O504" s="4">
        <f t="shared" si="581"/>
        <v>0.68100000000000005</v>
      </c>
      <c r="P504" s="9">
        <f t="shared" si="582"/>
        <v>0.83</v>
      </c>
      <c r="Q504" s="5">
        <f t="shared" si="520"/>
        <v>36921</v>
      </c>
      <c r="R504" s="4">
        <f t="shared" si="583"/>
        <v>1</v>
      </c>
      <c r="S504" s="158">
        <f>_xll.xSPRDOPT($L504,$J504,$I504,$M504,$O504,$N504,$P504,$Q504-$C$3,$R504,0)</f>
        <v>0.53494168201694325</v>
      </c>
      <c r="T504" s="159">
        <f>_xll.xSPRDOPT($L504,$J504,$I504,$M504,$O504,$N504,$P504,$Q504-$C$3,$R504,1)*H504</f>
        <v>128085.42484767239</v>
      </c>
      <c r="U504" s="160">
        <f t="shared" si="584"/>
        <v>149783.67096474412</v>
      </c>
      <c r="V504" s="159">
        <f>_xll.xSPRDOPT($L504,$J504,$I504,$M504,$O504,$N504,$P504,$Q504-$C$3,$R504,2)*H504</f>
        <v>-104984.67609865764</v>
      </c>
      <c r="W504" s="159">
        <f t="shared" si="585"/>
        <v>23100.748749014747</v>
      </c>
      <c r="X504" s="51" t="str">
        <f t="shared" si="586"/>
        <v>36923IF-TRANSCO/Z6</v>
      </c>
      <c r="Y504" s="418">
        <f t="shared" si="587"/>
        <v>28</v>
      </c>
      <c r="Z504" s="456">
        <f t="shared" si="588"/>
        <v>0.45744794588454424</v>
      </c>
      <c r="AA504" s="456">
        <f>_xll.xSPRDOPT($L504,$J504,$I504,$M504,$O504,$N504,$P504,$Q504-$C$3,$R504,3)</f>
        <v>0.21618551080216697</v>
      </c>
      <c r="AB504" s="456">
        <f>((_xll.xSPRDOPT($L504+AB$5,$J504,$I504,$M504,$O504,$N504,$P504,$Q504-$C$3,$R504,3)*$H504)/10000)/100</f>
        <v>6.0531943024606745E-2</v>
      </c>
      <c r="AC504" s="456">
        <f>((_xll.xSPRDOPT($L504+$AB$5,$J504,$I504,$M504,$O504,$N504,$P504,$Q504-$C$3,$R504,7)*$H504)/100)</f>
        <v>-2929.1996900406107</v>
      </c>
      <c r="AD504" s="456">
        <f>(_xll.xSPRDOPT($L504+$AB$5,$J504,$I504,$M504,$O504,$N504,$P504,$Q504-$C$3,$R504,9)/365)*$H504</f>
        <v>-604.79960954333001</v>
      </c>
      <c r="AE504">
        <f t="shared" si="521"/>
        <v>0</v>
      </c>
      <c r="AF504" s="456">
        <f t="shared" si="522"/>
        <v>3288.1090766114849</v>
      </c>
      <c r="AG504" s="456">
        <f>((_xll.xSPRDOPT($L504,$J504,$I504,$M504,$O504,$N504,$P504,$Q504-$C$3,$R504,6)*$H504)/100)</f>
        <v>-1231.4051005252395</v>
      </c>
      <c r="AH504" s="456">
        <f>((_xll.xSPRDOPT($L504,$J504,$I504,$M504,$O504,$N504,$P504,$Q504-$C$3,$R504,5)*$H504)/100)</f>
        <v>3932.1764316497924</v>
      </c>
      <c r="AI504" s="456">
        <f>(((_xll.xSPRDOPT($L504,$J504,$I504,$M504,$O504,$N504,$P504,$Q504-$C$3,$R504,4)*$H504)/10000)/100)-AB504</f>
        <v>-3.2520111342553767E-3</v>
      </c>
      <c r="AJ504" s="456"/>
      <c r="AK504" s="456"/>
      <c r="AL504" s="456"/>
      <c r="AM504" s="472"/>
      <c r="CC504" s="141">
        <f t="shared" si="589"/>
        <v>36923</v>
      </c>
      <c r="CD504" s="234">
        <f>_xll.xSPRDOPT((VLOOKUP(G504,NGPrices,2,FALSE)+HLOOKUP(D504,Prices,VLOOKUP(G504,move_down,2,FALSE),FALSE)),VLOOKUP(G504,NGPrices,2,FALSE),I504,VLOOKUP(G504,NGPREVPRICES,4,FALSE),HLOOKUP(D504,PREVVOLS,VLOOKUP(G504,MOVE_DOWN2,2,FALSE),FALSE),VLOOKUP(G504,NGPREVPRICES,3,FALSE),HLOOKUP(D504,Correllate,VLOOKUP(G504,CorMove,2,FALSE),FALSE),Q504-$CD$3,R504,$CD$5)*H504-CJ504</f>
        <v>0</v>
      </c>
      <c r="CE504" s="234">
        <f>_xll.xSPRDOPT((VLOOKUP(G504,NGPREVPRICES,2,FALSE)+HLOOKUP(D504,PREVCURVES,VLOOKUP(G504,MOVE_DOWN2,2,FALSE),FALSE)),VLOOKUP(G504,NGPREVPRICES,2,FALSE),CK504,VLOOKUP(G504,NGPrices,4,FALSE),HLOOKUP(D504,PREVVOLS,VLOOKUP(G504,MOVE_DOWN2,2,FALSE),FALSE),VLOOKUP(G504,NGPREVPRICES,3,FALSE),HLOOKUP(D504,Correllate,VLOOKUP(G504,CorMove,2,FALSE),FALSE),Q504-$CD$3,R504,$CJ$5)*H504-CJ504</f>
        <v>0</v>
      </c>
      <c r="CF504" s="10">
        <f t="shared" si="590"/>
        <v>-28.601863653282635</v>
      </c>
      <c r="CG504" s="234">
        <f>_xll.xSPRDOPT((VLOOKUP(G504,NGPREVPRICES,2,FALSE)+HLOOKUP(D504,PREVCURVES,VLOOKUP(G504,MOVE_DOWN2,2,FALSE),FALSE)),VLOOKUP(G504,NGPREVPRICES,2,FALSE),CK504,VLOOKUP(G504,NGPREVPRICES,4,FALSE),HLOOKUP(D504,VOLS,VLOOKUP(G504,move_down,2,FALSE),FALSE),VLOOKUP(G504,NGPrices,3,FALSE),HLOOKUP(D504,Correllate,VLOOKUP(G504,CorMove,2,FALSE),FALSE),Q504-$CD$3,R504,$CJ$5)*H504-CJ504</f>
        <v>0</v>
      </c>
      <c r="CH504" s="234">
        <f>_xll.xSPRDOPT((VLOOKUP(G504,NGPREVPRICES,2,FALSE)+HLOOKUP(D504,PREVCURVES,VLOOKUP(G504,MOVE_DOWN2,2,FALSE),FALSE)),VLOOKUP(G504,NGPREVPRICES,2,FALSE),CK504,VLOOKUP(G504,NGPREVPRICES,4,FALSE),HLOOKUP(D504,PREVVOLS,VLOOKUP(G504,MOVE_DOWN2,2,FALSE),FALSE),VLOOKUP(G504,NGPREVPRICES,3,FALSE),HLOOKUP(D504,Correllate,VLOOKUP(G504,CorMove,2,FALSE),FALSE),Q504-$C$3,R504,$CJ$5)*H504-CJ504</f>
        <v>-603.28080476378091</v>
      </c>
      <c r="CI504" s="234">
        <f t="shared" si="591"/>
        <v>-631.88266841706354</v>
      </c>
      <c r="CJ504" s="234">
        <f>_xll.xSPRDOPT((VLOOKUP(G504,NGPREVPRICES,2,FALSE)+HLOOKUP(D504,PREVCURVES,VLOOKUP(G504,MOVE_DOWN2,2,FALSE),FALSE)),VLOOKUP(G504,NGPREVPRICES,2,FALSE),CK504,VLOOKUP(G504,NGPREVPRICES,4,FALSE),HLOOKUP(D504,PREVVOLS,VLOOKUP(G504,MOVE_DOWN2,2,FALSE),FALSE),VLOOKUP(G504,NGPREVPRICES,3,FALSE),HLOOKUP(D504,Correllate,VLOOKUP(G504,CorMove,2,FALSE),FALSE),Q504-$CD$3,R504,$CJ$5)*H504</f>
        <v>150386.9517695079</v>
      </c>
      <c r="CK504" s="235">
        <f t="shared" si="592"/>
        <v>2.5</v>
      </c>
      <c r="CM504" t="str">
        <f t="shared" si="593"/>
        <v>36923Curve Shift/Gamma</v>
      </c>
      <c r="CN504" t="str">
        <f t="shared" si="572"/>
        <v>36923Rho</v>
      </c>
      <c r="CO504" t="str">
        <f t="shared" si="573"/>
        <v>36923Drift</v>
      </c>
      <c r="CP504" t="str">
        <f t="shared" si="574"/>
        <v>36923Vega</v>
      </c>
      <c r="CQ504" t="str">
        <f t="shared" si="575"/>
        <v>36923Theta</v>
      </c>
    </row>
    <row r="505" spans="1:95" x14ac:dyDescent="0.25">
      <c r="A505" s="140" t="s">
        <v>324</v>
      </c>
      <c r="B505" t="s">
        <v>250</v>
      </c>
      <c r="C505" t="s">
        <v>513</v>
      </c>
      <c r="D505" s="4" t="s">
        <v>7</v>
      </c>
      <c r="E505" t="s">
        <v>20</v>
      </c>
      <c r="F505" t="s">
        <v>21</v>
      </c>
      <c r="G505" s="5">
        <v>36892</v>
      </c>
      <c r="H505" s="130">
        <v>310000</v>
      </c>
      <c r="I505">
        <v>2.5</v>
      </c>
      <c r="J505" s="53">
        <f t="shared" si="576"/>
        <v>4.7439999999999998</v>
      </c>
      <c r="K505" s="7">
        <f t="shared" si="577"/>
        <v>2.17</v>
      </c>
      <c r="L505" s="53">
        <f t="shared" si="578"/>
        <v>6.9139999999999997</v>
      </c>
      <c r="M505" s="157">
        <f t="shared" si="579"/>
        <v>6.8374831148490994E-2</v>
      </c>
      <c r="N505" s="4">
        <f t="shared" si="580"/>
        <v>0.60499999999999998</v>
      </c>
      <c r="O505" s="4">
        <f t="shared" si="581"/>
        <v>0.69599999999999995</v>
      </c>
      <c r="P505" s="9">
        <f t="shared" si="582"/>
        <v>0.83</v>
      </c>
      <c r="Q505" s="5">
        <f t="shared" si="520"/>
        <v>36888</v>
      </c>
      <c r="R505" s="4">
        <f t="shared" si="583"/>
        <v>1</v>
      </c>
      <c r="S505" s="158">
        <f>_xll.xSPRDOPT($L505,$J505,$I505,$M505,$O505,$N505,$P505,$Q505-$C$3,$R505,0)</f>
        <v>0.52922812131883945</v>
      </c>
      <c r="T505" s="159">
        <f>_xll.xSPRDOPT($L505,$J505,$I505,$M505,$O505,$N505,$P505,$Q505-$C$3,$R505,1)*H505</f>
        <v>144687.61620653246</v>
      </c>
      <c r="U505" s="160">
        <f t="shared" si="584"/>
        <v>164060.71760884023</v>
      </c>
      <c r="V505" s="159">
        <f>_xll.xSPRDOPT($L505,$J505,$I505,$M505,$O505,$N505,$P505,$Q505-$C$3,$R505,2)*H505</f>
        <v>-121112.26865571494</v>
      </c>
      <c r="W505" s="159">
        <f t="shared" si="585"/>
        <v>23575.347550817518</v>
      </c>
      <c r="X505" s="51" t="str">
        <f t="shared" si="586"/>
        <v>36892IF-TRANSCO/Z6</v>
      </c>
      <c r="Y505" s="418">
        <f t="shared" si="587"/>
        <v>31</v>
      </c>
      <c r="Z505" s="456">
        <f t="shared" si="588"/>
        <v>0.46673424582752404</v>
      </c>
      <c r="AA505" s="456">
        <f>_xll.xSPRDOPT($L505,$J505,$I505,$M505,$O505,$N505,$P505,$Q505-$C$3,$R505,3)</f>
        <v>0.22967006797299966</v>
      </c>
      <c r="AB505" s="456">
        <f>((_xll.xSPRDOPT($L505+AB$5,$J505,$I505,$M505,$O505,$N505,$P505,$Q505-$C$3,$R505,3)*$H505)/10000)/100</f>
        <v>7.1197721071629902E-2</v>
      </c>
      <c r="AC505" s="456">
        <f>((_xll.xSPRDOPT($L505+$AB$5,$J505,$I505,$M505,$O505,$N505,$P505,$Q505-$C$3,$R505,7)*$H505)/100)</f>
        <v>-3171.9405324228724</v>
      </c>
      <c r="AD505" s="456">
        <f>(_xll.xSPRDOPT($L505+$AB$5,$J505,$I505,$M505,$O505,$N505,$P505,$Q505-$C$3,$R505,9)/365)*$H505</f>
        <v>-820.1990545954427</v>
      </c>
      <c r="AE505">
        <f t="shared" si="521"/>
        <v>0</v>
      </c>
      <c r="AF505" s="456">
        <f t="shared" si="522"/>
        <v>3401.3993516315504</v>
      </c>
      <c r="AG505" s="456">
        <f>((_xll.xSPRDOPT($L505,$J505,$I505,$M505,$O505,$N505,$P505,$Q505-$C$3,$R505,6)*$H505)/100)</f>
        <v>-1274.834307160937</v>
      </c>
      <c r="AH505" s="456">
        <f>((_xll.xSPRDOPT($L505,$J505,$I505,$M505,$O505,$N505,$P505,$Q505-$C$3,$R505,5)*$H505)/100)</f>
        <v>4064.8295453584124</v>
      </c>
      <c r="AI505" s="456">
        <f>(((_xll.xSPRDOPT($L505,$J505,$I505,$M505,$O505,$N505,$P505,$Q505-$C$3,$R505,4)*$H505)/10000)/100)-AB505</f>
        <v>-2.9868339797722299E-3</v>
      </c>
      <c r="AJ505" s="456"/>
      <c r="AK505" s="456"/>
      <c r="AL505" s="456"/>
      <c r="AM505" s="472"/>
      <c r="CC505" s="141">
        <f t="shared" si="589"/>
        <v>36892</v>
      </c>
      <c r="CD505" s="234">
        <f>_xll.xSPRDOPT((VLOOKUP(G505,NGPrices,2,FALSE)+HLOOKUP(D505,Prices,VLOOKUP(G505,move_down,2,FALSE),FALSE)),VLOOKUP(G505,NGPrices,2,FALSE),I505,VLOOKUP(G505,NGPREVPRICES,4,FALSE),HLOOKUP(D505,PREVVOLS,VLOOKUP(G505,MOVE_DOWN2,2,FALSE),FALSE),VLOOKUP(G505,NGPREVPRICES,3,FALSE),HLOOKUP(D505,Correllate,VLOOKUP(G505,CorMove,2,FALSE),FALSE),Q505-$CD$3,R505,$CD$5)*H505-CJ505</f>
        <v>0</v>
      </c>
      <c r="CE505" s="234">
        <f>_xll.xSPRDOPT((VLOOKUP(G505,NGPREVPRICES,2,FALSE)+HLOOKUP(D505,PREVCURVES,VLOOKUP(G505,MOVE_DOWN2,2,FALSE),FALSE)),VLOOKUP(G505,NGPREVPRICES,2,FALSE),CK505,VLOOKUP(G505,NGPrices,4,FALSE),HLOOKUP(D505,PREVVOLS,VLOOKUP(G505,MOVE_DOWN2,2,FALSE),FALSE),VLOOKUP(G505,NGPREVPRICES,3,FALSE),HLOOKUP(D505,Correllate,VLOOKUP(G505,CorMove,2,FALSE),FALSE),Q505-$CD$3,R505,$CJ$5)*H505-CJ505</f>
        <v>0</v>
      </c>
      <c r="CF505" s="10">
        <f t="shared" si="590"/>
        <v>-31.069895023159916</v>
      </c>
      <c r="CG505" s="234">
        <f>_xll.xSPRDOPT((VLOOKUP(G505,NGPREVPRICES,2,FALSE)+HLOOKUP(D505,PREVCURVES,VLOOKUP(G505,MOVE_DOWN2,2,FALSE),FALSE)),VLOOKUP(G505,NGPREVPRICES,2,FALSE),CK505,VLOOKUP(G505,NGPREVPRICES,4,FALSE),HLOOKUP(D505,VOLS,VLOOKUP(G505,move_down,2,FALSE),FALSE),VLOOKUP(G505,NGPrices,3,FALSE),HLOOKUP(D505,Correllate,VLOOKUP(G505,CorMove,2,FALSE),FALSE),Q505-$CD$3,R505,$CJ$5)*H505-CJ505</f>
        <v>0</v>
      </c>
      <c r="CH505" s="234">
        <f>_xll.xSPRDOPT((VLOOKUP(G505,NGPREVPRICES,2,FALSE)+HLOOKUP(D505,PREVCURVES,VLOOKUP(G505,MOVE_DOWN2,2,FALSE),FALSE)),VLOOKUP(G505,NGPREVPRICES,2,FALSE),CK505,VLOOKUP(G505,NGPREVPRICES,4,FALSE),HLOOKUP(D505,PREVVOLS,VLOOKUP(G505,MOVE_DOWN2,2,FALSE),FALSE),VLOOKUP(G505,NGPREVPRICES,3,FALSE),HLOOKUP(D505,Correllate,VLOOKUP(G505,CorMove,2,FALSE),FALSE),Q505-$C$3,R505,$CJ$5)*H505-CJ505</f>
        <v>-817.77462214895058</v>
      </c>
      <c r="CI505" s="234">
        <f t="shared" si="591"/>
        <v>-848.8445171721105</v>
      </c>
      <c r="CJ505" s="234">
        <f>_xll.xSPRDOPT((VLOOKUP(G505,NGPREVPRICES,2,FALSE)+HLOOKUP(D505,PREVCURVES,VLOOKUP(G505,MOVE_DOWN2,2,FALSE),FALSE)),VLOOKUP(G505,NGPREVPRICES,2,FALSE),CK505,VLOOKUP(G505,NGPREVPRICES,4,FALSE),HLOOKUP(D505,PREVVOLS,VLOOKUP(G505,MOVE_DOWN2,2,FALSE),FALSE),VLOOKUP(G505,NGPREVPRICES,3,FALSE),HLOOKUP(D505,Correllate,VLOOKUP(G505,CorMove,2,FALSE),FALSE),Q505-$CD$3,R505,$CJ$5)*H505</f>
        <v>164878.49223098918</v>
      </c>
      <c r="CK505" s="235">
        <f t="shared" si="592"/>
        <v>2.5</v>
      </c>
      <c r="CM505" t="str">
        <f t="shared" si="593"/>
        <v>36892Curve Shift/Gamma</v>
      </c>
      <c r="CN505" t="str">
        <f t="shared" si="572"/>
        <v>36892Rho</v>
      </c>
      <c r="CO505" t="str">
        <f t="shared" si="573"/>
        <v>36892Drift</v>
      </c>
      <c r="CP505" t="str">
        <f t="shared" si="574"/>
        <v>36892Vega</v>
      </c>
      <c r="CQ505" t="str">
        <f t="shared" si="575"/>
        <v>36892Theta</v>
      </c>
    </row>
    <row r="506" spans="1:95" x14ac:dyDescent="0.25">
      <c r="A506" s="140" t="s">
        <v>324</v>
      </c>
      <c r="B506" t="s">
        <v>250</v>
      </c>
      <c r="C506" t="s">
        <v>513</v>
      </c>
      <c r="D506" s="4" t="s">
        <v>7</v>
      </c>
      <c r="E506" t="s">
        <v>20</v>
      </c>
      <c r="F506" t="s">
        <v>21</v>
      </c>
      <c r="G506" s="5">
        <v>36861</v>
      </c>
      <c r="H506" s="130">
        <v>310000</v>
      </c>
      <c r="I506">
        <v>2.5</v>
      </c>
      <c r="J506" s="53">
        <f t="shared" si="576"/>
        <v>4.8</v>
      </c>
      <c r="K506" s="7">
        <f t="shared" si="577"/>
        <v>1.645</v>
      </c>
      <c r="L506" s="53">
        <f t="shared" si="578"/>
        <v>6.4450000000000003</v>
      </c>
      <c r="M506" s="157">
        <f t="shared" si="579"/>
        <v>6.8314027999354002E-2</v>
      </c>
      <c r="N506" s="4">
        <f t="shared" si="580"/>
        <v>0.6</v>
      </c>
      <c r="O506" s="4">
        <f t="shared" si="581"/>
        <v>0.69</v>
      </c>
      <c r="P506" s="9">
        <f t="shared" si="582"/>
        <v>0.83</v>
      </c>
      <c r="Q506" s="5">
        <f t="shared" si="520"/>
        <v>36859</v>
      </c>
      <c r="R506" s="4">
        <f t="shared" si="583"/>
        <v>1</v>
      </c>
      <c r="S506" s="158">
        <f>_xll.xSPRDOPT($L506,$J506,$I506,$M506,$O506,$N506,$P506,$Q506-$C$3,$R506,0)</f>
        <v>0.24519282370785345</v>
      </c>
      <c r="T506" s="159">
        <f>_xll.xSPRDOPT($L506,$J506,$I506,$M506,$O506,$N506,$P506,$Q506-$C$3,$R506,1)*H506</f>
        <v>96812.519721239165</v>
      </c>
      <c r="U506" s="160">
        <f t="shared" si="584"/>
        <v>76009.775349434567</v>
      </c>
      <c r="V506" s="159">
        <f>_xll.xSPRDOPT($L506,$J506,$I506,$M506,$O506,$N506,$P506,$Q506-$C$3,$R506,2)*H506</f>
        <v>-78951.387292939777</v>
      </c>
      <c r="W506" s="159">
        <f t="shared" si="585"/>
        <v>17861.132428299388</v>
      </c>
      <c r="X506" s="51" t="str">
        <f t="shared" si="586"/>
        <v>36861IF-TRANSCO/Z6</v>
      </c>
      <c r="Y506" s="418">
        <f t="shared" si="587"/>
        <v>31</v>
      </c>
      <c r="Z506" s="456">
        <f t="shared" si="588"/>
        <v>0.31229845071367474</v>
      </c>
      <c r="AA506" s="456">
        <f>_xll.xSPRDOPT($L506,$J506,$I506,$M506,$O506,$N506,$P506,$Q506-$C$3,$R506,3)</f>
        <v>0.25819289510904975</v>
      </c>
      <c r="AB506" s="456">
        <f>((_xll.xSPRDOPT($L506+AB$5,$J506,$I506,$M506,$O506,$N506,$P506,$Q506-$C$3,$R506,3)*$H506)/10000)/100</f>
        <v>8.0039797483805422E-2</v>
      </c>
      <c r="AC506" s="456">
        <f>((_xll.xSPRDOPT($L506+$AB$5,$J506,$I506,$M506,$O506,$N506,$P506,$Q506-$C$3,$R506,7)*$H506)/100)</f>
        <v>-2351.5285529484822</v>
      </c>
      <c r="AD506" s="456">
        <f>(_xll.xSPRDOPT($L506+$AB$5,$J506,$I506,$M506,$O506,$N506,$P506,$Q506-$C$3,$R506,9)/365)*$H506</f>
        <v>-790.98974536789285</v>
      </c>
      <c r="AE506">
        <f t="shared" si="521"/>
        <v>0</v>
      </c>
      <c r="AF506" s="456">
        <f t="shared" si="522"/>
        <v>2467.638486807833</v>
      </c>
      <c r="AG506" s="456">
        <f>((_xll.xSPRDOPT($L506,$J506,$I506,$M506,$O506,$N506,$P506,$Q506-$C$3,$R506,6)*$H506)/100)</f>
        <v>-924.43585626919116</v>
      </c>
      <c r="AH506" s="456">
        <f>((_xll.xSPRDOPT($L506,$J506,$I506,$M506,$O506,$N506,$P506,$Q506-$C$3,$R506,5)*$H506)/100)</f>
        <v>2949.629863545239</v>
      </c>
      <c r="AI506" s="456">
        <f>(((_xll.xSPRDOPT($L506,$J506,$I506,$M506,$O506,$N506,$P506,$Q506-$C$3,$R506,4)*$H506)/10000)/100)-AB506</f>
        <v>-1.3167554802759662E-2</v>
      </c>
      <c r="AJ506" s="456"/>
      <c r="AK506" s="456"/>
      <c r="AL506" s="456"/>
      <c r="AM506" s="472"/>
      <c r="CC506" s="141">
        <f t="shared" si="589"/>
        <v>36861</v>
      </c>
      <c r="CD506" s="234">
        <f>_xll.xSPRDOPT((VLOOKUP(G506,NGPrices,2,FALSE)+HLOOKUP(D506,Prices,VLOOKUP(G506,move_down,2,FALSE),FALSE)),VLOOKUP(G506,NGPrices,2,FALSE),I506,VLOOKUP(G506,NGPREVPRICES,4,FALSE),HLOOKUP(D506,PREVVOLS,VLOOKUP(G506,MOVE_DOWN2,2,FALSE),FALSE),VLOOKUP(G506,NGPREVPRICES,3,FALSE),HLOOKUP(D506,Correllate,VLOOKUP(G506,CorMove,2,FALSE),FALSE),Q506-$CD$3,R506,$CD$5)*H506-CJ506</f>
        <v>0</v>
      </c>
      <c r="CE506" s="234">
        <f>_xll.xSPRDOPT((VLOOKUP(G506,NGPREVPRICES,2,FALSE)+HLOOKUP(D506,PREVCURVES,VLOOKUP(G506,MOVE_DOWN2,2,FALSE),FALSE)),VLOOKUP(G506,NGPREVPRICES,2,FALSE),CK506,VLOOKUP(G506,NGPrices,4,FALSE),HLOOKUP(D506,PREVVOLS,VLOOKUP(G506,MOVE_DOWN2,2,FALSE),FALSE),VLOOKUP(G506,NGPREVPRICES,3,FALSE),HLOOKUP(D506,Correllate,VLOOKUP(G506,CorMove,2,FALSE),FALSE),Q506-$CD$3,R506,$CJ$5)*H506-CJ506</f>
        <v>0</v>
      </c>
      <c r="CF506" s="10">
        <f t="shared" si="590"/>
        <v>-14.38729698023235</v>
      </c>
      <c r="CG506" s="234">
        <f>_xll.xSPRDOPT((VLOOKUP(G506,NGPREVPRICES,2,FALSE)+HLOOKUP(D506,PREVCURVES,VLOOKUP(G506,MOVE_DOWN2,2,FALSE),FALSE)),VLOOKUP(G506,NGPREVPRICES,2,FALSE),CK506,VLOOKUP(G506,NGPREVPRICES,4,FALSE),HLOOKUP(D506,VOLS,VLOOKUP(G506,move_down,2,FALSE),FALSE),VLOOKUP(G506,NGPrices,3,FALSE),HLOOKUP(D506,Correllate,VLOOKUP(G506,CorMove,2,FALSE),FALSE),Q506-$CD$3,R506,$CJ$5)*H506-CJ506</f>
        <v>0</v>
      </c>
      <c r="CH506" s="234">
        <f>_xll.xSPRDOPT((VLOOKUP(G506,NGPREVPRICES,2,FALSE)+HLOOKUP(D506,PREVCURVES,VLOOKUP(G506,MOVE_DOWN2,2,FALSE),FALSE)),VLOOKUP(G506,NGPREVPRICES,2,FALSE),CK506,VLOOKUP(G506,NGPREVPRICES,4,FALSE),HLOOKUP(D506,PREVVOLS,VLOOKUP(G506,MOVE_DOWN2,2,FALSE),FALSE),VLOOKUP(G506,NGPREVPRICES,3,FALSE),HLOOKUP(D506,Correllate,VLOOKUP(G506,CorMove,2,FALSE),FALSE),Q506-$C$3,R506,$CJ$5)*H506-CJ506</f>
        <v>-788.85578873785562</v>
      </c>
      <c r="CI506" s="234">
        <f t="shared" si="591"/>
        <v>-803.24308571808797</v>
      </c>
      <c r="CJ506" s="234">
        <f>_xll.xSPRDOPT((VLOOKUP(G506,NGPREVPRICES,2,FALSE)+HLOOKUP(D506,PREVCURVES,VLOOKUP(G506,MOVE_DOWN2,2,FALSE),FALSE)),VLOOKUP(G506,NGPREVPRICES,2,FALSE),CK506,VLOOKUP(G506,NGPREVPRICES,4,FALSE),HLOOKUP(D506,PREVVOLS,VLOOKUP(G506,MOVE_DOWN2,2,FALSE),FALSE),VLOOKUP(G506,NGPREVPRICES,3,FALSE),HLOOKUP(D506,Correllate,VLOOKUP(G506,CorMove,2,FALSE),FALSE),Q506-$CD$3,R506,$CJ$5)*H506</f>
        <v>76798.631138172423</v>
      </c>
      <c r="CK506" s="235">
        <f t="shared" si="592"/>
        <v>2.5</v>
      </c>
      <c r="CM506" t="str">
        <f t="shared" si="593"/>
        <v>36861Curve Shift/Gamma</v>
      </c>
      <c r="CN506" t="str">
        <f t="shared" si="572"/>
        <v>36861Rho</v>
      </c>
      <c r="CO506" t="str">
        <f t="shared" si="573"/>
        <v>36861Drift</v>
      </c>
      <c r="CP506" t="str">
        <f t="shared" si="574"/>
        <v>36861Vega</v>
      </c>
      <c r="CQ506" t="str">
        <f t="shared" si="575"/>
        <v>36861Theta</v>
      </c>
    </row>
    <row r="507" spans="1:95" x14ac:dyDescent="0.25">
      <c r="A507" s="140" t="s">
        <v>324</v>
      </c>
      <c r="B507" t="s">
        <v>250</v>
      </c>
      <c r="C507" t="s">
        <v>513</v>
      </c>
      <c r="D507" s="4" t="s">
        <v>7</v>
      </c>
      <c r="E507" t="s">
        <v>20</v>
      </c>
      <c r="F507" t="s">
        <v>21</v>
      </c>
      <c r="G507" s="5">
        <v>36831</v>
      </c>
      <c r="H507" s="130">
        <v>300000</v>
      </c>
      <c r="I507">
        <v>2.5</v>
      </c>
      <c r="J507" s="53">
        <f t="shared" si="576"/>
        <v>4.7359999999999998</v>
      </c>
      <c r="K507" s="7">
        <f t="shared" si="577"/>
        <v>0.77</v>
      </c>
      <c r="L507" s="53">
        <f t="shared" si="578"/>
        <v>5.5060000000000002</v>
      </c>
      <c r="M507" s="157">
        <f t="shared" si="579"/>
        <v>6.810675983792E-2</v>
      </c>
      <c r="N507" s="4">
        <f t="shared" si="580"/>
        <v>0.59499999999999997</v>
      </c>
      <c r="O507" s="4">
        <f t="shared" si="581"/>
        <v>0.625</v>
      </c>
      <c r="P507" s="9">
        <f t="shared" si="582"/>
        <v>0.89</v>
      </c>
      <c r="Q507" s="5">
        <f t="shared" si="520"/>
        <v>36829</v>
      </c>
      <c r="R507" s="4">
        <f t="shared" si="583"/>
        <v>1</v>
      </c>
      <c r="S507" s="158">
        <f>_xll.xSPRDOPT($L507,$J507,$I507,$M507,$O507,$N507,$P507,$Q507-$C$3,$R507,0)</f>
        <v>6.1115926235317444E-3</v>
      </c>
      <c r="T507" s="159">
        <f>_xll.xSPRDOPT($L507,$J507,$I507,$M507,$O507,$N507,$P507,$Q507-$C$3,$R507,1)*H507</f>
        <v>7131.4018388908835</v>
      </c>
      <c r="U507" s="160">
        <f t="shared" si="584"/>
        <v>1833.4777870595233</v>
      </c>
      <c r="V507" s="159">
        <f>_xll.xSPRDOPT($L507,$J507,$I507,$M507,$O507,$N507,$P507,$Q507-$C$3,$R507,2)*H507</f>
        <v>-5625.3467895568156</v>
      </c>
      <c r="W507" s="159">
        <f t="shared" si="585"/>
        <v>1506.0550493340679</v>
      </c>
      <c r="X507" s="51" t="str">
        <f t="shared" si="586"/>
        <v>36831IF-TRANSCO/Z6</v>
      </c>
      <c r="Y507" s="418">
        <f t="shared" si="587"/>
        <v>30</v>
      </c>
      <c r="Z507" s="456">
        <f t="shared" si="588"/>
        <v>2.3771339462969613E-2</v>
      </c>
      <c r="AA507" s="456">
        <f>_xll.xSPRDOPT($L507,$J507,$I507,$M507,$O507,$N507,$P507,$Q507-$C$3,$R507,3)</f>
        <v>7.7908481785274333E-2</v>
      </c>
      <c r="AB507" s="456">
        <f>((_xll.xSPRDOPT($L507+AB$5,$J507,$I507,$M507,$O507,$N507,$P507,$Q507-$C$3,$R507,3)*$H507)/10000)/100</f>
        <v>2.3372544535582299E-2</v>
      </c>
      <c r="AC507" s="456">
        <f>((_xll.xSPRDOPT($L507+$AB$5,$J507,$I507,$M507,$O507,$N507,$P507,$Q507-$C$3,$R507,7)*$H507)/100)</f>
        <v>-315.46491222234823</v>
      </c>
      <c r="AD507" s="456">
        <f>(_xll.xSPRDOPT($L507+$AB$5,$J507,$I507,$M507,$O507,$N507,$P507,$Q507-$C$3,$R507,9)/365)*$H507</f>
        <v>-97.211633369735551</v>
      </c>
      <c r="AE507">
        <f t="shared" si="521"/>
        <v>0</v>
      </c>
      <c r="AF507" s="456">
        <f t="shared" si="522"/>
        <v>203.16614102374257</v>
      </c>
      <c r="AG507" s="456">
        <f>((_xll.xSPRDOPT($L507,$J507,$I507,$M507,$O507,$N507,$P507,$Q507-$C$3,$R507,6)*$H507)/100)</f>
        <v>-114.59901841796649</v>
      </c>
      <c r="AH507" s="456">
        <f>((_xll.xSPRDOPT($L507,$J507,$I507,$M507,$O507,$N507,$P507,$Q507-$C$3,$R507,5)*$H507)/100)</f>
        <v>302.512431788507</v>
      </c>
      <c r="AI507" s="456">
        <f>(((_xll.xSPRDOPT($L507,$J507,$I507,$M507,$O507,$N507,$P507,$Q507-$C$3,$R507,4)*$H507)/10000)/100)-AB507</f>
        <v>-7.6018716499635722E-3</v>
      </c>
      <c r="AJ507" s="456"/>
      <c r="AK507" s="456"/>
      <c r="AL507" s="456"/>
      <c r="AM507" s="472"/>
      <c r="CC507" s="141">
        <f t="shared" si="589"/>
        <v>36831</v>
      </c>
      <c r="CD507" s="234">
        <f>_xll.xSPRDOPT((VLOOKUP(G507,NGPrices,2,FALSE)+HLOOKUP(D507,Prices,VLOOKUP(G507,move_down,2,FALSE),FALSE)),VLOOKUP(G507,NGPrices,2,FALSE),I507,VLOOKUP(G507,NGPREVPRICES,4,FALSE),HLOOKUP(D507,PREVVOLS,VLOOKUP(G507,MOVE_DOWN2,2,FALSE),FALSE),VLOOKUP(G507,NGPREVPRICES,3,FALSE),HLOOKUP(D507,Correllate,VLOOKUP(G507,CorMove,2,FALSE),FALSE),Q507-$CD$3,R507,$CD$5)*H507-CJ507</f>
        <v>0</v>
      </c>
      <c r="CE507" s="234">
        <f>_xll.xSPRDOPT((VLOOKUP(G507,NGPREVPRICES,2,FALSE)+HLOOKUP(D507,PREVCURVES,VLOOKUP(G507,MOVE_DOWN2,2,FALSE),FALSE)),VLOOKUP(G507,NGPREVPRICES,2,FALSE),CK507,VLOOKUP(G507,NGPrices,4,FALSE),HLOOKUP(D507,PREVVOLS,VLOOKUP(G507,MOVE_DOWN2,2,FALSE),FALSE),VLOOKUP(G507,NGPREVPRICES,3,FALSE),HLOOKUP(D507,Correllate,VLOOKUP(G507,CorMove,2,FALSE),FALSE),Q507-$CD$3,R507,$CJ$5)*H507-CJ507</f>
        <v>0</v>
      </c>
      <c r="CF507" s="10">
        <f t="shared" si="590"/>
        <v>-0.35876775753786205</v>
      </c>
      <c r="CG507" s="234">
        <f>_xll.xSPRDOPT((VLOOKUP(G507,NGPREVPRICES,2,FALSE)+HLOOKUP(D507,PREVCURVES,VLOOKUP(G507,MOVE_DOWN2,2,FALSE),FALSE)),VLOOKUP(G507,NGPREVPRICES,2,FALSE),CK507,VLOOKUP(G507,NGPREVPRICES,4,FALSE),HLOOKUP(D507,VOLS,VLOOKUP(G507,move_down,2,FALSE),FALSE),VLOOKUP(G507,NGPrices,3,FALSE),HLOOKUP(D507,Correllate,VLOOKUP(G507,CorMove,2,FALSE),FALSE),Q507-$CD$3,R507,$CJ$5)*H507-CJ507</f>
        <v>0</v>
      </c>
      <c r="CH507" s="234">
        <f>_xll.xSPRDOPT((VLOOKUP(G507,NGPREVPRICES,2,FALSE)+HLOOKUP(D507,PREVCURVES,VLOOKUP(G507,MOVE_DOWN2,2,FALSE),FALSE)),VLOOKUP(G507,NGPREVPRICES,2,FALSE),CK507,VLOOKUP(G507,NGPREVPRICES,4,FALSE),HLOOKUP(D507,PREVVOLS,VLOOKUP(G507,MOVE_DOWN2,2,FALSE),FALSE),VLOOKUP(G507,NGPREVPRICES,3,FALSE),HLOOKUP(D507,Correllate,VLOOKUP(G507,CorMove,2,FALSE),FALSE),Q507-$C$3,R507,$CJ$5)*H507-CJ507</f>
        <v>-98.386465799197822</v>
      </c>
      <c r="CI507" s="234">
        <f t="shared" si="591"/>
        <v>-98.745233556735684</v>
      </c>
      <c r="CJ507" s="234">
        <f>_xll.xSPRDOPT((VLOOKUP(G507,NGPREVPRICES,2,FALSE)+HLOOKUP(D507,PREVCURVES,VLOOKUP(G507,MOVE_DOWN2,2,FALSE),FALSE)),VLOOKUP(G507,NGPREVPRICES,2,FALSE),CK507,VLOOKUP(G507,NGPREVPRICES,4,FALSE),HLOOKUP(D507,PREVVOLS,VLOOKUP(G507,MOVE_DOWN2,2,FALSE),FALSE),VLOOKUP(G507,NGPREVPRICES,3,FALSE),HLOOKUP(D507,Correllate,VLOOKUP(G507,CorMove,2,FALSE),FALSE),Q507-$CD$3,R507,$CJ$5)*H507</f>
        <v>1931.8642528587211</v>
      </c>
      <c r="CK507" s="235">
        <f t="shared" si="592"/>
        <v>2.5</v>
      </c>
      <c r="CM507" t="str">
        <f t="shared" si="593"/>
        <v>36831Curve Shift/Gamma</v>
      </c>
      <c r="CN507" t="str">
        <f t="shared" si="572"/>
        <v>36831Rho</v>
      </c>
      <c r="CO507" t="str">
        <f t="shared" si="573"/>
        <v>36831Drift</v>
      </c>
      <c r="CP507" t="str">
        <f t="shared" si="574"/>
        <v>36831Vega</v>
      </c>
      <c r="CQ507" t="str">
        <f t="shared" si="575"/>
        <v>36831Theta</v>
      </c>
    </row>
    <row r="508" spans="1:95" x14ac:dyDescent="0.25">
      <c r="A508" s="140" t="s">
        <v>324</v>
      </c>
      <c r="B508" t="s">
        <v>250</v>
      </c>
      <c r="C508" t="s">
        <v>516</v>
      </c>
      <c r="D508" s="4" t="s">
        <v>7</v>
      </c>
      <c r="E508" t="s">
        <v>20</v>
      </c>
      <c r="F508" t="s">
        <v>21</v>
      </c>
      <c r="G508" s="5">
        <v>36800</v>
      </c>
      <c r="H508" s="130">
        <v>-620000</v>
      </c>
      <c r="I508">
        <v>0.4</v>
      </c>
      <c r="J508" s="53">
        <f t="shared" si="576"/>
        <v>4.6920000000000002</v>
      </c>
      <c r="K508" s="7">
        <f t="shared" si="577"/>
        <v>0.41499999999999998</v>
      </c>
      <c r="L508" s="53">
        <f t="shared" si="578"/>
        <v>5.1070000000000002</v>
      </c>
      <c r="M508" s="157">
        <f t="shared" si="579"/>
        <v>6.8050789414654006E-2</v>
      </c>
      <c r="N508" s="4">
        <f t="shared" si="580"/>
        <v>0.57499999999999996</v>
      </c>
      <c r="O508" s="4">
        <f t="shared" si="581"/>
        <v>0.56399999999999995</v>
      </c>
      <c r="P508" s="9">
        <f t="shared" si="582"/>
        <v>0.99250000000000005</v>
      </c>
      <c r="Q508" s="5">
        <f t="shared" si="520"/>
        <v>36797</v>
      </c>
      <c r="R508" s="4">
        <f t="shared" si="583"/>
        <v>1</v>
      </c>
      <c r="S508" s="158">
        <f>_xll.xSPRDOPT($L508,$J508,$I508,$M508,$O508,$N508,$P508,$Q508-$C$3,$R508,0)</f>
        <v>5.1542392994904707E-2</v>
      </c>
      <c r="T508" s="159">
        <f>_xll.xSPRDOPT($L508,$J508,$I508,$M508,$O508,$N508,$P508,$Q508-$C$3,$R508,1)*H508</f>
        <v>-346129.64611556573</v>
      </c>
      <c r="U508" s="160">
        <f t="shared" si="584"/>
        <v>-31956.283656840918</v>
      </c>
      <c r="V508" s="159">
        <f>_xll.xSPRDOPT($L508,$J508,$I508,$M508,$O508,$N508,$P508,$Q508-$C$3,$R508,2)*H508</f>
        <v>342149.52264498972</v>
      </c>
      <c r="W508" s="159">
        <f t="shared" si="585"/>
        <v>-3980.1234705760144</v>
      </c>
      <c r="X508" s="51" t="str">
        <f t="shared" si="586"/>
        <v>36800IF-TRANSCO/Z6</v>
      </c>
      <c r="Y508" s="418">
        <f t="shared" si="587"/>
        <v>-62</v>
      </c>
      <c r="Z508" s="456">
        <f t="shared" si="588"/>
        <v>0.55827362276704151</v>
      </c>
      <c r="AA508" s="456">
        <f>_xll.xSPRDOPT($L508,$J508,$I508,$M508,$O508,$N508,$P508,$Q508-$C$3,$R508,3)</f>
        <v>3.5565641555811189</v>
      </c>
      <c r="AB508" s="456">
        <f>((_xll.xSPRDOPT($L508+AB$5,$J508,$I508,$M508,$O508,$N508,$P508,$Q508-$C$3,$R508,3)*$H508)/10000)/100</f>
        <v>-2.2050697764602933</v>
      </c>
      <c r="AC508" s="456">
        <f>((_xll.xSPRDOPT($L508+$AB$5,$J508,$I508,$M508,$O508,$N508,$P508,$Q508-$C$3,$R508,7)*$H508)/100)</f>
        <v>14113.587875131834</v>
      </c>
      <c r="AD508" s="456">
        <f>(_xll.xSPRDOPT($L508+$AB$5,$J508,$I508,$M508,$O508,$N508,$P508,$Q508-$C$3,$R508,9)/365)*$H508</f>
        <v>442.6476993693484</v>
      </c>
      <c r="AE508">
        <f t="shared" si="521"/>
        <v>0</v>
      </c>
      <c r="AF508" s="456">
        <f t="shared" si="522"/>
        <v>-467.78979652883595</v>
      </c>
      <c r="AG508" s="456">
        <f>((_xll.xSPRDOPT($L508,$J508,$I508,$M508,$O508,$N508,$P508,$Q508-$C$3,$R508,6)*$H508)/100)</f>
        <v>1303.1044936458532</v>
      </c>
      <c r="AH508" s="456">
        <f>((_xll.xSPRDOPT($L508,$J508,$I508,$M508,$O508,$N508,$P508,$Q508-$C$3,$R508,5)*$H508)/100)</f>
        <v>-1805.4330086000818</v>
      </c>
      <c r="AI508" s="456">
        <f>(((_xll.xSPRDOPT($L508,$J508,$I508,$M508,$O508,$N508,$P508,$Q508-$C$3,$R508,4)*$H508)/10000)/100)-AB508</f>
        <v>-1.2668541175467229E-2</v>
      </c>
      <c r="AJ508" s="456"/>
      <c r="AK508" s="456"/>
      <c r="AL508" s="456"/>
      <c r="AM508" s="472"/>
      <c r="CC508" s="141">
        <f t="shared" si="589"/>
        <v>36800</v>
      </c>
      <c r="CD508" s="234">
        <f>_xll.xSPRDOPT((VLOOKUP(G508,NGPrices,2,FALSE)+HLOOKUP(D508,Prices,VLOOKUP(G508,move_down,2,FALSE),FALSE)),VLOOKUP(G508,NGPrices,2,FALSE),I508,VLOOKUP(G508,NGPREVPRICES,4,FALSE),HLOOKUP(D508,PREVVOLS,VLOOKUP(G508,MOVE_DOWN2,2,FALSE),FALSE),VLOOKUP(G508,NGPREVPRICES,3,FALSE),HLOOKUP(D508,Correllate,VLOOKUP(G508,CorMove,2,FALSE),FALSE),Q508-$CD$3,R508,$CD$5)*H508-CJ508</f>
        <v>0</v>
      </c>
      <c r="CE508" s="234">
        <f>_xll.xSPRDOPT((VLOOKUP(G508,NGPREVPRICES,2,FALSE)+HLOOKUP(D508,PREVCURVES,VLOOKUP(G508,MOVE_DOWN2,2,FALSE),FALSE)),VLOOKUP(G508,NGPREVPRICES,2,FALSE),CK508,VLOOKUP(G508,NGPrices,4,FALSE),HLOOKUP(D508,PREVVOLS,VLOOKUP(G508,MOVE_DOWN2,2,FALSE),FALSE),VLOOKUP(G508,NGPREVPRICES,3,FALSE),HLOOKUP(D508,Correllate,VLOOKUP(G508,CorMove,2,FALSE),FALSE),Q508-$CD$3,R508,$CJ$5)*H508-CJ508</f>
        <v>0</v>
      </c>
      <c r="CF508" s="10">
        <f t="shared" si="590"/>
        <v>5.9721978193956602</v>
      </c>
      <c r="CG508" s="234">
        <f>_xll.xSPRDOPT((VLOOKUP(G508,NGPREVPRICES,2,FALSE)+HLOOKUP(D508,PREVCURVES,VLOOKUP(G508,MOVE_DOWN2,2,FALSE),FALSE)),VLOOKUP(G508,NGPREVPRICES,2,FALSE),CK508,VLOOKUP(G508,NGPREVPRICES,4,FALSE),HLOOKUP(D508,VOLS,VLOOKUP(G508,move_down,2,FALSE),FALSE),VLOOKUP(G508,NGPrices,3,FALSE),HLOOKUP(D508,Correllate,VLOOKUP(G508,CorMove,2,FALSE),FALSE),Q508-$CD$3,R508,$CJ$5)*H508-CJ508</f>
        <v>0</v>
      </c>
      <c r="CH508" s="234">
        <f>_xll.xSPRDOPT((VLOOKUP(G508,NGPREVPRICES,2,FALSE)+HLOOKUP(D508,PREVCURVES,VLOOKUP(G508,MOVE_DOWN2,2,FALSE),FALSE)),VLOOKUP(G508,NGPREVPRICES,2,FALSE),CK508,VLOOKUP(G508,NGPREVPRICES,4,FALSE),HLOOKUP(D508,PREVVOLS,VLOOKUP(G508,MOVE_DOWN2,2,FALSE),FALSE),VLOOKUP(G508,NGPREVPRICES,3,FALSE),HLOOKUP(D508,Correllate,VLOOKUP(G508,CorMove,2,FALSE),FALSE),Q508-$C$3,R508,$CJ$5)*H508-CJ508</f>
        <v>438.68194281356045</v>
      </c>
      <c r="CI508" s="234">
        <f t="shared" si="591"/>
        <v>444.65414063295611</v>
      </c>
      <c r="CJ508" s="234">
        <f>_xll.xSPRDOPT((VLOOKUP(G508,NGPREVPRICES,2,FALSE)+HLOOKUP(D508,PREVCURVES,VLOOKUP(G508,MOVE_DOWN2,2,FALSE),FALSE)),VLOOKUP(G508,NGPREVPRICES,2,FALSE),CK508,VLOOKUP(G508,NGPREVPRICES,4,FALSE),HLOOKUP(D508,PREVVOLS,VLOOKUP(G508,MOVE_DOWN2,2,FALSE),FALSE),VLOOKUP(G508,NGPREVPRICES,3,FALSE),HLOOKUP(D508,Correllate,VLOOKUP(G508,CorMove,2,FALSE),FALSE),Q508-$CD$3,R508,$CJ$5)*H508</f>
        <v>-32394.965599654479</v>
      </c>
      <c r="CK508" s="235">
        <f t="shared" si="592"/>
        <v>0.4</v>
      </c>
      <c r="CM508" t="str">
        <f t="shared" si="593"/>
        <v>36800Curve Shift/Gamma</v>
      </c>
      <c r="CN508" t="str">
        <f t="shared" si="572"/>
        <v>36800Rho</v>
      </c>
      <c r="CO508" t="str">
        <f t="shared" si="573"/>
        <v>36800Drift</v>
      </c>
      <c r="CP508" t="str">
        <f t="shared" si="574"/>
        <v>36800Vega</v>
      </c>
      <c r="CQ508" t="str">
        <f t="shared" si="575"/>
        <v>36800Theta</v>
      </c>
    </row>
    <row r="509" spans="1:95" x14ac:dyDescent="0.25">
      <c r="A509" s="140" t="s">
        <v>324</v>
      </c>
      <c r="B509" t="s">
        <v>250</v>
      </c>
      <c r="C509" t="s">
        <v>515</v>
      </c>
      <c r="D509" s="4" t="s">
        <v>74</v>
      </c>
      <c r="E509" t="s">
        <v>20</v>
      </c>
      <c r="F509" t="s">
        <v>21</v>
      </c>
      <c r="G509" s="5">
        <v>36951</v>
      </c>
      <c r="H509" s="130">
        <v>-310000</v>
      </c>
      <c r="I509">
        <v>0.15</v>
      </c>
      <c r="J509" s="53">
        <f t="shared" si="576"/>
        <v>4.2130000000000001</v>
      </c>
      <c r="K509" s="7">
        <f t="shared" si="577"/>
        <v>0.1225</v>
      </c>
      <c r="L509" s="53">
        <f t="shared" si="578"/>
        <v>4.3354999999999997</v>
      </c>
      <c r="M509" s="157">
        <f t="shared" si="579"/>
        <v>6.8879814952706994E-2</v>
      </c>
      <c r="N509" s="4">
        <f t="shared" si="580"/>
        <v>0.53249999999999997</v>
      </c>
      <c r="O509" s="4">
        <f t="shared" si="581"/>
        <v>0.53300000000000003</v>
      </c>
      <c r="P509" s="9">
        <f t="shared" si="582"/>
        <v>0.997</v>
      </c>
      <c r="Q509" s="5">
        <f t="shared" si="520"/>
        <v>36949</v>
      </c>
      <c r="R509" s="4">
        <f t="shared" si="583"/>
        <v>1</v>
      </c>
      <c r="S509" s="158">
        <f>_xll.xSPRDOPT($L509,$J509,$I509,$M509,$O509,$N509,$P509,$Q509-$C$3,$R509,0)</f>
        <v>4.0723005471356676E-2</v>
      </c>
      <c r="T509" s="159">
        <f>_xll.xSPRDOPT($L509,$J509,$I509,$M509,$O509,$N509,$P509,$Q509-$C$3,$R509,1)*H509</f>
        <v>-129142.3326287871</v>
      </c>
      <c r="U509" s="160">
        <f t="shared" si="584"/>
        <v>-12624.13169612057</v>
      </c>
      <c r="V509" s="159">
        <f>_xll.xSPRDOPT($L509,$J509,$I509,$M509,$O509,$N509,$P509,$Q509-$C$3,$R509,2)*H509</f>
        <v>126003.54028048414</v>
      </c>
      <c r="W509" s="159">
        <f t="shared" si="585"/>
        <v>-3138.792348302959</v>
      </c>
      <c r="X509" s="51" t="str">
        <f t="shared" si="586"/>
        <v>36951NGI/CHI. GATE</v>
      </c>
      <c r="Y509" s="418">
        <f t="shared" si="587"/>
        <v>-31</v>
      </c>
      <c r="Z509" s="456">
        <f t="shared" si="588"/>
        <v>0.41658816977028096</v>
      </c>
      <c r="AA509" s="456">
        <f>_xll.xSPRDOPT($L509,$J509,$I509,$M509,$O509,$N509,$P509,$Q509-$C$3,$R509,3)</f>
        <v>2.7889064827494936</v>
      </c>
      <c r="AB509" s="456">
        <f>((_xll.xSPRDOPT($L509+AB$5,$J509,$I509,$M509,$O509,$N509,$P509,$Q509-$C$3,$R509,3)*$H509)/10000)/100</f>
        <v>-0.86456100965234295</v>
      </c>
      <c r="AC509" s="456">
        <f>((_xll.xSPRDOPT($L509+$AB$5,$J509,$I509,$M509,$O509,$N509,$P509,$Q509-$C$3,$R509,7)*$H509)/100)</f>
        <v>22234.401221537912</v>
      </c>
      <c r="AD509" s="456">
        <f>(_xll.xSPRDOPT($L509+$AB$5,$J509,$I509,$M509,$O509,$N509,$P509,$Q509-$C$3,$R509,9)/365)*$H509</f>
        <v>42.11028502579304</v>
      </c>
      <c r="AE509">
        <f t="shared" si="521"/>
        <v>0</v>
      </c>
      <c r="AF509" s="456">
        <f t="shared" si="522"/>
        <v>-303.92905502284043</v>
      </c>
      <c r="AG509" s="456">
        <f>((_xll.xSPRDOPT($L509,$J509,$I509,$M509,$O509,$N509,$P509,$Q509-$C$3,$R509,6)*$H509)/100)</f>
        <v>1267.2249174562569</v>
      </c>
      <c r="AH509" s="456">
        <f>((_xll.xSPRDOPT($L509,$J509,$I509,$M509,$O509,$N509,$P509,$Q509-$C$3,$R509,5)*$H509)/100)</f>
        <v>-1569.6800944561335</v>
      </c>
      <c r="AI509" s="456">
        <f>(((_xll.xSPRDOPT($L509,$J509,$I509,$M509,$O509,$N509,$P509,$Q509-$C$3,$R509,4)*$H509)/10000)/100)-AB509</f>
        <v>7.5381765969205761E-3</v>
      </c>
      <c r="AJ509" s="456"/>
      <c r="AK509" s="456"/>
      <c r="AL509" s="456"/>
      <c r="AM509" s="472"/>
      <c r="CC509" s="141">
        <f t="shared" si="589"/>
        <v>36951</v>
      </c>
      <c r="CD509" s="234">
        <f>_xll.xSPRDOPT((VLOOKUP(G509,NGPrices,2,FALSE)+HLOOKUP(D509,Prices,VLOOKUP(G509,move_down,2,FALSE),FALSE)),VLOOKUP(G509,NGPrices,2,FALSE),I509,VLOOKUP(G509,NGPREVPRICES,4,FALSE),HLOOKUP(D509,PREVVOLS,VLOOKUP(G509,MOVE_DOWN2,2,FALSE),FALSE),VLOOKUP(G509,NGPREVPRICES,3,FALSE),HLOOKUP(D509,Correllate,VLOOKUP(G509,CorMove,2,FALSE),FALSE),Q509-$CD$3,R509,$CD$5)*H509-CJ509</f>
        <v>0</v>
      </c>
      <c r="CE509" s="234">
        <f>_xll.xSPRDOPT((VLOOKUP(G509,NGPREVPRICES,2,FALSE)+HLOOKUP(D509,PREVCURVES,VLOOKUP(G509,MOVE_DOWN2,2,FALSE),FALSE)),VLOOKUP(G509,NGPREVPRICES,2,FALSE),CK509,VLOOKUP(G509,NGPrices,4,FALSE),HLOOKUP(D509,PREVVOLS,VLOOKUP(G509,MOVE_DOWN2,2,FALSE),FALSE),VLOOKUP(G509,NGPREVPRICES,3,FALSE),HLOOKUP(D509,Correllate,VLOOKUP(G509,CorMove,2,FALSE),FALSE),Q509-$CD$3,R509,$CJ$5)*H509-CJ509</f>
        <v>0</v>
      </c>
      <c r="CF509" s="10">
        <f t="shared" si="590"/>
        <v>2.4291778175029322</v>
      </c>
      <c r="CG509" s="234">
        <f>_xll.xSPRDOPT((VLOOKUP(G509,NGPREVPRICES,2,FALSE)+HLOOKUP(D509,PREVCURVES,VLOOKUP(G509,MOVE_DOWN2,2,FALSE),FALSE)),VLOOKUP(G509,NGPREVPRICES,2,FALSE),CK509,VLOOKUP(G509,NGPREVPRICES,4,FALSE),HLOOKUP(D509,VOLS,VLOOKUP(G509,move_down,2,FALSE),FALSE),VLOOKUP(G509,NGPrices,3,FALSE),HLOOKUP(D509,Correllate,VLOOKUP(G509,CorMove,2,FALSE),FALSE),Q509-$CD$3,R509,$CJ$5)*H509-CJ509</f>
        <v>0</v>
      </c>
      <c r="CH509" s="234">
        <f>_xll.xSPRDOPT((VLOOKUP(G509,NGPREVPRICES,2,FALSE)+HLOOKUP(D509,PREVCURVES,VLOOKUP(G509,MOVE_DOWN2,2,FALSE),FALSE)),VLOOKUP(G509,NGPREVPRICES,2,FALSE),CK509,VLOOKUP(G509,NGPREVPRICES,4,FALSE),HLOOKUP(D509,PREVVOLS,VLOOKUP(G509,MOVE_DOWN2,2,FALSE),FALSE),VLOOKUP(G509,NGPREVPRICES,3,FALSE),HLOOKUP(D509,Correllate,VLOOKUP(G509,CorMove,2,FALSE),FALSE),Q509-$C$3,R509,$CJ$5)*H509-CJ509</f>
        <v>42.015864445211264</v>
      </c>
      <c r="CI509" s="234">
        <f t="shared" si="591"/>
        <v>44.445042262714196</v>
      </c>
      <c r="CJ509" s="234">
        <f>_xll.xSPRDOPT((VLOOKUP(G509,NGPREVPRICES,2,FALSE)+HLOOKUP(D509,PREVCURVES,VLOOKUP(G509,MOVE_DOWN2,2,FALSE),FALSE)),VLOOKUP(G509,NGPREVPRICES,2,FALSE),CK509,VLOOKUP(G509,NGPREVPRICES,4,FALSE),HLOOKUP(D509,PREVVOLS,VLOOKUP(G509,MOVE_DOWN2,2,FALSE),FALSE),VLOOKUP(G509,NGPREVPRICES,3,FALSE),HLOOKUP(D509,Correllate,VLOOKUP(G509,CorMove,2,FALSE),FALSE),Q509-$CD$3,R509,$CJ$5)*H509</f>
        <v>-12666.147560565782</v>
      </c>
      <c r="CK509" s="235">
        <f t="shared" si="592"/>
        <v>0.15</v>
      </c>
      <c r="CM509" t="str">
        <f t="shared" si="593"/>
        <v>36951Curve Shift/Gamma</v>
      </c>
      <c r="CN509" t="str">
        <f t="shared" si="572"/>
        <v>36951Rho</v>
      </c>
      <c r="CO509" t="str">
        <f t="shared" si="573"/>
        <v>36951Drift</v>
      </c>
      <c r="CP509" t="str">
        <f t="shared" si="574"/>
        <v>36951Vega</v>
      </c>
      <c r="CQ509" t="str">
        <f t="shared" si="575"/>
        <v>36951Theta</v>
      </c>
    </row>
    <row r="510" spans="1:95" x14ac:dyDescent="0.25">
      <c r="A510" s="140" t="s">
        <v>324</v>
      </c>
      <c r="B510" t="s">
        <v>250</v>
      </c>
      <c r="C510" t="s">
        <v>515</v>
      </c>
      <c r="D510" s="4" t="s">
        <v>74</v>
      </c>
      <c r="E510" t="s">
        <v>20</v>
      </c>
      <c r="F510" t="s">
        <v>21</v>
      </c>
      <c r="G510" s="5">
        <v>36923</v>
      </c>
      <c r="H510" s="130">
        <v>-280000</v>
      </c>
      <c r="I510">
        <v>0.15</v>
      </c>
      <c r="J510" s="53">
        <f t="shared" si="576"/>
        <v>4.4800000000000004</v>
      </c>
      <c r="K510" s="7">
        <f t="shared" si="577"/>
        <v>0.13750000000000001</v>
      </c>
      <c r="L510" s="53">
        <f t="shared" si="578"/>
        <v>4.6175000000000006</v>
      </c>
      <c r="M510" s="157">
        <f t="shared" si="579"/>
        <v>6.8640161611372E-2</v>
      </c>
      <c r="N510" s="4">
        <f t="shared" si="580"/>
        <v>0.59250000000000003</v>
      </c>
      <c r="O510" s="4">
        <f t="shared" si="581"/>
        <v>0.59299999999999997</v>
      </c>
      <c r="P510" s="9">
        <f t="shared" si="582"/>
        <v>0.997</v>
      </c>
      <c r="Q510" s="5">
        <f t="shared" si="520"/>
        <v>36921</v>
      </c>
      <c r="R510" s="4">
        <f t="shared" si="583"/>
        <v>1</v>
      </c>
      <c r="S510" s="158">
        <f>_xll.xSPRDOPT($L510,$J510,$I510,$M510,$O510,$N510,$P510,$Q510-$C$3,$R510,0)</f>
        <v>5.1601903862221528E-2</v>
      </c>
      <c r="T510" s="159">
        <f>_xll.xSPRDOPT($L510,$J510,$I510,$M510,$O510,$N510,$P510,$Q510-$C$3,$R510,1)*H510</f>
        <v>-129684.97346307428</v>
      </c>
      <c r="U510" s="160">
        <f t="shared" si="584"/>
        <v>-14448.533081422027</v>
      </c>
      <c r="V510" s="159">
        <f>_xll.xSPRDOPT($L510,$J510,$I510,$M510,$O510,$N510,$P510,$Q510-$C$3,$R510,2)*H510</f>
        <v>126705.48503538528</v>
      </c>
      <c r="W510" s="159">
        <f t="shared" si="585"/>
        <v>-2979.4884276889934</v>
      </c>
      <c r="X510" s="51" t="str">
        <f t="shared" si="586"/>
        <v>36923NGI/CHI. GATE</v>
      </c>
      <c r="Y510" s="418">
        <f t="shared" si="587"/>
        <v>-28</v>
      </c>
      <c r="Z510" s="456">
        <f t="shared" si="588"/>
        <v>0.46316061951097953</v>
      </c>
      <c r="AA510" s="456">
        <f>_xll.xSPRDOPT($L510,$J510,$I510,$M510,$O510,$N510,$P510,$Q510-$C$3,$R510,3)</f>
        <v>2.6234575744327917</v>
      </c>
      <c r="AB510" s="456">
        <f>((_xll.xSPRDOPT($L510+AB$5,$J510,$I510,$M510,$O510,$N510,$P510,$Q510-$C$3,$R510,3)*$H510)/10000)/100</f>
        <v>-0.73456812084118173</v>
      </c>
      <c r="AC510" s="456">
        <f>((_xll.xSPRDOPT($L510+$AB$5,$J510,$I510,$M510,$O510,$N510,$P510,$Q510-$C$3,$R510,7)*$H510)/100)</f>
        <v>22478.122338744019</v>
      </c>
      <c r="AD510" s="456">
        <f>(_xll.xSPRDOPT($L510+$AB$5,$J510,$I510,$M510,$O510,$N510,$P510,$Q510-$C$3,$R510,9)/365)*$H510</f>
        <v>49.695761016680237</v>
      </c>
      <c r="AE510">
        <f t="shared" si="521"/>
        <v>0</v>
      </c>
      <c r="AF510" s="456">
        <f t="shared" si="522"/>
        <v>-272.27200353757894</v>
      </c>
      <c r="AG510" s="456">
        <f>((_xll.xSPRDOPT($L510,$J510,$I510,$M510,$O510,$N510,$P510,$Q510-$C$3,$R510,6)*$H510)/100)</f>
        <v>1095.7600345254891</v>
      </c>
      <c r="AH510" s="456">
        <f>((_xll.xSPRDOPT($L510,$J510,$I510,$M510,$O510,$N510,$P510,$Q510-$C$3,$R510,5)*$H510)/100)</f>
        <v>-1366.8785540512106</v>
      </c>
      <c r="AI510" s="456">
        <f>(((_xll.xSPRDOPT($L510,$J510,$I510,$M510,$O510,$N510,$P510,$Q510-$C$3,$R510,4)*$H510)/10000)/100)-AB510</f>
        <v>2.038904812277198E-3</v>
      </c>
      <c r="AJ510" s="456"/>
      <c r="AK510" s="456"/>
      <c r="AL510" s="456"/>
      <c r="AM510" s="472"/>
      <c r="CC510" s="141">
        <f t="shared" si="589"/>
        <v>36923</v>
      </c>
      <c r="CD510" s="234">
        <f>_xll.xSPRDOPT((VLOOKUP(G510,NGPrices,2,FALSE)+HLOOKUP(D510,Prices,VLOOKUP(G510,move_down,2,FALSE),FALSE)),VLOOKUP(G510,NGPrices,2,FALSE),I510,VLOOKUP(G510,NGPREVPRICES,4,FALSE),HLOOKUP(D510,PREVVOLS,VLOOKUP(G510,MOVE_DOWN2,2,FALSE),FALSE),VLOOKUP(G510,NGPREVPRICES,3,FALSE),HLOOKUP(D510,Correllate,VLOOKUP(G510,CorMove,2,FALSE),FALSE),Q510-$CD$3,R510,$CD$5)*H510-CJ510</f>
        <v>0</v>
      </c>
      <c r="CE510" s="234">
        <f>_xll.xSPRDOPT((VLOOKUP(G510,NGPREVPRICES,2,FALSE)+HLOOKUP(D510,PREVCURVES,VLOOKUP(G510,MOVE_DOWN2,2,FALSE),FALSE)),VLOOKUP(G510,NGPREVPRICES,2,FALSE),CK510,VLOOKUP(G510,NGPrices,4,FALSE),HLOOKUP(D510,PREVVOLS,VLOOKUP(G510,MOVE_DOWN2,2,FALSE),FALSE),VLOOKUP(G510,NGPREVPRICES,3,FALSE),HLOOKUP(D510,Correllate,VLOOKUP(G510,CorMove,2,FALSE),FALSE),Q510-$CD$3,R510,$CJ$5)*H510-CJ510</f>
        <v>0</v>
      </c>
      <c r="CF510" s="10">
        <f t="shared" si="590"/>
        <v>2.7573718849689612</v>
      </c>
      <c r="CG510" s="234">
        <f>_xll.xSPRDOPT((VLOOKUP(G510,NGPREVPRICES,2,FALSE)+HLOOKUP(D510,PREVCURVES,VLOOKUP(G510,MOVE_DOWN2,2,FALSE),FALSE)),VLOOKUP(G510,NGPREVPRICES,2,FALSE),CK510,VLOOKUP(G510,NGPREVPRICES,4,FALSE),HLOOKUP(D510,VOLS,VLOOKUP(G510,move_down,2,FALSE),FALSE),VLOOKUP(G510,NGPrices,3,FALSE),HLOOKUP(D510,Correllate,VLOOKUP(G510,CorMove,2,FALSE),FALSE),Q510-$CD$3,R510,$CJ$5)*H510-CJ510</f>
        <v>0</v>
      </c>
      <c r="CH510" s="234">
        <f>_xll.xSPRDOPT((VLOOKUP(G510,NGPREVPRICES,2,FALSE)+HLOOKUP(D510,PREVCURVES,VLOOKUP(G510,MOVE_DOWN2,2,FALSE),FALSE)),VLOOKUP(G510,NGPREVPRICES,2,FALSE),CK510,VLOOKUP(G510,NGPREVPRICES,4,FALSE),HLOOKUP(D510,PREVVOLS,VLOOKUP(G510,MOVE_DOWN2,2,FALSE),FALSE),VLOOKUP(G510,NGPREVPRICES,3,FALSE),HLOOKUP(D510,Correllate,VLOOKUP(G510,CorMove,2,FALSE),FALSE),Q510-$C$3,R510,$CJ$5)*H510-CJ510</f>
        <v>49.569479386060266</v>
      </c>
      <c r="CI510" s="234">
        <f t="shared" si="591"/>
        <v>52.326851271029227</v>
      </c>
      <c r="CJ510" s="234">
        <f>_xll.xSPRDOPT((VLOOKUP(G510,NGPREVPRICES,2,FALSE)+HLOOKUP(D510,PREVCURVES,VLOOKUP(G510,MOVE_DOWN2,2,FALSE),FALSE)),VLOOKUP(G510,NGPREVPRICES,2,FALSE),CK510,VLOOKUP(G510,NGPREVPRICES,4,FALSE),HLOOKUP(D510,PREVVOLS,VLOOKUP(G510,MOVE_DOWN2,2,FALSE),FALSE),VLOOKUP(G510,NGPREVPRICES,3,FALSE),HLOOKUP(D510,Correllate,VLOOKUP(G510,CorMove,2,FALSE),FALSE),Q510-$CD$3,R510,$CJ$5)*H510</f>
        <v>-14498.102560808087</v>
      </c>
      <c r="CK510" s="235">
        <f t="shared" si="592"/>
        <v>0.15</v>
      </c>
      <c r="CM510" t="str">
        <f t="shared" si="593"/>
        <v>36923Curve Shift/Gamma</v>
      </c>
      <c r="CN510" t="str">
        <f t="shared" si="572"/>
        <v>36923Rho</v>
      </c>
      <c r="CO510" t="str">
        <f t="shared" si="573"/>
        <v>36923Drift</v>
      </c>
      <c r="CP510" t="str">
        <f t="shared" si="574"/>
        <v>36923Vega</v>
      </c>
      <c r="CQ510" t="str">
        <f t="shared" si="575"/>
        <v>36923Theta</v>
      </c>
    </row>
    <row r="511" spans="1:95" x14ac:dyDescent="0.25">
      <c r="A511" s="140" t="s">
        <v>324</v>
      </c>
      <c r="B511" t="s">
        <v>250</v>
      </c>
      <c r="C511" t="s">
        <v>515</v>
      </c>
      <c r="D511" s="4" t="s">
        <v>74</v>
      </c>
      <c r="E511" t="s">
        <v>20</v>
      </c>
      <c r="F511" t="s">
        <v>21</v>
      </c>
      <c r="G511" s="5">
        <v>36892</v>
      </c>
      <c r="H511" s="130">
        <v>-310000</v>
      </c>
      <c r="I511">
        <v>0.15</v>
      </c>
      <c r="J511" s="53">
        <f t="shared" si="576"/>
        <v>4.7439999999999998</v>
      </c>
      <c r="K511" s="7">
        <f t="shared" si="577"/>
        <v>0.1275</v>
      </c>
      <c r="L511" s="53">
        <f t="shared" si="578"/>
        <v>4.8715000000000002</v>
      </c>
      <c r="M511" s="157">
        <f t="shared" si="579"/>
        <v>6.8374831148490994E-2</v>
      </c>
      <c r="N511" s="4">
        <f t="shared" si="580"/>
        <v>0.60499999999999998</v>
      </c>
      <c r="O511" s="4">
        <f t="shared" si="581"/>
        <v>0.60499999999999998</v>
      </c>
      <c r="P511" s="9">
        <f t="shared" si="582"/>
        <v>0.997</v>
      </c>
      <c r="Q511" s="5">
        <f t="shared" si="520"/>
        <v>36888</v>
      </c>
      <c r="R511" s="4">
        <f t="shared" si="583"/>
        <v>1</v>
      </c>
      <c r="S511" s="158">
        <f>_xll.xSPRDOPT($L511,$J511,$I511,$M511,$O511,$N511,$P511,$Q511-$C$3,$R511,0)</f>
        <v>4.428805516998615E-2</v>
      </c>
      <c r="T511" s="159">
        <f>_xll.xSPRDOPT($L511,$J511,$I511,$M511,$O511,$N511,$P511,$Q511-$C$3,$R511,1)*H511</f>
        <v>-134760.27019087761</v>
      </c>
      <c r="U511" s="160">
        <f t="shared" si="584"/>
        <v>-13729.297102695706</v>
      </c>
      <c r="V511" s="159">
        <f>_xll.xSPRDOPT($L511,$J511,$I511,$M511,$O511,$N511,$P511,$Q511-$C$3,$R511,2)*H511</f>
        <v>131760.94911566621</v>
      </c>
      <c r="W511" s="159">
        <f t="shared" si="585"/>
        <v>-2999.3210752113955</v>
      </c>
      <c r="X511" s="51" t="str">
        <f t="shared" si="586"/>
        <v>36892NGI/CHI. GATE</v>
      </c>
      <c r="Y511" s="418">
        <f t="shared" si="587"/>
        <v>-31</v>
      </c>
      <c r="Z511" s="456">
        <f t="shared" si="588"/>
        <v>0.43471054900283101</v>
      </c>
      <c r="AA511" s="456">
        <f>_xll.xSPRDOPT($L511,$J511,$I511,$M511,$O511,$N511,$P511,$Q511-$C$3,$R511,3)</f>
        <v>2.7753049195088875</v>
      </c>
      <c r="AB511" s="456">
        <f>((_xll.xSPRDOPT($L511+AB$5,$J511,$I511,$M511,$O511,$N511,$P511,$Q511-$C$3,$R511,3)*$H511)/10000)/100</f>
        <v>-0.86034452504775516</v>
      </c>
      <c r="AC511" s="456">
        <f>((_xll.xSPRDOPT($L511+$AB$5,$J511,$I511,$M511,$O511,$N511,$P511,$Q511-$C$3,$R511,7)*$H511)/100)</f>
        <v>24026.691153410487</v>
      </c>
      <c r="AD511" s="456">
        <f>(_xll.xSPRDOPT($L511+$AB$5,$J511,$I511,$M511,$O511,$N511,$P511,$Q511-$C$3,$R511,9)/365)*$H511</f>
        <v>66.841991814918686</v>
      </c>
      <c r="AE511">
        <f t="shared" si="521"/>
        <v>0</v>
      </c>
      <c r="AF511" s="456">
        <f t="shared" si="522"/>
        <v>-277.46542407503352</v>
      </c>
      <c r="AG511" s="456">
        <f>((_xll.xSPRDOPT($L511,$J511,$I511,$M511,$O511,$N511,$P511,$Q511-$C$3,$R511,6)*$H511)/100)</f>
        <v>1049.3219306858516</v>
      </c>
      <c r="AH511" s="456">
        <f>((_xll.xSPRDOPT($L511,$J511,$I511,$M511,$O511,$N511,$P511,$Q511-$C$3,$R511,5)*$H511)/100)</f>
        <v>-1326.7873547608851</v>
      </c>
      <c r="AI511" s="456">
        <f>(((_xll.xSPRDOPT($L511,$J511,$I511,$M511,$O511,$N511,$P511,$Q511-$C$3,$R511,4)*$H511)/10000)/100)-AB511</f>
        <v>5.8110401703533876E-3</v>
      </c>
      <c r="AJ511" s="456"/>
      <c r="AK511" s="456"/>
      <c r="AL511" s="456"/>
      <c r="AM511" s="472"/>
      <c r="CC511" s="141">
        <f t="shared" si="589"/>
        <v>36892</v>
      </c>
      <c r="CD511" s="234">
        <f>_xll.xSPRDOPT((VLOOKUP(G511,NGPrices,2,FALSE)+HLOOKUP(D511,Prices,VLOOKUP(G511,move_down,2,FALSE),FALSE)),VLOOKUP(G511,NGPrices,2,FALSE),I511,VLOOKUP(G511,NGPREVPRICES,4,FALSE),HLOOKUP(D511,PREVVOLS,VLOOKUP(G511,MOVE_DOWN2,2,FALSE),FALSE),VLOOKUP(G511,NGPREVPRICES,3,FALSE),HLOOKUP(D511,Correllate,VLOOKUP(G511,CorMove,2,FALSE),FALSE),Q511-$CD$3,R511,$CD$5)*H511-CJ511</f>
        <v>0</v>
      </c>
      <c r="CE511" s="234">
        <f>_xll.xSPRDOPT((VLOOKUP(G511,NGPREVPRICES,2,FALSE)+HLOOKUP(D511,PREVCURVES,VLOOKUP(G511,MOVE_DOWN2,2,FALSE),FALSE)),VLOOKUP(G511,NGPREVPRICES,2,FALSE),CK511,VLOOKUP(G511,NGPrices,4,FALSE),HLOOKUP(D511,PREVVOLS,VLOOKUP(G511,MOVE_DOWN2,2,FALSE),FALSE),VLOOKUP(G511,NGPREVPRICES,3,FALSE),HLOOKUP(D511,Correllate,VLOOKUP(G511,CorMove,2,FALSE),FALSE),Q511-$CD$3,R511,$CJ$5)*H511-CJ511</f>
        <v>0</v>
      </c>
      <c r="CF511" s="10">
        <f t="shared" si="590"/>
        <v>2.5997236788643932</v>
      </c>
      <c r="CG511" s="234">
        <f>_xll.xSPRDOPT((VLOOKUP(G511,NGPREVPRICES,2,FALSE)+HLOOKUP(D511,PREVCURVES,VLOOKUP(G511,MOVE_DOWN2,2,FALSE),FALSE)),VLOOKUP(G511,NGPREVPRICES,2,FALSE),CK511,VLOOKUP(G511,NGPREVPRICES,4,FALSE),HLOOKUP(D511,VOLS,VLOOKUP(G511,move_down,2,FALSE),FALSE),VLOOKUP(G511,NGPrices,3,FALSE),HLOOKUP(D511,Correllate,VLOOKUP(G511,CorMove,2,FALSE),FALSE),Q511-$CD$3,R511,$CJ$5)*H511-CJ511</f>
        <v>0</v>
      </c>
      <c r="CH511" s="234">
        <f>_xll.xSPRDOPT((VLOOKUP(G511,NGPREVPRICES,2,FALSE)+HLOOKUP(D511,PREVCURVES,VLOOKUP(G511,MOVE_DOWN2,2,FALSE),FALSE)),VLOOKUP(G511,NGPREVPRICES,2,FALSE),CK511,VLOOKUP(G511,NGPREVPRICES,4,FALSE),HLOOKUP(D511,PREVVOLS,VLOOKUP(G511,MOVE_DOWN2,2,FALSE),FALSE),VLOOKUP(G511,NGPREVPRICES,3,FALSE),HLOOKUP(D511,Correllate,VLOOKUP(G511,CorMove,2,FALSE),FALSE),Q511-$C$3,R511,$CJ$5)*H511-CJ511</f>
        <v>66.6465292064604</v>
      </c>
      <c r="CI511" s="234">
        <f t="shared" si="591"/>
        <v>69.246252885324793</v>
      </c>
      <c r="CJ511" s="234">
        <f>_xll.xSPRDOPT((VLOOKUP(G511,NGPREVPRICES,2,FALSE)+HLOOKUP(D511,PREVCURVES,VLOOKUP(G511,MOVE_DOWN2,2,FALSE),FALSE)),VLOOKUP(G511,NGPREVPRICES,2,FALSE),CK511,VLOOKUP(G511,NGPREVPRICES,4,FALSE),HLOOKUP(D511,PREVVOLS,VLOOKUP(G511,MOVE_DOWN2,2,FALSE),FALSE),VLOOKUP(G511,NGPREVPRICES,3,FALSE),HLOOKUP(D511,Correllate,VLOOKUP(G511,CorMove,2,FALSE),FALSE),Q511-$CD$3,R511,$CJ$5)*H511</f>
        <v>-13795.943631902166</v>
      </c>
      <c r="CK511" s="235">
        <f t="shared" si="592"/>
        <v>0.15</v>
      </c>
      <c r="CM511" t="str">
        <f t="shared" si="593"/>
        <v>36892Curve Shift/Gamma</v>
      </c>
      <c r="CN511" t="str">
        <f t="shared" si="572"/>
        <v>36892Rho</v>
      </c>
      <c r="CO511" t="str">
        <f t="shared" si="573"/>
        <v>36892Drift</v>
      </c>
      <c r="CP511" t="str">
        <f t="shared" si="574"/>
        <v>36892Vega</v>
      </c>
      <c r="CQ511" t="str">
        <f t="shared" si="575"/>
        <v>36892Theta</v>
      </c>
    </row>
    <row r="512" spans="1:95" x14ac:dyDescent="0.25">
      <c r="A512" s="140" t="s">
        <v>324</v>
      </c>
      <c r="B512" t="s">
        <v>250</v>
      </c>
      <c r="C512" t="s">
        <v>515</v>
      </c>
      <c r="D512" s="4" t="s">
        <v>74</v>
      </c>
      <c r="E512" t="s">
        <v>20</v>
      </c>
      <c r="F512" t="s">
        <v>21</v>
      </c>
      <c r="G512" s="5">
        <v>36861</v>
      </c>
      <c r="H512" s="130">
        <v>-310000</v>
      </c>
      <c r="I512">
        <v>0.15</v>
      </c>
      <c r="J512" s="53">
        <f t="shared" si="576"/>
        <v>4.8</v>
      </c>
      <c r="K512" s="7">
        <f t="shared" si="577"/>
        <v>0.1</v>
      </c>
      <c r="L512" s="53">
        <f t="shared" si="578"/>
        <v>4.8999999999999995</v>
      </c>
      <c r="M512" s="157">
        <f t="shared" si="579"/>
        <v>6.8314027999354002E-2</v>
      </c>
      <c r="N512" s="4">
        <f t="shared" si="580"/>
        <v>0.6</v>
      </c>
      <c r="O512" s="4">
        <f t="shared" si="581"/>
        <v>0.6</v>
      </c>
      <c r="P512" s="9">
        <f t="shared" si="582"/>
        <v>0.997</v>
      </c>
      <c r="Q512" s="5">
        <f t="shared" si="520"/>
        <v>36859</v>
      </c>
      <c r="R512" s="4">
        <f t="shared" si="583"/>
        <v>1</v>
      </c>
      <c r="S512" s="158">
        <f>_xll.xSPRDOPT($L512,$J512,$I512,$M512,$O512,$N512,$P512,$Q512-$C$3,$R512,0)</f>
        <v>2.7108270418358397E-2</v>
      </c>
      <c r="T512" s="159">
        <f>_xll.xSPRDOPT($L512,$J512,$I512,$M512,$O512,$N512,$P512,$Q512-$C$3,$R512,1)*H512</f>
        <v>-105794.98802275372</v>
      </c>
      <c r="U512" s="160">
        <f t="shared" si="584"/>
        <v>-8403.5638296911038</v>
      </c>
      <c r="V512" s="159">
        <f>_xll.xSPRDOPT($L512,$J512,$I512,$M512,$O512,$N512,$P512,$Q512-$C$3,$R512,2)*H512</f>
        <v>103353.42871952469</v>
      </c>
      <c r="W512" s="159">
        <f t="shared" si="585"/>
        <v>-2441.5593032290344</v>
      </c>
      <c r="X512" s="51" t="str">
        <f t="shared" si="586"/>
        <v>36861NGI/CHI. GATE</v>
      </c>
      <c r="Y512" s="418">
        <f t="shared" si="587"/>
        <v>-31</v>
      </c>
      <c r="Z512" s="456">
        <f t="shared" si="588"/>
        <v>0.34127415491210877</v>
      </c>
      <c r="AA512" s="456">
        <f>_xll.xSPRDOPT($L512,$J512,$I512,$M512,$O512,$N512,$P512,$Q512-$C$3,$R512,3)</f>
        <v>3.010063694198406</v>
      </c>
      <c r="AB512" s="456">
        <f>((_xll.xSPRDOPT($L512+AB$5,$J512,$I512,$M512,$O512,$N512,$P512,$Q512-$C$3,$R512,3)*$H512)/10000)/100</f>
        <v>-0.93311974520150587</v>
      </c>
      <c r="AC512" s="456">
        <f>((_xll.xSPRDOPT($L512+$AB$5,$J512,$I512,$M512,$O512,$N512,$P512,$Q512-$C$3,$R512,7)*$H512)/100)</f>
        <v>19731.633103810298</v>
      </c>
      <c r="AD512" s="456">
        <f>(_xll.xSPRDOPT($L512+$AB$5,$J512,$I512,$M512,$O512,$N512,$P512,$Q512-$C$3,$R512,9)/365)*$H512</f>
        <v>72.615984284794521</v>
      </c>
      <c r="AE512">
        <f t="shared" si="521"/>
        <v>0</v>
      </c>
      <c r="AF512" s="456">
        <f t="shared" si="522"/>
        <v>-227.35659346631019</v>
      </c>
      <c r="AG512" s="456">
        <f>((_xll.xSPRDOPT($L512,$J512,$I512,$M512,$O512,$N512,$P512,$Q512-$C$3,$R512,6)*$H512)/100)</f>
        <v>844.58159418175683</v>
      </c>
      <c r="AH512" s="456">
        <f>((_xll.xSPRDOPT($L512,$J512,$I512,$M512,$O512,$N512,$P512,$Q512-$C$3,$R512,5)*$H512)/100)</f>
        <v>-1071.938187648067</v>
      </c>
      <c r="AI512" s="456">
        <f>(((_xll.xSPRDOPT($L512,$J512,$I512,$M512,$O512,$N512,$P512,$Q512-$C$3,$R512,4)*$H512)/10000)/100)-AB512</f>
        <v>1.5754958133592734E-2</v>
      </c>
      <c r="AJ512" s="456"/>
      <c r="AK512" s="456"/>
      <c r="AL512" s="456"/>
      <c r="AM512" s="472"/>
      <c r="CC512" s="141">
        <f t="shared" si="589"/>
        <v>36861</v>
      </c>
      <c r="CD512" s="234">
        <f>_xll.xSPRDOPT((VLOOKUP(G512,NGPrices,2,FALSE)+HLOOKUP(D512,Prices,VLOOKUP(G512,move_down,2,FALSE),FALSE)),VLOOKUP(G512,NGPrices,2,FALSE),I512,VLOOKUP(G512,NGPREVPRICES,4,FALSE),HLOOKUP(D512,PREVVOLS,VLOOKUP(G512,MOVE_DOWN2,2,FALSE),FALSE),VLOOKUP(G512,NGPREVPRICES,3,FALSE),HLOOKUP(D512,Correllate,VLOOKUP(G512,CorMove,2,FALSE),FALSE),Q512-$CD$3,R512,$CD$5)*H512-CJ512</f>
        <v>0</v>
      </c>
      <c r="CE512" s="234">
        <f>_xll.xSPRDOPT((VLOOKUP(G512,NGPREVPRICES,2,FALSE)+HLOOKUP(D512,PREVCURVES,VLOOKUP(G512,MOVE_DOWN2,2,FALSE),FALSE)),VLOOKUP(G512,NGPREVPRICES,2,FALSE),CK512,VLOOKUP(G512,NGPrices,4,FALSE),HLOOKUP(D512,PREVVOLS,VLOOKUP(G512,MOVE_DOWN2,2,FALSE),FALSE),VLOOKUP(G512,NGPREVPRICES,3,FALSE),HLOOKUP(D512,Correllate,VLOOKUP(G512,CorMove,2,FALSE),FALSE),Q512-$CD$3,R512,$CJ$5)*H512-CJ512</f>
        <v>0</v>
      </c>
      <c r="CF512" s="10">
        <f t="shared" si="590"/>
        <v>1.5878673379502288</v>
      </c>
      <c r="CG512" s="234">
        <f>_xll.xSPRDOPT((VLOOKUP(G512,NGPREVPRICES,2,FALSE)+HLOOKUP(D512,PREVCURVES,VLOOKUP(G512,MOVE_DOWN2,2,FALSE),FALSE)),VLOOKUP(G512,NGPREVPRICES,2,FALSE),CK512,VLOOKUP(G512,NGPREVPRICES,4,FALSE),HLOOKUP(D512,VOLS,VLOOKUP(G512,move_down,2,FALSE),FALSE),VLOOKUP(G512,NGPrices,3,FALSE),HLOOKUP(D512,Correllate,VLOOKUP(G512,CorMove,2,FALSE),FALSE),Q512-$CD$3,R512,$CJ$5)*H512-CJ512</f>
        <v>0</v>
      </c>
      <c r="CH512" s="234">
        <f>_xll.xSPRDOPT((VLOOKUP(G512,NGPREVPRICES,2,FALSE)+HLOOKUP(D512,PREVCURVES,VLOOKUP(G512,MOVE_DOWN2,2,FALSE),FALSE)),VLOOKUP(G512,NGPREVPRICES,2,FALSE),CK512,VLOOKUP(G512,NGPREVPRICES,4,FALSE),HLOOKUP(D512,PREVVOLS,VLOOKUP(G512,MOVE_DOWN2,2,FALSE),FALSE),VLOOKUP(G512,NGPREVPRICES,3,FALSE),HLOOKUP(D512,Correllate,VLOOKUP(G512,CorMove,2,FALSE),FALSE),Q512-$C$3,R512,$CJ$5)*H512-CJ512</f>
        <v>72.388126485495377</v>
      </c>
      <c r="CI512" s="234">
        <f t="shared" si="591"/>
        <v>73.975993823445606</v>
      </c>
      <c r="CJ512" s="234">
        <f>_xll.xSPRDOPT((VLOOKUP(G512,NGPREVPRICES,2,FALSE)+HLOOKUP(D512,PREVCURVES,VLOOKUP(G512,MOVE_DOWN2,2,FALSE),FALSE)),VLOOKUP(G512,NGPREVPRICES,2,FALSE),CK512,VLOOKUP(G512,NGPREVPRICES,4,FALSE),HLOOKUP(D512,PREVVOLS,VLOOKUP(G512,MOVE_DOWN2,2,FALSE),FALSE),VLOOKUP(G512,NGPREVPRICES,3,FALSE),HLOOKUP(D512,Correllate,VLOOKUP(G512,CorMove,2,FALSE),FALSE),Q512-$CD$3,R512,$CJ$5)*H512</f>
        <v>-8475.9519561765992</v>
      </c>
      <c r="CK512" s="235">
        <f t="shared" si="592"/>
        <v>0.15</v>
      </c>
      <c r="CM512" t="str">
        <f t="shared" si="593"/>
        <v>36861Curve Shift/Gamma</v>
      </c>
      <c r="CN512" t="str">
        <f t="shared" si="572"/>
        <v>36861Rho</v>
      </c>
      <c r="CO512" t="str">
        <f t="shared" si="573"/>
        <v>36861Drift</v>
      </c>
      <c r="CP512" t="str">
        <f t="shared" si="574"/>
        <v>36861Vega</v>
      </c>
      <c r="CQ512" t="str">
        <f t="shared" si="575"/>
        <v>36861Theta</v>
      </c>
    </row>
    <row r="513" spans="1:95" x14ac:dyDescent="0.25">
      <c r="A513" s="140" t="s">
        <v>324</v>
      </c>
      <c r="B513" t="s">
        <v>250</v>
      </c>
      <c r="C513" t="s">
        <v>515</v>
      </c>
      <c r="D513" s="4" t="s">
        <v>74</v>
      </c>
      <c r="E513" t="s">
        <v>20</v>
      </c>
      <c r="F513" t="s">
        <v>21</v>
      </c>
      <c r="G513" s="5">
        <v>36831</v>
      </c>
      <c r="H513" s="130">
        <v>-300000</v>
      </c>
      <c r="I513">
        <v>0.15</v>
      </c>
      <c r="J513" s="53">
        <f t="shared" si="576"/>
        <v>4.7359999999999998</v>
      </c>
      <c r="K513" s="7">
        <f t="shared" si="577"/>
        <v>8.7499999999999994E-2</v>
      </c>
      <c r="L513" s="53">
        <f t="shared" si="578"/>
        <v>4.8235000000000001</v>
      </c>
      <c r="M513" s="157">
        <f t="shared" si="579"/>
        <v>6.810675983792E-2</v>
      </c>
      <c r="N513" s="4">
        <f t="shared" si="580"/>
        <v>0.59499999999999997</v>
      </c>
      <c r="O513" s="4">
        <f t="shared" si="581"/>
        <v>0.59499999999999997</v>
      </c>
      <c r="P513" s="9">
        <f t="shared" si="582"/>
        <v>0.997</v>
      </c>
      <c r="Q513" s="5">
        <f t="shared" si="520"/>
        <v>36829</v>
      </c>
      <c r="R513" s="4">
        <f t="shared" si="583"/>
        <v>1</v>
      </c>
      <c r="S513" s="158">
        <f>_xll.xSPRDOPT($L513,$J513,$I513,$M513,$O513,$N513,$P513,$Q513-$C$3,$R513,0)</f>
        <v>1.5250320595656583E-2</v>
      </c>
      <c r="T513" s="159">
        <f>_xll.xSPRDOPT($L513,$J513,$I513,$M513,$O513,$N513,$P513,$Q513-$C$3,$R513,1)*H513</f>
        <v>-78849.76466463189</v>
      </c>
      <c r="U513" s="160">
        <f t="shared" si="584"/>
        <v>-4575.0961786969747</v>
      </c>
      <c r="V513" s="159">
        <f>_xll.xSPRDOPT($L513,$J513,$I513,$M513,$O513,$N513,$P513,$Q513-$C$3,$R513,2)*H513</f>
        <v>77133.889443530643</v>
      </c>
      <c r="W513" s="159">
        <f t="shared" si="585"/>
        <v>-1715.875221101247</v>
      </c>
      <c r="X513" s="51" t="str">
        <f t="shared" si="586"/>
        <v>36831NGI/CHI. GATE</v>
      </c>
      <c r="Y513" s="418">
        <f t="shared" si="587"/>
        <v>-30</v>
      </c>
      <c r="Z513" s="456">
        <f t="shared" si="588"/>
        <v>0.26283254888210628</v>
      </c>
      <c r="AA513" s="456">
        <f>_xll.xSPRDOPT($L513,$J513,$I513,$M513,$O513,$N513,$P513,$Q513-$C$3,$R513,3)</f>
        <v>3.3553439431036649</v>
      </c>
      <c r="AB513" s="456">
        <f>((_xll.xSPRDOPT($L513+AB$5,$J513,$I513,$M513,$O513,$N513,$P513,$Q513-$C$3,$R513,3)*$H513)/10000)/100</f>
        <v>-1.0066031829310993</v>
      </c>
      <c r="AC513" s="456">
        <f>((_xll.xSPRDOPT($L513+$AB$5,$J513,$I513,$M513,$O513,$N513,$P513,$Q513-$C$3,$R513,7)*$H513)/100)</f>
        <v>13666.47341596898</v>
      </c>
      <c r="AD513" s="456">
        <f>(_xll.xSPRDOPT($L513+$AB$5,$J513,$I513,$M513,$O513,$N513,$P513,$Q513-$C$3,$R513,9)/365)*$H513</f>
        <v>75.305118852392226</v>
      </c>
      <c r="AE513">
        <f t="shared" si="521"/>
        <v>0</v>
      </c>
      <c r="AF513" s="456">
        <f t="shared" si="522"/>
        <v>-158.60885072883264</v>
      </c>
      <c r="AG513" s="456">
        <f>((_xll.xSPRDOPT($L513,$J513,$I513,$M513,$O513,$N513,$P513,$Q513-$C$3,$R513,6)*$H513)/100)</f>
        <v>595.27151436878648</v>
      </c>
      <c r="AH513" s="456">
        <f>((_xll.xSPRDOPT($L513,$J513,$I513,$M513,$O513,$N513,$P513,$Q513-$C$3,$R513,5)*$H513)/100)</f>
        <v>-753.88036509761912</v>
      </c>
      <c r="AI513" s="456">
        <f>(((_xll.xSPRDOPT($L513,$J513,$I513,$M513,$O513,$N513,$P513,$Q513-$C$3,$R513,4)*$H513)/10000)/100)-AB513</f>
        <v>2.2016779360807148E-2</v>
      </c>
      <c r="AJ513" s="456"/>
      <c r="AK513" s="456"/>
      <c r="AL513" s="456"/>
      <c r="AM513" s="472"/>
      <c r="CC513" s="141">
        <f t="shared" si="589"/>
        <v>36831</v>
      </c>
      <c r="CD513" s="234">
        <f>_xll.xSPRDOPT((VLOOKUP(G513,NGPrices,2,FALSE)+HLOOKUP(D513,Prices,VLOOKUP(G513,move_down,2,FALSE),FALSE)),VLOOKUP(G513,NGPrices,2,FALSE),I513,VLOOKUP(G513,NGPREVPRICES,4,FALSE),HLOOKUP(D513,PREVVOLS,VLOOKUP(G513,MOVE_DOWN2,2,FALSE),FALSE),VLOOKUP(G513,NGPREVPRICES,3,FALSE),HLOOKUP(D513,Correllate,VLOOKUP(G513,CorMove,2,FALSE),FALSE),Q513-$CD$3,R513,$CD$5)*H513-CJ513</f>
        <v>0</v>
      </c>
      <c r="CE513" s="234">
        <f>_xll.xSPRDOPT((VLOOKUP(G513,NGPREVPRICES,2,FALSE)+HLOOKUP(D513,PREVCURVES,VLOOKUP(G513,MOVE_DOWN2,2,FALSE),FALSE)),VLOOKUP(G513,NGPREVPRICES,2,FALSE),CK513,VLOOKUP(G513,NGPrices,4,FALSE),HLOOKUP(D513,PREVVOLS,VLOOKUP(G513,MOVE_DOWN2,2,FALSE),FALSE),VLOOKUP(G513,NGPREVPRICES,3,FALSE),HLOOKUP(D513,Correllate,VLOOKUP(G513,CorMove,2,FALSE),FALSE),Q513-$CD$3,R513,$CJ$5)*H513-CJ513</f>
        <v>0</v>
      </c>
      <c r="CF513" s="10">
        <f t="shared" si="590"/>
        <v>0.86358376220232458</v>
      </c>
      <c r="CG513" s="234">
        <f>_xll.xSPRDOPT((VLOOKUP(G513,NGPREVPRICES,2,FALSE)+HLOOKUP(D513,PREVCURVES,VLOOKUP(G513,MOVE_DOWN2,2,FALSE),FALSE)),VLOOKUP(G513,NGPREVPRICES,2,FALSE),CK513,VLOOKUP(G513,NGPREVPRICES,4,FALSE),HLOOKUP(D513,VOLS,VLOOKUP(G513,move_down,2,FALSE),FALSE),VLOOKUP(G513,NGPrices,3,FALSE),HLOOKUP(D513,Correllate,VLOOKUP(G513,CorMove,2,FALSE),FALSE),Q513-$CD$3,R513,$CJ$5)*H513-CJ513</f>
        <v>0</v>
      </c>
      <c r="CH513" s="234">
        <f>_xll.xSPRDOPT((VLOOKUP(G513,NGPREVPRICES,2,FALSE)+HLOOKUP(D513,PREVCURVES,VLOOKUP(G513,MOVE_DOWN2,2,FALSE),FALSE)),VLOOKUP(G513,NGPREVPRICES,2,FALSE),CK513,VLOOKUP(G513,NGPREVPRICES,4,FALSE),HLOOKUP(D513,PREVVOLS,VLOOKUP(G513,MOVE_DOWN2,2,FALSE),FALSE),VLOOKUP(G513,NGPREVPRICES,3,FALSE),HLOOKUP(D513,Correllate,VLOOKUP(G513,CorMove,2,FALSE),FALSE),Q513-$C$3,R513,$CJ$5)*H513-CJ513</f>
        <v>75.061380048358842</v>
      </c>
      <c r="CI513" s="234">
        <f t="shared" si="591"/>
        <v>75.924963810561167</v>
      </c>
      <c r="CJ513" s="234">
        <f>_xll.xSPRDOPT((VLOOKUP(G513,NGPREVPRICES,2,FALSE)+HLOOKUP(D513,PREVCURVES,VLOOKUP(G513,MOVE_DOWN2,2,FALSE),FALSE)),VLOOKUP(G513,NGPREVPRICES,2,FALSE),CK513,VLOOKUP(G513,NGPREVPRICES,4,FALSE),HLOOKUP(D513,PREVVOLS,VLOOKUP(G513,MOVE_DOWN2,2,FALSE),FALSE),VLOOKUP(G513,NGPREVPRICES,3,FALSE),HLOOKUP(D513,Correllate,VLOOKUP(G513,CorMove,2,FALSE),FALSE),Q513-$CD$3,R513,$CJ$5)*H513</f>
        <v>-4650.1575587453335</v>
      </c>
      <c r="CK513" s="235">
        <f t="shared" si="592"/>
        <v>0.15</v>
      </c>
      <c r="CM513" t="str">
        <f t="shared" si="593"/>
        <v>36831Curve Shift/Gamma</v>
      </c>
      <c r="CN513" t="str">
        <f t="shared" si="572"/>
        <v>36831Rho</v>
      </c>
      <c r="CO513" t="str">
        <f t="shared" si="573"/>
        <v>36831Drift</v>
      </c>
      <c r="CP513" t="str">
        <f t="shared" si="574"/>
        <v>36831Vega</v>
      </c>
      <c r="CQ513" t="str">
        <f t="shared" si="575"/>
        <v>36831Theta</v>
      </c>
    </row>
    <row r="514" spans="1:95" x14ac:dyDescent="0.25">
      <c r="A514" s="140" t="s">
        <v>480</v>
      </c>
      <c r="B514" t="s">
        <v>250</v>
      </c>
      <c r="C514" t="s">
        <v>517</v>
      </c>
      <c r="D514" s="4" t="s">
        <v>7</v>
      </c>
      <c r="E514" t="s">
        <v>20</v>
      </c>
      <c r="F514" t="s">
        <v>1</v>
      </c>
      <c r="G514" s="5">
        <v>36800</v>
      </c>
      <c r="H514" s="130">
        <v>310000</v>
      </c>
      <c r="I514">
        <v>0.4</v>
      </c>
      <c r="J514" s="53">
        <f t="shared" si="576"/>
        <v>4.6920000000000002</v>
      </c>
      <c r="K514" s="7">
        <f t="shared" si="577"/>
        <v>0.41499999999999998</v>
      </c>
      <c r="L514" s="53">
        <f t="shared" si="578"/>
        <v>5.1070000000000002</v>
      </c>
      <c r="M514" s="157">
        <f t="shared" si="579"/>
        <v>6.8050789414654006E-2</v>
      </c>
      <c r="N514" s="4">
        <f t="shared" si="580"/>
        <v>0.57499999999999996</v>
      </c>
      <c r="O514" s="4">
        <f t="shared" si="581"/>
        <v>0.56399999999999995</v>
      </c>
      <c r="P514" s="9">
        <f t="shared" si="582"/>
        <v>0.99250000000000005</v>
      </c>
      <c r="Q514" s="5">
        <f t="shared" si="520"/>
        <v>36797</v>
      </c>
      <c r="R514" s="4">
        <f t="shared" si="583"/>
        <v>0</v>
      </c>
      <c r="S514" s="158">
        <f>_xll.xSPRDOPT($L514,$J514,$I514,$M514,$O514,$N514,$P514,$Q514-$C$3,$R514,0)</f>
        <v>3.6625999929786657E-2</v>
      </c>
      <c r="T514" s="159">
        <f>_xll.xSPRDOPT($L514,$J514,$I514,$M514,$O514,$N514,$P514,$Q514-$C$3,$R514,1)*H514</f>
        <v>-135207.30028799482</v>
      </c>
      <c r="U514" s="160">
        <f t="shared" si="584"/>
        <v>11354.059978233863</v>
      </c>
      <c r="V514" s="159">
        <f>_xll.xSPRDOPT($L514,$J514,$I514,$M514,$O514,$N514,$P514,$Q514-$C$3,$R514,2)*H514</f>
        <v>137197.3620232828</v>
      </c>
      <c r="W514" s="159">
        <f t="shared" si="585"/>
        <v>1990.0617352879781</v>
      </c>
      <c r="X514" s="51" t="str">
        <f t="shared" si="586"/>
        <v>36800IF-TRANSCO/Z6</v>
      </c>
      <c r="Y514" s="418">
        <f t="shared" si="587"/>
        <v>31</v>
      </c>
      <c r="Z514" s="456">
        <f t="shared" si="588"/>
        <v>-0.43615258157417686</v>
      </c>
      <c r="AA514" s="456">
        <f>_xll.xSPRDOPT($L514,$J514,$I514,$M514,$O514,$N514,$P514,$Q514-$C$3,$R514,3)</f>
        <v>3.5565641555811189</v>
      </c>
      <c r="AB514" s="456">
        <f>((_xll.xSPRDOPT($L514+AB$5,$J514,$I514,$M514,$O514,$N514,$P514,$Q514-$C$3,$R514,3)*$H514)/10000)/100</f>
        <v>1.1025348882301467</v>
      </c>
      <c r="AC514" s="456">
        <f>((_xll.xSPRDOPT($L514+$AB$5,$J514,$I514,$M514,$O514,$N514,$P514,$Q514-$C$3,$R514,7)*$H514)/100)</f>
        <v>-7056.7939375659171</v>
      </c>
      <c r="AD514" s="456">
        <f>(_xll.xSPRDOPT($L514+$AB$5,$J514,$I514,$M514,$O514,$N514,$P514,$Q514-$C$3,$R514,9)/365)*$H514</f>
        <v>-222.1859659044637</v>
      </c>
      <c r="AE514">
        <f t="shared" si="521"/>
        <v>0</v>
      </c>
      <c r="AF514" s="456">
        <f t="shared" si="522"/>
        <v>233.89489826441798</v>
      </c>
      <c r="AG514" s="456">
        <f>((_xll.xSPRDOPT($L514,$J514,$I514,$M514,$O514,$N514,$P514,$Q514-$C$3,$R514,6)*$H514)/100)</f>
        <v>-651.55224682292658</v>
      </c>
      <c r="AH514" s="456">
        <f>((_xll.xSPRDOPT($L514,$J514,$I514,$M514,$O514,$N514,$P514,$Q514-$C$3,$R514,5)*$H514)/100)</f>
        <v>902.71650430004092</v>
      </c>
      <c r="AI514" s="456">
        <f>(((_xll.xSPRDOPT($L514,$J514,$I514,$M514,$O514,$N514,$P514,$Q514-$C$3,$R514,4)*$H514)/10000)/100)-AB514</f>
        <v>6.3342705877336147E-3</v>
      </c>
      <c r="AJ514" s="456"/>
      <c r="AK514" s="456"/>
      <c r="AL514" s="456"/>
      <c r="AM514" s="472"/>
      <c r="CC514" s="141">
        <f t="shared" si="589"/>
        <v>36800</v>
      </c>
      <c r="CD514" s="234">
        <f>_xll.xSPRDOPT((VLOOKUP(G514,NGPrices,2,FALSE)+HLOOKUP(D514,Prices,VLOOKUP(G514,move_down,2,FALSE),FALSE)),VLOOKUP(G514,NGPrices,2,FALSE),I514,VLOOKUP(G514,NGPREVPRICES,4,FALSE),HLOOKUP(D514,PREVVOLS,VLOOKUP(G514,MOVE_DOWN2,2,FALSE),FALSE),VLOOKUP(G514,NGPREVPRICES,3,FALSE),HLOOKUP(D514,Correllate,VLOOKUP(G514,CorMove,2,FALSE),FALSE),Q514-$CD$3,R514,$CD$5)*H514-CJ514</f>
        <v>0</v>
      </c>
      <c r="CE514" s="234">
        <f>_xll.xSPRDOPT((VLOOKUP(G514,NGPREVPRICES,2,FALSE)+HLOOKUP(D514,PREVCURVES,VLOOKUP(G514,MOVE_DOWN2,2,FALSE),FALSE)),VLOOKUP(G514,NGPREVPRICES,2,FALSE),CK514,VLOOKUP(G514,NGPrices,4,FALSE),HLOOKUP(D514,PREVVOLS,VLOOKUP(G514,MOVE_DOWN2,2,FALSE),FALSE),VLOOKUP(G514,NGPREVPRICES,3,FALSE),HLOOKUP(D514,Correllate,VLOOKUP(G514,CorMove,2,FALSE),FALSE),Q514-$CD$3,R514,$CJ$5)*H514-CJ514</f>
        <v>0</v>
      </c>
      <c r="CF514" s="10">
        <f t="shared" si="590"/>
        <v>-2.1337816960185592</v>
      </c>
      <c r="CG514" s="234">
        <f>_xll.xSPRDOPT((VLOOKUP(G514,NGPREVPRICES,2,FALSE)+HLOOKUP(D514,PREVCURVES,VLOOKUP(G514,MOVE_DOWN2,2,FALSE),FALSE)),VLOOKUP(G514,NGPREVPRICES,2,FALSE),CK514,VLOOKUP(G514,NGPREVPRICES,4,FALSE),HLOOKUP(D514,VOLS,VLOOKUP(G514,move_down,2,FALSE),FALSE),VLOOKUP(G514,NGPrices,3,FALSE),HLOOKUP(D514,Correllate,VLOOKUP(G514,CorMove,2,FALSE),FALSE),Q514-$CD$3,R514,$CJ$5)*H514-CJ514</f>
        <v>0</v>
      </c>
      <c r="CH514" s="234">
        <f>_xll.xSPRDOPT((VLOOKUP(G514,NGPREVPRICES,2,FALSE)+HLOOKUP(D514,PREVCURVES,VLOOKUP(G514,MOVE_DOWN2,2,FALSE),FALSE)),VLOOKUP(G514,NGPREVPRICES,2,FALSE),CK514,VLOOKUP(G514,NGPREVPRICES,4,FALSE),HLOOKUP(D514,PREVVOLS,VLOOKUP(G514,MOVE_DOWN2,2,FALSE),FALSE),VLOOKUP(G514,NGPREVPRICES,3,FALSE),HLOOKUP(D514,Correllate,VLOOKUP(G514,CorMove,2,FALSE),FALSE),Q514-$C$3,R514,$CJ$5)*H514-CJ514</f>
        <v>-220.20241728843212</v>
      </c>
      <c r="CI514" s="234">
        <f t="shared" si="591"/>
        <v>-222.33619898445068</v>
      </c>
      <c r="CJ514" s="234">
        <f>_xll.xSPRDOPT((VLOOKUP(G514,NGPREVPRICES,2,FALSE)+HLOOKUP(D514,PREVCURVES,VLOOKUP(G514,MOVE_DOWN2,2,FALSE),FALSE)),VLOOKUP(G514,NGPREVPRICES,2,FALSE),CK514,VLOOKUP(G514,NGPREVPRICES,4,FALSE),HLOOKUP(D514,PREVVOLS,VLOOKUP(G514,MOVE_DOWN2,2,FALSE),FALSE),VLOOKUP(G514,NGPREVPRICES,3,FALSE),HLOOKUP(D514,Correllate,VLOOKUP(G514,CorMove,2,FALSE),FALSE),Q514-$CD$3,R514,$CJ$5)*H514</f>
        <v>11574.262395522295</v>
      </c>
      <c r="CK514" s="235">
        <f t="shared" si="592"/>
        <v>0.4</v>
      </c>
      <c r="CM514" t="str">
        <f t="shared" si="593"/>
        <v>36800Curve Shift/Gamma</v>
      </c>
      <c r="CN514" t="str">
        <f t="shared" si="572"/>
        <v>36800Rho</v>
      </c>
      <c r="CO514" t="str">
        <f t="shared" si="573"/>
        <v>36800Drift</v>
      </c>
      <c r="CP514" t="str">
        <f t="shared" si="574"/>
        <v>36800Vega</v>
      </c>
      <c r="CQ514" t="str">
        <f t="shared" si="575"/>
        <v>36800Theta</v>
      </c>
    </row>
    <row r="515" spans="1:95" x14ac:dyDescent="0.25">
      <c r="A515" s="140" t="s">
        <v>509</v>
      </c>
      <c r="B515" t="s">
        <v>250</v>
      </c>
      <c r="C515" t="s">
        <v>520</v>
      </c>
      <c r="D515" s="4" t="s">
        <v>190</v>
      </c>
      <c r="E515" t="s">
        <v>20</v>
      </c>
      <c r="F515" t="s">
        <v>1</v>
      </c>
      <c r="G515" s="5">
        <v>36800</v>
      </c>
      <c r="H515" s="130">
        <v>500000</v>
      </c>
      <c r="I515">
        <v>0.3</v>
      </c>
      <c r="J515" s="53">
        <f t="shared" si="576"/>
        <v>4.6920000000000002</v>
      </c>
      <c r="K515" s="7">
        <f t="shared" si="577"/>
        <v>1.99</v>
      </c>
      <c r="L515" s="53">
        <f t="shared" si="578"/>
        <v>6.6820000000000004</v>
      </c>
      <c r="M515" s="157">
        <f t="shared" si="579"/>
        <v>6.8050789414654006E-2</v>
      </c>
      <c r="N515" s="4">
        <f t="shared" si="580"/>
        <v>0.57499999999999996</v>
      </c>
      <c r="O515" s="4">
        <f t="shared" si="581"/>
        <v>0.54100000000000004</v>
      </c>
      <c r="P515" s="9">
        <f t="shared" si="582"/>
        <v>0.83</v>
      </c>
      <c r="Q515" s="5">
        <f t="shared" si="520"/>
        <v>36797</v>
      </c>
      <c r="R515" s="4">
        <f t="shared" si="583"/>
        <v>0</v>
      </c>
      <c r="S515" s="158">
        <f>_xll.xSPRDOPT($L515,$J515,$I515,$M515,$O515,$N515,$P515,$Q515-$C$3,$R515,0)</f>
        <v>8.9749920953396956E-5</v>
      </c>
      <c r="T515" s="159">
        <f>_xll.xSPRDOPT($L515,$J515,$I515,$M515,$O515,$N515,$P515,$Q515-$C$3,$R515,1)*H515</f>
        <v>-271.75143264923651</v>
      </c>
      <c r="U515" s="160">
        <f t="shared" si="584"/>
        <v>44.874960476698476</v>
      </c>
      <c r="V515" s="159">
        <f>_xll.xSPRDOPT($L515,$J515,$I515,$M515,$O515,$N515,$P515,$Q515-$C$3,$R515,2)*H515</f>
        <v>376.29739957201201</v>
      </c>
      <c r="W515" s="159">
        <f t="shared" si="585"/>
        <v>104.54596692277551</v>
      </c>
      <c r="X515" s="51" t="str">
        <f t="shared" si="586"/>
        <v>36800NGI-SOCAL</v>
      </c>
      <c r="Y515" s="418">
        <f t="shared" si="587"/>
        <v>50</v>
      </c>
      <c r="Z515" s="456">
        <f t="shared" si="588"/>
        <v>-5.4350286529847303E-4</v>
      </c>
      <c r="AA515" s="456">
        <f>_xll.xSPRDOPT($L515,$J515,$I515,$M515,$O515,$N515,$P515,$Q515-$C$3,$R515,3)</f>
        <v>3.1642255325066869E-3</v>
      </c>
      <c r="AB515" s="456">
        <f>((_xll.xSPRDOPT($L515+AB$5,$J515,$I515,$M515,$O515,$N515,$P515,$Q515-$C$3,$R515,3)*$H515)/10000)/100</f>
        <v>1.5821127662533432E-3</v>
      </c>
      <c r="AC515" s="456">
        <f>((_xll.xSPRDOPT($L515+$AB$5,$J515,$I515,$M515,$O515,$N515,$P515,$Q515-$C$3,$R515,7)*$H515)/100)</f>
        <v>-17.10959297854604</v>
      </c>
      <c r="AD515" s="456">
        <f>(_xll.xSPRDOPT($L515+$AB$5,$J515,$I515,$M515,$O515,$N515,$P515,$Q515-$C$3,$R515,9)/365)*$H515</f>
        <v>-9.6972951193206729</v>
      </c>
      <c r="AE515">
        <f t="shared" si="521"/>
        <v>0</v>
      </c>
      <c r="AF515" s="456">
        <f t="shared" si="522"/>
        <v>10.120712872472648</v>
      </c>
      <c r="AG515" s="456">
        <f>((_xll.xSPRDOPT($L515,$J515,$I515,$M515,$O515,$N515,$P515,$Q515-$C$3,$R515,6)*$H515)/100)</f>
        <v>5.2964944675645391</v>
      </c>
      <c r="AH515" s="456">
        <f>((_xll.xSPRDOPT($L515,$J515,$I515,$M515,$O515,$N515,$P515,$Q515-$C$3,$R515,5)*$H515)/100)</f>
        <v>5.1274040347914287</v>
      </c>
      <c r="AI515" s="456">
        <f>(((_xll.xSPRDOPT($L515,$J515,$I515,$M515,$O515,$N515,$P515,$Q515-$C$3,$R515,4)*$H515)/10000)/100)-AB515</f>
        <v>1.3032347078769438E-3</v>
      </c>
      <c r="AJ515" s="456"/>
      <c r="AK515" s="456"/>
      <c r="AL515" s="456"/>
      <c r="AM515" s="472"/>
      <c r="CC515" s="141">
        <f t="shared" si="589"/>
        <v>36800</v>
      </c>
      <c r="CD515" s="234">
        <f>_xll.xSPRDOPT((VLOOKUP(G515,NGPrices,2,FALSE)+HLOOKUP(D515,Prices,VLOOKUP(G515,move_down,2,FALSE),FALSE)),VLOOKUP(G515,NGPrices,2,FALSE),I515,VLOOKUP(G515,NGPREVPRICES,4,FALSE),HLOOKUP(D515,PREVVOLS,VLOOKUP(G515,MOVE_DOWN2,2,FALSE),FALSE),VLOOKUP(G515,NGPREVPRICES,3,FALSE),HLOOKUP(D515,Correllate,VLOOKUP(G515,CorMove,2,FALSE),FALSE),Q515-$CD$3,R515,$CD$5)*H515-CJ515</f>
        <v>0</v>
      </c>
      <c r="CE515" s="234">
        <f>_xll.xSPRDOPT((VLOOKUP(G515,NGPREVPRICES,2,FALSE)+HLOOKUP(D515,PREVCURVES,VLOOKUP(G515,MOVE_DOWN2,2,FALSE),FALSE)),VLOOKUP(G515,NGPREVPRICES,2,FALSE),CK515,VLOOKUP(G515,NGPrices,4,FALSE),HLOOKUP(D515,PREVVOLS,VLOOKUP(G515,MOVE_DOWN2,2,FALSE),FALSE),VLOOKUP(G515,NGPREVPRICES,3,FALSE),HLOOKUP(D515,Correllate,VLOOKUP(G515,CorMove,2,FALSE),FALSE),Q515-$CD$3,R515,$CJ$5)*H515-CJ515</f>
        <v>0</v>
      </c>
      <c r="CF515" s="10">
        <f t="shared" si="590"/>
        <v>-1.020265850917923E-2</v>
      </c>
      <c r="CG515" s="234">
        <f>_xll.xSPRDOPT((VLOOKUP(G515,NGPREVPRICES,2,FALSE)+HLOOKUP(D515,PREVCURVES,VLOOKUP(G515,MOVE_DOWN2,2,FALSE),FALSE)),VLOOKUP(G515,NGPREVPRICES,2,FALSE),CK515,VLOOKUP(G515,NGPREVPRICES,4,FALSE),HLOOKUP(D515,VOLS,VLOOKUP(G515,move_down,2,FALSE),FALSE),VLOOKUP(G515,NGPrices,3,FALSE),HLOOKUP(D515,Correllate,VLOOKUP(G515,CorMove,2,FALSE),FALSE),Q515-$CD$3,R515,$CJ$5)*H515-CJ515</f>
        <v>0</v>
      </c>
      <c r="CH515" s="234">
        <f>_xll.xSPRDOPT((VLOOKUP(G515,NGPREVPRICES,2,FALSE)+HLOOKUP(D515,PREVCURVES,VLOOKUP(G515,MOVE_DOWN2,2,FALSE),FALSE)),VLOOKUP(G515,NGPREVPRICES,2,FALSE),CK515,VLOOKUP(G515,NGPREVPRICES,4,FALSE),HLOOKUP(D515,PREVVOLS,VLOOKUP(G515,MOVE_DOWN2,2,FALSE),FALSE),VLOOKUP(G515,NGPREVPRICES,3,FALSE),HLOOKUP(D515,Correllate,VLOOKUP(G515,CorMove,2,FALSE),FALSE),Q515-$C$3,R515,$CJ$5)*H515-CJ515</f>
        <v>-10.467273894115834</v>
      </c>
      <c r="CI515" s="234">
        <f t="shared" si="591"/>
        <v>-10.477476552625014</v>
      </c>
      <c r="CJ515" s="234">
        <f>_xll.xSPRDOPT((VLOOKUP(G515,NGPREVPRICES,2,FALSE)+HLOOKUP(D515,PREVCURVES,VLOOKUP(G515,MOVE_DOWN2,2,FALSE),FALSE)),VLOOKUP(G515,NGPREVPRICES,2,FALSE),CK515,VLOOKUP(G515,NGPREVPRICES,4,FALSE),HLOOKUP(D515,PREVVOLS,VLOOKUP(G515,MOVE_DOWN2,2,FALSE),FALSE),VLOOKUP(G515,NGPREVPRICES,3,FALSE),HLOOKUP(D515,Correllate,VLOOKUP(G515,CorMove,2,FALSE),FALSE),Q515-$CD$3,R515,$CJ$5)*H515</f>
        <v>55.34223437081431</v>
      </c>
      <c r="CK515" s="235">
        <f t="shared" si="592"/>
        <v>0.3</v>
      </c>
      <c r="CM515" t="str">
        <f t="shared" si="593"/>
        <v>36800Curve Shift/Gamma</v>
      </c>
      <c r="CN515" t="str">
        <f t="shared" si="572"/>
        <v>36800Rho</v>
      </c>
      <c r="CO515" t="str">
        <f t="shared" si="573"/>
        <v>36800Drift</v>
      </c>
      <c r="CP515" t="str">
        <f t="shared" si="574"/>
        <v>36800Vega</v>
      </c>
      <c r="CQ515" t="str">
        <f t="shared" si="575"/>
        <v>36800Theta</v>
      </c>
    </row>
    <row r="516" spans="1:95" x14ac:dyDescent="0.25">
      <c r="A516" s="140" t="s">
        <v>279</v>
      </c>
      <c r="B516" t="s">
        <v>250</v>
      </c>
      <c r="C516" t="s">
        <v>521</v>
      </c>
      <c r="D516" s="4" t="s">
        <v>190</v>
      </c>
      <c r="E516" t="s">
        <v>20</v>
      </c>
      <c r="F516" t="s">
        <v>21</v>
      </c>
      <c r="G516" s="5">
        <v>36951</v>
      </c>
      <c r="H516" s="130">
        <v>500000</v>
      </c>
      <c r="I516">
        <v>0.3</v>
      </c>
      <c r="J516" s="53">
        <f t="shared" si="576"/>
        <v>4.2130000000000001</v>
      </c>
      <c r="K516" s="7">
        <f t="shared" si="577"/>
        <v>0.59750000000000003</v>
      </c>
      <c r="L516" s="53">
        <f t="shared" si="578"/>
        <v>4.8105000000000002</v>
      </c>
      <c r="M516" s="157">
        <f t="shared" si="579"/>
        <v>6.8879814952706994E-2</v>
      </c>
      <c r="N516" s="4">
        <f t="shared" si="580"/>
        <v>0.53249999999999997</v>
      </c>
      <c r="O516" s="4">
        <f t="shared" si="581"/>
        <v>0.51700000000000002</v>
      </c>
      <c r="P516" s="9">
        <f t="shared" si="582"/>
        <v>0.85</v>
      </c>
      <c r="Q516" s="5">
        <f t="shared" si="520"/>
        <v>36949</v>
      </c>
      <c r="R516" s="4">
        <f t="shared" si="583"/>
        <v>1</v>
      </c>
      <c r="S516" s="158">
        <f>_xll.xSPRDOPT($L516,$J516,$I516,$M516,$O516,$N516,$P516,$Q516-$C$3,$R516,0)</f>
        <v>0.51490268222906133</v>
      </c>
      <c r="T516" s="159">
        <f>_xll.xSPRDOPT($L516,$J516,$I516,$M516,$O516,$N516,$P516,$Q516-$C$3,$R516,1)*H516</f>
        <v>320881.50717756222</v>
      </c>
      <c r="U516" s="160">
        <f t="shared" si="584"/>
        <v>257451.34111453066</v>
      </c>
      <c r="V516" s="159">
        <f>_xll.xSPRDOPT($L516,$J516,$I516,$M516,$O516,$N516,$P516,$Q516-$C$3,$R516,2)*H516</f>
        <v>-284047.38765731722</v>
      </c>
      <c r="W516" s="159">
        <f t="shared" si="585"/>
        <v>36834.119520245004</v>
      </c>
      <c r="X516" s="51" t="str">
        <f t="shared" si="586"/>
        <v>36951NGI-SOCAL</v>
      </c>
      <c r="Y516" s="418">
        <f t="shared" si="587"/>
        <v>50</v>
      </c>
      <c r="Z516" s="456">
        <f t="shared" si="588"/>
        <v>0.64176301435512439</v>
      </c>
      <c r="AA516" s="456">
        <f>_xll.xSPRDOPT($L516,$J516,$I516,$M516,$O516,$N516,$P516,$Q516-$C$3,$R516,3)</f>
        <v>0.37242484350268151</v>
      </c>
      <c r="AB516" s="456">
        <f>((_xll.xSPRDOPT($L516+AB$5,$J516,$I516,$M516,$O516,$N516,$P516,$Q516-$C$3,$R516,3)*$H516)/10000)/100</f>
        <v>0.18621242175134076</v>
      </c>
      <c r="AC516" s="456">
        <f>((_xll.xSPRDOPT($L516+$AB$5,$J516,$I516,$M516,$O516,$N516,$P516,$Q516-$C$3,$R516,7)*$H516)/100)</f>
        <v>-5524.3178197308689</v>
      </c>
      <c r="AD516" s="456">
        <f>(_xll.xSPRDOPT($L516+$AB$5,$J516,$I516,$M516,$O516,$N516,$P516,$Q516-$C$3,$R516,9)/365)*$H516</f>
        <v>-410.14168471684883</v>
      </c>
      <c r="AE516">
        <f t="shared" si="521"/>
        <v>0</v>
      </c>
      <c r="AF516" s="456">
        <f t="shared" si="522"/>
        <v>3133.5568078197048</v>
      </c>
      <c r="AG516" s="456">
        <f>((_xll.xSPRDOPT($L516,$J516,$I516,$M516,$O516,$N516,$P516,$Q516-$C$3,$R516,6)*$H516)/100)</f>
        <v>1173.8800273099266</v>
      </c>
      <c r="AH516" s="456">
        <f>((_xll.xSPRDOPT($L516,$J516,$I516,$M516,$O516,$N516,$P516,$Q516-$C$3,$R516,5)*$H516)/100)</f>
        <v>2018.4291791517542</v>
      </c>
      <c r="AI516" s="456">
        <f>(((_xll.xSPRDOPT($L516,$J516,$I516,$M516,$O516,$N516,$P516,$Q516-$C$3,$R516,4)*$H516)/10000)/100)-AB516</f>
        <v>2.5951132870878274E-2</v>
      </c>
      <c r="AJ516" s="456"/>
      <c r="AK516" s="456"/>
      <c r="AL516" s="456"/>
      <c r="AM516" s="472"/>
      <c r="CC516" s="141">
        <f t="shared" si="589"/>
        <v>36951</v>
      </c>
      <c r="CD516" s="234">
        <f>_xll.xSPRDOPT((VLOOKUP(G516,NGPrices,2,FALSE)+HLOOKUP(D516,Prices,VLOOKUP(G516,move_down,2,FALSE),FALSE)),VLOOKUP(G516,NGPrices,2,FALSE),I516,VLOOKUP(G516,NGPREVPRICES,4,FALSE),HLOOKUP(D516,PREVVOLS,VLOOKUP(G516,MOVE_DOWN2,2,FALSE),FALSE),VLOOKUP(G516,NGPREVPRICES,3,FALSE),HLOOKUP(D516,Correllate,VLOOKUP(G516,CorMove,2,FALSE),FALSE),Q516-$CD$3,R516,$CD$5)*H516-CJ516</f>
        <v>0</v>
      </c>
      <c r="CE516" s="234">
        <f>_xll.xSPRDOPT((VLOOKUP(G516,NGPREVPRICES,2,FALSE)+HLOOKUP(D516,PREVCURVES,VLOOKUP(G516,MOVE_DOWN2,2,FALSE),FALSE)),VLOOKUP(G516,NGPREVPRICES,2,FALSE),CK516,VLOOKUP(G516,NGPrices,4,FALSE),HLOOKUP(D516,PREVVOLS,VLOOKUP(G516,MOVE_DOWN2,2,FALSE),FALSE),VLOOKUP(G516,NGPREVPRICES,3,FALSE),HLOOKUP(D516,Correllate,VLOOKUP(G516,CorMove,2,FALSE),FALSE),Q516-$CD$3,R516,$CJ$5)*H516-CJ516</f>
        <v>0</v>
      </c>
      <c r="CF516" s="10">
        <f t="shared" si="590"/>
        <v>-49.453800749208312</v>
      </c>
      <c r="CG516" s="234">
        <f>_xll.xSPRDOPT((VLOOKUP(G516,NGPREVPRICES,2,FALSE)+HLOOKUP(D516,PREVCURVES,VLOOKUP(G516,MOVE_DOWN2,2,FALSE),FALSE)),VLOOKUP(G516,NGPREVPRICES,2,FALSE),CK516,VLOOKUP(G516,NGPREVPRICES,4,FALSE),HLOOKUP(D516,VOLS,VLOOKUP(G516,move_down,2,FALSE),FALSE),VLOOKUP(G516,NGPrices,3,FALSE),HLOOKUP(D516,Correllate,VLOOKUP(G516,CorMove,2,FALSE),FALSE),Q516-$CD$3,R516,$CJ$5)*H516-CJ516</f>
        <v>0</v>
      </c>
      <c r="CH516" s="234">
        <f>_xll.xSPRDOPT((VLOOKUP(G516,NGPREVPRICES,2,FALSE)+HLOOKUP(D516,PREVCURVES,VLOOKUP(G516,MOVE_DOWN2,2,FALSE),FALSE)),VLOOKUP(G516,NGPREVPRICES,2,FALSE),CK516,VLOOKUP(G516,NGPREVPRICES,4,FALSE),HLOOKUP(D516,PREVVOLS,VLOOKUP(G516,MOVE_DOWN2,2,FALSE),FALSE),VLOOKUP(G516,NGPREVPRICES,3,FALSE),HLOOKUP(D516,Correllate,VLOOKUP(G516,CorMove,2,FALSE),FALSE),Q516-$C$3,R516,$CJ$5)*H516-CJ516</f>
        <v>-409.21285839550546</v>
      </c>
      <c r="CI516" s="234">
        <f t="shared" si="591"/>
        <v>-458.66665914471378</v>
      </c>
      <c r="CJ516" s="234">
        <f>_xll.xSPRDOPT((VLOOKUP(G516,NGPREVPRICES,2,FALSE)+HLOOKUP(D516,PREVCURVES,VLOOKUP(G516,MOVE_DOWN2,2,FALSE),FALSE)),VLOOKUP(G516,NGPREVPRICES,2,FALSE),CK516,VLOOKUP(G516,NGPREVPRICES,4,FALSE),HLOOKUP(D516,PREVVOLS,VLOOKUP(G516,MOVE_DOWN2,2,FALSE),FALSE),VLOOKUP(G516,NGPREVPRICES,3,FALSE),HLOOKUP(D516,Correllate,VLOOKUP(G516,CorMove,2,FALSE),FALSE),Q516-$CD$3,R516,$CJ$5)*H516</f>
        <v>257860.55397292617</v>
      </c>
      <c r="CK516" s="235">
        <f t="shared" si="592"/>
        <v>0.3</v>
      </c>
      <c r="CM516" t="str">
        <f t="shared" si="593"/>
        <v>36951Curve Shift/Gamma</v>
      </c>
      <c r="CN516" t="str">
        <f t="shared" si="572"/>
        <v>36951Rho</v>
      </c>
      <c r="CO516" t="str">
        <f t="shared" si="573"/>
        <v>36951Drift</v>
      </c>
      <c r="CP516" t="str">
        <f t="shared" si="574"/>
        <v>36951Vega</v>
      </c>
      <c r="CQ516" t="str">
        <f t="shared" si="575"/>
        <v>36951Theta</v>
      </c>
    </row>
    <row r="517" spans="1:95" x14ac:dyDescent="0.25">
      <c r="A517" s="140" t="s">
        <v>279</v>
      </c>
      <c r="B517" t="s">
        <v>250</v>
      </c>
      <c r="C517" t="s">
        <v>521</v>
      </c>
      <c r="D517" s="4" t="s">
        <v>190</v>
      </c>
      <c r="E517" t="s">
        <v>20</v>
      </c>
      <c r="F517" t="s">
        <v>21</v>
      </c>
      <c r="G517" s="5">
        <v>36923</v>
      </c>
      <c r="H517" s="130">
        <v>500000</v>
      </c>
      <c r="I517">
        <v>0.3</v>
      </c>
      <c r="J517" s="53">
        <f t="shared" si="576"/>
        <v>4.4800000000000004</v>
      </c>
      <c r="K517" s="7">
        <f t="shared" si="577"/>
        <v>0.61750000000000005</v>
      </c>
      <c r="L517" s="53">
        <f t="shared" si="578"/>
        <v>5.0975000000000001</v>
      </c>
      <c r="M517" s="157">
        <f t="shared" si="579"/>
        <v>6.8640161611372E-2</v>
      </c>
      <c r="N517" s="4">
        <f t="shared" si="580"/>
        <v>0.59250000000000003</v>
      </c>
      <c r="O517" s="4">
        <f t="shared" si="581"/>
        <v>0.57499999999999996</v>
      </c>
      <c r="P517" s="9">
        <f t="shared" si="582"/>
        <v>0.85</v>
      </c>
      <c r="Q517" s="5">
        <f t="shared" si="520"/>
        <v>36921</v>
      </c>
      <c r="R517" s="4">
        <f t="shared" si="583"/>
        <v>1</v>
      </c>
      <c r="S517" s="158">
        <f>_xll.xSPRDOPT($L517,$J517,$I517,$M517,$O517,$N517,$P517,$Q517-$C$3,$R517,0)</f>
        <v>0.55864567410775812</v>
      </c>
      <c r="T517" s="159">
        <f>_xll.xSPRDOPT($L517,$J517,$I517,$M517,$O517,$N517,$P517,$Q517-$C$3,$R517,1)*H517</f>
        <v>322075.59466654656</v>
      </c>
      <c r="U517" s="160">
        <f t="shared" si="584"/>
        <v>279322.83705387905</v>
      </c>
      <c r="V517" s="159">
        <f>_xll.xSPRDOPT($L517,$J517,$I517,$M517,$O517,$N517,$P517,$Q517-$C$3,$R517,2)*H517</f>
        <v>-284084.03546328773</v>
      </c>
      <c r="W517" s="159">
        <f t="shared" si="585"/>
        <v>37991.559203258832</v>
      </c>
      <c r="X517" s="51" t="str">
        <f t="shared" si="586"/>
        <v>36923NGI-SOCAL</v>
      </c>
      <c r="Y517" s="418">
        <f t="shared" si="587"/>
        <v>50</v>
      </c>
      <c r="Z517" s="456">
        <f t="shared" si="588"/>
        <v>0.64415118933309312</v>
      </c>
      <c r="AA517" s="456">
        <f>_xll.xSPRDOPT($L517,$J517,$I517,$M517,$O517,$N517,$P517,$Q517-$C$3,$R517,3)</f>
        <v>0.34526336742509806</v>
      </c>
      <c r="AB517" s="456">
        <f>((_xll.xSPRDOPT($L517+AB$5,$J517,$I517,$M517,$O517,$N517,$P517,$Q517-$C$3,$R517,3)*$H517)/10000)/100</f>
        <v>0.17263168371254903</v>
      </c>
      <c r="AC517" s="456">
        <f>((_xll.xSPRDOPT($L517+$AB$5,$J517,$I517,$M517,$O517,$N517,$P517,$Q517-$C$3,$R517,7)*$H517)/100)</f>
        <v>-6045.5462123289853</v>
      </c>
      <c r="AD517" s="456">
        <f>(_xll.xSPRDOPT($L517+$AB$5,$J517,$I517,$M517,$O517,$N517,$P517,$Q517-$C$3,$R517,9)/365)*$H517</f>
        <v>-540.05875049629901</v>
      </c>
      <c r="AE517">
        <f t="shared" si="521"/>
        <v>0</v>
      </c>
      <c r="AF517" s="456">
        <f t="shared" si="522"/>
        <v>3078.3431243497948</v>
      </c>
      <c r="AG517" s="456">
        <f>((_xll.xSPRDOPT($L517,$J517,$I517,$M517,$O517,$N517,$P517,$Q517-$C$3,$R517,6)*$H517)/100)</f>
        <v>1197.3864797689093</v>
      </c>
      <c r="AH517" s="456">
        <f>((_xll.xSPRDOPT($L517,$J517,$I517,$M517,$O517,$N517,$P517,$Q517-$C$3,$R517,5)*$H517)/100)</f>
        <v>1938.2031511550865</v>
      </c>
      <c r="AI517" s="456">
        <f>(((_xll.xSPRDOPT($L517,$J517,$I517,$M517,$O517,$N517,$P517,$Q517-$C$3,$R517,4)*$H517)/10000)/100)-AB517</f>
        <v>2.4228020786760535E-2</v>
      </c>
      <c r="AJ517" s="456"/>
      <c r="AK517" s="456"/>
      <c r="AL517" s="456"/>
      <c r="AM517" s="472"/>
      <c r="CC517" s="141">
        <f t="shared" si="589"/>
        <v>36923</v>
      </c>
      <c r="CD517" s="234">
        <f>_xll.xSPRDOPT((VLOOKUP(G517,NGPrices,2,FALSE)+HLOOKUP(D517,Prices,VLOOKUP(G517,move_down,2,FALSE),FALSE)),VLOOKUP(G517,NGPrices,2,FALSE),I517,VLOOKUP(G517,NGPREVPRICES,4,FALSE),HLOOKUP(D517,PREVVOLS,VLOOKUP(G517,MOVE_DOWN2,2,FALSE),FALSE),VLOOKUP(G517,NGPREVPRICES,3,FALSE),HLOOKUP(D517,Correllate,VLOOKUP(G517,CorMove,2,FALSE),FALSE),Q517-$CD$3,R517,$CD$5)*H517-CJ517</f>
        <v>0</v>
      </c>
      <c r="CE517" s="234">
        <f>_xll.xSPRDOPT((VLOOKUP(G517,NGPREVPRICES,2,FALSE)+HLOOKUP(D517,PREVCURVES,VLOOKUP(G517,MOVE_DOWN2,2,FALSE),FALSE)),VLOOKUP(G517,NGPREVPRICES,2,FALSE),CK517,VLOOKUP(G517,NGPrices,4,FALSE),HLOOKUP(D517,PREVVOLS,VLOOKUP(G517,MOVE_DOWN2,2,FALSE),FALSE),VLOOKUP(G517,NGPREVPRICES,3,FALSE),HLOOKUP(D517,Correllate,VLOOKUP(G517,CorMove,2,FALSE),FALSE),Q517-$CD$3,R517,$CJ$5)*H517-CJ517</f>
        <v>0</v>
      </c>
      <c r="CF517" s="10">
        <f t="shared" si="590"/>
        <v>-53.226439186546486</v>
      </c>
      <c r="CG517" s="234">
        <f>_xll.xSPRDOPT((VLOOKUP(G517,NGPREVPRICES,2,FALSE)+HLOOKUP(D517,PREVCURVES,VLOOKUP(G517,MOVE_DOWN2,2,FALSE),FALSE)),VLOOKUP(G517,NGPREVPRICES,2,FALSE),CK517,VLOOKUP(G517,NGPREVPRICES,4,FALSE),HLOOKUP(D517,VOLS,VLOOKUP(G517,move_down,2,FALSE),FALSE),VLOOKUP(G517,NGPrices,3,FALSE),HLOOKUP(D517,Correllate,VLOOKUP(G517,CorMove,2,FALSE),FALSE),Q517-$CD$3,R517,$CJ$5)*H517-CJ517</f>
        <v>0</v>
      </c>
      <c r="CH517" s="234">
        <f>_xll.xSPRDOPT((VLOOKUP(G517,NGPREVPRICES,2,FALSE)+HLOOKUP(D517,PREVCURVES,VLOOKUP(G517,MOVE_DOWN2,2,FALSE),FALSE)),VLOOKUP(G517,NGPREVPRICES,2,FALSE),CK517,VLOOKUP(G517,NGPREVPRICES,4,FALSE),HLOOKUP(D517,PREVVOLS,VLOOKUP(G517,MOVE_DOWN2,2,FALSE),FALSE),VLOOKUP(G517,NGPREVPRICES,3,FALSE),HLOOKUP(D517,Correllate,VLOOKUP(G517,CorMove,2,FALSE),FALSE),Q517-$C$3,R517,$CJ$5)*H517-CJ517</f>
        <v>-538.7146212363732</v>
      </c>
      <c r="CI517" s="234">
        <f t="shared" si="591"/>
        <v>-591.94106042291969</v>
      </c>
      <c r="CJ517" s="234">
        <f>_xll.xSPRDOPT((VLOOKUP(G517,NGPREVPRICES,2,FALSE)+HLOOKUP(D517,PREVCURVES,VLOOKUP(G517,MOVE_DOWN2,2,FALSE),FALSE)),VLOOKUP(G517,NGPREVPRICES,2,FALSE),CK517,VLOOKUP(G517,NGPREVPRICES,4,FALSE),HLOOKUP(D517,PREVVOLS,VLOOKUP(G517,MOVE_DOWN2,2,FALSE),FALSE),VLOOKUP(G517,NGPREVPRICES,3,FALSE),HLOOKUP(D517,Correllate,VLOOKUP(G517,CorMove,2,FALSE),FALSE),Q517-$CD$3,R517,$CJ$5)*H517</f>
        <v>279861.55167511542</v>
      </c>
      <c r="CK517" s="235">
        <f t="shared" si="592"/>
        <v>0.3</v>
      </c>
      <c r="CM517" t="str">
        <f t="shared" si="593"/>
        <v>36923Curve Shift/Gamma</v>
      </c>
      <c r="CN517" t="str">
        <f t="shared" si="572"/>
        <v>36923Rho</v>
      </c>
      <c r="CO517" t="str">
        <f t="shared" si="573"/>
        <v>36923Drift</v>
      </c>
      <c r="CP517" t="str">
        <f t="shared" si="574"/>
        <v>36923Vega</v>
      </c>
      <c r="CQ517" t="str">
        <f t="shared" si="575"/>
        <v>36923Theta</v>
      </c>
    </row>
    <row r="518" spans="1:95" x14ac:dyDescent="0.25">
      <c r="A518" s="140" t="s">
        <v>279</v>
      </c>
      <c r="B518" t="s">
        <v>250</v>
      </c>
      <c r="C518" t="s">
        <v>521</v>
      </c>
      <c r="D518" s="4" t="s">
        <v>190</v>
      </c>
      <c r="E518" t="s">
        <v>20</v>
      </c>
      <c r="F518" t="s">
        <v>21</v>
      </c>
      <c r="G518" s="5">
        <v>36892</v>
      </c>
      <c r="H518" s="130">
        <v>500000</v>
      </c>
      <c r="I518">
        <v>0.3</v>
      </c>
      <c r="J518" s="53">
        <f t="shared" ref="J518:J532" si="594">VLOOKUP(G518,NGPrices,2,FALSE)</f>
        <v>4.7439999999999998</v>
      </c>
      <c r="K518" s="7">
        <f t="shared" ref="K518:K532" si="595">HLOOKUP(D518,Prices,VLOOKUP(G518,move_down,2,FALSE),FALSE)+VLOOKUP(G518,CHANGE,HLOOKUP(D518,CHANGE,2,FALSE),FALSE)</f>
        <v>0.76749999999999996</v>
      </c>
      <c r="L518" s="53">
        <f t="shared" ref="L518:L532" si="596">K518+J518</f>
        <v>5.5114999999999998</v>
      </c>
      <c r="M518" s="157">
        <f t="shared" ref="M518:M532" si="597">VLOOKUP(G518,NGPrices,4,FALSE)</f>
        <v>6.8374831148490994E-2</v>
      </c>
      <c r="N518" s="4">
        <f t="shared" ref="N518:N532" si="598">VLOOKUP(G518,NGPrices,3,FALSE)</f>
        <v>0.60499999999999998</v>
      </c>
      <c r="O518" s="4">
        <f t="shared" ref="O518:O532" si="599">HLOOKUP(D518,VOLS,VLOOKUP(G518,move_down,2,FALSE),FALSE)</f>
        <v>0.58699999999999997</v>
      </c>
      <c r="P518" s="9">
        <f t="shared" ref="P518:P532" si="600">HLOOKUP(D518,Correllate,VLOOKUP(G518,CorMove,2,FALSE),FALSE)</f>
        <v>0.85</v>
      </c>
      <c r="Q518" s="5">
        <f t="shared" si="520"/>
        <v>36888</v>
      </c>
      <c r="R518" s="4">
        <f t="shared" ref="R518:R532" si="601">IF(F518="P",0,1)</f>
        <v>1</v>
      </c>
      <c r="S518" s="158">
        <f>_xll.xSPRDOPT($L518,$J518,$I518,$M518,$O518,$N518,$P518,$Q518-$C$3,$R518,0)</f>
        <v>0.64709519353176437</v>
      </c>
      <c r="T518" s="159">
        <f>_xll.xSPRDOPT($L518,$J518,$I518,$M518,$O518,$N518,$P518,$Q518-$C$3,$R518,1)*H518</f>
        <v>351067.5471191078</v>
      </c>
      <c r="U518" s="160">
        <f t="shared" ref="U518:U532" si="602">S518*H518</f>
        <v>323547.59676588216</v>
      </c>
      <c r="V518" s="159">
        <f>_xll.xSPRDOPT($L518,$J518,$I518,$M518,$O518,$N518,$P518,$Q518-$C$3,$R518,2)*H518</f>
        <v>-318655.53273470345</v>
      </c>
      <c r="W518" s="159">
        <f t="shared" ref="W518:W532" si="603">+V518+T518</f>
        <v>32412.014384404349</v>
      </c>
      <c r="X518" s="51" t="str">
        <f t="shared" ref="X518:X532" si="604">CONCATENATE(G518,D518)</f>
        <v>36892NGI-SOCAL</v>
      </c>
      <c r="Y518" s="418">
        <f t="shared" ref="Y518:Y532" si="605">H518/10000</f>
        <v>50</v>
      </c>
      <c r="Z518" s="456">
        <f t="shared" ref="Z518:Z532" si="606">T518/H518</f>
        <v>0.70213509423821563</v>
      </c>
      <c r="AA518" s="456">
        <f>_xll.xSPRDOPT($L518,$J518,$I518,$M518,$O518,$N518,$P518,$Q518-$C$3,$R518,3)</f>
        <v>0.32785906506017948</v>
      </c>
      <c r="AB518" s="456">
        <f>((_xll.xSPRDOPT($L518+AB$5,$J518,$I518,$M518,$O518,$N518,$P518,$Q518-$C$3,$R518,3)*$H518)/10000)/100</f>
        <v>0.16392953253008977</v>
      </c>
      <c r="AC518" s="456">
        <f>((_xll.xSPRDOPT($L518+$AB$5,$J518,$I518,$M518,$O518,$N518,$P518,$Q518-$C$3,$R518,7)*$H518)/100)</f>
        <v>-5519.7164127032847</v>
      </c>
      <c r="AD518" s="456">
        <f>(_xll.xSPRDOPT($L518+$AB$5,$J518,$I518,$M518,$O518,$N518,$P518,$Q518-$C$3,$R518,9)/365)*$H518</f>
        <v>-626.99862682773266</v>
      </c>
      <c r="AE518">
        <f t="shared" si="521"/>
        <v>0</v>
      </c>
      <c r="AF518" s="456">
        <f t="shared" si="522"/>
        <v>2748.5504188921946</v>
      </c>
      <c r="AG518" s="456">
        <f>((_xll.xSPRDOPT($L518,$J518,$I518,$M518,$O518,$N518,$P518,$Q518-$C$3,$R518,6)*$H518)/100)</f>
        <v>1108.1642513264092</v>
      </c>
      <c r="AH518" s="456">
        <f>((_xll.xSPRDOPT($L518,$J518,$I518,$M518,$O518,$N518,$P518,$Q518-$C$3,$R518,5)*$H518)/100)</f>
        <v>1690.6876173378198</v>
      </c>
      <c r="AI518" s="456">
        <f>(((_xll.xSPRDOPT($L518,$J518,$I518,$M518,$O518,$N518,$P518,$Q518-$C$3,$R518,4)*$H518)/10000)/100)-AB518</f>
        <v>3.256422405679274E-2</v>
      </c>
      <c r="AJ518" s="456"/>
      <c r="AK518" s="456"/>
      <c r="AL518" s="456"/>
      <c r="AM518" s="472"/>
      <c r="CC518" s="141">
        <f t="shared" ref="CC518:CC532" si="607">G518</f>
        <v>36892</v>
      </c>
      <c r="CD518" s="234">
        <f>_xll.xSPRDOPT((VLOOKUP(G518,NGPrices,2,FALSE)+HLOOKUP(D518,Prices,VLOOKUP(G518,move_down,2,FALSE),FALSE)),VLOOKUP(G518,NGPrices,2,FALSE),I518,VLOOKUP(G518,NGPREVPRICES,4,FALSE),HLOOKUP(D518,PREVVOLS,VLOOKUP(G518,MOVE_DOWN2,2,FALSE),FALSE),VLOOKUP(G518,NGPREVPRICES,3,FALSE),HLOOKUP(D518,Correllate,VLOOKUP(G518,CorMove,2,FALSE),FALSE),Q518-$CD$3,R518,$CD$5)*H518-CJ518</f>
        <v>0</v>
      </c>
      <c r="CE518" s="234">
        <f>_xll.xSPRDOPT((VLOOKUP(G518,NGPREVPRICES,2,FALSE)+HLOOKUP(D518,PREVCURVES,VLOOKUP(G518,MOVE_DOWN2,2,FALSE),FALSE)),VLOOKUP(G518,NGPREVPRICES,2,FALSE),CK518,VLOOKUP(G518,NGPrices,4,FALSE),HLOOKUP(D518,PREVVOLS,VLOOKUP(G518,MOVE_DOWN2,2,FALSE),FALSE),VLOOKUP(G518,NGPREVPRICES,3,FALSE),HLOOKUP(D518,Correllate,VLOOKUP(G518,CorMove,2,FALSE),FALSE),Q518-$CD$3,R518,$CJ$5)*H518-CJ518</f>
        <v>0</v>
      </c>
      <c r="CF518" s="10">
        <f t="shared" ref="CF518:CF532" si="608">(CJ518/VLOOKUP(CC518,discount,3,FALSE))-(CJ518/VLOOKUP(CC518,discount,2,FALSE))</f>
        <v>-61.087528495583683</v>
      </c>
      <c r="CG518" s="234">
        <f>_xll.xSPRDOPT((VLOOKUP(G518,NGPREVPRICES,2,FALSE)+HLOOKUP(D518,PREVCURVES,VLOOKUP(G518,MOVE_DOWN2,2,FALSE),FALSE)),VLOOKUP(G518,NGPREVPRICES,2,FALSE),CK518,VLOOKUP(G518,NGPREVPRICES,4,FALSE),HLOOKUP(D518,VOLS,VLOOKUP(G518,move_down,2,FALSE),FALSE),VLOOKUP(G518,NGPrices,3,FALSE),HLOOKUP(D518,Correllate,VLOOKUP(G518,CorMove,2,FALSE),FALSE),Q518-$CD$3,R518,$CJ$5)*H518-CJ518</f>
        <v>0</v>
      </c>
      <c r="CH518" s="234">
        <f>_xll.xSPRDOPT((VLOOKUP(G518,NGPREVPRICES,2,FALSE)+HLOOKUP(D518,PREVCURVES,VLOOKUP(G518,MOVE_DOWN2,2,FALSE),FALSE)),VLOOKUP(G518,NGPREVPRICES,2,FALSE),CK518,VLOOKUP(G518,NGPREVPRICES,4,FALSE),HLOOKUP(D518,PREVVOLS,VLOOKUP(G518,MOVE_DOWN2,2,FALSE),FALSE),VLOOKUP(G518,NGPREVPRICES,3,FALSE),HLOOKUP(D518,Correllate,VLOOKUP(G518,CorMove,2,FALSE),FALSE),Q518-$C$3,R518,$CJ$5)*H518-CJ518</f>
        <v>-625.35537850199034</v>
      </c>
      <c r="CI518" s="234">
        <f t="shared" ref="CI518:CI532" si="609">SUM(CD518:CH518)</f>
        <v>-686.44290699757403</v>
      </c>
      <c r="CJ518" s="234">
        <f>_xll.xSPRDOPT((VLOOKUP(G518,NGPREVPRICES,2,FALSE)+HLOOKUP(D518,PREVCURVES,VLOOKUP(G518,MOVE_DOWN2,2,FALSE),FALSE)),VLOOKUP(G518,NGPREVPRICES,2,FALSE),CK518,VLOOKUP(G518,NGPREVPRICES,4,FALSE),HLOOKUP(D518,PREVVOLS,VLOOKUP(G518,MOVE_DOWN2,2,FALSE),FALSE),VLOOKUP(G518,NGPREVPRICES,3,FALSE),HLOOKUP(D518,Correllate,VLOOKUP(G518,CorMove,2,FALSE),FALSE),Q518-$CD$3,R518,$CJ$5)*H518</f>
        <v>324172.95214438415</v>
      </c>
      <c r="CK518" s="235">
        <f t="shared" ref="CK518:CK532" si="610">I518</f>
        <v>0.3</v>
      </c>
      <c r="CM518" t="str">
        <f t="shared" ref="CM518:CM532" si="611">CONCATENATE(CC518,$CD$6)</f>
        <v>36892Curve Shift/Gamma</v>
      </c>
      <c r="CN518" t="str">
        <f t="shared" si="572"/>
        <v>36892Rho</v>
      </c>
      <c r="CO518" t="str">
        <f t="shared" si="573"/>
        <v>36892Drift</v>
      </c>
      <c r="CP518" t="str">
        <f t="shared" si="574"/>
        <v>36892Vega</v>
      </c>
      <c r="CQ518" t="str">
        <f t="shared" si="575"/>
        <v>36892Theta</v>
      </c>
    </row>
    <row r="519" spans="1:95" x14ac:dyDescent="0.25">
      <c r="A519" s="140" t="s">
        <v>279</v>
      </c>
      <c r="B519" t="s">
        <v>250</v>
      </c>
      <c r="C519" t="s">
        <v>521</v>
      </c>
      <c r="D519" s="4" t="s">
        <v>190</v>
      </c>
      <c r="E519" t="s">
        <v>20</v>
      </c>
      <c r="F519" t="s">
        <v>21</v>
      </c>
      <c r="G519" s="5">
        <v>36861</v>
      </c>
      <c r="H519" s="130">
        <v>500000</v>
      </c>
      <c r="I519">
        <v>0.3</v>
      </c>
      <c r="J519" s="53">
        <f t="shared" si="594"/>
        <v>4.8</v>
      </c>
      <c r="K519" s="7">
        <f t="shared" si="595"/>
        <v>1.0049999999999999</v>
      </c>
      <c r="L519" s="53">
        <f t="shared" si="596"/>
        <v>5.8049999999999997</v>
      </c>
      <c r="M519" s="157">
        <f t="shared" si="597"/>
        <v>6.8314027999354002E-2</v>
      </c>
      <c r="N519" s="4">
        <f t="shared" si="598"/>
        <v>0.6</v>
      </c>
      <c r="O519" s="4">
        <f t="shared" si="599"/>
        <v>0.58199999999999996</v>
      </c>
      <c r="P519" s="9">
        <f t="shared" si="600"/>
        <v>0.85</v>
      </c>
      <c r="Q519" s="5">
        <f t="shared" ref="Q519:Q582" si="612">WORKDAY(G519,-2)</f>
        <v>36859</v>
      </c>
      <c r="R519" s="4">
        <f t="shared" si="601"/>
        <v>1</v>
      </c>
      <c r="S519" s="158">
        <f>_xll.xSPRDOPT($L519,$J519,$I519,$M519,$O519,$N519,$P519,$Q519-$C$3,$R519,0)</f>
        <v>0.79086517743194373</v>
      </c>
      <c r="T519" s="159">
        <f>_xll.xSPRDOPT($L519,$J519,$I519,$M519,$O519,$N519,$P519,$Q519-$C$3,$R519,1)*H519</f>
        <v>400938.49505977065</v>
      </c>
      <c r="U519" s="160">
        <f t="shared" si="602"/>
        <v>395432.58871597185</v>
      </c>
      <c r="V519" s="159">
        <f>_xll.xSPRDOPT($L519,$J519,$I519,$M519,$O519,$N519,$P519,$Q519-$C$3,$R519,2)*H519</f>
        <v>-378249.69982771162</v>
      </c>
      <c r="W519" s="159">
        <f t="shared" si="603"/>
        <v>22688.795232059027</v>
      </c>
      <c r="X519" s="51" t="str">
        <f t="shared" si="604"/>
        <v>36861NGI-SOCAL</v>
      </c>
      <c r="Y519" s="418">
        <f t="shared" si="605"/>
        <v>50</v>
      </c>
      <c r="Z519" s="456">
        <f t="shared" si="606"/>
        <v>0.80187699011954128</v>
      </c>
      <c r="AA519" s="456">
        <f>_xll.xSPRDOPT($L519,$J519,$I519,$M519,$O519,$N519,$P519,$Q519-$C$3,$R519,3)</f>
        <v>0.28521344905962409</v>
      </c>
      <c r="AB519" s="456">
        <f>((_xll.xSPRDOPT($L519+AB$5,$J519,$I519,$M519,$O519,$N519,$P519,$Q519-$C$3,$R519,3)*$H519)/10000)/100</f>
        <v>0.14260672452981205</v>
      </c>
      <c r="AC519" s="456">
        <f>((_xll.xSPRDOPT($L519+$AB$5,$J519,$I519,$M519,$O519,$N519,$P519,$Q519-$C$3,$R519,7)*$H519)/100)</f>
        <v>-3989.6443391911307</v>
      </c>
      <c r="AD519" s="456">
        <f>(_xll.xSPRDOPT($L519+$AB$5,$J519,$I519,$M519,$O519,$N519,$P519,$Q519-$C$3,$R519,9)/365)*$H519</f>
        <v>-579.14433788711472</v>
      </c>
      <c r="AE519">
        <f t="shared" ref="AE519:AE575" si="613">CD519</f>
        <v>0</v>
      </c>
      <c r="AF519" s="456">
        <f t="shared" ref="AF519:AF550" si="614">((O519/N519)*AH519)+AG519</f>
        <v>2001.6351712118067</v>
      </c>
      <c r="AG519" s="456">
        <f>((_xll.xSPRDOPT($L519,$J519,$I519,$M519,$O519,$N519,$P519,$Q519-$C$3,$R519,6)*$H519)/100)</f>
        <v>820.22191059687748</v>
      </c>
      <c r="AH519" s="456">
        <f>((_xll.xSPRDOPT($L519,$J519,$I519,$M519,$O519,$N519,$P519,$Q519-$C$3,$R519,5)*$H519)/100)</f>
        <v>1217.9518150669373</v>
      </c>
      <c r="AI519" s="456">
        <f>(((_xll.xSPRDOPT($L519,$J519,$I519,$M519,$O519,$N519,$P519,$Q519-$C$3,$R519,4)*$H519)/10000)/100)-AB519</f>
        <v>4.3268004220612638E-2</v>
      </c>
      <c r="AJ519" s="456"/>
      <c r="AK519" s="456"/>
      <c r="AL519" s="456"/>
      <c r="AM519" s="472"/>
      <c r="CC519" s="141">
        <f t="shared" si="607"/>
        <v>36861</v>
      </c>
      <c r="CD519" s="234">
        <f>_xll.xSPRDOPT((VLOOKUP(G519,NGPrices,2,FALSE)+HLOOKUP(D519,Prices,VLOOKUP(G519,move_down,2,FALSE),FALSE)),VLOOKUP(G519,NGPrices,2,FALSE),I519,VLOOKUP(G519,NGPREVPRICES,4,FALSE),HLOOKUP(D519,PREVVOLS,VLOOKUP(G519,MOVE_DOWN2,2,FALSE),FALSE),VLOOKUP(G519,NGPREVPRICES,3,FALSE),HLOOKUP(D519,Correllate,VLOOKUP(G519,CorMove,2,FALSE),FALSE),Q519-$CD$3,R519,$CD$5)*H519-CJ519</f>
        <v>0</v>
      </c>
      <c r="CE519" s="234">
        <f>_xll.xSPRDOPT((VLOOKUP(G519,NGPREVPRICES,2,FALSE)+HLOOKUP(D519,PREVCURVES,VLOOKUP(G519,MOVE_DOWN2,2,FALSE),FALSE)),VLOOKUP(G519,NGPREVPRICES,2,FALSE),CK519,VLOOKUP(G519,NGPrices,4,FALSE),HLOOKUP(D519,PREVVOLS,VLOOKUP(G519,MOVE_DOWN2,2,FALSE),FALSE),VLOOKUP(G519,NGPREVPRICES,3,FALSE),HLOOKUP(D519,Correllate,VLOOKUP(G519,CorMove,2,FALSE),FALSE),Q519-$CD$3,R519,$CJ$5)*H519-CJ519</f>
        <v>0</v>
      </c>
      <c r="CF519" s="10">
        <f t="shared" si="608"/>
        <v>-74.187813574331813</v>
      </c>
      <c r="CG519" s="234">
        <f>_xll.xSPRDOPT((VLOOKUP(G519,NGPREVPRICES,2,FALSE)+HLOOKUP(D519,PREVCURVES,VLOOKUP(G519,MOVE_DOWN2,2,FALSE),FALSE)),VLOOKUP(G519,NGPREVPRICES,2,FALSE),CK519,VLOOKUP(G519,NGPREVPRICES,4,FALSE),HLOOKUP(D519,VOLS,VLOOKUP(G519,move_down,2,FALSE),FALSE),VLOOKUP(G519,NGPrices,3,FALSE),HLOOKUP(D519,Correllate,VLOOKUP(G519,CorMove,2,FALSE),FALSE),Q519-$CD$3,R519,$CJ$5)*H519-CJ519</f>
        <v>0</v>
      </c>
      <c r="CH519" s="234">
        <f>_xll.xSPRDOPT((VLOOKUP(G519,NGPREVPRICES,2,FALSE)+HLOOKUP(D519,PREVCURVES,VLOOKUP(G519,MOVE_DOWN2,2,FALSE),FALSE)),VLOOKUP(G519,NGPREVPRICES,2,FALSE),CK519,VLOOKUP(G519,NGPREVPRICES,4,FALSE),HLOOKUP(D519,PREVVOLS,VLOOKUP(G519,MOVE_DOWN2,2,FALSE),FALSE),VLOOKUP(G519,NGPREVPRICES,3,FALSE),HLOOKUP(D519,Correllate,VLOOKUP(G519,CorMove,2,FALSE),FALSE),Q519-$C$3,R519,$CJ$5)*H519-CJ519</f>
        <v>-578.0404848503531</v>
      </c>
      <c r="CI519" s="234">
        <f t="shared" si="609"/>
        <v>-652.22829842468491</v>
      </c>
      <c r="CJ519" s="234">
        <f>_xll.xSPRDOPT((VLOOKUP(G519,NGPREVPRICES,2,FALSE)+HLOOKUP(D519,PREVCURVES,VLOOKUP(G519,MOVE_DOWN2,2,FALSE),FALSE)),VLOOKUP(G519,NGPREVPRICES,2,FALSE),CK519,VLOOKUP(G519,NGPREVPRICES,4,FALSE),HLOOKUP(D519,PREVVOLS,VLOOKUP(G519,MOVE_DOWN2,2,FALSE),FALSE),VLOOKUP(G519,NGPREVPRICES,3,FALSE),HLOOKUP(D519,Correllate,VLOOKUP(G519,CorMove,2,FALSE),FALSE),Q519-$CD$3,R519,$CJ$5)*H519</f>
        <v>396010.62920082221</v>
      </c>
      <c r="CK519" s="235">
        <f t="shared" si="610"/>
        <v>0.3</v>
      </c>
      <c r="CM519" t="str">
        <f t="shared" si="611"/>
        <v>36861Curve Shift/Gamma</v>
      </c>
      <c r="CN519" t="str">
        <f t="shared" si="572"/>
        <v>36861Rho</v>
      </c>
      <c r="CO519" t="str">
        <f t="shared" si="573"/>
        <v>36861Drift</v>
      </c>
      <c r="CP519" t="str">
        <f t="shared" si="574"/>
        <v>36861Vega</v>
      </c>
      <c r="CQ519" t="str">
        <f t="shared" si="575"/>
        <v>36861Theta</v>
      </c>
    </row>
    <row r="520" spans="1:95" x14ac:dyDescent="0.25">
      <c r="A520" s="140" t="s">
        <v>279</v>
      </c>
      <c r="B520" t="s">
        <v>250</v>
      </c>
      <c r="C520" t="s">
        <v>521</v>
      </c>
      <c r="D520" s="4" t="s">
        <v>190</v>
      </c>
      <c r="E520" t="s">
        <v>20</v>
      </c>
      <c r="F520" t="s">
        <v>21</v>
      </c>
      <c r="G520" s="5">
        <v>36831</v>
      </c>
      <c r="H520" s="130">
        <v>500000</v>
      </c>
      <c r="I520">
        <v>0.3</v>
      </c>
      <c r="J520" s="53">
        <f t="shared" si="594"/>
        <v>4.7359999999999998</v>
      </c>
      <c r="K520" s="7">
        <f t="shared" si="595"/>
        <v>1.5449999999999999</v>
      </c>
      <c r="L520" s="53">
        <f t="shared" si="596"/>
        <v>6.2809999999999997</v>
      </c>
      <c r="M520" s="157">
        <f t="shared" si="597"/>
        <v>6.810675983792E-2</v>
      </c>
      <c r="N520" s="4">
        <f t="shared" si="598"/>
        <v>0.59499999999999997</v>
      </c>
      <c r="O520" s="4">
        <f t="shared" si="599"/>
        <v>0.57699999999999996</v>
      </c>
      <c r="P520" s="9">
        <f t="shared" si="600"/>
        <v>0.85</v>
      </c>
      <c r="Q520" s="5">
        <f t="shared" si="612"/>
        <v>36829</v>
      </c>
      <c r="R520" s="4">
        <f t="shared" si="601"/>
        <v>1</v>
      </c>
      <c r="S520" s="158">
        <f>_xll.xSPRDOPT($L520,$J520,$I520,$M520,$O520,$N520,$P520,$Q520-$C$3,$R520,0)</f>
        <v>1.2431783155446245</v>
      </c>
      <c r="T520" s="159">
        <f>_xll.xSPRDOPT($L520,$J520,$I520,$M520,$O520,$N520,$P520,$Q520-$C$3,$R520,1)*H520</f>
        <v>475821.65876195504</v>
      </c>
      <c r="U520" s="160">
        <f t="shared" si="602"/>
        <v>621589.15777231229</v>
      </c>
      <c r="V520" s="159">
        <f>_xll.xSPRDOPT($L520,$J520,$I520,$M520,$O520,$N520,$P520,$Q520-$C$3,$R520,2)*H520</f>
        <v>-469864.6870581049</v>
      </c>
      <c r="W520" s="159">
        <f t="shared" si="603"/>
        <v>5956.9717038501403</v>
      </c>
      <c r="X520" s="51" t="str">
        <f t="shared" si="604"/>
        <v>36831NGI-SOCAL</v>
      </c>
      <c r="Y520" s="418">
        <f t="shared" si="605"/>
        <v>50</v>
      </c>
      <c r="Z520" s="456">
        <f t="shared" si="606"/>
        <v>0.95164331752391007</v>
      </c>
      <c r="AA520" s="456">
        <f>_xll.xSPRDOPT($L520,$J520,$I520,$M520,$O520,$N520,$P520,$Q520-$C$3,$R520,3)</f>
        <v>9.9509688054344972E-2</v>
      </c>
      <c r="AB520" s="456">
        <f>((_xll.xSPRDOPT($L520+AB$5,$J520,$I520,$M520,$O520,$N520,$P520,$Q520-$C$3,$R520,3)*$H520)/10000)/100</f>
        <v>4.9754844027172486E-2</v>
      </c>
      <c r="AC520" s="456">
        <f>((_xll.xSPRDOPT($L520+$AB$5,$J520,$I520,$M520,$O520,$N520,$P520,$Q520-$C$3,$R520,7)*$H520)/100)</f>
        <v>-1081.4546583235704</v>
      </c>
      <c r="AD520" s="456">
        <f>(_xll.xSPRDOPT($L520+$AB$5,$J520,$I520,$M520,$O520,$N520,$P520,$Q520-$C$3,$R520,9)/365)*$H520</f>
        <v>-146.5554051283201</v>
      </c>
      <c r="AE520">
        <f t="shared" si="613"/>
        <v>0</v>
      </c>
      <c r="AF520" s="456">
        <f t="shared" si="614"/>
        <v>546.76795995340422</v>
      </c>
      <c r="AG520" s="456">
        <f>((_xll.xSPRDOPT($L520,$J520,$I520,$M520,$O520,$N520,$P520,$Q520-$C$3,$R520,6)*$H520)/100)</f>
        <v>227.33103136861752</v>
      </c>
      <c r="AH520" s="456">
        <f>((_xll.xSPRDOPT($L520,$J520,$I520,$M520,$O520,$N520,$P520,$Q520-$C$3,$R520,5)*$H520)/100)</f>
        <v>329.40203207616651</v>
      </c>
      <c r="AI520" s="456">
        <f>(((_xll.xSPRDOPT($L520,$J520,$I520,$M520,$O520,$N520,$P520,$Q520-$C$3,$R520,4)*$H520)/10000)/100)-AB520</f>
        <v>2.8477672439802253E-2</v>
      </c>
      <c r="AJ520" s="456"/>
      <c r="AK520" s="456"/>
      <c r="AL520" s="456"/>
      <c r="AM520" s="472"/>
      <c r="CC520" s="141">
        <f t="shared" si="607"/>
        <v>36831</v>
      </c>
      <c r="CD520" s="234">
        <f>_xll.xSPRDOPT((VLOOKUP(G520,NGPrices,2,FALSE)+HLOOKUP(D520,Prices,VLOOKUP(G520,move_down,2,FALSE),FALSE)),VLOOKUP(G520,NGPrices,2,FALSE),I520,VLOOKUP(G520,NGPREVPRICES,4,FALSE),HLOOKUP(D520,PREVVOLS,VLOOKUP(G520,MOVE_DOWN2,2,FALSE),FALSE),VLOOKUP(G520,NGPREVPRICES,3,FALSE),HLOOKUP(D520,Correllate,VLOOKUP(G520,CorMove,2,FALSE),FALSE),Q520-$CD$3,R520,$CD$5)*H520-CJ520</f>
        <v>0</v>
      </c>
      <c r="CE520" s="234">
        <f>_xll.xSPRDOPT((VLOOKUP(G520,NGPREVPRICES,2,FALSE)+HLOOKUP(D520,PREVCURVES,VLOOKUP(G520,MOVE_DOWN2,2,FALSE),FALSE)),VLOOKUP(G520,NGPREVPRICES,2,FALSE),CK520,VLOOKUP(G520,NGPrices,4,FALSE),HLOOKUP(D520,PREVVOLS,VLOOKUP(G520,MOVE_DOWN2,2,FALSE),FALSE),VLOOKUP(G520,NGPREVPRICES,3,FALSE),HLOOKUP(D520,Correllate,VLOOKUP(G520,CorMove,2,FALSE),FALSE),Q520-$CD$3,R520,$CJ$5)*H520-CJ520</f>
        <v>0</v>
      </c>
      <c r="CF520" s="10">
        <f t="shared" si="608"/>
        <v>-115.46329461084679</v>
      </c>
      <c r="CG520" s="234">
        <f>_xll.xSPRDOPT((VLOOKUP(G520,NGPREVPRICES,2,FALSE)+HLOOKUP(D520,PREVCURVES,VLOOKUP(G520,MOVE_DOWN2,2,FALSE),FALSE)),VLOOKUP(G520,NGPREVPRICES,2,FALSE),CK520,VLOOKUP(G520,NGPREVPRICES,4,FALSE),HLOOKUP(D520,VOLS,VLOOKUP(G520,move_down,2,FALSE),FALSE),VLOOKUP(G520,NGPrices,3,FALSE),HLOOKUP(D520,Correllate,VLOOKUP(G520,CorMove,2,FALSE),FALSE),Q520-$CD$3,R520,$CJ$5)*H520-CJ520</f>
        <v>0</v>
      </c>
      <c r="CH520" s="234">
        <f>_xll.xSPRDOPT((VLOOKUP(G520,NGPREVPRICES,2,FALSE)+HLOOKUP(D520,PREVCURVES,VLOOKUP(G520,MOVE_DOWN2,2,FALSE),FALSE)),VLOOKUP(G520,NGPREVPRICES,2,FALSE),CK520,VLOOKUP(G520,NGPREVPRICES,4,FALSE),HLOOKUP(D520,PREVVOLS,VLOOKUP(G520,MOVE_DOWN2,2,FALSE),FALSE),VLOOKUP(G520,NGPREVPRICES,3,FALSE),HLOOKUP(D520,Correllate,VLOOKUP(G520,CorMove,2,FALSE),FALSE),Q520-$C$3,R520,$CJ$5)*H520-CJ520</f>
        <v>-148.46131226990838</v>
      </c>
      <c r="CI520" s="234">
        <f t="shared" si="609"/>
        <v>-263.92460688075516</v>
      </c>
      <c r="CJ520" s="234">
        <f>_xll.xSPRDOPT((VLOOKUP(G520,NGPREVPRICES,2,FALSE)+HLOOKUP(D520,PREVCURVES,VLOOKUP(G520,MOVE_DOWN2,2,FALSE),FALSE)),VLOOKUP(G520,NGPREVPRICES,2,FALSE),CK520,VLOOKUP(G520,NGPREVPRICES,4,FALSE),HLOOKUP(D520,PREVVOLS,VLOOKUP(G520,MOVE_DOWN2,2,FALSE),FALSE),VLOOKUP(G520,NGPREVPRICES,3,FALSE),HLOOKUP(D520,Correllate,VLOOKUP(G520,CorMove,2,FALSE),FALSE),Q520-$CD$3,R520,$CJ$5)*H520</f>
        <v>621737.6190845822</v>
      </c>
      <c r="CK520" s="235">
        <f t="shared" si="610"/>
        <v>0.3</v>
      </c>
      <c r="CM520" t="str">
        <f t="shared" si="611"/>
        <v>36831Curve Shift/Gamma</v>
      </c>
      <c r="CN520" t="str">
        <f t="shared" si="572"/>
        <v>36831Rho</v>
      </c>
      <c r="CO520" t="str">
        <f t="shared" si="573"/>
        <v>36831Drift</v>
      </c>
      <c r="CP520" t="str">
        <f t="shared" si="574"/>
        <v>36831Vega</v>
      </c>
      <c r="CQ520" t="str">
        <f t="shared" si="575"/>
        <v>36831Theta</v>
      </c>
    </row>
    <row r="521" spans="1:95" x14ac:dyDescent="0.25">
      <c r="A521" s="140" t="s">
        <v>279</v>
      </c>
      <c r="B521" t="s">
        <v>250</v>
      </c>
      <c r="C521" t="s">
        <v>522</v>
      </c>
      <c r="D521" s="4" t="s">
        <v>7</v>
      </c>
      <c r="E521" t="s">
        <v>20</v>
      </c>
      <c r="F521" t="s">
        <v>1</v>
      </c>
      <c r="G521" s="5">
        <v>36951</v>
      </c>
      <c r="H521" s="130">
        <v>-1000000</v>
      </c>
      <c r="I521">
        <v>1.3</v>
      </c>
      <c r="J521" s="53">
        <f t="shared" si="594"/>
        <v>4.2130000000000001</v>
      </c>
      <c r="K521" s="7">
        <f t="shared" si="595"/>
        <v>1.075</v>
      </c>
      <c r="L521" s="53">
        <f t="shared" si="596"/>
        <v>5.2880000000000003</v>
      </c>
      <c r="M521" s="157">
        <f t="shared" si="597"/>
        <v>6.8879814952706994E-2</v>
      </c>
      <c r="N521" s="4">
        <f t="shared" si="598"/>
        <v>0.53249999999999997</v>
      </c>
      <c r="O521" s="4">
        <f t="shared" si="599"/>
        <v>0.61199999999999999</v>
      </c>
      <c r="P521" s="9">
        <f t="shared" si="600"/>
        <v>0.83</v>
      </c>
      <c r="Q521" s="5">
        <f t="shared" si="612"/>
        <v>36949</v>
      </c>
      <c r="R521" s="4">
        <f t="shared" si="601"/>
        <v>0</v>
      </c>
      <c r="S521" s="158">
        <f>_xll.xSPRDOPT($L521,$J521,$I521,$M521,$O521,$N521,$P521,$Q521-$C$3,$R521,0)</f>
        <v>0.63800424254018107</v>
      </c>
      <c r="T521" s="159">
        <f>_xll.xSPRDOPT($L521,$J521,$I521,$M521,$O521,$N521,$P521,$Q521-$C$3,$R521,1)*H521</f>
        <v>496954.30345601996</v>
      </c>
      <c r="U521" s="160">
        <f t="shared" si="602"/>
        <v>-638004.24254018103</v>
      </c>
      <c r="V521" s="159">
        <f>_xll.xSPRDOPT($L521,$J521,$I521,$M521,$O521,$N521,$P521,$Q521-$C$3,$R521,2)*H521</f>
        <v>-583273.63103653677</v>
      </c>
      <c r="W521" s="159">
        <f t="shared" si="603"/>
        <v>-86319.327580516809</v>
      </c>
      <c r="X521" s="51" t="str">
        <f t="shared" si="604"/>
        <v>36951IF-TRANSCO/Z6</v>
      </c>
      <c r="Y521" s="418">
        <f t="shared" si="605"/>
        <v>-100</v>
      </c>
      <c r="Z521" s="456">
        <f t="shared" si="606"/>
        <v>-0.49695430345601999</v>
      </c>
      <c r="AA521" s="456">
        <f>_xll.xSPRDOPT($L521,$J521,$I521,$M521,$O521,$N521,$P521,$Q521-$C$3,$R521,3)</f>
        <v>0.290255867293161</v>
      </c>
      <c r="AB521" s="456">
        <f>((_xll.xSPRDOPT($L521+AB$5,$J521,$I521,$M521,$O521,$N521,$P521,$Q521-$C$3,$R521,3)*$H521)/10000)/100</f>
        <v>-0.290255867293161</v>
      </c>
      <c r="AC521" s="456">
        <f>((_xll.xSPRDOPT($L521+$AB$5,$J521,$I521,$M521,$O521,$N521,$P521,$Q521-$C$3,$R521,7)*$H521)/100)</f>
        <v>10172.178805983223</v>
      </c>
      <c r="AD521" s="456">
        <f>(_xll.xSPRDOPT($L521+$AB$5,$J521,$I521,$M521,$O521,$N521,$P521,$Q521-$C$3,$R521,9)/365)*$H521</f>
        <v>1291.8193500821174</v>
      </c>
      <c r="AE521">
        <f t="shared" si="613"/>
        <v>0</v>
      </c>
      <c r="AF521" s="456">
        <f t="shared" si="614"/>
        <v>-9646.8659414675221</v>
      </c>
      <c r="AG521" s="456">
        <f>((_xll.xSPRDOPT($L521,$J521,$I521,$M521,$O521,$N521,$P521,$Q521-$C$3,$R521,6)*$H521)/100)</f>
        <v>2944.3696712663368</v>
      </c>
      <c r="AH521" s="456">
        <f>((_xll.xSPRDOPT($L521,$J521,$I521,$M521,$O521,$N521,$P521,$Q521-$C$3,$R521,5)*$H521)/100)</f>
        <v>-10955.609417942451</v>
      </c>
      <c r="AI521" s="456">
        <f>(((_xll.xSPRDOPT($L521,$J521,$I521,$M521,$O521,$N521,$P521,$Q521-$C$3,$R521,4)*$H521)/10000)/100)-AB521</f>
        <v>1.6116802370606365E-2</v>
      </c>
      <c r="AJ521" s="456"/>
      <c r="AK521" s="456"/>
      <c r="AL521" s="456"/>
      <c r="AM521" s="472"/>
      <c r="CC521" s="141">
        <f t="shared" si="607"/>
        <v>36951</v>
      </c>
      <c r="CD521" s="234">
        <f>_xll.xSPRDOPT((VLOOKUP(G521,NGPrices,2,FALSE)+HLOOKUP(D521,Prices,VLOOKUP(G521,move_down,2,FALSE),FALSE)),VLOOKUP(G521,NGPrices,2,FALSE),I521,VLOOKUP(G521,NGPREVPRICES,4,FALSE),HLOOKUP(D521,PREVVOLS,VLOOKUP(G521,MOVE_DOWN2,2,FALSE),FALSE),VLOOKUP(G521,NGPREVPRICES,3,FALSE),HLOOKUP(D521,Correllate,VLOOKUP(G521,CorMove,2,FALSE),FALSE),Q521-$CD$3,R521,$CD$5)*H521-CJ521</f>
        <v>0</v>
      </c>
      <c r="CE521" s="234">
        <f>_xll.xSPRDOPT((VLOOKUP(G521,NGPREVPRICES,2,FALSE)+HLOOKUP(D521,PREVCURVES,VLOOKUP(G521,MOVE_DOWN2,2,FALSE),FALSE)),VLOOKUP(G521,NGPREVPRICES,2,FALSE),CK521,VLOOKUP(G521,NGPrices,4,FALSE),HLOOKUP(D521,PREVVOLS,VLOOKUP(G521,MOVE_DOWN2,2,FALSE),FALSE),VLOOKUP(G521,NGPREVPRICES,3,FALSE),HLOOKUP(D521,Correllate,VLOOKUP(G521,CorMove,2,FALSE),FALSE),Q521-$CD$3,R521,$CJ$5)*H521-CJ521</f>
        <v>0</v>
      </c>
      <c r="CF521" s="10">
        <f t="shared" si="608"/>
        <v>122.6068490347825</v>
      </c>
      <c r="CG521" s="234">
        <f>_xll.xSPRDOPT((VLOOKUP(G521,NGPREVPRICES,2,FALSE)+HLOOKUP(D521,PREVCURVES,VLOOKUP(G521,MOVE_DOWN2,2,FALSE),FALSE)),VLOOKUP(G521,NGPREVPRICES,2,FALSE),CK521,VLOOKUP(G521,NGPREVPRICES,4,FALSE),HLOOKUP(D521,VOLS,VLOOKUP(G521,move_down,2,FALSE),FALSE),VLOOKUP(G521,NGPrices,3,FALSE),HLOOKUP(D521,Correllate,VLOOKUP(G521,CorMove,2,FALSE),FALSE),Q521-$CD$3,R521,$CJ$5)*H521-CJ521</f>
        <v>0</v>
      </c>
      <c r="CH521" s="234">
        <f>_xll.xSPRDOPT((VLOOKUP(G521,NGPREVPRICES,2,FALSE)+HLOOKUP(D521,PREVCURVES,VLOOKUP(G521,MOVE_DOWN2,2,FALSE),FALSE)),VLOOKUP(G521,NGPREVPRICES,2,FALSE),CK521,VLOOKUP(G521,NGPREVPRICES,4,FALSE),HLOOKUP(D521,PREVVOLS,VLOOKUP(G521,MOVE_DOWN2,2,FALSE),FALSE),VLOOKUP(G521,NGPREVPRICES,3,FALSE),HLOOKUP(D521,Correllate,VLOOKUP(G521,CorMove,2,FALSE),FALSE),Q521-$C$3,R521,$CJ$5)*H521-CJ521</f>
        <v>1288.7851749834372</v>
      </c>
      <c r="CI521" s="234">
        <f t="shared" si="609"/>
        <v>1411.3920240182197</v>
      </c>
      <c r="CJ521" s="234">
        <f>_xll.xSPRDOPT((VLOOKUP(G521,NGPREVPRICES,2,FALSE)+HLOOKUP(D521,PREVCURVES,VLOOKUP(G521,MOVE_DOWN2,2,FALSE),FALSE)),VLOOKUP(G521,NGPREVPRICES,2,FALSE),CK521,VLOOKUP(G521,NGPREVPRICES,4,FALSE),HLOOKUP(D521,PREVVOLS,VLOOKUP(G521,MOVE_DOWN2,2,FALSE),FALSE),VLOOKUP(G521,NGPREVPRICES,3,FALSE),HLOOKUP(D521,Correllate,VLOOKUP(G521,CorMove,2,FALSE),FALSE),Q521-$CD$3,R521,$CJ$5)*H521</f>
        <v>-639293.02771516447</v>
      </c>
      <c r="CK521" s="235">
        <f t="shared" si="610"/>
        <v>1.3</v>
      </c>
      <c r="CM521" t="str">
        <f t="shared" si="611"/>
        <v>36951Curve Shift/Gamma</v>
      </c>
      <c r="CN521" t="str">
        <f t="shared" si="572"/>
        <v>36951Rho</v>
      </c>
      <c r="CO521" t="str">
        <f t="shared" si="573"/>
        <v>36951Drift</v>
      </c>
      <c r="CP521" t="str">
        <f t="shared" si="574"/>
        <v>36951Vega</v>
      </c>
      <c r="CQ521" t="str">
        <f t="shared" si="575"/>
        <v>36951Theta</v>
      </c>
    </row>
    <row r="522" spans="1:95" x14ac:dyDescent="0.25">
      <c r="A522" s="140" t="s">
        <v>279</v>
      </c>
      <c r="B522" t="s">
        <v>250</v>
      </c>
      <c r="C522" t="s">
        <v>522</v>
      </c>
      <c r="D522" s="4" t="s">
        <v>7</v>
      </c>
      <c r="E522" t="s">
        <v>20</v>
      </c>
      <c r="F522" t="s">
        <v>1</v>
      </c>
      <c r="G522" s="5">
        <v>36923</v>
      </c>
      <c r="H522" s="130">
        <v>-1000000</v>
      </c>
      <c r="I522">
        <v>1.3</v>
      </c>
      <c r="J522" s="53">
        <f t="shared" si="594"/>
        <v>4.4800000000000004</v>
      </c>
      <c r="K522" s="7">
        <f t="shared" si="595"/>
        <v>2.09</v>
      </c>
      <c r="L522" s="53">
        <f t="shared" si="596"/>
        <v>6.57</v>
      </c>
      <c r="M522" s="157">
        <f t="shared" si="597"/>
        <v>6.8640161611372E-2</v>
      </c>
      <c r="N522" s="4">
        <f t="shared" si="598"/>
        <v>0.59250000000000003</v>
      </c>
      <c r="O522" s="4">
        <f t="shared" si="599"/>
        <v>0.68100000000000005</v>
      </c>
      <c r="P522" s="9">
        <f t="shared" si="600"/>
        <v>0.83</v>
      </c>
      <c r="Q522" s="5">
        <f t="shared" si="612"/>
        <v>36921</v>
      </c>
      <c r="R522" s="4">
        <f t="shared" si="601"/>
        <v>0</v>
      </c>
      <c r="S522" s="158">
        <f>_xll.xSPRDOPT($L522,$J522,$I522,$M522,$O522,$N522,$P522,$Q522-$C$3,$R522,0)</f>
        <v>0.30371294861794862</v>
      </c>
      <c r="T522" s="159">
        <f>_xll.xSPRDOPT($L522,$J522,$I522,$M522,$O522,$N522,$P522,$Q522-$C$3,$R522,1)*H522</f>
        <v>256410.33570846517</v>
      </c>
      <c r="U522" s="160">
        <f t="shared" si="602"/>
        <v>-303712.94861794863</v>
      </c>
      <c r="V522" s="159">
        <f>_xll.xSPRDOPT($L522,$J522,$I522,$M522,$O522,$N522,$P522,$Q522-$C$3,$R522,2)*H522</f>
        <v>-335040.2232431742</v>
      </c>
      <c r="W522" s="159">
        <f t="shared" si="603"/>
        <v>-78629.887534709036</v>
      </c>
      <c r="X522" s="51" t="str">
        <f t="shared" si="604"/>
        <v>36923IF-TRANSCO/Z6</v>
      </c>
      <c r="Y522" s="418">
        <f t="shared" si="605"/>
        <v>-100</v>
      </c>
      <c r="Z522" s="456">
        <f t="shared" si="606"/>
        <v>-0.25641033570846516</v>
      </c>
      <c r="AA522" s="456">
        <f>_xll.xSPRDOPT($L522,$J522,$I522,$M522,$O522,$N522,$P522,$Q522-$C$3,$R522,3)</f>
        <v>0.18797031454592211</v>
      </c>
      <c r="AB522" s="456">
        <f>((_xll.xSPRDOPT($L522+AB$5,$J522,$I522,$M522,$O522,$N522,$P522,$Q522-$C$3,$R522,3)*$H522)/10000)/100</f>
        <v>-0.18797031454592211</v>
      </c>
      <c r="AC522" s="456">
        <f>((_xll.xSPRDOPT($L522+$AB$5,$J522,$I522,$M522,$O522,$N522,$P522,$Q522-$C$3,$R522,7)*$H522)/100)</f>
        <v>10633.079428427462</v>
      </c>
      <c r="AD522" s="456">
        <f>(_xll.xSPRDOPT($L522+$AB$5,$J522,$I522,$M522,$O522,$N522,$P522,$Q522-$C$3,$R522,9)/365)*$H522</f>
        <v>1694.8460300759559</v>
      </c>
      <c r="AE522">
        <f t="shared" si="613"/>
        <v>0</v>
      </c>
      <c r="AF522" s="456">
        <f t="shared" si="614"/>
        <v>-9101.0058951327319</v>
      </c>
      <c r="AG522" s="456">
        <f>((_xll.xSPRDOPT($L522,$J522,$I522,$M522,$O522,$N522,$P522,$Q522-$C$3,$R522,6)*$H522)/100)</f>
        <v>2780.4190793003327</v>
      </c>
      <c r="AH522" s="456">
        <f>((_xll.xSPRDOPT($L522,$J522,$I522,$M522,$O522,$N522,$P522,$Q522-$C$3,$R522,5)*$H522)/100)</f>
        <v>-10337.36313854859</v>
      </c>
      <c r="AI522" s="456">
        <f>(((_xll.xSPRDOPT($L522,$J522,$I522,$M522,$O522,$N522,$P522,$Q522-$C$3,$R522,4)*$H522)/10000)/100)-AB522</f>
        <v>-5.3653556678063097E-2</v>
      </c>
      <c r="AJ522" s="456"/>
      <c r="AK522" s="456"/>
      <c r="AL522" s="456"/>
      <c r="AM522" s="472"/>
      <c r="CC522" s="141">
        <f t="shared" si="607"/>
        <v>36923</v>
      </c>
      <c r="CD522" s="234">
        <f>_xll.xSPRDOPT((VLOOKUP(G522,NGPrices,2,FALSE)+HLOOKUP(D522,Prices,VLOOKUP(G522,move_down,2,FALSE),FALSE)),VLOOKUP(G522,NGPrices,2,FALSE),I522,VLOOKUP(G522,NGPREVPRICES,4,FALSE),HLOOKUP(D522,PREVVOLS,VLOOKUP(G522,MOVE_DOWN2,2,FALSE),FALSE),VLOOKUP(G522,NGPREVPRICES,3,FALSE),HLOOKUP(D522,Correllate,VLOOKUP(G522,CorMove,2,FALSE),FALSE),Q522-$CD$3,R522,$CD$5)*H522-CJ522</f>
        <v>0</v>
      </c>
      <c r="CE522" s="234">
        <f>_xll.xSPRDOPT((VLOOKUP(G522,NGPREVPRICES,2,FALSE)+HLOOKUP(D522,PREVCURVES,VLOOKUP(G522,MOVE_DOWN2,2,FALSE),FALSE)),VLOOKUP(G522,NGPREVPRICES,2,FALSE),CK522,VLOOKUP(G522,NGPrices,4,FALSE),HLOOKUP(D522,PREVVOLS,VLOOKUP(G522,MOVE_DOWN2,2,FALSE),FALSE),VLOOKUP(G522,NGPREVPRICES,3,FALSE),HLOOKUP(D522,Correllate,VLOOKUP(G522,CorMove,2,FALSE),FALSE),Q522-$CD$3,R522,$CJ$5)*H522-CJ522</f>
        <v>0</v>
      </c>
      <c r="CF522" s="10">
        <f t="shared" si="608"/>
        <v>58.084348690754268</v>
      </c>
      <c r="CG522" s="234">
        <f>_xll.xSPRDOPT((VLOOKUP(G522,NGPREVPRICES,2,FALSE)+HLOOKUP(D522,PREVCURVES,VLOOKUP(G522,MOVE_DOWN2,2,FALSE),FALSE)),VLOOKUP(G522,NGPREVPRICES,2,FALSE),CK522,VLOOKUP(G522,NGPREVPRICES,4,FALSE),HLOOKUP(D522,VOLS,VLOOKUP(G522,move_down,2,FALSE),FALSE),VLOOKUP(G522,NGPrices,3,FALSE),HLOOKUP(D522,Correllate,VLOOKUP(G522,CorMove,2,FALSE),FALSE),Q522-$CD$3,R522,$CJ$5)*H522-CJ522</f>
        <v>0</v>
      </c>
      <c r="CH522" s="234">
        <f>_xll.xSPRDOPT((VLOOKUP(G522,NGPREVPRICES,2,FALSE)+HLOOKUP(D522,PREVCURVES,VLOOKUP(G522,MOVE_DOWN2,2,FALSE),FALSE)),VLOOKUP(G522,NGPREVPRICES,2,FALSE),CK522,VLOOKUP(G522,NGPREVPRICES,4,FALSE),HLOOKUP(D522,PREVVOLS,VLOOKUP(G522,MOVE_DOWN2,2,FALSE),FALSE),VLOOKUP(G522,NGPREVPRICES,3,FALSE),HLOOKUP(D522,Correllate,VLOOKUP(G522,CorMove,2,FALSE),FALSE),Q522-$C$3,R522,$CJ$5)*H522-CJ522</f>
        <v>1691.2114398917183</v>
      </c>
      <c r="CI522" s="234">
        <f t="shared" si="609"/>
        <v>1749.2957885824726</v>
      </c>
      <c r="CJ522" s="234">
        <f>_xll.xSPRDOPT((VLOOKUP(G522,NGPREVPRICES,2,FALSE)+HLOOKUP(D522,PREVCURVES,VLOOKUP(G522,MOVE_DOWN2,2,FALSE),FALSE)),VLOOKUP(G522,NGPREVPRICES,2,FALSE),CK522,VLOOKUP(G522,NGPREVPRICES,4,FALSE),HLOOKUP(D522,PREVVOLS,VLOOKUP(G522,MOVE_DOWN2,2,FALSE),FALSE),VLOOKUP(G522,NGPREVPRICES,3,FALSE),HLOOKUP(D522,Correllate,VLOOKUP(G522,CorMove,2,FALSE),FALSE),Q522-$CD$3,R522,$CJ$5)*H522</f>
        <v>-305404.16005784034</v>
      </c>
      <c r="CK522" s="235">
        <f t="shared" si="610"/>
        <v>1.3</v>
      </c>
      <c r="CM522" t="str">
        <f t="shared" si="611"/>
        <v>36923Curve Shift/Gamma</v>
      </c>
      <c r="CN522" t="str">
        <f t="shared" si="572"/>
        <v>36923Rho</v>
      </c>
      <c r="CO522" t="str">
        <f t="shared" si="573"/>
        <v>36923Drift</v>
      </c>
      <c r="CP522" t="str">
        <f t="shared" si="574"/>
        <v>36923Vega</v>
      </c>
      <c r="CQ522" t="str">
        <f t="shared" si="575"/>
        <v>36923Theta</v>
      </c>
    </row>
    <row r="523" spans="1:95" x14ac:dyDescent="0.25">
      <c r="A523" s="140" t="s">
        <v>279</v>
      </c>
      <c r="B523" t="s">
        <v>250</v>
      </c>
      <c r="C523" t="s">
        <v>522</v>
      </c>
      <c r="D523" s="4" t="s">
        <v>7</v>
      </c>
      <c r="E523" t="s">
        <v>20</v>
      </c>
      <c r="F523" t="s">
        <v>1</v>
      </c>
      <c r="G523" s="5">
        <v>36892</v>
      </c>
      <c r="H523" s="130">
        <v>-1000000</v>
      </c>
      <c r="I523">
        <v>1.3</v>
      </c>
      <c r="J523" s="53">
        <f t="shared" si="594"/>
        <v>4.7439999999999998</v>
      </c>
      <c r="K523" s="7">
        <f t="shared" si="595"/>
        <v>2.17</v>
      </c>
      <c r="L523" s="53">
        <f t="shared" si="596"/>
        <v>6.9139999999999997</v>
      </c>
      <c r="M523" s="157">
        <f t="shared" si="597"/>
        <v>6.8374831148490994E-2</v>
      </c>
      <c r="N523" s="4">
        <f t="shared" si="598"/>
        <v>0.60499999999999998</v>
      </c>
      <c r="O523" s="4">
        <f t="shared" si="599"/>
        <v>0.69599999999999995</v>
      </c>
      <c r="P523" s="9">
        <f t="shared" si="600"/>
        <v>0.83</v>
      </c>
      <c r="Q523" s="5">
        <f t="shared" si="612"/>
        <v>36888</v>
      </c>
      <c r="R523" s="4">
        <f t="shared" si="601"/>
        <v>0</v>
      </c>
      <c r="S523" s="158">
        <f>_xll.xSPRDOPT($L523,$J523,$I523,$M523,$O523,$N523,$P523,$Q523-$C$3,$R523,0)</f>
        <v>0.2543810155921975</v>
      </c>
      <c r="T523" s="159">
        <f>_xll.xSPRDOPT($L523,$J523,$I523,$M523,$O523,$N523,$P523,$Q523-$C$3,$R523,1)*H523</f>
        <v>236750.96690241882</v>
      </c>
      <c r="U523" s="160">
        <f t="shared" si="602"/>
        <v>-254381.01559219751</v>
      </c>
      <c r="V523" s="159">
        <f>_xll.xSPRDOPT($L523,$J523,$I523,$M523,$O523,$N523,$P523,$Q523-$C$3,$R523,2)*H523</f>
        <v>-305734.85974380234</v>
      </c>
      <c r="W523" s="159">
        <f t="shared" si="603"/>
        <v>-68983.892841383524</v>
      </c>
      <c r="X523" s="51" t="str">
        <f t="shared" si="604"/>
        <v>36892IF-TRANSCO/Z6</v>
      </c>
      <c r="Y523" s="418">
        <f t="shared" si="605"/>
        <v>-100</v>
      </c>
      <c r="Z523" s="456">
        <f t="shared" si="606"/>
        <v>-0.23675096690241881</v>
      </c>
      <c r="AA523" s="456">
        <f>_xll.xSPRDOPT($L523,$J523,$I523,$M523,$O523,$N523,$P523,$Q523-$C$3,$R523,3)</f>
        <v>0.190337876951025</v>
      </c>
      <c r="AB523" s="456">
        <f>((_xll.xSPRDOPT($L523+AB$5,$J523,$I523,$M523,$O523,$N523,$P523,$Q523-$C$3,$R523,3)*$H523)/10000)/100</f>
        <v>-0.19033787695102497</v>
      </c>
      <c r="AC523" s="456">
        <f>((_xll.xSPRDOPT($L523+$AB$5,$J523,$I523,$M523,$O523,$N523,$P523,$Q523-$C$3,$R523,7)*$H523)/100)</f>
        <v>9890.018221360715</v>
      </c>
      <c r="AD523" s="456">
        <f>(_xll.xSPRDOPT($L523+$AB$5,$J523,$I523,$M523,$O523,$N523,$P523,$Q523-$C$3,$R523,9)/365)*$H523</f>
        <v>1986.9164788009914</v>
      </c>
      <c r="AE523">
        <f t="shared" si="613"/>
        <v>0</v>
      </c>
      <c r="AF523" s="456">
        <f t="shared" si="614"/>
        <v>-8132.7066117917948</v>
      </c>
      <c r="AG523" s="456">
        <f>((_xll.xSPRDOPT($L523,$J523,$I523,$M523,$O523,$N523,$P523,$Q523-$C$3,$R523,6)*$H523)/100)</f>
        <v>2433.940976594256</v>
      </c>
      <c r="AH523" s="456">
        <f>((_xll.xSPRDOPT($L523,$J523,$I523,$M523,$O523,$N523,$P523,$Q523-$C$3,$R523,5)*$H523)/100)</f>
        <v>-9185.088780134427</v>
      </c>
      <c r="AI523" s="456">
        <f>(((_xll.xSPRDOPT($L523,$J523,$I523,$M523,$O523,$N523,$P523,$Q523-$C$3,$R523,4)*$H523)/10000)/100)-AB523</f>
        <v>-5.6501617449986385E-2</v>
      </c>
      <c r="AJ523" s="456"/>
      <c r="AK523" s="456"/>
      <c r="AL523" s="456"/>
      <c r="AM523" s="472"/>
      <c r="CC523" s="141">
        <f t="shared" si="607"/>
        <v>36892</v>
      </c>
      <c r="CD523" s="234">
        <f>_xll.xSPRDOPT((VLOOKUP(G523,NGPrices,2,FALSE)+HLOOKUP(D523,Prices,VLOOKUP(G523,move_down,2,FALSE),FALSE)),VLOOKUP(G523,NGPrices,2,FALSE),I523,VLOOKUP(G523,NGPREVPRICES,4,FALSE),HLOOKUP(D523,PREVVOLS,VLOOKUP(G523,MOVE_DOWN2,2,FALSE),FALSE),VLOOKUP(G523,NGPREVPRICES,3,FALSE),HLOOKUP(D523,Correllate,VLOOKUP(G523,CorMove,2,FALSE),FALSE),Q523-$CD$3,R523,$CD$5)*H523-CJ523</f>
        <v>0</v>
      </c>
      <c r="CE523" s="234">
        <f>_xll.xSPRDOPT((VLOOKUP(G523,NGPREVPRICES,2,FALSE)+HLOOKUP(D523,PREVCURVES,VLOOKUP(G523,MOVE_DOWN2,2,FALSE),FALSE)),VLOOKUP(G523,NGPREVPRICES,2,FALSE),CK523,VLOOKUP(G523,NGPrices,4,FALSE),HLOOKUP(D523,PREVVOLS,VLOOKUP(G523,MOVE_DOWN2,2,FALSE),FALSE),VLOOKUP(G523,NGPREVPRICES,3,FALSE),HLOOKUP(D523,Correllate,VLOOKUP(G523,CorMove,2,FALSE),FALSE),Q523-$CD$3,R523,$CJ$5)*H523-CJ523</f>
        <v>0</v>
      </c>
      <c r="CF523" s="10">
        <f t="shared" si="608"/>
        <v>48.309416183852591</v>
      </c>
      <c r="CG523" s="234">
        <f>_xll.xSPRDOPT((VLOOKUP(G523,NGPREVPRICES,2,FALSE)+HLOOKUP(D523,PREVCURVES,VLOOKUP(G523,MOVE_DOWN2,2,FALSE),FALSE)),VLOOKUP(G523,NGPREVPRICES,2,FALSE),CK523,VLOOKUP(G523,NGPREVPRICES,4,FALSE),HLOOKUP(D523,VOLS,VLOOKUP(G523,move_down,2,FALSE),FALSE),VLOOKUP(G523,NGPrices,3,FALSE),HLOOKUP(D523,Correllate,VLOOKUP(G523,CorMove,2,FALSE),FALSE),Q523-$CD$3,R523,$CJ$5)*H523-CJ523</f>
        <v>0</v>
      </c>
      <c r="CH523" s="234">
        <f>_xll.xSPRDOPT((VLOOKUP(G523,NGPREVPRICES,2,FALSE)+HLOOKUP(D523,PREVCURVES,VLOOKUP(G523,MOVE_DOWN2,2,FALSE),FALSE)),VLOOKUP(G523,NGPREVPRICES,2,FALSE),CK523,VLOOKUP(G523,NGPREVPRICES,4,FALSE),HLOOKUP(D523,PREVVOLS,VLOOKUP(G523,MOVE_DOWN2,2,FALSE),FALSE),VLOOKUP(G523,NGPREVPRICES,3,FALSE),HLOOKUP(D523,Correllate,VLOOKUP(G523,CorMove,2,FALSE),FALSE),Q523-$C$3,R523,$CJ$5)*H523-CJ523</f>
        <v>1982.3771716656047</v>
      </c>
      <c r="CI523" s="234">
        <f t="shared" si="609"/>
        <v>2030.6865878494573</v>
      </c>
      <c r="CJ523" s="234">
        <f>_xll.xSPRDOPT((VLOOKUP(G523,NGPREVPRICES,2,FALSE)+HLOOKUP(D523,PREVCURVES,VLOOKUP(G523,MOVE_DOWN2,2,FALSE),FALSE)),VLOOKUP(G523,NGPREVPRICES,2,FALSE),CK523,VLOOKUP(G523,NGPREVPRICES,4,FALSE),HLOOKUP(D523,PREVVOLS,VLOOKUP(G523,MOVE_DOWN2,2,FALSE),FALSE),VLOOKUP(G523,NGPREVPRICES,3,FALSE),HLOOKUP(D523,Correllate,VLOOKUP(G523,CorMove,2,FALSE),FALSE),Q523-$CD$3,R523,$CJ$5)*H523</f>
        <v>-256363.39276386311</v>
      </c>
      <c r="CK523" s="235">
        <f t="shared" si="610"/>
        <v>1.3</v>
      </c>
      <c r="CM523" t="str">
        <f t="shared" si="611"/>
        <v>36892Curve Shift/Gamma</v>
      </c>
      <c r="CN523" t="str">
        <f t="shared" si="572"/>
        <v>36892Rho</v>
      </c>
      <c r="CO523" t="str">
        <f t="shared" si="573"/>
        <v>36892Drift</v>
      </c>
      <c r="CP523" t="str">
        <f t="shared" si="574"/>
        <v>36892Vega</v>
      </c>
      <c r="CQ523" t="str">
        <f t="shared" si="575"/>
        <v>36892Theta</v>
      </c>
    </row>
    <row r="524" spans="1:95" x14ac:dyDescent="0.25">
      <c r="A524" s="140" t="s">
        <v>279</v>
      </c>
      <c r="B524" t="s">
        <v>250</v>
      </c>
      <c r="C524" t="s">
        <v>522</v>
      </c>
      <c r="D524" s="4" t="s">
        <v>7</v>
      </c>
      <c r="E524" t="s">
        <v>20</v>
      </c>
      <c r="F524" t="s">
        <v>1</v>
      </c>
      <c r="G524" s="5">
        <v>36861</v>
      </c>
      <c r="H524" s="130">
        <v>-1000000</v>
      </c>
      <c r="I524">
        <v>1.3</v>
      </c>
      <c r="J524" s="53">
        <f t="shared" si="594"/>
        <v>4.8</v>
      </c>
      <c r="K524" s="7">
        <f t="shared" si="595"/>
        <v>1.645</v>
      </c>
      <c r="L524" s="53">
        <f t="shared" si="596"/>
        <v>6.4450000000000003</v>
      </c>
      <c r="M524" s="157">
        <f t="shared" si="597"/>
        <v>6.8314027999354002E-2</v>
      </c>
      <c r="N524" s="4">
        <f t="shared" si="598"/>
        <v>0.6</v>
      </c>
      <c r="O524" s="4">
        <f t="shared" si="599"/>
        <v>0.69</v>
      </c>
      <c r="P524" s="9">
        <f t="shared" si="600"/>
        <v>0.83</v>
      </c>
      <c r="Q524" s="5">
        <f t="shared" si="612"/>
        <v>36859</v>
      </c>
      <c r="R524" s="4">
        <f t="shared" si="601"/>
        <v>0</v>
      </c>
      <c r="S524" s="158">
        <f>_xll.xSPRDOPT($L524,$J524,$I524,$M524,$O524,$N524,$P524,$Q524-$C$3,$R524,0)</f>
        <v>0.33989036456437738</v>
      </c>
      <c r="T524" s="159">
        <f>_xll.xSPRDOPT($L524,$J524,$I524,$M524,$O524,$N524,$P524,$Q524-$C$3,$R524,1)*H524</f>
        <v>346792.91953779932</v>
      </c>
      <c r="U524" s="160">
        <f t="shared" si="602"/>
        <v>-339890.36456437741</v>
      </c>
      <c r="V524" s="159">
        <f>_xll.xSPRDOPT($L524,$J524,$I524,$M524,$O524,$N524,$P524,$Q524-$C$3,$R524,2)*H524</f>
        <v>-415671.150009687</v>
      </c>
      <c r="W524" s="159">
        <f t="shared" si="603"/>
        <v>-68878.230471887684</v>
      </c>
      <c r="X524" s="51" t="str">
        <f t="shared" si="604"/>
        <v>36861IF-TRANSCO/Z6</v>
      </c>
      <c r="Y524" s="418">
        <f t="shared" si="605"/>
        <v>-100</v>
      </c>
      <c r="Z524" s="456">
        <f t="shared" si="606"/>
        <v>-0.34679291953779934</v>
      </c>
      <c r="AA524" s="456">
        <f>_xll.xSPRDOPT($L524,$J524,$I524,$M524,$O524,$N524,$P524,$Q524-$C$3,$R524,3)</f>
        <v>0.28330615044763258</v>
      </c>
      <c r="AB524" s="456">
        <f>((_xll.xSPRDOPT($L524+AB$5,$J524,$I524,$M524,$O524,$N524,$P524,$Q524-$C$3,$R524,3)*$H524)/10000)/100</f>
        <v>-0.28330615044763258</v>
      </c>
      <c r="AC524" s="456">
        <f>((_xll.xSPRDOPT($L524+$AB$5,$J524,$I524,$M524,$O524,$N524,$P524,$Q524-$C$3,$R524,7)*$H524)/100)</f>
        <v>9642.8621732574939</v>
      </c>
      <c r="AD524" s="456">
        <f>(_xll.xSPRDOPT($L524+$AB$5,$J524,$I524,$M524,$O524,$N524,$P524,$Q524-$C$3,$R524,9)/365)*$H524</f>
        <v>2503.1455990110758</v>
      </c>
      <c r="AE524">
        <f t="shared" si="613"/>
        <v>0</v>
      </c>
      <c r="AF524" s="456">
        <f t="shared" si="614"/>
        <v>-7866.0098307168682</v>
      </c>
      <c r="AG524" s="456">
        <f>((_xll.xSPRDOPT($L524,$J524,$I524,$M524,$O524,$N524,$P524,$Q524-$C$3,$R524,6)*$H524)/100)</f>
        <v>2315.1802067413096</v>
      </c>
      <c r="AH524" s="456">
        <f>((_xll.xSPRDOPT($L524,$J524,$I524,$M524,$O524,$N524,$P524,$Q524-$C$3,$R524,5)*$H524)/100)</f>
        <v>-8853.2087282245029</v>
      </c>
      <c r="AI524" s="456">
        <f>(((_xll.xSPRDOPT($L524,$J524,$I524,$M524,$O524,$N524,$P524,$Q524-$C$3,$R524,4)*$H524)/10000)/100)-AB524</f>
        <v>-3.3294738510261268E-2</v>
      </c>
      <c r="AJ524" s="456"/>
      <c r="AK524" s="456"/>
      <c r="AL524" s="456"/>
      <c r="AM524" s="472"/>
      <c r="CC524" s="141">
        <f t="shared" si="607"/>
        <v>36861</v>
      </c>
      <c r="CD524" s="234">
        <f>_xll.xSPRDOPT((VLOOKUP(G524,NGPrices,2,FALSE)+HLOOKUP(D524,Prices,VLOOKUP(G524,move_down,2,FALSE),FALSE)),VLOOKUP(G524,NGPrices,2,FALSE),I524,VLOOKUP(G524,NGPREVPRICES,4,FALSE),HLOOKUP(D524,PREVVOLS,VLOOKUP(G524,MOVE_DOWN2,2,FALSE),FALSE),VLOOKUP(G524,NGPREVPRICES,3,FALSE),HLOOKUP(D524,Correllate,VLOOKUP(G524,CorMove,2,FALSE),FALSE),Q524-$CD$3,R524,$CD$5)*H524-CJ524</f>
        <v>0</v>
      </c>
      <c r="CE524" s="234">
        <f>_xll.xSPRDOPT((VLOOKUP(G524,NGPREVPRICES,2,FALSE)+HLOOKUP(D524,PREVCURVES,VLOOKUP(G524,MOVE_DOWN2,2,FALSE),FALSE)),VLOOKUP(G524,NGPREVPRICES,2,FALSE),CK524,VLOOKUP(G524,NGPrices,4,FALSE),HLOOKUP(D524,PREVVOLS,VLOOKUP(G524,MOVE_DOWN2,2,FALSE),FALSE),VLOOKUP(G524,NGPREVPRICES,3,FALSE),HLOOKUP(D524,Correllate,VLOOKUP(G524,CorMove,2,FALSE),FALSE),Q524-$CD$3,R524,$CJ$5)*H524-CJ524</f>
        <v>0</v>
      </c>
      <c r="CF524" s="10">
        <f t="shared" si="608"/>
        <v>64.141677082574461</v>
      </c>
      <c r="CG524" s="234">
        <f>_xll.xSPRDOPT((VLOOKUP(G524,NGPREVPRICES,2,FALSE)+HLOOKUP(D524,PREVCURVES,VLOOKUP(G524,MOVE_DOWN2,2,FALSE),FALSE)),VLOOKUP(G524,NGPREVPRICES,2,FALSE),CK524,VLOOKUP(G524,NGPREVPRICES,4,FALSE),HLOOKUP(D524,VOLS,VLOOKUP(G524,move_down,2,FALSE),FALSE),VLOOKUP(G524,NGPrices,3,FALSE),HLOOKUP(D524,Correllate,VLOOKUP(G524,CorMove,2,FALSE),FALSE),Q524-$CD$3,R524,$CJ$5)*H524-CJ524</f>
        <v>0</v>
      </c>
      <c r="CH524" s="234">
        <f>_xll.xSPRDOPT((VLOOKUP(G524,NGPREVPRICES,2,FALSE)+HLOOKUP(D524,PREVCURVES,VLOOKUP(G524,MOVE_DOWN2,2,FALSE),FALSE)),VLOOKUP(G524,NGPREVPRICES,2,FALSE),CK524,VLOOKUP(G524,NGPREVPRICES,4,FALSE),HLOOKUP(D524,PREVVOLS,VLOOKUP(G524,MOVE_DOWN2,2,FALSE),FALSE),VLOOKUP(G524,NGPREVPRICES,3,FALSE),HLOOKUP(D524,Correllate,VLOOKUP(G524,CorMove,2,FALSE),FALSE),Q524-$C$3,R524,$CJ$5)*H524-CJ524</f>
        <v>2494.5188239313429</v>
      </c>
      <c r="CI524" s="234">
        <f t="shared" si="609"/>
        <v>2558.6605010139174</v>
      </c>
      <c r="CJ524" s="234">
        <f>_xll.xSPRDOPT((VLOOKUP(G524,NGPREVPRICES,2,FALSE)+HLOOKUP(D524,PREVCURVES,VLOOKUP(G524,MOVE_DOWN2,2,FALSE),FALSE)),VLOOKUP(G524,NGPREVPRICES,2,FALSE),CK524,VLOOKUP(G524,NGPREVPRICES,4,FALSE),HLOOKUP(D524,PREVVOLS,VLOOKUP(G524,MOVE_DOWN2,2,FALSE),FALSE),VLOOKUP(G524,NGPREVPRICES,3,FALSE),HLOOKUP(D524,Correllate,VLOOKUP(G524,CorMove,2,FALSE),FALSE),Q524-$CD$3,R524,$CJ$5)*H524</f>
        <v>-342384.88338830875</v>
      </c>
      <c r="CK524" s="235">
        <f t="shared" si="610"/>
        <v>1.3</v>
      </c>
      <c r="CM524" t="str">
        <f t="shared" si="611"/>
        <v>36861Curve Shift/Gamma</v>
      </c>
      <c r="CN524" t="str">
        <f t="shared" si="572"/>
        <v>36861Rho</v>
      </c>
      <c r="CO524" t="str">
        <f t="shared" si="573"/>
        <v>36861Drift</v>
      </c>
      <c r="CP524" t="str">
        <f t="shared" si="574"/>
        <v>36861Vega</v>
      </c>
      <c r="CQ524" t="str">
        <f t="shared" si="575"/>
        <v>36861Theta</v>
      </c>
    </row>
    <row r="525" spans="1:95" x14ac:dyDescent="0.25">
      <c r="A525" s="140" t="s">
        <v>279</v>
      </c>
      <c r="B525" t="s">
        <v>250</v>
      </c>
      <c r="C525" t="s">
        <v>522</v>
      </c>
      <c r="D525" s="4" t="s">
        <v>7</v>
      </c>
      <c r="E525" t="s">
        <v>20</v>
      </c>
      <c r="F525" t="s">
        <v>1</v>
      </c>
      <c r="G525" s="5">
        <v>36831</v>
      </c>
      <c r="H525" s="130">
        <v>-1000000</v>
      </c>
      <c r="I525">
        <v>1.3</v>
      </c>
      <c r="J525" s="53">
        <f t="shared" si="594"/>
        <v>4.7359999999999998</v>
      </c>
      <c r="K525" s="7">
        <f t="shared" si="595"/>
        <v>0.77</v>
      </c>
      <c r="L525" s="53">
        <f t="shared" si="596"/>
        <v>5.5060000000000002</v>
      </c>
      <c r="M525" s="157">
        <f t="shared" si="597"/>
        <v>6.810675983792E-2</v>
      </c>
      <c r="N525" s="4">
        <f t="shared" si="598"/>
        <v>0.59499999999999997</v>
      </c>
      <c r="O525" s="4">
        <f t="shared" si="599"/>
        <v>0.625</v>
      </c>
      <c r="P525" s="9">
        <f t="shared" si="600"/>
        <v>0.89</v>
      </c>
      <c r="Q525" s="5">
        <f t="shared" si="612"/>
        <v>36829</v>
      </c>
      <c r="R525" s="4">
        <f t="shared" si="601"/>
        <v>0</v>
      </c>
      <c r="S525" s="158">
        <f>_xll.xSPRDOPT($L525,$J525,$I525,$M525,$O525,$N525,$P525,$Q525-$C$3,$R525,0)</f>
        <v>0.61596070257825342</v>
      </c>
      <c r="T525" s="159">
        <f>_xll.xSPRDOPT($L525,$J525,$I525,$M525,$O525,$N525,$P525,$Q525-$C$3,$R525,1)*H525</f>
        <v>744120.76004583796</v>
      </c>
      <c r="U525" s="160">
        <f t="shared" si="602"/>
        <v>-615960.70257825346</v>
      </c>
      <c r="V525" s="159">
        <f>_xll.xSPRDOPT($L525,$J525,$I525,$M525,$O525,$N525,$P525,$Q525-$C$3,$R525,2)*H525</f>
        <v>-776619.31725309498</v>
      </c>
      <c r="W525" s="159">
        <f t="shared" si="603"/>
        <v>-32498.557207257021</v>
      </c>
      <c r="X525" s="51" t="str">
        <f t="shared" si="604"/>
        <v>36831IF-TRANSCO/Z6</v>
      </c>
      <c r="Y525" s="418">
        <f t="shared" si="605"/>
        <v>-100</v>
      </c>
      <c r="Z525" s="456">
        <f t="shared" si="606"/>
        <v>-0.74412076004583794</v>
      </c>
      <c r="AA525" s="456">
        <f>_xll.xSPRDOPT($L525,$J525,$I525,$M525,$O525,$N525,$P525,$Q525-$C$3,$R525,3)</f>
        <v>0.46308987346940378</v>
      </c>
      <c r="AB525" s="456">
        <f>((_xll.xSPRDOPT($L525+AB$5,$J525,$I525,$M525,$O525,$N525,$P525,$Q525-$C$3,$R525,3)*$H525)/10000)/100</f>
        <v>-0.46308987346940378</v>
      </c>
      <c r="AC525" s="456">
        <f>((_xll.xSPRDOPT($L525+$AB$5,$J525,$I525,$M525,$O525,$N525,$P525,$Q525-$C$3,$R525,7)*$H525)/100)</f>
        <v>7045.3147973084715</v>
      </c>
      <c r="AD525" s="456">
        <f>(_xll.xSPRDOPT($L525+$AB$5,$J525,$I525,$M525,$O525,$N525,$P525,$Q525-$C$3,$R525,9)/365)*$H525</f>
        <v>1589.4320984014976</v>
      </c>
      <c r="AE525">
        <f t="shared" si="613"/>
        <v>0</v>
      </c>
      <c r="AF525" s="456">
        <f t="shared" si="614"/>
        <v>-3549.5260613576274</v>
      </c>
      <c r="AG525" s="456">
        <f>((_xll.xSPRDOPT($L525,$J525,$I525,$M525,$O525,$N525,$P525,$Q525-$C$3,$R525,6)*$H525)/100)</f>
        <v>1557.3639213008701</v>
      </c>
      <c r="AH525" s="456">
        <f>((_xll.xSPRDOPT($L525,$J525,$I525,$M525,$O525,$N525,$P525,$Q525-$C$3,$R525,5)*$H525)/100)</f>
        <v>-4861.7592634908897</v>
      </c>
      <c r="AI525" s="456">
        <f>(((_xll.xSPRDOPT($L525,$J525,$I525,$M525,$O525,$N525,$P525,$Q525-$C$3,$R525,4)*$H525)/10000)/100)-AB525</f>
        <v>6.6646367255182914E-2</v>
      </c>
      <c r="AJ525" s="456"/>
      <c r="AK525" s="456"/>
      <c r="AL525" s="456"/>
      <c r="AM525" s="472"/>
      <c r="CC525" s="141">
        <f t="shared" si="607"/>
        <v>36831</v>
      </c>
      <c r="CD525" s="234">
        <f>_xll.xSPRDOPT((VLOOKUP(G525,NGPrices,2,FALSE)+HLOOKUP(D525,Prices,VLOOKUP(G525,move_down,2,FALSE),FALSE)),VLOOKUP(G525,NGPrices,2,FALSE),I525,VLOOKUP(G525,NGPREVPRICES,4,FALSE),HLOOKUP(D525,PREVVOLS,VLOOKUP(G525,MOVE_DOWN2,2,FALSE),FALSE),VLOOKUP(G525,NGPREVPRICES,3,FALSE),HLOOKUP(D525,Correllate,VLOOKUP(G525,CorMove,2,FALSE),FALSE),Q525-$CD$3,R525,$CD$5)*H525-CJ525</f>
        <v>0</v>
      </c>
      <c r="CE525" s="234">
        <f>_xll.xSPRDOPT((VLOOKUP(G525,NGPREVPRICES,2,FALSE)+HLOOKUP(D525,PREVCURVES,VLOOKUP(G525,MOVE_DOWN2,2,FALSE),FALSE)),VLOOKUP(G525,NGPREVPRICES,2,FALSE),CK525,VLOOKUP(G525,NGPrices,4,FALSE),HLOOKUP(D525,PREVVOLS,VLOOKUP(G525,MOVE_DOWN2,2,FALSE),FALSE),VLOOKUP(G525,NGPREVPRICES,3,FALSE),HLOOKUP(D525,Correllate,VLOOKUP(G525,CorMove,2,FALSE),FALSE),Q525-$CD$3,R525,$CJ$5)*H525-CJ525</f>
        <v>0</v>
      </c>
      <c r="CF525" s="10">
        <f t="shared" si="608"/>
        <v>114.68481769552454</v>
      </c>
      <c r="CG525" s="234">
        <f>_xll.xSPRDOPT((VLOOKUP(G525,NGPREVPRICES,2,FALSE)+HLOOKUP(D525,PREVCURVES,VLOOKUP(G525,MOVE_DOWN2,2,FALSE),FALSE)),VLOOKUP(G525,NGPREVPRICES,2,FALSE),CK525,VLOOKUP(G525,NGPREVPRICES,4,FALSE),HLOOKUP(D525,VOLS,VLOOKUP(G525,move_down,2,FALSE),FALSE),VLOOKUP(G525,NGPrices,3,FALSE),HLOOKUP(D525,Correllate,VLOOKUP(G525,CorMove,2,FALSE),FALSE),Q525-$CD$3,R525,$CJ$5)*H525-CJ525</f>
        <v>0</v>
      </c>
      <c r="CH525" s="234">
        <f>_xll.xSPRDOPT((VLOOKUP(G525,NGPREVPRICES,2,FALSE)+HLOOKUP(D525,PREVCURVES,VLOOKUP(G525,MOVE_DOWN2,2,FALSE),FALSE)),VLOOKUP(G525,NGPREVPRICES,2,FALSE),CK525,VLOOKUP(G525,NGPREVPRICES,4,FALSE),HLOOKUP(D525,PREVVOLS,VLOOKUP(G525,MOVE_DOWN2,2,FALSE),FALSE),VLOOKUP(G525,NGPREVPRICES,3,FALSE),HLOOKUP(D525,Correllate,VLOOKUP(G525,CorMove,2,FALSE),FALSE),Q525-$C$3,R525,$CJ$5)*H525-CJ525</f>
        <v>1585.0355671244906</v>
      </c>
      <c r="CI525" s="234">
        <f t="shared" si="609"/>
        <v>1699.7203848200152</v>
      </c>
      <c r="CJ525" s="234">
        <f>_xll.xSPRDOPT((VLOOKUP(G525,NGPREVPRICES,2,FALSE)+HLOOKUP(D525,PREVCURVES,VLOOKUP(G525,MOVE_DOWN2,2,FALSE),FALSE)),VLOOKUP(G525,NGPREVPRICES,2,FALSE),CK525,VLOOKUP(G525,NGPREVPRICES,4,FALSE),HLOOKUP(D525,PREVVOLS,VLOOKUP(G525,MOVE_DOWN2,2,FALSE),FALSE),VLOOKUP(G525,NGPREVPRICES,3,FALSE),HLOOKUP(D525,Correllate,VLOOKUP(G525,CorMove,2,FALSE),FALSE),Q525-$CD$3,R525,$CJ$5)*H525</f>
        <v>-617545.73814537795</v>
      </c>
      <c r="CK525" s="235">
        <f t="shared" si="610"/>
        <v>1.3</v>
      </c>
      <c r="CM525" t="str">
        <f t="shared" si="611"/>
        <v>36831Curve Shift/Gamma</v>
      </c>
      <c r="CN525" t="str">
        <f t="shared" si="572"/>
        <v>36831Rho</v>
      </c>
      <c r="CO525" t="str">
        <f t="shared" si="573"/>
        <v>36831Drift</v>
      </c>
      <c r="CP525" t="str">
        <f t="shared" si="574"/>
        <v>36831Vega</v>
      </c>
      <c r="CQ525" t="str">
        <f t="shared" si="575"/>
        <v>36831Theta</v>
      </c>
    </row>
    <row r="526" spans="1:95" x14ac:dyDescent="0.25">
      <c r="A526" s="140" t="s">
        <v>320</v>
      </c>
      <c r="B526" t="s">
        <v>250</v>
      </c>
      <c r="C526" t="s">
        <v>523</v>
      </c>
      <c r="D526" s="4" t="s">
        <v>7</v>
      </c>
      <c r="E526" t="s">
        <v>20</v>
      </c>
      <c r="F526" t="s">
        <v>21</v>
      </c>
      <c r="G526" s="5">
        <v>36831</v>
      </c>
      <c r="H526" s="130">
        <v>500000</v>
      </c>
      <c r="I526">
        <v>0.8</v>
      </c>
      <c r="J526" s="53">
        <f t="shared" si="594"/>
        <v>4.7359999999999998</v>
      </c>
      <c r="K526" s="7">
        <f t="shared" si="595"/>
        <v>0.77</v>
      </c>
      <c r="L526" s="53">
        <f t="shared" si="596"/>
        <v>5.5060000000000002</v>
      </c>
      <c r="M526" s="157">
        <f t="shared" si="597"/>
        <v>6.810675983792E-2</v>
      </c>
      <c r="N526" s="4">
        <f t="shared" si="598"/>
        <v>0.59499999999999997</v>
      </c>
      <c r="O526" s="4">
        <f t="shared" si="599"/>
        <v>0.625</v>
      </c>
      <c r="P526" s="9">
        <f t="shared" si="600"/>
        <v>0.89</v>
      </c>
      <c r="Q526" s="5">
        <f t="shared" si="612"/>
        <v>36829</v>
      </c>
      <c r="R526" s="4">
        <f t="shared" si="601"/>
        <v>1</v>
      </c>
      <c r="S526" s="158">
        <f>_xll.xSPRDOPT($L526,$J526,$I526,$M526,$O526,$N526,$P526,$Q526-$C$3,$R526,0)</f>
        <v>0.2446191821729268</v>
      </c>
      <c r="T526" s="159">
        <f>_xll.xSPRDOPT($L526,$J526,$I526,$M526,$O526,$N526,$P526,$Q526-$C$3,$R526,1)*H526</f>
        <v>250051.41539216752</v>
      </c>
      <c r="U526" s="160">
        <f t="shared" si="602"/>
        <v>122309.59108646341</v>
      </c>
      <c r="V526" s="159">
        <f>_xll.xSPRDOPT($L526,$J526,$I526,$M526,$O526,$N526,$P526,$Q526-$C$3,$R526,2)*H526</f>
        <v>-227758.30452966012</v>
      </c>
      <c r="W526" s="159">
        <f t="shared" si="603"/>
        <v>22293.110862507398</v>
      </c>
      <c r="X526" s="51" t="str">
        <f t="shared" si="604"/>
        <v>36831IF-TRANSCO/Z6</v>
      </c>
      <c r="Y526" s="418">
        <f t="shared" si="605"/>
        <v>50</v>
      </c>
      <c r="Z526" s="456">
        <f t="shared" si="606"/>
        <v>0.50010283078433504</v>
      </c>
      <c r="AA526" s="456">
        <f>_xll.xSPRDOPT($L526,$J526,$I526,$M526,$O526,$N526,$P526,$Q526-$C$3,$R526,3)</f>
        <v>0.6013880264093785</v>
      </c>
      <c r="AB526" s="456">
        <f>((_xll.xSPRDOPT($L526+AB$5,$J526,$I526,$M526,$O526,$N526,$P526,$Q526-$C$3,$R526,3)*$H526)/10000)/100</f>
        <v>0.30069401320468925</v>
      </c>
      <c r="AC526" s="456">
        <f>((_xll.xSPRDOPT($L526+$AB$5,$J526,$I526,$M526,$O526,$N526,$P526,$Q526-$C$3,$R526,7)*$H526)/100)</f>
        <v>-4928.0343921712683</v>
      </c>
      <c r="AD526" s="456">
        <f>(_xll.xSPRDOPT($L526+$AB$5,$J526,$I526,$M526,$O526,$N526,$P526,$Q526-$C$3,$R526,9)/365)*$H526</f>
        <v>-1022.3993902023385</v>
      </c>
      <c r="AE526">
        <f t="shared" si="613"/>
        <v>0</v>
      </c>
      <c r="AF526" s="456">
        <f t="shared" si="614"/>
        <v>2176.7860015103265</v>
      </c>
      <c r="AG526" s="456">
        <f>((_xll.xSPRDOPT($L526,$J526,$I526,$M526,$O526,$N526,$P526,$Q526-$C$3,$R526,6)*$H526)/100)</f>
        <v>-610.66230055253016</v>
      </c>
      <c r="AH526" s="456">
        <f>((_xll.xSPRDOPT($L526,$J526,$I526,$M526,$O526,$N526,$P526,$Q526-$C$3,$R526,5)*$H526)/100)</f>
        <v>2653.6507835638395</v>
      </c>
      <c r="AI526" s="456">
        <f>(((_xll.xSPRDOPT($L526,$J526,$I526,$M526,$O526,$N526,$P526,$Q526-$C$3,$R526,4)*$H526)/10000)/100)-AB526</f>
        <v>-2.2627762468516721E-3</v>
      </c>
      <c r="AJ526" s="456"/>
      <c r="AK526" s="456"/>
      <c r="AL526" s="456"/>
      <c r="AM526" s="472"/>
      <c r="CC526" s="141">
        <f t="shared" si="607"/>
        <v>36831</v>
      </c>
      <c r="CD526" s="234">
        <f>_xll.xSPRDOPT((VLOOKUP(G526,NGPrices,2,FALSE)+HLOOKUP(D526,Prices,VLOOKUP(G526,move_down,2,FALSE),FALSE)),VLOOKUP(G526,NGPrices,2,FALSE),I526,VLOOKUP(G526,NGPREVPRICES,4,FALSE),HLOOKUP(D526,PREVVOLS,VLOOKUP(G526,MOVE_DOWN2,2,FALSE),FALSE),VLOOKUP(G526,NGPREVPRICES,3,FALSE),HLOOKUP(D526,Correllate,VLOOKUP(G526,CorMove,2,FALSE),FALSE),Q526-$CD$3,R526,$CD$5)*H526-CJ526</f>
        <v>0</v>
      </c>
      <c r="CE526" s="234">
        <f>_xll.xSPRDOPT((VLOOKUP(G526,NGPREVPRICES,2,FALSE)+HLOOKUP(D526,PREVCURVES,VLOOKUP(G526,MOVE_DOWN2,2,FALSE),FALSE)),VLOOKUP(G526,NGPREVPRICES,2,FALSE),CK526,VLOOKUP(G526,NGPrices,4,FALSE),HLOOKUP(D526,PREVVOLS,VLOOKUP(G526,MOVE_DOWN2,2,FALSE),FALSE),VLOOKUP(G526,NGPREVPRICES,3,FALSE),HLOOKUP(D526,Correllate,VLOOKUP(G526,CorMove,2,FALSE),FALSE),Q526-$CD$3,R526,$CJ$5)*H526-CJ526</f>
        <v>0</v>
      </c>
      <c r="CF526" s="10">
        <f t="shared" si="608"/>
        <v>-22.903124783944804</v>
      </c>
      <c r="CG526" s="234">
        <f>_xll.xSPRDOPT((VLOOKUP(G526,NGPREVPRICES,2,FALSE)+HLOOKUP(D526,PREVCURVES,VLOOKUP(G526,MOVE_DOWN2,2,FALSE),FALSE)),VLOOKUP(G526,NGPREVPRICES,2,FALSE),CK526,VLOOKUP(G526,NGPREVPRICES,4,FALSE),HLOOKUP(D526,VOLS,VLOOKUP(G526,move_down,2,FALSE),FALSE),VLOOKUP(G526,NGPrices,3,FALSE),HLOOKUP(D526,Correllate,VLOOKUP(G526,CorMove,2,FALSE),FALSE),Q526-$CD$3,R526,$CJ$5)*H526-CJ526</f>
        <v>0</v>
      </c>
      <c r="CH526" s="234">
        <f>_xll.xSPRDOPT((VLOOKUP(G526,NGPREVPRICES,2,FALSE)+HLOOKUP(D526,PREVCURVES,VLOOKUP(G526,MOVE_DOWN2,2,FALSE),FALSE)),VLOOKUP(G526,NGPREVPRICES,2,FALSE),CK526,VLOOKUP(G526,NGPREVPRICES,4,FALSE),HLOOKUP(D526,PREVVOLS,VLOOKUP(G526,MOVE_DOWN2,2,FALSE),FALSE),VLOOKUP(G526,NGPREVPRICES,3,FALSE),HLOOKUP(D526,Correllate,VLOOKUP(G526,CorMove,2,FALSE),FALSE),Q526-$C$3,R526,$CJ$5)*H526-CJ526</f>
        <v>-1017.3442895199551</v>
      </c>
      <c r="CI526" s="234">
        <f t="shared" si="609"/>
        <v>-1040.2474143038999</v>
      </c>
      <c r="CJ526" s="234">
        <f>_xll.xSPRDOPT((VLOOKUP(G526,NGPREVPRICES,2,FALSE)+HLOOKUP(D526,PREVCURVES,VLOOKUP(G526,MOVE_DOWN2,2,FALSE),FALSE)),VLOOKUP(G526,NGPREVPRICES,2,FALSE),CK526,VLOOKUP(G526,NGPREVPRICES,4,FALSE),HLOOKUP(D526,PREVVOLS,VLOOKUP(G526,MOVE_DOWN2,2,FALSE),FALSE),VLOOKUP(G526,NGPREVPRICES,3,FALSE),HLOOKUP(D526,Correllate,VLOOKUP(G526,CorMove,2,FALSE),FALSE),Q526-$CD$3,R526,$CJ$5)*H526</f>
        <v>123326.93537598336</v>
      </c>
      <c r="CK526" s="235">
        <f t="shared" si="610"/>
        <v>0.8</v>
      </c>
      <c r="CM526" t="str">
        <f t="shared" si="611"/>
        <v>36831Curve Shift/Gamma</v>
      </c>
      <c r="CN526" t="str">
        <f t="shared" si="572"/>
        <v>36831Rho</v>
      </c>
      <c r="CO526" t="str">
        <f t="shared" si="573"/>
        <v>36831Drift</v>
      </c>
      <c r="CP526" t="str">
        <f t="shared" si="574"/>
        <v>36831Vega</v>
      </c>
      <c r="CQ526" t="str">
        <f t="shared" si="575"/>
        <v>36831Theta</v>
      </c>
    </row>
    <row r="527" spans="1:95" x14ac:dyDescent="0.25">
      <c r="A527" s="140" t="s">
        <v>281</v>
      </c>
      <c r="B527" t="s">
        <v>250</v>
      </c>
      <c r="C527" t="s">
        <v>524</v>
      </c>
      <c r="D527" s="4" t="s">
        <v>7</v>
      </c>
      <c r="E527" t="s">
        <v>20</v>
      </c>
      <c r="F527" t="s">
        <v>21</v>
      </c>
      <c r="G527" s="5">
        <v>36951</v>
      </c>
      <c r="H527" s="130">
        <v>155000</v>
      </c>
      <c r="I527">
        <v>1.3</v>
      </c>
      <c r="J527" s="53">
        <f t="shared" si="594"/>
        <v>4.2130000000000001</v>
      </c>
      <c r="K527" s="7">
        <f t="shared" si="595"/>
        <v>1.075</v>
      </c>
      <c r="L527" s="53">
        <f t="shared" si="596"/>
        <v>5.2880000000000003</v>
      </c>
      <c r="M527" s="157">
        <f t="shared" si="597"/>
        <v>6.8879814952706994E-2</v>
      </c>
      <c r="N527" s="4">
        <f t="shared" si="598"/>
        <v>0.53249999999999997</v>
      </c>
      <c r="O527" s="4">
        <f t="shared" si="599"/>
        <v>0.61199999999999999</v>
      </c>
      <c r="P527" s="9">
        <f t="shared" si="600"/>
        <v>0.83</v>
      </c>
      <c r="Q527" s="5">
        <f t="shared" si="612"/>
        <v>36949</v>
      </c>
      <c r="R527" s="4">
        <f t="shared" si="601"/>
        <v>1</v>
      </c>
      <c r="S527" s="158">
        <f>_xll.xSPRDOPT($L527,$J527,$I527,$M527,$O527,$N527,$P527,$Q527-$C$3,$R527,0)</f>
        <v>0.42059568024634048</v>
      </c>
      <c r="T527" s="159">
        <f>_xll.xSPRDOPT($L527,$J527,$I527,$M527,$O527,$N527,$P527,$Q527-$C$3,$R527,1)*H527</f>
        <v>72742.425877851361</v>
      </c>
      <c r="U527" s="160">
        <f t="shared" si="602"/>
        <v>65192.330438182777</v>
      </c>
      <c r="V527" s="159">
        <f>_xll.xSPRDOPT($L527,$J527,$I527,$M527,$O527,$N527,$P527,$Q527-$C$3,$R527,2)*H527</f>
        <v>-59362.930102871273</v>
      </c>
      <c r="W527" s="159">
        <f t="shared" si="603"/>
        <v>13379.495774980089</v>
      </c>
      <c r="X527" s="51" t="str">
        <f t="shared" si="604"/>
        <v>36951IF-TRANSCO/Z6</v>
      </c>
      <c r="Y527" s="418">
        <f t="shared" si="605"/>
        <v>15.5</v>
      </c>
      <c r="Z527" s="456">
        <f t="shared" si="606"/>
        <v>0.46930597340549263</v>
      </c>
      <c r="AA527" s="456">
        <f>_xll.xSPRDOPT($L527,$J527,$I527,$M527,$O527,$N527,$P527,$Q527-$C$3,$R527,3)</f>
        <v>0.290255867293161</v>
      </c>
      <c r="AB527" s="456">
        <f>((_xll.xSPRDOPT($L527+AB$5,$J527,$I527,$M527,$O527,$N527,$P527,$Q527-$C$3,$R527,3)*$H527)/10000)/100</f>
        <v>4.4989659430439956E-2</v>
      </c>
      <c r="AC527" s="456">
        <f>((_xll.xSPRDOPT($L527+$AB$5,$J527,$I527,$M527,$O527,$N527,$P527,$Q527-$C$3,$R527,7)*$H527)/100)</f>
        <v>-1576.6877149273996</v>
      </c>
      <c r="AD527" s="456">
        <f>(_xll.xSPRDOPT($L527+$AB$5,$J527,$I527,$M527,$O527,$N527,$P527,$Q527-$C$3,$R527,9)/365)*$H527</f>
        <v>-206.59127197146719</v>
      </c>
      <c r="AE527">
        <f t="shared" si="613"/>
        <v>0</v>
      </c>
      <c r="AF527" s="456">
        <f t="shared" si="614"/>
        <v>1495.2642209274661</v>
      </c>
      <c r="AG527" s="456">
        <f>((_xll.xSPRDOPT($L527,$J527,$I527,$M527,$O527,$N527,$P527,$Q527-$C$3,$R527,6)*$H527)/100)</f>
        <v>-456.37729904628219</v>
      </c>
      <c r="AH527" s="456">
        <f>((_xll.xSPRDOPT($L527,$J527,$I527,$M527,$O527,$N527,$P527,$Q527-$C$3,$R527,5)*$H527)/100)</f>
        <v>1698.11945978108</v>
      </c>
      <c r="AI527" s="456">
        <f>(((_xll.xSPRDOPT($L527,$J527,$I527,$M527,$O527,$N527,$P527,$Q527-$C$3,$R527,4)*$H527)/10000)/100)-AB527</f>
        <v>-2.498104367443986E-3</v>
      </c>
      <c r="AJ527" s="456"/>
      <c r="AK527" s="456"/>
      <c r="AL527" s="456"/>
      <c r="AM527" s="472"/>
      <c r="CC527" s="141">
        <f t="shared" si="607"/>
        <v>36951</v>
      </c>
      <c r="CD527" s="234">
        <f>_xll.xSPRDOPT((VLOOKUP(G527,NGPrices,2,FALSE)+HLOOKUP(D527,Prices,VLOOKUP(G527,move_down,2,FALSE),FALSE)),VLOOKUP(G527,NGPrices,2,FALSE),I527,VLOOKUP(G527,NGPREVPRICES,4,FALSE),HLOOKUP(D527,PREVVOLS,VLOOKUP(G527,MOVE_DOWN2,2,FALSE),FALSE),VLOOKUP(G527,NGPREVPRICES,3,FALSE),HLOOKUP(D527,Correllate,VLOOKUP(G527,CorMove,2,FALSE),FALSE),Q527-$CD$3,R527,$CD$5)*H527-CJ527</f>
        <v>0</v>
      </c>
      <c r="CE527" s="234">
        <f>_xll.xSPRDOPT((VLOOKUP(G527,NGPREVPRICES,2,FALSE)+HLOOKUP(D527,PREVCURVES,VLOOKUP(G527,MOVE_DOWN2,2,FALSE),FALSE)),VLOOKUP(G527,NGPREVPRICES,2,FALSE),CK527,VLOOKUP(G527,NGPrices,4,FALSE),HLOOKUP(D527,PREVVOLS,VLOOKUP(G527,MOVE_DOWN2,2,FALSE),FALSE),VLOOKUP(G527,NGPREVPRICES,3,FALSE),HLOOKUP(D527,Correllate,VLOOKUP(G527,CorMove,2,FALSE),FALSE),Q527-$CD$3,R527,$CJ$5)*H527-CJ527</f>
        <v>0</v>
      </c>
      <c r="CF527" s="10">
        <f t="shared" si="608"/>
        <v>-12.542444708073162</v>
      </c>
      <c r="CG527" s="234">
        <f>_xll.xSPRDOPT((VLOOKUP(G527,NGPREVPRICES,2,FALSE)+HLOOKUP(D527,PREVCURVES,VLOOKUP(G527,MOVE_DOWN2,2,FALSE),FALSE)),VLOOKUP(G527,NGPREVPRICES,2,FALSE),CK527,VLOOKUP(G527,NGPREVPRICES,4,FALSE),HLOOKUP(D527,VOLS,VLOOKUP(G527,move_down,2,FALSE),FALSE),VLOOKUP(G527,NGPrices,3,FALSE),HLOOKUP(D527,Correllate,VLOOKUP(G527,CorMove,2,FALSE),FALSE),Q527-$CD$3,R527,$CJ$5)*H527-CJ527</f>
        <v>0</v>
      </c>
      <c r="CH527" s="234">
        <f>_xll.xSPRDOPT((VLOOKUP(G527,NGPREVPRICES,2,FALSE)+HLOOKUP(D527,PREVCURVES,VLOOKUP(G527,MOVE_DOWN2,2,FALSE),FALSE)),VLOOKUP(G527,NGPREVPRICES,2,FALSE),CK527,VLOOKUP(G527,NGPREVPRICES,4,FALSE),HLOOKUP(D527,PREVVOLS,VLOOKUP(G527,MOVE_DOWN2,2,FALSE),FALSE),VLOOKUP(G527,NGPREVPRICES,3,FALSE),HLOOKUP(D527,Correllate,VLOOKUP(G527,CorMove,2,FALSE),FALSE),Q527-$C$3,R527,$CJ$5)*H527-CJ527</f>
        <v>-206.11602297005447</v>
      </c>
      <c r="CI527" s="234">
        <f t="shared" si="609"/>
        <v>-218.65846767812764</v>
      </c>
      <c r="CJ527" s="234">
        <f>_xll.xSPRDOPT((VLOOKUP(G527,NGPREVPRICES,2,FALSE)+HLOOKUP(D527,PREVCURVES,VLOOKUP(G527,MOVE_DOWN2,2,FALSE),FALSE)),VLOOKUP(G527,NGPREVPRICES,2,FALSE),CK527,VLOOKUP(G527,NGPREVPRICES,4,FALSE),HLOOKUP(D527,PREVVOLS,VLOOKUP(G527,MOVE_DOWN2,2,FALSE),FALSE),VLOOKUP(G527,NGPREVPRICES,3,FALSE),HLOOKUP(D527,Correllate,VLOOKUP(G527,CorMove,2,FALSE),FALSE),Q527-$CD$3,R527,$CJ$5)*H527</f>
        <v>65398.446461152831</v>
      </c>
      <c r="CK527" s="235">
        <f t="shared" si="610"/>
        <v>1.3</v>
      </c>
      <c r="CM527" t="str">
        <f t="shared" si="611"/>
        <v>36951Curve Shift/Gamma</v>
      </c>
      <c r="CN527" t="str">
        <f t="shared" si="572"/>
        <v>36951Rho</v>
      </c>
      <c r="CO527" t="str">
        <f t="shared" si="573"/>
        <v>36951Drift</v>
      </c>
      <c r="CP527" t="str">
        <f t="shared" si="574"/>
        <v>36951Vega</v>
      </c>
      <c r="CQ527" t="str">
        <f t="shared" si="575"/>
        <v>36951Theta</v>
      </c>
    </row>
    <row r="528" spans="1:95" x14ac:dyDescent="0.25">
      <c r="A528" s="140" t="s">
        <v>281</v>
      </c>
      <c r="B528" t="s">
        <v>250</v>
      </c>
      <c r="C528" t="s">
        <v>524</v>
      </c>
      <c r="D528" s="4" t="s">
        <v>7</v>
      </c>
      <c r="E528" t="s">
        <v>20</v>
      </c>
      <c r="F528" t="s">
        <v>21</v>
      </c>
      <c r="G528" s="5">
        <v>36923</v>
      </c>
      <c r="H528" s="130">
        <v>140000</v>
      </c>
      <c r="I528">
        <v>1.3</v>
      </c>
      <c r="J528" s="53">
        <f t="shared" si="594"/>
        <v>4.4800000000000004</v>
      </c>
      <c r="K528" s="7">
        <f t="shared" si="595"/>
        <v>2.09</v>
      </c>
      <c r="L528" s="53">
        <f t="shared" si="596"/>
        <v>6.57</v>
      </c>
      <c r="M528" s="157">
        <f t="shared" si="597"/>
        <v>6.8640161611372E-2</v>
      </c>
      <c r="N528" s="4">
        <f t="shared" si="598"/>
        <v>0.59250000000000003</v>
      </c>
      <c r="O528" s="4">
        <f t="shared" si="599"/>
        <v>0.68100000000000005</v>
      </c>
      <c r="P528" s="9">
        <f t="shared" si="600"/>
        <v>0.83</v>
      </c>
      <c r="Q528" s="5">
        <f t="shared" si="612"/>
        <v>36921</v>
      </c>
      <c r="R528" s="4">
        <f t="shared" si="601"/>
        <v>1</v>
      </c>
      <c r="S528" s="158">
        <f>_xll.xSPRDOPT($L528,$J528,$I528,$M528,$O528,$N528,$P528,$Q528-$C$3,$R528,0)</f>
        <v>1.0711774770023599</v>
      </c>
      <c r="T528" s="159">
        <f>_xll.xSPRDOPT($L528,$J528,$I528,$M528,$O528,$N528,$P528,$Q528-$C$3,$R528,1)*H528</f>
        <v>100108.9251195714</v>
      </c>
      <c r="U528" s="160">
        <f t="shared" si="602"/>
        <v>149964.84678033038</v>
      </c>
      <c r="V528" s="159">
        <f>_xll.xSPRDOPT($L528,$J528,$I528,$M528,$O528,$N528,$P528,$Q528-$C$3,$R528,2)*H528</f>
        <v>-89100.740864712148</v>
      </c>
      <c r="W528" s="159">
        <f t="shared" si="603"/>
        <v>11008.184254859254</v>
      </c>
      <c r="X528" s="51" t="str">
        <f t="shared" si="604"/>
        <v>36923IF-TRANSCO/Z6</v>
      </c>
      <c r="Y528" s="418">
        <f t="shared" si="605"/>
        <v>14</v>
      </c>
      <c r="Z528" s="456">
        <f t="shared" si="606"/>
        <v>0.71506375085408147</v>
      </c>
      <c r="AA528" s="456">
        <f>_xll.xSPRDOPT($L528,$J528,$I528,$M528,$O528,$N528,$P528,$Q528-$C$3,$R528,3)</f>
        <v>0.18797031454592211</v>
      </c>
      <c r="AB528" s="456">
        <f>((_xll.xSPRDOPT($L528+AB$5,$J528,$I528,$M528,$O528,$N528,$P528,$Q528-$C$3,$R528,3)*$H528)/10000)/100</f>
        <v>2.6315844036429094E-2</v>
      </c>
      <c r="AC528" s="456">
        <f>((_xll.xSPRDOPT($L528+$AB$5,$J528,$I528,$M528,$O528,$N528,$P528,$Q528-$C$3,$R528,7)*$H528)/100)</f>
        <v>-1488.6311199798447</v>
      </c>
      <c r="AD528" s="456">
        <f>(_xll.xSPRDOPT($L528+$AB$5,$J528,$I528,$M528,$O528,$N528,$P528,$Q528-$C$3,$R528,9)/365)*$H528</f>
        <v>-217.07284285090179</v>
      </c>
      <c r="AE528">
        <f t="shared" si="613"/>
        <v>0</v>
      </c>
      <c r="AF528" s="456">
        <f t="shared" si="614"/>
        <v>1274.1408253185821</v>
      </c>
      <c r="AG528" s="456">
        <f>((_xll.xSPRDOPT($L528,$J528,$I528,$M528,$O528,$N528,$P528,$Q528-$C$3,$R528,6)*$H528)/100)</f>
        <v>-389.25867110204666</v>
      </c>
      <c r="AH528" s="456">
        <f>((_xll.xSPRDOPT($L528,$J528,$I528,$M528,$O528,$N528,$P528,$Q528-$C$3,$R528,5)*$H528)/100)</f>
        <v>1447.2308393968024</v>
      </c>
      <c r="AI528" s="456">
        <f>(((_xll.xSPRDOPT($L528,$J528,$I528,$M528,$O528,$N528,$P528,$Q528-$C$3,$R528,4)*$H528)/10000)/100)-AB528</f>
        <v>7.5114979349288347E-3</v>
      </c>
      <c r="AJ528" s="456"/>
      <c r="AK528" s="456"/>
      <c r="AL528" s="456"/>
      <c r="AM528" s="472"/>
      <c r="CC528" s="141">
        <f t="shared" si="607"/>
        <v>36923</v>
      </c>
      <c r="CD528" s="234">
        <f>_xll.xSPRDOPT((VLOOKUP(G528,NGPrices,2,FALSE)+HLOOKUP(D528,Prices,VLOOKUP(G528,move_down,2,FALSE),FALSE)),VLOOKUP(G528,NGPrices,2,FALSE),I528,VLOOKUP(G528,NGPREVPRICES,4,FALSE),HLOOKUP(D528,PREVVOLS,VLOOKUP(G528,MOVE_DOWN2,2,FALSE),FALSE),VLOOKUP(G528,NGPREVPRICES,3,FALSE),HLOOKUP(D528,Correllate,VLOOKUP(G528,CorMove,2,FALSE),FALSE),Q528-$CD$3,R528,$CD$5)*H528-CJ528</f>
        <v>0</v>
      </c>
      <c r="CE528" s="234">
        <f>_xll.xSPRDOPT((VLOOKUP(G528,NGPREVPRICES,2,FALSE)+HLOOKUP(D528,PREVCURVES,VLOOKUP(G528,MOVE_DOWN2,2,FALSE),FALSE)),VLOOKUP(G528,NGPREVPRICES,2,FALSE),CK528,VLOOKUP(G528,NGPrices,4,FALSE),HLOOKUP(D528,PREVVOLS,VLOOKUP(G528,MOVE_DOWN2,2,FALSE),FALSE),VLOOKUP(G528,NGPREVPRICES,3,FALSE),HLOOKUP(D528,Correllate,VLOOKUP(G528,CorMove,2,FALSE),FALSE),Q528-$CD$3,R528,$CJ$5)*H528-CJ528</f>
        <v>0</v>
      </c>
      <c r="CF528" s="10">
        <f t="shared" si="608"/>
        <v>-28.562775119033176</v>
      </c>
      <c r="CG528" s="234">
        <f>_xll.xSPRDOPT((VLOOKUP(G528,NGPREVPRICES,2,FALSE)+HLOOKUP(D528,PREVCURVES,VLOOKUP(G528,MOVE_DOWN2,2,FALSE),FALSE)),VLOOKUP(G528,NGPREVPRICES,2,FALSE),CK528,VLOOKUP(G528,NGPREVPRICES,4,FALSE),HLOOKUP(D528,VOLS,VLOOKUP(G528,move_down,2,FALSE),FALSE),VLOOKUP(G528,NGPrices,3,FALSE),HLOOKUP(D528,Correllate,VLOOKUP(G528,CorMove,2,FALSE),FALSE),Q528-$CD$3,R528,$CJ$5)*H528-CJ528</f>
        <v>0</v>
      </c>
      <c r="CH528" s="234">
        <f>_xll.xSPRDOPT((VLOOKUP(G528,NGPREVPRICES,2,FALSE)+HLOOKUP(D528,PREVCURVES,VLOOKUP(G528,MOVE_DOWN2,2,FALSE),FALSE)),VLOOKUP(G528,NGPREVPRICES,2,FALSE),CK528,VLOOKUP(G528,NGPREVPRICES,4,FALSE),HLOOKUP(D528,PREVVOLS,VLOOKUP(G528,MOVE_DOWN2,2,FALSE),FALSE),VLOOKUP(G528,NGPREVPRICES,3,FALSE),HLOOKUP(D528,Correllate,VLOOKUP(G528,CorMove,2,FALSE),FALSE),Q528-$C$3,R528,$CJ$5)*H528-CJ528</f>
        <v>-216.579727371427</v>
      </c>
      <c r="CI528" s="234">
        <f t="shared" si="609"/>
        <v>-245.14250249046017</v>
      </c>
      <c r="CJ528" s="234">
        <f>_xll.xSPRDOPT((VLOOKUP(G528,NGPREVPRICES,2,FALSE)+HLOOKUP(D528,PREVCURVES,VLOOKUP(G528,MOVE_DOWN2,2,FALSE),FALSE)),VLOOKUP(G528,NGPREVPRICES,2,FALSE),CK528,VLOOKUP(G528,NGPREVPRICES,4,FALSE),HLOOKUP(D528,PREVVOLS,VLOOKUP(G528,MOVE_DOWN2,2,FALSE),FALSE),VLOOKUP(G528,NGPREVPRICES,3,FALSE),HLOOKUP(D528,Correllate,VLOOKUP(G528,CorMove,2,FALSE),FALSE),Q528-$CD$3,R528,$CJ$5)*H528</f>
        <v>150181.42650770181</v>
      </c>
      <c r="CK528" s="235">
        <f t="shared" si="610"/>
        <v>1.3</v>
      </c>
      <c r="CM528" t="str">
        <f t="shared" si="611"/>
        <v>36923Curve Shift/Gamma</v>
      </c>
      <c r="CN528" t="str">
        <f t="shared" si="572"/>
        <v>36923Rho</v>
      </c>
      <c r="CO528" t="str">
        <f t="shared" si="573"/>
        <v>36923Drift</v>
      </c>
      <c r="CP528" t="str">
        <f t="shared" si="574"/>
        <v>36923Vega</v>
      </c>
      <c r="CQ528" t="str">
        <f t="shared" si="575"/>
        <v>36923Theta</v>
      </c>
    </row>
    <row r="529" spans="1:95" x14ac:dyDescent="0.25">
      <c r="A529" s="140" t="s">
        <v>281</v>
      </c>
      <c r="B529" t="s">
        <v>250</v>
      </c>
      <c r="C529" t="s">
        <v>524</v>
      </c>
      <c r="D529" s="4" t="s">
        <v>7</v>
      </c>
      <c r="E529" t="s">
        <v>20</v>
      </c>
      <c r="F529" t="s">
        <v>21</v>
      </c>
      <c r="G529" s="5">
        <v>36892</v>
      </c>
      <c r="H529" s="130">
        <v>155000</v>
      </c>
      <c r="I529">
        <v>1.3</v>
      </c>
      <c r="J529" s="53">
        <f t="shared" si="594"/>
        <v>4.7439999999999998</v>
      </c>
      <c r="K529" s="7">
        <f t="shared" si="595"/>
        <v>2.17</v>
      </c>
      <c r="L529" s="53">
        <f t="shared" si="596"/>
        <v>6.9139999999999997</v>
      </c>
      <c r="M529" s="157">
        <f t="shared" si="597"/>
        <v>6.8374831148490994E-2</v>
      </c>
      <c r="N529" s="4">
        <f t="shared" si="598"/>
        <v>0.60499999999999998</v>
      </c>
      <c r="O529" s="4">
        <f t="shared" si="599"/>
        <v>0.69599999999999995</v>
      </c>
      <c r="P529" s="9">
        <f t="shared" si="600"/>
        <v>0.83</v>
      </c>
      <c r="Q529" s="5">
        <f t="shared" si="612"/>
        <v>36888</v>
      </c>
      <c r="R529" s="4">
        <f t="shared" si="601"/>
        <v>1</v>
      </c>
      <c r="S529" s="158">
        <f>_xll.xSPRDOPT($L529,$J529,$I529,$M529,$O529,$N529,$P529,$Q529-$C$3,$R529,0)</f>
        <v>1.1048959755882792</v>
      </c>
      <c r="T529" s="159">
        <f>_xll.xSPRDOPT($L529,$J529,$I529,$M529,$O529,$N529,$P529,$Q529-$C$3,$R529,1)*H529</f>
        <v>114832.12748574892</v>
      </c>
      <c r="U529" s="160">
        <f t="shared" si="602"/>
        <v>171258.87621618327</v>
      </c>
      <c r="V529" s="159">
        <f>_xll.xSPRDOPT($L529,$J529,$I529,$M529,$O529,$N529,$P529,$Q529-$C$3,$R529,2)*H529</f>
        <v>-104139.62409533447</v>
      </c>
      <c r="W529" s="159">
        <f t="shared" si="603"/>
        <v>10692.503390414451</v>
      </c>
      <c r="X529" s="51" t="str">
        <f t="shared" si="604"/>
        <v>36892IF-TRANSCO/Z6</v>
      </c>
      <c r="Y529" s="418">
        <f t="shared" si="605"/>
        <v>15.5</v>
      </c>
      <c r="Z529" s="456">
        <f t="shared" si="606"/>
        <v>0.74085243539192847</v>
      </c>
      <c r="AA529" s="456">
        <f>_xll.xSPRDOPT($L529,$J529,$I529,$M529,$O529,$N529,$P529,$Q529-$C$3,$R529,3)</f>
        <v>0.190337876951025</v>
      </c>
      <c r="AB529" s="456">
        <f>((_xll.xSPRDOPT($L529+AB$5,$J529,$I529,$M529,$O529,$N529,$P529,$Q529-$C$3,$R529,3)*$H529)/10000)/100</f>
        <v>2.9502370927408875E-2</v>
      </c>
      <c r="AC529" s="456">
        <f>((_xll.xSPRDOPT($L529+$AB$5,$J529,$I529,$M529,$O529,$N529,$P529,$Q529-$C$3,$R529,7)*$H529)/100)</f>
        <v>-1532.9528243109107</v>
      </c>
      <c r="AD529" s="456">
        <f>(_xll.xSPRDOPT($L529+$AB$5,$J529,$I529,$M529,$O529,$N529,$P529,$Q529-$C$3,$R529,9)/365)*$H529</f>
        <v>-283.27659777375737</v>
      </c>
      <c r="AE529">
        <f t="shared" si="613"/>
        <v>0</v>
      </c>
      <c r="AF529" s="456">
        <f t="shared" si="614"/>
        <v>1260.5695248277284</v>
      </c>
      <c r="AG529" s="456">
        <f>((_xll.xSPRDOPT($L529,$J529,$I529,$M529,$O529,$N529,$P529,$Q529-$C$3,$R529,6)*$H529)/100)</f>
        <v>-377.26085137210958</v>
      </c>
      <c r="AH529" s="456">
        <f>((_xll.xSPRDOPT($L529,$J529,$I529,$M529,$O529,$N529,$P529,$Q529-$C$3,$R529,5)*$H529)/100)</f>
        <v>1423.6887609208363</v>
      </c>
      <c r="AI529" s="456">
        <f>(((_xll.xSPRDOPT($L529,$J529,$I529,$M529,$O529,$N529,$P529,$Q529-$C$3,$R529,4)*$H529)/10000)/100)-AB529</f>
        <v>8.7577507047478832E-3</v>
      </c>
      <c r="AJ529" s="456"/>
      <c r="AK529" s="456"/>
      <c r="AL529" s="456"/>
      <c r="AM529" s="472"/>
      <c r="CC529" s="141">
        <f t="shared" si="607"/>
        <v>36892</v>
      </c>
      <c r="CD529" s="234">
        <f>_xll.xSPRDOPT((VLOOKUP(G529,NGPrices,2,FALSE)+HLOOKUP(D529,Prices,VLOOKUP(G529,move_down,2,FALSE),FALSE)),VLOOKUP(G529,NGPrices,2,FALSE),I529,VLOOKUP(G529,NGPREVPRICES,4,FALSE),HLOOKUP(D529,PREVVOLS,VLOOKUP(G529,MOVE_DOWN2,2,FALSE),FALSE),VLOOKUP(G529,NGPREVPRICES,3,FALSE),HLOOKUP(D529,Correllate,VLOOKUP(G529,CorMove,2,FALSE),FALSE),Q529-$CD$3,R529,$CD$5)*H529-CJ529</f>
        <v>0</v>
      </c>
      <c r="CE529" s="234">
        <f>_xll.xSPRDOPT((VLOOKUP(G529,NGPREVPRICES,2,FALSE)+HLOOKUP(D529,PREVCURVES,VLOOKUP(G529,MOVE_DOWN2,2,FALSE),FALSE)),VLOOKUP(G529,NGPREVPRICES,2,FALSE),CK529,VLOOKUP(G529,NGPrices,4,FALSE),HLOOKUP(D529,PREVVOLS,VLOOKUP(G529,MOVE_DOWN2,2,FALSE),FALSE),VLOOKUP(G529,NGPREVPRICES,3,FALSE),HLOOKUP(D529,Correllate,VLOOKUP(G529,CorMove,2,FALSE),FALSE),Q529-$CD$3,R529,$CJ$5)*H529-CJ529</f>
        <v>0</v>
      </c>
      <c r="CF529" s="10">
        <f t="shared" si="608"/>
        <v>-32.325474015757209</v>
      </c>
      <c r="CG529" s="234">
        <f>_xll.xSPRDOPT((VLOOKUP(G529,NGPREVPRICES,2,FALSE)+HLOOKUP(D529,PREVCURVES,VLOOKUP(G529,MOVE_DOWN2,2,FALSE),FALSE)),VLOOKUP(G529,NGPREVPRICES,2,FALSE),CK529,VLOOKUP(G529,NGPREVPRICES,4,FALSE),HLOOKUP(D529,VOLS,VLOOKUP(G529,move_down,2,FALSE),FALSE),VLOOKUP(G529,NGPrices,3,FALSE),HLOOKUP(D529,Correllate,VLOOKUP(G529,CorMove,2,FALSE),FALSE),Q529-$CD$3,R529,$CJ$5)*H529-CJ529</f>
        <v>0</v>
      </c>
      <c r="CH529" s="234">
        <f>_xll.xSPRDOPT((VLOOKUP(G529,NGPREVPRICES,2,FALSE)+HLOOKUP(D529,PREVCURVES,VLOOKUP(G529,MOVE_DOWN2,2,FALSE),FALSE)),VLOOKUP(G529,NGPREVPRICES,2,FALSE),CK529,VLOOKUP(G529,NGPREVPRICES,4,FALSE),HLOOKUP(D529,PREVVOLS,VLOOKUP(G529,MOVE_DOWN2,2,FALSE),FALSE),VLOOKUP(G529,NGPREVPRICES,3,FALSE),HLOOKUP(D529,Correllate,VLOOKUP(G529,CorMove,2,FALSE),FALSE),Q529-$C$3,R529,$CJ$5)*H529-CJ529</f>
        <v>-282.59221805611742</v>
      </c>
      <c r="CI529" s="234">
        <f t="shared" si="609"/>
        <v>-314.91769207187463</v>
      </c>
      <c r="CJ529" s="234">
        <f>_xll.xSPRDOPT((VLOOKUP(G529,NGPREVPRICES,2,FALSE)+HLOOKUP(D529,PREVCURVES,VLOOKUP(G529,MOVE_DOWN2,2,FALSE),FALSE)),VLOOKUP(G529,NGPREVPRICES,2,FALSE),CK529,VLOOKUP(G529,NGPREVPRICES,4,FALSE),HLOOKUP(D529,PREVVOLS,VLOOKUP(G529,MOVE_DOWN2,2,FALSE),FALSE),VLOOKUP(G529,NGPREVPRICES,3,FALSE),HLOOKUP(D529,Correllate,VLOOKUP(G529,CorMove,2,FALSE),FALSE),Q529-$CD$3,R529,$CJ$5)*H529</f>
        <v>171541.46843423939</v>
      </c>
      <c r="CK529" s="235">
        <f t="shared" si="610"/>
        <v>1.3</v>
      </c>
      <c r="CM529" t="str">
        <f t="shared" si="611"/>
        <v>36892Curve Shift/Gamma</v>
      </c>
      <c r="CN529" t="str">
        <f t="shared" si="572"/>
        <v>36892Rho</v>
      </c>
      <c r="CO529" t="str">
        <f t="shared" si="573"/>
        <v>36892Drift</v>
      </c>
      <c r="CP529" t="str">
        <f t="shared" si="574"/>
        <v>36892Vega</v>
      </c>
      <c r="CQ529" t="str">
        <f t="shared" si="575"/>
        <v>36892Theta</v>
      </c>
    </row>
    <row r="530" spans="1:95" x14ac:dyDescent="0.25">
      <c r="A530" s="140" t="s">
        <v>281</v>
      </c>
      <c r="B530" t="s">
        <v>250</v>
      </c>
      <c r="C530" t="s">
        <v>524</v>
      </c>
      <c r="D530" s="4" t="s">
        <v>7</v>
      </c>
      <c r="E530" t="s">
        <v>20</v>
      </c>
      <c r="F530" t="s">
        <v>21</v>
      </c>
      <c r="G530" s="5">
        <v>36861</v>
      </c>
      <c r="H530" s="130">
        <v>155000</v>
      </c>
      <c r="I530">
        <v>1.3</v>
      </c>
      <c r="J530" s="53">
        <f t="shared" si="594"/>
        <v>4.8</v>
      </c>
      <c r="K530" s="7">
        <f t="shared" si="595"/>
        <v>1.645</v>
      </c>
      <c r="L530" s="53">
        <f t="shared" si="596"/>
        <v>6.4450000000000003</v>
      </c>
      <c r="M530" s="157">
        <f t="shared" si="597"/>
        <v>6.8314027999354002E-2</v>
      </c>
      <c r="N530" s="4">
        <f t="shared" si="598"/>
        <v>0.6</v>
      </c>
      <c r="O530" s="4">
        <f t="shared" si="599"/>
        <v>0.69</v>
      </c>
      <c r="P530" s="9">
        <f t="shared" si="600"/>
        <v>0.83</v>
      </c>
      <c r="Q530" s="5">
        <f t="shared" si="612"/>
        <v>36859</v>
      </c>
      <c r="R530" s="4">
        <f t="shared" si="601"/>
        <v>1</v>
      </c>
      <c r="S530" s="158">
        <f>_xll.xSPRDOPT($L530,$J530,$I530,$M530,$O530,$N530,$P530,$Q530-$C$3,$R530,0)</f>
        <v>0.67900470041803296</v>
      </c>
      <c r="T530" s="159">
        <f>_xll.xSPRDOPT($L530,$J530,$I530,$M530,$O530,$N530,$P530,$Q530-$C$3,$R530,1)*H530</f>
        <v>98602.813579805297</v>
      </c>
      <c r="U530" s="160">
        <f t="shared" si="602"/>
        <v>105245.72856479511</v>
      </c>
      <c r="V530" s="159">
        <f>_xll.xSPRDOPT($L530,$J530,$I530,$M530,$O530,$N530,$P530,$Q530-$C$3,$R530,2)*H530</f>
        <v>-87926.687856662698</v>
      </c>
      <c r="W530" s="159">
        <f t="shared" si="603"/>
        <v>10676.125723142599</v>
      </c>
      <c r="X530" s="51" t="str">
        <f t="shared" si="604"/>
        <v>36861IF-TRANSCO/Z6</v>
      </c>
      <c r="Y530" s="418">
        <f t="shared" si="605"/>
        <v>15.5</v>
      </c>
      <c r="Z530" s="456">
        <f t="shared" si="606"/>
        <v>0.63614718438584061</v>
      </c>
      <c r="AA530" s="456">
        <f>_xll.xSPRDOPT($L530,$J530,$I530,$M530,$O530,$N530,$P530,$Q530-$C$3,$R530,3)</f>
        <v>0.28330615044763258</v>
      </c>
      <c r="AB530" s="456">
        <f>((_xll.xSPRDOPT($L530+AB$5,$J530,$I530,$M530,$O530,$N530,$P530,$Q530-$C$3,$R530,3)*$H530)/10000)/100</f>
        <v>4.3912453319383052E-2</v>
      </c>
      <c r="AC530" s="456">
        <f>((_xll.xSPRDOPT($L530+$AB$5,$J530,$I530,$M530,$O530,$N530,$P530,$Q530-$C$3,$R530,7)*$H530)/100)</f>
        <v>-1494.6436368549118</v>
      </c>
      <c r="AD530" s="456">
        <f>(_xll.xSPRDOPT($L530+$AB$5,$J530,$I530,$M530,$O530,$N530,$P530,$Q530-$C$3,$R530,9)/365)*$H530</f>
        <v>-378.14983834987896</v>
      </c>
      <c r="AE530">
        <f t="shared" si="613"/>
        <v>0</v>
      </c>
      <c r="AF530" s="456">
        <f t="shared" si="614"/>
        <v>1219.2315237611147</v>
      </c>
      <c r="AG530" s="456">
        <f>((_xll.xSPRDOPT($L530,$J530,$I530,$M530,$O530,$N530,$P530,$Q530-$C$3,$R530,6)*$H530)/100)</f>
        <v>-358.85293204490301</v>
      </c>
      <c r="AH530" s="456">
        <f>((_xll.xSPRDOPT($L530,$J530,$I530,$M530,$O530,$N530,$P530,$Q530-$C$3,$R530,5)*$H530)/100)</f>
        <v>1372.247352874798</v>
      </c>
      <c r="AI530" s="456">
        <f>(((_xll.xSPRDOPT($L530,$J530,$I530,$M530,$O530,$N530,$P530,$Q530-$C$3,$R530,4)*$H530)/10000)/100)-AB530</f>
        <v>5.1606844690904943E-3</v>
      </c>
      <c r="AJ530" s="456"/>
      <c r="AK530" s="456"/>
      <c r="AL530" s="456"/>
      <c r="AM530" s="472"/>
      <c r="CC530" s="141">
        <f t="shared" si="607"/>
        <v>36861</v>
      </c>
      <c r="CD530" s="234">
        <f>_xll.xSPRDOPT((VLOOKUP(G530,NGPrices,2,FALSE)+HLOOKUP(D530,Prices,VLOOKUP(G530,move_down,2,FALSE),FALSE)),VLOOKUP(G530,NGPrices,2,FALSE),I530,VLOOKUP(G530,NGPREVPRICES,4,FALSE),HLOOKUP(D530,PREVVOLS,VLOOKUP(G530,MOVE_DOWN2,2,FALSE),FALSE),VLOOKUP(G530,NGPREVPRICES,3,FALSE),HLOOKUP(D530,Correllate,VLOOKUP(G530,CorMove,2,FALSE),FALSE),Q530-$CD$3,R530,$CD$5)*H530-CJ530</f>
        <v>0</v>
      </c>
      <c r="CE530" s="234">
        <f>_xll.xSPRDOPT((VLOOKUP(G530,NGPREVPRICES,2,FALSE)+HLOOKUP(D530,PREVCURVES,VLOOKUP(G530,MOVE_DOWN2,2,FALSE),FALSE)),VLOOKUP(G530,NGPREVPRICES,2,FALSE),CK530,VLOOKUP(G530,NGPrices,4,FALSE),HLOOKUP(D530,PREVVOLS,VLOOKUP(G530,MOVE_DOWN2,2,FALSE),FALSE),VLOOKUP(G530,NGPREVPRICES,3,FALSE),HLOOKUP(D530,Correllate,VLOOKUP(G530,CorMove,2,FALSE),FALSE),Q530-$CD$3,R530,$CJ$5)*H530-CJ530</f>
        <v>0</v>
      </c>
      <c r="CF530" s="10">
        <f t="shared" si="608"/>
        <v>-19.787110217934242</v>
      </c>
      <c r="CG530" s="234">
        <f>_xll.xSPRDOPT((VLOOKUP(G530,NGPREVPRICES,2,FALSE)+HLOOKUP(D530,PREVCURVES,VLOOKUP(G530,MOVE_DOWN2,2,FALSE),FALSE)),VLOOKUP(G530,NGPREVPRICES,2,FALSE),CK530,VLOOKUP(G530,NGPREVPRICES,4,FALSE),HLOOKUP(D530,VOLS,VLOOKUP(G530,move_down,2,FALSE),FALSE),VLOOKUP(G530,NGPrices,3,FALSE),HLOOKUP(D530,Correllate,VLOOKUP(G530,CorMove,2,FALSE),FALSE),Q530-$CD$3,R530,$CJ$5)*H530-CJ530</f>
        <v>0</v>
      </c>
      <c r="CH530" s="234">
        <f>_xll.xSPRDOPT((VLOOKUP(G530,NGPREVPRICES,2,FALSE)+HLOOKUP(D530,PREVCURVES,VLOOKUP(G530,MOVE_DOWN2,2,FALSE),FALSE)),VLOOKUP(G530,NGPREVPRICES,2,FALSE),CK530,VLOOKUP(G530,NGPREVPRICES,4,FALSE),HLOOKUP(D530,PREVVOLS,VLOOKUP(G530,MOVE_DOWN2,2,FALSE),FALSE),VLOOKUP(G530,NGPREVPRICES,3,FALSE),HLOOKUP(D530,Correllate,VLOOKUP(G530,CorMove,2,FALSE),FALSE),Q530-$C$3,R530,$CJ$5)*H530-CJ530</f>
        <v>-376.82034107758955</v>
      </c>
      <c r="CI530" s="234">
        <f t="shared" si="609"/>
        <v>-396.60745129552379</v>
      </c>
      <c r="CJ530" s="234">
        <f>_xll.xSPRDOPT((VLOOKUP(G530,NGPREVPRICES,2,FALSE)+HLOOKUP(D530,PREVCURVES,VLOOKUP(G530,MOVE_DOWN2,2,FALSE),FALSE)),VLOOKUP(G530,NGPREVPRICES,2,FALSE),CK530,VLOOKUP(G530,NGPREVPRICES,4,FALSE),HLOOKUP(D530,PREVVOLS,VLOOKUP(G530,MOVE_DOWN2,2,FALSE),FALSE),VLOOKUP(G530,NGPREVPRICES,3,FALSE),HLOOKUP(D530,Correllate,VLOOKUP(G530,CorMove,2,FALSE),FALSE),Q530-$CD$3,R530,$CJ$5)*H530</f>
        <v>105622.5489058727</v>
      </c>
      <c r="CK530" s="235">
        <f t="shared" si="610"/>
        <v>1.3</v>
      </c>
      <c r="CM530" t="str">
        <f t="shared" si="611"/>
        <v>36861Curve Shift/Gamma</v>
      </c>
      <c r="CN530" t="str">
        <f t="shared" si="572"/>
        <v>36861Rho</v>
      </c>
      <c r="CO530" t="str">
        <f t="shared" si="573"/>
        <v>36861Drift</v>
      </c>
      <c r="CP530" t="str">
        <f t="shared" si="574"/>
        <v>36861Vega</v>
      </c>
      <c r="CQ530" t="str">
        <f t="shared" si="575"/>
        <v>36861Theta</v>
      </c>
    </row>
    <row r="531" spans="1:95" x14ac:dyDescent="0.25">
      <c r="A531" s="140" t="s">
        <v>281</v>
      </c>
      <c r="B531" t="s">
        <v>250</v>
      </c>
      <c r="C531" t="s">
        <v>524</v>
      </c>
      <c r="D531" s="4" t="s">
        <v>7</v>
      </c>
      <c r="E531" t="s">
        <v>20</v>
      </c>
      <c r="F531" t="s">
        <v>21</v>
      </c>
      <c r="G531" s="5">
        <v>36831</v>
      </c>
      <c r="H531" s="130">
        <v>150000</v>
      </c>
      <c r="I531">
        <v>1.3</v>
      </c>
      <c r="J531" s="53">
        <f t="shared" si="594"/>
        <v>4.7359999999999998</v>
      </c>
      <c r="K531" s="7">
        <f t="shared" si="595"/>
        <v>0.77</v>
      </c>
      <c r="L531" s="53">
        <f t="shared" si="596"/>
        <v>5.5060000000000002</v>
      </c>
      <c r="M531" s="157">
        <f t="shared" si="597"/>
        <v>6.810675983792E-2</v>
      </c>
      <c r="N531" s="4">
        <f t="shared" si="598"/>
        <v>0.59499999999999997</v>
      </c>
      <c r="O531" s="4">
        <f t="shared" si="599"/>
        <v>0.625</v>
      </c>
      <c r="P531" s="9">
        <f t="shared" si="600"/>
        <v>0.89</v>
      </c>
      <c r="Q531" s="5">
        <f t="shared" si="612"/>
        <v>36829</v>
      </c>
      <c r="R531" s="4">
        <f t="shared" si="601"/>
        <v>1</v>
      </c>
      <c r="S531" s="158">
        <f>_xll.xSPRDOPT($L531,$J531,$I531,$M531,$O531,$N531,$P531,$Q531-$C$3,$R531,0)</f>
        <v>9.2052697808108333E-2</v>
      </c>
      <c r="T531" s="159">
        <f>_xll.xSPRDOPT($L531,$J531,$I531,$M531,$O531,$N531,$P531,$Q531-$C$3,$R531,1)*H531</f>
        <v>36657.736399769288</v>
      </c>
      <c r="U531" s="160">
        <f t="shared" si="602"/>
        <v>13807.904671216251</v>
      </c>
      <c r="V531" s="159">
        <f>_xll.xSPRDOPT($L531,$J531,$I531,$M531,$O531,$N531,$P531,$Q531-$C$3,$R531,2)*H531</f>
        <v>-31782.952818680733</v>
      </c>
      <c r="W531" s="159">
        <f t="shared" si="603"/>
        <v>4874.7835810885554</v>
      </c>
      <c r="X531" s="51" t="str">
        <f t="shared" si="604"/>
        <v>36831IF-TRANSCO/Z6</v>
      </c>
      <c r="Y531" s="418">
        <f t="shared" si="605"/>
        <v>15</v>
      </c>
      <c r="Z531" s="456">
        <f t="shared" si="606"/>
        <v>0.24438490933179524</v>
      </c>
      <c r="AA531" s="456">
        <f>_xll.xSPRDOPT($L531,$J531,$I531,$M531,$O531,$N531,$P531,$Q531-$C$3,$R531,3)</f>
        <v>0.46308987346940378</v>
      </c>
      <c r="AB531" s="456">
        <f>((_xll.xSPRDOPT($L531+AB$5,$J531,$I531,$M531,$O531,$N531,$P531,$Q531-$C$3,$R531,3)*$H531)/10000)/100</f>
        <v>6.9463481020410556E-2</v>
      </c>
      <c r="AC531" s="456">
        <f>((_xll.xSPRDOPT($L531+$AB$5,$J531,$I531,$M531,$O531,$N531,$P531,$Q531-$C$3,$R531,7)*$H531)/100)</f>
        <v>-1056.7972195962707</v>
      </c>
      <c r="AD531" s="456">
        <f>(_xll.xSPRDOPT($L531+$AB$5,$J531,$I531,$M531,$O531,$N531,$P531,$Q531-$C$3,$R531,9)/365)*$H531</f>
        <v>-253.07851749640716</v>
      </c>
      <c r="AE531">
        <f t="shared" si="613"/>
        <v>0</v>
      </c>
      <c r="AF531" s="456">
        <f t="shared" si="614"/>
        <v>532.42890920364414</v>
      </c>
      <c r="AG531" s="456">
        <f>((_xll.xSPRDOPT($L531,$J531,$I531,$M531,$O531,$N531,$P531,$Q531-$C$3,$R531,6)*$H531)/100)</f>
        <v>-233.60458819513053</v>
      </c>
      <c r="AH531" s="456">
        <f>((_xll.xSPRDOPT($L531,$J531,$I531,$M531,$O531,$N531,$P531,$Q531-$C$3,$R531,5)*$H531)/100)</f>
        <v>729.26388952363345</v>
      </c>
      <c r="AI531" s="456">
        <f>(((_xll.xSPRDOPT($L531,$J531,$I531,$M531,$O531,$N531,$P531,$Q531-$C$3,$R531,4)*$H531)/10000)/100)-AB531</f>
        <v>-9.9969550882774427E-3</v>
      </c>
      <c r="AJ531" s="456"/>
      <c r="AK531" s="456"/>
      <c r="AL531" s="456"/>
      <c r="AM531" s="472"/>
      <c r="CC531" s="141">
        <f t="shared" si="607"/>
        <v>36831</v>
      </c>
      <c r="CD531" s="234">
        <f>_xll.xSPRDOPT((VLOOKUP(G531,NGPrices,2,FALSE)+HLOOKUP(D531,Prices,VLOOKUP(G531,move_down,2,FALSE),FALSE)),VLOOKUP(G531,NGPrices,2,FALSE),I531,VLOOKUP(G531,NGPREVPRICES,4,FALSE),HLOOKUP(D531,PREVVOLS,VLOOKUP(G531,MOVE_DOWN2,2,FALSE),FALSE),VLOOKUP(G531,NGPREVPRICES,3,FALSE),HLOOKUP(D531,Correllate,VLOOKUP(G531,CorMove,2,FALSE),FALSE),Q531-$CD$3,R531,$CD$5)*H531-CJ531</f>
        <v>0</v>
      </c>
      <c r="CE531" s="234">
        <f>_xll.xSPRDOPT((VLOOKUP(G531,NGPREVPRICES,2,FALSE)+HLOOKUP(D531,PREVCURVES,VLOOKUP(G531,MOVE_DOWN2,2,FALSE),FALSE)),VLOOKUP(G531,NGPREVPRICES,2,FALSE),CK531,VLOOKUP(G531,NGPrices,4,FALSE),HLOOKUP(D531,PREVVOLS,VLOOKUP(G531,MOVE_DOWN2,2,FALSE),FALSE),VLOOKUP(G531,NGPREVPRICES,3,FALSE),HLOOKUP(D531,Correllate,VLOOKUP(G531,CorMove,2,FALSE),FALSE),Q531-$CD$3,R531,$CJ$5)*H531-CJ531</f>
        <v>0</v>
      </c>
      <c r="CF531" s="10">
        <f t="shared" si="608"/>
        <v>-2.6111496751873347</v>
      </c>
      <c r="CG531" s="234">
        <f>_xll.xSPRDOPT((VLOOKUP(G531,NGPREVPRICES,2,FALSE)+HLOOKUP(D531,PREVCURVES,VLOOKUP(G531,MOVE_DOWN2,2,FALSE),FALSE)),VLOOKUP(G531,NGPREVPRICES,2,FALSE),CK531,VLOOKUP(G531,NGPREVPRICES,4,FALSE),HLOOKUP(D531,VOLS,VLOOKUP(G531,move_down,2,FALSE),FALSE),VLOOKUP(G531,NGPrices,3,FALSE),HLOOKUP(D531,Correllate,VLOOKUP(G531,CorMove,2,FALSE),FALSE),Q531-$CD$3,R531,$CJ$5)*H531-CJ531</f>
        <v>0</v>
      </c>
      <c r="CH531" s="234">
        <f>_xll.xSPRDOPT((VLOOKUP(G531,NGPREVPRICES,2,FALSE)+HLOOKUP(D531,PREVCURVES,VLOOKUP(G531,MOVE_DOWN2,2,FALSE),FALSE)),VLOOKUP(G531,NGPREVPRICES,2,FALSE),CK531,VLOOKUP(G531,NGPREVPRICES,4,FALSE),HLOOKUP(D531,PREVVOLS,VLOOKUP(G531,MOVE_DOWN2,2,FALSE),FALSE),VLOOKUP(G531,NGPREVPRICES,3,FALSE),HLOOKUP(D531,Correllate,VLOOKUP(G531,CorMove,2,FALSE),FALSE),Q531-$C$3,R531,$CJ$5)*H531-CJ531</f>
        <v>-252.40763492591759</v>
      </c>
      <c r="CI531" s="234">
        <f t="shared" si="609"/>
        <v>-255.01878460110493</v>
      </c>
      <c r="CJ531" s="234">
        <f>_xll.xSPRDOPT((VLOOKUP(G531,NGPREVPRICES,2,FALSE)+HLOOKUP(D531,PREVCURVES,VLOOKUP(G531,MOVE_DOWN2,2,FALSE),FALSE)),VLOOKUP(G531,NGPREVPRICES,2,FALSE),CK531,VLOOKUP(G531,NGPREVPRICES,4,FALSE),HLOOKUP(D531,PREVVOLS,VLOOKUP(G531,MOVE_DOWN2,2,FALSE),FALSE),VLOOKUP(G531,NGPREVPRICES,3,FALSE),HLOOKUP(D531,Correllate,VLOOKUP(G531,CorMove,2,FALSE),FALSE),Q531-$CD$3,R531,$CJ$5)*H531</f>
        <v>14060.312306142168</v>
      </c>
      <c r="CK531" s="235">
        <f t="shared" si="610"/>
        <v>1.3</v>
      </c>
      <c r="CM531" t="str">
        <f t="shared" si="611"/>
        <v>36831Curve Shift/Gamma</v>
      </c>
      <c r="CN531" t="str">
        <f t="shared" si="572"/>
        <v>36831Rho</v>
      </c>
      <c r="CO531" t="str">
        <f t="shared" si="573"/>
        <v>36831Drift</v>
      </c>
      <c r="CP531" t="str">
        <f t="shared" si="574"/>
        <v>36831Vega</v>
      </c>
      <c r="CQ531" t="str">
        <f t="shared" si="575"/>
        <v>36831Theta</v>
      </c>
    </row>
    <row r="532" spans="1:95" x14ac:dyDescent="0.25">
      <c r="A532" s="140" t="s">
        <v>281</v>
      </c>
      <c r="B532" t="s">
        <v>250</v>
      </c>
      <c r="C532" t="s">
        <v>525</v>
      </c>
      <c r="D532" s="4" t="s">
        <v>7</v>
      </c>
      <c r="E532" t="s">
        <v>20</v>
      </c>
      <c r="F532" t="s">
        <v>1</v>
      </c>
      <c r="G532" s="5">
        <v>36951</v>
      </c>
      <c r="H532" s="130">
        <v>155000</v>
      </c>
      <c r="I532">
        <v>1.3</v>
      </c>
      <c r="J532" s="53">
        <f t="shared" si="594"/>
        <v>4.2130000000000001</v>
      </c>
      <c r="K532" s="7">
        <f t="shared" si="595"/>
        <v>1.075</v>
      </c>
      <c r="L532" s="53">
        <f t="shared" si="596"/>
        <v>5.2880000000000003</v>
      </c>
      <c r="M532" s="157">
        <f t="shared" si="597"/>
        <v>6.8879814952706994E-2</v>
      </c>
      <c r="N532" s="4">
        <f t="shared" si="598"/>
        <v>0.53249999999999997</v>
      </c>
      <c r="O532" s="4">
        <f t="shared" si="599"/>
        <v>0.61199999999999999</v>
      </c>
      <c r="P532" s="9">
        <f t="shared" si="600"/>
        <v>0.83</v>
      </c>
      <c r="Q532" s="5">
        <f t="shared" si="612"/>
        <v>36949</v>
      </c>
      <c r="R532" s="4">
        <f t="shared" si="601"/>
        <v>0</v>
      </c>
      <c r="S532" s="158">
        <f>_xll.xSPRDOPT($L532,$J532,$I532,$M532,$O532,$N532,$P532,$Q532-$C$3,$R532,0)</f>
        <v>0.63800424254018107</v>
      </c>
      <c r="T532" s="159">
        <f>_xll.xSPRDOPT($L532,$J532,$I532,$M532,$O532,$N532,$P532,$Q532-$C$3,$R532,1)*H532</f>
        <v>-77027.917035683102</v>
      </c>
      <c r="U532" s="160">
        <f t="shared" si="602"/>
        <v>98890.657593728072</v>
      </c>
      <c r="V532" s="159">
        <f>_xll.xSPRDOPT($L532,$J532,$I532,$M532,$O532,$N532,$P532,$Q532-$C$3,$R532,2)*H532</f>
        <v>90407.412810663198</v>
      </c>
      <c r="W532" s="159">
        <f t="shared" si="603"/>
        <v>13379.495774980096</v>
      </c>
      <c r="X532" s="51" t="str">
        <f t="shared" si="604"/>
        <v>36951IF-TRANSCO/Z6</v>
      </c>
      <c r="Y532" s="418">
        <f t="shared" si="605"/>
        <v>15.5</v>
      </c>
      <c r="Z532" s="456">
        <f t="shared" si="606"/>
        <v>-0.49695430345601999</v>
      </c>
      <c r="AA532" s="456">
        <f>_xll.xSPRDOPT($L532,$J532,$I532,$M532,$O532,$N532,$P532,$Q532-$C$3,$R532,3)</f>
        <v>0.290255867293161</v>
      </c>
      <c r="AB532" s="456">
        <f>((_xll.xSPRDOPT($L532+AB$5,$J532,$I532,$M532,$O532,$N532,$P532,$Q532-$C$3,$R532,3)*$H532)/10000)/100</f>
        <v>4.4989659430439956E-2</v>
      </c>
      <c r="AC532" s="456">
        <f>((_xll.xSPRDOPT($L532+$AB$5,$J532,$I532,$M532,$O532,$N532,$P532,$Q532-$C$3,$R532,7)*$H532)/100)</f>
        <v>-1576.6877149273996</v>
      </c>
      <c r="AD532" s="456">
        <f>(_xll.xSPRDOPT($L532+$AB$5,$J532,$I532,$M532,$O532,$N532,$P532,$Q532-$C$3,$R532,9)/365)*$H532</f>
        <v>-200.23199926272821</v>
      </c>
      <c r="AE532">
        <f t="shared" si="613"/>
        <v>0</v>
      </c>
      <c r="AF532" s="456">
        <f t="shared" si="614"/>
        <v>1495.2642209274661</v>
      </c>
      <c r="AG532" s="456">
        <f>((_xll.xSPRDOPT($L532,$J532,$I532,$M532,$O532,$N532,$P532,$Q532-$C$3,$R532,6)*$H532)/100)</f>
        <v>-456.37729904628219</v>
      </c>
      <c r="AH532" s="456">
        <f>((_xll.xSPRDOPT($L532,$J532,$I532,$M532,$O532,$N532,$P532,$Q532-$C$3,$R532,5)*$H532)/100)</f>
        <v>1698.11945978108</v>
      </c>
      <c r="AI532" s="456">
        <f>(((_xll.xSPRDOPT($L532,$J532,$I532,$M532,$O532,$N532,$P532,$Q532-$C$3,$R532,4)*$H532)/10000)/100)-AB532</f>
        <v>-2.498104367443986E-3</v>
      </c>
      <c r="AJ532" s="456"/>
      <c r="AK532" s="456"/>
      <c r="AL532" s="456"/>
      <c r="AM532" s="472"/>
      <c r="CC532" s="141">
        <f t="shared" si="607"/>
        <v>36951</v>
      </c>
      <c r="CD532" s="234">
        <f>_xll.xSPRDOPT((VLOOKUP(G532,NGPrices,2,FALSE)+HLOOKUP(D532,Prices,VLOOKUP(G532,move_down,2,FALSE),FALSE)),VLOOKUP(G532,NGPrices,2,FALSE),I532,VLOOKUP(G532,NGPREVPRICES,4,FALSE),HLOOKUP(D532,PREVVOLS,VLOOKUP(G532,MOVE_DOWN2,2,FALSE),FALSE),VLOOKUP(G532,NGPREVPRICES,3,FALSE),HLOOKUP(D532,Correllate,VLOOKUP(G532,CorMove,2,FALSE),FALSE),Q532-$CD$3,R532,$CD$5)*H532-CJ532</f>
        <v>0</v>
      </c>
      <c r="CE532" s="234">
        <f>_xll.xSPRDOPT((VLOOKUP(G532,NGPREVPRICES,2,FALSE)+HLOOKUP(D532,PREVCURVES,VLOOKUP(G532,MOVE_DOWN2,2,FALSE),FALSE)),VLOOKUP(G532,NGPREVPRICES,2,FALSE),CK532,VLOOKUP(G532,NGPrices,4,FALSE),HLOOKUP(D532,PREVVOLS,VLOOKUP(G532,MOVE_DOWN2,2,FALSE),FALSE),VLOOKUP(G532,NGPREVPRICES,3,FALSE),HLOOKUP(D532,Correllate,VLOOKUP(G532,CorMove,2,FALSE),FALSE),Q532-$CD$3,R532,$CJ$5)*H532-CJ532</f>
        <v>0</v>
      </c>
      <c r="CF532" s="10">
        <f t="shared" si="608"/>
        <v>-19.004061600397108</v>
      </c>
      <c r="CG532" s="234">
        <f>_xll.xSPRDOPT((VLOOKUP(G532,NGPREVPRICES,2,FALSE)+HLOOKUP(D532,PREVCURVES,VLOOKUP(G532,MOVE_DOWN2,2,FALSE),FALSE)),VLOOKUP(G532,NGPREVPRICES,2,FALSE),CK532,VLOOKUP(G532,NGPREVPRICES,4,FALSE),HLOOKUP(D532,VOLS,VLOOKUP(G532,move_down,2,FALSE),FALSE),VLOOKUP(G532,NGPrices,3,FALSE),HLOOKUP(D532,Correllate,VLOOKUP(G532,CorMove,2,FALSE),FALSE),Q532-$CD$3,R532,$CJ$5)*H532-CJ532</f>
        <v>0</v>
      </c>
      <c r="CH532" s="234">
        <f>_xll.xSPRDOPT((VLOOKUP(G532,NGPREVPRICES,2,FALSE)+HLOOKUP(D532,PREVCURVES,VLOOKUP(G532,MOVE_DOWN2,2,FALSE),FALSE)),VLOOKUP(G532,NGPREVPRICES,2,FALSE),CK532,VLOOKUP(G532,NGPREVPRICES,4,FALSE),HLOOKUP(D532,PREVVOLS,VLOOKUP(G532,MOVE_DOWN2,2,FALSE),FALSE),VLOOKUP(G532,NGPREVPRICES,3,FALSE),HLOOKUP(D532,Correllate,VLOOKUP(G532,CorMove,2,FALSE),FALSE),Q532-$C$3,R532,$CJ$5)*H532-CJ532</f>
        <v>-199.76170212242869</v>
      </c>
      <c r="CI532" s="234">
        <f t="shared" si="609"/>
        <v>-218.7657637228258</v>
      </c>
      <c r="CJ532" s="234">
        <f>_xll.xSPRDOPT((VLOOKUP(G532,NGPREVPRICES,2,FALSE)+HLOOKUP(D532,PREVCURVES,VLOOKUP(G532,MOVE_DOWN2,2,FALSE),FALSE)),VLOOKUP(G532,NGPREVPRICES,2,FALSE),CK532,VLOOKUP(G532,NGPREVPRICES,4,FALSE),HLOOKUP(D532,PREVVOLS,VLOOKUP(G532,MOVE_DOWN2,2,FALSE),FALSE),VLOOKUP(G532,NGPREVPRICES,3,FALSE),HLOOKUP(D532,Correllate,VLOOKUP(G532,CorMove,2,FALSE),FALSE),Q532-$CD$3,R532,$CJ$5)*H532</f>
        <v>99090.419295850501</v>
      </c>
      <c r="CK532" s="235">
        <f t="shared" si="610"/>
        <v>1.3</v>
      </c>
      <c r="CM532" t="str">
        <f t="shared" si="611"/>
        <v>36951Curve Shift/Gamma</v>
      </c>
      <c r="CN532" t="str">
        <f t="shared" si="572"/>
        <v>36951Rho</v>
      </c>
      <c r="CO532" t="str">
        <f t="shared" si="573"/>
        <v>36951Drift</v>
      </c>
      <c r="CP532" t="str">
        <f t="shared" si="574"/>
        <v>36951Vega</v>
      </c>
      <c r="CQ532" t="str">
        <f t="shared" si="575"/>
        <v>36951Theta</v>
      </c>
    </row>
    <row r="533" spans="1:95" x14ac:dyDescent="0.25">
      <c r="A533" s="140" t="s">
        <v>281</v>
      </c>
      <c r="B533" t="s">
        <v>250</v>
      </c>
      <c r="C533" t="s">
        <v>525</v>
      </c>
      <c r="D533" s="4" t="s">
        <v>7</v>
      </c>
      <c r="E533" t="s">
        <v>20</v>
      </c>
      <c r="F533" t="s">
        <v>1</v>
      </c>
      <c r="G533" s="5">
        <v>36923</v>
      </c>
      <c r="H533" s="130">
        <v>140000</v>
      </c>
      <c r="I533">
        <v>1.3</v>
      </c>
      <c r="J533" s="53">
        <f t="shared" ref="J533:J539" si="615">VLOOKUP(G533,NGPrices,2,FALSE)</f>
        <v>4.4800000000000004</v>
      </c>
      <c r="K533" s="7">
        <f t="shared" ref="K533:K539" si="616">HLOOKUP(D533,Prices,VLOOKUP(G533,move_down,2,FALSE),FALSE)+VLOOKUP(G533,CHANGE,HLOOKUP(D533,CHANGE,2,FALSE),FALSE)</f>
        <v>2.09</v>
      </c>
      <c r="L533" s="53">
        <f t="shared" ref="L533:L539" si="617">K533+J533</f>
        <v>6.57</v>
      </c>
      <c r="M533" s="157">
        <f t="shared" ref="M533:M539" si="618">VLOOKUP(G533,NGPrices,4,FALSE)</f>
        <v>6.8640161611372E-2</v>
      </c>
      <c r="N533" s="4">
        <f t="shared" ref="N533:N539" si="619">VLOOKUP(G533,NGPrices,3,FALSE)</f>
        <v>0.59250000000000003</v>
      </c>
      <c r="O533" s="4">
        <f t="shared" ref="O533:O539" si="620">HLOOKUP(D533,VOLS,VLOOKUP(G533,move_down,2,FALSE),FALSE)</f>
        <v>0.68100000000000005</v>
      </c>
      <c r="P533" s="9">
        <f t="shared" ref="P533:P539" si="621">HLOOKUP(D533,Correllate,VLOOKUP(G533,CorMove,2,FALSE),FALSE)</f>
        <v>0.83</v>
      </c>
      <c r="Q533" s="5">
        <f t="shared" si="612"/>
        <v>36921</v>
      </c>
      <c r="R533" s="4">
        <f t="shared" ref="R533:R539" si="622">IF(F533="P",0,1)</f>
        <v>0</v>
      </c>
      <c r="S533" s="158">
        <f>_xll.xSPRDOPT($L533,$J533,$I533,$M533,$O533,$N533,$P533,$Q533-$C$3,$R533,0)</f>
        <v>0.30371294861794862</v>
      </c>
      <c r="T533" s="159">
        <f>_xll.xSPRDOPT($L533,$J533,$I533,$M533,$O533,$N533,$P533,$Q533-$C$3,$R533,1)*H533</f>
        <v>-35897.446999185122</v>
      </c>
      <c r="U533" s="160">
        <f t="shared" ref="U533:U539" si="623">S533*H533</f>
        <v>42519.812806512804</v>
      </c>
      <c r="V533" s="159">
        <f>_xll.xSPRDOPT($L533,$J533,$I533,$M533,$O533,$N533,$P533,$Q533-$C$3,$R533,2)*H533</f>
        <v>46905.631254044383</v>
      </c>
      <c r="W533" s="159">
        <f t="shared" ref="W533:W539" si="624">+V533+T533</f>
        <v>11008.184254859261</v>
      </c>
      <c r="X533" s="51" t="str">
        <f t="shared" ref="X533:X539" si="625">CONCATENATE(G533,D533)</f>
        <v>36923IF-TRANSCO/Z6</v>
      </c>
      <c r="Y533" s="418">
        <f t="shared" ref="Y533:Y539" si="626">H533/10000</f>
        <v>14</v>
      </c>
      <c r="Z533" s="456">
        <f t="shared" ref="Z533:Z539" si="627">T533/H533</f>
        <v>-0.25641033570846516</v>
      </c>
      <c r="AA533" s="456">
        <f>_xll.xSPRDOPT($L533,$J533,$I533,$M533,$O533,$N533,$P533,$Q533-$C$3,$R533,3)</f>
        <v>0.18797031454592211</v>
      </c>
      <c r="AB533" s="456">
        <f>((_xll.xSPRDOPT($L533+AB$5,$J533,$I533,$M533,$O533,$N533,$P533,$Q533-$C$3,$R533,3)*$H533)/10000)/100</f>
        <v>2.6315844036429094E-2</v>
      </c>
      <c r="AC533" s="456">
        <f>((_xll.xSPRDOPT($L533+$AB$5,$J533,$I533,$M533,$O533,$N533,$P533,$Q533-$C$3,$R533,7)*$H533)/100)</f>
        <v>-1488.6311199798447</v>
      </c>
      <c r="AD533" s="456">
        <f>(_xll.xSPRDOPT($L533+$AB$5,$J533,$I533,$M533,$O533,$N533,$P533,$Q533-$C$3,$R533,9)/365)*$H533</f>
        <v>-237.27844421063384</v>
      </c>
      <c r="AE533">
        <f t="shared" si="613"/>
        <v>0</v>
      </c>
      <c r="AF533" s="456">
        <f t="shared" si="614"/>
        <v>1274.1408253185821</v>
      </c>
      <c r="AG533" s="456">
        <f>((_xll.xSPRDOPT($L533,$J533,$I533,$M533,$O533,$N533,$P533,$Q533-$C$3,$R533,6)*$H533)/100)</f>
        <v>-389.25867110204666</v>
      </c>
      <c r="AH533" s="456">
        <f>((_xll.xSPRDOPT($L533,$J533,$I533,$M533,$O533,$N533,$P533,$Q533-$C$3,$R533,5)*$H533)/100)</f>
        <v>1447.2308393968024</v>
      </c>
      <c r="AI533" s="456">
        <f>(((_xll.xSPRDOPT($L533,$J533,$I533,$M533,$O533,$N533,$P533,$Q533-$C$3,$R533,4)*$H533)/10000)/100)-AB533</f>
        <v>7.5114979349288347E-3</v>
      </c>
      <c r="AJ533" s="456"/>
      <c r="AK533" s="456"/>
      <c r="AL533" s="456"/>
      <c r="AM533" s="472"/>
      <c r="CC533" s="141">
        <f t="shared" ref="CC533:CC545" si="628">G533</f>
        <v>36923</v>
      </c>
      <c r="CD533" s="234">
        <f>_xll.xSPRDOPT((VLOOKUP(G533,NGPrices,2,FALSE)+HLOOKUP(D533,Prices,VLOOKUP(G533,move_down,2,FALSE),FALSE)),VLOOKUP(G533,NGPrices,2,FALSE),I533,VLOOKUP(G533,NGPREVPRICES,4,FALSE),HLOOKUP(D533,PREVVOLS,VLOOKUP(G533,MOVE_DOWN2,2,FALSE),FALSE),VLOOKUP(G533,NGPREVPRICES,3,FALSE),HLOOKUP(D533,Correllate,VLOOKUP(G533,CorMove,2,FALSE),FALSE),Q533-$CD$3,R533,$CD$5)*H533-CJ533</f>
        <v>0</v>
      </c>
      <c r="CE533" s="234">
        <f>_xll.xSPRDOPT((VLOOKUP(G533,NGPREVPRICES,2,FALSE)+HLOOKUP(D533,PREVCURVES,VLOOKUP(G533,MOVE_DOWN2,2,FALSE),FALSE)),VLOOKUP(G533,NGPREVPRICES,2,FALSE),CK533,VLOOKUP(G533,NGPrices,4,FALSE),HLOOKUP(D533,PREVVOLS,VLOOKUP(G533,MOVE_DOWN2,2,FALSE),FALSE),VLOOKUP(G533,NGPREVPRICES,3,FALSE),HLOOKUP(D533,Correllate,VLOOKUP(G533,CorMove,2,FALSE),FALSE),Q533-$CD$3,R533,$CJ$5)*H533-CJ533</f>
        <v>0</v>
      </c>
      <c r="CF533" s="10">
        <f t="shared" ref="CF533:CF545" si="629">(CJ533/VLOOKUP(CC533,discount,3,FALSE))-(CJ533/VLOOKUP(CC533,discount,2,FALSE))</f>
        <v>-8.1318088167099631</v>
      </c>
      <c r="CG533" s="234">
        <f>_xll.xSPRDOPT((VLOOKUP(G533,NGPREVPRICES,2,FALSE)+HLOOKUP(D533,PREVCURVES,VLOOKUP(G533,MOVE_DOWN2,2,FALSE),FALSE)),VLOOKUP(G533,NGPREVPRICES,2,FALSE),CK533,VLOOKUP(G533,NGPREVPRICES,4,FALSE),HLOOKUP(D533,VOLS,VLOOKUP(G533,move_down,2,FALSE),FALSE),VLOOKUP(G533,NGPrices,3,FALSE),HLOOKUP(D533,Correllate,VLOOKUP(G533,CorMove,2,FALSE),FALSE),Q533-$CD$3,R533,$CJ$5)*H533-CJ533</f>
        <v>0</v>
      </c>
      <c r="CH533" s="234">
        <f>_xll.xSPRDOPT((VLOOKUP(G533,NGPREVPRICES,2,FALSE)+HLOOKUP(D533,PREVCURVES,VLOOKUP(G533,MOVE_DOWN2,2,FALSE),FALSE)),VLOOKUP(G533,NGPREVPRICES,2,FALSE),CK533,VLOOKUP(G533,NGPREVPRICES,4,FALSE),HLOOKUP(D533,PREVVOLS,VLOOKUP(G533,MOVE_DOWN2,2,FALSE),FALSE),VLOOKUP(G533,NGPREVPRICES,3,FALSE),HLOOKUP(D533,Correllate,VLOOKUP(G533,CorMove,2,FALSE),FALSE),Q533-$C$3,R533,$CJ$5)*H533-CJ533</f>
        <v>-236.76960158484144</v>
      </c>
      <c r="CI533" s="234">
        <f t="shared" ref="CI533:CI545" si="630">SUM(CD533:CH533)</f>
        <v>-244.9014104015514</v>
      </c>
      <c r="CJ533" s="234">
        <f>_xll.xSPRDOPT((VLOOKUP(G533,NGPREVPRICES,2,FALSE)+HLOOKUP(D533,PREVCURVES,VLOOKUP(G533,MOVE_DOWN2,2,FALSE),FALSE)),VLOOKUP(G533,NGPREVPRICES,2,FALSE),CK533,VLOOKUP(G533,NGPREVPRICES,4,FALSE),HLOOKUP(D533,PREVVOLS,VLOOKUP(G533,MOVE_DOWN2,2,FALSE),FALSE),VLOOKUP(G533,NGPREVPRICES,3,FALSE),HLOOKUP(D533,Correllate,VLOOKUP(G533,CorMove,2,FALSE),FALSE),Q533-$CD$3,R533,$CJ$5)*H533</f>
        <v>42756.582408097645</v>
      </c>
      <c r="CK533" s="235">
        <f t="shared" ref="CK533:CK545" si="631">I533</f>
        <v>1.3</v>
      </c>
      <c r="CM533" t="str">
        <f t="shared" ref="CM533:CM545" si="632">CONCATENATE(CC533,$CD$6)</f>
        <v>36923Curve Shift/Gamma</v>
      </c>
      <c r="CN533" t="str">
        <f t="shared" si="572"/>
        <v>36923Rho</v>
      </c>
      <c r="CO533" t="str">
        <f t="shared" si="573"/>
        <v>36923Drift</v>
      </c>
      <c r="CP533" t="str">
        <f t="shared" si="574"/>
        <v>36923Vega</v>
      </c>
      <c r="CQ533" t="str">
        <f t="shared" si="575"/>
        <v>36923Theta</v>
      </c>
    </row>
    <row r="534" spans="1:95" x14ac:dyDescent="0.25">
      <c r="A534" s="140" t="s">
        <v>281</v>
      </c>
      <c r="B534" t="s">
        <v>250</v>
      </c>
      <c r="C534" t="s">
        <v>525</v>
      </c>
      <c r="D534" s="4" t="s">
        <v>7</v>
      </c>
      <c r="E534" t="s">
        <v>20</v>
      </c>
      <c r="F534" t="s">
        <v>1</v>
      </c>
      <c r="G534" s="5">
        <v>36892</v>
      </c>
      <c r="H534" s="130">
        <v>155000</v>
      </c>
      <c r="I534">
        <v>1.3</v>
      </c>
      <c r="J534" s="53">
        <f t="shared" si="615"/>
        <v>4.7439999999999998</v>
      </c>
      <c r="K534" s="7">
        <f t="shared" si="616"/>
        <v>2.17</v>
      </c>
      <c r="L534" s="53">
        <f t="shared" si="617"/>
        <v>6.9139999999999997</v>
      </c>
      <c r="M534" s="157">
        <f t="shared" si="618"/>
        <v>6.8374831148490994E-2</v>
      </c>
      <c r="N534" s="4">
        <f t="shared" si="619"/>
        <v>0.60499999999999998</v>
      </c>
      <c r="O534" s="4">
        <f t="shared" si="620"/>
        <v>0.69599999999999995</v>
      </c>
      <c r="P534" s="9">
        <f t="shared" si="621"/>
        <v>0.83</v>
      </c>
      <c r="Q534" s="5">
        <f t="shared" si="612"/>
        <v>36888</v>
      </c>
      <c r="R534" s="4">
        <f t="shared" si="622"/>
        <v>0</v>
      </c>
      <c r="S534" s="158">
        <f>_xll.xSPRDOPT($L534,$J534,$I534,$M534,$O534,$N534,$P534,$Q534-$C$3,$R534,0)</f>
        <v>0.2543810155921975</v>
      </c>
      <c r="T534" s="159">
        <f>_xll.xSPRDOPT($L534,$J534,$I534,$M534,$O534,$N534,$P534,$Q534-$C$3,$R534,1)*H534</f>
        <v>-36696.399869874913</v>
      </c>
      <c r="U534" s="160">
        <f t="shared" si="623"/>
        <v>39429.057416790616</v>
      </c>
      <c r="V534" s="159">
        <f>_xll.xSPRDOPT($L534,$J534,$I534,$M534,$O534,$N534,$P534,$Q534-$C$3,$R534,2)*H534</f>
        <v>47388.903260289357</v>
      </c>
      <c r="W534" s="159">
        <f t="shared" si="624"/>
        <v>10692.503390414444</v>
      </c>
      <c r="X534" s="51" t="str">
        <f t="shared" si="625"/>
        <v>36892IF-TRANSCO/Z6</v>
      </c>
      <c r="Y534" s="418">
        <f t="shared" si="626"/>
        <v>15.5</v>
      </c>
      <c r="Z534" s="456">
        <f t="shared" si="627"/>
        <v>-0.23675096690241879</v>
      </c>
      <c r="AA534" s="456">
        <f>_xll.xSPRDOPT($L534,$J534,$I534,$M534,$O534,$N534,$P534,$Q534-$C$3,$R534,3)</f>
        <v>0.190337876951025</v>
      </c>
      <c r="AB534" s="456">
        <f>((_xll.xSPRDOPT($L534+AB$5,$J534,$I534,$M534,$O534,$N534,$P534,$Q534-$C$3,$R534,3)*$H534)/10000)/100</f>
        <v>2.9502370927408875E-2</v>
      </c>
      <c r="AC534" s="456">
        <f>((_xll.xSPRDOPT($L534+$AB$5,$J534,$I534,$M534,$O534,$N534,$P534,$Q534-$C$3,$R534,7)*$H534)/100)</f>
        <v>-1532.9528243109107</v>
      </c>
      <c r="AD534" s="456">
        <f>(_xll.xSPRDOPT($L534+$AB$5,$J534,$I534,$M534,$O534,$N534,$P534,$Q534-$C$3,$R534,9)/365)*$H534</f>
        <v>-307.97205421415367</v>
      </c>
      <c r="AE534">
        <f t="shared" si="613"/>
        <v>0</v>
      </c>
      <c r="AF534" s="456">
        <f t="shared" si="614"/>
        <v>1260.5695248277284</v>
      </c>
      <c r="AG534" s="456">
        <f>((_xll.xSPRDOPT($L534,$J534,$I534,$M534,$O534,$N534,$P534,$Q534-$C$3,$R534,6)*$H534)/100)</f>
        <v>-377.26085137210958</v>
      </c>
      <c r="AH534" s="456">
        <f>((_xll.xSPRDOPT($L534,$J534,$I534,$M534,$O534,$N534,$P534,$Q534-$C$3,$R534,5)*$H534)/100)</f>
        <v>1423.6887609208363</v>
      </c>
      <c r="AI534" s="456">
        <f>(((_xll.xSPRDOPT($L534,$J534,$I534,$M534,$O534,$N534,$P534,$Q534-$C$3,$R534,4)*$H534)/10000)/100)-AB534</f>
        <v>8.7577507047478832E-3</v>
      </c>
      <c r="AJ534" s="456"/>
      <c r="AK534" s="456"/>
      <c r="AL534" s="456"/>
      <c r="AM534" s="472"/>
      <c r="CC534" s="141">
        <f t="shared" si="628"/>
        <v>36892</v>
      </c>
      <c r="CD534" s="234">
        <f>_xll.xSPRDOPT((VLOOKUP(G534,NGPrices,2,FALSE)+HLOOKUP(D534,Prices,VLOOKUP(G534,move_down,2,FALSE),FALSE)),VLOOKUP(G534,NGPrices,2,FALSE),I534,VLOOKUP(G534,NGPREVPRICES,4,FALSE),HLOOKUP(D534,PREVVOLS,VLOOKUP(G534,MOVE_DOWN2,2,FALSE),FALSE),VLOOKUP(G534,NGPREVPRICES,3,FALSE),HLOOKUP(D534,Correllate,VLOOKUP(G534,CorMove,2,FALSE),FALSE),Q534-$CD$3,R534,$CD$5)*H534-CJ534</f>
        <v>0</v>
      </c>
      <c r="CE534" s="234">
        <f>_xll.xSPRDOPT((VLOOKUP(G534,NGPREVPRICES,2,FALSE)+HLOOKUP(D534,PREVCURVES,VLOOKUP(G534,MOVE_DOWN2,2,FALSE),FALSE)),VLOOKUP(G534,NGPREVPRICES,2,FALSE),CK534,VLOOKUP(G534,NGPrices,4,FALSE),HLOOKUP(D534,PREVVOLS,VLOOKUP(G534,MOVE_DOWN2,2,FALSE),FALSE),VLOOKUP(G534,NGPREVPRICES,3,FALSE),HLOOKUP(D534,Correllate,VLOOKUP(G534,CorMove,2,FALSE),FALSE),Q534-$CD$3,R534,$CJ$5)*H534-CJ534</f>
        <v>0</v>
      </c>
      <c r="CF534" s="10">
        <f t="shared" si="629"/>
        <v>-7.487959508493077</v>
      </c>
      <c r="CG534" s="234">
        <f>_xll.xSPRDOPT((VLOOKUP(G534,NGPREVPRICES,2,FALSE)+HLOOKUP(D534,PREVCURVES,VLOOKUP(G534,MOVE_DOWN2,2,FALSE),FALSE)),VLOOKUP(G534,NGPREVPRICES,2,FALSE),CK534,VLOOKUP(G534,NGPREVPRICES,4,FALSE),HLOOKUP(D534,VOLS,VLOOKUP(G534,move_down,2,FALSE),FALSE),VLOOKUP(G534,NGPrices,3,FALSE),HLOOKUP(D534,Correllate,VLOOKUP(G534,CorMove,2,FALSE),FALSE),Q534-$CD$3,R534,$CJ$5)*H534-CJ534</f>
        <v>0</v>
      </c>
      <c r="CH534" s="234">
        <f>_xll.xSPRDOPT((VLOOKUP(G534,NGPREVPRICES,2,FALSE)+HLOOKUP(D534,PREVCURVES,VLOOKUP(G534,MOVE_DOWN2,2,FALSE),FALSE)),VLOOKUP(G534,NGPREVPRICES,2,FALSE),CK534,VLOOKUP(G534,NGPREVPRICES,4,FALSE),HLOOKUP(D534,PREVVOLS,VLOOKUP(G534,MOVE_DOWN2,2,FALSE),FALSE),VLOOKUP(G534,NGPREVPRICES,3,FALSE),HLOOKUP(D534,Correllate,VLOOKUP(G534,CorMove,2,FALSE),FALSE),Q534-$C$3,R534,$CJ$5)*H534-CJ534</f>
        <v>-307.26846160816785</v>
      </c>
      <c r="CI534" s="234">
        <f t="shared" si="630"/>
        <v>-314.75642111666093</v>
      </c>
      <c r="CJ534" s="234">
        <f>_xll.xSPRDOPT((VLOOKUP(G534,NGPREVPRICES,2,FALSE)+HLOOKUP(D534,PREVCURVES,VLOOKUP(G534,MOVE_DOWN2,2,FALSE),FALSE)),VLOOKUP(G534,NGPREVPRICES,2,FALSE),CK534,VLOOKUP(G534,NGPREVPRICES,4,FALSE),HLOOKUP(D534,PREVVOLS,VLOOKUP(G534,MOVE_DOWN2,2,FALSE),FALSE),VLOOKUP(G534,NGPREVPRICES,3,FALSE),HLOOKUP(D534,Correllate,VLOOKUP(G534,CorMove,2,FALSE),FALSE),Q534-$CD$3,R534,$CJ$5)*H534</f>
        <v>39736.325878398784</v>
      </c>
      <c r="CK534" s="235">
        <f t="shared" si="631"/>
        <v>1.3</v>
      </c>
      <c r="CM534" t="str">
        <f t="shared" si="632"/>
        <v>36892Curve Shift/Gamma</v>
      </c>
      <c r="CN534" t="str">
        <f t="shared" si="572"/>
        <v>36892Rho</v>
      </c>
      <c r="CO534" t="str">
        <f t="shared" si="573"/>
        <v>36892Drift</v>
      </c>
      <c r="CP534" t="str">
        <f t="shared" si="574"/>
        <v>36892Vega</v>
      </c>
      <c r="CQ534" t="str">
        <f t="shared" si="575"/>
        <v>36892Theta</v>
      </c>
    </row>
    <row r="535" spans="1:95" x14ac:dyDescent="0.25">
      <c r="A535" s="140" t="s">
        <v>281</v>
      </c>
      <c r="B535" t="s">
        <v>250</v>
      </c>
      <c r="C535" t="s">
        <v>525</v>
      </c>
      <c r="D535" s="4" t="s">
        <v>7</v>
      </c>
      <c r="E535" t="s">
        <v>20</v>
      </c>
      <c r="F535" t="s">
        <v>1</v>
      </c>
      <c r="G535" s="5">
        <v>36861</v>
      </c>
      <c r="H535" s="130">
        <v>155000</v>
      </c>
      <c r="I535">
        <v>1.3</v>
      </c>
      <c r="J535" s="53">
        <f t="shared" si="615"/>
        <v>4.8</v>
      </c>
      <c r="K535" s="7">
        <f t="shared" si="616"/>
        <v>1.645</v>
      </c>
      <c r="L535" s="53">
        <f t="shared" si="617"/>
        <v>6.4450000000000003</v>
      </c>
      <c r="M535" s="157">
        <f t="shared" si="618"/>
        <v>6.8314027999354002E-2</v>
      </c>
      <c r="N535" s="4">
        <f t="shared" si="619"/>
        <v>0.6</v>
      </c>
      <c r="O535" s="4">
        <f t="shared" si="620"/>
        <v>0.69</v>
      </c>
      <c r="P535" s="9">
        <f t="shared" si="621"/>
        <v>0.83</v>
      </c>
      <c r="Q535" s="5">
        <f t="shared" si="612"/>
        <v>36859</v>
      </c>
      <c r="R535" s="4">
        <f t="shared" si="622"/>
        <v>0</v>
      </c>
      <c r="S535" s="158">
        <f>_xll.xSPRDOPT($L535,$J535,$I535,$M535,$O535,$N535,$P535,$Q535-$C$3,$R535,0)</f>
        <v>0.33989036456437738</v>
      </c>
      <c r="T535" s="159">
        <f>_xll.xSPRDOPT($L535,$J535,$I535,$M535,$O535,$N535,$P535,$Q535-$C$3,$R535,1)*H535</f>
        <v>-53752.9025283589</v>
      </c>
      <c r="U535" s="160">
        <f t="shared" si="623"/>
        <v>52683.006507478494</v>
      </c>
      <c r="V535" s="159">
        <f>_xll.xSPRDOPT($L535,$J535,$I535,$M535,$O535,$N535,$P535,$Q535-$C$3,$R535,2)*H535</f>
        <v>64429.028251501484</v>
      </c>
      <c r="W535" s="159">
        <f t="shared" si="624"/>
        <v>10676.125723142584</v>
      </c>
      <c r="X535" s="51" t="str">
        <f t="shared" si="625"/>
        <v>36861IF-TRANSCO/Z6</v>
      </c>
      <c r="Y535" s="418">
        <f t="shared" si="626"/>
        <v>15.5</v>
      </c>
      <c r="Z535" s="456">
        <f t="shared" si="627"/>
        <v>-0.34679291953779934</v>
      </c>
      <c r="AA535" s="456">
        <f>_xll.xSPRDOPT($L535,$J535,$I535,$M535,$O535,$N535,$P535,$Q535-$C$3,$R535,3)</f>
        <v>0.28330615044763258</v>
      </c>
      <c r="AB535" s="456">
        <f>((_xll.xSPRDOPT($L535+AB$5,$J535,$I535,$M535,$O535,$N535,$P535,$Q535-$C$3,$R535,3)*$H535)/10000)/100</f>
        <v>4.3912453319383052E-2</v>
      </c>
      <c r="AC535" s="456">
        <f>((_xll.xSPRDOPT($L535+$AB$5,$J535,$I535,$M535,$O535,$N535,$P535,$Q535-$C$3,$R535,7)*$H535)/100)</f>
        <v>-1494.6436368549118</v>
      </c>
      <c r="AD535" s="456">
        <f>(_xll.xSPRDOPT($L535+$AB$5,$J535,$I535,$M535,$O535,$N535,$P535,$Q535-$C$3,$R535,9)/365)*$H535</f>
        <v>-387.98756784671673</v>
      </c>
      <c r="AE535">
        <f t="shared" si="613"/>
        <v>0</v>
      </c>
      <c r="AF535" s="456">
        <f t="shared" si="614"/>
        <v>1219.2315237611147</v>
      </c>
      <c r="AG535" s="456">
        <f>((_xll.xSPRDOPT($L535,$J535,$I535,$M535,$O535,$N535,$P535,$Q535-$C$3,$R535,6)*$H535)/100)</f>
        <v>-358.85293204490301</v>
      </c>
      <c r="AH535" s="456">
        <f>((_xll.xSPRDOPT($L535,$J535,$I535,$M535,$O535,$N535,$P535,$Q535-$C$3,$R535,5)*$H535)/100)</f>
        <v>1372.247352874798</v>
      </c>
      <c r="AI535" s="456">
        <f>(((_xll.xSPRDOPT($L535,$J535,$I535,$M535,$O535,$N535,$P535,$Q535-$C$3,$R535,4)*$H535)/10000)/100)-AB535</f>
        <v>5.1606844690904943E-3</v>
      </c>
      <c r="AJ535" s="456"/>
      <c r="AK535" s="456"/>
      <c r="AL535" s="456"/>
      <c r="AM535" s="472"/>
      <c r="CC535" s="141">
        <f t="shared" si="628"/>
        <v>36861</v>
      </c>
      <c r="CD535" s="234">
        <f>_xll.xSPRDOPT((VLOOKUP(G535,NGPrices,2,FALSE)+HLOOKUP(D535,Prices,VLOOKUP(G535,move_down,2,FALSE),FALSE)),VLOOKUP(G535,NGPrices,2,FALSE),I535,VLOOKUP(G535,NGPREVPRICES,4,FALSE),HLOOKUP(D535,PREVVOLS,VLOOKUP(G535,MOVE_DOWN2,2,FALSE),FALSE),VLOOKUP(G535,NGPREVPRICES,3,FALSE),HLOOKUP(D535,Correllate,VLOOKUP(G535,CorMove,2,FALSE),FALSE),Q535-$CD$3,R535,$CD$5)*H535-CJ535</f>
        <v>0</v>
      </c>
      <c r="CE535" s="234">
        <f>_xll.xSPRDOPT((VLOOKUP(G535,NGPREVPRICES,2,FALSE)+HLOOKUP(D535,PREVCURVES,VLOOKUP(G535,MOVE_DOWN2,2,FALSE),FALSE)),VLOOKUP(G535,NGPREVPRICES,2,FALSE),CK535,VLOOKUP(G535,NGPrices,4,FALSE),HLOOKUP(D535,PREVVOLS,VLOOKUP(G535,MOVE_DOWN2,2,FALSE),FALSE),VLOOKUP(G535,NGPREVPRICES,3,FALSE),HLOOKUP(D535,Correllate,VLOOKUP(G535,CorMove,2,FALSE),FALSE),Q535-$CD$3,R535,$CJ$5)*H535-CJ535</f>
        <v>0</v>
      </c>
      <c r="CF535" s="10">
        <f t="shared" si="629"/>
        <v>-9.9419599477987504</v>
      </c>
      <c r="CG535" s="234">
        <f>_xll.xSPRDOPT((VLOOKUP(G535,NGPREVPRICES,2,FALSE)+HLOOKUP(D535,PREVCURVES,VLOOKUP(G535,MOVE_DOWN2,2,FALSE),FALSE)),VLOOKUP(G535,NGPREVPRICES,2,FALSE),CK535,VLOOKUP(G535,NGPREVPRICES,4,FALSE),HLOOKUP(D535,VOLS,VLOOKUP(G535,move_down,2,FALSE),FALSE),VLOOKUP(G535,NGPrices,3,FALSE),HLOOKUP(D535,Correllate,VLOOKUP(G535,CorMove,2,FALSE),FALSE),Q535-$CD$3,R535,$CJ$5)*H535-CJ535</f>
        <v>0</v>
      </c>
      <c r="CH535" s="234">
        <f>_xll.xSPRDOPT((VLOOKUP(G535,NGPREVPRICES,2,FALSE)+HLOOKUP(D535,PREVCURVES,VLOOKUP(G535,MOVE_DOWN2,2,FALSE),FALSE)),VLOOKUP(G535,NGPREVPRICES,2,FALSE),CK535,VLOOKUP(G535,NGPREVPRICES,4,FALSE),HLOOKUP(D535,PREVVOLS,VLOOKUP(G535,MOVE_DOWN2,2,FALSE),FALSE),VLOOKUP(G535,NGPREVPRICES,3,FALSE),HLOOKUP(D535,Correllate,VLOOKUP(G535,CorMove,2,FALSE),FALSE),Q535-$C$3,R535,$CJ$5)*H535-CJ535</f>
        <v>-386.65041770935932</v>
      </c>
      <c r="CI535" s="234">
        <f t="shared" si="630"/>
        <v>-396.59237765715807</v>
      </c>
      <c r="CJ535" s="234">
        <f>_xll.xSPRDOPT((VLOOKUP(G535,NGPREVPRICES,2,FALSE)+HLOOKUP(D535,PREVCURVES,VLOOKUP(G535,MOVE_DOWN2,2,FALSE),FALSE)),VLOOKUP(G535,NGPREVPRICES,2,FALSE),CK535,VLOOKUP(G535,NGPREVPRICES,4,FALSE),HLOOKUP(D535,PREVVOLS,VLOOKUP(G535,MOVE_DOWN2,2,FALSE),FALSE),VLOOKUP(G535,NGPREVPRICES,3,FALSE),HLOOKUP(D535,Correllate,VLOOKUP(G535,CorMove,2,FALSE),FALSE),Q535-$CD$3,R535,$CJ$5)*H535</f>
        <v>53069.656925187854</v>
      </c>
      <c r="CK535" s="235">
        <f t="shared" si="631"/>
        <v>1.3</v>
      </c>
      <c r="CM535" t="str">
        <f t="shared" si="632"/>
        <v>36861Curve Shift/Gamma</v>
      </c>
      <c r="CN535" t="str">
        <f t="shared" si="572"/>
        <v>36861Rho</v>
      </c>
      <c r="CO535" t="str">
        <f t="shared" si="573"/>
        <v>36861Drift</v>
      </c>
      <c r="CP535" t="str">
        <f t="shared" si="574"/>
        <v>36861Vega</v>
      </c>
      <c r="CQ535" t="str">
        <f t="shared" si="575"/>
        <v>36861Theta</v>
      </c>
    </row>
    <row r="536" spans="1:95" x14ac:dyDescent="0.25">
      <c r="A536" s="140" t="s">
        <v>281</v>
      </c>
      <c r="B536" t="s">
        <v>250</v>
      </c>
      <c r="C536" t="s">
        <v>525</v>
      </c>
      <c r="D536" s="4" t="s">
        <v>7</v>
      </c>
      <c r="E536" t="s">
        <v>20</v>
      </c>
      <c r="F536" t="s">
        <v>1</v>
      </c>
      <c r="G536" s="5">
        <v>36831</v>
      </c>
      <c r="H536" s="130">
        <v>150000</v>
      </c>
      <c r="I536">
        <v>1.3</v>
      </c>
      <c r="J536" s="53">
        <f t="shared" si="615"/>
        <v>4.7359999999999998</v>
      </c>
      <c r="K536" s="7">
        <f t="shared" si="616"/>
        <v>0.77</v>
      </c>
      <c r="L536" s="53">
        <f t="shared" si="617"/>
        <v>5.5060000000000002</v>
      </c>
      <c r="M536" s="157">
        <f t="shared" si="618"/>
        <v>6.810675983792E-2</v>
      </c>
      <c r="N536" s="4">
        <f t="shared" si="619"/>
        <v>0.59499999999999997</v>
      </c>
      <c r="O536" s="4">
        <f t="shared" si="620"/>
        <v>0.625</v>
      </c>
      <c r="P536" s="9">
        <f t="shared" si="621"/>
        <v>0.89</v>
      </c>
      <c r="Q536" s="5">
        <f t="shared" si="612"/>
        <v>36829</v>
      </c>
      <c r="R536" s="4">
        <f t="shared" si="622"/>
        <v>0</v>
      </c>
      <c r="S536" s="158">
        <f>_xll.xSPRDOPT($L536,$J536,$I536,$M536,$O536,$N536,$P536,$Q536-$C$3,$R536,0)</f>
        <v>0.61596070257825342</v>
      </c>
      <c r="T536" s="159">
        <f>_xll.xSPRDOPT($L536,$J536,$I536,$M536,$O536,$N536,$P536,$Q536-$C$3,$R536,1)*H536</f>
        <v>-111618.11400687569</v>
      </c>
      <c r="U536" s="160">
        <f t="shared" si="623"/>
        <v>92394.105386738011</v>
      </c>
      <c r="V536" s="159">
        <f>_xll.xSPRDOPT($L536,$J536,$I536,$M536,$O536,$N536,$P536,$Q536-$C$3,$R536,2)*H536</f>
        <v>116492.89758796424</v>
      </c>
      <c r="W536" s="159">
        <f t="shared" si="624"/>
        <v>4874.7835810885445</v>
      </c>
      <c r="X536" s="51" t="str">
        <f t="shared" si="625"/>
        <v>36831IF-TRANSCO/Z6</v>
      </c>
      <c r="Y536" s="418">
        <f t="shared" si="626"/>
        <v>15</v>
      </c>
      <c r="Z536" s="456">
        <f t="shared" si="627"/>
        <v>-0.74412076004583794</v>
      </c>
      <c r="AA536" s="456">
        <f>_xll.xSPRDOPT($L536,$J536,$I536,$M536,$O536,$N536,$P536,$Q536-$C$3,$R536,3)</f>
        <v>0.46308987346940378</v>
      </c>
      <c r="AB536" s="456">
        <f>((_xll.xSPRDOPT($L536+AB$5,$J536,$I536,$M536,$O536,$N536,$P536,$Q536-$C$3,$R536,3)*$H536)/10000)/100</f>
        <v>6.9463481020410556E-2</v>
      </c>
      <c r="AC536" s="456">
        <f>((_xll.xSPRDOPT($L536+$AB$5,$J536,$I536,$M536,$O536,$N536,$P536,$Q536-$C$3,$R536,7)*$H536)/100)</f>
        <v>-1056.7972195962707</v>
      </c>
      <c r="AD536" s="456">
        <f>(_xll.xSPRDOPT($L536+$AB$5,$J536,$I536,$M536,$O536,$N536,$P536,$Q536-$C$3,$R536,9)/365)*$H536</f>
        <v>-238.41481476022466</v>
      </c>
      <c r="AE536">
        <f t="shared" si="613"/>
        <v>0</v>
      </c>
      <c r="AF536" s="456">
        <f t="shared" si="614"/>
        <v>532.42890920364414</v>
      </c>
      <c r="AG536" s="456">
        <f>((_xll.xSPRDOPT($L536,$J536,$I536,$M536,$O536,$N536,$P536,$Q536-$C$3,$R536,6)*$H536)/100)</f>
        <v>-233.60458819513053</v>
      </c>
      <c r="AH536" s="456">
        <f>((_xll.xSPRDOPT($L536,$J536,$I536,$M536,$O536,$N536,$P536,$Q536-$C$3,$R536,5)*$H536)/100)</f>
        <v>729.26388952363345</v>
      </c>
      <c r="AI536" s="456">
        <f>(((_xll.xSPRDOPT($L536,$J536,$I536,$M536,$O536,$N536,$P536,$Q536-$C$3,$R536,4)*$H536)/10000)/100)-AB536</f>
        <v>-9.9969550882774427E-3</v>
      </c>
      <c r="AJ536" s="456"/>
      <c r="AK536" s="456"/>
      <c r="AL536" s="456"/>
      <c r="AM536" s="472"/>
      <c r="CC536" s="141">
        <f t="shared" si="628"/>
        <v>36831</v>
      </c>
      <c r="CD536" s="234">
        <f>_xll.xSPRDOPT((VLOOKUP(G536,NGPrices,2,FALSE)+HLOOKUP(D536,Prices,VLOOKUP(G536,move_down,2,FALSE),FALSE)),VLOOKUP(G536,NGPrices,2,FALSE),I536,VLOOKUP(G536,NGPREVPRICES,4,FALSE),HLOOKUP(D536,PREVVOLS,VLOOKUP(G536,MOVE_DOWN2,2,FALSE),FALSE),VLOOKUP(G536,NGPREVPRICES,3,FALSE),HLOOKUP(D536,Correllate,VLOOKUP(G536,CorMove,2,FALSE),FALSE),Q536-$CD$3,R536,$CD$5)*H536-CJ536</f>
        <v>0</v>
      </c>
      <c r="CE536" s="234">
        <f>_xll.xSPRDOPT((VLOOKUP(G536,NGPREVPRICES,2,FALSE)+HLOOKUP(D536,PREVCURVES,VLOOKUP(G536,MOVE_DOWN2,2,FALSE),FALSE)),VLOOKUP(G536,NGPREVPRICES,2,FALSE),CK536,VLOOKUP(G536,NGPrices,4,FALSE),HLOOKUP(D536,PREVVOLS,VLOOKUP(G536,MOVE_DOWN2,2,FALSE),FALSE),VLOOKUP(G536,NGPREVPRICES,3,FALSE),HLOOKUP(D536,Correllate,VLOOKUP(G536,CorMove,2,FALSE),FALSE),Q536-$CD$3,R536,$CJ$5)*H536-CJ536</f>
        <v>0</v>
      </c>
      <c r="CF536" s="10">
        <f t="shared" si="629"/>
        <v>-17.202722654328682</v>
      </c>
      <c r="CG536" s="234">
        <f>_xll.xSPRDOPT((VLOOKUP(G536,NGPREVPRICES,2,FALSE)+HLOOKUP(D536,PREVCURVES,VLOOKUP(G536,MOVE_DOWN2,2,FALSE),FALSE)),VLOOKUP(G536,NGPREVPRICES,2,FALSE),CK536,VLOOKUP(G536,NGPREVPRICES,4,FALSE),HLOOKUP(D536,VOLS,VLOOKUP(G536,move_down,2,FALSE),FALSE),VLOOKUP(G536,NGPrices,3,FALSE),HLOOKUP(D536,Correllate,VLOOKUP(G536,CorMove,2,FALSE),FALSE),Q536-$CD$3,R536,$CJ$5)*H536-CJ536</f>
        <v>0</v>
      </c>
      <c r="CH536" s="234">
        <f>_xll.xSPRDOPT((VLOOKUP(G536,NGPREVPRICES,2,FALSE)+HLOOKUP(D536,PREVCURVES,VLOOKUP(G536,MOVE_DOWN2,2,FALSE),FALSE)),VLOOKUP(G536,NGPREVPRICES,2,FALSE),CK536,VLOOKUP(G536,NGPREVPRICES,4,FALSE),HLOOKUP(D536,PREVVOLS,VLOOKUP(G536,MOVE_DOWN2,2,FALSE),FALSE),VLOOKUP(G536,NGPREVPRICES,3,FALSE),HLOOKUP(D536,Correllate,VLOOKUP(G536,CorMove,2,FALSE),FALSE),Q536-$C$3,R536,$CJ$5)*H536-CJ536</f>
        <v>-237.75533506867941</v>
      </c>
      <c r="CI536" s="234">
        <f t="shared" si="630"/>
        <v>-254.9580577230081</v>
      </c>
      <c r="CJ536" s="234">
        <f>_xll.xSPRDOPT((VLOOKUP(G536,NGPREVPRICES,2,FALSE)+HLOOKUP(D536,PREVCURVES,VLOOKUP(G536,MOVE_DOWN2,2,FALSE),FALSE)),VLOOKUP(G536,NGPREVPRICES,2,FALSE),CK536,VLOOKUP(G536,NGPREVPRICES,4,FALSE),HLOOKUP(D536,PREVVOLS,VLOOKUP(G536,MOVE_DOWN2,2,FALSE),FALSE),VLOOKUP(G536,NGPREVPRICES,3,FALSE),HLOOKUP(D536,Correllate,VLOOKUP(G536,CorMove,2,FALSE),FALSE),Q536-$CD$3,R536,$CJ$5)*H536</f>
        <v>92631.86072180669</v>
      </c>
      <c r="CK536" s="235">
        <f t="shared" si="631"/>
        <v>1.3</v>
      </c>
      <c r="CM536" t="str">
        <f t="shared" si="632"/>
        <v>36831Curve Shift/Gamma</v>
      </c>
      <c r="CN536" t="str">
        <f t="shared" si="572"/>
        <v>36831Rho</v>
      </c>
      <c r="CO536" t="str">
        <f t="shared" si="573"/>
        <v>36831Drift</v>
      </c>
      <c r="CP536" t="str">
        <f t="shared" si="574"/>
        <v>36831Vega</v>
      </c>
      <c r="CQ536" t="str">
        <f t="shared" si="575"/>
        <v>36831Theta</v>
      </c>
    </row>
    <row r="537" spans="1:95" x14ac:dyDescent="0.25">
      <c r="A537" s="140" t="s">
        <v>480</v>
      </c>
      <c r="B537" t="s">
        <v>250</v>
      </c>
      <c r="C537" t="s">
        <v>527</v>
      </c>
      <c r="D537" s="4" t="s">
        <v>7</v>
      </c>
      <c r="E537" t="s">
        <v>20</v>
      </c>
      <c r="F537" t="s">
        <v>1</v>
      </c>
      <c r="G537" s="5">
        <v>36800</v>
      </c>
      <c r="H537" s="130">
        <v>-1240000</v>
      </c>
      <c r="I537">
        <v>0.4</v>
      </c>
      <c r="J537" s="53">
        <f t="shared" si="615"/>
        <v>4.6920000000000002</v>
      </c>
      <c r="K537" s="7">
        <f t="shared" si="616"/>
        <v>0.41499999999999998</v>
      </c>
      <c r="L537" s="53">
        <f t="shared" si="617"/>
        <v>5.1070000000000002</v>
      </c>
      <c r="M537" s="157">
        <f t="shared" si="618"/>
        <v>6.8050789414654006E-2</v>
      </c>
      <c r="N537" s="4">
        <f t="shared" si="619"/>
        <v>0.57499999999999996</v>
      </c>
      <c r="O537" s="4">
        <f t="shared" si="620"/>
        <v>0.56399999999999995</v>
      </c>
      <c r="P537" s="9">
        <f t="shared" si="621"/>
        <v>0.99250000000000005</v>
      </c>
      <c r="Q537" s="5">
        <f t="shared" si="612"/>
        <v>36797</v>
      </c>
      <c r="R537" s="4">
        <f t="shared" si="622"/>
        <v>0</v>
      </c>
      <c r="S537" s="158">
        <f>_xll.xSPRDOPT($L537,$J537,$I537,$M537,$O537,$N537,$P537,$Q537-$C$3,$R537,0)</f>
        <v>3.6625999929786657E-2</v>
      </c>
      <c r="T537" s="159">
        <f>_xll.xSPRDOPT($L537,$J537,$I537,$M537,$O537,$N537,$P537,$Q537-$C$3,$R537,1)*H537</f>
        <v>540829.20115197927</v>
      </c>
      <c r="U537" s="160">
        <f t="shared" si="623"/>
        <v>-45416.239912935453</v>
      </c>
      <c r="V537" s="159">
        <f>_xll.xSPRDOPT($L537,$J537,$I537,$M537,$O537,$N537,$P537,$Q537-$C$3,$R537,2)*H537</f>
        <v>-548789.44809313118</v>
      </c>
      <c r="W537" s="159">
        <f t="shared" si="624"/>
        <v>-7960.2469411519123</v>
      </c>
      <c r="X537" s="51" t="str">
        <f t="shared" si="625"/>
        <v>36800IF-TRANSCO/Z6</v>
      </c>
      <c r="Y537" s="418">
        <f t="shared" si="626"/>
        <v>-124</v>
      </c>
      <c r="Z537" s="456">
        <f t="shared" si="627"/>
        <v>-0.43615258157417686</v>
      </c>
      <c r="AA537" s="456">
        <f>_xll.xSPRDOPT($L537,$J537,$I537,$M537,$O537,$N537,$P537,$Q537-$C$3,$R537,3)</f>
        <v>3.5565641555811189</v>
      </c>
      <c r="AB537" s="456">
        <f>((_xll.xSPRDOPT($L537+AB$5,$J537,$I537,$M537,$O537,$N537,$P537,$Q537-$C$3,$R537,3)*$H537)/10000)/100</f>
        <v>-4.4101395529205867</v>
      </c>
      <c r="AC537" s="456">
        <f>((_xll.xSPRDOPT($L537+$AB$5,$J537,$I537,$M537,$O537,$N537,$P537,$Q537-$C$3,$R537,7)*$H537)/100)</f>
        <v>28227.175750263668</v>
      </c>
      <c r="AD537" s="456">
        <f>(_xll.xSPRDOPT($L537+$AB$5,$J537,$I537,$M537,$O537,$N537,$P537,$Q537-$C$3,$R537,9)/365)*$H537</f>
        <v>888.7438636178548</v>
      </c>
      <c r="AE537">
        <f t="shared" si="613"/>
        <v>0</v>
      </c>
      <c r="AF537" s="456">
        <f t="shared" si="614"/>
        <v>-935.5795930576719</v>
      </c>
      <c r="AG537" s="456">
        <f>((_xll.xSPRDOPT($L537,$J537,$I537,$M537,$O537,$N537,$P537,$Q537-$C$3,$R537,6)*$H537)/100)</f>
        <v>2606.2089872917063</v>
      </c>
      <c r="AH537" s="456">
        <f>((_xll.xSPRDOPT($L537,$J537,$I537,$M537,$O537,$N537,$P537,$Q537-$C$3,$R537,5)*$H537)/100)</f>
        <v>-3610.8660172001637</v>
      </c>
      <c r="AI537" s="456">
        <f>(((_xll.xSPRDOPT($L537,$J537,$I537,$M537,$O537,$N537,$P537,$Q537-$C$3,$R537,4)*$H537)/10000)/100)-AB537</f>
        <v>-2.5337082350934459E-2</v>
      </c>
      <c r="AJ537" s="456"/>
      <c r="AK537" s="456"/>
      <c r="AL537" s="456"/>
      <c r="AM537" s="472"/>
      <c r="CC537" s="141">
        <f t="shared" si="628"/>
        <v>36800</v>
      </c>
      <c r="CD537" s="234">
        <f>_xll.xSPRDOPT((VLOOKUP(G537,NGPrices,2,FALSE)+HLOOKUP(D537,Prices,VLOOKUP(G537,move_down,2,FALSE),FALSE)),VLOOKUP(G537,NGPrices,2,FALSE),I537,VLOOKUP(G537,NGPREVPRICES,4,FALSE),HLOOKUP(D537,PREVVOLS,VLOOKUP(G537,MOVE_DOWN2,2,FALSE),FALSE),VLOOKUP(G537,NGPREVPRICES,3,FALSE),HLOOKUP(D537,Correllate,VLOOKUP(G537,CorMove,2,FALSE),FALSE),Q537-$CD$3,R537,$CD$5)*H537-CJ537</f>
        <v>0</v>
      </c>
      <c r="CE537" s="234">
        <f>_xll.xSPRDOPT((VLOOKUP(G537,NGPREVPRICES,2,FALSE)+HLOOKUP(D537,PREVCURVES,VLOOKUP(G537,MOVE_DOWN2,2,FALSE),FALSE)),VLOOKUP(G537,NGPREVPRICES,2,FALSE),CK537,VLOOKUP(G537,NGPrices,4,FALSE),HLOOKUP(D537,PREVVOLS,VLOOKUP(G537,MOVE_DOWN2,2,FALSE),FALSE),VLOOKUP(G537,NGPREVPRICES,3,FALSE),HLOOKUP(D537,Correllate,VLOOKUP(G537,CorMove,2,FALSE),FALSE),Q537-$CD$3,R537,$CJ$5)*H537-CJ537</f>
        <v>0</v>
      </c>
      <c r="CF537" s="10">
        <f t="shared" si="629"/>
        <v>8.5351267840742366</v>
      </c>
      <c r="CG537" s="234">
        <f>_xll.xSPRDOPT((VLOOKUP(G537,NGPREVPRICES,2,FALSE)+HLOOKUP(D537,PREVCURVES,VLOOKUP(G537,MOVE_DOWN2,2,FALSE),FALSE)),VLOOKUP(G537,NGPREVPRICES,2,FALSE),CK537,VLOOKUP(G537,NGPREVPRICES,4,FALSE),HLOOKUP(D537,VOLS,VLOOKUP(G537,move_down,2,FALSE),FALSE),VLOOKUP(G537,NGPrices,3,FALSE),HLOOKUP(D537,Correllate,VLOOKUP(G537,CorMove,2,FALSE),FALSE),Q537-$CD$3,R537,$CJ$5)*H537-CJ537</f>
        <v>0</v>
      </c>
      <c r="CH537" s="234">
        <f>_xll.xSPRDOPT((VLOOKUP(G537,NGPREVPRICES,2,FALSE)+HLOOKUP(D537,PREVCURVES,VLOOKUP(G537,MOVE_DOWN2,2,FALSE),FALSE)),VLOOKUP(G537,NGPREVPRICES,2,FALSE),CK537,VLOOKUP(G537,NGPREVPRICES,4,FALSE),HLOOKUP(D537,PREVVOLS,VLOOKUP(G537,MOVE_DOWN2,2,FALSE),FALSE),VLOOKUP(G537,NGPREVPRICES,3,FALSE),HLOOKUP(D537,Correllate,VLOOKUP(G537,CorMove,2,FALSE),FALSE),Q537-$C$3,R537,$CJ$5)*H537-CJ537</f>
        <v>880.80966915372846</v>
      </c>
      <c r="CI537" s="234">
        <f t="shared" si="630"/>
        <v>889.3447959378027</v>
      </c>
      <c r="CJ537" s="234">
        <f>_xll.xSPRDOPT((VLOOKUP(G537,NGPREVPRICES,2,FALSE)+HLOOKUP(D537,PREVCURVES,VLOOKUP(G537,MOVE_DOWN2,2,FALSE),FALSE)),VLOOKUP(G537,NGPREVPRICES,2,FALSE),CK537,VLOOKUP(G537,NGPREVPRICES,4,FALSE),HLOOKUP(D537,PREVVOLS,VLOOKUP(G537,MOVE_DOWN2,2,FALSE),FALSE),VLOOKUP(G537,NGPREVPRICES,3,FALSE),HLOOKUP(D537,Correllate,VLOOKUP(G537,CorMove,2,FALSE),FALSE),Q537-$CD$3,R537,$CJ$5)*H537</f>
        <v>-46297.049582089181</v>
      </c>
      <c r="CK537" s="235">
        <f t="shared" si="631"/>
        <v>0.4</v>
      </c>
      <c r="CM537" t="str">
        <f t="shared" si="632"/>
        <v>36800Curve Shift/Gamma</v>
      </c>
      <c r="CN537" t="str">
        <f t="shared" si="572"/>
        <v>36800Rho</v>
      </c>
      <c r="CO537" t="str">
        <f t="shared" si="573"/>
        <v>36800Drift</v>
      </c>
      <c r="CP537" t="str">
        <f t="shared" si="574"/>
        <v>36800Vega</v>
      </c>
      <c r="CQ537" t="str">
        <f t="shared" si="575"/>
        <v>36800Theta</v>
      </c>
    </row>
    <row r="538" spans="1:95" x14ac:dyDescent="0.25">
      <c r="A538" s="140" t="s">
        <v>480</v>
      </c>
      <c r="B538" t="s">
        <v>250</v>
      </c>
      <c r="C538" t="s">
        <v>528</v>
      </c>
      <c r="D538" s="4" t="s">
        <v>10</v>
      </c>
      <c r="E538" t="s">
        <v>20</v>
      </c>
      <c r="F538" t="s">
        <v>21</v>
      </c>
      <c r="G538" s="5">
        <v>36951</v>
      </c>
      <c r="H538" s="130">
        <v>-310000</v>
      </c>
      <c r="I538">
        <v>0.4</v>
      </c>
      <c r="J538" s="53">
        <f t="shared" si="615"/>
        <v>4.2130000000000001</v>
      </c>
      <c r="K538" s="7">
        <f t="shared" si="616"/>
        <v>0.27</v>
      </c>
      <c r="L538" s="53">
        <f t="shared" si="617"/>
        <v>4.4830000000000005</v>
      </c>
      <c r="M538" s="157">
        <f t="shared" si="618"/>
        <v>6.8879814952706994E-2</v>
      </c>
      <c r="N538" s="4">
        <f t="shared" si="619"/>
        <v>0.53249999999999997</v>
      </c>
      <c r="O538" s="4">
        <f t="shared" si="620"/>
        <v>0.53300000000000003</v>
      </c>
      <c r="P538" s="9">
        <f t="shared" si="621"/>
        <v>0.99</v>
      </c>
      <c r="Q538" s="5">
        <f t="shared" si="612"/>
        <v>36949</v>
      </c>
      <c r="R538" s="4">
        <f t="shared" si="622"/>
        <v>1</v>
      </c>
      <c r="S538" s="158">
        <f>_xll.xSPRDOPT($L538,$J538,$I538,$M538,$O538,$N538,$P538,$Q538-$C$3,$R538,0)</f>
        <v>5.4390031718029419E-2</v>
      </c>
      <c r="T538" s="159">
        <f>_xll.xSPRDOPT($L538,$J538,$I538,$M538,$O538,$N538,$P538,$Q538-$C$3,$R538,1)*H538</f>
        <v>-100335.95644287211</v>
      </c>
      <c r="U538" s="160">
        <f t="shared" si="623"/>
        <v>-16860.909832589121</v>
      </c>
      <c r="V538" s="159">
        <f>_xll.xSPRDOPT($L538,$J538,$I538,$M538,$O538,$N538,$P538,$Q538-$C$3,$R538,2)*H538</f>
        <v>95360.344142837799</v>
      </c>
      <c r="W538" s="159">
        <f t="shared" si="624"/>
        <v>-4975.6123000343068</v>
      </c>
      <c r="X538" s="51" t="str">
        <f t="shared" si="625"/>
        <v>36951IF-CGT/APPALAC</v>
      </c>
      <c r="Y538" s="418">
        <f t="shared" si="626"/>
        <v>-31</v>
      </c>
      <c r="Z538" s="456">
        <f t="shared" si="627"/>
        <v>0.3236643756221681</v>
      </c>
      <c r="AA538" s="456">
        <f>_xll.xSPRDOPT($L538,$J538,$I538,$M538,$O538,$N538,$P538,$Q538-$C$3,$R538,3)</f>
        <v>1.3241721119681806</v>
      </c>
      <c r="AB538" s="456">
        <f>((_xll.xSPRDOPT($L538+AB$5,$J538,$I538,$M538,$O538,$N538,$P538,$Q538-$C$3,$R538,3)*$H538)/10000)/100</f>
        <v>-0.41049335471013598</v>
      </c>
      <c r="AC538" s="456">
        <f>((_xll.xSPRDOPT($L538+$AB$5,$J538,$I538,$M538,$O538,$N538,$P538,$Q538-$C$3,$R538,7)*$H538)/100)</f>
        <v>10757.851316833478</v>
      </c>
      <c r="AD538" s="456">
        <f>(_xll.xSPRDOPT($L538+$AB$5,$J538,$I538,$M538,$O538,$N538,$P538,$Q538-$C$3,$R538,9)/365)*$H538</f>
        <v>77.620164093112948</v>
      </c>
      <c r="AE538">
        <f t="shared" si="613"/>
        <v>0</v>
      </c>
      <c r="AF538" s="456">
        <f t="shared" si="614"/>
        <v>-551.95871595575045</v>
      </c>
      <c r="AG538" s="456">
        <f>((_xll.xSPRDOPT($L538,$J538,$I538,$M538,$O538,$N538,$P538,$Q538-$C$3,$R538,6)*$H538)/100)</f>
        <v>1378.5854686016517</v>
      </c>
      <c r="AH538" s="456">
        <f>((_xll.xSPRDOPT($L538,$J538,$I538,$M538,$O538,$N538,$P538,$Q538-$C$3,$R538,5)*$H538)/100)</f>
        <v>-1928.7331674987176</v>
      </c>
      <c r="AI538" s="456">
        <f>(((_xll.xSPRDOPT($L538,$J538,$I538,$M538,$O538,$N538,$P538,$Q538-$C$3,$R538,4)*$H538)/10000)/100)-AB538</f>
        <v>1.5089672540363919E-2</v>
      </c>
      <c r="AJ538" s="456"/>
      <c r="AK538" s="456"/>
      <c r="AL538" s="456"/>
      <c r="AM538" s="472"/>
      <c r="CC538" s="141">
        <f t="shared" si="628"/>
        <v>36951</v>
      </c>
      <c r="CD538" s="234">
        <f>_xll.xSPRDOPT((VLOOKUP(G538,NGPrices,2,FALSE)+HLOOKUP(D538,Prices,VLOOKUP(G538,move_down,2,FALSE),FALSE)),VLOOKUP(G538,NGPrices,2,FALSE),I538,VLOOKUP(G538,NGPREVPRICES,4,FALSE),HLOOKUP(D538,PREVVOLS,VLOOKUP(G538,MOVE_DOWN2,2,FALSE),FALSE),VLOOKUP(G538,NGPREVPRICES,3,FALSE),HLOOKUP(D538,Correllate,VLOOKUP(G538,CorMove,2,FALSE),FALSE),Q538-$CD$3,R538,$CD$5)*H538-CJ538</f>
        <v>0</v>
      </c>
      <c r="CE538" s="234">
        <f>_xll.xSPRDOPT((VLOOKUP(G538,NGPREVPRICES,2,FALSE)+HLOOKUP(D538,PREVCURVES,VLOOKUP(G538,MOVE_DOWN2,2,FALSE),FALSE)),VLOOKUP(G538,NGPREVPRICES,2,FALSE),CK538,VLOOKUP(G538,NGPrices,4,FALSE),HLOOKUP(D538,PREVVOLS,VLOOKUP(G538,MOVE_DOWN2,2,FALSE),FALSE),VLOOKUP(G538,NGPREVPRICES,3,FALSE),HLOOKUP(D538,Correllate,VLOOKUP(G538,CorMove,2,FALSE),FALSE),Q538-$CD$3,R538,$CJ$5)*H538-CJ538</f>
        <v>0</v>
      </c>
      <c r="CF538" s="10">
        <f t="shared" si="629"/>
        <v>3.2485278011081391</v>
      </c>
      <c r="CG538" s="234">
        <f>_xll.xSPRDOPT((VLOOKUP(G538,NGPREVPRICES,2,FALSE)+HLOOKUP(D538,PREVCURVES,VLOOKUP(G538,MOVE_DOWN2,2,FALSE),FALSE)),VLOOKUP(G538,NGPREVPRICES,2,FALSE),CK538,VLOOKUP(G538,NGPREVPRICES,4,FALSE),HLOOKUP(D538,VOLS,VLOOKUP(G538,move_down,2,FALSE),FALSE),VLOOKUP(G538,NGPrices,3,FALSE),HLOOKUP(D538,Correllate,VLOOKUP(G538,CorMove,2,FALSE),FALSE),Q538-$CD$3,R538,$CJ$5)*H538-CJ538</f>
        <v>0</v>
      </c>
      <c r="CH538" s="234">
        <f>_xll.xSPRDOPT((VLOOKUP(G538,NGPREVPRICES,2,FALSE)+HLOOKUP(D538,PREVCURVES,VLOOKUP(G538,MOVE_DOWN2,2,FALSE),FALSE)),VLOOKUP(G538,NGPREVPRICES,2,FALSE),CK538,VLOOKUP(G538,NGPREVPRICES,4,FALSE),HLOOKUP(D538,PREVVOLS,VLOOKUP(G538,MOVE_DOWN2,2,FALSE),FALSE),VLOOKUP(G538,NGPREVPRICES,3,FALSE),HLOOKUP(D538,Correllate,VLOOKUP(G538,CorMove,2,FALSE),FALSE),Q538-$C$3,R538,$CJ$5)*H538-CJ538</f>
        <v>77.468324396057142</v>
      </c>
      <c r="CI538" s="234">
        <f t="shared" si="630"/>
        <v>80.716852197165281</v>
      </c>
      <c r="CJ538" s="234">
        <f>_xll.xSPRDOPT((VLOOKUP(G538,NGPREVPRICES,2,FALSE)+HLOOKUP(D538,PREVCURVES,VLOOKUP(G538,MOVE_DOWN2,2,FALSE),FALSE)),VLOOKUP(G538,NGPREVPRICES,2,FALSE),CK538,VLOOKUP(G538,NGPREVPRICES,4,FALSE),HLOOKUP(D538,PREVVOLS,VLOOKUP(G538,MOVE_DOWN2,2,FALSE),FALSE),VLOOKUP(G538,NGPREVPRICES,3,FALSE),HLOOKUP(D538,Correllate,VLOOKUP(G538,CorMove,2,FALSE),FALSE),Q538-$CD$3,R538,$CJ$5)*H538</f>
        <v>-16938.378156985178</v>
      </c>
      <c r="CK538" s="235">
        <f t="shared" si="631"/>
        <v>0.4</v>
      </c>
      <c r="CM538" t="str">
        <f t="shared" si="632"/>
        <v>36951Curve Shift/Gamma</v>
      </c>
      <c r="CN538" t="str">
        <f t="shared" si="572"/>
        <v>36951Rho</v>
      </c>
      <c r="CO538" t="str">
        <f t="shared" si="573"/>
        <v>36951Drift</v>
      </c>
      <c r="CP538" t="str">
        <f t="shared" si="574"/>
        <v>36951Vega</v>
      </c>
      <c r="CQ538" t="str">
        <f t="shared" si="575"/>
        <v>36951Theta</v>
      </c>
    </row>
    <row r="539" spans="1:95" x14ac:dyDescent="0.25">
      <c r="A539" s="140" t="s">
        <v>480</v>
      </c>
      <c r="B539" t="s">
        <v>250</v>
      </c>
      <c r="C539" t="s">
        <v>528</v>
      </c>
      <c r="D539" s="4" t="s">
        <v>10</v>
      </c>
      <c r="E539" t="s">
        <v>20</v>
      </c>
      <c r="F539" t="s">
        <v>21</v>
      </c>
      <c r="G539" s="5">
        <v>36923</v>
      </c>
      <c r="H539" s="130">
        <v>-280000</v>
      </c>
      <c r="I539">
        <v>0.4</v>
      </c>
      <c r="J539" s="53">
        <f t="shared" si="615"/>
        <v>4.4800000000000004</v>
      </c>
      <c r="K539" s="7">
        <f t="shared" si="616"/>
        <v>0.29499999999999998</v>
      </c>
      <c r="L539" s="53">
        <f t="shared" si="617"/>
        <v>4.7750000000000004</v>
      </c>
      <c r="M539" s="157">
        <f t="shared" si="618"/>
        <v>6.8640161611372E-2</v>
      </c>
      <c r="N539" s="4">
        <f t="shared" si="619"/>
        <v>0.59250000000000003</v>
      </c>
      <c r="O539" s="4">
        <f t="shared" si="620"/>
        <v>0.59299999999999997</v>
      </c>
      <c r="P539" s="9">
        <f t="shared" si="621"/>
        <v>0.99</v>
      </c>
      <c r="Q539" s="5">
        <f t="shared" si="612"/>
        <v>36921</v>
      </c>
      <c r="R539" s="4">
        <f t="shared" si="622"/>
        <v>1</v>
      </c>
      <c r="S539" s="158">
        <f>_xll.xSPRDOPT($L539,$J539,$I539,$M539,$O539,$N539,$P539,$Q539-$C$3,$R539,0)</f>
        <v>7.0171024733450521E-2</v>
      </c>
      <c r="T539" s="159">
        <f>_xll.xSPRDOPT($L539,$J539,$I539,$M539,$O539,$N539,$P539,$Q539-$C$3,$R539,1)*H539</f>
        <v>-102978.37353429386</v>
      </c>
      <c r="U539" s="160">
        <f t="shared" si="623"/>
        <v>-19647.886925366147</v>
      </c>
      <c r="V539" s="159">
        <f>_xll.xSPRDOPT($L539,$J539,$I539,$M539,$O539,$N539,$P539,$Q539-$C$3,$R539,2)*H539</f>
        <v>98094.469396115339</v>
      </c>
      <c r="W539" s="159">
        <f t="shared" si="624"/>
        <v>-4883.904138178521</v>
      </c>
      <c r="X539" s="51" t="str">
        <f t="shared" si="625"/>
        <v>36923IF-CGT/APPALAC</v>
      </c>
      <c r="Y539" s="418">
        <f t="shared" si="626"/>
        <v>-28</v>
      </c>
      <c r="Z539" s="456">
        <f t="shared" si="627"/>
        <v>0.36777990547962092</v>
      </c>
      <c r="AA539" s="456">
        <f>_xll.xSPRDOPT($L539,$J539,$I539,$M539,$O539,$N539,$P539,$Q539-$C$3,$R539,3)</f>
        <v>1.2853969881027432</v>
      </c>
      <c r="AB539" s="456">
        <f>((_xll.xSPRDOPT($L539+AB$5,$J539,$I539,$M539,$O539,$N539,$P539,$Q539-$C$3,$R539,3)*$H539)/10000)/100</f>
        <v>-0.35991115666876811</v>
      </c>
      <c r="AC539" s="456">
        <f>((_xll.xSPRDOPT($L539+$AB$5,$J539,$I539,$M539,$O539,$N539,$P539,$Q539-$C$3,$R539,7)*$H539)/100)</f>
        <v>11244.61374034734</v>
      </c>
      <c r="AD539" s="456">
        <f>(_xll.xSPRDOPT($L539+$AB$5,$J539,$I539,$M539,$O539,$N539,$P539,$Q539-$C$3,$R539,9)/365)*$H539</f>
        <v>94.207890873560146</v>
      </c>
      <c r="AE539">
        <f t="shared" si="613"/>
        <v>0</v>
      </c>
      <c r="AF539" s="456">
        <f t="shared" si="614"/>
        <v>-508.5808525304833</v>
      </c>
      <c r="AG539" s="456">
        <f>((_xll.xSPRDOPT($L539,$J539,$I539,$M539,$O539,$N539,$P539,$Q539-$C$3,$R539,6)*$H539)/100)</f>
        <v>1237.8976391761321</v>
      </c>
      <c r="AH539" s="456">
        <f>((_xll.xSPRDOPT($L539,$J539,$I539,$M539,$O539,$N539,$P539,$Q539-$C$3,$R539,5)*$H539)/100)</f>
        <v>-1745.0059128771834</v>
      </c>
      <c r="AI539" s="456">
        <f>(((_xll.xSPRDOPT($L539,$J539,$I539,$M539,$O539,$N539,$P539,$Q539-$C$3,$R539,4)*$H539)/10000)/100)-AB539</f>
        <v>9.8723844529155502E-3</v>
      </c>
      <c r="AJ539" s="456"/>
      <c r="AK539" s="456"/>
      <c r="AL539" s="456"/>
      <c r="AM539" s="472"/>
      <c r="CC539" s="141">
        <f t="shared" si="628"/>
        <v>36923</v>
      </c>
      <c r="CD539" s="234">
        <f>_xll.xSPRDOPT((VLOOKUP(G539,NGPrices,2,FALSE)+HLOOKUP(D539,Prices,VLOOKUP(G539,move_down,2,FALSE),FALSE)),VLOOKUP(G539,NGPrices,2,FALSE),I539,VLOOKUP(G539,NGPREVPRICES,4,FALSE),HLOOKUP(D539,PREVVOLS,VLOOKUP(G539,MOVE_DOWN2,2,FALSE),FALSE),VLOOKUP(G539,NGPREVPRICES,3,FALSE),HLOOKUP(D539,Correllate,VLOOKUP(G539,CorMove,2,FALSE),FALSE),Q539-$CD$3,R539,$CD$5)*H539-CJ539</f>
        <v>0</v>
      </c>
      <c r="CE539" s="234">
        <f>_xll.xSPRDOPT((VLOOKUP(G539,NGPREVPRICES,2,FALSE)+HLOOKUP(D539,PREVCURVES,VLOOKUP(G539,MOVE_DOWN2,2,FALSE),FALSE)),VLOOKUP(G539,NGPREVPRICES,2,FALSE),CK539,VLOOKUP(G539,NGPrices,4,FALSE),HLOOKUP(D539,PREVVOLS,VLOOKUP(G539,MOVE_DOWN2,2,FALSE),FALSE),VLOOKUP(G539,NGPREVPRICES,3,FALSE),HLOOKUP(D539,Correllate,VLOOKUP(G539,CorMove,2,FALSE),FALSE),Q539-$CD$3,R539,$CJ$5)*H539-CJ539</f>
        <v>0</v>
      </c>
      <c r="CF539" s="10">
        <f t="shared" si="629"/>
        <v>3.7546772991809121</v>
      </c>
      <c r="CG539" s="234">
        <f>_xll.xSPRDOPT((VLOOKUP(G539,NGPREVPRICES,2,FALSE)+HLOOKUP(D539,PREVCURVES,VLOOKUP(G539,MOVE_DOWN2,2,FALSE),FALSE)),VLOOKUP(G539,NGPREVPRICES,2,FALSE),CK539,VLOOKUP(G539,NGPREVPRICES,4,FALSE),HLOOKUP(D539,VOLS,VLOOKUP(G539,move_down,2,FALSE),FALSE),VLOOKUP(G539,NGPrices,3,FALSE),HLOOKUP(D539,Correllate,VLOOKUP(G539,CorMove,2,FALSE),FALSE),Q539-$CD$3,R539,$CJ$5)*H539-CJ539</f>
        <v>0</v>
      </c>
      <c r="CH539" s="234">
        <f>_xll.xSPRDOPT((VLOOKUP(G539,NGPREVPRICES,2,FALSE)+HLOOKUP(D539,PREVCURVES,VLOOKUP(G539,MOVE_DOWN2,2,FALSE),FALSE)),VLOOKUP(G539,NGPREVPRICES,2,FALSE),CK539,VLOOKUP(G539,NGPREVPRICES,4,FALSE),HLOOKUP(D539,PREVVOLS,VLOOKUP(G539,MOVE_DOWN2,2,FALSE),FALSE),VLOOKUP(G539,NGPREVPRICES,3,FALSE),HLOOKUP(D539,Correllate,VLOOKUP(G539,CorMove,2,FALSE),FALSE),Q539-$C$3,R539,$CJ$5)*H539-CJ539</f>
        <v>93.990063740835467</v>
      </c>
      <c r="CI539" s="234">
        <f t="shared" si="630"/>
        <v>97.744741040016379</v>
      </c>
      <c r="CJ539" s="234">
        <f>_xll.xSPRDOPT((VLOOKUP(G539,NGPREVPRICES,2,FALSE)+HLOOKUP(D539,PREVCURVES,VLOOKUP(G539,MOVE_DOWN2,2,FALSE),FALSE)),VLOOKUP(G539,NGPREVPRICES,2,FALSE),CK539,VLOOKUP(G539,NGPREVPRICES,4,FALSE),HLOOKUP(D539,PREVVOLS,VLOOKUP(G539,MOVE_DOWN2,2,FALSE),FALSE),VLOOKUP(G539,NGPREVPRICES,3,FALSE),HLOOKUP(D539,Correllate,VLOOKUP(G539,CorMove,2,FALSE),FALSE),Q539-$CD$3,R539,$CJ$5)*H539</f>
        <v>-19741.876989106982</v>
      </c>
      <c r="CK539" s="235">
        <f t="shared" si="631"/>
        <v>0.4</v>
      </c>
      <c r="CM539" t="str">
        <f t="shared" si="632"/>
        <v>36923Curve Shift/Gamma</v>
      </c>
      <c r="CN539" t="str">
        <f t="shared" si="572"/>
        <v>36923Rho</v>
      </c>
      <c r="CO539" t="str">
        <f t="shared" si="573"/>
        <v>36923Drift</v>
      </c>
      <c r="CP539" t="str">
        <f t="shared" si="574"/>
        <v>36923Vega</v>
      </c>
      <c r="CQ539" t="str">
        <f t="shared" si="575"/>
        <v>36923Theta</v>
      </c>
    </row>
    <row r="540" spans="1:95" x14ac:dyDescent="0.25">
      <c r="A540" s="140" t="s">
        <v>480</v>
      </c>
      <c r="B540" t="s">
        <v>250</v>
      </c>
      <c r="C540" t="s">
        <v>528</v>
      </c>
      <c r="D540" s="4" t="s">
        <v>10</v>
      </c>
      <c r="E540" t="s">
        <v>20</v>
      </c>
      <c r="F540" t="s">
        <v>21</v>
      </c>
      <c r="G540" s="5">
        <v>36892</v>
      </c>
      <c r="H540" s="130">
        <v>-310000</v>
      </c>
      <c r="I540">
        <v>0.4</v>
      </c>
      <c r="J540" s="53">
        <f t="shared" ref="J540:J545" si="633">VLOOKUP(G540,NGPrices,2,FALSE)</f>
        <v>4.7439999999999998</v>
      </c>
      <c r="K540" s="7">
        <f t="shared" ref="K540:K545" si="634">HLOOKUP(D540,Prices,VLOOKUP(G540,move_down,2,FALSE),FALSE)+VLOOKUP(G540,CHANGE,HLOOKUP(D540,CHANGE,2,FALSE),FALSE)</f>
        <v>0.3</v>
      </c>
      <c r="L540" s="53">
        <f t="shared" ref="L540:L545" si="635">K540+J540</f>
        <v>5.0439999999999996</v>
      </c>
      <c r="M540" s="157">
        <f t="shared" ref="M540:M545" si="636">VLOOKUP(G540,NGPrices,4,FALSE)</f>
        <v>6.8374831148490994E-2</v>
      </c>
      <c r="N540" s="4">
        <f t="shared" ref="N540:N545" si="637">VLOOKUP(G540,NGPrices,3,FALSE)</f>
        <v>0.60499999999999998</v>
      </c>
      <c r="O540" s="4">
        <f t="shared" ref="O540:O545" si="638">HLOOKUP(D540,VOLS,VLOOKUP(G540,move_down,2,FALSE),FALSE)</f>
        <v>0.60499999999999998</v>
      </c>
      <c r="P540" s="9">
        <f t="shared" ref="P540:P545" si="639">HLOOKUP(D540,Correllate,VLOOKUP(G540,CorMove,2,FALSE),FALSE)</f>
        <v>0.99</v>
      </c>
      <c r="Q540" s="5">
        <f t="shared" si="612"/>
        <v>36888</v>
      </c>
      <c r="R540" s="4">
        <f t="shared" ref="R540:R545" si="640">IF(F540="P",0,1)</f>
        <v>1</v>
      </c>
      <c r="S540" s="158">
        <f>_xll.xSPRDOPT($L540,$J540,$I540,$M540,$O540,$N540,$P540,$Q540-$C$3,$R540,0)</f>
        <v>6.6105340672154594E-2</v>
      </c>
      <c r="T540" s="159">
        <f>_xll.xSPRDOPT($L540,$J540,$I540,$M540,$O540,$N540,$P540,$Q540-$C$3,$R540,1)*H540</f>
        <v>-113478.40928209202</v>
      </c>
      <c r="U540" s="160">
        <f t="shared" ref="U540:U545" si="641">S540*H540</f>
        <v>-20492.655608367924</v>
      </c>
      <c r="V540" s="159">
        <f>_xll.xSPRDOPT($L540,$J540,$I540,$M540,$O540,$N540,$P540,$Q540-$C$3,$R540,2)*H540</f>
        <v>108526.99021871477</v>
      </c>
      <c r="W540" s="159">
        <f t="shared" ref="W540:W545" si="642">+V540+T540</f>
        <v>-4951.4190633772523</v>
      </c>
      <c r="X540" s="51" t="str">
        <f t="shared" ref="X540:X545" si="643">CONCATENATE(G540,D540)</f>
        <v>36892IF-CGT/APPALAC</v>
      </c>
      <c r="Y540" s="418">
        <f t="shared" ref="Y540:Y545" si="644">H540/10000</f>
        <v>-31</v>
      </c>
      <c r="Z540" s="456">
        <f t="shared" ref="Z540:Z545" si="645">T540/H540</f>
        <v>0.36605938478094202</v>
      </c>
      <c r="AA540" s="456">
        <f>_xll.xSPRDOPT($L540,$J540,$I540,$M540,$O540,$N540,$P540,$Q540-$C$3,$R540,3)</f>
        <v>1.3635028046982451</v>
      </c>
      <c r="AB540" s="456">
        <f>((_xll.xSPRDOPT($L540+AB$5,$J540,$I540,$M540,$O540,$N540,$P540,$Q540-$C$3,$R540,3)*$H540)/10000)/100</f>
        <v>-0.42268586945645603</v>
      </c>
      <c r="AC540" s="456">
        <f>((_xll.xSPRDOPT($L540+$AB$5,$J540,$I540,$M540,$O540,$N540,$P540,$Q540-$C$3,$R540,7)*$H540)/100)</f>
        <v>12098.47731278802</v>
      </c>
      <c r="AD540" s="456">
        <f>(_xll.xSPRDOPT($L540+$AB$5,$J540,$I540,$M540,$O540,$N540,$P540,$Q540-$C$3,$R540,9)/365)*$H540</f>
        <v>126.60060333559768</v>
      </c>
      <c r="AE540">
        <f t="shared" si="613"/>
        <v>0</v>
      </c>
      <c r="AF540" s="456">
        <f t="shared" si="614"/>
        <v>-521.40068824819787</v>
      </c>
      <c r="AG540" s="456">
        <f>((_xll.xSPRDOPT($L540,$J540,$I540,$M540,$O540,$N540,$P540,$Q540-$C$3,$R540,6)*$H540)/100)</f>
        <v>1234.6190078159061</v>
      </c>
      <c r="AH540" s="456">
        <f>((_xll.xSPRDOPT($L540,$J540,$I540,$M540,$O540,$N540,$P540,$Q540-$C$3,$R540,5)*$H540)/100)</f>
        <v>-1756.019696064104</v>
      </c>
      <c r="AI540" s="456">
        <f>(((_xll.xSPRDOPT($L540,$J540,$I540,$M540,$O540,$N540,$P540,$Q540-$C$3,$R540,4)*$H540)/10000)/100)-AB540</f>
        <v>1.1152153676198429E-2</v>
      </c>
      <c r="AJ540" s="456"/>
      <c r="AK540" s="456"/>
      <c r="AL540" s="456"/>
      <c r="AM540" s="472"/>
      <c r="CC540" s="141">
        <f t="shared" si="628"/>
        <v>36892</v>
      </c>
      <c r="CD540" s="234">
        <f>_xll.xSPRDOPT((VLOOKUP(G540,NGPrices,2,FALSE)+HLOOKUP(D540,Prices,VLOOKUP(G540,move_down,2,FALSE),FALSE)),VLOOKUP(G540,NGPrices,2,FALSE),I540,VLOOKUP(G540,NGPREVPRICES,4,FALSE),HLOOKUP(D540,PREVVOLS,VLOOKUP(G540,MOVE_DOWN2,2,FALSE),FALSE),VLOOKUP(G540,NGPREVPRICES,3,FALSE),HLOOKUP(D540,Correllate,VLOOKUP(G540,CorMove,2,FALSE),FALSE),Q540-$CD$3,R540,$CD$5)*H540-CJ540</f>
        <v>0</v>
      </c>
      <c r="CE540" s="234">
        <f>_xll.xSPRDOPT((VLOOKUP(G540,NGPREVPRICES,2,FALSE)+HLOOKUP(D540,PREVCURVES,VLOOKUP(G540,MOVE_DOWN2,2,FALSE),FALSE)),VLOOKUP(G540,NGPREVPRICES,2,FALSE),CK540,VLOOKUP(G540,NGPrices,4,FALSE),HLOOKUP(D540,PREVVOLS,VLOOKUP(G540,MOVE_DOWN2,2,FALSE),FALSE),VLOOKUP(G540,NGPREVPRICES,3,FALSE),HLOOKUP(D540,Correllate,VLOOKUP(G540,CorMove,2,FALSE),FALSE),Q540-$CD$3,R540,$CJ$5)*H540-CJ540</f>
        <v>0</v>
      </c>
      <c r="CF540" s="10">
        <f t="shared" si="629"/>
        <v>3.8854526231662021</v>
      </c>
      <c r="CG540" s="234">
        <f>_xll.xSPRDOPT((VLOOKUP(G540,NGPREVPRICES,2,FALSE)+HLOOKUP(D540,PREVCURVES,VLOOKUP(G540,MOVE_DOWN2,2,FALSE),FALSE)),VLOOKUP(G540,NGPREVPRICES,2,FALSE),CK540,VLOOKUP(G540,NGPREVPRICES,4,FALSE),HLOOKUP(D540,VOLS,VLOOKUP(G540,move_down,2,FALSE),FALSE),VLOOKUP(G540,NGPrices,3,FALSE),HLOOKUP(D540,Correllate,VLOOKUP(G540,CorMove,2,FALSE),FALSE),Q540-$CD$3,R540,$CJ$5)*H540-CJ540</f>
        <v>0</v>
      </c>
      <c r="CH540" s="234">
        <f>_xll.xSPRDOPT((VLOOKUP(G540,NGPREVPRICES,2,FALSE)+HLOOKUP(D540,PREVCURVES,VLOOKUP(G540,MOVE_DOWN2,2,FALSE),FALSE)),VLOOKUP(G540,NGPREVPRICES,2,FALSE),CK540,VLOOKUP(G540,NGPREVPRICES,4,FALSE),HLOOKUP(D540,PREVVOLS,VLOOKUP(G540,MOVE_DOWN2,2,FALSE),FALSE),VLOOKUP(G540,NGPREVPRICES,3,FALSE),HLOOKUP(D540,Correllate,VLOOKUP(G540,CorMove,2,FALSE),FALSE),Q540-$C$3,R540,$CJ$5)*H540-CJ540</f>
        <v>126.26085934674848</v>
      </c>
      <c r="CI540" s="234">
        <f t="shared" si="630"/>
        <v>130.14631196991468</v>
      </c>
      <c r="CJ540" s="234">
        <f>_xll.xSPRDOPT((VLOOKUP(G540,NGPREVPRICES,2,FALSE)+HLOOKUP(D540,PREVCURVES,VLOOKUP(G540,MOVE_DOWN2,2,FALSE),FALSE)),VLOOKUP(G540,NGPREVPRICES,2,FALSE),CK540,VLOOKUP(G540,NGPREVPRICES,4,FALSE),HLOOKUP(D540,PREVVOLS,VLOOKUP(G540,MOVE_DOWN2,2,FALSE),FALSE),VLOOKUP(G540,NGPREVPRICES,3,FALSE),HLOOKUP(D540,Correllate,VLOOKUP(G540,CorMove,2,FALSE),FALSE),Q540-$CD$3,R540,$CJ$5)*H540</f>
        <v>-20618.916467714673</v>
      </c>
      <c r="CK540" s="235">
        <f t="shared" si="631"/>
        <v>0.4</v>
      </c>
      <c r="CM540" t="str">
        <f t="shared" si="632"/>
        <v>36892Curve Shift/Gamma</v>
      </c>
      <c r="CN540" t="str">
        <f t="shared" si="572"/>
        <v>36892Rho</v>
      </c>
      <c r="CO540" t="str">
        <f t="shared" si="573"/>
        <v>36892Drift</v>
      </c>
      <c r="CP540" t="str">
        <f t="shared" si="574"/>
        <v>36892Vega</v>
      </c>
      <c r="CQ540" t="str">
        <f t="shared" si="575"/>
        <v>36892Theta</v>
      </c>
    </row>
    <row r="541" spans="1:95" x14ac:dyDescent="0.25">
      <c r="A541" s="140" t="s">
        <v>480</v>
      </c>
      <c r="B541" t="s">
        <v>250</v>
      </c>
      <c r="C541" t="s">
        <v>528</v>
      </c>
      <c r="D541" s="4" t="s">
        <v>10</v>
      </c>
      <c r="E541" t="s">
        <v>20</v>
      </c>
      <c r="F541" t="s">
        <v>21</v>
      </c>
      <c r="G541" s="5">
        <v>36861</v>
      </c>
      <c r="H541" s="130">
        <v>-310000</v>
      </c>
      <c r="I541">
        <v>0.4</v>
      </c>
      <c r="J541" s="53">
        <f t="shared" si="633"/>
        <v>4.8</v>
      </c>
      <c r="K541" s="7">
        <f t="shared" si="634"/>
        <v>0.29499999999999998</v>
      </c>
      <c r="L541" s="53">
        <f t="shared" si="635"/>
        <v>5.0949999999999998</v>
      </c>
      <c r="M541" s="157">
        <f t="shared" si="636"/>
        <v>6.8314027999354002E-2</v>
      </c>
      <c r="N541" s="4">
        <f t="shared" si="637"/>
        <v>0.6</v>
      </c>
      <c r="O541" s="4">
        <f t="shared" si="638"/>
        <v>0.6</v>
      </c>
      <c r="P541" s="9">
        <f t="shared" si="639"/>
        <v>0.99</v>
      </c>
      <c r="Q541" s="5">
        <f t="shared" si="612"/>
        <v>36859</v>
      </c>
      <c r="R541" s="4">
        <f t="shared" si="640"/>
        <v>1</v>
      </c>
      <c r="S541" s="158">
        <f>_xll.xSPRDOPT($L541,$J541,$I541,$M541,$O541,$N541,$P541,$Q541-$C$3,$R541,0)</f>
        <v>5.1833480545036753E-2</v>
      </c>
      <c r="T541" s="159">
        <f>_xll.xSPRDOPT($L541,$J541,$I541,$M541,$O541,$N541,$P541,$Q541-$C$3,$R541,1)*H541</f>
        <v>-104968.59273527333</v>
      </c>
      <c r="U541" s="160">
        <f t="shared" si="641"/>
        <v>-16068.378968961393</v>
      </c>
      <c r="V541" s="159">
        <f>_xll.xSPRDOPT($L541,$J541,$I541,$M541,$O541,$N541,$P541,$Q541-$C$3,$R541,2)*H541</f>
        <v>100779.95289940257</v>
      </c>
      <c r="W541" s="159">
        <f t="shared" si="642"/>
        <v>-4188.639835870752</v>
      </c>
      <c r="X541" s="51" t="str">
        <f t="shared" si="643"/>
        <v>36861IF-CGT/APPALAC</v>
      </c>
      <c r="Y541" s="418">
        <f t="shared" si="644"/>
        <v>-31</v>
      </c>
      <c r="Z541" s="456">
        <f t="shared" si="645"/>
        <v>0.33860836366217201</v>
      </c>
      <c r="AA541" s="456">
        <f>_xll.xSPRDOPT($L541,$J541,$I541,$M541,$O541,$N541,$P541,$Q541-$C$3,$R541,3)</f>
        <v>1.5277305410556099</v>
      </c>
      <c r="AB541" s="456">
        <f>((_xll.xSPRDOPT($L541+AB$5,$J541,$I541,$M541,$O541,$N541,$P541,$Q541-$C$3,$R541,3)*$H541)/10000)/100</f>
        <v>-0.47359646772723907</v>
      </c>
      <c r="AC541" s="456">
        <f>((_xll.xSPRDOPT($L541+$AB$5,$J541,$I541,$M541,$O541,$N541,$P541,$Q541-$C$3,$R541,7)*$H541)/100)</f>
        <v>10347.622751634392</v>
      </c>
      <c r="AD541" s="456">
        <f>(_xll.xSPRDOPT($L541+$AB$5,$J541,$I541,$M541,$O541,$N541,$P541,$Q541-$C$3,$R541,9)/365)*$H541</f>
        <v>142.70798599536994</v>
      </c>
      <c r="AE541">
        <f t="shared" si="613"/>
        <v>0</v>
      </c>
      <c r="AF541" s="456">
        <f t="shared" si="614"/>
        <v>-446.55459690825046</v>
      </c>
      <c r="AG541" s="456">
        <f>((_xll.xSPRDOPT($L541,$J541,$I541,$M541,$O541,$N541,$P541,$Q541-$C$3,$R541,6)*$H541)/100)</f>
        <v>1059.8683564209202</v>
      </c>
      <c r="AH541" s="456">
        <f>((_xll.xSPRDOPT($L541,$J541,$I541,$M541,$O541,$N541,$P541,$Q541-$C$3,$R541,5)*$H541)/100)</f>
        <v>-1506.4229533291707</v>
      </c>
      <c r="AI541" s="456">
        <f>(((_xll.xSPRDOPT($L541,$J541,$I541,$M541,$O541,$N541,$P541,$Q541-$C$3,$R541,4)*$H541)/10000)/100)-AB541</f>
        <v>1.3700058319872976E-2</v>
      </c>
      <c r="AJ541" s="456"/>
      <c r="AK541" s="456"/>
      <c r="AL541" s="456"/>
      <c r="AM541" s="472"/>
      <c r="CC541" s="141">
        <f t="shared" si="628"/>
        <v>36861</v>
      </c>
      <c r="CD541" s="234">
        <f>_xll.xSPRDOPT((VLOOKUP(G541,NGPrices,2,FALSE)+HLOOKUP(D541,Prices,VLOOKUP(G541,move_down,2,FALSE),FALSE)),VLOOKUP(G541,NGPrices,2,FALSE),I541,VLOOKUP(G541,NGPREVPRICES,4,FALSE),HLOOKUP(D541,PREVVOLS,VLOOKUP(G541,MOVE_DOWN2,2,FALSE),FALSE),VLOOKUP(G541,NGPREVPRICES,3,FALSE),HLOOKUP(D541,Correllate,VLOOKUP(G541,CorMove,2,FALSE),FALSE),Q541-$CD$3,R541,$CD$5)*H541-CJ541</f>
        <v>0</v>
      </c>
      <c r="CE541" s="234">
        <f>_xll.xSPRDOPT((VLOOKUP(G541,NGPREVPRICES,2,FALSE)+HLOOKUP(D541,PREVCURVES,VLOOKUP(G541,MOVE_DOWN2,2,FALSE),FALSE)),VLOOKUP(G541,NGPREVPRICES,2,FALSE),CK541,VLOOKUP(G541,NGPrices,4,FALSE),HLOOKUP(D541,PREVVOLS,VLOOKUP(G541,MOVE_DOWN2,2,FALSE),FALSE),VLOOKUP(G541,NGPREVPRICES,3,FALSE),HLOOKUP(D541,Correllate,VLOOKUP(G541,CorMove,2,FALSE),FALSE),Q541-$CD$3,R541,$CJ$5)*H541-CJ541</f>
        <v>0</v>
      </c>
      <c r="CF541" s="10">
        <f t="shared" si="629"/>
        <v>3.036869322299026</v>
      </c>
      <c r="CG541" s="234">
        <f>_xll.xSPRDOPT((VLOOKUP(G541,NGPREVPRICES,2,FALSE)+HLOOKUP(D541,PREVCURVES,VLOOKUP(G541,MOVE_DOWN2,2,FALSE),FALSE)),VLOOKUP(G541,NGPREVPRICES,2,FALSE),CK541,VLOOKUP(G541,NGPREVPRICES,4,FALSE),HLOOKUP(D541,VOLS,VLOOKUP(G541,move_down,2,FALSE),FALSE),VLOOKUP(G541,NGPrices,3,FALSE),HLOOKUP(D541,Correllate,VLOOKUP(G541,CorMove,2,FALSE),FALSE),Q541-$CD$3,R541,$CJ$5)*H541-CJ541</f>
        <v>0</v>
      </c>
      <c r="CH541" s="234">
        <f>_xll.xSPRDOPT((VLOOKUP(G541,NGPREVPRICES,2,FALSE)+HLOOKUP(D541,PREVCURVES,VLOOKUP(G541,MOVE_DOWN2,2,FALSE),FALSE)),VLOOKUP(G541,NGPREVPRICES,2,FALSE),CK541,VLOOKUP(G541,NGPREVPRICES,4,FALSE),HLOOKUP(D541,PREVVOLS,VLOOKUP(G541,MOVE_DOWN2,2,FALSE),FALSE),VLOOKUP(G541,NGPREVPRICES,3,FALSE),HLOOKUP(D541,Correllate,VLOOKUP(G541,CorMove,2,FALSE),FALSE),Q541-$C$3,R541,$CJ$5)*H541-CJ541</f>
        <v>142.26902270635946</v>
      </c>
      <c r="CI541" s="234">
        <f t="shared" si="630"/>
        <v>145.30589202865849</v>
      </c>
      <c r="CJ541" s="234">
        <f>_xll.xSPRDOPT((VLOOKUP(G541,NGPREVPRICES,2,FALSE)+HLOOKUP(D541,PREVCURVES,VLOOKUP(G541,MOVE_DOWN2,2,FALSE),FALSE)),VLOOKUP(G541,NGPREVPRICES,2,FALSE),CK541,VLOOKUP(G541,NGPREVPRICES,4,FALSE),HLOOKUP(D541,PREVVOLS,VLOOKUP(G541,MOVE_DOWN2,2,FALSE),FALSE),VLOOKUP(G541,NGPREVPRICES,3,FALSE),HLOOKUP(D541,Correllate,VLOOKUP(G541,CorMove,2,FALSE),FALSE),Q541-$CD$3,R541,$CJ$5)*H541</f>
        <v>-16210.647991667753</v>
      </c>
      <c r="CK541" s="235">
        <f t="shared" si="631"/>
        <v>0.4</v>
      </c>
      <c r="CM541" t="str">
        <f t="shared" si="632"/>
        <v>36861Curve Shift/Gamma</v>
      </c>
      <c r="CN541" t="str">
        <f t="shared" si="572"/>
        <v>36861Rho</v>
      </c>
      <c r="CO541" t="str">
        <f t="shared" si="573"/>
        <v>36861Drift</v>
      </c>
      <c r="CP541" t="str">
        <f t="shared" si="574"/>
        <v>36861Vega</v>
      </c>
      <c r="CQ541" t="str">
        <f t="shared" si="575"/>
        <v>36861Theta</v>
      </c>
    </row>
    <row r="542" spans="1:95" x14ac:dyDescent="0.25">
      <c r="A542" s="140" t="s">
        <v>480</v>
      </c>
      <c r="B542" t="s">
        <v>250</v>
      </c>
      <c r="C542" t="s">
        <v>528</v>
      </c>
      <c r="D542" s="4" t="s">
        <v>10</v>
      </c>
      <c r="E542" t="s">
        <v>20</v>
      </c>
      <c r="F542" t="s">
        <v>21</v>
      </c>
      <c r="G542" s="5">
        <v>36831</v>
      </c>
      <c r="H542" s="130">
        <v>-300000</v>
      </c>
      <c r="I542">
        <v>0.4</v>
      </c>
      <c r="J542" s="53">
        <f t="shared" si="633"/>
        <v>4.7359999999999998</v>
      </c>
      <c r="K542" s="7">
        <f t="shared" si="634"/>
        <v>0.26500000000000001</v>
      </c>
      <c r="L542" s="53">
        <f t="shared" si="635"/>
        <v>5.0009999999999994</v>
      </c>
      <c r="M542" s="157">
        <f t="shared" si="636"/>
        <v>6.810675983792E-2</v>
      </c>
      <c r="N542" s="4">
        <f t="shared" si="637"/>
        <v>0.59499999999999997</v>
      </c>
      <c r="O542" s="4">
        <f t="shared" si="638"/>
        <v>0.59499999999999997</v>
      </c>
      <c r="P542" s="9">
        <f t="shared" si="639"/>
        <v>0.99</v>
      </c>
      <c r="Q542" s="5">
        <f t="shared" si="612"/>
        <v>36829</v>
      </c>
      <c r="R542" s="4">
        <f t="shared" si="640"/>
        <v>1</v>
      </c>
      <c r="S542" s="158">
        <f>_xll.xSPRDOPT($L542,$J542,$I542,$M542,$O542,$N542,$P542,$Q542-$C$3,$R542,0)</f>
        <v>2.7423351568762345E-2</v>
      </c>
      <c r="T542" s="159">
        <f>_xll.xSPRDOPT($L542,$J542,$I542,$M542,$O542,$N542,$P542,$Q542-$C$3,$R542,1)*H542</f>
        <v>-74609.659255438848</v>
      </c>
      <c r="U542" s="160">
        <f t="shared" si="641"/>
        <v>-8227.0054706287028</v>
      </c>
      <c r="V542" s="159">
        <f>_xll.xSPRDOPT($L542,$J542,$I542,$M542,$O542,$N542,$P542,$Q542-$C$3,$R542,2)*H542</f>
        <v>71744.267601387066</v>
      </c>
      <c r="W542" s="159">
        <f t="shared" si="642"/>
        <v>-2865.3916540517821</v>
      </c>
      <c r="X542" s="51" t="str">
        <f t="shared" si="643"/>
        <v>36831IF-CGT/APPALAC</v>
      </c>
      <c r="Y542" s="418">
        <f t="shared" si="644"/>
        <v>-30</v>
      </c>
      <c r="Z542" s="456">
        <f t="shared" si="645"/>
        <v>0.24869886418479617</v>
      </c>
      <c r="AA542" s="456">
        <f>_xll.xSPRDOPT($L542,$J542,$I542,$M542,$O542,$N542,$P542,$Q542-$C$3,$R542,3)</f>
        <v>1.6650951829764329</v>
      </c>
      <c r="AB542" s="456">
        <f>((_xll.xSPRDOPT($L542+AB$5,$J542,$I542,$M542,$O542,$N542,$P542,$Q542-$C$3,$R542,3)*$H542)/10000)/100</f>
        <v>-0.49952855489292985</v>
      </c>
      <c r="AC542" s="456">
        <f>((_xll.xSPRDOPT($L542+$AB$5,$J542,$I542,$M542,$O542,$N542,$P542,$Q542-$C$3,$R542,7)*$H542)/100)</f>
        <v>6966.5374129454376</v>
      </c>
      <c r="AD542" s="456">
        <f>(_xll.xSPRDOPT($L542+$AB$5,$J542,$I542,$M542,$O542,$N542,$P542,$Q542-$C$3,$R542,9)/365)*$H542</f>
        <v>143.65567576912062</v>
      </c>
      <c r="AE542">
        <f t="shared" si="613"/>
        <v>0</v>
      </c>
      <c r="AF542" s="456">
        <f t="shared" si="614"/>
        <v>-302.37535862855577</v>
      </c>
      <c r="AG542" s="456">
        <f>((_xll.xSPRDOPT($L542,$J542,$I542,$M542,$O542,$N542,$P542,$Q542-$C$3,$R542,6)*$H542)/100)</f>
        <v>724.30270197373363</v>
      </c>
      <c r="AH542" s="456">
        <f>((_xll.xSPRDOPT($L542,$J542,$I542,$M542,$O542,$N542,$P542,$Q542-$C$3,$R542,5)*$H542)/100)</f>
        <v>-1026.6780606022894</v>
      </c>
      <c r="AI542" s="456">
        <f>(((_xll.xSPRDOPT($L542,$J542,$I542,$M542,$O542,$N542,$P542,$Q542-$C$3,$R542,4)*$H542)/10000)/100)-AB542</f>
        <v>1.9827055990897569E-2</v>
      </c>
      <c r="AJ542" s="456"/>
      <c r="AK542" s="456"/>
      <c r="AL542" s="456"/>
      <c r="AM542" s="472"/>
      <c r="CC542" s="141">
        <f t="shared" si="628"/>
        <v>36831</v>
      </c>
      <c r="CD542" s="234">
        <f>_xll.xSPRDOPT((VLOOKUP(G542,NGPrices,2,FALSE)+HLOOKUP(D542,Prices,VLOOKUP(G542,move_down,2,FALSE),FALSE)),VLOOKUP(G542,NGPrices,2,FALSE),I542,VLOOKUP(G542,NGPREVPRICES,4,FALSE),HLOOKUP(D542,PREVVOLS,VLOOKUP(G542,MOVE_DOWN2,2,FALSE),FALSE),VLOOKUP(G542,NGPREVPRICES,3,FALSE),HLOOKUP(D542,Correllate,VLOOKUP(G542,CorMove,2,FALSE),FALSE),Q542-$CD$3,R542,$CD$5)*H542-CJ542</f>
        <v>0</v>
      </c>
      <c r="CE542" s="234">
        <f>_xll.xSPRDOPT((VLOOKUP(G542,NGPREVPRICES,2,FALSE)+HLOOKUP(D542,PREVCURVES,VLOOKUP(G542,MOVE_DOWN2,2,FALSE),FALSE)),VLOOKUP(G542,NGPREVPRICES,2,FALSE),CK542,VLOOKUP(G542,NGPrices,4,FALSE),HLOOKUP(D542,PREVVOLS,VLOOKUP(G542,MOVE_DOWN2,2,FALSE),FALSE),VLOOKUP(G542,NGPREVPRICES,3,FALSE),HLOOKUP(D542,Correllate,VLOOKUP(G542,CorMove,2,FALSE),FALSE),Q542-$CD$3,R542,$CJ$5)*H542-CJ542</f>
        <v>0</v>
      </c>
      <c r="CF542" s="10">
        <f t="shared" si="629"/>
        <v>1.5544430163063225</v>
      </c>
      <c r="CG542" s="234">
        <f>_xll.xSPRDOPT((VLOOKUP(G542,NGPREVPRICES,2,FALSE)+HLOOKUP(D542,PREVCURVES,VLOOKUP(G542,MOVE_DOWN2,2,FALSE),FALSE)),VLOOKUP(G542,NGPREVPRICES,2,FALSE),CK542,VLOOKUP(G542,NGPREVPRICES,4,FALSE),HLOOKUP(D542,VOLS,VLOOKUP(G542,move_down,2,FALSE),FALSE),VLOOKUP(G542,NGPrices,3,FALSE),HLOOKUP(D542,Correllate,VLOOKUP(G542,CorMove,2,FALSE),FALSE),Q542-$CD$3,R542,$CJ$5)*H542-CJ542</f>
        <v>0</v>
      </c>
      <c r="CH542" s="234">
        <f>_xll.xSPRDOPT((VLOOKUP(G542,NGPREVPRICES,2,FALSE)+HLOOKUP(D542,PREVCURVES,VLOOKUP(G542,MOVE_DOWN2,2,FALSE),FALSE)),VLOOKUP(G542,NGPREVPRICES,2,FALSE),CK542,VLOOKUP(G542,NGPREVPRICES,4,FALSE),HLOOKUP(D542,PREVVOLS,VLOOKUP(G542,MOVE_DOWN2,2,FALSE),FALSE),VLOOKUP(G542,NGPREVPRICES,3,FALSE),HLOOKUP(D542,Correllate,VLOOKUP(G542,CorMove,2,FALSE),FALSE),Q542-$C$3,R542,$CJ$5)*H542-CJ542</f>
        <v>143.2363730529396</v>
      </c>
      <c r="CI542" s="234">
        <f t="shared" si="630"/>
        <v>144.79081606924592</v>
      </c>
      <c r="CJ542" s="234">
        <f>_xll.xSPRDOPT((VLOOKUP(G542,NGPREVPRICES,2,FALSE)+HLOOKUP(D542,PREVCURVES,VLOOKUP(G542,MOVE_DOWN2,2,FALSE),FALSE)),VLOOKUP(G542,NGPREVPRICES,2,FALSE),CK542,VLOOKUP(G542,NGPREVPRICES,4,FALSE),HLOOKUP(D542,PREVVOLS,VLOOKUP(G542,MOVE_DOWN2,2,FALSE),FALSE),VLOOKUP(G542,NGPREVPRICES,3,FALSE),HLOOKUP(D542,Correllate,VLOOKUP(G542,CorMove,2,FALSE),FALSE),Q542-$CD$3,R542,$CJ$5)*H542</f>
        <v>-8370.2418436816424</v>
      </c>
      <c r="CK542" s="235">
        <f t="shared" si="631"/>
        <v>0.4</v>
      </c>
      <c r="CM542" t="str">
        <f t="shared" si="632"/>
        <v>36831Curve Shift/Gamma</v>
      </c>
      <c r="CN542" t="str">
        <f t="shared" si="572"/>
        <v>36831Rho</v>
      </c>
      <c r="CO542" t="str">
        <f t="shared" si="573"/>
        <v>36831Drift</v>
      </c>
      <c r="CP542" t="str">
        <f t="shared" si="574"/>
        <v>36831Vega</v>
      </c>
      <c r="CQ542" t="str">
        <f t="shared" si="575"/>
        <v>36831Theta</v>
      </c>
    </row>
    <row r="543" spans="1:95" x14ac:dyDescent="0.25">
      <c r="A543" s="140" t="s">
        <v>480</v>
      </c>
      <c r="B543" t="s">
        <v>250</v>
      </c>
      <c r="C543" t="s">
        <v>529</v>
      </c>
      <c r="D543" s="4" t="s">
        <v>526</v>
      </c>
      <c r="E543" t="s">
        <v>20</v>
      </c>
      <c r="F543" t="s">
        <v>21</v>
      </c>
      <c r="G543" s="5">
        <v>36951</v>
      </c>
      <c r="H543" s="130">
        <v>-310000</v>
      </c>
      <c r="I543">
        <v>0.5</v>
      </c>
      <c r="J543" s="53">
        <f t="shared" si="633"/>
        <v>4.2130000000000001</v>
      </c>
      <c r="K543" s="7">
        <f t="shared" si="634"/>
        <v>0.36</v>
      </c>
      <c r="L543" s="53">
        <f t="shared" si="635"/>
        <v>4.5730000000000004</v>
      </c>
      <c r="M543" s="157">
        <f t="shared" si="636"/>
        <v>6.8879814952706994E-2</v>
      </c>
      <c r="N543" s="4">
        <f t="shared" si="637"/>
        <v>0.53249999999999997</v>
      </c>
      <c r="O543" s="4">
        <f t="shared" si="638"/>
        <v>0.53300000000000003</v>
      </c>
      <c r="P543" s="9">
        <f t="shared" si="639"/>
        <v>0.995</v>
      </c>
      <c r="Q543" s="5">
        <f t="shared" si="612"/>
        <v>36949</v>
      </c>
      <c r="R543" s="4">
        <f t="shared" si="640"/>
        <v>1</v>
      </c>
      <c r="S543" s="158">
        <f>_xll.xSPRDOPT($L543,$J543,$I543,$M543,$O543,$N543,$P543,$Q543-$C$3,$R543,0)</f>
        <v>4.0548428812675119E-2</v>
      </c>
      <c r="T543" s="159">
        <f>_xll.xSPRDOPT($L543,$J543,$I543,$M543,$O543,$N543,$P543,$Q543-$C$3,$R543,1)*H543</f>
        <v>-92182.380573346541</v>
      </c>
      <c r="U543" s="160">
        <f t="shared" si="641"/>
        <v>-12570.012931929286</v>
      </c>
      <c r="V543" s="159">
        <f>_xll.xSPRDOPT($L543,$J543,$I543,$M543,$O543,$N543,$P543,$Q543-$C$3,$R543,2)*H543</f>
        <v>89302.607603493423</v>
      </c>
      <c r="W543" s="159">
        <f t="shared" si="642"/>
        <v>-2879.7729698531184</v>
      </c>
      <c r="X543" s="51" t="str">
        <f t="shared" si="643"/>
        <v>36951IF-CNG/APPALACH</v>
      </c>
      <c r="Y543" s="418">
        <f t="shared" si="644"/>
        <v>-31</v>
      </c>
      <c r="Z543" s="456">
        <f t="shared" si="645"/>
        <v>0.29736251797853724</v>
      </c>
      <c r="AA543" s="456">
        <f>_xll.xSPRDOPT($L543,$J543,$I543,$M543,$O543,$N543,$P543,$Q543-$C$3,$R543,3)</f>
        <v>1.4986863398958494</v>
      </c>
      <c r="AB543" s="456">
        <f>((_xll.xSPRDOPT($L543+AB$5,$J543,$I543,$M543,$O543,$N543,$P543,$Q543-$C$3,$R543,3)*$H543)/10000)/100</f>
        <v>-0.46459276536771332</v>
      </c>
      <c r="AC543" s="456">
        <f>((_xll.xSPRDOPT($L543+$AB$5,$J543,$I543,$M543,$O543,$N543,$P543,$Q543-$C$3,$R543,7)*$H543)/100)</f>
        <v>12513.150866529311</v>
      </c>
      <c r="AD543" s="456">
        <f>(_xll.xSPRDOPT($L543+$AB$5,$J543,$I543,$M543,$O543,$N543,$P543,$Q543-$C$3,$R543,9)/365)*$H543</f>
        <v>64.608129450431349</v>
      </c>
      <c r="AE543">
        <f t="shared" si="613"/>
        <v>0</v>
      </c>
      <c r="AF543" s="456">
        <f t="shared" si="614"/>
        <v>-457.54212125165918</v>
      </c>
      <c r="AG543" s="456">
        <f>((_xll.xSPRDOPT($L543,$J543,$I543,$M543,$O543,$N543,$P543,$Q543-$C$3,$R543,6)*$H543)/100)</f>
        <v>1989.0825358737345</v>
      </c>
      <c r="AH543" s="456">
        <f>((_xll.xSPRDOPT($L543,$J543,$I543,$M543,$O543,$N543,$P543,$Q543-$C$3,$R543,5)*$H543)/100)</f>
        <v>-2444.3295120436624</v>
      </c>
      <c r="AI543" s="456">
        <f>(((_xll.xSPRDOPT($L543,$J543,$I543,$M543,$O543,$N543,$P543,$Q543-$C$3,$R543,4)*$H543)/10000)/100)-AB543</f>
        <v>1.0365318851845828E-2</v>
      </c>
      <c r="AJ543" s="456"/>
      <c r="AK543" s="456"/>
      <c r="AL543" s="456"/>
      <c r="AM543" s="472"/>
      <c r="CC543" s="141">
        <f t="shared" si="628"/>
        <v>36951</v>
      </c>
      <c r="CD543" s="234">
        <f>_xll.xSPRDOPT((VLOOKUP(G543,NGPrices,2,FALSE)+HLOOKUP(D543,Prices,VLOOKUP(G543,move_down,2,FALSE),FALSE)),VLOOKUP(G543,NGPrices,2,FALSE),I543,VLOOKUP(G543,NGPREVPRICES,4,FALSE),HLOOKUP(D543,PREVVOLS,VLOOKUP(G543,MOVE_DOWN2,2,FALSE),FALSE),VLOOKUP(G543,NGPREVPRICES,3,FALSE),HLOOKUP(D543,Correllate,VLOOKUP(G543,CorMove,2,FALSE),FALSE),Q543-$CD$3,R543,$CD$5)*H543-CJ543</f>
        <v>0</v>
      </c>
      <c r="CE543" s="234">
        <f>_xll.xSPRDOPT((VLOOKUP(G543,NGPREVPRICES,2,FALSE)+HLOOKUP(D543,PREVCURVES,VLOOKUP(G543,MOVE_DOWN2,2,FALSE),FALSE)),VLOOKUP(G543,NGPREVPRICES,2,FALSE),CK543,VLOOKUP(G543,NGPrices,4,FALSE),HLOOKUP(D543,PREVVOLS,VLOOKUP(G543,MOVE_DOWN2,2,FALSE),FALSE),VLOOKUP(G543,NGPREVPRICES,3,FALSE),HLOOKUP(D543,Correllate,VLOOKUP(G543,CorMove,2,FALSE),FALSE),Q543-$CD$3,R543,$CJ$5)*H543-CJ543</f>
        <v>0</v>
      </c>
      <c r="CF543" s="10">
        <f t="shared" si="629"/>
        <v>2.4231090247794782</v>
      </c>
      <c r="CG543" s="234">
        <f>_xll.xSPRDOPT((VLOOKUP(G543,NGPREVPRICES,2,FALSE)+HLOOKUP(D543,PREVCURVES,VLOOKUP(G543,MOVE_DOWN2,2,FALSE),FALSE)),VLOOKUP(G543,NGPREVPRICES,2,FALSE),CK543,VLOOKUP(G543,NGPREVPRICES,4,FALSE),HLOOKUP(D543,VOLS,VLOOKUP(G543,move_down,2,FALSE),FALSE),VLOOKUP(G543,NGPrices,3,FALSE),HLOOKUP(D543,Correllate,VLOOKUP(G543,CorMove,2,FALSE),FALSE),Q543-$CD$3,R543,$CJ$5)*H543-CJ543</f>
        <v>0</v>
      </c>
      <c r="CH543" s="234">
        <f>_xll.xSPRDOPT((VLOOKUP(G543,NGPREVPRICES,2,FALSE)+HLOOKUP(D543,PREVCURVES,VLOOKUP(G543,MOVE_DOWN2,2,FALSE),FALSE)),VLOOKUP(G543,NGPREVPRICES,2,FALSE),CK543,VLOOKUP(G543,NGPREVPRICES,4,FALSE),HLOOKUP(D543,PREVVOLS,VLOOKUP(G543,MOVE_DOWN2,2,FALSE),FALSE),VLOOKUP(G543,NGPREVPRICES,3,FALSE),HLOOKUP(D543,Correllate,VLOOKUP(G543,CorMove,2,FALSE),FALSE),Q543-$C$3,R543,$CJ$5)*H543-CJ543</f>
        <v>64.490908028617923</v>
      </c>
      <c r="CI543" s="234">
        <f t="shared" si="630"/>
        <v>66.914017053397401</v>
      </c>
      <c r="CJ543" s="234">
        <f>_xll.xSPRDOPT((VLOOKUP(G543,NGPREVPRICES,2,FALSE)+HLOOKUP(D543,PREVCURVES,VLOOKUP(G543,MOVE_DOWN2,2,FALSE),FALSE)),VLOOKUP(G543,NGPREVPRICES,2,FALSE),CK543,VLOOKUP(G543,NGPREVPRICES,4,FALSE),HLOOKUP(D543,PREVVOLS,VLOOKUP(G543,MOVE_DOWN2,2,FALSE),FALSE),VLOOKUP(G543,NGPREVPRICES,3,FALSE),HLOOKUP(D543,Correllate,VLOOKUP(G543,CorMove,2,FALSE),FALSE),Q543-$CD$3,R543,$CJ$5)*H543</f>
        <v>-12634.503839957904</v>
      </c>
      <c r="CK543" s="235">
        <f t="shared" si="631"/>
        <v>0.5</v>
      </c>
      <c r="CM543" t="str">
        <f t="shared" si="632"/>
        <v>36951Curve Shift/Gamma</v>
      </c>
      <c r="CN543" t="str">
        <f t="shared" si="572"/>
        <v>36951Rho</v>
      </c>
      <c r="CO543" t="str">
        <f t="shared" si="573"/>
        <v>36951Drift</v>
      </c>
      <c r="CP543" t="str">
        <f t="shared" si="574"/>
        <v>36951Vega</v>
      </c>
      <c r="CQ543" t="str">
        <f t="shared" si="575"/>
        <v>36951Theta</v>
      </c>
    </row>
    <row r="544" spans="1:95" x14ac:dyDescent="0.25">
      <c r="A544" s="140" t="s">
        <v>480</v>
      </c>
      <c r="B544" t="s">
        <v>250</v>
      </c>
      <c r="C544" t="s">
        <v>529</v>
      </c>
      <c r="D544" s="4" t="s">
        <v>526</v>
      </c>
      <c r="E544" t="s">
        <v>20</v>
      </c>
      <c r="F544" t="s">
        <v>21</v>
      </c>
      <c r="G544" s="5">
        <v>36923</v>
      </c>
      <c r="H544" s="130">
        <v>-280000</v>
      </c>
      <c r="I544">
        <v>0.5</v>
      </c>
      <c r="J544" s="53">
        <f t="shared" si="633"/>
        <v>4.4800000000000004</v>
      </c>
      <c r="K544" s="7">
        <f t="shared" si="634"/>
        <v>0.41499999999999998</v>
      </c>
      <c r="L544" s="53">
        <f t="shared" si="635"/>
        <v>4.8950000000000005</v>
      </c>
      <c r="M544" s="157">
        <f t="shared" si="636"/>
        <v>6.8640161611372E-2</v>
      </c>
      <c r="N544" s="4">
        <f t="shared" si="637"/>
        <v>0.59250000000000003</v>
      </c>
      <c r="O544" s="4">
        <f t="shared" si="638"/>
        <v>0.59299999999999997</v>
      </c>
      <c r="P544" s="9">
        <f t="shared" si="639"/>
        <v>0.995</v>
      </c>
      <c r="Q544" s="5">
        <f t="shared" si="612"/>
        <v>36921</v>
      </c>
      <c r="R544" s="4">
        <f t="shared" si="640"/>
        <v>1</v>
      </c>
      <c r="S544" s="158">
        <f>_xll.xSPRDOPT($L544,$J544,$I544,$M544,$O544,$N544,$P544,$Q544-$C$3,$R544,0)</f>
        <v>6.4393845317960149E-2</v>
      </c>
      <c r="T544" s="159">
        <f>_xll.xSPRDOPT($L544,$J544,$I544,$M544,$O544,$N544,$P544,$Q544-$C$3,$R544,1)*H544</f>
        <v>-109236.59330013926</v>
      </c>
      <c r="U544" s="160">
        <f t="shared" si="641"/>
        <v>-18030.27668902884</v>
      </c>
      <c r="V544" s="159">
        <f>_xll.xSPRDOPT($L544,$J544,$I544,$M544,$O544,$N544,$P544,$Q544-$C$3,$R544,2)*H544</f>
        <v>106279.83540427069</v>
      </c>
      <c r="W544" s="159">
        <f t="shared" si="642"/>
        <v>-2956.7578958685626</v>
      </c>
      <c r="X544" s="51" t="str">
        <f t="shared" si="643"/>
        <v>36923IF-CNG/APPALACH</v>
      </c>
      <c r="Y544" s="418">
        <f t="shared" si="644"/>
        <v>-28</v>
      </c>
      <c r="Z544" s="456">
        <f t="shared" si="645"/>
        <v>0.3901306903576402</v>
      </c>
      <c r="AA544" s="456">
        <f>_xll.xSPRDOPT($L544,$J544,$I544,$M544,$O544,$N544,$P544,$Q544-$C$3,$R544,3)</f>
        <v>1.5152499527515868</v>
      </c>
      <c r="AB544" s="456">
        <f>((_xll.xSPRDOPT($L544+AB$5,$J544,$I544,$M544,$O544,$N544,$P544,$Q544-$C$3,$R544,3)*$H544)/10000)/100</f>
        <v>-0.42426998677044431</v>
      </c>
      <c r="AC544" s="456">
        <f>((_xll.xSPRDOPT($L544+$AB$5,$J544,$I544,$M544,$O544,$N544,$P544,$Q544-$C$3,$R544,7)*$H544)/100)</f>
        <v>13719.750039840814</v>
      </c>
      <c r="AD544" s="456">
        <f>(_xll.xSPRDOPT($L544+$AB$5,$J544,$I544,$M544,$O544,$N544,$P544,$Q544-$C$3,$R544,9)/365)*$H544</f>
        <v>83.181926244090533</v>
      </c>
      <c r="AE544">
        <f t="shared" si="613"/>
        <v>0</v>
      </c>
      <c r="AF544" s="456">
        <f t="shared" si="614"/>
        <v>-449.72343293450263</v>
      </c>
      <c r="AG544" s="456">
        <f>((_xll.xSPRDOPT($L544,$J544,$I544,$M544,$O544,$N544,$P544,$Q544-$C$3,$R544,6)*$H544)/100)</f>
        <v>1949.3150711483938</v>
      </c>
      <c r="AH544" s="456">
        <f>((_xll.xSPRDOPT($L544,$J544,$I544,$M544,$O544,$N544,$P544,$Q544-$C$3,$R544,5)*$H544)/100)</f>
        <v>-2397.0157060187457</v>
      </c>
      <c r="AI544" s="456">
        <f>(((_xll.xSPRDOPT($L544,$J544,$I544,$M544,$O544,$N544,$P544,$Q544-$C$3,$R544,4)*$H544)/10000)/100)-AB544</f>
        <v>3.626963331170352E-3</v>
      </c>
      <c r="AJ544" s="456"/>
      <c r="AK544" s="456"/>
      <c r="AL544" s="456"/>
      <c r="AM544" s="472"/>
      <c r="CC544" s="141">
        <f t="shared" si="628"/>
        <v>36923</v>
      </c>
      <c r="CD544" s="234">
        <f>_xll.xSPRDOPT((VLOOKUP(G544,NGPrices,2,FALSE)+HLOOKUP(D544,Prices,VLOOKUP(G544,move_down,2,FALSE),FALSE)),VLOOKUP(G544,NGPrices,2,FALSE),I544,VLOOKUP(G544,NGPREVPRICES,4,FALSE),HLOOKUP(D544,PREVVOLS,VLOOKUP(G544,MOVE_DOWN2,2,FALSE),FALSE),VLOOKUP(G544,NGPREVPRICES,3,FALSE),HLOOKUP(D544,Correllate,VLOOKUP(G544,CorMove,2,FALSE),FALSE),Q544-$CD$3,R544,$CD$5)*H544-CJ544</f>
        <v>0</v>
      </c>
      <c r="CE544" s="234">
        <f>_xll.xSPRDOPT((VLOOKUP(G544,NGPREVPRICES,2,FALSE)+HLOOKUP(D544,PREVCURVES,VLOOKUP(G544,MOVE_DOWN2,2,FALSE),FALSE)),VLOOKUP(G544,NGPREVPRICES,2,FALSE),CK544,VLOOKUP(G544,NGPrices,4,FALSE),HLOOKUP(D544,PREVVOLS,VLOOKUP(G544,MOVE_DOWN2,2,FALSE),FALSE),VLOOKUP(G544,NGPREVPRICES,3,FALSE),HLOOKUP(D544,Correllate,VLOOKUP(G544,CorMove,2,FALSE),FALSE),Q544-$CD$3,R544,$CJ$5)*H544-CJ544</f>
        <v>0</v>
      </c>
      <c r="CF544" s="10">
        <f t="shared" si="629"/>
        <v>3.4449333743468742</v>
      </c>
      <c r="CG544" s="234">
        <f>_xll.xSPRDOPT((VLOOKUP(G544,NGPREVPRICES,2,FALSE)+HLOOKUP(D544,PREVCURVES,VLOOKUP(G544,MOVE_DOWN2,2,FALSE),FALSE)),VLOOKUP(G544,NGPREVPRICES,2,FALSE),CK544,VLOOKUP(G544,NGPREVPRICES,4,FALSE),HLOOKUP(D544,VOLS,VLOOKUP(G544,move_down,2,FALSE),FALSE),VLOOKUP(G544,NGPrices,3,FALSE),HLOOKUP(D544,Correllate,VLOOKUP(G544,CorMove,2,FALSE),FALSE),Q544-$CD$3,R544,$CJ$5)*H544-CJ544</f>
        <v>0</v>
      </c>
      <c r="CH544" s="234">
        <f>_xll.xSPRDOPT((VLOOKUP(G544,NGPREVPRICES,2,FALSE)+HLOOKUP(D544,PREVCURVES,VLOOKUP(G544,MOVE_DOWN2,2,FALSE),FALSE)),VLOOKUP(G544,NGPREVPRICES,2,FALSE),CK544,VLOOKUP(G544,NGPREVPRICES,4,FALSE),HLOOKUP(D544,PREVVOLS,VLOOKUP(G544,MOVE_DOWN2,2,FALSE),FALSE),VLOOKUP(G544,NGPREVPRICES,3,FALSE),HLOOKUP(D544,Correllate,VLOOKUP(G544,CorMove,2,FALSE),FALSE),Q544-$C$3,R544,$CJ$5)*H544-CJ544</f>
        <v>82.984582932633202</v>
      </c>
      <c r="CI544" s="234">
        <f t="shared" si="630"/>
        <v>86.429516306980076</v>
      </c>
      <c r="CJ544" s="234">
        <f>_xll.xSPRDOPT((VLOOKUP(G544,NGPREVPRICES,2,FALSE)+HLOOKUP(D544,PREVCURVES,VLOOKUP(G544,MOVE_DOWN2,2,FALSE),FALSE)),VLOOKUP(G544,NGPREVPRICES,2,FALSE),CK544,VLOOKUP(G544,NGPREVPRICES,4,FALSE),HLOOKUP(D544,PREVVOLS,VLOOKUP(G544,MOVE_DOWN2,2,FALSE),FALSE),VLOOKUP(G544,NGPREVPRICES,3,FALSE),HLOOKUP(D544,Correllate,VLOOKUP(G544,CorMove,2,FALSE),FALSE),Q544-$CD$3,R544,$CJ$5)*H544</f>
        <v>-18113.261271961474</v>
      </c>
      <c r="CK544" s="235">
        <f t="shared" si="631"/>
        <v>0.5</v>
      </c>
      <c r="CM544" t="str">
        <f t="shared" si="632"/>
        <v>36923Curve Shift/Gamma</v>
      </c>
      <c r="CN544" t="str">
        <f t="shared" si="572"/>
        <v>36923Rho</v>
      </c>
      <c r="CO544" t="str">
        <f t="shared" si="573"/>
        <v>36923Drift</v>
      </c>
      <c r="CP544" t="str">
        <f t="shared" si="574"/>
        <v>36923Vega</v>
      </c>
      <c r="CQ544" t="str">
        <f t="shared" si="575"/>
        <v>36923Theta</v>
      </c>
    </row>
    <row r="545" spans="1:95" x14ac:dyDescent="0.25">
      <c r="A545" s="140" t="s">
        <v>480</v>
      </c>
      <c r="B545" t="s">
        <v>250</v>
      </c>
      <c r="C545" t="s">
        <v>529</v>
      </c>
      <c r="D545" s="4" t="s">
        <v>526</v>
      </c>
      <c r="E545" t="s">
        <v>20</v>
      </c>
      <c r="F545" t="s">
        <v>21</v>
      </c>
      <c r="G545" s="5">
        <v>36892</v>
      </c>
      <c r="H545" s="130">
        <v>-310000</v>
      </c>
      <c r="I545">
        <v>0.5</v>
      </c>
      <c r="J545" s="53">
        <f t="shared" si="633"/>
        <v>4.7439999999999998</v>
      </c>
      <c r="K545" s="7">
        <f t="shared" si="634"/>
        <v>0.45500000000000002</v>
      </c>
      <c r="L545" s="53">
        <f t="shared" si="635"/>
        <v>5.1989999999999998</v>
      </c>
      <c r="M545" s="157">
        <f t="shared" si="636"/>
        <v>6.8374831148490994E-2</v>
      </c>
      <c r="N545" s="4">
        <f t="shared" si="637"/>
        <v>0.60499999999999998</v>
      </c>
      <c r="O545" s="4">
        <f t="shared" si="638"/>
        <v>0.60499999999999998</v>
      </c>
      <c r="P545" s="9">
        <f t="shared" si="639"/>
        <v>0.995</v>
      </c>
      <c r="Q545" s="5">
        <f t="shared" si="612"/>
        <v>36888</v>
      </c>
      <c r="R545" s="4">
        <f t="shared" si="640"/>
        <v>1</v>
      </c>
      <c r="S545" s="158">
        <f>_xll.xSPRDOPT($L545,$J545,$I545,$M545,$O545,$N545,$P545,$Q545-$C$3,$R545,0)</f>
        <v>7.4343557167454596E-2</v>
      </c>
      <c r="T545" s="159">
        <f>_xll.xSPRDOPT($L545,$J545,$I545,$M545,$O545,$N545,$P545,$Q545-$C$3,$R545,1)*H545</f>
        <v>-137582.74787440049</v>
      </c>
      <c r="U545" s="160">
        <f t="shared" si="641"/>
        <v>-23046.502721910925</v>
      </c>
      <c r="V545" s="159">
        <f>_xll.xSPRDOPT($L545,$J545,$I545,$M545,$O545,$N545,$P545,$Q545-$C$3,$R545,2)*H545</f>
        <v>134522.17099110052</v>
      </c>
      <c r="W545" s="159">
        <f t="shared" si="642"/>
        <v>-3060.5768832999747</v>
      </c>
      <c r="X545" s="51" t="str">
        <f t="shared" si="643"/>
        <v>36892IF-CNG/APPALACH</v>
      </c>
      <c r="Y545" s="418">
        <f t="shared" si="644"/>
        <v>-31</v>
      </c>
      <c r="Z545" s="456">
        <f t="shared" si="645"/>
        <v>0.44381531572387256</v>
      </c>
      <c r="AA545" s="456">
        <f>_xll.xSPRDOPT($L545,$J545,$I545,$M545,$O545,$N545,$P545,$Q545-$C$3,$R545,3)</f>
        <v>1.6389097710512976</v>
      </c>
      <c r="AB545" s="456">
        <f>((_xll.xSPRDOPT($L545+AB$5,$J545,$I545,$M545,$O545,$N545,$P545,$Q545-$C$3,$R545,3)*$H545)/10000)/100</f>
        <v>-0.50806202902590225</v>
      </c>
      <c r="AC545" s="456">
        <f>((_xll.xSPRDOPT($L545+$AB$5,$J545,$I545,$M545,$O545,$N545,$P545,$Q545-$C$3,$R545,7)*$H545)/100)</f>
        <v>15180.719351806641</v>
      </c>
      <c r="AD545" s="456">
        <f>(_xll.xSPRDOPT($L545+$AB$5,$J545,$I545,$M545,$O545,$N545,$P545,$Q545-$C$3,$R545,9)/365)*$H545</f>
        <v>115.21592323771618</v>
      </c>
      <c r="AE545">
        <f t="shared" si="613"/>
        <v>0</v>
      </c>
      <c r="AF545" s="456">
        <f t="shared" si="614"/>
        <v>-477.80546171995593</v>
      </c>
      <c r="AG545" s="456">
        <f>((_xll.xSPRDOPT($L545,$J545,$I545,$M545,$O545,$N545,$P545,$Q545-$C$3,$R545,6)*$H545)/100)</f>
        <v>2079.268683410769</v>
      </c>
      <c r="AH545" s="456">
        <f>((_xll.xSPRDOPT($L545,$J545,$I545,$M545,$O545,$N545,$P545,$Q545-$C$3,$R545,5)*$H545)/100)</f>
        <v>-2557.0741451307249</v>
      </c>
      <c r="AI545" s="456">
        <f>(((_xll.xSPRDOPT($L545,$J545,$I545,$M545,$O545,$N545,$P545,$Q545-$C$3,$R545,4)*$H545)/10000)/100)-AB545</f>
        <v>6.5590106575086349E-4</v>
      </c>
      <c r="AJ545" s="456"/>
      <c r="AK545" s="456"/>
      <c r="AL545" s="456"/>
      <c r="AM545" s="472"/>
      <c r="CC545" s="141">
        <f t="shared" si="628"/>
        <v>36892</v>
      </c>
      <c r="CD545" s="234">
        <f>_xll.xSPRDOPT((VLOOKUP(G545,NGPrices,2,FALSE)+HLOOKUP(D545,Prices,VLOOKUP(G545,move_down,2,FALSE),FALSE)),VLOOKUP(G545,NGPrices,2,FALSE),I545,VLOOKUP(G545,NGPREVPRICES,4,FALSE),HLOOKUP(D545,PREVVOLS,VLOOKUP(G545,MOVE_DOWN2,2,FALSE),FALSE),VLOOKUP(G545,NGPREVPRICES,3,FALSE),HLOOKUP(D545,Correllate,VLOOKUP(G545,CorMove,2,FALSE),FALSE),Q545-$CD$3,R545,$CD$5)*H545-CJ545</f>
        <v>0</v>
      </c>
      <c r="CE545" s="234">
        <f>_xll.xSPRDOPT((VLOOKUP(G545,NGPREVPRICES,2,FALSE)+HLOOKUP(D545,PREVCURVES,VLOOKUP(G545,MOVE_DOWN2,2,FALSE),FALSE)),VLOOKUP(G545,NGPREVPRICES,2,FALSE),CK545,VLOOKUP(G545,NGPrices,4,FALSE),HLOOKUP(D545,PREVVOLS,VLOOKUP(G545,MOVE_DOWN2,2,FALSE),FALSE),VLOOKUP(G545,NGPREVPRICES,3,FALSE),HLOOKUP(D545,Correllate,VLOOKUP(G545,CorMove,2,FALSE),FALSE),Q545-$CD$3,R545,$CJ$5)*H545-CJ545</f>
        <v>0</v>
      </c>
      <c r="CF545" s="10">
        <f t="shared" si="629"/>
        <v>4.3645577048991981</v>
      </c>
      <c r="CG545" s="234">
        <f>_xll.xSPRDOPT((VLOOKUP(G545,NGPREVPRICES,2,FALSE)+HLOOKUP(D545,PREVCURVES,VLOOKUP(G545,MOVE_DOWN2,2,FALSE),FALSE)),VLOOKUP(G545,NGPREVPRICES,2,FALSE),CK545,VLOOKUP(G545,NGPREVPRICES,4,FALSE),HLOOKUP(D545,VOLS,VLOOKUP(G545,move_down,2,FALSE),FALSE),VLOOKUP(G545,NGPrices,3,FALSE),HLOOKUP(D545,Correllate,VLOOKUP(G545,CorMove,2,FALSE),FALSE),Q545-$CD$3,R545,$CJ$5)*H545-CJ545</f>
        <v>0</v>
      </c>
      <c r="CH545" s="234">
        <f>_xll.xSPRDOPT((VLOOKUP(G545,NGPREVPRICES,2,FALSE)+HLOOKUP(D545,PREVCURVES,VLOOKUP(G545,MOVE_DOWN2,2,FALSE),FALSE)),VLOOKUP(G545,NGPREVPRICES,2,FALSE),CK545,VLOOKUP(G545,NGPREVPRICES,4,FALSE),HLOOKUP(D545,PREVVOLS,VLOOKUP(G545,MOVE_DOWN2,2,FALSE),FALSE),VLOOKUP(G545,NGPREVPRICES,3,FALSE),HLOOKUP(D545,Correllate,VLOOKUP(G545,CorMove,2,FALSE),FALSE),Q545-$C$3,R545,$CJ$5)*H545-CJ545</f>
        <v>114.87883741034238</v>
      </c>
      <c r="CI545" s="234">
        <f t="shared" si="630"/>
        <v>119.24339511524158</v>
      </c>
      <c r="CJ545" s="234">
        <f>_xll.xSPRDOPT((VLOOKUP(G545,NGPREVPRICES,2,FALSE)+HLOOKUP(D545,PREVCURVES,VLOOKUP(G545,MOVE_DOWN2,2,FALSE),FALSE)),VLOOKUP(G545,NGPREVPRICES,2,FALSE),CK545,VLOOKUP(G545,NGPREVPRICES,4,FALSE),HLOOKUP(D545,PREVVOLS,VLOOKUP(G545,MOVE_DOWN2,2,FALSE),FALSE),VLOOKUP(G545,NGPREVPRICES,3,FALSE),HLOOKUP(D545,Correllate,VLOOKUP(G545,CorMove,2,FALSE),FALSE),Q545-$CD$3,R545,$CJ$5)*H545</f>
        <v>-23161.381559321268</v>
      </c>
      <c r="CK545" s="235">
        <f t="shared" si="631"/>
        <v>0.5</v>
      </c>
      <c r="CM545" t="str">
        <f t="shared" si="632"/>
        <v>36892Curve Shift/Gamma</v>
      </c>
      <c r="CN545" t="str">
        <f t="shared" si="572"/>
        <v>36892Rho</v>
      </c>
      <c r="CO545" t="str">
        <f t="shared" si="573"/>
        <v>36892Drift</v>
      </c>
      <c r="CP545" t="str">
        <f t="shared" si="574"/>
        <v>36892Vega</v>
      </c>
      <c r="CQ545" t="str">
        <f t="shared" si="575"/>
        <v>36892Theta</v>
      </c>
    </row>
    <row r="546" spans="1:95" x14ac:dyDescent="0.25">
      <c r="A546" s="140" t="s">
        <v>480</v>
      </c>
      <c r="B546" t="s">
        <v>250</v>
      </c>
      <c r="C546" t="s">
        <v>529</v>
      </c>
      <c r="D546" s="4" t="s">
        <v>526</v>
      </c>
      <c r="E546" t="s">
        <v>20</v>
      </c>
      <c r="F546" t="s">
        <v>21</v>
      </c>
      <c r="G546" s="5">
        <v>36861</v>
      </c>
      <c r="H546" s="130">
        <v>-310000</v>
      </c>
      <c r="I546">
        <v>0.5</v>
      </c>
      <c r="J546" s="53">
        <f t="shared" ref="J546:J558" si="646">VLOOKUP(G546,NGPrices,2,FALSE)</f>
        <v>4.8</v>
      </c>
      <c r="K546" s="7">
        <f t="shared" ref="K546:K558" si="647">HLOOKUP(D546,Prices,VLOOKUP(G546,move_down,2,FALSE),FALSE)+VLOOKUP(G546,CHANGE,HLOOKUP(D546,CHANGE,2,FALSE),FALSE)</f>
        <v>0.375</v>
      </c>
      <c r="L546" s="53">
        <f t="shared" ref="L546:L558" si="648">K546+J546</f>
        <v>5.1749999999999998</v>
      </c>
      <c r="M546" s="157">
        <f t="shared" ref="M546:M558" si="649">VLOOKUP(G546,NGPrices,4,FALSE)</f>
        <v>6.8314027999354002E-2</v>
      </c>
      <c r="N546" s="4">
        <f t="shared" ref="N546:N558" si="650">VLOOKUP(G546,NGPrices,3,FALSE)</f>
        <v>0.6</v>
      </c>
      <c r="O546" s="4">
        <f t="shared" ref="O546:O558" si="651">HLOOKUP(D546,VOLS,VLOOKUP(G546,move_down,2,FALSE),FALSE)</f>
        <v>0.6</v>
      </c>
      <c r="P546" s="9">
        <f t="shared" ref="P546:P558" si="652">HLOOKUP(D546,Correllate,VLOOKUP(G546,CorMove,2,FALSE),FALSE)</f>
        <v>0.995</v>
      </c>
      <c r="Q546" s="5">
        <f t="shared" si="612"/>
        <v>36859</v>
      </c>
      <c r="R546" s="4">
        <f t="shared" ref="R546:R558" si="653">IF(F546="P",0,1)</f>
        <v>1</v>
      </c>
      <c r="S546" s="158">
        <f>_xll.xSPRDOPT($L546,$J546,$I546,$M546,$O546,$N546,$P546,$Q546-$C$3,$R546,0)</f>
        <v>3.3958917209554768E-2</v>
      </c>
      <c r="T546" s="159">
        <f>_xll.xSPRDOPT($L546,$J546,$I546,$M546,$O546,$N546,$P546,$Q546-$C$3,$R546,1)*H546</f>
        <v>-88781.992069794258</v>
      </c>
      <c r="U546" s="160">
        <f t="shared" ref="U546:U558" si="654">S546*H546</f>
        <v>-10527.264334961978</v>
      </c>
      <c r="V546" s="159">
        <f>_xll.xSPRDOPT($L546,$J546,$I546,$M546,$O546,$N546,$P546,$Q546-$C$3,$R546,2)*H546</f>
        <v>86417.909446441801</v>
      </c>
      <c r="W546" s="159">
        <f t="shared" ref="W546:W558" si="655">+V546+T546</f>
        <v>-2364.0826233524567</v>
      </c>
      <c r="X546" s="51" t="str">
        <f t="shared" ref="X546:X558" si="656">CONCATENATE(G546,D546)</f>
        <v>36861IF-CNG/APPALACH</v>
      </c>
      <c r="Y546" s="418">
        <f t="shared" ref="Y546:Y558" si="657">H546/10000</f>
        <v>-31</v>
      </c>
      <c r="Z546" s="456">
        <f t="shared" ref="Z546:Z558" si="658">T546/H546</f>
        <v>0.28639352280578795</v>
      </c>
      <c r="AA546" s="456">
        <f>_xll.xSPRDOPT($L546,$J546,$I546,$M546,$O546,$N546,$P546,$Q546-$C$3,$R546,3)</f>
        <v>1.7045888561132012</v>
      </c>
      <c r="AB546" s="456">
        <f>((_xll.xSPRDOPT($L546+AB$5,$J546,$I546,$M546,$O546,$N546,$P546,$Q546-$C$3,$R546,3)*$H546)/10000)/100</f>
        <v>-0.52842254539509237</v>
      </c>
      <c r="AC546" s="456">
        <f>((_xll.xSPRDOPT($L546+$AB$5,$J546,$I546,$M546,$O546,$N546,$P546,$Q546-$C$3,$R546,7)*$H546)/100)</f>
        <v>11769.948589916523</v>
      </c>
      <c r="AD546" s="456">
        <f>(_xll.xSPRDOPT($L546+$AB$5,$J546,$I546,$M546,$O546,$N546,$P546,$Q546-$C$3,$R546,9)/365)*$H546</f>
        <v>111.94055321668209</v>
      </c>
      <c r="AE546">
        <f t="shared" si="613"/>
        <v>0</v>
      </c>
      <c r="AF546" s="456">
        <f t="shared" si="614"/>
        <v>-349.08749933447325</v>
      </c>
      <c r="AG546" s="456">
        <f>((_xll.xSPRDOPT($L546,$J546,$I546,$M546,$O546,$N546,$P546,$Q546-$C$3,$R546,6)*$H546)/100)</f>
        <v>1519.4669097195274</v>
      </c>
      <c r="AH546" s="456">
        <f>((_xll.xSPRDOPT($L546,$J546,$I546,$M546,$O546,$N546,$P546,$Q546-$C$3,$R546,5)*$H546)/100)</f>
        <v>-1868.5544090540006</v>
      </c>
      <c r="AI546" s="456">
        <f>(((_xll.xSPRDOPT($L546,$J546,$I546,$M546,$O546,$N546,$P546,$Q546-$C$3,$R546,4)*$H546)/10000)/100)-AB546</f>
        <v>1.1510181885541759E-2</v>
      </c>
      <c r="AJ546" s="456"/>
      <c r="AK546" s="456"/>
      <c r="AL546" s="456"/>
      <c r="AM546" s="472"/>
      <c r="CC546" s="141">
        <f t="shared" ref="CC546:CC558" si="659">G546</f>
        <v>36861</v>
      </c>
      <c r="CD546" s="234">
        <f>_xll.xSPRDOPT((VLOOKUP(G546,NGPrices,2,FALSE)+HLOOKUP(D546,Prices,VLOOKUP(G546,move_down,2,FALSE),FALSE)),VLOOKUP(G546,NGPrices,2,FALSE),I546,VLOOKUP(G546,NGPREVPRICES,4,FALSE),HLOOKUP(D546,PREVVOLS,VLOOKUP(G546,MOVE_DOWN2,2,FALSE),FALSE),VLOOKUP(G546,NGPREVPRICES,3,FALSE),HLOOKUP(D546,Correllate,VLOOKUP(G546,CorMove,2,FALSE),FALSE),Q546-$CD$3,R546,$CD$5)*H546-CJ546</f>
        <v>0</v>
      </c>
      <c r="CE546" s="234">
        <f>_xll.xSPRDOPT((VLOOKUP(G546,NGPREVPRICES,2,FALSE)+HLOOKUP(D546,PREVCURVES,VLOOKUP(G546,MOVE_DOWN2,2,FALSE),FALSE)),VLOOKUP(G546,NGPREVPRICES,2,FALSE),CK546,VLOOKUP(G546,NGPrices,4,FALSE),HLOOKUP(D546,PREVVOLS,VLOOKUP(G546,MOVE_DOWN2,2,FALSE),FALSE),VLOOKUP(G546,NGPREVPRICES,3,FALSE),HLOOKUP(D546,Correllate,VLOOKUP(G546,CorMove,2,FALSE),FALSE),Q546-$CD$3,R546,$CJ$5)*H546-CJ546</f>
        <v>0</v>
      </c>
      <c r="CF546" s="10">
        <f t="shared" ref="CF546:CF558" si="660">(CJ546/VLOOKUP(CC546,discount,3,FALSE))-(CJ546/VLOOKUP(CC546,discount,2,FALSE))</f>
        <v>1.9930720496813592</v>
      </c>
      <c r="CG546" s="234">
        <f>_xll.xSPRDOPT((VLOOKUP(G546,NGPREVPRICES,2,FALSE)+HLOOKUP(D546,PREVCURVES,VLOOKUP(G546,MOVE_DOWN2,2,FALSE),FALSE)),VLOOKUP(G546,NGPREVPRICES,2,FALSE),CK546,VLOOKUP(G546,NGPREVPRICES,4,FALSE),HLOOKUP(D546,VOLS,VLOOKUP(G546,move_down,2,FALSE),FALSE),VLOOKUP(G546,NGPrices,3,FALSE),HLOOKUP(D546,Correllate,VLOOKUP(G546,CorMove,2,FALSE),FALSE),Q546-$CD$3,R546,$CJ$5)*H546-CJ546</f>
        <v>0</v>
      </c>
      <c r="CH546" s="234">
        <f>_xll.xSPRDOPT((VLOOKUP(G546,NGPREVPRICES,2,FALSE)+HLOOKUP(D546,PREVCURVES,VLOOKUP(G546,MOVE_DOWN2,2,FALSE),FALSE)),VLOOKUP(G546,NGPREVPRICES,2,FALSE),CK546,VLOOKUP(G546,NGPREVPRICES,4,FALSE),HLOOKUP(D546,PREVVOLS,VLOOKUP(G546,MOVE_DOWN2,2,FALSE),FALSE),VLOOKUP(G546,NGPREVPRICES,3,FALSE),HLOOKUP(D546,Correllate,VLOOKUP(G546,CorMove,2,FALSE),FALSE),Q546-$C$3,R546,$CJ$5)*H546-CJ546</f>
        <v>111.64896374291493</v>
      </c>
      <c r="CI546" s="234">
        <f t="shared" ref="CI546:CI558" si="661">SUM(CD546:CH546)</f>
        <v>113.64203579259629</v>
      </c>
      <c r="CJ546" s="234">
        <f>_xll.xSPRDOPT((VLOOKUP(G546,NGPREVPRICES,2,FALSE)+HLOOKUP(D546,PREVCURVES,VLOOKUP(G546,MOVE_DOWN2,2,FALSE),FALSE)),VLOOKUP(G546,NGPREVPRICES,2,FALSE),CK546,VLOOKUP(G546,NGPREVPRICES,4,FALSE),HLOOKUP(D546,PREVVOLS,VLOOKUP(G546,MOVE_DOWN2,2,FALSE),FALSE),VLOOKUP(G546,NGPREVPRICES,3,FALSE),HLOOKUP(D546,Correllate,VLOOKUP(G546,CorMove,2,FALSE),FALSE),Q546-$CD$3,R546,$CJ$5)*H546</f>
        <v>-10638.913298704892</v>
      </c>
      <c r="CK546" s="235">
        <f t="shared" ref="CK546:CK558" si="662">I546</f>
        <v>0.5</v>
      </c>
      <c r="CM546" t="str">
        <f t="shared" ref="CM546:CM558" si="663">CONCATENATE(CC546,$CD$6)</f>
        <v>36861Curve Shift/Gamma</v>
      </c>
      <c r="CN546" t="str">
        <f t="shared" si="572"/>
        <v>36861Rho</v>
      </c>
      <c r="CO546" t="str">
        <f t="shared" si="573"/>
        <v>36861Drift</v>
      </c>
      <c r="CP546" t="str">
        <f t="shared" si="574"/>
        <v>36861Vega</v>
      </c>
      <c r="CQ546" t="str">
        <f t="shared" si="575"/>
        <v>36861Theta</v>
      </c>
    </row>
    <row r="547" spans="1:95" x14ac:dyDescent="0.25">
      <c r="A547" s="140" t="s">
        <v>480</v>
      </c>
      <c r="B547" t="s">
        <v>250</v>
      </c>
      <c r="C547" t="s">
        <v>529</v>
      </c>
      <c r="D547" s="4" t="s">
        <v>526</v>
      </c>
      <c r="E547" t="s">
        <v>20</v>
      </c>
      <c r="F547" t="s">
        <v>21</v>
      </c>
      <c r="G547" s="5">
        <v>36831</v>
      </c>
      <c r="H547" s="130">
        <v>-300000</v>
      </c>
      <c r="I547">
        <v>0.5</v>
      </c>
      <c r="J547" s="53">
        <f t="shared" si="646"/>
        <v>4.7359999999999998</v>
      </c>
      <c r="K547" s="7">
        <f t="shared" si="647"/>
        <v>0.32150000000000001</v>
      </c>
      <c r="L547" s="53">
        <f t="shared" si="648"/>
        <v>5.0575000000000001</v>
      </c>
      <c r="M547" s="157">
        <f t="shared" si="649"/>
        <v>6.810675983792E-2</v>
      </c>
      <c r="N547" s="4">
        <f t="shared" si="650"/>
        <v>0.59499999999999997</v>
      </c>
      <c r="O547" s="4">
        <f t="shared" si="651"/>
        <v>0.59499999999999997</v>
      </c>
      <c r="P547" s="9">
        <f t="shared" si="652"/>
        <v>0.995</v>
      </c>
      <c r="Q547" s="5">
        <f t="shared" si="612"/>
        <v>36829</v>
      </c>
      <c r="R547" s="4">
        <f t="shared" si="653"/>
        <v>1</v>
      </c>
      <c r="S547" s="158">
        <f>_xll.xSPRDOPT($L547,$J547,$I547,$M547,$O547,$N547,$P547,$Q547-$C$3,$R547,0)</f>
        <v>1.1474469711127182E-2</v>
      </c>
      <c r="T547" s="159">
        <f>_xll.xSPRDOPT($L547,$J547,$I547,$M547,$O547,$N547,$P547,$Q547-$C$3,$R547,1)*H547</f>
        <v>-44132.541469836331</v>
      </c>
      <c r="U547" s="160">
        <f t="shared" si="654"/>
        <v>-3442.3409133381547</v>
      </c>
      <c r="V547" s="159">
        <f>_xll.xSPRDOPT($L547,$J547,$I547,$M547,$O547,$N547,$P547,$Q547-$C$3,$R547,2)*H547</f>
        <v>42857.052325563403</v>
      </c>
      <c r="W547" s="159">
        <f t="shared" si="655"/>
        <v>-1275.4891442729277</v>
      </c>
      <c r="X547" s="51" t="str">
        <f t="shared" si="656"/>
        <v>36831IF-CNG/APPALACH</v>
      </c>
      <c r="Y547" s="418">
        <f t="shared" si="657"/>
        <v>-30</v>
      </c>
      <c r="Z547" s="456">
        <f t="shared" si="658"/>
        <v>0.14710847156612111</v>
      </c>
      <c r="AA547" s="456">
        <f>_xll.xSPRDOPT($L547,$J547,$I547,$M547,$O547,$N547,$P547,$Q547-$C$3,$R547,3)</f>
        <v>1.4714105995465379</v>
      </c>
      <c r="AB547" s="456">
        <f>((_xll.xSPRDOPT($L547+AB$5,$J547,$I547,$M547,$O547,$N547,$P547,$Q547-$C$3,$R547,3)*$H547)/10000)/100</f>
        <v>-0.44142317986396135</v>
      </c>
      <c r="AC547" s="456">
        <f>((_xll.xSPRDOPT($L547+$AB$5,$J547,$I547,$M547,$O547,$N547,$P547,$Q547-$C$3,$R547,7)*$H547)/100)</f>
        <v>6236.2227598070012</v>
      </c>
      <c r="AD547" s="456">
        <f>(_xll.xSPRDOPT($L547+$AB$5,$J547,$I547,$M547,$O547,$N547,$P547,$Q547-$C$3,$R547,9)/365)*$H547</f>
        <v>86.560191516033072</v>
      </c>
      <c r="AE547">
        <f t="shared" si="613"/>
        <v>0</v>
      </c>
      <c r="AF547" s="456">
        <f t="shared" si="614"/>
        <v>-181.60856495751443</v>
      </c>
      <c r="AG547" s="456">
        <f>((_xll.xSPRDOPT($L547,$J547,$I547,$M547,$O547,$N547,$P547,$Q547-$C$3,$R547,6)*$H547)/100)</f>
        <v>793.44096694218013</v>
      </c>
      <c r="AH547" s="456">
        <f>((_xll.xSPRDOPT($L547,$J547,$I547,$M547,$O547,$N547,$P547,$Q547-$C$3,$R547,5)*$H547)/100)</f>
        <v>-975.04953189969456</v>
      </c>
      <c r="AI547" s="456">
        <f>(((_xll.xSPRDOPT($L547,$J547,$I547,$M547,$O547,$N547,$P547,$Q547-$C$3,$R547,4)*$H547)/10000)/100)-AB547</f>
        <v>1.6100643172599238E-2</v>
      </c>
      <c r="AJ547" s="456"/>
      <c r="AK547" s="456"/>
      <c r="AL547" s="456"/>
      <c r="AM547" s="472"/>
      <c r="CC547" s="141">
        <f t="shared" si="659"/>
        <v>36831</v>
      </c>
      <c r="CD547" s="234">
        <f>_xll.xSPRDOPT((VLOOKUP(G547,NGPrices,2,FALSE)+HLOOKUP(D547,Prices,VLOOKUP(G547,move_down,2,FALSE),FALSE)),VLOOKUP(G547,NGPrices,2,FALSE),I547,VLOOKUP(G547,NGPREVPRICES,4,FALSE),HLOOKUP(D547,PREVVOLS,VLOOKUP(G547,MOVE_DOWN2,2,FALSE),FALSE),VLOOKUP(G547,NGPREVPRICES,3,FALSE),HLOOKUP(D547,Correllate,VLOOKUP(G547,CorMove,2,FALSE),FALSE),Q547-$CD$3,R547,$CD$5)*H547-CJ547</f>
        <v>0</v>
      </c>
      <c r="CE547" s="234">
        <f>_xll.xSPRDOPT((VLOOKUP(G547,NGPREVPRICES,2,FALSE)+HLOOKUP(D547,PREVCURVES,VLOOKUP(G547,MOVE_DOWN2,2,FALSE),FALSE)),VLOOKUP(G547,NGPREVPRICES,2,FALSE),CK547,VLOOKUP(G547,NGPrices,4,FALSE),HLOOKUP(D547,PREVVOLS,VLOOKUP(G547,MOVE_DOWN2,2,FALSE),FALSE),VLOOKUP(G547,NGPREVPRICES,3,FALSE),HLOOKUP(D547,Correllate,VLOOKUP(G547,CorMove,2,FALSE),FALSE),Q547-$CD$3,R547,$CJ$5)*H547-CJ547</f>
        <v>0</v>
      </c>
      <c r="CF547" s="10">
        <f t="shared" si="660"/>
        <v>0.65535203687704779</v>
      </c>
      <c r="CG547" s="234">
        <f>_xll.xSPRDOPT((VLOOKUP(G547,NGPREVPRICES,2,FALSE)+HLOOKUP(D547,PREVCURVES,VLOOKUP(G547,MOVE_DOWN2,2,FALSE),FALSE)),VLOOKUP(G547,NGPREVPRICES,2,FALSE),CK547,VLOOKUP(G547,NGPREVPRICES,4,FALSE),HLOOKUP(D547,VOLS,VLOOKUP(G547,move_down,2,FALSE),FALSE),VLOOKUP(G547,NGPrices,3,FALSE),HLOOKUP(D547,Correllate,VLOOKUP(G547,CorMove,2,FALSE),FALSE),Q547-$CD$3,R547,$CJ$5)*H547-CJ547</f>
        <v>0</v>
      </c>
      <c r="CH547" s="234">
        <f>_xll.xSPRDOPT((VLOOKUP(G547,NGPREVPRICES,2,FALSE)+HLOOKUP(D547,PREVCURVES,VLOOKUP(G547,MOVE_DOWN2,2,FALSE),FALSE)),VLOOKUP(G547,NGPREVPRICES,2,FALSE),CK547,VLOOKUP(G547,NGPREVPRICES,4,FALSE),HLOOKUP(D547,PREVVOLS,VLOOKUP(G547,MOVE_DOWN2,2,FALSE),FALSE),VLOOKUP(G547,NGPREVPRICES,3,FALSE),HLOOKUP(D547,Correllate,VLOOKUP(G547,CorMove,2,FALSE),FALSE),Q547-$C$3,R547,$CJ$5)*H547-CJ547</f>
        <v>86.546915852186885</v>
      </c>
      <c r="CI547" s="234">
        <f t="shared" si="661"/>
        <v>87.202267889063933</v>
      </c>
      <c r="CJ547" s="234">
        <f>_xll.xSPRDOPT((VLOOKUP(G547,NGPREVPRICES,2,FALSE)+HLOOKUP(D547,PREVCURVES,VLOOKUP(G547,MOVE_DOWN2,2,FALSE),FALSE)),VLOOKUP(G547,NGPREVPRICES,2,FALSE),CK547,VLOOKUP(G547,NGPREVPRICES,4,FALSE),HLOOKUP(D547,PREVVOLS,VLOOKUP(G547,MOVE_DOWN2,2,FALSE),FALSE),VLOOKUP(G547,NGPREVPRICES,3,FALSE),HLOOKUP(D547,Correllate,VLOOKUP(G547,CorMove,2,FALSE),FALSE),Q547-$CD$3,R547,$CJ$5)*H547</f>
        <v>-3528.8878291903416</v>
      </c>
      <c r="CK547" s="235">
        <f t="shared" si="662"/>
        <v>0.5</v>
      </c>
      <c r="CM547" t="str">
        <f t="shared" si="663"/>
        <v>36831Curve Shift/Gamma</v>
      </c>
      <c r="CN547" t="str">
        <f t="shared" si="572"/>
        <v>36831Rho</v>
      </c>
      <c r="CO547" t="str">
        <f t="shared" si="573"/>
        <v>36831Drift</v>
      </c>
      <c r="CP547" t="str">
        <f t="shared" si="574"/>
        <v>36831Vega</v>
      </c>
      <c r="CQ547" t="str">
        <f t="shared" si="575"/>
        <v>36831Theta</v>
      </c>
    </row>
    <row r="548" spans="1:95" x14ac:dyDescent="0.25">
      <c r="A548" s="140" t="s">
        <v>268</v>
      </c>
      <c r="B548" t="s">
        <v>250</v>
      </c>
      <c r="C548" t="s">
        <v>530</v>
      </c>
      <c r="D548" s="4" t="s">
        <v>6</v>
      </c>
      <c r="E548" t="s">
        <v>20</v>
      </c>
      <c r="F548" t="s">
        <v>1</v>
      </c>
      <c r="G548" s="5">
        <v>36951</v>
      </c>
      <c r="H548" s="130">
        <v>-310000</v>
      </c>
      <c r="I548">
        <v>-0.25</v>
      </c>
      <c r="J548" s="53">
        <f t="shared" si="646"/>
        <v>4.2130000000000001</v>
      </c>
      <c r="K548" s="7">
        <f t="shared" si="647"/>
        <v>-0.13750000000000001</v>
      </c>
      <c r="L548" s="53">
        <f t="shared" si="648"/>
        <v>4.0754999999999999</v>
      </c>
      <c r="M548" s="157">
        <f t="shared" si="649"/>
        <v>6.8879814952706994E-2</v>
      </c>
      <c r="N548" s="4">
        <f t="shared" si="650"/>
        <v>0.53249999999999997</v>
      </c>
      <c r="O548" s="4">
        <f t="shared" si="651"/>
        <v>0.53300000000000003</v>
      </c>
      <c r="P548" s="9">
        <f t="shared" si="652"/>
        <v>0.995</v>
      </c>
      <c r="Q548" s="5">
        <f t="shared" si="612"/>
        <v>36949</v>
      </c>
      <c r="R548" s="4">
        <f t="shared" si="653"/>
        <v>0</v>
      </c>
      <c r="S548" s="158">
        <f>_xll.xSPRDOPT($L548,$J548,$I548,$M548,$O548,$N548,$P548,$Q548-$C$3,$R548,0)</f>
        <v>2.7930022429325435E-2</v>
      </c>
      <c r="T548" s="159">
        <f>_xll.xSPRDOPT($L548,$J548,$I548,$M548,$O548,$N548,$P548,$Q548-$C$3,$R548,1)*H548</f>
        <v>79810.145177569095</v>
      </c>
      <c r="U548" s="160">
        <f t="shared" si="654"/>
        <v>-8658.3069530908851</v>
      </c>
      <c r="V548" s="159">
        <f>_xll.xSPRDOPT($L548,$J548,$I548,$M548,$O548,$N548,$P548,$Q548-$C$3,$R548,2)*H548</f>
        <v>-83108.473074993177</v>
      </c>
      <c r="W548" s="159">
        <f t="shared" si="655"/>
        <v>-3298.327897424082</v>
      </c>
      <c r="X548" s="51" t="str">
        <f t="shared" si="656"/>
        <v>36951IF-PAN/TX/OK</v>
      </c>
      <c r="Y548" s="418">
        <f t="shared" si="657"/>
        <v>-31</v>
      </c>
      <c r="Z548" s="456">
        <f t="shared" si="658"/>
        <v>-0.25745208121796481</v>
      </c>
      <c r="AA548" s="456">
        <f>_xll.xSPRDOPT($L548,$J548,$I548,$M548,$O548,$N548,$P548,$Q548-$C$3,$R548,3)</f>
        <v>1.7893386631042356</v>
      </c>
      <c r="AB548" s="456">
        <f>((_xll.xSPRDOPT($L548+AB$5,$J548,$I548,$M548,$O548,$N548,$P548,$Q548-$C$3,$R548,3)*$H548)/10000)/100</f>
        <v>-0.554694985562313</v>
      </c>
      <c r="AC548" s="456">
        <f>((_xll.xSPRDOPT($L548+$AB$5,$J548,$I548,$M548,$O548,$N548,$P548,$Q548-$C$3,$R548,7)*$H548)/100)</f>
        <v>13726.134532257965</v>
      </c>
      <c r="AD548" s="456">
        <f>(_xll.xSPRDOPT($L548+$AB$5,$J548,$I548,$M548,$O548,$N548,$P548,$Q548-$C$3,$R548,9)/365)*$H548</f>
        <v>47.043810154322358</v>
      </c>
      <c r="AE548">
        <f t="shared" si="613"/>
        <v>0</v>
      </c>
      <c r="AF548" s="456">
        <f t="shared" si="614"/>
        <v>-332.51767623174351</v>
      </c>
      <c r="AG548" s="456">
        <f>((_xll.xSPRDOPT($L548,$J548,$I548,$M548,$O548,$N548,$P548,$Q548-$C$3,$R548,6)*$H548)/100)</f>
        <v>-1487.9624673929097</v>
      </c>
      <c r="AH548" s="456">
        <f>((_xll.xSPRDOPT($L548,$J548,$I548,$M548,$O548,$N548,$P548,$Q548-$C$3,$R548,5)*$H548)/100)</f>
        <v>1154.360884227619</v>
      </c>
      <c r="AI548" s="456">
        <f>(((_xll.xSPRDOPT($L548,$J548,$I548,$M548,$O548,$N548,$P548,$Q548-$C$3,$R548,4)*$H548)/10000)/100)-AB548</f>
        <v>-2.1487129448647613E-2</v>
      </c>
      <c r="AJ548" s="456"/>
      <c r="AK548" s="456"/>
      <c r="AL548" s="456"/>
      <c r="AM548" s="472"/>
      <c r="CC548" s="141">
        <f t="shared" si="659"/>
        <v>36951</v>
      </c>
      <c r="CD548" s="234">
        <f>_xll.xSPRDOPT((VLOOKUP(G548,NGPrices,2,FALSE)+HLOOKUP(D548,Prices,VLOOKUP(G548,move_down,2,FALSE),FALSE)),VLOOKUP(G548,NGPrices,2,FALSE),I548,VLOOKUP(G548,NGPREVPRICES,4,FALSE),HLOOKUP(D548,PREVVOLS,VLOOKUP(G548,MOVE_DOWN2,2,FALSE),FALSE),VLOOKUP(G548,NGPREVPRICES,3,FALSE),HLOOKUP(D548,Correllate,VLOOKUP(G548,CorMove,2,FALSE),FALSE),Q548-$CD$3,R548,$CD$5)*H548-CJ548</f>
        <v>0</v>
      </c>
      <c r="CE548" s="234">
        <f>_xll.xSPRDOPT((VLOOKUP(G548,NGPREVPRICES,2,FALSE)+HLOOKUP(D548,PREVCURVES,VLOOKUP(G548,MOVE_DOWN2,2,FALSE),FALSE)),VLOOKUP(G548,NGPREVPRICES,2,FALSE),CK548,VLOOKUP(G548,NGPrices,4,FALSE),HLOOKUP(D548,PREVVOLS,VLOOKUP(G548,MOVE_DOWN2,2,FALSE),FALSE),VLOOKUP(G548,NGPREVPRICES,3,FALSE),HLOOKUP(D548,Correllate,VLOOKUP(G548,CorMove,2,FALSE),FALSE),Q548-$CD$3,R548,$CJ$5)*H548-CJ548</f>
        <v>0</v>
      </c>
      <c r="CF548" s="10">
        <f t="shared" si="660"/>
        <v>1.669540781122123</v>
      </c>
      <c r="CG548" s="234">
        <f>_xll.xSPRDOPT((VLOOKUP(G548,NGPREVPRICES,2,FALSE)+HLOOKUP(D548,PREVCURVES,VLOOKUP(G548,MOVE_DOWN2,2,FALSE),FALSE)),VLOOKUP(G548,NGPREVPRICES,2,FALSE),CK548,VLOOKUP(G548,NGPREVPRICES,4,FALSE),HLOOKUP(D548,VOLS,VLOOKUP(G548,move_down,2,FALSE),FALSE),VLOOKUP(G548,NGPrices,3,FALSE),HLOOKUP(D548,Correllate,VLOOKUP(G548,CorMove,2,FALSE),FALSE),Q548-$CD$3,R548,$CJ$5)*H548-CJ548</f>
        <v>0</v>
      </c>
      <c r="CH548" s="234">
        <f>_xll.xSPRDOPT((VLOOKUP(G548,NGPREVPRICES,2,FALSE)+HLOOKUP(D548,PREVCURVES,VLOOKUP(G548,MOVE_DOWN2,2,FALSE),FALSE)),VLOOKUP(G548,NGPREVPRICES,2,FALSE),CK548,VLOOKUP(G548,NGPREVPRICES,4,FALSE),HLOOKUP(D548,PREVVOLS,VLOOKUP(G548,MOVE_DOWN2,2,FALSE),FALSE),VLOOKUP(G548,NGPREVPRICES,3,FALSE),HLOOKUP(D548,Correllate,VLOOKUP(G548,CorMove,2,FALSE),FALSE),Q548-$C$3,R548,$CJ$5)*H548-CJ548</f>
        <v>46.963504963905507</v>
      </c>
      <c r="CI548" s="234">
        <f t="shared" si="661"/>
        <v>48.63304574502763</v>
      </c>
      <c r="CJ548" s="234">
        <f>_xll.xSPRDOPT((VLOOKUP(G548,NGPREVPRICES,2,FALSE)+HLOOKUP(D548,PREVCURVES,VLOOKUP(G548,MOVE_DOWN2,2,FALSE),FALSE)),VLOOKUP(G548,NGPREVPRICES,2,FALSE),CK548,VLOOKUP(G548,NGPREVPRICES,4,FALSE),HLOOKUP(D548,PREVVOLS,VLOOKUP(G548,MOVE_DOWN2,2,FALSE),FALSE),VLOOKUP(G548,NGPREVPRICES,3,FALSE),HLOOKUP(D548,Correllate,VLOOKUP(G548,CorMove,2,FALSE),FALSE),Q548-$CD$3,R548,$CJ$5)*H548</f>
        <v>-8705.2704580547907</v>
      </c>
      <c r="CK548" s="235">
        <f t="shared" si="662"/>
        <v>-0.25</v>
      </c>
      <c r="CM548" t="str">
        <f t="shared" si="663"/>
        <v>36951Curve Shift/Gamma</v>
      </c>
      <c r="CN548" t="str">
        <f t="shared" si="572"/>
        <v>36951Rho</v>
      </c>
      <c r="CO548" t="str">
        <f t="shared" si="573"/>
        <v>36951Drift</v>
      </c>
      <c r="CP548" t="str">
        <f t="shared" si="574"/>
        <v>36951Vega</v>
      </c>
      <c r="CQ548" t="str">
        <f t="shared" si="575"/>
        <v>36951Theta</v>
      </c>
    </row>
    <row r="549" spans="1:95" x14ac:dyDescent="0.25">
      <c r="A549" s="140" t="s">
        <v>268</v>
      </c>
      <c r="B549" t="s">
        <v>250</v>
      </c>
      <c r="C549" t="s">
        <v>530</v>
      </c>
      <c r="D549" s="4" t="s">
        <v>6</v>
      </c>
      <c r="E549" t="s">
        <v>20</v>
      </c>
      <c r="F549" t="s">
        <v>1</v>
      </c>
      <c r="G549" s="5">
        <v>36923</v>
      </c>
      <c r="H549" s="130">
        <v>-280000</v>
      </c>
      <c r="I549">
        <v>-0.25</v>
      </c>
      <c r="J549" s="53">
        <f t="shared" si="646"/>
        <v>4.4800000000000004</v>
      </c>
      <c r="K549" s="7">
        <f t="shared" si="647"/>
        <v>-0.14499999999999999</v>
      </c>
      <c r="L549" s="53">
        <f t="shared" si="648"/>
        <v>4.3350000000000009</v>
      </c>
      <c r="M549" s="157">
        <f t="shared" si="649"/>
        <v>6.8640161611372E-2</v>
      </c>
      <c r="N549" s="4">
        <f t="shared" si="650"/>
        <v>0.59250000000000003</v>
      </c>
      <c r="O549" s="4">
        <f t="shared" si="651"/>
        <v>0.59299999999999997</v>
      </c>
      <c r="P549" s="9">
        <f t="shared" si="652"/>
        <v>0.995</v>
      </c>
      <c r="Q549" s="5">
        <f t="shared" si="612"/>
        <v>36921</v>
      </c>
      <c r="R549" s="4">
        <f t="shared" si="653"/>
        <v>0</v>
      </c>
      <c r="S549" s="158">
        <f>_xll.xSPRDOPT($L549,$J549,$I549,$M549,$O549,$N549,$P549,$Q549-$C$3,$R549,0)</f>
        <v>3.4538502077909289E-2</v>
      </c>
      <c r="T549" s="159">
        <f>_xll.xSPRDOPT($L549,$J549,$I549,$M549,$O549,$N549,$P549,$Q549-$C$3,$R549,1)*H549</f>
        <v>79873.593750155036</v>
      </c>
      <c r="U549" s="160">
        <f t="shared" si="654"/>
        <v>-9670.7805818146007</v>
      </c>
      <c r="V549" s="159">
        <f>_xll.xSPRDOPT($L549,$J549,$I549,$M549,$O549,$N549,$P549,$Q549-$C$3,$R549,2)*H549</f>
        <v>-83114.698682848437</v>
      </c>
      <c r="W549" s="159">
        <f t="shared" si="655"/>
        <v>-3241.1049326934008</v>
      </c>
      <c r="X549" s="51" t="str">
        <f t="shared" si="656"/>
        <v>36923IF-PAN/TX/OK</v>
      </c>
      <c r="Y549" s="418">
        <f t="shared" si="657"/>
        <v>-28</v>
      </c>
      <c r="Z549" s="456">
        <f t="shared" si="658"/>
        <v>-0.28526283482198228</v>
      </c>
      <c r="AA549" s="456">
        <f>_xll.xSPRDOPT($L549,$J549,$I549,$M549,$O549,$N549,$P549,$Q549-$C$3,$R549,3)</f>
        <v>1.7499256547448128</v>
      </c>
      <c r="AB549" s="456">
        <f>((_xll.xSPRDOPT($L549+AB$5,$J549,$I549,$M549,$O549,$N549,$P549,$Q549-$C$3,$R549,3)*$H549)/10000)/100</f>
        <v>-0.48997918332854762</v>
      </c>
      <c r="AC549" s="456">
        <f>((_xll.xSPRDOPT($L549+$AB$5,$J549,$I549,$M549,$O549,$N549,$P549,$Q549-$C$3,$R549,7)*$H549)/100)</f>
        <v>14335.462979315755</v>
      </c>
      <c r="AD549" s="456">
        <f>(_xll.xSPRDOPT($L549+$AB$5,$J549,$I549,$M549,$O549,$N549,$P549,$Q549-$C$3,$R549,9)/365)*$H549</f>
        <v>57.186573362429563</v>
      </c>
      <c r="AE549">
        <f t="shared" si="613"/>
        <v>0</v>
      </c>
      <c r="AF549" s="456">
        <f t="shared" si="614"/>
        <v>-306.51756167759345</v>
      </c>
      <c r="AG549" s="456">
        <f>((_xll.xSPRDOPT($L549,$J549,$I549,$M549,$O549,$N549,$P549,$Q549-$C$3,$R549,6)*$H549)/100)</f>
        <v>-1339.0885175430494</v>
      </c>
      <c r="AH549" s="456">
        <f>((_xll.xSPRDOPT($L549,$J549,$I549,$M549,$O549,$N549,$P549,$Q549-$C$3,$R549,5)*$H549)/100)</f>
        <v>1031.7003226817585</v>
      </c>
      <c r="AI549" s="456">
        <f>(((_xll.xSPRDOPT($L549,$J549,$I549,$M549,$O549,$N549,$P549,$Q549-$C$3,$R549,4)*$H549)/10000)/100)-AB549</f>
        <v>-1.6872408443882381E-2</v>
      </c>
      <c r="AJ549" s="456"/>
      <c r="AK549" s="456"/>
      <c r="AL549" s="456"/>
      <c r="AM549" s="472"/>
      <c r="CC549" s="141">
        <f t="shared" si="659"/>
        <v>36923</v>
      </c>
      <c r="CD549" s="234">
        <f>_xll.xSPRDOPT((VLOOKUP(G549,NGPrices,2,FALSE)+HLOOKUP(D549,Prices,VLOOKUP(G549,move_down,2,FALSE),FALSE)),VLOOKUP(G549,NGPrices,2,FALSE),I549,VLOOKUP(G549,NGPREVPRICES,4,FALSE),HLOOKUP(D549,PREVVOLS,VLOOKUP(G549,MOVE_DOWN2,2,FALSE),FALSE),VLOOKUP(G549,NGPREVPRICES,3,FALSE),HLOOKUP(D549,Correllate,VLOOKUP(G549,CorMove,2,FALSE),FALSE),Q549-$CD$3,R549,$CD$5)*H549-CJ549</f>
        <v>0</v>
      </c>
      <c r="CE549" s="234">
        <f>_xll.xSPRDOPT((VLOOKUP(G549,NGPREVPRICES,2,FALSE)+HLOOKUP(D549,PREVCURVES,VLOOKUP(G549,MOVE_DOWN2,2,FALSE),FALSE)),VLOOKUP(G549,NGPREVPRICES,2,FALSE),CK549,VLOOKUP(G549,NGPrices,4,FALSE),HLOOKUP(D549,PREVVOLS,VLOOKUP(G549,MOVE_DOWN2,2,FALSE),FALSE),VLOOKUP(G549,NGPREVPRICES,3,FALSE),HLOOKUP(D549,Correllate,VLOOKUP(G549,CorMove,2,FALSE),FALSE),Q549-$CD$3,R549,$CJ$5)*H549-CJ549</f>
        <v>0</v>
      </c>
      <c r="CF549" s="10">
        <f t="shared" si="660"/>
        <v>1.8501252274272701</v>
      </c>
      <c r="CG549" s="234">
        <f>_xll.xSPRDOPT((VLOOKUP(G549,NGPREVPRICES,2,FALSE)+HLOOKUP(D549,PREVCURVES,VLOOKUP(G549,MOVE_DOWN2,2,FALSE),FALSE)),VLOOKUP(G549,NGPREVPRICES,2,FALSE),CK549,VLOOKUP(G549,NGPREVPRICES,4,FALSE),HLOOKUP(D549,VOLS,VLOOKUP(G549,move_down,2,FALSE),FALSE),VLOOKUP(G549,NGPrices,3,FALSE),HLOOKUP(D549,Correllate,VLOOKUP(G549,CorMove,2,FALSE),FALSE),Q549-$CD$3,R549,$CJ$5)*H549-CJ549</f>
        <v>0</v>
      </c>
      <c r="CH549" s="234">
        <f>_xll.xSPRDOPT((VLOOKUP(G549,NGPREVPRICES,2,FALSE)+HLOOKUP(D549,PREVCURVES,VLOOKUP(G549,MOVE_DOWN2,2,FALSE),FALSE)),VLOOKUP(G549,NGPREVPRICES,2,FALSE),CK549,VLOOKUP(G549,NGPREVPRICES,4,FALSE),HLOOKUP(D549,PREVVOLS,VLOOKUP(G549,MOVE_DOWN2,2,FALSE),FALSE),VLOOKUP(G549,NGPREVPRICES,3,FALSE),HLOOKUP(D549,Correllate,VLOOKUP(G549,CorMove,2,FALSE),FALSE),Q549-$C$3,R549,$CJ$5)*H549-CJ549</f>
        <v>57.07130634972782</v>
      </c>
      <c r="CI549" s="234">
        <f t="shared" si="661"/>
        <v>58.92143157715509</v>
      </c>
      <c r="CJ549" s="234">
        <f>_xll.xSPRDOPT((VLOOKUP(G549,NGPREVPRICES,2,FALSE)+HLOOKUP(D549,PREVCURVES,VLOOKUP(G549,MOVE_DOWN2,2,FALSE),FALSE)),VLOOKUP(G549,NGPREVPRICES,2,FALSE),CK549,VLOOKUP(G549,NGPREVPRICES,4,FALSE),HLOOKUP(D549,PREVVOLS,VLOOKUP(G549,MOVE_DOWN2,2,FALSE),FALSE),VLOOKUP(G549,NGPREVPRICES,3,FALSE),HLOOKUP(D549,Correllate,VLOOKUP(G549,CorMove,2,FALSE),FALSE),Q549-$CD$3,R549,$CJ$5)*H549</f>
        <v>-9727.8518881643286</v>
      </c>
      <c r="CK549" s="235">
        <f t="shared" si="662"/>
        <v>-0.25</v>
      </c>
      <c r="CM549" t="str">
        <f t="shared" si="663"/>
        <v>36923Curve Shift/Gamma</v>
      </c>
      <c r="CN549" t="str">
        <f t="shared" si="572"/>
        <v>36923Rho</v>
      </c>
      <c r="CO549" t="str">
        <f t="shared" si="573"/>
        <v>36923Drift</v>
      </c>
      <c r="CP549" t="str">
        <f t="shared" si="574"/>
        <v>36923Vega</v>
      </c>
      <c r="CQ549" t="str">
        <f t="shared" si="575"/>
        <v>36923Theta</v>
      </c>
    </row>
    <row r="550" spans="1:95" x14ac:dyDescent="0.25">
      <c r="A550" s="140" t="s">
        <v>268</v>
      </c>
      <c r="B550" t="s">
        <v>250</v>
      </c>
      <c r="C550" t="s">
        <v>530</v>
      </c>
      <c r="D550" s="4" t="s">
        <v>6</v>
      </c>
      <c r="E550" t="s">
        <v>20</v>
      </c>
      <c r="F550" t="s">
        <v>1</v>
      </c>
      <c r="G550" s="5">
        <v>36892</v>
      </c>
      <c r="H550" s="130">
        <v>-310000</v>
      </c>
      <c r="I550">
        <v>-0.25</v>
      </c>
      <c r="J550" s="53">
        <f t="shared" si="646"/>
        <v>4.7439999999999998</v>
      </c>
      <c r="K550" s="7">
        <f t="shared" si="647"/>
        <v>-0.16</v>
      </c>
      <c r="L550" s="53">
        <f t="shared" si="648"/>
        <v>4.5839999999999996</v>
      </c>
      <c r="M550" s="157">
        <f t="shared" si="649"/>
        <v>6.8374831148490994E-2</v>
      </c>
      <c r="N550" s="4">
        <f t="shared" si="650"/>
        <v>0.60499999999999998</v>
      </c>
      <c r="O550" s="4">
        <f t="shared" si="651"/>
        <v>0.60499999999999998</v>
      </c>
      <c r="P550" s="9">
        <f t="shared" si="652"/>
        <v>0.995</v>
      </c>
      <c r="Q550" s="5">
        <f t="shared" si="612"/>
        <v>36888</v>
      </c>
      <c r="R550" s="4">
        <f t="shared" si="653"/>
        <v>0</v>
      </c>
      <c r="S550" s="158">
        <f>_xll.xSPRDOPT($L550,$J550,$I550,$M550,$O550,$N550,$P550,$Q550-$C$3,$R550,0)</f>
        <v>3.59192649130766E-2</v>
      </c>
      <c r="T550" s="159">
        <f>_xll.xSPRDOPT($L550,$J550,$I550,$M550,$O550,$N550,$P550,$Q550-$C$3,$R550,1)*H550</f>
        <v>94474.815919370987</v>
      </c>
      <c r="U550" s="160">
        <f t="shared" si="654"/>
        <v>-11134.972123053745</v>
      </c>
      <c r="V550" s="159">
        <f>_xll.xSPRDOPT($L550,$J550,$I550,$M550,$O550,$N550,$P550,$Q550-$C$3,$R550,2)*H550</f>
        <v>-97850.54494131649</v>
      </c>
      <c r="W550" s="159">
        <f t="shared" si="655"/>
        <v>-3375.7290219455026</v>
      </c>
      <c r="X550" s="51" t="str">
        <f t="shared" si="656"/>
        <v>36892IF-PAN/TX/OK</v>
      </c>
      <c r="Y550" s="418">
        <f t="shared" si="657"/>
        <v>-31</v>
      </c>
      <c r="Z550" s="456">
        <f t="shared" si="658"/>
        <v>-0.30475747070764836</v>
      </c>
      <c r="AA550" s="456">
        <f>_xll.xSPRDOPT($L550,$J550,$I550,$M550,$O550,$N550,$P550,$Q550-$C$3,$R550,3)</f>
        <v>1.8983689216791417</v>
      </c>
      <c r="AB550" s="456">
        <f>((_xll.xSPRDOPT($L550+AB$5,$J550,$I550,$M550,$O550,$N550,$P550,$Q550-$C$3,$R550,3)*$H550)/10000)/100</f>
        <v>-0.58849436572053382</v>
      </c>
      <c r="AC550" s="456">
        <f>((_xll.xSPRDOPT($L550+$AB$5,$J550,$I550,$M550,$O550,$N550,$P550,$Q550-$C$3,$R550,7)*$H550)/100)</f>
        <v>15735.226602919251</v>
      </c>
      <c r="AD550" s="456">
        <f>(_xll.xSPRDOPT($L550+$AB$5,$J550,$I550,$M550,$O550,$N550,$P550,$Q550-$C$3,$R550,9)/365)*$H550</f>
        <v>79.548587517408251</v>
      </c>
      <c r="AE550">
        <f t="shared" si="613"/>
        <v>0</v>
      </c>
      <c r="AF550" s="456">
        <f t="shared" si="614"/>
        <v>-326.31440539316918</v>
      </c>
      <c r="AG550" s="456">
        <f>((_xll.xSPRDOPT($L550,$J550,$I550,$M550,$O550,$N550,$P550,$Q550-$C$3,$R550,6)*$H550)/100)</f>
        <v>-1420.2944572810841</v>
      </c>
      <c r="AH550" s="456">
        <f>((_xll.xSPRDOPT($L550,$J550,$I550,$M550,$O550,$N550,$P550,$Q550-$C$3,$R550,5)*$H550)/100)</f>
        <v>1093.9800518879149</v>
      </c>
      <c r="AI550" s="456">
        <f>(((_xll.xSPRDOPT($L550,$J550,$I550,$M550,$O550,$N550,$P550,$Q550-$C$3,$R550,4)*$H550)/10000)/100)-AB550</f>
        <v>-1.6714239824261568E-2</v>
      </c>
      <c r="AJ550" s="456"/>
      <c r="AK550" s="456"/>
      <c r="AL550" s="456"/>
      <c r="AM550" s="472"/>
      <c r="CC550" s="141">
        <f t="shared" si="659"/>
        <v>36892</v>
      </c>
      <c r="CD550" s="234">
        <f>_xll.xSPRDOPT((VLOOKUP(G550,NGPrices,2,FALSE)+HLOOKUP(D550,Prices,VLOOKUP(G550,move_down,2,FALSE),FALSE)),VLOOKUP(G550,NGPrices,2,FALSE),I550,VLOOKUP(G550,NGPREVPRICES,4,FALSE),HLOOKUP(D550,PREVVOLS,VLOOKUP(G550,MOVE_DOWN2,2,FALSE),FALSE),VLOOKUP(G550,NGPREVPRICES,3,FALSE),HLOOKUP(D550,Correllate,VLOOKUP(G550,CorMove,2,FALSE),FALSE),Q550-$CD$3,R550,$CD$5)*H550-CJ550</f>
        <v>0</v>
      </c>
      <c r="CE550" s="234">
        <f>_xll.xSPRDOPT((VLOOKUP(G550,NGPREVPRICES,2,FALSE)+HLOOKUP(D550,PREVCURVES,VLOOKUP(G550,MOVE_DOWN2,2,FALSE),FALSE)),VLOOKUP(G550,NGPREVPRICES,2,FALSE),CK550,VLOOKUP(G550,NGPrices,4,FALSE),HLOOKUP(D550,PREVVOLS,VLOOKUP(G550,MOVE_DOWN2,2,FALSE),FALSE),VLOOKUP(G550,NGPREVPRICES,3,FALSE),HLOOKUP(D550,Correllate,VLOOKUP(G550,CorMove,2,FALSE),FALSE),Q550-$CD$3,R550,$CJ$5)*H550-CJ550</f>
        <v>0</v>
      </c>
      <c r="CF550" s="10">
        <f t="shared" si="660"/>
        <v>2.113240739907269</v>
      </c>
      <c r="CG550" s="234">
        <f>_xll.xSPRDOPT((VLOOKUP(G550,NGPREVPRICES,2,FALSE)+HLOOKUP(D550,PREVCURVES,VLOOKUP(G550,MOVE_DOWN2,2,FALSE),FALSE)),VLOOKUP(G550,NGPREVPRICES,2,FALSE),CK550,VLOOKUP(G550,NGPREVPRICES,4,FALSE),HLOOKUP(D550,VOLS,VLOOKUP(G550,move_down,2,FALSE),FALSE),VLOOKUP(G550,NGPrices,3,FALSE),HLOOKUP(D550,Correllate,VLOOKUP(G550,CorMove,2,FALSE),FALSE),Q550-$CD$3,R550,$CJ$5)*H550-CJ550</f>
        <v>0</v>
      </c>
      <c r="CH550" s="234">
        <f>_xll.xSPRDOPT((VLOOKUP(G550,NGPREVPRICES,2,FALSE)+HLOOKUP(D550,PREVCURVES,VLOOKUP(G550,MOVE_DOWN2,2,FALSE),FALSE)),VLOOKUP(G550,NGPREVPRICES,2,FALSE),CK550,VLOOKUP(G550,NGPREVPRICES,4,FALSE),HLOOKUP(D550,PREVVOLS,VLOOKUP(G550,MOVE_DOWN2,2,FALSE),FALSE),VLOOKUP(G550,NGPREVPRICES,3,FALSE),HLOOKUP(D550,Correllate,VLOOKUP(G550,CorMove,2,FALSE),FALSE),Q550-$C$3,R550,$CJ$5)*H550-CJ550</f>
        <v>79.354370734265103</v>
      </c>
      <c r="CI550" s="234">
        <f t="shared" si="661"/>
        <v>81.467611474172372</v>
      </c>
      <c r="CJ550" s="234">
        <f>_xll.xSPRDOPT((VLOOKUP(G550,NGPREVPRICES,2,FALSE)+HLOOKUP(D550,PREVCURVES,VLOOKUP(G550,MOVE_DOWN2,2,FALSE),FALSE)),VLOOKUP(G550,NGPREVPRICES,2,FALSE),CK550,VLOOKUP(G550,NGPREVPRICES,4,FALSE),HLOOKUP(D550,PREVVOLS,VLOOKUP(G550,MOVE_DOWN2,2,FALSE),FALSE),VLOOKUP(G550,NGPREVPRICES,3,FALSE),HLOOKUP(D550,Correllate,VLOOKUP(G550,CorMove,2,FALSE),FALSE),Q550-$CD$3,R550,$CJ$5)*H550</f>
        <v>-11214.32649378801</v>
      </c>
      <c r="CK550" s="235">
        <f t="shared" si="662"/>
        <v>-0.25</v>
      </c>
      <c r="CM550" t="str">
        <f t="shared" si="663"/>
        <v>36892Curve Shift/Gamma</v>
      </c>
      <c r="CN550" t="str">
        <f t="shared" si="572"/>
        <v>36892Rho</v>
      </c>
      <c r="CO550" t="str">
        <f t="shared" si="573"/>
        <v>36892Drift</v>
      </c>
      <c r="CP550" t="str">
        <f t="shared" si="574"/>
        <v>36892Vega</v>
      </c>
      <c r="CQ550" t="str">
        <f t="shared" si="575"/>
        <v>36892Theta</v>
      </c>
    </row>
    <row r="551" spans="1:95" x14ac:dyDescent="0.25">
      <c r="A551" s="140" t="s">
        <v>268</v>
      </c>
      <c r="B551" t="s">
        <v>250</v>
      </c>
      <c r="C551" t="s">
        <v>530</v>
      </c>
      <c r="D551" s="4" t="s">
        <v>6</v>
      </c>
      <c r="E551" t="s">
        <v>20</v>
      </c>
      <c r="F551" t="s">
        <v>1</v>
      </c>
      <c r="G551" s="5">
        <v>36861</v>
      </c>
      <c r="H551" s="130">
        <v>-310000</v>
      </c>
      <c r="I551">
        <v>-0.25</v>
      </c>
      <c r="J551" s="53">
        <f t="shared" si="646"/>
        <v>4.8</v>
      </c>
      <c r="K551" s="7">
        <f t="shared" si="647"/>
        <v>-0.1525</v>
      </c>
      <c r="L551" s="53">
        <f t="shared" si="648"/>
        <v>4.6475</v>
      </c>
      <c r="M551" s="157">
        <f t="shared" si="649"/>
        <v>6.8314027999354002E-2</v>
      </c>
      <c r="N551" s="4">
        <f t="shared" si="650"/>
        <v>0.6</v>
      </c>
      <c r="O551" s="4">
        <f t="shared" si="651"/>
        <v>0.6</v>
      </c>
      <c r="P551" s="9">
        <f t="shared" si="652"/>
        <v>0.995</v>
      </c>
      <c r="Q551" s="5">
        <f t="shared" si="612"/>
        <v>36859</v>
      </c>
      <c r="R551" s="4">
        <f t="shared" si="653"/>
        <v>0</v>
      </c>
      <c r="S551" s="158">
        <f>_xll.xSPRDOPT($L551,$J551,$I551,$M551,$O551,$N551,$P551,$Q551-$C$3,$R551,0)</f>
        <v>2.6081773029596973E-2</v>
      </c>
      <c r="T551" s="159">
        <f>_xll.xSPRDOPT($L551,$J551,$I551,$M551,$O551,$N551,$P551,$Q551-$C$3,$R551,1)*H551</f>
        <v>82525.533747876281</v>
      </c>
      <c r="U551" s="160">
        <f t="shared" si="654"/>
        <v>-8085.3496391750614</v>
      </c>
      <c r="V551" s="159">
        <f>_xll.xSPRDOPT($L551,$J551,$I551,$M551,$O551,$N551,$P551,$Q551-$C$3,$R551,2)*H551</f>
        <v>-85283.040019741471</v>
      </c>
      <c r="W551" s="159">
        <f t="shared" si="655"/>
        <v>-2757.5062718651898</v>
      </c>
      <c r="X551" s="51" t="str">
        <f t="shared" si="656"/>
        <v>36861IF-PAN/TX/OK</v>
      </c>
      <c r="Y551" s="418">
        <f t="shared" si="657"/>
        <v>-31</v>
      </c>
      <c r="Z551" s="456">
        <f t="shared" si="658"/>
        <v>-0.26621139918669767</v>
      </c>
      <c r="AA551" s="456">
        <f>_xll.xSPRDOPT($L551,$J551,$I551,$M551,$O551,$N551,$P551,$Q551-$C$3,$R551,3)</f>
        <v>2.0442367800765142</v>
      </c>
      <c r="AB551" s="456">
        <f>((_xll.xSPRDOPT($L551+AB$5,$J551,$I551,$M551,$O551,$N551,$P551,$Q551-$C$3,$R551,3)*$H551)/10000)/100</f>
        <v>-0.63371340182371938</v>
      </c>
      <c r="AC551" s="456">
        <f>((_xll.xSPRDOPT($L551+$AB$5,$J551,$I551,$M551,$O551,$N551,$P551,$Q551-$C$3,$R551,7)*$H551)/100)</f>
        <v>13018.903858513697</v>
      </c>
      <c r="AD551" s="456">
        <f>(_xll.xSPRDOPT($L551+$AB$5,$J551,$I551,$M551,$O551,$N551,$P551,$Q551-$C$3,$R551,9)/365)*$H551</f>
        <v>86.60298792267541</v>
      </c>
      <c r="AE551">
        <f t="shared" si="613"/>
        <v>0</v>
      </c>
      <c r="AF551" s="456">
        <f t="shared" ref="AF551:AF579" si="664">((O551/N551)*AH551)+AG551</f>
        <v>-270.03820803293252</v>
      </c>
      <c r="AG551" s="456">
        <f>((_xll.xSPRDOPT($L551,$J551,$I551,$M551,$O551,$N551,$P551,$Q551-$C$3,$R551,6)*$H551)/100)</f>
        <v>-1173.5095104659042</v>
      </c>
      <c r="AH551" s="456">
        <f>((_xll.xSPRDOPT($L551,$J551,$I551,$M551,$O551,$N551,$P551,$Q551-$C$3,$R551,5)*$H551)/100)</f>
        <v>903.4713024329717</v>
      </c>
      <c r="AI551" s="456">
        <f>(((_xll.xSPRDOPT($L551,$J551,$I551,$M551,$O551,$N551,$P551,$Q551-$C$3,$R551,4)*$H551)/10000)/100)-AB551</f>
        <v>-2.0021590270975165E-2</v>
      </c>
      <c r="AJ551" s="456"/>
      <c r="AK551" s="456"/>
      <c r="AL551" s="456"/>
      <c r="AM551" s="472"/>
      <c r="CC551" s="141">
        <f t="shared" si="659"/>
        <v>36861</v>
      </c>
      <c r="CD551" s="234">
        <f>_xll.xSPRDOPT((VLOOKUP(G551,NGPrices,2,FALSE)+HLOOKUP(D551,Prices,VLOOKUP(G551,move_down,2,FALSE),FALSE)),VLOOKUP(G551,NGPrices,2,FALSE),I551,VLOOKUP(G551,NGPREVPRICES,4,FALSE),HLOOKUP(D551,PREVVOLS,VLOOKUP(G551,MOVE_DOWN2,2,FALSE),FALSE),VLOOKUP(G551,NGPREVPRICES,3,FALSE),HLOOKUP(D551,Correllate,VLOOKUP(G551,CorMove,2,FALSE),FALSE),Q551-$CD$3,R551,$CD$5)*H551-CJ551</f>
        <v>0</v>
      </c>
      <c r="CE551" s="234">
        <f>_xll.xSPRDOPT((VLOOKUP(G551,NGPREVPRICES,2,FALSE)+HLOOKUP(D551,PREVCURVES,VLOOKUP(G551,MOVE_DOWN2,2,FALSE),FALSE)),VLOOKUP(G551,NGPREVPRICES,2,FALSE),CK551,VLOOKUP(G551,NGPrices,4,FALSE),HLOOKUP(D551,PREVVOLS,VLOOKUP(G551,MOVE_DOWN2,2,FALSE),FALSE),VLOOKUP(G551,NGPREVPRICES,3,FALSE),HLOOKUP(D551,Correllate,VLOOKUP(G551,CorMove,2,FALSE),FALSE),Q551-$CD$3,R551,$CJ$5)*H551-CJ551</f>
        <v>0</v>
      </c>
      <c r="CF551" s="10">
        <f t="shared" si="660"/>
        <v>1.530875089832989</v>
      </c>
      <c r="CG551" s="234">
        <f>_xll.xSPRDOPT((VLOOKUP(G551,NGPREVPRICES,2,FALSE)+HLOOKUP(D551,PREVCURVES,VLOOKUP(G551,MOVE_DOWN2,2,FALSE),FALSE)),VLOOKUP(G551,NGPREVPRICES,2,FALSE),CK551,VLOOKUP(G551,NGPREVPRICES,4,FALSE),HLOOKUP(D551,VOLS,VLOOKUP(G551,move_down,2,FALSE),FALSE),VLOOKUP(G551,NGPrices,3,FALSE),HLOOKUP(D551,Correllate,VLOOKUP(G551,CorMove,2,FALSE),FALSE),Q551-$CD$3,R551,$CJ$5)*H551-CJ551</f>
        <v>0</v>
      </c>
      <c r="CH551" s="234">
        <f>_xll.xSPRDOPT((VLOOKUP(G551,NGPREVPRICES,2,FALSE)+HLOOKUP(D551,PREVCURVES,VLOOKUP(G551,MOVE_DOWN2,2,FALSE),FALSE)),VLOOKUP(G551,NGPREVPRICES,2,FALSE),CK551,VLOOKUP(G551,NGPREVPRICES,4,FALSE),HLOOKUP(D551,PREVVOLS,VLOOKUP(G551,MOVE_DOWN2,2,FALSE),FALSE),VLOOKUP(G551,NGPREVPRICES,3,FALSE),HLOOKUP(D551,Correllate,VLOOKUP(G551,CorMove,2,FALSE),FALSE),Q551-$C$3,R551,$CJ$5)*H551-CJ551</f>
        <v>86.380707689738301</v>
      </c>
      <c r="CI551" s="234">
        <f t="shared" si="661"/>
        <v>87.91158277957129</v>
      </c>
      <c r="CJ551" s="234">
        <f>_xll.xSPRDOPT((VLOOKUP(G551,NGPREVPRICES,2,FALSE)+HLOOKUP(D551,PREVCURVES,VLOOKUP(G551,MOVE_DOWN2,2,FALSE),FALSE)),VLOOKUP(G551,NGPREVPRICES,2,FALSE),CK551,VLOOKUP(G551,NGPREVPRICES,4,FALSE),HLOOKUP(D551,PREVVOLS,VLOOKUP(G551,MOVE_DOWN2,2,FALSE),FALSE),VLOOKUP(G551,NGPREVPRICES,3,FALSE),HLOOKUP(D551,Correllate,VLOOKUP(G551,CorMove,2,FALSE),FALSE),Q551-$CD$3,R551,$CJ$5)*H551</f>
        <v>-8171.7303468647997</v>
      </c>
      <c r="CK551" s="235">
        <f t="shared" si="662"/>
        <v>-0.25</v>
      </c>
      <c r="CM551" t="str">
        <f t="shared" si="663"/>
        <v>36861Curve Shift/Gamma</v>
      </c>
      <c r="CN551" t="str">
        <f t="shared" si="572"/>
        <v>36861Rho</v>
      </c>
      <c r="CO551" t="str">
        <f t="shared" si="573"/>
        <v>36861Drift</v>
      </c>
      <c r="CP551" t="str">
        <f t="shared" si="574"/>
        <v>36861Vega</v>
      </c>
      <c r="CQ551" t="str">
        <f t="shared" si="575"/>
        <v>36861Theta</v>
      </c>
    </row>
    <row r="552" spans="1:95" x14ac:dyDescent="0.25">
      <c r="A552" s="140" t="s">
        <v>268</v>
      </c>
      <c r="B552" t="s">
        <v>250</v>
      </c>
      <c r="C552" t="s">
        <v>530</v>
      </c>
      <c r="D552" s="4" t="s">
        <v>6</v>
      </c>
      <c r="E552" t="s">
        <v>20</v>
      </c>
      <c r="F552" t="s">
        <v>1</v>
      </c>
      <c r="G552" s="5">
        <v>36831</v>
      </c>
      <c r="H552" s="130">
        <v>-300000</v>
      </c>
      <c r="I552">
        <v>-0.25</v>
      </c>
      <c r="J552" s="53">
        <f t="shared" si="646"/>
        <v>4.7359999999999998</v>
      </c>
      <c r="K552" s="7">
        <f t="shared" si="647"/>
        <v>-0.14249999999999999</v>
      </c>
      <c r="L552" s="53">
        <f t="shared" si="648"/>
        <v>4.5934999999999997</v>
      </c>
      <c r="M552" s="157">
        <f t="shared" si="649"/>
        <v>6.810675983792E-2</v>
      </c>
      <c r="N552" s="4">
        <f t="shared" si="650"/>
        <v>0.59499999999999997</v>
      </c>
      <c r="O552" s="4">
        <f t="shared" si="651"/>
        <v>0.59499999999999997</v>
      </c>
      <c r="P552" s="9">
        <f t="shared" si="652"/>
        <v>0.995</v>
      </c>
      <c r="Q552" s="5">
        <f t="shared" si="612"/>
        <v>36829</v>
      </c>
      <c r="R552" s="4">
        <f t="shared" si="653"/>
        <v>0</v>
      </c>
      <c r="S552" s="158">
        <f>_xll.xSPRDOPT($L552,$J552,$I552,$M552,$O552,$N552,$P552,$Q552-$C$3,$R552,0)</f>
        <v>1.4346278258915466E-2</v>
      </c>
      <c r="T552" s="159">
        <f>_xll.xSPRDOPT($L552,$J552,$I552,$M552,$O552,$N552,$P552,$Q552-$C$3,$R552,1)*H552</f>
        <v>59777.575928244667</v>
      </c>
      <c r="U552" s="160">
        <f t="shared" si="654"/>
        <v>-4303.8834776746398</v>
      </c>
      <c r="V552" s="159">
        <f>_xll.xSPRDOPT($L552,$J552,$I552,$M552,$O552,$N552,$P552,$Q552-$C$3,$R552,2)*H552</f>
        <v>-61633.144312179182</v>
      </c>
      <c r="W552" s="159">
        <f t="shared" si="655"/>
        <v>-1855.5683839345147</v>
      </c>
      <c r="X552" s="51" t="str">
        <f t="shared" si="656"/>
        <v>36831IF-PAN/TX/OK</v>
      </c>
      <c r="Y552" s="418">
        <f t="shared" si="657"/>
        <v>-30</v>
      </c>
      <c r="Z552" s="456">
        <f t="shared" si="658"/>
        <v>-0.19925858642748223</v>
      </c>
      <c r="AA552" s="456">
        <f>_xll.xSPRDOPT($L552,$J552,$I552,$M552,$O552,$N552,$P552,$Q552-$C$3,$R552,3)</f>
        <v>2.1671411482977554</v>
      </c>
      <c r="AB552" s="456">
        <f>((_xll.xSPRDOPT($L552+AB$5,$J552,$I552,$M552,$O552,$N552,$P552,$Q552-$C$3,$R552,3)*$H552)/10000)/100</f>
        <v>-0.65014234448932651</v>
      </c>
      <c r="AC552" s="456">
        <f>((_xll.xSPRDOPT($L552+$AB$5,$J552,$I552,$M552,$O552,$N552,$P552,$Q552-$C$3,$R552,7)*$H552)/100)</f>
        <v>8651.528412572161</v>
      </c>
      <c r="AD552" s="456">
        <f>(_xll.xSPRDOPT($L552+$AB$5,$J552,$I552,$M552,$O552,$N552,$P552,$Q552-$C$3,$R552,9)/365)*$H552</f>
        <v>86.050912099855509</v>
      </c>
      <c r="AE552">
        <f t="shared" si="613"/>
        <v>0</v>
      </c>
      <c r="AF552" s="456">
        <f t="shared" si="664"/>
        <v>-180.88273281944544</v>
      </c>
      <c r="AG552" s="456">
        <f>((_xll.xSPRDOPT($L552,$J552,$I552,$M552,$O552,$N552,$P552,$Q552-$C$3,$R552,6)*$H552)/100)</f>
        <v>-793.31382695441948</v>
      </c>
      <c r="AH552" s="456">
        <f>((_xll.xSPRDOPT($L552,$J552,$I552,$M552,$O552,$N552,$P552,$Q552-$C$3,$R552,5)*$H552)/100)</f>
        <v>612.43109413497405</v>
      </c>
      <c r="AI552" s="456">
        <f>(((_xll.xSPRDOPT($L552,$J552,$I552,$M552,$O552,$N552,$P552,$Q552-$C$3,$R552,4)*$H552)/10000)/100)-AB552</f>
        <v>-2.3517969991448839E-2</v>
      </c>
      <c r="AJ552" s="456"/>
      <c r="AK552" s="456"/>
      <c r="AL552" s="456"/>
      <c r="AM552" s="472"/>
      <c r="CC552" s="141">
        <f t="shared" si="659"/>
        <v>36831</v>
      </c>
      <c r="CD552" s="234">
        <f>_xll.xSPRDOPT((VLOOKUP(G552,NGPrices,2,FALSE)+HLOOKUP(D552,Prices,VLOOKUP(G552,move_down,2,FALSE),FALSE)),VLOOKUP(G552,NGPrices,2,FALSE),I552,VLOOKUP(G552,NGPREVPRICES,4,FALSE),HLOOKUP(D552,PREVVOLS,VLOOKUP(G552,MOVE_DOWN2,2,FALSE),FALSE),VLOOKUP(G552,NGPREVPRICES,3,FALSE),HLOOKUP(D552,Correllate,VLOOKUP(G552,CorMove,2,FALSE),FALSE),Q552-$CD$3,R552,$CD$5)*H552-CJ552</f>
        <v>0</v>
      </c>
      <c r="CE552" s="234">
        <f>_xll.xSPRDOPT((VLOOKUP(G552,NGPREVPRICES,2,FALSE)+HLOOKUP(D552,PREVCURVES,VLOOKUP(G552,MOVE_DOWN2,2,FALSE),FALSE)),VLOOKUP(G552,NGPREVPRICES,2,FALSE),CK552,VLOOKUP(G552,NGPrices,4,FALSE),HLOOKUP(D552,PREVVOLS,VLOOKUP(G552,MOVE_DOWN2,2,FALSE),FALSE),VLOOKUP(G552,NGPREVPRICES,3,FALSE),HLOOKUP(D552,Correllate,VLOOKUP(G552,CorMove,2,FALSE),FALSE),Q552-$CD$3,R552,$CJ$5)*H552-CJ552</f>
        <v>0</v>
      </c>
      <c r="CF552" s="10">
        <f t="shared" si="660"/>
        <v>0.81522455120011728</v>
      </c>
      <c r="CG552" s="234">
        <f>_xll.xSPRDOPT((VLOOKUP(G552,NGPREVPRICES,2,FALSE)+HLOOKUP(D552,PREVCURVES,VLOOKUP(G552,MOVE_DOWN2,2,FALSE),FALSE)),VLOOKUP(G552,NGPREVPRICES,2,FALSE),CK552,VLOOKUP(G552,NGPREVPRICES,4,FALSE),HLOOKUP(D552,VOLS,VLOOKUP(G552,move_down,2,FALSE),FALSE),VLOOKUP(G552,NGPrices,3,FALSE),HLOOKUP(D552,Correllate,VLOOKUP(G552,CorMove,2,FALSE),FALSE),Q552-$CD$3,R552,$CJ$5)*H552-CJ552</f>
        <v>0</v>
      </c>
      <c r="CH552" s="234">
        <f>_xll.xSPRDOPT((VLOOKUP(G552,NGPREVPRICES,2,FALSE)+HLOOKUP(D552,PREVCURVES,VLOOKUP(G552,MOVE_DOWN2,2,FALSE),FALSE)),VLOOKUP(G552,NGPREVPRICES,2,FALSE),CK552,VLOOKUP(G552,NGPREVPRICES,4,FALSE),HLOOKUP(D552,PREVVOLS,VLOOKUP(G552,MOVE_DOWN2,2,FALSE),FALSE),VLOOKUP(G552,NGPREVPRICES,3,FALSE),HLOOKUP(D552,Correllate,VLOOKUP(G552,CorMove,2,FALSE),FALSE),Q552-$C$3,R552,$CJ$5)*H552-CJ552</f>
        <v>85.873225452470251</v>
      </c>
      <c r="CI552" s="234">
        <f t="shared" si="661"/>
        <v>86.688450003670368</v>
      </c>
      <c r="CJ552" s="234">
        <f>_xll.xSPRDOPT((VLOOKUP(G552,NGPREVPRICES,2,FALSE)+HLOOKUP(D552,PREVCURVES,VLOOKUP(G552,MOVE_DOWN2,2,FALSE),FALSE)),VLOOKUP(G552,NGPREVPRICES,2,FALSE),CK552,VLOOKUP(G552,NGPREVPRICES,4,FALSE),HLOOKUP(D552,PREVVOLS,VLOOKUP(G552,MOVE_DOWN2,2,FALSE),FALSE),VLOOKUP(G552,NGPREVPRICES,3,FALSE),HLOOKUP(D552,Correllate,VLOOKUP(G552,CorMove,2,FALSE),FALSE),Q552-$CD$3,R552,$CJ$5)*H552</f>
        <v>-4389.7567031271101</v>
      </c>
      <c r="CK552" s="235">
        <f t="shared" si="662"/>
        <v>-0.25</v>
      </c>
      <c r="CM552" t="str">
        <f t="shared" si="663"/>
        <v>36831Curve Shift/Gamma</v>
      </c>
      <c r="CN552" t="str">
        <f t="shared" si="572"/>
        <v>36831Rho</v>
      </c>
      <c r="CO552" t="str">
        <f t="shared" si="573"/>
        <v>36831Drift</v>
      </c>
      <c r="CP552" t="str">
        <f t="shared" si="574"/>
        <v>36831Vega</v>
      </c>
      <c r="CQ552" t="str">
        <f t="shared" si="575"/>
        <v>36831Theta</v>
      </c>
    </row>
    <row r="553" spans="1:95" x14ac:dyDescent="0.25">
      <c r="A553" s="140" t="s">
        <v>284</v>
      </c>
      <c r="B553" t="s">
        <v>250</v>
      </c>
      <c r="C553" t="s">
        <v>531</v>
      </c>
      <c r="D553" s="4" t="s">
        <v>74</v>
      </c>
      <c r="E553" t="s">
        <v>20</v>
      </c>
      <c r="F553" t="s">
        <v>21</v>
      </c>
      <c r="G553" s="5">
        <v>37681</v>
      </c>
      <c r="H553" s="130">
        <v>310000</v>
      </c>
      <c r="I553">
        <v>0.2</v>
      </c>
      <c r="J553" s="53">
        <f t="shared" si="646"/>
        <v>3.1850000000000001</v>
      </c>
      <c r="K553" s="7">
        <f t="shared" si="647"/>
        <v>0.12</v>
      </c>
      <c r="L553" s="53">
        <f t="shared" si="648"/>
        <v>3.3050000000000002</v>
      </c>
      <c r="M553" s="157">
        <f t="shared" si="649"/>
        <v>6.9518538831174995E-2</v>
      </c>
      <c r="N553" s="4">
        <f t="shared" si="650"/>
        <v>0.27250000000000002</v>
      </c>
      <c r="O553" s="4">
        <f t="shared" si="651"/>
        <v>0.27300000000000002</v>
      </c>
      <c r="P553" s="9">
        <f t="shared" si="652"/>
        <v>0.98410764751845092</v>
      </c>
      <c r="Q553" s="5">
        <f t="shared" si="612"/>
        <v>37679</v>
      </c>
      <c r="R553" s="4">
        <f t="shared" si="653"/>
        <v>1</v>
      </c>
      <c r="S553" s="158">
        <f>_xll.xSPRDOPT($L553,$J553,$I553,$M553,$O553,$N553,$P553,$Q553-$C$3,$R553,0)</f>
        <v>5.9190939190515907E-2</v>
      </c>
      <c r="T553" s="159">
        <f>_xll.xSPRDOPT($L553,$J553,$I553,$M553,$O553,$N553,$P553,$Q553-$C$3,$R553,1)*H553</f>
        <v>103744.61900530667</v>
      </c>
      <c r="U553" s="160">
        <f t="shared" si="654"/>
        <v>18349.19114905993</v>
      </c>
      <c r="V553" s="159">
        <f>_xll.xSPRDOPT($L553,$J553,$I553,$M553,$O553,$N553,$P553,$Q553-$C$3,$R553,2)*H553</f>
        <v>-96483.947048440954</v>
      </c>
      <c r="W553" s="159">
        <f t="shared" si="655"/>
        <v>7260.6719568657136</v>
      </c>
      <c r="X553" s="51" t="str">
        <f t="shared" si="656"/>
        <v>37681NGI/CHI. GATE</v>
      </c>
      <c r="Y553" s="418">
        <f t="shared" si="657"/>
        <v>31</v>
      </c>
      <c r="Z553" s="456">
        <f t="shared" si="658"/>
        <v>0.33466006130744086</v>
      </c>
      <c r="AA553" s="456">
        <f>_xll.xSPRDOPT($L553,$J553,$I553,$M553,$O553,$N553,$P553,$Q553-$C$3,$R553,3)</f>
        <v>1.2428939287699847</v>
      </c>
      <c r="AB553" s="456">
        <f>((_xll.xSPRDOPT($L553+AB$5,$J553,$I553,$M553,$O553,$N553,$P553,$Q553-$C$3,$R553,3)*$H553)/10000)/100</f>
        <v>0.38529711791869525</v>
      </c>
      <c r="AC553" s="456">
        <f>((_xll.xSPRDOPT($L553+$AB$5,$J553,$I553,$M553,$O553,$N553,$P553,$Q553-$C$3,$R553,7)*$H553)/100)</f>
        <v>-7378.6150316032863</v>
      </c>
      <c r="AD553" s="456">
        <f>(_xll.xSPRDOPT($L553+$AB$5,$J553,$I553,$M553,$O553,$N553,$P553,$Q553-$C$3,$R553,9)/365)*$H553</f>
        <v>-11.014232131412117</v>
      </c>
      <c r="AE553">
        <f t="shared" si="613"/>
        <v>0</v>
      </c>
      <c r="AF553" s="456">
        <f t="shared" si="664"/>
        <v>970.50978562147407</v>
      </c>
      <c r="AG553" s="456">
        <f>((_xll.xSPRDOPT($L553,$J553,$I553,$M553,$O553,$N553,$P553,$Q553-$C$3,$R553,6)*$H553)/100)</f>
        <v>-1123.3334441971494</v>
      </c>
      <c r="AH553" s="456">
        <f>((_xll.xSPRDOPT($L553,$J553,$I553,$M553,$O553,$N553,$P553,$Q553-$C$3,$R553,5)*$H553)/100)</f>
        <v>2090.0083521083329</v>
      </c>
      <c r="AI553" s="456">
        <f>(((_xll.xSPRDOPT($L553,$J553,$I553,$M553,$O553,$N553,$P553,$Q553-$C$3,$R553,4)*$H553)/10000)/100)-AB553</f>
        <v>-1.5505134910593799E-2</v>
      </c>
      <c r="AJ553" s="456"/>
      <c r="AK553" s="456"/>
      <c r="AL553" s="456"/>
      <c r="AM553" s="472"/>
      <c r="CC553" s="141">
        <f t="shared" si="659"/>
        <v>37681</v>
      </c>
      <c r="CD553" s="234">
        <f>_xll.xSPRDOPT((VLOOKUP(G553,NGPrices,2,FALSE)+HLOOKUP(D553,Prices,VLOOKUP(G553,move_down,2,FALSE),FALSE)),VLOOKUP(G553,NGPrices,2,FALSE),I553,VLOOKUP(G553,NGPREVPRICES,4,FALSE),HLOOKUP(D553,PREVVOLS,VLOOKUP(G553,MOVE_DOWN2,2,FALSE),FALSE),VLOOKUP(G553,NGPREVPRICES,3,FALSE),HLOOKUP(D553,Correllate,VLOOKUP(G553,CorMove,2,FALSE),FALSE),Q553-$CD$3,R553,$CD$5)*H553-CJ553</f>
        <v>0</v>
      </c>
      <c r="CE553" s="234">
        <f>_xll.xSPRDOPT((VLOOKUP(G553,NGPREVPRICES,2,FALSE)+HLOOKUP(D553,PREVCURVES,VLOOKUP(G553,MOVE_DOWN2,2,FALSE),FALSE)),VLOOKUP(G553,NGPREVPRICES,2,FALSE),CK553,VLOOKUP(G553,NGPrices,4,FALSE),HLOOKUP(D553,PREVVOLS,VLOOKUP(G553,MOVE_DOWN2,2,FALSE),FALSE),VLOOKUP(G553,NGPREVPRICES,3,FALSE),HLOOKUP(D553,Correllate,VLOOKUP(G553,CorMove,2,FALSE),FALSE),Q553-$CD$3,R553,$CJ$5)*H553-CJ553</f>
        <v>0</v>
      </c>
      <c r="CF553" s="10">
        <f t="shared" si="660"/>
        <v>-4.0572573039135023</v>
      </c>
      <c r="CG553" s="234">
        <f>_xll.xSPRDOPT((VLOOKUP(G553,NGPREVPRICES,2,FALSE)+HLOOKUP(D553,PREVCURVES,VLOOKUP(G553,MOVE_DOWN2,2,FALSE),FALSE)),VLOOKUP(G553,NGPREVPRICES,2,FALSE),CK553,VLOOKUP(G553,NGPREVPRICES,4,FALSE),HLOOKUP(D553,VOLS,VLOOKUP(G553,move_down,2,FALSE),FALSE),VLOOKUP(G553,NGPrices,3,FALSE),HLOOKUP(D553,Correllate,VLOOKUP(G553,CorMove,2,FALSE),FALSE),Q553-$CD$3,R553,$CJ$5)*H553-CJ553</f>
        <v>0</v>
      </c>
      <c r="CH553" s="234">
        <f>_xll.xSPRDOPT((VLOOKUP(G553,NGPREVPRICES,2,FALSE)+HLOOKUP(D553,PREVCURVES,VLOOKUP(G553,MOVE_DOWN2,2,FALSE),FALSE)),VLOOKUP(G553,NGPREVPRICES,2,FALSE),CK553,VLOOKUP(G553,NGPREVPRICES,4,FALSE),HLOOKUP(D553,PREVVOLS,VLOOKUP(G553,MOVE_DOWN2,2,FALSE),FALSE),VLOOKUP(G553,NGPREVPRICES,3,FALSE),HLOOKUP(D553,Correllate,VLOOKUP(G553,CorMove,2,FALSE),FALSE),Q553-$C$3,R553,$CJ$5)*H553-CJ553</f>
        <v>-11.000722908021999</v>
      </c>
      <c r="CI553" s="234">
        <f t="shared" si="661"/>
        <v>-15.057980211935501</v>
      </c>
      <c r="CJ553" s="234">
        <f>_xll.xSPRDOPT((VLOOKUP(G553,NGPREVPRICES,2,FALSE)+HLOOKUP(D553,PREVCURVES,VLOOKUP(G553,MOVE_DOWN2,2,FALSE),FALSE)),VLOOKUP(G553,NGPREVPRICES,2,FALSE),CK553,VLOOKUP(G553,NGPREVPRICES,4,FALSE),HLOOKUP(D553,PREVVOLS,VLOOKUP(G553,MOVE_DOWN2,2,FALSE),FALSE),VLOOKUP(G553,NGPREVPRICES,3,FALSE),HLOOKUP(D553,Correllate,VLOOKUP(G553,CorMove,2,FALSE),FALSE),Q553-$CD$3,R553,$CJ$5)*H553</f>
        <v>18360.191871967952</v>
      </c>
      <c r="CK553" s="235">
        <f t="shared" si="662"/>
        <v>0.2</v>
      </c>
      <c r="CM553" t="str">
        <f t="shared" si="663"/>
        <v>37681Curve Shift/Gamma</v>
      </c>
      <c r="CN553" t="str">
        <f t="shared" si="572"/>
        <v>37681Rho</v>
      </c>
      <c r="CO553" t="str">
        <f t="shared" si="573"/>
        <v>37681Drift</v>
      </c>
      <c r="CP553" t="str">
        <f t="shared" si="574"/>
        <v>37681Vega</v>
      </c>
      <c r="CQ553" t="str">
        <f t="shared" si="575"/>
        <v>37681Theta</v>
      </c>
    </row>
    <row r="554" spans="1:95" x14ac:dyDescent="0.25">
      <c r="A554" s="140" t="s">
        <v>284</v>
      </c>
      <c r="B554" t="s">
        <v>250</v>
      </c>
      <c r="C554" t="s">
        <v>531</v>
      </c>
      <c r="D554" s="4" t="s">
        <v>74</v>
      </c>
      <c r="E554" t="s">
        <v>20</v>
      </c>
      <c r="F554" t="s">
        <v>21</v>
      </c>
      <c r="G554" s="5">
        <v>37653</v>
      </c>
      <c r="H554" s="130">
        <v>280000</v>
      </c>
      <c r="I554">
        <v>0.2</v>
      </c>
      <c r="J554" s="53">
        <f t="shared" si="646"/>
        <v>3.355</v>
      </c>
      <c r="K554" s="7">
        <f t="shared" si="647"/>
        <v>0.1225</v>
      </c>
      <c r="L554" s="53">
        <f t="shared" si="648"/>
        <v>3.4775</v>
      </c>
      <c r="M554" s="157">
        <f t="shared" si="649"/>
        <v>6.9510653098179997E-2</v>
      </c>
      <c r="N554" s="4">
        <f t="shared" si="650"/>
        <v>0.28249999999999997</v>
      </c>
      <c r="O554" s="4">
        <f t="shared" si="651"/>
        <v>0.28299999999999997</v>
      </c>
      <c r="P554" s="9">
        <f t="shared" si="652"/>
        <v>0.98410764751845092</v>
      </c>
      <c r="Q554" s="5">
        <f t="shared" si="612"/>
        <v>37651</v>
      </c>
      <c r="R554" s="4">
        <f t="shared" si="653"/>
        <v>1</v>
      </c>
      <c r="S554" s="158">
        <f>_xll.xSPRDOPT($L554,$J554,$I554,$M554,$O554,$N554,$P554,$Q554-$C$3,$R554,0)</f>
        <v>6.623990013160308E-2</v>
      </c>
      <c r="T554" s="159">
        <f>_xll.xSPRDOPT($L554,$J554,$I554,$M554,$O554,$N554,$P554,$Q554-$C$3,$R554,1)*H554</f>
        <v>96823.92211150442</v>
      </c>
      <c r="U554" s="160">
        <f t="shared" si="654"/>
        <v>18547.172036848864</v>
      </c>
      <c r="V554" s="159">
        <f>_xll.xSPRDOPT($L554,$J554,$I554,$M554,$O554,$N554,$P554,$Q554-$C$3,$R554,2)*H554</f>
        <v>-90014.220304456903</v>
      </c>
      <c r="W554" s="159">
        <f t="shared" si="655"/>
        <v>6809.7018070475169</v>
      </c>
      <c r="X554" s="51" t="str">
        <f t="shared" si="656"/>
        <v>37653NGI/CHI. GATE</v>
      </c>
      <c r="Y554" s="418">
        <f t="shared" si="657"/>
        <v>28</v>
      </c>
      <c r="Z554" s="456">
        <f t="shared" si="658"/>
        <v>0.34579972182680152</v>
      </c>
      <c r="AA554" s="456">
        <f>_xll.xSPRDOPT($L554,$J554,$I554,$M554,$O554,$N554,$P554,$Q554-$C$3,$R554,3)</f>
        <v>1.1754355575680042</v>
      </c>
      <c r="AB554" s="456">
        <f>((_xll.xSPRDOPT($L554+AB$5,$J554,$I554,$M554,$O554,$N554,$P554,$Q554-$C$3,$R554,3)*$H554)/10000)/100</f>
        <v>0.32912195611904116</v>
      </c>
      <c r="AC554" s="456">
        <f>((_xll.xSPRDOPT($L554+$AB$5,$J554,$I554,$M554,$O554,$N554,$P554,$Q554-$C$3,$R554,7)*$H554)/100)</f>
        <v>-7287.7076250373948</v>
      </c>
      <c r="AD554" s="456">
        <f>(_xll.xSPRDOPT($L554+$AB$5,$J554,$I554,$M554,$O554,$N554,$P554,$Q554-$C$3,$R554,9)/365)*$H554</f>
        <v>-11.117192144641256</v>
      </c>
      <c r="AE554">
        <f t="shared" si="613"/>
        <v>0</v>
      </c>
      <c r="AF554" s="456">
        <f t="shared" si="664"/>
        <v>916.18632253928979</v>
      </c>
      <c r="AG554" s="456">
        <f>((_xll.xSPRDOPT($L554,$J554,$I554,$M554,$O554,$N554,$P554,$Q554-$C$3,$R554,6)*$H554)/100)</f>
        <v>-1005.7030177338787</v>
      </c>
      <c r="AH554" s="456">
        <f>((_xll.xSPRDOPT($L554,$J554,$I554,$M554,$O554,$N554,$P554,$Q554-$C$3,$R554,5)*$H554)/100)</f>
        <v>1918.493776067739</v>
      </c>
      <c r="AI554" s="456">
        <f>(((_xll.xSPRDOPT($L554,$J554,$I554,$M554,$O554,$N554,$P554,$Q554-$C$3,$R554,4)*$H554)/10000)/100)-AB554</f>
        <v>-1.2313341853266269E-2</v>
      </c>
      <c r="AJ554" s="456"/>
      <c r="AK554" s="456"/>
      <c r="AL554" s="456"/>
      <c r="AM554" s="472"/>
      <c r="CC554" s="141">
        <f t="shared" si="659"/>
        <v>37653</v>
      </c>
      <c r="CD554" s="234">
        <f>_xll.xSPRDOPT((VLOOKUP(G554,NGPrices,2,FALSE)+HLOOKUP(D554,Prices,VLOOKUP(G554,move_down,2,FALSE),FALSE)),VLOOKUP(G554,NGPrices,2,FALSE),I554,VLOOKUP(G554,NGPREVPRICES,4,FALSE),HLOOKUP(D554,PREVVOLS,VLOOKUP(G554,MOVE_DOWN2,2,FALSE),FALSE),VLOOKUP(G554,NGPREVPRICES,3,FALSE),HLOOKUP(D554,Correllate,VLOOKUP(G554,CorMove,2,FALSE),FALSE),Q554-$CD$3,R554,$CD$5)*H554-CJ554</f>
        <v>0</v>
      </c>
      <c r="CE554" s="234">
        <f>_xll.xSPRDOPT((VLOOKUP(G554,NGPREVPRICES,2,FALSE)+HLOOKUP(D554,PREVCURVES,VLOOKUP(G554,MOVE_DOWN2,2,FALSE),FALSE)),VLOOKUP(G554,NGPREVPRICES,2,FALSE),CK554,VLOOKUP(G554,NGPrices,4,FALSE),HLOOKUP(D554,PREVVOLS,VLOOKUP(G554,MOVE_DOWN2,2,FALSE),FALSE),VLOOKUP(G554,NGPREVPRICES,3,FALSE),HLOOKUP(D554,Correllate,VLOOKUP(G554,CorMove,2,FALSE),FALSE),Q554-$CD$3,R554,$CJ$5)*H554-CJ554</f>
        <v>0</v>
      </c>
      <c r="CF554" s="10">
        <f t="shared" si="660"/>
        <v>-4.079333876426972</v>
      </c>
      <c r="CG554" s="234">
        <f>_xll.xSPRDOPT((VLOOKUP(G554,NGPREVPRICES,2,FALSE)+HLOOKUP(D554,PREVCURVES,VLOOKUP(G554,MOVE_DOWN2,2,FALSE),FALSE)),VLOOKUP(G554,NGPREVPRICES,2,FALSE),CK554,VLOOKUP(G554,NGPREVPRICES,4,FALSE),HLOOKUP(D554,VOLS,VLOOKUP(G554,move_down,2,FALSE),FALSE),VLOOKUP(G554,NGPrices,3,FALSE),HLOOKUP(D554,Correllate,VLOOKUP(G554,CorMove,2,FALSE),FALSE),Q554-$CD$3,R554,$CJ$5)*H554-CJ554</f>
        <v>0</v>
      </c>
      <c r="CH554" s="234">
        <f>_xll.xSPRDOPT((VLOOKUP(G554,NGPREVPRICES,2,FALSE)+HLOOKUP(D554,PREVCURVES,VLOOKUP(G554,MOVE_DOWN2,2,FALSE),FALSE)),VLOOKUP(G554,NGPREVPRICES,2,FALSE),CK554,VLOOKUP(G554,NGPREVPRICES,4,FALSE),HLOOKUP(D554,PREVVOLS,VLOOKUP(G554,MOVE_DOWN2,2,FALSE),FALSE),VLOOKUP(G554,NGPREVPRICES,3,FALSE),HLOOKUP(D554,Correllate,VLOOKUP(G554,CorMove,2,FALSE),FALSE),Q554-$C$3,R554,$CJ$5)*H554-CJ554</f>
        <v>-11.103373603797081</v>
      </c>
      <c r="CI554" s="234">
        <f t="shared" si="661"/>
        <v>-15.182707480224053</v>
      </c>
      <c r="CJ554" s="234">
        <f>_xll.xSPRDOPT((VLOOKUP(G554,NGPREVPRICES,2,FALSE)+HLOOKUP(D554,PREVCURVES,VLOOKUP(G554,MOVE_DOWN2,2,FALSE),FALSE)),VLOOKUP(G554,NGPREVPRICES,2,FALSE),CK554,VLOOKUP(G554,NGPREVPRICES,4,FALSE),HLOOKUP(D554,PREVVOLS,VLOOKUP(G554,MOVE_DOWN2,2,FALSE),FALSE),VLOOKUP(G554,NGPREVPRICES,3,FALSE),HLOOKUP(D554,Correllate,VLOOKUP(G554,CorMove,2,FALSE),FALSE),Q554-$CD$3,R554,$CJ$5)*H554</f>
        <v>18558.275410452661</v>
      </c>
      <c r="CK554" s="235">
        <f t="shared" si="662"/>
        <v>0.2</v>
      </c>
      <c r="CM554" t="str">
        <f t="shared" si="663"/>
        <v>37653Curve Shift/Gamma</v>
      </c>
      <c r="CN554" t="str">
        <f t="shared" si="572"/>
        <v>37653Rho</v>
      </c>
      <c r="CO554" t="str">
        <f t="shared" si="573"/>
        <v>37653Drift</v>
      </c>
      <c r="CP554" t="str">
        <f t="shared" si="574"/>
        <v>37653Vega</v>
      </c>
      <c r="CQ554" t="str">
        <f t="shared" si="575"/>
        <v>37653Theta</v>
      </c>
    </row>
    <row r="555" spans="1:95" x14ac:dyDescent="0.25">
      <c r="A555" s="140" t="s">
        <v>284</v>
      </c>
      <c r="B555" t="s">
        <v>250</v>
      </c>
      <c r="C555" t="s">
        <v>531</v>
      </c>
      <c r="D555" s="4" t="s">
        <v>74</v>
      </c>
      <c r="E555" t="s">
        <v>20</v>
      </c>
      <c r="F555" t="s">
        <v>21</v>
      </c>
      <c r="G555" s="5">
        <v>37622</v>
      </c>
      <c r="H555" s="130">
        <v>310000</v>
      </c>
      <c r="I555">
        <v>0.2</v>
      </c>
      <c r="J555" s="53">
        <f t="shared" si="646"/>
        <v>3.4969999999999999</v>
      </c>
      <c r="K555" s="7">
        <f t="shared" si="647"/>
        <v>0.14499999999999999</v>
      </c>
      <c r="L555" s="53">
        <f t="shared" si="648"/>
        <v>3.6419999999999999</v>
      </c>
      <c r="M555" s="157">
        <f t="shared" si="649"/>
        <v>6.9501922465244004E-2</v>
      </c>
      <c r="N555" s="4">
        <f t="shared" si="650"/>
        <v>0.28249999999999997</v>
      </c>
      <c r="O555" s="4">
        <f t="shared" si="651"/>
        <v>0.28299999999999997</v>
      </c>
      <c r="P555" s="9">
        <f t="shared" si="652"/>
        <v>0.98410764751845092</v>
      </c>
      <c r="Q555" s="5">
        <f t="shared" si="612"/>
        <v>37620</v>
      </c>
      <c r="R555" s="4">
        <f t="shared" si="653"/>
        <v>1</v>
      </c>
      <c r="S555" s="158">
        <f>_xll.xSPRDOPT($L555,$J555,$I555,$M555,$O555,$N555,$P555,$Q555-$C$3,$R555,0)</f>
        <v>7.6557319127780188E-2</v>
      </c>
      <c r="T555" s="159">
        <f>_xll.xSPRDOPT($L555,$J555,$I555,$M555,$O555,$N555,$P555,$Q555-$C$3,$R555,1)*H555</f>
        <v>116356.91557526392</v>
      </c>
      <c r="U555" s="160">
        <f t="shared" si="654"/>
        <v>23732.768929611859</v>
      </c>
      <c r="V555" s="159">
        <f>_xll.xSPRDOPT($L555,$J555,$I555,$M555,$O555,$N555,$P555,$Q555-$C$3,$R555,2)*H555</f>
        <v>-108746.38560672394</v>
      </c>
      <c r="W555" s="159">
        <f t="shared" si="655"/>
        <v>7610.5299685399805</v>
      </c>
      <c r="X555" s="51" t="str">
        <f t="shared" si="656"/>
        <v>37622NGI/CHI. GATE</v>
      </c>
      <c r="Y555" s="418">
        <f t="shared" si="657"/>
        <v>31</v>
      </c>
      <c r="Z555" s="456">
        <f t="shared" si="658"/>
        <v>0.37534488895246426</v>
      </c>
      <c r="AA555" s="456">
        <f>_xll.xSPRDOPT($L555,$J555,$I555,$M555,$O555,$N555,$P555,$Q555-$C$3,$R555,3)</f>
        <v>1.1696285315968853</v>
      </c>
      <c r="AB555" s="456">
        <f>((_xll.xSPRDOPT($L555+AB$5,$J555,$I555,$M555,$O555,$N555,$P555,$Q555-$C$3,$R555,3)*$H555)/10000)/100</f>
        <v>0.36258484479503444</v>
      </c>
      <c r="AC555" s="456">
        <f>((_xll.xSPRDOPT($L555+$AB$5,$J555,$I555,$M555,$O555,$N555,$P555,$Q555-$C$3,$R555,7)*$H555)/100)</f>
        <v>-8510.9602906733016</v>
      </c>
      <c r="AD555" s="456">
        <f>(_xll.xSPRDOPT($L555+$AB$5,$J555,$I555,$M555,$O555,$N555,$P555,$Q555-$C$3,$R555,9)/365)*$H555</f>
        <v>-13.104325442712645</v>
      </c>
      <c r="AE555">
        <f t="shared" si="613"/>
        <v>0</v>
      </c>
      <c r="AF555" s="456">
        <f t="shared" si="664"/>
        <v>1063.5393868370377</v>
      </c>
      <c r="AG555" s="456">
        <f>((_xll.xSPRDOPT($L555,$J555,$I555,$M555,$O555,$N555,$P555,$Q555-$C$3,$R555,6)*$H555)/100)</f>
        <v>-1130.1556135611588</v>
      </c>
      <c r="AH555" s="456">
        <f>((_xll.xSPRDOPT($L555,$J555,$I555,$M555,$O555,$N555,$P555,$Q555-$C$3,$R555,5)*$H555)/100)</f>
        <v>2189.8192141784116</v>
      </c>
      <c r="AI555" s="456">
        <f>(((_xll.xSPRDOPT($L555,$J555,$I555,$M555,$O555,$N555,$P555,$Q555-$C$3,$R555,4)*$H555)/10000)/100)-AB555</f>
        <v>-9.1136143876236475E-3</v>
      </c>
      <c r="AJ555" s="456"/>
      <c r="AK555" s="456"/>
      <c r="AL555" s="456"/>
      <c r="AM555" s="472"/>
      <c r="CC555" s="141">
        <f t="shared" si="659"/>
        <v>37622</v>
      </c>
      <c r="CD555" s="234">
        <f>_xll.xSPRDOPT((VLOOKUP(G555,NGPrices,2,FALSE)+HLOOKUP(D555,Prices,VLOOKUP(G555,move_down,2,FALSE),FALSE)),VLOOKUP(G555,NGPrices,2,FALSE),I555,VLOOKUP(G555,NGPREVPRICES,4,FALSE),HLOOKUP(D555,PREVVOLS,VLOOKUP(G555,MOVE_DOWN2,2,FALSE),FALSE),VLOOKUP(G555,NGPREVPRICES,3,FALSE),HLOOKUP(D555,Correllate,VLOOKUP(G555,CorMove,2,FALSE),FALSE),Q555-$CD$3,R555,$CD$5)*H555-CJ555</f>
        <v>0</v>
      </c>
      <c r="CE555" s="234">
        <f>_xll.xSPRDOPT((VLOOKUP(G555,NGPREVPRICES,2,FALSE)+HLOOKUP(D555,PREVCURVES,VLOOKUP(G555,MOVE_DOWN2,2,FALSE),FALSE)),VLOOKUP(G555,NGPREVPRICES,2,FALSE),CK555,VLOOKUP(G555,NGPrices,4,FALSE),HLOOKUP(D555,PREVVOLS,VLOOKUP(G555,MOVE_DOWN2,2,FALSE),FALSE),VLOOKUP(G555,NGPREVPRICES,3,FALSE),HLOOKUP(D555,Correllate,VLOOKUP(G555,CorMove,2,FALSE),FALSE),Q555-$CD$3,R555,$CJ$5)*H555-CJ555</f>
        <v>0</v>
      </c>
      <c r="CF555" s="10">
        <f t="shared" si="660"/>
        <v>-5.1890677474839322</v>
      </c>
      <c r="CG555" s="234">
        <f>_xll.xSPRDOPT((VLOOKUP(G555,NGPREVPRICES,2,FALSE)+HLOOKUP(D555,PREVCURVES,VLOOKUP(G555,MOVE_DOWN2,2,FALSE),FALSE)),VLOOKUP(G555,NGPREVPRICES,2,FALSE),CK555,VLOOKUP(G555,NGPREVPRICES,4,FALSE),HLOOKUP(D555,VOLS,VLOOKUP(G555,move_down,2,FALSE),FALSE),VLOOKUP(G555,NGPrices,3,FALSE),HLOOKUP(D555,Correllate,VLOOKUP(G555,CorMove,2,FALSE),FALSE),Q555-$CD$3,R555,$CJ$5)*H555-CJ555</f>
        <v>0</v>
      </c>
      <c r="CH555" s="234">
        <f>_xll.xSPRDOPT((VLOOKUP(G555,NGPREVPRICES,2,FALSE)+HLOOKUP(D555,PREVCURVES,VLOOKUP(G555,MOVE_DOWN2,2,FALSE),FALSE)),VLOOKUP(G555,NGPREVPRICES,2,FALSE),CK555,VLOOKUP(G555,NGPREVPRICES,4,FALSE),HLOOKUP(D555,PREVVOLS,VLOOKUP(G555,MOVE_DOWN2,2,FALSE),FALSE),VLOOKUP(G555,NGPREVPRICES,3,FALSE),HLOOKUP(D555,Correllate,VLOOKUP(G555,CorMove,2,FALSE),FALSE),Q555-$C$3,R555,$CJ$5)*H555-CJ555</f>
        <v>-13.08754195052461</v>
      </c>
      <c r="CI555" s="234">
        <f t="shared" si="661"/>
        <v>-18.276609698008542</v>
      </c>
      <c r="CJ555" s="234">
        <f>_xll.xSPRDOPT((VLOOKUP(G555,NGPREVPRICES,2,FALSE)+HLOOKUP(D555,PREVCURVES,VLOOKUP(G555,MOVE_DOWN2,2,FALSE),FALSE)),VLOOKUP(G555,NGPREVPRICES,2,FALSE),CK555,VLOOKUP(G555,NGPREVPRICES,4,FALSE),HLOOKUP(D555,PREVVOLS,VLOOKUP(G555,MOVE_DOWN2,2,FALSE),FALSE),VLOOKUP(G555,NGPREVPRICES,3,FALSE),HLOOKUP(D555,Correllate,VLOOKUP(G555,CorMove,2,FALSE),FALSE),Q555-$CD$3,R555,$CJ$5)*H555</f>
        <v>23745.856471562383</v>
      </c>
      <c r="CK555" s="235">
        <f t="shared" si="662"/>
        <v>0.2</v>
      </c>
      <c r="CM555" t="str">
        <f t="shared" si="663"/>
        <v>37622Curve Shift/Gamma</v>
      </c>
      <c r="CN555" t="str">
        <f t="shared" si="572"/>
        <v>37622Rho</v>
      </c>
      <c r="CO555" t="str">
        <f t="shared" si="573"/>
        <v>37622Drift</v>
      </c>
      <c r="CP555" t="str">
        <f t="shared" si="574"/>
        <v>37622Vega</v>
      </c>
      <c r="CQ555" t="str">
        <f t="shared" si="575"/>
        <v>37622Theta</v>
      </c>
    </row>
    <row r="556" spans="1:95" x14ac:dyDescent="0.25">
      <c r="A556" s="140" t="s">
        <v>284</v>
      </c>
      <c r="B556" t="s">
        <v>250</v>
      </c>
      <c r="C556" t="s">
        <v>531</v>
      </c>
      <c r="D556" s="4" t="s">
        <v>74</v>
      </c>
      <c r="E556" t="s">
        <v>20</v>
      </c>
      <c r="F556" t="s">
        <v>21</v>
      </c>
      <c r="G556" s="5">
        <v>37591</v>
      </c>
      <c r="H556" s="130">
        <v>310000</v>
      </c>
      <c r="I556">
        <v>0.2</v>
      </c>
      <c r="J556" s="53">
        <f t="shared" si="646"/>
        <v>3.504</v>
      </c>
      <c r="K556" s="7">
        <f t="shared" si="647"/>
        <v>0.13250000000000001</v>
      </c>
      <c r="L556" s="53">
        <f t="shared" si="648"/>
        <v>3.6364999999999998</v>
      </c>
      <c r="M556" s="157">
        <f t="shared" si="649"/>
        <v>6.9502480385870993E-2</v>
      </c>
      <c r="N556" s="4">
        <f t="shared" si="650"/>
        <v>0.29499999999999998</v>
      </c>
      <c r="O556" s="4">
        <f t="shared" si="651"/>
        <v>0.29499999999999998</v>
      </c>
      <c r="P556" s="9">
        <f t="shared" si="652"/>
        <v>0.98410764751845092</v>
      </c>
      <c r="Q556" s="5">
        <f t="shared" si="612"/>
        <v>37588</v>
      </c>
      <c r="R556" s="4">
        <f t="shared" si="653"/>
        <v>1</v>
      </c>
      <c r="S556" s="158">
        <f>_xll.xSPRDOPT($L556,$J556,$I556,$M556,$O556,$N556,$P556,$Q556-$C$3,$R556,0)</f>
        <v>7.4578171870838914E-2</v>
      </c>
      <c r="T556" s="159">
        <f>_xll.xSPRDOPT($L556,$J556,$I556,$M556,$O556,$N556,$P556,$Q556-$C$3,$R556,1)*H556</f>
        <v>113128.26036778318</v>
      </c>
      <c r="U556" s="160">
        <f t="shared" si="654"/>
        <v>23119.233279960063</v>
      </c>
      <c r="V556" s="159">
        <f>_xll.xSPRDOPT($L556,$J556,$I556,$M556,$O556,$N556,$P556,$Q556-$C$3,$R556,2)*H556</f>
        <v>-105352.10842145614</v>
      </c>
      <c r="W556" s="159">
        <f t="shared" si="655"/>
        <v>7776.1519463270379</v>
      </c>
      <c r="X556" s="51" t="str">
        <f t="shared" si="656"/>
        <v>37591NGI/CHI. GATE</v>
      </c>
      <c r="Y556" s="418">
        <f t="shared" si="657"/>
        <v>31</v>
      </c>
      <c r="Z556" s="456">
        <f t="shared" si="658"/>
        <v>0.3649298721541393</v>
      </c>
      <c r="AA556" s="456">
        <f>_xll.xSPRDOPT($L556,$J556,$I556,$M556,$O556,$N556,$P556,$Q556-$C$3,$R556,3)</f>
        <v>1.1475673448835839</v>
      </c>
      <c r="AB556" s="456">
        <f>((_xll.xSPRDOPT($L556+AB$5,$J556,$I556,$M556,$O556,$N556,$P556,$Q556-$C$3,$R556,3)*$H556)/10000)/100</f>
        <v>0.35574587691391102</v>
      </c>
      <c r="AC556" s="456">
        <f>((_xll.xSPRDOPT($L556+$AB$5,$J556,$I556,$M556,$O556,$N556,$P556,$Q556-$C$3,$R556,7)*$H556)/100)</f>
        <v>-8724.7036837469786</v>
      </c>
      <c r="AD556" s="456">
        <f>(_xll.xSPRDOPT($L556+$AB$5,$J556,$I556,$M556,$O556,$N556,$P556,$Q556-$C$3,$R556,9)/365)*$H556</f>
        <v>-14.259300709632472</v>
      </c>
      <c r="AE556">
        <f t="shared" si="613"/>
        <v>0</v>
      </c>
      <c r="AF556" s="456">
        <f t="shared" si="664"/>
        <v>1038.0132653473502</v>
      </c>
      <c r="AG556" s="456">
        <f>((_xll.xSPRDOPT($L556,$J556,$I556,$M556,$O556,$N556,$P556,$Q556-$C$3,$R556,6)*$H556)/100)</f>
        <v>-1051.5295703451179</v>
      </c>
      <c r="AH556" s="456">
        <f>((_xll.xSPRDOPT($L556,$J556,$I556,$M556,$O556,$N556,$P556,$Q556-$C$3,$R556,5)*$H556)/100)</f>
        <v>2089.5428356924681</v>
      </c>
      <c r="AI556" s="456">
        <f>(((_xll.xSPRDOPT($L556,$J556,$I556,$M556,$O556,$N556,$P556,$Q556-$C$3,$R556,4)*$H556)/10000)/100)-AB556</f>
        <v>-1.1167050688927871E-2</v>
      </c>
      <c r="AJ556" s="456"/>
      <c r="AK556" s="456"/>
      <c r="AL556" s="456"/>
      <c r="AM556" s="472"/>
      <c r="CC556" s="141">
        <f t="shared" si="659"/>
        <v>37591</v>
      </c>
      <c r="CD556" s="234">
        <f>_xll.xSPRDOPT((VLOOKUP(G556,NGPrices,2,FALSE)+HLOOKUP(D556,Prices,VLOOKUP(G556,move_down,2,FALSE),FALSE)),VLOOKUP(G556,NGPrices,2,FALSE),I556,VLOOKUP(G556,NGPREVPRICES,4,FALSE),HLOOKUP(D556,PREVVOLS,VLOOKUP(G556,MOVE_DOWN2,2,FALSE),FALSE),VLOOKUP(G556,NGPREVPRICES,3,FALSE),HLOOKUP(D556,Correllate,VLOOKUP(G556,CorMove,2,FALSE),FALSE),Q556-$CD$3,R556,$CD$5)*H556-CJ556</f>
        <v>0</v>
      </c>
      <c r="CE556" s="234">
        <f>_xll.xSPRDOPT((VLOOKUP(G556,NGPREVPRICES,2,FALSE)+HLOOKUP(D556,PREVCURVES,VLOOKUP(G556,MOVE_DOWN2,2,FALSE),FALSE)),VLOOKUP(G556,NGPREVPRICES,2,FALSE),CK556,VLOOKUP(G556,NGPrices,4,FALSE),HLOOKUP(D556,PREVVOLS,VLOOKUP(G556,MOVE_DOWN2,2,FALSE),FALSE),VLOOKUP(G556,NGPREVPRICES,3,FALSE),HLOOKUP(D556,Correllate,VLOOKUP(G556,CorMove,2,FALSE),FALSE),Q556-$CD$3,R556,$CJ$5)*H556-CJ556</f>
        <v>0</v>
      </c>
      <c r="CF556" s="10">
        <f t="shared" si="660"/>
        <v>-5.0265408318446134</v>
      </c>
      <c r="CG556" s="234">
        <f>_xll.xSPRDOPT((VLOOKUP(G556,NGPREVPRICES,2,FALSE)+HLOOKUP(D556,PREVCURVES,VLOOKUP(G556,MOVE_DOWN2,2,FALSE),FALSE)),VLOOKUP(G556,NGPREVPRICES,2,FALSE),CK556,VLOOKUP(G556,NGPREVPRICES,4,FALSE),HLOOKUP(D556,VOLS,VLOOKUP(G556,move_down,2,FALSE),FALSE),VLOOKUP(G556,NGPrices,3,FALSE),HLOOKUP(D556,Correllate,VLOOKUP(G556,CorMove,2,FALSE),FALSE),Q556-$CD$3,R556,$CJ$5)*H556-CJ556</f>
        <v>0</v>
      </c>
      <c r="CH556" s="234">
        <f>_xll.xSPRDOPT((VLOOKUP(G556,NGPREVPRICES,2,FALSE)+HLOOKUP(D556,PREVCURVES,VLOOKUP(G556,MOVE_DOWN2,2,FALSE),FALSE)),VLOOKUP(G556,NGPREVPRICES,2,FALSE),CK556,VLOOKUP(G556,NGPREVPRICES,4,FALSE),HLOOKUP(D556,PREVVOLS,VLOOKUP(G556,MOVE_DOWN2,2,FALSE),FALSE),VLOOKUP(G556,NGPREVPRICES,3,FALSE),HLOOKUP(D556,Correllate,VLOOKUP(G556,CorMove,2,FALSE),FALSE),Q556-$C$3,R556,$CJ$5)*H556-CJ556</f>
        <v>-14.241125353044481</v>
      </c>
      <c r="CI556" s="234">
        <f t="shared" si="661"/>
        <v>-19.267666184889094</v>
      </c>
      <c r="CJ556" s="234">
        <f>_xll.xSPRDOPT((VLOOKUP(G556,NGPREVPRICES,2,FALSE)+HLOOKUP(D556,PREVCURVES,VLOOKUP(G556,MOVE_DOWN2,2,FALSE),FALSE)),VLOOKUP(G556,NGPREVPRICES,2,FALSE),CK556,VLOOKUP(G556,NGPREVPRICES,4,FALSE),HLOOKUP(D556,PREVVOLS,VLOOKUP(G556,MOVE_DOWN2,2,FALSE),FALSE),VLOOKUP(G556,NGPREVPRICES,3,FALSE),HLOOKUP(D556,Correllate,VLOOKUP(G556,CorMove,2,FALSE),FALSE),Q556-$CD$3,R556,$CJ$5)*H556</f>
        <v>23133.474405313107</v>
      </c>
      <c r="CK556" s="235">
        <f t="shared" si="662"/>
        <v>0.2</v>
      </c>
      <c r="CM556" t="str">
        <f t="shared" si="663"/>
        <v>37591Curve Shift/Gamma</v>
      </c>
      <c r="CN556" t="str">
        <f t="shared" si="572"/>
        <v>37591Rho</v>
      </c>
      <c r="CO556" t="str">
        <f t="shared" si="573"/>
        <v>37591Drift</v>
      </c>
      <c r="CP556" t="str">
        <f t="shared" si="574"/>
        <v>37591Vega</v>
      </c>
      <c r="CQ556" t="str">
        <f t="shared" si="575"/>
        <v>37591Theta</v>
      </c>
    </row>
    <row r="557" spans="1:95" x14ac:dyDescent="0.25">
      <c r="A557" s="140" t="s">
        <v>284</v>
      </c>
      <c r="B557" t="s">
        <v>250</v>
      </c>
      <c r="C557" t="s">
        <v>531</v>
      </c>
      <c r="D557" s="4" t="s">
        <v>74</v>
      </c>
      <c r="E557" t="s">
        <v>20</v>
      </c>
      <c r="F557" t="s">
        <v>21</v>
      </c>
      <c r="G557" s="5">
        <v>37561</v>
      </c>
      <c r="H557" s="130">
        <v>300000</v>
      </c>
      <c r="I557">
        <v>0.2</v>
      </c>
      <c r="J557" s="53">
        <f t="shared" si="646"/>
        <v>3.4180000000000001</v>
      </c>
      <c r="K557" s="7">
        <f t="shared" si="647"/>
        <v>9.2499999999999999E-2</v>
      </c>
      <c r="L557" s="53">
        <f t="shared" si="648"/>
        <v>3.5105</v>
      </c>
      <c r="M557" s="157">
        <f t="shared" si="649"/>
        <v>6.9510422951367001E-2</v>
      </c>
      <c r="N557" s="4">
        <f t="shared" si="650"/>
        <v>0.29249999999999998</v>
      </c>
      <c r="O557" s="4">
        <f t="shared" si="651"/>
        <v>0.29299999999999998</v>
      </c>
      <c r="P557" s="9">
        <f t="shared" si="652"/>
        <v>0.98410764751845092</v>
      </c>
      <c r="Q557" s="5">
        <f t="shared" si="612"/>
        <v>37559</v>
      </c>
      <c r="R557" s="4">
        <f t="shared" si="653"/>
        <v>1</v>
      </c>
      <c r="S557" s="158">
        <f>_xll.xSPRDOPT($L557,$J557,$I557,$M557,$O557,$N557,$P557,$Q557-$C$3,$R557,0)</f>
        <v>5.7051505948580397E-2</v>
      </c>
      <c r="T557" s="159">
        <f>_xll.xSPRDOPT($L557,$J557,$I557,$M557,$O557,$N557,$P557,$Q557-$C$3,$R557,1)*H557</f>
        <v>94659.118724246582</v>
      </c>
      <c r="U557" s="160">
        <f t="shared" si="654"/>
        <v>17115.451784574117</v>
      </c>
      <c r="V557" s="159">
        <f>_xll.xSPRDOPT($L557,$J557,$I557,$M557,$O557,$N557,$P557,$Q557-$C$3,$R557,2)*H557</f>
        <v>-87618.928353993004</v>
      </c>
      <c r="W557" s="159">
        <f t="shared" si="655"/>
        <v>7040.1903702535783</v>
      </c>
      <c r="X557" s="51" t="str">
        <f t="shared" si="656"/>
        <v>37561NGI/CHI. GATE</v>
      </c>
      <c r="Y557" s="418">
        <f t="shared" si="657"/>
        <v>30</v>
      </c>
      <c r="Z557" s="456">
        <f t="shared" si="658"/>
        <v>0.31553039574748859</v>
      </c>
      <c r="AA557" s="456">
        <f>_xll.xSPRDOPT($L557,$J557,$I557,$M557,$O557,$N557,$P557,$Q557-$C$3,$R557,3)</f>
        <v>1.1738593646568372</v>
      </c>
      <c r="AB557" s="456">
        <f>((_xll.xSPRDOPT($L557+AB$5,$J557,$I557,$M557,$O557,$N557,$P557,$Q557-$C$3,$R557,3)*$H557)/10000)/100</f>
        <v>0.35215780939705121</v>
      </c>
      <c r="AC557" s="456">
        <f>((_xll.xSPRDOPT($L557+$AB$5,$J557,$I557,$M557,$O557,$N557,$P557,$Q557-$C$3,$R557,7)*$H557)/100)</f>
        <v>-7642.4501208617885</v>
      </c>
      <c r="AD557" s="456">
        <f>(_xll.xSPRDOPT($L557+$AB$5,$J557,$I557,$M557,$O557,$N557,$P557,$Q557-$C$3,$R557,9)/365)*$H557</f>
        <v>-13.788726517219851</v>
      </c>
      <c r="AE557">
        <f t="shared" si="613"/>
        <v>0</v>
      </c>
      <c r="AF557" s="456">
        <f t="shared" si="664"/>
        <v>922.59275487586331</v>
      </c>
      <c r="AG557" s="456">
        <f>((_xll.xSPRDOPT($L557,$J557,$I557,$M557,$O557,$N557,$P557,$Q557-$C$3,$R557,6)*$H557)/100)</f>
        <v>-984.30678612022541</v>
      </c>
      <c r="AH557" s="456">
        <f>((_xll.xSPRDOPT($L557,$J557,$I557,$M557,$O557,$N557,$P557,$Q557-$C$3,$R557,5)*$H557)/100)</f>
        <v>1903.6454462162319</v>
      </c>
      <c r="AI557" s="456">
        <f>(((_xll.xSPRDOPT($L557,$J557,$I557,$M557,$O557,$N557,$P557,$Q557-$C$3,$R557,4)*$H557)/10000)/100)-AB557</f>
        <v>-1.8429104847683619E-2</v>
      </c>
      <c r="AJ557" s="456"/>
      <c r="AK557" s="456"/>
      <c r="AL557" s="456"/>
      <c r="AM557" s="472"/>
      <c r="CC557" s="141">
        <f t="shared" si="659"/>
        <v>37561</v>
      </c>
      <c r="CD557" s="234">
        <f>_xll.xSPRDOPT((VLOOKUP(G557,NGPrices,2,FALSE)+HLOOKUP(D557,Prices,VLOOKUP(G557,move_down,2,FALSE),FALSE)),VLOOKUP(G557,NGPrices,2,FALSE),I557,VLOOKUP(G557,NGPREVPRICES,4,FALSE),HLOOKUP(D557,PREVVOLS,VLOOKUP(G557,MOVE_DOWN2,2,FALSE),FALSE),VLOOKUP(G557,NGPREVPRICES,3,FALSE),HLOOKUP(D557,Correllate,VLOOKUP(G557,CorMove,2,FALSE),FALSE),Q557-$CD$3,R557,$CD$5)*H557-CJ557</f>
        <v>0</v>
      </c>
      <c r="CE557" s="234">
        <f>_xll.xSPRDOPT((VLOOKUP(G557,NGPREVPRICES,2,FALSE)+HLOOKUP(D557,PREVCURVES,VLOOKUP(G557,MOVE_DOWN2,2,FALSE),FALSE)),VLOOKUP(G557,NGPREVPRICES,2,FALSE),CK557,VLOOKUP(G557,NGPrices,4,FALSE),HLOOKUP(D557,PREVVOLS,VLOOKUP(G557,MOVE_DOWN2,2,FALSE),FALSE),VLOOKUP(G557,NGPREVPRICES,3,FALSE),HLOOKUP(D557,Correllate,VLOOKUP(G557,CorMove,2,FALSE),FALSE),Q557-$CD$3,R557,$CJ$5)*H557-CJ557</f>
        <v>0</v>
      </c>
      <c r="CF557" s="10">
        <f t="shared" si="660"/>
        <v>-3.7019712102664926</v>
      </c>
      <c r="CG557" s="234">
        <f>_xll.xSPRDOPT((VLOOKUP(G557,NGPREVPRICES,2,FALSE)+HLOOKUP(D557,PREVCURVES,VLOOKUP(G557,MOVE_DOWN2,2,FALSE),FALSE)),VLOOKUP(G557,NGPREVPRICES,2,FALSE),CK557,VLOOKUP(G557,NGPREVPRICES,4,FALSE),HLOOKUP(D557,VOLS,VLOOKUP(G557,move_down,2,FALSE),FALSE),VLOOKUP(G557,NGPrices,3,FALSE),HLOOKUP(D557,Correllate,VLOOKUP(G557,CorMove,2,FALSE),FALSE),Q557-$CD$3,R557,$CJ$5)*H557-CJ557</f>
        <v>0</v>
      </c>
      <c r="CH557" s="234">
        <f>_xll.xSPRDOPT((VLOOKUP(G557,NGPREVPRICES,2,FALSE)+HLOOKUP(D557,PREVCURVES,VLOOKUP(G557,MOVE_DOWN2,2,FALSE),FALSE)),VLOOKUP(G557,NGPREVPRICES,2,FALSE),CK557,VLOOKUP(G557,NGPREVPRICES,4,FALSE),HLOOKUP(D557,PREVVOLS,VLOOKUP(G557,MOVE_DOWN2,2,FALSE),FALSE),VLOOKUP(G557,NGPREVPRICES,3,FALSE),HLOOKUP(D557,Correllate,VLOOKUP(G557,CorMove,2,FALSE),FALSE),Q557-$C$3,R557,$CJ$5)*H557-CJ557</f>
        <v>-13.771854906670342</v>
      </c>
      <c r="CI557" s="234">
        <f t="shared" si="661"/>
        <v>-17.473826116936834</v>
      </c>
      <c r="CJ557" s="234">
        <f>_xll.xSPRDOPT((VLOOKUP(G557,NGPREVPRICES,2,FALSE)+HLOOKUP(D557,PREVCURVES,VLOOKUP(G557,MOVE_DOWN2,2,FALSE),FALSE)),VLOOKUP(G557,NGPREVPRICES,2,FALSE),CK557,VLOOKUP(G557,NGPREVPRICES,4,FALSE),HLOOKUP(D557,PREVVOLS,VLOOKUP(G557,MOVE_DOWN2,2,FALSE),FALSE),VLOOKUP(G557,NGPREVPRICES,3,FALSE),HLOOKUP(D557,Correllate,VLOOKUP(G557,CorMove,2,FALSE),FALSE),Q557-$CD$3,R557,$CJ$5)*H557</f>
        <v>17129.223639480788</v>
      </c>
      <c r="CK557" s="235">
        <f t="shared" si="662"/>
        <v>0.2</v>
      </c>
      <c r="CM557" t="str">
        <f t="shared" si="663"/>
        <v>37561Curve Shift/Gamma</v>
      </c>
      <c r="CN557" t="str">
        <f t="shared" si="572"/>
        <v>37561Rho</v>
      </c>
      <c r="CO557" t="str">
        <f t="shared" si="573"/>
        <v>37561Drift</v>
      </c>
      <c r="CP557" t="str">
        <f t="shared" si="574"/>
        <v>37561Vega</v>
      </c>
      <c r="CQ557" t="str">
        <f t="shared" si="575"/>
        <v>37561Theta</v>
      </c>
    </row>
    <row r="558" spans="1:95" x14ac:dyDescent="0.25">
      <c r="A558" s="140" t="s">
        <v>279</v>
      </c>
      <c r="B558" t="s">
        <v>250</v>
      </c>
      <c r="C558" t="s">
        <v>532</v>
      </c>
      <c r="D558" s="4" t="s">
        <v>190</v>
      </c>
      <c r="E558" t="s">
        <v>20</v>
      </c>
      <c r="F558" t="s">
        <v>21</v>
      </c>
      <c r="G558" s="5">
        <v>36951</v>
      </c>
      <c r="H558" s="130">
        <v>155000</v>
      </c>
      <c r="I558">
        <v>0.3</v>
      </c>
      <c r="J558" s="53">
        <f t="shared" si="646"/>
        <v>4.2130000000000001</v>
      </c>
      <c r="K558" s="7">
        <f t="shared" si="647"/>
        <v>0.59750000000000003</v>
      </c>
      <c r="L558" s="53">
        <f t="shared" si="648"/>
        <v>4.8105000000000002</v>
      </c>
      <c r="M558" s="157">
        <f t="shared" si="649"/>
        <v>6.8879814952706994E-2</v>
      </c>
      <c r="N558" s="4">
        <f t="shared" si="650"/>
        <v>0.53249999999999997</v>
      </c>
      <c r="O558" s="4">
        <f t="shared" si="651"/>
        <v>0.51700000000000002</v>
      </c>
      <c r="P558" s="9">
        <f t="shared" si="652"/>
        <v>0.85</v>
      </c>
      <c r="Q558" s="5">
        <f t="shared" si="612"/>
        <v>36949</v>
      </c>
      <c r="R558" s="4">
        <f t="shared" si="653"/>
        <v>1</v>
      </c>
      <c r="S558" s="158">
        <f>_xll.xSPRDOPT($L558,$J558,$I558,$M558,$O558,$N558,$P558,$Q558-$C$3,$R558,0)</f>
        <v>0.51490268222906133</v>
      </c>
      <c r="T558" s="159">
        <f>_xll.xSPRDOPT($L558,$J558,$I558,$M558,$O558,$N558,$P558,$Q558-$C$3,$R558,1)*H558</f>
        <v>99473.267225044285</v>
      </c>
      <c r="U558" s="160">
        <f t="shared" si="654"/>
        <v>79809.915745504506</v>
      </c>
      <c r="V558" s="159">
        <f>_xll.xSPRDOPT($L558,$J558,$I558,$M558,$O558,$N558,$P558,$Q558-$C$3,$R558,2)*H558</f>
        <v>-88054.690173768351</v>
      </c>
      <c r="W558" s="159">
        <f t="shared" si="655"/>
        <v>11418.577051275934</v>
      </c>
      <c r="X558" s="51" t="str">
        <f t="shared" si="656"/>
        <v>36951NGI-SOCAL</v>
      </c>
      <c r="Y558" s="418">
        <f t="shared" si="657"/>
        <v>15.5</v>
      </c>
      <c r="Z558" s="456">
        <f t="shared" si="658"/>
        <v>0.64176301435512439</v>
      </c>
      <c r="AA558" s="456">
        <f>_xll.xSPRDOPT($L558,$J558,$I558,$M558,$O558,$N558,$P558,$Q558-$C$3,$R558,3)</f>
        <v>0.37242484350268151</v>
      </c>
      <c r="AB558" s="456">
        <f>((_xll.xSPRDOPT($L558+AB$5,$J558,$I558,$M558,$O558,$N558,$P558,$Q558-$C$3,$R558,3)*$H558)/10000)/100</f>
        <v>5.7725850742915634E-2</v>
      </c>
      <c r="AC558" s="456">
        <f>((_xll.xSPRDOPT($L558+$AB$5,$J558,$I558,$M558,$O558,$N558,$P558,$Q558-$C$3,$R558,7)*$H558)/100)</f>
        <v>-1712.5385241165693</v>
      </c>
      <c r="AD558" s="456">
        <f>(_xll.xSPRDOPT($L558+$AB$5,$J558,$I558,$M558,$O558,$N558,$P558,$Q558-$C$3,$R558,9)/365)*$H558</f>
        <v>-127.14392226222314</v>
      </c>
      <c r="AE558">
        <f t="shared" si="613"/>
        <v>0</v>
      </c>
      <c r="AF558" s="456">
        <f t="shared" si="664"/>
        <v>971.40261042410862</v>
      </c>
      <c r="AG558" s="456">
        <f>((_xll.xSPRDOPT($L558,$J558,$I558,$M558,$O558,$N558,$P558,$Q558-$C$3,$R558,6)*$H558)/100)</f>
        <v>363.9028084660772</v>
      </c>
      <c r="AH558" s="456">
        <f>((_xll.xSPRDOPT($L558,$J558,$I558,$M558,$O558,$N558,$P558,$Q558-$C$3,$R558,5)*$H558)/100)</f>
        <v>625.71304553704385</v>
      </c>
      <c r="AI558" s="456">
        <f>(((_xll.xSPRDOPT($L558,$J558,$I558,$M558,$O558,$N558,$P558,$Q558-$C$3,$R558,4)*$H558)/10000)/100)-AB558</f>
        <v>8.0448511899722588E-3</v>
      </c>
      <c r="AJ558" s="456"/>
      <c r="AK558" s="456"/>
      <c r="AL558" s="456"/>
      <c r="AM558" s="472"/>
      <c r="CC558" s="141">
        <f t="shared" si="659"/>
        <v>36951</v>
      </c>
      <c r="CD558" s="234">
        <f>_xll.xSPRDOPT((VLOOKUP(G558,NGPrices,2,FALSE)+HLOOKUP(D558,Prices,VLOOKUP(G558,move_down,2,FALSE),FALSE)),VLOOKUP(G558,NGPrices,2,FALSE),I558,VLOOKUP(G558,NGPREVPRICES,4,FALSE),HLOOKUP(D558,PREVVOLS,VLOOKUP(G558,MOVE_DOWN2,2,FALSE),FALSE),VLOOKUP(G558,NGPREVPRICES,3,FALSE),HLOOKUP(D558,Correllate,VLOOKUP(G558,CorMove,2,FALSE),FALSE),Q558-$CD$3,R558,$CD$5)*H558-CJ558</f>
        <v>0</v>
      </c>
      <c r="CE558" s="234">
        <f>_xll.xSPRDOPT((VLOOKUP(G558,NGPREVPRICES,2,FALSE)+HLOOKUP(D558,PREVCURVES,VLOOKUP(G558,MOVE_DOWN2,2,FALSE),FALSE)),VLOOKUP(G558,NGPREVPRICES,2,FALSE),CK558,VLOOKUP(G558,NGPrices,4,FALSE),HLOOKUP(D558,PREVVOLS,VLOOKUP(G558,MOVE_DOWN2,2,FALSE),FALSE),VLOOKUP(G558,NGPREVPRICES,3,FALSE),HLOOKUP(D558,Correllate,VLOOKUP(G558,CorMove,2,FALSE),FALSE),Q558-$CD$3,R558,$CJ$5)*H558-CJ558</f>
        <v>0</v>
      </c>
      <c r="CF558" s="10">
        <f t="shared" si="660"/>
        <v>-15.330678232261562</v>
      </c>
      <c r="CG558" s="234">
        <f>_xll.xSPRDOPT((VLOOKUP(G558,NGPREVPRICES,2,FALSE)+HLOOKUP(D558,PREVCURVES,VLOOKUP(G558,MOVE_DOWN2,2,FALSE),FALSE)),VLOOKUP(G558,NGPREVPRICES,2,FALSE),CK558,VLOOKUP(G558,NGPREVPRICES,4,FALSE),HLOOKUP(D558,VOLS,VLOOKUP(G558,move_down,2,FALSE),FALSE),VLOOKUP(G558,NGPrices,3,FALSE),HLOOKUP(D558,Correllate,VLOOKUP(G558,CorMove,2,FALSE),FALSE),Q558-$CD$3,R558,$CJ$5)*H558-CJ558</f>
        <v>0</v>
      </c>
      <c r="CH558" s="234">
        <f>_xll.xSPRDOPT((VLOOKUP(G558,NGPREVPRICES,2,FALSE)+HLOOKUP(D558,PREVCURVES,VLOOKUP(G558,MOVE_DOWN2,2,FALSE),FALSE)),VLOOKUP(G558,NGPREVPRICES,2,FALSE),CK558,VLOOKUP(G558,NGPREVPRICES,4,FALSE),HLOOKUP(D558,PREVVOLS,VLOOKUP(G558,MOVE_DOWN2,2,FALSE),FALSE),VLOOKUP(G558,NGPREVPRICES,3,FALSE),HLOOKUP(D558,Correllate,VLOOKUP(G558,CorMove,2,FALSE),FALSE),Q558-$C$3,R558,$CJ$5)*H558-CJ558</f>
        <v>-126.85598610261513</v>
      </c>
      <c r="CI558" s="234">
        <f t="shared" si="661"/>
        <v>-142.1866643348767</v>
      </c>
      <c r="CJ558" s="234">
        <f>_xll.xSPRDOPT((VLOOKUP(G558,NGPREVPRICES,2,FALSE)+HLOOKUP(D558,PREVCURVES,VLOOKUP(G558,MOVE_DOWN2,2,FALSE),FALSE)),VLOOKUP(G558,NGPREVPRICES,2,FALSE),CK558,VLOOKUP(G558,NGPREVPRICES,4,FALSE),HLOOKUP(D558,PREVVOLS,VLOOKUP(G558,MOVE_DOWN2,2,FALSE),FALSE),VLOOKUP(G558,NGPREVPRICES,3,FALSE),HLOOKUP(D558,Correllate,VLOOKUP(G558,CorMove,2,FALSE),FALSE),Q558-$CD$3,R558,$CJ$5)*H558</f>
        <v>79936.771731607121</v>
      </c>
      <c r="CK558" s="235">
        <f t="shared" si="662"/>
        <v>0.3</v>
      </c>
      <c r="CM558" t="str">
        <f t="shared" si="663"/>
        <v>36951Curve Shift/Gamma</v>
      </c>
      <c r="CN558" t="str">
        <f t="shared" ref="CN558:CN621" si="665">CONCATENATE($CC558,$CE$6)</f>
        <v>36951Rho</v>
      </c>
      <c r="CO558" t="str">
        <f t="shared" ref="CO558:CO621" si="666">CONCATENATE($CC558,$CF$6)</f>
        <v>36951Drift</v>
      </c>
      <c r="CP558" t="str">
        <f t="shared" ref="CP558:CP621" si="667">CONCATENATE($CC558,$CG$6)</f>
        <v>36951Vega</v>
      </c>
      <c r="CQ558" t="str">
        <f t="shared" ref="CQ558:CQ621" si="668">CONCATENATE($CC558,$CH$6)</f>
        <v>36951Theta</v>
      </c>
    </row>
    <row r="559" spans="1:95" x14ac:dyDescent="0.25">
      <c r="A559" s="140" t="s">
        <v>279</v>
      </c>
      <c r="B559" t="s">
        <v>250</v>
      </c>
      <c r="C559" t="s">
        <v>532</v>
      </c>
      <c r="D559" s="4" t="s">
        <v>190</v>
      </c>
      <c r="E559" t="s">
        <v>20</v>
      </c>
      <c r="F559" t="s">
        <v>21</v>
      </c>
      <c r="G559" s="5">
        <v>36923</v>
      </c>
      <c r="H559" s="130">
        <v>140000</v>
      </c>
      <c r="I559">
        <v>0.3</v>
      </c>
      <c r="J559" s="53">
        <f t="shared" ref="J559:J579" si="669">VLOOKUP(G559,NGPrices,2,FALSE)</f>
        <v>4.4800000000000004</v>
      </c>
      <c r="K559" s="7">
        <f t="shared" ref="K559:K579" si="670">HLOOKUP(D559,Prices,VLOOKUP(G559,move_down,2,FALSE),FALSE)+VLOOKUP(G559,CHANGE,HLOOKUP(D559,CHANGE,2,FALSE),FALSE)</f>
        <v>0.61750000000000005</v>
      </c>
      <c r="L559" s="53">
        <f t="shared" ref="L559:L579" si="671">K559+J559</f>
        <v>5.0975000000000001</v>
      </c>
      <c r="M559" s="157">
        <f t="shared" ref="M559:M579" si="672">VLOOKUP(G559,NGPrices,4,FALSE)</f>
        <v>6.8640161611372E-2</v>
      </c>
      <c r="N559" s="4">
        <f t="shared" ref="N559:N579" si="673">VLOOKUP(G559,NGPrices,3,FALSE)</f>
        <v>0.59250000000000003</v>
      </c>
      <c r="O559" s="4">
        <f t="shared" ref="O559:O579" si="674">HLOOKUP(D559,VOLS,VLOOKUP(G559,move_down,2,FALSE),FALSE)</f>
        <v>0.57499999999999996</v>
      </c>
      <c r="P559" s="9">
        <f t="shared" ref="P559:P579" si="675">HLOOKUP(D559,Correllate,VLOOKUP(G559,CorMove,2,FALSE),FALSE)</f>
        <v>0.85</v>
      </c>
      <c r="Q559" s="5">
        <f t="shared" si="612"/>
        <v>36921</v>
      </c>
      <c r="R559" s="4">
        <f t="shared" ref="R559:R579" si="676">IF(F559="P",0,1)</f>
        <v>1</v>
      </c>
      <c r="S559" s="158">
        <f>_xll.xSPRDOPT($L559,$J559,$I559,$M559,$O559,$N559,$P559,$Q559-$C$3,$R559,0)</f>
        <v>0.55864567410775812</v>
      </c>
      <c r="T559" s="159">
        <f>_xll.xSPRDOPT($L559,$J559,$I559,$M559,$O559,$N559,$P559,$Q559-$C$3,$R559,1)*H559</f>
        <v>90181.166506633032</v>
      </c>
      <c r="U559" s="160">
        <f t="shared" ref="U559:U579" si="677">S559*H559</f>
        <v>78210.394375086136</v>
      </c>
      <c r="V559" s="159">
        <f>_xll.xSPRDOPT($L559,$J559,$I559,$M559,$O559,$N559,$P559,$Q559-$C$3,$R559,2)*H559</f>
        <v>-79543.529929720578</v>
      </c>
      <c r="W559" s="159">
        <f t="shared" ref="W559:W579" si="678">+V559+T559</f>
        <v>10637.636576912453</v>
      </c>
      <c r="X559" s="51" t="str">
        <f t="shared" ref="X559:X579" si="679">CONCATENATE(G559,D559)</f>
        <v>36923NGI-SOCAL</v>
      </c>
      <c r="Y559" s="418">
        <f t="shared" ref="Y559:Y579" si="680">H559/10000</f>
        <v>14</v>
      </c>
      <c r="Z559" s="456">
        <f t="shared" ref="Z559:Z579" si="681">T559/H559</f>
        <v>0.64415118933309312</v>
      </c>
      <c r="AA559" s="456">
        <f>_xll.xSPRDOPT($L559,$J559,$I559,$M559,$O559,$N559,$P559,$Q559-$C$3,$R559,3)</f>
        <v>0.34526336742509806</v>
      </c>
      <c r="AB559" s="456">
        <f>((_xll.xSPRDOPT($L559+AB$5,$J559,$I559,$M559,$O559,$N559,$P559,$Q559-$C$3,$R559,3)*$H559)/10000)/100</f>
        <v>4.8336871439513727E-2</v>
      </c>
      <c r="AC559" s="456">
        <f>((_xll.xSPRDOPT($L559+$AB$5,$J559,$I559,$M559,$O559,$N559,$P559,$Q559-$C$3,$R559,7)*$H559)/100)</f>
        <v>-1692.7529394521159</v>
      </c>
      <c r="AD559" s="456">
        <f>(_xll.xSPRDOPT($L559+$AB$5,$J559,$I559,$M559,$O559,$N559,$P559,$Q559-$C$3,$R559,9)/365)*$H559</f>
        <v>-151.21645013896372</v>
      </c>
      <c r="AE559">
        <f t="shared" si="613"/>
        <v>0</v>
      </c>
      <c r="AF559" s="456">
        <f t="shared" si="664"/>
        <v>861.93607481794254</v>
      </c>
      <c r="AG559" s="456">
        <f>((_xll.xSPRDOPT($L559,$J559,$I559,$M559,$O559,$N559,$P559,$Q559-$C$3,$R559,6)*$H559)/100)</f>
        <v>335.2682143352946</v>
      </c>
      <c r="AH559" s="456">
        <f>((_xll.xSPRDOPT($L559,$J559,$I559,$M559,$O559,$N559,$P559,$Q559-$C$3,$R559,5)*$H559)/100)</f>
        <v>542.69688232342423</v>
      </c>
      <c r="AI559" s="456">
        <f>(((_xll.xSPRDOPT($L559,$J559,$I559,$M559,$O559,$N559,$P559,$Q559-$C$3,$R559,4)*$H559)/10000)/100)-AB559</f>
        <v>6.7838458202929483E-3</v>
      </c>
      <c r="AJ559" s="456"/>
      <c r="AK559" s="456"/>
      <c r="AL559" s="456"/>
      <c r="AM559" s="472"/>
      <c r="CC559" s="141">
        <f t="shared" ref="CC559:CC575" si="682">G559</f>
        <v>36923</v>
      </c>
      <c r="CD559" s="234">
        <f>_xll.xSPRDOPT((VLOOKUP(G559,NGPrices,2,FALSE)+HLOOKUP(D559,Prices,VLOOKUP(G559,move_down,2,FALSE),FALSE)),VLOOKUP(G559,NGPrices,2,FALSE),I559,VLOOKUP(G559,NGPREVPRICES,4,FALSE),HLOOKUP(D559,PREVVOLS,VLOOKUP(G559,MOVE_DOWN2,2,FALSE),FALSE),VLOOKUP(G559,NGPREVPRICES,3,FALSE),HLOOKUP(D559,Correllate,VLOOKUP(G559,CorMove,2,FALSE),FALSE),Q559-$CD$3,R559,$CD$5)*H559-CJ559</f>
        <v>0</v>
      </c>
      <c r="CE559" s="234">
        <f>_xll.xSPRDOPT((VLOOKUP(G559,NGPREVPRICES,2,FALSE)+HLOOKUP(D559,PREVCURVES,VLOOKUP(G559,MOVE_DOWN2,2,FALSE),FALSE)),VLOOKUP(G559,NGPREVPRICES,2,FALSE),CK559,VLOOKUP(G559,NGPrices,4,FALSE),HLOOKUP(D559,PREVVOLS,VLOOKUP(G559,MOVE_DOWN2,2,FALSE),FALSE),VLOOKUP(G559,NGPREVPRICES,3,FALSE),HLOOKUP(D559,Correllate,VLOOKUP(G559,CorMove,2,FALSE),FALSE),Q559-$CD$3,R559,$CJ$5)*H559-CJ559</f>
        <v>0</v>
      </c>
      <c r="CF559" s="10">
        <f t="shared" ref="CF559:CF580" si="683">(CJ559/VLOOKUP(CC559,discount,3,FALSE))-(CJ559/VLOOKUP(CC559,discount,2,FALSE))</f>
        <v>-14.903402972224285</v>
      </c>
      <c r="CG559" s="234">
        <f>_xll.xSPRDOPT((VLOOKUP(G559,NGPREVPRICES,2,FALSE)+HLOOKUP(D559,PREVCURVES,VLOOKUP(G559,MOVE_DOWN2,2,FALSE),FALSE)),VLOOKUP(G559,NGPREVPRICES,2,FALSE),CK559,VLOOKUP(G559,NGPREVPRICES,4,FALSE),HLOOKUP(D559,VOLS,VLOOKUP(G559,move_down,2,FALSE),FALSE),VLOOKUP(G559,NGPrices,3,FALSE),HLOOKUP(D559,Correllate,VLOOKUP(G559,CorMove,2,FALSE),FALSE),Q559-$CD$3,R559,$CJ$5)*H559-CJ559</f>
        <v>0</v>
      </c>
      <c r="CH559" s="234">
        <f>_xll.xSPRDOPT((VLOOKUP(G559,NGPREVPRICES,2,FALSE)+HLOOKUP(D559,PREVCURVES,VLOOKUP(G559,MOVE_DOWN2,2,FALSE),FALSE)),VLOOKUP(G559,NGPREVPRICES,2,FALSE),CK559,VLOOKUP(G559,NGPREVPRICES,4,FALSE),HLOOKUP(D559,PREVVOLS,VLOOKUP(G559,MOVE_DOWN2,2,FALSE),FALSE),VLOOKUP(G559,NGPREVPRICES,3,FALSE),HLOOKUP(D559,Correllate,VLOOKUP(G559,CorMove,2,FALSE),FALSE),Q559-$C$3,R559,$CJ$5)*H559-CJ559</f>
        <v>-150.84009394618624</v>
      </c>
      <c r="CI559" s="234">
        <f t="shared" ref="CI559:CI580" si="684">SUM(CD559:CH559)</f>
        <v>-165.74349691841053</v>
      </c>
      <c r="CJ559" s="234">
        <f>_xll.xSPRDOPT((VLOOKUP(G559,NGPREVPRICES,2,FALSE)+HLOOKUP(D559,PREVCURVES,VLOOKUP(G559,MOVE_DOWN2,2,FALSE),FALSE)),VLOOKUP(G559,NGPREVPRICES,2,FALSE),CK559,VLOOKUP(G559,NGPREVPRICES,4,FALSE),HLOOKUP(D559,PREVVOLS,VLOOKUP(G559,MOVE_DOWN2,2,FALSE),FALSE),VLOOKUP(G559,NGPREVPRICES,3,FALSE),HLOOKUP(D559,Correllate,VLOOKUP(G559,CorMove,2,FALSE),FALSE),Q559-$CD$3,R559,$CJ$5)*H559</f>
        <v>78361.234469032323</v>
      </c>
      <c r="CK559" s="235">
        <f t="shared" ref="CK559:CK575" si="685">I559</f>
        <v>0.3</v>
      </c>
      <c r="CM559" t="str">
        <f t="shared" ref="CM559:CM580" si="686">CONCATENATE(CC559,$CD$6)</f>
        <v>36923Curve Shift/Gamma</v>
      </c>
      <c r="CN559" t="str">
        <f t="shared" si="665"/>
        <v>36923Rho</v>
      </c>
      <c r="CO559" t="str">
        <f t="shared" si="666"/>
        <v>36923Drift</v>
      </c>
      <c r="CP559" t="str">
        <f t="shared" si="667"/>
        <v>36923Vega</v>
      </c>
      <c r="CQ559" t="str">
        <f t="shared" si="668"/>
        <v>36923Theta</v>
      </c>
    </row>
    <row r="560" spans="1:95" x14ac:dyDescent="0.25">
      <c r="A560" s="140" t="s">
        <v>279</v>
      </c>
      <c r="B560" t="s">
        <v>250</v>
      </c>
      <c r="C560" t="s">
        <v>532</v>
      </c>
      <c r="D560" s="4" t="s">
        <v>190</v>
      </c>
      <c r="E560" t="s">
        <v>20</v>
      </c>
      <c r="F560" t="s">
        <v>21</v>
      </c>
      <c r="G560" s="5">
        <v>36892</v>
      </c>
      <c r="H560" s="130">
        <v>155000</v>
      </c>
      <c r="I560">
        <v>0.3</v>
      </c>
      <c r="J560" s="53">
        <f t="shared" si="669"/>
        <v>4.7439999999999998</v>
      </c>
      <c r="K560" s="7">
        <f t="shared" si="670"/>
        <v>0.76749999999999996</v>
      </c>
      <c r="L560" s="53">
        <f t="shared" si="671"/>
        <v>5.5114999999999998</v>
      </c>
      <c r="M560" s="157">
        <f t="shared" si="672"/>
        <v>6.8374831148490994E-2</v>
      </c>
      <c r="N560" s="4">
        <f t="shared" si="673"/>
        <v>0.60499999999999998</v>
      </c>
      <c r="O560" s="4">
        <f t="shared" si="674"/>
        <v>0.58699999999999997</v>
      </c>
      <c r="P560" s="9">
        <f t="shared" si="675"/>
        <v>0.85</v>
      </c>
      <c r="Q560" s="5">
        <f t="shared" si="612"/>
        <v>36888</v>
      </c>
      <c r="R560" s="4">
        <f t="shared" si="676"/>
        <v>1</v>
      </c>
      <c r="S560" s="158">
        <f>_xll.xSPRDOPT($L560,$J560,$I560,$M560,$O560,$N560,$P560,$Q560-$C$3,$R560,0)</f>
        <v>0.64709519353176437</v>
      </c>
      <c r="T560" s="159">
        <f>_xll.xSPRDOPT($L560,$J560,$I560,$M560,$O560,$N560,$P560,$Q560-$C$3,$R560,1)*H560</f>
        <v>108830.93960692342</v>
      </c>
      <c r="U560" s="160">
        <f t="shared" si="677"/>
        <v>100299.75499742347</v>
      </c>
      <c r="V560" s="159">
        <f>_xll.xSPRDOPT($L560,$J560,$I560,$M560,$O560,$N560,$P560,$Q560-$C$3,$R560,2)*H560</f>
        <v>-98783.215147758063</v>
      </c>
      <c r="W560" s="159">
        <f t="shared" si="678"/>
        <v>10047.724459165358</v>
      </c>
      <c r="X560" s="51" t="str">
        <f t="shared" si="679"/>
        <v>36892NGI-SOCAL</v>
      </c>
      <c r="Y560" s="418">
        <f t="shared" si="680"/>
        <v>15.5</v>
      </c>
      <c r="Z560" s="456">
        <f t="shared" si="681"/>
        <v>0.70213509423821563</v>
      </c>
      <c r="AA560" s="456">
        <f>_xll.xSPRDOPT($L560,$J560,$I560,$M560,$O560,$N560,$P560,$Q560-$C$3,$R560,3)</f>
        <v>0.32785906506017948</v>
      </c>
      <c r="AB560" s="456">
        <f>((_xll.xSPRDOPT($L560+AB$5,$J560,$I560,$M560,$O560,$N560,$P560,$Q560-$C$3,$R560,3)*$H560)/10000)/100</f>
        <v>5.0818155084327819E-2</v>
      </c>
      <c r="AC560" s="456">
        <f>((_xll.xSPRDOPT($L560+$AB$5,$J560,$I560,$M560,$O560,$N560,$P560,$Q560-$C$3,$R560,7)*$H560)/100)</f>
        <v>-1711.112087938018</v>
      </c>
      <c r="AD560" s="456">
        <f>(_xll.xSPRDOPT($L560+$AB$5,$J560,$I560,$M560,$O560,$N560,$P560,$Q560-$C$3,$R560,9)/365)*$H560</f>
        <v>-194.36957431659712</v>
      </c>
      <c r="AE560">
        <f t="shared" si="613"/>
        <v>0</v>
      </c>
      <c r="AF560" s="456">
        <f t="shared" si="664"/>
        <v>852.05062985658037</v>
      </c>
      <c r="AG560" s="456">
        <f>((_xll.xSPRDOPT($L560,$J560,$I560,$M560,$O560,$N560,$P560,$Q560-$C$3,$R560,6)*$H560)/100)</f>
        <v>343.53091791118686</v>
      </c>
      <c r="AH560" s="456">
        <f>((_xll.xSPRDOPT($L560,$J560,$I560,$M560,$O560,$N560,$P560,$Q560-$C$3,$R560,5)*$H560)/100)</f>
        <v>524.1131613747242</v>
      </c>
      <c r="AI560" s="456">
        <f>(((_xll.xSPRDOPT($L560,$J560,$I560,$M560,$O560,$N560,$P560,$Q560-$C$3,$R560,4)*$H560)/10000)/100)-AB560</f>
        <v>1.0094909457605751E-2</v>
      </c>
      <c r="AJ560" s="456"/>
      <c r="AK560" s="456"/>
      <c r="AL560" s="456"/>
      <c r="CC560" s="141">
        <f t="shared" si="682"/>
        <v>36892</v>
      </c>
      <c r="CD560" s="234">
        <f>_xll.xSPRDOPT((VLOOKUP(G560,NGPrices,2,FALSE)+HLOOKUP(D560,Prices,VLOOKUP(G560,move_down,2,FALSE),FALSE)),VLOOKUP(G560,NGPrices,2,FALSE),I560,VLOOKUP(G560,NGPREVPRICES,4,FALSE),HLOOKUP(D560,PREVVOLS,VLOOKUP(G560,MOVE_DOWN2,2,FALSE),FALSE),VLOOKUP(G560,NGPREVPRICES,3,FALSE),HLOOKUP(D560,Correllate,VLOOKUP(G560,CorMove,2,FALSE),FALSE),Q560-$CD$3,R560,$CD$5)*H560-CJ560</f>
        <v>0</v>
      </c>
      <c r="CE560" s="234">
        <f>_xll.xSPRDOPT((VLOOKUP(G560,NGPREVPRICES,2,FALSE)+HLOOKUP(D560,PREVCURVES,VLOOKUP(G560,MOVE_DOWN2,2,FALSE),FALSE)),VLOOKUP(G560,NGPREVPRICES,2,FALSE),CK560,VLOOKUP(G560,NGPrices,4,FALSE),HLOOKUP(D560,PREVVOLS,VLOOKUP(G560,MOVE_DOWN2,2,FALSE),FALSE),VLOOKUP(G560,NGPREVPRICES,3,FALSE),HLOOKUP(D560,Correllate,VLOOKUP(G560,CorMove,2,FALSE),FALSE),Q560-$CD$3,R560,$CJ$5)*H560-CJ560</f>
        <v>0</v>
      </c>
      <c r="CF560" s="10">
        <f t="shared" si="683"/>
        <v>-18.937133833620464</v>
      </c>
      <c r="CG560" s="234">
        <f>_xll.xSPRDOPT((VLOOKUP(G560,NGPREVPRICES,2,FALSE)+HLOOKUP(D560,PREVCURVES,VLOOKUP(G560,MOVE_DOWN2,2,FALSE),FALSE)),VLOOKUP(G560,NGPREVPRICES,2,FALSE),CK560,VLOOKUP(G560,NGPREVPRICES,4,FALSE),HLOOKUP(D560,VOLS,VLOOKUP(G560,move_down,2,FALSE),FALSE),VLOOKUP(G560,NGPrices,3,FALSE),HLOOKUP(D560,Correllate,VLOOKUP(G560,CorMove,2,FALSE),FALSE),Q560-$CD$3,R560,$CJ$5)*H560-CJ560</f>
        <v>0</v>
      </c>
      <c r="CH560" s="234">
        <f>_xll.xSPRDOPT((VLOOKUP(G560,NGPREVPRICES,2,FALSE)+HLOOKUP(D560,PREVCURVES,VLOOKUP(G560,MOVE_DOWN2,2,FALSE),FALSE)),VLOOKUP(G560,NGPREVPRICES,2,FALSE),CK560,VLOOKUP(G560,NGPREVPRICES,4,FALSE),HLOOKUP(D560,PREVVOLS,VLOOKUP(G560,MOVE_DOWN2,2,FALSE),FALSE),VLOOKUP(G560,NGPREVPRICES,3,FALSE),HLOOKUP(D560,Correllate,VLOOKUP(G560,CorMove,2,FALSE),FALSE),Q560-$C$3,R560,$CJ$5)*H560-CJ560</f>
        <v>-193.86016733560245</v>
      </c>
      <c r="CI560" s="234">
        <f t="shared" si="684"/>
        <v>-212.79730116922292</v>
      </c>
      <c r="CJ560" s="234">
        <f>_xll.xSPRDOPT((VLOOKUP(G560,NGPREVPRICES,2,FALSE)+HLOOKUP(D560,PREVCURVES,VLOOKUP(G560,MOVE_DOWN2,2,FALSE),FALSE)),VLOOKUP(G560,NGPREVPRICES,2,FALSE),CK560,VLOOKUP(G560,NGPREVPRICES,4,FALSE),HLOOKUP(D560,PREVVOLS,VLOOKUP(G560,MOVE_DOWN2,2,FALSE),FALSE),VLOOKUP(G560,NGPREVPRICES,3,FALSE),HLOOKUP(D560,Correllate,VLOOKUP(G560,CorMove,2,FALSE),FALSE),Q560-$CD$3,R560,$CJ$5)*H560</f>
        <v>100493.61516475907</v>
      </c>
      <c r="CK560" s="235">
        <f t="shared" si="685"/>
        <v>0.3</v>
      </c>
      <c r="CM560" t="str">
        <f t="shared" si="686"/>
        <v>36892Curve Shift/Gamma</v>
      </c>
      <c r="CN560" t="str">
        <f t="shared" si="665"/>
        <v>36892Rho</v>
      </c>
      <c r="CO560" t="str">
        <f t="shared" si="666"/>
        <v>36892Drift</v>
      </c>
      <c r="CP560" t="str">
        <f t="shared" si="667"/>
        <v>36892Vega</v>
      </c>
      <c r="CQ560" t="str">
        <f t="shared" si="668"/>
        <v>36892Theta</v>
      </c>
    </row>
    <row r="561" spans="1:95" x14ac:dyDescent="0.25">
      <c r="A561" s="140" t="s">
        <v>279</v>
      </c>
      <c r="B561" t="s">
        <v>250</v>
      </c>
      <c r="C561" t="s">
        <v>532</v>
      </c>
      <c r="D561" s="4" t="s">
        <v>190</v>
      </c>
      <c r="E561" t="s">
        <v>20</v>
      </c>
      <c r="F561" t="s">
        <v>21</v>
      </c>
      <c r="G561" s="5">
        <v>36861</v>
      </c>
      <c r="H561" s="130">
        <v>155000</v>
      </c>
      <c r="I561">
        <v>0.3</v>
      </c>
      <c r="J561" s="53">
        <f t="shared" si="669"/>
        <v>4.8</v>
      </c>
      <c r="K561" s="7">
        <f t="shared" si="670"/>
        <v>1.0049999999999999</v>
      </c>
      <c r="L561" s="53">
        <f t="shared" si="671"/>
        <v>5.8049999999999997</v>
      </c>
      <c r="M561" s="157">
        <f t="shared" si="672"/>
        <v>6.8314027999354002E-2</v>
      </c>
      <c r="N561" s="4">
        <f t="shared" si="673"/>
        <v>0.6</v>
      </c>
      <c r="O561" s="4">
        <f t="shared" si="674"/>
        <v>0.58199999999999996</v>
      </c>
      <c r="P561" s="9">
        <f t="shared" si="675"/>
        <v>0.85</v>
      </c>
      <c r="Q561" s="5">
        <f t="shared" si="612"/>
        <v>36859</v>
      </c>
      <c r="R561" s="4">
        <f t="shared" si="676"/>
        <v>1</v>
      </c>
      <c r="S561" s="158">
        <f>_xll.xSPRDOPT($L561,$J561,$I561,$M561,$O561,$N561,$P561,$Q561-$C$3,$R561,0)</f>
        <v>0.79086517743194373</v>
      </c>
      <c r="T561" s="159">
        <f>_xll.xSPRDOPT($L561,$J561,$I561,$M561,$O561,$N561,$P561,$Q561-$C$3,$R561,1)*H561</f>
        <v>124290.93346852889</v>
      </c>
      <c r="U561" s="160">
        <f t="shared" si="677"/>
        <v>122584.10250195127</v>
      </c>
      <c r="V561" s="159">
        <f>_xll.xSPRDOPT($L561,$J561,$I561,$M561,$O561,$N561,$P561,$Q561-$C$3,$R561,2)*H561</f>
        <v>-117257.40694659061</v>
      </c>
      <c r="W561" s="159">
        <f t="shared" si="678"/>
        <v>7033.5265219382854</v>
      </c>
      <c r="X561" s="51" t="str">
        <f t="shared" si="679"/>
        <v>36861NGI-SOCAL</v>
      </c>
      <c r="Y561" s="418">
        <f t="shared" si="680"/>
        <v>15.5</v>
      </c>
      <c r="Z561" s="456">
        <f t="shared" si="681"/>
        <v>0.80187699011954128</v>
      </c>
      <c r="AA561" s="456">
        <f>_xll.xSPRDOPT($L561,$J561,$I561,$M561,$O561,$N561,$P561,$Q561-$C$3,$R561,3)</f>
        <v>0.28521344905962409</v>
      </c>
      <c r="AB561" s="456">
        <f>((_xll.xSPRDOPT($L561+AB$5,$J561,$I561,$M561,$O561,$N561,$P561,$Q561-$C$3,$R561,3)*$H561)/10000)/100</f>
        <v>4.4208084604241735E-2</v>
      </c>
      <c r="AC561" s="456">
        <f>((_xll.xSPRDOPT($L561+$AB$5,$J561,$I561,$M561,$O561,$N561,$P561,$Q561-$C$3,$R561,7)*$H561)/100)</f>
        <v>-1236.7897451492506</v>
      </c>
      <c r="AD561" s="456">
        <f>(_xll.xSPRDOPT($L561+$AB$5,$J561,$I561,$M561,$O561,$N561,$P561,$Q561-$C$3,$R561,9)/365)*$H561</f>
        <v>-179.53474474500558</v>
      </c>
      <c r="AE561">
        <f t="shared" si="613"/>
        <v>0</v>
      </c>
      <c r="AF561" s="456">
        <f t="shared" si="664"/>
        <v>620.50690307566003</v>
      </c>
      <c r="AG561" s="456">
        <f>((_xll.xSPRDOPT($L561,$J561,$I561,$M561,$O561,$N561,$P561,$Q561-$C$3,$R561,6)*$H561)/100)</f>
        <v>254.26879228503199</v>
      </c>
      <c r="AH561" s="456">
        <f>((_xll.xSPRDOPT($L561,$J561,$I561,$M561,$O561,$N561,$P561,$Q561-$C$3,$R561,5)*$H561)/100)</f>
        <v>377.56506267075054</v>
      </c>
      <c r="AI561" s="456">
        <f>(((_xll.xSPRDOPT($L561,$J561,$I561,$M561,$O561,$N561,$P561,$Q561-$C$3,$R561,4)*$H561)/10000)/100)-AB561</f>
        <v>1.3413081308389918E-2</v>
      </c>
      <c r="AJ561" s="456"/>
      <c r="AK561" s="456"/>
      <c r="AL561" s="456"/>
      <c r="CC561" s="141">
        <f t="shared" si="682"/>
        <v>36861</v>
      </c>
      <c r="CD561" s="234">
        <f>_xll.xSPRDOPT((VLOOKUP(G561,NGPrices,2,FALSE)+HLOOKUP(D561,Prices,VLOOKUP(G561,move_down,2,FALSE),FALSE)),VLOOKUP(G561,NGPrices,2,FALSE),I561,VLOOKUP(G561,NGPREVPRICES,4,FALSE),HLOOKUP(D561,PREVVOLS,VLOOKUP(G561,MOVE_DOWN2,2,FALSE),FALSE),VLOOKUP(G561,NGPREVPRICES,3,FALSE),HLOOKUP(D561,Correllate,VLOOKUP(G561,CorMove,2,FALSE),FALSE),Q561-$CD$3,R561,$CD$5)*H561-CJ561</f>
        <v>0</v>
      </c>
      <c r="CE561" s="234">
        <f>_xll.xSPRDOPT((VLOOKUP(G561,NGPREVPRICES,2,FALSE)+HLOOKUP(D561,PREVCURVES,VLOOKUP(G561,MOVE_DOWN2,2,FALSE),FALSE)),VLOOKUP(G561,NGPREVPRICES,2,FALSE),CK561,VLOOKUP(G561,NGPrices,4,FALSE),HLOOKUP(D561,PREVVOLS,VLOOKUP(G561,MOVE_DOWN2,2,FALSE),FALSE),VLOOKUP(G561,NGPREVPRICES,3,FALSE),HLOOKUP(D561,Correllate,VLOOKUP(G561,CorMove,2,FALSE),FALSE),Q561-$CD$3,R561,$CJ$5)*H561-CJ561</f>
        <v>0</v>
      </c>
      <c r="CF561" s="10">
        <f t="shared" si="683"/>
        <v>-22.998222208028892</v>
      </c>
      <c r="CG561" s="234">
        <f>_xll.xSPRDOPT((VLOOKUP(G561,NGPREVPRICES,2,FALSE)+HLOOKUP(D561,PREVCURVES,VLOOKUP(G561,MOVE_DOWN2,2,FALSE),FALSE)),VLOOKUP(G561,NGPREVPRICES,2,FALSE),CK561,VLOOKUP(G561,NGPREVPRICES,4,FALSE),HLOOKUP(D561,VOLS,VLOOKUP(G561,move_down,2,FALSE),FALSE),VLOOKUP(G561,NGPrices,3,FALSE),HLOOKUP(D561,Correllate,VLOOKUP(G561,CorMove,2,FALSE),FALSE),Q561-$CD$3,R561,$CJ$5)*H561-CJ561</f>
        <v>0</v>
      </c>
      <c r="CH561" s="234">
        <f>_xll.xSPRDOPT((VLOOKUP(G561,NGPREVPRICES,2,FALSE)+HLOOKUP(D561,PREVCURVES,VLOOKUP(G561,MOVE_DOWN2,2,FALSE),FALSE)),VLOOKUP(G561,NGPREVPRICES,2,FALSE),CK561,VLOOKUP(G561,NGPREVPRICES,4,FALSE),HLOOKUP(D561,PREVVOLS,VLOOKUP(G561,MOVE_DOWN2,2,FALSE),FALSE),VLOOKUP(G561,NGPREVPRICES,3,FALSE),HLOOKUP(D561,Correllate,VLOOKUP(G561,CorMove,2,FALSE),FALSE),Q561-$C$3,R561,$CJ$5)*H561-CJ561</f>
        <v>-179.19255030360364</v>
      </c>
      <c r="CI561" s="234">
        <f t="shared" si="684"/>
        <v>-202.19077251163253</v>
      </c>
      <c r="CJ561" s="234">
        <f>_xll.xSPRDOPT((VLOOKUP(G561,NGPREVPRICES,2,FALSE)+HLOOKUP(D561,PREVCURVES,VLOOKUP(G561,MOVE_DOWN2,2,FALSE),FALSE)),VLOOKUP(G561,NGPREVPRICES,2,FALSE),CK561,VLOOKUP(G561,NGPREVPRICES,4,FALSE),HLOOKUP(D561,PREVVOLS,VLOOKUP(G561,MOVE_DOWN2,2,FALSE),FALSE),VLOOKUP(G561,NGPREVPRICES,3,FALSE),HLOOKUP(D561,Correllate,VLOOKUP(G561,CorMove,2,FALSE),FALSE),Q561-$CD$3,R561,$CJ$5)*H561</f>
        <v>122763.29505225488</v>
      </c>
      <c r="CK561" s="235">
        <f t="shared" si="685"/>
        <v>0.3</v>
      </c>
      <c r="CM561" t="str">
        <f t="shared" si="686"/>
        <v>36861Curve Shift/Gamma</v>
      </c>
      <c r="CN561" t="str">
        <f t="shared" si="665"/>
        <v>36861Rho</v>
      </c>
      <c r="CO561" t="str">
        <f t="shared" si="666"/>
        <v>36861Drift</v>
      </c>
      <c r="CP561" t="str">
        <f t="shared" si="667"/>
        <v>36861Vega</v>
      </c>
      <c r="CQ561" t="str">
        <f t="shared" si="668"/>
        <v>36861Theta</v>
      </c>
    </row>
    <row r="562" spans="1:95" x14ac:dyDescent="0.25">
      <c r="A562" s="140" t="s">
        <v>279</v>
      </c>
      <c r="B562" t="s">
        <v>250</v>
      </c>
      <c r="C562" t="s">
        <v>532</v>
      </c>
      <c r="D562" s="4" t="s">
        <v>190</v>
      </c>
      <c r="E562" t="s">
        <v>20</v>
      </c>
      <c r="F562" t="s">
        <v>21</v>
      </c>
      <c r="G562" s="5">
        <v>36831</v>
      </c>
      <c r="H562" s="130">
        <v>150000</v>
      </c>
      <c r="I562">
        <v>0.3</v>
      </c>
      <c r="J562" s="53">
        <f t="shared" si="669"/>
        <v>4.7359999999999998</v>
      </c>
      <c r="K562" s="7">
        <f t="shared" si="670"/>
        <v>1.5449999999999999</v>
      </c>
      <c r="L562" s="53">
        <f t="shared" si="671"/>
        <v>6.2809999999999997</v>
      </c>
      <c r="M562" s="157">
        <f t="shared" si="672"/>
        <v>6.810675983792E-2</v>
      </c>
      <c r="N562" s="4">
        <f t="shared" si="673"/>
        <v>0.59499999999999997</v>
      </c>
      <c r="O562" s="4">
        <f t="shared" si="674"/>
        <v>0.57699999999999996</v>
      </c>
      <c r="P562" s="9">
        <f t="shared" si="675"/>
        <v>0.85</v>
      </c>
      <c r="Q562" s="5">
        <f t="shared" si="612"/>
        <v>36829</v>
      </c>
      <c r="R562" s="4">
        <f t="shared" si="676"/>
        <v>1</v>
      </c>
      <c r="S562" s="158">
        <f>_xll.xSPRDOPT($L562,$J562,$I562,$M562,$O562,$N562,$P562,$Q562-$C$3,$R562,0)</f>
        <v>1.2431783155446245</v>
      </c>
      <c r="T562" s="159">
        <f>_xll.xSPRDOPT($L562,$J562,$I562,$M562,$O562,$N562,$P562,$Q562-$C$3,$R562,1)*H562</f>
        <v>142746.49762858651</v>
      </c>
      <c r="U562" s="160">
        <f t="shared" si="677"/>
        <v>186476.74733169368</v>
      </c>
      <c r="V562" s="159">
        <f>_xll.xSPRDOPT($L562,$J562,$I562,$M562,$O562,$N562,$P562,$Q562-$C$3,$R562,2)*H562</f>
        <v>-140959.40611743147</v>
      </c>
      <c r="W562" s="159">
        <f t="shared" si="678"/>
        <v>1787.0915111550421</v>
      </c>
      <c r="X562" s="51" t="str">
        <f t="shared" si="679"/>
        <v>36831NGI-SOCAL</v>
      </c>
      <c r="Y562" s="418">
        <f t="shared" si="680"/>
        <v>15</v>
      </c>
      <c r="Z562" s="456">
        <f t="shared" si="681"/>
        <v>0.95164331752391007</v>
      </c>
      <c r="AA562" s="456">
        <f>_xll.xSPRDOPT($L562,$J562,$I562,$M562,$O562,$N562,$P562,$Q562-$C$3,$R562,3)</f>
        <v>9.9509688054344972E-2</v>
      </c>
      <c r="AB562" s="456">
        <f>((_xll.xSPRDOPT($L562+AB$5,$J562,$I562,$M562,$O562,$N562,$P562,$Q562-$C$3,$R562,3)*$H562)/10000)/100</f>
        <v>1.4926453208151747E-2</v>
      </c>
      <c r="AC562" s="456">
        <f>((_xll.xSPRDOPT($L562+$AB$5,$J562,$I562,$M562,$O562,$N562,$P562,$Q562-$C$3,$R562,7)*$H562)/100)</f>
        <v>-324.43639749707108</v>
      </c>
      <c r="AD562" s="456">
        <f>(_xll.xSPRDOPT($L562+$AB$5,$J562,$I562,$M562,$O562,$N562,$P562,$Q562-$C$3,$R562,9)/365)*$H562</f>
        <v>-43.966621538496035</v>
      </c>
      <c r="AE562">
        <f t="shared" si="613"/>
        <v>0</v>
      </c>
      <c r="AF562" s="456">
        <f t="shared" si="664"/>
        <v>164.03038798602125</v>
      </c>
      <c r="AG562" s="456">
        <f>((_xll.xSPRDOPT($L562,$J562,$I562,$M562,$O562,$N562,$P562,$Q562-$C$3,$R562,6)*$H562)/100)</f>
        <v>68.199309410585258</v>
      </c>
      <c r="AH562" s="456">
        <f>((_xll.xSPRDOPT($L562,$J562,$I562,$M562,$O562,$N562,$P562,$Q562-$C$3,$R562,5)*$H562)/100)</f>
        <v>98.820609622849929</v>
      </c>
      <c r="AI562" s="456">
        <f>(((_xll.xSPRDOPT($L562,$J562,$I562,$M562,$O562,$N562,$P562,$Q562-$C$3,$R562,4)*$H562)/10000)/100)-AB562</f>
        <v>8.5433017319406727E-3</v>
      </c>
      <c r="AJ562" s="456"/>
      <c r="AK562" s="456"/>
      <c r="AL562" s="456"/>
      <c r="CC562" s="141">
        <f t="shared" si="682"/>
        <v>36831</v>
      </c>
      <c r="CD562" s="234">
        <f>_xll.xSPRDOPT((VLOOKUP(G562,NGPrices,2,FALSE)+HLOOKUP(D562,Prices,VLOOKUP(G562,move_down,2,FALSE),FALSE)),VLOOKUP(G562,NGPrices,2,FALSE),I562,VLOOKUP(G562,NGPREVPRICES,4,FALSE),HLOOKUP(D562,PREVVOLS,VLOOKUP(G562,MOVE_DOWN2,2,FALSE),FALSE),VLOOKUP(G562,NGPREVPRICES,3,FALSE),HLOOKUP(D562,Correllate,VLOOKUP(G562,CorMove,2,FALSE),FALSE),Q562-$CD$3,R562,$CD$5)*H562-CJ562</f>
        <v>0</v>
      </c>
      <c r="CE562" s="234">
        <f>_xll.xSPRDOPT((VLOOKUP(G562,NGPREVPRICES,2,FALSE)+HLOOKUP(D562,PREVCURVES,VLOOKUP(G562,MOVE_DOWN2,2,FALSE),FALSE)),VLOOKUP(G562,NGPREVPRICES,2,FALSE),CK562,VLOOKUP(G562,NGPrices,4,FALSE),HLOOKUP(D562,PREVVOLS,VLOOKUP(G562,MOVE_DOWN2,2,FALSE),FALSE),VLOOKUP(G562,NGPREVPRICES,3,FALSE),HLOOKUP(D562,Correllate,VLOOKUP(G562,CorMove,2,FALSE),FALSE),Q562-$CD$3,R562,$CJ$5)*H562-CJ562</f>
        <v>0</v>
      </c>
      <c r="CF562" s="10">
        <f t="shared" si="683"/>
        <v>-34.638988383259857</v>
      </c>
      <c r="CG562" s="234">
        <f>_xll.xSPRDOPT((VLOOKUP(G562,NGPREVPRICES,2,FALSE)+HLOOKUP(D562,PREVCURVES,VLOOKUP(G562,MOVE_DOWN2,2,FALSE),FALSE)),VLOOKUP(G562,NGPREVPRICES,2,FALSE),CK562,VLOOKUP(G562,NGPREVPRICES,4,FALSE),HLOOKUP(D562,VOLS,VLOOKUP(G562,move_down,2,FALSE),FALSE),VLOOKUP(G562,NGPrices,3,FALSE),HLOOKUP(D562,Correllate,VLOOKUP(G562,CorMove,2,FALSE),FALSE),Q562-$CD$3,R562,$CJ$5)*H562-CJ562</f>
        <v>0</v>
      </c>
      <c r="CH562" s="234">
        <f>_xll.xSPRDOPT((VLOOKUP(G562,NGPREVPRICES,2,FALSE)+HLOOKUP(D562,PREVCURVES,VLOOKUP(G562,MOVE_DOWN2,2,FALSE),FALSE)),VLOOKUP(G562,NGPREVPRICES,2,FALSE),CK562,VLOOKUP(G562,NGPREVPRICES,4,FALSE),HLOOKUP(D562,PREVVOLS,VLOOKUP(G562,MOVE_DOWN2,2,FALSE),FALSE),VLOOKUP(G562,NGPREVPRICES,3,FALSE),HLOOKUP(D562,Correllate,VLOOKUP(G562,CorMove,2,FALSE),FALSE),Q562-$C$3,R562,$CJ$5)*H562-CJ562</f>
        <v>-44.538393680995796</v>
      </c>
      <c r="CI562" s="234">
        <f t="shared" si="684"/>
        <v>-79.177382064255653</v>
      </c>
      <c r="CJ562" s="234">
        <f>_xll.xSPRDOPT((VLOOKUP(G562,NGPREVPRICES,2,FALSE)+HLOOKUP(D562,PREVCURVES,VLOOKUP(G562,MOVE_DOWN2,2,FALSE),FALSE)),VLOOKUP(G562,NGPREVPRICES,2,FALSE),CK562,VLOOKUP(G562,NGPREVPRICES,4,FALSE),HLOOKUP(D562,PREVVOLS,VLOOKUP(G562,MOVE_DOWN2,2,FALSE),FALSE),VLOOKUP(G562,NGPREVPRICES,3,FALSE),HLOOKUP(D562,Correllate,VLOOKUP(G562,CorMove,2,FALSE),FALSE),Q562-$CD$3,R562,$CJ$5)*H562</f>
        <v>186521.28572537468</v>
      </c>
      <c r="CK562" s="235">
        <f t="shared" si="685"/>
        <v>0.3</v>
      </c>
      <c r="CM562" t="str">
        <f t="shared" si="686"/>
        <v>36831Curve Shift/Gamma</v>
      </c>
      <c r="CN562" t="str">
        <f t="shared" si="665"/>
        <v>36831Rho</v>
      </c>
      <c r="CO562" t="str">
        <f t="shared" si="666"/>
        <v>36831Drift</v>
      </c>
      <c r="CP562" t="str">
        <f t="shared" si="667"/>
        <v>36831Vega</v>
      </c>
      <c r="CQ562" t="str">
        <f t="shared" si="668"/>
        <v>36831Theta</v>
      </c>
    </row>
    <row r="563" spans="1:95" x14ac:dyDescent="0.25">
      <c r="A563" s="140" t="s">
        <v>383</v>
      </c>
      <c r="B563" t="s">
        <v>250</v>
      </c>
      <c r="C563" t="s">
        <v>533</v>
      </c>
      <c r="D563" s="4" t="s">
        <v>190</v>
      </c>
      <c r="E563" t="s">
        <v>20</v>
      </c>
      <c r="F563" t="s">
        <v>21</v>
      </c>
      <c r="G563" s="5">
        <v>36800</v>
      </c>
      <c r="H563" s="130">
        <v>620000</v>
      </c>
      <c r="I563">
        <v>0.85</v>
      </c>
      <c r="J563" s="53">
        <f t="shared" si="669"/>
        <v>4.6920000000000002</v>
      </c>
      <c r="K563" s="7">
        <f t="shared" si="670"/>
        <v>1.99</v>
      </c>
      <c r="L563" s="53">
        <f t="shared" si="671"/>
        <v>6.6820000000000004</v>
      </c>
      <c r="M563" s="157">
        <f t="shared" si="672"/>
        <v>6.8050789414654006E-2</v>
      </c>
      <c r="N563" s="4">
        <f t="shared" si="673"/>
        <v>0.57499999999999996</v>
      </c>
      <c r="O563" s="4">
        <f t="shared" si="674"/>
        <v>0.54100000000000004</v>
      </c>
      <c r="P563" s="9">
        <f t="shared" si="675"/>
        <v>0.83</v>
      </c>
      <c r="Q563" s="5">
        <f t="shared" si="612"/>
        <v>36797</v>
      </c>
      <c r="R563" s="4">
        <f t="shared" si="676"/>
        <v>1</v>
      </c>
      <c r="S563" s="158">
        <f>_xll.xSPRDOPT($L563,$J563,$I563,$M563,$O563,$N563,$P563,$Q563-$C$3,$R563,0)</f>
        <v>1.1366660203874439</v>
      </c>
      <c r="T563" s="159">
        <f>_xll.xSPRDOPT($L563,$J563,$I563,$M563,$O563,$N563,$P563,$Q563-$C$3,$R563,1)*H563</f>
        <v>607705.09225125925</v>
      </c>
      <c r="U563" s="160">
        <f t="shared" si="677"/>
        <v>704732.93264021527</v>
      </c>
      <c r="V563" s="159">
        <f>_xll.xSPRDOPT($L563,$J563,$I563,$M563,$O563,$N563,$P563,$Q563-$C$3,$R563,2)*H563</f>
        <v>-605459.70481297164</v>
      </c>
      <c r="W563" s="159">
        <f t="shared" si="678"/>
        <v>2245.3874382876093</v>
      </c>
      <c r="X563" s="51" t="str">
        <f t="shared" si="679"/>
        <v>36800NGI-SOCAL</v>
      </c>
      <c r="Y563" s="418">
        <f t="shared" si="680"/>
        <v>62</v>
      </c>
      <c r="Z563" s="456">
        <f t="shared" si="681"/>
        <v>0.98016950363106325</v>
      </c>
      <c r="AA563" s="456">
        <f>_xll.xSPRDOPT($L563,$J563,$I563,$M563,$O563,$N563,$P563,$Q563-$C$3,$R563,3)</f>
        <v>6.2084772602896347E-2</v>
      </c>
      <c r="AB563" s="456">
        <f>((_xll.xSPRDOPT($L563+AB$5,$J563,$I563,$M563,$O563,$N563,$P563,$Q563-$C$3,$R563,3)*$H563)/10000)/100</f>
        <v>3.8492559013795738E-2</v>
      </c>
      <c r="AC563" s="456">
        <f>((_xll.xSPRDOPT($L563+$AB$5,$J563,$I563,$M563,$O563,$N563,$P563,$Q563-$C$3,$R563,7)*$H563)/100)</f>
        <v>-374.32169232792285</v>
      </c>
      <c r="AD563" s="456">
        <f>(_xll.xSPRDOPT($L563+$AB$5,$J563,$I563,$M563,$O563,$N563,$P563,$Q563-$C$3,$R563,9)/365)*$H563</f>
        <v>-87.323337674248165</v>
      </c>
      <c r="AE563">
        <f t="shared" si="613"/>
        <v>0</v>
      </c>
      <c r="AF563" s="456">
        <f t="shared" si="664"/>
        <v>228.0672187606219</v>
      </c>
      <c r="AG563" s="456">
        <f>((_xll.xSPRDOPT($L563,$J563,$I563,$M563,$O563,$N563,$P563,$Q563-$C$3,$R563,6)*$H563)/100)</f>
        <v>49.827221759375767</v>
      </c>
      <c r="AH563" s="456">
        <f>((_xll.xSPRDOPT($L563,$J563,$I563,$M563,$O563,$N563,$P563,$Q563-$C$3,$R563,5)*$H563)/100)</f>
        <v>189.44177130446676</v>
      </c>
      <c r="AI563" s="456">
        <f>(((_xll.xSPRDOPT($L563,$J563,$I563,$M563,$O563,$N563,$P563,$Q563-$C$3,$R563,4)*$H563)/10000)/100)-AB563</f>
        <v>1.8265958685525864E-2</v>
      </c>
      <c r="AJ563" s="456"/>
      <c r="AK563" s="456"/>
      <c r="AL563" s="456"/>
      <c r="CC563" s="141">
        <f t="shared" si="682"/>
        <v>36800</v>
      </c>
      <c r="CD563" s="234">
        <f>_xll.xSPRDOPT((VLOOKUP(G563,NGPrices,2,FALSE)+HLOOKUP(D563,Prices,VLOOKUP(G563,move_down,2,FALSE),FALSE)),VLOOKUP(G563,NGPrices,2,FALSE),I563,VLOOKUP(G563,NGPREVPRICES,4,FALSE),HLOOKUP(D563,PREVVOLS,VLOOKUP(G563,MOVE_DOWN2,2,FALSE),FALSE),VLOOKUP(G563,NGPREVPRICES,3,FALSE),HLOOKUP(D563,Correllate,VLOOKUP(G563,CorMove,2,FALSE),FALSE),Q563-$CD$3,R563,$CD$5)*H563-CJ563</f>
        <v>0</v>
      </c>
      <c r="CE563" s="234">
        <f>_xll.xSPRDOPT((VLOOKUP(G563,NGPREVPRICES,2,FALSE)+HLOOKUP(D563,PREVCURVES,VLOOKUP(G563,MOVE_DOWN2,2,FALSE),FALSE)),VLOOKUP(G563,NGPREVPRICES,2,FALSE),CK563,VLOOKUP(G563,NGPrices,4,FALSE),HLOOKUP(D563,PREVVOLS,VLOOKUP(G563,MOVE_DOWN2,2,FALSE),FALSE),VLOOKUP(G563,NGPREVPRICES,3,FALSE),HLOOKUP(D563,Correllate,VLOOKUP(G563,CorMove,2,FALSE),FALSE),Q563-$CD$3,R563,$CJ$5)*H563-CJ563</f>
        <v>0</v>
      </c>
      <c r="CF563" s="10">
        <f t="shared" si="683"/>
        <v>-129.93884488171898</v>
      </c>
      <c r="CG563" s="234">
        <f>_xll.xSPRDOPT((VLOOKUP(G563,NGPREVPRICES,2,FALSE)+HLOOKUP(D563,PREVCURVES,VLOOKUP(G563,MOVE_DOWN2,2,FALSE),FALSE)),VLOOKUP(G563,NGPREVPRICES,2,FALSE),CK563,VLOOKUP(G563,NGPREVPRICES,4,FALSE),HLOOKUP(D563,VOLS,VLOOKUP(G563,move_down,2,FALSE),FALSE),VLOOKUP(G563,NGPrices,3,FALSE),HLOOKUP(D563,Correllate,VLOOKUP(G563,CorMove,2,FALSE),FALSE),Q563-$CD$3,R563,$CJ$5)*H563-CJ563</f>
        <v>0</v>
      </c>
      <c r="CH563" s="234">
        <f>_xll.xSPRDOPT((VLOOKUP(G563,NGPREVPRICES,2,FALSE)+HLOOKUP(D563,PREVCURVES,VLOOKUP(G563,MOVE_DOWN2,2,FALSE),FALSE)),VLOOKUP(G563,NGPREVPRICES,2,FALSE),CK563,VLOOKUP(G563,NGPREVPRICES,4,FALSE),HLOOKUP(D563,PREVVOLS,VLOOKUP(G563,MOVE_DOWN2,2,FALSE),FALSE),VLOOKUP(G563,NGPREVPRICES,3,FALSE),HLOOKUP(D563,Correllate,VLOOKUP(G563,CorMove,2,FALSE),FALSE),Q563-$C$3,R563,$CJ$5)*H563-CJ563</f>
        <v>-93.755506661371328</v>
      </c>
      <c r="CI563" s="234">
        <f t="shared" si="684"/>
        <v>-223.69435154309031</v>
      </c>
      <c r="CJ563" s="234">
        <f>_xll.xSPRDOPT((VLOOKUP(G563,NGPREVPRICES,2,FALSE)+HLOOKUP(D563,PREVCURVES,VLOOKUP(G563,MOVE_DOWN2,2,FALSE),FALSE)),VLOOKUP(G563,NGPREVPRICES,2,FALSE),CK563,VLOOKUP(G563,NGPREVPRICES,4,FALSE),HLOOKUP(D563,PREVVOLS,VLOOKUP(G563,MOVE_DOWN2,2,FALSE),FALSE),VLOOKUP(G563,NGPREVPRICES,3,FALSE),HLOOKUP(D563,Correllate,VLOOKUP(G563,CorMove,2,FALSE),FALSE),Q563-$CD$3,R563,$CJ$5)*H563</f>
        <v>704826.68814687664</v>
      </c>
      <c r="CK563" s="235">
        <f t="shared" si="685"/>
        <v>0.85</v>
      </c>
      <c r="CM563" t="str">
        <f t="shared" si="686"/>
        <v>36800Curve Shift/Gamma</v>
      </c>
      <c r="CN563" t="str">
        <f t="shared" si="665"/>
        <v>36800Rho</v>
      </c>
      <c r="CO563" t="str">
        <f t="shared" si="666"/>
        <v>36800Drift</v>
      </c>
      <c r="CP563" t="str">
        <f t="shared" si="667"/>
        <v>36800Vega</v>
      </c>
      <c r="CQ563" t="str">
        <f t="shared" si="668"/>
        <v>36800Theta</v>
      </c>
    </row>
    <row r="564" spans="1:95" x14ac:dyDescent="0.25">
      <c r="A564" s="140" t="s">
        <v>383</v>
      </c>
      <c r="B564" t="s">
        <v>250</v>
      </c>
      <c r="C564" t="s">
        <v>533</v>
      </c>
      <c r="D564" s="4" t="s">
        <v>190</v>
      </c>
      <c r="E564" t="s">
        <v>20</v>
      </c>
      <c r="F564" t="s">
        <v>21</v>
      </c>
      <c r="G564" s="5">
        <v>36770</v>
      </c>
      <c r="H564" s="130">
        <v>600000</v>
      </c>
      <c r="I564">
        <v>0.85</v>
      </c>
      <c r="J564" s="53">
        <f t="shared" si="669"/>
        <v>4.6849999999999996</v>
      </c>
      <c r="K564" s="7">
        <f t="shared" si="670"/>
        <v>2.5</v>
      </c>
      <c r="L564" s="53">
        <f t="shared" si="671"/>
        <v>7.1849999999999996</v>
      </c>
      <c r="M564" s="157">
        <f t="shared" si="672"/>
        <v>6.7216196212184998E-2</v>
      </c>
      <c r="N564" s="4">
        <f t="shared" si="673"/>
        <v>0.4</v>
      </c>
      <c r="O564" s="4">
        <f t="shared" si="674"/>
        <v>0.376</v>
      </c>
      <c r="P564" s="9">
        <f t="shared" si="675"/>
        <v>0.83</v>
      </c>
      <c r="Q564" s="5">
        <f t="shared" si="612"/>
        <v>36768</v>
      </c>
      <c r="R564" s="4">
        <f t="shared" si="676"/>
        <v>1</v>
      </c>
      <c r="S564" s="158">
        <f>_xll.xSPRDOPT($L564,$J564,$I564,$M564,$O564,$N564,$P564,$Q564-$C$3,$R564,0)</f>
        <v>1.649696598204595</v>
      </c>
      <c r="T564" s="159">
        <f>_xll.xSPRDOPT($L564,$J564,$I564,$M564,$O564,$N564,$P564,$Q564-$C$3,$R564,1)*H564</f>
        <v>599889.67205310089</v>
      </c>
      <c r="U564" s="160">
        <f t="shared" si="677"/>
        <v>989817.95892275707</v>
      </c>
      <c r="V564" s="159">
        <f>_xll.xSPRDOPT($L564,$J564,$I564,$M564,$O564,$N564,$P564,$Q564-$C$3,$R564,2)*H564</f>
        <v>-599889.69600839086</v>
      </c>
      <c r="W564" s="159">
        <f t="shared" si="678"/>
        <v>-2.3955289972946048E-2</v>
      </c>
      <c r="X564" s="51" t="str">
        <f t="shared" si="679"/>
        <v>36770NGI-SOCAL</v>
      </c>
      <c r="Y564" s="418">
        <f t="shared" si="680"/>
        <v>60</v>
      </c>
      <c r="Z564" s="456">
        <f t="shared" si="681"/>
        <v>0.99981612008850151</v>
      </c>
      <c r="AA564" s="456">
        <f>_xll.xSPRDOPT($L564,$J564,$I564,$M564,$O564,$N564,$P564,$Q564-$C$3,$R564,3)</f>
        <v>1.1894092208873234E-120</v>
      </c>
      <c r="AB564" s="456">
        <f>((_xll.xSPRDOPT($L564+AB$5,$J564,$I564,$M564,$O564,$N564,$P564,$Q564-$C$3,$R564,3)*$H564)/10000)/100</f>
        <v>7.1364553253239404E-121</v>
      </c>
      <c r="AC564" s="456">
        <f>((_xll.xSPRDOPT($L564+$AB$5,$J564,$I564,$M564,$O564,$N564,$P564,$Q564-$C$3,$R564,7)*$H564)/100)</f>
        <v>-2.254954557270887E-4</v>
      </c>
      <c r="AD564" s="456">
        <f>(_xll.xSPRDOPT($L564+$AB$5,$J564,$I564,$M564,$O564,$N564,$P564,$Q564-$C$3,$R564,9)/365)*$H564</f>
        <v>182.278890691779</v>
      </c>
      <c r="AE564">
        <f t="shared" si="613"/>
        <v>0</v>
      </c>
      <c r="AF564" s="456">
        <f t="shared" si="664"/>
        <v>6.1131950338281114E-7</v>
      </c>
      <c r="AG564" s="456">
        <f>((_xll.xSPRDOPT($L564,$J564,$I564,$M564,$O564,$N564,$P564,$Q564-$C$3,$R564,6)*$H564)/100)</f>
        <v>6.3299400632305593E-6</v>
      </c>
      <c r="AH564" s="456">
        <f>((_xll.xSPRDOPT($L564,$J564,$I564,$M564,$O564,$N564,$P564,$Q564-$C$3,$R564,5)*$H564)/100)</f>
        <v>-6.0836388934550515E-6</v>
      </c>
      <c r="AI564" s="456">
        <f>(((_xll.xSPRDOPT($L564,$J564,$I564,$M564,$O564,$N564,$P564,$Q564-$C$3,$R564,4)*$H564)/10000)/100)-AB564</f>
        <v>-2.086881444477176E-5</v>
      </c>
      <c r="AJ564" s="456"/>
      <c r="AK564" s="456"/>
      <c r="AL564" s="456"/>
      <c r="CC564" s="141">
        <f t="shared" si="682"/>
        <v>36770</v>
      </c>
      <c r="CD564" s="234">
        <f>_xll.xSPRDOPT((VLOOKUP(G564,NGPrices,2,FALSE)+HLOOKUP(D564,Prices,VLOOKUP(G564,move_down,2,FALSE),FALSE)),VLOOKUP(G564,NGPrices,2,FALSE),I564,VLOOKUP(G564,NGPREVPRICES,4,FALSE),HLOOKUP(D564,PREVVOLS,VLOOKUP(G564,MOVE_DOWN2,2,FALSE),FALSE),VLOOKUP(G564,NGPREVPRICES,3,FALSE),HLOOKUP(D564,Correllate,VLOOKUP(G564,CorMove,2,FALSE),FALSE),Q564-$CD$3,R564,$CD$5)*H564-CJ564</f>
        <v>0</v>
      </c>
      <c r="CE564" s="234">
        <f>_xll.xSPRDOPT((VLOOKUP(G564,NGPREVPRICES,2,FALSE)+HLOOKUP(D564,PREVCURVES,VLOOKUP(G564,MOVE_DOWN2,2,FALSE),FALSE)),VLOOKUP(G564,NGPREVPRICES,2,FALSE),CK564,VLOOKUP(G564,NGPrices,4,FALSE),HLOOKUP(D564,PREVVOLS,VLOOKUP(G564,MOVE_DOWN2,2,FALSE),FALSE),VLOOKUP(G564,NGPREVPRICES,3,FALSE),HLOOKUP(D564,Correllate,VLOOKUP(G564,CorMove,2,FALSE),FALSE),Q564-$CD$3,R564,$CJ$5)*H564-CJ564</f>
        <v>0</v>
      </c>
      <c r="CF564" s="10">
        <f t="shared" si="683"/>
        <v>-180.33711780572776</v>
      </c>
      <c r="CG564" s="234">
        <f>_xll.xSPRDOPT((VLOOKUP(G564,NGPREVPRICES,2,FALSE)+HLOOKUP(D564,PREVCURVES,VLOOKUP(G564,MOVE_DOWN2,2,FALSE),FALSE)),VLOOKUP(G564,NGPREVPRICES,2,FALSE),CK564,VLOOKUP(G564,NGPREVPRICES,4,FALSE),HLOOKUP(D564,VOLS,VLOOKUP(G564,move_down,2,FALSE),FALSE),VLOOKUP(G564,NGPrices,3,FALSE),HLOOKUP(D564,Correllate,VLOOKUP(G564,CorMove,2,FALSE),FALSE),Q564-$CD$3,R564,$CJ$5)*H564-CJ564</f>
        <v>0</v>
      </c>
      <c r="CH564" s="234">
        <f>_xll.xSPRDOPT((VLOOKUP(G564,NGPREVPRICES,2,FALSE)+HLOOKUP(D564,PREVCURVES,VLOOKUP(G564,MOVE_DOWN2,2,FALSE),FALSE)),VLOOKUP(G564,NGPREVPRICES,2,FALSE),CK564,VLOOKUP(G564,NGPREVPRICES,4,FALSE),HLOOKUP(D564,PREVVOLS,VLOOKUP(G564,MOVE_DOWN2,2,FALSE),FALSE),VLOOKUP(G564,NGPREVPRICES,3,FALSE),HLOOKUP(D564,Correllate,VLOOKUP(G564,CorMove,2,FALSE),FALSE),Q564-$C$3,R564,$CJ$5)*H564-CJ564</f>
        <v>182.13736790313851</v>
      </c>
      <c r="CI564" s="234">
        <f t="shared" si="684"/>
        <v>1.8002500974107534</v>
      </c>
      <c r="CJ564" s="234">
        <f>_xll.xSPRDOPT((VLOOKUP(G564,NGPREVPRICES,2,FALSE)+HLOOKUP(D564,PREVCURVES,VLOOKUP(G564,MOVE_DOWN2,2,FALSE),FALSE)),VLOOKUP(G564,NGPREVPRICES,2,FALSE),CK564,VLOOKUP(G564,NGPREVPRICES,4,FALSE),HLOOKUP(D564,PREVVOLS,VLOOKUP(G564,MOVE_DOWN2,2,FALSE),FALSE),VLOOKUP(G564,NGPREVPRICES,3,FALSE),HLOOKUP(D564,Correllate,VLOOKUP(G564,CorMove,2,FALSE),FALSE),Q564-$CD$3,R564,$CJ$5)*H564</f>
        <v>989635.82155485393</v>
      </c>
      <c r="CK564" s="235">
        <f t="shared" si="685"/>
        <v>0.85</v>
      </c>
      <c r="CM564" t="str">
        <f t="shared" si="686"/>
        <v>36770Curve Shift/Gamma</v>
      </c>
      <c r="CN564" t="str">
        <f t="shared" si="665"/>
        <v>36770Rho</v>
      </c>
      <c r="CO564" t="str">
        <f t="shared" si="666"/>
        <v>36770Drift</v>
      </c>
      <c r="CP564" t="str">
        <f t="shared" si="667"/>
        <v>36770Vega</v>
      </c>
      <c r="CQ564" t="str">
        <f t="shared" si="668"/>
        <v>36770Theta</v>
      </c>
    </row>
    <row r="565" spans="1:95" x14ac:dyDescent="0.25">
      <c r="A565" s="140" t="s">
        <v>383</v>
      </c>
      <c r="B565" t="s">
        <v>250</v>
      </c>
      <c r="C565" t="s">
        <v>534</v>
      </c>
      <c r="D565" s="4" t="s">
        <v>190</v>
      </c>
      <c r="E565" t="s">
        <v>20</v>
      </c>
      <c r="F565" t="s">
        <v>1</v>
      </c>
      <c r="G565" s="5">
        <v>36800</v>
      </c>
      <c r="H565" s="130">
        <v>-620000</v>
      </c>
      <c r="I565">
        <v>0.5</v>
      </c>
      <c r="J565" s="53">
        <f t="shared" si="669"/>
        <v>4.6920000000000002</v>
      </c>
      <c r="K565" s="7">
        <f t="shared" si="670"/>
        <v>1.99</v>
      </c>
      <c r="L565" s="53">
        <f t="shared" si="671"/>
        <v>6.6820000000000004</v>
      </c>
      <c r="M565" s="157">
        <f t="shared" si="672"/>
        <v>6.8050789414654006E-2</v>
      </c>
      <c r="N565" s="4">
        <f t="shared" si="673"/>
        <v>0.57499999999999996</v>
      </c>
      <c r="O565" s="4">
        <f t="shared" si="674"/>
        <v>0.54100000000000004</v>
      </c>
      <c r="P565" s="9">
        <f t="shared" si="675"/>
        <v>0.83</v>
      </c>
      <c r="Q565" s="5">
        <f t="shared" si="612"/>
        <v>36797</v>
      </c>
      <c r="R565" s="4">
        <f t="shared" si="676"/>
        <v>0</v>
      </c>
      <c r="S565" s="158">
        <f>_xll.xSPRDOPT($L565,$J565,$I565,$M565,$O565,$N565,$P565,$Q565-$C$3,$R565,0)</f>
        <v>3.5282671755515471E-4</v>
      </c>
      <c r="T565" s="159">
        <f>_xll.xSPRDOPT($L565,$J565,$I565,$M565,$O565,$N565,$P565,$Q565-$C$3,$R565,1)*H565</f>
        <v>1226.3783137231176</v>
      </c>
      <c r="U565" s="160">
        <f t="shared" si="677"/>
        <v>-218.75256488419592</v>
      </c>
      <c r="V565" s="159">
        <f>_xll.xSPRDOPT($L565,$J565,$I565,$M565,$O565,$N565,$P565,$Q565-$C$3,$R565,2)*H565</f>
        <v>-1638.8301713260801</v>
      </c>
      <c r="W565" s="159">
        <f t="shared" si="678"/>
        <v>-412.45185760296249</v>
      </c>
      <c r="X565" s="51" t="str">
        <f t="shared" si="679"/>
        <v>36800NGI-SOCAL</v>
      </c>
      <c r="Y565" s="418">
        <f t="shared" si="680"/>
        <v>-62</v>
      </c>
      <c r="Z565" s="456">
        <f t="shared" si="681"/>
        <v>-1.978029538263093E-3</v>
      </c>
      <c r="AA565" s="456">
        <f>_xll.xSPRDOPT($L565,$J565,$I565,$M565,$O565,$N565,$P565,$Q565-$C$3,$R565,3)</f>
        <v>1.05276084778876E-2</v>
      </c>
      <c r="AB565" s="456">
        <f>((_xll.xSPRDOPT($L565+AB$5,$J565,$I565,$M565,$O565,$N565,$P565,$Q565-$C$3,$R565,3)*$H565)/10000)/100</f>
        <v>-6.5271172562903126E-3</v>
      </c>
      <c r="AC565" s="456">
        <f>((_xll.xSPRDOPT($L565+$AB$5,$J565,$I565,$M565,$O565,$N565,$P565,$Q565-$C$3,$R565,7)*$H565)/100)</f>
        <v>67.974019144225608</v>
      </c>
      <c r="AD565" s="456">
        <f>(_xll.xSPRDOPT($L565+$AB$5,$J565,$I565,$M565,$O565,$N565,$P565,$Q565-$C$3,$R565,9)/365)*$H565</f>
        <v>38.629589777820648</v>
      </c>
      <c r="AE565">
        <f t="shared" si="613"/>
        <v>0</v>
      </c>
      <c r="AF565" s="456">
        <f t="shared" si="664"/>
        <v>-40.324072590197652</v>
      </c>
      <c r="AG565" s="456">
        <f>((_xll.xSPRDOPT($L565,$J565,$I565,$M565,$O565,$N565,$P565,$Q565-$C$3,$R565,6)*$H565)/100)</f>
        <v>-16.615284790754316</v>
      </c>
      <c r="AH565" s="456">
        <f>((_xll.xSPRDOPT($L565,$J565,$I565,$M565,$O565,$N565,$P565,$Q565-$C$3,$R565,5)*$H565)/100)</f>
        <v>-25.198804038225354</v>
      </c>
      <c r="AI565" s="456">
        <f>(((_xll.xSPRDOPT($L565,$J565,$I565,$M565,$O565,$N565,$P565,$Q565-$C$3,$R565,4)*$H565)/10000)/100)-AB565</f>
        <v>-4.508321046171675E-3</v>
      </c>
      <c r="AJ565" s="456"/>
      <c r="AK565" s="456"/>
      <c r="AL565" s="456"/>
      <c r="CC565" s="141">
        <f t="shared" si="682"/>
        <v>36800</v>
      </c>
      <c r="CD565" s="234">
        <f>_xll.xSPRDOPT((VLOOKUP(G565,NGPrices,2,FALSE)+HLOOKUP(D565,Prices,VLOOKUP(G565,move_down,2,FALSE),FALSE)),VLOOKUP(G565,NGPrices,2,FALSE),I565,VLOOKUP(G565,NGPREVPRICES,4,FALSE),HLOOKUP(D565,PREVVOLS,VLOOKUP(G565,MOVE_DOWN2,2,FALSE),FALSE),VLOOKUP(G565,NGPREVPRICES,3,FALSE),HLOOKUP(D565,Correllate,VLOOKUP(G565,CorMove,2,FALSE),FALSE),Q565-$CD$3,R565,$CD$5)*H565-CJ565</f>
        <v>0</v>
      </c>
      <c r="CE565" s="234">
        <f>_xll.xSPRDOPT((VLOOKUP(G565,NGPREVPRICES,2,FALSE)+HLOOKUP(D565,PREVCURVES,VLOOKUP(G565,MOVE_DOWN2,2,FALSE),FALSE)),VLOOKUP(G565,NGPREVPRICES,2,FALSE),CK565,VLOOKUP(G565,NGPrices,4,FALSE),HLOOKUP(D565,PREVVOLS,VLOOKUP(G565,MOVE_DOWN2,2,FALSE),FALSE),VLOOKUP(G565,NGPREVPRICES,3,FALSE),HLOOKUP(D565,Correllate,VLOOKUP(G565,CorMove,2,FALSE),FALSE),Q565-$CD$3,R565,$CJ$5)*H565-CJ565</f>
        <v>0</v>
      </c>
      <c r="CF565" s="10">
        <f t="shared" si="683"/>
        <v>4.7867620649412856E-2</v>
      </c>
      <c r="CG565" s="234">
        <f>_xll.xSPRDOPT((VLOOKUP(G565,NGPREVPRICES,2,FALSE)+HLOOKUP(D565,PREVCURVES,VLOOKUP(G565,MOVE_DOWN2,2,FALSE),FALSE)),VLOOKUP(G565,NGPREVPRICES,2,FALSE),CK565,VLOOKUP(G565,NGPREVPRICES,4,FALSE),HLOOKUP(D565,VOLS,VLOOKUP(G565,move_down,2,FALSE),FALSE),VLOOKUP(G565,NGPrices,3,FALSE),HLOOKUP(D565,Correllate,VLOOKUP(G565,CorMove,2,FALSE),FALSE),Q565-$CD$3,R565,$CJ$5)*H565-CJ565</f>
        <v>0</v>
      </c>
      <c r="CH565" s="234">
        <f>_xll.xSPRDOPT((VLOOKUP(G565,NGPREVPRICES,2,FALSE)+HLOOKUP(D565,PREVCURVES,VLOOKUP(G565,MOVE_DOWN2,2,FALSE),FALSE)),VLOOKUP(G565,NGPREVPRICES,2,FALSE),CK565,VLOOKUP(G565,NGPREVPRICES,4,FALSE),HLOOKUP(D565,PREVVOLS,VLOOKUP(G565,MOVE_DOWN2,2,FALSE),FALSE),VLOOKUP(G565,NGPREVPRICES,3,FALSE),HLOOKUP(D565,Correllate,VLOOKUP(G565,CorMove,2,FALSE),FALSE),Q565-$C$3,R565,$CJ$5)*H565-CJ565</f>
        <v>40.895553140097832</v>
      </c>
      <c r="CI565" s="234">
        <f t="shared" si="684"/>
        <v>40.943420760747244</v>
      </c>
      <c r="CJ565" s="234">
        <f>_xll.xSPRDOPT((VLOOKUP(G565,NGPREVPRICES,2,FALSE)+HLOOKUP(D565,PREVCURVES,VLOOKUP(G565,MOVE_DOWN2,2,FALSE),FALSE)),VLOOKUP(G565,NGPREVPRICES,2,FALSE),CK565,VLOOKUP(G565,NGPREVPRICES,4,FALSE),HLOOKUP(D565,PREVVOLS,VLOOKUP(G565,MOVE_DOWN2,2,FALSE),FALSE),VLOOKUP(G565,NGPREVPRICES,3,FALSE),HLOOKUP(D565,Correllate,VLOOKUP(G565,CorMove,2,FALSE),FALSE),Q565-$CD$3,R565,$CJ$5)*H565</f>
        <v>-259.64811802429375</v>
      </c>
      <c r="CK565" s="235">
        <f t="shared" si="685"/>
        <v>0.5</v>
      </c>
      <c r="CM565" t="str">
        <f t="shared" si="686"/>
        <v>36800Curve Shift/Gamma</v>
      </c>
      <c r="CN565" t="str">
        <f t="shared" si="665"/>
        <v>36800Rho</v>
      </c>
      <c r="CO565" t="str">
        <f t="shared" si="666"/>
        <v>36800Drift</v>
      </c>
      <c r="CP565" t="str">
        <f t="shared" si="667"/>
        <v>36800Vega</v>
      </c>
      <c r="CQ565" t="str">
        <f t="shared" si="668"/>
        <v>36800Theta</v>
      </c>
    </row>
    <row r="566" spans="1:95" x14ac:dyDescent="0.25">
      <c r="A566" s="140" t="s">
        <v>383</v>
      </c>
      <c r="B566" t="s">
        <v>250</v>
      </c>
      <c r="C566" t="s">
        <v>534</v>
      </c>
      <c r="D566" s="4" t="s">
        <v>190</v>
      </c>
      <c r="E566" t="s">
        <v>20</v>
      </c>
      <c r="F566" t="s">
        <v>1</v>
      </c>
      <c r="G566" s="5">
        <v>36770</v>
      </c>
      <c r="H566" s="130">
        <v>-600000</v>
      </c>
      <c r="I566">
        <v>0.5</v>
      </c>
      <c r="J566" s="53">
        <f t="shared" si="669"/>
        <v>4.6849999999999996</v>
      </c>
      <c r="K566" s="7">
        <f t="shared" si="670"/>
        <v>2.5</v>
      </c>
      <c r="L566" s="53">
        <f t="shared" si="671"/>
        <v>7.1849999999999996</v>
      </c>
      <c r="M566" s="157">
        <f t="shared" si="672"/>
        <v>6.7216196212184998E-2</v>
      </c>
      <c r="N566" s="4">
        <f t="shared" si="673"/>
        <v>0.4</v>
      </c>
      <c r="O566" s="4">
        <f t="shared" si="674"/>
        <v>0.376</v>
      </c>
      <c r="P566" s="9">
        <f t="shared" si="675"/>
        <v>0.83</v>
      </c>
      <c r="Q566" s="5">
        <f t="shared" si="612"/>
        <v>36768</v>
      </c>
      <c r="R566" s="4">
        <f t="shared" si="676"/>
        <v>0</v>
      </c>
      <c r="S566" s="158">
        <f>_xll.xSPRDOPT($L566,$J566,$I566,$M566,$O566,$N566,$P566,$Q566-$C$3,$R566,0)</f>
        <v>2.6221227156231208E-7</v>
      </c>
      <c r="T566" s="159">
        <f>_xll.xSPRDOPT($L566,$J566,$I566,$M566,$O566,$N566,$P566,$Q566-$C$3,$R566,1)*H566</f>
        <v>-7.8643266432365522E-2</v>
      </c>
      <c r="U566" s="160">
        <f t="shared" si="677"/>
        <v>-0.15732736293738725</v>
      </c>
      <c r="V566" s="159">
        <f>_xll.xSPRDOPT($L566,$J566,$I566,$M566,$O566,$N566,$P566,$Q566-$C$3,$R566,2)*H566</f>
        <v>0.10259855871552759</v>
      </c>
      <c r="W566" s="159">
        <f t="shared" si="678"/>
        <v>2.3955292283162066E-2</v>
      </c>
      <c r="X566" s="51" t="str">
        <f t="shared" si="679"/>
        <v>36770NGI-SOCAL</v>
      </c>
      <c r="Y566" s="418">
        <f t="shared" si="680"/>
        <v>-60</v>
      </c>
      <c r="Z566" s="456">
        <f t="shared" si="681"/>
        <v>1.310721107206092E-7</v>
      </c>
      <c r="AA566" s="456">
        <f>_xll.xSPRDOPT($L566,$J566,$I566,$M566,$O566,$N566,$P566,$Q566-$C$3,$R566,3)</f>
        <v>1.4396013659759965E-181</v>
      </c>
      <c r="AB566" s="456">
        <f>((_xll.xSPRDOPT($L566+AB$5,$J566,$I566,$M566,$O566,$N566,$P566,$Q566-$C$3,$R566,3)*$H566)/10000)/100</f>
        <v>-8.6376081958559788E-182</v>
      </c>
      <c r="AC566" s="456">
        <f>((_xll.xSPRDOPT($L566+$AB$5,$J566,$I566,$M566,$O566,$N566,$P566,$Q566-$C$3,$R566,7)*$H566)/100)</f>
        <v>2.254954557270887E-4</v>
      </c>
      <c r="AD566" s="456">
        <f>(_xll.xSPRDOPT($L566+$AB$5,$J566,$I566,$M566,$O566,$N566,$P566,$Q566-$C$3,$R566,9)/365)*$H566</f>
        <v>-2.0687465941218084E-5</v>
      </c>
      <c r="AE566">
        <f t="shared" si="613"/>
        <v>0</v>
      </c>
      <c r="AF566" s="456">
        <f t="shared" si="664"/>
        <v>-6.3594962036036098E-7</v>
      </c>
      <c r="AG566" s="456">
        <f>((_xll.xSPRDOPT($L566,$J566,$I566,$M566,$O566,$N566,$P566,$Q566-$C$3,$R566,6)*$H566)/100)</f>
        <v>-6.3545701802081092E-6</v>
      </c>
      <c r="AH566" s="456">
        <f>((_xll.xSPRDOPT($L566,$J566,$I566,$M566,$O566,$N566,$P566,$Q566-$C$3,$R566,5)*$H566)/100)</f>
        <v>6.0836388934550515E-6</v>
      </c>
      <c r="AI566" s="456">
        <f>(((_xll.xSPRDOPT($L566,$J566,$I566,$M566,$O566,$N566,$P566,$Q566-$C$3,$R566,4)*$H566)/10000)/100)-AB566</f>
        <v>2.5307561258686909E-5</v>
      </c>
      <c r="AJ566" s="456"/>
      <c r="AK566" s="456"/>
      <c r="AL566" s="456"/>
      <c r="CC566" s="141">
        <f t="shared" si="682"/>
        <v>36770</v>
      </c>
      <c r="CD566" s="234">
        <f>_xll.xSPRDOPT((VLOOKUP(G566,NGPrices,2,FALSE)+HLOOKUP(D566,Prices,VLOOKUP(G566,move_down,2,FALSE),FALSE)),VLOOKUP(G566,NGPrices,2,FALSE),I566,VLOOKUP(G566,NGPREVPRICES,4,FALSE),HLOOKUP(D566,PREVVOLS,VLOOKUP(G566,MOVE_DOWN2,2,FALSE),FALSE),VLOOKUP(G566,NGPREVPRICES,3,FALSE),HLOOKUP(D566,Correllate,VLOOKUP(G566,CorMove,2,FALSE),FALSE),Q566-$CD$3,R566,$CD$5)*H566-CJ566</f>
        <v>0</v>
      </c>
      <c r="CE566" s="234">
        <f>_xll.xSPRDOPT((VLOOKUP(G566,NGPREVPRICES,2,FALSE)+HLOOKUP(D566,PREVCURVES,VLOOKUP(G566,MOVE_DOWN2,2,FALSE),FALSE)),VLOOKUP(G566,NGPREVPRICES,2,FALSE),CK566,VLOOKUP(G566,NGPrices,4,FALSE),HLOOKUP(D566,PREVVOLS,VLOOKUP(G566,MOVE_DOWN2,2,FALSE),FALSE),VLOOKUP(G566,NGPREVPRICES,3,FALSE),HLOOKUP(D566,Correllate,VLOOKUP(G566,CorMove,2,FALSE),FALSE),Q566-$CD$3,R566,$CJ$5)*H566-CJ566</f>
        <v>0</v>
      </c>
      <c r="CF566" s="10">
        <f t="shared" si="683"/>
        <v>2.8665334158767264E-5</v>
      </c>
      <c r="CG566" s="234">
        <f>_xll.xSPRDOPT((VLOOKUP(G566,NGPREVPRICES,2,FALSE)+HLOOKUP(D566,PREVCURVES,VLOOKUP(G566,MOVE_DOWN2,2,FALSE),FALSE)),VLOOKUP(G566,NGPREVPRICES,2,FALSE),CK566,VLOOKUP(G566,NGPREVPRICES,4,FALSE),HLOOKUP(D566,VOLS,VLOOKUP(G566,move_down,2,FALSE),FALSE),VLOOKUP(G566,NGPrices,3,FALSE),HLOOKUP(D566,Correllate,VLOOKUP(G566,CorMove,2,FALSE),FALSE),Q566-$CD$3,R566,$CJ$5)*H566-CJ566</f>
        <v>0</v>
      </c>
      <c r="CH566" s="234">
        <f>_xll.xSPRDOPT((VLOOKUP(G566,NGPREVPRICES,2,FALSE)+HLOOKUP(D566,PREVCURVES,VLOOKUP(G566,MOVE_DOWN2,2,FALSE),FALSE)),VLOOKUP(G566,NGPREVPRICES,2,FALSE),CK566,VLOOKUP(G566,NGPREVPRICES,4,FALSE),HLOOKUP(D566,PREVVOLS,VLOOKUP(G566,MOVE_DOWN2,2,FALSE),FALSE),VLOOKUP(G566,NGPREVPRICES,3,FALSE),HLOOKUP(D566,Correllate,VLOOKUP(G566,CorMove,2,FALSE),FALSE),Q566-$C$3,R566,$CJ$5)*H566-CJ566</f>
        <v>-2.0637258568712014E-5</v>
      </c>
      <c r="CI566" s="234">
        <f t="shared" si="684"/>
        <v>8.0280755900552503E-6</v>
      </c>
      <c r="CJ566" s="234">
        <f>_xll.xSPRDOPT((VLOOKUP(G566,NGPREVPRICES,2,FALSE)+HLOOKUP(D566,PREVCURVES,VLOOKUP(G566,MOVE_DOWN2,2,FALSE),FALSE)),VLOOKUP(G566,NGPREVPRICES,2,FALSE),CK566,VLOOKUP(G566,NGPREVPRICES,4,FALSE),HLOOKUP(D566,PREVVOLS,VLOOKUP(G566,MOVE_DOWN2,2,FALSE),FALSE),VLOOKUP(G566,NGPREVPRICES,3,FALSE),HLOOKUP(D566,Correllate,VLOOKUP(G566,CorMove,2,FALSE),FALSE),Q566-$CD$3,R566,$CJ$5)*H566</f>
        <v>-0.15730672567881854</v>
      </c>
      <c r="CK566" s="235">
        <f t="shared" si="685"/>
        <v>0.5</v>
      </c>
      <c r="CM566" t="str">
        <f t="shared" si="686"/>
        <v>36770Curve Shift/Gamma</v>
      </c>
      <c r="CN566" t="str">
        <f t="shared" si="665"/>
        <v>36770Rho</v>
      </c>
      <c r="CO566" t="str">
        <f t="shared" si="666"/>
        <v>36770Drift</v>
      </c>
      <c r="CP566" t="str">
        <f t="shared" si="667"/>
        <v>36770Vega</v>
      </c>
      <c r="CQ566" t="str">
        <f t="shared" si="668"/>
        <v>36770Theta</v>
      </c>
    </row>
    <row r="567" spans="1:95" x14ac:dyDescent="0.25">
      <c r="A567" s="140" t="s">
        <v>383</v>
      </c>
      <c r="B567" t="s">
        <v>250</v>
      </c>
      <c r="C567" t="s">
        <v>535</v>
      </c>
      <c r="D567" s="4" t="s">
        <v>190</v>
      </c>
      <c r="E567" t="s">
        <v>20</v>
      </c>
      <c r="F567" t="s">
        <v>1</v>
      </c>
      <c r="G567" s="5">
        <v>36800</v>
      </c>
      <c r="H567" s="130">
        <v>-155000</v>
      </c>
      <c r="I567">
        <v>0.5</v>
      </c>
      <c r="J567" s="53">
        <f t="shared" si="669"/>
        <v>4.6920000000000002</v>
      </c>
      <c r="K567" s="7">
        <f t="shared" si="670"/>
        <v>1.99</v>
      </c>
      <c r="L567" s="53">
        <f t="shared" si="671"/>
        <v>6.6820000000000004</v>
      </c>
      <c r="M567" s="157">
        <f t="shared" si="672"/>
        <v>6.8050789414654006E-2</v>
      </c>
      <c r="N567" s="4">
        <f t="shared" si="673"/>
        <v>0.57499999999999996</v>
      </c>
      <c r="O567" s="4">
        <f t="shared" si="674"/>
        <v>0.54100000000000004</v>
      </c>
      <c r="P567" s="9">
        <f t="shared" si="675"/>
        <v>0.83</v>
      </c>
      <c r="Q567" s="5">
        <f t="shared" si="612"/>
        <v>36797</v>
      </c>
      <c r="R567" s="4">
        <f t="shared" si="676"/>
        <v>0</v>
      </c>
      <c r="S567" s="158">
        <f>_xll.xSPRDOPT($L567,$J567,$I567,$M567,$O567,$N567,$P567,$Q567-$C$3,$R567,0)</f>
        <v>3.5282671755515471E-4</v>
      </c>
      <c r="T567" s="159">
        <f>_xll.xSPRDOPT($L567,$J567,$I567,$M567,$O567,$N567,$P567,$Q567-$C$3,$R567,1)*H567</f>
        <v>306.59457843077939</v>
      </c>
      <c r="U567" s="160">
        <f t="shared" si="677"/>
        <v>-54.68814122104898</v>
      </c>
      <c r="V567" s="159">
        <f>_xll.xSPRDOPT($L567,$J567,$I567,$M567,$O567,$N567,$P567,$Q567-$C$3,$R567,2)*H567</f>
        <v>-409.70754283152002</v>
      </c>
      <c r="W567" s="159">
        <f t="shared" si="678"/>
        <v>-103.11296440074062</v>
      </c>
      <c r="X567" s="51" t="str">
        <f t="shared" si="679"/>
        <v>36800NGI-SOCAL</v>
      </c>
      <c r="Y567" s="418">
        <f t="shared" si="680"/>
        <v>-15.5</v>
      </c>
      <c r="Z567" s="456">
        <f t="shared" si="681"/>
        <v>-1.978029538263093E-3</v>
      </c>
      <c r="AA567" s="456">
        <f>_xll.xSPRDOPT($L567,$J567,$I567,$M567,$O567,$N567,$P567,$Q567-$C$3,$R567,3)</f>
        <v>1.05276084778876E-2</v>
      </c>
      <c r="AB567" s="456">
        <f>((_xll.xSPRDOPT($L567+AB$5,$J567,$I567,$M567,$O567,$N567,$P567,$Q567-$C$3,$R567,3)*$H567)/10000)/100</f>
        <v>-1.6317793140725781E-3</v>
      </c>
      <c r="AC567" s="456">
        <f>((_xll.xSPRDOPT($L567+$AB$5,$J567,$I567,$M567,$O567,$N567,$P567,$Q567-$C$3,$R567,7)*$H567)/100)</f>
        <v>16.993504786056402</v>
      </c>
      <c r="AD567" s="456">
        <f>(_xll.xSPRDOPT($L567+$AB$5,$J567,$I567,$M567,$O567,$N567,$P567,$Q567-$C$3,$R567,9)/365)*$H567</f>
        <v>9.657397444455162</v>
      </c>
      <c r="AE567">
        <f t="shared" si="613"/>
        <v>0</v>
      </c>
      <c r="AF567" s="456">
        <f t="shared" si="664"/>
        <v>-10.081018147549413</v>
      </c>
      <c r="AG567" s="456">
        <f>((_xll.xSPRDOPT($L567,$J567,$I567,$M567,$O567,$N567,$P567,$Q567-$C$3,$R567,6)*$H567)/100)</f>
        <v>-4.153821197688579</v>
      </c>
      <c r="AH567" s="456">
        <f>((_xll.xSPRDOPT($L567,$J567,$I567,$M567,$O567,$N567,$P567,$Q567-$C$3,$R567,5)*$H567)/100)</f>
        <v>-6.2997010095563386</v>
      </c>
      <c r="AI567" s="456">
        <f>(((_xll.xSPRDOPT($L567,$J567,$I567,$M567,$O567,$N567,$P567,$Q567-$C$3,$R567,4)*$H567)/10000)/100)-AB567</f>
        <v>-1.1270802615429188E-3</v>
      </c>
      <c r="AJ567" s="456"/>
      <c r="AK567" s="456"/>
      <c r="AL567" s="456"/>
      <c r="CC567" s="141">
        <f t="shared" si="682"/>
        <v>36800</v>
      </c>
      <c r="CD567" s="234">
        <f>_xll.xSPRDOPT((VLOOKUP(G567,NGPrices,2,FALSE)+HLOOKUP(D567,Prices,VLOOKUP(G567,move_down,2,FALSE),FALSE)),VLOOKUP(G567,NGPrices,2,FALSE),I567,VLOOKUP(G567,NGPREVPRICES,4,FALSE),HLOOKUP(D567,PREVVOLS,VLOOKUP(G567,MOVE_DOWN2,2,FALSE),FALSE),VLOOKUP(G567,NGPREVPRICES,3,FALSE),HLOOKUP(D567,Correllate,VLOOKUP(G567,CorMove,2,FALSE),FALSE),Q567-$CD$3,R567,$CD$5)*H567-CJ567</f>
        <v>0</v>
      </c>
      <c r="CE567" s="234">
        <f>_xll.xSPRDOPT((VLOOKUP(G567,NGPREVPRICES,2,FALSE)+HLOOKUP(D567,PREVCURVES,VLOOKUP(G567,MOVE_DOWN2,2,FALSE),FALSE)),VLOOKUP(G567,NGPREVPRICES,2,FALSE),CK567,VLOOKUP(G567,NGPrices,4,FALSE),HLOOKUP(D567,PREVVOLS,VLOOKUP(G567,MOVE_DOWN2,2,FALSE),FALSE),VLOOKUP(G567,NGPREVPRICES,3,FALSE),HLOOKUP(D567,Correllate,VLOOKUP(G567,CorMove,2,FALSE),FALSE),Q567-$CD$3,R567,$CJ$5)*H567-CJ567</f>
        <v>0</v>
      </c>
      <c r="CF567" s="10">
        <f t="shared" si="683"/>
        <v>1.1966905162353214E-2</v>
      </c>
      <c r="CG567" s="234">
        <f>_xll.xSPRDOPT((VLOOKUP(G567,NGPREVPRICES,2,FALSE)+HLOOKUP(D567,PREVCURVES,VLOOKUP(G567,MOVE_DOWN2,2,FALSE),FALSE)),VLOOKUP(G567,NGPREVPRICES,2,FALSE),CK567,VLOOKUP(G567,NGPREVPRICES,4,FALSE),HLOOKUP(D567,VOLS,VLOOKUP(G567,move_down,2,FALSE),FALSE),VLOOKUP(G567,NGPrices,3,FALSE),HLOOKUP(D567,Correllate,VLOOKUP(G567,CorMove,2,FALSE),FALSE),Q567-$CD$3,R567,$CJ$5)*H567-CJ567</f>
        <v>0</v>
      </c>
      <c r="CH567" s="234">
        <f>_xll.xSPRDOPT((VLOOKUP(G567,NGPREVPRICES,2,FALSE)+HLOOKUP(D567,PREVCURVES,VLOOKUP(G567,MOVE_DOWN2,2,FALSE),FALSE)),VLOOKUP(G567,NGPREVPRICES,2,FALSE),CK567,VLOOKUP(G567,NGPREVPRICES,4,FALSE),HLOOKUP(D567,PREVVOLS,VLOOKUP(G567,MOVE_DOWN2,2,FALSE),FALSE),VLOOKUP(G567,NGPREVPRICES,3,FALSE),HLOOKUP(D567,Correllate,VLOOKUP(G567,CorMove,2,FALSE),FALSE),Q567-$C$3,R567,$CJ$5)*H567-CJ567</f>
        <v>10.223888285024458</v>
      </c>
      <c r="CI567" s="234">
        <f t="shared" si="684"/>
        <v>10.235855190186811</v>
      </c>
      <c r="CJ567" s="234">
        <f>_xll.xSPRDOPT((VLOOKUP(G567,NGPREVPRICES,2,FALSE)+HLOOKUP(D567,PREVCURVES,VLOOKUP(G567,MOVE_DOWN2,2,FALSE),FALSE)),VLOOKUP(G567,NGPREVPRICES,2,FALSE),CK567,VLOOKUP(G567,NGPREVPRICES,4,FALSE),HLOOKUP(D567,PREVVOLS,VLOOKUP(G567,MOVE_DOWN2,2,FALSE),FALSE),VLOOKUP(G567,NGPREVPRICES,3,FALSE),HLOOKUP(D567,Correllate,VLOOKUP(G567,CorMove,2,FALSE),FALSE),Q567-$CD$3,R567,$CJ$5)*H567</f>
        <v>-64.912029506073438</v>
      </c>
      <c r="CK567" s="235">
        <f t="shared" si="685"/>
        <v>0.5</v>
      </c>
      <c r="CM567" t="str">
        <f t="shared" si="686"/>
        <v>36800Curve Shift/Gamma</v>
      </c>
      <c r="CN567" t="str">
        <f t="shared" si="665"/>
        <v>36800Rho</v>
      </c>
      <c r="CO567" t="str">
        <f t="shared" si="666"/>
        <v>36800Drift</v>
      </c>
      <c r="CP567" t="str">
        <f t="shared" si="667"/>
        <v>36800Vega</v>
      </c>
      <c r="CQ567" t="str">
        <f t="shared" si="668"/>
        <v>36800Theta</v>
      </c>
    </row>
    <row r="568" spans="1:95" x14ac:dyDescent="0.25">
      <c r="A568" s="140" t="s">
        <v>383</v>
      </c>
      <c r="B568" t="s">
        <v>250</v>
      </c>
      <c r="C568" t="s">
        <v>535</v>
      </c>
      <c r="D568" s="4" t="s">
        <v>190</v>
      </c>
      <c r="E568" t="s">
        <v>20</v>
      </c>
      <c r="F568" t="s">
        <v>1</v>
      </c>
      <c r="G568" s="5">
        <v>36770</v>
      </c>
      <c r="H568" s="130">
        <v>-150000</v>
      </c>
      <c r="I568">
        <v>0.5</v>
      </c>
      <c r="J568" s="53">
        <f t="shared" si="669"/>
        <v>4.6849999999999996</v>
      </c>
      <c r="K568" s="7">
        <f t="shared" si="670"/>
        <v>2.5</v>
      </c>
      <c r="L568" s="53">
        <f t="shared" si="671"/>
        <v>7.1849999999999996</v>
      </c>
      <c r="M568" s="157">
        <f t="shared" si="672"/>
        <v>6.7216196212184998E-2</v>
      </c>
      <c r="N568" s="4">
        <f t="shared" si="673"/>
        <v>0.4</v>
      </c>
      <c r="O568" s="4">
        <f t="shared" si="674"/>
        <v>0.376</v>
      </c>
      <c r="P568" s="9">
        <f t="shared" si="675"/>
        <v>0.83</v>
      </c>
      <c r="Q568" s="5">
        <f t="shared" si="612"/>
        <v>36768</v>
      </c>
      <c r="R568" s="4">
        <f t="shared" si="676"/>
        <v>0</v>
      </c>
      <c r="S568" s="158">
        <f>_xll.xSPRDOPT($L568,$J568,$I568,$M568,$O568,$N568,$P568,$Q568-$C$3,$R568,0)</f>
        <v>2.6221227156231208E-7</v>
      </c>
      <c r="T568" s="159">
        <f>_xll.xSPRDOPT($L568,$J568,$I568,$M568,$O568,$N568,$P568,$Q568-$C$3,$R568,1)*H568</f>
        <v>-1.966081660809138E-2</v>
      </c>
      <c r="U568" s="160">
        <f t="shared" si="677"/>
        <v>-3.9331840734346812E-2</v>
      </c>
      <c r="V568" s="159">
        <f>_xll.xSPRDOPT($L568,$J568,$I568,$M568,$O568,$N568,$P568,$Q568-$C$3,$R568,2)*H568</f>
        <v>2.5649639678881897E-2</v>
      </c>
      <c r="W568" s="159">
        <f t="shared" si="678"/>
        <v>5.9888230707905166E-3</v>
      </c>
      <c r="X568" s="51" t="str">
        <f t="shared" si="679"/>
        <v>36770NGI-SOCAL</v>
      </c>
      <c r="Y568" s="418">
        <f t="shared" si="680"/>
        <v>-15</v>
      </c>
      <c r="Z568" s="456">
        <f t="shared" si="681"/>
        <v>1.310721107206092E-7</v>
      </c>
      <c r="AA568" s="456">
        <f>_xll.xSPRDOPT($L568,$J568,$I568,$M568,$O568,$N568,$P568,$Q568-$C$3,$R568,3)</f>
        <v>1.4396013659759965E-181</v>
      </c>
      <c r="AB568" s="456">
        <f>((_xll.xSPRDOPT($L568+AB$5,$J568,$I568,$M568,$O568,$N568,$P568,$Q568-$C$3,$R568,3)*$H568)/10000)/100</f>
        <v>-2.1594020489639947E-182</v>
      </c>
      <c r="AC568" s="456">
        <f>((_xll.xSPRDOPT($L568+$AB$5,$J568,$I568,$M568,$O568,$N568,$P568,$Q568-$C$3,$R568,7)*$H568)/100)</f>
        <v>5.6373863931772174E-5</v>
      </c>
      <c r="AD568" s="456">
        <f>(_xll.xSPRDOPT($L568+$AB$5,$J568,$I568,$M568,$O568,$N568,$P568,$Q568-$C$3,$R568,9)/365)*$H568</f>
        <v>-5.1718664853045209E-6</v>
      </c>
      <c r="AE568">
        <f t="shared" si="613"/>
        <v>0</v>
      </c>
      <c r="AF568" s="456">
        <f t="shared" si="664"/>
        <v>-1.5898740509009025E-7</v>
      </c>
      <c r="AG568" s="456">
        <f>((_xll.xSPRDOPT($L568,$J568,$I568,$M568,$O568,$N568,$P568,$Q568-$C$3,$R568,6)*$H568)/100)</f>
        <v>-1.5886425450520273E-6</v>
      </c>
      <c r="AH568" s="456">
        <f>((_xll.xSPRDOPT($L568,$J568,$I568,$M568,$O568,$N568,$P568,$Q568-$C$3,$R568,5)*$H568)/100)</f>
        <v>1.5209097233637629E-6</v>
      </c>
      <c r="AI568" s="456">
        <f>(((_xll.xSPRDOPT($L568,$J568,$I568,$M568,$O568,$N568,$P568,$Q568-$C$3,$R568,4)*$H568)/10000)/100)-AB568</f>
        <v>6.3268903146717274E-6</v>
      </c>
      <c r="AJ568" s="456"/>
      <c r="AK568" s="456"/>
      <c r="AL568" s="456"/>
      <c r="CC568" s="141">
        <f t="shared" si="682"/>
        <v>36770</v>
      </c>
      <c r="CD568" s="234">
        <f>_xll.xSPRDOPT((VLOOKUP(G568,NGPrices,2,FALSE)+HLOOKUP(D568,Prices,VLOOKUP(G568,move_down,2,FALSE),FALSE)),VLOOKUP(G568,NGPrices,2,FALSE),I568,VLOOKUP(G568,NGPREVPRICES,4,FALSE),HLOOKUP(D568,PREVVOLS,VLOOKUP(G568,MOVE_DOWN2,2,FALSE),FALSE),VLOOKUP(G568,NGPREVPRICES,3,FALSE),HLOOKUP(D568,Correllate,VLOOKUP(G568,CorMove,2,FALSE),FALSE),Q568-$CD$3,R568,$CD$5)*H568-CJ568</f>
        <v>0</v>
      </c>
      <c r="CE568" s="234">
        <f>_xll.xSPRDOPT((VLOOKUP(G568,NGPREVPRICES,2,FALSE)+HLOOKUP(D568,PREVCURVES,VLOOKUP(G568,MOVE_DOWN2,2,FALSE),FALSE)),VLOOKUP(G568,NGPREVPRICES,2,FALSE),CK568,VLOOKUP(G568,NGPrices,4,FALSE),HLOOKUP(D568,PREVVOLS,VLOOKUP(G568,MOVE_DOWN2,2,FALSE),FALSE),VLOOKUP(G568,NGPREVPRICES,3,FALSE),HLOOKUP(D568,Correllate,VLOOKUP(G568,CorMove,2,FALSE),FALSE),Q568-$CD$3,R568,$CJ$5)*H568-CJ568</f>
        <v>0</v>
      </c>
      <c r="CF568" s="10">
        <f t="shared" si="683"/>
        <v>7.166333539691816E-6</v>
      </c>
      <c r="CG568" s="234">
        <f>_xll.xSPRDOPT((VLOOKUP(G568,NGPREVPRICES,2,FALSE)+HLOOKUP(D568,PREVCURVES,VLOOKUP(G568,MOVE_DOWN2,2,FALSE),FALSE)),VLOOKUP(G568,NGPREVPRICES,2,FALSE),CK568,VLOOKUP(G568,NGPREVPRICES,4,FALSE),HLOOKUP(D568,VOLS,VLOOKUP(G568,move_down,2,FALSE),FALSE),VLOOKUP(G568,NGPrices,3,FALSE),HLOOKUP(D568,Correllate,VLOOKUP(G568,CorMove,2,FALSE),FALSE),Q568-$CD$3,R568,$CJ$5)*H568-CJ568</f>
        <v>0</v>
      </c>
      <c r="CH568" s="234">
        <f>_xll.xSPRDOPT((VLOOKUP(G568,NGPREVPRICES,2,FALSE)+HLOOKUP(D568,PREVCURVES,VLOOKUP(G568,MOVE_DOWN2,2,FALSE),FALSE)),VLOOKUP(G568,NGPREVPRICES,2,FALSE),CK568,VLOOKUP(G568,NGPREVPRICES,4,FALSE),HLOOKUP(D568,PREVVOLS,VLOOKUP(G568,MOVE_DOWN2,2,FALSE),FALSE),VLOOKUP(G568,NGPREVPRICES,3,FALSE),HLOOKUP(D568,Correllate,VLOOKUP(G568,CorMove,2,FALSE),FALSE),Q568-$C$3,R568,$CJ$5)*H568-CJ568</f>
        <v>-5.1593146421780034E-6</v>
      </c>
      <c r="CI568" s="234">
        <f t="shared" si="684"/>
        <v>2.0070188975138126E-6</v>
      </c>
      <c r="CJ568" s="234">
        <f>_xll.xSPRDOPT((VLOOKUP(G568,NGPREVPRICES,2,FALSE)+HLOOKUP(D568,PREVCURVES,VLOOKUP(G568,MOVE_DOWN2,2,FALSE),FALSE)),VLOOKUP(G568,NGPREVPRICES,2,FALSE),CK568,VLOOKUP(G568,NGPREVPRICES,4,FALSE),HLOOKUP(D568,PREVVOLS,VLOOKUP(G568,MOVE_DOWN2,2,FALSE),FALSE),VLOOKUP(G568,NGPREVPRICES,3,FALSE),HLOOKUP(D568,Correllate,VLOOKUP(G568,CorMove,2,FALSE),FALSE),Q568-$CD$3,R568,$CJ$5)*H568</f>
        <v>-3.9326681419704634E-2</v>
      </c>
      <c r="CK568" s="235">
        <f t="shared" si="685"/>
        <v>0.5</v>
      </c>
      <c r="CM568" t="str">
        <f t="shared" si="686"/>
        <v>36770Curve Shift/Gamma</v>
      </c>
      <c r="CN568" t="str">
        <f t="shared" si="665"/>
        <v>36770Rho</v>
      </c>
      <c r="CO568" t="str">
        <f t="shared" si="666"/>
        <v>36770Drift</v>
      </c>
      <c r="CP568" t="str">
        <f t="shared" si="667"/>
        <v>36770Vega</v>
      </c>
      <c r="CQ568" t="str">
        <f t="shared" si="668"/>
        <v>36770Theta</v>
      </c>
    </row>
    <row r="569" spans="1:95" x14ac:dyDescent="0.25">
      <c r="A569" s="140" t="s">
        <v>286</v>
      </c>
      <c r="B569" t="s">
        <v>250</v>
      </c>
      <c r="C569" t="s">
        <v>536</v>
      </c>
      <c r="D569" s="4" t="s">
        <v>190</v>
      </c>
      <c r="E569" t="s">
        <v>20</v>
      </c>
      <c r="F569" t="s">
        <v>1</v>
      </c>
      <c r="G569" s="5">
        <v>36800</v>
      </c>
      <c r="H569" s="130">
        <v>155000</v>
      </c>
      <c r="I569">
        <v>0.5</v>
      </c>
      <c r="J569" s="53">
        <f t="shared" si="669"/>
        <v>4.6920000000000002</v>
      </c>
      <c r="K569" s="7">
        <f t="shared" si="670"/>
        <v>1.99</v>
      </c>
      <c r="L569" s="53">
        <f t="shared" si="671"/>
        <v>6.6820000000000004</v>
      </c>
      <c r="M569" s="157">
        <f t="shared" si="672"/>
        <v>6.8050789414654006E-2</v>
      </c>
      <c r="N569" s="4">
        <f t="shared" si="673"/>
        <v>0.57499999999999996</v>
      </c>
      <c r="O569" s="4">
        <f t="shared" si="674"/>
        <v>0.54100000000000004</v>
      </c>
      <c r="P569" s="9">
        <f t="shared" si="675"/>
        <v>0.83</v>
      </c>
      <c r="Q569" s="5">
        <f t="shared" si="612"/>
        <v>36797</v>
      </c>
      <c r="R569" s="4">
        <f t="shared" si="676"/>
        <v>0</v>
      </c>
      <c r="S569" s="158">
        <f>_xll.xSPRDOPT($L569,$J569,$I569,$M569,$O569,$N569,$P569,$Q569-$C$3,$R569,0)</f>
        <v>3.5282671755515471E-4</v>
      </c>
      <c r="T569" s="159">
        <f>_xll.xSPRDOPT($L569,$J569,$I569,$M569,$O569,$N569,$P569,$Q569-$C$3,$R569,1)*H569</f>
        <v>-306.59457843077939</v>
      </c>
      <c r="U569" s="160">
        <f t="shared" si="677"/>
        <v>54.68814122104898</v>
      </c>
      <c r="V569" s="159">
        <f>_xll.xSPRDOPT($L569,$J569,$I569,$M569,$O569,$N569,$P569,$Q569-$C$3,$R569,2)*H569</f>
        <v>409.70754283152002</v>
      </c>
      <c r="W569" s="159">
        <f t="shared" si="678"/>
        <v>103.11296440074062</v>
      </c>
      <c r="X569" s="51" t="str">
        <f t="shared" si="679"/>
        <v>36800NGI-SOCAL</v>
      </c>
      <c r="Y569" s="418">
        <f t="shared" si="680"/>
        <v>15.5</v>
      </c>
      <c r="Z569" s="456">
        <f t="shared" si="681"/>
        <v>-1.978029538263093E-3</v>
      </c>
      <c r="AA569" s="456">
        <f>_xll.xSPRDOPT($L569,$J569,$I569,$M569,$O569,$N569,$P569,$Q569-$C$3,$R569,3)</f>
        <v>1.05276084778876E-2</v>
      </c>
      <c r="AB569" s="456">
        <f>((_xll.xSPRDOPT($L569+AB$5,$J569,$I569,$M569,$O569,$N569,$P569,$Q569-$C$3,$R569,3)*$H569)/10000)/100</f>
        <v>1.6317793140725781E-3</v>
      </c>
      <c r="AC569" s="456">
        <f>((_xll.xSPRDOPT($L569+$AB$5,$J569,$I569,$M569,$O569,$N569,$P569,$Q569-$C$3,$R569,7)*$H569)/100)</f>
        <v>-16.993504786056402</v>
      </c>
      <c r="AD569" s="456">
        <f>(_xll.xSPRDOPT($L569+$AB$5,$J569,$I569,$M569,$O569,$N569,$P569,$Q569-$C$3,$R569,9)/365)*$H569</f>
        <v>-9.657397444455162</v>
      </c>
      <c r="AE569">
        <f t="shared" si="613"/>
        <v>0</v>
      </c>
      <c r="AF569" s="456">
        <f t="shared" si="664"/>
        <v>10.081018147549413</v>
      </c>
      <c r="AG569" s="456">
        <f>((_xll.xSPRDOPT($L569,$J569,$I569,$M569,$O569,$N569,$P569,$Q569-$C$3,$R569,6)*$H569)/100)</f>
        <v>4.153821197688579</v>
      </c>
      <c r="AH569" s="456">
        <f>((_xll.xSPRDOPT($L569,$J569,$I569,$M569,$O569,$N569,$P569,$Q569-$C$3,$R569,5)*$H569)/100)</f>
        <v>6.2997010095563386</v>
      </c>
      <c r="AI569" s="456">
        <f>(((_xll.xSPRDOPT($L569,$J569,$I569,$M569,$O569,$N569,$P569,$Q569-$C$3,$R569,4)*$H569)/10000)/100)-AB569</f>
        <v>1.1270802615429188E-3</v>
      </c>
      <c r="AJ569" s="456"/>
      <c r="AK569" s="456"/>
      <c r="AL569" s="456"/>
      <c r="CC569" s="141">
        <f t="shared" si="682"/>
        <v>36800</v>
      </c>
      <c r="CD569" s="234">
        <f>_xll.xSPRDOPT((VLOOKUP(G569,NGPrices,2,FALSE)+HLOOKUP(D569,Prices,VLOOKUP(G569,move_down,2,FALSE),FALSE)),VLOOKUP(G569,NGPrices,2,FALSE),I569,VLOOKUP(G569,NGPREVPRICES,4,FALSE),HLOOKUP(D569,PREVVOLS,VLOOKUP(G569,MOVE_DOWN2,2,FALSE),FALSE),VLOOKUP(G569,NGPREVPRICES,3,FALSE),HLOOKUP(D569,Correllate,VLOOKUP(G569,CorMove,2,FALSE),FALSE),Q569-$CD$3,R569,$CD$5)*H569-CJ569</f>
        <v>0</v>
      </c>
      <c r="CE569" s="234">
        <f>_xll.xSPRDOPT((VLOOKUP(G569,NGPREVPRICES,2,FALSE)+HLOOKUP(D569,PREVCURVES,VLOOKUP(G569,MOVE_DOWN2,2,FALSE),FALSE)),VLOOKUP(G569,NGPREVPRICES,2,FALSE),CK569,VLOOKUP(G569,NGPrices,4,FALSE),HLOOKUP(D569,PREVVOLS,VLOOKUP(G569,MOVE_DOWN2,2,FALSE),FALSE),VLOOKUP(G569,NGPREVPRICES,3,FALSE),HLOOKUP(D569,Correllate,VLOOKUP(G569,CorMove,2,FALSE),FALSE),Q569-$CD$3,R569,$CJ$5)*H569-CJ569</f>
        <v>0</v>
      </c>
      <c r="CF569" s="10">
        <f t="shared" si="683"/>
        <v>-1.1966905162353214E-2</v>
      </c>
      <c r="CG569" s="234">
        <f>_xll.xSPRDOPT((VLOOKUP(G569,NGPREVPRICES,2,FALSE)+HLOOKUP(D569,PREVCURVES,VLOOKUP(G569,MOVE_DOWN2,2,FALSE),FALSE)),VLOOKUP(G569,NGPREVPRICES,2,FALSE),CK569,VLOOKUP(G569,NGPREVPRICES,4,FALSE),HLOOKUP(D569,VOLS,VLOOKUP(G569,move_down,2,FALSE),FALSE),VLOOKUP(G569,NGPrices,3,FALSE),HLOOKUP(D569,Correllate,VLOOKUP(G569,CorMove,2,FALSE),FALSE),Q569-$CD$3,R569,$CJ$5)*H569-CJ569</f>
        <v>0</v>
      </c>
      <c r="CH569" s="234">
        <f>_xll.xSPRDOPT((VLOOKUP(G569,NGPREVPRICES,2,FALSE)+HLOOKUP(D569,PREVCURVES,VLOOKUP(G569,MOVE_DOWN2,2,FALSE),FALSE)),VLOOKUP(G569,NGPREVPRICES,2,FALSE),CK569,VLOOKUP(G569,NGPREVPRICES,4,FALSE),HLOOKUP(D569,PREVVOLS,VLOOKUP(G569,MOVE_DOWN2,2,FALSE),FALSE),VLOOKUP(G569,NGPREVPRICES,3,FALSE),HLOOKUP(D569,Correllate,VLOOKUP(G569,CorMove,2,FALSE),FALSE),Q569-$C$3,R569,$CJ$5)*H569-CJ569</f>
        <v>-10.223888285024458</v>
      </c>
      <c r="CI569" s="234">
        <f t="shared" si="684"/>
        <v>-10.235855190186811</v>
      </c>
      <c r="CJ569" s="234">
        <f>_xll.xSPRDOPT((VLOOKUP(G569,NGPREVPRICES,2,FALSE)+HLOOKUP(D569,PREVCURVES,VLOOKUP(G569,MOVE_DOWN2,2,FALSE),FALSE)),VLOOKUP(G569,NGPREVPRICES,2,FALSE),CK569,VLOOKUP(G569,NGPREVPRICES,4,FALSE),HLOOKUP(D569,PREVVOLS,VLOOKUP(G569,MOVE_DOWN2,2,FALSE),FALSE),VLOOKUP(G569,NGPREVPRICES,3,FALSE),HLOOKUP(D569,Correllate,VLOOKUP(G569,CorMove,2,FALSE),FALSE),Q569-$CD$3,R569,$CJ$5)*H569</f>
        <v>64.912029506073438</v>
      </c>
      <c r="CK569" s="235">
        <f t="shared" si="685"/>
        <v>0.5</v>
      </c>
      <c r="CM569" t="str">
        <f t="shared" si="686"/>
        <v>36800Curve Shift/Gamma</v>
      </c>
      <c r="CN569" t="str">
        <f t="shared" si="665"/>
        <v>36800Rho</v>
      </c>
      <c r="CO569" t="str">
        <f t="shared" si="666"/>
        <v>36800Drift</v>
      </c>
      <c r="CP569" t="str">
        <f t="shared" si="667"/>
        <v>36800Vega</v>
      </c>
      <c r="CQ569" t="str">
        <f t="shared" si="668"/>
        <v>36800Theta</v>
      </c>
    </row>
    <row r="570" spans="1:95" x14ac:dyDescent="0.25">
      <c r="A570" s="140" t="s">
        <v>286</v>
      </c>
      <c r="B570" t="s">
        <v>250</v>
      </c>
      <c r="C570" t="s">
        <v>536</v>
      </c>
      <c r="D570" s="4" t="s">
        <v>190</v>
      </c>
      <c r="E570" t="s">
        <v>20</v>
      </c>
      <c r="F570" t="s">
        <v>1</v>
      </c>
      <c r="G570" s="5">
        <v>36770</v>
      </c>
      <c r="H570" s="130">
        <v>150000</v>
      </c>
      <c r="I570">
        <v>0.5</v>
      </c>
      <c r="J570" s="53">
        <f t="shared" si="669"/>
        <v>4.6849999999999996</v>
      </c>
      <c r="K570" s="7">
        <f t="shared" si="670"/>
        <v>2.5</v>
      </c>
      <c r="L570" s="53">
        <f t="shared" si="671"/>
        <v>7.1849999999999996</v>
      </c>
      <c r="M570" s="157">
        <f t="shared" si="672"/>
        <v>6.7216196212184998E-2</v>
      </c>
      <c r="N570" s="4">
        <f t="shared" si="673"/>
        <v>0.4</v>
      </c>
      <c r="O570" s="4">
        <f t="shared" si="674"/>
        <v>0.376</v>
      </c>
      <c r="P570" s="9">
        <f t="shared" si="675"/>
        <v>0.83</v>
      </c>
      <c r="Q570" s="5">
        <f t="shared" si="612"/>
        <v>36768</v>
      </c>
      <c r="R570" s="4">
        <f t="shared" si="676"/>
        <v>0</v>
      </c>
      <c r="S570" s="158">
        <f>_xll.xSPRDOPT($L570,$J570,$I570,$M570,$O570,$N570,$P570,$Q570-$C$3,$R570,0)</f>
        <v>2.6221227156231208E-7</v>
      </c>
      <c r="T570" s="159">
        <f>_xll.xSPRDOPT($L570,$J570,$I570,$M570,$O570,$N570,$P570,$Q570-$C$3,$R570,1)*H570</f>
        <v>1.966081660809138E-2</v>
      </c>
      <c r="U570" s="160">
        <f t="shared" si="677"/>
        <v>3.9331840734346812E-2</v>
      </c>
      <c r="V570" s="159">
        <f>_xll.xSPRDOPT($L570,$J570,$I570,$M570,$O570,$N570,$P570,$Q570-$C$3,$R570,2)*H570</f>
        <v>-2.5649639678881897E-2</v>
      </c>
      <c r="W570" s="159">
        <f t="shared" si="678"/>
        <v>-5.9888230707905166E-3</v>
      </c>
      <c r="X570" s="51" t="str">
        <f t="shared" si="679"/>
        <v>36770NGI-SOCAL</v>
      </c>
      <c r="Y570" s="418">
        <f t="shared" si="680"/>
        <v>15</v>
      </c>
      <c r="Z570" s="456">
        <f t="shared" si="681"/>
        <v>1.310721107206092E-7</v>
      </c>
      <c r="AA570" s="456">
        <f>_xll.xSPRDOPT($L570,$J570,$I570,$M570,$O570,$N570,$P570,$Q570-$C$3,$R570,3)</f>
        <v>1.4396013659759965E-181</v>
      </c>
      <c r="AB570" s="456">
        <f>((_xll.xSPRDOPT($L570+AB$5,$J570,$I570,$M570,$O570,$N570,$P570,$Q570-$C$3,$R570,3)*$H570)/10000)/100</f>
        <v>2.1594020489639947E-182</v>
      </c>
      <c r="AC570" s="456">
        <f>((_xll.xSPRDOPT($L570+$AB$5,$J570,$I570,$M570,$O570,$N570,$P570,$Q570-$C$3,$R570,7)*$H570)/100)</f>
        <v>-5.6373863931772174E-5</v>
      </c>
      <c r="AD570" s="456">
        <f>(_xll.xSPRDOPT($L570+$AB$5,$J570,$I570,$M570,$O570,$N570,$P570,$Q570-$C$3,$R570,9)/365)*$H570</f>
        <v>5.1718664853045209E-6</v>
      </c>
      <c r="AE570">
        <f t="shared" si="613"/>
        <v>0</v>
      </c>
      <c r="AF570" s="456">
        <f t="shared" si="664"/>
        <v>1.5898740509009025E-7</v>
      </c>
      <c r="AG570" s="456">
        <f>((_xll.xSPRDOPT($L570,$J570,$I570,$M570,$O570,$N570,$P570,$Q570-$C$3,$R570,6)*$H570)/100)</f>
        <v>1.5886425450520273E-6</v>
      </c>
      <c r="AH570" s="456">
        <f>((_xll.xSPRDOPT($L570,$J570,$I570,$M570,$O570,$N570,$P570,$Q570-$C$3,$R570,5)*$H570)/100)</f>
        <v>-1.5209097233637629E-6</v>
      </c>
      <c r="AI570" s="456">
        <f>(((_xll.xSPRDOPT($L570,$J570,$I570,$M570,$O570,$N570,$P570,$Q570-$C$3,$R570,4)*$H570)/10000)/100)-AB570</f>
        <v>-6.3268903146717274E-6</v>
      </c>
      <c r="AJ570" s="456"/>
      <c r="AK570" s="456"/>
      <c r="AL570" s="456"/>
      <c r="CC570" s="141">
        <f t="shared" si="682"/>
        <v>36770</v>
      </c>
      <c r="CD570" s="234">
        <f>_xll.xSPRDOPT((VLOOKUP(G570,NGPrices,2,FALSE)+HLOOKUP(D570,Prices,VLOOKUP(G570,move_down,2,FALSE),FALSE)),VLOOKUP(G570,NGPrices,2,FALSE),I570,VLOOKUP(G570,NGPREVPRICES,4,FALSE),HLOOKUP(D570,PREVVOLS,VLOOKUP(G570,MOVE_DOWN2,2,FALSE),FALSE),VLOOKUP(G570,NGPREVPRICES,3,FALSE),HLOOKUP(D570,Correllate,VLOOKUP(G570,CorMove,2,FALSE),FALSE),Q570-$CD$3,R570,$CD$5)*H570-CJ570</f>
        <v>0</v>
      </c>
      <c r="CE570" s="234">
        <f>_xll.xSPRDOPT((VLOOKUP(G570,NGPREVPRICES,2,FALSE)+HLOOKUP(D570,PREVCURVES,VLOOKUP(G570,MOVE_DOWN2,2,FALSE),FALSE)),VLOOKUP(G570,NGPREVPRICES,2,FALSE),CK570,VLOOKUP(G570,NGPrices,4,FALSE),HLOOKUP(D570,PREVVOLS,VLOOKUP(G570,MOVE_DOWN2,2,FALSE),FALSE),VLOOKUP(G570,NGPREVPRICES,3,FALSE),HLOOKUP(D570,Correllate,VLOOKUP(G570,CorMove,2,FALSE),FALSE),Q570-$CD$3,R570,$CJ$5)*H570-CJ570</f>
        <v>0</v>
      </c>
      <c r="CF570" s="10">
        <f t="shared" si="683"/>
        <v>-7.166333539691816E-6</v>
      </c>
      <c r="CG570" s="234">
        <f>_xll.xSPRDOPT((VLOOKUP(G570,NGPREVPRICES,2,FALSE)+HLOOKUP(D570,PREVCURVES,VLOOKUP(G570,MOVE_DOWN2,2,FALSE),FALSE)),VLOOKUP(G570,NGPREVPRICES,2,FALSE),CK570,VLOOKUP(G570,NGPREVPRICES,4,FALSE),HLOOKUP(D570,VOLS,VLOOKUP(G570,move_down,2,FALSE),FALSE),VLOOKUP(G570,NGPrices,3,FALSE),HLOOKUP(D570,Correllate,VLOOKUP(G570,CorMove,2,FALSE),FALSE),Q570-$CD$3,R570,$CJ$5)*H570-CJ570</f>
        <v>0</v>
      </c>
      <c r="CH570" s="234">
        <f>_xll.xSPRDOPT((VLOOKUP(G570,NGPREVPRICES,2,FALSE)+HLOOKUP(D570,PREVCURVES,VLOOKUP(G570,MOVE_DOWN2,2,FALSE),FALSE)),VLOOKUP(G570,NGPREVPRICES,2,FALSE),CK570,VLOOKUP(G570,NGPREVPRICES,4,FALSE),HLOOKUP(D570,PREVVOLS,VLOOKUP(G570,MOVE_DOWN2,2,FALSE),FALSE),VLOOKUP(G570,NGPREVPRICES,3,FALSE),HLOOKUP(D570,Correllate,VLOOKUP(G570,CorMove,2,FALSE),FALSE),Q570-$C$3,R570,$CJ$5)*H570-CJ570</f>
        <v>5.1593146421780034E-6</v>
      </c>
      <c r="CI570" s="234">
        <f t="shared" si="684"/>
        <v>-2.0070188975138126E-6</v>
      </c>
      <c r="CJ570" s="234">
        <f>_xll.xSPRDOPT((VLOOKUP(G570,NGPREVPRICES,2,FALSE)+HLOOKUP(D570,PREVCURVES,VLOOKUP(G570,MOVE_DOWN2,2,FALSE),FALSE)),VLOOKUP(G570,NGPREVPRICES,2,FALSE),CK570,VLOOKUP(G570,NGPREVPRICES,4,FALSE),HLOOKUP(D570,PREVVOLS,VLOOKUP(G570,MOVE_DOWN2,2,FALSE),FALSE),VLOOKUP(G570,NGPREVPRICES,3,FALSE),HLOOKUP(D570,Correllate,VLOOKUP(G570,CorMove,2,FALSE),FALSE),Q570-$CD$3,R570,$CJ$5)*H570</f>
        <v>3.9326681419704634E-2</v>
      </c>
      <c r="CK570" s="235">
        <f t="shared" si="685"/>
        <v>0.5</v>
      </c>
      <c r="CM570" t="str">
        <f t="shared" si="686"/>
        <v>36770Curve Shift/Gamma</v>
      </c>
      <c r="CN570" t="str">
        <f t="shared" si="665"/>
        <v>36770Rho</v>
      </c>
      <c r="CO570" t="str">
        <f t="shared" si="666"/>
        <v>36770Drift</v>
      </c>
      <c r="CP570" t="str">
        <f t="shared" si="667"/>
        <v>36770Vega</v>
      </c>
      <c r="CQ570" t="str">
        <f t="shared" si="668"/>
        <v>36770Theta</v>
      </c>
    </row>
    <row r="571" spans="1:95" x14ac:dyDescent="0.25">
      <c r="A571" s="140" t="s">
        <v>279</v>
      </c>
      <c r="B571" t="s">
        <v>250</v>
      </c>
      <c r="C571" t="s">
        <v>537</v>
      </c>
      <c r="D571" s="4" t="s">
        <v>190</v>
      </c>
      <c r="E571" t="s">
        <v>20</v>
      </c>
      <c r="F571" t="s">
        <v>21</v>
      </c>
      <c r="G571" s="5">
        <v>36951</v>
      </c>
      <c r="H571" s="130">
        <v>155000</v>
      </c>
      <c r="I571">
        <v>0.3</v>
      </c>
      <c r="J571" s="53">
        <f t="shared" si="669"/>
        <v>4.2130000000000001</v>
      </c>
      <c r="K571" s="7">
        <f t="shared" si="670"/>
        <v>0.59750000000000003</v>
      </c>
      <c r="L571" s="53">
        <f t="shared" si="671"/>
        <v>4.8105000000000002</v>
      </c>
      <c r="M571" s="157">
        <f t="shared" si="672"/>
        <v>6.8879814952706994E-2</v>
      </c>
      <c r="N571" s="4">
        <f t="shared" si="673"/>
        <v>0.53249999999999997</v>
      </c>
      <c r="O571" s="4">
        <f t="shared" si="674"/>
        <v>0.51700000000000002</v>
      </c>
      <c r="P571" s="9">
        <f t="shared" si="675"/>
        <v>0.85</v>
      </c>
      <c r="Q571" s="5">
        <f t="shared" si="612"/>
        <v>36949</v>
      </c>
      <c r="R571" s="4">
        <f t="shared" si="676"/>
        <v>1</v>
      </c>
      <c r="S571" s="158">
        <f>_xll.xSPRDOPT($L571,$J571,$I571,$M571,$O571,$N571,$P571,$Q571-$C$3,$R571,0)</f>
        <v>0.51490268222906133</v>
      </c>
      <c r="T571" s="159">
        <f>_xll.xSPRDOPT($L571,$J571,$I571,$M571,$O571,$N571,$P571,$Q571-$C$3,$R571,1)*H571</f>
        <v>99473.267225044285</v>
      </c>
      <c r="U571" s="160">
        <f t="shared" si="677"/>
        <v>79809.915745504506</v>
      </c>
      <c r="V571" s="159">
        <f>_xll.xSPRDOPT($L571,$J571,$I571,$M571,$O571,$N571,$P571,$Q571-$C$3,$R571,2)*H571</f>
        <v>-88054.690173768351</v>
      </c>
      <c r="W571" s="159">
        <f t="shared" si="678"/>
        <v>11418.577051275934</v>
      </c>
      <c r="X571" s="51" t="str">
        <f t="shared" si="679"/>
        <v>36951NGI-SOCAL</v>
      </c>
      <c r="Y571" s="418">
        <f t="shared" si="680"/>
        <v>15.5</v>
      </c>
      <c r="Z571" s="456">
        <f t="shared" si="681"/>
        <v>0.64176301435512439</v>
      </c>
      <c r="AA571" s="456">
        <f>_xll.xSPRDOPT($L571,$J571,$I571,$M571,$O571,$N571,$P571,$Q571-$C$3,$R571,3)</f>
        <v>0.37242484350268151</v>
      </c>
      <c r="AB571" s="456">
        <f>((_xll.xSPRDOPT($L571+AB$5,$J571,$I571,$M571,$O571,$N571,$P571,$Q571-$C$3,$R571,3)*$H571)/10000)/100</f>
        <v>5.7725850742915634E-2</v>
      </c>
      <c r="AC571" s="456">
        <f>((_xll.xSPRDOPT($L571+$AB$5,$J571,$I571,$M571,$O571,$N571,$P571,$Q571-$C$3,$R571,7)*$H571)/100)</f>
        <v>-1712.5385241165693</v>
      </c>
      <c r="AD571" s="456">
        <f>(_xll.xSPRDOPT($L571+$AB$5,$J571,$I571,$M571,$O571,$N571,$P571,$Q571-$C$3,$R571,9)/365)*$H571</f>
        <v>-127.14392226222314</v>
      </c>
      <c r="AE571">
        <f t="shared" si="613"/>
        <v>0</v>
      </c>
      <c r="AF571" s="456">
        <f t="shared" si="664"/>
        <v>971.40261042410862</v>
      </c>
      <c r="AG571" s="456">
        <f>((_xll.xSPRDOPT($L571,$J571,$I571,$M571,$O571,$N571,$P571,$Q571-$C$3,$R571,6)*$H571)/100)</f>
        <v>363.9028084660772</v>
      </c>
      <c r="AH571" s="456">
        <f>((_xll.xSPRDOPT($L571,$J571,$I571,$M571,$O571,$N571,$P571,$Q571-$C$3,$R571,5)*$H571)/100)</f>
        <v>625.71304553704385</v>
      </c>
      <c r="AI571" s="456">
        <f>(((_xll.xSPRDOPT($L571,$J571,$I571,$M571,$O571,$N571,$P571,$Q571-$C$3,$R571,4)*$H571)/10000)/100)-AB571</f>
        <v>8.0448511899722588E-3</v>
      </c>
      <c r="AJ571" s="456"/>
      <c r="AK571" s="456"/>
      <c r="AL571" s="456"/>
      <c r="CC571" s="141">
        <f t="shared" si="682"/>
        <v>36951</v>
      </c>
      <c r="CD571" s="234">
        <f>_xll.xSPRDOPT((VLOOKUP(G571,NGPrices,2,FALSE)+HLOOKUP(D571,Prices,VLOOKUP(G571,move_down,2,FALSE),FALSE)),VLOOKUP(G571,NGPrices,2,FALSE),I571,VLOOKUP(G571,NGPREVPRICES,4,FALSE),HLOOKUP(D571,PREVVOLS,VLOOKUP(G571,MOVE_DOWN2,2,FALSE),FALSE),VLOOKUP(G571,NGPREVPRICES,3,FALSE),HLOOKUP(D571,Correllate,VLOOKUP(G571,CorMove,2,FALSE),FALSE),Q571-$CD$3,R571,$CD$5)*H571-CJ571</f>
        <v>0</v>
      </c>
      <c r="CE571" s="234">
        <f>_xll.xSPRDOPT((VLOOKUP(G571,NGPREVPRICES,2,FALSE)+HLOOKUP(D571,PREVCURVES,VLOOKUP(G571,MOVE_DOWN2,2,FALSE),FALSE)),VLOOKUP(G571,NGPREVPRICES,2,FALSE),CK571,VLOOKUP(G571,NGPrices,4,FALSE),HLOOKUP(D571,PREVVOLS,VLOOKUP(G571,MOVE_DOWN2,2,FALSE),FALSE),VLOOKUP(G571,NGPREVPRICES,3,FALSE),HLOOKUP(D571,Correllate,VLOOKUP(G571,CorMove,2,FALSE),FALSE),Q571-$CD$3,R571,$CJ$5)*H571-CJ571</f>
        <v>0</v>
      </c>
      <c r="CF571" s="10">
        <f t="shared" si="683"/>
        <v>-15.330678232261562</v>
      </c>
      <c r="CG571" s="234">
        <f>_xll.xSPRDOPT((VLOOKUP(G571,NGPREVPRICES,2,FALSE)+HLOOKUP(D571,PREVCURVES,VLOOKUP(G571,MOVE_DOWN2,2,FALSE),FALSE)),VLOOKUP(G571,NGPREVPRICES,2,FALSE),CK571,VLOOKUP(G571,NGPREVPRICES,4,FALSE),HLOOKUP(D571,VOLS,VLOOKUP(G571,move_down,2,FALSE),FALSE),VLOOKUP(G571,NGPrices,3,FALSE),HLOOKUP(D571,Correllate,VLOOKUP(G571,CorMove,2,FALSE),FALSE),Q571-$CD$3,R571,$CJ$5)*H571-CJ571</f>
        <v>0</v>
      </c>
      <c r="CH571" s="234">
        <f>_xll.xSPRDOPT((VLOOKUP(G571,NGPREVPRICES,2,FALSE)+HLOOKUP(D571,PREVCURVES,VLOOKUP(G571,MOVE_DOWN2,2,FALSE),FALSE)),VLOOKUP(G571,NGPREVPRICES,2,FALSE),CK571,VLOOKUP(G571,NGPREVPRICES,4,FALSE),HLOOKUP(D571,PREVVOLS,VLOOKUP(G571,MOVE_DOWN2,2,FALSE),FALSE),VLOOKUP(G571,NGPREVPRICES,3,FALSE),HLOOKUP(D571,Correllate,VLOOKUP(G571,CorMove,2,FALSE),FALSE),Q571-$C$3,R571,$CJ$5)*H571-CJ571</f>
        <v>-126.85598610261513</v>
      </c>
      <c r="CI571" s="234">
        <f t="shared" si="684"/>
        <v>-142.1866643348767</v>
      </c>
      <c r="CJ571" s="234">
        <f>_xll.xSPRDOPT((VLOOKUP(G571,NGPREVPRICES,2,FALSE)+HLOOKUP(D571,PREVCURVES,VLOOKUP(G571,MOVE_DOWN2,2,FALSE),FALSE)),VLOOKUP(G571,NGPREVPRICES,2,FALSE),CK571,VLOOKUP(G571,NGPREVPRICES,4,FALSE),HLOOKUP(D571,PREVVOLS,VLOOKUP(G571,MOVE_DOWN2,2,FALSE),FALSE),VLOOKUP(G571,NGPREVPRICES,3,FALSE),HLOOKUP(D571,Correllate,VLOOKUP(G571,CorMove,2,FALSE),FALSE),Q571-$CD$3,R571,$CJ$5)*H571</f>
        <v>79936.771731607121</v>
      </c>
      <c r="CK571" s="235">
        <f t="shared" si="685"/>
        <v>0.3</v>
      </c>
      <c r="CM571" t="str">
        <f t="shared" si="686"/>
        <v>36951Curve Shift/Gamma</v>
      </c>
      <c r="CN571" t="str">
        <f t="shared" si="665"/>
        <v>36951Rho</v>
      </c>
      <c r="CO571" t="str">
        <f t="shared" si="666"/>
        <v>36951Drift</v>
      </c>
      <c r="CP571" t="str">
        <f t="shared" si="667"/>
        <v>36951Vega</v>
      </c>
      <c r="CQ571" t="str">
        <f t="shared" si="668"/>
        <v>36951Theta</v>
      </c>
    </row>
    <row r="572" spans="1:95" x14ac:dyDescent="0.25">
      <c r="A572" s="140" t="s">
        <v>279</v>
      </c>
      <c r="B572" t="s">
        <v>250</v>
      </c>
      <c r="C572" t="s">
        <v>537</v>
      </c>
      <c r="D572" s="4" t="s">
        <v>190</v>
      </c>
      <c r="E572" t="s">
        <v>20</v>
      </c>
      <c r="F572" t="s">
        <v>21</v>
      </c>
      <c r="G572" s="5">
        <v>36923</v>
      </c>
      <c r="H572" s="130">
        <v>140000</v>
      </c>
      <c r="I572">
        <v>0.3</v>
      </c>
      <c r="J572" s="53">
        <f t="shared" si="669"/>
        <v>4.4800000000000004</v>
      </c>
      <c r="K572" s="7">
        <f t="shared" si="670"/>
        <v>0.61750000000000005</v>
      </c>
      <c r="L572" s="53">
        <f t="shared" si="671"/>
        <v>5.0975000000000001</v>
      </c>
      <c r="M572" s="157">
        <f t="shared" si="672"/>
        <v>6.8640161611372E-2</v>
      </c>
      <c r="N572" s="4">
        <f t="shared" si="673"/>
        <v>0.59250000000000003</v>
      </c>
      <c r="O572" s="4">
        <f t="shared" si="674"/>
        <v>0.57499999999999996</v>
      </c>
      <c r="P572" s="9">
        <f t="shared" si="675"/>
        <v>0.85</v>
      </c>
      <c r="Q572" s="5">
        <f t="shared" si="612"/>
        <v>36921</v>
      </c>
      <c r="R572" s="4">
        <f t="shared" si="676"/>
        <v>1</v>
      </c>
      <c r="S572" s="158">
        <f>_xll.xSPRDOPT($L572,$J572,$I572,$M572,$O572,$N572,$P572,$Q572-$C$3,$R572,0)</f>
        <v>0.55864567410775812</v>
      </c>
      <c r="T572" s="159">
        <f>_xll.xSPRDOPT($L572,$J572,$I572,$M572,$O572,$N572,$P572,$Q572-$C$3,$R572,1)*H572</f>
        <v>90181.166506633032</v>
      </c>
      <c r="U572" s="160">
        <f t="shared" si="677"/>
        <v>78210.394375086136</v>
      </c>
      <c r="V572" s="159">
        <f>_xll.xSPRDOPT($L572,$J572,$I572,$M572,$O572,$N572,$P572,$Q572-$C$3,$R572,2)*H572</f>
        <v>-79543.529929720578</v>
      </c>
      <c r="W572" s="159">
        <f t="shared" si="678"/>
        <v>10637.636576912453</v>
      </c>
      <c r="X572" s="51" t="str">
        <f t="shared" si="679"/>
        <v>36923NGI-SOCAL</v>
      </c>
      <c r="Y572" s="418">
        <f t="shared" si="680"/>
        <v>14</v>
      </c>
      <c r="Z572" s="456">
        <f t="shared" si="681"/>
        <v>0.64415118933309312</v>
      </c>
      <c r="AA572" s="456">
        <f>_xll.xSPRDOPT($L572,$J572,$I572,$M572,$O572,$N572,$P572,$Q572-$C$3,$R572,3)</f>
        <v>0.34526336742509806</v>
      </c>
      <c r="AB572" s="456">
        <f>((_xll.xSPRDOPT($L572+AB$5,$J572,$I572,$M572,$O572,$N572,$P572,$Q572-$C$3,$R572,3)*$H572)/10000)/100</f>
        <v>4.8336871439513727E-2</v>
      </c>
      <c r="AC572" s="456">
        <f>((_xll.xSPRDOPT($L572+$AB$5,$J572,$I572,$M572,$O572,$N572,$P572,$Q572-$C$3,$R572,7)*$H572)/100)</f>
        <v>-1692.7529394521159</v>
      </c>
      <c r="AD572" s="456">
        <f>(_xll.xSPRDOPT($L572+$AB$5,$J572,$I572,$M572,$O572,$N572,$P572,$Q572-$C$3,$R572,9)/365)*$H572</f>
        <v>-151.21645013896372</v>
      </c>
      <c r="AE572">
        <f t="shared" si="613"/>
        <v>0</v>
      </c>
      <c r="AF572" s="456">
        <f t="shared" si="664"/>
        <v>861.93607481794254</v>
      </c>
      <c r="AG572" s="456">
        <f>((_xll.xSPRDOPT($L572,$J572,$I572,$M572,$O572,$N572,$P572,$Q572-$C$3,$R572,6)*$H572)/100)</f>
        <v>335.2682143352946</v>
      </c>
      <c r="AH572" s="456">
        <f>((_xll.xSPRDOPT($L572,$J572,$I572,$M572,$O572,$N572,$P572,$Q572-$C$3,$R572,5)*$H572)/100)</f>
        <v>542.69688232342423</v>
      </c>
      <c r="AI572" s="456">
        <f>(((_xll.xSPRDOPT($L572,$J572,$I572,$M572,$O572,$N572,$P572,$Q572-$C$3,$R572,4)*$H572)/10000)/100)-AB572</f>
        <v>6.7838458202929483E-3</v>
      </c>
      <c r="AJ572" s="456"/>
      <c r="AK572" s="456"/>
      <c r="CC572" s="141">
        <f t="shared" si="682"/>
        <v>36923</v>
      </c>
      <c r="CD572" s="234">
        <f>_xll.xSPRDOPT((VLOOKUP(G572,NGPrices,2,FALSE)+HLOOKUP(D572,Prices,VLOOKUP(G572,move_down,2,FALSE),FALSE)),VLOOKUP(G572,NGPrices,2,FALSE),I572,VLOOKUP(G572,NGPREVPRICES,4,FALSE),HLOOKUP(D572,PREVVOLS,VLOOKUP(G572,MOVE_DOWN2,2,FALSE),FALSE),VLOOKUP(G572,NGPREVPRICES,3,FALSE),HLOOKUP(D572,Correllate,VLOOKUP(G572,CorMove,2,FALSE),FALSE),Q572-$CD$3,R572,$CD$5)*H572-CJ572</f>
        <v>0</v>
      </c>
      <c r="CE572" s="234">
        <f>_xll.xSPRDOPT((VLOOKUP(G572,NGPREVPRICES,2,FALSE)+HLOOKUP(D572,PREVCURVES,VLOOKUP(G572,MOVE_DOWN2,2,FALSE),FALSE)),VLOOKUP(G572,NGPREVPRICES,2,FALSE),CK572,VLOOKUP(G572,NGPrices,4,FALSE),HLOOKUP(D572,PREVVOLS,VLOOKUP(G572,MOVE_DOWN2,2,FALSE),FALSE),VLOOKUP(G572,NGPREVPRICES,3,FALSE),HLOOKUP(D572,Correllate,VLOOKUP(G572,CorMove,2,FALSE),FALSE),Q572-$CD$3,R572,$CJ$5)*H572-CJ572</f>
        <v>0</v>
      </c>
      <c r="CF572" s="10">
        <f t="shared" si="683"/>
        <v>-14.903402972224285</v>
      </c>
      <c r="CG572" s="234">
        <f>_xll.xSPRDOPT((VLOOKUP(G572,NGPREVPRICES,2,FALSE)+HLOOKUP(D572,PREVCURVES,VLOOKUP(G572,MOVE_DOWN2,2,FALSE),FALSE)),VLOOKUP(G572,NGPREVPRICES,2,FALSE),CK572,VLOOKUP(G572,NGPREVPRICES,4,FALSE),HLOOKUP(D572,VOLS,VLOOKUP(G572,move_down,2,FALSE),FALSE),VLOOKUP(G572,NGPrices,3,FALSE),HLOOKUP(D572,Correllate,VLOOKUP(G572,CorMove,2,FALSE),FALSE),Q572-$CD$3,R572,$CJ$5)*H572-CJ572</f>
        <v>0</v>
      </c>
      <c r="CH572" s="234">
        <f>_xll.xSPRDOPT((VLOOKUP(G572,NGPREVPRICES,2,FALSE)+HLOOKUP(D572,PREVCURVES,VLOOKUP(G572,MOVE_DOWN2,2,FALSE),FALSE)),VLOOKUP(G572,NGPREVPRICES,2,FALSE),CK572,VLOOKUP(G572,NGPREVPRICES,4,FALSE),HLOOKUP(D572,PREVVOLS,VLOOKUP(G572,MOVE_DOWN2,2,FALSE),FALSE),VLOOKUP(G572,NGPREVPRICES,3,FALSE),HLOOKUP(D572,Correllate,VLOOKUP(G572,CorMove,2,FALSE),FALSE),Q572-$C$3,R572,$CJ$5)*H572-CJ572</f>
        <v>-150.84009394618624</v>
      </c>
      <c r="CI572" s="234">
        <f t="shared" si="684"/>
        <v>-165.74349691841053</v>
      </c>
      <c r="CJ572" s="234">
        <f>_xll.xSPRDOPT((VLOOKUP(G572,NGPREVPRICES,2,FALSE)+HLOOKUP(D572,PREVCURVES,VLOOKUP(G572,MOVE_DOWN2,2,FALSE),FALSE)),VLOOKUP(G572,NGPREVPRICES,2,FALSE),CK572,VLOOKUP(G572,NGPREVPRICES,4,FALSE),HLOOKUP(D572,PREVVOLS,VLOOKUP(G572,MOVE_DOWN2,2,FALSE),FALSE),VLOOKUP(G572,NGPREVPRICES,3,FALSE),HLOOKUP(D572,Correllate,VLOOKUP(G572,CorMove,2,FALSE),FALSE),Q572-$CD$3,R572,$CJ$5)*H572</f>
        <v>78361.234469032323</v>
      </c>
      <c r="CK572" s="235">
        <f t="shared" si="685"/>
        <v>0.3</v>
      </c>
      <c r="CM572" t="str">
        <f t="shared" si="686"/>
        <v>36923Curve Shift/Gamma</v>
      </c>
      <c r="CN572" t="str">
        <f t="shared" si="665"/>
        <v>36923Rho</v>
      </c>
      <c r="CO572" t="str">
        <f t="shared" si="666"/>
        <v>36923Drift</v>
      </c>
      <c r="CP572" t="str">
        <f t="shared" si="667"/>
        <v>36923Vega</v>
      </c>
      <c r="CQ572" t="str">
        <f t="shared" si="668"/>
        <v>36923Theta</v>
      </c>
    </row>
    <row r="573" spans="1:95" x14ac:dyDescent="0.25">
      <c r="A573" s="140" t="s">
        <v>279</v>
      </c>
      <c r="B573" t="s">
        <v>250</v>
      </c>
      <c r="C573" t="s">
        <v>537</v>
      </c>
      <c r="D573" s="4" t="s">
        <v>190</v>
      </c>
      <c r="E573" t="s">
        <v>20</v>
      </c>
      <c r="F573" t="s">
        <v>21</v>
      </c>
      <c r="G573" s="5">
        <v>36892</v>
      </c>
      <c r="H573" s="130">
        <v>155000</v>
      </c>
      <c r="I573">
        <v>0.3</v>
      </c>
      <c r="J573" s="53">
        <f t="shared" si="669"/>
        <v>4.7439999999999998</v>
      </c>
      <c r="K573" s="7">
        <f t="shared" si="670"/>
        <v>0.76749999999999996</v>
      </c>
      <c r="L573" s="53">
        <f t="shared" si="671"/>
        <v>5.5114999999999998</v>
      </c>
      <c r="M573" s="157">
        <f t="shared" si="672"/>
        <v>6.8374831148490994E-2</v>
      </c>
      <c r="N573" s="4">
        <f t="shared" si="673"/>
        <v>0.60499999999999998</v>
      </c>
      <c r="O573" s="4">
        <f t="shared" si="674"/>
        <v>0.58699999999999997</v>
      </c>
      <c r="P573" s="9">
        <f t="shared" si="675"/>
        <v>0.85</v>
      </c>
      <c r="Q573" s="5">
        <f t="shared" si="612"/>
        <v>36888</v>
      </c>
      <c r="R573" s="4">
        <f t="shared" si="676"/>
        <v>1</v>
      </c>
      <c r="S573" s="158">
        <f>_xll.xSPRDOPT($L573,$J573,$I573,$M573,$O573,$N573,$P573,$Q573-$C$3,$R573,0)</f>
        <v>0.64709519353176437</v>
      </c>
      <c r="T573" s="159">
        <f>_xll.xSPRDOPT($L573,$J573,$I573,$M573,$O573,$N573,$P573,$Q573-$C$3,$R573,1)*H573</f>
        <v>108830.93960692342</v>
      </c>
      <c r="U573" s="160">
        <f t="shared" si="677"/>
        <v>100299.75499742347</v>
      </c>
      <c r="V573" s="159">
        <f>_xll.xSPRDOPT($L573,$J573,$I573,$M573,$O573,$N573,$P573,$Q573-$C$3,$R573,2)*H573</f>
        <v>-98783.215147758063</v>
      </c>
      <c r="W573" s="159">
        <f t="shared" si="678"/>
        <v>10047.724459165358</v>
      </c>
      <c r="X573" s="51" t="str">
        <f t="shared" si="679"/>
        <v>36892NGI-SOCAL</v>
      </c>
      <c r="Y573" s="418">
        <f t="shared" si="680"/>
        <v>15.5</v>
      </c>
      <c r="Z573" s="456">
        <f t="shared" si="681"/>
        <v>0.70213509423821563</v>
      </c>
      <c r="AA573" s="456">
        <f>_xll.xSPRDOPT($L573,$J573,$I573,$M573,$O573,$N573,$P573,$Q573-$C$3,$R573,3)</f>
        <v>0.32785906506017948</v>
      </c>
      <c r="AB573" s="456">
        <f>((_xll.xSPRDOPT($L573+AB$5,$J573,$I573,$M573,$O573,$N573,$P573,$Q573-$C$3,$R573,3)*$H573)/10000)/100</f>
        <v>5.0818155084327819E-2</v>
      </c>
      <c r="AC573" s="456">
        <f>((_xll.xSPRDOPT($L573+$AB$5,$J573,$I573,$M573,$O573,$N573,$P573,$Q573-$C$3,$R573,7)*$H573)/100)</f>
        <v>-1711.112087938018</v>
      </c>
      <c r="AD573" s="456">
        <f>(_xll.xSPRDOPT($L573+$AB$5,$J573,$I573,$M573,$O573,$N573,$P573,$Q573-$C$3,$R573,9)/365)*$H573</f>
        <v>-194.36957431659712</v>
      </c>
      <c r="AE573">
        <f t="shared" si="613"/>
        <v>0</v>
      </c>
      <c r="AF573" s="456">
        <f t="shared" si="664"/>
        <v>852.05062985658037</v>
      </c>
      <c r="AG573" s="456">
        <f>((_xll.xSPRDOPT($L573,$J573,$I573,$M573,$O573,$N573,$P573,$Q573-$C$3,$R573,6)*$H573)/100)</f>
        <v>343.53091791118686</v>
      </c>
      <c r="AH573" s="456">
        <f>((_xll.xSPRDOPT($L573,$J573,$I573,$M573,$O573,$N573,$P573,$Q573-$C$3,$R573,5)*$H573)/100)</f>
        <v>524.1131613747242</v>
      </c>
      <c r="AI573" s="456">
        <f>(((_xll.xSPRDOPT($L573,$J573,$I573,$M573,$O573,$N573,$P573,$Q573-$C$3,$R573,4)*$H573)/10000)/100)-AB573</f>
        <v>1.0094909457605751E-2</v>
      </c>
      <c r="AJ573" s="456"/>
      <c r="AK573" s="456"/>
      <c r="CC573" s="141">
        <f t="shared" si="682"/>
        <v>36892</v>
      </c>
      <c r="CD573" s="234">
        <f>_xll.xSPRDOPT((VLOOKUP(G573,NGPrices,2,FALSE)+HLOOKUP(D573,Prices,VLOOKUP(G573,move_down,2,FALSE),FALSE)),VLOOKUP(G573,NGPrices,2,FALSE),I573,VLOOKUP(G573,NGPREVPRICES,4,FALSE),HLOOKUP(D573,PREVVOLS,VLOOKUP(G573,MOVE_DOWN2,2,FALSE),FALSE),VLOOKUP(G573,NGPREVPRICES,3,FALSE),HLOOKUP(D573,Correllate,VLOOKUP(G573,CorMove,2,FALSE),FALSE),Q573-$CD$3,R573,$CD$5)*H573-CJ573</f>
        <v>0</v>
      </c>
      <c r="CE573" s="234">
        <f>_xll.xSPRDOPT((VLOOKUP(G573,NGPREVPRICES,2,FALSE)+HLOOKUP(D573,PREVCURVES,VLOOKUP(G573,MOVE_DOWN2,2,FALSE),FALSE)),VLOOKUP(G573,NGPREVPRICES,2,FALSE),CK573,VLOOKUP(G573,NGPrices,4,FALSE),HLOOKUP(D573,PREVVOLS,VLOOKUP(G573,MOVE_DOWN2,2,FALSE),FALSE),VLOOKUP(G573,NGPREVPRICES,3,FALSE),HLOOKUP(D573,Correllate,VLOOKUP(G573,CorMove,2,FALSE),FALSE),Q573-$CD$3,R573,$CJ$5)*H573-CJ573</f>
        <v>0</v>
      </c>
      <c r="CF573" s="10">
        <f t="shared" si="683"/>
        <v>-18.937133833620464</v>
      </c>
      <c r="CG573" s="234">
        <f>_xll.xSPRDOPT((VLOOKUP(G573,NGPREVPRICES,2,FALSE)+HLOOKUP(D573,PREVCURVES,VLOOKUP(G573,MOVE_DOWN2,2,FALSE),FALSE)),VLOOKUP(G573,NGPREVPRICES,2,FALSE),CK573,VLOOKUP(G573,NGPREVPRICES,4,FALSE),HLOOKUP(D573,VOLS,VLOOKUP(G573,move_down,2,FALSE),FALSE),VLOOKUP(G573,NGPrices,3,FALSE),HLOOKUP(D573,Correllate,VLOOKUP(G573,CorMove,2,FALSE),FALSE),Q573-$CD$3,R573,$CJ$5)*H573-CJ573</f>
        <v>0</v>
      </c>
      <c r="CH573" s="234">
        <f>_xll.xSPRDOPT((VLOOKUP(G573,NGPREVPRICES,2,FALSE)+HLOOKUP(D573,PREVCURVES,VLOOKUP(G573,MOVE_DOWN2,2,FALSE),FALSE)),VLOOKUP(G573,NGPREVPRICES,2,FALSE),CK573,VLOOKUP(G573,NGPREVPRICES,4,FALSE),HLOOKUP(D573,PREVVOLS,VLOOKUP(G573,MOVE_DOWN2,2,FALSE),FALSE),VLOOKUP(G573,NGPREVPRICES,3,FALSE),HLOOKUP(D573,Correllate,VLOOKUP(G573,CorMove,2,FALSE),FALSE),Q573-$C$3,R573,$CJ$5)*H573-CJ573</f>
        <v>-193.86016733560245</v>
      </c>
      <c r="CI573" s="234">
        <f t="shared" si="684"/>
        <v>-212.79730116922292</v>
      </c>
      <c r="CJ573" s="234">
        <f>_xll.xSPRDOPT((VLOOKUP(G573,NGPREVPRICES,2,FALSE)+HLOOKUP(D573,PREVCURVES,VLOOKUP(G573,MOVE_DOWN2,2,FALSE),FALSE)),VLOOKUP(G573,NGPREVPRICES,2,FALSE),CK573,VLOOKUP(G573,NGPREVPRICES,4,FALSE),HLOOKUP(D573,PREVVOLS,VLOOKUP(G573,MOVE_DOWN2,2,FALSE),FALSE),VLOOKUP(G573,NGPREVPRICES,3,FALSE),HLOOKUP(D573,Correllate,VLOOKUP(G573,CorMove,2,FALSE),FALSE),Q573-$CD$3,R573,$CJ$5)*H573</f>
        <v>100493.61516475907</v>
      </c>
      <c r="CK573" s="235">
        <f t="shared" si="685"/>
        <v>0.3</v>
      </c>
      <c r="CM573" t="str">
        <f t="shared" si="686"/>
        <v>36892Curve Shift/Gamma</v>
      </c>
      <c r="CN573" t="str">
        <f t="shared" si="665"/>
        <v>36892Rho</v>
      </c>
      <c r="CO573" t="str">
        <f t="shared" si="666"/>
        <v>36892Drift</v>
      </c>
      <c r="CP573" t="str">
        <f t="shared" si="667"/>
        <v>36892Vega</v>
      </c>
      <c r="CQ573" t="str">
        <f t="shared" si="668"/>
        <v>36892Theta</v>
      </c>
    </row>
    <row r="574" spans="1:95" x14ac:dyDescent="0.25">
      <c r="A574" s="140" t="s">
        <v>279</v>
      </c>
      <c r="B574" t="s">
        <v>250</v>
      </c>
      <c r="C574" t="s">
        <v>537</v>
      </c>
      <c r="D574" s="4" t="s">
        <v>190</v>
      </c>
      <c r="E574" t="s">
        <v>20</v>
      </c>
      <c r="F574" t="s">
        <v>21</v>
      </c>
      <c r="G574" s="5">
        <v>36861</v>
      </c>
      <c r="H574" s="130">
        <v>155000</v>
      </c>
      <c r="I574">
        <v>0.3</v>
      </c>
      <c r="J574" s="53">
        <f t="shared" si="669"/>
        <v>4.8</v>
      </c>
      <c r="K574" s="7">
        <f t="shared" si="670"/>
        <v>1.0049999999999999</v>
      </c>
      <c r="L574" s="53">
        <f t="shared" si="671"/>
        <v>5.8049999999999997</v>
      </c>
      <c r="M574" s="157">
        <f t="shared" si="672"/>
        <v>6.8314027999354002E-2</v>
      </c>
      <c r="N574" s="4">
        <f t="shared" si="673"/>
        <v>0.6</v>
      </c>
      <c r="O574" s="4">
        <f t="shared" si="674"/>
        <v>0.58199999999999996</v>
      </c>
      <c r="P574" s="9">
        <f t="shared" si="675"/>
        <v>0.85</v>
      </c>
      <c r="Q574" s="5">
        <f t="shared" si="612"/>
        <v>36859</v>
      </c>
      <c r="R574" s="4">
        <f t="shared" si="676"/>
        <v>1</v>
      </c>
      <c r="S574" s="158">
        <f>_xll.xSPRDOPT($L574,$J574,$I574,$M574,$O574,$N574,$P574,$Q574-$C$3,$R574,0)</f>
        <v>0.79086517743194373</v>
      </c>
      <c r="T574" s="159">
        <f>_xll.xSPRDOPT($L574,$J574,$I574,$M574,$O574,$N574,$P574,$Q574-$C$3,$R574,1)*H574</f>
        <v>124290.93346852889</v>
      </c>
      <c r="U574" s="160">
        <f t="shared" si="677"/>
        <v>122584.10250195127</v>
      </c>
      <c r="V574" s="159">
        <f>_xll.xSPRDOPT($L574,$J574,$I574,$M574,$O574,$N574,$P574,$Q574-$C$3,$R574,2)*H574</f>
        <v>-117257.40694659061</v>
      </c>
      <c r="W574" s="159">
        <f t="shared" si="678"/>
        <v>7033.5265219382854</v>
      </c>
      <c r="X574" s="51" t="str">
        <f t="shared" si="679"/>
        <v>36861NGI-SOCAL</v>
      </c>
      <c r="Y574" s="418">
        <f t="shared" si="680"/>
        <v>15.5</v>
      </c>
      <c r="Z574" s="456">
        <f t="shared" si="681"/>
        <v>0.80187699011954128</v>
      </c>
      <c r="AA574" s="456">
        <f>_xll.xSPRDOPT($L574,$J574,$I574,$M574,$O574,$N574,$P574,$Q574-$C$3,$R574,3)</f>
        <v>0.28521344905962409</v>
      </c>
      <c r="AB574" s="456">
        <f>((_xll.xSPRDOPT($L574+AB$5,$J574,$I574,$M574,$O574,$N574,$P574,$Q574-$C$3,$R574,3)*$H574)/10000)/100</f>
        <v>4.4208084604241735E-2</v>
      </c>
      <c r="AC574" s="456">
        <f>((_xll.xSPRDOPT($L574+$AB$5,$J574,$I574,$M574,$O574,$N574,$P574,$Q574-$C$3,$R574,7)*$H574)/100)</f>
        <v>-1236.7897451492506</v>
      </c>
      <c r="AD574" s="456">
        <f>(_xll.xSPRDOPT($L574+$AB$5,$J574,$I574,$M574,$O574,$N574,$P574,$Q574-$C$3,$R574,9)/365)*$H574</f>
        <v>-179.53474474500558</v>
      </c>
      <c r="AE574">
        <f t="shared" si="613"/>
        <v>0</v>
      </c>
      <c r="AF574" s="456">
        <f t="shared" si="664"/>
        <v>620.50690307566003</v>
      </c>
      <c r="AG574" s="456">
        <f>((_xll.xSPRDOPT($L574,$J574,$I574,$M574,$O574,$N574,$P574,$Q574-$C$3,$R574,6)*$H574)/100)</f>
        <v>254.26879228503199</v>
      </c>
      <c r="AH574" s="456">
        <f>((_xll.xSPRDOPT($L574,$J574,$I574,$M574,$O574,$N574,$P574,$Q574-$C$3,$R574,5)*$H574)/100)</f>
        <v>377.56506267075054</v>
      </c>
      <c r="AI574" s="456">
        <f>(((_xll.xSPRDOPT($L574,$J574,$I574,$M574,$O574,$N574,$P574,$Q574-$C$3,$R574,4)*$H574)/10000)/100)-AB574</f>
        <v>1.3413081308389918E-2</v>
      </c>
      <c r="AJ574" s="456"/>
      <c r="AK574" s="456"/>
      <c r="CC574" s="141">
        <f t="shared" si="682"/>
        <v>36861</v>
      </c>
      <c r="CD574" s="234">
        <f>_xll.xSPRDOPT((VLOOKUP(G574,NGPrices,2,FALSE)+HLOOKUP(D574,Prices,VLOOKUP(G574,move_down,2,FALSE),FALSE)),VLOOKUP(G574,NGPrices,2,FALSE),I574,VLOOKUP(G574,NGPREVPRICES,4,FALSE),HLOOKUP(D574,PREVVOLS,VLOOKUP(G574,MOVE_DOWN2,2,FALSE),FALSE),VLOOKUP(G574,NGPREVPRICES,3,FALSE),HLOOKUP(D574,Correllate,VLOOKUP(G574,CorMove,2,FALSE),FALSE),Q574-$CD$3,R574,$CD$5)*H574-CJ574</f>
        <v>0</v>
      </c>
      <c r="CE574" s="234">
        <f>_xll.xSPRDOPT((VLOOKUP(G574,NGPREVPRICES,2,FALSE)+HLOOKUP(D574,PREVCURVES,VLOOKUP(G574,MOVE_DOWN2,2,FALSE),FALSE)),VLOOKUP(G574,NGPREVPRICES,2,FALSE),CK574,VLOOKUP(G574,NGPrices,4,FALSE),HLOOKUP(D574,PREVVOLS,VLOOKUP(G574,MOVE_DOWN2,2,FALSE),FALSE),VLOOKUP(G574,NGPREVPRICES,3,FALSE),HLOOKUP(D574,Correllate,VLOOKUP(G574,CorMove,2,FALSE),FALSE),Q574-$CD$3,R574,$CJ$5)*H574-CJ574</f>
        <v>0</v>
      </c>
      <c r="CF574" s="10">
        <f t="shared" si="683"/>
        <v>-22.998222208028892</v>
      </c>
      <c r="CG574" s="234">
        <f>_xll.xSPRDOPT((VLOOKUP(G574,NGPREVPRICES,2,FALSE)+HLOOKUP(D574,PREVCURVES,VLOOKUP(G574,MOVE_DOWN2,2,FALSE),FALSE)),VLOOKUP(G574,NGPREVPRICES,2,FALSE),CK574,VLOOKUP(G574,NGPREVPRICES,4,FALSE),HLOOKUP(D574,VOLS,VLOOKUP(G574,move_down,2,FALSE),FALSE),VLOOKUP(G574,NGPrices,3,FALSE),HLOOKUP(D574,Correllate,VLOOKUP(G574,CorMove,2,FALSE),FALSE),Q574-$CD$3,R574,$CJ$5)*H574-CJ574</f>
        <v>0</v>
      </c>
      <c r="CH574" s="234">
        <f>_xll.xSPRDOPT((VLOOKUP(G574,NGPREVPRICES,2,FALSE)+HLOOKUP(D574,PREVCURVES,VLOOKUP(G574,MOVE_DOWN2,2,FALSE),FALSE)),VLOOKUP(G574,NGPREVPRICES,2,FALSE),CK574,VLOOKUP(G574,NGPREVPRICES,4,FALSE),HLOOKUP(D574,PREVVOLS,VLOOKUP(G574,MOVE_DOWN2,2,FALSE),FALSE),VLOOKUP(G574,NGPREVPRICES,3,FALSE),HLOOKUP(D574,Correllate,VLOOKUP(G574,CorMove,2,FALSE),FALSE),Q574-$C$3,R574,$CJ$5)*H574-CJ574</f>
        <v>-179.19255030360364</v>
      </c>
      <c r="CI574" s="234">
        <f t="shared" si="684"/>
        <v>-202.19077251163253</v>
      </c>
      <c r="CJ574" s="234">
        <f>_xll.xSPRDOPT((VLOOKUP(G574,NGPREVPRICES,2,FALSE)+HLOOKUP(D574,PREVCURVES,VLOOKUP(G574,MOVE_DOWN2,2,FALSE),FALSE)),VLOOKUP(G574,NGPREVPRICES,2,FALSE),CK574,VLOOKUP(G574,NGPREVPRICES,4,FALSE),HLOOKUP(D574,PREVVOLS,VLOOKUP(G574,MOVE_DOWN2,2,FALSE),FALSE),VLOOKUP(G574,NGPREVPRICES,3,FALSE),HLOOKUP(D574,Correllate,VLOOKUP(G574,CorMove,2,FALSE),FALSE),Q574-$CD$3,R574,$CJ$5)*H574</f>
        <v>122763.29505225488</v>
      </c>
      <c r="CK574" s="235">
        <f t="shared" si="685"/>
        <v>0.3</v>
      </c>
      <c r="CM574" t="str">
        <f t="shared" si="686"/>
        <v>36861Curve Shift/Gamma</v>
      </c>
      <c r="CN574" t="str">
        <f t="shared" si="665"/>
        <v>36861Rho</v>
      </c>
      <c r="CO574" t="str">
        <f t="shared" si="666"/>
        <v>36861Drift</v>
      </c>
      <c r="CP574" t="str">
        <f t="shared" si="667"/>
        <v>36861Vega</v>
      </c>
      <c r="CQ574" t="str">
        <f t="shared" si="668"/>
        <v>36861Theta</v>
      </c>
    </row>
    <row r="575" spans="1:95" x14ac:dyDescent="0.25">
      <c r="A575" s="140" t="s">
        <v>279</v>
      </c>
      <c r="B575" t="s">
        <v>250</v>
      </c>
      <c r="C575" t="s">
        <v>537</v>
      </c>
      <c r="D575" s="4" t="s">
        <v>190</v>
      </c>
      <c r="E575" t="s">
        <v>20</v>
      </c>
      <c r="F575" t="s">
        <v>21</v>
      </c>
      <c r="G575" s="5">
        <v>36831</v>
      </c>
      <c r="H575" s="130">
        <v>150000</v>
      </c>
      <c r="I575">
        <v>0.3</v>
      </c>
      <c r="J575" s="53">
        <f t="shared" si="669"/>
        <v>4.7359999999999998</v>
      </c>
      <c r="K575" s="7">
        <f t="shared" si="670"/>
        <v>1.5449999999999999</v>
      </c>
      <c r="L575" s="53">
        <f t="shared" si="671"/>
        <v>6.2809999999999997</v>
      </c>
      <c r="M575" s="157">
        <f t="shared" si="672"/>
        <v>6.810675983792E-2</v>
      </c>
      <c r="N575" s="4">
        <f t="shared" si="673"/>
        <v>0.59499999999999997</v>
      </c>
      <c r="O575" s="4">
        <f t="shared" si="674"/>
        <v>0.57699999999999996</v>
      </c>
      <c r="P575" s="9">
        <f t="shared" si="675"/>
        <v>0.85</v>
      </c>
      <c r="Q575" s="5">
        <f t="shared" si="612"/>
        <v>36829</v>
      </c>
      <c r="R575" s="4">
        <f t="shared" si="676"/>
        <v>1</v>
      </c>
      <c r="S575" s="158">
        <f>_xll.xSPRDOPT($L575,$J575,$I575,$M575,$O575,$N575,$P575,$Q575-$C$3,$R575,0)</f>
        <v>1.2431783155446245</v>
      </c>
      <c r="T575" s="159">
        <f>_xll.xSPRDOPT($L575,$J575,$I575,$M575,$O575,$N575,$P575,$Q575-$C$3,$R575,1)*H575</f>
        <v>142746.49762858651</v>
      </c>
      <c r="U575" s="160">
        <f t="shared" si="677"/>
        <v>186476.74733169368</v>
      </c>
      <c r="V575" s="159">
        <f>_xll.xSPRDOPT($L575,$J575,$I575,$M575,$O575,$N575,$P575,$Q575-$C$3,$R575,2)*H575</f>
        <v>-140959.40611743147</v>
      </c>
      <c r="W575" s="159">
        <f t="shared" si="678"/>
        <v>1787.0915111550421</v>
      </c>
      <c r="X575" s="51" t="str">
        <f t="shared" si="679"/>
        <v>36831NGI-SOCAL</v>
      </c>
      <c r="Y575" s="418">
        <f t="shared" si="680"/>
        <v>15</v>
      </c>
      <c r="Z575" s="456">
        <f t="shared" si="681"/>
        <v>0.95164331752391007</v>
      </c>
      <c r="AA575" s="456">
        <f>_xll.xSPRDOPT($L575,$J575,$I575,$M575,$O575,$N575,$P575,$Q575-$C$3,$R575,3)</f>
        <v>9.9509688054344972E-2</v>
      </c>
      <c r="AB575" s="456">
        <f>((_xll.xSPRDOPT($L575+AB$5,$J575,$I575,$M575,$O575,$N575,$P575,$Q575-$C$3,$R575,3)*$H575)/10000)/100</f>
        <v>1.4926453208151747E-2</v>
      </c>
      <c r="AC575" s="456">
        <f>((_xll.xSPRDOPT($L575+$AB$5,$J575,$I575,$M575,$O575,$N575,$P575,$Q575-$C$3,$R575,7)*$H575)/100)</f>
        <v>-324.43639749707108</v>
      </c>
      <c r="AD575" s="456">
        <f>(_xll.xSPRDOPT($L575+$AB$5,$J575,$I575,$M575,$O575,$N575,$P575,$Q575-$C$3,$R575,9)/365)*$H575</f>
        <v>-43.966621538496035</v>
      </c>
      <c r="AE575">
        <f t="shared" si="613"/>
        <v>0</v>
      </c>
      <c r="AF575" s="456">
        <f t="shared" si="664"/>
        <v>164.03038798602125</v>
      </c>
      <c r="AG575" s="456">
        <f>((_xll.xSPRDOPT($L575,$J575,$I575,$M575,$O575,$N575,$P575,$Q575-$C$3,$R575,6)*$H575)/100)</f>
        <v>68.199309410585258</v>
      </c>
      <c r="AH575" s="456">
        <f>((_xll.xSPRDOPT($L575,$J575,$I575,$M575,$O575,$N575,$P575,$Q575-$C$3,$R575,5)*$H575)/100)</f>
        <v>98.820609622849929</v>
      </c>
      <c r="AI575" s="456">
        <f>(((_xll.xSPRDOPT($L575,$J575,$I575,$M575,$O575,$N575,$P575,$Q575-$C$3,$R575,4)*$H575)/10000)/100)-AB575</f>
        <v>8.5433017319406727E-3</v>
      </c>
      <c r="AJ575" s="456"/>
      <c r="AK575" s="456"/>
      <c r="CC575" s="141">
        <f t="shared" si="682"/>
        <v>36831</v>
      </c>
      <c r="CD575" s="234">
        <f>_xll.xSPRDOPT((VLOOKUP(G575,NGPrices,2,FALSE)+HLOOKUP(D575,Prices,VLOOKUP(G575,move_down,2,FALSE),FALSE)),VLOOKUP(G575,NGPrices,2,FALSE),I575,VLOOKUP(G575,NGPREVPRICES,4,FALSE),HLOOKUP(D575,PREVVOLS,VLOOKUP(G575,MOVE_DOWN2,2,FALSE),FALSE),VLOOKUP(G575,NGPREVPRICES,3,FALSE),HLOOKUP(D575,Correllate,VLOOKUP(G575,CorMove,2,FALSE),FALSE),Q575-$CD$3,R575,$CD$5)*H575-CJ575</f>
        <v>0</v>
      </c>
      <c r="CE575" s="234">
        <f>_xll.xSPRDOPT((VLOOKUP(G575,NGPREVPRICES,2,FALSE)+HLOOKUP(D575,PREVCURVES,VLOOKUP(G575,MOVE_DOWN2,2,FALSE),FALSE)),VLOOKUP(G575,NGPREVPRICES,2,FALSE),CK575,VLOOKUP(G575,NGPrices,4,FALSE),HLOOKUP(D575,PREVVOLS,VLOOKUP(G575,MOVE_DOWN2,2,FALSE),FALSE),VLOOKUP(G575,NGPREVPRICES,3,FALSE),HLOOKUP(D575,Correllate,VLOOKUP(G575,CorMove,2,FALSE),FALSE),Q575-$CD$3,R575,$CJ$5)*H575-CJ575</f>
        <v>0</v>
      </c>
      <c r="CF575" s="10">
        <f t="shared" si="683"/>
        <v>-34.638988383259857</v>
      </c>
      <c r="CG575" s="234">
        <f>_xll.xSPRDOPT((VLOOKUP(G575,NGPREVPRICES,2,FALSE)+HLOOKUP(D575,PREVCURVES,VLOOKUP(G575,MOVE_DOWN2,2,FALSE),FALSE)),VLOOKUP(G575,NGPREVPRICES,2,FALSE),CK575,VLOOKUP(G575,NGPREVPRICES,4,FALSE),HLOOKUP(D575,VOLS,VLOOKUP(G575,move_down,2,FALSE),FALSE),VLOOKUP(G575,NGPrices,3,FALSE),HLOOKUP(D575,Correllate,VLOOKUP(G575,CorMove,2,FALSE),FALSE),Q575-$CD$3,R575,$CJ$5)*H575-CJ575</f>
        <v>0</v>
      </c>
      <c r="CH575" s="234">
        <f>_xll.xSPRDOPT((VLOOKUP(G575,NGPREVPRICES,2,FALSE)+HLOOKUP(D575,PREVCURVES,VLOOKUP(G575,MOVE_DOWN2,2,FALSE),FALSE)),VLOOKUP(G575,NGPREVPRICES,2,FALSE),CK575,VLOOKUP(G575,NGPREVPRICES,4,FALSE),HLOOKUP(D575,PREVVOLS,VLOOKUP(G575,MOVE_DOWN2,2,FALSE),FALSE),VLOOKUP(G575,NGPREVPRICES,3,FALSE),HLOOKUP(D575,Correllate,VLOOKUP(G575,CorMove,2,FALSE),FALSE),Q575-$C$3,R575,$CJ$5)*H575-CJ575</f>
        <v>-44.538393680995796</v>
      </c>
      <c r="CI575" s="234">
        <f t="shared" si="684"/>
        <v>-79.177382064255653</v>
      </c>
      <c r="CJ575" s="234">
        <f>_xll.xSPRDOPT((VLOOKUP(G575,NGPREVPRICES,2,FALSE)+HLOOKUP(D575,PREVCURVES,VLOOKUP(G575,MOVE_DOWN2,2,FALSE),FALSE)),VLOOKUP(G575,NGPREVPRICES,2,FALSE),CK575,VLOOKUP(G575,NGPREVPRICES,4,FALSE),HLOOKUP(D575,PREVVOLS,VLOOKUP(G575,MOVE_DOWN2,2,FALSE),FALSE),VLOOKUP(G575,NGPREVPRICES,3,FALSE),HLOOKUP(D575,Correllate,VLOOKUP(G575,CorMove,2,FALSE),FALSE),Q575-$CD$3,R575,$CJ$5)*H575</f>
        <v>186521.28572537468</v>
      </c>
      <c r="CK575" s="235">
        <f t="shared" si="685"/>
        <v>0.3</v>
      </c>
      <c r="CM575" t="str">
        <f t="shared" si="686"/>
        <v>36831Curve Shift/Gamma</v>
      </c>
      <c r="CN575" t="str">
        <f t="shared" si="665"/>
        <v>36831Rho</v>
      </c>
      <c r="CO575" t="str">
        <f t="shared" si="666"/>
        <v>36831Drift</v>
      </c>
      <c r="CP575" t="str">
        <f t="shared" si="667"/>
        <v>36831Vega</v>
      </c>
      <c r="CQ575" t="str">
        <f t="shared" si="668"/>
        <v>36831Theta</v>
      </c>
    </row>
    <row r="576" spans="1:95" x14ac:dyDescent="0.25">
      <c r="A576" s="140" t="s">
        <v>279</v>
      </c>
      <c r="B576" t="s">
        <v>250</v>
      </c>
      <c r="C576" t="s">
        <v>539</v>
      </c>
      <c r="D576" s="4" t="s">
        <v>190</v>
      </c>
      <c r="E576" t="s">
        <v>20</v>
      </c>
      <c r="F576" t="s">
        <v>21</v>
      </c>
      <c r="G576" s="5">
        <v>36800</v>
      </c>
      <c r="H576" s="130">
        <v>1000000</v>
      </c>
      <c r="I576">
        <v>0.7</v>
      </c>
      <c r="J576" s="53">
        <f t="shared" si="669"/>
        <v>4.6920000000000002</v>
      </c>
      <c r="K576" s="7">
        <f t="shared" si="670"/>
        <v>1.99</v>
      </c>
      <c r="L576" s="53">
        <f t="shared" si="671"/>
        <v>6.6820000000000004</v>
      </c>
      <c r="M576" s="157">
        <f t="shared" si="672"/>
        <v>6.8050789414654006E-2</v>
      </c>
      <c r="N576" s="4">
        <f t="shared" si="673"/>
        <v>0.57499999999999996</v>
      </c>
      <c r="O576" s="4">
        <f t="shared" si="674"/>
        <v>0.54100000000000004</v>
      </c>
      <c r="P576" s="9">
        <f t="shared" si="675"/>
        <v>0.83</v>
      </c>
      <c r="Q576" s="5">
        <f t="shared" si="612"/>
        <v>36797</v>
      </c>
      <c r="R576" s="4">
        <f t="shared" si="676"/>
        <v>1</v>
      </c>
      <c r="S576" s="158">
        <f>_xll.xSPRDOPT($L576,$J576,$I576,$M576,$O576,$N576,$P576,$Q576-$C$3,$R576,0)</f>
        <v>1.2840668434536191</v>
      </c>
      <c r="T576" s="159">
        <f>_xll.xSPRDOPT($L576,$J576,$I576,$M576,$O576,$N576,$P576,$Q576-$C$3,$R576,1)*H576</f>
        <v>988002.65329862654</v>
      </c>
      <c r="U576" s="160">
        <f t="shared" si="677"/>
        <v>1284066.8434536192</v>
      </c>
      <c r="V576" s="159">
        <f>_xll.xSPRDOPT($L576,$J576,$I576,$M576,$O576,$N576,$P576,$Q576-$C$3,$R576,2)*H576</f>
        <v>-986149.00376658898</v>
      </c>
      <c r="W576" s="159">
        <f t="shared" si="678"/>
        <v>1853.6495320375543</v>
      </c>
      <c r="X576" s="51" t="str">
        <f t="shared" si="679"/>
        <v>36800NGI-SOCAL</v>
      </c>
      <c r="Y576" s="418">
        <f t="shared" si="680"/>
        <v>100</v>
      </c>
      <c r="Z576" s="456">
        <f t="shared" si="681"/>
        <v>0.98800265329862658</v>
      </c>
      <c r="AA576" s="456">
        <f>_xll.xSPRDOPT($L576,$J576,$I576,$M576,$O576,$N576,$P576,$Q576-$C$3,$R576,3)</f>
        <v>3.070778583000229E-2</v>
      </c>
      <c r="AB576" s="456">
        <f>((_xll.xSPRDOPT($L576+AB$5,$J576,$I576,$M576,$O576,$N576,$P576,$Q576-$C$3,$R576,3)*$H576)/10000)/100</f>
        <v>3.0707785830002287E-2</v>
      </c>
      <c r="AC576" s="456">
        <f>((_xll.xSPRDOPT($L576+$AB$5,$J576,$I576,$M576,$O576,$N576,$P576,$Q576-$C$3,$R576,7)*$H576)/100)</f>
        <v>-307.55550702073356</v>
      </c>
      <c r="AD576" s="456">
        <f>(_xll.xSPRDOPT($L576+$AB$5,$J576,$I576,$M576,$O576,$N576,$P576,$Q576-$C$3,$R576,9)/365)*$H576</f>
        <v>62.335796238096812</v>
      </c>
      <c r="AE576">
        <f t="shared" ref="AE576:AE581" si="687">CD577</f>
        <v>0</v>
      </c>
      <c r="AF576" s="456">
        <f t="shared" si="664"/>
        <v>184.6383640830592</v>
      </c>
      <c r="AG576" s="456">
        <f>((_xll.xSPRDOPT($L576,$J576,$I576,$M576,$O576,$N576,$P576,$Q576-$C$3,$R576,6)*$H576)/100)</f>
        <v>55.355388126096983</v>
      </c>
      <c r="AH576" s="456">
        <f>((_xll.xSPRDOPT($L576,$J576,$I576,$M576,$O576,$N576,$P576,$Q576-$C$3,$R576,5)*$H576)/100)</f>
        <v>137.407968900653</v>
      </c>
      <c r="AI576" s="456">
        <f>(((_xll.xSPRDOPT($L576,$J576,$I576,$M576,$O576,$N576,$P576,$Q576-$C$3,$R576,4)*$H576)/10000)/100)-AB576</f>
        <v>1.7313183444533985E-2</v>
      </c>
      <c r="AJ576" s="456"/>
      <c r="AK576" s="456"/>
      <c r="AL576" s="456"/>
      <c r="CC576" s="141" t="e">
        <f>#REF!</f>
        <v>#REF!</v>
      </c>
      <c r="CD576" s="234" t="e">
        <f>_xll.xSPRDOPT((VLOOKUP(#REF!,NGPrices,2,FALSE)+HLOOKUP(#REF!,Prices,VLOOKUP(#REF!,move_down,2,FALSE),FALSE)),VLOOKUP(#REF!,NGPrices,2,FALSE),#REF!,VLOOKUP(#REF!,NGPREVPRICES,4,FALSE),HLOOKUP(#REF!,PREVVOLS,VLOOKUP(#REF!,MOVE_DOWN2,2,FALSE),FALSE),VLOOKUP(#REF!,NGPREVPRICES,3,FALSE),HLOOKUP(#REF!,Correllate,VLOOKUP(#REF!,CorMove,2,FALSE),FALSE),#REF!-$CD$3,#REF!,$CD$5)*#REF!-CJ576</f>
        <v>#REF!</v>
      </c>
      <c r="CE576" s="234" t="e">
        <f>_xll.xSPRDOPT((VLOOKUP(#REF!,NGPREVPRICES,2,FALSE)+HLOOKUP(#REF!,PREVCURVES,VLOOKUP(#REF!,MOVE_DOWN2,2,FALSE),FALSE)),VLOOKUP(#REF!,NGPREVPRICES,2,FALSE),CK576,VLOOKUP(#REF!,NGPrices,4,FALSE),HLOOKUP(#REF!,PREVVOLS,VLOOKUP(#REF!,MOVE_DOWN2,2,FALSE),FALSE),VLOOKUP(#REF!,NGPREVPRICES,3,FALSE),HLOOKUP(#REF!,Correllate,VLOOKUP(#REF!,CorMove,2,FALSE),FALSE),#REF!-$CD$3,#REF!,$CJ$5)*#REF!-CJ576</f>
        <v>#REF!</v>
      </c>
      <c r="CF576" s="10" t="e">
        <f t="shared" si="683"/>
        <v>#REF!</v>
      </c>
      <c r="CG576" s="234" t="e">
        <f>_xll.xSPRDOPT((VLOOKUP(#REF!,NGPREVPRICES,2,FALSE)+HLOOKUP(#REF!,PREVCURVES,VLOOKUP(#REF!,MOVE_DOWN2,2,FALSE),FALSE)),VLOOKUP(#REF!,NGPREVPRICES,2,FALSE),CK576,VLOOKUP(#REF!,NGPREVPRICES,4,FALSE),HLOOKUP(#REF!,VOLS,VLOOKUP(#REF!,move_down,2,FALSE),FALSE),VLOOKUP(#REF!,NGPrices,3,FALSE),HLOOKUP(#REF!,Correllate,VLOOKUP(#REF!,CorMove,2,FALSE),FALSE),#REF!-$CD$3,#REF!,$CJ$5)*#REF!-CJ576</f>
        <v>#REF!</v>
      </c>
      <c r="CH576" s="234" t="e">
        <f>_xll.xSPRDOPT((VLOOKUP(#REF!,NGPREVPRICES,2,FALSE)+HLOOKUP(#REF!,PREVCURVES,VLOOKUP(#REF!,MOVE_DOWN2,2,FALSE),FALSE)),VLOOKUP(#REF!,NGPREVPRICES,2,FALSE),CK576,VLOOKUP(#REF!,NGPREVPRICES,4,FALSE),HLOOKUP(#REF!,PREVVOLS,VLOOKUP(#REF!,MOVE_DOWN2,2,FALSE),FALSE),VLOOKUP(#REF!,NGPREVPRICES,3,FALSE),HLOOKUP(#REF!,Correllate,VLOOKUP(#REF!,CorMove,2,FALSE),FALSE),#REF!-$C$3,#REF!,$CJ$5)*#REF!-CJ576</f>
        <v>#REF!</v>
      </c>
      <c r="CI576" s="234" t="e">
        <f t="shared" si="684"/>
        <v>#REF!</v>
      </c>
      <c r="CJ576" s="234" t="e">
        <f>_xll.xSPRDOPT((VLOOKUP(#REF!,NGPREVPRICES,2,FALSE)+HLOOKUP(#REF!,PREVCURVES,VLOOKUP(#REF!,MOVE_DOWN2,2,FALSE),FALSE)),VLOOKUP(#REF!,NGPREVPRICES,2,FALSE),CK576,VLOOKUP(#REF!,NGPREVPRICES,4,FALSE),HLOOKUP(#REF!,PREVVOLS,VLOOKUP(#REF!,MOVE_DOWN2,2,FALSE),FALSE),VLOOKUP(#REF!,NGPREVPRICES,3,FALSE),HLOOKUP(#REF!,Correllate,VLOOKUP(#REF!,CorMove,2,FALSE),FALSE),#REF!-$CD$3,#REF!,$CJ$5)*#REF!</f>
        <v>#REF!</v>
      </c>
      <c r="CK576" s="235" t="e">
        <f>#REF!</f>
        <v>#REF!</v>
      </c>
      <c r="CM576" t="e">
        <f t="shared" si="686"/>
        <v>#REF!</v>
      </c>
      <c r="CN576" t="e">
        <f t="shared" si="665"/>
        <v>#REF!</v>
      </c>
      <c r="CO576" t="e">
        <f t="shared" si="666"/>
        <v>#REF!</v>
      </c>
      <c r="CP576" t="e">
        <f t="shared" si="667"/>
        <v>#REF!</v>
      </c>
      <c r="CQ576" t="e">
        <f t="shared" si="668"/>
        <v>#REF!</v>
      </c>
    </row>
    <row r="577" spans="1:95" x14ac:dyDescent="0.25">
      <c r="A577" s="140" t="s">
        <v>279</v>
      </c>
      <c r="B577" t="s">
        <v>250</v>
      </c>
      <c r="C577" t="s">
        <v>539</v>
      </c>
      <c r="D577" s="4" t="s">
        <v>190</v>
      </c>
      <c r="E577" t="s">
        <v>20</v>
      </c>
      <c r="F577" t="s">
        <v>21</v>
      </c>
      <c r="G577" s="5">
        <v>36770</v>
      </c>
      <c r="H577" s="130">
        <v>1000000</v>
      </c>
      <c r="I577">
        <v>0.7</v>
      </c>
      <c r="J577" s="53">
        <f t="shared" si="669"/>
        <v>4.6849999999999996</v>
      </c>
      <c r="K577" s="7">
        <f t="shared" si="670"/>
        <v>2.5</v>
      </c>
      <c r="L577" s="53">
        <f t="shared" si="671"/>
        <v>7.1849999999999996</v>
      </c>
      <c r="M577" s="157">
        <f t="shared" si="672"/>
        <v>6.7216196212184998E-2</v>
      </c>
      <c r="N577" s="4">
        <f t="shared" si="673"/>
        <v>0.4</v>
      </c>
      <c r="O577" s="4">
        <f t="shared" si="674"/>
        <v>0.376</v>
      </c>
      <c r="P577" s="9">
        <f t="shared" si="675"/>
        <v>0.83</v>
      </c>
      <c r="Q577" s="5">
        <f t="shared" si="612"/>
        <v>36768</v>
      </c>
      <c r="R577" s="4">
        <f t="shared" si="676"/>
        <v>1</v>
      </c>
      <c r="S577" s="158">
        <f>_xll.xSPRDOPT($L577,$J577,$I577,$M577,$O577,$N577,$P577,$Q577-$C$3,$R577,0)</f>
        <v>1.7996690162219335</v>
      </c>
      <c r="T577" s="159">
        <f>_xll.xSPRDOPT($L577,$J577,$I577,$M577,$O577,$N577,$P577,$Q577-$C$3,$R577,1)*H577</f>
        <v>999816.12008850137</v>
      </c>
      <c r="U577" s="160">
        <f t="shared" si="677"/>
        <v>1799669.0162219335</v>
      </c>
      <c r="V577" s="159">
        <f>_xll.xSPRDOPT($L577,$J577,$I577,$M577,$O577,$N577,$P577,$Q577-$C$3,$R577,2)*H577</f>
        <v>-999816.16001398582</v>
      </c>
      <c r="W577" s="159">
        <f t="shared" si="678"/>
        <v>-3.9925484452396631E-2</v>
      </c>
      <c r="X577" s="51" t="str">
        <f t="shared" si="679"/>
        <v>36770NGI-SOCAL</v>
      </c>
      <c r="Y577" s="418">
        <f t="shared" si="680"/>
        <v>100</v>
      </c>
      <c r="Z577" s="456">
        <f t="shared" si="681"/>
        <v>0.9998161200885014</v>
      </c>
      <c r="AA577" s="456">
        <f>_xll.xSPRDOPT($L577,$J577,$I577,$M577,$O577,$N577,$P577,$Q577-$C$3,$R577,3)</f>
        <v>2.7582697333517527E-145</v>
      </c>
      <c r="AB577" s="456">
        <f>((_xll.xSPRDOPT($L577+AB$5,$J577,$I577,$M577,$O577,$N577,$P577,$Q577-$C$3,$R577,3)*$H577)/10000)/100</f>
        <v>2.7582697333517523E-145</v>
      </c>
      <c r="AC577" s="456">
        <f>((_xll.xSPRDOPT($L577+$AB$5,$J577,$I577,$M577,$O577,$N577,$P577,$Q577-$C$3,$R577,7)*$H577)/100)</f>
        <v>3.7582575954514785E-4</v>
      </c>
      <c r="AD577" s="456">
        <f>(_xll.xSPRDOPT($L577+$AB$5,$J577,$I577,$M577,$O577,$N577,$P577,$Q577-$C$3,$R577,9)/365)*$H577</f>
        <v>331.4161662228139</v>
      </c>
      <c r="AE577">
        <f t="shared" si="687"/>
        <v>0</v>
      </c>
      <c r="AF577" s="456">
        <f t="shared" si="664"/>
        <v>9.4661749583720398E-7</v>
      </c>
      <c r="AG577" s="456">
        <f>((_xll.xSPRDOPT($L577,$J577,$I577,$M577,$O577,$N577,$P577,$Q577-$C$3,$R577,6)*$H577)/100)</f>
        <v>1.0632000495309434E-5</v>
      </c>
      <c r="AH577" s="456">
        <f>((_xll.xSPRDOPT($L577,$J577,$I577,$M577,$O577,$N577,$P577,$Q577-$C$3,$R577,5)*$H577)/100)</f>
        <v>-1.0303598935608755E-5</v>
      </c>
      <c r="AI577" s="456">
        <f>(((_xll.xSPRDOPT($L577,$J577,$I577,$M577,$O577,$N577,$P577,$Q577-$C$3,$R577,4)*$H577)/10000)/100)-AB577</f>
        <v>-3.7951890845419279E-5</v>
      </c>
      <c r="AJ577" s="456"/>
      <c r="AK577" s="456"/>
      <c r="CC577" s="141">
        <f>G576</f>
        <v>36800</v>
      </c>
      <c r="CD577" s="234">
        <f>_xll.xSPRDOPT((VLOOKUP(G576,NGPrices,2,FALSE)+HLOOKUP(D576,Prices,VLOOKUP(G576,move_down,2,FALSE),FALSE)),VLOOKUP(G576,NGPrices,2,FALSE),I576,VLOOKUP(G576,NGPREVPRICES,4,FALSE),HLOOKUP(D576,PREVVOLS,VLOOKUP(G576,MOVE_DOWN2,2,FALSE),FALSE),VLOOKUP(G576,NGPREVPRICES,3,FALSE),HLOOKUP(D576,Correllate,VLOOKUP(G576,CorMove,2,FALSE),FALSE),Q576-$CD$3,R576,$CD$5)*H576-CJ577</f>
        <v>0</v>
      </c>
      <c r="CE577" s="234">
        <f>_xll.xSPRDOPT((VLOOKUP(G576,NGPREVPRICES,2,FALSE)+HLOOKUP(D576,PREVCURVES,VLOOKUP(G576,MOVE_DOWN2,2,FALSE),FALSE)),VLOOKUP(G576,NGPREVPRICES,2,FALSE),CK577,VLOOKUP(G576,NGPrices,4,FALSE),HLOOKUP(D576,PREVVOLS,VLOOKUP(G576,MOVE_DOWN2,2,FALSE),FALSE),VLOOKUP(G576,NGPREVPRICES,3,FALSE),HLOOKUP(D576,Correllate,VLOOKUP(G576,CorMove,2,FALSE),FALSE),Q576-$CD$3,R576,$CJ$5)*H576-CJ577</f>
        <v>0</v>
      </c>
      <c r="CF577" s="10">
        <f t="shared" si="683"/>
        <v>-236.71495855273679</v>
      </c>
      <c r="CG577" s="234">
        <f>_xll.xSPRDOPT((VLOOKUP(G576,NGPREVPRICES,2,FALSE)+HLOOKUP(D576,PREVCURVES,VLOOKUP(G576,MOVE_DOWN2,2,FALSE),FALSE)),VLOOKUP(G576,NGPREVPRICES,2,FALSE),CK577,VLOOKUP(G576,NGPREVPRICES,4,FALSE),HLOOKUP(D576,VOLS,VLOOKUP(G576,move_down,2,FALSE),FALSE),VLOOKUP(G576,NGPrices,3,FALSE),HLOOKUP(D576,Correllate,VLOOKUP(G576,CorMove,2,FALSE),FALSE),Q576-$CD$3,R576,$CJ$5)*H576-CJ577</f>
        <v>0</v>
      </c>
      <c r="CH577" s="234">
        <f>_xll.xSPRDOPT((VLOOKUP(G576,NGPREVPRICES,2,FALSE)+HLOOKUP(D576,PREVCURVES,VLOOKUP(G576,MOVE_DOWN2,2,FALSE),FALSE)),VLOOKUP(G576,NGPREVPRICES,2,FALSE),CK577,VLOOKUP(G576,NGPREVPRICES,4,FALSE),HLOOKUP(D576,PREVVOLS,VLOOKUP(G576,MOVE_DOWN2,2,FALSE),FALSE),VLOOKUP(G576,NGPREVPRICES,3,FALSE),HLOOKUP(D576,Correllate,VLOOKUP(G576,CorMove,2,FALSE),FALSE),Q576-$C$3,R576,$CJ$5)*H576-CJ577</f>
        <v>54.965223583392799</v>
      </c>
      <c r="CI577" s="234">
        <f t="shared" si="684"/>
        <v>-181.74973496934399</v>
      </c>
      <c r="CJ577" s="234">
        <f>_xll.xSPRDOPT((VLOOKUP(G576,NGPREVPRICES,2,FALSE)+HLOOKUP(D576,PREVCURVES,VLOOKUP(G576,MOVE_DOWN2,2,FALSE),FALSE)),VLOOKUP(G576,NGPREVPRICES,2,FALSE),CK577,VLOOKUP(G576,NGPREVPRICES,4,FALSE),HLOOKUP(D576,PREVVOLS,VLOOKUP(G576,MOVE_DOWN2,2,FALSE),FALSE),VLOOKUP(G576,NGPREVPRICES,3,FALSE),HLOOKUP(D576,Correllate,VLOOKUP(G576,CorMove,2,FALSE),FALSE),Q576-$CD$3,R576,$CJ$5)*H576</f>
        <v>1284011.8782300358</v>
      </c>
      <c r="CK577" s="235">
        <f>I576</f>
        <v>0.7</v>
      </c>
      <c r="CM577" t="str">
        <f t="shared" si="686"/>
        <v>36800Curve Shift/Gamma</v>
      </c>
      <c r="CN577" t="str">
        <f t="shared" si="665"/>
        <v>36800Rho</v>
      </c>
      <c r="CO577" t="str">
        <f t="shared" si="666"/>
        <v>36800Drift</v>
      </c>
      <c r="CP577" t="str">
        <f t="shared" si="667"/>
        <v>36800Vega</v>
      </c>
      <c r="CQ577" t="str">
        <f t="shared" si="668"/>
        <v>36800Theta</v>
      </c>
    </row>
    <row r="578" spans="1:95" x14ac:dyDescent="0.25">
      <c r="A578" s="140" t="s">
        <v>286</v>
      </c>
      <c r="B578" t="s">
        <v>250</v>
      </c>
      <c r="C578" t="s">
        <v>540</v>
      </c>
      <c r="D578" s="4" t="s">
        <v>190</v>
      </c>
      <c r="E578" t="s">
        <v>20</v>
      </c>
      <c r="F578" t="s">
        <v>1</v>
      </c>
      <c r="G578" s="5">
        <v>36800</v>
      </c>
      <c r="H578" s="130">
        <v>-155000</v>
      </c>
      <c r="I578">
        <v>0.5</v>
      </c>
      <c r="J578" s="53">
        <f t="shared" si="669"/>
        <v>4.6920000000000002</v>
      </c>
      <c r="K578" s="7">
        <f t="shared" si="670"/>
        <v>1.99</v>
      </c>
      <c r="L578" s="53">
        <f t="shared" si="671"/>
        <v>6.6820000000000004</v>
      </c>
      <c r="M578" s="157">
        <f t="shared" si="672"/>
        <v>6.8050789414654006E-2</v>
      </c>
      <c r="N578" s="4">
        <f t="shared" si="673"/>
        <v>0.57499999999999996</v>
      </c>
      <c r="O578" s="4">
        <f t="shared" si="674"/>
        <v>0.54100000000000004</v>
      </c>
      <c r="P578" s="9">
        <f t="shared" si="675"/>
        <v>0.83</v>
      </c>
      <c r="Q578" s="5">
        <f t="shared" si="612"/>
        <v>36797</v>
      </c>
      <c r="R578" s="4">
        <f t="shared" si="676"/>
        <v>0</v>
      </c>
      <c r="S578" s="158">
        <f>_xll.xSPRDOPT($L578,$J578,$I578,$M578,$O578,$N578,$P578,$Q578-$C$3,$R578,0)</f>
        <v>3.5282671755515471E-4</v>
      </c>
      <c r="T578" s="159">
        <f>_xll.xSPRDOPT($L578,$J578,$I578,$M578,$O578,$N578,$P578,$Q578-$C$3,$R578,1)*H578</f>
        <v>306.59457843077939</v>
      </c>
      <c r="U578" s="160">
        <f t="shared" si="677"/>
        <v>-54.68814122104898</v>
      </c>
      <c r="V578" s="159">
        <f>_xll.xSPRDOPT($L578,$J578,$I578,$M578,$O578,$N578,$P578,$Q578-$C$3,$R578,2)*H578</f>
        <v>-409.70754283152002</v>
      </c>
      <c r="W578" s="159">
        <f t="shared" si="678"/>
        <v>-103.11296440074062</v>
      </c>
      <c r="X578" s="51" t="str">
        <f t="shared" si="679"/>
        <v>36800NGI-SOCAL</v>
      </c>
      <c r="Y578" s="418">
        <f t="shared" si="680"/>
        <v>-15.5</v>
      </c>
      <c r="Z578" s="456">
        <f t="shared" si="681"/>
        <v>-1.978029538263093E-3</v>
      </c>
      <c r="AA578" s="456">
        <f>_xll.xSPRDOPT($L578,$J578,$I578,$M578,$O578,$N578,$P578,$Q578-$C$3,$R578,3)</f>
        <v>1.05276084778876E-2</v>
      </c>
      <c r="AB578" s="456">
        <f>((_xll.xSPRDOPT($L578+AB$5,$J578,$I578,$M578,$O578,$N578,$P578,$Q578-$C$3,$R578,3)*$H578)/10000)/100</f>
        <v>-1.6317793140725781E-3</v>
      </c>
      <c r="AC578" s="456">
        <f>((_xll.xSPRDOPT($L578+$AB$5,$J578,$I578,$M578,$O578,$N578,$P578,$Q578-$C$3,$R578,7)*$H578)/100)</f>
        <v>16.993504786056402</v>
      </c>
      <c r="AD578" s="456">
        <f>(_xll.xSPRDOPT($L578+$AB$5,$J578,$I578,$M578,$O578,$N578,$P578,$Q578-$C$3,$R578,9)/365)*$H578</f>
        <v>9.657397444455162</v>
      </c>
      <c r="AE578">
        <f t="shared" si="687"/>
        <v>0</v>
      </c>
      <c r="AF578" s="456">
        <f t="shared" si="664"/>
        <v>-10.081018147549413</v>
      </c>
      <c r="AG578" s="456">
        <f>((_xll.xSPRDOPT($L578,$J578,$I578,$M578,$O578,$N578,$P578,$Q578-$C$3,$R578,6)*$H578)/100)</f>
        <v>-4.153821197688579</v>
      </c>
      <c r="AH578" s="456">
        <f>((_xll.xSPRDOPT($L578,$J578,$I578,$M578,$O578,$N578,$P578,$Q578-$C$3,$R578,5)*$H578)/100)</f>
        <v>-6.2997010095563386</v>
      </c>
      <c r="AI578" s="456">
        <f>(((_xll.xSPRDOPT($L578,$J578,$I578,$M578,$O578,$N578,$P578,$Q578-$C$3,$R578,4)*$H578)/10000)/100)-AB578</f>
        <v>-1.1270802615429188E-3</v>
      </c>
      <c r="AJ578" s="456"/>
      <c r="AK578" s="456"/>
      <c r="CC578" s="141">
        <f>G577</f>
        <v>36770</v>
      </c>
      <c r="CD578" s="234">
        <f>_xll.xSPRDOPT((VLOOKUP(G577,NGPrices,2,FALSE)+HLOOKUP(D577,Prices,VLOOKUP(G577,move_down,2,FALSE),FALSE)),VLOOKUP(G577,NGPrices,2,FALSE),I577,VLOOKUP(G577,NGPREVPRICES,4,FALSE),HLOOKUP(D577,PREVVOLS,VLOOKUP(G577,MOVE_DOWN2,2,FALSE),FALSE),VLOOKUP(G577,NGPREVPRICES,3,FALSE),HLOOKUP(D577,Correllate,VLOOKUP(G577,CorMove,2,FALSE),FALSE),Q577-$CD$3,R577,$CD$5)*H577-CJ578</f>
        <v>0</v>
      </c>
      <c r="CE578" s="234">
        <f>_xll.xSPRDOPT((VLOOKUP(G577,NGPREVPRICES,2,FALSE)+HLOOKUP(D577,PREVCURVES,VLOOKUP(G577,MOVE_DOWN2,2,FALSE),FALSE)),VLOOKUP(G577,NGPREVPRICES,2,FALSE),CK578,VLOOKUP(G577,NGPrices,4,FALSE),HLOOKUP(D577,PREVVOLS,VLOOKUP(G577,MOVE_DOWN2,2,FALSE),FALSE),VLOOKUP(G577,NGPREVPRICES,3,FALSE),HLOOKUP(D577,Correllate,VLOOKUP(G577,CorMove,2,FALSE),FALSE),Q577-$CD$3,R577,$CJ$5)*H577-CJ578</f>
        <v>0</v>
      </c>
      <c r="CF578" s="10">
        <f t="shared" si="683"/>
        <v>-327.88566873734817</v>
      </c>
      <c r="CG578" s="234">
        <f>_xll.xSPRDOPT((VLOOKUP(G577,NGPREVPRICES,2,FALSE)+HLOOKUP(D577,PREVCURVES,VLOOKUP(G577,MOVE_DOWN2,2,FALSE),FALSE)),VLOOKUP(G577,NGPREVPRICES,2,FALSE),CK578,VLOOKUP(G577,NGPREVPRICES,4,FALSE),HLOOKUP(D577,VOLS,VLOOKUP(G577,move_down,2,FALSE),FALSE),VLOOKUP(G577,NGPrices,3,FALSE),HLOOKUP(D577,Correllate,VLOOKUP(G577,CorMove,2,FALSE),FALSE),Q577-$CD$3,R577,$CJ$5)*H577-CJ578</f>
        <v>0</v>
      </c>
      <c r="CH578" s="234">
        <f>_xll.xSPRDOPT((VLOOKUP(G577,NGPREVPRICES,2,FALSE)+HLOOKUP(D577,PREVCURVES,VLOOKUP(G577,MOVE_DOWN2,2,FALSE),FALSE)),VLOOKUP(G577,NGPREVPRICES,2,FALSE),CK578,VLOOKUP(G577,NGPREVPRICES,4,FALSE),HLOOKUP(D577,PREVVOLS,VLOOKUP(G577,MOVE_DOWN2,2,FALSE),FALSE),VLOOKUP(G577,NGPREVPRICES,3,FALSE),HLOOKUP(D577,Correllate,VLOOKUP(G577,CorMove,2,FALSE),FALSE),Q577-$C$3,R577,$CJ$5)*H577-CJ578</f>
        <v>331.15885199210607</v>
      </c>
      <c r="CI578" s="234">
        <f t="shared" si="684"/>
        <v>3.2731832547578961</v>
      </c>
      <c r="CJ578" s="234">
        <f>_xll.xSPRDOPT((VLOOKUP(G577,NGPREVPRICES,2,FALSE)+HLOOKUP(D577,PREVCURVES,VLOOKUP(G577,MOVE_DOWN2,2,FALSE),FALSE)),VLOOKUP(G577,NGPREVPRICES,2,FALSE),CK578,VLOOKUP(G577,NGPREVPRICES,4,FALSE),HLOOKUP(D577,PREVVOLS,VLOOKUP(G577,MOVE_DOWN2,2,FALSE),FALSE),VLOOKUP(G577,NGPREVPRICES,3,FALSE),HLOOKUP(D577,Correllate,VLOOKUP(G577,CorMove,2,FALSE),FALSE),Q577-$CD$3,R577,$CJ$5)*H577</f>
        <v>1799337.8573699414</v>
      </c>
      <c r="CK578" s="235">
        <f>I577</f>
        <v>0.7</v>
      </c>
      <c r="CM578" t="str">
        <f t="shared" si="686"/>
        <v>36770Curve Shift/Gamma</v>
      </c>
      <c r="CN578" t="str">
        <f t="shared" si="665"/>
        <v>36770Rho</v>
      </c>
      <c r="CO578" t="str">
        <f t="shared" si="666"/>
        <v>36770Drift</v>
      </c>
      <c r="CP578" t="str">
        <f t="shared" si="667"/>
        <v>36770Vega</v>
      </c>
      <c r="CQ578" t="str">
        <f t="shared" si="668"/>
        <v>36770Theta</v>
      </c>
    </row>
    <row r="579" spans="1:95" x14ac:dyDescent="0.25">
      <c r="A579" s="140" t="s">
        <v>286</v>
      </c>
      <c r="B579" t="s">
        <v>250</v>
      </c>
      <c r="C579" t="s">
        <v>540</v>
      </c>
      <c r="D579" s="4" t="s">
        <v>190</v>
      </c>
      <c r="E579" t="s">
        <v>20</v>
      </c>
      <c r="F579" t="s">
        <v>1</v>
      </c>
      <c r="G579" s="5">
        <v>36770</v>
      </c>
      <c r="H579" s="130">
        <v>-150000</v>
      </c>
      <c r="I579">
        <v>0.5</v>
      </c>
      <c r="J579" s="53">
        <f t="shared" si="669"/>
        <v>4.6849999999999996</v>
      </c>
      <c r="K579" s="7">
        <f t="shared" si="670"/>
        <v>2.5</v>
      </c>
      <c r="L579" s="53">
        <f t="shared" si="671"/>
        <v>7.1849999999999996</v>
      </c>
      <c r="M579" s="157">
        <f t="shared" si="672"/>
        <v>6.7216196212184998E-2</v>
      </c>
      <c r="N579" s="4">
        <f t="shared" si="673"/>
        <v>0.4</v>
      </c>
      <c r="O579" s="4">
        <f t="shared" si="674"/>
        <v>0.376</v>
      </c>
      <c r="P579" s="9">
        <f t="shared" si="675"/>
        <v>0.83</v>
      </c>
      <c r="Q579" s="5">
        <f t="shared" si="612"/>
        <v>36768</v>
      </c>
      <c r="R579" s="4">
        <f t="shared" si="676"/>
        <v>0</v>
      </c>
      <c r="S579" s="158">
        <f>_xll.xSPRDOPT($L579,$J579,$I579,$M579,$O579,$N579,$P579,$Q579-$C$3,$R579,0)</f>
        <v>2.6221227156231208E-7</v>
      </c>
      <c r="T579" s="159">
        <f>_xll.xSPRDOPT($L579,$J579,$I579,$M579,$O579,$N579,$P579,$Q579-$C$3,$R579,1)*H579</f>
        <v>-1.966081660809138E-2</v>
      </c>
      <c r="U579" s="160">
        <f t="shared" si="677"/>
        <v>-3.9331840734346812E-2</v>
      </c>
      <c r="V579" s="159">
        <f>_xll.xSPRDOPT($L579,$J579,$I579,$M579,$O579,$N579,$P579,$Q579-$C$3,$R579,2)*H579</f>
        <v>2.5649639678881897E-2</v>
      </c>
      <c r="W579" s="159">
        <f t="shared" si="678"/>
        <v>5.9888230707905166E-3</v>
      </c>
      <c r="X579" s="51" t="str">
        <f t="shared" si="679"/>
        <v>36770NGI-SOCAL</v>
      </c>
      <c r="Y579" s="418">
        <f t="shared" si="680"/>
        <v>-15</v>
      </c>
      <c r="Z579" s="456">
        <f t="shared" si="681"/>
        <v>1.310721107206092E-7</v>
      </c>
      <c r="AA579" s="456">
        <f>_xll.xSPRDOPT($L579,$J579,$I579,$M579,$O579,$N579,$P579,$Q579-$C$3,$R579,3)</f>
        <v>1.4396013659759965E-181</v>
      </c>
      <c r="AB579" s="456">
        <f>((_xll.xSPRDOPT($L579+AB$5,$J579,$I579,$M579,$O579,$N579,$P579,$Q579-$C$3,$R579,3)*$H579)/10000)/100</f>
        <v>-2.1594020489639947E-182</v>
      </c>
      <c r="AC579" s="456">
        <f>((_xll.xSPRDOPT($L579+$AB$5,$J579,$I579,$M579,$O579,$N579,$P579,$Q579-$C$3,$R579,7)*$H579)/100)</f>
        <v>5.6373863931772174E-5</v>
      </c>
      <c r="AD579" s="456">
        <f>(_xll.xSPRDOPT($L579+$AB$5,$J579,$I579,$M579,$O579,$N579,$P579,$Q579-$C$3,$R579,9)/365)*$H579</f>
        <v>-5.1718664853045209E-6</v>
      </c>
      <c r="AE579">
        <f t="shared" si="687"/>
        <v>0</v>
      </c>
      <c r="AF579" s="456">
        <f t="shared" si="664"/>
        <v>-1.5898740509009025E-7</v>
      </c>
      <c r="AG579" s="456">
        <f>((_xll.xSPRDOPT($L579,$J579,$I579,$M579,$O579,$N579,$P579,$Q579-$C$3,$R579,6)*$H579)/100)</f>
        <v>-1.5886425450520273E-6</v>
      </c>
      <c r="AH579" s="456">
        <f>((_xll.xSPRDOPT($L579,$J579,$I579,$M579,$O579,$N579,$P579,$Q579-$C$3,$R579,5)*$H579)/100)</f>
        <v>1.5209097233637629E-6</v>
      </c>
      <c r="AI579" s="456">
        <f>(((_xll.xSPRDOPT($L579,$J579,$I579,$M579,$O579,$N579,$P579,$Q579-$C$3,$R579,4)*$H579)/10000)/100)-AB579</f>
        <v>6.3268903146717274E-6</v>
      </c>
      <c r="AJ579" s="456"/>
      <c r="AK579" s="456"/>
      <c r="CC579" s="141">
        <f>G578</f>
        <v>36800</v>
      </c>
      <c r="CD579" s="234">
        <f>_xll.xSPRDOPT((VLOOKUP(G578,NGPrices,2,FALSE)+HLOOKUP(D578,Prices,VLOOKUP(G578,move_down,2,FALSE),FALSE)),VLOOKUP(G578,NGPrices,2,FALSE),I578,VLOOKUP(G578,NGPREVPRICES,4,FALSE),HLOOKUP(D578,PREVVOLS,VLOOKUP(G578,MOVE_DOWN2,2,FALSE),FALSE),VLOOKUP(G578,NGPREVPRICES,3,FALSE),HLOOKUP(D578,Correllate,VLOOKUP(G578,CorMove,2,FALSE),FALSE),Q578-$CD$3,R578,$CD$5)*H578-CJ579</f>
        <v>0</v>
      </c>
      <c r="CE579" s="234">
        <f>_xll.xSPRDOPT((VLOOKUP(G578,NGPREVPRICES,2,FALSE)+HLOOKUP(D578,PREVCURVES,VLOOKUP(G578,MOVE_DOWN2,2,FALSE),FALSE)),VLOOKUP(G578,NGPREVPRICES,2,FALSE),CK579,VLOOKUP(G578,NGPrices,4,FALSE),HLOOKUP(D578,PREVVOLS,VLOOKUP(G578,MOVE_DOWN2,2,FALSE),FALSE),VLOOKUP(G578,NGPREVPRICES,3,FALSE),HLOOKUP(D578,Correllate,VLOOKUP(G578,CorMove,2,FALSE),FALSE),Q578-$CD$3,R578,$CJ$5)*H578-CJ579</f>
        <v>0</v>
      </c>
      <c r="CF579" s="10">
        <f t="shared" si="683"/>
        <v>1.1966905162353214E-2</v>
      </c>
      <c r="CG579" s="234">
        <f>_xll.xSPRDOPT((VLOOKUP(G578,NGPREVPRICES,2,FALSE)+HLOOKUP(D578,PREVCURVES,VLOOKUP(G578,MOVE_DOWN2,2,FALSE),FALSE)),VLOOKUP(G578,NGPREVPRICES,2,FALSE),CK579,VLOOKUP(G578,NGPREVPRICES,4,FALSE),HLOOKUP(D578,VOLS,VLOOKUP(G578,move_down,2,FALSE),FALSE),VLOOKUP(G578,NGPrices,3,FALSE),HLOOKUP(D578,Correllate,VLOOKUP(G578,CorMove,2,FALSE),FALSE),Q578-$CD$3,R578,$CJ$5)*H578-CJ579</f>
        <v>0</v>
      </c>
      <c r="CH579" s="234">
        <f>_xll.xSPRDOPT((VLOOKUP(G578,NGPREVPRICES,2,FALSE)+HLOOKUP(D578,PREVCURVES,VLOOKUP(G578,MOVE_DOWN2,2,FALSE),FALSE)),VLOOKUP(G578,NGPREVPRICES,2,FALSE),CK579,VLOOKUP(G578,NGPREVPRICES,4,FALSE),HLOOKUP(D578,PREVVOLS,VLOOKUP(G578,MOVE_DOWN2,2,FALSE),FALSE),VLOOKUP(G578,NGPREVPRICES,3,FALSE),HLOOKUP(D578,Correllate,VLOOKUP(G578,CorMove,2,FALSE),FALSE),Q578-$C$3,R578,$CJ$5)*H578-CJ579</f>
        <v>10.223888285024458</v>
      </c>
      <c r="CI579" s="234">
        <f t="shared" si="684"/>
        <v>10.235855190186811</v>
      </c>
      <c r="CJ579" s="234">
        <f>_xll.xSPRDOPT((VLOOKUP(G578,NGPREVPRICES,2,FALSE)+HLOOKUP(D578,PREVCURVES,VLOOKUP(G578,MOVE_DOWN2,2,FALSE),FALSE)),VLOOKUP(G578,NGPREVPRICES,2,FALSE),CK579,VLOOKUP(G578,NGPREVPRICES,4,FALSE),HLOOKUP(D578,PREVVOLS,VLOOKUP(G578,MOVE_DOWN2,2,FALSE),FALSE),VLOOKUP(G578,NGPREVPRICES,3,FALSE),HLOOKUP(D578,Correllate,VLOOKUP(G578,CorMove,2,FALSE),FALSE),Q578-$CD$3,R578,$CJ$5)*H578</f>
        <v>-64.912029506073438</v>
      </c>
      <c r="CK579" s="235">
        <f>I578</f>
        <v>0.5</v>
      </c>
      <c r="CM579" t="str">
        <f t="shared" si="686"/>
        <v>36800Curve Shift/Gamma</v>
      </c>
      <c r="CN579" t="str">
        <f t="shared" si="665"/>
        <v>36800Rho</v>
      </c>
      <c r="CO579" t="str">
        <f t="shared" si="666"/>
        <v>36800Drift</v>
      </c>
      <c r="CP579" t="str">
        <f t="shared" si="667"/>
        <v>36800Vega</v>
      </c>
      <c r="CQ579" t="str">
        <f t="shared" si="668"/>
        <v>36800Theta</v>
      </c>
    </row>
    <row r="580" spans="1:95" x14ac:dyDescent="0.25">
      <c r="A580" s="140" t="s">
        <v>480</v>
      </c>
      <c r="B580" t="s">
        <v>250</v>
      </c>
      <c r="C580" t="s">
        <v>541</v>
      </c>
      <c r="D580" s="4" t="s">
        <v>74</v>
      </c>
      <c r="E580" t="s">
        <v>20</v>
      </c>
      <c r="F580" t="s">
        <v>21</v>
      </c>
      <c r="G580" s="5">
        <v>36831</v>
      </c>
      <c r="H580" s="130">
        <v>-150000</v>
      </c>
      <c r="I580">
        <v>0.15</v>
      </c>
      <c r="J580" s="53">
        <f t="shared" ref="J580:J589" si="688">VLOOKUP(G580,NGPrices,2,FALSE)</f>
        <v>4.7359999999999998</v>
      </c>
      <c r="K580" s="7">
        <f t="shared" ref="K580:K589" si="689">HLOOKUP(D580,Prices,VLOOKUP(G580,move_down,2,FALSE),FALSE)+VLOOKUP(G580,CHANGE,HLOOKUP(D580,CHANGE,2,FALSE),FALSE)</f>
        <v>8.7499999999999994E-2</v>
      </c>
      <c r="L580" s="53">
        <f t="shared" ref="L580:L589" si="690">K580+J580</f>
        <v>4.8235000000000001</v>
      </c>
      <c r="M580" s="157">
        <f t="shared" ref="M580:M589" si="691">VLOOKUP(G580,NGPrices,4,FALSE)</f>
        <v>6.810675983792E-2</v>
      </c>
      <c r="N580" s="4">
        <f t="shared" ref="N580:N589" si="692">VLOOKUP(G580,NGPrices,3,FALSE)</f>
        <v>0.59499999999999997</v>
      </c>
      <c r="O580" s="4">
        <f t="shared" ref="O580:O589" si="693">HLOOKUP(D580,VOLS,VLOOKUP(G580,move_down,2,FALSE),FALSE)</f>
        <v>0.59499999999999997</v>
      </c>
      <c r="P580" s="9">
        <f t="shared" ref="P580:P589" si="694">HLOOKUP(D580,Correllate,VLOOKUP(G580,CorMove,2,FALSE),FALSE)</f>
        <v>0.997</v>
      </c>
      <c r="Q580" s="5">
        <f t="shared" si="612"/>
        <v>36829</v>
      </c>
      <c r="R580" s="4">
        <f t="shared" ref="R580:R589" si="695">IF(F580="P",0,1)</f>
        <v>1</v>
      </c>
      <c r="S580" s="158">
        <f>_xll.xSPRDOPT($L580,$J580,$I580,$M580,$O580,$N580,$P580,$Q580-$C$3,$R580,0)</f>
        <v>1.5250320595656583E-2</v>
      </c>
      <c r="T580" s="159">
        <f>_xll.xSPRDOPT($L580,$J580,$I580,$M580,$O580,$N580,$P580,$Q580-$C$3,$R580,1)*H580</f>
        <v>-39424.882332315945</v>
      </c>
      <c r="U580" s="160">
        <f t="shared" ref="U580:U589" si="696">S580*H580</f>
        <v>-2287.5480893484873</v>
      </c>
      <c r="V580" s="159">
        <f>_xll.xSPRDOPT($L580,$J580,$I580,$M580,$O580,$N580,$P580,$Q580-$C$3,$R580,2)*H580</f>
        <v>38566.944721765321</v>
      </c>
      <c r="W580" s="159">
        <f t="shared" ref="W580:W589" si="697">+V580+T580</f>
        <v>-857.9376105506235</v>
      </c>
      <c r="X580" s="51" t="str">
        <f t="shared" ref="X580:X589" si="698">CONCATENATE(G580,D580)</f>
        <v>36831NGI/CHI. GATE</v>
      </c>
      <c r="Y580" s="418">
        <f t="shared" ref="Y580:Y589" si="699">H580/10000</f>
        <v>-15</v>
      </c>
      <c r="Z580" s="456">
        <f t="shared" ref="Z580:Z589" si="700">T580/H580</f>
        <v>0.26283254888210628</v>
      </c>
      <c r="AA580" s="456">
        <f>_xll.xSPRDOPT($L580,$J580,$I580,$M580,$O580,$N580,$P580,$Q580-$C$3,$R580,3)</f>
        <v>3.3553439431036649</v>
      </c>
      <c r="AB580" s="456">
        <f>((_xll.xSPRDOPT($L580+AB$5,$J580,$I580,$M580,$O580,$N580,$P580,$Q580-$C$3,$R580,3)*$H580)/10000)/100</f>
        <v>-0.50330159146554965</v>
      </c>
      <c r="AC580" s="456">
        <f>((_xll.xSPRDOPT($L580+$AB$5,$J580,$I580,$M580,$O580,$N580,$P580,$Q580-$C$3,$R580,7)*$H580)/100)</f>
        <v>6833.2367079844898</v>
      </c>
      <c r="AD580" s="456">
        <f>(_xll.xSPRDOPT($L580+$AB$5,$J580,$I580,$M580,$O580,$N580,$P580,$Q580-$C$3,$R580,9)/365)*$H580</f>
        <v>37.652559426196113</v>
      </c>
      <c r="AE580">
        <f t="shared" si="687"/>
        <v>0</v>
      </c>
      <c r="AF580" s="456">
        <f t="shared" ref="AF580:AF589" si="701">((O580/N580)*AH580)+AG580</f>
        <v>-79.304425364416318</v>
      </c>
      <c r="AG580" s="456">
        <f>((_xll.xSPRDOPT($L580,$J580,$I580,$M580,$O580,$N580,$P580,$Q580-$C$3,$R580,6)*$H580)/100)</f>
        <v>297.63575718439324</v>
      </c>
      <c r="AH580" s="456">
        <f>((_xll.xSPRDOPT($L580,$J580,$I580,$M580,$O580,$N580,$P580,$Q580-$C$3,$R580,5)*$H580)/100)</f>
        <v>-376.94018254880956</v>
      </c>
      <c r="AI580" s="456">
        <f>(((_xll.xSPRDOPT($L580,$J580,$I580,$M580,$O580,$N580,$P580,$Q580-$C$3,$R580,4)*$H580)/10000)/100)-AB580</f>
        <v>1.1008389680403574E-2</v>
      </c>
      <c r="AJ580" s="456"/>
      <c r="AK580" s="456"/>
      <c r="CC580" s="141">
        <f>G579</f>
        <v>36770</v>
      </c>
      <c r="CD580" s="234">
        <f>_xll.xSPRDOPT((VLOOKUP(G579,NGPrices,2,FALSE)+HLOOKUP(D579,Prices,VLOOKUP(G579,move_down,2,FALSE),FALSE)),VLOOKUP(G579,NGPrices,2,FALSE),I579,VLOOKUP(G579,NGPREVPRICES,4,FALSE),HLOOKUP(D579,PREVVOLS,VLOOKUP(G579,MOVE_DOWN2,2,FALSE),FALSE),VLOOKUP(G579,NGPREVPRICES,3,FALSE),HLOOKUP(D579,Correllate,VLOOKUP(G579,CorMove,2,FALSE),FALSE),Q579-$CD$3,R579,$CD$5)*H579-CJ580</f>
        <v>0</v>
      </c>
      <c r="CE580" s="234">
        <f>_xll.xSPRDOPT((VLOOKUP(G579,NGPREVPRICES,2,FALSE)+HLOOKUP(D579,PREVCURVES,VLOOKUP(G579,MOVE_DOWN2,2,FALSE),FALSE)),VLOOKUP(G579,NGPREVPRICES,2,FALSE),CK580,VLOOKUP(G579,NGPrices,4,FALSE),HLOOKUP(D579,PREVVOLS,VLOOKUP(G579,MOVE_DOWN2,2,FALSE),FALSE),VLOOKUP(G579,NGPREVPRICES,3,FALSE),HLOOKUP(D579,Correllate,VLOOKUP(G579,CorMove,2,FALSE),FALSE),Q579-$CD$3,R579,$CJ$5)*H579-CJ580</f>
        <v>0</v>
      </c>
      <c r="CF580" s="10">
        <f t="shared" si="683"/>
        <v>7.166333539691816E-6</v>
      </c>
      <c r="CG580" s="234">
        <f>_xll.xSPRDOPT((VLOOKUP(G579,NGPREVPRICES,2,FALSE)+HLOOKUP(D579,PREVCURVES,VLOOKUP(G579,MOVE_DOWN2,2,FALSE),FALSE)),VLOOKUP(G579,NGPREVPRICES,2,FALSE),CK580,VLOOKUP(G579,NGPREVPRICES,4,FALSE),HLOOKUP(D579,VOLS,VLOOKUP(G579,move_down,2,FALSE),FALSE),VLOOKUP(G579,NGPrices,3,FALSE),HLOOKUP(D579,Correllate,VLOOKUP(G579,CorMove,2,FALSE),FALSE),Q579-$CD$3,R579,$CJ$5)*H579-CJ580</f>
        <v>0</v>
      </c>
      <c r="CH580" s="234">
        <f>_xll.xSPRDOPT((VLOOKUP(G579,NGPREVPRICES,2,FALSE)+HLOOKUP(D579,PREVCURVES,VLOOKUP(G579,MOVE_DOWN2,2,FALSE),FALSE)),VLOOKUP(G579,NGPREVPRICES,2,FALSE),CK580,VLOOKUP(G579,NGPREVPRICES,4,FALSE),HLOOKUP(D579,PREVVOLS,VLOOKUP(G579,MOVE_DOWN2,2,FALSE),FALSE),VLOOKUP(G579,NGPREVPRICES,3,FALSE),HLOOKUP(D579,Correllate,VLOOKUP(G579,CorMove,2,FALSE),FALSE),Q579-$C$3,R579,$CJ$5)*H579-CJ580</f>
        <v>-5.1593146421780034E-6</v>
      </c>
      <c r="CI580" s="234">
        <f t="shared" si="684"/>
        <v>2.0070188975138126E-6</v>
      </c>
      <c r="CJ580" s="234">
        <f>_xll.xSPRDOPT((VLOOKUP(G579,NGPREVPRICES,2,FALSE)+HLOOKUP(D579,PREVCURVES,VLOOKUP(G579,MOVE_DOWN2,2,FALSE),FALSE)),VLOOKUP(G579,NGPREVPRICES,2,FALSE),CK580,VLOOKUP(G579,NGPREVPRICES,4,FALSE),HLOOKUP(D579,PREVVOLS,VLOOKUP(G579,MOVE_DOWN2,2,FALSE),FALSE),VLOOKUP(G579,NGPREVPRICES,3,FALSE),HLOOKUP(D579,Correllate,VLOOKUP(G579,CorMove,2,FALSE),FALSE),Q579-$CD$3,R579,$CJ$5)*H579</f>
        <v>-3.9326681419704634E-2</v>
      </c>
      <c r="CK580" s="235">
        <f>I579</f>
        <v>0.5</v>
      </c>
      <c r="CM580" t="str">
        <f t="shared" si="686"/>
        <v>36770Curve Shift/Gamma</v>
      </c>
      <c r="CN580" t="str">
        <f t="shared" si="665"/>
        <v>36770Rho</v>
      </c>
      <c r="CO580" t="str">
        <f t="shared" si="666"/>
        <v>36770Drift</v>
      </c>
      <c r="CP580" t="str">
        <f t="shared" si="667"/>
        <v>36770Vega</v>
      </c>
      <c r="CQ580" t="str">
        <f t="shared" si="668"/>
        <v>36770Theta</v>
      </c>
    </row>
    <row r="581" spans="1:95" x14ac:dyDescent="0.25">
      <c r="A581" s="140" t="s">
        <v>480</v>
      </c>
      <c r="B581" t="s">
        <v>250</v>
      </c>
      <c r="C581" t="s">
        <v>541</v>
      </c>
      <c r="D581" s="4" t="s">
        <v>74</v>
      </c>
      <c r="E581" t="s">
        <v>20</v>
      </c>
      <c r="F581" t="s">
        <v>21</v>
      </c>
      <c r="G581" s="5">
        <v>36861</v>
      </c>
      <c r="H581" s="130">
        <v>-155000</v>
      </c>
      <c r="I581">
        <v>0.15</v>
      </c>
      <c r="J581" s="53">
        <f t="shared" si="688"/>
        <v>4.8</v>
      </c>
      <c r="K581" s="7">
        <f t="shared" si="689"/>
        <v>0.1</v>
      </c>
      <c r="L581" s="53">
        <f t="shared" si="690"/>
        <v>4.8999999999999995</v>
      </c>
      <c r="M581" s="157">
        <f t="shared" si="691"/>
        <v>6.8314027999354002E-2</v>
      </c>
      <c r="N581" s="4">
        <f t="shared" si="692"/>
        <v>0.6</v>
      </c>
      <c r="O581" s="4">
        <f t="shared" si="693"/>
        <v>0.6</v>
      </c>
      <c r="P581" s="9">
        <f t="shared" si="694"/>
        <v>0.997</v>
      </c>
      <c r="Q581" s="5">
        <f t="shared" si="612"/>
        <v>36859</v>
      </c>
      <c r="R581" s="4">
        <f t="shared" si="695"/>
        <v>1</v>
      </c>
      <c r="S581" s="158">
        <f>_xll.xSPRDOPT($L581,$J581,$I581,$M581,$O581,$N581,$P581,$Q581-$C$3,$R581,0)</f>
        <v>2.7108270418358397E-2</v>
      </c>
      <c r="T581" s="159">
        <f>_xll.xSPRDOPT($L581,$J581,$I581,$M581,$O581,$N581,$P581,$Q581-$C$3,$R581,1)*H581</f>
        <v>-52897.494011376861</v>
      </c>
      <c r="U581" s="160">
        <f t="shared" si="696"/>
        <v>-4201.7819148455519</v>
      </c>
      <c r="V581" s="159">
        <f>_xll.xSPRDOPT($L581,$J581,$I581,$M581,$O581,$N581,$P581,$Q581-$C$3,$R581,2)*H581</f>
        <v>51676.714359762344</v>
      </c>
      <c r="W581" s="159">
        <f t="shared" si="697"/>
        <v>-1220.7796516145172</v>
      </c>
      <c r="X581" s="51" t="str">
        <f t="shared" si="698"/>
        <v>36861NGI/CHI. GATE</v>
      </c>
      <c r="Y581" s="418">
        <f t="shared" si="699"/>
        <v>-15.5</v>
      </c>
      <c r="Z581" s="456">
        <f t="shared" si="700"/>
        <v>0.34127415491210877</v>
      </c>
      <c r="AA581" s="456">
        <f>_xll.xSPRDOPT($L581,$J581,$I581,$M581,$O581,$N581,$P581,$Q581-$C$3,$R581,3)</f>
        <v>3.010063694198406</v>
      </c>
      <c r="AB581" s="456">
        <f>((_xll.xSPRDOPT($L581+AB$5,$J581,$I581,$M581,$O581,$N581,$P581,$Q581-$C$3,$R581,3)*$H581)/10000)/100</f>
        <v>-0.46655987260075293</v>
      </c>
      <c r="AC581" s="456">
        <f>((_xll.xSPRDOPT($L581+$AB$5,$J581,$I581,$M581,$O581,$N581,$P581,$Q581-$C$3,$R581,7)*$H581)/100)</f>
        <v>9865.816551905149</v>
      </c>
      <c r="AD581" s="456">
        <f>(_xll.xSPRDOPT($L581+$AB$5,$J581,$I581,$M581,$O581,$N581,$P581,$Q581-$C$3,$R581,9)/365)*$H581</f>
        <v>36.307992142397261</v>
      </c>
      <c r="AE581">
        <f t="shared" si="687"/>
        <v>0</v>
      </c>
      <c r="AF581" s="456">
        <f t="shared" si="701"/>
        <v>-113.67829673315509</v>
      </c>
      <c r="AG581" s="456">
        <f>((_xll.xSPRDOPT($L581,$J581,$I581,$M581,$O581,$N581,$P581,$Q581-$C$3,$R581,6)*$H581)/100)</f>
        <v>422.29079709087841</v>
      </c>
      <c r="AH581" s="456">
        <f>((_xll.xSPRDOPT($L581,$J581,$I581,$M581,$O581,$N581,$P581,$Q581-$C$3,$R581,5)*$H581)/100)</f>
        <v>-535.96909382403351</v>
      </c>
      <c r="AI581" s="456">
        <f>(((_xll.xSPRDOPT($L581,$J581,$I581,$M581,$O581,$N581,$P581,$Q581-$C$3,$R581,4)*$H581)/10000)/100)-AB581</f>
        <v>7.8774790667963668E-3</v>
      </c>
      <c r="AJ581" s="456"/>
      <c r="AK581" s="456"/>
      <c r="CC581" s="141">
        <f t="shared" ref="CC581:CC590" si="702">G580</f>
        <v>36831</v>
      </c>
      <c r="CD581" s="234">
        <f>_xll.xSPRDOPT((VLOOKUP(G580,NGPrices,2,FALSE)+HLOOKUP(D580,Prices,VLOOKUP(G580,move_down,2,FALSE),FALSE)),VLOOKUP(G580,NGPrices,2,FALSE),I580,VLOOKUP(G580,NGPREVPRICES,4,FALSE),HLOOKUP(D580,PREVVOLS,VLOOKUP(G580,MOVE_DOWN2,2,FALSE),FALSE),VLOOKUP(G580,NGPREVPRICES,3,FALSE),HLOOKUP(D580,Correllate,VLOOKUP(G580,CorMove,2,FALSE),FALSE),Q580-$CD$3,R580,$CD$5)*H580-CJ581</f>
        <v>0</v>
      </c>
      <c r="CE581" s="234">
        <f>_xll.xSPRDOPT((VLOOKUP(G580,NGPREVPRICES,2,FALSE)+HLOOKUP(D580,PREVCURVES,VLOOKUP(G580,MOVE_DOWN2,2,FALSE),FALSE)),VLOOKUP(G580,NGPREVPRICES,2,FALSE),CK581,VLOOKUP(G580,NGPrices,4,FALSE),HLOOKUP(D580,PREVVOLS,VLOOKUP(G580,MOVE_DOWN2,2,FALSE),FALSE),VLOOKUP(G580,NGPREVPRICES,3,FALSE),HLOOKUP(D580,Correllate,VLOOKUP(G580,CorMove,2,FALSE),FALSE),Q580-$CD$3,R580,$CJ$5)*H580-CJ581</f>
        <v>0</v>
      </c>
      <c r="CF581" s="10">
        <f t="shared" ref="CF581:CF590" si="703">(CJ581/VLOOKUP(CC581,discount,3,FALSE))-(CJ581/VLOOKUP(CC581,discount,2,FALSE))</f>
        <v>0.43179188110116229</v>
      </c>
      <c r="CG581" s="234">
        <f>_xll.xSPRDOPT((VLOOKUP(G580,NGPREVPRICES,2,FALSE)+HLOOKUP(D580,PREVCURVES,VLOOKUP(G580,MOVE_DOWN2,2,FALSE),FALSE)),VLOOKUP(G580,NGPREVPRICES,2,FALSE),CK581,VLOOKUP(G580,NGPREVPRICES,4,FALSE),HLOOKUP(D580,VOLS,VLOOKUP(G580,move_down,2,FALSE),FALSE),VLOOKUP(G580,NGPrices,3,FALSE),HLOOKUP(D580,Correllate,VLOOKUP(G580,CorMove,2,FALSE),FALSE),Q580-$CD$3,R580,$CJ$5)*H580-CJ581</f>
        <v>0</v>
      </c>
      <c r="CH581" s="234">
        <f>_xll.xSPRDOPT((VLOOKUP(G580,NGPREVPRICES,2,FALSE)+HLOOKUP(D580,PREVCURVES,VLOOKUP(G580,MOVE_DOWN2,2,FALSE),FALSE)),VLOOKUP(G580,NGPREVPRICES,2,FALSE),CK581,VLOOKUP(G580,NGPREVPRICES,4,FALSE),HLOOKUP(D580,PREVVOLS,VLOOKUP(G580,MOVE_DOWN2,2,FALSE),FALSE),VLOOKUP(G580,NGPREVPRICES,3,FALSE),HLOOKUP(D580,Correllate,VLOOKUP(G580,CorMove,2,FALSE),FALSE),Q580-$C$3,R580,$CJ$5)*H580-CJ581</f>
        <v>37.530690024179421</v>
      </c>
      <c r="CI581" s="234">
        <f t="shared" ref="CI581:CI590" si="704">SUM(CD581:CH581)</f>
        <v>37.962481905280583</v>
      </c>
      <c r="CJ581" s="234">
        <f>_xll.xSPRDOPT((VLOOKUP(G580,NGPREVPRICES,2,FALSE)+HLOOKUP(D580,PREVCURVES,VLOOKUP(G580,MOVE_DOWN2,2,FALSE),FALSE)),VLOOKUP(G580,NGPREVPRICES,2,FALSE),CK581,VLOOKUP(G580,NGPREVPRICES,4,FALSE),HLOOKUP(D580,PREVVOLS,VLOOKUP(G580,MOVE_DOWN2,2,FALSE),FALSE),VLOOKUP(G580,NGPREVPRICES,3,FALSE),HLOOKUP(D580,Correllate,VLOOKUP(G580,CorMove,2,FALSE),FALSE),Q580-$CD$3,R580,$CJ$5)*H580</f>
        <v>-2325.0787793726668</v>
      </c>
      <c r="CK581" s="235">
        <f t="shared" ref="CK581:CK590" si="705">I580</f>
        <v>0.15</v>
      </c>
      <c r="CM581" t="str">
        <f t="shared" ref="CM581:CM590" si="706">CONCATENATE(CC581,$CD$6)</f>
        <v>36831Curve Shift/Gamma</v>
      </c>
      <c r="CN581" t="str">
        <f t="shared" si="665"/>
        <v>36831Rho</v>
      </c>
      <c r="CO581" t="str">
        <f t="shared" si="666"/>
        <v>36831Drift</v>
      </c>
      <c r="CP581" t="str">
        <f t="shared" si="667"/>
        <v>36831Vega</v>
      </c>
      <c r="CQ581" t="str">
        <f t="shared" si="668"/>
        <v>36831Theta</v>
      </c>
    </row>
    <row r="582" spans="1:95" x14ac:dyDescent="0.25">
      <c r="A582" s="140" t="s">
        <v>480</v>
      </c>
      <c r="B582" t="s">
        <v>250</v>
      </c>
      <c r="C582" t="s">
        <v>541</v>
      </c>
      <c r="D582" s="4" t="s">
        <v>74</v>
      </c>
      <c r="E582" t="s">
        <v>20</v>
      </c>
      <c r="F582" t="s">
        <v>21</v>
      </c>
      <c r="G582" s="5">
        <v>36892</v>
      </c>
      <c r="H582" s="130">
        <v>-155000</v>
      </c>
      <c r="I582">
        <v>0.15</v>
      </c>
      <c r="J582" s="53">
        <f t="shared" si="688"/>
        <v>4.7439999999999998</v>
      </c>
      <c r="K582" s="7">
        <f t="shared" si="689"/>
        <v>0.1275</v>
      </c>
      <c r="L582" s="53">
        <f t="shared" si="690"/>
        <v>4.8715000000000002</v>
      </c>
      <c r="M582" s="157">
        <f t="shared" si="691"/>
        <v>6.8374831148490994E-2</v>
      </c>
      <c r="N582" s="4">
        <f t="shared" si="692"/>
        <v>0.60499999999999998</v>
      </c>
      <c r="O582" s="4">
        <f t="shared" si="693"/>
        <v>0.60499999999999998</v>
      </c>
      <c r="P582" s="9">
        <f t="shared" si="694"/>
        <v>0.997</v>
      </c>
      <c r="Q582" s="5">
        <f t="shared" si="612"/>
        <v>36888</v>
      </c>
      <c r="R582" s="4">
        <f t="shared" si="695"/>
        <v>1</v>
      </c>
      <c r="S582" s="158">
        <f>_xll.xSPRDOPT($L582,$J582,$I582,$M582,$O582,$N582,$P582,$Q582-$C$3,$R582,0)</f>
        <v>4.428805516998615E-2</v>
      </c>
      <c r="T582" s="159">
        <f>_xll.xSPRDOPT($L582,$J582,$I582,$M582,$O582,$N582,$P582,$Q582-$C$3,$R582,1)*H582</f>
        <v>-67380.135095438804</v>
      </c>
      <c r="U582" s="160">
        <f t="shared" si="696"/>
        <v>-6864.6485513478528</v>
      </c>
      <c r="V582" s="159">
        <f>_xll.xSPRDOPT($L582,$J582,$I582,$M582,$O582,$N582,$P582,$Q582-$C$3,$R582,2)*H582</f>
        <v>65880.474557833106</v>
      </c>
      <c r="W582" s="159">
        <f t="shared" si="697"/>
        <v>-1499.6605376056978</v>
      </c>
      <c r="X582" s="51" t="str">
        <f t="shared" si="698"/>
        <v>36892NGI/CHI. GATE</v>
      </c>
      <c r="Y582" s="418">
        <f t="shared" si="699"/>
        <v>-15.5</v>
      </c>
      <c r="Z582" s="456">
        <f t="shared" si="700"/>
        <v>0.43471054900283101</v>
      </c>
      <c r="AA582" s="456">
        <f>_xll.xSPRDOPT($L582,$J582,$I582,$M582,$O582,$N582,$P582,$Q582-$C$3,$R582,3)</f>
        <v>2.7753049195088875</v>
      </c>
      <c r="AB582" s="456">
        <f>((_xll.xSPRDOPT($L582+AB$5,$J582,$I582,$M582,$O582,$N582,$P582,$Q582-$C$3,$R582,3)*$H582)/10000)/100</f>
        <v>-0.43017226252387758</v>
      </c>
      <c r="AC582" s="456">
        <f>((_xll.xSPRDOPT($L582+$AB$5,$J582,$I582,$M582,$O582,$N582,$P582,$Q582-$C$3,$R582,7)*$H582)/100)</f>
        <v>12013.345576705244</v>
      </c>
      <c r="AD582" s="456">
        <f>(_xll.xSPRDOPT($L582+$AB$5,$J582,$I582,$M582,$O582,$N582,$P582,$Q582-$C$3,$R582,9)/365)*$H582</f>
        <v>33.420995907459343</v>
      </c>
      <c r="AE582">
        <f t="shared" ref="AE582:AE645" si="707">CD583</f>
        <v>0</v>
      </c>
      <c r="AF582" s="456">
        <f t="shared" si="701"/>
        <v>-138.73271203751676</v>
      </c>
      <c r="AG582" s="456">
        <f>((_xll.xSPRDOPT($L582,$J582,$I582,$M582,$O582,$N582,$P582,$Q582-$C$3,$R582,6)*$H582)/100)</f>
        <v>524.66096534292581</v>
      </c>
      <c r="AH582" s="456">
        <f>((_xll.xSPRDOPT($L582,$J582,$I582,$M582,$O582,$N582,$P582,$Q582-$C$3,$R582,5)*$H582)/100)</f>
        <v>-663.39367738044257</v>
      </c>
      <c r="AI582" s="456">
        <f>(((_xll.xSPRDOPT($L582,$J582,$I582,$M582,$O582,$N582,$P582,$Q582-$C$3,$R582,4)*$H582)/10000)/100)-AB582</f>
        <v>2.9055200851766938E-3</v>
      </c>
      <c r="AJ582" s="456"/>
      <c r="AK582" s="456"/>
      <c r="CC582" s="141">
        <f t="shared" si="702"/>
        <v>36861</v>
      </c>
      <c r="CD582" s="234">
        <f>_xll.xSPRDOPT((VLOOKUP(G581,NGPrices,2,FALSE)+HLOOKUP(D581,Prices,VLOOKUP(G581,move_down,2,FALSE),FALSE)),VLOOKUP(G581,NGPrices,2,FALSE),I581,VLOOKUP(G581,NGPREVPRICES,4,FALSE),HLOOKUP(D581,PREVVOLS,VLOOKUP(G581,MOVE_DOWN2,2,FALSE),FALSE),VLOOKUP(G581,NGPREVPRICES,3,FALSE),HLOOKUP(D581,Correllate,VLOOKUP(G581,CorMove,2,FALSE),FALSE),Q581-$CD$3,R581,$CD$5)*H581-CJ582</f>
        <v>0</v>
      </c>
      <c r="CE582" s="234">
        <f>_xll.xSPRDOPT((VLOOKUP(G581,NGPREVPRICES,2,FALSE)+HLOOKUP(D581,PREVCURVES,VLOOKUP(G581,MOVE_DOWN2,2,FALSE),FALSE)),VLOOKUP(G581,NGPREVPRICES,2,FALSE),CK582,VLOOKUP(G581,NGPrices,4,FALSE),HLOOKUP(D581,PREVVOLS,VLOOKUP(G581,MOVE_DOWN2,2,FALSE),FALSE),VLOOKUP(G581,NGPREVPRICES,3,FALSE),HLOOKUP(D581,Correllate,VLOOKUP(G581,CorMove,2,FALSE),FALSE),Q581-$CD$3,R581,$CJ$5)*H581-CJ582</f>
        <v>0</v>
      </c>
      <c r="CF582" s="10">
        <f t="shared" si="703"/>
        <v>0.79393366897511441</v>
      </c>
      <c r="CG582" s="234">
        <f>_xll.xSPRDOPT((VLOOKUP(G581,NGPREVPRICES,2,FALSE)+HLOOKUP(D581,PREVCURVES,VLOOKUP(G581,MOVE_DOWN2,2,FALSE),FALSE)),VLOOKUP(G581,NGPREVPRICES,2,FALSE),CK582,VLOOKUP(G581,NGPREVPRICES,4,FALSE),HLOOKUP(D581,VOLS,VLOOKUP(G581,move_down,2,FALSE),FALSE),VLOOKUP(G581,NGPrices,3,FALSE),HLOOKUP(D581,Correllate,VLOOKUP(G581,CorMove,2,FALSE),FALSE),Q581-$CD$3,R581,$CJ$5)*H581-CJ582</f>
        <v>0</v>
      </c>
      <c r="CH582" s="234">
        <f>_xll.xSPRDOPT((VLOOKUP(G581,NGPREVPRICES,2,FALSE)+HLOOKUP(D581,PREVCURVES,VLOOKUP(G581,MOVE_DOWN2,2,FALSE),FALSE)),VLOOKUP(G581,NGPREVPRICES,2,FALSE),CK582,VLOOKUP(G581,NGPREVPRICES,4,FALSE),HLOOKUP(D581,PREVVOLS,VLOOKUP(G581,MOVE_DOWN2,2,FALSE),FALSE),VLOOKUP(G581,NGPREVPRICES,3,FALSE),HLOOKUP(D581,Correllate,VLOOKUP(G581,CorMove,2,FALSE),FALSE),Q581-$C$3,R581,$CJ$5)*H581-CJ582</f>
        <v>36.194063242747688</v>
      </c>
      <c r="CI582" s="234">
        <f t="shared" si="704"/>
        <v>36.987996911722803</v>
      </c>
      <c r="CJ582" s="234">
        <f>_xll.xSPRDOPT((VLOOKUP(G581,NGPREVPRICES,2,FALSE)+HLOOKUP(D581,PREVCURVES,VLOOKUP(G581,MOVE_DOWN2,2,FALSE),FALSE)),VLOOKUP(G581,NGPREVPRICES,2,FALSE),CK582,VLOOKUP(G581,NGPREVPRICES,4,FALSE),HLOOKUP(D581,PREVVOLS,VLOOKUP(G581,MOVE_DOWN2,2,FALSE),FALSE),VLOOKUP(G581,NGPREVPRICES,3,FALSE),HLOOKUP(D581,Correllate,VLOOKUP(G581,CorMove,2,FALSE),FALSE),Q581-$CD$3,R581,$CJ$5)*H581</f>
        <v>-4237.9759780882996</v>
      </c>
      <c r="CK582" s="235">
        <f t="shared" si="705"/>
        <v>0.15</v>
      </c>
      <c r="CM582" t="str">
        <f t="shared" si="706"/>
        <v>36861Curve Shift/Gamma</v>
      </c>
      <c r="CN582" t="str">
        <f t="shared" si="665"/>
        <v>36861Rho</v>
      </c>
      <c r="CO582" t="str">
        <f t="shared" si="666"/>
        <v>36861Drift</v>
      </c>
      <c r="CP582" t="str">
        <f t="shared" si="667"/>
        <v>36861Vega</v>
      </c>
      <c r="CQ582" t="str">
        <f t="shared" si="668"/>
        <v>36861Theta</v>
      </c>
    </row>
    <row r="583" spans="1:95" x14ac:dyDescent="0.25">
      <c r="A583" s="140" t="s">
        <v>480</v>
      </c>
      <c r="B583" t="s">
        <v>250</v>
      </c>
      <c r="C583" t="s">
        <v>541</v>
      </c>
      <c r="D583" s="4" t="s">
        <v>74</v>
      </c>
      <c r="E583" t="s">
        <v>20</v>
      </c>
      <c r="F583" t="s">
        <v>21</v>
      </c>
      <c r="G583" s="5">
        <v>36923</v>
      </c>
      <c r="H583" s="130">
        <v>-140000</v>
      </c>
      <c r="I583">
        <v>0.15</v>
      </c>
      <c r="J583" s="53">
        <f t="shared" si="688"/>
        <v>4.4800000000000004</v>
      </c>
      <c r="K583" s="7">
        <f t="shared" si="689"/>
        <v>0.13750000000000001</v>
      </c>
      <c r="L583" s="53">
        <f t="shared" si="690"/>
        <v>4.6175000000000006</v>
      </c>
      <c r="M583" s="157">
        <f t="shared" si="691"/>
        <v>6.8640161611372E-2</v>
      </c>
      <c r="N583" s="4">
        <f t="shared" si="692"/>
        <v>0.59250000000000003</v>
      </c>
      <c r="O583" s="4">
        <f t="shared" si="693"/>
        <v>0.59299999999999997</v>
      </c>
      <c r="P583" s="9">
        <f t="shared" si="694"/>
        <v>0.997</v>
      </c>
      <c r="Q583" s="5">
        <f t="shared" ref="Q583:Q646" si="708">WORKDAY(G583,-2)</f>
        <v>36921</v>
      </c>
      <c r="R583" s="4">
        <f t="shared" si="695"/>
        <v>1</v>
      </c>
      <c r="S583" s="158">
        <f>_xll.xSPRDOPT($L583,$J583,$I583,$M583,$O583,$N583,$P583,$Q583-$C$3,$R583,0)</f>
        <v>5.1601903862221528E-2</v>
      </c>
      <c r="T583" s="159">
        <f>_xll.xSPRDOPT($L583,$J583,$I583,$M583,$O583,$N583,$P583,$Q583-$C$3,$R583,1)*H583</f>
        <v>-64842.486731537138</v>
      </c>
      <c r="U583" s="160">
        <f t="shared" si="696"/>
        <v>-7224.2665407110135</v>
      </c>
      <c r="V583" s="159">
        <f>_xll.xSPRDOPT($L583,$J583,$I583,$M583,$O583,$N583,$P583,$Q583-$C$3,$R583,2)*H583</f>
        <v>63352.742517692641</v>
      </c>
      <c r="W583" s="159">
        <f t="shared" si="697"/>
        <v>-1489.7442138444967</v>
      </c>
      <c r="X583" s="51" t="str">
        <f t="shared" si="698"/>
        <v>36923NGI/CHI. GATE</v>
      </c>
      <c r="Y583" s="418">
        <f t="shared" si="699"/>
        <v>-14</v>
      </c>
      <c r="Z583" s="456">
        <f t="shared" si="700"/>
        <v>0.46316061951097953</v>
      </c>
      <c r="AA583" s="456">
        <f>_xll.xSPRDOPT($L583,$J583,$I583,$M583,$O583,$N583,$P583,$Q583-$C$3,$R583,3)</f>
        <v>2.6234575744327917</v>
      </c>
      <c r="AB583" s="456">
        <f>((_xll.xSPRDOPT($L583+AB$5,$J583,$I583,$M583,$O583,$N583,$P583,$Q583-$C$3,$R583,3)*$H583)/10000)/100</f>
        <v>-0.36728406042059086</v>
      </c>
      <c r="AC583" s="456">
        <f>((_xll.xSPRDOPT($L583+$AB$5,$J583,$I583,$M583,$O583,$N583,$P583,$Q583-$C$3,$R583,7)*$H583)/100)</f>
        <v>11239.061169372009</v>
      </c>
      <c r="AD583" s="456">
        <f>(_xll.xSPRDOPT($L583+$AB$5,$J583,$I583,$M583,$O583,$N583,$P583,$Q583-$C$3,$R583,9)/365)*$H583</f>
        <v>24.847880508340118</v>
      </c>
      <c r="AE583">
        <f t="shared" si="707"/>
        <v>0</v>
      </c>
      <c r="AF583" s="456">
        <f t="shared" si="701"/>
        <v>-136.13600176878947</v>
      </c>
      <c r="AG583" s="456">
        <f>((_xll.xSPRDOPT($L583,$J583,$I583,$M583,$O583,$N583,$P583,$Q583-$C$3,$R583,6)*$H583)/100)</f>
        <v>547.88001726274456</v>
      </c>
      <c r="AH583" s="456">
        <f>((_xll.xSPRDOPT($L583,$J583,$I583,$M583,$O583,$N583,$P583,$Q583-$C$3,$R583,5)*$H583)/100)</f>
        <v>-683.43927702560529</v>
      </c>
      <c r="AI583" s="456">
        <f>(((_xll.xSPRDOPT($L583,$J583,$I583,$M583,$O583,$N583,$P583,$Q583-$C$3,$R583,4)*$H583)/10000)/100)-AB583</f>
        <v>1.019452406138599E-3</v>
      </c>
      <c r="AJ583" s="456"/>
      <c r="AK583" s="456"/>
      <c r="CC583" s="141">
        <f t="shared" si="702"/>
        <v>36892</v>
      </c>
      <c r="CD583" s="234">
        <f>_xll.xSPRDOPT((VLOOKUP(G582,NGPrices,2,FALSE)+HLOOKUP(D582,Prices,VLOOKUP(G582,move_down,2,FALSE),FALSE)),VLOOKUP(G582,NGPrices,2,FALSE),I582,VLOOKUP(G582,NGPREVPRICES,4,FALSE),HLOOKUP(D582,PREVVOLS,VLOOKUP(G582,MOVE_DOWN2,2,FALSE),FALSE),VLOOKUP(G582,NGPREVPRICES,3,FALSE),HLOOKUP(D582,Correllate,VLOOKUP(G582,CorMove,2,FALSE),FALSE),Q582-$CD$3,R582,$CD$5)*H582-CJ583</f>
        <v>0</v>
      </c>
      <c r="CE583" s="234">
        <f>_xll.xSPRDOPT((VLOOKUP(G582,NGPREVPRICES,2,FALSE)+HLOOKUP(D582,PREVCURVES,VLOOKUP(G582,MOVE_DOWN2,2,FALSE),FALSE)),VLOOKUP(G582,NGPREVPRICES,2,FALSE),CK583,VLOOKUP(G582,NGPrices,4,FALSE),HLOOKUP(D582,PREVVOLS,VLOOKUP(G582,MOVE_DOWN2,2,FALSE),FALSE),VLOOKUP(G582,NGPREVPRICES,3,FALSE),HLOOKUP(D582,Correllate,VLOOKUP(G582,CorMove,2,FALSE),FALSE),Q582-$CD$3,R582,$CJ$5)*H582-CJ583</f>
        <v>0</v>
      </c>
      <c r="CF583" s="10">
        <f t="shared" si="703"/>
        <v>1.2998618394321966</v>
      </c>
      <c r="CG583" s="234">
        <f>_xll.xSPRDOPT((VLOOKUP(G582,NGPREVPRICES,2,FALSE)+HLOOKUP(D582,PREVCURVES,VLOOKUP(G582,MOVE_DOWN2,2,FALSE),FALSE)),VLOOKUP(G582,NGPREVPRICES,2,FALSE),CK583,VLOOKUP(G582,NGPREVPRICES,4,FALSE),HLOOKUP(D582,VOLS,VLOOKUP(G582,move_down,2,FALSE),FALSE),VLOOKUP(G582,NGPrices,3,FALSE),HLOOKUP(D582,Correllate,VLOOKUP(G582,CorMove,2,FALSE),FALSE),Q582-$CD$3,R582,$CJ$5)*H582-CJ583</f>
        <v>0</v>
      </c>
      <c r="CH583" s="234">
        <f>_xll.xSPRDOPT((VLOOKUP(G582,NGPREVPRICES,2,FALSE)+HLOOKUP(D582,PREVCURVES,VLOOKUP(G582,MOVE_DOWN2,2,FALSE),FALSE)),VLOOKUP(G582,NGPREVPRICES,2,FALSE),CK583,VLOOKUP(G582,NGPREVPRICES,4,FALSE),HLOOKUP(D582,PREVVOLS,VLOOKUP(G582,MOVE_DOWN2,2,FALSE),FALSE),VLOOKUP(G582,NGPREVPRICES,3,FALSE),HLOOKUP(D582,Correllate,VLOOKUP(G582,CorMove,2,FALSE),FALSE),Q582-$C$3,R582,$CJ$5)*H582-CJ583</f>
        <v>33.3232646032302</v>
      </c>
      <c r="CI583" s="234">
        <f t="shared" si="704"/>
        <v>34.623126442662397</v>
      </c>
      <c r="CJ583" s="234">
        <f>_xll.xSPRDOPT((VLOOKUP(G582,NGPREVPRICES,2,FALSE)+HLOOKUP(D582,PREVCURVES,VLOOKUP(G582,MOVE_DOWN2,2,FALSE),FALSE)),VLOOKUP(G582,NGPREVPRICES,2,FALSE),CK583,VLOOKUP(G582,NGPREVPRICES,4,FALSE),HLOOKUP(D582,PREVVOLS,VLOOKUP(G582,MOVE_DOWN2,2,FALSE),FALSE),VLOOKUP(G582,NGPREVPRICES,3,FALSE),HLOOKUP(D582,Correllate,VLOOKUP(G582,CorMove,2,FALSE),FALSE),Q582-$CD$3,R582,$CJ$5)*H582</f>
        <v>-6897.971815951083</v>
      </c>
      <c r="CK583" s="235">
        <f t="shared" si="705"/>
        <v>0.15</v>
      </c>
      <c r="CM583" t="str">
        <f t="shared" si="706"/>
        <v>36892Curve Shift/Gamma</v>
      </c>
      <c r="CN583" t="str">
        <f t="shared" si="665"/>
        <v>36892Rho</v>
      </c>
      <c r="CO583" t="str">
        <f t="shared" si="666"/>
        <v>36892Drift</v>
      </c>
      <c r="CP583" t="str">
        <f t="shared" si="667"/>
        <v>36892Vega</v>
      </c>
      <c r="CQ583" t="str">
        <f t="shared" si="668"/>
        <v>36892Theta</v>
      </c>
    </row>
    <row r="584" spans="1:95" x14ac:dyDescent="0.25">
      <c r="A584" s="140" t="s">
        <v>480</v>
      </c>
      <c r="B584" t="s">
        <v>250</v>
      </c>
      <c r="C584" t="s">
        <v>541</v>
      </c>
      <c r="D584" s="4" t="s">
        <v>74</v>
      </c>
      <c r="E584" t="s">
        <v>20</v>
      </c>
      <c r="F584" t="s">
        <v>21</v>
      </c>
      <c r="G584" s="5">
        <v>36951</v>
      </c>
      <c r="H584" s="130">
        <v>-155000</v>
      </c>
      <c r="I584">
        <v>0.15</v>
      </c>
      <c r="J584" s="53">
        <f t="shared" si="688"/>
        <v>4.2130000000000001</v>
      </c>
      <c r="K584" s="7">
        <f t="shared" si="689"/>
        <v>0.1225</v>
      </c>
      <c r="L584" s="53">
        <f t="shared" si="690"/>
        <v>4.3354999999999997</v>
      </c>
      <c r="M584" s="157">
        <f t="shared" si="691"/>
        <v>6.8879814952706994E-2</v>
      </c>
      <c r="N584" s="4">
        <f t="shared" si="692"/>
        <v>0.53249999999999997</v>
      </c>
      <c r="O584" s="4">
        <f t="shared" si="693"/>
        <v>0.53300000000000003</v>
      </c>
      <c r="P584" s="9">
        <f t="shared" si="694"/>
        <v>0.997</v>
      </c>
      <c r="Q584" s="5">
        <f t="shared" si="708"/>
        <v>36949</v>
      </c>
      <c r="R584" s="4">
        <f t="shared" si="695"/>
        <v>1</v>
      </c>
      <c r="S584" s="158">
        <f>_xll.xSPRDOPT($L584,$J584,$I584,$M584,$O584,$N584,$P584,$Q584-$C$3,$R584,0)</f>
        <v>4.0723005471356676E-2</v>
      </c>
      <c r="T584" s="159">
        <f>_xll.xSPRDOPT($L584,$J584,$I584,$M584,$O584,$N584,$P584,$Q584-$C$3,$R584,1)*H584</f>
        <v>-64571.166314393551</v>
      </c>
      <c r="U584" s="160">
        <f t="shared" si="696"/>
        <v>-6312.0658480602851</v>
      </c>
      <c r="V584" s="159">
        <f>_xll.xSPRDOPT($L584,$J584,$I584,$M584,$O584,$N584,$P584,$Q584-$C$3,$R584,2)*H584</f>
        <v>63001.770140242072</v>
      </c>
      <c r="W584" s="159">
        <f t="shared" si="697"/>
        <v>-1569.3961741514795</v>
      </c>
      <c r="X584" s="51" t="str">
        <f t="shared" si="698"/>
        <v>36951NGI/CHI. GATE</v>
      </c>
      <c r="Y584" s="418">
        <f t="shared" si="699"/>
        <v>-15.5</v>
      </c>
      <c r="Z584" s="456">
        <f t="shared" si="700"/>
        <v>0.41658816977028096</v>
      </c>
      <c r="AA584" s="456">
        <f>_xll.xSPRDOPT($L584,$J584,$I584,$M584,$O584,$N584,$P584,$Q584-$C$3,$R584,3)</f>
        <v>2.7889064827494936</v>
      </c>
      <c r="AB584" s="456">
        <f>((_xll.xSPRDOPT($L584+AB$5,$J584,$I584,$M584,$O584,$N584,$P584,$Q584-$C$3,$R584,3)*$H584)/10000)/100</f>
        <v>-0.43228050482617147</v>
      </c>
      <c r="AC584" s="456">
        <f>((_xll.xSPRDOPT($L584+$AB$5,$J584,$I584,$M584,$O584,$N584,$P584,$Q584-$C$3,$R584,7)*$H584)/100)</f>
        <v>11117.200610768956</v>
      </c>
      <c r="AD584" s="456">
        <f>(_xll.xSPRDOPT($L584+$AB$5,$J584,$I584,$M584,$O584,$N584,$P584,$Q584-$C$3,$R584,9)/365)*$H584</f>
        <v>21.05514251289652</v>
      </c>
      <c r="AE584">
        <f t="shared" si="707"/>
        <v>0</v>
      </c>
      <c r="AF584" s="456">
        <f t="shared" si="701"/>
        <v>-151.96452751142021</v>
      </c>
      <c r="AG584" s="456">
        <f>((_xll.xSPRDOPT($L584,$J584,$I584,$M584,$O584,$N584,$P584,$Q584-$C$3,$R584,6)*$H584)/100)</f>
        <v>633.61245872812844</v>
      </c>
      <c r="AH584" s="456">
        <f>((_xll.xSPRDOPT($L584,$J584,$I584,$M584,$O584,$N584,$P584,$Q584-$C$3,$R584,5)*$H584)/100)</f>
        <v>-784.84004722806674</v>
      </c>
      <c r="AI584" s="456">
        <f>(((_xll.xSPRDOPT($L584,$J584,$I584,$M584,$O584,$N584,$P584,$Q584-$C$3,$R584,4)*$H584)/10000)/100)-AB584</f>
        <v>3.769088298460288E-3</v>
      </c>
      <c r="AJ584" s="456"/>
      <c r="AK584" s="456"/>
      <c r="CC584" s="141">
        <f t="shared" si="702"/>
        <v>36923</v>
      </c>
      <c r="CD584" s="234">
        <f>_xll.xSPRDOPT((VLOOKUP(G583,NGPrices,2,FALSE)+HLOOKUP(D583,Prices,VLOOKUP(G583,move_down,2,FALSE),FALSE)),VLOOKUP(G583,NGPrices,2,FALSE),I583,VLOOKUP(G583,NGPREVPRICES,4,FALSE),HLOOKUP(D583,PREVVOLS,VLOOKUP(G583,MOVE_DOWN2,2,FALSE),FALSE),VLOOKUP(G583,NGPREVPRICES,3,FALSE),HLOOKUP(D583,Correllate,VLOOKUP(G583,CorMove,2,FALSE),FALSE),Q583-$CD$3,R583,$CD$5)*H583-CJ584</f>
        <v>0</v>
      </c>
      <c r="CE584" s="234">
        <f>_xll.xSPRDOPT((VLOOKUP(G583,NGPREVPRICES,2,FALSE)+HLOOKUP(D583,PREVCURVES,VLOOKUP(G583,MOVE_DOWN2,2,FALSE),FALSE)),VLOOKUP(G583,NGPREVPRICES,2,FALSE),CK584,VLOOKUP(G583,NGPrices,4,FALSE),HLOOKUP(D583,PREVVOLS,VLOOKUP(G583,MOVE_DOWN2,2,FALSE),FALSE),VLOOKUP(G583,NGPREVPRICES,3,FALSE),HLOOKUP(D583,Correllate,VLOOKUP(G583,CorMove,2,FALSE),FALSE),Q583-$CD$3,R583,$CJ$5)*H583-CJ584</f>
        <v>0</v>
      </c>
      <c r="CF584" s="10">
        <f t="shared" si="703"/>
        <v>1.3786859424844806</v>
      </c>
      <c r="CG584" s="234">
        <f>_xll.xSPRDOPT((VLOOKUP(G583,NGPREVPRICES,2,FALSE)+HLOOKUP(D583,PREVCURVES,VLOOKUP(G583,MOVE_DOWN2,2,FALSE),FALSE)),VLOOKUP(G583,NGPREVPRICES,2,FALSE),CK584,VLOOKUP(G583,NGPREVPRICES,4,FALSE),HLOOKUP(D583,VOLS,VLOOKUP(G583,move_down,2,FALSE),FALSE),VLOOKUP(G583,NGPrices,3,FALSE),HLOOKUP(D583,Correllate,VLOOKUP(G583,CorMove,2,FALSE),FALSE),Q583-$CD$3,R583,$CJ$5)*H583-CJ584</f>
        <v>0</v>
      </c>
      <c r="CH584" s="234">
        <f>_xll.xSPRDOPT((VLOOKUP(G583,NGPREVPRICES,2,FALSE)+HLOOKUP(D583,PREVCURVES,VLOOKUP(G583,MOVE_DOWN2,2,FALSE),FALSE)),VLOOKUP(G583,NGPREVPRICES,2,FALSE),CK584,VLOOKUP(G583,NGPREVPRICES,4,FALSE),HLOOKUP(D583,PREVVOLS,VLOOKUP(G583,MOVE_DOWN2,2,FALSE),FALSE),VLOOKUP(G583,NGPREVPRICES,3,FALSE),HLOOKUP(D583,Correllate,VLOOKUP(G583,CorMove,2,FALSE),FALSE),Q583-$C$3,R583,$CJ$5)*H583-CJ584</f>
        <v>24.784739693030133</v>
      </c>
      <c r="CI584" s="234">
        <f t="shared" si="704"/>
        <v>26.163425635514614</v>
      </c>
      <c r="CJ584" s="234">
        <f>_xll.xSPRDOPT((VLOOKUP(G583,NGPREVPRICES,2,FALSE)+HLOOKUP(D583,PREVCURVES,VLOOKUP(G583,MOVE_DOWN2,2,FALSE),FALSE)),VLOOKUP(G583,NGPREVPRICES,2,FALSE),CK584,VLOOKUP(G583,NGPREVPRICES,4,FALSE),HLOOKUP(D583,PREVVOLS,VLOOKUP(G583,MOVE_DOWN2,2,FALSE),FALSE),VLOOKUP(G583,NGPREVPRICES,3,FALSE),HLOOKUP(D583,Correllate,VLOOKUP(G583,CorMove,2,FALSE),FALSE),Q583-$CD$3,R583,$CJ$5)*H583</f>
        <v>-7249.0512804040436</v>
      </c>
      <c r="CK584" s="235">
        <f t="shared" si="705"/>
        <v>0.15</v>
      </c>
      <c r="CM584" t="str">
        <f t="shared" si="706"/>
        <v>36923Curve Shift/Gamma</v>
      </c>
      <c r="CN584" t="str">
        <f t="shared" si="665"/>
        <v>36923Rho</v>
      </c>
      <c r="CO584" t="str">
        <f t="shared" si="666"/>
        <v>36923Drift</v>
      </c>
      <c r="CP584" t="str">
        <f t="shared" si="667"/>
        <v>36923Vega</v>
      </c>
      <c r="CQ584" t="str">
        <f t="shared" si="668"/>
        <v>36923Theta</v>
      </c>
    </row>
    <row r="585" spans="1:95" x14ac:dyDescent="0.25">
      <c r="A585" s="140" t="s">
        <v>268</v>
      </c>
      <c r="B585" t="s">
        <v>250</v>
      </c>
      <c r="C585" t="s">
        <v>542</v>
      </c>
      <c r="D585" s="4" t="s">
        <v>6</v>
      </c>
      <c r="E585" t="s">
        <v>20</v>
      </c>
      <c r="F585" t="s">
        <v>21</v>
      </c>
      <c r="G585" s="5">
        <v>36831</v>
      </c>
      <c r="H585" s="130">
        <v>-300000</v>
      </c>
      <c r="I585">
        <v>-0.15</v>
      </c>
      <c r="J585" s="53">
        <f t="shared" si="688"/>
        <v>4.7359999999999998</v>
      </c>
      <c r="K585" s="7">
        <f t="shared" si="689"/>
        <v>-0.14249999999999999</v>
      </c>
      <c r="L585" s="53">
        <f t="shared" si="690"/>
        <v>4.5934999999999997</v>
      </c>
      <c r="M585" s="157">
        <f t="shared" si="691"/>
        <v>6.810675983792E-2</v>
      </c>
      <c r="N585" s="4">
        <f t="shared" si="692"/>
        <v>0.59499999999999997</v>
      </c>
      <c r="O585" s="4">
        <f t="shared" si="693"/>
        <v>0.59499999999999997</v>
      </c>
      <c r="P585" s="9">
        <f t="shared" si="694"/>
        <v>0.995</v>
      </c>
      <c r="Q585" s="5">
        <f t="shared" si="708"/>
        <v>36829</v>
      </c>
      <c r="R585" s="4">
        <f t="shared" si="695"/>
        <v>1</v>
      </c>
      <c r="S585" s="158">
        <f>_xll.xSPRDOPT($L585,$J585,$I585,$M585,$O585,$N585,$P585,$Q585-$C$3,$R585,0)</f>
        <v>5.1202252229485656E-2</v>
      </c>
      <c r="T585" s="159">
        <f>_xll.xSPRDOPT($L585,$J585,$I585,$M585,$O585,$N585,$P585,$Q585-$C$3,$R585,1)*H585</f>
        <v>-156613.37565708594</v>
      </c>
      <c r="U585" s="160">
        <f t="shared" si="696"/>
        <v>-15360.675668845697</v>
      </c>
      <c r="V585" s="159">
        <f>_xll.xSPRDOPT($L585,$J585,$I585,$M585,$O585,$N585,$P585,$Q585-$C$3,$R585,2)*H585</f>
        <v>153856.80762429468</v>
      </c>
      <c r="W585" s="159">
        <f t="shared" si="697"/>
        <v>-2756.568032791256</v>
      </c>
      <c r="X585" s="51" t="str">
        <f t="shared" si="698"/>
        <v>36831IF-PAN/TX/OK</v>
      </c>
      <c r="Y585" s="418">
        <f t="shared" si="699"/>
        <v>-30</v>
      </c>
      <c r="Z585" s="456">
        <f t="shared" si="700"/>
        <v>0.52204458552361976</v>
      </c>
      <c r="AA585" s="456">
        <f>_xll.xSPRDOPT($L585,$J585,$I585,$M585,$O585,$N585,$P585,$Q585-$C$3,$R585,3)</f>
        <v>3.2737144352982499</v>
      </c>
      <c r="AB585" s="456">
        <f>((_xll.xSPRDOPT($L585+AB$5,$J585,$I585,$M585,$O585,$N585,$P585,$Q585-$C$3,$R585,3)*$H585)/10000)/100</f>
        <v>-0.98211433058947506</v>
      </c>
      <c r="AC585" s="456">
        <f>((_xll.xSPRDOPT($L585+$AB$5,$J585,$I585,$M585,$O585,$N585,$P585,$Q585-$C$3,$R585,7)*$H585)/100)</f>
        <v>12854.834375486898</v>
      </c>
      <c r="AD585" s="456">
        <f>(_xll.xSPRDOPT($L585+$AB$5,$J585,$I585,$M585,$O585,$N585,$P585,$Q585-$C$3,$R585,9)/365)*$H585</f>
        <v>111.9085478944364</v>
      </c>
      <c r="AE585">
        <f t="shared" si="707"/>
        <v>0</v>
      </c>
      <c r="AF585" s="456">
        <f t="shared" si="701"/>
        <v>-239.03070238821567</v>
      </c>
      <c r="AG585" s="456">
        <f>((_xll.xSPRDOPT($L585,$J585,$I585,$M585,$O585,$N585,$P585,$Q585-$C$3,$R585,6)*$H585)/100)</f>
        <v>-805.84156617232873</v>
      </c>
      <c r="AH585" s="456">
        <f>((_xll.xSPRDOPT($L585,$J585,$I585,$M585,$O585,$N585,$P585,$Q585-$C$3,$R585,5)*$H585)/100)</f>
        <v>566.81086378411305</v>
      </c>
      <c r="AI585" s="456">
        <f>(((_xll.xSPRDOPT($L585,$J585,$I585,$M585,$O585,$N585,$P585,$Q585-$C$3,$R585,4)*$H585)/10000)/100)-AB585</f>
        <v>-2.3804624223958681E-3</v>
      </c>
      <c r="AJ585" s="456"/>
      <c r="AK585" s="456"/>
      <c r="CC585" s="141">
        <f t="shared" si="702"/>
        <v>36951</v>
      </c>
      <c r="CD585" s="234">
        <f>_xll.xSPRDOPT((VLOOKUP(G584,NGPrices,2,FALSE)+HLOOKUP(D584,Prices,VLOOKUP(G584,move_down,2,FALSE),FALSE)),VLOOKUP(G584,NGPrices,2,FALSE),I584,VLOOKUP(G584,NGPREVPRICES,4,FALSE),HLOOKUP(D584,PREVVOLS,VLOOKUP(G584,MOVE_DOWN2,2,FALSE),FALSE),VLOOKUP(G584,NGPREVPRICES,3,FALSE),HLOOKUP(D584,Correllate,VLOOKUP(G584,CorMove,2,FALSE),FALSE),Q584-$CD$3,R584,$CD$5)*H584-CJ585</f>
        <v>0</v>
      </c>
      <c r="CE585" s="234">
        <f>_xll.xSPRDOPT((VLOOKUP(G584,NGPREVPRICES,2,FALSE)+HLOOKUP(D584,PREVCURVES,VLOOKUP(G584,MOVE_DOWN2,2,FALSE),FALSE)),VLOOKUP(G584,NGPREVPRICES,2,FALSE),CK585,VLOOKUP(G584,NGPrices,4,FALSE),HLOOKUP(D584,PREVVOLS,VLOOKUP(G584,MOVE_DOWN2,2,FALSE),FALSE),VLOOKUP(G584,NGPREVPRICES,3,FALSE),HLOOKUP(D584,Correllate,VLOOKUP(G584,CorMove,2,FALSE),FALSE),Q584-$CD$3,R584,$CJ$5)*H584-CJ585</f>
        <v>0</v>
      </c>
      <c r="CF585" s="10">
        <f t="shared" si="703"/>
        <v>1.2145889087514661</v>
      </c>
      <c r="CG585" s="234">
        <f>_xll.xSPRDOPT((VLOOKUP(G584,NGPREVPRICES,2,FALSE)+HLOOKUP(D584,PREVCURVES,VLOOKUP(G584,MOVE_DOWN2,2,FALSE),FALSE)),VLOOKUP(G584,NGPREVPRICES,2,FALSE),CK585,VLOOKUP(G584,NGPREVPRICES,4,FALSE),HLOOKUP(D584,VOLS,VLOOKUP(G584,move_down,2,FALSE),FALSE),VLOOKUP(G584,NGPrices,3,FALSE),HLOOKUP(D584,Correllate,VLOOKUP(G584,CorMove,2,FALSE),FALSE),Q584-$CD$3,R584,$CJ$5)*H584-CJ585</f>
        <v>0</v>
      </c>
      <c r="CH585" s="234">
        <f>_xll.xSPRDOPT((VLOOKUP(G584,NGPREVPRICES,2,FALSE)+HLOOKUP(D584,PREVCURVES,VLOOKUP(G584,MOVE_DOWN2,2,FALSE),FALSE)),VLOOKUP(G584,NGPREVPRICES,2,FALSE),CK585,VLOOKUP(G584,NGPREVPRICES,4,FALSE),HLOOKUP(D584,PREVVOLS,VLOOKUP(G584,MOVE_DOWN2,2,FALSE),FALSE),VLOOKUP(G584,NGPREVPRICES,3,FALSE),HLOOKUP(D584,Correllate,VLOOKUP(G584,CorMove,2,FALSE),FALSE),Q584-$C$3,R584,$CJ$5)*H584-CJ585</f>
        <v>21.007932222605632</v>
      </c>
      <c r="CI585" s="234">
        <f t="shared" si="704"/>
        <v>22.222521131357098</v>
      </c>
      <c r="CJ585" s="234">
        <f>_xll.xSPRDOPT((VLOOKUP(G584,NGPREVPRICES,2,FALSE)+HLOOKUP(D584,PREVCURVES,VLOOKUP(G584,MOVE_DOWN2,2,FALSE),FALSE)),VLOOKUP(G584,NGPREVPRICES,2,FALSE),CK585,VLOOKUP(G584,NGPREVPRICES,4,FALSE),HLOOKUP(D584,PREVVOLS,VLOOKUP(G584,MOVE_DOWN2,2,FALSE),FALSE),VLOOKUP(G584,NGPREVPRICES,3,FALSE),HLOOKUP(D584,Correllate,VLOOKUP(G584,CorMove,2,FALSE),FALSE),Q584-$CD$3,R584,$CJ$5)*H584</f>
        <v>-6333.0737802828908</v>
      </c>
      <c r="CK585" s="235">
        <f t="shared" si="705"/>
        <v>0.15</v>
      </c>
      <c r="CM585" t="str">
        <f t="shared" si="706"/>
        <v>36951Curve Shift/Gamma</v>
      </c>
      <c r="CN585" t="str">
        <f t="shared" si="665"/>
        <v>36951Rho</v>
      </c>
      <c r="CO585" t="str">
        <f t="shared" si="666"/>
        <v>36951Drift</v>
      </c>
      <c r="CP585" t="str">
        <f t="shared" si="667"/>
        <v>36951Vega</v>
      </c>
      <c r="CQ585" t="str">
        <f t="shared" si="668"/>
        <v>36951Theta</v>
      </c>
    </row>
    <row r="586" spans="1:95" x14ac:dyDescent="0.25">
      <c r="A586" s="140" t="s">
        <v>268</v>
      </c>
      <c r="B586" t="s">
        <v>250</v>
      </c>
      <c r="C586" t="s">
        <v>542</v>
      </c>
      <c r="D586" s="4" t="s">
        <v>6</v>
      </c>
      <c r="E586" t="s">
        <v>20</v>
      </c>
      <c r="F586" t="s">
        <v>21</v>
      </c>
      <c r="G586" s="5">
        <v>36861</v>
      </c>
      <c r="H586" s="130">
        <v>-310000</v>
      </c>
      <c r="I586">
        <v>-0.15</v>
      </c>
      <c r="J586" s="53">
        <f t="shared" si="688"/>
        <v>4.8</v>
      </c>
      <c r="K586" s="7">
        <f t="shared" si="689"/>
        <v>-0.1525</v>
      </c>
      <c r="L586" s="53">
        <f t="shared" si="690"/>
        <v>4.6475</v>
      </c>
      <c r="M586" s="157">
        <f t="shared" si="691"/>
        <v>6.8314027999354002E-2</v>
      </c>
      <c r="N586" s="4">
        <f t="shared" si="692"/>
        <v>0.6</v>
      </c>
      <c r="O586" s="4">
        <f t="shared" si="693"/>
        <v>0.6</v>
      </c>
      <c r="P586" s="9">
        <f t="shared" si="694"/>
        <v>0.995</v>
      </c>
      <c r="Q586" s="5">
        <f t="shared" si="708"/>
        <v>36859</v>
      </c>
      <c r="R586" s="4">
        <f t="shared" si="695"/>
        <v>1</v>
      </c>
      <c r="S586" s="158">
        <f>_xll.xSPRDOPT($L586,$J586,$I586,$M586,$O586,$N586,$P586,$Q586-$C$3,$R586,0)</f>
        <v>5.7391371600140684E-2</v>
      </c>
      <c r="T586" s="159">
        <f>_xll.xSPRDOPT($L586,$J586,$I586,$M586,$O586,$N586,$P586,$Q586-$C$3,$R586,1)*H586</f>
        <v>-151536.94366570769</v>
      </c>
      <c r="U586" s="160">
        <f t="shared" si="696"/>
        <v>-17791.325196043614</v>
      </c>
      <c r="V586" s="159">
        <f>_xll.xSPRDOPT($L586,$J586,$I586,$M586,$O586,$N586,$P586,$Q586-$C$3,$R586,2)*H586</f>
        <v>148051.07345173982</v>
      </c>
      <c r="W586" s="159">
        <f t="shared" si="697"/>
        <v>-3485.8702139678644</v>
      </c>
      <c r="X586" s="51" t="str">
        <f t="shared" si="698"/>
        <v>36861IF-PAN/TX/OK</v>
      </c>
      <c r="Y586" s="418">
        <f t="shared" si="699"/>
        <v>-31</v>
      </c>
      <c r="Z586" s="456">
        <f t="shared" si="700"/>
        <v>0.48882885053454095</v>
      </c>
      <c r="AA586" s="456">
        <f>_xll.xSPRDOPT($L586,$J586,$I586,$M586,$O586,$N586,$P586,$Q586-$C$3,$R586,3)</f>
        <v>2.6273273740964833</v>
      </c>
      <c r="AB586" s="456">
        <f>((_xll.xSPRDOPT($L586+AB$5,$J586,$I586,$M586,$O586,$N586,$P586,$Q586-$C$3,$R586,3)*$H586)/10000)/100</f>
        <v>-0.81447148596990981</v>
      </c>
      <c r="AC586" s="456">
        <f>((_xll.xSPRDOPT($L586+$AB$5,$J586,$I586,$M586,$O586,$N586,$P586,$Q586-$C$3,$R586,7)*$H586)/100)</f>
        <v>16460.736713230071</v>
      </c>
      <c r="AD586" s="456">
        <f>(_xll.xSPRDOPT($L586+$AB$5,$J586,$I586,$M586,$O586,$N586,$P586,$Q586-$C$3,$R586,9)/365)*$H586</f>
        <v>95.773593054436077</v>
      </c>
      <c r="AE586">
        <f t="shared" si="707"/>
        <v>0</v>
      </c>
      <c r="AF586" s="456">
        <f t="shared" si="701"/>
        <v>-303.7091878486691</v>
      </c>
      <c r="AG586" s="456">
        <f>((_xll.xSPRDOPT($L586,$J586,$I586,$M586,$O586,$N586,$P586,$Q586-$C$3,$R586,6)*$H586)/100)</f>
        <v>-1014.4774771849499</v>
      </c>
      <c r="AH586" s="456">
        <f>((_xll.xSPRDOPT($L586,$J586,$I586,$M586,$O586,$N586,$P586,$Q586-$C$3,$R586,5)*$H586)/100)</f>
        <v>710.76828933628076</v>
      </c>
      <c r="AI586" s="456">
        <f>(((_xll.xSPRDOPT($L586,$J586,$I586,$M586,$O586,$N586,$P586,$Q586-$C$3,$R586,4)*$H586)/10000)/100)-AB586</f>
        <v>1.3836509571589772E-3</v>
      </c>
      <c r="AJ586" s="456"/>
      <c r="AK586" s="456"/>
      <c r="CC586" s="141">
        <f t="shared" si="702"/>
        <v>36831</v>
      </c>
      <c r="CD586" s="234">
        <f>_xll.xSPRDOPT((VLOOKUP(G585,NGPrices,2,FALSE)+HLOOKUP(D585,Prices,VLOOKUP(G585,move_down,2,FALSE),FALSE)),VLOOKUP(G585,NGPrices,2,FALSE),I585,VLOOKUP(G585,NGPREVPRICES,4,FALSE),HLOOKUP(D585,PREVVOLS,VLOOKUP(G585,MOVE_DOWN2,2,FALSE),FALSE),VLOOKUP(G585,NGPREVPRICES,3,FALSE),HLOOKUP(D585,Correllate,VLOOKUP(G585,CorMove,2,FALSE),FALSE),Q585-$CD$3,R585,$CD$5)*H585-CJ586</f>
        <v>0</v>
      </c>
      <c r="CE586" s="234">
        <f>_xll.xSPRDOPT((VLOOKUP(G585,NGPREVPRICES,2,FALSE)+HLOOKUP(D585,PREVCURVES,VLOOKUP(G585,MOVE_DOWN2,2,FALSE),FALSE)),VLOOKUP(G585,NGPREVPRICES,2,FALSE),CK586,VLOOKUP(G585,NGPrices,4,FALSE),HLOOKUP(D585,PREVVOLS,VLOOKUP(G585,MOVE_DOWN2,2,FALSE),FALSE),VLOOKUP(G585,NGPREVPRICES,3,FALSE),HLOOKUP(D585,Correllate,VLOOKUP(G585,CorMove,2,FALSE),FALSE),Q585-$CD$3,R585,$CJ$5)*H585-CJ586</f>
        <v>0</v>
      </c>
      <c r="CF586" s="10">
        <f t="shared" si="703"/>
        <v>2.8733211174785538</v>
      </c>
      <c r="CG586" s="234">
        <f>_xll.xSPRDOPT((VLOOKUP(G585,NGPREVPRICES,2,FALSE)+HLOOKUP(D585,PREVCURVES,VLOOKUP(G585,MOVE_DOWN2,2,FALSE),FALSE)),VLOOKUP(G585,NGPREVPRICES,2,FALSE),CK586,VLOOKUP(G585,NGPREVPRICES,4,FALSE),HLOOKUP(D585,VOLS,VLOOKUP(G585,move_down,2,FALSE),FALSE),VLOOKUP(G585,NGPrices,3,FALSE),HLOOKUP(D585,Correllate,VLOOKUP(G585,CorMove,2,FALSE),FALSE),Q585-$CD$3,R585,$CJ$5)*H585-CJ586</f>
        <v>0</v>
      </c>
      <c r="CH586" s="234">
        <f>_xll.xSPRDOPT((VLOOKUP(G585,NGPREVPRICES,2,FALSE)+HLOOKUP(D585,PREVCURVES,VLOOKUP(G585,MOVE_DOWN2,2,FALSE),FALSE)),VLOOKUP(G585,NGPREVPRICES,2,FALSE),CK586,VLOOKUP(G585,NGPREVPRICES,4,FALSE),HLOOKUP(D585,PREVVOLS,VLOOKUP(G585,MOVE_DOWN2,2,FALSE),FALSE),VLOOKUP(G585,NGPREVPRICES,3,FALSE),HLOOKUP(D585,Correllate,VLOOKUP(G585,CorMove,2,FALSE),FALSE),Q585-$C$3,R585,$CJ$5)*H585-CJ586</f>
        <v>111.35668973774773</v>
      </c>
      <c r="CI586" s="234">
        <f t="shared" si="704"/>
        <v>114.23001085522628</v>
      </c>
      <c r="CJ586" s="234">
        <f>_xll.xSPRDOPT((VLOOKUP(G585,NGPREVPRICES,2,FALSE)+HLOOKUP(D585,PREVCURVES,VLOOKUP(G585,MOVE_DOWN2,2,FALSE),FALSE)),VLOOKUP(G585,NGPREVPRICES,2,FALSE),CK586,VLOOKUP(G585,NGPREVPRICES,4,FALSE),HLOOKUP(D585,PREVVOLS,VLOOKUP(G585,MOVE_DOWN2,2,FALSE),FALSE),VLOOKUP(G585,NGPREVPRICES,3,FALSE),HLOOKUP(D585,Correllate,VLOOKUP(G585,CorMove,2,FALSE),FALSE),Q585-$CD$3,R585,$CJ$5)*H585</f>
        <v>-15472.032358583445</v>
      </c>
      <c r="CK586" s="235">
        <f t="shared" si="705"/>
        <v>-0.15</v>
      </c>
      <c r="CM586" t="str">
        <f t="shared" si="706"/>
        <v>36831Curve Shift/Gamma</v>
      </c>
      <c r="CN586" t="str">
        <f t="shared" si="665"/>
        <v>36831Rho</v>
      </c>
      <c r="CO586" t="str">
        <f t="shared" si="666"/>
        <v>36831Drift</v>
      </c>
      <c r="CP586" t="str">
        <f t="shared" si="667"/>
        <v>36831Vega</v>
      </c>
      <c r="CQ586" t="str">
        <f t="shared" si="668"/>
        <v>36831Theta</v>
      </c>
    </row>
    <row r="587" spans="1:95" x14ac:dyDescent="0.25">
      <c r="A587" s="140" t="s">
        <v>268</v>
      </c>
      <c r="B587" t="s">
        <v>250</v>
      </c>
      <c r="C587" t="s">
        <v>542</v>
      </c>
      <c r="D587" s="4" t="s">
        <v>6</v>
      </c>
      <c r="E587" t="s">
        <v>20</v>
      </c>
      <c r="F587" t="s">
        <v>21</v>
      </c>
      <c r="G587" s="5">
        <v>36892</v>
      </c>
      <c r="H587" s="130">
        <v>-310000</v>
      </c>
      <c r="I587">
        <v>-0.15</v>
      </c>
      <c r="J587" s="53">
        <f t="shared" si="688"/>
        <v>4.7439999999999998</v>
      </c>
      <c r="K587" s="7">
        <f t="shared" si="689"/>
        <v>-0.16</v>
      </c>
      <c r="L587" s="53">
        <f t="shared" si="690"/>
        <v>4.5839999999999996</v>
      </c>
      <c r="M587" s="157">
        <f t="shared" si="691"/>
        <v>6.8374831148490994E-2</v>
      </c>
      <c r="N587" s="4">
        <f t="shared" si="692"/>
        <v>0.60499999999999998</v>
      </c>
      <c r="O587" s="4">
        <f t="shared" si="693"/>
        <v>0.60499999999999998</v>
      </c>
      <c r="P587" s="9">
        <f t="shared" si="694"/>
        <v>0.995</v>
      </c>
      <c r="Q587" s="5">
        <f t="shared" si="708"/>
        <v>36888</v>
      </c>
      <c r="R587" s="4">
        <f t="shared" si="695"/>
        <v>1</v>
      </c>
      <c r="S587" s="158">
        <f>_xll.xSPRDOPT($L587,$J587,$I587,$M587,$O587,$N587,$P587,$Q587-$C$3,$R587,0)</f>
        <v>6.1913832199126773E-2</v>
      </c>
      <c r="T587" s="159">
        <f>_xll.xSPRDOPT($L587,$J587,$I587,$M587,$O587,$N587,$P587,$Q587-$C$3,$R587,1)*H587</f>
        <v>-145811.50928468377</v>
      </c>
      <c r="U587" s="160">
        <f t="shared" si="696"/>
        <v>-19193.2879817293</v>
      </c>
      <c r="V587" s="159">
        <f>_xll.xSPRDOPT($L587,$J587,$I587,$M587,$O587,$N587,$P587,$Q587-$C$3,$R587,2)*H587</f>
        <v>141816.77419703841</v>
      </c>
      <c r="W587" s="159">
        <f t="shared" si="697"/>
        <v>-3994.7350876453565</v>
      </c>
      <c r="X587" s="51" t="str">
        <f t="shared" si="698"/>
        <v>36892IF-PAN/TX/OK</v>
      </c>
      <c r="Y587" s="418">
        <f t="shared" si="699"/>
        <v>-31</v>
      </c>
      <c r="Z587" s="456">
        <f t="shared" si="700"/>
        <v>0.47035970736994764</v>
      </c>
      <c r="AA587" s="456">
        <f>_xll.xSPRDOPT($L587,$J587,$I587,$M587,$O587,$N587,$P587,$Q587-$C$3,$R587,3)</f>
        <v>2.2840828340447588</v>
      </c>
      <c r="AB587" s="456">
        <f>((_xll.xSPRDOPT($L587+AB$5,$J587,$I587,$M587,$O587,$N587,$P587,$Q587-$C$3,$R587,3)*$H587)/10000)/100</f>
        <v>-0.70806567855387514</v>
      </c>
      <c r="AC587" s="456">
        <f>((_xll.xSPRDOPT($L587+$AB$5,$J587,$I587,$M587,$O587,$N587,$P587,$Q587-$C$3,$R587,7)*$H587)/100)</f>
        <v>18624.085742649106</v>
      </c>
      <c r="AD587" s="456">
        <f>(_xll.xSPRDOPT($L587+$AB$5,$J587,$I587,$M587,$O587,$N587,$P587,$Q587-$C$3,$R587,9)/365)*$H587</f>
        <v>82.097002734132445</v>
      </c>
      <c r="AE587">
        <f t="shared" si="707"/>
        <v>0</v>
      </c>
      <c r="AF587" s="456">
        <f t="shared" si="701"/>
        <v>-342.53514636208536</v>
      </c>
      <c r="AG587" s="456">
        <f>((_xll.xSPRDOPT($L587,$J587,$I587,$M587,$O587,$N587,$P587,$Q587-$C$3,$R587,6)*$H587)/100)</f>
        <v>-1151.9107450795113</v>
      </c>
      <c r="AH587" s="456">
        <f>((_xll.xSPRDOPT($L587,$J587,$I587,$M587,$O587,$N587,$P587,$Q587-$C$3,$R587,5)*$H587)/100)</f>
        <v>809.37559871742599</v>
      </c>
      <c r="AI587" s="456">
        <f>(((_xll.xSPRDOPT($L587,$J587,$I587,$M587,$O587,$N587,$P587,$Q587-$C$3,$R587,4)*$H587)/10000)/100)-AB587</f>
        <v>3.4758035671076382E-3</v>
      </c>
      <c r="AJ587" s="456"/>
      <c r="AK587" s="456"/>
      <c r="CC587" s="141">
        <f t="shared" si="702"/>
        <v>36861</v>
      </c>
      <c r="CD587" s="234">
        <f>_xll.xSPRDOPT((VLOOKUP(G586,NGPrices,2,FALSE)+HLOOKUP(D586,Prices,VLOOKUP(G586,move_down,2,FALSE),FALSE)),VLOOKUP(G586,NGPrices,2,FALSE),I586,VLOOKUP(G586,NGPREVPRICES,4,FALSE),HLOOKUP(D586,PREVVOLS,VLOOKUP(G586,MOVE_DOWN2,2,FALSE),FALSE),VLOOKUP(G586,NGPREVPRICES,3,FALSE),HLOOKUP(D586,Correllate,VLOOKUP(G586,CorMove,2,FALSE),FALSE),Q586-$CD$3,R586,$CD$5)*H586-CJ587</f>
        <v>0</v>
      </c>
      <c r="CE587" s="234">
        <f>_xll.xSPRDOPT((VLOOKUP(G586,NGPREVPRICES,2,FALSE)+HLOOKUP(D586,PREVCURVES,VLOOKUP(G586,MOVE_DOWN2,2,FALSE),FALSE)),VLOOKUP(G586,NGPREVPRICES,2,FALSE),CK587,VLOOKUP(G586,NGPrices,4,FALSE),HLOOKUP(D586,PREVVOLS,VLOOKUP(G586,MOVE_DOWN2,2,FALSE),FALSE),VLOOKUP(G586,NGPREVPRICES,3,FALSE),HLOOKUP(D586,Correllate,VLOOKUP(G586,CorMove,2,FALSE),FALSE),Q586-$CD$3,R586,$CJ$5)*H586-CJ587</f>
        <v>0</v>
      </c>
      <c r="CF587" s="10">
        <f t="shared" si="703"/>
        <v>3.3508667911919474</v>
      </c>
      <c r="CG587" s="234">
        <f>_xll.xSPRDOPT((VLOOKUP(G586,NGPREVPRICES,2,FALSE)+HLOOKUP(D586,PREVCURVES,VLOOKUP(G586,MOVE_DOWN2,2,FALSE),FALSE)),VLOOKUP(G586,NGPREVPRICES,2,FALSE),CK587,VLOOKUP(G586,NGPREVPRICES,4,FALSE),HLOOKUP(D586,VOLS,VLOOKUP(G586,move_down,2,FALSE),FALSE),VLOOKUP(G586,NGPrices,3,FALSE),HLOOKUP(D586,Correllate,VLOOKUP(G586,CorMove,2,FALSE),FALSE),Q586-$CD$3,R586,$CJ$5)*H586-CJ587</f>
        <v>0</v>
      </c>
      <c r="CH587" s="234">
        <f>_xll.xSPRDOPT((VLOOKUP(G586,NGPREVPRICES,2,FALSE)+HLOOKUP(D586,PREVCURVES,VLOOKUP(G586,MOVE_DOWN2,2,FALSE),FALSE)),VLOOKUP(G586,NGPREVPRICES,2,FALSE),CK587,VLOOKUP(G586,NGPREVPRICES,4,FALSE),HLOOKUP(D586,PREVVOLS,VLOOKUP(G586,MOVE_DOWN2,2,FALSE),FALSE),VLOOKUP(G586,NGPREVPRICES,3,FALSE),HLOOKUP(D586,Correllate,VLOOKUP(G586,CorMove,2,FALSE),FALSE),Q586-$C$3,R586,$CJ$5)*H586-CJ587</f>
        <v>95.424694743654982</v>
      </c>
      <c r="CI587" s="234">
        <f t="shared" si="704"/>
        <v>98.775561534846929</v>
      </c>
      <c r="CJ587" s="234">
        <f>_xll.xSPRDOPT((VLOOKUP(G586,NGPREVPRICES,2,FALSE)+HLOOKUP(D586,PREVCURVES,VLOOKUP(G586,MOVE_DOWN2,2,FALSE),FALSE)),VLOOKUP(G586,NGPREVPRICES,2,FALSE),CK587,VLOOKUP(G586,NGPREVPRICES,4,FALSE),HLOOKUP(D586,PREVVOLS,VLOOKUP(G586,MOVE_DOWN2,2,FALSE),FALSE),VLOOKUP(G586,NGPREVPRICES,3,FALSE),HLOOKUP(D586,Correllate,VLOOKUP(G586,CorMove,2,FALSE),FALSE),Q586-$CD$3,R586,$CJ$5)*H586</f>
        <v>-17886.749890787269</v>
      </c>
      <c r="CK587" s="235">
        <f t="shared" si="705"/>
        <v>-0.15</v>
      </c>
      <c r="CM587" t="str">
        <f t="shared" si="706"/>
        <v>36861Curve Shift/Gamma</v>
      </c>
      <c r="CN587" t="str">
        <f t="shared" si="665"/>
        <v>36861Rho</v>
      </c>
      <c r="CO587" t="str">
        <f t="shared" si="666"/>
        <v>36861Drift</v>
      </c>
      <c r="CP587" t="str">
        <f t="shared" si="667"/>
        <v>36861Vega</v>
      </c>
      <c r="CQ587" t="str">
        <f t="shared" si="668"/>
        <v>36861Theta</v>
      </c>
    </row>
    <row r="588" spans="1:95" x14ac:dyDescent="0.25">
      <c r="A588" s="140" t="s">
        <v>268</v>
      </c>
      <c r="B588" t="s">
        <v>250</v>
      </c>
      <c r="C588" t="s">
        <v>542</v>
      </c>
      <c r="D588" s="4" t="s">
        <v>6</v>
      </c>
      <c r="E588" t="s">
        <v>20</v>
      </c>
      <c r="F588" t="s">
        <v>21</v>
      </c>
      <c r="G588" s="5">
        <v>36923</v>
      </c>
      <c r="H588" s="130">
        <v>-280000</v>
      </c>
      <c r="I588">
        <v>-0.15</v>
      </c>
      <c r="J588" s="53">
        <f t="shared" si="688"/>
        <v>4.4800000000000004</v>
      </c>
      <c r="K588" s="7">
        <f t="shared" si="689"/>
        <v>-0.14499999999999999</v>
      </c>
      <c r="L588" s="53">
        <f t="shared" si="690"/>
        <v>4.3350000000000009</v>
      </c>
      <c r="M588" s="157">
        <f t="shared" si="691"/>
        <v>6.8640161611372E-2</v>
      </c>
      <c r="N588" s="4">
        <f t="shared" si="692"/>
        <v>0.59250000000000003</v>
      </c>
      <c r="O588" s="4">
        <f t="shared" si="693"/>
        <v>0.59299999999999997</v>
      </c>
      <c r="P588" s="9">
        <f t="shared" si="694"/>
        <v>0.995</v>
      </c>
      <c r="Q588" s="5">
        <f t="shared" si="708"/>
        <v>36921</v>
      </c>
      <c r="R588" s="4">
        <f t="shared" si="695"/>
        <v>1</v>
      </c>
      <c r="S588" s="158">
        <f>_xll.xSPRDOPT($L588,$J588,$I588,$M588,$O588,$N588,$P588,$Q588-$C$3,$R588,0)</f>
        <v>7.1898890483950734E-2</v>
      </c>
      <c r="T588" s="159">
        <f>_xll.xSPRDOPT($L588,$J588,$I588,$M588,$O588,$N588,$P588,$Q588-$C$3,$R588,1)*H588</f>
        <v>-140294.33340210823</v>
      </c>
      <c r="U588" s="160">
        <f t="shared" si="696"/>
        <v>-20131.689335506206</v>
      </c>
      <c r="V588" s="159">
        <f>_xll.xSPRDOPT($L588,$J588,$I588,$M588,$O588,$N588,$P588,$Q588-$C$3,$R588,2)*H588</f>
        <v>136343.40532215178</v>
      </c>
      <c r="W588" s="159">
        <f t="shared" si="697"/>
        <v>-3950.928079956444</v>
      </c>
      <c r="X588" s="51" t="str">
        <f t="shared" si="698"/>
        <v>36923IF-PAN/TX/OK</v>
      </c>
      <c r="Y588" s="418">
        <f t="shared" si="699"/>
        <v>-28</v>
      </c>
      <c r="Z588" s="456">
        <f t="shared" si="700"/>
        <v>0.50105119072181514</v>
      </c>
      <c r="AA588" s="456">
        <f>_xll.xSPRDOPT($L588,$J588,$I588,$M588,$O588,$N588,$P588,$Q588-$C$3,$R588,3)</f>
        <v>2.1661787474504046</v>
      </c>
      <c r="AB588" s="456">
        <f>((_xll.xSPRDOPT($L588+AB$5,$J588,$I588,$M588,$O588,$N588,$P588,$Q588-$C$3,$R588,3)*$H588)/10000)/100</f>
        <v>-0.6065300492861132</v>
      </c>
      <c r="AC588" s="456">
        <f>((_xll.xSPRDOPT($L588+$AB$5,$J588,$I588,$M588,$O588,$N588,$P588,$Q588-$C$3,$R588,7)*$H588)/100)</f>
        <v>17454.041594288963</v>
      </c>
      <c r="AD588" s="456">
        <f>(_xll.xSPRDOPT($L588+$AB$5,$J588,$I588,$M588,$O588,$N588,$P588,$Q588-$C$3,$R588,9)/365)*$H588</f>
        <v>59.70207280944016</v>
      </c>
      <c r="AE588">
        <f t="shared" si="707"/>
        <v>0</v>
      </c>
      <c r="AF588" s="456">
        <f t="shared" si="701"/>
        <v>-329.80421887686919</v>
      </c>
      <c r="AG588" s="456">
        <f>((_xll.xSPRDOPT($L588,$J588,$I588,$M588,$O588,$N588,$P588,$Q588-$C$3,$R588,6)*$H588)/100)</f>
        <v>-1118.7121165020478</v>
      </c>
      <c r="AH588" s="456">
        <f>((_xll.xSPRDOPT($L588,$J588,$I588,$M588,$O588,$N588,$P588,$Q588-$C$3,$R588,5)*$H588)/100)</f>
        <v>788.24271390036836</v>
      </c>
      <c r="AI588" s="456">
        <f>(((_xll.xSPRDOPT($L588,$J588,$I588,$M588,$O588,$N588,$P588,$Q588-$C$3,$R588,4)*$H588)/10000)/100)-AB588</f>
        <v>-3.7866813058906601E-4</v>
      </c>
      <c r="AJ588" s="456"/>
      <c r="AK588" s="456"/>
      <c r="CC588" s="141">
        <f t="shared" si="702"/>
        <v>36892</v>
      </c>
      <c r="CD588" s="234">
        <f>_xll.xSPRDOPT((VLOOKUP(G587,NGPrices,2,FALSE)+HLOOKUP(D587,Prices,VLOOKUP(G587,move_down,2,FALSE),FALSE)),VLOOKUP(G587,NGPrices,2,FALSE),I587,VLOOKUP(G587,NGPREVPRICES,4,FALSE),HLOOKUP(D587,PREVVOLS,VLOOKUP(G587,MOVE_DOWN2,2,FALSE),FALSE),VLOOKUP(G587,NGPREVPRICES,3,FALSE),HLOOKUP(D587,Correllate,VLOOKUP(G587,CorMove,2,FALSE),FALSE),Q587-$CD$3,R587,$CD$5)*H587-CJ588</f>
        <v>0</v>
      </c>
      <c r="CE588" s="234">
        <f>_xll.xSPRDOPT((VLOOKUP(G587,NGPREVPRICES,2,FALSE)+HLOOKUP(D587,PREVCURVES,VLOOKUP(G587,MOVE_DOWN2,2,FALSE),FALSE)),VLOOKUP(G587,NGPREVPRICES,2,FALSE),CK588,VLOOKUP(G587,NGPrices,4,FALSE),HLOOKUP(D587,PREVVOLS,VLOOKUP(G587,MOVE_DOWN2,2,FALSE),FALSE),VLOOKUP(G587,NGPREVPRICES,3,FALSE),HLOOKUP(D587,Correllate,VLOOKUP(G587,CorMove,2,FALSE),FALSE),Q587-$CD$3,R587,$CJ$5)*H587-CJ588</f>
        <v>0</v>
      </c>
      <c r="CF588" s="10">
        <f t="shared" si="703"/>
        <v>3.6322297575134144</v>
      </c>
      <c r="CG588" s="234">
        <f>_xll.xSPRDOPT((VLOOKUP(G587,NGPREVPRICES,2,FALSE)+HLOOKUP(D587,PREVCURVES,VLOOKUP(G587,MOVE_DOWN2,2,FALSE),FALSE)),VLOOKUP(G587,NGPREVPRICES,2,FALSE),CK588,VLOOKUP(G587,NGPREVPRICES,4,FALSE),HLOOKUP(D587,VOLS,VLOOKUP(G587,move_down,2,FALSE),FALSE),VLOOKUP(G587,NGPrices,3,FALSE),HLOOKUP(D587,Correllate,VLOOKUP(G587,CorMove,2,FALSE),FALSE),Q587-$CD$3,R587,$CJ$5)*H587-CJ588</f>
        <v>0</v>
      </c>
      <c r="CH588" s="234">
        <f>_xll.xSPRDOPT((VLOOKUP(G587,NGPREVPRICES,2,FALSE)+HLOOKUP(D587,PREVCURVES,VLOOKUP(G587,MOVE_DOWN2,2,FALSE),FALSE)),VLOOKUP(G587,NGPREVPRICES,2,FALSE),CK588,VLOOKUP(G587,NGPREVPRICES,4,FALSE),HLOOKUP(D587,PREVVOLS,VLOOKUP(G587,MOVE_DOWN2,2,FALSE),FALSE),VLOOKUP(G587,NGPREVPRICES,3,FALSE),HLOOKUP(D587,Correllate,VLOOKUP(G587,CorMove,2,FALSE),FALSE),Q587-$C$3,R587,$CJ$5)*H587-CJ588</f>
        <v>81.851680287953059</v>
      </c>
      <c r="CI588" s="234">
        <f t="shared" si="704"/>
        <v>85.483910045466473</v>
      </c>
      <c r="CJ588" s="234">
        <f>_xll.xSPRDOPT((VLOOKUP(G587,NGPREVPRICES,2,FALSE)+HLOOKUP(D587,PREVCURVES,VLOOKUP(G587,MOVE_DOWN2,2,FALSE),FALSE)),VLOOKUP(G587,NGPREVPRICES,2,FALSE),CK588,VLOOKUP(G587,NGPREVPRICES,4,FALSE),HLOOKUP(D587,PREVVOLS,VLOOKUP(G587,MOVE_DOWN2,2,FALSE),FALSE),VLOOKUP(G587,NGPREVPRICES,3,FALSE),HLOOKUP(D587,Correllate,VLOOKUP(G587,CorMove,2,FALSE),FALSE),Q587-$CD$3,R587,$CJ$5)*H587</f>
        <v>-19275.139662017253</v>
      </c>
      <c r="CK588" s="235">
        <f t="shared" si="705"/>
        <v>-0.15</v>
      </c>
      <c r="CM588" t="str">
        <f t="shared" si="706"/>
        <v>36892Curve Shift/Gamma</v>
      </c>
      <c r="CN588" t="str">
        <f t="shared" si="665"/>
        <v>36892Rho</v>
      </c>
      <c r="CO588" t="str">
        <f t="shared" si="666"/>
        <v>36892Drift</v>
      </c>
      <c r="CP588" t="str">
        <f t="shared" si="667"/>
        <v>36892Vega</v>
      </c>
      <c r="CQ588" t="str">
        <f t="shared" si="668"/>
        <v>36892Theta</v>
      </c>
    </row>
    <row r="589" spans="1:95" x14ac:dyDescent="0.25">
      <c r="A589" s="140" t="s">
        <v>268</v>
      </c>
      <c r="B589" t="s">
        <v>250</v>
      </c>
      <c r="C589" t="s">
        <v>542</v>
      </c>
      <c r="D589" s="4" t="s">
        <v>6</v>
      </c>
      <c r="E589" t="s">
        <v>20</v>
      </c>
      <c r="F589" t="s">
        <v>21</v>
      </c>
      <c r="G589" s="5">
        <v>36951</v>
      </c>
      <c r="H589" s="130">
        <v>-310000</v>
      </c>
      <c r="I589">
        <v>-0.15</v>
      </c>
      <c r="J589" s="53">
        <f t="shared" si="688"/>
        <v>4.2130000000000001</v>
      </c>
      <c r="K589" s="7">
        <f t="shared" si="689"/>
        <v>-0.13750000000000001</v>
      </c>
      <c r="L589" s="53">
        <f t="shared" si="690"/>
        <v>4.0754999999999999</v>
      </c>
      <c r="M589" s="157">
        <f t="shared" si="691"/>
        <v>6.8879814952706994E-2</v>
      </c>
      <c r="N589" s="4">
        <f t="shared" si="692"/>
        <v>0.53249999999999997</v>
      </c>
      <c r="O589" s="4">
        <f t="shared" si="693"/>
        <v>0.53300000000000003</v>
      </c>
      <c r="P589" s="9">
        <f t="shared" si="694"/>
        <v>0.995</v>
      </c>
      <c r="Q589" s="5">
        <f t="shared" si="708"/>
        <v>36949</v>
      </c>
      <c r="R589" s="4">
        <f t="shared" si="695"/>
        <v>1</v>
      </c>
      <c r="S589" s="158">
        <f>_xll.xSPRDOPT($L589,$J589,$I589,$M589,$O589,$N589,$P589,$Q589-$C$3,$R589,0)</f>
        <v>7.0059395806128189E-2</v>
      </c>
      <c r="T589" s="159">
        <f>_xll.xSPRDOPT($L589,$J589,$I589,$M589,$O589,$N589,$P589,$Q589-$C$3,$R589,1)*H589</f>
        <v>-160007.16873015588</v>
      </c>
      <c r="U589" s="160">
        <f t="shared" si="696"/>
        <v>-21718.412699899738</v>
      </c>
      <c r="V589" s="159">
        <f>_xll.xSPRDOPT($L589,$J589,$I589,$M589,$O589,$N589,$P589,$Q589-$C$3,$R589,2)*H589</f>
        <v>155789.7577798618</v>
      </c>
      <c r="W589" s="159">
        <f t="shared" si="697"/>
        <v>-4217.4109502940846</v>
      </c>
      <c r="X589" s="51" t="str">
        <f t="shared" si="698"/>
        <v>36951IF-PAN/TX/OK</v>
      </c>
      <c r="Y589" s="418">
        <f t="shared" si="699"/>
        <v>-31</v>
      </c>
      <c r="Z589" s="456">
        <f t="shared" si="700"/>
        <v>0.51615215719405128</v>
      </c>
      <c r="AA589" s="456">
        <f>_xll.xSPRDOPT($L589,$J589,$I589,$M589,$O589,$N589,$P589,$Q589-$C$3,$R589,3)</f>
        <v>2.3240264109608839</v>
      </c>
      <c r="AB589" s="456">
        <f>((_xll.xSPRDOPT($L589+AB$5,$J589,$I589,$M589,$O589,$N589,$P589,$Q589-$C$3,$R589,3)*$H589)/10000)/100</f>
        <v>-0.72044818739787397</v>
      </c>
      <c r="AC589" s="456">
        <f>((_xll.xSPRDOPT($L589+$AB$5,$J589,$I589,$M589,$O589,$N589,$P589,$Q589-$C$3,$R589,7)*$H589)/100)</f>
        <v>17526.581685910092</v>
      </c>
      <c r="AD589" s="456">
        <f>(_xll.xSPRDOPT($L589+$AB$5,$J589,$I589,$M589,$O589,$N589,$P589,$Q589-$C$3,$R589,9)/365)*$H589</f>
        <v>50.446962104993275</v>
      </c>
      <c r="AE589">
        <f t="shared" si="707"/>
        <v>0</v>
      </c>
      <c r="AF589" s="456">
        <f t="shared" si="701"/>
        <v>-372.60025626482775</v>
      </c>
      <c r="AG589" s="456">
        <f>((_xll.xSPRDOPT($L589,$J589,$I589,$M589,$O589,$N589,$P589,$Q589-$C$3,$R589,6)*$H589)/100)</f>
        <v>-1310.5874400317948</v>
      </c>
      <c r="AH589" s="456">
        <f>((_xll.xSPRDOPT($L589,$J589,$I589,$M589,$O589,$N589,$P589,$Q589-$C$3,$R589,5)*$H589)/100)</f>
        <v>937.1072708366039</v>
      </c>
      <c r="AI589" s="456">
        <f>(((_xll.xSPRDOPT($L589,$J589,$I589,$M589,$O589,$N589,$P589,$Q589-$C$3,$R589,4)*$H589)/10000)/100)-AB589</f>
        <v>-2.7517859328006766E-3</v>
      </c>
      <c r="AJ589" s="456"/>
      <c r="AK589" s="456"/>
      <c r="CC589" s="141">
        <f t="shared" si="702"/>
        <v>36923</v>
      </c>
      <c r="CD589" s="234">
        <f>_xll.xSPRDOPT((VLOOKUP(G588,NGPrices,2,FALSE)+HLOOKUP(D588,Prices,VLOOKUP(G588,move_down,2,FALSE),FALSE)),VLOOKUP(G588,NGPrices,2,FALSE),I588,VLOOKUP(G588,NGPREVPRICES,4,FALSE),HLOOKUP(D588,PREVVOLS,VLOOKUP(G588,MOVE_DOWN2,2,FALSE),FALSE),VLOOKUP(G588,NGPREVPRICES,3,FALSE),HLOOKUP(D588,Correllate,VLOOKUP(G588,CorMove,2,FALSE),FALSE),Q588-$CD$3,R588,$CD$5)*H588-CJ589</f>
        <v>0</v>
      </c>
      <c r="CE589" s="234">
        <f>_xll.xSPRDOPT((VLOOKUP(G588,NGPREVPRICES,2,FALSE)+HLOOKUP(D588,PREVCURVES,VLOOKUP(G588,MOVE_DOWN2,2,FALSE),FALSE)),VLOOKUP(G588,NGPREVPRICES,2,FALSE),CK589,VLOOKUP(G588,NGPrices,4,FALSE),HLOOKUP(D588,PREVVOLS,VLOOKUP(G588,MOVE_DOWN2,2,FALSE),FALSE),VLOOKUP(G588,NGPREVPRICES,3,FALSE),HLOOKUP(D588,Correllate,VLOOKUP(G588,CorMove,2,FALSE),FALSE),Q588-$CD$3,R588,$CJ$5)*H588-CJ589</f>
        <v>0</v>
      </c>
      <c r="CF589" s="10">
        <f t="shared" si="703"/>
        <v>3.8401405814838654</v>
      </c>
      <c r="CG589" s="234">
        <f>_xll.xSPRDOPT((VLOOKUP(G588,NGPREVPRICES,2,FALSE)+HLOOKUP(D588,PREVCURVES,VLOOKUP(G588,MOVE_DOWN2,2,FALSE),FALSE)),VLOOKUP(G588,NGPREVPRICES,2,FALSE),CK589,VLOOKUP(G588,NGPREVPRICES,4,FALSE),HLOOKUP(D588,VOLS,VLOOKUP(G588,move_down,2,FALSE),FALSE),VLOOKUP(G588,NGPrices,3,FALSE),HLOOKUP(D588,Correllate,VLOOKUP(G588,CorMove,2,FALSE),FALSE),Q588-$CD$3,R588,$CJ$5)*H588-CJ589</f>
        <v>0</v>
      </c>
      <c r="CH589" s="234">
        <f>_xll.xSPRDOPT((VLOOKUP(G588,NGPREVPRICES,2,FALSE)+HLOOKUP(D588,PREVCURVES,VLOOKUP(G588,MOVE_DOWN2,2,FALSE),FALSE)),VLOOKUP(G588,NGPREVPRICES,2,FALSE),CK589,VLOOKUP(G588,NGPREVPRICES,4,FALSE),HLOOKUP(D588,PREVVOLS,VLOOKUP(G588,MOVE_DOWN2,2,FALSE),FALSE),VLOOKUP(G588,NGPREVPRICES,3,FALSE),HLOOKUP(D588,Correllate,VLOOKUP(G588,CorMove,2,FALSE),FALSE),Q588-$C$3,R588,$CJ$5)*H588-CJ589</f>
        <v>59.548669702282496</v>
      </c>
      <c r="CI589" s="234">
        <f t="shared" si="704"/>
        <v>63.388810283766361</v>
      </c>
      <c r="CJ589" s="234">
        <f>_xll.xSPRDOPT((VLOOKUP(G588,NGPREVPRICES,2,FALSE)+HLOOKUP(D588,PREVCURVES,VLOOKUP(G588,MOVE_DOWN2,2,FALSE),FALSE)),VLOOKUP(G588,NGPREVPRICES,2,FALSE),CK589,VLOOKUP(G588,NGPREVPRICES,4,FALSE),HLOOKUP(D588,PREVVOLS,VLOOKUP(G588,MOVE_DOWN2,2,FALSE),FALSE),VLOOKUP(G588,NGPREVPRICES,3,FALSE),HLOOKUP(D588,Correllate,VLOOKUP(G588,CorMove,2,FALSE),FALSE),Q588-$CD$3,R588,$CJ$5)*H588</f>
        <v>-20191.238005208488</v>
      </c>
      <c r="CK589" s="235">
        <f t="shared" si="705"/>
        <v>-0.15</v>
      </c>
      <c r="CM589" t="str">
        <f t="shared" si="706"/>
        <v>36923Curve Shift/Gamma</v>
      </c>
      <c r="CN589" t="str">
        <f t="shared" si="665"/>
        <v>36923Rho</v>
      </c>
      <c r="CO589" t="str">
        <f t="shared" si="666"/>
        <v>36923Drift</v>
      </c>
      <c r="CP589" t="str">
        <f t="shared" si="667"/>
        <v>36923Vega</v>
      </c>
      <c r="CQ589" t="str">
        <f t="shared" si="668"/>
        <v>36923Theta</v>
      </c>
    </row>
    <row r="590" spans="1:95" x14ac:dyDescent="0.25">
      <c r="A590" s="140" t="s">
        <v>279</v>
      </c>
      <c r="B590" t="s">
        <v>250</v>
      </c>
      <c r="C590" t="s">
        <v>550</v>
      </c>
      <c r="D590" s="4" t="s">
        <v>7</v>
      </c>
      <c r="E590" t="s">
        <v>20</v>
      </c>
      <c r="F590" t="s">
        <v>1</v>
      </c>
      <c r="G590" s="5">
        <v>36831</v>
      </c>
      <c r="H590" s="130">
        <v>500000</v>
      </c>
      <c r="I590" s="235">
        <v>1</v>
      </c>
      <c r="J590" s="53">
        <f t="shared" ref="J590:J609" si="709">VLOOKUP(G590,NGPrices,2,FALSE)</f>
        <v>4.7359999999999998</v>
      </c>
      <c r="K590" s="7">
        <f t="shared" ref="K590:K609" si="710">HLOOKUP(D590,Prices,VLOOKUP(G590,move_down,2,FALSE),FALSE)+VLOOKUP(G590,CHANGE,HLOOKUP(D590,CHANGE,2,FALSE),FALSE)</f>
        <v>0.77</v>
      </c>
      <c r="L590" s="53">
        <f t="shared" ref="L590:L609" si="711">K590+J590</f>
        <v>5.5060000000000002</v>
      </c>
      <c r="M590" s="157">
        <f t="shared" ref="M590:M609" si="712">VLOOKUP(G590,NGPrices,4,FALSE)</f>
        <v>6.810675983792E-2</v>
      </c>
      <c r="N590" s="4">
        <f t="shared" ref="N590:N609" si="713">VLOOKUP(G590,NGPrices,3,FALSE)</f>
        <v>0.59499999999999997</v>
      </c>
      <c r="O590" s="4">
        <f t="shared" ref="O590:O609" si="714">HLOOKUP(D590,VOLS,VLOOKUP(G590,move_down,2,FALSE),FALSE)</f>
        <v>0.625</v>
      </c>
      <c r="P590" s="9">
        <f t="shared" ref="P590:P609" si="715">HLOOKUP(D590,Correllate,VLOOKUP(G590,CorMove,2,FALSE),FALSE)</f>
        <v>0.89</v>
      </c>
      <c r="Q590" s="5">
        <f t="shared" si="708"/>
        <v>36829</v>
      </c>
      <c r="R590" s="4">
        <f t="shared" ref="R590:R609" si="716">IF(F590="P",0,1)</f>
        <v>0</v>
      </c>
      <c r="S590" s="158">
        <f>_xll.xSPRDOPT($L590,$J590,$I590,$M590,$O590,$N590,$P590,$Q590-$C$3,$R590,0)</f>
        <v>0.3957980804427369</v>
      </c>
      <c r="T590" s="159">
        <f>_xll.xSPRDOPT($L590,$J590,$I590,$M590,$O590,$N590,$P590,$Q590-$C$3,$R590,1)*H590</f>
        <v>-301184.60681549355</v>
      </c>
      <c r="U590" s="160">
        <f t="shared" ref="U590:U609" si="717">S590*H590</f>
        <v>197899.04022136846</v>
      </c>
      <c r="V590" s="159">
        <f>_xll.xSPRDOPT($L590,$J590,$I590,$M590,$O590,$N590,$P590,$Q590-$C$3,$R590,2)*H590</f>
        <v>321909.88785738655</v>
      </c>
      <c r="W590" s="159">
        <f t="shared" ref="W590:W609" si="718">+V590+T590</f>
        <v>20725.281041893002</v>
      </c>
      <c r="X590" s="51" t="str">
        <f t="shared" ref="X590:X609" si="719">CONCATENATE(G590,D590)</f>
        <v>36831IF-TRANSCO/Z6</v>
      </c>
      <c r="Y590" s="418">
        <f t="shared" ref="Y590:Y609" si="720">H590/10000</f>
        <v>50</v>
      </c>
      <c r="Z590" s="456">
        <f t="shared" ref="Z590:Z609" si="721">T590/H590</f>
        <v>-0.60236921363098705</v>
      </c>
      <c r="AA590" s="456">
        <f>_xll.xSPRDOPT($L590,$J590,$I590,$M590,$O590,$N590,$P590,$Q590-$C$3,$R590,3)</f>
        <v>0.57258794695311976</v>
      </c>
      <c r="AB590" s="456">
        <f>((_xll.xSPRDOPT($L590+AB$5,$J590,$I590,$M590,$O590,$N590,$P590,$Q590-$C$3,$R590,3)*$H590)/10000)/100</f>
        <v>0.28629397347655983</v>
      </c>
      <c r="AC590" s="456">
        <f>((_xll.xSPRDOPT($L590+$AB$5,$J590,$I590,$M590,$O590,$N590,$P590,$Q590-$C$3,$R590,7)*$H590)/100)</f>
        <v>-4543.9063832175589</v>
      </c>
      <c r="AD590" s="456">
        <f>(_xll.xSPRDOPT($L590+$AB$5,$J590,$I590,$M590,$O590,$N590,$P590,$Q590-$C$3,$R590,9)/365)*$H590</f>
        <v>-980.1453701622687</v>
      </c>
      <c r="AE590">
        <f t="shared" si="707"/>
        <v>0</v>
      </c>
      <c r="AF590" s="456">
        <f t="shared" ref="AF590:AF609" si="722">((O590/N590)*AH590)+AG590</f>
        <v>2118.1616693694514</v>
      </c>
      <c r="AG590" s="456">
        <f>((_xll.xSPRDOPT($L590,$J590,$I590,$M590,$O590,$N590,$P590,$Q590-$C$3,$R590,6)*$H590)/100)</f>
        <v>-757.35086150108123</v>
      </c>
      <c r="AH590" s="456">
        <f>((_xll.xSPRDOPT($L590,$J590,$I590,$M590,$O590,$N590,$P590,$Q590-$C$3,$R590,5)*$H590)/100)</f>
        <v>2737.487929388747</v>
      </c>
      <c r="AI590" s="456">
        <f>(((_xll.xSPRDOPT($L590,$J590,$I590,$M590,$O590,$N590,$P590,$Q590-$C$3,$R590,4)*$H590)/10000)/100)-AB590</f>
        <v>-1.9696460585435782E-2</v>
      </c>
      <c r="AJ590" s="456"/>
      <c r="AK590" s="456"/>
      <c r="CC590" s="141">
        <f t="shared" si="702"/>
        <v>36951</v>
      </c>
      <c r="CD590" s="234">
        <f>_xll.xSPRDOPT((VLOOKUP(G589,NGPrices,2,FALSE)+HLOOKUP(D589,Prices,VLOOKUP(G589,move_down,2,FALSE),FALSE)),VLOOKUP(G589,NGPrices,2,FALSE),I589,VLOOKUP(G589,NGPREVPRICES,4,FALSE),HLOOKUP(D589,PREVVOLS,VLOOKUP(G589,MOVE_DOWN2,2,FALSE),FALSE),VLOOKUP(G589,NGPREVPRICES,3,FALSE),HLOOKUP(D589,Correllate,VLOOKUP(G589,CorMove,2,FALSE),FALSE),Q589-$CD$3,R589,$CD$5)*H589-CJ590</f>
        <v>0</v>
      </c>
      <c r="CE590" s="234">
        <f>_xll.xSPRDOPT((VLOOKUP(G589,NGPREVPRICES,2,FALSE)+HLOOKUP(D589,PREVCURVES,VLOOKUP(G589,MOVE_DOWN2,2,FALSE),FALSE)),VLOOKUP(G589,NGPREVPRICES,2,FALSE),CK590,VLOOKUP(G589,NGPrices,4,FALSE),HLOOKUP(D589,PREVVOLS,VLOOKUP(G589,MOVE_DOWN2,2,FALSE),FALSE),VLOOKUP(G589,NGPREVPRICES,3,FALSE),HLOOKUP(D589,Correllate,VLOOKUP(G589,CorMove,2,FALSE),FALSE),Q589-$CD$3,R589,$CJ$5)*H589-CJ590</f>
        <v>0</v>
      </c>
      <c r="CF590" s="10">
        <f t="shared" si="703"/>
        <v>4.1749194348230958</v>
      </c>
      <c r="CG590" s="234">
        <f>_xll.xSPRDOPT((VLOOKUP(G589,NGPREVPRICES,2,FALSE)+HLOOKUP(D589,PREVCURVES,VLOOKUP(G589,MOVE_DOWN2,2,FALSE),FALSE)),VLOOKUP(G589,NGPREVPRICES,2,FALSE),CK590,VLOOKUP(G589,NGPREVPRICES,4,FALSE),HLOOKUP(D589,VOLS,VLOOKUP(G589,move_down,2,FALSE),FALSE),VLOOKUP(G589,NGPrices,3,FALSE),HLOOKUP(D589,Correllate,VLOOKUP(G589,CorMove,2,FALSE),FALSE),Q589-$CD$3,R589,$CJ$5)*H589-CJ590</f>
        <v>0</v>
      </c>
      <c r="CH590" s="234">
        <f>_xll.xSPRDOPT((VLOOKUP(G589,NGPREVPRICES,2,FALSE)+HLOOKUP(D589,PREVCURVES,VLOOKUP(G589,MOVE_DOWN2,2,FALSE),FALSE)),VLOOKUP(G589,NGPREVPRICES,2,FALSE),CK590,VLOOKUP(G589,NGPREVPRICES,4,FALSE),HLOOKUP(D589,PREVVOLS,VLOOKUP(G589,MOVE_DOWN2,2,FALSE),FALSE),VLOOKUP(G589,NGPREVPRICES,3,FALSE),HLOOKUP(D589,Correllate,VLOOKUP(G589,CorMove,2,FALSE),FALSE),Q589-$C$3,R589,$CJ$5)*H589-CJ590</f>
        <v>50.329478594376269</v>
      </c>
      <c r="CI590" s="234">
        <f t="shared" si="704"/>
        <v>54.504398029199365</v>
      </c>
      <c r="CJ590" s="234">
        <f>_xll.xSPRDOPT((VLOOKUP(G589,NGPREVPRICES,2,FALSE)+HLOOKUP(D589,PREVCURVES,VLOOKUP(G589,MOVE_DOWN2,2,FALSE),FALSE)),VLOOKUP(G589,NGPREVPRICES,2,FALSE),CK590,VLOOKUP(G589,NGPREVPRICES,4,FALSE),HLOOKUP(D589,PREVVOLS,VLOOKUP(G589,MOVE_DOWN2,2,FALSE),FALSE),VLOOKUP(G589,NGPREVPRICES,3,FALSE),HLOOKUP(D589,Correllate,VLOOKUP(G589,CorMove,2,FALSE),FALSE),Q589-$CD$3,R589,$CJ$5)*H589</f>
        <v>-21768.742178494114</v>
      </c>
      <c r="CK590" s="235">
        <f t="shared" si="705"/>
        <v>-0.15</v>
      </c>
      <c r="CM590" t="str">
        <f t="shared" si="706"/>
        <v>36951Curve Shift/Gamma</v>
      </c>
      <c r="CN590" t="str">
        <f t="shared" si="665"/>
        <v>36951Rho</v>
      </c>
      <c r="CO590" t="str">
        <f t="shared" si="666"/>
        <v>36951Drift</v>
      </c>
      <c r="CP590" t="str">
        <f t="shared" si="667"/>
        <v>36951Vega</v>
      </c>
      <c r="CQ590" t="str">
        <f t="shared" si="668"/>
        <v>36951Theta</v>
      </c>
    </row>
    <row r="591" spans="1:95" x14ac:dyDescent="0.25">
      <c r="A591" s="140" t="s">
        <v>279</v>
      </c>
      <c r="B591" t="s">
        <v>250</v>
      </c>
      <c r="C591" t="s">
        <v>550</v>
      </c>
      <c r="D591" s="4" t="s">
        <v>7</v>
      </c>
      <c r="E591" t="s">
        <v>20</v>
      </c>
      <c r="F591" t="s">
        <v>1</v>
      </c>
      <c r="G591" s="5">
        <v>36861</v>
      </c>
      <c r="H591" s="130">
        <v>500000</v>
      </c>
      <c r="I591" s="235">
        <v>1</v>
      </c>
      <c r="J591" s="53">
        <f t="shared" si="709"/>
        <v>4.8</v>
      </c>
      <c r="K591" s="7">
        <f t="shared" si="710"/>
        <v>1.645</v>
      </c>
      <c r="L591" s="53">
        <f t="shared" si="711"/>
        <v>6.4450000000000003</v>
      </c>
      <c r="M591" s="157">
        <f t="shared" si="712"/>
        <v>6.8314027999354002E-2</v>
      </c>
      <c r="N591" s="4">
        <f t="shared" si="713"/>
        <v>0.6</v>
      </c>
      <c r="O591" s="4">
        <f t="shared" si="714"/>
        <v>0.69</v>
      </c>
      <c r="P591" s="9">
        <f t="shared" si="715"/>
        <v>0.83</v>
      </c>
      <c r="Q591" s="5">
        <f t="shared" si="708"/>
        <v>36859</v>
      </c>
      <c r="R591" s="4">
        <f t="shared" si="716"/>
        <v>0</v>
      </c>
      <c r="S591" s="158">
        <f>_xll.xSPRDOPT($L591,$J591,$I591,$M591,$O591,$N591,$P591,$Q591-$C$3,$R591,0)</f>
        <v>0.22142065817122381</v>
      </c>
      <c r="T591" s="159">
        <f>_xll.xSPRDOPT($L591,$J591,$I591,$M591,$O591,$N591,$P591,$Q591-$C$3,$R591,1)*H591</f>
        <v>-129158.50750831787</v>
      </c>
      <c r="U591" s="160">
        <f t="shared" si="717"/>
        <v>110710.3290856119</v>
      </c>
      <c r="V591" s="159">
        <f>_xll.xSPRDOPT($L591,$J591,$I591,$M591,$O591,$N591,$P591,$Q591-$C$3,$R591,2)*H591</f>
        <v>160702.21371586531</v>
      </c>
      <c r="W591" s="159">
        <f t="shared" si="718"/>
        <v>31543.706207547439</v>
      </c>
      <c r="X591" s="51" t="str">
        <f t="shared" si="719"/>
        <v>36861IF-TRANSCO/Z6</v>
      </c>
      <c r="Y591" s="418">
        <f t="shared" si="720"/>
        <v>50</v>
      </c>
      <c r="Z591" s="456">
        <f t="shared" si="721"/>
        <v>-0.25831701501663573</v>
      </c>
      <c r="AA591" s="456">
        <f>_xll.xSPRDOPT($L591,$J591,$I591,$M591,$O591,$N591,$P591,$Q591-$C$3,$R591,3)</f>
        <v>0.25213504608654697</v>
      </c>
      <c r="AB591" s="456">
        <f>((_xll.xSPRDOPT($L591+AB$5,$J591,$I591,$M591,$O591,$N591,$P591,$Q591-$C$3,$R591,3)*$H591)/10000)/100</f>
        <v>0.12606752304327348</v>
      </c>
      <c r="AC591" s="456">
        <f>((_xll.xSPRDOPT($L591+$AB$5,$J591,$I591,$M591,$O591,$N591,$P591,$Q591-$C$3,$R591,7)*$H591)/100)</f>
        <v>-4502.2645054044933</v>
      </c>
      <c r="AD591" s="456">
        <f>(_xll.xSPRDOPT($L591+$AB$5,$J591,$I591,$M591,$O591,$N591,$P591,$Q591-$C$3,$R591,9)/365)*$H591</f>
        <v>-1090.2304946737679</v>
      </c>
      <c r="AE591">
        <f t="shared" si="707"/>
        <v>0</v>
      </c>
      <c r="AF591" s="456">
        <f t="shared" si="722"/>
        <v>3404.5851906869857</v>
      </c>
      <c r="AG591" s="456">
        <f>((_xll.xSPRDOPT($L591,$J591,$I591,$M591,$O591,$N591,$P591,$Q591-$C$3,$R591,6)*$H591)/100)</f>
        <v>-833.61814977738027</v>
      </c>
      <c r="AH591" s="456">
        <f>((_xll.xSPRDOPT($L591,$J591,$I591,$M591,$O591,$N591,$P591,$Q591-$C$3,$R591,5)*$H591)/100)</f>
        <v>3685.3942090994492</v>
      </c>
      <c r="AI591" s="456">
        <f>(((_xll.xSPRDOPT($L591,$J591,$I591,$M591,$O591,$N591,$P591,$Q591-$C$3,$R591,4)*$H591)/10000)/100)-AB591</f>
        <v>2.8855433397751346E-2</v>
      </c>
      <c r="AJ591" s="456"/>
      <c r="AK591" s="456"/>
      <c r="CC591" s="141">
        <f t="shared" ref="CC591:CC610" si="723">G590</f>
        <v>36831</v>
      </c>
      <c r="CD591" s="234">
        <f>_xll.xSPRDOPT((VLOOKUP(G590,NGPrices,2,FALSE)+HLOOKUP(D590,Prices,VLOOKUP(G590,move_down,2,FALSE),FALSE)),VLOOKUP(G590,NGPrices,2,FALSE),I590,VLOOKUP(G590,NGPREVPRICES,4,FALSE),HLOOKUP(D590,PREVVOLS,VLOOKUP(G590,MOVE_DOWN2,2,FALSE),FALSE),VLOOKUP(G590,NGPREVPRICES,3,FALSE),HLOOKUP(D590,Correllate,VLOOKUP(G590,CorMove,2,FALSE),FALSE),Q590-$CD$3,R590,$CD$5)*H590-CJ591</f>
        <v>0</v>
      </c>
      <c r="CE591" s="234">
        <f>_xll.xSPRDOPT((VLOOKUP(G590,NGPREVPRICES,2,FALSE)+HLOOKUP(D590,PREVCURVES,VLOOKUP(G590,MOVE_DOWN2,2,FALSE),FALSE)),VLOOKUP(G590,NGPREVPRICES,2,FALSE),CK591,VLOOKUP(G590,NGPrices,4,FALSE),HLOOKUP(D590,PREVVOLS,VLOOKUP(G590,MOVE_DOWN2,2,FALSE),FALSE),VLOOKUP(G590,NGPREVPRICES,3,FALSE),HLOOKUP(D590,Correllate,VLOOKUP(G590,CorMove,2,FALSE),FALSE),Q590-$CD$3,R590,$CJ$5)*H590-CJ591</f>
        <v>0</v>
      </c>
      <c r="CF591" s="10">
        <f t="shared" ref="CF591:CF610" si="724">(CJ591/VLOOKUP(CC591,discount,3,FALSE))-(CJ591/VLOOKUP(CC591,discount,2,FALSE))</f>
        <v>-36.933156120911008</v>
      </c>
      <c r="CG591" s="234">
        <f>_xll.xSPRDOPT((VLOOKUP(G590,NGPREVPRICES,2,FALSE)+HLOOKUP(D590,PREVCURVES,VLOOKUP(G590,MOVE_DOWN2,2,FALSE),FALSE)),VLOOKUP(G590,NGPREVPRICES,2,FALSE),CK591,VLOOKUP(G590,NGPREVPRICES,4,FALSE),HLOOKUP(D590,VOLS,VLOOKUP(G590,move_down,2,FALSE),FALSE),VLOOKUP(G590,NGPrices,3,FALSE),HLOOKUP(D590,Correllate,VLOOKUP(G590,CorMove,2,FALSE),FALSE),Q590-$CD$3,R590,$CJ$5)*H590-CJ591</f>
        <v>0</v>
      </c>
      <c r="CH591" s="234">
        <f>_xll.xSPRDOPT((VLOOKUP(G590,NGPREVPRICES,2,FALSE)+HLOOKUP(D590,PREVCURVES,VLOOKUP(G590,MOVE_DOWN2,2,FALSE),FALSE)),VLOOKUP(G590,NGPREVPRICES,2,FALSE),CK591,VLOOKUP(G590,NGPREVPRICES,4,FALSE),HLOOKUP(D590,PREVVOLS,VLOOKUP(G590,MOVE_DOWN2,2,FALSE),FALSE),VLOOKUP(G590,NGPREVPRICES,3,FALSE),HLOOKUP(D590,Correllate,VLOOKUP(G590,CorMove,2,FALSE),FALSE),Q590-$C$3,R590,$CJ$5)*H590-CJ591</f>
        <v>-975.69853690781747</v>
      </c>
      <c r="CI591" s="234">
        <f t="shared" ref="CI591:CI610" si="725">SUM(CD591:CH591)</f>
        <v>-1012.6316930287285</v>
      </c>
      <c r="CJ591" s="234">
        <f>_xll.xSPRDOPT((VLOOKUP(G590,NGPREVPRICES,2,FALSE)+HLOOKUP(D590,PREVCURVES,VLOOKUP(G590,MOVE_DOWN2,2,FALSE),FALSE)),VLOOKUP(G590,NGPREVPRICES,2,FALSE),CK591,VLOOKUP(G590,NGPREVPRICES,4,FALSE),HLOOKUP(D590,PREVVOLS,VLOOKUP(G590,MOVE_DOWN2,2,FALSE),FALSE),VLOOKUP(G590,NGPREVPRICES,3,FALSE),HLOOKUP(D590,Correllate,VLOOKUP(G590,CorMove,2,FALSE),FALSE),Q590-$CD$3,R590,$CJ$5)*H590</f>
        <v>198874.73875827627</v>
      </c>
      <c r="CK591" s="235">
        <f t="shared" ref="CK591:CK610" si="726">I590</f>
        <v>1</v>
      </c>
      <c r="CM591" t="str">
        <f t="shared" ref="CM591:CM610" si="727">CONCATENATE(CC591,$CD$6)</f>
        <v>36831Curve Shift/Gamma</v>
      </c>
      <c r="CN591" t="str">
        <f t="shared" si="665"/>
        <v>36831Rho</v>
      </c>
      <c r="CO591" t="str">
        <f t="shared" si="666"/>
        <v>36831Drift</v>
      </c>
      <c r="CP591" t="str">
        <f t="shared" si="667"/>
        <v>36831Vega</v>
      </c>
      <c r="CQ591" t="str">
        <f t="shared" si="668"/>
        <v>36831Theta</v>
      </c>
    </row>
    <row r="592" spans="1:95" x14ac:dyDescent="0.25">
      <c r="A592" s="140" t="s">
        <v>279</v>
      </c>
      <c r="B592" t="s">
        <v>250</v>
      </c>
      <c r="C592" t="s">
        <v>550</v>
      </c>
      <c r="D592" s="4" t="s">
        <v>7</v>
      </c>
      <c r="E592" t="s">
        <v>20</v>
      </c>
      <c r="F592" t="s">
        <v>1</v>
      </c>
      <c r="G592" s="5">
        <v>36892</v>
      </c>
      <c r="H592" s="130">
        <v>500000</v>
      </c>
      <c r="I592" s="235">
        <v>1</v>
      </c>
      <c r="J592" s="53">
        <f t="shared" si="709"/>
        <v>4.7439999999999998</v>
      </c>
      <c r="K592" s="7">
        <f t="shared" si="710"/>
        <v>2.17</v>
      </c>
      <c r="L592" s="53">
        <f t="shared" si="711"/>
        <v>6.9139999999999997</v>
      </c>
      <c r="M592" s="157">
        <f t="shared" si="712"/>
        <v>6.8374831148490994E-2</v>
      </c>
      <c r="N592" s="4">
        <f t="shared" si="713"/>
        <v>0.60499999999999998</v>
      </c>
      <c r="O592" s="4">
        <f t="shared" si="714"/>
        <v>0.69599999999999995</v>
      </c>
      <c r="P592" s="9">
        <f t="shared" si="715"/>
        <v>0.83</v>
      </c>
      <c r="Q592" s="5">
        <f t="shared" si="708"/>
        <v>36888</v>
      </c>
      <c r="R592" s="4">
        <f t="shared" si="716"/>
        <v>0</v>
      </c>
      <c r="S592" s="158">
        <f>_xll.xSPRDOPT($L592,$J592,$I592,$M592,$O592,$N592,$P592,$Q592-$C$3,$R592,0)</f>
        <v>0.16519131421907918</v>
      </c>
      <c r="T592" s="159">
        <f>_xll.xSPRDOPT($L592,$J592,$I592,$M592,$O592,$N592,$P592,$Q592-$C$3,$R592,1)*H592</f>
        <v>-86434.578148137982</v>
      </c>
      <c r="U592" s="160">
        <f t="shared" si="717"/>
        <v>82595.657109539592</v>
      </c>
      <c r="V592" s="159">
        <f>_xll.xSPRDOPT($L592,$J592,$I592,$M592,$O592,$N592,$P592,$Q592-$C$3,$R592,2)*H592</f>
        <v>116402.43893812291</v>
      </c>
      <c r="W592" s="159">
        <f t="shared" si="718"/>
        <v>29967.86078998493</v>
      </c>
      <c r="X592" s="51" t="str">
        <f t="shared" si="719"/>
        <v>36892IF-TRANSCO/Z6</v>
      </c>
      <c r="Y592" s="418">
        <f t="shared" si="720"/>
        <v>50</v>
      </c>
      <c r="Z592" s="456">
        <f t="shared" si="721"/>
        <v>-0.17286915629627597</v>
      </c>
      <c r="AA592" s="456">
        <f>_xll.xSPRDOPT($L592,$J592,$I592,$M592,$O592,$N592,$P592,$Q592-$C$3,$R592,3)</f>
        <v>0.16042560280303431</v>
      </c>
      <c r="AB592" s="456">
        <f>((_xll.xSPRDOPT($L592+AB$5,$J592,$I592,$M592,$O592,$N592,$P592,$Q592-$C$3,$R592,3)*$H592)/10000)/100</f>
        <v>8.0212801401517153E-2</v>
      </c>
      <c r="AC592" s="456">
        <f>((_xll.xSPRDOPT($L592+$AB$5,$J592,$I592,$M592,$O592,$N592,$P592,$Q592-$C$3,$R592,7)*$H592)/100)</f>
        <v>-4383.0394205751882</v>
      </c>
      <c r="AD592" s="456">
        <f>(_xll.xSPRDOPT($L592+$AB$5,$J592,$I592,$M592,$O592,$N592,$P592,$Q592-$C$3,$R592,9)/365)*$H592</f>
        <v>-816.45615237166055</v>
      </c>
      <c r="AE592">
        <f t="shared" si="707"/>
        <v>0</v>
      </c>
      <c r="AF592" s="456">
        <f t="shared" si="722"/>
        <v>3325.436926601632</v>
      </c>
      <c r="AG592" s="456">
        <f>((_xll.xSPRDOPT($L592,$J592,$I592,$M592,$O592,$N592,$P592,$Q592-$C$3,$R592,6)*$H592)/100)</f>
        <v>-832.41721830869949</v>
      </c>
      <c r="AH592" s="456">
        <f>((_xll.xSPRDOPT($L592,$J592,$I592,$M592,$O592,$N592,$P592,$Q592-$C$3,$R592,5)*$H592)/100)</f>
        <v>3614.2266633200443</v>
      </c>
      <c r="AI592" s="456">
        <f>(((_xll.xSPRDOPT($L592,$J592,$I592,$M592,$O592,$N592,$P592,$Q592-$C$3,$R592,4)*$H592)/10000)/100)-AB592</f>
        <v>3.4641424511214103E-2</v>
      </c>
      <c r="AJ592" s="456"/>
      <c r="AK592" s="456"/>
      <c r="CC592" s="141">
        <f t="shared" si="723"/>
        <v>36861</v>
      </c>
      <c r="CD592" s="234">
        <f>_xll.xSPRDOPT((VLOOKUP(G591,NGPrices,2,FALSE)+HLOOKUP(D591,Prices,VLOOKUP(G591,move_down,2,FALSE),FALSE)),VLOOKUP(G591,NGPrices,2,FALSE),I591,VLOOKUP(G591,NGPREVPRICES,4,FALSE),HLOOKUP(D591,PREVVOLS,VLOOKUP(G591,MOVE_DOWN2,2,FALSE),FALSE),VLOOKUP(G591,NGPREVPRICES,3,FALSE),HLOOKUP(D591,Correllate,VLOOKUP(G591,CorMove,2,FALSE),FALSE),Q591-$CD$3,R591,$CD$5)*H591-CJ592</f>
        <v>0</v>
      </c>
      <c r="CE592" s="234">
        <f>_xll.xSPRDOPT((VLOOKUP(G591,NGPREVPRICES,2,FALSE)+HLOOKUP(D591,PREVCURVES,VLOOKUP(G591,MOVE_DOWN2,2,FALSE),FALSE)),VLOOKUP(G591,NGPREVPRICES,2,FALSE),CK592,VLOOKUP(G591,NGPrices,4,FALSE),HLOOKUP(D591,PREVVOLS,VLOOKUP(G591,MOVE_DOWN2,2,FALSE),FALSE),VLOOKUP(G591,NGPREVPRICES,3,FALSE),HLOOKUP(D591,Correllate,VLOOKUP(G591,CorMove,2,FALSE),FALSE),Q591-$CD$3,R591,$CJ$5)*H591-CJ592</f>
        <v>0</v>
      </c>
      <c r="CF592" s="10">
        <f t="shared" si="724"/>
        <v>-20.943903168896213</v>
      </c>
      <c r="CG592" s="234">
        <f>_xll.xSPRDOPT((VLOOKUP(G591,NGPREVPRICES,2,FALSE)+HLOOKUP(D591,PREVCURVES,VLOOKUP(G591,MOVE_DOWN2,2,FALSE),FALSE)),VLOOKUP(G591,NGPREVPRICES,2,FALSE),CK592,VLOOKUP(G591,NGPREVPRICES,4,FALSE),HLOOKUP(D591,VOLS,VLOOKUP(G591,move_down,2,FALSE),FALSE),VLOOKUP(G591,NGPrices,3,FALSE),HLOOKUP(D591,Correllate,VLOOKUP(G591,CorMove,2,FALSE),FALSE),Q591-$CD$3,R591,$CJ$5)*H591-CJ592</f>
        <v>0</v>
      </c>
      <c r="CH592" s="234">
        <f>_xll.xSPRDOPT((VLOOKUP(G591,NGPREVPRICES,2,FALSE)+HLOOKUP(D591,PREVCURVES,VLOOKUP(G591,MOVE_DOWN2,2,FALSE),FALSE)),VLOOKUP(G591,NGPREVPRICES,2,FALSE),CK592,VLOOKUP(G591,NGPREVPRICES,4,FALSE),HLOOKUP(D591,PREVVOLS,VLOOKUP(G591,MOVE_DOWN2,2,FALSE),FALSE),VLOOKUP(G591,NGPREVPRICES,3,FALSE),HLOOKUP(D591,Correllate,VLOOKUP(G591,CorMove,2,FALSE),FALSE),Q591-$C$3,R591,$CJ$5)*H591-CJ592</f>
        <v>-1087.119474172403</v>
      </c>
      <c r="CI592" s="234">
        <f t="shared" si="725"/>
        <v>-1108.0633773412992</v>
      </c>
      <c r="CJ592" s="234">
        <f>_xll.xSPRDOPT((VLOOKUP(G591,NGPREVPRICES,2,FALSE)+HLOOKUP(D591,PREVCURVES,VLOOKUP(G591,MOVE_DOWN2,2,FALSE),FALSE)),VLOOKUP(G591,NGPREVPRICES,2,FALSE),CK592,VLOOKUP(G591,NGPREVPRICES,4,FALSE),HLOOKUP(D591,PREVVOLS,VLOOKUP(G591,MOVE_DOWN2,2,FALSE),FALSE),VLOOKUP(G591,NGPREVPRICES,3,FALSE),HLOOKUP(D591,Correllate,VLOOKUP(G591,CorMove,2,FALSE),FALSE),Q591-$CD$3,R591,$CJ$5)*H591</f>
        <v>111797.4485597843</v>
      </c>
      <c r="CK592" s="235">
        <f t="shared" si="726"/>
        <v>1</v>
      </c>
      <c r="CM592" t="str">
        <f t="shared" si="727"/>
        <v>36861Curve Shift/Gamma</v>
      </c>
      <c r="CN592" t="str">
        <f t="shared" si="665"/>
        <v>36861Rho</v>
      </c>
      <c r="CO592" t="str">
        <f t="shared" si="666"/>
        <v>36861Drift</v>
      </c>
      <c r="CP592" t="str">
        <f t="shared" si="667"/>
        <v>36861Vega</v>
      </c>
      <c r="CQ592" t="str">
        <f t="shared" si="668"/>
        <v>36861Theta</v>
      </c>
    </row>
    <row r="593" spans="1:95" x14ac:dyDescent="0.25">
      <c r="A593" s="140" t="s">
        <v>279</v>
      </c>
      <c r="B593" t="s">
        <v>250</v>
      </c>
      <c r="C593" t="s">
        <v>550</v>
      </c>
      <c r="D593" s="4" t="s">
        <v>7</v>
      </c>
      <c r="E593" t="s">
        <v>20</v>
      </c>
      <c r="F593" t="s">
        <v>1</v>
      </c>
      <c r="G593" s="5">
        <v>36923</v>
      </c>
      <c r="H593" s="130">
        <v>500000</v>
      </c>
      <c r="I593" s="235">
        <v>1</v>
      </c>
      <c r="J593" s="53">
        <f t="shared" si="709"/>
        <v>4.4800000000000004</v>
      </c>
      <c r="K593" s="7">
        <f t="shared" si="710"/>
        <v>2.09</v>
      </c>
      <c r="L593" s="53">
        <f t="shared" si="711"/>
        <v>6.57</v>
      </c>
      <c r="M593" s="157">
        <f t="shared" si="712"/>
        <v>6.8640161611372E-2</v>
      </c>
      <c r="N593" s="4">
        <f t="shared" si="713"/>
        <v>0.59250000000000003</v>
      </c>
      <c r="O593" s="4">
        <f t="shared" si="714"/>
        <v>0.68100000000000005</v>
      </c>
      <c r="P593" s="9">
        <f t="shared" si="715"/>
        <v>0.83</v>
      </c>
      <c r="Q593" s="5">
        <f t="shared" si="708"/>
        <v>36921</v>
      </c>
      <c r="R593" s="4">
        <f t="shared" si="716"/>
        <v>0</v>
      </c>
      <c r="S593" s="158">
        <f>_xll.xSPRDOPT($L593,$J593,$I593,$M593,$O593,$N593,$P593,$Q593-$C$3,$R593,0)</f>
        <v>0.20364653958489365</v>
      </c>
      <c r="T593" s="159">
        <f>_xll.xSPRDOPT($L593,$J593,$I593,$M593,$O593,$N593,$P593,$Q593-$C$3,$R593,1)*H593</f>
        <v>-96540.221121201976</v>
      </c>
      <c r="U593" s="160">
        <f t="shared" si="717"/>
        <v>101823.26979244682</v>
      </c>
      <c r="V593" s="159">
        <f>_xll.xSPRDOPT($L593,$J593,$I593,$M593,$O593,$N593,$P593,$Q593-$C$3,$R593,2)*H593</f>
        <v>131695.85817183738</v>
      </c>
      <c r="W593" s="159">
        <f t="shared" si="718"/>
        <v>35155.6370506354</v>
      </c>
      <c r="X593" s="51" t="str">
        <f t="shared" si="719"/>
        <v>36923IF-TRANSCO/Z6</v>
      </c>
      <c r="Y593" s="418">
        <f t="shared" si="720"/>
        <v>50</v>
      </c>
      <c r="Z593" s="456">
        <f t="shared" si="721"/>
        <v>-0.19308044224240395</v>
      </c>
      <c r="AA593" s="456">
        <f>_xll.xSPRDOPT($L593,$J593,$I593,$M593,$O593,$N593,$P593,$Q593-$C$3,$R593,3)</f>
        <v>0.16290639166973006</v>
      </c>
      <c r="AB593" s="456">
        <f>((_xll.xSPRDOPT($L593+AB$5,$J593,$I593,$M593,$O593,$N593,$P593,$Q593-$C$3,$R593,3)*$H593)/10000)/100</f>
        <v>8.1453195834865044E-2</v>
      </c>
      <c r="AC593" s="456">
        <f>((_xll.xSPRDOPT($L593+$AB$5,$J593,$I593,$M593,$O593,$N593,$P593,$Q593-$C$3,$R593,7)*$H593)/100)</f>
        <v>-4852.4806207674628</v>
      </c>
      <c r="AD593" s="456">
        <f>(_xll.xSPRDOPT($L593+$AB$5,$J593,$I593,$M593,$O593,$N593,$P593,$Q593-$C$3,$R593,9)/365)*$H593</f>
        <v>-715.94617198338983</v>
      </c>
      <c r="AE593">
        <f t="shared" si="707"/>
        <v>0</v>
      </c>
      <c r="AF593" s="456">
        <f t="shared" si="722"/>
        <v>3818.6355943287022</v>
      </c>
      <c r="AG593" s="456">
        <f>((_xll.xSPRDOPT($L593,$J593,$I593,$M593,$O593,$N593,$P593,$Q593-$C$3,$R593,6)*$H593)/100)</f>
        <v>-986.96132790315858</v>
      </c>
      <c r="AH593" s="456">
        <f>((_xll.xSPRDOPT($L593,$J593,$I593,$M593,$O593,$N593,$P593,$Q593-$C$3,$R593,5)*$H593)/100)</f>
        <v>4181.0810226466629</v>
      </c>
      <c r="AI593" s="456">
        <f>(((_xll.xSPRDOPT($L593,$J593,$I593,$M593,$O593,$N593,$P593,$Q593-$C$3,$R593,4)*$H593)/10000)/100)-AB593</f>
        <v>3.4436368188871816E-2</v>
      </c>
      <c r="AJ593" s="456"/>
      <c r="AK593" s="456"/>
      <c r="CC593" s="141">
        <f t="shared" si="723"/>
        <v>36892</v>
      </c>
      <c r="CD593" s="234">
        <f>_xll.xSPRDOPT((VLOOKUP(G592,NGPrices,2,FALSE)+HLOOKUP(D592,Prices,VLOOKUP(G592,move_down,2,FALSE),FALSE)),VLOOKUP(G592,NGPrices,2,FALSE),I592,VLOOKUP(G592,NGPREVPRICES,4,FALSE),HLOOKUP(D592,PREVVOLS,VLOOKUP(G592,MOVE_DOWN2,2,FALSE),FALSE),VLOOKUP(G592,NGPREVPRICES,3,FALSE),HLOOKUP(D592,Correllate,VLOOKUP(G592,CorMove,2,FALSE),FALSE),Q592-$CD$3,R592,$CD$5)*H592-CJ593</f>
        <v>0</v>
      </c>
      <c r="CE593" s="234">
        <f>_xll.xSPRDOPT((VLOOKUP(G592,NGPREVPRICES,2,FALSE)+HLOOKUP(D592,PREVCURVES,VLOOKUP(G592,MOVE_DOWN2,2,FALSE),FALSE)),VLOOKUP(G592,NGPREVPRICES,2,FALSE),CK593,VLOOKUP(G592,NGPrices,4,FALSE),HLOOKUP(D592,PREVVOLS,VLOOKUP(G592,MOVE_DOWN2,2,FALSE),FALSE),VLOOKUP(G592,NGPREVPRICES,3,FALSE),HLOOKUP(D592,Correllate,VLOOKUP(G592,CorMove,2,FALSE),FALSE),Q592-$CD$3,R592,$CJ$5)*H592-CJ593</f>
        <v>0</v>
      </c>
      <c r="CF593" s="10">
        <f t="shared" si="724"/>
        <v>-15.71802907838719</v>
      </c>
      <c r="CG593" s="234">
        <f>_xll.xSPRDOPT((VLOOKUP(G592,NGPREVPRICES,2,FALSE)+HLOOKUP(D592,PREVCURVES,VLOOKUP(G592,MOVE_DOWN2,2,FALSE),FALSE)),VLOOKUP(G592,NGPREVPRICES,2,FALSE),CK593,VLOOKUP(G592,NGPREVPRICES,4,FALSE),HLOOKUP(D592,VOLS,VLOOKUP(G592,move_down,2,FALSE),FALSE),VLOOKUP(G592,NGPrices,3,FALSE),HLOOKUP(D592,Correllate,VLOOKUP(G592,CorMove,2,FALSE),FALSE),Q592-$CD$3,R592,$CJ$5)*H592-CJ593</f>
        <v>0</v>
      </c>
      <c r="CH593" s="234">
        <f>_xll.xSPRDOPT((VLOOKUP(G592,NGPREVPRICES,2,FALSE)+HLOOKUP(D592,PREVCURVES,VLOOKUP(G592,MOVE_DOWN2,2,FALSE),FALSE)),VLOOKUP(G592,NGPREVPRICES,2,FALSE),CK593,VLOOKUP(G592,NGPREVPRICES,4,FALSE),HLOOKUP(D592,PREVVOLS,VLOOKUP(G592,MOVE_DOWN2,2,FALSE),FALSE),VLOOKUP(G592,NGPREVPRICES,3,FALSE),HLOOKUP(D592,Correllate,VLOOKUP(G592,CorMove,2,FALSE),FALSE),Q592-$C$3,R592,$CJ$5)*H592-CJ593</f>
        <v>-815.14725136094785</v>
      </c>
      <c r="CI593" s="234">
        <f t="shared" si="725"/>
        <v>-830.86528043933504</v>
      </c>
      <c r="CJ593" s="234">
        <f>_xll.xSPRDOPT((VLOOKUP(G592,NGPREVPRICES,2,FALSE)+HLOOKUP(D592,PREVCURVES,VLOOKUP(G592,MOVE_DOWN2,2,FALSE),FALSE)),VLOOKUP(G592,NGPREVPRICES,2,FALSE),CK593,VLOOKUP(G592,NGPREVPRICES,4,FALSE),HLOOKUP(D592,PREVVOLS,VLOOKUP(G592,MOVE_DOWN2,2,FALSE),FALSE),VLOOKUP(G592,NGPREVPRICES,3,FALSE),HLOOKUP(D592,Correllate,VLOOKUP(G592,CorMove,2,FALSE),FALSE),Q592-$CD$3,R592,$CJ$5)*H592</f>
        <v>83410.80436090054</v>
      </c>
      <c r="CK593" s="235">
        <f t="shared" si="726"/>
        <v>1</v>
      </c>
      <c r="CM593" t="str">
        <f t="shared" si="727"/>
        <v>36892Curve Shift/Gamma</v>
      </c>
      <c r="CN593" t="str">
        <f t="shared" si="665"/>
        <v>36892Rho</v>
      </c>
      <c r="CO593" t="str">
        <f t="shared" si="666"/>
        <v>36892Drift</v>
      </c>
      <c r="CP593" t="str">
        <f t="shared" si="667"/>
        <v>36892Vega</v>
      </c>
      <c r="CQ593" t="str">
        <f t="shared" si="668"/>
        <v>36892Theta</v>
      </c>
    </row>
    <row r="594" spans="1:95" x14ac:dyDescent="0.25">
      <c r="A594" s="140" t="s">
        <v>279</v>
      </c>
      <c r="B594" t="s">
        <v>250</v>
      </c>
      <c r="C594" t="s">
        <v>550</v>
      </c>
      <c r="D594" s="4" t="s">
        <v>7</v>
      </c>
      <c r="E594" t="s">
        <v>20</v>
      </c>
      <c r="F594" t="s">
        <v>1</v>
      </c>
      <c r="G594" s="5">
        <v>36951</v>
      </c>
      <c r="H594" s="130">
        <v>500000</v>
      </c>
      <c r="I594" s="235">
        <v>1</v>
      </c>
      <c r="J594" s="53">
        <f t="shared" si="709"/>
        <v>4.2130000000000001</v>
      </c>
      <c r="K594" s="7">
        <f t="shared" si="710"/>
        <v>1.075</v>
      </c>
      <c r="L594" s="53">
        <f t="shared" si="711"/>
        <v>5.2880000000000003</v>
      </c>
      <c r="M594" s="157">
        <f t="shared" si="712"/>
        <v>6.8879814952706994E-2</v>
      </c>
      <c r="N594" s="4">
        <f t="shared" si="713"/>
        <v>0.53249999999999997</v>
      </c>
      <c r="O594" s="4">
        <f t="shared" si="714"/>
        <v>0.61199999999999999</v>
      </c>
      <c r="P594" s="9">
        <f t="shared" si="715"/>
        <v>0.83</v>
      </c>
      <c r="Q594" s="5">
        <f t="shared" si="708"/>
        <v>36949</v>
      </c>
      <c r="R594" s="4">
        <f t="shared" si="716"/>
        <v>0</v>
      </c>
      <c r="S594" s="158">
        <f>_xll.xSPRDOPT($L594,$J594,$I594,$M594,$O594,$N594,$P594,$Q594-$C$3,$R594,0)</f>
        <v>0.46423253044064883</v>
      </c>
      <c r="T594" s="159">
        <f>_xll.xSPRDOPT($L594,$J594,$I594,$M594,$O594,$N594,$P594,$Q594-$C$3,$R594,1)*H594</f>
        <v>-206332.28946917859</v>
      </c>
      <c r="U594" s="160">
        <f t="shared" si="717"/>
        <v>232116.26522032442</v>
      </c>
      <c r="V594" s="159">
        <f>_xll.xSPRDOPT($L594,$J594,$I594,$M594,$O594,$N594,$P594,$Q594-$C$3,$R594,2)*H594</f>
        <v>250687.39368513049</v>
      </c>
      <c r="W594" s="159">
        <f t="shared" si="718"/>
        <v>44355.104215951898</v>
      </c>
      <c r="X594" s="51" t="str">
        <f t="shared" si="719"/>
        <v>36951IF-TRANSCO/Z6</v>
      </c>
      <c r="Y594" s="418">
        <f t="shared" si="720"/>
        <v>50</v>
      </c>
      <c r="Z594" s="456">
        <f t="shared" si="721"/>
        <v>-0.41266457893835717</v>
      </c>
      <c r="AA594" s="456">
        <f>_xll.xSPRDOPT($L594,$J594,$I594,$M594,$O594,$N594,$P594,$Q594-$C$3,$R594,3)</f>
        <v>0.28979330776443896</v>
      </c>
      <c r="AB594" s="456">
        <f>((_xll.xSPRDOPT($L594+AB$5,$J594,$I594,$M594,$O594,$N594,$P594,$Q594-$C$3,$R594,3)*$H594)/10000)/100</f>
        <v>0.14489665388221951</v>
      </c>
      <c r="AC594" s="456">
        <f>((_xll.xSPRDOPT($L594+$AB$5,$J594,$I594,$M594,$O594,$N594,$P594,$Q594-$C$3,$R594,7)*$H594)/100)</f>
        <v>-5332.4024112785455</v>
      </c>
      <c r="AD594" s="456">
        <f>(_xll.xSPRDOPT($L594+$AB$5,$J594,$I594,$M594,$O594,$N594,$P594,$Q594-$C$3,$R594,9)/365)*$H594</f>
        <v>-640.19627870440593</v>
      </c>
      <c r="AE594">
        <f t="shared" si="707"/>
        <v>0</v>
      </c>
      <c r="AF594" s="456">
        <f t="shared" si="722"/>
        <v>4672.4009878541819</v>
      </c>
      <c r="AG594" s="456">
        <f>((_xll.xSPRDOPT($L594,$J594,$I594,$M594,$O594,$N594,$P594,$Q594-$C$3,$R594,6)*$H594)/100)</f>
        <v>-1216.6166596719645</v>
      </c>
      <c r="AH594" s="456">
        <f>((_xll.xSPRDOPT($L594,$J594,$I594,$M594,$O594,$N594,$P594,$Q594-$C$3,$R594,5)*$H594)/100)</f>
        <v>5124.0227080190734</v>
      </c>
      <c r="AI594" s="456">
        <f>(((_xll.xSPRDOPT($L594,$J594,$I594,$M594,$O594,$N594,$P594,$Q594-$C$3,$R594,4)*$H594)/10000)/100)-AB594</f>
        <v>5.7525652871831812E-3</v>
      </c>
      <c r="AJ594" s="456"/>
      <c r="AK594" s="456"/>
      <c r="CC594" s="141">
        <f t="shared" si="723"/>
        <v>36923</v>
      </c>
      <c r="CD594" s="234">
        <f>_xll.xSPRDOPT((VLOOKUP(G593,NGPrices,2,FALSE)+HLOOKUP(D593,Prices,VLOOKUP(G593,move_down,2,FALSE),FALSE)),VLOOKUP(G593,NGPrices,2,FALSE),I593,VLOOKUP(G593,NGPREVPRICES,4,FALSE),HLOOKUP(D593,PREVVOLS,VLOOKUP(G593,MOVE_DOWN2,2,FALSE),FALSE),VLOOKUP(G593,NGPREVPRICES,3,FALSE),HLOOKUP(D593,Correllate,VLOOKUP(G593,CorMove,2,FALSE),FALSE),Q593-$CD$3,R593,$CD$5)*H593-CJ594</f>
        <v>0</v>
      </c>
      <c r="CE594" s="234">
        <f>_xll.xSPRDOPT((VLOOKUP(G593,NGPREVPRICES,2,FALSE)+HLOOKUP(D593,PREVCURVES,VLOOKUP(G593,MOVE_DOWN2,2,FALSE),FALSE)),VLOOKUP(G593,NGPREVPRICES,2,FALSE),CK594,VLOOKUP(G593,NGPrices,4,FALSE),HLOOKUP(D593,PREVVOLS,VLOOKUP(G593,MOVE_DOWN2,2,FALSE),FALSE),VLOOKUP(G593,NGPREVPRICES,3,FALSE),HLOOKUP(D593,Correllate,VLOOKUP(G593,CorMove,2,FALSE),FALSE),Q593-$CD$3,R593,$CJ$5)*H593-CJ594</f>
        <v>0</v>
      </c>
      <c r="CF594" s="10">
        <f t="shared" si="724"/>
        <v>-19.501545620820252</v>
      </c>
      <c r="CG594" s="234">
        <f>_xll.xSPRDOPT((VLOOKUP(G593,NGPREVPRICES,2,FALSE)+HLOOKUP(D593,PREVCURVES,VLOOKUP(G593,MOVE_DOWN2,2,FALSE),FALSE)),VLOOKUP(G593,NGPREVPRICES,2,FALSE),CK594,VLOOKUP(G593,NGPREVPRICES,4,FALSE),HLOOKUP(D593,VOLS,VLOOKUP(G593,move_down,2,FALSE),FALSE),VLOOKUP(G593,NGPrices,3,FALSE),HLOOKUP(D593,Correllate,VLOOKUP(G593,CorMove,2,FALSE),FALSE),Q593-$CD$3,R593,$CJ$5)*H593-CJ594</f>
        <v>0</v>
      </c>
      <c r="CH594" s="234">
        <f>_xll.xSPRDOPT((VLOOKUP(G593,NGPREVPRICES,2,FALSE)+HLOOKUP(D593,PREVCURVES,VLOOKUP(G593,MOVE_DOWN2,2,FALSE),FALSE)),VLOOKUP(G593,NGPREVPRICES,2,FALSE),CK594,VLOOKUP(G593,NGPREVPRICES,4,FALSE),HLOOKUP(D593,PREVVOLS,VLOOKUP(G593,MOVE_DOWN2,2,FALSE),FALSE),VLOOKUP(G593,NGPREVPRICES,3,FALSE),HLOOKUP(D593,Correllate,VLOOKUP(G593,CorMove,2,FALSE),FALSE),Q593-$C$3,R593,$CJ$5)*H593-CJ594</f>
        <v>-714.73389361909358</v>
      </c>
      <c r="CI594" s="234">
        <f t="shared" si="725"/>
        <v>-734.23543923991383</v>
      </c>
      <c r="CJ594" s="234">
        <f>_xll.xSPRDOPT((VLOOKUP(G593,NGPREVPRICES,2,FALSE)+HLOOKUP(D593,PREVCURVES,VLOOKUP(G593,MOVE_DOWN2,2,FALSE),FALSE)),VLOOKUP(G593,NGPREVPRICES,2,FALSE),CK594,VLOOKUP(G593,NGPREVPRICES,4,FALSE),HLOOKUP(D593,PREVVOLS,VLOOKUP(G593,MOVE_DOWN2,2,FALSE),FALSE),VLOOKUP(G593,NGPREVPRICES,3,FALSE),HLOOKUP(D593,Correllate,VLOOKUP(G593,CorMove,2,FALSE),FALSE),Q593-$CD$3,R593,$CJ$5)*H593</f>
        <v>102538.00368606592</v>
      </c>
      <c r="CK594" s="235">
        <f t="shared" si="726"/>
        <v>1</v>
      </c>
      <c r="CM594" t="str">
        <f t="shared" si="727"/>
        <v>36923Curve Shift/Gamma</v>
      </c>
      <c r="CN594" t="str">
        <f t="shared" si="665"/>
        <v>36923Rho</v>
      </c>
      <c r="CO594" t="str">
        <f t="shared" si="666"/>
        <v>36923Drift</v>
      </c>
      <c r="CP594" t="str">
        <f t="shared" si="667"/>
        <v>36923Vega</v>
      </c>
      <c r="CQ594" t="str">
        <f t="shared" si="668"/>
        <v>36923Theta</v>
      </c>
    </row>
    <row r="595" spans="1:95" x14ac:dyDescent="0.25">
      <c r="A595" s="140" t="s">
        <v>279</v>
      </c>
      <c r="B595" t="s">
        <v>250</v>
      </c>
      <c r="C595" t="s">
        <v>551</v>
      </c>
      <c r="D595" s="4" t="s">
        <v>7</v>
      </c>
      <c r="E595" t="s">
        <v>20</v>
      </c>
      <c r="F595" t="s">
        <v>21</v>
      </c>
      <c r="G595" s="5">
        <v>36831</v>
      </c>
      <c r="H595" s="130">
        <v>-300000</v>
      </c>
      <c r="I595" s="235">
        <v>2.5</v>
      </c>
      <c r="J595" s="53">
        <f t="shared" si="709"/>
        <v>4.7359999999999998</v>
      </c>
      <c r="K595" s="7">
        <f t="shared" si="710"/>
        <v>0.77</v>
      </c>
      <c r="L595" s="53">
        <f t="shared" si="711"/>
        <v>5.5060000000000002</v>
      </c>
      <c r="M595" s="157">
        <f t="shared" si="712"/>
        <v>6.810675983792E-2</v>
      </c>
      <c r="N595" s="4">
        <f t="shared" si="713"/>
        <v>0.59499999999999997</v>
      </c>
      <c r="O595" s="4">
        <f t="shared" si="714"/>
        <v>0.625</v>
      </c>
      <c r="P595" s="9">
        <f t="shared" si="715"/>
        <v>0.89</v>
      </c>
      <c r="Q595" s="5">
        <f t="shared" si="708"/>
        <v>36829</v>
      </c>
      <c r="R595" s="4">
        <f t="shared" si="716"/>
        <v>1</v>
      </c>
      <c r="S595" s="158">
        <f>_xll.xSPRDOPT($L595,$J595,$I595,$M595,$O595,$N595,$P595,$Q595-$C$3,$R595,0)</f>
        <v>6.1115926235317444E-3</v>
      </c>
      <c r="T595" s="159">
        <f>_xll.xSPRDOPT($L595,$J595,$I595,$M595,$O595,$N595,$P595,$Q595-$C$3,$R595,1)*H595</f>
        <v>-7131.4018388908835</v>
      </c>
      <c r="U595" s="160">
        <f t="shared" si="717"/>
        <v>-1833.4777870595233</v>
      </c>
      <c r="V595" s="159">
        <f>_xll.xSPRDOPT($L595,$J595,$I595,$M595,$O595,$N595,$P595,$Q595-$C$3,$R595,2)*H595</f>
        <v>5625.3467895568156</v>
      </c>
      <c r="W595" s="159">
        <f t="shared" si="718"/>
        <v>-1506.0550493340679</v>
      </c>
      <c r="X595" s="51" t="str">
        <f t="shared" si="719"/>
        <v>36831IF-TRANSCO/Z6</v>
      </c>
      <c r="Y595" s="418">
        <f t="shared" si="720"/>
        <v>-30</v>
      </c>
      <c r="Z595" s="456">
        <f t="shared" si="721"/>
        <v>2.3771339462969613E-2</v>
      </c>
      <c r="AA595" s="456">
        <f>_xll.xSPRDOPT($L595,$J595,$I595,$M595,$O595,$N595,$P595,$Q595-$C$3,$R595,3)</f>
        <v>7.7908481785274333E-2</v>
      </c>
      <c r="AB595" s="456">
        <f>((_xll.xSPRDOPT($L595+AB$5,$J595,$I595,$M595,$O595,$N595,$P595,$Q595-$C$3,$R595,3)*$H595)/10000)/100</f>
        <v>-2.3372544535582299E-2</v>
      </c>
      <c r="AC595" s="456">
        <f>((_xll.xSPRDOPT($L595+$AB$5,$J595,$I595,$M595,$O595,$N595,$P595,$Q595-$C$3,$R595,7)*$H595)/100)</f>
        <v>315.46491222234823</v>
      </c>
      <c r="AD595" s="456">
        <f>(_xll.xSPRDOPT($L595+$AB$5,$J595,$I595,$M595,$O595,$N595,$P595,$Q595-$C$3,$R595,9)/365)*$H595</f>
        <v>97.211633369735551</v>
      </c>
      <c r="AE595">
        <f t="shared" si="707"/>
        <v>0</v>
      </c>
      <c r="AF595" s="456">
        <f t="shared" si="722"/>
        <v>-203.16614102374257</v>
      </c>
      <c r="AG595" s="456">
        <f>((_xll.xSPRDOPT($L595,$J595,$I595,$M595,$O595,$N595,$P595,$Q595-$C$3,$R595,6)*$H595)/100)</f>
        <v>114.59901841796649</v>
      </c>
      <c r="AH595" s="456">
        <f>((_xll.xSPRDOPT($L595,$J595,$I595,$M595,$O595,$N595,$P595,$Q595-$C$3,$R595,5)*$H595)/100)</f>
        <v>-302.512431788507</v>
      </c>
      <c r="AI595" s="456">
        <f>(((_xll.xSPRDOPT($L595,$J595,$I595,$M595,$O595,$N595,$P595,$Q595-$C$3,$R595,4)*$H595)/10000)/100)-AB595</f>
        <v>7.6018716499635722E-3</v>
      </c>
      <c r="AJ595" s="456"/>
      <c r="AK595" s="456"/>
      <c r="CC595" s="141">
        <f t="shared" si="723"/>
        <v>36951</v>
      </c>
      <c r="CD595" s="234">
        <f>_xll.xSPRDOPT((VLOOKUP(G594,NGPrices,2,FALSE)+HLOOKUP(D594,Prices,VLOOKUP(G594,move_down,2,FALSE),FALSE)),VLOOKUP(G594,NGPrices,2,FALSE),I594,VLOOKUP(G594,NGPREVPRICES,4,FALSE),HLOOKUP(D594,PREVVOLS,VLOOKUP(G594,MOVE_DOWN2,2,FALSE),FALSE),VLOOKUP(G594,NGPREVPRICES,3,FALSE),HLOOKUP(D594,Correllate,VLOOKUP(G594,CorMove,2,FALSE),FALSE),Q594-$CD$3,R594,$CD$5)*H594-CJ595</f>
        <v>0</v>
      </c>
      <c r="CE595" s="234">
        <f>_xll.xSPRDOPT((VLOOKUP(G594,NGPREVPRICES,2,FALSE)+HLOOKUP(D594,PREVCURVES,VLOOKUP(G594,MOVE_DOWN2,2,FALSE),FALSE)),VLOOKUP(G594,NGPREVPRICES,2,FALSE),CK595,VLOOKUP(G594,NGPrices,4,FALSE),HLOOKUP(D594,PREVVOLS,VLOOKUP(G594,MOVE_DOWN2,2,FALSE),FALSE),VLOOKUP(G594,NGPREVPRICES,3,FALSE),HLOOKUP(D594,Correllate,VLOOKUP(G594,CorMove,2,FALSE),FALSE),Q594-$CD$3,R594,$CJ$5)*H594-CJ595</f>
        <v>0</v>
      </c>
      <c r="CF595" s="10">
        <f t="shared" si="724"/>
        <v>-44.638922692975029</v>
      </c>
      <c r="CG595" s="234">
        <f>_xll.xSPRDOPT((VLOOKUP(G594,NGPREVPRICES,2,FALSE)+HLOOKUP(D594,PREVCURVES,VLOOKUP(G594,MOVE_DOWN2,2,FALSE),FALSE)),VLOOKUP(G594,NGPREVPRICES,2,FALSE),CK595,VLOOKUP(G594,NGPREVPRICES,4,FALSE),HLOOKUP(D594,VOLS,VLOOKUP(G594,move_down,2,FALSE),FALSE),VLOOKUP(G594,NGPrices,3,FALSE),HLOOKUP(D594,Correllate,VLOOKUP(G594,CorMove,2,FALSE),FALSE),Q594-$CD$3,R594,$CJ$5)*H594-CJ595</f>
        <v>0</v>
      </c>
      <c r="CH595" s="234">
        <f>_xll.xSPRDOPT((VLOOKUP(G594,NGPREVPRICES,2,FALSE)+HLOOKUP(D594,PREVCURVES,VLOOKUP(G594,MOVE_DOWN2,2,FALSE),FALSE)),VLOOKUP(G594,NGPREVPRICES,2,FALSE),CK595,VLOOKUP(G594,NGPREVPRICES,4,FALSE),HLOOKUP(D594,PREVVOLS,VLOOKUP(G594,MOVE_DOWN2,2,FALSE),FALSE),VLOOKUP(G594,NGPREVPRICES,3,FALSE),HLOOKUP(D594,Correllate,VLOOKUP(G594,CorMove,2,FALSE),FALSE),Q594-$C$3,R594,$CJ$5)*H594-CJ595</f>
        <v>-638.69314458325971</v>
      </c>
      <c r="CI595" s="234">
        <f t="shared" si="725"/>
        <v>-683.33206727623474</v>
      </c>
      <c r="CJ595" s="234">
        <f>_xll.xSPRDOPT((VLOOKUP(G594,NGPREVPRICES,2,FALSE)+HLOOKUP(D594,PREVCURVES,VLOOKUP(G594,MOVE_DOWN2,2,FALSE),FALSE)),VLOOKUP(G594,NGPREVPRICES,2,FALSE),CK595,VLOOKUP(G594,NGPREVPRICES,4,FALSE),HLOOKUP(D594,PREVVOLS,VLOOKUP(G594,MOVE_DOWN2,2,FALSE),FALSE),VLOOKUP(G594,NGPREVPRICES,3,FALSE),HLOOKUP(D594,Correllate,VLOOKUP(G594,CorMove,2,FALSE),FALSE),Q594-$CD$3,R594,$CJ$5)*H594</f>
        <v>232754.95836490768</v>
      </c>
      <c r="CK595" s="235">
        <f t="shared" si="726"/>
        <v>1</v>
      </c>
      <c r="CM595" t="str">
        <f t="shared" si="727"/>
        <v>36951Curve Shift/Gamma</v>
      </c>
      <c r="CN595" t="str">
        <f t="shared" si="665"/>
        <v>36951Rho</v>
      </c>
      <c r="CO595" t="str">
        <f t="shared" si="666"/>
        <v>36951Drift</v>
      </c>
      <c r="CP595" t="str">
        <f t="shared" si="667"/>
        <v>36951Vega</v>
      </c>
      <c r="CQ595" t="str">
        <f t="shared" si="668"/>
        <v>36951Theta</v>
      </c>
    </row>
    <row r="596" spans="1:95" x14ac:dyDescent="0.25">
      <c r="A596" s="140" t="s">
        <v>279</v>
      </c>
      <c r="B596" t="s">
        <v>250</v>
      </c>
      <c r="C596" t="s">
        <v>551</v>
      </c>
      <c r="D596" s="4" t="s">
        <v>7</v>
      </c>
      <c r="E596" t="s">
        <v>20</v>
      </c>
      <c r="F596" t="s">
        <v>21</v>
      </c>
      <c r="G596" s="5">
        <v>36861</v>
      </c>
      <c r="H596" s="130">
        <v>-310000</v>
      </c>
      <c r="I596" s="235">
        <v>2.5</v>
      </c>
      <c r="J596" s="53">
        <f t="shared" si="709"/>
        <v>4.8</v>
      </c>
      <c r="K596" s="7">
        <f t="shared" si="710"/>
        <v>1.645</v>
      </c>
      <c r="L596" s="53">
        <f t="shared" si="711"/>
        <v>6.4450000000000003</v>
      </c>
      <c r="M596" s="157">
        <f t="shared" si="712"/>
        <v>6.8314027999354002E-2</v>
      </c>
      <c r="N596" s="4">
        <f t="shared" si="713"/>
        <v>0.6</v>
      </c>
      <c r="O596" s="4">
        <f t="shared" si="714"/>
        <v>0.69</v>
      </c>
      <c r="P596" s="9">
        <f t="shared" si="715"/>
        <v>0.83</v>
      </c>
      <c r="Q596" s="5">
        <f t="shared" si="708"/>
        <v>36859</v>
      </c>
      <c r="R596" s="4">
        <f t="shared" si="716"/>
        <v>1</v>
      </c>
      <c r="S596" s="158">
        <f>_xll.xSPRDOPT($L596,$J596,$I596,$M596,$O596,$N596,$P596,$Q596-$C$3,$R596,0)</f>
        <v>0.24519282370785345</v>
      </c>
      <c r="T596" s="159">
        <f>_xll.xSPRDOPT($L596,$J596,$I596,$M596,$O596,$N596,$P596,$Q596-$C$3,$R596,1)*H596</f>
        <v>-96812.519721239165</v>
      </c>
      <c r="U596" s="160">
        <f t="shared" si="717"/>
        <v>-76009.775349434567</v>
      </c>
      <c r="V596" s="159">
        <f>_xll.xSPRDOPT($L596,$J596,$I596,$M596,$O596,$N596,$P596,$Q596-$C$3,$R596,2)*H596</f>
        <v>78951.387292939777</v>
      </c>
      <c r="W596" s="159">
        <f t="shared" si="718"/>
        <v>-17861.132428299388</v>
      </c>
      <c r="X596" s="51" t="str">
        <f t="shared" si="719"/>
        <v>36861IF-TRANSCO/Z6</v>
      </c>
      <c r="Y596" s="418">
        <f t="shared" si="720"/>
        <v>-31</v>
      </c>
      <c r="Z596" s="456">
        <f t="shared" si="721"/>
        <v>0.31229845071367474</v>
      </c>
      <c r="AA596" s="456">
        <f>_xll.xSPRDOPT($L596,$J596,$I596,$M596,$O596,$N596,$P596,$Q596-$C$3,$R596,3)</f>
        <v>0.25819289510904975</v>
      </c>
      <c r="AB596" s="456">
        <f>((_xll.xSPRDOPT($L596+AB$5,$J596,$I596,$M596,$O596,$N596,$P596,$Q596-$C$3,$R596,3)*$H596)/10000)/100</f>
        <v>-8.0039797483805422E-2</v>
      </c>
      <c r="AC596" s="456">
        <f>((_xll.xSPRDOPT($L596+$AB$5,$J596,$I596,$M596,$O596,$N596,$P596,$Q596-$C$3,$R596,7)*$H596)/100)</f>
        <v>2351.5285529484822</v>
      </c>
      <c r="AD596" s="456">
        <f>(_xll.xSPRDOPT($L596+$AB$5,$J596,$I596,$M596,$O596,$N596,$P596,$Q596-$C$3,$R596,9)/365)*$H596</f>
        <v>790.98974536789285</v>
      </c>
      <c r="AE596">
        <f t="shared" si="707"/>
        <v>0</v>
      </c>
      <c r="AF596" s="456">
        <f t="shared" si="722"/>
        <v>-2467.638486807833</v>
      </c>
      <c r="AG596" s="456">
        <f>((_xll.xSPRDOPT($L596,$J596,$I596,$M596,$O596,$N596,$P596,$Q596-$C$3,$R596,6)*$H596)/100)</f>
        <v>924.43585626919116</v>
      </c>
      <c r="AH596" s="456">
        <f>((_xll.xSPRDOPT($L596,$J596,$I596,$M596,$O596,$N596,$P596,$Q596-$C$3,$R596,5)*$H596)/100)</f>
        <v>-2949.629863545239</v>
      </c>
      <c r="AI596" s="456">
        <f>(((_xll.xSPRDOPT($L596,$J596,$I596,$M596,$O596,$N596,$P596,$Q596-$C$3,$R596,4)*$H596)/10000)/100)-AB596</f>
        <v>1.3167554802759662E-2</v>
      </c>
      <c r="AJ596" s="456"/>
      <c r="AK596" s="456"/>
      <c r="CC596" s="141">
        <f t="shared" si="723"/>
        <v>36831</v>
      </c>
      <c r="CD596" s="234">
        <f>_xll.xSPRDOPT((VLOOKUP(G595,NGPrices,2,FALSE)+HLOOKUP(D595,Prices,VLOOKUP(G595,move_down,2,FALSE),FALSE)),VLOOKUP(G595,NGPrices,2,FALSE),I595,VLOOKUP(G595,NGPREVPRICES,4,FALSE),HLOOKUP(D595,PREVVOLS,VLOOKUP(G595,MOVE_DOWN2,2,FALSE),FALSE),VLOOKUP(G595,NGPREVPRICES,3,FALSE),HLOOKUP(D595,Correllate,VLOOKUP(G595,CorMove,2,FALSE),FALSE),Q595-$CD$3,R595,$CD$5)*H595-CJ596</f>
        <v>0</v>
      </c>
      <c r="CE596" s="234">
        <f>_xll.xSPRDOPT((VLOOKUP(G595,NGPREVPRICES,2,FALSE)+HLOOKUP(D595,PREVCURVES,VLOOKUP(G595,MOVE_DOWN2,2,FALSE),FALSE)),VLOOKUP(G595,NGPREVPRICES,2,FALSE),CK596,VLOOKUP(G595,NGPrices,4,FALSE),HLOOKUP(D595,PREVVOLS,VLOOKUP(G595,MOVE_DOWN2,2,FALSE),FALSE),VLOOKUP(G595,NGPREVPRICES,3,FALSE),HLOOKUP(D595,Correllate,VLOOKUP(G595,CorMove,2,FALSE),FALSE),Q595-$CD$3,R595,$CJ$5)*H595-CJ596</f>
        <v>0</v>
      </c>
      <c r="CF596" s="10">
        <f t="shared" si="724"/>
        <v>0.35876775753786205</v>
      </c>
      <c r="CG596" s="234">
        <f>_xll.xSPRDOPT((VLOOKUP(G595,NGPREVPRICES,2,FALSE)+HLOOKUP(D595,PREVCURVES,VLOOKUP(G595,MOVE_DOWN2,2,FALSE),FALSE)),VLOOKUP(G595,NGPREVPRICES,2,FALSE),CK596,VLOOKUP(G595,NGPREVPRICES,4,FALSE),HLOOKUP(D595,VOLS,VLOOKUP(G595,move_down,2,FALSE),FALSE),VLOOKUP(G595,NGPrices,3,FALSE),HLOOKUP(D595,Correllate,VLOOKUP(G595,CorMove,2,FALSE),FALSE),Q595-$CD$3,R595,$CJ$5)*H595-CJ596</f>
        <v>0</v>
      </c>
      <c r="CH596" s="234">
        <f>_xll.xSPRDOPT((VLOOKUP(G595,NGPREVPRICES,2,FALSE)+HLOOKUP(D595,PREVCURVES,VLOOKUP(G595,MOVE_DOWN2,2,FALSE),FALSE)),VLOOKUP(G595,NGPREVPRICES,2,FALSE),CK596,VLOOKUP(G595,NGPREVPRICES,4,FALSE),HLOOKUP(D595,PREVVOLS,VLOOKUP(G595,MOVE_DOWN2,2,FALSE),FALSE),VLOOKUP(G595,NGPREVPRICES,3,FALSE),HLOOKUP(D595,Correllate,VLOOKUP(G595,CorMove,2,FALSE),FALSE),Q595-$C$3,R595,$CJ$5)*H595-CJ596</f>
        <v>98.386465799197822</v>
      </c>
      <c r="CI596" s="234">
        <f t="shared" si="725"/>
        <v>98.745233556735684</v>
      </c>
      <c r="CJ596" s="234">
        <f>_xll.xSPRDOPT((VLOOKUP(G595,NGPREVPRICES,2,FALSE)+HLOOKUP(D595,PREVCURVES,VLOOKUP(G595,MOVE_DOWN2,2,FALSE),FALSE)),VLOOKUP(G595,NGPREVPRICES,2,FALSE),CK596,VLOOKUP(G595,NGPREVPRICES,4,FALSE),HLOOKUP(D595,PREVVOLS,VLOOKUP(G595,MOVE_DOWN2,2,FALSE),FALSE),VLOOKUP(G595,NGPREVPRICES,3,FALSE),HLOOKUP(D595,Correllate,VLOOKUP(G595,CorMove,2,FALSE),FALSE),Q595-$CD$3,R595,$CJ$5)*H595</f>
        <v>-1931.8642528587211</v>
      </c>
      <c r="CK596" s="235">
        <f t="shared" si="726"/>
        <v>2.5</v>
      </c>
      <c r="CM596" t="str">
        <f t="shared" si="727"/>
        <v>36831Curve Shift/Gamma</v>
      </c>
      <c r="CN596" t="str">
        <f t="shared" si="665"/>
        <v>36831Rho</v>
      </c>
      <c r="CO596" t="str">
        <f t="shared" si="666"/>
        <v>36831Drift</v>
      </c>
      <c r="CP596" t="str">
        <f t="shared" si="667"/>
        <v>36831Vega</v>
      </c>
      <c r="CQ596" t="str">
        <f t="shared" si="668"/>
        <v>36831Theta</v>
      </c>
    </row>
    <row r="597" spans="1:95" x14ac:dyDescent="0.25">
      <c r="A597" s="140" t="s">
        <v>279</v>
      </c>
      <c r="B597" t="s">
        <v>250</v>
      </c>
      <c r="C597" t="s">
        <v>551</v>
      </c>
      <c r="D597" s="4" t="s">
        <v>7</v>
      </c>
      <c r="E597" t="s">
        <v>20</v>
      </c>
      <c r="F597" t="s">
        <v>21</v>
      </c>
      <c r="G597" s="5">
        <v>36892</v>
      </c>
      <c r="H597" s="130">
        <v>-310000</v>
      </c>
      <c r="I597" s="235">
        <v>2.5</v>
      </c>
      <c r="J597" s="53">
        <f t="shared" si="709"/>
        <v>4.7439999999999998</v>
      </c>
      <c r="K597" s="7">
        <f t="shared" si="710"/>
        <v>2.17</v>
      </c>
      <c r="L597" s="53">
        <f t="shared" si="711"/>
        <v>6.9139999999999997</v>
      </c>
      <c r="M597" s="157">
        <f t="shared" si="712"/>
        <v>6.8374831148490994E-2</v>
      </c>
      <c r="N597" s="4">
        <f t="shared" si="713"/>
        <v>0.60499999999999998</v>
      </c>
      <c r="O597" s="4">
        <f t="shared" si="714"/>
        <v>0.69599999999999995</v>
      </c>
      <c r="P597" s="9">
        <f t="shared" si="715"/>
        <v>0.83</v>
      </c>
      <c r="Q597" s="5">
        <f t="shared" si="708"/>
        <v>36888</v>
      </c>
      <c r="R597" s="4">
        <f t="shared" si="716"/>
        <v>1</v>
      </c>
      <c r="S597" s="158">
        <f>_xll.xSPRDOPT($L597,$J597,$I597,$M597,$O597,$N597,$P597,$Q597-$C$3,$R597,0)</f>
        <v>0.52922812131883945</v>
      </c>
      <c r="T597" s="159">
        <f>_xll.xSPRDOPT($L597,$J597,$I597,$M597,$O597,$N597,$P597,$Q597-$C$3,$R597,1)*H597</f>
        <v>-144687.61620653246</v>
      </c>
      <c r="U597" s="160">
        <f t="shared" si="717"/>
        <v>-164060.71760884023</v>
      </c>
      <c r="V597" s="159">
        <f>_xll.xSPRDOPT($L597,$J597,$I597,$M597,$O597,$N597,$P597,$Q597-$C$3,$R597,2)*H597</f>
        <v>121112.26865571494</v>
      </c>
      <c r="W597" s="159">
        <f t="shared" si="718"/>
        <v>-23575.347550817518</v>
      </c>
      <c r="X597" s="51" t="str">
        <f t="shared" si="719"/>
        <v>36892IF-TRANSCO/Z6</v>
      </c>
      <c r="Y597" s="418">
        <f t="shared" si="720"/>
        <v>-31</v>
      </c>
      <c r="Z597" s="456">
        <f t="shared" si="721"/>
        <v>0.46673424582752404</v>
      </c>
      <c r="AA597" s="456">
        <f>_xll.xSPRDOPT($L597,$J597,$I597,$M597,$O597,$N597,$P597,$Q597-$C$3,$R597,3)</f>
        <v>0.22967006797299966</v>
      </c>
      <c r="AB597" s="456">
        <f>((_xll.xSPRDOPT($L597+AB$5,$J597,$I597,$M597,$O597,$N597,$P597,$Q597-$C$3,$R597,3)*$H597)/10000)/100</f>
        <v>-7.1197721071629902E-2</v>
      </c>
      <c r="AC597" s="456">
        <f>((_xll.xSPRDOPT($L597+$AB$5,$J597,$I597,$M597,$O597,$N597,$P597,$Q597-$C$3,$R597,7)*$H597)/100)</f>
        <v>3171.9405324228724</v>
      </c>
      <c r="AD597" s="456">
        <f>(_xll.xSPRDOPT($L597+$AB$5,$J597,$I597,$M597,$O597,$N597,$P597,$Q597-$C$3,$R597,9)/365)*$H597</f>
        <v>820.1990545954427</v>
      </c>
      <c r="AE597">
        <f t="shared" si="707"/>
        <v>0</v>
      </c>
      <c r="AF597" s="456">
        <f t="shared" si="722"/>
        <v>-3401.3993516315504</v>
      </c>
      <c r="AG597" s="456">
        <f>((_xll.xSPRDOPT($L597,$J597,$I597,$M597,$O597,$N597,$P597,$Q597-$C$3,$R597,6)*$H597)/100)</f>
        <v>1274.834307160937</v>
      </c>
      <c r="AH597" s="456">
        <f>((_xll.xSPRDOPT($L597,$J597,$I597,$M597,$O597,$N597,$P597,$Q597-$C$3,$R597,5)*$H597)/100)</f>
        <v>-4064.8295453584124</v>
      </c>
      <c r="AI597" s="456">
        <f>(((_xll.xSPRDOPT($L597,$J597,$I597,$M597,$O597,$N597,$P597,$Q597-$C$3,$R597,4)*$H597)/10000)/100)-AB597</f>
        <v>2.9868339797722299E-3</v>
      </c>
      <c r="AJ597" s="456"/>
      <c r="AK597" s="456"/>
      <c r="CC597" s="141">
        <f t="shared" si="723"/>
        <v>36861</v>
      </c>
      <c r="CD597" s="234">
        <f>_xll.xSPRDOPT((VLOOKUP(G596,NGPrices,2,FALSE)+HLOOKUP(D596,Prices,VLOOKUP(G596,move_down,2,FALSE),FALSE)),VLOOKUP(G596,NGPrices,2,FALSE),I596,VLOOKUP(G596,NGPREVPRICES,4,FALSE),HLOOKUP(D596,PREVVOLS,VLOOKUP(G596,MOVE_DOWN2,2,FALSE),FALSE),VLOOKUP(G596,NGPREVPRICES,3,FALSE),HLOOKUP(D596,Correllate,VLOOKUP(G596,CorMove,2,FALSE),FALSE),Q596-$CD$3,R596,$CD$5)*H596-CJ597</f>
        <v>0</v>
      </c>
      <c r="CE597" s="234">
        <f>_xll.xSPRDOPT((VLOOKUP(G596,NGPREVPRICES,2,FALSE)+HLOOKUP(D596,PREVCURVES,VLOOKUP(G596,MOVE_DOWN2,2,FALSE),FALSE)),VLOOKUP(G596,NGPREVPRICES,2,FALSE),CK597,VLOOKUP(G596,NGPrices,4,FALSE),HLOOKUP(D596,PREVVOLS,VLOOKUP(G596,MOVE_DOWN2,2,FALSE),FALSE),VLOOKUP(G596,NGPREVPRICES,3,FALSE),HLOOKUP(D596,Correllate,VLOOKUP(G596,CorMove,2,FALSE),FALSE),Q596-$CD$3,R596,$CJ$5)*H596-CJ597</f>
        <v>0</v>
      </c>
      <c r="CF597" s="10">
        <f t="shared" si="724"/>
        <v>14.38729698023235</v>
      </c>
      <c r="CG597" s="234">
        <f>_xll.xSPRDOPT((VLOOKUP(G596,NGPREVPRICES,2,FALSE)+HLOOKUP(D596,PREVCURVES,VLOOKUP(G596,MOVE_DOWN2,2,FALSE),FALSE)),VLOOKUP(G596,NGPREVPRICES,2,FALSE),CK597,VLOOKUP(G596,NGPREVPRICES,4,FALSE),HLOOKUP(D596,VOLS,VLOOKUP(G596,move_down,2,FALSE),FALSE),VLOOKUP(G596,NGPrices,3,FALSE),HLOOKUP(D596,Correllate,VLOOKUP(G596,CorMove,2,FALSE),FALSE),Q596-$CD$3,R596,$CJ$5)*H596-CJ597</f>
        <v>0</v>
      </c>
      <c r="CH597" s="234">
        <f>_xll.xSPRDOPT((VLOOKUP(G596,NGPREVPRICES,2,FALSE)+HLOOKUP(D596,PREVCURVES,VLOOKUP(G596,MOVE_DOWN2,2,FALSE),FALSE)),VLOOKUP(G596,NGPREVPRICES,2,FALSE),CK597,VLOOKUP(G596,NGPREVPRICES,4,FALSE),HLOOKUP(D596,PREVVOLS,VLOOKUP(G596,MOVE_DOWN2,2,FALSE),FALSE),VLOOKUP(G596,NGPREVPRICES,3,FALSE),HLOOKUP(D596,Correllate,VLOOKUP(G596,CorMove,2,FALSE),FALSE),Q596-$C$3,R596,$CJ$5)*H596-CJ597</f>
        <v>788.85578873785562</v>
      </c>
      <c r="CI597" s="234">
        <f t="shared" si="725"/>
        <v>803.24308571808797</v>
      </c>
      <c r="CJ597" s="234">
        <f>_xll.xSPRDOPT((VLOOKUP(G596,NGPREVPRICES,2,FALSE)+HLOOKUP(D596,PREVCURVES,VLOOKUP(G596,MOVE_DOWN2,2,FALSE),FALSE)),VLOOKUP(G596,NGPREVPRICES,2,FALSE),CK597,VLOOKUP(G596,NGPREVPRICES,4,FALSE),HLOOKUP(D596,PREVVOLS,VLOOKUP(G596,MOVE_DOWN2,2,FALSE),FALSE),VLOOKUP(G596,NGPREVPRICES,3,FALSE),HLOOKUP(D596,Correllate,VLOOKUP(G596,CorMove,2,FALSE),FALSE),Q596-$CD$3,R596,$CJ$5)*H596</f>
        <v>-76798.631138172423</v>
      </c>
      <c r="CK597" s="235">
        <f t="shared" si="726"/>
        <v>2.5</v>
      </c>
      <c r="CM597" t="str">
        <f t="shared" si="727"/>
        <v>36861Curve Shift/Gamma</v>
      </c>
      <c r="CN597" t="str">
        <f t="shared" si="665"/>
        <v>36861Rho</v>
      </c>
      <c r="CO597" t="str">
        <f t="shared" si="666"/>
        <v>36861Drift</v>
      </c>
      <c r="CP597" t="str">
        <f t="shared" si="667"/>
        <v>36861Vega</v>
      </c>
      <c r="CQ597" t="str">
        <f t="shared" si="668"/>
        <v>36861Theta</v>
      </c>
    </row>
    <row r="598" spans="1:95" x14ac:dyDescent="0.25">
      <c r="A598" s="140" t="s">
        <v>279</v>
      </c>
      <c r="B598" t="s">
        <v>250</v>
      </c>
      <c r="C598" t="s">
        <v>551</v>
      </c>
      <c r="D598" s="4" t="s">
        <v>7</v>
      </c>
      <c r="E598" t="s">
        <v>20</v>
      </c>
      <c r="F598" t="s">
        <v>21</v>
      </c>
      <c r="G598" s="5">
        <v>36923</v>
      </c>
      <c r="H598" s="130">
        <v>-280000</v>
      </c>
      <c r="I598" s="235">
        <v>2.5</v>
      </c>
      <c r="J598" s="53">
        <f t="shared" si="709"/>
        <v>4.4800000000000004</v>
      </c>
      <c r="K598" s="7">
        <f t="shared" si="710"/>
        <v>2.09</v>
      </c>
      <c r="L598" s="53">
        <f t="shared" si="711"/>
        <v>6.57</v>
      </c>
      <c r="M598" s="157">
        <f t="shared" si="712"/>
        <v>6.8640161611372E-2</v>
      </c>
      <c r="N598" s="4">
        <f t="shared" si="713"/>
        <v>0.59250000000000003</v>
      </c>
      <c r="O598" s="4">
        <f t="shared" si="714"/>
        <v>0.68100000000000005</v>
      </c>
      <c r="P598" s="9">
        <f t="shared" si="715"/>
        <v>0.83</v>
      </c>
      <c r="Q598" s="5">
        <f t="shared" si="708"/>
        <v>36921</v>
      </c>
      <c r="R598" s="4">
        <f t="shared" si="716"/>
        <v>1</v>
      </c>
      <c r="S598" s="158">
        <f>_xll.xSPRDOPT($L598,$J598,$I598,$M598,$O598,$N598,$P598,$Q598-$C$3,$R598,0)</f>
        <v>0.53494168201694325</v>
      </c>
      <c r="T598" s="159">
        <f>_xll.xSPRDOPT($L598,$J598,$I598,$M598,$O598,$N598,$P598,$Q598-$C$3,$R598,1)*H598</f>
        <v>-128085.42484767239</v>
      </c>
      <c r="U598" s="160">
        <f t="shared" si="717"/>
        <v>-149783.67096474412</v>
      </c>
      <c r="V598" s="159">
        <f>_xll.xSPRDOPT($L598,$J598,$I598,$M598,$O598,$N598,$P598,$Q598-$C$3,$R598,2)*H598</f>
        <v>104984.67609865764</v>
      </c>
      <c r="W598" s="159">
        <f t="shared" si="718"/>
        <v>-23100.748749014747</v>
      </c>
      <c r="X598" s="51" t="str">
        <f t="shared" si="719"/>
        <v>36923IF-TRANSCO/Z6</v>
      </c>
      <c r="Y598" s="418">
        <f t="shared" si="720"/>
        <v>-28</v>
      </c>
      <c r="Z598" s="456">
        <f t="shared" si="721"/>
        <v>0.45744794588454424</v>
      </c>
      <c r="AA598" s="456">
        <f>_xll.xSPRDOPT($L598,$J598,$I598,$M598,$O598,$N598,$P598,$Q598-$C$3,$R598,3)</f>
        <v>0.21618551080216697</v>
      </c>
      <c r="AB598" s="456">
        <f>((_xll.xSPRDOPT($L598+AB$5,$J598,$I598,$M598,$O598,$N598,$P598,$Q598-$C$3,$R598,3)*$H598)/10000)/100</f>
        <v>-6.0531943024606745E-2</v>
      </c>
      <c r="AC598" s="456">
        <f>((_xll.xSPRDOPT($L598+$AB$5,$J598,$I598,$M598,$O598,$N598,$P598,$Q598-$C$3,$R598,7)*$H598)/100)</f>
        <v>2929.1996900406107</v>
      </c>
      <c r="AD598" s="456">
        <f>(_xll.xSPRDOPT($L598+$AB$5,$J598,$I598,$M598,$O598,$N598,$P598,$Q598-$C$3,$R598,9)/365)*$H598</f>
        <v>604.79960954333001</v>
      </c>
      <c r="AE598">
        <f t="shared" si="707"/>
        <v>0</v>
      </c>
      <c r="AF598" s="456">
        <f t="shared" si="722"/>
        <v>-3288.1090766114849</v>
      </c>
      <c r="AG598" s="456">
        <f>((_xll.xSPRDOPT($L598,$J598,$I598,$M598,$O598,$N598,$P598,$Q598-$C$3,$R598,6)*$H598)/100)</f>
        <v>1231.4051005252395</v>
      </c>
      <c r="AH598" s="456">
        <f>((_xll.xSPRDOPT($L598,$J598,$I598,$M598,$O598,$N598,$P598,$Q598-$C$3,$R598,5)*$H598)/100)</f>
        <v>-3932.1764316497924</v>
      </c>
      <c r="AI598" s="456">
        <f>(((_xll.xSPRDOPT($L598,$J598,$I598,$M598,$O598,$N598,$P598,$Q598-$C$3,$R598,4)*$H598)/10000)/100)-AB598</f>
        <v>3.2520111342553767E-3</v>
      </c>
      <c r="AJ598" s="456"/>
      <c r="AK598" s="456"/>
      <c r="CC598" s="141">
        <f t="shared" si="723"/>
        <v>36892</v>
      </c>
      <c r="CD598" s="234">
        <f>_xll.xSPRDOPT((VLOOKUP(G597,NGPrices,2,FALSE)+HLOOKUP(D597,Prices,VLOOKUP(G597,move_down,2,FALSE),FALSE)),VLOOKUP(G597,NGPrices,2,FALSE),I597,VLOOKUP(G597,NGPREVPRICES,4,FALSE),HLOOKUP(D597,PREVVOLS,VLOOKUP(G597,MOVE_DOWN2,2,FALSE),FALSE),VLOOKUP(G597,NGPREVPRICES,3,FALSE),HLOOKUP(D597,Correllate,VLOOKUP(G597,CorMove,2,FALSE),FALSE),Q597-$CD$3,R597,$CD$5)*H597-CJ598</f>
        <v>0</v>
      </c>
      <c r="CE598" s="234">
        <f>_xll.xSPRDOPT((VLOOKUP(G597,NGPREVPRICES,2,FALSE)+HLOOKUP(D597,PREVCURVES,VLOOKUP(G597,MOVE_DOWN2,2,FALSE),FALSE)),VLOOKUP(G597,NGPREVPRICES,2,FALSE),CK598,VLOOKUP(G597,NGPrices,4,FALSE),HLOOKUP(D597,PREVVOLS,VLOOKUP(G597,MOVE_DOWN2,2,FALSE),FALSE),VLOOKUP(G597,NGPREVPRICES,3,FALSE),HLOOKUP(D597,Correllate,VLOOKUP(G597,CorMove,2,FALSE),FALSE),Q597-$CD$3,R597,$CJ$5)*H597-CJ598</f>
        <v>0</v>
      </c>
      <c r="CF598" s="10">
        <f t="shared" si="724"/>
        <v>31.069895023159916</v>
      </c>
      <c r="CG598" s="234">
        <f>_xll.xSPRDOPT((VLOOKUP(G597,NGPREVPRICES,2,FALSE)+HLOOKUP(D597,PREVCURVES,VLOOKUP(G597,MOVE_DOWN2,2,FALSE),FALSE)),VLOOKUP(G597,NGPREVPRICES,2,FALSE),CK598,VLOOKUP(G597,NGPREVPRICES,4,FALSE),HLOOKUP(D597,VOLS,VLOOKUP(G597,move_down,2,FALSE),FALSE),VLOOKUP(G597,NGPrices,3,FALSE),HLOOKUP(D597,Correllate,VLOOKUP(G597,CorMove,2,FALSE),FALSE),Q597-$CD$3,R597,$CJ$5)*H597-CJ598</f>
        <v>0</v>
      </c>
      <c r="CH598" s="234">
        <f>_xll.xSPRDOPT((VLOOKUP(G597,NGPREVPRICES,2,FALSE)+HLOOKUP(D597,PREVCURVES,VLOOKUP(G597,MOVE_DOWN2,2,FALSE),FALSE)),VLOOKUP(G597,NGPREVPRICES,2,FALSE),CK598,VLOOKUP(G597,NGPREVPRICES,4,FALSE),HLOOKUP(D597,PREVVOLS,VLOOKUP(G597,MOVE_DOWN2,2,FALSE),FALSE),VLOOKUP(G597,NGPREVPRICES,3,FALSE),HLOOKUP(D597,Correllate,VLOOKUP(G597,CorMove,2,FALSE),FALSE),Q597-$C$3,R597,$CJ$5)*H597-CJ598</f>
        <v>817.77462214895058</v>
      </c>
      <c r="CI598" s="234">
        <f t="shared" si="725"/>
        <v>848.8445171721105</v>
      </c>
      <c r="CJ598" s="234">
        <f>_xll.xSPRDOPT((VLOOKUP(G597,NGPREVPRICES,2,FALSE)+HLOOKUP(D597,PREVCURVES,VLOOKUP(G597,MOVE_DOWN2,2,FALSE),FALSE)),VLOOKUP(G597,NGPREVPRICES,2,FALSE),CK598,VLOOKUP(G597,NGPREVPRICES,4,FALSE),HLOOKUP(D597,PREVVOLS,VLOOKUP(G597,MOVE_DOWN2,2,FALSE),FALSE),VLOOKUP(G597,NGPREVPRICES,3,FALSE),HLOOKUP(D597,Correllate,VLOOKUP(G597,CorMove,2,FALSE),FALSE),Q597-$CD$3,R597,$CJ$5)*H597</f>
        <v>-164878.49223098918</v>
      </c>
      <c r="CK598" s="235">
        <f t="shared" si="726"/>
        <v>2.5</v>
      </c>
      <c r="CM598" t="str">
        <f t="shared" si="727"/>
        <v>36892Curve Shift/Gamma</v>
      </c>
      <c r="CN598" t="str">
        <f t="shared" si="665"/>
        <v>36892Rho</v>
      </c>
      <c r="CO598" t="str">
        <f t="shared" si="666"/>
        <v>36892Drift</v>
      </c>
      <c r="CP598" t="str">
        <f t="shared" si="667"/>
        <v>36892Vega</v>
      </c>
      <c r="CQ598" t="str">
        <f t="shared" si="668"/>
        <v>36892Theta</v>
      </c>
    </row>
    <row r="599" spans="1:95" x14ac:dyDescent="0.25">
      <c r="A599" s="140" t="s">
        <v>279</v>
      </c>
      <c r="B599" t="s">
        <v>250</v>
      </c>
      <c r="C599" t="s">
        <v>551</v>
      </c>
      <c r="D599" s="4" t="s">
        <v>7</v>
      </c>
      <c r="E599" t="s">
        <v>20</v>
      </c>
      <c r="F599" t="s">
        <v>21</v>
      </c>
      <c r="G599" s="5">
        <v>36951</v>
      </c>
      <c r="H599" s="130">
        <v>-310000</v>
      </c>
      <c r="I599" s="235">
        <v>2.5</v>
      </c>
      <c r="J599" s="53">
        <f t="shared" si="709"/>
        <v>4.2130000000000001</v>
      </c>
      <c r="K599" s="7">
        <f t="shared" si="710"/>
        <v>1.075</v>
      </c>
      <c r="L599" s="53">
        <f t="shared" si="711"/>
        <v>5.2880000000000003</v>
      </c>
      <c r="M599" s="157">
        <f t="shared" si="712"/>
        <v>6.8879814952706994E-2</v>
      </c>
      <c r="N599" s="4">
        <f t="shared" si="713"/>
        <v>0.53249999999999997</v>
      </c>
      <c r="O599" s="4">
        <f t="shared" si="714"/>
        <v>0.61199999999999999</v>
      </c>
      <c r="P599" s="9">
        <f t="shared" si="715"/>
        <v>0.83</v>
      </c>
      <c r="Q599" s="5">
        <f t="shared" si="708"/>
        <v>36949</v>
      </c>
      <c r="R599" s="4">
        <f t="shared" si="716"/>
        <v>1</v>
      </c>
      <c r="S599" s="158">
        <f>_xll.xSPRDOPT($L599,$J599,$I599,$M599,$O599,$N599,$P599,$Q599-$C$3,$R599,0)</f>
        <v>0.15660034057175656</v>
      </c>
      <c r="T599" s="159">
        <f>_xll.xSPRDOPT($L599,$J599,$I599,$M599,$O599,$N599,$P599,$Q599-$C$3,$R599,1)*H599</f>
        <v>-68187.967452506709</v>
      </c>
      <c r="U599" s="160">
        <f t="shared" si="717"/>
        <v>-48546.105577244532</v>
      </c>
      <c r="V599" s="159">
        <f>_xll.xSPRDOPT($L599,$J599,$I599,$M599,$O599,$N599,$P599,$Q599-$C$3,$R599,2)*H599</f>
        <v>50506.235487063357</v>
      </c>
      <c r="W599" s="159">
        <f t="shared" si="718"/>
        <v>-17681.731965443352</v>
      </c>
      <c r="X599" s="51" t="str">
        <f t="shared" si="719"/>
        <v>36951IF-TRANSCO/Z6</v>
      </c>
      <c r="Y599" s="418">
        <f t="shared" si="720"/>
        <v>-31</v>
      </c>
      <c r="Z599" s="456">
        <f t="shared" si="721"/>
        <v>0.2199611853306668</v>
      </c>
      <c r="AA599" s="456">
        <f>_xll.xSPRDOPT($L599,$J599,$I599,$M599,$O599,$N599,$P599,$Q599-$C$3,$R599,3)</f>
        <v>0.20855990404016209</v>
      </c>
      <c r="AB599" s="456">
        <f>((_xll.xSPRDOPT($L599+AB$5,$J599,$I599,$M599,$O599,$N599,$P599,$Q599-$C$3,$R599,3)*$H599)/10000)/100</f>
        <v>-6.4653570252450249E-2</v>
      </c>
      <c r="AC599" s="456">
        <f>((_xll.xSPRDOPT($L599+$AB$5,$J599,$I599,$M599,$O599,$N599,$P599,$Q599-$C$3,$R599,7)*$H599)/100)</f>
        <v>1958.994654682441</v>
      </c>
      <c r="AD599" s="456">
        <f>(_xll.xSPRDOPT($L599+$AB$5,$J599,$I599,$M599,$O599,$N599,$P599,$Q599-$C$3,$R599,9)/365)*$H599</f>
        <v>340.69913522803944</v>
      </c>
      <c r="AE599">
        <f t="shared" si="707"/>
        <v>0</v>
      </c>
      <c r="AF599" s="456">
        <f t="shared" si="722"/>
        <v>-2389.896803252896</v>
      </c>
      <c r="AG599" s="456">
        <f>((_xll.xSPRDOPT($L599,$J599,$I599,$M599,$O599,$N599,$P599,$Q599-$C$3,$R599,6)*$H599)/100)</f>
        <v>893.00665809604436</v>
      </c>
      <c r="AH599" s="456">
        <f>((_xll.xSPRDOPT($L599,$J599,$I599,$M599,$O599,$N599,$P599,$Q599-$C$3,$R599,5)*$H599)/100)</f>
        <v>-2856.4478646541024</v>
      </c>
      <c r="AI599" s="456">
        <f>(((_xll.xSPRDOPT($L599,$J599,$I599,$M599,$O599,$N599,$P599,$Q599-$C$3,$R599,4)*$H599)/10000)/100)-AB599</f>
        <v>1.8780219276826111E-2</v>
      </c>
      <c r="AJ599" s="456"/>
      <c r="AK599" s="456"/>
      <c r="CC599" s="141">
        <f t="shared" si="723"/>
        <v>36923</v>
      </c>
      <c r="CD599" s="234">
        <f>_xll.xSPRDOPT((VLOOKUP(G598,NGPrices,2,FALSE)+HLOOKUP(D598,Prices,VLOOKUP(G598,move_down,2,FALSE),FALSE)),VLOOKUP(G598,NGPrices,2,FALSE),I598,VLOOKUP(G598,NGPREVPRICES,4,FALSE),HLOOKUP(D598,PREVVOLS,VLOOKUP(G598,MOVE_DOWN2,2,FALSE),FALSE),VLOOKUP(G598,NGPREVPRICES,3,FALSE),HLOOKUP(D598,Correllate,VLOOKUP(G598,CorMove,2,FALSE),FALSE),Q598-$CD$3,R598,$CD$5)*H598-CJ599</f>
        <v>0</v>
      </c>
      <c r="CE599" s="234">
        <f>_xll.xSPRDOPT((VLOOKUP(G598,NGPREVPRICES,2,FALSE)+HLOOKUP(D598,PREVCURVES,VLOOKUP(G598,MOVE_DOWN2,2,FALSE),FALSE)),VLOOKUP(G598,NGPREVPRICES,2,FALSE),CK599,VLOOKUP(G598,NGPrices,4,FALSE),HLOOKUP(D598,PREVVOLS,VLOOKUP(G598,MOVE_DOWN2,2,FALSE),FALSE),VLOOKUP(G598,NGPREVPRICES,3,FALSE),HLOOKUP(D598,Correllate,VLOOKUP(G598,CorMove,2,FALSE),FALSE),Q598-$CD$3,R598,$CJ$5)*H598-CJ599</f>
        <v>0</v>
      </c>
      <c r="CF599" s="10">
        <f t="shared" si="724"/>
        <v>28.601863653282635</v>
      </c>
      <c r="CG599" s="234">
        <f>_xll.xSPRDOPT((VLOOKUP(G598,NGPREVPRICES,2,FALSE)+HLOOKUP(D598,PREVCURVES,VLOOKUP(G598,MOVE_DOWN2,2,FALSE),FALSE)),VLOOKUP(G598,NGPREVPRICES,2,FALSE),CK599,VLOOKUP(G598,NGPREVPRICES,4,FALSE),HLOOKUP(D598,VOLS,VLOOKUP(G598,move_down,2,FALSE),FALSE),VLOOKUP(G598,NGPrices,3,FALSE),HLOOKUP(D598,Correllate,VLOOKUP(G598,CorMove,2,FALSE),FALSE),Q598-$CD$3,R598,$CJ$5)*H598-CJ599</f>
        <v>0</v>
      </c>
      <c r="CH599" s="234">
        <f>_xll.xSPRDOPT((VLOOKUP(G598,NGPREVPRICES,2,FALSE)+HLOOKUP(D598,PREVCURVES,VLOOKUP(G598,MOVE_DOWN2,2,FALSE),FALSE)),VLOOKUP(G598,NGPREVPRICES,2,FALSE),CK599,VLOOKUP(G598,NGPREVPRICES,4,FALSE),HLOOKUP(D598,PREVVOLS,VLOOKUP(G598,MOVE_DOWN2,2,FALSE),FALSE),VLOOKUP(G598,NGPREVPRICES,3,FALSE),HLOOKUP(D598,Correllate,VLOOKUP(G598,CorMove,2,FALSE),FALSE),Q598-$C$3,R598,$CJ$5)*H598-CJ599</f>
        <v>603.28080476378091</v>
      </c>
      <c r="CI599" s="234">
        <f t="shared" si="725"/>
        <v>631.88266841706354</v>
      </c>
      <c r="CJ599" s="234">
        <f>_xll.xSPRDOPT((VLOOKUP(G598,NGPREVPRICES,2,FALSE)+HLOOKUP(D598,PREVCURVES,VLOOKUP(G598,MOVE_DOWN2,2,FALSE),FALSE)),VLOOKUP(G598,NGPREVPRICES,2,FALSE),CK599,VLOOKUP(G598,NGPREVPRICES,4,FALSE),HLOOKUP(D598,PREVVOLS,VLOOKUP(G598,MOVE_DOWN2,2,FALSE),FALSE),VLOOKUP(G598,NGPREVPRICES,3,FALSE),HLOOKUP(D598,Correllate,VLOOKUP(G598,CorMove,2,FALSE),FALSE),Q598-$CD$3,R598,$CJ$5)*H598</f>
        <v>-150386.9517695079</v>
      </c>
      <c r="CK599" s="235">
        <f t="shared" si="726"/>
        <v>2.5</v>
      </c>
      <c r="CM599" t="str">
        <f t="shared" si="727"/>
        <v>36923Curve Shift/Gamma</v>
      </c>
      <c r="CN599" t="str">
        <f t="shared" si="665"/>
        <v>36923Rho</v>
      </c>
      <c r="CO599" t="str">
        <f t="shared" si="666"/>
        <v>36923Drift</v>
      </c>
      <c r="CP599" t="str">
        <f t="shared" si="667"/>
        <v>36923Vega</v>
      </c>
      <c r="CQ599" t="str">
        <f t="shared" si="668"/>
        <v>36923Theta</v>
      </c>
    </row>
    <row r="600" spans="1:95" x14ac:dyDescent="0.25">
      <c r="A600" s="140" t="s">
        <v>279</v>
      </c>
      <c r="B600" t="s">
        <v>250</v>
      </c>
      <c r="C600" t="s">
        <v>552</v>
      </c>
      <c r="D600" s="4" t="s">
        <v>7</v>
      </c>
      <c r="E600" t="s">
        <v>20</v>
      </c>
      <c r="F600" t="s">
        <v>21</v>
      </c>
      <c r="G600" s="5">
        <v>36831</v>
      </c>
      <c r="H600" s="130">
        <v>-500000</v>
      </c>
      <c r="I600" s="235">
        <v>1.52</v>
      </c>
      <c r="J600" s="53">
        <f t="shared" si="709"/>
        <v>4.7359999999999998</v>
      </c>
      <c r="K600" s="7">
        <f t="shared" si="710"/>
        <v>0.77</v>
      </c>
      <c r="L600" s="53">
        <f t="shared" si="711"/>
        <v>5.5060000000000002</v>
      </c>
      <c r="M600" s="157">
        <f t="shared" si="712"/>
        <v>6.810675983792E-2</v>
      </c>
      <c r="N600" s="4">
        <f t="shared" si="713"/>
        <v>0.59499999999999997</v>
      </c>
      <c r="O600" s="4">
        <f t="shared" si="714"/>
        <v>0.625</v>
      </c>
      <c r="P600" s="9">
        <f t="shared" si="715"/>
        <v>0.89</v>
      </c>
      <c r="Q600" s="5">
        <f t="shared" si="708"/>
        <v>36829</v>
      </c>
      <c r="R600" s="4">
        <f t="shared" si="716"/>
        <v>1</v>
      </c>
      <c r="S600" s="158">
        <f>_xll.xSPRDOPT($L600,$J600,$I600,$M600,$O600,$N600,$P600,$Q600-$C$3,$R600,0)</f>
        <v>5.7552110934513449E-2</v>
      </c>
      <c r="T600" s="159">
        <f>_xll.xSPRDOPT($L600,$J600,$I600,$M600,$O600,$N600,$P600,$Q600-$C$3,$R600,1)*H600</f>
        <v>-83695.939938831012</v>
      </c>
      <c r="U600" s="160">
        <f t="shared" si="717"/>
        <v>-28776.055467256723</v>
      </c>
      <c r="V600" s="159">
        <f>_xll.xSPRDOPT($L600,$J600,$I600,$M600,$O600,$N600,$P600,$Q600-$C$3,$R600,2)*H600</f>
        <v>71126.435483540787</v>
      </c>
      <c r="W600" s="159">
        <f t="shared" si="718"/>
        <v>-12569.504455290225</v>
      </c>
      <c r="X600" s="51" t="str">
        <f t="shared" si="719"/>
        <v>36831IF-TRANSCO/Z6</v>
      </c>
      <c r="Y600" s="418">
        <f t="shared" si="720"/>
        <v>-50</v>
      </c>
      <c r="Z600" s="456">
        <f t="shared" si="721"/>
        <v>0.16739187987766202</v>
      </c>
      <c r="AA600" s="456">
        <f>_xll.xSPRDOPT($L600,$J600,$I600,$M600,$O600,$N600,$P600,$Q600-$C$3,$R600,3)</f>
        <v>0.36534553968324701</v>
      </c>
      <c r="AB600" s="456">
        <f>((_xll.xSPRDOPT($L600+AB$5,$J600,$I600,$M600,$O600,$N600,$P600,$Q600-$C$3,$R600,3)*$H600)/10000)/100</f>
        <v>-0.18267276984162351</v>
      </c>
      <c r="AC600" s="456">
        <f>((_xll.xSPRDOPT($L600+$AB$5,$J600,$I600,$M600,$O600,$N600,$P600,$Q600-$C$3,$R600,7)*$H600)/100)</f>
        <v>2704.6141862263348</v>
      </c>
      <c r="AD600" s="456">
        <f>(_xll.xSPRDOPT($L600+$AB$5,$J600,$I600,$M600,$O600,$N600,$P600,$Q600-$C$3,$R600,9)/365)*$H600</f>
        <v>684.54310755359768</v>
      </c>
      <c r="AE600">
        <f t="shared" si="707"/>
        <v>0</v>
      </c>
      <c r="AF600" s="456">
        <f t="shared" si="722"/>
        <v>-1436.81680936569</v>
      </c>
      <c r="AG600" s="456">
        <f>((_xll.xSPRDOPT($L600,$J600,$I600,$M600,$O600,$N600,$P600,$Q600-$C$3,$R600,6)*$H600)/100)</f>
        <v>689.12325173895806</v>
      </c>
      <c r="AH600" s="456">
        <f>((_xll.xSPRDOPT($L600,$J600,$I600,$M600,$O600,$N600,$P600,$Q600-$C$3,$R600,5)*$H600)/100)</f>
        <v>-2023.894938171625</v>
      </c>
      <c r="AI600" s="456">
        <f>(((_xll.xSPRDOPT($L600,$J600,$I600,$M600,$O600,$N600,$P600,$Q600-$C$3,$R600,4)*$H600)/10000)/100)-AB600</f>
        <v>3.4510084507942435E-2</v>
      </c>
      <c r="AJ600" s="456"/>
      <c r="AK600" s="456"/>
      <c r="CC600" s="141">
        <f t="shared" si="723"/>
        <v>36951</v>
      </c>
      <c r="CD600" s="234">
        <f>_xll.xSPRDOPT((VLOOKUP(G599,NGPrices,2,FALSE)+HLOOKUP(D599,Prices,VLOOKUP(G599,move_down,2,FALSE),FALSE)),VLOOKUP(G599,NGPrices,2,FALSE),I599,VLOOKUP(G599,NGPREVPRICES,4,FALSE),HLOOKUP(D599,PREVVOLS,VLOOKUP(G599,MOVE_DOWN2,2,FALSE),FALSE),VLOOKUP(G599,NGPREVPRICES,3,FALSE),HLOOKUP(D599,Correllate,VLOOKUP(G599,CorMove,2,FALSE),FALSE),Q599-$CD$3,R599,$CD$5)*H599-CJ600</f>
        <v>0</v>
      </c>
      <c r="CE600" s="234">
        <f>_xll.xSPRDOPT((VLOOKUP(G599,NGPREVPRICES,2,FALSE)+HLOOKUP(D599,PREVCURVES,VLOOKUP(G599,MOVE_DOWN2,2,FALSE),FALSE)),VLOOKUP(G599,NGPREVPRICES,2,FALSE),CK600,VLOOKUP(G599,NGPrices,4,FALSE),HLOOKUP(D599,PREVVOLS,VLOOKUP(G599,MOVE_DOWN2,2,FALSE),FALSE),VLOOKUP(G599,NGPREVPRICES,3,FALSE),HLOOKUP(D599,Correllate,VLOOKUP(G599,CorMove,2,FALSE),FALSE),Q599-$CD$3,R599,$CJ$5)*H599-CJ600</f>
        <v>0</v>
      </c>
      <c r="CF600" s="10">
        <f t="shared" si="724"/>
        <v>9.375681076257024</v>
      </c>
      <c r="CG600" s="234">
        <f>_xll.xSPRDOPT((VLOOKUP(G599,NGPREVPRICES,2,FALSE)+HLOOKUP(D599,PREVCURVES,VLOOKUP(G599,MOVE_DOWN2,2,FALSE),FALSE)),VLOOKUP(G599,NGPREVPRICES,2,FALSE),CK600,VLOOKUP(G599,NGPREVPRICES,4,FALSE),HLOOKUP(D599,VOLS,VLOOKUP(G599,move_down,2,FALSE),FALSE),VLOOKUP(G599,NGPrices,3,FALSE),HLOOKUP(D599,Correllate,VLOOKUP(G599,CorMove,2,FALSE),FALSE),Q599-$CD$3,R599,$CJ$5)*H599-CJ600</f>
        <v>0</v>
      </c>
      <c r="CH600" s="234">
        <f>_xll.xSPRDOPT((VLOOKUP(G599,NGPREVPRICES,2,FALSE)+HLOOKUP(D599,PREVCURVES,VLOOKUP(G599,MOVE_DOWN2,2,FALSE),FALSE)),VLOOKUP(G599,NGPREVPRICES,2,FALSE),CK600,VLOOKUP(G599,NGPREVPRICES,4,FALSE),HLOOKUP(D599,PREVVOLS,VLOOKUP(G599,MOVE_DOWN2,2,FALSE),FALSE),VLOOKUP(G599,NGPREVPRICES,3,FALSE),HLOOKUP(D599,Correllate,VLOOKUP(G599,CorMove,2,FALSE),FALSE),Q599-$C$3,R599,$CJ$5)*H599-CJ600</f>
        <v>340.29505470926961</v>
      </c>
      <c r="CI600" s="234">
        <f t="shared" si="725"/>
        <v>349.67073578552663</v>
      </c>
      <c r="CJ600" s="234">
        <f>_xll.xSPRDOPT((VLOOKUP(G599,NGPREVPRICES,2,FALSE)+HLOOKUP(D599,PREVCURVES,VLOOKUP(G599,MOVE_DOWN2,2,FALSE),FALSE)),VLOOKUP(G599,NGPREVPRICES,2,FALSE),CK600,VLOOKUP(G599,NGPREVPRICES,4,FALSE),HLOOKUP(D599,PREVVOLS,VLOOKUP(G599,MOVE_DOWN2,2,FALSE),FALSE),VLOOKUP(G599,NGPREVPRICES,3,FALSE),HLOOKUP(D599,Correllate,VLOOKUP(G599,CorMove,2,FALSE),FALSE),Q599-$CD$3,R599,$CJ$5)*H599</f>
        <v>-48886.400631953802</v>
      </c>
      <c r="CK600" s="235">
        <f t="shared" si="726"/>
        <v>2.5</v>
      </c>
      <c r="CM600" t="str">
        <f t="shared" si="727"/>
        <v>36951Curve Shift/Gamma</v>
      </c>
      <c r="CN600" t="str">
        <f t="shared" si="665"/>
        <v>36951Rho</v>
      </c>
      <c r="CO600" t="str">
        <f t="shared" si="666"/>
        <v>36951Drift</v>
      </c>
      <c r="CP600" t="str">
        <f t="shared" si="667"/>
        <v>36951Vega</v>
      </c>
      <c r="CQ600" t="str">
        <f t="shared" si="668"/>
        <v>36951Theta</v>
      </c>
    </row>
    <row r="601" spans="1:95" x14ac:dyDescent="0.25">
      <c r="A601" s="140" t="s">
        <v>279</v>
      </c>
      <c r="B601" t="s">
        <v>250</v>
      </c>
      <c r="C601" t="s">
        <v>552</v>
      </c>
      <c r="D601" s="4" t="s">
        <v>7</v>
      </c>
      <c r="E601" t="s">
        <v>20</v>
      </c>
      <c r="F601" t="s">
        <v>21</v>
      </c>
      <c r="G601" s="5">
        <v>36861</v>
      </c>
      <c r="H601" s="130">
        <v>-500000</v>
      </c>
      <c r="I601" s="235">
        <v>1.52</v>
      </c>
      <c r="J601" s="53">
        <f t="shared" si="709"/>
        <v>4.8</v>
      </c>
      <c r="K601" s="7">
        <f t="shared" si="710"/>
        <v>1.645</v>
      </c>
      <c r="L601" s="53">
        <f t="shared" si="711"/>
        <v>6.4450000000000003</v>
      </c>
      <c r="M601" s="157">
        <f t="shared" si="712"/>
        <v>6.8314027999354002E-2</v>
      </c>
      <c r="N601" s="4">
        <f t="shared" si="713"/>
        <v>0.6</v>
      </c>
      <c r="O601" s="4">
        <f t="shared" si="714"/>
        <v>0.69</v>
      </c>
      <c r="P601" s="9">
        <f t="shared" si="715"/>
        <v>0.83</v>
      </c>
      <c r="Q601" s="5">
        <f t="shared" si="708"/>
        <v>36859</v>
      </c>
      <c r="R601" s="4">
        <f t="shared" si="716"/>
        <v>1</v>
      </c>
      <c r="S601" s="158">
        <f>_xll.xSPRDOPT($L601,$J601,$I601,$M601,$O601,$N601,$P601,$Q601-$C$3,$R601,0)</f>
        <v>0.56887185432647036</v>
      </c>
      <c r="T601" s="159">
        <f>_xll.xSPRDOPT($L601,$J601,$I601,$M601,$O601,$N601,$P601,$Q601-$C$3,$R601,1)*H601</f>
        <v>-284987.81467452424</v>
      </c>
      <c r="U601" s="160">
        <f t="shared" si="717"/>
        <v>-284435.9271632352</v>
      </c>
      <c r="V601" s="159">
        <f>_xll.xSPRDOPT($L601,$J601,$I601,$M601,$O601,$N601,$P601,$Q601-$C$3,$R601,2)*H601</f>
        <v>249784.6767833097</v>
      </c>
      <c r="W601" s="159">
        <f t="shared" si="718"/>
        <v>-35203.137891214545</v>
      </c>
      <c r="X601" s="51" t="str">
        <f t="shared" si="719"/>
        <v>36861IF-TRANSCO/Z6</v>
      </c>
      <c r="Y601" s="418">
        <f t="shared" si="720"/>
        <v>-50</v>
      </c>
      <c r="Z601" s="456">
        <f t="shared" si="721"/>
        <v>0.56997562934904844</v>
      </c>
      <c r="AA601" s="456">
        <f>_xll.xSPRDOPT($L601,$J601,$I601,$M601,$O601,$N601,$P601,$Q601-$C$3,$R601,3)</f>
        <v>0.2951210492970846</v>
      </c>
      <c r="AB601" s="456">
        <f>((_xll.xSPRDOPT($L601+AB$5,$J601,$I601,$M601,$O601,$N601,$P601,$Q601-$C$3,$R601,3)*$H601)/10000)/100</f>
        <v>-0.14756052464854233</v>
      </c>
      <c r="AC601" s="456">
        <f>((_xll.xSPRDOPT($L601+$AB$5,$J601,$I601,$M601,$O601,$N601,$P601,$Q601-$C$3,$R601,7)*$H601)/100)</f>
        <v>4864.458281680606</v>
      </c>
      <c r="AD601" s="456">
        <f>(_xll.xSPRDOPT($L601+$AB$5,$J601,$I601,$M601,$O601,$N601,$P601,$Q601-$C$3,$R601,9)/365)*$H601</f>
        <v>1311.6390845130275</v>
      </c>
      <c r="AE601">
        <f t="shared" si="707"/>
        <v>0</v>
      </c>
      <c r="AF601" s="456">
        <f t="shared" si="722"/>
        <v>-4182.7505365839579</v>
      </c>
      <c r="AG601" s="456">
        <f>((_xll.xSPRDOPT($L601,$J601,$I601,$M601,$O601,$N601,$P601,$Q601-$C$3,$R601,6)*$H601)/100)</f>
        <v>1338.7654360003837</v>
      </c>
      <c r="AH601" s="456">
        <f>((_xll.xSPRDOPT($L601,$J601,$I601,$M601,$O601,$N601,$P601,$Q601-$C$3,$R601,5)*$H601)/100)</f>
        <v>-4801.3182370298628</v>
      </c>
      <c r="AI601" s="456">
        <f>(((_xll.xSPRDOPT($L601,$J601,$I601,$M601,$O601,$N601,$P601,$Q601-$C$3,$R601,4)*$H601)/10000)/100)-AB601</f>
        <v>-7.2466803635290455E-3</v>
      </c>
      <c r="AJ601" s="456"/>
      <c r="AK601" s="456"/>
      <c r="CC601" s="141">
        <f t="shared" si="723"/>
        <v>36831</v>
      </c>
      <c r="CD601" s="234">
        <f>_xll.xSPRDOPT((VLOOKUP(G600,NGPrices,2,FALSE)+HLOOKUP(D600,Prices,VLOOKUP(G600,move_down,2,FALSE),FALSE)),VLOOKUP(G600,NGPrices,2,FALSE),I600,VLOOKUP(G600,NGPREVPRICES,4,FALSE),HLOOKUP(D600,PREVVOLS,VLOOKUP(G600,MOVE_DOWN2,2,FALSE),FALSE),VLOOKUP(G600,NGPREVPRICES,3,FALSE),HLOOKUP(D600,Correllate,VLOOKUP(G600,CorMove,2,FALSE),FALSE),Q600-$CD$3,R600,$CD$5)*H600-CJ601</f>
        <v>0</v>
      </c>
      <c r="CE601" s="234">
        <f>_xll.xSPRDOPT((VLOOKUP(G600,NGPREVPRICES,2,FALSE)+HLOOKUP(D600,PREVCURVES,VLOOKUP(G600,MOVE_DOWN2,2,FALSE),FALSE)),VLOOKUP(G600,NGPREVPRICES,2,FALSE),CK601,VLOOKUP(G600,NGPrices,4,FALSE),HLOOKUP(D600,PREVVOLS,VLOOKUP(G600,MOVE_DOWN2,2,FALSE),FALSE),VLOOKUP(G600,NGPREVPRICES,3,FALSE),HLOOKUP(D600,Correllate,VLOOKUP(G600,CorMove,2,FALSE),FALSE),Q600-$CD$3,R600,$CJ$5)*H600-CJ601</f>
        <v>0</v>
      </c>
      <c r="CF601" s="10">
        <f t="shared" si="724"/>
        <v>5.4710598720375856</v>
      </c>
      <c r="CG601" s="234">
        <f>_xll.xSPRDOPT((VLOOKUP(G600,NGPREVPRICES,2,FALSE)+HLOOKUP(D600,PREVCURVES,VLOOKUP(G600,MOVE_DOWN2,2,FALSE),FALSE)),VLOOKUP(G600,NGPREVPRICES,2,FALSE),CK601,VLOOKUP(G600,NGPREVPRICES,4,FALSE),HLOOKUP(D600,VOLS,VLOOKUP(G600,move_down,2,FALSE),FALSE),VLOOKUP(G600,NGPrices,3,FALSE),HLOOKUP(D600,Correllate,VLOOKUP(G600,CorMove,2,FALSE),FALSE),Q600-$CD$3,R600,$CJ$5)*H600-CJ601</f>
        <v>0</v>
      </c>
      <c r="CH601" s="234">
        <f>_xll.xSPRDOPT((VLOOKUP(G600,NGPREVPRICES,2,FALSE)+HLOOKUP(D600,PREVCURVES,VLOOKUP(G600,MOVE_DOWN2,2,FALSE),FALSE)),VLOOKUP(G600,NGPREVPRICES,2,FALSE),CK601,VLOOKUP(G600,NGPREVPRICES,4,FALSE),HLOOKUP(D600,PREVVOLS,VLOOKUP(G600,MOVE_DOWN2,2,FALSE),FALSE),VLOOKUP(G600,NGPREVPRICES,3,FALSE),HLOOKUP(D600,Correllate,VLOOKUP(G600,CorMove,2,FALSE),FALSE),Q600-$C$3,R600,$CJ$5)*H600-CJ601</f>
        <v>684.07513247539464</v>
      </c>
      <c r="CI601" s="234">
        <f t="shared" si="725"/>
        <v>689.54619234743222</v>
      </c>
      <c r="CJ601" s="234">
        <f>_xll.xSPRDOPT((VLOOKUP(G600,NGPREVPRICES,2,FALSE)+HLOOKUP(D600,PREVCURVES,VLOOKUP(G600,MOVE_DOWN2,2,FALSE),FALSE)),VLOOKUP(G600,NGPREVPRICES,2,FALSE),CK601,VLOOKUP(G600,NGPREVPRICES,4,FALSE),HLOOKUP(D600,PREVVOLS,VLOOKUP(G600,MOVE_DOWN2,2,FALSE),FALSE),VLOOKUP(G600,NGPREVPRICES,3,FALSE),HLOOKUP(D600,Correllate,VLOOKUP(G600,CorMove,2,FALSE),FALSE),Q600-$CD$3,R600,$CJ$5)*H600</f>
        <v>-29460.130599732118</v>
      </c>
      <c r="CK601" s="235">
        <f t="shared" si="726"/>
        <v>1.52</v>
      </c>
      <c r="CM601" t="str">
        <f t="shared" si="727"/>
        <v>36831Curve Shift/Gamma</v>
      </c>
      <c r="CN601" t="str">
        <f t="shared" si="665"/>
        <v>36831Rho</v>
      </c>
      <c r="CO601" t="str">
        <f t="shared" si="666"/>
        <v>36831Drift</v>
      </c>
      <c r="CP601" t="str">
        <f t="shared" si="667"/>
        <v>36831Vega</v>
      </c>
      <c r="CQ601" t="str">
        <f t="shared" si="668"/>
        <v>36831Theta</v>
      </c>
    </row>
    <row r="602" spans="1:95" x14ac:dyDescent="0.25">
      <c r="A602" s="140" t="s">
        <v>279</v>
      </c>
      <c r="B602" t="s">
        <v>250</v>
      </c>
      <c r="C602" t="s">
        <v>552</v>
      </c>
      <c r="D602" s="4" t="s">
        <v>7</v>
      </c>
      <c r="E602" t="s">
        <v>20</v>
      </c>
      <c r="F602" t="s">
        <v>21</v>
      </c>
      <c r="G602" s="5">
        <v>36892</v>
      </c>
      <c r="H602" s="130">
        <v>-500000</v>
      </c>
      <c r="I602" s="235">
        <v>1.52</v>
      </c>
      <c r="J602" s="53">
        <f t="shared" si="709"/>
        <v>4.7439999999999998</v>
      </c>
      <c r="K602" s="7">
        <f t="shared" si="710"/>
        <v>2.17</v>
      </c>
      <c r="L602" s="53">
        <f t="shared" si="711"/>
        <v>6.9139999999999997</v>
      </c>
      <c r="M602" s="157">
        <f t="shared" si="712"/>
        <v>6.8374831148490994E-2</v>
      </c>
      <c r="N602" s="4">
        <f t="shared" si="713"/>
        <v>0.60499999999999998</v>
      </c>
      <c r="O602" s="4">
        <f t="shared" si="714"/>
        <v>0.69599999999999995</v>
      </c>
      <c r="P602" s="9">
        <f t="shared" si="715"/>
        <v>0.83</v>
      </c>
      <c r="Q602" s="5">
        <f t="shared" si="708"/>
        <v>36888</v>
      </c>
      <c r="R602" s="4">
        <f t="shared" si="716"/>
        <v>1</v>
      </c>
      <c r="S602" s="158">
        <f>_xll.xSPRDOPT($L602,$J602,$I602,$M602,$O602,$N602,$P602,$Q602-$C$3,$R602,0)</f>
        <v>0.97121291279131661</v>
      </c>
      <c r="T602" s="159">
        <f>_xll.xSPRDOPT($L602,$J602,$I602,$M602,$O602,$N602,$P602,$Q602-$C$3,$R602,1)*H602</f>
        <v>-345279.64455166424</v>
      </c>
      <c r="U602" s="160">
        <f t="shared" si="717"/>
        <v>-485606.45639565832</v>
      </c>
      <c r="V602" s="159">
        <f>_xll.xSPRDOPT($L602,$J602,$I602,$M602,$O602,$N602,$P602,$Q602-$C$3,$R602,2)*H602</f>
        <v>308424.24686303997</v>
      </c>
      <c r="W602" s="159">
        <f t="shared" si="718"/>
        <v>-36855.397688624274</v>
      </c>
      <c r="X602" s="51" t="str">
        <f t="shared" si="719"/>
        <v>36892IF-TRANSCO/Z6</v>
      </c>
      <c r="Y602" s="418">
        <f t="shared" si="720"/>
        <v>-50</v>
      </c>
      <c r="Z602" s="456">
        <f t="shared" si="721"/>
        <v>0.69055928910332853</v>
      </c>
      <c r="AA602" s="456">
        <f>_xll.xSPRDOPT($L602,$J602,$I602,$M602,$O602,$N602,$P602,$Q602-$C$3,$R602,3)</f>
        <v>0.20748403183737194</v>
      </c>
      <c r="AB602" s="456">
        <f>((_xll.xSPRDOPT($L602+AB$5,$J602,$I602,$M602,$O602,$N602,$P602,$Q602-$C$3,$R602,3)*$H602)/10000)/100</f>
        <v>-0.10374201591868597</v>
      </c>
      <c r="AC602" s="456">
        <f>((_xll.xSPRDOPT($L602+$AB$5,$J602,$I602,$M602,$O602,$N602,$P602,$Q602-$C$3,$R602,7)*$H602)/100)</f>
        <v>5212.9525200074058</v>
      </c>
      <c r="AD602" s="456">
        <f>(_xll.xSPRDOPT($L602+$AB$5,$J602,$I602,$M602,$O602,$N602,$P602,$Q602-$C$3,$R602,9)/365)*$H602</f>
        <v>1043.0264904794851</v>
      </c>
      <c r="AE602">
        <f t="shared" si="707"/>
        <v>0</v>
      </c>
      <c r="AF602" s="456">
        <f t="shared" si="722"/>
        <v>-4532.872583058931</v>
      </c>
      <c r="AG602" s="456">
        <f>((_xll.xSPRDOPT($L602,$J602,$I602,$M602,$O602,$N602,$P602,$Q602-$C$3,$R602,6)*$H602)/100)</f>
        <v>1469.9087667900994</v>
      </c>
      <c r="AH602" s="456">
        <f>((_xll.xSPRDOPT($L602,$J602,$I602,$M602,$O602,$N602,$P602,$Q602-$C$3,$R602,5)*$H602)/100)</f>
        <v>-5217.934937727965</v>
      </c>
      <c r="AI602" s="456">
        <f>(((_xll.xSPRDOPT($L602,$J602,$I602,$M602,$O602,$N602,$P602,$Q602-$C$3,$R602,4)*$H602)/10000)/100)-AB602</f>
        <v>-2.2219678742091839E-2</v>
      </c>
      <c r="AJ602" s="456"/>
      <c r="AK602" s="456"/>
      <c r="CC602" s="141">
        <f t="shared" si="723"/>
        <v>36861</v>
      </c>
      <c r="CD602" s="234">
        <f>_xll.xSPRDOPT((VLOOKUP(G601,NGPrices,2,FALSE)+HLOOKUP(D601,Prices,VLOOKUP(G601,move_down,2,FALSE),FALSE)),VLOOKUP(G601,NGPrices,2,FALSE),I601,VLOOKUP(G601,NGPREVPRICES,4,FALSE),HLOOKUP(D601,PREVVOLS,VLOOKUP(G601,MOVE_DOWN2,2,FALSE),FALSE),VLOOKUP(G601,NGPREVPRICES,3,FALSE),HLOOKUP(D601,Correllate,VLOOKUP(G601,CorMove,2,FALSE),FALSE),Q601-$CD$3,R601,$CD$5)*H601-CJ602</f>
        <v>0</v>
      </c>
      <c r="CE602" s="234">
        <f>_xll.xSPRDOPT((VLOOKUP(G601,NGPREVPRICES,2,FALSE)+HLOOKUP(D601,PREVCURVES,VLOOKUP(G601,MOVE_DOWN2,2,FALSE),FALSE)),VLOOKUP(G601,NGPREVPRICES,2,FALSE),CK602,VLOOKUP(G601,NGPrices,4,FALSE),HLOOKUP(D601,PREVVOLS,VLOOKUP(G601,MOVE_DOWN2,2,FALSE),FALSE),VLOOKUP(G601,NGPREVPRICES,3,FALSE),HLOOKUP(D601,Correllate,VLOOKUP(G601,CorMove,2,FALSE),FALSE),Q601-$CD$3,R601,$CJ$5)*H601-CJ602</f>
        <v>0</v>
      </c>
      <c r="CF602" s="10">
        <f t="shared" si="724"/>
        <v>53.530456661479548</v>
      </c>
      <c r="CG602" s="234">
        <f>_xll.xSPRDOPT((VLOOKUP(G601,NGPREVPRICES,2,FALSE)+HLOOKUP(D601,PREVCURVES,VLOOKUP(G601,MOVE_DOWN2,2,FALSE),FALSE)),VLOOKUP(G601,NGPREVPRICES,2,FALSE),CK602,VLOOKUP(G601,NGPREVPRICES,4,FALSE),HLOOKUP(D601,VOLS,VLOOKUP(G601,move_down,2,FALSE),FALSE),VLOOKUP(G601,NGPrices,3,FALSE),HLOOKUP(D601,Correllate,VLOOKUP(G601,CorMove,2,FALSE),FALSE),Q601-$CD$3,R601,$CJ$5)*H601-CJ602</f>
        <v>0</v>
      </c>
      <c r="CH602" s="234">
        <f>_xll.xSPRDOPT((VLOOKUP(G601,NGPREVPRICES,2,FALSE)+HLOOKUP(D601,PREVCURVES,VLOOKUP(G601,MOVE_DOWN2,2,FALSE),FALSE)),VLOOKUP(G601,NGPREVPRICES,2,FALSE),CK602,VLOOKUP(G601,NGPREVPRICES,4,FALSE),HLOOKUP(D601,PREVVOLS,VLOOKUP(G601,MOVE_DOWN2,2,FALSE),FALSE),VLOOKUP(G601,NGPREVPRICES,3,FALSE),HLOOKUP(D601,Correllate,VLOOKUP(G601,CorMove,2,FALSE),FALSE),Q601-$C$3,R601,$CJ$5)*H601-CJ602</f>
        <v>1306.8222534285742</v>
      </c>
      <c r="CI602" s="234">
        <f t="shared" si="725"/>
        <v>1360.3527100900537</v>
      </c>
      <c r="CJ602" s="234">
        <f>_xll.xSPRDOPT((VLOOKUP(G601,NGPREVPRICES,2,FALSE)+HLOOKUP(D601,PREVCURVES,VLOOKUP(G601,MOVE_DOWN2,2,FALSE),FALSE)),VLOOKUP(G601,NGPREVPRICES,2,FALSE),CK602,VLOOKUP(G601,NGPREVPRICES,4,FALSE),HLOOKUP(D601,PREVVOLS,VLOOKUP(G601,MOVE_DOWN2,2,FALSE),FALSE),VLOOKUP(G601,NGPREVPRICES,3,FALSE),HLOOKUP(D601,Correllate,VLOOKUP(G601,CorMove,2,FALSE),FALSE),Q601-$CD$3,R601,$CJ$5)*H601</f>
        <v>-285742.74941666378</v>
      </c>
      <c r="CK602" s="235">
        <f t="shared" si="726"/>
        <v>1.52</v>
      </c>
      <c r="CM602" t="str">
        <f t="shared" si="727"/>
        <v>36861Curve Shift/Gamma</v>
      </c>
      <c r="CN602" t="str">
        <f t="shared" si="665"/>
        <v>36861Rho</v>
      </c>
      <c r="CO602" t="str">
        <f t="shared" si="666"/>
        <v>36861Drift</v>
      </c>
      <c r="CP602" t="str">
        <f t="shared" si="667"/>
        <v>36861Vega</v>
      </c>
      <c r="CQ602" t="str">
        <f t="shared" si="668"/>
        <v>36861Theta</v>
      </c>
    </row>
    <row r="603" spans="1:95" x14ac:dyDescent="0.25">
      <c r="A603" s="140" t="s">
        <v>279</v>
      </c>
      <c r="B603" t="s">
        <v>250</v>
      </c>
      <c r="C603" t="s">
        <v>552</v>
      </c>
      <c r="D603" s="4" t="s">
        <v>7</v>
      </c>
      <c r="E603" t="s">
        <v>20</v>
      </c>
      <c r="F603" t="s">
        <v>21</v>
      </c>
      <c r="G603" s="5">
        <v>36923</v>
      </c>
      <c r="H603" s="130">
        <v>-500000</v>
      </c>
      <c r="I603" s="235">
        <v>1.52</v>
      </c>
      <c r="J603" s="53">
        <f t="shared" si="709"/>
        <v>4.4800000000000004</v>
      </c>
      <c r="K603" s="7">
        <f t="shared" si="710"/>
        <v>2.09</v>
      </c>
      <c r="L603" s="53">
        <f t="shared" si="711"/>
        <v>6.57</v>
      </c>
      <c r="M603" s="157">
        <f t="shared" si="712"/>
        <v>6.8640161611372E-2</v>
      </c>
      <c r="N603" s="4">
        <f t="shared" si="713"/>
        <v>0.59250000000000003</v>
      </c>
      <c r="O603" s="4">
        <f t="shared" si="714"/>
        <v>0.68100000000000005</v>
      </c>
      <c r="P603" s="9">
        <f t="shared" si="715"/>
        <v>0.83</v>
      </c>
      <c r="Q603" s="5">
        <f t="shared" si="708"/>
        <v>36921</v>
      </c>
      <c r="R603" s="4">
        <f t="shared" si="716"/>
        <v>1</v>
      </c>
      <c r="S603" s="158">
        <f>_xll.xSPRDOPT($L603,$J603,$I603,$M603,$O603,$N603,$P603,$Q603-$C$3,$R603,0)</f>
        <v>0.94648999111371412</v>
      </c>
      <c r="T603" s="159">
        <f>_xll.xSPRDOPT($L603,$J603,$I603,$M603,$O603,$N603,$P603,$Q603-$C$3,$R603,1)*H603</f>
        <v>-333225.05508946214</v>
      </c>
      <c r="U603" s="160">
        <f t="shared" si="717"/>
        <v>-473244.99555685709</v>
      </c>
      <c r="V603" s="159">
        <f>_xll.xSPRDOPT($L603,$J603,$I603,$M603,$O603,$N603,$P603,$Q603-$C$3,$R603,2)*H603</f>
        <v>291897.72529445926</v>
      </c>
      <c r="W603" s="159">
        <f t="shared" si="718"/>
        <v>-41327.329795002879</v>
      </c>
      <c r="X603" s="51" t="str">
        <f t="shared" si="719"/>
        <v>36923IF-TRANSCO/Z6</v>
      </c>
      <c r="Y603" s="418">
        <f t="shared" si="720"/>
        <v>-50</v>
      </c>
      <c r="Z603" s="456">
        <f t="shared" si="721"/>
        <v>0.6664501101789243</v>
      </c>
      <c r="AA603" s="456">
        <f>_xll.xSPRDOPT($L603,$J603,$I603,$M603,$O603,$N603,$P603,$Q603-$C$3,$R603,3)</f>
        <v>0.20167251264835592</v>
      </c>
      <c r="AB603" s="456">
        <f>((_xll.xSPRDOPT($L603+AB$5,$J603,$I603,$M603,$O603,$N603,$P603,$Q603-$C$3,$R603,3)*$H603)/10000)/100</f>
        <v>-0.10083625632417796</v>
      </c>
      <c r="AC603" s="456">
        <f>((_xll.xSPRDOPT($L603+$AB$5,$J603,$I603,$M603,$O603,$N603,$P603,$Q603-$C$3,$R603,7)*$H603)/100)</f>
        <v>5512.2069129265592</v>
      </c>
      <c r="AD603" s="456">
        <f>(_xll.xSPRDOPT($L603+$AB$5,$J603,$I603,$M603,$O603,$N603,$P603,$Q603-$C$3,$R603,9)/365)*$H603</f>
        <v>873.15810563638627</v>
      </c>
      <c r="AE603">
        <f t="shared" si="707"/>
        <v>0</v>
      </c>
      <c r="AF603" s="456">
        <f t="shared" si="722"/>
        <v>-4998.1550981577248</v>
      </c>
      <c r="AG603" s="456">
        <f>((_xll.xSPRDOPT($L603,$J603,$I603,$M603,$O603,$N603,$P603,$Q603-$C$3,$R603,6)*$H603)/100)</f>
        <v>1644.3939060885712</v>
      </c>
      <c r="AH603" s="456">
        <f>((_xll.xSPRDOPT($L603,$J603,$I603,$M603,$O603,$N603,$P603,$Q603-$C$3,$R603,5)*$H603)/100)</f>
        <v>-5779.3102569984285</v>
      </c>
      <c r="AI603" s="456">
        <f>(((_xll.xSPRDOPT($L603,$J603,$I603,$M603,$O603,$N603,$P603,$Q603-$C$3,$R603,4)*$H603)/10000)/100)-AB603</f>
        <v>-2.0373246664722997E-2</v>
      </c>
      <c r="AJ603" s="456"/>
      <c r="AK603" s="456"/>
      <c r="CC603" s="141">
        <f t="shared" si="723"/>
        <v>36892</v>
      </c>
      <c r="CD603" s="234">
        <f>_xll.xSPRDOPT((VLOOKUP(G602,NGPrices,2,FALSE)+HLOOKUP(D602,Prices,VLOOKUP(G602,move_down,2,FALSE),FALSE)),VLOOKUP(G602,NGPrices,2,FALSE),I602,VLOOKUP(G602,NGPREVPRICES,4,FALSE),HLOOKUP(D602,PREVVOLS,VLOOKUP(G602,MOVE_DOWN2,2,FALSE),FALSE),VLOOKUP(G602,NGPREVPRICES,3,FALSE),HLOOKUP(D602,Correllate,VLOOKUP(G602,CorMove,2,FALSE),FALSE),Q602-$CD$3,R602,$CD$5)*H602-CJ603</f>
        <v>0</v>
      </c>
      <c r="CE603" s="234">
        <f>_xll.xSPRDOPT((VLOOKUP(G602,NGPREVPRICES,2,FALSE)+HLOOKUP(D602,PREVCURVES,VLOOKUP(G602,MOVE_DOWN2,2,FALSE),FALSE)),VLOOKUP(G602,NGPREVPRICES,2,FALSE),CK603,VLOOKUP(G602,NGPrices,4,FALSE),HLOOKUP(D602,PREVVOLS,VLOOKUP(G602,MOVE_DOWN2,2,FALSE),FALSE),VLOOKUP(G602,NGPREVPRICES,3,FALSE),HLOOKUP(D602,Correllate,VLOOKUP(G602,CorMove,2,FALSE),FALSE),Q602-$CD$3,R602,$CJ$5)*H602-CJ603</f>
        <v>0</v>
      </c>
      <c r="CF603" s="10">
        <f t="shared" si="724"/>
        <v>91.704257676901761</v>
      </c>
      <c r="CG603" s="234">
        <f>_xll.xSPRDOPT((VLOOKUP(G602,NGPREVPRICES,2,FALSE)+HLOOKUP(D602,PREVCURVES,VLOOKUP(G602,MOVE_DOWN2,2,FALSE),FALSE)),VLOOKUP(G602,NGPREVPRICES,2,FALSE),CK603,VLOOKUP(G602,NGPREVPRICES,4,FALSE),HLOOKUP(D602,VOLS,VLOOKUP(G602,move_down,2,FALSE),FALSE),VLOOKUP(G602,NGPrices,3,FALSE),HLOOKUP(D602,Correllate,VLOOKUP(G602,CorMove,2,FALSE),FALSE),Q602-$CD$3,R602,$CJ$5)*H602-CJ603</f>
        <v>0</v>
      </c>
      <c r="CH603" s="234">
        <f>_xll.xSPRDOPT((VLOOKUP(G602,NGPREVPRICES,2,FALSE)+HLOOKUP(D602,PREVCURVES,VLOOKUP(G602,MOVE_DOWN2,2,FALSE),FALSE)),VLOOKUP(G602,NGPREVPRICES,2,FALSE),CK603,VLOOKUP(G602,NGPREVPRICES,4,FALSE),HLOOKUP(D602,PREVVOLS,VLOOKUP(G602,MOVE_DOWN2,2,FALSE),FALSE),VLOOKUP(G602,NGPREVPRICES,3,FALSE),HLOOKUP(D602,Correllate,VLOOKUP(G602,CorMove,2,FALSE),FALSE),Q602-$C$3,R602,$CJ$5)*H602-CJ603</f>
        <v>1040.1745528784231</v>
      </c>
      <c r="CI603" s="234">
        <f t="shared" si="725"/>
        <v>1131.8788105553249</v>
      </c>
      <c r="CJ603" s="234">
        <f>_xll.xSPRDOPT((VLOOKUP(G602,NGPREVPRICES,2,FALSE)+HLOOKUP(D602,PREVCURVES,VLOOKUP(G602,MOVE_DOWN2,2,FALSE),FALSE)),VLOOKUP(G602,NGPREVPRICES,2,FALSE),CK603,VLOOKUP(G602,NGPREVPRICES,4,FALSE),HLOOKUP(D602,PREVVOLS,VLOOKUP(G602,MOVE_DOWN2,2,FALSE),FALSE),VLOOKUP(G602,NGPREVPRICES,3,FALSE),HLOOKUP(D602,Correllate,VLOOKUP(G602,CorMove,2,FALSE),FALSE),Q602-$CD$3,R602,$CJ$5)*H602</f>
        <v>-486646.63094853674</v>
      </c>
      <c r="CK603" s="235">
        <f t="shared" si="726"/>
        <v>1.52</v>
      </c>
      <c r="CM603" t="str">
        <f t="shared" si="727"/>
        <v>36892Curve Shift/Gamma</v>
      </c>
      <c r="CN603" t="str">
        <f t="shared" si="665"/>
        <v>36892Rho</v>
      </c>
      <c r="CO603" t="str">
        <f t="shared" si="666"/>
        <v>36892Drift</v>
      </c>
      <c r="CP603" t="str">
        <f t="shared" si="667"/>
        <v>36892Vega</v>
      </c>
      <c r="CQ603" t="str">
        <f t="shared" si="668"/>
        <v>36892Theta</v>
      </c>
    </row>
    <row r="604" spans="1:95" x14ac:dyDescent="0.25">
      <c r="A604" s="140" t="s">
        <v>279</v>
      </c>
      <c r="B604" t="s">
        <v>250</v>
      </c>
      <c r="C604" t="s">
        <v>552</v>
      </c>
      <c r="D604" s="4" t="s">
        <v>7</v>
      </c>
      <c r="E604" t="s">
        <v>20</v>
      </c>
      <c r="F604" t="s">
        <v>21</v>
      </c>
      <c r="G604" s="5">
        <v>36951</v>
      </c>
      <c r="H604" s="130">
        <v>-500000</v>
      </c>
      <c r="I604" s="235">
        <v>1.52</v>
      </c>
      <c r="J604" s="53">
        <f t="shared" si="709"/>
        <v>4.2130000000000001</v>
      </c>
      <c r="K604" s="7">
        <f t="shared" si="710"/>
        <v>1.075</v>
      </c>
      <c r="L604" s="53">
        <f t="shared" si="711"/>
        <v>5.2880000000000003</v>
      </c>
      <c r="M604" s="157">
        <f t="shared" si="712"/>
        <v>6.8879814952706994E-2</v>
      </c>
      <c r="N604" s="4">
        <f t="shared" si="713"/>
        <v>0.53249999999999997</v>
      </c>
      <c r="O604" s="4">
        <f t="shared" si="714"/>
        <v>0.61199999999999999</v>
      </c>
      <c r="P604" s="9">
        <f t="shared" si="715"/>
        <v>0.83</v>
      </c>
      <c r="Q604" s="5">
        <f t="shared" si="708"/>
        <v>36949</v>
      </c>
      <c r="R604" s="4">
        <f t="shared" si="716"/>
        <v>1</v>
      </c>
      <c r="S604" s="158">
        <f>_xll.xSPRDOPT($L604,$J604,$I604,$M604,$O604,$N604,$P604,$Q604-$C$3,$R604,0)</f>
        <v>0.35106039090704294</v>
      </c>
      <c r="T604" s="159">
        <f>_xll.xSPRDOPT($L604,$J604,$I604,$M604,$O604,$N604,$P604,$Q604-$C$3,$R604,1)*H604</f>
        <v>-206152.20132926863</v>
      </c>
      <c r="U604" s="160">
        <f t="shared" si="717"/>
        <v>-175530.19545352148</v>
      </c>
      <c r="V604" s="159">
        <f>_xll.xSPRDOPT($L604,$J604,$I604,$M604,$O604,$N604,$P604,$Q604-$C$3,$R604,2)*H604</f>
        <v>164925.25113113102</v>
      </c>
      <c r="W604" s="159">
        <f t="shared" si="718"/>
        <v>-41226.950198137609</v>
      </c>
      <c r="X604" s="51" t="str">
        <f t="shared" si="719"/>
        <v>36951IF-TRANSCO/Z6</v>
      </c>
      <c r="Y604" s="418">
        <f t="shared" si="720"/>
        <v>-50</v>
      </c>
      <c r="Z604" s="456">
        <f t="shared" si="721"/>
        <v>0.41230440265853724</v>
      </c>
      <c r="AA604" s="456">
        <f>_xll.xSPRDOPT($L604,$J604,$I604,$M604,$O604,$N604,$P604,$Q604-$C$3,$R604,3)</f>
        <v>0.28250325164349732</v>
      </c>
      <c r="AB604" s="456">
        <f>((_xll.xSPRDOPT($L604+AB$5,$J604,$I604,$M604,$O604,$N604,$P604,$Q604-$C$3,$R604,3)*$H604)/10000)/100</f>
        <v>-0.14125162582174866</v>
      </c>
      <c r="AC604" s="456">
        <f>((_xll.xSPRDOPT($L604+$AB$5,$J604,$I604,$M604,$O604,$N604,$P604,$Q604-$C$3,$R604,7)*$H604)/100)</f>
        <v>4794.1464653333096</v>
      </c>
      <c r="AD604" s="456">
        <f>(_xll.xSPRDOPT($L604+$AB$5,$J604,$I604,$M604,$O604,$N604,$P604,$Q604-$C$3,$R604,9)/365)*$H604</f>
        <v>669.24853507771729</v>
      </c>
      <c r="AE604">
        <f t="shared" si="707"/>
        <v>0</v>
      </c>
      <c r="AF604" s="456">
        <f t="shared" si="722"/>
        <v>-4797.9124267874377</v>
      </c>
      <c r="AG604" s="456">
        <f>((_xll.xSPRDOPT($L604,$J604,$I604,$M604,$O604,$N604,$P604,$Q604-$C$3,$R604,6)*$H604)/100)</f>
        <v>1572.8568204146038</v>
      </c>
      <c r="AH604" s="456">
        <f>((_xll.xSPRDOPT($L604,$J604,$I604,$M604,$O604,$N604,$P604,$Q604-$C$3,$R604,5)*$H604)/100)</f>
        <v>-5543.1938302860899</v>
      </c>
      <c r="AI604" s="456">
        <f>(((_xll.xSPRDOPT($L604,$J604,$I604,$M604,$O604,$N604,$P604,$Q604-$C$3,$R604,4)*$H604)/10000)/100)-AB604</f>
        <v>1.5981950606260897E-2</v>
      </c>
      <c r="AJ604" s="456"/>
      <c r="AK604" s="456"/>
      <c r="CC604" s="141">
        <f t="shared" si="723"/>
        <v>36923</v>
      </c>
      <c r="CD604" s="234">
        <f>_xll.xSPRDOPT((VLOOKUP(G603,NGPrices,2,FALSE)+HLOOKUP(D603,Prices,VLOOKUP(G603,move_down,2,FALSE),FALSE)),VLOOKUP(G603,NGPrices,2,FALSE),I603,VLOOKUP(G603,NGPREVPRICES,4,FALSE),HLOOKUP(D603,PREVVOLS,VLOOKUP(G603,MOVE_DOWN2,2,FALSE),FALSE),VLOOKUP(G603,NGPREVPRICES,3,FALSE),HLOOKUP(D603,Correllate,VLOOKUP(G603,CorMove,2,FALSE),FALSE),Q603-$CD$3,R603,$CD$5)*H603-CJ604</f>
        <v>0</v>
      </c>
      <c r="CE604" s="234">
        <f>_xll.xSPRDOPT((VLOOKUP(G603,NGPREVPRICES,2,FALSE)+HLOOKUP(D603,PREVCURVES,VLOOKUP(G603,MOVE_DOWN2,2,FALSE),FALSE)),VLOOKUP(G603,NGPREVPRICES,2,FALSE),CK604,VLOOKUP(G603,NGPrices,4,FALSE),HLOOKUP(D603,PREVVOLS,VLOOKUP(G603,MOVE_DOWN2,2,FALSE),FALSE),VLOOKUP(G603,NGPREVPRICES,3,FALSE),HLOOKUP(D603,Correllate,VLOOKUP(G603,CorMove,2,FALSE),FALSE),Q603-$CD$3,R603,$CJ$5)*H603-CJ604</f>
        <v>0</v>
      </c>
      <c r="CF604" s="10">
        <f t="shared" si="724"/>
        <v>90.171395437326282</v>
      </c>
      <c r="CG604" s="234">
        <f>_xll.xSPRDOPT((VLOOKUP(G603,NGPREVPRICES,2,FALSE)+HLOOKUP(D603,PREVCURVES,VLOOKUP(G603,MOVE_DOWN2,2,FALSE),FALSE)),VLOOKUP(G603,NGPREVPRICES,2,FALSE),CK604,VLOOKUP(G603,NGPREVPRICES,4,FALSE),HLOOKUP(D603,VOLS,VLOOKUP(G603,move_down,2,FALSE),FALSE),VLOOKUP(G603,NGPrices,3,FALSE),HLOOKUP(D603,Correllate,VLOOKUP(G603,CorMove,2,FALSE),FALSE),Q603-$CD$3,R603,$CJ$5)*H603-CJ604</f>
        <v>0</v>
      </c>
      <c r="CH604" s="234">
        <f>_xll.xSPRDOPT((VLOOKUP(G603,NGPREVPRICES,2,FALSE)+HLOOKUP(D603,PREVCURVES,VLOOKUP(G603,MOVE_DOWN2,2,FALSE),FALSE)),VLOOKUP(G603,NGPREVPRICES,2,FALSE),CK604,VLOOKUP(G603,NGPREVPRICES,4,FALSE),HLOOKUP(D603,PREVVOLS,VLOOKUP(G603,MOVE_DOWN2,2,FALSE),FALSE),VLOOKUP(G603,NGPREVPRICES,3,FALSE),HLOOKUP(D603,Correllate,VLOOKUP(G603,CorMove,2,FALSE),FALSE),Q603-$C$3,R603,$CJ$5)*H603-CJ604</f>
        <v>871.0082464069128</v>
      </c>
      <c r="CI604" s="234">
        <f t="shared" si="725"/>
        <v>961.17964184423909</v>
      </c>
      <c r="CJ604" s="234">
        <f>_xll.xSPRDOPT((VLOOKUP(G603,NGPREVPRICES,2,FALSE)+HLOOKUP(D603,PREVCURVES,VLOOKUP(G603,MOVE_DOWN2,2,FALSE),FALSE)),VLOOKUP(G603,NGPREVPRICES,2,FALSE),CK604,VLOOKUP(G603,NGPREVPRICES,4,FALSE),HLOOKUP(D603,PREVVOLS,VLOOKUP(G603,MOVE_DOWN2,2,FALSE),FALSE),VLOOKUP(G603,NGPREVPRICES,3,FALSE),HLOOKUP(D603,Correllate,VLOOKUP(G603,CorMove,2,FALSE),FALSE),Q603-$CD$3,R603,$CJ$5)*H603</f>
        <v>-474116.003803264</v>
      </c>
      <c r="CK604" s="235">
        <f t="shared" si="726"/>
        <v>1.52</v>
      </c>
      <c r="CM604" t="str">
        <f t="shared" si="727"/>
        <v>36923Curve Shift/Gamma</v>
      </c>
      <c r="CN604" t="str">
        <f t="shared" si="665"/>
        <v>36923Rho</v>
      </c>
      <c r="CO604" t="str">
        <f t="shared" si="666"/>
        <v>36923Drift</v>
      </c>
      <c r="CP604" t="str">
        <f t="shared" si="667"/>
        <v>36923Vega</v>
      </c>
      <c r="CQ604" t="str">
        <f t="shared" si="668"/>
        <v>36923Theta</v>
      </c>
    </row>
    <row r="605" spans="1:95" x14ac:dyDescent="0.25">
      <c r="A605" s="140" t="s">
        <v>279</v>
      </c>
      <c r="B605" t="s">
        <v>250</v>
      </c>
      <c r="C605" t="s">
        <v>553</v>
      </c>
      <c r="D605" s="4" t="s">
        <v>7</v>
      </c>
      <c r="E605" t="s">
        <v>20</v>
      </c>
      <c r="F605" t="s">
        <v>1</v>
      </c>
      <c r="G605" s="5">
        <v>36831</v>
      </c>
      <c r="H605" s="130">
        <v>-500000</v>
      </c>
      <c r="I605" s="235">
        <v>1.52</v>
      </c>
      <c r="J605" s="53">
        <f t="shared" si="709"/>
        <v>4.7359999999999998</v>
      </c>
      <c r="K605" s="7">
        <f t="shared" si="710"/>
        <v>0.77</v>
      </c>
      <c r="L605" s="53">
        <f t="shared" si="711"/>
        <v>5.5060000000000002</v>
      </c>
      <c r="M605" s="157">
        <f t="shared" si="712"/>
        <v>6.810675983792E-2</v>
      </c>
      <c r="N605" s="4">
        <f t="shared" si="713"/>
        <v>0.59499999999999997</v>
      </c>
      <c r="O605" s="4">
        <f t="shared" si="714"/>
        <v>0.625</v>
      </c>
      <c r="P605" s="9">
        <f t="shared" si="715"/>
        <v>0.89</v>
      </c>
      <c r="Q605" s="5">
        <f t="shared" si="708"/>
        <v>36829</v>
      </c>
      <c r="R605" s="4">
        <f t="shared" si="716"/>
        <v>0</v>
      </c>
      <c r="S605" s="158">
        <f>_xll.xSPRDOPT($L605,$J605,$I605,$M605,$O605,$N605,$P605,$Q605-$C$3,$R605,0)</f>
        <v>0.79893136296773815</v>
      </c>
      <c r="T605" s="159">
        <f>_xll.xSPRDOPT($L605,$J605,$I605,$M605,$O605,$N605,$P605,$Q605-$C$3,$R605,1)*H605</f>
        <v>410556.8947499856</v>
      </c>
      <c r="U605" s="160">
        <f t="shared" si="717"/>
        <v>-399465.68148386909</v>
      </c>
      <c r="V605" s="159">
        <f>_xll.xSPRDOPT($L605,$J605,$I605,$M605,$O605,$N605,$P605,$Q605-$C$3,$R605,2)*H605</f>
        <v>-423126.39920527581</v>
      </c>
      <c r="W605" s="159">
        <f t="shared" si="718"/>
        <v>-12569.504455290211</v>
      </c>
      <c r="X605" s="51" t="str">
        <f t="shared" si="719"/>
        <v>36831IF-TRANSCO/Z6</v>
      </c>
      <c r="Y605" s="418">
        <f t="shared" si="720"/>
        <v>-50</v>
      </c>
      <c r="Z605" s="456">
        <f t="shared" si="721"/>
        <v>-0.82111378949997116</v>
      </c>
      <c r="AA605" s="456">
        <f>_xll.xSPRDOPT($L605,$J605,$I605,$M605,$O605,$N605,$P605,$Q605-$C$3,$R605,3)</f>
        <v>0.36534553968324701</v>
      </c>
      <c r="AB605" s="456">
        <f>((_xll.xSPRDOPT($L605+AB$5,$J605,$I605,$M605,$O605,$N605,$P605,$Q605-$C$3,$R605,3)*$H605)/10000)/100</f>
        <v>-0.18267276984162351</v>
      </c>
      <c r="AC605" s="456">
        <f>((_xll.xSPRDOPT($L605+$AB$5,$J605,$I605,$M605,$O605,$N605,$P605,$Q605-$C$3,$R605,7)*$H605)/100)</f>
        <v>2704.6141862263348</v>
      </c>
      <c r="AD605" s="456">
        <f>(_xll.xSPRDOPT($L605+$AB$5,$J605,$I605,$M605,$O605,$N605,$P605,$Q605-$C$3,$R605,9)/365)*$H605</f>
        <v>615.37469842066116</v>
      </c>
      <c r="AE605">
        <f t="shared" si="707"/>
        <v>0</v>
      </c>
      <c r="AF605" s="456">
        <f t="shared" si="722"/>
        <v>-1436.81680936569</v>
      </c>
      <c r="AG605" s="456">
        <f>((_xll.xSPRDOPT($L605,$J605,$I605,$M605,$O605,$N605,$P605,$Q605-$C$3,$R605,6)*$H605)/100)</f>
        <v>689.12325173895806</v>
      </c>
      <c r="AH605" s="456">
        <f>((_xll.xSPRDOPT($L605,$J605,$I605,$M605,$O605,$N605,$P605,$Q605-$C$3,$R605,5)*$H605)/100)</f>
        <v>-2023.894938171625</v>
      </c>
      <c r="AI605" s="456">
        <f>(((_xll.xSPRDOPT($L605,$J605,$I605,$M605,$O605,$N605,$P605,$Q605-$C$3,$R605,4)*$H605)/10000)/100)-AB605</f>
        <v>3.4510084507942435E-2</v>
      </c>
      <c r="AJ605" s="456"/>
      <c r="AK605" s="456"/>
      <c r="CC605" s="141">
        <f t="shared" si="723"/>
        <v>36951</v>
      </c>
      <c r="CD605" s="234">
        <f>_xll.xSPRDOPT((VLOOKUP(G604,NGPrices,2,FALSE)+HLOOKUP(D604,Prices,VLOOKUP(G604,move_down,2,FALSE),FALSE)),VLOOKUP(G604,NGPrices,2,FALSE),I604,VLOOKUP(G604,NGPREVPRICES,4,FALSE),HLOOKUP(D604,PREVVOLS,VLOOKUP(G604,MOVE_DOWN2,2,FALSE),FALSE),VLOOKUP(G604,NGPREVPRICES,3,FALSE),HLOOKUP(D604,Correllate,VLOOKUP(G604,CorMove,2,FALSE),FALSE),Q604-$CD$3,R604,$CD$5)*H604-CJ605</f>
        <v>0</v>
      </c>
      <c r="CE605" s="234">
        <f>_xll.xSPRDOPT((VLOOKUP(G604,NGPREVPRICES,2,FALSE)+HLOOKUP(D604,PREVCURVES,VLOOKUP(G604,MOVE_DOWN2,2,FALSE),FALSE)),VLOOKUP(G604,NGPREVPRICES,2,FALSE),CK605,VLOOKUP(G604,NGPrices,4,FALSE),HLOOKUP(D604,PREVVOLS,VLOOKUP(G604,MOVE_DOWN2,2,FALSE),FALSE),VLOOKUP(G604,NGPREVPRICES,3,FALSE),HLOOKUP(D604,Correllate,VLOOKUP(G604,CorMove,2,FALSE),FALSE),Q604-$CD$3,R604,$CJ$5)*H604-CJ605</f>
        <v>0</v>
      </c>
      <c r="CF605" s="10">
        <f t="shared" si="724"/>
        <v>33.792140163801378</v>
      </c>
      <c r="CG605" s="234">
        <f>_xll.xSPRDOPT((VLOOKUP(G604,NGPREVPRICES,2,FALSE)+HLOOKUP(D604,PREVCURVES,VLOOKUP(G604,MOVE_DOWN2,2,FALSE),FALSE)),VLOOKUP(G604,NGPREVPRICES,2,FALSE),CK605,VLOOKUP(G604,NGPREVPRICES,4,FALSE),HLOOKUP(D604,VOLS,VLOOKUP(G604,move_down,2,FALSE),FALSE),VLOOKUP(G604,NGPrices,3,FALSE),HLOOKUP(D604,Correllate,VLOOKUP(G604,CorMove,2,FALSE),FALSE),Q604-$CD$3,R604,$CJ$5)*H604-CJ605</f>
        <v>0</v>
      </c>
      <c r="CH605" s="234">
        <f>_xll.xSPRDOPT((VLOOKUP(G604,NGPREVPRICES,2,FALSE)+HLOOKUP(D604,PREVCURVES,VLOOKUP(G604,MOVE_DOWN2,2,FALSE),FALSE)),VLOOKUP(G604,NGPREVPRICES,2,FALSE),CK605,VLOOKUP(G604,NGPREVPRICES,4,FALSE),HLOOKUP(D604,PREVVOLS,VLOOKUP(G604,MOVE_DOWN2,2,FALSE),FALSE),VLOOKUP(G604,NGPREVPRICES,3,FALSE),HLOOKUP(D604,Correllate,VLOOKUP(G604,CorMove,2,FALSE),FALSE),Q604-$C$3,R604,$CJ$5)*H604-CJ605</f>
        <v>667.7883326356241</v>
      </c>
      <c r="CI605" s="234">
        <f t="shared" si="725"/>
        <v>701.58047279942548</v>
      </c>
      <c r="CJ605" s="234">
        <f>_xll.xSPRDOPT((VLOOKUP(G604,NGPREVPRICES,2,FALSE)+HLOOKUP(D604,PREVCURVES,VLOOKUP(G604,MOVE_DOWN2,2,FALSE),FALSE)),VLOOKUP(G604,NGPREVPRICES,2,FALSE),CK605,VLOOKUP(G604,NGPREVPRICES,4,FALSE),HLOOKUP(D604,PREVVOLS,VLOOKUP(G604,MOVE_DOWN2,2,FALSE),FALSE),VLOOKUP(G604,NGPREVPRICES,3,FALSE),HLOOKUP(D604,Correllate,VLOOKUP(G604,CorMove,2,FALSE),FALSE),Q604-$CD$3,R604,$CJ$5)*H604</f>
        <v>-176197.9837861571</v>
      </c>
      <c r="CK605" s="235">
        <f t="shared" si="726"/>
        <v>1.52</v>
      </c>
      <c r="CM605" t="str">
        <f t="shared" si="727"/>
        <v>36951Curve Shift/Gamma</v>
      </c>
      <c r="CN605" t="str">
        <f t="shared" si="665"/>
        <v>36951Rho</v>
      </c>
      <c r="CO605" t="str">
        <f t="shared" si="666"/>
        <v>36951Drift</v>
      </c>
      <c r="CP605" t="str">
        <f t="shared" si="667"/>
        <v>36951Vega</v>
      </c>
      <c r="CQ605" t="str">
        <f t="shared" si="668"/>
        <v>36951Theta</v>
      </c>
    </row>
    <row r="606" spans="1:95" x14ac:dyDescent="0.25">
      <c r="A606" s="140" t="s">
        <v>279</v>
      </c>
      <c r="B606" t="s">
        <v>250</v>
      </c>
      <c r="C606" t="s">
        <v>553</v>
      </c>
      <c r="D606" s="4" t="s">
        <v>7</v>
      </c>
      <c r="E606" t="s">
        <v>20</v>
      </c>
      <c r="F606" t="s">
        <v>1</v>
      </c>
      <c r="G606" s="5">
        <v>36861</v>
      </c>
      <c r="H606" s="130">
        <v>-500000</v>
      </c>
      <c r="I606" s="235">
        <v>1.52</v>
      </c>
      <c r="J606" s="53">
        <f t="shared" si="709"/>
        <v>4.8</v>
      </c>
      <c r="K606" s="7">
        <f t="shared" si="710"/>
        <v>1.645</v>
      </c>
      <c r="L606" s="53">
        <f t="shared" si="711"/>
        <v>6.4450000000000003</v>
      </c>
      <c r="M606" s="157">
        <f t="shared" si="712"/>
        <v>6.8314027999354002E-2</v>
      </c>
      <c r="N606" s="4">
        <f t="shared" si="713"/>
        <v>0.6</v>
      </c>
      <c r="O606" s="4">
        <f t="shared" si="714"/>
        <v>0.69</v>
      </c>
      <c r="P606" s="9">
        <f t="shared" si="715"/>
        <v>0.83</v>
      </c>
      <c r="Q606" s="5">
        <f t="shared" si="708"/>
        <v>36859</v>
      </c>
      <c r="R606" s="4">
        <f t="shared" si="716"/>
        <v>0</v>
      </c>
      <c r="S606" s="158">
        <f>_xll.xSPRDOPT($L606,$J606,$I606,$M606,$O606,$N606,$P606,$Q606-$C$3,$R606,0)</f>
        <v>0.44600434133601596</v>
      </c>
      <c r="T606" s="159">
        <f>_xll.xSPRDOPT($L606,$J606,$I606,$M606,$O606,$N606,$P606,$Q606-$C$3,$R606,1)*H606</f>
        <v>206482.23728729575</v>
      </c>
      <c r="U606" s="160">
        <f t="shared" si="717"/>
        <v>-223002.17066800798</v>
      </c>
      <c r="V606" s="159">
        <f>_xll.xSPRDOPT($L606,$J606,$I606,$M606,$O606,$N606,$P606,$Q606-$C$3,$R606,2)*H606</f>
        <v>-241685.37517851026</v>
      </c>
      <c r="W606" s="159">
        <f t="shared" si="718"/>
        <v>-35203.137891214516</v>
      </c>
      <c r="X606" s="51" t="str">
        <f t="shared" si="719"/>
        <v>36861IF-TRANSCO/Z6</v>
      </c>
      <c r="Y606" s="418">
        <f t="shared" si="720"/>
        <v>-50</v>
      </c>
      <c r="Z606" s="456">
        <f t="shared" si="721"/>
        <v>-0.41296447457459151</v>
      </c>
      <c r="AA606" s="456">
        <f>_xll.xSPRDOPT($L606,$J606,$I606,$M606,$O606,$N606,$P606,$Q606-$C$3,$R606,3)</f>
        <v>0.2951210492970846</v>
      </c>
      <c r="AB606" s="456">
        <f>((_xll.xSPRDOPT($L606+AB$5,$J606,$I606,$M606,$O606,$N606,$P606,$Q606-$C$3,$R606,3)*$H606)/10000)/100</f>
        <v>-0.14756052464854233</v>
      </c>
      <c r="AC606" s="456">
        <f>((_xll.xSPRDOPT($L606+$AB$5,$J606,$I606,$M606,$O606,$N606,$P606,$Q606-$C$3,$R606,7)*$H606)/100)</f>
        <v>4864.458281680606</v>
      </c>
      <c r="AD606" s="456">
        <f>(_xll.xSPRDOPT($L606+$AB$5,$J606,$I606,$M606,$O606,$N606,$P606,$Q606-$C$3,$R606,9)/365)*$H606</f>
        <v>1323.1371320782891</v>
      </c>
      <c r="AE606">
        <f t="shared" si="707"/>
        <v>0</v>
      </c>
      <c r="AF606" s="456">
        <f t="shared" si="722"/>
        <v>-4182.7505365839579</v>
      </c>
      <c r="AG606" s="456">
        <f>((_xll.xSPRDOPT($L606,$J606,$I606,$M606,$O606,$N606,$P606,$Q606-$C$3,$R606,6)*$H606)/100)</f>
        <v>1338.7654360003837</v>
      </c>
      <c r="AH606" s="456">
        <f>((_xll.xSPRDOPT($L606,$J606,$I606,$M606,$O606,$N606,$P606,$Q606-$C$3,$R606,5)*$H606)/100)</f>
        <v>-4801.3182370298628</v>
      </c>
      <c r="AI606" s="456">
        <f>(((_xll.xSPRDOPT($L606,$J606,$I606,$M606,$O606,$N606,$P606,$Q606-$C$3,$R606,4)*$H606)/10000)/100)-AB606</f>
        <v>-7.2466803635290455E-3</v>
      </c>
      <c r="AJ606" s="456"/>
      <c r="AK606" s="456"/>
      <c r="CC606" s="141">
        <f t="shared" si="723"/>
        <v>36831</v>
      </c>
      <c r="CD606" s="234">
        <f>_xll.xSPRDOPT((VLOOKUP(G605,NGPrices,2,FALSE)+HLOOKUP(D605,Prices,VLOOKUP(G605,move_down,2,FALSE),FALSE)),VLOOKUP(G605,NGPrices,2,FALSE),I605,VLOOKUP(G605,NGPREVPRICES,4,FALSE),HLOOKUP(D605,PREVVOLS,VLOOKUP(G605,MOVE_DOWN2,2,FALSE),FALSE),VLOOKUP(G605,NGPREVPRICES,3,FALSE),HLOOKUP(D605,Correllate,VLOOKUP(G605,CorMove,2,FALSE),FALSE),Q605-$CD$3,R605,$CD$5)*H605-CJ606</f>
        <v>0</v>
      </c>
      <c r="CE606" s="234">
        <f>_xll.xSPRDOPT((VLOOKUP(G605,NGPREVPRICES,2,FALSE)+HLOOKUP(D605,PREVCURVES,VLOOKUP(G605,MOVE_DOWN2,2,FALSE),FALSE)),VLOOKUP(G605,NGPREVPRICES,2,FALSE),CK606,VLOOKUP(G605,NGPrices,4,FALSE),HLOOKUP(D605,PREVVOLS,VLOOKUP(G605,MOVE_DOWN2,2,FALSE),FALSE),VLOOKUP(G605,NGPREVPRICES,3,FALSE),HLOOKUP(D605,Correllate,VLOOKUP(G605,CorMove,2,FALSE),FALSE),Q605-$CD$3,R605,$CJ$5)*H605-CJ606</f>
        <v>0</v>
      </c>
      <c r="CF606" s="10">
        <f t="shared" si="724"/>
        <v>74.29923430189956</v>
      </c>
      <c r="CG606" s="234">
        <f>_xll.xSPRDOPT((VLOOKUP(G605,NGPREVPRICES,2,FALSE)+HLOOKUP(D605,PREVCURVES,VLOOKUP(G605,MOVE_DOWN2,2,FALSE),FALSE)),VLOOKUP(G605,NGPREVPRICES,2,FALSE),CK606,VLOOKUP(G605,NGPREVPRICES,4,FALSE),HLOOKUP(D605,VOLS,VLOOKUP(G605,move_down,2,FALSE),FALSE),VLOOKUP(G605,NGPrices,3,FALSE),HLOOKUP(D605,Correllate,VLOOKUP(G605,CorMove,2,FALSE),FALSE),Q605-$CD$3,R605,$CJ$5)*H605-CJ606</f>
        <v>0</v>
      </c>
      <c r="CH606" s="234">
        <f>_xll.xSPRDOPT((VLOOKUP(G605,NGPREVPRICES,2,FALSE)+HLOOKUP(D605,PREVCURVES,VLOOKUP(G605,MOVE_DOWN2,2,FALSE),FALSE)),VLOOKUP(G605,NGPREVPRICES,2,FALSE),CK606,VLOOKUP(G605,NGPREVPRICES,4,FALSE),HLOOKUP(D605,PREVVOLS,VLOOKUP(G605,MOVE_DOWN2,2,FALSE),FALSE),VLOOKUP(G605,NGPREVPRICES,3,FALSE),HLOOKUP(D605,Correllate,VLOOKUP(G605,CorMove,2,FALSE),FALSE),Q605-$C$3,R605,$CJ$5)*H605-CJ606</f>
        <v>614.96051050699316</v>
      </c>
      <c r="CI606" s="234">
        <f t="shared" si="725"/>
        <v>689.25974480889272</v>
      </c>
      <c r="CJ606" s="234">
        <f>_xll.xSPRDOPT((VLOOKUP(G605,NGPREVPRICES,2,FALSE)+HLOOKUP(D605,PREVCURVES,VLOOKUP(G605,MOVE_DOWN2,2,FALSE),FALSE)),VLOOKUP(G605,NGPREVPRICES,2,FALSE),CK606,VLOOKUP(G605,NGPREVPRICES,4,FALSE),HLOOKUP(D605,PREVVOLS,VLOOKUP(G605,MOVE_DOWN2,2,FALSE),FALSE),VLOOKUP(G605,NGPREVPRICES,3,FALSE),HLOOKUP(D605,Correllate,VLOOKUP(G605,CorMove,2,FALSE),FALSE),Q605-$CD$3,R605,$CJ$5)*H605</f>
        <v>-400080.64199437608</v>
      </c>
      <c r="CK606" s="235">
        <f t="shared" si="726"/>
        <v>1.52</v>
      </c>
      <c r="CM606" t="str">
        <f t="shared" si="727"/>
        <v>36831Curve Shift/Gamma</v>
      </c>
      <c r="CN606" t="str">
        <f t="shared" si="665"/>
        <v>36831Rho</v>
      </c>
      <c r="CO606" t="str">
        <f t="shared" si="666"/>
        <v>36831Drift</v>
      </c>
      <c r="CP606" t="str">
        <f t="shared" si="667"/>
        <v>36831Vega</v>
      </c>
      <c r="CQ606" t="str">
        <f t="shared" si="668"/>
        <v>36831Theta</v>
      </c>
    </row>
    <row r="607" spans="1:95" x14ac:dyDescent="0.25">
      <c r="A607" s="140" t="s">
        <v>279</v>
      </c>
      <c r="B607" t="s">
        <v>250</v>
      </c>
      <c r="C607" t="s">
        <v>553</v>
      </c>
      <c r="D607" s="4" t="s">
        <v>7</v>
      </c>
      <c r="E607" t="s">
        <v>20</v>
      </c>
      <c r="F607" t="s">
        <v>1</v>
      </c>
      <c r="G607" s="5">
        <v>36892</v>
      </c>
      <c r="H607" s="130">
        <v>-500000</v>
      </c>
      <c r="I607" s="235">
        <v>1.52</v>
      </c>
      <c r="J607" s="53">
        <f t="shared" si="709"/>
        <v>4.7439999999999998</v>
      </c>
      <c r="K607" s="7">
        <f t="shared" si="710"/>
        <v>2.17</v>
      </c>
      <c r="L607" s="53">
        <f t="shared" si="711"/>
        <v>6.9139999999999997</v>
      </c>
      <c r="M607" s="157">
        <f t="shared" si="712"/>
        <v>6.8374831148490994E-2</v>
      </c>
      <c r="N607" s="4">
        <f t="shared" si="713"/>
        <v>0.60499999999999998</v>
      </c>
      <c r="O607" s="4">
        <f t="shared" si="714"/>
        <v>0.69599999999999995</v>
      </c>
      <c r="P607" s="9">
        <f t="shared" si="715"/>
        <v>0.83</v>
      </c>
      <c r="Q607" s="5">
        <f t="shared" si="708"/>
        <v>36888</v>
      </c>
      <c r="R607" s="4">
        <f t="shared" si="716"/>
        <v>0</v>
      </c>
      <c r="S607" s="158">
        <f>_xll.xSPRDOPT($L607,$J607,$I607,$M607,$O607,$N607,$P607,$Q607-$C$3,$R607,0)</f>
        <v>0.33577070129999109</v>
      </c>
      <c r="T607" s="159">
        <f>_xll.xSPRDOPT($L607,$J607,$I607,$M607,$O607,$N607,$P607,$Q607-$C$3,$R607,1)*H607</f>
        <v>143522.05659550938</v>
      </c>
      <c r="U607" s="160">
        <f t="shared" si="717"/>
        <v>-167885.35064999555</v>
      </c>
      <c r="V607" s="159">
        <f>_xll.xSPRDOPT($L607,$J607,$I607,$M607,$O607,$N607,$P607,$Q607-$C$3,$R607,2)*H607</f>
        <v>-180377.45428413365</v>
      </c>
      <c r="W607" s="159">
        <f t="shared" si="718"/>
        <v>-36855.397688624274</v>
      </c>
      <c r="X607" s="51" t="str">
        <f t="shared" si="719"/>
        <v>36892IF-TRANSCO/Z6</v>
      </c>
      <c r="Y607" s="418">
        <f t="shared" si="720"/>
        <v>-50</v>
      </c>
      <c r="Z607" s="456">
        <f t="shared" si="721"/>
        <v>-0.28704411319101875</v>
      </c>
      <c r="AA607" s="456">
        <f>_xll.xSPRDOPT($L607,$J607,$I607,$M607,$O607,$N607,$P607,$Q607-$C$3,$R607,3)</f>
        <v>0.20748403183737194</v>
      </c>
      <c r="AB607" s="456">
        <f>((_xll.xSPRDOPT($L607+AB$5,$J607,$I607,$M607,$O607,$N607,$P607,$Q607-$C$3,$R607,3)*$H607)/10000)/100</f>
        <v>-0.10374201591868597</v>
      </c>
      <c r="AC607" s="456">
        <f>((_xll.xSPRDOPT($L607+$AB$5,$J607,$I607,$M607,$O607,$N607,$P607,$Q607-$C$3,$R607,7)*$H607)/100)</f>
        <v>5212.9525200074058</v>
      </c>
      <c r="AD607" s="456">
        <f>(_xll.xSPRDOPT($L607+$AB$5,$J607,$I607,$M607,$O607,$N607,$P607,$Q607-$C$3,$R607,9)/365)*$H607</f>
        <v>1102.5446465279003</v>
      </c>
      <c r="AE607">
        <f t="shared" si="707"/>
        <v>0</v>
      </c>
      <c r="AF607" s="456">
        <f t="shared" si="722"/>
        <v>-4532.872583058931</v>
      </c>
      <c r="AG607" s="456">
        <f>((_xll.xSPRDOPT($L607,$J607,$I607,$M607,$O607,$N607,$P607,$Q607-$C$3,$R607,6)*$H607)/100)</f>
        <v>1469.9087667900994</v>
      </c>
      <c r="AH607" s="456">
        <f>((_xll.xSPRDOPT($L607,$J607,$I607,$M607,$O607,$N607,$P607,$Q607-$C$3,$R607,5)*$H607)/100)</f>
        <v>-5217.934937727965</v>
      </c>
      <c r="AI607" s="456">
        <f>(((_xll.xSPRDOPT($L607,$J607,$I607,$M607,$O607,$N607,$P607,$Q607-$C$3,$R607,4)*$H607)/10000)/100)-AB607</f>
        <v>-2.2219678742091839E-2</v>
      </c>
      <c r="AJ607" s="456"/>
      <c r="AK607" s="456"/>
      <c r="CC607" s="141">
        <f t="shared" si="723"/>
        <v>36861</v>
      </c>
      <c r="CD607" s="234">
        <f>_xll.xSPRDOPT((VLOOKUP(G606,NGPrices,2,FALSE)+HLOOKUP(D606,Prices,VLOOKUP(G606,move_down,2,FALSE),FALSE)),VLOOKUP(G606,NGPrices,2,FALSE),I606,VLOOKUP(G606,NGPREVPRICES,4,FALSE),HLOOKUP(D606,PREVVOLS,VLOOKUP(G606,MOVE_DOWN2,2,FALSE),FALSE),VLOOKUP(G606,NGPREVPRICES,3,FALSE),HLOOKUP(D606,Correllate,VLOOKUP(G606,CorMove,2,FALSE),FALSE),Q606-$CD$3,R606,$CD$5)*H606-CJ607</f>
        <v>0</v>
      </c>
      <c r="CE607" s="234">
        <f>_xll.xSPRDOPT((VLOOKUP(G606,NGPREVPRICES,2,FALSE)+HLOOKUP(D606,PREVCURVES,VLOOKUP(G606,MOVE_DOWN2,2,FALSE),FALSE)),VLOOKUP(G606,NGPREVPRICES,2,FALSE),CK607,VLOOKUP(G606,NGPrices,4,FALSE),HLOOKUP(D606,PREVVOLS,VLOOKUP(G606,MOVE_DOWN2,2,FALSE),FALSE),VLOOKUP(G606,NGPREVPRICES,3,FALSE),HLOOKUP(D606,Correllate,VLOOKUP(G606,CorMove,2,FALSE),FALSE),Q606-$CD$3,R606,$CJ$5)*H606-CJ607</f>
        <v>0</v>
      </c>
      <c r="CF607" s="10">
        <f t="shared" si="724"/>
        <v>42.023735915659927</v>
      </c>
      <c r="CG607" s="234">
        <f>_xll.xSPRDOPT((VLOOKUP(G606,NGPREVPRICES,2,FALSE)+HLOOKUP(D606,PREVCURVES,VLOOKUP(G606,MOVE_DOWN2,2,FALSE),FALSE)),VLOOKUP(G606,NGPREVPRICES,2,FALSE),CK607,VLOOKUP(G606,NGPREVPRICES,4,FALSE),HLOOKUP(D606,VOLS,VLOOKUP(G606,move_down,2,FALSE),FALSE),VLOOKUP(G606,NGPrices,3,FALSE),HLOOKUP(D606,Correllate,VLOOKUP(G606,CorMove,2,FALSE),FALSE),Q606-$CD$3,R606,$CJ$5)*H606-CJ607</f>
        <v>0</v>
      </c>
      <c r="CH607" s="234">
        <f>_xll.xSPRDOPT((VLOOKUP(G606,NGPREVPRICES,2,FALSE)+HLOOKUP(D606,PREVCURVES,VLOOKUP(G606,MOVE_DOWN2,2,FALSE),FALSE)),VLOOKUP(G606,NGPREVPRICES,2,FALSE),CK607,VLOOKUP(G606,NGPREVPRICES,4,FALSE),HLOOKUP(D606,PREVVOLS,VLOOKUP(G606,MOVE_DOWN2,2,FALSE),FALSE),VLOOKUP(G606,NGPREVPRICES,3,FALSE),HLOOKUP(D606,Correllate,VLOOKUP(G606,CorMove,2,FALSE),FALSE),Q606-$C$3,R606,$CJ$5)*H606-CJ607</f>
        <v>1318.3113565509266</v>
      </c>
      <c r="CI607" s="234">
        <f t="shared" si="725"/>
        <v>1360.3350924665865</v>
      </c>
      <c r="CJ607" s="234">
        <f>_xll.xSPRDOPT((VLOOKUP(G606,NGPREVPRICES,2,FALSE)+HLOOKUP(D606,PREVCURVES,VLOOKUP(G606,MOVE_DOWN2,2,FALSE),FALSE)),VLOOKUP(G606,NGPREVPRICES,2,FALSE),CK607,VLOOKUP(G606,NGPREVPRICES,4,FALSE),HLOOKUP(D606,PREVVOLS,VLOOKUP(G606,MOVE_DOWN2,2,FALSE),FALSE),VLOOKUP(G606,NGPREVPRICES,3,FALSE),HLOOKUP(D606,Correllate,VLOOKUP(G606,CorMove,2,FALSE),FALSE),Q606-$CD$3,R606,$CJ$5)*H606</f>
        <v>-224320.48202455891</v>
      </c>
      <c r="CK607" s="235">
        <f t="shared" si="726"/>
        <v>1.52</v>
      </c>
      <c r="CM607" t="str">
        <f t="shared" si="727"/>
        <v>36861Curve Shift/Gamma</v>
      </c>
      <c r="CN607" t="str">
        <f t="shared" si="665"/>
        <v>36861Rho</v>
      </c>
      <c r="CO607" t="str">
        <f t="shared" si="666"/>
        <v>36861Drift</v>
      </c>
      <c r="CP607" t="str">
        <f t="shared" si="667"/>
        <v>36861Vega</v>
      </c>
      <c r="CQ607" t="str">
        <f t="shared" si="668"/>
        <v>36861Theta</v>
      </c>
    </row>
    <row r="608" spans="1:95" x14ac:dyDescent="0.25">
      <c r="A608" s="140" t="s">
        <v>279</v>
      </c>
      <c r="B608" t="s">
        <v>250</v>
      </c>
      <c r="C608" t="s">
        <v>553</v>
      </c>
      <c r="D608" s="4" t="s">
        <v>7</v>
      </c>
      <c r="E608" t="s">
        <v>20</v>
      </c>
      <c r="F608" t="s">
        <v>1</v>
      </c>
      <c r="G608" s="5">
        <v>36923</v>
      </c>
      <c r="H608" s="130">
        <v>-500000</v>
      </c>
      <c r="I608" s="235">
        <v>1.52</v>
      </c>
      <c r="J608" s="53">
        <f t="shared" si="709"/>
        <v>4.4800000000000004</v>
      </c>
      <c r="K608" s="7">
        <f t="shared" si="710"/>
        <v>2.09</v>
      </c>
      <c r="L608" s="53">
        <f t="shared" si="711"/>
        <v>6.57</v>
      </c>
      <c r="M608" s="157">
        <f t="shared" si="712"/>
        <v>6.8640161611372E-2</v>
      </c>
      <c r="N608" s="4">
        <f t="shared" si="713"/>
        <v>0.59250000000000003</v>
      </c>
      <c r="O608" s="4">
        <f t="shared" si="714"/>
        <v>0.68100000000000005</v>
      </c>
      <c r="P608" s="9">
        <f t="shared" si="715"/>
        <v>0.83</v>
      </c>
      <c r="Q608" s="5">
        <f t="shared" si="708"/>
        <v>36921</v>
      </c>
      <c r="R608" s="4">
        <f t="shared" si="716"/>
        <v>0</v>
      </c>
      <c r="S608" s="158">
        <f>_xll.xSPRDOPT($L608,$J608,$I608,$M608,$O608,$N608,$P608,$Q608-$C$3,$R608,0)</f>
        <v>0.39274976177306331</v>
      </c>
      <c r="T608" s="159">
        <f>_xll.xSPRDOPT($L608,$J608,$I608,$M608,$O608,$N608,$P608,$Q608-$C$3,$R608,1)*H608</f>
        <v>152511.98819181116</v>
      </c>
      <c r="U608" s="160">
        <f t="shared" si="717"/>
        <v>-196374.88088653167</v>
      </c>
      <c r="V608" s="159">
        <f>_xll.xSPRDOPT($L608,$J608,$I608,$M608,$O608,$N608,$P608,$Q608-$C$3,$R608,2)*H608</f>
        <v>-193839.31798681404</v>
      </c>
      <c r="W608" s="159">
        <f t="shared" si="718"/>
        <v>-41327.329795002879</v>
      </c>
      <c r="X608" s="51" t="str">
        <f t="shared" si="719"/>
        <v>36923IF-TRANSCO/Z6</v>
      </c>
      <c r="Y608" s="418">
        <f t="shared" si="720"/>
        <v>-50</v>
      </c>
      <c r="Z608" s="456">
        <f t="shared" si="721"/>
        <v>-0.30502397638362233</v>
      </c>
      <c r="AA608" s="456">
        <f>_xll.xSPRDOPT($L608,$J608,$I608,$M608,$O608,$N608,$P608,$Q608-$C$3,$R608,3)</f>
        <v>0.20167251264835592</v>
      </c>
      <c r="AB608" s="456">
        <f>((_xll.xSPRDOPT($L608+AB$5,$J608,$I608,$M608,$O608,$N608,$P608,$Q608-$C$3,$R608,3)*$H608)/10000)/100</f>
        <v>-0.10083625632417796</v>
      </c>
      <c r="AC608" s="456">
        <f>((_xll.xSPRDOPT($L608+$AB$5,$J608,$I608,$M608,$O608,$N608,$P608,$Q608-$C$3,$R608,7)*$H608)/100)</f>
        <v>5512.2069129265592</v>
      </c>
      <c r="AD608" s="456">
        <f>(_xll.xSPRDOPT($L608+$AB$5,$J608,$I608,$M608,$O608,$N608,$P608,$Q608-$C$3,$R608,9)/365)*$H608</f>
        <v>925.22498074961982</v>
      </c>
      <c r="AE608">
        <f t="shared" si="707"/>
        <v>0</v>
      </c>
      <c r="AF608" s="456">
        <f t="shared" si="722"/>
        <v>-4998.1550981577248</v>
      </c>
      <c r="AG608" s="456">
        <f>((_xll.xSPRDOPT($L608,$J608,$I608,$M608,$O608,$N608,$P608,$Q608-$C$3,$R608,6)*$H608)/100)</f>
        <v>1644.3939060885712</v>
      </c>
      <c r="AH608" s="456">
        <f>((_xll.xSPRDOPT($L608,$J608,$I608,$M608,$O608,$N608,$P608,$Q608-$C$3,$R608,5)*$H608)/100)</f>
        <v>-5779.3102569984285</v>
      </c>
      <c r="AI608" s="456">
        <f>(((_xll.xSPRDOPT($L608,$J608,$I608,$M608,$O608,$N608,$P608,$Q608-$C$3,$R608,4)*$H608)/10000)/100)-AB608</f>
        <v>-2.0373246664722997E-2</v>
      </c>
      <c r="AJ608" s="456"/>
      <c r="AK608" s="456"/>
      <c r="CC608" s="141">
        <f t="shared" si="723"/>
        <v>36892</v>
      </c>
      <c r="CD608" s="234">
        <f>_xll.xSPRDOPT((VLOOKUP(G607,NGPrices,2,FALSE)+HLOOKUP(D607,Prices,VLOOKUP(G607,move_down,2,FALSE),FALSE)),VLOOKUP(G607,NGPrices,2,FALSE),I607,VLOOKUP(G607,NGPREVPRICES,4,FALSE),HLOOKUP(D607,PREVVOLS,VLOOKUP(G607,MOVE_DOWN2,2,FALSE),FALSE),VLOOKUP(G607,NGPREVPRICES,3,FALSE),HLOOKUP(D607,Correllate,VLOOKUP(G607,CorMove,2,FALSE),FALSE),Q607-$CD$3,R607,$CD$5)*H607-CJ608</f>
        <v>0</v>
      </c>
      <c r="CE608" s="234">
        <f>_xll.xSPRDOPT((VLOOKUP(G607,NGPREVPRICES,2,FALSE)+HLOOKUP(D607,PREVCURVES,VLOOKUP(G607,MOVE_DOWN2,2,FALSE),FALSE)),VLOOKUP(G607,NGPREVPRICES,2,FALSE),CK608,VLOOKUP(G607,NGPrices,4,FALSE),HLOOKUP(D607,PREVVOLS,VLOOKUP(G607,MOVE_DOWN2,2,FALSE),FALSE),VLOOKUP(G607,NGPREVPRICES,3,FALSE),HLOOKUP(D607,Correllate,VLOOKUP(G607,CorMove,2,FALSE),FALSE),Q607-$CD$3,R607,$CJ$5)*H607-CJ608</f>
        <v>0</v>
      </c>
      <c r="CF608" s="10">
        <f t="shared" si="724"/>
        <v>31.843729572690791</v>
      </c>
      <c r="CG608" s="234">
        <f>_xll.xSPRDOPT((VLOOKUP(G607,NGPREVPRICES,2,FALSE)+HLOOKUP(D607,PREVCURVES,VLOOKUP(G607,MOVE_DOWN2,2,FALSE),FALSE)),VLOOKUP(G607,NGPREVPRICES,2,FALSE),CK608,VLOOKUP(G607,NGPREVPRICES,4,FALSE),HLOOKUP(D607,VOLS,VLOOKUP(G607,move_down,2,FALSE),FALSE),VLOOKUP(G607,NGPrices,3,FALSE),HLOOKUP(D607,Correllate,VLOOKUP(G607,CorMove,2,FALSE),FALSE),Q607-$CD$3,R607,$CJ$5)*H607-CJ608</f>
        <v>0</v>
      </c>
      <c r="CH608" s="234">
        <f>_xll.xSPRDOPT((VLOOKUP(G607,NGPREVPRICES,2,FALSE)+HLOOKUP(D607,PREVCURVES,VLOOKUP(G607,MOVE_DOWN2,2,FALSE),FALSE)),VLOOKUP(G607,NGPREVPRICES,2,FALSE),CK608,VLOOKUP(G607,NGPREVPRICES,4,FALSE),HLOOKUP(D607,PREVVOLS,VLOOKUP(G607,MOVE_DOWN2,2,FALSE),FALSE),VLOOKUP(G607,NGPREVPRICES,3,FALSE),HLOOKUP(D607,Correllate,VLOOKUP(G607,CorMove,2,FALSE),FALSE),Q607-$C$3,R607,$CJ$5)*H607-CJ608</f>
        <v>1099.6464042275329</v>
      </c>
      <c r="CI608" s="234">
        <f t="shared" si="725"/>
        <v>1131.4901338002237</v>
      </c>
      <c r="CJ608" s="234">
        <f>_xll.xSPRDOPT((VLOOKUP(G607,NGPREVPRICES,2,FALSE)+HLOOKUP(D607,PREVCURVES,VLOOKUP(G607,MOVE_DOWN2,2,FALSE),FALSE)),VLOOKUP(G607,NGPREVPRICES,2,FALSE),CK608,VLOOKUP(G607,NGPREVPRICES,4,FALSE),HLOOKUP(D607,PREVVOLS,VLOOKUP(G607,MOVE_DOWN2,2,FALSE),FALSE),VLOOKUP(G607,NGPREVPRICES,3,FALSE),HLOOKUP(D607,Correllate,VLOOKUP(G607,CorMove,2,FALSE),FALSE),Q607-$CD$3,R607,$CJ$5)*H607</f>
        <v>-168984.99705422309</v>
      </c>
      <c r="CK608" s="235">
        <f t="shared" si="726"/>
        <v>1.52</v>
      </c>
      <c r="CM608" t="str">
        <f t="shared" si="727"/>
        <v>36892Curve Shift/Gamma</v>
      </c>
      <c r="CN608" t="str">
        <f t="shared" si="665"/>
        <v>36892Rho</v>
      </c>
      <c r="CO608" t="str">
        <f t="shared" si="666"/>
        <v>36892Drift</v>
      </c>
      <c r="CP608" t="str">
        <f t="shared" si="667"/>
        <v>36892Vega</v>
      </c>
      <c r="CQ608" t="str">
        <f t="shared" si="668"/>
        <v>36892Theta</v>
      </c>
    </row>
    <row r="609" spans="1:95" x14ac:dyDescent="0.25">
      <c r="A609" s="140" t="s">
        <v>279</v>
      </c>
      <c r="B609" t="s">
        <v>250</v>
      </c>
      <c r="C609" t="s">
        <v>553</v>
      </c>
      <c r="D609" s="4" t="s">
        <v>7</v>
      </c>
      <c r="E609" t="s">
        <v>20</v>
      </c>
      <c r="F609" t="s">
        <v>1</v>
      </c>
      <c r="G609" s="5">
        <v>36951</v>
      </c>
      <c r="H609" s="130">
        <v>-500000</v>
      </c>
      <c r="I609" s="235">
        <v>1.52</v>
      </c>
      <c r="J609" s="53">
        <f t="shared" si="709"/>
        <v>4.2130000000000001</v>
      </c>
      <c r="K609" s="7">
        <f t="shared" si="710"/>
        <v>1.075</v>
      </c>
      <c r="L609" s="53">
        <f t="shared" si="711"/>
        <v>5.2880000000000003</v>
      </c>
      <c r="M609" s="157">
        <f t="shared" si="712"/>
        <v>6.8879814952706994E-2</v>
      </c>
      <c r="N609" s="4">
        <f t="shared" si="713"/>
        <v>0.53249999999999997</v>
      </c>
      <c r="O609" s="4">
        <f t="shared" si="714"/>
        <v>0.61199999999999999</v>
      </c>
      <c r="P609" s="9">
        <f t="shared" si="715"/>
        <v>0.83</v>
      </c>
      <c r="Q609" s="5">
        <f t="shared" si="708"/>
        <v>36949</v>
      </c>
      <c r="R609" s="4">
        <f t="shared" si="716"/>
        <v>0</v>
      </c>
      <c r="S609" s="158">
        <f>_xll.xSPRDOPT($L609,$J609,$I609,$M609,$O609,$N609,$P609,$Q609-$C$3,$R609,0)</f>
        <v>0.78104621411041619</v>
      </c>
      <c r="T609" s="159">
        <f>_xll.xSPRDOPT($L609,$J609,$I609,$M609,$O609,$N609,$P609,$Q609-$C$3,$R609,1)*H609</f>
        <v>276977.93710148765</v>
      </c>
      <c r="U609" s="160">
        <f t="shared" si="717"/>
        <v>-390523.10705520812</v>
      </c>
      <c r="V609" s="159">
        <f>_xll.xSPRDOPT($L609,$J609,$I609,$M609,$O609,$N609,$P609,$Q609-$C$3,$R609,2)*H609</f>
        <v>-318204.88729962526</v>
      </c>
      <c r="W609" s="159">
        <f t="shared" si="718"/>
        <v>-41226.950198137609</v>
      </c>
      <c r="X609" s="51" t="str">
        <f t="shared" si="719"/>
        <v>36951IF-TRANSCO/Z6</v>
      </c>
      <c r="Y609" s="418">
        <f t="shared" si="720"/>
        <v>-50</v>
      </c>
      <c r="Z609" s="456">
        <f t="shared" si="721"/>
        <v>-0.55395587420297532</v>
      </c>
      <c r="AA609" s="456">
        <f>_xll.xSPRDOPT($L609,$J609,$I609,$M609,$O609,$N609,$P609,$Q609-$C$3,$R609,3)</f>
        <v>0.28250325164349732</v>
      </c>
      <c r="AB609" s="456">
        <f>((_xll.xSPRDOPT($L609+AB$5,$J609,$I609,$M609,$O609,$N609,$P609,$Q609-$C$3,$R609,3)*$H609)/10000)/100</f>
        <v>-0.14125162582174866</v>
      </c>
      <c r="AC609" s="456">
        <f>((_xll.xSPRDOPT($L609+$AB$5,$J609,$I609,$M609,$O609,$N609,$P609,$Q609-$C$3,$R609,7)*$H609)/100)</f>
        <v>4794.1464653333096</v>
      </c>
      <c r="AD609" s="456">
        <f>(_xll.xSPRDOPT($L609+$AB$5,$J609,$I609,$M609,$O609,$N609,$P609,$Q609-$C$3,$R609,9)/365)*$H609</f>
        <v>628.6768310578052</v>
      </c>
      <c r="AE609">
        <f t="shared" si="707"/>
        <v>0</v>
      </c>
      <c r="AF609" s="456">
        <f t="shared" si="722"/>
        <v>-4797.9124267874377</v>
      </c>
      <c r="AG609" s="456">
        <f>((_xll.xSPRDOPT($L609,$J609,$I609,$M609,$O609,$N609,$P609,$Q609-$C$3,$R609,6)*$H609)/100)</f>
        <v>1572.8568204146038</v>
      </c>
      <c r="AH609" s="456">
        <f>((_xll.xSPRDOPT($L609,$J609,$I609,$M609,$O609,$N609,$P609,$Q609-$C$3,$R609,5)*$H609)/100)</f>
        <v>-5543.1938302860899</v>
      </c>
      <c r="AI609" s="456">
        <f>(((_xll.xSPRDOPT($L609,$J609,$I609,$M609,$O609,$N609,$P609,$Q609-$C$3,$R609,4)*$H609)/10000)/100)-AB609</f>
        <v>1.5981950606260897E-2</v>
      </c>
      <c r="AJ609" s="456"/>
      <c r="AK609" s="456"/>
      <c r="CC609" s="141">
        <f t="shared" si="723"/>
        <v>36923</v>
      </c>
      <c r="CD609" s="234">
        <f>_xll.xSPRDOPT((VLOOKUP(G608,NGPrices,2,FALSE)+HLOOKUP(D608,Prices,VLOOKUP(G608,move_down,2,FALSE),FALSE)),VLOOKUP(G608,NGPrices,2,FALSE),I608,VLOOKUP(G608,NGPREVPRICES,4,FALSE),HLOOKUP(D608,PREVVOLS,VLOOKUP(G608,MOVE_DOWN2,2,FALSE),FALSE),VLOOKUP(G608,NGPREVPRICES,3,FALSE),HLOOKUP(D608,Correllate,VLOOKUP(G608,CorMove,2,FALSE),FALSE),Q608-$CD$3,R608,$CD$5)*H608-CJ609</f>
        <v>0</v>
      </c>
      <c r="CE609" s="234">
        <f>_xll.xSPRDOPT((VLOOKUP(G608,NGPREVPRICES,2,FALSE)+HLOOKUP(D608,PREVCURVES,VLOOKUP(G608,MOVE_DOWN2,2,FALSE),FALSE)),VLOOKUP(G608,NGPREVPRICES,2,FALSE),CK609,VLOOKUP(G608,NGPrices,4,FALSE),HLOOKUP(D608,PREVVOLS,VLOOKUP(G608,MOVE_DOWN2,2,FALSE),FALSE),VLOOKUP(G608,NGPREVPRICES,3,FALSE),HLOOKUP(D608,Correllate,VLOOKUP(G608,CorMove,2,FALSE),FALSE),Q608-$CD$3,R608,$CJ$5)*H608-CJ609</f>
        <v>0</v>
      </c>
      <c r="CF609" s="10">
        <f t="shared" si="724"/>
        <v>37.523787877085852</v>
      </c>
      <c r="CG609" s="234">
        <f>_xll.xSPRDOPT((VLOOKUP(G608,NGPREVPRICES,2,FALSE)+HLOOKUP(D608,PREVCURVES,VLOOKUP(G608,MOVE_DOWN2,2,FALSE),FALSE)),VLOOKUP(G608,NGPREVPRICES,2,FALSE),CK609,VLOOKUP(G608,NGPREVPRICES,4,FALSE),HLOOKUP(D608,VOLS,VLOOKUP(G608,move_down,2,FALSE),FALSE),VLOOKUP(G608,NGPrices,3,FALSE),HLOOKUP(D608,Correllate,VLOOKUP(G608,CorMove,2,FALSE),FALSE),Q608-$CD$3,R608,$CJ$5)*H608-CJ609</f>
        <v>0</v>
      </c>
      <c r="CH609" s="234">
        <f>_xll.xSPRDOPT((VLOOKUP(G608,NGPREVPRICES,2,FALSE)+HLOOKUP(D608,PREVCURVES,VLOOKUP(G608,MOVE_DOWN2,2,FALSE),FALSE)),VLOOKUP(G608,NGPREVPRICES,2,FALSE),CK609,VLOOKUP(G608,NGPREVPRICES,4,FALSE),HLOOKUP(D608,PREVVOLS,VLOOKUP(G608,MOVE_DOWN2,2,FALSE),FALSE),VLOOKUP(G608,NGPREVPRICES,3,FALSE),HLOOKUP(D608,Correllate,VLOOKUP(G608,CorMove,2,FALSE),FALSE),Q608-$C$3,R608,$CJ$5)*H608-CJ609</f>
        <v>923.03459496732103</v>
      </c>
      <c r="CI609" s="234">
        <f t="shared" si="725"/>
        <v>960.55838284440688</v>
      </c>
      <c r="CJ609" s="234">
        <f>_xll.xSPRDOPT((VLOOKUP(G608,NGPREVPRICES,2,FALSE)+HLOOKUP(D608,PREVCURVES,VLOOKUP(G608,MOVE_DOWN2,2,FALSE),FALSE)),VLOOKUP(G608,NGPREVPRICES,2,FALSE),CK609,VLOOKUP(G608,NGPREVPRICES,4,FALSE),HLOOKUP(D608,PREVVOLS,VLOOKUP(G608,MOVE_DOWN2,2,FALSE),FALSE),VLOOKUP(G608,NGPREVPRICES,3,FALSE),HLOOKUP(D608,Correllate,VLOOKUP(G608,CorMove,2,FALSE),FALSE),Q608-$CD$3,R608,$CJ$5)*H608</f>
        <v>-197297.91548149899</v>
      </c>
      <c r="CK609" s="235">
        <f t="shared" si="726"/>
        <v>1.52</v>
      </c>
      <c r="CM609" t="str">
        <f t="shared" si="727"/>
        <v>36923Curve Shift/Gamma</v>
      </c>
      <c r="CN609" t="str">
        <f t="shared" si="665"/>
        <v>36923Rho</v>
      </c>
      <c r="CO609" t="str">
        <f t="shared" si="666"/>
        <v>36923Drift</v>
      </c>
      <c r="CP609" t="str">
        <f t="shared" si="667"/>
        <v>36923Vega</v>
      </c>
      <c r="CQ609" t="str">
        <f t="shared" si="668"/>
        <v>36923Theta</v>
      </c>
    </row>
    <row r="610" spans="1:95" x14ac:dyDescent="0.25">
      <c r="A610" s="140" t="s">
        <v>320</v>
      </c>
      <c r="B610" t="s">
        <v>250</v>
      </c>
      <c r="C610" t="s">
        <v>554</v>
      </c>
      <c r="D610" s="4" t="s">
        <v>7</v>
      </c>
      <c r="E610" t="s">
        <v>20</v>
      </c>
      <c r="F610" t="s">
        <v>21</v>
      </c>
      <c r="G610" s="5">
        <v>36831</v>
      </c>
      <c r="H610" s="130">
        <v>500000</v>
      </c>
      <c r="I610" s="235">
        <v>1</v>
      </c>
      <c r="J610" s="53">
        <f t="shared" ref="J610:J626" si="728">VLOOKUP(G610,NGPrices,2,FALSE)</f>
        <v>4.7359999999999998</v>
      </c>
      <c r="K610" s="7">
        <f t="shared" ref="K610:K626" si="729">HLOOKUP(D610,Prices,VLOOKUP(G610,move_down,2,FALSE),FALSE)+VLOOKUP(G610,CHANGE,HLOOKUP(D610,CHANGE,2,FALSE),FALSE)</f>
        <v>0.77</v>
      </c>
      <c r="L610" s="53">
        <f t="shared" ref="L610:L626" si="730">K610+J610</f>
        <v>5.5060000000000002</v>
      </c>
      <c r="M610" s="157">
        <f t="shared" ref="M610:M626" si="731">VLOOKUP(G610,NGPrices,4,FALSE)</f>
        <v>6.810675983792E-2</v>
      </c>
      <c r="N610" s="4">
        <f t="shared" ref="N610:N626" si="732">VLOOKUP(G610,NGPrices,3,FALSE)</f>
        <v>0.59499999999999997</v>
      </c>
      <c r="O610" s="4">
        <f t="shared" ref="O610:O626" si="733">HLOOKUP(D610,VOLS,VLOOKUP(G610,move_down,2,FALSE),FALSE)</f>
        <v>0.625</v>
      </c>
      <c r="P610" s="9">
        <f t="shared" ref="P610:P626" si="734">HLOOKUP(D610,Correllate,VLOOKUP(G610,CorMove,2,FALSE),FALSE)</f>
        <v>0.89</v>
      </c>
      <c r="Q610" s="5">
        <f t="shared" si="708"/>
        <v>36829</v>
      </c>
      <c r="R610" s="4">
        <f t="shared" ref="R610:R626" si="735">IF(F610="P",0,1)</f>
        <v>1</v>
      </c>
      <c r="S610" s="158">
        <f>_xll.xSPRDOPT($L610,$J610,$I610,$M610,$O610,$N610,$P610,$Q610-$C$3,$R610,0)</f>
        <v>0.16844177648588188</v>
      </c>
      <c r="T610" s="159">
        <f>_xll.xSPRDOPT($L610,$J610,$I610,$M610,$O610,$N610,$P610,$Q610-$C$3,$R610,1)*H610</f>
        <v>193068.22787332302</v>
      </c>
      <c r="U610" s="160">
        <f t="shared" ref="U610:U626" si="736">S610*H610</f>
        <v>84220.888242940942</v>
      </c>
      <c r="V610" s="159">
        <f>_xll.xSPRDOPT($L610,$J610,$I610,$M610,$O610,$N610,$P610,$Q610-$C$3,$R610,2)*H610</f>
        <v>-172342.94683143005</v>
      </c>
      <c r="W610" s="159">
        <f t="shared" ref="W610:W626" si="737">+V610+T610</f>
        <v>20725.281041892973</v>
      </c>
      <c r="X610" s="51" t="str">
        <f t="shared" ref="X610:X626" si="738">CONCATENATE(G610,D610)</f>
        <v>36831IF-TRANSCO/Z6</v>
      </c>
      <c r="Y610" s="418">
        <f t="shared" ref="Y610:Y626" si="739">H610/10000</f>
        <v>50</v>
      </c>
      <c r="Z610" s="456">
        <f t="shared" ref="Z610:Z626" si="740">T610/H610</f>
        <v>0.38613645574664601</v>
      </c>
      <c r="AA610" s="456">
        <f>_xll.xSPRDOPT($L610,$J610,$I610,$M610,$O610,$N610,$P610,$Q610-$C$3,$R610,3)</f>
        <v>0.57258794695311976</v>
      </c>
      <c r="AB610" s="456">
        <f>((_xll.xSPRDOPT($L610+AB$5,$J610,$I610,$M610,$O610,$N610,$P610,$Q610-$C$3,$R610,3)*$H610)/10000)/100</f>
        <v>0.28629397347655983</v>
      </c>
      <c r="AC610" s="456">
        <f>((_xll.xSPRDOPT($L610+$AB$5,$J610,$I610,$M610,$O610,$N610,$P610,$Q610-$C$3,$R610,7)*$H610)/100)</f>
        <v>-4543.9063832175589</v>
      </c>
      <c r="AD610" s="456">
        <f>(_xll.xSPRDOPT($L610+$AB$5,$J610,$I610,$M610,$O610,$N610,$P610,$Q610-$C$3,$R610,9)/365)*$H610</f>
        <v>-1001.3570156297025</v>
      </c>
      <c r="AE610">
        <f t="shared" si="707"/>
        <v>0</v>
      </c>
      <c r="AF610" s="456">
        <f t="shared" ref="AF610:AF626" si="741">((O610/N610)*AH610)+AG610</f>
        <v>2118.1616693694514</v>
      </c>
      <c r="AG610" s="456">
        <f>((_xll.xSPRDOPT($L610,$J610,$I610,$M610,$O610,$N610,$P610,$Q610-$C$3,$R610,6)*$H610)/100)</f>
        <v>-757.35086150108123</v>
      </c>
      <c r="AH610" s="456">
        <f>((_xll.xSPRDOPT($L610,$J610,$I610,$M610,$O610,$N610,$P610,$Q610-$C$3,$R610,5)*$H610)/100)</f>
        <v>2737.487929388747</v>
      </c>
      <c r="AI610" s="456">
        <f>(((_xll.xSPRDOPT($L610,$J610,$I610,$M610,$O610,$N610,$P610,$Q610-$C$3,$R610,4)*$H610)/10000)/100)-AB610</f>
        <v>-1.9696460585435782E-2</v>
      </c>
      <c r="AJ610" s="456"/>
      <c r="AK610" s="456"/>
      <c r="CC610" s="141">
        <f t="shared" si="723"/>
        <v>36951</v>
      </c>
      <c r="CD610" s="234">
        <f>_xll.xSPRDOPT((VLOOKUP(G609,NGPrices,2,FALSE)+HLOOKUP(D609,Prices,VLOOKUP(G609,move_down,2,FALSE),FALSE)),VLOOKUP(G609,NGPrices,2,FALSE),I609,VLOOKUP(G609,NGPREVPRICES,4,FALSE),HLOOKUP(D609,PREVVOLS,VLOOKUP(G609,MOVE_DOWN2,2,FALSE),FALSE),VLOOKUP(G609,NGPREVPRICES,3,FALSE),HLOOKUP(D609,Correllate,VLOOKUP(G609,CorMove,2,FALSE),FALSE),Q609-$CD$3,R609,$CD$5)*H609-CJ610</f>
        <v>0</v>
      </c>
      <c r="CE610" s="234">
        <f>_xll.xSPRDOPT((VLOOKUP(G609,NGPREVPRICES,2,FALSE)+HLOOKUP(D609,PREVCURVES,VLOOKUP(G609,MOVE_DOWN2,2,FALSE),FALSE)),VLOOKUP(G609,NGPREVPRICES,2,FALSE),CK610,VLOOKUP(G609,NGPrices,4,FALSE),HLOOKUP(D609,PREVVOLS,VLOOKUP(G609,MOVE_DOWN2,2,FALSE),FALSE),VLOOKUP(G609,NGPREVPRICES,3,FALSE),HLOOKUP(D609,Correllate,VLOOKUP(G609,CorMove,2,FALSE),FALSE),Q609-$CD$3,R609,$CJ$5)*H609-CJ610</f>
        <v>0</v>
      </c>
      <c r="CF610" s="10">
        <f t="shared" si="724"/>
        <v>75.016792738519143</v>
      </c>
      <c r="CG610" s="234">
        <f>_xll.xSPRDOPT((VLOOKUP(G609,NGPREVPRICES,2,FALSE)+HLOOKUP(D609,PREVCURVES,VLOOKUP(G609,MOVE_DOWN2,2,FALSE),FALSE)),VLOOKUP(G609,NGPREVPRICES,2,FALSE),CK610,VLOOKUP(G609,NGPREVPRICES,4,FALSE),HLOOKUP(D609,VOLS,VLOOKUP(G609,move_down,2,FALSE),FALSE),VLOOKUP(G609,NGPrices,3,FALSE),HLOOKUP(D609,Correllate,VLOOKUP(G609,CorMove,2,FALSE),FALSE),Q609-$CD$3,R609,$CJ$5)*H609-CJ610</f>
        <v>0</v>
      </c>
      <c r="CH610" s="234">
        <f>_xll.xSPRDOPT((VLOOKUP(G609,NGPREVPRICES,2,FALSE)+HLOOKUP(D609,PREVCURVES,VLOOKUP(G609,MOVE_DOWN2,2,FALSE),FALSE)),VLOOKUP(G609,NGPREVPRICES,2,FALSE),CK610,VLOOKUP(G609,NGPREVPRICES,4,FALSE),HLOOKUP(D609,PREVVOLS,VLOOKUP(G609,MOVE_DOWN2,2,FALSE),FALSE),VLOOKUP(G609,NGPREVPRICES,3,FALSE),HLOOKUP(D609,Correllate,VLOOKUP(G609,CorMove,2,FALSE),FALSE),Q609-$C$3,R609,$CJ$5)*H609-CJ610</f>
        <v>627.24822113453411</v>
      </c>
      <c r="CI610" s="234">
        <f t="shared" si="725"/>
        <v>702.26501387305325</v>
      </c>
      <c r="CJ610" s="234">
        <f>_xll.xSPRDOPT((VLOOKUP(G609,NGPREVPRICES,2,FALSE)+HLOOKUP(D609,PREVCURVES,VLOOKUP(G609,MOVE_DOWN2,2,FALSE),FALSE)),VLOOKUP(G609,NGPREVPRICES,2,FALSE),CK610,VLOOKUP(G609,NGPREVPRICES,4,FALSE),HLOOKUP(D609,PREVVOLS,VLOOKUP(G609,MOVE_DOWN2,2,FALSE),FALSE),VLOOKUP(G609,NGPREVPRICES,3,FALSE),HLOOKUP(D609,Correllate,VLOOKUP(G609,CorMove,2,FALSE),FALSE),Q609-$CD$3,R609,$CJ$5)*H609</f>
        <v>-391150.35527634266</v>
      </c>
      <c r="CK610" s="235">
        <f t="shared" si="726"/>
        <v>1.52</v>
      </c>
      <c r="CM610" t="str">
        <f t="shared" si="727"/>
        <v>36951Curve Shift/Gamma</v>
      </c>
      <c r="CN610" t="str">
        <f t="shared" si="665"/>
        <v>36951Rho</v>
      </c>
      <c r="CO610" t="str">
        <f t="shared" si="666"/>
        <v>36951Drift</v>
      </c>
      <c r="CP610" t="str">
        <f t="shared" si="667"/>
        <v>36951Vega</v>
      </c>
      <c r="CQ610" t="str">
        <f t="shared" si="668"/>
        <v>36951Theta</v>
      </c>
    </row>
    <row r="611" spans="1:95" x14ac:dyDescent="0.25">
      <c r="A611" s="140" t="s">
        <v>320</v>
      </c>
      <c r="B611" t="s">
        <v>250</v>
      </c>
      <c r="C611" t="s">
        <v>555</v>
      </c>
      <c r="D611" s="4" t="s">
        <v>7</v>
      </c>
      <c r="E611" t="s">
        <v>20</v>
      </c>
      <c r="F611" t="s">
        <v>21</v>
      </c>
      <c r="G611" s="5">
        <v>36831</v>
      </c>
      <c r="H611" s="130">
        <v>-500000</v>
      </c>
      <c r="I611" s="235">
        <v>1.5</v>
      </c>
      <c r="J611" s="53">
        <f t="shared" si="728"/>
        <v>4.7359999999999998</v>
      </c>
      <c r="K611" s="7">
        <f t="shared" si="729"/>
        <v>0.77</v>
      </c>
      <c r="L611" s="53">
        <f t="shared" si="730"/>
        <v>5.5060000000000002</v>
      </c>
      <c r="M611" s="157">
        <f t="shared" si="731"/>
        <v>6.810675983792E-2</v>
      </c>
      <c r="N611" s="4">
        <f t="shared" si="732"/>
        <v>0.59499999999999997</v>
      </c>
      <c r="O611" s="4">
        <f t="shared" si="733"/>
        <v>0.625</v>
      </c>
      <c r="P611" s="9">
        <f t="shared" si="734"/>
        <v>0.89</v>
      </c>
      <c r="Q611" s="5">
        <f t="shared" si="708"/>
        <v>36829</v>
      </c>
      <c r="R611" s="4">
        <f t="shared" si="735"/>
        <v>1</v>
      </c>
      <c r="S611" s="158">
        <f>_xll.xSPRDOPT($L611,$J611,$I611,$M611,$O611,$N611,$P611,$Q611-$C$3,$R611,0)</f>
        <v>6.010849191709268E-2</v>
      </c>
      <c r="T611" s="159">
        <f>_xll.xSPRDOPT($L611,$J611,$I611,$M611,$O611,$N611,$P611,$Q611-$C$3,$R611,1)*H611</f>
        <v>-86735.151951746026</v>
      </c>
      <c r="U611" s="160">
        <f t="shared" si="736"/>
        <v>-30054.24595854634</v>
      </c>
      <c r="V611" s="159">
        <f>_xll.xSPRDOPT($L611,$J611,$I611,$M611,$O611,$N611,$P611,$Q611-$C$3,$R611,2)*H611</f>
        <v>73839.790242556279</v>
      </c>
      <c r="W611" s="159">
        <f t="shared" si="737"/>
        <v>-12895.361709189747</v>
      </c>
      <c r="X611" s="51" t="str">
        <f t="shared" si="738"/>
        <v>36831IF-TRANSCO/Z6</v>
      </c>
      <c r="Y611" s="418">
        <f t="shared" si="739"/>
        <v>-50</v>
      </c>
      <c r="Z611" s="456">
        <f t="shared" si="740"/>
        <v>0.17347030390349205</v>
      </c>
      <c r="AA611" s="456">
        <f>_xll.xSPRDOPT($L611,$J611,$I611,$M611,$O611,$N611,$P611,$Q611-$C$3,$R611,3)</f>
        <v>0.3741819230072515</v>
      </c>
      <c r="AB611" s="456">
        <f>((_xll.xSPRDOPT($L611+AB$5,$J611,$I611,$M611,$O611,$N611,$P611,$Q611-$C$3,$R611,3)*$H611)/10000)/100</f>
        <v>-0.18709096150362575</v>
      </c>
      <c r="AC611" s="456">
        <f>((_xll.xSPRDOPT($L611+$AB$5,$J611,$I611,$M611,$O611,$N611,$P611,$Q611-$C$3,$R611,7)*$H611)/100)</f>
        <v>2776.5452361140765</v>
      </c>
      <c r="AD611" s="456">
        <f>(_xll.xSPRDOPT($L611+$AB$5,$J611,$I611,$M611,$O611,$N611,$P611,$Q611-$C$3,$R611,9)/365)*$H611</f>
        <v>699.35696387381586</v>
      </c>
      <c r="AE611">
        <f t="shared" si="707"/>
        <v>0</v>
      </c>
      <c r="AF611" s="456">
        <f t="shared" si="741"/>
        <v>-1468.1649593459747</v>
      </c>
      <c r="AG611" s="456">
        <f>((_xll.xSPRDOPT($L611,$J611,$I611,$M611,$O611,$N611,$P611,$Q611-$C$3,$R611,6)*$H611)/100)</f>
        <v>699.44846556877553</v>
      </c>
      <c r="AH611" s="456">
        <f>((_xll.xSPRDOPT($L611,$J611,$I611,$M611,$O611,$N611,$P611,$Q611-$C$3,$R611,5)*$H611)/100)</f>
        <v>-2063.5679805188424</v>
      </c>
      <c r="AI611" s="456">
        <f>(((_xll.xSPRDOPT($L611,$J611,$I611,$M611,$O611,$N611,$P611,$Q611-$C$3,$R611,4)*$H611)/10000)/100)-AB611</f>
        <v>3.4634630810218336E-2</v>
      </c>
      <c r="AJ611" s="456"/>
      <c r="AK611" s="456"/>
      <c r="CC611" s="141">
        <f t="shared" ref="CC611:CC627" si="742">G610</f>
        <v>36831</v>
      </c>
      <c r="CD611" s="234">
        <f>_xll.xSPRDOPT((VLOOKUP(G610,NGPrices,2,FALSE)+HLOOKUP(D610,Prices,VLOOKUP(G610,move_down,2,FALSE),FALSE)),VLOOKUP(G610,NGPrices,2,FALSE),I610,VLOOKUP(G610,NGPREVPRICES,4,FALSE),HLOOKUP(D610,PREVVOLS,VLOOKUP(G610,MOVE_DOWN2,2,FALSE),FALSE),VLOOKUP(G610,NGPREVPRICES,3,FALSE),HLOOKUP(D610,Correllate,VLOOKUP(G610,CorMove,2,FALSE),FALSE),Q610-$CD$3,R610,$CD$5)*H610-CJ611</f>
        <v>0</v>
      </c>
      <c r="CE611" s="234">
        <f>_xll.xSPRDOPT((VLOOKUP(G610,NGPREVPRICES,2,FALSE)+HLOOKUP(D610,PREVCURVES,VLOOKUP(G610,MOVE_DOWN2,2,FALSE),FALSE)),VLOOKUP(G610,NGPREVPRICES,2,FALSE),CK611,VLOOKUP(G610,NGPrices,4,FALSE),HLOOKUP(D610,PREVVOLS,VLOOKUP(G610,MOVE_DOWN2,2,FALSE),FALSE),VLOOKUP(G610,NGPREVPRICES,3,FALSE),HLOOKUP(D610,Correllate,VLOOKUP(G610,CorMove,2,FALSE),FALSE),Q610-$CD$3,R610,$CJ$5)*H610-CJ611</f>
        <v>0</v>
      </c>
      <c r="CF611" s="10">
        <f t="shared" ref="CF611:CF627" si="743">(CJ611/VLOOKUP(CC611,discount,3,FALSE))-(CJ611/VLOOKUP(CC611,discount,2,FALSE))</f>
        <v>-15.825849295753869</v>
      </c>
      <c r="CG611" s="234">
        <f>_xll.xSPRDOPT((VLOOKUP(G610,NGPREVPRICES,2,FALSE)+HLOOKUP(D610,PREVCURVES,VLOOKUP(G610,MOVE_DOWN2,2,FALSE),FALSE)),VLOOKUP(G610,NGPREVPRICES,2,FALSE),CK611,VLOOKUP(G610,NGPREVPRICES,4,FALSE),HLOOKUP(D610,VOLS,VLOOKUP(G610,move_down,2,FALSE),FALSE),VLOOKUP(G610,NGPrices,3,FALSE),HLOOKUP(D610,Correllate,VLOOKUP(G610,CorMove,2,FALSE),FALSE),Q610-$CD$3,R610,$CJ$5)*H610-CJ611</f>
        <v>0</v>
      </c>
      <c r="CH611" s="234">
        <f>_xll.xSPRDOPT((VLOOKUP(G610,NGPREVPRICES,2,FALSE)+HLOOKUP(D610,PREVCURVES,VLOOKUP(G610,MOVE_DOWN2,2,FALSE),FALSE)),VLOOKUP(G610,NGPREVPRICES,2,FALSE),CK611,VLOOKUP(G610,NGPREVPRICES,4,FALSE),HLOOKUP(D610,PREVVOLS,VLOOKUP(G610,MOVE_DOWN2,2,FALSE),FALSE),VLOOKUP(G610,NGPREVPRICES,3,FALSE),HLOOKUP(D610,Correllate,VLOOKUP(G610,CorMove,2,FALSE),FALSE),Q610-$C$3,R610,$CJ$5)*H610-CJ611</f>
        <v>-996.8936876445805</v>
      </c>
      <c r="CI611" s="234">
        <f t="shared" ref="CI611:CI627" si="744">SUM(CD611:CH611)</f>
        <v>-1012.7195369403344</v>
      </c>
      <c r="CJ611" s="234">
        <f>_xll.xSPRDOPT((VLOOKUP(G610,NGPREVPRICES,2,FALSE)+HLOOKUP(D610,PREVCURVES,VLOOKUP(G610,MOVE_DOWN2,2,FALSE),FALSE)),VLOOKUP(G610,NGPREVPRICES,2,FALSE),CK611,VLOOKUP(G610,NGPREVPRICES,4,FALSE),HLOOKUP(D610,PREVVOLS,VLOOKUP(G610,MOVE_DOWN2,2,FALSE),FALSE),VLOOKUP(G610,NGPREVPRICES,3,FALSE),HLOOKUP(D610,Correllate,VLOOKUP(G610,CorMove,2,FALSE),FALSE),Q610-$CD$3,R610,$CJ$5)*H610</f>
        <v>85217.781930585523</v>
      </c>
      <c r="CK611" s="235">
        <f t="shared" ref="CK611:CK627" si="745">I610</f>
        <v>1</v>
      </c>
      <c r="CM611" t="str">
        <f t="shared" ref="CM611:CM627" si="746">CONCATENATE(CC611,$CD$6)</f>
        <v>36831Curve Shift/Gamma</v>
      </c>
      <c r="CN611" t="str">
        <f t="shared" si="665"/>
        <v>36831Rho</v>
      </c>
      <c r="CO611" t="str">
        <f t="shared" si="666"/>
        <v>36831Drift</v>
      </c>
      <c r="CP611" t="str">
        <f t="shared" si="667"/>
        <v>36831Vega</v>
      </c>
      <c r="CQ611" t="str">
        <f t="shared" si="668"/>
        <v>36831Theta</v>
      </c>
    </row>
    <row r="612" spans="1:95" x14ac:dyDescent="0.25">
      <c r="A612" s="140" t="s">
        <v>509</v>
      </c>
      <c r="B612" t="s">
        <v>250</v>
      </c>
      <c r="C612" t="s">
        <v>556</v>
      </c>
      <c r="D612" s="4" t="s">
        <v>7</v>
      </c>
      <c r="E612" t="s">
        <v>20</v>
      </c>
      <c r="F612" t="s">
        <v>21</v>
      </c>
      <c r="G612" s="5">
        <v>36831</v>
      </c>
      <c r="H612" s="130">
        <v>1000000</v>
      </c>
      <c r="I612" s="235">
        <v>1</v>
      </c>
      <c r="J612" s="53">
        <f t="shared" si="728"/>
        <v>4.7359999999999998</v>
      </c>
      <c r="K612" s="7">
        <f t="shared" si="729"/>
        <v>0.77</v>
      </c>
      <c r="L612" s="53">
        <f t="shared" si="730"/>
        <v>5.5060000000000002</v>
      </c>
      <c r="M612" s="157">
        <f t="shared" si="731"/>
        <v>6.810675983792E-2</v>
      </c>
      <c r="N612" s="4">
        <f t="shared" si="732"/>
        <v>0.59499999999999997</v>
      </c>
      <c r="O612" s="4">
        <f t="shared" si="733"/>
        <v>0.625</v>
      </c>
      <c r="P612" s="9">
        <f t="shared" si="734"/>
        <v>0.89</v>
      </c>
      <c r="Q612" s="5">
        <f t="shared" si="708"/>
        <v>36829</v>
      </c>
      <c r="R612" s="4">
        <f t="shared" si="735"/>
        <v>1</v>
      </c>
      <c r="S612" s="158">
        <f>_xll.xSPRDOPT($L612,$J612,$I612,$M612,$O612,$N612,$P612,$Q612-$C$3,$R612,0)</f>
        <v>0.16844177648588188</v>
      </c>
      <c r="T612" s="159">
        <f>_xll.xSPRDOPT($L612,$J612,$I612,$M612,$O612,$N612,$P612,$Q612-$C$3,$R612,1)*H612</f>
        <v>386136.45574664604</v>
      </c>
      <c r="U612" s="160">
        <f t="shared" si="736"/>
        <v>168441.77648588188</v>
      </c>
      <c r="V612" s="159">
        <f>_xll.xSPRDOPT($L612,$J612,$I612,$M612,$O612,$N612,$P612,$Q612-$C$3,$R612,2)*H612</f>
        <v>-344685.89366286009</v>
      </c>
      <c r="W612" s="159">
        <f t="shared" si="737"/>
        <v>41450.562083785946</v>
      </c>
      <c r="X612" s="51" t="str">
        <f t="shared" si="738"/>
        <v>36831IF-TRANSCO/Z6</v>
      </c>
      <c r="Y612" s="418">
        <f t="shared" si="739"/>
        <v>100</v>
      </c>
      <c r="Z612" s="456">
        <f t="shared" si="740"/>
        <v>0.38613645574664601</v>
      </c>
      <c r="AA612" s="456">
        <f>_xll.xSPRDOPT($L612,$J612,$I612,$M612,$O612,$N612,$P612,$Q612-$C$3,$R612,3)</f>
        <v>0.57258794695311976</v>
      </c>
      <c r="AB612" s="456">
        <f>((_xll.xSPRDOPT($L612+AB$5,$J612,$I612,$M612,$O612,$N612,$P612,$Q612-$C$3,$R612,3)*$H612)/10000)/100</f>
        <v>0.57258794695311965</v>
      </c>
      <c r="AC612" s="456">
        <f>((_xll.xSPRDOPT($L612+$AB$5,$J612,$I612,$M612,$O612,$N612,$P612,$Q612-$C$3,$R612,7)*$H612)/100)</f>
        <v>-9087.8127664351177</v>
      </c>
      <c r="AD612" s="456">
        <f>(_xll.xSPRDOPT($L612+$AB$5,$J612,$I612,$M612,$O612,$N612,$P612,$Q612-$C$3,$R612,9)/365)*$H612</f>
        <v>-2002.7140312594049</v>
      </c>
      <c r="AE612">
        <f t="shared" si="707"/>
        <v>0</v>
      </c>
      <c r="AF612" s="456">
        <f t="shared" si="741"/>
        <v>4236.3233387389027</v>
      </c>
      <c r="AG612" s="456">
        <f>((_xll.xSPRDOPT($L612,$J612,$I612,$M612,$O612,$N612,$P612,$Q612-$C$3,$R612,6)*$H612)/100)</f>
        <v>-1514.7017230021625</v>
      </c>
      <c r="AH612" s="456">
        <f>((_xll.xSPRDOPT($L612,$J612,$I612,$M612,$O612,$N612,$P612,$Q612-$C$3,$R612,5)*$H612)/100)</f>
        <v>5474.9758587774941</v>
      </c>
      <c r="AI612" s="456">
        <f>(((_xll.xSPRDOPT($L612,$J612,$I612,$M612,$O612,$N612,$P612,$Q612-$C$3,$R612,4)*$H612)/10000)/100)-AB612</f>
        <v>-3.9392921170871564E-2</v>
      </c>
      <c r="AJ612" s="456"/>
      <c r="AK612" s="456"/>
      <c r="CC612" s="141">
        <f t="shared" si="742"/>
        <v>36831</v>
      </c>
      <c r="CD612" s="234">
        <f>_xll.xSPRDOPT((VLOOKUP(G611,NGPrices,2,FALSE)+HLOOKUP(D611,Prices,VLOOKUP(G611,move_down,2,FALSE),FALSE)),VLOOKUP(G611,NGPrices,2,FALSE),I611,VLOOKUP(G611,NGPREVPRICES,4,FALSE),HLOOKUP(D611,PREVVOLS,VLOOKUP(G611,MOVE_DOWN2,2,FALSE),FALSE),VLOOKUP(G611,NGPREVPRICES,3,FALSE),HLOOKUP(D611,Correllate,VLOOKUP(G611,CorMove,2,FALSE),FALSE),Q611-$CD$3,R611,$CD$5)*H611-CJ612</f>
        <v>0</v>
      </c>
      <c r="CE612" s="234">
        <f>_xll.xSPRDOPT((VLOOKUP(G611,NGPREVPRICES,2,FALSE)+HLOOKUP(D611,PREVCURVES,VLOOKUP(G611,MOVE_DOWN2,2,FALSE),FALSE)),VLOOKUP(G611,NGPREVPRICES,2,FALSE),CK612,VLOOKUP(G611,NGPrices,4,FALSE),HLOOKUP(D611,PREVVOLS,VLOOKUP(G611,MOVE_DOWN2,2,FALSE),FALSE),VLOOKUP(G611,NGPREVPRICES,3,FALSE),HLOOKUP(D611,Correllate,VLOOKUP(G611,CorMove,2,FALSE),FALSE),Q611-$CD$3,R611,$CJ$5)*H611-CJ612</f>
        <v>0</v>
      </c>
      <c r="CF612" s="10">
        <f t="shared" si="743"/>
        <v>5.7111569996195612</v>
      </c>
      <c r="CG612" s="234">
        <f>_xll.xSPRDOPT((VLOOKUP(G611,NGPREVPRICES,2,FALSE)+HLOOKUP(D611,PREVCURVES,VLOOKUP(G611,MOVE_DOWN2,2,FALSE),FALSE)),VLOOKUP(G611,NGPREVPRICES,2,FALSE),CK612,VLOOKUP(G611,NGPREVPRICES,4,FALSE),HLOOKUP(D611,VOLS,VLOOKUP(G611,move_down,2,FALSE),FALSE),VLOOKUP(G611,NGPrices,3,FALSE),HLOOKUP(D611,Correllate,VLOOKUP(G611,CorMove,2,FALSE),FALSE),Q611-$CD$3,R611,$CJ$5)*H611-CJ612</f>
        <v>0</v>
      </c>
      <c r="CH612" s="234">
        <f>_xll.xSPRDOPT((VLOOKUP(G611,NGPREVPRICES,2,FALSE)+HLOOKUP(D611,PREVCURVES,VLOOKUP(G611,MOVE_DOWN2,2,FALSE),FALSE)),VLOOKUP(G611,NGPREVPRICES,2,FALSE),CK612,VLOOKUP(G611,NGPREVPRICES,4,FALSE),HLOOKUP(D611,PREVVOLS,VLOOKUP(G611,MOVE_DOWN2,2,FALSE),FALSE),VLOOKUP(G611,NGPREVPRICES,3,FALSE),HLOOKUP(D611,Correllate,VLOOKUP(G611,CorMove,2,FALSE),FALSE),Q611-$C$3,R611,$CJ$5)*H611-CJ612</f>
        <v>698.7406691901233</v>
      </c>
      <c r="CI612" s="234">
        <f t="shared" si="744"/>
        <v>704.45182618974286</v>
      </c>
      <c r="CJ612" s="234">
        <f>_xll.xSPRDOPT((VLOOKUP(G611,NGPREVPRICES,2,FALSE)+HLOOKUP(D611,PREVCURVES,VLOOKUP(G611,MOVE_DOWN2,2,FALSE),FALSE)),VLOOKUP(G611,NGPREVPRICES,2,FALSE),CK612,VLOOKUP(G611,NGPREVPRICES,4,FALSE),HLOOKUP(D611,PREVVOLS,VLOOKUP(G611,MOVE_DOWN2,2,FALSE),FALSE),VLOOKUP(G611,NGPREVPRICES,3,FALSE),HLOOKUP(D611,Correllate,VLOOKUP(G611,CorMove,2,FALSE),FALSE),Q611-$CD$3,R611,$CJ$5)*H611</f>
        <v>-30752.986627736464</v>
      </c>
      <c r="CK612" s="235">
        <f t="shared" si="745"/>
        <v>1.5</v>
      </c>
      <c r="CM612" t="str">
        <f t="shared" si="746"/>
        <v>36831Curve Shift/Gamma</v>
      </c>
      <c r="CN612" t="str">
        <f t="shared" si="665"/>
        <v>36831Rho</v>
      </c>
      <c r="CO612" t="str">
        <f t="shared" si="666"/>
        <v>36831Drift</v>
      </c>
      <c r="CP612" t="str">
        <f t="shared" si="667"/>
        <v>36831Vega</v>
      </c>
      <c r="CQ612" t="str">
        <f t="shared" si="668"/>
        <v>36831Theta</v>
      </c>
    </row>
    <row r="613" spans="1:95" x14ac:dyDescent="0.25">
      <c r="A613" s="140" t="s">
        <v>383</v>
      </c>
      <c r="B613" t="s">
        <v>250</v>
      </c>
      <c r="C613" t="s">
        <v>557</v>
      </c>
      <c r="D613" s="4" t="s">
        <v>7</v>
      </c>
      <c r="E613" t="s">
        <v>20</v>
      </c>
      <c r="F613" t="s">
        <v>21</v>
      </c>
      <c r="G613" s="5">
        <v>36831</v>
      </c>
      <c r="H613" s="130">
        <v>600000</v>
      </c>
      <c r="I613" s="235">
        <v>3</v>
      </c>
      <c r="J613" s="53">
        <f t="shared" si="728"/>
        <v>4.7359999999999998</v>
      </c>
      <c r="K613" s="7">
        <f t="shared" si="729"/>
        <v>0.77</v>
      </c>
      <c r="L613" s="53">
        <f t="shared" si="730"/>
        <v>5.5060000000000002</v>
      </c>
      <c r="M613" s="157">
        <f t="shared" si="731"/>
        <v>6.810675983792E-2</v>
      </c>
      <c r="N613" s="4">
        <f t="shared" si="732"/>
        <v>0.59499999999999997</v>
      </c>
      <c r="O613" s="4">
        <f t="shared" si="733"/>
        <v>0.625</v>
      </c>
      <c r="P613" s="9">
        <f t="shared" si="734"/>
        <v>0.89</v>
      </c>
      <c r="Q613" s="5">
        <f t="shared" si="708"/>
        <v>36829</v>
      </c>
      <c r="R613" s="4">
        <f t="shared" si="735"/>
        <v>1</v>
      </c>
      <c r="S613" s="158">
        <f>_xll.xSPRDOPT($L613,$J613,$I613,$M613,$O613,$N613,$P613,$Q613-$C$3,$R613,0)</f>
        <v>1.8752703849743671E-3</v>
      </c>
      <c r="T613" s="159">
        <f>_xll.xSPRDOPT($L613,$J613,$I613,$M613,$O613,$N613,$P613,$Q613-$C$3,$R613,1)*H613</f>
        <v>4843.3432610356886</v>
      </c>
      <c r="U613" s="160">
        <f t="shared" si="736"/>
        <v>1125.1622309846202</v>
      </c>
      <c r="V613" s="159">
        <f>_xll.xSPRDOPT($L613,$J613,$I613,$M613,$O613,$N613,$P613,$Q613-$C$3,$R613,2)*H613</f>
        <v>-3706.8837245017285</v>
      </c>
      <c r="W613" s="159">
        <f t="shared" si="737"/>
        <v>1136.4595365339601</v>
      </c>
      <c r="X613" s="51" t="str">
        <f t="shared" si="738"/>
        <v>36831IF-TRANSCO/Z6</v>
      </c>
      <c r="Y613" s="418">
        <f t="shared" si="739"/>
        <v>60</v>
      </c>
      <c r="Z613" s="456">
        <f t="shared" si="740"/>
        <v>8.0722387683928136E-3</v>
      </c>
      <c r="AA613" s="456">
        <f>_xll.xSPRDOPT($L613,$J613,$I613,$M613,$O613,$N613,$P613,$Q613-$C$3,$R613,3)</f>
        <v>3.0118794226120859E-2</v>
      </c>
      <c r="AB613" s="456">
        <f>((_xll.xSPRDOPT($L613+AB$5,$J613,$I613,$M613,$O613,$N613,$P613,$Q613-$C$3,$R613,3)*$H613)/10000)/100</f>
        <v>1.8071276535672514E-2</v>
      </c>
      <c r="AC613" s="456">
        <f>((_xll.xSPRDOPT($L613+$AB$5,$J613,$I613,$M613,$O613,$N613,$P613,$Q613-$C$3,$R613,7)*$H613)/100)</f>
        <v>-235.49920590721192</v>
      </c>
      <c r="AD613" s="456">
        <f>(_xll.xSPRDOPT($L613+$AB$5,$J613,$I613,$M613,$O613,$N613,$P613,$Q613-$C$3,$R613,9)/365)*$H613</f>
        <v>-78.350549463106162</v>
      </c>
      <c r="AE613">
        <f t="shared" si="707"/>
        <v>0</v>
      </c>
      <c r="AF613" s="456">
        <f t="shared" si="741"/>
        <v>163.61066100758171</v>
      </c>
      <c r="AG613" s="456">
        <f>((_xll.xSPRDOPT($L613,$J613,$I613,$M613,$O613,$N613,$P613,$Q613-$C$3,$R613,6)*$H613)/100)</f>
        <v>-94.656973579593171</v>
      </c>
      <c r="AH613" s="456">
        <f>((_xll.xSPRDOPT($L613,$J613,$I613,$M613,$O613,$N613,$P613,$Q613-$C$3,$R613,5)*$H613)/100)</f>
        <v>245.87078812699048</v>
      </c>
      <c r="AI613" s="456">
        <f>(((_xll.xSPRDOPT($L613,$J613,$I613,$M613,$O613,$N613,$P613,$Q613-$C$3,$R613,4)*$H613)/10000)/100)-AB613</f>
        <v>-6.6996286932913419E-3</v>
      </c>
      <c r="AJ613" s="456"/>
      <c r="AK613" s="456"/>
      <c r="CC613" s="141">
        <f t="shared" si="742"/>
        <v>36831</v>
      </c>
      <c r="CD613" s="234">
        <f>_xll.xSPRDOPT((VLOOKUP(G612,NGPrices,2,FALSE)+HLOOKUP(D612,Prices,VLOOKUP(G612,move_down,2,FALSE),FALSE)),VLOOKUP(G612,NGPrices,2,FALSE),I612,VLOOKUP(G612,NGPREVPRICES,4,FALSE),HLOOKUP(D612,PREVVOLS,VLOOKUP(G612,MOVE_DOWN2,2,FALSE),FALSE),VLOOKUP(G612,NGPREVPRICES,3,FALSE),HLOOKUP(D612,Correllate,VLOOKUP(G612,CorMove,2,FALSE),FALSE),Q612-$CD$3,R612,$CD$5)*H612-CJ613</f>
        <v>0</v>
      </c>
      <c r="CE613" s="234">
        <f>_xll.xSPRDOPT((VLOOKUP(G612,NGPREVPRICES,2,FALSE)+HLOOKUP(D612,PREVCURVES,VLOOKUP(G612,MOVE_DOWN2,2,FALSE),FALSE)),VLOOKUP(G612,NGPREVPRICES,2,FALSE),CK613,VLOOKUP(G612,NGPrices,4,FALSE),HLOOKUP(D612,PREVVOLS,VLOOKUP(G612,MOVE_DOWN2,2,FALSE),FALSE),VLOOKUP(G612,NGPREVPRICES,3,FALSE),HLOOKUP(D612,Correllate,VLOOKUP(G612,CorMove,2,FALSE),FALSE),Q612-$CD$3,R612,$CJ$5)*H612-CJ613</f>
        <v>0</v>
      </c>
      <c r="CF613" s="10">
        <f t="shared" si="743"/>
        <v>-31.651698591507738</v>
      </c>
      <c r="CG613" s="234">
        <f>_xll.xSPRDOPT((VLOOKUP(G612,NGPREVPRICES,2,FALSE)+HLOOKUP(D612,PREVCURVES,VLOOKUP(G612,MOVE_DOWN2,2,FALSE),FALSE)),VLOOKUP(G612,NGPREVPRICES,2,FALSE),CK613,VLOOKUP(G612,NGPREVPRICES,4,FALSE),HLOOKUP(D612,VOLS,VLOOKUP(G612,move_down,2,FALSE),FALSE),VLOOKUP(G612,NGPrices,3,FALSE),HLOOKUP(D612,Correllate,VLOOKUP(G612,CorMove,2,FALSE),FALSE),Q612-$CD$3,R612,$CJ$5)*H612-CJ613</f>
        <v>0</v>
      </c>
      <c r="CH613" s="234">
        <f>_xll.xSPRDOPT((VLOOKUP(G612,NGPREVPRICES,2,FALSE)+HLOOKUP(D612,PREVCURVES,VLOOKUP(G612,MOVE_DOWN2,2,FALSE),FALSE)),VLOOKUP(G612,NGPREVPRICES,2,FALSE),CK613,VLOOKUP(G612,NGPREVPRICES,4,FALSE),HLOOKUP(D612,PREVVOLS,VLOOKUP(G612,MOVE_DOWN2,2,FALSE),FALSE),VLOOKUP(G612,NGPREVPRICES,3,FALSE),HLOOKUP(D612,Correllate,VLOOKUP(G612,CorMove,2,FALSE),FALSE),Q612-$C$3,R612,$CJ$5)*H612-CJ613</f>
        <v>-1993.787375289161</v>
      </c>
      <c r="CI613" s="234">
        <f t="shared" si="744"/>
        <v>-2025.4390738806687</v>
      </c>
      <c r="CJ613" s="234">
        <f>_xll.xSPRDOPT((VLOOKUP(G612,NGPREVPRICES,2,FALSE)+HLOOKUP(D612,PREVCURVES,VLOOKUP(G612,MOVE_DOWN2,2,FALSE),FALSE)),VLOOKUP(G612,NGPREVPRICES,2,FALSE),CK613,VLOOKUP(G612,NGPREVPRICES,4,FALSE),HLOOKUP(D612,PREVVOLS,VLOOKUP(G612,MOVE_DOWN2,2,FALSE),FALSE),VLOOKUP(G612,NGPREVPRICES,3,FALSE),HLOOKUP(D612,Correllate,VLOOKUP(G612,CorMove,2,FALSE),FALSE),Q612-$CD$3,R612,$CJ$5)*H612</f>
        <v>170435.56386117105</v>
      </c>
      <c r="CK613" s="235">
        <f t="shared" si="745"/>
        <v>1</v>
      </c>
      <c r="CM613" t="str">
        <f t="shared" si="746"/>
        <v>36831Curve Shift/Gamma</v>
      </c>
      <c r="CN613" t="str">
        <f t="shared" si="665"/>
        <v>36831Rho</v>
      </c>
      <c r="CO613" t="str">
        <f t="shared" si="666"/>
        <v>36831Drift</v>
      </c>
      <c r="CP613" t="str">
        <f t="shared" si="667"/>
        <v>36831Vega</v>
      </c>
      <c r="CQ613" t="str">
        <f t="shared" si="668"/>
        <v>36831Theta</v>
      </c>
    </row>
    <row r="614" spans="1:95" x14ac:dyDescent="0.25">
      <c r="A614" s="140" t="s">
        <v>383</v>
      </c>
      <c r="B614" t="s">
        <v>250</v>
      </c>
      <c r="C614" t="s">
        <v>557</v>
      </c>
      <c r="D614" s="4" t="s">
        <v>7</v>
      </c>
      <c r="E614" t="s">
        <v>20</v>
      </c>
      <c r="F614" t="s">
        <v>21</v>
      </c>
      <c r="G614" s="5">
        <v>36861</v>
      </c>
      <c r="H614" s="130">
        <v>620000</v>
      </c>
      <c r="I614" s="235">
        <v>3</v>
      </c>
      <c r="J614" s="53">
        <f t="shared" si="728"/>
        <v>4.8</v>
      </c>
      <c r="K614" s="7">
        <f t="shared" si="729"/>
        <v>1.645</v>
      </c>
      <c r="L614" s="53">
        <f t="shared" si="730"/>
        <v>6.4450000000000003</v>
      </c>
      <c r="M614" s="157">
        <f t="shared" si="731"/>
        <v>6.8314027999354002E-2</v>
      </c>
      <c r="N614" s="4">
        <f t="shared" si="732"/>
        <v>0.6</v>
      </c>
      <c r="O614" s="4">
        <f t="shared" si="733"/>
        <v>0.69</v>
      </c>
      <c r="P614" s="9">
        <f t="shared" si="734"/>
        <v>0.83</v>
      </c>
      <c r="Q614" s="5">
        <f t="shared" si="708"/>
        <v>36859</v>
      </c>
      <c r="R614" s="4">
        <f t="shared" si="735"/>
        <v>1</v>
      </c>
      <c r="S614" s="158">
        <f>_xll.xSPRDOPT($L614,$J614,$I614,$M614,$O614,$N614,$P614,$Q614-$C$3,$R614,0)</f>
        <v>0.1564994254337741</v>
      </c>
      <c r="T614" s="159">
        <f>_xll.xSPRDOPT($L614,$J614,$I614,$M614,$O614,$N614,$P614,$Q614-$C$3,$R614,1)*H614</f>
        <v>135695.46118296109</v>
      </c>
      <c r="U614" s="160">
        <f t="shared" si="736"/>
        <v>97029.643768939946</v>
      </c>
      <c r="V614" s="159">
        <f>_xll.xSPRDOPT($L614,$J614,$I614,$M614,$O614,$N614,$P614,$Q614-$C$3,$R614,2)*H614</f>
        <v>-107107.13398337325</v>
      </c>
      <c r="W614" s="159">
        <f t="shared" si="737"/>
        <v>28588.327199587846</v>
      </c>
      <c r="X614" s="51" t="str">
        <f t="shared" si="738"/>
        <v>36861IF-TRANSCO/Z6</v>
      </c>
      <c r="Y614" s="418">
        <f t="shared" si="739"/>
        <v>62</v>
      </c>
      <c r="Z614" s="456">
        <f t="shared" si="740"/>
        <v>0.21886364706929209</v>
      </c>
      <c r="AA614" s="456">
        <f>_xll.xSPRDOPT($L614,$J614,$I614,$M614,$O614,$N614,$P614,$Q614-$C$3,$R614,3)</f>
        <v>0.21208847684681123</v>
      </c>
      <c r="AB614" s="456">
        <f>((_xll.xSPRDOPT($L614+AB$5,$J614,$I614,$M614,$O614,$N614,$P614,$Q614-$C$3,$R614,3)*$H614)/10000)/100</f>
        <v>0.13149485564502295</v>
      </c>
      <c r="AC614" s="456">
        <f>((_xll.xSPRDOPT($L614+$AB$5,$J614,$I614,$M614,$O614,$N614,$P614,$Q614-$C$3,$R614,7)*$H614)/100)</f>
        <v>-3689.7369380531827</v>
      </c>
      <c r="AD614" s="456">
        <f>(_xll.xSPRDOPT($L614+$AB$5,$J614,$I614,$M614,$O614,$N614,$P614,$Q614-$C$3,$R614,9)/365)*$H614</f>
        <v>-1352.8473157776009</v>
      </c>
      <c r="AE614">
        <f t="shared" si="707"/>
        <v>0</v>
      </c>
      <c r="AF614" s="456">
        <f t="shared" si="741"/>
        <v>4201.5453809549335</v>
      </c>
      <c r="AG614" s="456">
        <f>((_xll.xSPRDOPT($L614,$J614,$I614,$M614,$O614,$N614,$P614,$Q614-$C$3,$R614,6)*$H614)/100)</f>
        <v>-1611.2128284884568</v>
      </c>
      <c r="AH614" s="456">
        <f>((_xll.xSPRDOPT($L614,$J614,$I614,$M614,$O614,$N614,$P614,$Q614-$C$3,$R614,5)*$H614)/100)</f>
        <v>5054.572356037731</v>
      </c>
      <c r="AI614" s="456">
        <f>(((_xll.xSPRDOPT($L614,$J614,$I614,$M614,$O614,$N614,$P614,$Q614-$C$3,$R614,4)*$H614)/10000)/100)-AB614</f>
        <v>-3.118172449916555E-2</v>
      </c>
      <c r="AJ614" s="456"/>
      <c r="AK614" s="456"/>
      <c r="CC614" s="141">
        <f t="shared" si="742"/>
        <v>36831</v>
      </c>
      <c r="CD614" s="234">
        <f>_xll.xSPRDOPT((VLOOKUP(G613,NGPrices,2,FALSE)+HLOOKUP(D613,Prices,VLOOKUP(G613,move_down,2,FALSE),FALSE)),VLOOKUP(G613,NGPrices,2,FALSE),I613,VLOOKUP(G613,NGPREVPRICES,4,FALSE),HLOOKUP(D613,PREVVOLS,VLOOKUP(G613,MOVE_DOWN2,2,FALSE),FALSE),VLOOKUP(G613,NGPREVPRICES,3,FALSE),HLOOKUP(D613,Correllate,VLOOKUP(G613,CorMove,2,FALSE),FALSE),Q613-$CD$3,R613,$CD$5)*H613-CJ614</f>
        <v>0</v>
      </c>
      <c r="CE614" s="234">
        <f>_xll.xSPRDOPT((VLOOKUP(G613,NGPREVPRICES,2,FALSE)+HLOOKUP(D613,PREVCURVES,VLOOKUP(G613,MOVE_DOWN2,2,FALSE),FALSE)),VLOOKUP(G613,NGPREVPRICES,2,FALSE),CK614,VLOOKUP(G613,NGPrices,4,FALSE),HLOOKUP(D613,PREVVOLS,VLOOKUP(G613,MOVE_DOWN2,2,FALSE),FALSE),VLOOKUP(G613,NGPREVPRICES,3,FALSE),HLOOKUP(D613,Correllate,VLOOKUP(G613,CorMove,2,FALSE),FALSE),Q613-$CD$3,R613,$CJ$5)*H613-CJ614</f>
        <v>0</v>
      </c>
      <c r="CF614" s="10">
        <f t="shared" si="743"/>
        <v>-0.22379630493128388</v>
      </c>
      <c r="CG614" s="234">
        <f>_xll.xSPRDOPT((VLOOKUP(G613,NGPREVPRICES,2,FALSE)+HLOOKUP(D613,PREVCURVES,VLOOKUP(G613,MOVE_DOWN2,2,FALSE),FALSE)),VLOOKUP(G613,NGPREVPRICES,2,FALSE),CK614,VLOOKUP(G613,NGPREVPRICES,4,FALSE),HLOOKUP(D613,VOLS,VLOOKUP(G613,move_down,2,FALSE),FALSE),VLOOKUP(G613,NGPrices,3,FALSE),HLOOKUP(D613,Correllate,VLOOKUP(G613,CorMove,2,FALSE),FALSE),Q613-$CD$3,R613,$CJ$5)*H613-CJ614</f>
        <v>0</v>
      </c>
      <c r="CH614" s="234">
        <f>_xll.xSPRDOPT((VLOOKUP(G613,NGPREVPRICES,2,FALSE)+HLOOKUP(D613,PREVCURVES,VLOOKUP(G613,MOVE_DOWN2,2,FALSE),FALSE)),VLOOKUP(G613,NGPREVPRICES,2,FALSE),CK614,VLOOKUP(G613,NGPREVPRICES,4,FALSE),HLOOKUP(D613,PREVVOLS,VLOOKUP(G613,MOVE_DOWN2,2,FALSE),FALSE),VLOOKUP(G613,NGPREVPRICES,3,FALSE),HLOOKUP(D613,Correllate,VLOOKUP(G613,CorMove,2,FALSE),FALSE),Q613-$C$3,R613,$CJ$5)*H613-CJ614</f>
        <v>-79.918416132568382</v>
      </c>
      <c r="CI614" s="234">
        <f t="shared" si="744"/>
        <v>-80.142212437499666</v>
      </c>
      <c r="CJ614" s="234">
        <f>_xll.xSPRDOPT((VLOOKUP(G613,NGPREVPRICES,2,FALSE)+HLOOKUP(D613,PREVCURVES,VLOOKUP(G613,MOVE_DOWN2,2,FALSE),FALSE)),VLOOKUP(G613,NGPREVPRICES,2,FALSE),CK614,VLOOKUP(G613,NGPREVPRICES,4,FALSE),HLOOKUP(D613,PREVVOLS,VLOOKUP(G613,MOVE_DOWN2,2,FALSE),FALSE),VLOOKUP(G613,NGPREVPRICES,3,FALSE),HLOOKUP(D613,Correllate,VLOOKUP(G613,CorMove,2,FALSE),FALSE),Q613-$CD$3,R613,$CJ$5)*H613</f>
        <v>1205.0806471171886</v>
      </c>
      <c r="CK614" s="235">
        <f t="shared" si="745"/>
        <v>3</v>
      </c>
      <c r="CM614" t="str">
        <f t="shared" si="746"/>
        <v>36831Curve Shift/Gamma</v>
      </c>
      <c r="CN614" t="str">
        <f t="shared" si="665"/>
        <v>36831Rho</v>
      </c>
      <c r="CO614" t="str">
        <f t="shared" si="666"/>
        <v>36831Drift</v>
      </c>
      <c r="CP614" t="str">
        <f t="shared" si="667"/>
        <v>36831Vega</v>
      </c>
      <c r="CQ614" t="str">
        <f t="shared" si="668"/>
        <v>36831Theta</v>
      </c>
    </row>
    <row r="615" spans="1:95" x14ac:dyDescent="0.25">
      <c r="A615" s="140" t="s">
        <v>383</v>
      </c>
      <c r="B615" t="s">
        <v>250</v>
      </c>
      <c r="C615" t="s">
        <v>557</v>
      </c>
      <c r="D615" s="4" t="s">
        <v>7</v>
      </c>
      <c r="E615" t="s">
        <v>20</v>
      </c>
      <c r="F615" t="s">
        <v>21</v>
      </c>
      <c r="G615" s="5">
        <v>36892</v>
      </c>
      <c r="H615" s="130">
        <v>620000</v>
      </c>
      <c r="I615" s="235">
        <v>3</v>
      </c>
      <c r="J615" s="53">
        <f t="shared" si="728"/>
        <v>4.7439999999999998</v>
      </c>
      <c r="K615" s="7">
        <f t="shared" si="729"/>
        <v>2.17</v>
      </c>
      <c r="L615" s="53">
        <f t="shared" si="730"/>
        <v>6.9139999999999997</v>
      </c>
      <c r="M615" s="157">
        <f t="shared" si="731"/>
        <v>6.8374831148490994E-2</v>
      </c>
      <c r="N615" s="4">
        <f t="shared" si="732"/>
        <v>0.60499999999999998</v>
      </c>
      <c r="O615" s="4">
        <f t="shared" si="733"/>
        <v>0.69599999999999995</v>
      </c>
      <c r="P615" s="9">
        <f t="shared" si="734"/>
        <v>0.83</v>
      </c>
      <c r="Q615" s="5">
        <f t="shared" si="708"/>
        <v>36888</v>
      </c>
      <c r="R615" s="4">
        <f t="shared" si="735"/>
        <v>1</v>
      </c>
      <c r="S615" s="158">
        <f>_xll.xSPRDOPT($L615,$J615,$I615,$M615,$O615,$N615,$P615,$Q615-$C$3,$R615,0)</f>
        <v>0.38362792668504803</v>
      </c>
      <c r="T615" s="159">
        <f>_xll.xSPRDOPT($L615,$J615,$I615,$M615,$O615,$N615,$P615,$Q615-$C$3,$R615,1)*H615</f>
        <v>228679.19133727404</v>
      </c>
      <c r="U615" s="160">
        <f t="shared" si="736"/>
        <v>237849.31454472977</v>
      </c>
      <c r="V615" s="159">
        <f>_xll.xSPRDOPT($L615,$J615,$I615,$M615,$O615,$N615,$P615,$Q615-$C$3,$R615,2)*H615</f>
        <v>-185726.52357585591</v>
      </c>
      <c r="W615" s="159">
        <f t="shared" si="737"/>
        <v>42952.667761418124</v>
      </c>
      <c r="X615" s="51" t="str">
        <f t="shared" si="738"/>
        <v>36892IF-TRANSCO/Z6</v>
      </c>
      <c r="Y615" s="418">
        <f t="shared" si="739"/>
        <v>62</v>
      </c>
      <c r="Z615" s="456">
        <f t="shared" si="740"/>
        <v>0.36883740538270005</v>
      </c>
      <c r="AA615" s="456">
        <f>_xll.xSPRDOPT($L615,$J615,$I615,$M615,$O615,$N615,$P615,$Q615-$C$3,$R615,3)</f>
        <v>0.21502122720377706</v>
      </c>
      <c r="AB615" s="456">
        <f>((_xll.xSPRDOPT($L615+AB$5,$J615,$I615,$M615,$O615,$N615,$P615,$Q615-$C$3,$R615,3)*$H615)/10000)/100</f>
        <v>0.13331316086634179</v>
      </c>
      <c r="AC615" s="456">
        <f>((_xll.xSPRDOPT($L615+$AB$5,$J615,$I615,$M615,$O615,$N615,$P615,$Q615-$C$3,$R615,7)*$H615)/100)</f>
        <v>-5661.8342296503797</v>
      </c>
      <c r="AD615" s="456">
        <f>(_xll.xSPRDOPT($L615+$AB$5,$J615,$I615,$M615,$O615,$N615,$P615,$Q615-$C$3,$R615,9)/365)*$H615</f>
        <v>-1609.4673432998854</v>
      </c>
      <c r="AE615">
        <f t="shared" si="707"/>
        <v>0</v>
      </c>
      <c r="AF615" s="456">
        <f t="shared" si="741"/>
        <v>6611.5645298259369</v>
      </c>
      <c r="AG615" s="456">
        <f>((_xll.xSPRDOPT($L615,$J615,$I615,$M615,$O615,$N615,$P615,$Q615-$C$3,$R615,6)*$H615)/100)</f>
        <v>-2524.9827618134113</v>
      </c>
      <c r="AH615" s="456">
        <f>((_xll.xSPRDOPT($L615,$J615,$I615,$M615,$O615,$N615,$P615,$Q615-$C$3,$R615,5)*$H615)/100)</f>
        <v>7941.9699877037447</v>
      </c>
      <c r="AI615" s="456">
        <f>(((_xll.xSPRDOPT($L615,$J615,$I615,$M615,$O615,$N615,$P615,$Q615-$C$3,$R615,4)*$H615)/10000)/100)-AB615</f>
        <v>-1.7088418042543879E-2</v>
      </c>
      <c r="AJ615" s="456"/>
      <c r="AK615" s="456"/>
      <c r="CC615" s="141">
        <f t="shared" si="742"/>
        <v>36861</v>
      </c>
      <c r="CD615" s="234">
        <f>_xll.xSPRDOPT((VLOOKUP(G614,NGPrices,2,FALSE)+HLOOKUP(D614,Prices,VLOOKUP(G614,move_down,2,FALSE),FALSE)),VLOOKUP(G614,NGPrices,2,FALSE),I614,VLOOKUP(G614,NGPREVPRICES,4,FALSE),HLOOKUP(D614,PREVVOLS,VLOOKUP(G614,MOVE_DOWN2,2,FALSE),FALSE),VLOOKUP(G614,NGPREVPRICES,3,FALSE),HLOOKUP(D614,Correllate,VLOOKUP(G614,CorMove,2,FALSE),FALSE),Q614-$CD$3,R614,$CD$5)*H614-CJ615</f>
        <v>0</v>
      </c>
      <c r="CE615" s="234">
        <f>_xll.xSPRDOPT((VLOOKUP(G614,NGPREVPRICES,2,FALSE)+HLOOKUP(D614,PREVCURVES,VLOOKUP(G614,MOVE_DOWN2,2,FALSE),FALSE)),VLOOKUP(G614,NGPREVPRICES,2,FALSE),CK615,VLOOKUP(G614,NGPrices,4,FALSE),HLOOKUP(D614,PREVVOLS,VLOOKUP(G614,MOVE_DOWN2,2,FALSE),FALSE),VLOOKUP(G614,NGPREVPRICES,3,FALSE),HLOOKUP(D614,Correllate,VLOOKUP(G614,CorMove,2,FALSE),FALSE),Q614-$CD$3,R614,$CJ$5)*H614-CJ615</f>
        <v>0</v>
      </c>
      <c r="CF615" s="10">
        <f t="shared" si="743"/>
        <v>-18.430387524087564</v>
      </c>
      <c r="CG615" s="234">
        <f>_xll.xSPRDOPT((VLOOKUP(G614,NGPREVPRICES,2,FALSE)+HLOOKUP(D614,PREVCURVES,VLOOKUP(G614,MOVE_DOWN2,2,FALSE),FALSE)),VLOOKUP(G614,NGPREVPRICES,2,FALSE),CK615,VLOOKUP(G614,NGPREVPRICES,4,FALSE),HLOOKUP(D614,VOLS,VLOOKUP(G614,move_down,2,FALSE),FALSE),VLOOKUP(G614,NGPrices,3,FALSE),HLOOKUP(D614,Correllate,VLOOKUP(G614,CorMove,2,FALSE),FALSE),Q614-$CD$3,R614,$CJ$5)*H614-CJ615</f>
        <v>0</v>
      </c>
      <c r="CH615" s="234">
        <f>_xll.xSPRDOPT((VLOOKUP(G614,NGPREVPRICES,2,FALSE)+HLOOKUP(D614,PREVCURVES,VLOOKUP(G614,MOVE_DOWN2,2,FALSE),FALSE)),VLOOKUP(G614,NGPREVPRICES,2,FALSE),CK615,VLOOKUP(G614,NGPREVPRICES,4,FALSE),HLOOKUP(D614,PREVVOLS,VLOOKUP(G614,MOVE_DOWN2,2,FALSE),FALSE),VLOOKUP(G614,NGPREVPRICES,3,FALSE),HLOOKUP(D614,Correllate,VLOOKUP(G614,CorMove,2,FALSE),FALSE),Q614-$C$3,R614,$CJ$5)*H614-CJ615</f>
        <v>-1350.7910786576977</v>
      </c>
      <c r="CI615" s="234">
        <f t="shared" si="744"/>
        <v>-1369.2214661817852</v>
      </c>
      <c r="CJ615" s="234">
        <f>_xll.xSPRDOPT((VLOOKUP(G614,NGPREVPRICES,2,FALSE)+HLOOKUP(D614,PREVCURVES,VLOOKUP(G614,MOVE_DOWN2,2,FALSE),FALSE)),VLOOKUP(G614,NGPREVPRICES,2,FALSE),CK615,VLOOKUP(G614,NGPREVPRICES,4,FALSE),HLOOKUP(D614,PREVVOLS,VLOOKUP(G614,MOVE_DOWN2,2,FALSE),FALSE),VLOOKUP(G614,NGPREVPRICES,3,FALSE),HLOOKUP(D614,Correllate,VLOOKUP(G614,CorMove,2,FALSE),FALSE),Q614-$CD$3,R614,$CJ$5)*H614</f>
        <v>98380.434847597644</v>
      </c>
      <c r="CK615" s="235">
        <f t="shared" si="745"/>
        <v>3</v>
      </c>
      <c r="CM615" t="str">
        <f t="shared" si="746"/>
        <v>36861Curve Shift/Gamma</v>
      </c>
      <c r="CN615" t="str">
        <f t="shared" si="665"/>
        <v>36861Rho</v>
      </c>
      <c r="CO615" t="str">
        <f t="shared" si="666"/>
        <v>36861Drift</v>
      </c>
      <c r="CP615" t="str">
        <f t="shared" si="667"/>
        <v>36861Vega</v>
      </c>
      <c r="CQ615" t="str">
        <f t="shared" si="668"/>
        <v>36861Theta</v>
      </c>
    </row>
    <row r="616" spans="1:95" x14ac:dyDescent="0.25">
      <c r="A616" s="140" t="s">
        <v>383</v>
      </c>
      <c r="B616" t="s">
        <v>250</v>
      </c>
      <c r="C616" t="s">
        <v>557</v>
      </c>
      <c r="D616" s="4" t="s">
        <v>7</v>
      </c>
      <c r="E616" t="s">
        <v>20</v>
      </c>
      <c r="F616" t="s">
        <v>21</v>
      </c>
      <c r="G616" s="5">
        <v>36923</v>
      </c>
      <c r="H616" s="130">
        <v>560000</v>
      </c>
      <c r="I616" s="235">
        <v>3</v>
      </c>
      <c r="J616" s="53">
        <f t="shared" si="728"/>
        <v>4.4800000000000004</v>
      </c>
      <c r="K616" s="7">
        <f t="shared" si="729"/>
        <v>2.09</v>
      </c>
      <c r="L616" s="53">
        <f t="shared" si="730"/>
        <v>6.57</v>
      </c>
      <c r="M616" s="157">
        <f t="shared" si="731"/>
        <v>6.8640161611372E-2</v>
      </c>
      <c r="N616" s="4">
        <f t="shared" si="732"/>
        <v>0.59250000000000003</v>
      </c>
      <c r="O616" s="4">
        <f t="shared" si="733"/>
        <v>0.68100000000000005</v>
      </c>
      <c r="P616" s="9">
        <f t="shared" si="734"/>
        <v>0.83</v>
      </c>
      <c r="Q616" s="5">
        <f t="shared" si="708"/>
        <v>36921</v>
      </c>
      <c r="R616" s="4">
        <f t="shared" si="735"/>
        <v>1</v>
      </c>
      <c r="S616" s="158">
        <f>_xll.xSPRDOPT($L616,$J616,$I616,$M616,$O616,$N616,$P616,$Q616-$C$3,$R616,0)</f>
        <v>0.39776106179396853</v>
      </c>
      <c r="T616" s="159">
        <f>_xll.xSPRDOPT($L616,$J616,$I616,$M616,$O616,$N616,$P616,$Q616-$C$3,$R616,1)*H616</f>
        <v>205858.39782092418</v>
      </c>
      <c r="U616" s="160">
        <f t="shared" si="736"/>
        <v>222746.19460462237</v>
      </c>
      <c r="V616" s="159">
        <f>_xll.xSPRDOPT($L616,$J616,$I616,$M616,$O616,$N616,$P616,$Q616-$C$3,$R616,2)*H616</f>
        <v>-163701.95738131445</v>
      </c>
      <c r="W616" s="159">
        <f t="shared" si="737"/>
        <v>42156.440439609723</v>
      </c>
      <c r="X616" s="51" t="str">
        <f t="shared" si="738"/>
        <v>36923IF-TRANSCO/Z6</v>
      </c>
      <c r="Y616" s="418">
        <f t="shared" si="739"/>
        <v>56</v>
      </c>
      <c r="Z616" s="456">
        <f t="shared" si="740"/>
        <v>0.36760428182307886</v>
      </c>
      <c r="AA616" s="456">
        <f>_xll.xSPRDOPT($L616,$J616,$I616,$M616,$O616,$N616,$P616,$Q616-$C$3,$R616,3)</f>
        <v>0.20276399524083444</v>
      </c>
      <c r="AB616" s="456">
        <f>((_xll.xSPRDOPT($L616+AB$5,$J616,$I616,$M616,$O616,$N616,$P616,$Q616-$C$3,$R616,3)*$H616)/10000)/100</f>
        <v>0.11354783733486729</v>
      </c>
      <c r="AC616" s="456">
        <f>((_xll.xSPRDOPT($L616+$AB$5,$J616,$I616,$M616,$O616,$N616,$P616,$Q616-$C$3,$R616,7)*$H616)/100)</f>
        <v>-5236.4821941059581</v>
      </c>
      <c r="AD616" s="456">
        <f>(_xll.xSPRDOPT($L616+$AB$5,$J616,$I616,$M616,$O616,$N616,$P616,$Q616-$C$3,$R616,9)/365)*$H616</f>
        <v>-1191.061305406919</v>
      </c>
      <c r="AE616">
        <f t="shared" si="707"/>
        <v>0</v>
      </c>
      <c r="AF616" s="456">
        <f t="shared" si="741"/>
        <v>6404.8716137483752</v>
      </c>
      <c r="AG616" s="456">
        <f>((_xll.xSPRDOPT($L616,$J616,$I616,$M616,$O616,$N616,$P616,$Q616-$C$3,$R616,6)*$H616)/100)</f>
        <v>-2434.6981400348855</v>
      </c>
      <c r="AH616" s="456">
        <f>((_xll.xSPRDOPT($L616,$J616,$I616,$M616,$O616,$N616,$P616,$Q616-$C$3,$R616,5)*$H616)/100)</f>
        <v>7690.8150941506328</v>
      </c>
      <c r="AI616" s="456">
        <f>(((_xll.xSPRDOPT($L616,$J616,$I616,$M616,$O616,$N616,$P616,$Q616-$C$3,$R616,4)*$H616)/10000)/100)-AB616</f>
        <v>-1.5803347181218855E-2</v>
      </c>
      <c r="AJ616" s="456"/>
      <c r="AK616" s="456"/>
      <c r="CC616" s="141">
        <f t="shared" si="742"/>
        <v>36892</v>
      </c>
      <c r="CD616" s="234">
        <f>_xll.xSPRDOPT((VLOOKUP(G615,NGPrices,2,FALSE)+HLOOKUP(D615,Prices,VLOOKUP(G615,move_down,2,FALSE),FALSE)),VLOOKUP(G615,NGPrices,2,FALSE),I615,VLOOKUP(G615,NGPREVPRICES,4,FALSE),HLOOKUP(D615,PREVVOLS,VLOOKUP(G615,MOVE_DOWN2,2,FALSE),FALSE),VLOOKUP(G615,NGPREVPRICES,3,FALSE),HLOOKUP(D615,Correllate,VLOOKUP(G615,CorMove,2,FALSE),FALSE),Q615-$CD$3,R615,$CD$5)*H615-CJ616</f>
        <v>0</v>
      </c>
      <c r="CE616" s="234">
        <f>_xll.xSPRDOPT((VLOOKUP(G615,NGPREVPRICES,2,FALSE)+HLOOKUP(D615,PREVCURVES,VLOOKUP(G615,MOVE_DOWN2,2,FALSE),FALSE)),VLOOKUP(G615,NGPREVPRICES,2,FALSE),CK616,VLOOKUP(G615,NGPrices,4,FALSE),HLOOKUP(D615,PREVVOLS,VLOOKUP(G615,MOVE_DOWN2,2,FALSE),FALSE),VLOOKUP(G615,NGPREVPRICES,3,FALSE),HLOOKUP(D615,Correllate,VLOOKUP(G615,CorMove,2,FALSE),FALSE),Q615-$CD$3,R615,$CJ$5)*H615-CJ616</f>
        <v>0</v>
      </c>
      <c r="CF616" s="10">
        <f t="shared" si="743"/>
        <v>-45.123106191895204</v>
      </c>
      <c r="CG616" s="234">
        <f>_xll.xSPRDOPT((VLOOKUP(G615,NGPREVPRICES,2,FALSE)+HLOOKUP(D615,PREVCURVES,VLOOKUP(G615,MOVE_DOWN2,2,FALSE),FALSE)),VLOOKUP(G615,NGPREVPRICES,2,FALSE),CK616,VLOOKUP(G615,NGPREVPRICES,4,FALSE),HLOOKUP(D615,VOLS,VLOOKUP(G615,move_down,2,FALSE),FALSE),VLOOKUP(G615,NGPrices,3,FALSE),HLOOKUP(D615,Correllate,VLOOKUP(G615,CorMove,2,FALSE),FALSE),Q615-$CD$3,R615,$CJ$5)*H615-CJ616</f>
        <v>0</v>
      </c>
      <c r="CH616" s="234">
        <f>_xll.xSPRDOPT((VLOOKUP(G615,NGPREVPRICES,2,FALSE)+HLOOKUP(D615,PREVCURVES,VLOOKUP(G615,MOVE_DOWN2,2,FALSE),FALSE)),VLOOKUP(G615,NGPREVPRICES,2,FALSE),CK616,VLOOKUP(G615,NGPREVPRICES,4,FALSE),HLOOKUP(D615,PREVVOLS,VLOOKUP(G615,MOVE_DOWN2,2,FALSE),FALSE),VLOOKUP(G615,NGPREVPRICES,3,FALSE),HLOOKUP(D615,Correllate,VLOOKUP(G615,CorMove,2,FALSE),FALSE),Q615-$C$3,R615,$CJ$5)*H615-CJ616</f>
        <v>-1605.2992593820964</v>
      </c>
      <c r="CI616" s="234">
        <f t="shared" si="744"/>
        <v>-1650.4223655739916</v>
      </c>
      <c r="CJ616" s="234">
        <f>_xll.xSPRDOPT((VLOOKUP(G615,NGPREVPRICES,2,FALSE)+HLOOKUP(D615,PREVCURVES,VLOOKUP(G615,MOVE_DOWN2,2,FALSE),FALSE)),VLOOKUP(G615,NGPREVPRICES,2,FALSE),CK616,VLOOKUP(G615,NGPREVPRICES,4,FALSE),HLOOKUP(D615,PREVVOLS,VLOOKUP(G615,MOVE_DOWN2,2,FALSE),FALSE),VLOOKUP(G615,NGPREVPRICES,3,FALSE),HLOOKUP(D615,Correllate,VLOOKUP(G615,CorMove,2,FALSE),FALSE),Q615-$CD$3,R615,$CJ$5)*H615</f>
        <v>239454.61380411187</v>
      </c>
      <c r="CK616" s="235">
        <f t="shared" si="745"/>
        <v>3</v>
      </c>
      <c r="CM616" t="str">
        <f t="shared" si="746"/>
        <v>36892Curve Shift/Gamma</v>
      </c>
      <c r="CN616" t="str">
        <f t="shared" si="665"/>
        <v>36892Rho</v>
      </c>
      <c r="CO616" t="str">
        <f t="shared" si="666"/>
        <v>36892Drift</v>
      </c>
      <c r="CP616" t="str">
        <f t="shared" si="667"/>
        <v>36892Vega</v>
      </c>
      <c r="CQ616" t="str">
        <f t="shared" si="668"/>
        <v>36892Theta</v>
      </c>
    </row>
    <row r="617" spans="1:95" x14ac:dyDescent="0.25">
      <c r="A617" s="140" t="s">
        <v>383</v>
      </c>
      <c r="B617" t="s">
        <v>250</v>
      </c>
      <c r="C617" t="s">
        <v>557</v>
      </c>
      <c r="D617" s="4" t="s">
        <v>7</v>
      </c>
      <c r="E617" t="s">
        <v>20</v>
      </c>
      <c r="F617" t="s">
        <v>21</v>
      </c>
      <c r="G617" s="5">
        <v>36951</v>
      </c>
      <c r="H617" s="130">
        <v>620000</v>
      </c>
      <c r="I617" s="235">
        <v>3</v>
      </c>
      <c r="J617" s="53">
        <f t="shared" si="728"/>
        <v>4.2130000000000001</v>
      </c>
      <c r="K617" s="7">
        <f t="shared" si="729"/>
        <v>1.075</v>
      </c>
      <c r="L617" s="53">
        <f t="shared" si="730"/>
        <v>5.2880000000000003</v>
      </c>
      <c r="M617" s="157">
        <f t="shared" si="731"/>
        <v>6.8879814952706994E-2</v>
      </c>
      <c r="N617" s="4">
        <f t="shared" si="732"/>
        <v>0.53249999999999997</v>
      </c>
      <c r="O617" s="4">
        <f t="shared" si="733"/>
        <v>0.61199999999999999</v>
      </c>
      <c r="P617" s="9">
        <f t="shared" si="734"/>
        <v>0.83</v>
      </c>
      <c r="Q617" s="5">
        <f t="shared" si="708"/>
        <v>36949</v>
      </c>
      <c r="R617" s="4">
        <f t="shared" si="735"/>
        <v>1</v>
      </c>
      <c r="S617" s="158">
        <f>_xll.xSPRDOPT($L617,$J617,$I617,$M617,$O617,$N617,$P617,$Q617-$C$3,$R617,0)</f>
        <v>0.10436035305282036</v>
      </c>
      <c r="T617" s="159">
        <f>_xll.xSPRDOPT($L617,$J617,$I617,$M617,$O617,$N617,$P617,$Q617-$C$3,$R617,1)*H617</f>
        <v>97386.684737714138</v>
      </c>
      <c r="U617" s="160">
        <f t="shared" si="736"/>
        <v>64703.418892748625</v>
      </c>
      <c r="V617" s="159">
        <f>_xll.xSPRDOPT($L617,$J617,$I617,$M617,$O617,$N617,$P617,$Q617-$C$3,$R617,2)*H617</f>
        <v>-69789.387125164023</v>
      </c>
      <c r="W617" s="159">
        <f t="shared" si="737"/>
        <v>27597.297612550115</v>
      </c>
      <c r="X617" s="51" t="str">
        <f t="shared" si="738"/>
        <v>36951IF-TRANSCO/Z6</v>
      </c>
      <c r="Y617" s="418">
        <f t="shared" si="739"/>
        <v>62</v>
      </c>
      <c r="Z617" s="456">
        <f t="shared" si="740"/>
        <v>0.15707529796405506</v>
      </c>
      <c r="AA617" s="456">
        <f>_xll.xSPRDOPT($L617,$J617,$I617,$M617,$O617,$N617,$P617,$Q617-$C$3,$R617,3)</f>
        <v>0.16689996764371509</v>
      </c>
      <c r="AB617" s="456">
        <f>((_xll.xSPRDOPT($L617+AB$5,$J617,$I617,$M617,$O617,$N617,$P617,$Q617-$C$3,$R617,3)*$H617)/10000)/100</f>
        <v>0.10347797993910335</v>
      </c>
      <c r="AC617" s="456">
        <f>((_xll.xSPRDOPT($L617+$AB$5,$J617,$I617,$M617,$O617,$N617,$P617,$Q617-$C$3,$R617,7)*$H617)/100)</f>
        <v>-2998.0481111909744</v>
      </c>
      <c r="AD617" s="456">
        <f>(_xll.xSPRDOPT($L617+$AB$5,$J617,$I617,$M617,$O617,$N617,$P617,$Q617-$C$3,$R617,9)/365)*$H617</f>
        <v>-567.6823030108568</v>
      </c>
      <c r="AE617">
        <f t="shared" si="707"/>
        <v>0</v>
      </c>
      <c r="AF617" s="456">
        <f t="shared" si="741"/>
        <v>3961.2475144524374</v>
      </c>
      <c r="AG617" s="456">
        <f>((_xll.xSPRDOPT($L617,$J617,$I617,$M617,$O617,$N617,$P617,$Q617-$C$3,$R617,6)*$H617)/100)</f>
        <v>-1507.0741812814335</v>
      </c>
      <c r="AH617" s="456">
        <f>((_xll.xSPRDOPT($L617,$J617,$I617,$M617,$O617,$N617,$P617,$Q617-$C$3,$R617,5)*$H617)/100)</f>
        <v>4757.9759852586376</v>
      </c>
      <c r="AI617" s="456">
        <f>(((_xll.xSPRDOPT($L617,$J617,$I617,$M617,$O617,$N617,$P617,$Q617-$C$3,$R617,4)*$H617)/10000)/100)-AB617</f>
        <v>-3.6254694563095546E-2</v>
      </c>
      <c r="AJ617" s="456"/>
      <c r="AK617" s="456"/>
      <c r="CC617" s="141">
        <f t="shared" si="742"/>
        <v>36923</v>
      </c>
      <c r="CD617" s="234">
        <f>_xll.xSPRDOPT((VLOOKUP(G616,NGPrices,2,FALSE)+HLOOKUP(D616,Prices,VLOOKUP(G616,move_down,2,FALSE),FALSE)),VLOOKUP(G616,NGPrices,2,FALSE),I616,VLOOKUP(G616,NGPREVPRICES,4,FALSE),HLOOKUP(D616,PREVVOLS,VLOOKUP(G616,MOVE_DOWN2,2,FALSE),FALSE),VLOOKUP(G616,NGPREVPRICES,3,FALSE),HLOOKUP(D616,Correllate,VLOOKUP(G616,CorMove,2,FALSE),FALSE),Q616-$CD$3,R616,$CD$5)*H616-CJ617</f>
        <v>0</v>
      </c>
      <c r="CE617" s="234">
        <f>_xll.xSPRDOPT((VLOOKUP(G616,NGPREVPRICES,2,FALSE)+HLOOKUP(D616,PREVCURVES,VLOOKUP(G616,MOVE_DOWN2,2,FALSE),FALSE)),VLOOKUP(G616,NGPREVPRICES,2,FALSE),CK617,VLOOKUP(G616,NGPrices,4,FALSE),HLOOKUP(D616,PREVVOLS,VLOOKUP(G616,MOVE_DOWN2,2,FALSE),FALSE),VLOOKUP(G616,NGPREVPRICES,3,FALSE),HLOOKUP(D616,Correllate,VLOOKUP(G616,CorMove,2,FALSE),FALSE),Q616-$CD$3,R616,$CJ$5)*H616-CJ617</f>
        <v>0</v>
      </c>
      <c r="CF617" s="10">
        <f t="shared" si="743"/>
        <v>-42.589779969857773</v>
      </c>
      <c r="CG617" s="234">
        <f>_xll.xSPRDOPT((VLOOKUP(G616,NGPREVPRICES,2,FALSE)+HLOOKUP(D616,PREVCURVES,VLOOKUP(G616,MOVE_DOWN2,2,FALSE),FALSE)),VLOOKUP(G616,NGPREVPRICES,2,FALSE),CK617,VLOOKUP(G616,NGPREVPRICES,4,FALSE),HLOOKUP(D616,VOLS,VLOOKUP(G616,move_down,2,FALSE),FALSE),VLOOKUP(G616,NGPrices,3,FALSE),HLOOKUP(D616,Correllate,VLOOKUP(G616,CorMove,2,FALSE),FALSE),Q616-$CD$3,R616,$CJ$5)*H616-CJ617</f>
        <v>0</v>
      </c>
      <c r="CH617" s="234">
        <f>_xll.xSPRDOPT((VLOOKUP(G616,NGPREVPRICES,2,FALSE)+HLOOKUP(D616,PREVCURVES,VLOOKUP(G616,MOVE_DOWN2,2,FALSE),FALSE)),VLOOKUP(G616,NGPREVPRICES,2,FALSE),CK617,VLOOKUP(G616,NGPREVPRICES,4,FALSE),HLOOKUP(D616,PREVVOLS,VLOOKUP(G616,MOVE_DOWN2,2,FALSE),FALSE),VLOOKUP(G616,NGPREVPRICES,3,FALSE),HLOOKUP(D616,Correllate,VLOOKUP(G616,CorMove,2,FALSE),FALSE),Q616-$C$3,R616,$CJ$5)*H616-CJ617</f>
        <v>-1188.4155258397222</v>
      </c>
      <c r="CI617" s="234">
        <f t="shared" si="744"/>
        <v>-1231.00530580958</v>
      </c>
      <c r="CJ617" s="234">
        <f>_xll.xSPRDOPT((VLOOKUP(G616,NGPREVPRICES,2,FALSE)+HLOOKUP(D616,PREVCURVES,VLOOKUP(G616,MOVE_DOWN2,2,FALSE),FALSE)),VLOOKUP(G616,NGPREVPRICES,2,FALSE),CK617,VLOOKUP(G616,NGPREVPRICES,4,FALSE),HLOOKUP(D616,PREVVOLS,VLOOKUP(G616,MOVE_DOWN2,2,FALSE),FALSE),VLOOKUP(G616,NGPREVPRICES,3,FALSE),HLOOKUP(D616,Correllate,VLOOKUP(G616,CorMove,2,FALSE),FALSE),Q616-$CD$3,R616,$CJ$5)*H616</f>
        <v>223934.6101304621</v>
      </c>
      <c r="CK617" s="235">
        <f t="shared" si="745"/>
        <v>3</v>
      </c>
      <c r="CM617" t="str">
        <f t="shared" si="746"/>
        <v>36923Curve Shift/Gamma</v>
      </c>
      <c r="CN617" t="str">
        <f t="shared" si="665"/>
        <v>36923Rho</v>
      </c>
      <c r="CO617" t="str">
        <f t="shared" si="666"/>
        <v>36923Drift</v>
      </c>
      <c r="CP617" t="str">
        <f t="shared" si="667"/>
        <v>36923Vega</v>
      </c>
      <c r="CQ617" t="str">
        <f t="shared" si="668"/>
        <v>36923Theta</v>
      </c>
    </row>
    <row r="618" spans="1:95" x14ac:dyDescent="0.25">
      <c r="A618" s="140" t="s">
        <v>383</v>
      </c>
      <c r="B618" t="s">
        <v>250</v>
      </c>
      <c r="C618" t="s">
        <v>558</v>
      </c>
      <c r="D618" s="4" t="s">
        <v>7</v>
      </c>
      <c r="E618" t="s">
        <v>20</v>
      </c>
      <c r="F618" t="s">
        <v>21</v>
      </c>
      <c r="G618" s="5">
        <v>36831</v>
      </c>
      <c r="H618" s="130">
        <v>-600000</v>
      </c>
      <c r="I618" s="235">
        <v>3.5</v>
      </c>
      <c r="J618" s="53">
        <f t="shared" si="728"/>
        <v>4.7359999999999998</v>
      </c>
      <c r="K618" s="7">
        <f t="shared" si="729"/>
        <v>0.77</v>
      </c>
      <c r="L618" s="53">
        <f t="shared" si="730"/>
        <v>5.5060000000000002</v>
      </c>
      <c r="M618" s="157">
        <f t="shared" si="731"/>
        <v>6.810675983792E-2</v>
      </c>
      <c r="N618" s="4">
        <f t="shared" si="732"/>
        <v>0.59499999999999997</v>
      </c>
      <c r="O618" s="4">
        <f t="shared" si="733"/>
        <v>0.625</v>
      </c>
      <c r="P618" s="9">
        <f t="shared" si="734"/>
        <v>0.89</v>
      </c>
      <c r="Q618" s="5">
        <f t="shared" si="708"/>
        <v>36829</v>
      </c>
      <c r="R618" s="4">
        <f t="shared" si="735"/>
        <v>1</v>
      </c>
      <c r="S618" s="158">
        <f>_xll.xSPRDOPT($L618,$J618,$I618,$M618,$O618,$N618,$P618,$Q618-$C$3,$R618,0)</f>
        <v>5.7609964660225042E-4</v>
      </c>
      <c r="T618" s="159">
        <f>_xll.xSPRDOPT($L618,$J618,$I618,$M618,$O618,$N618,$P618,$Q618-$C$3,$R618,1)*H618</f>
        <v>-1615.4154077598557</v>
      </c>
      <c r="U618" s="160">
        <f t="shared" si="736"/>
        <v>-345.65978796135028</v>
      </c>
      <c r="V618" s="159">
        <f>_xll.xSPRDOPT($L618,$J618,$I618,$M618,$O618,$N618,$P618,$Q618-$C$3,$R618,2)*H618</f>
        <v>1204.3657836534765</v>
      </c>
      <c r="W618" s="159">
        <f t="shared" si="737"/>
        <v>-411.04962410637927</v>
      </c>
      <c r="X618" s="51" t="str">
        <f t="shared" si="738"/>
        <v>36831IF-TRANSCO/Z6</v>
      </c>
      <c r="Y618" s="418">
        <f t="shared" si="739"/>
        <v>-60</v>
      </c>
      <c r="Z618" s="456">
        <f t="shared" si="740"/>
        <v>2.692359012933093E-3</v>
      </c>
      <c r="AA618" s="456">
        <f>_xll.xSPRDOPT($L618,$J618,$I618,$M618,$O618,$N618,$P618,$Q618-$C$3,$R618,3)</f>
        <v>1.1119193939892575E-2</v>
      </c>
      <c r="AB618" s="456">
        <f>((_xll.xSPRDOPT($L618+AB$5,$J618,$I618,$M618,$O618,$N618,$P618,$Q618-$C$3,$R618,3)*$H618)/10000)/100</f>
        <v>-6.6715163639355446E-3</v>
      </c>
      <c r="AC618" s="456">
        <f>((_xll.xSPRDOPT($L618+$AB$5,$J618,$I618,$M618,$O618,$N618,$P618,$Q618-$C$3,$R618,7)*$H618)/100)</f>
        <v>84.384149055659293</v>
      </c>
      <c r="AD618" s="456">
        <f>(_xll.xSPRDOPT($L618+$AB$5,$J618,$I618,$M618,$O618,$N618,$P618,$Q618-$C$3,$R618,9)/365)*$H618</f>
        <v>29.971977286337285</v>
      </c>
      <c r="AE618">
        <f t="shared" si="707"/>
        <v>0</v>
      </c>
      <c r="AF618" s="456">
        <f t="shared" si="741"/>
        <v>-62.55418152246591</v>
      </c>
      <c r="AG618" s="456">
        <f>((_xll.xSPRDOPT($L618,$J618,$I618,$M618,$O618,$N618,$P618,$Q618-$C$3,$R618,6)*$H618)/100)</f>
        <v>36.603348595147111</v>
      </c>
      <c r="AH618" s="456">
        <f>((_xll.xSPRDOPT($L618,$J618,$I618,$M618,$O618,$N618,$P618,$Q618-$C$3,$R618,5)*$H618)/100)</f>
        <v>-94.39796867196759</v>
      </c>
      <c r="AI618" s="456">
        <f>(((_xll.xSPRDOPT($L618,$J618,$I618,$M618,$O618,$N618,$P618,$Q618-$C$3,$R618,4)*$H618)/10000)/100)-AB618</f>
        <v>2.7148803820460678E-3</v>
      </c>
      <c r="AJ618" s="456"/>
      <c r="AK618" s="456"/>
      <c r="CC618" s="141">
        <f t="shared" si="742"/>
        <v>36951</v>
      </c>
      <c r="CD618" s="234">
        <f>_xll.xSPRDOPT((VLOOKUP(G617,NGPrices,2,FALSE)+HLOOKUP(D617,Prices,VLOOKUP(G617,move_down,2,FALSE),FALSE)),VLOOKUP(G617,NGPrices,2,FALSE),I617,VLOOKUP(G617,NGPREVPRICES,4,FALSE),HLOOKUP(D617,PREVVOLS,VLOOKUP(G617,MOVE_DOWN2,2,FALSE),FALSE),VLOOKUP(G617,NGPREVPRICES,3,FALSE),HLOOKUP(D617,Correllate,VLOOKUP(G617,CorMove,2,FALSE),FALSE),Q617-$CD$3,R617,$CD$5)*H617-CJ618</f>
        <v>0</v>
      </c>
      <c r="CE618" s="234">
        <f>_xll.xSPRDOPT((VLOOKUP(G617,NGPREVPRICES,2,FALSE)+HLOOKUP(D617,PREVCURVES,VLOOKUP(G617,MOVE_DOWN2,2,FALSE),FALSE)),VLOOKUP(G617,NGPREVPRICES,2,FALSE),CK618,VLOOKUP(G617,NGPrices,4,FALSE),HLOOKUP(D617,PREVVOLS,VLOOKUP(G617,MOVE_DOWN2,2,FALSE),FALSE),VLOOKUP(G617,NGPREVPRICES,3,FALSE),HLOOKUP(D617,Correllate,VLOOKUP(G617,CorMove,2,FALSE),FALSE),Q617-$CD$3,R617,$CJ$5)*H617-CJ618</f>
        <v>0</v>
      </c>
      <c r="CF618" s="10">
        <f t="shared" si="743"/>
        <v>-12.517967037812923</v>
      </c>
      <c r="CG618" s="234">
        <f>_xll.xSPRDOPT((VLOOKUP(G617,NGPREVPRICES,2,FALSE)+HLOOKUP(D617,PREVCURVES,VLOOKUP(G617,MOVE_DOWN2,2,FALSE),FALSE)),VLOOKUP(G617,NGPREVPRICES,2,FALSE),CK618,VLOOKUP(G617,NGPREVPRICES,4,FALSE),HLOOKUP(D617,VOLS,VLOOKUP(G617,move_down,2,FALSE),FALSE),VLOOKUP(G617,NGPrices,3,FALSE),HLOOKUP(D617,Correllate,VLOOKUP(G617,CorMove,2,FALSE),FALSE),Q617-$CD$3,R617,$CJ$5)*H617-CJ618</f>
        <v>0</v>
      </c>
      <c r="CH618" s="234">
        <f>_xll.xSPRDOPT((VLOOKUP(G617,NGPREVPRICES,2,FALSE)+HLOOKUP(D617,PREVCURVES,VLOOKUP(G617,MOVE_DOWN2,2,FALSE),FALSE)),VLOOKUP(G617,NGPREVPRICES,2,FALSE),CK618,VLOOKUP(G617,NGPREVPRICES,4,FALSE),HLOOKUP(D617,PREVVOLS,VLOOKUP(G617,MOVE_DOWN2,2,FALSE),FALSE),VLOOKUP(G617,NGPREVPRICES,3,FALSE),HLOOKUP(D617,Correllate,VLOOKUP(G617,CorMove,2,FALSE),FALSE),Q617-$C$3,R617,$CJ$5)*H617-CJ618</f>
        <v>-567.39681976380234</v>
      </c>
      <c r="CI618" s="234">
        <f t="shared" si="744"/>
        <v>-579.91478680161526</v>
      </c>
      <c r="CJ618" s="234">
        <f>_xll.xSPRDOPT((VLOOKUP(G617,NGPREVPRICES,2,FALSE)+HLOOKUP(D617,PREVCURVES,VLOOKUP(G617,MOVE_DOWN2,2,FALSE),FALSE)),VLOOKUP(G617,NGPREVPRICES,2,FALSE),CK618,VLOOKUP(G617,NGPREVPRICES,4,FALSE),HLOOKUP(D617,PREVVOLS,VLOOKUP(G617,MOVE_DOWN2,2,FALSE),FALSE),VLOOKUP(G617,NGPREVPRICES,3,FALSE),HLOOKUP(D617,Correllate,VLOOKUP(G617,CorMove,2,FALSE),FALSE),Q617-$CD$3,R617,$CJ$5)*H617</f>
        <v>65270.815712512427</v>
      </c>
      <c r="CK618" s="235">
        <f t="shared" si="745"/>
        <v>3</v>
      </c>
      <c r="CM618" t="str">
        <f t="shared" si="746"/>
        <v>36951Curve Shift/Gamma</v>
      </c>
      <c r="CN618" t="str">
        <f t="shared" si="665"/>
        <v>36951Rho</v>
      </c>
      <c r="CO618" t="str">
        <f t="shared" si="666"/>
        <v>36951Drift</v>
      </c>
      <c r="CP618" t="str">
        <f t="shared" si="667"/>
        <v>36951Vega</v>
      </c>
      <c r="CQ618" t="str">
        <f t="shared" si="668"/>
        <v>36951Theta</v>
      </c>
    </row>
    <row r="619" spans="1:95" x14ac:dyDescent="0.25">
      <c r="A619" s="140" t="s">
        <v>383</v>
      </c>
      <c r="B619" t="s">
        <v>250</v>
      </c>
      <c r="C619" t="s">
        <v>558</v>
      </c>
      <c r="D619" s="4" t="s">
        <v>7</v>
      </c>
      <c r="E619" t="s">
        <v>20</v>
      </c>
      <c r="F619" t="s">
        <v>21</v>
      </c>
      <c r="G619" s="5">
        <v>36861</v>
      </c>
      <c r="H619" s="130">
        <v>-620000</v>
      </c>
      <c r="I619" s="235">
        <v>3.5</v>
      </c>
      <c r="J619" s="53">
        <f t="shared" si="728"/>
        <v>4.8</v>
      </c>
      <c r="K619" s="7">
        <f t="shared" si="729"/>
        <v>1.645</v>
      </c>
      <c r="L619" s="53">
        <f t="shared" si="730"/>
        <v>6.4450000000000003</v>
      </c>
      <c r="M619" s="157">
        <f t="shared" si="731"/>
        <v>6.8314027999354002E-2</v>
      </c>
      <c r="N619" s="4">
        <f t="shared" si="732"/>
        <v>0.6</v>
      </c>
      <c r="O619" s="4">
        <f t="shared" si="733"/>
        <v>0.69</v>
      </c>
      <c r="P619" s="9">
        <f t="shared" si="734"/>
        <v>0.83</v>
      </c>
      <c r="Q619" s="5">
        <f t="shared" si="708"/>
        <v>36859</v>
      </c>
      <c r="R619" s="4">
        <f t="shared" si="735"/>
        <v>1</v>
      </c>
      <c r="S619" s="158">
        <f>_xll.xSPRDOPT($L619,$J619,$I619,$M619,$O619,$N619,$P619,$Q619-$C$3,$R619,0)</f>
        <v>9.9348219687541942E-2</v>
      </c>
      <c r="T619" s="159">
        <f>_xll.xSPRDOPT($L619,$J619,$I619,$M619,$O619,$N619,$P619,$Q619-$C$3,$R619,1)*H619</f>
        <v>-93257.421704315377</v>
      </c>
      <c r="U619" s="160">
        <f t="shared" si="736"/>
        <v>-61595.896206276004</v>
      </c>
      <c r="V619" s="159">
        <f>_xll.xSPRDOPT($L619,$J619,$I619,$M619,$O619,$N619,$P619,$Q619-$C$3,$R619,2)*H619</f>
        <v>71446.317912017606</v>
      </c>
      <c r="W619" s="159">
        <f t="shared" si="737"/>
        <v>-21811.10379229777</v>
      </c>
      <c r="X619" s="51" t="str">
        <f t="shared" si="738"/>
        <v>36861IF-TRANSCO/Z6</v>
      </c>
      <c r="Y619" s="418">
        <f t="shared" si="739"/>
        <v>-62</v>
      </c>
      <c r="Z619" s="456">
        <f t="shared" si="740"/>
        <v>0.15041519629728287</v>
      </c>
      <c r="AA619" s="456">
        <f>_xll.xSPRDOPT($L619,$J619,$I619,$M619,$O619,$N619,$P619,$Q619-$C$3,$R619,3)</f>
        <v>0.16546819651210212</v>
      </c>
      <c r="AB619" s="456">
        <f>((_xll.xSPRDOPT($L619+AB$5,$J619,$I619,$M619,$O619,$N619,$P619,$Q619-$C$3,$R619,3)*$H619)/10000)/100</f>
        <v>-0.10259028183750331</v>
      </c>
      <c r="AC619" s="456">
        <f>((_xll.xSPRDOPT($L619+$AB$5,$J619,$I619,$M619,$O619,$N619,$P619,$Q619-$C$3,$R619,7)*$H619)/100)</f>
        <v>2766.1915544028602</v>
      </c>
      <c r="AD619" s="456">
        <f>(_xll.xSPRDOPT($L619+$AB$5,$J619,$I619,$M619,$O619,$N619,$P619,$Q619-$C$3,$R619,9)/365)*$H619</f>
        <v>1092.1746048735442</v>
      </c>
      <c r="AE619">
        <f t="shared" si="707"/>
        <v>0</v>
      </c>
      <c r="AF619" s="456">
        <f t="shared" si="741"/>
        <v>-3382.3725032274597</v>
      </c>
      <c r="AG619" s="456">
        <f>((_xll.xSPRDOPT($L619,$J619,$I619,$M619,$O619,$N619,$P619,$Q619-$C$3,$R619,6)*$H619)/100)</f>
        <v>1308.2557809616756</v>
      </c>
      <c r="AH619" s="456">
        <f>((_xll.xSPRDOPT($L619,$J619,$I619,$M619,$O619,$N619,$P619,$Q619-$C$3,$R619,5)*$H619)/100)</f>
        <v>-4078.8072036427266</v>
      </c>
      <c r="AI619" s="456">
        <f>(((_xll.xSPRDOPT($L619,$J619,$I619,$M619,$O619,$N619,$P619,$Q619-$C$3,$R619,4)*$H619)/10000)/100)-AB619</f>
        <v>3.0266946331266198E-2</v>
      </c>
      <c r="AJ619" s="456"/>
      <c r="AK619" s="456"/>
      <c r="CC619" s="141">
        <f t="shared" si="742"/>
        <v>36831</v>
      </c>
      <c r="CD619" s="234">
        <f>_xll.xSPRDOPT((VLOOKUP(G618,NGPrices,2,FALSE)+HLOOKUP(D618,Prices,VLOOKUP(G618,move_down,2,FALSE),FALSE)),VLOOKUP(G618,NGPrices,2,FALSE),I618,VLOOKUP(G618,NGPREVPRICES,4,FALSE),HLOOKUP(D618,PREVVOLS,VLOOKUP(G618,MOVE_DOWN2,2,FALSE),FALSE),VLOOKUP(G618,NGPREVPRICES,3,FALSE),HLOOKUP(D618,Correllate,VLOOKUP(G618,CorMove,2,FALSE),FALSE),Q618-$CD$3,R618,$CD$5)*H618-CJ619</f>
        <v>0</v>
      </c>
      <c r="CE619" s="234">
        <f>_xll.xSPRDOPT((VLOOKUP(G618,NGPREVPRICES,2,FALSE)+HLOOKUP(D618,PREVCURVES,VLOOKUP(G618,MOVE_DOWN2,2,FALSE),FALSE)),VLOOKUP(G618,NGPREVPRICES,2,FALSE),CK619,VLOOKUP(G618,NGPrices,4,FALSE),HLOOKUP(D618,PREVVOLS,VLOOKUP(G618,MOVE_DOWN2,2,FALSE),FALSE),VLOOKUP(G618,NGPREVPRICES,3,FALSE),HLOOKUP(D618,Correllate,VLOOKUP(G618,CorMove,2,FALSE),FALSE),Q618-$CD$3,R618,$CJ$5)*H618-CJ619</f>
        <v>0</v>
      </c>
      <c r="CF619" s="10">
        <f t="shared" si="743"/>
        <v>6.9916894836183019E-2</v>
      </c>
      <c r="CG619" s="234">
        <f>_xll.xSPRDOPT((VLOOKUP(G618,NGPREVPRICES,2,FALSE)+HLOOKUP(D618,PREVCURVES,VLOOKUP(G618,MOVE_DOWN2,2,FALSE),FALSE)),VLOOKUP(G618,NGPREVPRICES,2,FALSE),CK619,VLOOKUP(G618,NGPREVPRICES,4,FALSE),HLOOKUP(D618,VOLS,VLOOKUP(G618,move_down,2,FALSE),FALSE),VLOOKUP(G618,NGPrices,3,FALSE),HLOOKUP(D618,Correllate,VLOOKUP(G618,CorMove,2,FALSE),FALSE),Q618-$CD$3,R618,$CJ$5)*H618-CJ619</f>
        <v>0</v>
      </c>
      <c r="CH619" s="234">
        <f>_xll.xSPRDOPT((VLOOKUP(G618,NGPREVPRICES,2,FALSE)+HLOOKUP(D618,PREVCURVES,VLOOKUP(G618,MOVE_DOWN2,2,FALSE),FALSE)),VLOOKUP(G618,NGPREVPRICES,2,FALSE),CK619,VLOOKUP(G618,NGPREVPRICES,4,FALSE),HLOOKUP(D618,PREVVOLS,VLOOKUP(G618,MOVE_DOWN2,2,FALSE),FALSE),VLOOKUP(G618,NGPREVPRICES,3,FALSE),HLOOKUP(D618,Correllate,VLOOKUP(G618,CorMove,2,FALSE),FALSE),Q618-$C$3,R618,$CJ$5)*H618-CJ619</f>
        <v>30.823178991605232</v>
      </c>
      <c r="CI619" s="234">
        <f t="shared" si="744"/>
        <v>30.893095886441415</v>
      </c>
      <c r="CJ619" s="234">
        <f>_xll.xSPRDOPT((VLOOKUP(G618,NGPREVPRICES,2,FALSE)+HLOOKUP(D618,PREVCURVES,VLOOKUP(G618,MOVE_DOWN2,2,FALSE),FALSE)),VLOOKUP(G618,NGPREVPRICES,2,FALSE),CK619,VLOOKUP(G618,NGPREVPRICES,4,FALSE),HLOOKUP(D618,PREVVOLS,VLOOKUP(G618,MOVE_DOWN2,2,FALSE),FALSE),VLOOKUP(G618,NGPREVPRICES,3,FALSE),HLOOKUP(D618,Correllate,VLOOKUP(G618,CorMove,2,FALSE),FALSE),Q618-$CD$3,R618,$CJ$5)*H618</f>
        <v>-376.48296695295551</v>
      </c>
      <c r="CK619" s="235">
        <f t="shared" si="745"/>
        <v>3.5</v>
      </c>
      <c r="CM619" t="str">
        <f t="shared" si="746"/>
        <v>36831Curve Shift/Gamma</v>
      </c>
      <c r="CN619" t="str">
        <f t="shared" si="665"/>
        <v>36831Rho</v>
      </c>
      <c r="CO619" t="str">
        <f t="shared" si="666"/>
        <v>36831Drift</v>
      </c>
      <c r="CP619" t="str">
        <f t="shared" si="667"/>
        <v>36831Vega</v>
      </c>
      <c r="CQ619" t="str">
        <f t="shared" si="668"/>
        <v>36831Theta</v>
      </c>
    </row>
    <row r="620" spans="1:95" x14ac:dyDescent="0.25">
      <c r="A620" s="140" t="s">
        <v>383</v>
      </c>
      <c r="B620" t="s">
        <v>250</v>
      </c>
      <c r="C620" t="s">
        <v>558</v>
      </c>
      <c r="D620" s="4" t="s">
        <v>7</v>
      </c>
      <c r="E620" t="s">
        <v>20</v>
      </c>
      <c r="F620" t="s">
        <v>21</v>
      </c>
      <c r="G620" s="5">
        <v>36892</v>
      </c>
      <c r="H620" s="130">
        <v>-620000</v>
      </c>
      <c r="I620" s="235">
        <v>3.5</v>
      </c>
      <c r="J620" s="53">
        <f t="shared" si="728"/>
        <v>4.7439999999999998</v>
      </c>
      <c r="K620" s="7">
        <f t="shared" si="729"/>
        <v>2.17</v>
      </c>
      <c r="L620" s="53">
        <f t="shared" si="730"/>
        <v>6.9139999999999997</v>
      </c>
      <c r="M620" s="157">
        <f t="shared" si="731"/>
        <v>6.8374831148490994E-2</v>
      </c>
      <c r="N620" s="4">
        <f t="shared" si="732"/>
        <v>0.60499999999999998</v>
      </c>
      <c r="O620" s="4">
        <f t="shared" si="733"/>
        <v>0.69599999999999995</v>
      </c>
      <c r="P620" s="9">
        <f t="shared" si="734"/>
        <v>0.83</v>
      </c>
      <c r="Q620" s="5">
        <f t="shared" si="708"/>
        <v>36888</v>
      </c>
      <c r="R620" s="4">
        <f t="shared" si="735"/>
        <v>1</v>
      </c>
      <c r="S620" s="158">
        <f>_xll.xSPRDOPT($L620,$J620,$I620,$M620,$O620,$N620,$P620,$Q620-$C$3,$R620,0)</f>
        <v>0.27718542574625149</v>
      </c>
      <c r="T620" s="159">
        <f>_xll.xSPRDOPT($L620,$J620,$I620,$M620,$O620,$N620,$P620,$Q620-$C$3,$R620,1)*H620</f>
        <v>-177982.42820493909</v>
      </c>
      <c r="U620" s="160">
        <f t="shared" si="736"/>
        <v>-171854.96396267592</v>
      </c>
      <c r="V620" s="159">
        <f>_xll.xSPRDOPT($L620,$J620,$I620,$M620,$O620,$N620,$P620,$Q620-$C$3,$R620,2)*H620</f>
        <v>140570.06202683179</v>
      </c>
      <c r="W620" s="159">
        <f t="shared" si="737"/>
        <v>-37412.366178107302</v>
      </c>
      <c r="X620" s="51" t="str">
        <f t="shared" si="738"/>
        <v>36892IF-TRANSCO/Z6</v>
      </c>
      <c r="Y620" s="418">
        <f t="shared" si="739"/>
        <v>-62</v>
      </c>
      <c r="Z620" s="456">
        <f t="shared" si="740"/>
        <v>0.28706843258861142</v>
      </c>
      <c r="AA620" s="456">
        <f>_xll.xSPRDOPT($L620,$J620,$I620,$M620,$O620,$N620,$P620,$Q620-$C$3,$R620,3)</f>
        <v>0.19171757022468791</v>
      </c>
      <c r="AB620" s="456">
        <f>((_xll.xSPRDOPT($L620+AB$5,$J620,$I620,$M620,$O620,$N620,$P620,$Q620-$C$3,$R620,3)*$H620)/10000)/100</f>
        <v>-0.11886489353930652</v>
      </c>
      <c r="AC620" s="456">
        <f>((_xll.xSPRDOPT($L620+$AB$5,$J620,$I620,$M620,$O620,$N620,$P620,$Q620-$C$3,$R620,7)*$H620)/100)</f>
        <v>4843.494770296903</v>
      </c>
      <c r="AD620" s="456">
        <f>(_xll.xSPRDOPT($L620+$AB$5,$J620,$I620,$M620,$O620,$N620,$P620,$Q620-$C$3,$R620,9)/365)*$H620</f>
        <v>1491.3488593255224</v>
      </c>
      <c r="AE620">
        <f t="shared" si="707"/>
        <v>0</v>
      </c>
      <c r="AF620" s="456">
        <f t="shared" si="741"/>
        <v>-6089.9973942461784</v>
      </c>
      <c r="AG620" s="456">
        <f>((_xll.xSPRDOPT($L620,$J620,$I620,$M620,$O620,$N620,$P620,$Q620-$C$3,$R620,6)*$H620)/100)</f>
        <v>2337.1985729164385</v>
      </c>
      <c r="AH620" s="456">
        <f>((_xll.xSPRDOPT($L620,$J620,$I620,$M620,$O620,$N620,$P620,$Q620-$C$3,$R620,5)*$H620)/100)</f>
        <v>-7325.3643105364717</v>
      </c>
      <c r="AI620" s="456">
        <f>(((_xll.xSPRDOPT($L620,$J620,$I620,$M620,$O620,$N620,$P620,$Q620-$C$3,$R620,4)*$H620)/10000)/100)-AB620</f>
        <v>2.336673736099508E-2</v>
      </c>
      <c r="AJ620" s="456"/>
      <c r="AK620" s="456"/>
      <c r="CC620" s="141">
        <f t="shared" si="742"/>
        <v>36861</v>
      </c>
      <c r="CD620" s="234">
        <f>_xll.xSPRDOPT((VLOOKUP(G619,NGPrices,2,FALSE)+HLOOKUP(D619,Prices,VLOOKUP(G619,move_down,2,FALSE),FALSE)),VLOOKUP(G619,NGPrices,2,FALSE),I619,VLOOKUP(G619,NGPREVPRICES,4,FALSE),HLOOKUP(D619,PREVVOLS,VLOOKUP(G619,MOVE_DOWN2,2,FALSE),FALSE),VLOOKUP(G619,NGPREVPRICES,3,FALSE),HLOOKUP(D619,Correllate,VLOOKUP(G619,CorMove,2,FALSE),FALSE),Q619-$CD$3,R619,$CD$5)*H619-CJ620</f>
        <v>0</v>
      </c>
      <c r="CE620" s="234">
        <f>_xll.xSPRDOPT((VLOOKUP(G619,NGPREVPRICES,2,FALSE)+HLOOKUP(D619,PREVCURVES,VLOOKUP(G619,MOVE_DOWN2,2,FALSE),FALSE)),VLOOKUP(G619,NGPREVPRICES,2,FALSE),CK620,VLOOKUP(G619,NGPrices,4,FALSE),HLOOKUP(D619,PREVVOLS,VLOOKUP(G619,MOVE_DOWN2,2,FALSE),FALSE),VLOOKUP(G619,NGPREVPRICES,3,FALSE),HLOOKUP(D619,Correllate,VLOOKUP(G619,CorMove,2,FALSE),FALSE),Q619-$CD$3,R619,$CJ$5)*H619-CJ620</f>
        <v>0</v>
      </c>
      <c r="CF620" s="10">
        <f t="shared" si="743"/>
        <v>11.743839983704675</v>
      </c>
      <c r="CG620" s="234">
        <f>_xll.xSPRDOPT((VLOOKUP(G619,NGPREVPRICES,2,FALSE)+HLOOKUP(D619,PREVCURVES,VLOOKUP(G619,MOVE_DOWN2,2,FALSE),FALSE)),VLOOKUP(G619,NGPREVPRICES,2,FALSE),CK620,VLOOKUP(G619,NGPREVPRICES,4,FALSE),HLOOKUP(D619,VOLS,VLOOKUP(G619,move_down,2,FALSE),FALSE),VLOOKUP(G619,NGPrices,3,FALSE),HLOOKUP(D619,Correllate,VLOOKUP(G619,CorMove,2,FALSE),FALSE),Q619-$CD$3,R619,$CJ$5)*H619-CJ620</f>
        <v>0</v>
      </c>
      <c r="CH620" s="234">
        <f>_xll.xSPRDOPT((VLOOKUP(G619,NGPREVPRICES,2,FALSE)+HLOOKUP(D619,PREVCURVES,VLOOKUP(G619,MOVE_DOWN2,2,FALSE),FALSE)),VLOOKUP(G619,NGPREVPRICES,2,FALSE),CK620,VLOOKUP(G619,NGPREVPRICES,4,FALSE),HLOOKUP(D619,PREVVOLS,VLOOKUP(G619,MOVE_DOWN2,2,FALSE),FALSE),VLOOKUP(G619,NGPREVPRICES,3,FALSE),HLOOKUP(D619,Correllate,VLOOKUP(G619,CorMove,2,FALSE),FALSE),Q619-$C$3,R619,$CJ$5)*H619-CJ620</f>
        <v>1092.1011495637649</v>
      </c>
      <c r="CI620" s="234">
        <f t="shared" si="744"/>
        <v>1103.8449895474696</v>
      </c>
      <c r="CJ620" s="234">
        <f>_xll.xSPRDOPT((VLOOKUP(G619,NGPREVPRICES,2,FALSE)+HLOOKUP(D619,PREVCURVES,VLOOKUP(G619,MOVE_DOWN2,2,FALSE),FALSE)),VLOOKUP(G619,NGPREVPRICES,2,FALSE),CK620,VLOOKUP(G619,NGPREVPRICES,4,FALSE),HLOOKUP(D619,PREVVOLS,VLOOKUP(G619,MOVE_DOWN2,2,FALSE),FALSE),VLOOKUP(G619,NGPREVPRICES,3,FALSE),HLOOKUP(D619,Correllate,VLOOKUP(G619,CorMove,2,FALSE),FALSE),Q619-$CD$3,R619,$CJ$5)*H619</f>
        <v>-62687.997355839769</v>
      </c>
      <c r="CK620" s="235">
        <f t="shared" si="745"/>
        <v>3.5</v>
      </c>
      <c r="CM620" t="str">
        <f t="shared" si="746"/>
        <v>36861Curve Shift/Gamma</v>
      </c>
      <c r="CN620" t="str">
        <f t="shared" si="665"/>
        <v>36861Rho</v>
      </c>
      <c r="CO620" t="str">
        <f t="shared" si="666"/>
        <v>36861Drift</v>
      </c>
      <c r="CP620" t="str">
        <f t="shared" si="667"/>
        <v>36861Vega</v>
      </c>
      <c r="CQ620" t="str">
        <f t="shared" si="668"/>
        <v>36861Theta</v>
      </c>
    </row>
    <row r="621" spans="1:95" x14ac:dyDescent="0.25">
      <c r="A621" s="140" t="s">
        <v>383</v>
      </c>
      <c r="B621" t="s">
        <v>250</v>
      </c>
      <c r="C621" t="s">
        <v>558</v>
      </c>
      <c r="D621" s="4" t="s">
        <v>7</v>
      </c>
      <c r="E621" t="s">
        <v>20</v>
      </c>
      <c r="F621" t="s">
        <v>21</v>
      </c>
      <c r="G621" s="5">
        <v>36923</v>
      </c>
      <c r="H621" s="130">
        <v>-560000</v>
      </c>
      <c r="I621" s="235">
        <v>3.5</v>
      </c>
      <c r="J621" s="53">
        <f t="shared" si="728"/>
        <v>4.4800000000000004</v>
      </c>
      <c r="K621" s="7">
        <f t="shared" si="729"/>
        <v>2.09</v>
      </c>
      <c r="L621" s="53">
        <f t="shared" si="730"/>
        <v>6.57</v>
      </c>
      <c r="M621" s="157">
        <f t="shared" si="731"/>
        <v>6.8640161611372E-2</v>
      </c>
      <c r="N621" s="4">
        <f t="shared" si="732"/>
        <v>0.59250000000000003</v>
      </c>
      <c r="O621" s="4">
        <f t="shared" si="733"/>
        <v>0.68100000000000005</v>
      </c>
      <c r="P621" s="9">
        <f t="shared" si="734"/>
        <v>0.83</v>
      </c>
      <c r="Q621" s="5">
        <f t="shared" si="708"/>
        <v>36921</v>
      </c>
      <c r="R621" s="4">
        <f t="shared" si="735"/>
        <v>1</v>
      </c>
      <c r="S621" s="158">
        <f>_xll.xSPRDOPT($L621,$J621,$I621,$M621,$O621,$N621,$P621,$Q621-$C$3,$R621,0)</f>
        <v>0.29580155138730613</v>
      </c>
      <c r="T621" s="159">
        <f>_xll.xSPRDOPT($L621,$J621,$I621,$M621,$O621,$N621,$P621,$Q621-$C$3,$R621,1)*H621</f>
        <v>-163688.28009189703</v>
      </c>
      <c r="U621" s="160">
        <f t="shared" si="736"/>
        <v>-165648.86877689144</v>
      </c>
      <c r="V621" s="159">
        <f>_xll.xSPRDOPT($L621,$J621,$I621,$M621,$O621,$N621,$P621,$Q621-$C$3,$R621,2)*H621</f>
        <v>126597.93217310711</v>
      </c>
      <c r="W621" s="159">
        <f t="shared" si="737"/>
        <v>-37090.347918789921</v>
      </c>
      <c r="X621" s="51" t="str">
        <f t="shared" si="738"/>
        <v>36923IF-TRANSCO/Z6</v>
      </c>
      <c r="Y621" s="418">
        <f t="shared" si="739"/>
        <v>-56</v>
      </c>
      <c r="Z621" s="456">
        <f t="shared" si="740"/>
        <v>0.29230050016410186</v>
      </c>
      <c r="AA621" s="456">
        <f>_xll.xSPRDOPT($L621,$J621,$I621,$M621,$O621,$N621,$P621,$Q621-$C$3,$R621,3)</f>
        <v>0.18263709086879346</v>
      </c>
      <c r="AB621" s="456">
        <f>((_xll.xSPRDOPT($L621+AB$5,$J621,$I621,$M621,$O621,$N621,$P621,$Q621-$C$3,$R621,3)*$H621)/10000)/100</f>
        <v>-0.10227677088652433</v>
      </c>
      <c r="AC621" s="456">
        <f>((_xll.xSPRDOPT($L621+$AB$5,$J621,$I621,$M621,$O621,$N621,$P621,$Q621-$C$3,$R621,7)*$H621)/100)</f>
        <v>4524.6785231972999</v>
      </c>
      <c r="AD621" s="456">
        <f>(_xll.xSPRDOPT($L621+$AB$5,$J621,$I621,$M621,$O621,$N621,$P621,$Q621-$C$3,$R621,9)/365)*$H621</f>
        <v>1116.2129043794469</v>
      </c>
      <c r="AE621">
        <f t="shared" si="707"/>
        <v>0</v>
      </c>
      <c r="AF621" s="456">
        <f t="shared" si="741"/>
        <v>-5960.2741501494438</v>
      </c>
      <c r="AG621" s="456">
        <f>((_xll.xSPRDOPT($L621,$J621,$I621,$M621,$O621,$N621,$P621,$Q621-$C$3,$R621,6)*$H621)/100)</f>
        <v>2270.8418988238304</v>
      </c>
      <c r="AH621" s="456">
        <f>((_xll.xSPRDOPT($L621,$J621,$I621,$M621,$O621,$N621,$P621,$Q621-$C$3,$R621,5)*$H621)/100)</f>
        <v>-7161.4335668379799</v>
      </c>
      <c r="AI621" s="456">
        <f>(((_xll.xSPRDOPT($L621,$J621,$I621,$M621,$O621,$N621,$P621,$Q621-$C$3,$R621,4)*$H621)/10000)/100)-AB621</f>
        <v>2.1151545600232302E-2</v>
      </c>
      <c r="AJ621" s="456"/>
      <c r="AK621" s="456"/>
      <c r="CC621" s="141">
        <f t="shared" si="742"/>
        <v>36892</v>
      </c>
      <c r="CD621" s="234">
        <f>_xll.xSPRDOPT((VLOOKUP(G620,NGPrices,2,FALSE)+HLOOKUP(D620,Prices,VLOOKUP(G620,move_down,2,FALSE),FALSE)),VLOOKUP(G620,NGPrices,2,FALSE),I620,VLOOKUP(G620,NGPREVPRICES,4,FALSE),HLOOKUP(D620,PREVVOLS,VLOOKUP(G620,MOVE_DOWN2,2,FALSE),FALSE),VLOOKUP(G620,NGPREVPRICES,3,FALSE),HLOOKUP(D620,Correllate,VLOOKUP(G620,CorMove,2,FALSE),FALSE),Q620-$CD$3,R620,$CD$5)*H620-CJ621</f>
        <v>0</v>
      </c>
      <c r="CE621" s="234">
        <f>_xll.xSPRDOPT((VLOOKUP(G620,NGPREVPRICES,2,FALSE)+HLOOKUP(D620,PREVCURVES,VLOOKUP(G620,MOVE_DOWN2,2,FALSE),FALSE)),VLOOKUP(G620,NGPREVPRICES,2,FALSE),CK621,VLOOKUP(G620,NGPrices,4,FALSE),HLOOKUP(D620,PREVVOLS,VLOOKUP(G620,MOVE_DOWN2,2,FALSE),FALSE),VLOOKUP(G620,NGPREVPRICES,3,FALSE),HLOOKUP(D620,Correllate,VLOOKUP(G620,CorMove,2,FALSE),FALSE),Q620-$CD$3,R620,$CJ$5)*H620-CJ621</f>
        <v>0</v>
      </c>
      <c r="CF621" s="10">
        <f t="shared" si="743"/>
        <v>32.66501114264247</v>
      </c>
      <c r="CG621" s="234">
        <f>_xll.xSPRDOPT((VLOOKUP(G620,NGPREVPRICES,2,FALSE)+HLOOKUP(D620,PREVCURVES,VLOOKUP(G620,MOVE_DOWN2,2,FALSE),FALSE)),VLOOKUP(G620,NGPREVPRICES,2,FALSE),CK621,VLOOKUP(G620,NGPREVPRICES,4,FALSE),HLOOKUP(D620,VOLS,VLOOKUP(G620,move_down,2,FALSE),FALSE),VLOOKUP(G620,NGPrices,3,FALSE),HLOOKUP(D620,Correllate,VLOOKUP(G620,CorMove,2,FALSE),FALSE),Q620-$CD$3,R620,$CJ$5)*H620-CJ621</f>
        <v>0</v>
      </c>
      <c r="CH621" s="234">
        <f>_xll.xSPRDOPT((VLOOKUP(G620,NGPREVPRICES,2,FALSE)+HLOOKUP(D620,PREVCURVES,VLOOKUP(G620,MOVE_DOWN2,2,FALSE),FALSE)),VLOOKUP(G620,NGPREVPRICES,2,FALSE),CK621,VLOOKUP(G620,NGPREVPRICES,4,FALSE),HLOOKUP(D620,PREVVOLS,VLOOKUP(G620,MOVE_DOWN2,2,FALSE),FALSE),VLOOKUP(G620,NGPREVPRICES,3,FALSE),HLOOKUP(D620,Correllate,VLOOKUP(G620,CorMove,2,FALSE),FALSE),Q620-$C$3,R620,$CJ$5)*H620-CJ621</f>
        <v>1488.3248349662754</v>
      </c>
      <c r="CI621" s="234">
        <f t="shared" si="744"/>
        <v>1520.9898461089178</v>
      </c>
      <c r="CJ621" s="234">
        <f>_xll.xSPRDOPT((VLOOKUP(G620,NGPREVPRICES,2,FALSE)+HLOOKUP(D620,PREVCURVES,VLOOKUP(G620,MOVE_DOWN2,2,FALSE),FALSE)),VLOOKUP(G620,NGPREVPRICES,2,FALSE),CK621,VLOOKUP(G620,NGPREVPRICES,4,FALSE),HLOOKUP(D620,PREVVOLS,VLOOKUP(G620,MOVE_DOWN2,2,FALSE),FALSE),VLOOKUP(G620,NGPREVPRICES,3,FALSE),HLOOKUP(D620,Correllate,VLOOKUP(G620,CorMove,2,FALSE),FALSE),Q620-$CD$3,R620,$CJ$5)*H620</f>
        <v>-173343.28879764219</v>
      </c>
      <c r="CK621" s="235">
        <f t="shared" si="745"/>
        <v>3.5</v>
      </c>
      <c r="CM621" t="str">
        <f t="shared" si="746"/>
        <v>36892Curve Shift/Gamma</v>
      </c>
      <c r="CN621" t="str">
        <f t="shared" si="665"/>
        <v>36892Rho</v>
      </c>
      <c r="CO621" t="str">
        <f t="shared" si="666"/>
        <v>36892Drift</v>
      </c>
      <c r="CP621" t="str">
        <f t="shared" si="667"/>
        <v>36892Vega</v>
      </c>
      <c r="CQ621" t="str">
        <f t="shared" si="668"/>
        <v>36892Theta</v>
      </c>
    </row>
    <row r="622" spans="1:95" x14ac:dyDescent="0.25">
      <c r="A622" s="140" t="s">
        <v>383</v>
      </c>
      <c r="B622" t="s">
        <v>250</v>
      </c>
      <c r="C622" t="s">
        <v>558</v>
      </c>
      <c r="D622" s="4" t="s">
        <v>7</v>
      </c>
      <c r="E622" t="s">
        <v>20</v>
      </c>
      <c r="F622" t="s">
        <v>21</v>
      </c>
      <c r="G622" s="5">
        <v>36951</v>
      </c>
      <c r="H622" s="130">
        <v>-620000</v>
      </c>
      <c r="I622" s="235">
        <v>3.5</v>
      </c>
      <c r="J622" s="53">
        <f t="shared" si="728"/>
        <v>4.2130000000000001</v>
      </c>
      <c r="K622" s="7">
        <f t="shared" si="729"/>
        <v>1.075</v>
      </c>
      <c r="L622" s="53">
        <f t="shared" si="730"/>
        <v>5.2880000000000003</v>
      </c>
      <c r="M622" s="157">
        <f t="shared" si="731"/>
        <v>6.8879814952706994E-2</v>
      </c>
      <c r="N622" s="4">
        <f t="shared" si="732"/>
        <v>0.53249999999999997</v>
      </c>
      <c r="O622" s="4">
        <f t="shared" si="733"/>
        <v>0.61199999999999999</v>
      </c>
      <c r="P622" s="9">
        <f t="shared" si="734"/>
        <v>0.83</v>
      </c>
      <c r="Q622" s="5">
        <f t="shared" si="708"/>
        <v>36949</v>
      </c>
      <c r="R622" s="4">
        <f t="shared" si="735"/>
        <v>1</v>
      </c>
      <c r="S622" s="158">
        <f>_xll.xSPRDOPT($L622,$J622,$I622,$M622,$O622,$N622,$P622,$Q622-$C$3,$R622,0)</f>
        <v>7.0048272469666592E-2</v>
      </c>
      <c r="T622" s="159">
        <f>_xll.xSPRDOPT($L622,$J622,$I622,$M622,$O622,$N622,$P622,$Q622-$C$3,$R622,1)*H622</f>
        <v>-69330.381347897288</v>
      </c>
      <c r="U622" s="160">
        <f t="shared" si="736"/>
        <v>-43429.928931193288</v>
      </c>
      <c r="V622" s="159">
        <f>_xll.xSPRDOPT($L622,$J622,$I622,$M622,$O622,$N622,$P622,$Q622-$C$3,$R622,2)*H622</f>
        <v>48232.553725367616</v>
      </c>
      <c r="W622" s="159">
        <f t="shared" si="737"/>
        <v>-21097.827622529672</v>
      </c>
      <c r="X622" s="51" t="str">
        <f t="shared" si="738"/>
        <v>36951IF-TRANSCO/Z6</v>
      </c>
      <c r="Y622" s="418">
        <f t="shared" si="739"/>
        <v>-62</v>
      </c>
      <c r="Z622" s="456">
        <f t="shared" si="740"/>
        <v>0.11182319572241498</v>
      </c>
      <c r="AA622" s="456">
        <f>_xll.xSPRDOPT($L622,$J622,$I622,$M622,$O622,$N622,$P622,$Q622-$C$3,$R622,3)</f>
        <v>0.1303653271803267</v>
      </c>
      <c r="AB622" s="456">
        <f>((_xll.xSPRDOPT($L622+AB$5,$J622,$I622,$M622,$O622,$N622,$P622,$Q622-$C$3,$R622,3)*$H622)/10000)/100</f>
        <v>-8.0826502851802554E-2</v>
      </c>
      <c r="AC622" s="456">
        <f>((_xll.xSPRDOPT($L622+$AB$5,$J622,$I622,$M622,$O622,$N622,$P622,$Q622-$C$3,$R622,7)*$H622)/100)</f>
        <v>2252.7768442245497</v>
      </c>
      <c r="AD622" s="456">
        <f>(_xll.xSPRDOPT($L622+$AB$5,$J622,$I622,$M622,$O622,$N622,$P622,$Q622-$C$3,$R622,9)/365)*$H622</f>
        <v>458.75847161450054</v>
      </c>
      <c r="AE622">
        <f t="shared" si="707"/>
        <v>0</v>
      </c>
      <c r="AF622" s="456">
        <f t="shared" si="741"/>
        <v>-3189.7651485457982</v>
      </c>
      <c r="AG622" s="456">
        <f>((_xll.xSPRDOPT($L622,$J622,$I622,$M622,$O622,$N622,$P622,$Q622-$C$3,$R622,6)*$H622)/100)</f>
        <v>1220.249506416076</v>
      </c>
      <c r="AH622" s="456">
        <f>((_xll.xSPRDOPT($L622,$J622,$I622,$M622,$O622,$N622,$P622,$Q622-$C$3,$R622,5)*$H622)/100)</f>
        <v>-3837.1451041947676</v>
      </c>
      <c r="AI622" s="456">
        <f>(((_xll.xSPRDOPT($L622,$J622,$I622,$M622,$O622,$N622,$P622,$Q622-$C$3,$R622,4)*$H622)/10000)/100)-AB622</f>
        <v>3.2178612275992682E-2</v>
      </c>
      <c r="AJ622" s="456"/>
      <c r="AK622" s="456"/>
      <c r="CC622" s="141">
        <f t="shared" si="742"/>
        <v>36923</v>
      </c>
      <c r="CD622" s="234">
        <f>_xll.xSPRDOPT((VLOOKUP(G621,NGPrices,2,FALSE)+HLOOKUP(D621,Prices,VLOOKUP(G621,move_down,2,FALSE),FALSE)),VLOOKUP(G621,NGPrices,2,FALSE),I621,VLOOKUP(G621,NGPREVPRICES,4,FALSE),HLOOKUP(D621,PREVVOLS,VLOOKUP(G621,MOVE_DOWN2,2,FALSE),FALSE),VLOOKUP(G621,NGPREVPRICES,3,FALSE),HLOOKUP(D621,Correllate,VLOOKUP(G621,CorMove,2,FALSE),FALSE),Q621-$CD$3,R621,$CD$5)*H621-CJ622</f>
        <v>0</v>
      </c>
      <c r="CE622" s="234">
        <f>_xll.xSPRDOPT((VLOOKUP(G621,NGPREVPRICES,2,FALSE)+HLOOKUP(D621,PREVCURVES,VLOOKUP(G621,MOVE_DOWN2,2,FALSE),FALSE)),VLOOKUP(G621,NGPREVPRICES,2,FALSE),CK622,VLOOKUP(G621,NGPrices,4,FALSE),HLOOKUP(D621,PREVVOLS,VLOOKUP(G621,MOVE_DOWN2,2,FALSE),FALSE),VLOOKUP(G621,NGPREVPRICES,3,FALSE),HLOOKUP(D621,Correllate,VLOOKUP(G621,CorMove,2,FALSE),FALSE),Q621-$CD$3,R621,$CJ$5)*H621-CJ622</f>
        <v>0</v>
      </c>
      <c r="CF622" s="10">
        <f t="shared" si="743"/>
        <v>31.716411741566844</v>
      </c>
      <c r="CG622" s="234">
        <f>_xll.xSPRDOPT((VLOOKUP(G621,NGPREVPRICES,2,FALSE)+HLOOKUP(D621,PREVCURVES,VLOOKUP(G621,MOVE_DOWN2,2,FALSE),FALSE)),VLOOKUP(G621,NGPREVPRICES,2,FALSE),CK622,VLOOKUP(G621,NGPREVPRICES,4,FALSE),HLOOKUP(D621,VOLS,VLOOKUP(G621,move_down,2,FALSE),FALSE),VLOOKUP(G621,NGPrices,3,FALSE),HLOOKUP(D621,Correllate,VLOOKUP(G621,CorMove,2,FALSE),FALSE),Q621-$CD$3,R621,$CJ$5)*H621-CJ622</f>
        <v>0</v>
      </c>
      <c r="CH622" s="234">
        <f>_xll.xSPRDOPT((VLOOKUP(G621,NGPREVPRICES,2,FALSE)+HLOOKUP(D621,PREVCURVES,VLOOKUP(G621,MOVE_DOWN2,2,FALSE),FALSE)),VLOOKUP(G621,NGPREVPRICES,2,FALSE),CK622,VLOOKUP(G621,NGPREVPRICES,4,FALSE),HLOOKUP(D621,PREVVOLS,VLOOKUP(G621,MOVE_DOWN2,2,FALSE),FALSE),VLOOKUP(G621,NGPREVPRICES,3,FALSE),HLOOKUP(D621,Correllate,VLOOKUP(G621,CorMove,2,FALSE),FALSE),Q621-$C$3,R621,$CJ$5)*H621-CJ622</f>
        <v>1114.1974590045284</v>
      </c>
      <c r="CI622" s="234">
        <f t="shared" si="744"/>
        <v>1145.9138707460952</v>
      </c>
      <c r="CJ622" s="234">
        <f>_xll.xSPRDOPT((VLOOKUP(G621,NGPREVPRICES,2,FALSE)+HLOOKUP(D621,PREVCURVES,VLOOKUP(G621,MOVE_DOWN2,2,FALSE),FALSE)),VLOOKUP(G621,NGPREVPRICES,2,FALSE),CK622,VLOOKUP(G621,NGPREVPRICES,4,FALSE),HLOOKUP(D621,PREVVOLS,VLOOKUP(G621,MOVE_DOWN2,2,FALSE),FALSE),VLOOKUP(G621,NGPREVPRICES,3,FALSE),HLOOKUP(D621,Correllate,VLOOKUP(G621,CorMove,2,FALSE),FALSE),Q621-$CD$3,R621,$CJ$5)*H621</f>
        <v>-166763.06623589597</v>
      </c>
      <c r="CK622" s="235">
        <f t="shared" si="745"/>
        <v>3.5</v>
      </c>
      <c r="CM622" t="str">
        <f t="shared" si="746"/>
        <v>36923Curve Shift/Gamma</v>
      </c>
      <c r="CN622" t="str">
        <f t="shared" ref="CN622:CN685" si="747">CONCATENATE($CC622,$CE$6)</f>
        <v>36923Rho</v>
      </c>
      <c r="CO622" t="str">
        <f t="shared" ref="CO622:CO685" si="748">CONCATENATE($CC622,$CF$6)</f>
        <v>36923Drift</v>
      </c>
      <c r="CP622" t="str">
        <f t="shared" ref="CP622:CP685" si="749">CONCATENATE($CC622,$CG$6)</f>
        <v>36923Vega</v>
      </c>
      <c r="CQ622" t="str">
        <f t="shared" ref="CQ622:CQ685" si="750">CONCATENATE($CC622,$CH$6)</f>
        <v>36923Theta</v>
      </c>
    </row>
    <row r="623" spans="1:95" x14ac:dyDescent="0.25">
      <c r="A623" s="140" t="s">
        <v>279</v>
      </c>
      <c r="B623" t="s">
        <v>250</v>
      </c>
      <c r="C623" t="s">
        <v>559</v>
      </c>
      <c r="D623" s="4" t="s">
        <v>7</v>
      </c>
      <c r="E623" t="s">
        <v>20</v>
      </c>
      <c r="F623" t="s">
        <v>21</v>
      </c>
      <c r="G623" s="5">
        <v>36861</v>
      </c>
      <c r="H623" s="130">
        <v>-500000</v>
      </c>
      <c r="I623" s="235">
        <v>3</v>
      </c>
      <c r="J623" s="53">
        <f t="shared" si="728"/>
        <v>4.8</v>
      </c>
      <c r="K623" s="7">
        <f t="shared" si="729"/>
        <v>1.645</v>
      </c>
      <c r="L623" s="53">
        <f t="shared" si="730"/>
        <v>6.4450000000000003</v>
      </c>
      <c r="M623" s="157">
        <f t="shared" si="731"/>
        <v>6.8314027999354002E-2</v>
      </c>
      <c r="N623" s="4">
        <f t="shared" si="732"/>
        <v>0.6</v>
      </c>
      <c r="O623" s="4">
        <f t="shared" si="733"/>
        <v>0.69</v>
      </c>
      <c r="P623" s="9">
        <f t="shared" si="734"/>
        <v>0.83</v>
      </c>
      <c r="Q623" s="5">
        <f t="shared" si="708"/>
        <v>36859</v>
      </c>
      <c r="R623" s="4">
        <f t="shared" si="735"/>
        <v>1</v>
      </c>
      <c r="S623" s="158">
        <f>_xll.xSPRDOPT($L623,$J623,$I623,$M623,$O623,$N623,$P623,$Q623-$C$3,$R623,0)</f>
        <v>0.1564994254337741</v>
      </c>
      <c r="T623" s="159">
        <f>_xll.xSPRDOPT($L623,$J623,$I623,$M623,$O623,$N623,$P623,$Q623-$C$3,$R623,1)*H623</f>
        <v>-109431.82353464604</v>
      </c>
      <c r="U623" s="160">
        <f t="shared" si="736"/>
        <v>-78249.71271688705</v>
      </c>
      <c r="V623" s="159">
        <f>_xll.xSPRDOPT($L623,$J623,$I623,$M623,$O623,$N623,$P623,$Q623-$C$3,$R623,2)*H623</f>
        <v>86376.720954333272</v>
      </c>
      <c r="W623" s="159">
        <f t="shared" si="737"/>
        <v>-23055.10258031277</v>
      </c>
      <c r="X623" s="51" t="str">
        <f t="shared" si="738"/>
        <v>36861IF-TRANSCO/Z6</v>
      </c>
      <c r="Y623" s="418">
        <f t="shared" si="739"/>
        <v>-50</v>
      </c>
      <c r="Z623" s="456">
        <f t="shared" si="740"/>
        <v>0.21886364706929209</v>
      </c>
      <c r="AA623" s="456">
        <f>_xll.xSPRDOPT($L623,$J623,$I623,$M623,$O623,$N623,$P623,$Q623-$C$3,$R623,3)</f>
        <v>0.21208847684681123</v>
      </c>
      <c r="AB623" s="456">
        <f>((_xll.xSPRDOPT($L623+AB$5,$J623,$I623,$M623,$O623,$N623,$P623,$Q623-$C$3,$R623,3)*$H623)/10000)/100</f>
        <v>-0.1060442384234056</v>
      </c>
      <c r="AC623" s="456">
        <f>((_xll.xSPRDOPT($L623+$AB$5,$J623,$I623,$M623,$O623,$N623,$P623,$Q623-$C$3,$R623,7)*$H623)/100)</f>
        <v>2975.5943048815993</v>
      </c>
      <c r="AD623" s="456">
        <f>(_xll.xSPRDOPT($L623+$AB$5,$J623,$I623,$M623,$O623,$N623,$P623,$Q623-$C$3,$R623,9)/365)*$H623</f>
        <v>1091.0058998206459</v>
      </c>
      <c r="AE623">
        <f t="shared" si="707"/>
        <v>0</v>
      </c>
      <c r="AF623" s="456">
        <f t="shared" si="741"/>
        <v>-3388.343049157204</v>
      </c>
      <c r="AG623" s="456">
        <f>((_xll.xSPRDOPT($L623,$J623,$I623,$M623,$O623,$N623,$P623,$Q623-$C$3,$R623,6)*$H623)/100)</f>
        <v>1299.3651842648846</v>
      </c>
      <c r="AH623" s="456">
        <f>((_xll.xSPRDOPT($L623,$J623,$I623,$M623,$O623,$N623,$P623,$Q623-$C$3,$R623,5)*$H623)/100)</f>
        <v>-4076.2680290626863</v>
      </c>
      <c r="AI623" s="456">
        <f>(((_xll.xSPRDOPT($L623,$J623,$I623,$M623,$O623,$N623,$P623,$Q623-$C$3,$R623,4)*$H623)/10000)/100)-AB623</f>
        <v>2.5146552015456097E-2</v>
      </c>
      <c r="AJ623" s="456"/>
      <c r="AK623" s="456"/>
      <c r="CC623" s="141">
        <f t="shared" si="742"/>
        <v>36951</v>
      </c>
      <c r="CD623" s="234">
        <f>_xll.xSPRDOPT((VLOOKUP(G622,NGPrices,2,FALSE)+HLOOKUP(D622,Prices,VLOOKUP(G622,move_down,2,FALSE),FALSE)),VLOOKUP(G622,NGPrices,2,FALSE),I622,VLOOKUP(G622,NGPREVPRICES,4,FALSE),HLOOKUP(D622,PREVVOLS,VLOOKUP(G622,MOVE_DOWN2,2,FALSE),FALSE),VLOOKUP(G622,NGPREVPRICES,3,FALSE),HLOOKUP(D622,Correllate,VLOOKUP(G622,CorMove,2,FALSE),FALSE),Q622-$CD$3,R622,$CD$5)*H622-CJ623</f>
        <v>0</v>
      </c>
      <c r="CE623" s="234">
        <f>_xll.xSPRDOPT((VLOOKUP(G622,NGPREVPRICES,2,FALSE)+HLOOKUP(D622,PREVCURVES,VLOOKUP(G622,MOVE_DOWN2,2,FALSE),FALSE)),VLOOKUP(G622,NGPREVPRICES,2,FALSE),CK623,VLOOKUP(G622,NGPrices,4,FALSE),HLOOKUP(D622,PREVVOLS,VLOOKUP(G622,MOVE_DOWN2,2,FALSE),FALSE),VLOOKUP(G622,NGPREVPRICES,3,FALSE),HLOOKUP(D622,Correllate,VLOOKUP(G622,CorMove,2,FALSE),FALSE),Q622-$CD$3,R622,$CJ$5)*H622-CJ623</f>
        <v>0</v>
      </c>
      <c r="CF623" s="10">
        <f t="shared" si="743"/>
        <v>8.4172156835920759</v>
      </c>
      <c r="CG623" s="234">
        <f>_xll.xSPRDOPT((VLOOKUP(G622,NGPREVPRICES,2,FALSE)+HLOOKUP(D622,PREVCURVES,VLOOKUP(G622,MOVE_DOWN2,2,FALSE),FALSE)),VLOOKUP(G622,NGPREVPRICES,2,FALSE),CK623,VLOOKUP(G622,NGPREVPRICES,4,FALSE),HLOOKUP(D622,VOLS,VLOOKUP(G622,move_down,2,FALSE),FALSE),VLOOKUP(G622,NGPrices,3,FALSE),HLOOKUP(D622,Correllate,VLOOKUP(G622,CorMove,2,FALSE),FALSE),Q622-$CD$3,R622,$CJ$5)*H622-CJ623</f>
        <v>0</v>
      </c>
      <c r="CH623" s="234">
        <f>_xll.xSPRDOPT((VLOOKUP(G622,NGPREVPRICES,2,FALSE)+HLOOKUP(D622,PREVCURVES,VLOOKUP(G622,MOVE_DOWN2,2,FALSE),FALSE)),VLOOKUP(G622,NGPREVPRICES,2,FALSE),CK623,VLOOKUP(G622,NGPREVPRICES,4,FALSE),HLOOKUP(D622,PREVVOLS,VLOOKUP(G622,MOVE_DOWN2,2,FALSE),FALSE),VLOOKUP(G622,NGPREVPRICES,3,FALSE),HLOOKUP(D622,Correllate,VLOOKUP(G622,CorMove,2,FALSE),FALSE),Q622-$C$3,R622,$CJ$5)*H622-CJ623</f>
        <v>458.86962825074443</v>
      </c>
      <c r="CI623" s="234">
        <f t="shared" si="744"/>
        <v>467.2868439343365</v>
      </c>
      <c r="CJ623" s="234">
        <f>_xll.xSPRDOPT((VLOOKUP(G622,NGPREVPRICES,2,FALSE)+HLOOKUP(D622,PREVCURVES,VLOOKUP(G622,MOVE_DOWN2,2,FALSE),FALSE)),VLOOKUP(G622,NGPREVPRICES,2,FALSE),CK623,VLOOKUP(G622,NGPREVPRICES,4,FALSE),HLOOKUP(D622,PREVVOLS,VLOOKUP(G622,MOVE_DOWN2,2,FALSE),FALSE),VLOOKUP(G622,NGPREVPRICES,3,FALSE),HLOOKUP(D622,Correllate,VLOOKUP(G622,CorMove,2,FALSE),FALSE),Q622-$CD$3,R622,$CJ$5)*H622</f>
        <v>-43888.798559444032</v>
      </c>
      <c r="CK623" s="235">
        <f t="shared" si="745"/>
        <v>3.5</v>
      </c>
      <c r="CM623" t="str">
        <f t="shared" si="746"/>
        <v>36951Curve Shift/Gamma</v>
      </c>
      <c r="CN623" t="str">
        <f t="shared" si="747"/>
        <v>36951Rho</v>
      </c>
      <c r="CO623" t="str">
        <f t="shared" si="748"/>
        <v>36951Drift</v>
      </c>
      <c r="CP623" t="str">
        <f t="shared" si="749"/>
        <v>36951Vega</v>
      </c>
      <c r="CQ623" t="str">
        <f t="shared" si="750"/>
        <v>36951Theta</v>
      </c>
    </row>
    <row r="624" spans="1:95" x14ac:dyDescent="0.25">
      <c r="A624" s="140" t="s">
        <v>279</v>
      </c>
      <c r="B624" t="s">
        <v>250</v>
      </c>
      <c r="C624" t="s">
        <v>559</v>
      </c>
      <c r="D624" s="4" t="s">
        <v>7</v>
      </c>
      <c r="E624" t="s">
        <v>20</v>
      </c>
      <c r="F624" t="s">
        <v>21</v>
      </c>
      <c r="G624" s="5">
        <v>36892</v>
      </c>
      <c r="H624" s="130">
        <v>-500000</v>
      </c>
      <c r="I624" s="235">
        <v>3</v>
      </c>
      <c r="J624" s="53">
        <f t="shared" si="728"/>
        <v>4.7439999999999998</v>
      </c>
      <c r="K624" s="7">
        <f t="shared" si="729"/>
        <v>2.17</v>
      </c>
      <c r="L624" s="53">
        <f t="shared" si="730"/>
        <v>6.9139999999999997</v>
      </c>
      <c r="M624" s="157">
        <f t="shared" si="731"/>
        <v>6.8374831148490994E-2</v>
      </c>
      <c r="N624" s="4">
        <f t="shared" si="732"/>
        <v>0.60499999999999998</v>
      </c>
      <c r="O624" s="4">
        <f t="shared" si="733"/>
        <v>0.69599999999999995</v>
      </c>
      <c r="P624" s="9">
        <f t="shared" si="734"/>
        <v>0.83</v>
      </c>
      <c r="Q624" s="5">
        <f t="shared" si="708"/>
        <v>36888</v>
      </c>
      <c r="R624" s="4">
        <f t="shared" si="735"/>
        <v>1</v>
      </c>
      <c r="S624" s="158">
        <f>_xll.xSPRDOPT($L624,$J624,$I624,$M624,$O624,$N624,$P624,$Q624-$C$3,$R624,0)</f>
        <v>0.38362792668504803</v>
      </c>
      <c r="T624" s="159">
        <f>_xll.xSPRDOPT($L624,$J624,$I624,$M624,$O624,$N624,$P624,$Q624-$C$3,$R624,1)*H624</f>
        <v>-184418.70269135002</v>
      </c>
      <c r="U624" s="160">
        <f t="shared" si="736"/>
        <v>-191813.96334252402</v>
      </c>
      <c r="V624" s="159">
        <f>_xll.xSPRDOPT($L624,$J624,$I624,$M624,$O624,$N624,$P624,$Q624-$C$3,$R624,2)*H624</f>
        <v>149779.454496658</v>
      </c>
      <c r="W624" s="159">
        <f t="shared" si="737"/>
        <v>-34639.248194692016</v>
      </c>
      <c r="X624" s="51" t="str">
        <f t="shared" si="738"/>
        <v>36892IF-TRANSCO/Z6</v>
      </c>
      <c r="Y624" s="418">
        <f t="shared" si="739"/>
        <v>-50</v>
      </c>
      <c r="Z624" s="456">
        <f t="shared" si="740"/>
        <v>0.36883740538270005</v>
      </c>
      <c r="AA624" s="456">
        <f>_xll.xSPRDOPT($L624,$J624,$I624,$M624,$O624,$N624,$P624,$Q624-$C$3,$R624,3)</f>
        <v>0.21502122720377706</v>
      </c>
      <c r="AB624" s="456">
        <f>((_xll.xSPRDOPT($L624+AB$5,$J624,$I624,$M624,$O624,$N624,$P624,$Q624-$C$3,$R624,3)*$H624)/10000)/100</f>
        <v>-0.10751061360188853</v>
      </c>
      <c r="AC624" s="456">
        <f>((_xll.xSPRDOPT($L624+$AB$5,$J624,$I624,$M624,$O624,$N624,$P624,$Q624-$C$3,$R624,7)*$H624)/100)</f>
        <v>4565.995346492241</v>
      </c>
      <c r="AD624" s="456">
        <f>(_xll.xSPRDOPT($L624+$AB$5,$J624,$I624,$M624,$O624,$N624,$P624,$Q624-$C$3,$R624,9)/365)*$H624</f>
        <v>1297.9575349192626</v>
      </c>
      <c r="AE624">
        <f t="shared" si="707"/>
        <v>0</v>
      </c>
      <c r="AF624" s="456">
        <f t="shared" si="741"/>
        <v>-5331.9068788918848</v>
      </c>
      <c r="AG624" s="456">
        <f>((_xll.xSPRDOPT($L624,$J624,$I624,$M624,$O624,$N624,$P624,$Q624-$C$3,$R624,6)*$H624)/100)</f>
        <v>2036.2764208172673</v>
      </c>
      <c r="AH624" s="456">
        <f>((_xll.xSPRDOPT($L624,$J624,$I624,$M624,$O624,$N624,$P624,$Q624-$C$3,$R624,5)*$H624)/100)</f>
        <v>-6404.8145062126978</v>
      </c>
      <c r="AI624" s="456">
        <f>(((_xll.xSPRDOPT($L624,$J624,$I624,$M624,$O624,$N624,$P624,$Q624-$C$3,$R624,4)*$H624)/10000)/100)-AB624</f>
        <v>1.3780982292374094E-2</v>
      </c>
      <c r="AJ624" s="456"/>
      <c r="AK624" s="456"/>
      <c r="CC624" s="141">
        <f t="shared" si="742"/>
        <v>36861</v>
      </c>
      <c r="CD624" s="234">
        <f>_xll.xSPRDOPT((VLOOKUP(G623,NGPrices,2,FALSE)+HLOOKUP(D623,Prices,VLOOKUP(G623,move_down,2,FALSE),FALSE)),VLOOKUP(G623,NGPrices,2,FALSE),I623,VLOOKUP(G623,NGPREVPRICES,4,FALSE),HLOOKUP(D623,PREVVOLS,VLOOKUP(G623,MOVE_DOWN2,2,FALSE),FALSE),VLOOKUP(G623,NGPREVPRICES,3,FALSE),HLOOKUP(D623,Correllate,VLOOKUP(G623,CorMove,2,FALSE),FALSE),Q623-$CD$3,R623,$CD$5)*H623-CJ624</f>
        <v>0</v>
      </c>
      <c r="CE624" s="234">
        <f>_xll.xSPRDOPT((VLOOKUP(G623,NGPREVPRICES,2,FALSE)+HLOOKUP(D623,PREVCURVES,VLOOKUP(G623,MOVE_DOWN2,2,FALSE),FALSE)),VLOOKUP(G623,NGPREVPRICES,2,FALSE),CK624,VLOOKUP(G623,NGPrices,4,FALSE),HLOOKUP(D623,PREVVOLS,VLOOKUP(G623,MOVE_DOWN2,2,FALSE),FALSE),VLOOKUP(G623,NGPREVPRICES,3,FALSE),HLOOKUP(D623,Correllate,VLOOKUP(G623,CorMove,2,FALSE),FALSE),Q623-$CD$3,R623,$CJ$5)*H623-CJ624</f>
        <v>0</v>
      </c>
      <c r="CF624" s="10">
        <f t="shared" si="743"/>
        <v>14.86321574523754</v>
      </c>
      <c r="CG624" s="234">
        <f>_xll.xSPRDOPT((VLOOKUP(G623,NGPREVPRICES,2,FALSE)+HLOOKUP(D623,PREVCURVES,VLOOKUP(G623,MOVE_DOWN2,2,FALSE),FALSE)),VLOOKUP(G623,NGPREVPRICES,2,FALSE),CK624,VLOOKUP(G623,NGPREVPRICES,4,FALSE),HLOOKUP(D623,VOLS,VLOOKUP(G623,move_down,2,FALSE),FALSE),VLOOKUP(G623,NGPrices,3,FALSE),HLOOKUP(D623,Correllate,VLOOKUP(G623,CorMove,2,FALSE),FALSE),Q623-$CD$3,R623,$CJ$5)*H623-CJ624</f>
        <v>0</v>
      </c>
      <c r="CH624" s="234">
        <f>_xll.xSPRDOPT((VLOOKUP(G623,NGPREVPRICES,2,FALSE)+HLOOKUP(D623,PREVCURVES,VLOOKUP(G623,MOVE_DOWN2,2,FALSE),FALSE)),VLOOKUP(G623,NGPREVPRICES,2,FALSE),CK624,VLOOKUP(G623,NGPREVPRICES,4,FALSE),HLOOKUP(D623,PREVVOLS,VLOOKUP(G623,MOVE_DOWN2,2,FALSE),FALSE),VLOOKUP(G623,NGPREVPRICES,3,FALSE),HLOOKUP(D623,Correllate,VLOOKUP(G623,CorMove,2,FALSE),FALSE),Q623-$C$3,R623,$CJ$5)*H623-CJ624</f>
        <v>1089.3476440787927</v>
      </c>
      <c r="CI624" s="234">
        <f t="shared" si="744"/>
        <v>1104.2108598240302</v>
      </c>
      <c r="CJ624" s="234">
        <f>_xll.xSPRDOPT((VLOOKUP(G623,NGPREVPRICES,2,FALSE)+HLOOKUP(D623,PREVCURVES,VLOOKUP(G623,MOVE_DOWN2,2,FALSE),FALSE)),VLOOKUP(G623,NGPREVPRICES,2,FALSE),CK624,VLOOKUP(G623,NGPREVPRICES,4,FALSE),HLOOKUP(D623,PREVVOLS,VLOOKUP(G623,MOVE_DOWN2,2,FALSE),FALSE),VLOOKUP(G623,NGPREVPRICES,3,FALSE),HLOOKUP(D623,Correllate,VLOOKUP(G623,CorMove,2,FALSE),FALSE),Q623-$CD$3,R623,$CJ$5)*H623</f>
        <v>-79339.060360965843</v>
      </c>
      <c r="CK624" s="235">
        <f t="shared" si="745"/>
        <v>3</v>
      </c>
      <c r="CM624" t="str">
        <f t="shared" si="746"/>
        <v>36861Curve Shift/Gamma</v>
      </c>
      <c r="CN624" t="str">
        <f t="shared" si="747"/>
        <v>36861Rho</v>
      </c>
      <c r="CO624" t="str">
        <f t="shared" si="748"/>
        <v>36861Drift</v>
      </c>
      <c r="CP624" t="str">
        <f t="shared" si="749"/>
        <v>36861Vega</v>
      </c>
      <c r="CQ624" t="str">
        <f t="shared" si="750"/>
        <v>36861Theta</v>
      </c>
    </row>
    <row r="625" spans="1:95" x14ac:dyDescent="0.25">
      <c r="A625" s="140" t="s">
        <v>279</v>
      </c>
      <c r="B625" t="s">
        <v>250</v>
      </c>
      <c r="C625" t="s">
        <v>559</v>
      </c>
      <c r="D625" s="4" t="s">
        <v>7</v>
      </c>
      <c r="E625" t="s">
        <v>20</v>
      </c>
      <c r="F625" t="s">
        <v>21</v>
      </c>
      <c r="G625" s="5">
        <v>36923</v>
      </c>
      <c r="H625" s="130">
        <v>-500000</v>
      </c>
      <c r="I625" s="235">
        <v>3</v>
      </c>
      <c r="J625" s="53">
        <f t="shared" si="728"/>
        <v>4.4800000000000004</v>
      </c>
      <c r="K625" s="7">
        <f t="shared" si="729"/>
        <v>2.09</v>
      </c>
      <c r="L625" s="53">
        <f t="shared" si="730"/>
        <v>6.57</v>
      </c>
      <c r="M625" s="157">
        <f t="shared" si="731"/>
        <v>6.8640161611372E-2</v>
      </c>
      <c r="N625" s="4">
        <f t="shared" si="732"/>
        <v>0.59250000000000003</v>
      </c>
      <c r="O625" s="4">
        <f t="shared" si="733"/>
        <v>0.68100000000000005</v>
      </c>
      <c r="P625" s="9">
        <f t="shared" si="734"/>
        <v>0.83</v>
      </c>
      <c r="Q625" s="5">
        <f t="shared" si="708"/>
        <v>36921</v>
      </c>
      <c r="R625" s="4">
        <f t="shared" si="735"/>
        <v>1</v>
      </c>
      <c r="S625" s="158">
        <f>_xll.xSPRDOPT($L625,$J625,$I625,$M625,$O625,$N625,$P625,$Q625-$C$3,$R625,0)</f>
        <v>0.39776106179396853</v>
      </c>
      <c r="T625" s="159">
        <f>_xll.xSPRDOPT($L625,$J625,$I625,$M625,$O625,$N625,$P625,$Q625-$C$3,$R625,1)*H625</f>
        <v>-183802.14091153943</v>
      </c>
      <c r="U625" s="160">
        <f t="shared" si="736"/>
        <v>-198880.53089698427</v>
      </c>
      <c r="V625" s="159">
        <f>_xll.xSPRDOPT($L625,$J625,$I625,$M625,$O625,$N625,$P625,$Q625-$C$3,$R625,2)*H625</f>
        <v>146162.46194760219</v>
      </c>
      <c r="W625" s="159">
        <f t="shared" si="737"/>
        <v>-37639.678963937244</v>
      </c>
      <c r="X625" s="51" t="str">
        <f t="shared" si="738"/>
        <v>36923IF-TRANSCO/Z6</v>
      </c>
      <c r="Y625" s="418">
        <f t="shared" si="739"/>
        <v>-50</v>
      </c>
      <c r="Z625" s="456">
        <f t="shared" si="740"/>
        <v>0.36760428182307886</v>
      </c>
      <c r="AA625" s="456">
        <f>_xll.xSPRDOPT($L625,$J625,$I625,$M625,$O625,$N625,$P625,$Q625-$C$3,$R625,3)</f>
        <v>0.20276399524083444</v>
      </c>
      <c r="AB625" s="456">
        <f>((_xll.xSPRDOPT($L625+AB$5,$J625,$I625,$M625,$O625,$N625,$P625,$Q625-$C$3,$R625,3)*$H625)/10000)/100</f>
        <v>-0.10138199762041721</v>
      </c>
      <c r="AC625" s="456">
        <f>((_xll.xSPRDOPT($L625+$AB$5,$J625,$I625,$M625,$O625,$N625,$P625,$Q625-$C$3,$R625,7)*$H625)/100)</f>
        <v>4675.4305304517484</v>
      </c>
      <c r="AD625" s="456">
        <f>(_xll.xSPRDOPT($L625+$AB$5,$J625,$I625,$M625,$O625,$N625,$P625,$Q625-$C$3,$R625,9)/365)*$H625</f>
        <v>1063.4475941133205</v>
      </c>
      <c r="AE625">
        <f t="shared" si="707"/>
        <v>0</v>
      </c>
      <c r="AF625" s="456">
        <f t="shared" si="741"/>
        <v>-5718.6353694181907</v>
      </c>
      <c r="AG625" s="456">
        <f>((_xll.xSPRDOPT($L625,$J625,$I625,$M625,$O625,$N625,$P625,$Q625-$C$3,$R625,6)*$H625)/100)</f>
        <v>2173.837625031148</v>
      </c>
      <c r="AH625" s="456">
        <f>((_xll.xSPRDOPT($L625,$J625,$I625,$M625,$O625,$N625,$P625,$Q625-$C$3,$R625,5)*$H625)/100)</f>
        <v>-6866.7991912059215</v>
      </c>
      <c r="AI625" s="456">
        <f>(((_xll.xSPRDOPT($L625,$J625,$I625,$M625,$O625,$N625,$P625,$Q625-$C$3,$R625,4)*$H625)/10000)/100)-AB625</f>
        <v>1.4110131411802534E-2</v>
      </c>
      <c r="AJ625" s="456"/>
      <c r="AK625" s="456"/>
      <c r="CC625" s="141">
        <f t="shared" si="742"/>
        <v>36892</v>
      </c>
      <c r="CD625" s="234">
        <f>_xll.xSPRDOPT((VLOOKUP(G624,NGPrices,2,FALSE)+HLOOKUP(D624,Prices,VLOOKUP(G624,move_down,2,FALSE),FALSE)),VLOOKUP(G624,NGPrices,2,FALSE),I624,VLOOKUP(G624,NGPREVPRICES,4,FALSE),HLOOKUP(D624,PREVVOLS,VLOOKUP(G624,MOVE_DOWN2,2,FALSE),FALSE),VLOOKUP(G624,NGPREVPRICES,3,FALSE),HLOOKUP(D624,Correllate,VLOOKUP(G624,CorMove,2,FALSE),FALSE),Q624-$CD$3,R624,$CD$5)*H624-CJ625</f>
        <v>0</v>
      </c>
      <c r="CE625" s="234">
        <f>_xll.xSPRDOPT((VLOOKUP(G624,NGPREVPRICES,2,FALSE)+HLOOKUP(D624,PREVCURVES,VLOOKUP(G624,MOVE_DOWN2,2,FALSE),FALSE)),VLOOKUP(G624,NGPREVPRICES,2,FALSE),CK625,VLOOKUP(G624,NGPrices,4,FALSE),HLOOKUP(D624,PREVVOLS,VLOOKUP(G624,MOVE_DOWN2,2,FALSE),FALSE),VLOOKUP(G624,NGPREVPRICES,3,FALSE),HLOOKUP(D624,Correllate,VLOOKUP(G624,CorMove,2,FALSE),FALSE),Q624-$CD$3,R624,$CJ$5)*H624-CJ625</f>
        <v>0</v>
      </c>
      <c r="CF625" s="10">
        <f t="shared" si="743"/>
        <v>36.389601767645217</v>
      </c>
      <c r="CG625" s="234">
        <f>_xll.xSPRDOPT((VLOOKUP(G624,NGPREVPRICES,2,FALSE)+HLOOKUP(D624,PREVCURVES,VLOOKUP(G624,MOVE_DOWN2,2,FALSE),FALSE)),VLOOKUP(G624,NGPREVPRICES,2,FALSE),CK625,VLOOKUP(G624,NGPREVPRICES,4,FALSE),HLOOKUP(D624,VOLS,VLOOKUP(G624,move_down,2,FALSE),FALSE),VLOOKUP(G624,NGPrices,3,FALSE),HLOOKUP(D624,Correllate,VLOOKUP(G624,CorMove,2,FALSE),FALSE),Q624-$CD$3,R624,$CJ$5)*H624-CJ625</f>
        <v>0</v>
      </c>
      <c r="CH625" s="234">
        <f>_xll.xSPRDOPT((VLOOKUP(G624,NGPREVPRICES,2,FALSE)+HLOOKUP(D624,PREVCURVES,VLOOKUP(G624,MOVE_DOWN2,2,FALSE),FALSE)),VLOOKUP(G624,NGPREVPRICES,2,FALSE),CK625,VLOOKUP(G624,NGPREVPRICES,4,FALSE),HLOOKUP(D624,PREVVOLS,VLOOKUP(G624,MOVE_DOWN2,2,FALSE),FALSE),VLOOKUP(G624,NGPREVPRICES,3,FALSE),HLOOKUP(D624,Correllate,VLOOKUP(G624,CorMove,2,FALSE),FALSE),Q624-$C$3,R624,$CJ$5)*H624-CJ625</f>
        <v>1294.5961769210408</v>
      </c>
      <c r="CI625" s="234">
        <f t="shared" si="744"/>
        <v>1330.985778688686</v>
      </c>
      <c r="CJ625" s="234">
        <f>_xll.xSPRDOPT((VLOOKUP(G624,NGPREVPRICES,2,FALSE)+HLOOKUP(D624,PREVCURVES,VLOOKUP(G624,MOVE_DOWN2,2,FALSE),FALSE)),VLOOKUP(G624,NGPREVPRICES,2,FALSE),CK625,VLOOKUP(G624,NGPREVPRICES,4,FALSE),HLOOKUP(D624,PREVVOLS,VLOOKUP(G624,MOVE_DOWN2,2,FALSE),FALSE),VLOOKUP(G624,NGPREVPRICES,3,FALSE),HLOOKUP(D624,Correllate,VLOOKUP(G624,CorMove,2,FALSE),FALSE),Q624-$CD$3,R624,$CJ$5)*H624</f>
        <v>-193108.55951944506</v>
      </c>
      <c r="CK625" s="235">
        <f t="shared" si="745"/>
        <v>3</v>
      </c>
      <c r="CM625" t="str">
        <f t="shared" si="746"/>
        <v>36892Curve Shift/Gamma</v>
      </c>
      <c r="CN625" t="str">
        <f t="shared" si="747"/>
        <v>36892Rho</v>
      </c>
      <c r="CO625" t="str">
        <f t="shared" si="748"/>
        <v>36892Drift</v>
      </c>
      <c r="CP625" t="str">
        <f t="shared" si="749"/>
        <v>36892Vega</v>
      </c>
      <c r="CQ625" t="str">
        <f t="shared" si="750"/>
        <v>36892Theta</v>
      </c>
    </row>
    <row r="626" spans="1:95" x14ac:dyDescent="0.25">
      <c r="A626" s="140" t="s">
        <v>480</v>
      </c>
      <c r="B626" t="s">
        <v>250</v>
      </c>
      <c r="C626" t="s">
        <v>560</v>
      </c>
      <c r="D626" s="4" t="s">
        <v>7</v>
      </c>
      <c r="E626" t="s">
        <v>20</v>
      </c>
      <c r="F626" t="s">
        <v>1</v>
      </c>
      <c r="G626" s="5">
        <v>36800</v>
      </c>
      <c r="H626" s="130">
        <v>-1550000</v>
      </c>
      <c r="I626" s="235">
        <v>0.4</v>
      </c>
      <c r="J626" s="53">
        <f t="shared" si="728"/>
        <v>4.6920000000000002</v>
      </c>
      <c r="K626" s="7">
        <f t="shared" si="729"/>
        <v>0.41499999999999998</v>
      </c>
      <c r="L626" s="53">
        <f t="shared" si="730"/>
        <v>5.1070000000000002</v>
      </c>
      <c r="M626" s="157">
        <f t="shared" si="731"/>
        <v>6.8050789414654006E-2</v>
      </c>
      <c r="N626" s="4">
        <f t="shared" si="732"/>
        <v>0.57499999999999996</v>
      </c>
      <c r="O626" s="4">
        <f t="shared" si="733"/>
        <v>0.56399999999999995</v>
      </c>
      <c r="P626" s="9">
        <f t="shared" si="734"/>
        <v>0.99250000000000005</v>
      </c>
      <c r="Q626" s="5">
        <f t="shared" si="708"/>
        <v>36797</v>
      </c>
      <c r="R626" s="4">
        <f t="shared" si="735"/>
        <v>0</v>
      </c>
      <c r="S626" s="158">
        <f>_xll.xSPRDOPT($L626,$J626,$I626,$M626,$O626,$N626,$P626,$Q626-$C$3,$R626,0)</f>
        <v>3.6625999929786657E-2</v>
      </c>
      <c r="T626" s="159">
        <f>_xll.xSPRDOPT($L626,$J626,$I626,$M626,$O626,$N626,$P626,$Q626-$C$3,$R626,1)*H626</f>
        <v>676036.50143997406</v>
      </c>
      <c r="U626" s="160">
        <f t="shared" si="736"/>
        <v>-56770.299891169321</v>
      </c>
      <c r="V626" s="159">
        <f>_xll.xSPRDOPT($L626,$J626,$I626,$M626,$O626,$N626,$P626,$Q626-$C$3,$R626,2)*H626</f>
        <v>-685986.81011641398</v>
      </c>
      <c r="W626" s="159">
        <f t="shared" si="737"/>
        <v>-9950.3086764399195</v>
      </c>
      <c r="X626" s="51" t="str">
        <f t="shared" si="738"/>
        <v>36800IF-TRANSCO/Z6</v>
      </c>
      <c r="Y626" s="418">
        <f t="shared" si="739"/>
        <v>-155</v>
      </c>
      <c r="Z626" s="456">
        <f t="shared" si="740"/>
        <v>-0.4361525815741768</v>
      </c>
      <c r="AA626" s="456">
        <f>_xll.xSPRDOPT($L626,$J626,$I626,$M626,$O626,$N626,$P626,$Q626-$C$3,$R626,3)</f>
        <v>3.5565641555811189</v>
      </c>
      <c r="AB626" s="456">
        <f>((_xll.xSPRDOPT($L626+AB$5,$J626,$I626,$M626,$O626,$N626,$P626,$Q626-$C$3,$R626,3)*$H626)/10000)/100</f>
        <v>-5.5126744411507342</v>
      </c>
      <c r="AC626" s="456">
        <f>((_xll.xSPRDOPT($L626+$AB$5,$J626,$I626,$M626,$O626,$N626,$P626,$Q626-$C$3,$R626,7)*$H626)/100)</f>
        <v>35283.969687829587</v>
      </c>
      <c r="AD626" s="456">
        <f>(_xll.xSPRDOPT($L626+$AB$5,$J626,$I626,$M626,$O626,$N626,$P626,$Q626-$C$3,$R626,9)/365)*$H626</f>
        <v>1110.9298295223184</v>
      </c>
      <c r="AE626">
        <f t="shared" si="707"/>
        <v>0</v>
      </c>
      <c r="AF626" s="456">
        <f t="shared" si="741"/>
        <v>-1169.4744913220907</v>
      </c>
      <c r="AG626" s="456">
        <f>((_xll.xSPRDOPT($L626,$J626,$I626,$M626,$O626,$N626,$P626,$Q626-$C$3,$R626,6)*$H626)/100)</f>
        <v>3257.7612341146328</v>
      </c>
      <c r="AH626" s="456">
        <f>((_xll.xSPRDOPT($L626,$J626,$I626,$M626,$O626,$N626,$P626,$Q626-$C$3,$R626,5)*$H626)/100)</f>
        <v>-4513.5825215002051</v>
      </c>
      <c r="AI626" s="456">
        <f>(((_xll.xSPRDOPT($L626,$J626,$I626,$M626,$O626,$N626,$P626,$Q626-$C$3,$R626,4)*$H626)/10000)/100)-AB626</f>
        <v>-3.1671352938667852E-2</v>
      </c>
      <c r="AJ626" s="456"/>
      <c r="AK626" s="456"/>
      <c r="CC626" s="141">
        <f t="shared" si="742"/>
        <v>36923</v>
      </c>
      <c r="CD626" s="234">
        <f>_xll.xSPRDOPT((VLOOKUP(G625,NGPrices,2,FALSE)+HLOOKUP(D625,Prices,VLOOKUP(G625,move_down,2,FALSE),FALSE)),VLOOKUP(G625,NGPrices,2,FALSE),I625,VLOOKUP(G625,NGPREVPRICES,4,FALSE),HLOOKUP(D625,PREVVOLS,VLOOKUP(G625,MOVE_DOWN2,2,FALSE),FALSE),VLOOKUP(G625,NGPREVPRICES,3,FALSE),HLOOKUP(D625,Correllate,VLOOKUP(G625,CorMove,2,FALSE),FALSE),Q625-$CD$3,R625,$CD$5)*H625-CJ626</f>
        <v>0</v>
      </c>
      <c r="CE626" s="234">
        <f>_xll.xSPRDOPT((VLOOKUP(G625,NGPREVPRICES,2,FALSE)+HLOOKUP(D625,PREVCURVES,VLOOKUP(G625,MOVE_DOWN2,2,FALSE),FALSE)),VLOOKUP(G625,NGPREVPRICES,2,FALSE),CK626,VLOOKUP(G625,NGPrices,4,FALSE),HLOOKUP(D625,PREVVOLS,VLOOKUP(G625,MOVE_DOWN2,2,FALSE),FALSE),VLOOKUP(G625,NGPREVPRICES,3,FALSE),HLOOKUP(D625,Correllate,VLOOKUP(G625,CorMove,2,FALSE),FALSE),Q625-$CD$3,R625,$CJ$5)*H625-CJ626</f>
        <v>0</v>
      </c>
      <c r="CF626" s="10">
        <f t="shared" si="743"/>
        <v>38.02658925880678</v>
      </c>
      <c r="CG626" s="234">
        <f>_xll.xSPRDOPT((VLOOKUP(G625,NGPREVPRICES,2,FALSE)+HLOOKUP(D625,PREVCURVES,VLOOKUP(G625,MOVE_DOWN2,2,FALSE),FALSE)),VLOOKUP(G625,NGPREVPRICES,2,FALSE),CK626,VLOOKUP(G625,NGPREVPRICES,4,FALSE),HLOOKUP(D625,VOLS,VLOOKUP(G625,move_down,2,FALSE),FALSE),VLOOKUP(G625,NGPrices,3,FALSE),HLOOKUP(D625,Correllate,VLOOKUP(G625,CorMove,2,FALSE),FALSE),Q625-$CD$3,R625,$CJ$5)*H625-CJ626</f>
        <v>0</v>
      </c>
      <c r="CH626" s="234">
        <f>_xll.xSPRDOPT((VLOOKUP(G625,NGPREVPRICES,2,FALSE)+HLOOKUP(D625,PREVCURVES,VLOOKUP(G625,MOVE_DOWN2,2,FALSE),FALSE)),VLOOKUP(G625,NGPREVPRICES,2,FALSE),CK626,VLOOKUP(G625,NGPREVPRICES,4,FALSE),HLOOKUP(D625,PREVVOLS,VLOOKUP(G625,MOVE_DOWN2,2,FALSE),FALSE),VLOOKUP(G625,NGPREVPRICES,3,FALSE),HLOOKUP(D625,Correllate,VLOOKUP(G625,CorMove,2,FALSE),FALSE),Q625-$C$3,R625,$CJ$5)*H625-CJ626</f>
        <v>1061.085290928313</v>
      </c>
      <c r="CI626" s="234">
        <f t="shared" si="744"/>
        <v>1099.1118801871198</v>
      </c>
      <c r="CJ626" s="234">
        <f>_xll.xSPRDOPT((VLOOKUP(G625,NGPREVPRICES,2,FALSE)+HLOOKUP(D625,PREVCURVES,VLOOKUP(G625,MOVE_DOWN2,2,FALSE),FALSE)),VLOOKUP(G625,NGPREVPRICES,2,FALSE),CK626,VLOOKUP(G625,NGPREVPRICES,4,FALSE),HLOOKUP(D625,PREVVOLS,VLOOKUP(G625,MOVE_DOWN2,2,FALSE),FALSE),VLOOKUP(G625,NGPREVPRICES,3,FALSE),HLOOKUP(D625,Correllate,VLOOKUP(G625,CorMove,2,FALSE),FALSE),Q625-$CD$3,R625,$CJ$5)*H625</f>
        <v>-199941.61618791259</v>
      </c>
      <c r="CK626" s="235">
        <f t="shared" si="745"/>
        <v>3</v>
      </c>
      <c r="CM626" t="str">
        <f t="shared" si="746"/>
        <v>36923Curve Shift/Gamma</v>
      </c>
      <c r="CN626" t="str">
        <f t="shared" si="747"/>
        <v>36923Rho</v>
      </c>
      <c r="CO626" t="str">
        <f t="shared" si="748"/>
        <v>36923Drift</v>
      </c>
      <c r="CP626" t="str">
        <f t="shared" si="749"/>
        <v>36923Vega</v>
      </c>
      <c r="CQ626" t="str">
        <f t="shared" si="750"/>
        <v>36923Theta</v>
      </c>
    </row>
    <row r="627" spans="1:95" x14ac:dyDescent="0.25">
      <c r="A627" s="140" t="s">
        <v>320</v>
      </c>
      <c r="B627" t="s">
        <v>250</v>
      </c>
      <c r="C627" t="s">
        <v>561</v>
      </c>
      <c r="D627" s="4" t="s">
        <v>190</v>
      </c>
      <c r="E627" t="s">
        <v>20</v>
      </c>
      <c r="F627" t="s">
        <v>21</v>
      </c>
      <c r="G627" s="5">
        <v>36770</v>
      </c>
      <c r="H627" s="130">
        <v>300000</v>
      </c>
      <c r="I627" s="235">
        <v>0.5</v>
      </c>
      <c r="J627" s="53">
        <f t="shared" ref="J627:J653" si="751">VLOOKUP(G627,NGPrices,2,FALSE)</f>
        <v>4.6849999999999996</v>
      </c>
      <c r="K627" s="7">
        <f t="shared" ref="K627:K653" si="752">HLOOKUP(D627,Prices,VLOOKUP(G627,move_down,2,FALSE),FALSE)+VLOOKUP(G627,CHANGE,HLOOKUP(D627,CHANGE,2,FALSE),FALSE)</f>
        <v>2.5</v>
      </c>
      <c r="L627" s="53">
        <f t="shared" ref="L627:L653" si="753">K627+J627</f>
        <v>7.1849999999999996</v>
      </c>
      <c r="M627" s="157">
        <f t="shared" ref="M627:M653" si="754">VLOOKUP(G627,NGPrices,4,FALSE)</f>
        <v>6.7216196212184998E-2</v>
      </c>
      <c r="N627" s="4">
        <f t="shared" ref="N627:N653" si="755">VLOOKUP(G627,NGPrices,3,FALSE)</f>
        <v>0.4</v>
      </c>
      <c r="O627" s="4">
        <f t="shared" ref="O627:O653" si="756">HLOOKUP(D627,VOLS,VLOOKUP(G627,move_down,2,FALSE),FALSE)</f>
        <v>0.376</v>
      </c>
      <c r="P627" s="9">
        <f t="shared" ref="P627:P653" si="757">HLOOKUP(D627,Correllate,VLOOKUP(G627,CorMove,2,FALSE),FALSE)</f>
        <v>0.83</v>
      </c>
      <c r="Q627" s="5">
        <f t="shared" si="708"/>
        <v>36768</v>
      </c>
      <c r="R627" s="4">
        <f t="shared" ref="R627:R653" si="758">IF(F627="P",0,1)</f>
        <v>1</v>
      </c>
      <c r="S627" s="158">
        <f>_xll.xSPRDOPT($L627,$J627,$I627,$M627,$O627,$N627,$P627,$Q627-$C$3,$R627,0)</f>
        <v>1.999632240245053</v>
      </c>
      <c r="T627" s="159">
        <f>_xll.xSPRDOPT($L627,$J627,$I627,$M627,$O627,$N627,$P627,$Q627-$C$3,$R627,1)*H627</f>
        <v>299944.83602655045</v>
      </c>
      <c r="U627" s="160">
        <f t="shared" ref="U627:U653" si="759">S627*H627</f>
        <v>599889.67207351595</v>
      </c>
      <c r="V627" s="159">
        <f>_xll.xSPRDOPT($L627,$J627,$I627,$M627,$O627,$N627,$P627,$Q627-$C$3,$R627,2)*H627</f>
        <v>-299944.84800419654</v>
      </c>
      <c r="W627" s="159">
        <f t="shared" ref="W627:W653" si="760">+V627+T627</f>
        <v>-1.1977646092418581E-2</v>
      </c>
      <c r="X627" s="51" t="str">
        <f t="shared" ref="X627:X653" si="761">CONCATENATE(G627,D627)</f>
        <v>36770NGI-SOCAL</v>
      </c>
      <c r="Y627" s="418">
        <f t="shared" ref="Y627:Y653" si="762">H627/10000</f>
        <v>30</v>
      </c>
      <c r="Z627" s="456">
        <f t="shared" ref="Z627:Z653" si="763">T627/H627</f>
        <v>0.99981612008850151</v>
      </c>
      <c r="AA627" s="456">
        <f>_xll.xSPRDOPT($L627,$J627,$I627,$M627,$O627,$N627,$P627,$Q627-$C$3,$R627,3)</f>
        <v>1.4396013659759965E-181</v>
      </c>
      <c r="AB627" s="456">
        <f>((_xll.xSPRDOPT($L627+AB$5,$J627,$I627,$M627,$O627,$N627,$P627,$Q627-$C$3,$R627,3)*$H627)/10000)/100</f>
        <v>4.3188040979279894E-182</v>
      </c>
      <c r="AC627" s="456">
        <f>((_xll.xSPRDOPT($L627+$AB$5,$J627,$I627,$M627,$O627,$N627,$P627,$Q627-$C$3,$R627,7)*$H627)/100)</f>
        <v>-1.1274772786354435E-4</v>
      </c>
      <c r="AD627" s="456">
        <f>(_xll.xSPRDOPT($L627+$AB$5,$J627,$I627,$M627,$O627,$N627,$P627,$Q627-$C$3,$R627,9)/365)*$H627</f>
        <v>110.47205586779685</v>
      </c>
      <c r="AE627">
        <f t="shared" si="707"/>
        <v>0</v>
      </c>
      <c r="AF627" s="456">
        <f t="shared" ref="AF627:AF653" si="764">((O627/N627)*AH627)+AG627</f>
        <v>3.1797481018018049E-7</v>
      </c>
      <c r="AG627" s="456">
        <f>((_xll.xSPRDOPT($L627,$J627,$I627,$M627,$O627,$N627,$P627,$Q627-$C$3,$R627,6)*$H627)/100)</f>
        <v>3.1772850901040546E-6</v>
      </c>
      <c r="AH627" s="456">
        <f>((_xll.xSPRDOPT($L627,$J627,$I627,$M627,$O627,$N627,$P627,$Q627-$C$3,$R627,5)*$H627)/100)</f>
        <v>-3.0418194467275258E-6</v>
      </c>
      <c r="AI627" s="456">
        <f>(((_xll.xSPRDOPT($L627,$J627,$I627,$M627,$O627,$N627,$P627,$Q627-$C$3,$R627,4)*$H627)/10000)/100)-AB627</f>
        <v>-1.2653780629343455E-5</v>
      </c>
      <c r="AJ627" s="456"/>
      <c r="AK627" s="456"/>
      <c r="CC627" s="141">
        <f t="shared" si="742"/>
        <v>36800</v>
      </c>
      <c r="CD627" s="234">
        <f>_xll.xSPRDOPT((VLOOKUP(G626,NGPrices,2,FALSE)+HLOOKUP(D626,Prices,VLOOKUP(G626,move_down,2,FALSE),FALSE)),VLOOKUP(G626,NGPrices,2,FALSE),I626,VLOOKUP(G626,NGPREVPRICES,4,FALSE),HLOOKUP(D626,PREVVOLS,VLOOKUP(G626,MOVE_DOWN2,2,FALSE),FALSE),VLOOKUP(G626,NGPREVPRICES,3,FALSE),HLOOKUP(D626,Correllate,VLOOKUP(G626,CorMove,2,FALSE),FALSE),Q626-$CD$3,R626,$CD$5)*H626-CJ627</f>
        <v>0</v>
      </c>
      <c r="CE627" s="234">
        <f>_xll.xSPRDOPT((VLOOKUP(G626,NGPREVPRICES,2,FALSE)+HLOOKUP(D626,PREVCURVES,VLOOKUP(G626,MOVE_DOWN2,2,FALSE),FALSE)),VLOOKUP(G626,NGPREVPRICES,2,FALSE),CK627,VLOOKUP(G626,NGPrices,4,FALSE),HLOOKUP(D626,PREVVOLS,VLOOKUP(G626,MOVE_DOWN2,2,FALSE),FALSE),VLOOKUP(G626,NGPREVPRICES,3,FALSE),HLOOKUP(D626,Correllate,VLOOKUP(G626,CorMove,2,FALSE),FALSE),Q626-$CD$3,R626,$CJ$5)*H626-CJ627</f>
        <v>0</v>
      </c>
      <c r="CF627" s="10">
        <f t="shared" si="743"/>
        <v>10.668908480089158</v>
      </c>
      <c r="CG627" s="234">
        <f>_xll.xSPRDOPT((VLOOKUP(G626,NGPREVPRICES,2,FALSE)+HLOOKUP(D626,PREVCURVES,VLOOKUP(G626,MOVE_DOWN2,2,FALSE),FALSE)),VLOOKUP(G626,NGPREVPRICES,2,FALSE),CK627,VLOOKUP(G626,NGPREVPRICES,4,FALSE),HLOOKUP(D626,VOLS,VLOOKUP(G626,move_down,2,FALSE),FALSE),VLOOKUP(G626,NGPrices,3,FALSE),HLOOKUP(D626,Correllate,VLOOKUP(G626,CorMove,2,FALSE),FALSE),Q626-$CD$3,R626,$CJ$5)*H626-CJ627</f>
        <v>0</v>
      </c>
      <c r="CH627" s="234">
        <f>_xll.xSPRDOPT((VLOOKUP(G626,NGPREVPRICES,2,FALSE)+HLOOKUP(D626,PREVCURVES,VLOOKUP(G626,MOVE_DOWN2,2,FALSE),FALSE)),VLOOKUP(G626,NGPREVPRICES,2,FALSE),CK627,VLOOKUP(G626,NGPREVPRICES,4,FALSE),HLOOKUP(D626,PREVVOLS,VLOOKUP(G626,MOVE_DOWN2,2,FALSE),FALSE),VLOOKUP(G626,NGPREVPRICES,3,FALSE),HLOOKUP(D626,Correllate,VLOOKUP(G626,CorMove,2,FALSE),FALSE),Q626-$C$3,R626,$CJ$5)*H626-CJ627</f>
        <v>1101.0120864421478</v>
      </c>
      <c r="CI627" s="234">
        <f t="shared" si="744"/>
        <v>1111.680994922237</v>
      </c>
      <c r="CJ627" s="234">
        <f>_xll.xSPRDOPT((VLOOKUP(G626,NGPREVPRICES,2,FALSE)+HLOOKUP(D626,PREVCURVES,VLOOKUP(G626,MOVE_DOWN2,2,FALSE),FALSE)),VLOOKUP(G626,NGPREVPRICES,2,FALSE),CK627,VLOOKUP(G626,NGPREVPRICES,4,FALSE),HLOOKUP(D626,PREVVOLS,VLOOKUP(G626,MOVE_DOWN2,2,FALSE),FALSE),VLOOKUP(G626,NGPREVPRICES,3,FALSE),HLOOKUP(D626,Correllate,VLOOKUP(G626,CorMove,2,FALSE),FALSE),Q626-$CD$3,R626,$CJ$5)*H626</f>
        <v>-57871.311977611469</v>
      </c>
      <c r="CK627" s="235">
        <f t="shared" si="745"/>
        <v>0.4</v>
      </c>
      <c r="CM627" t="str">
        <f t="shared" si="746"/>
        <v>36800Curve Shift/Gamma</v>
      </c>
      <c r="CN627" t="str">
        <f t="shared" si="747"/>
        <v>36800Rho</v>
      </c>
      <c r="CO627" t="str">
        <f t="shared" si="748"/>
        <v>36800Drift</v>
      </c>
      <c r="CP627" t="str">
        <f t="shared" si="749"/>
        <v>36800Vega</v>
      </c>
      <c r="CQ627" t="str">
        <f t="shared" si="750"/>
        <v>36800Theta</v>
      </c>
    </row>
    <row r="628" spans="1:95" x14ac:dyDescent="0.25">
      <c r="A628" s="140" t="s">
        <v>363</v>
      </c>
      <c r="B628" t="s">
        <v>250</v>
      </c>
      <c r="C628" t="s">
        <v>562</v>
      </c>
      <c r="D628" s="4" t="s">
        <v>7</v>
      </c>
      <c r="E628" t="s">
        <v>20</v>
      </c>
      <c r="F628" t="s">
        <v>21</v>
      </c>
      <c r="G628" s="5">
        <v>36982</v>
      </c>
      <c r="H628" s="130">
        <v>-1200000</v>
      </c>
      <c r="I628" s="235">
        <v>0.7</v>
      </c>
      <c r="J628" s="53">
        <f t="shared" si="751"/>
        <v>3.9380000000000002</v>
      </c>
      <c r="K628" s="7">
        <f t="shared" si="752"/>
        <v>0.52</v>
      </c>
      <c r="L628" s="53">
        <f t="shared" si="753"/>
        <v>4.4580000000000002</v>
      </c>
      <c r="M628" s="157">
        <f t="shared" si="754"/>
        <v>6.9061726541120999E-2</v>
      </c>
      <c r="N628" s="4">
        <f t="shared" si="755"/>
        <v>0.4425</v>
      </c>
      <c r="O628" s="4">
        <f t="shared" si="756"/>
        <v>0.434</v>
      </c>
      <c r="P628" s="9">
        <f t="shared" si="757"/>
        <v>0.9738</v>
      </c>
      <c r="Q628" s="5">
        <f t="shared" si="708"/>
        <v>36979</v>
      </c>
      <c r="R628" s="4">
        <f t="shared" si="758"/>
        <v>1</v>
      </c>
      <c r="S628" s="158">
        <f>_xll.xSPRDOPT($L628,$J628,$I628,$M628,$O628,$N628,$P628,$Q628-$C$3,$R628,0)</f>
        <v>7.4256199589022007E-2</v>
      </c>
      <c r="T628" s="159">
        <f>_xll.xSPRDOPT($L628,$J628,$I628,$M628,$O628,$N628,$P628,$Q628-$C$3,$R628,1)*H628</f>
        <v>-388169.68718280684</v>
      </c>
      <c r="U628" s="160">
        <f t="shared" si="759"/>
        <v>-89107.439506826413</v>
      </c>
      <c r="V628" s="159">
        <f>_xll.xSPRDOPT($L628,$J628,$I628,$M628,$O628,$N628,$P628,$Q628-$C$3,$R628,2)*H628</f>
        <v>361958.31660879852</v>
      </c>
      <c r="W628" s="159">
        <f t="shared" si="760"/>
        <v>-26211.370574008324</v>
      </c>
      <c r="X628" s="51" t="str">
        <f t="shared" si="761"/>
        <v>36982IF-TRANSCO/Z6</v>
      </c>
      <c r="Y628" s="418">
        <f t="shared" si="762"/>
        <v>-120</v>
      </c>
      <c r="Z628" s="456">
        <f t="shared" si="763"/>
        <v>0.32347473931900572</v>
      </c>
      <c r="AA628" s="456">
        <f>_xll.xSPRDOPT($L628,$J628,$I628,$M628,$O628,$N628,$P628,$Q628-$C$3,$R628,3)</f>
        <v>0.95901980555212163</v>
      </c>
      <c r="AB628" s="456">
        <f>((_xll.xSPRDOPT($L628+AB$5,$J628,$I628,$M628,$O628,$N628,$P628,$Q628-$C$3,$R628,3)*$H628)/10000)/100</f>
        <v>-1.150823766662546</v>
      </c>
      <c r="AC628" s="456">
        <f>((_xll.xSPRDOPT($L628+$AB$5,$J628,$I628,$M628,$O628,$N628,$P628,$Q628-$C$3,$R628,7)*$H628)/100)</f>
        <v>21937.328952567608</v>
      </c>
      <c r="AD628" s="456">
        <f>(_xll.xSPRDOPT($L628+$AB$5,$J628,$I628,$M628,$O628,$N628,$P628,$Q628-$C$3,$R628,9)/365)*$H628</f>
        <v>350.89503401689723</v>
      </c>
      <c r="AE628">
        <f t="shared" si="707"/>
        <v>0</v>
      </c>
      <c r="AF628" s="456">
        <f t="shared" si="764"/>
        <v>-3521.3880068677818</v>
      </c>
      <c r="AG628" s="456">
        <f>((_xll.xSPRDOPT($L628,$J628,$I628,$M628,$O628,$N628,$P628,$Q628-$C$3,$R628,6)*$H628)/100)</f>
        <v>4708.4386338728846</v>
      </c>
      <c r="AH628" s="456">
        <f>((_xll.xSPRDOPT($L628,$J628,$I628,$M628,$O628,$N628,$P628,$Q628-$C$3,$R628,5)*$H628)/100)</f>
        <v>-8391.0098814003341</v>
      </c>
      <c r="AI628" s="456">
        <f>(((_xll.xSPRDOPT($L628,$J628,$I628,$M628,$O628,$N628,$P628,$Q628-$C$3,$R628,4)*$H628)/10000)/100)-AB628</f>
        <v>5.6961463598008688E-2</v>
      </c>
      <c r="AJ628" s="456"/>
      <c r="AK628" s="456"/>
      <c r="CC628" s="141">
        <f>G627</f>
        <v>36770</v>
      </c>
      <c r="CD628" s="234">
        <f>_xll.xSPRDOPT((VLOOKUP(G627,NGPrices,2,FALSE)+HLOOKUP(D627,Prices,VLOOKUP(G627,move_down,2,FALSE),FALSE)),VLOOKUP(G627,NGPrices,2,FALSE),I627,VLOOKUP(G627,NGPREVPRICES,4,FALSE),HLOOKUP(D627,PREVVOLS,VLOOKUP(G627,MOVE_DOWN2,2,FALSE),FALSE),VLOOKUP(G627,NGPREVPRICES,3,FALSE),HLOOKUP(D627,Correllate,VLOOKUP(G627,CorMove,2,FALSE),FALSE),Q627-$CD$3,R627,$CD$5)*H627-CJ628</f>
        <v>0</v>
      </c>
      <c r="CE628" s="234">
        <f>_xll.xSPRDOPT((VLOOKUP(G627,NGPREVPRICES,2,FALSE)+HLOOKUP(D627,PREVCURVES,VLOOKUP(G627,MOVE_DOWN2,2,FALSE),FALSE)),VLOOKUP(G627,NGPREVPRICES,2,FALSE),CK628,VLOOKUP(G627,NGPrices,4,FALSE),HLOOKUP(D627,PREVVOLS,VLOOKUP(G627,MOVE_DOWN2,2,FALSE),FALSE),VLOOKUP(G627,NGPREVPRICES,3,FALSE),HLOOKUP(D627,Correllate,VLOOKUP(G627,CorMove,2,FALSE),FALSE),Q627-$CD$3,R627,$CJ$5)*H627-CJ628</f>
        <v>0</v>
      </c>
      <c r="CF628" s="10">
        <f>(CJ628/VLOOKUP(CC628,discount,3,FALSE))-(CJ628/VLOOKUP(CC628,discount,2,FALSE))</f>
        <v>-109.29522291221656</v>
      </c>
      <c r="CG628" s="234">
        <f>_xll.xSPRDOPT((VLOOKUP(G627,NGPREVPRICES,2,FALSE)+HLOOKUP(D627,PREVCURVES,VLOOKUP(G627,MOVE_DOWN2,2,FALSE),FALSE)),VLOOKUP(G627,NGPREVPRICES,2,FALSE),CK628,VLOOKUP(G627,NGPREVPRICES,4,FALSE),HLOOKUP(D627,VOLS,VLOOKUP(G627,move_down,2,FALSE),FALSE),VLOOKUP(G627,NGPrices,3,FALSE),HLOOKUP(D627,Correllate,VLOOKUP(G627,CorMove,2,FALSE),FALSE),Q627-$CD$3,R627,$CJ$5)*H627-CJ628</f>
        <v>0</v>
      </c>
      <c r="CH628" s="234">
        <f>_xll.xSPRDOPT((VLOOKUP(G627,NGPREVPRICES,2,FALSE)+HLOOKUP(D627,PREVCURVES,VLOOKUP(G627,MOVE_DOWN2,2,FALSE),FALSE)),VLOOKUP(G627,NGPREVPRICES,2,FALSE),CK628,VLOOKUP(G627,NGPREVPRICES,4,FALSE),HLOOKUP(D627,PREVVOLS,VLOOKUP(G627,MOVE_DOWN2,2,FALSE),FALSE),VLOOKUP(G627,NGPREVPRICES,3,FALSE),HLOOKUP(D627,Correllate,VLOOKUP(G627,CorMove,2,FALSE),FALSE),Q627-$C$3,R627,$CJ$5)*H627-CJ628</f>
        <v>110.38628445926588</v>
      </c>
      <c r="CI628" s="234">
        <f>SUM(CD628:CH628)</f>
        <v>1.0910615470493212</v>
      </c>
      <c r="CJ628" s="234">
        <f>_xll.xSPRDOPT((VLOOKUP(G627,NGPREVPRICES,2,FALSE)+HLOOKUP(D627,PREVCURVES,VLOOKUP(G627,MOVE_DOWN2,2,FALSE),FALSE)),VLOOKUP(G627,NGPREVPRICES,2,FALSE),CK628,VLOOKUP(G627,NGPREVPRICES,4,FALSE),HLOOKUP(D627,PREVVOLS,VLOOKUP(G627,MOVE_DOWN2,2,FALSE),FALSE),VLOOKUP(G627,NGPREVPRICES,3,FALSE),HLOOKUP(D627,Correllate,VLOOKUP(G627,CorMove,2,FALSE),FALSE),Q627-$CD$3,R627,$CJ$5)*H627</f>
        <v>599779.28578905668</v>
      </c>
      <c r="CK628" s="235">
        <f>I627</f>
        <v>0.5</v>
      </c>
      <c r="CM628" t="str">
        <f>CONCATENATE(CC628,$CD$6)</f>
        <v>36770Curve Shift/Gamma</v>
      </c>
      <c r="CN628" t="str">
        <f t="shared" si="747"/>
        <v>36770Rho</v>
      </c>
      <c r="CO628" t="str">
        <f t="shared" si="748"/>
        <v>36770Drift</v>
      </c>
      <c r="CP628" t="str">
        <f t="shared" si="749"/>
        <v>36770Vega</v>
      </c>
      <c r="CQ628" t="str">
        <f t="shared" si="750"/>
        <v>36770Theta</v>
      </c>
    </row>
    <row r="629" spans="1:95" x14ac:dyDescent="0.25">
      <c r="A629" s="140" t="s">
        <v>276</v>
      </c>
      <c r="B629" t="s">
        <v>250</v>
      </c>
      <c r="C629" t="s">
        <v>564</v>
      </c>
      <c r="D629" s="4" t="s">
        <v>7</v>
      </c>
      <c r="E629" t="s">
        <v>20</v>
      </c>
      <c r="F629" t="s">
        <v>1</v>
      </c>
      <c r="G629" s="5">
        <v>36831</v>
      </c>
      <c r="H629" s="130">
        <v>1000000</v>
      </c>
      <c r="I629" s="235">
        <v>0.95</v>
      </c>
      <c r="J629" s="53">
        <f t="shared" si="751"/>
        <v>4.7359999999999998</v>
      </c>
      <c r="K629" s="7">
        <f t="shared" si="752"/>
        <v>0.77</v>
      </c>
      <c r="L629" s="53">
        <f t="shared" si="753"/>
        <v>5.5060000000000002</v>
      </c>
      <c r="M629" s="157">
        <f t="shared" si="754"/>
        <v>6.810675983792E-2</v>
      </c>
      <c r="N629" s="4">
        <f t="shared" si="755"/>
        <v>0.59499999999999997</v>
      </c>
      <c r="O629" s="4">
        <f t="shared" si="756"/>
        <v>0.625</v>
      </c>
      <c r="P629" s="9">
        <f t="shared" si="757"/>
        <v>0.89</v>
      </c>
      <c r="Q629" s="5">
        <f t="shared" si="708"/>
        <v>36829</v>
      </c>
      <c r="R629" s="4">
        <f t="shared" si="758"/>
        <v>0</v>
      </c>
      <c r="S629" s="158">
        <f>_xll.xSPRDOPT($L629,$J629,$I629,$M629,$O629,$N629,$P629,$Q629-$C$3,$R629,0)</f>
        <v>0.36329892687479826</v>
      </c>
      <c r="T629" s="159">
        <f>_xll.xSPRDOPT($L629,$J629,$I629,$M629,$O629,$N629,$P629,$Q629-$C$3,$R629,1)*H629</f>
        <v>-575012.07044925843</v>
      </c>
      <c r="U629" s="160">
        <f t="shared" si="759"/>
        <v>363298.92687479826</v>
      </c>
      <c r="V629" s="159">
        <f>_xll.xSPRDOPT($L629,$J629,$I629,$M629,$O629,$N629,$P629,$Q629-$C$3,$R629,2)*H629</f>
        <v>617545.11248015345</v>
      </c>
      <c r="W629" s="159">
        <f t="shared" si="760"/>
        <v>42533.042030895012</v>
      </c>
      <c r="X629" s="51" t="str">
        <f t="shared" si="761"/>
        <v>36831IF-TRANSCO/Z6</v>
      </c>
      <c r="Y629" s="418">
        <f t="shared" si="762"/>
        <v>100</v>
      </c>
      <c r="Z629" s="456">
        <f t="shared" si="763"/>
        <v>-0.57501207044925839</v>
      </c>
      <c r="AA629" s="456">
        <f>_xll.xSPRDOPT($L629,$J629,$I629,$M629,$O629,$N629,$P629,$Q629-$C$3,$R629,3)</f>
        <v>0.58419351190951563</v>
      </c>
      <c r="AB629" s="456">
        <f>((_xll.xSPRDOPT($L629+AB$5,$J629,$I629,$M629,$O629,$N629,$P629,$Q629-$C$3,$R629,3)*$H629)/10000)/100</f>
        <v>0.58419351190951563</v>
      </c>
      <c r="AC629" s="456">
        <f>((_xll.xSPRDOPT($L629+$AB$5,$J629,$I629,$M629,$O629,$N629,$P629,$Q629-$C$3,$R629,7)*$H629)/100)</f>
        <v>-9343.8293609424072</v>
      </c>
      <c r="AD629" s="456">
        <f>(_xll.xSPRDOPT($L629+$AB$5,$J629,$I629,$M629,$O629,$N629,$P629,$Q629-$C$3,$R629,9)/365)*$H629</f>
        <v>-1995.8383014487654</v>
      </c>
      <c r="AE629">
        <f t="shared" si="707"/>
        <v>0</v>
      </c>
      <c r="AF629" s="456">
        <f t="shared" si="764"/>
        <v>4297.725715210845</v>
      </c>
      <c r="AG629" s="456">
        <f>((_xll.xSPRDOPT($L629,$J629,$I629,$M629,$O629,$N629,$P629,$Q629-$C$3,$R629,6)*$H629)/100)</f>
        <v>-1462.4406921582524</v>
      </c>
      <c r="AH629" s="456">
        <f>((_xll.xSPRDOPT($L629,$J629,$I629,$M629,$O629,$N629,$P629,$Q629-$C$3,$R629,5)*$H629)/100)</f>
        <v>5483.67841981538</v>
      </c>
      <c r="AI629" s="456">
        <f>(((_xll.xSPRDOPT($L629,$J629,$I629,$M629,$O629,$N629,$P629,$Q629-$C$3,$R629,4)*$H629)/10000)/100)-AB629</f>
        <v>-3.1787789464280625E-2</v>
      </c>
      <c r="AJ629" s="456"/>
      <c r="AK629" s="456"/>
      <c r="CC629" s="141">
        <f>G628</f>
        <v>36982</v>
      </c>
      <c r="CD629" s="234">
        <f>_xll.xSPRDOPT((VLOOKUP(G628,NGPrices,2,FALSE)+HLOOKUP(D628,Prices,VLOOKUP(G628,move_down,2,FALSE),FALSE)),VLOOKUP(G628,NGPrices,2,FALSE),I628,VLOOKUP(G628,NGPREVPRICES,4,FALSE),HLOOKUP(D628,PREVVOLS,VLOOKUP(G628,MOVE_DOWN2,2,FALSE),FALSE),VLOOKUP(G628,NGPREVPRICES,3,FALSE),HLOOKUP(D628,Correllate,VLOOKUP(G628,CorMove,2,FALSE),FALSE),Q628-$CD$3,R628,$CD$5)*H628-CJ629</f>
        <v>0</v>
      </c>
      <c r="CE629" s="234">
        <f>_xll.xSPRDOPT((VLOOKUP(G628,NGPREVPRICES,2,FALSE)+HLOOKUP(D628,PREVCURVES,VLOOKUP(G628,MOVE_DOWN2,2,FALSE),FALSE)),VLOOKUP(G628,NGPREVPRICES,2,FALSE),CK629,VLOOKUP(G628,NGPrices,4,FALSE),HLOOKUP(D628,PREVVOLS,VLOOKUP(G628,MOVE_DOWN2,2,FALSE),FALSE),VLOOKUP(G628,NGPREVPRICES,3,FALSE),HLOOKUP(D628,Correllate,VLOOKUP(G628,CorMove,2,FALSE),FALSE),Q628-$CD$3,R628,$CJ$5)*H628-CJ629</f>
        <v>0</v>
      </c>
      <c r="CF629" s="10">
        <f>(CJ629/VLOOKUP(CC629,discount,3,FALSE))-(CJ629/VLOOKUP(CC629,discount,2,FALSE))</f>
        <v>17.2971917570394</v>
      </c>
      <c r="CG629" s="234">
        <f>_xll.xSPRDOPT((VLOOKUP(G628,NGPREVPRICES,2,FALSE)+HLOOKUP(D628,PREVCURVES,VLOOKUP(G628,MOVE_DOWN2,2,FALSE),FALSE)),VLOOKUP(G628,NGPREVPRICES,2,FALSE),CK629,VLOOKUP(G628,NGPREVPRICES,4,FALSE),HLOOKUP(D628,VOLS,VLOOKUP(G628,move_down,2,FALSE),FALSE),VLOOKUP(G628,NGPrices,3,FALSE),HLOOKUP(D628,Correllate,VLOOKUP(G628,CorMove,2,FALSE),FALSE),Q628-$CD$3,R628,$CJ$5)*H628-CJ629</f>
        <v>0</v>
      </c>
      <c r="CH629" s="234">
        <f>_xll.xSPRDOPT((VLOOKUP(G628,NGPREVPRICES,2,FALSE)+HLOOKUP(D628,PREVCURVES,VLOOKUP(G628,MOVE_DOWN2,2,FALSE),FALSE)),VLOOKUP(G628,NGPREVPRICES,2,FALSE),CK629,VLOOKUP(G628,NGPREVPRICES,4,FALSE),HLOOKUP(D628,PREVVOLS,VLOOKUP(G628,MOVE_DOWN2,2,FALSE),FALSE),VLOOKUP(G628,NGPREVPRICES,3,FALSE),HLOOKUP(D628,Correllate,VLOOKUP(G628,CorMove,2,FALSE),FALSE),Q628-$C$3,R628,$CJ$5)*H628-CJ629</f>
        <v>350.26148752123117</v>
      </c>
      <c r="CI629" s="234">
        <f>SUM(CD629:CH629)</f>
        <v>367.55867927827057</v>
      </c>
      <c r="CJ629" s="234">
        <f>_xll.xSPRDOPT((VLOOKUP(G628,NGPREVPRICES,2,FALSE)+HLOOKUP(D628,PREVCURVES,VLOOKUP(G628,MOVE_DOWN2,2,FALSE),FALSE)),VLOOKUP(G628,NGPREVPRICES,2,FALSE),CK629,VLOOKUP(G628,NGPREVPRICES,4,FALSE),HLOOKUP(D628,PREVVOLS,VLOOKUP(G628,MOVE_DOWN2,2,FALSE),FALSE),VLOOKUP(G628,NGPREVPRICES,3,FALSE),HLOOKUP(D628,Correllate,VLOOKUP(G628,CorMove,2,FALSE),FALSE),Q628-$CD$3,R628,$CJ$5)*H628</f>
        <v>-89457.700994347644</v>
      </c>
      <c r="CK629" s="235">
        <f>I628</f>
        <v>0.7</v>
      </c>
      <c r="CM629" t="str">
        <f>CONCATENATE(CC629,$CD$6)</f>
        <v>36982Curve Shift/Gamma</v>
      </c>
      <c r="CN629" t="str">
        <f t="shared" si="747"/>
        <v>36982Rho</v>
      </c>
      <c r="CO629" t="str">
        <f t="shared" si="748"/>
        <v>36982Drift</v>
      </c>
      <c r="CP629" t="str">
        <f t="shared" si="749"/>
        <v>36982Vega</v>
      </c>
      <c r="CQ629" t="str">
        <f t="shared" si="750"/>
        <v>36982Theta</v>
      </c>
    </row>
    <row r="630" spans="1:95" x14ac:dyDescent="0.25">
      <c r="A630" s="140" t="s">
        <v>276</v>
      </c>
      <c r="B630" t="s">
        <v>250</v>
      </c>
      <c r="C630" t="s">
        <v>564</v>
      </c>
      <c r="D630" s="4" t="s">
        <v>7</v>
      </c>
      <c r="E630" t="s">
        <v>20</v>
      </c>
      <c r="F630" t="s">
        <v>1</v>
      </c>
      <c r="G630" s="5">
        <v>36861</v>
      </c>
      <c r="H630" s="130">
        <v>1000000</v>
      </c>
      <c r="I630" s="235">
        <v>0.95</v>
      </c>
      <c r="J630" s="53">
        <f t="shared" si="751"/>
        <v>4.8</v>
      </c>
      <c r="K630" s="7">
        <f t="shared" si="752"/>
        <v>1.645</v>
      </c>
      <c r="L630" s="53">
        <f t="shared" si="753"/>
        <v>6.4450000000000003</v>
      </c>
      <c r="M630" s="157">
        <f t="shared" si="754"/>
        <v>6.8314027999354002E-2</v>
      </c>
      <c r="N630" s="4">
        <f t="shared" si="755"/>
        <v>0.6</v>
      </c>
      <c r="O630" s="4">
        <f t="shared" si="756"/>
        <v>0.69</v>
      </c>
      <c r="P630" s="9">
        <f t="shared" si="757"/>
        <v>0.83</v>
      </c>
      <c r="Q630" s="5">
        <f t="shared" si="708"/>
        <v>36859</v>
      </c>
      <c r="R630" s="4">
        <f t="shared" si="758"/>
        <v>0</v>
      </c>
      <c r="S630" s="158">
        <f>_xll.xSPRDOPT($L630,$J630,$I630,$M630,$O630,$N630,$P630,$Q630-$C$3,$R630,0)</f>
        <v>0.20467101113385944</v>
      </c>
      <c r="T630" s="159">
        <f>_xll.xSPRDOPT($L630,$J630,$I630,$M630,$O630,$N630,$P630,$Q630-$C$3,$R630,1)*H630</f>
        <v>-244174.14482355749</v>
      </c>
      <c r="U630" s="160">
        <f t="shared" si="759"/>
        <v>204671.01113385943</v>
      </c>
      <c r="V630" s="159">
        <f>_xll.xSPRDOPT($L630,$J630,$I630,$M630,$O630,$N630,$P630,$Q630-$C$3,$R630,2)*H630</f>
        <v>305880.84589909494</v>
      </c>
      <c r="W630" s="159">
        <f t="shared" si="760"/>
        <v>61706.70107553745</v>
      </c>
      <c r="X630" s="51" t="str">
        <f t="shared" si="761"/>
        <v>36861IF-TRANSCO/Z6</v>
      </c>
      <c r="Y630" s="418">
        <f t="shared" si="762"/>
        <v>100</v>
      </c>
      <c r="Z630" s="456">
        <f t="shared" si="763"/>
        <v>-0.24417414482355748</v>
      </c>
      <c r="AA630" s="456">
        <f>_xll.xSPRDOPT($L630,$J630,$I630,$M630,$O630,$N630,$P630,$Q630-$C$3,$R630,3)</f>
        <v>0.24535174838685014</v>
      </c>
      <c r="AB630" s="456">
        <f>((_xll.xSPRDOPT($L630+AB$5,$J630,$I630,$M630,$O630,$N630,$P630,$Q630-$C$3,$R630,3)*$H630)/10000)/100</f>
        <v>0.24535174838685017</v>
      </c>
      <c r="AC630" s="456">
        <f>((_xll.xSPRDOPT($L630+$AB$5,$J630,$I630,$M630,$O630,$N630,$P630,$Q630-$C$3,$R630,7)*$H630)/100)</f>
        <v>-8837.3893361566315</v>
      </c>
      <c r="AD630" s="456">
        <f>(_xll.xSPRDOPT($L630+$AB$5,$J630,$I630,$M630,$O630,$N630,$P630,$Q630-$C$3,$R630,9)/365)*$H630</f>
        <v>-2114.3175487268968</v>
      </c>
      <c r="AE630">
        <f t="shared" si="707"/>
        <v>0</v>
      </c>
      <c r="AF630" s="456">
        <f t="shared" si="764"/>
        <v>6596.8622436018495</v>
      </c>
      <c r="AG630" s="456">
        <f>((_xll.xSPRDOPT($L630,$J630,$I630,$M630,$O630,$N630,$P630,$Q630-$C$3,$R630,6)*$H630)/100)</f>
        <v>-1547.605859195477</v>
      </c>
      <c r="AH630" s="456">
        <f>((_xll.xSPRDOPT($L630,$J630,$I630,$M630,$O630,$N630,$P630,$Q630-$C$3,$R630,5)*$H630)/100)</f>
        <v>7082.1461763455018</v>
      </c>
      <c r="AI630" s="456">
        <f>(((_xll.xSPRDOPT($L630,$J630,$I630,$M630,$O630,$N630,$P630,$Q630-$C$3,$R630,4)*$H630)/10000)/100)-AB630</f>
        <v>6.1289785757673437E-2</v>
      </c>
      <c r="AJ630" s="456"/>
      <c r="AK630" s="456"/>
      <c r="CC630" s="141">
        <f t="shared" ref="CC630:CC654" si="765">G629</f>
        <v>36831</v>
      </c>
      <c r="CD630" s="234">
        <f>_xll.xSPRDOPT((VLOOKUP(G629,NGPrices,2,FALSE)+HLOOKUP(D629,Prices,VLOOKUP(G629,move_down,2,FALSE),FALSE)),VLOOKUP(G629,NGPrices,2,FALSE),I629,VLOOKUP(G629,NGPREVPRICES,4,FALSE),HLOOKUP(D629,PREVVOLS,VLOOKUP(G629,MOVE_DOWN2,2,FALSE),FALSE),VLOOKUP(G629,NGPREVPRICES,3,FALSE),HLOOKUP(D629,Correllate,VLOOKUP(G629,CorMove,2,FALSE),FALSE),Q629-$CD$3,R629,$CD$5)*H629-CJ630</f>
        <v>0</v>
      </c>
      <c r="CE630" s="234">
        <f>_xll.xSPRDOPT((VLOOKUP(G629,NGPREVPRICES,2,FALSE)+HLOOKUP(D629,PREVCURVES,VLOOKUP(G629,MOVE_DOWN2,2,FALSE),FALSE)),VLOOKUP(G629,NGPREVPRICES,2,FALSE),CK630,VLOOKUP(G629,NGPrices,4,FALSE),HLOOKUP(D629,PREVVOLS,VLOOKUP(G629,MOVE_DOWN2,2,FALSE),FALSE),VLOOKUP(G629,NGPREVPRICES,3,FALSE),HLOOKUP(D629,Correllate,VLOOKUP(G629,CorMove,2,FALSE),FALSE),Q629-$CD$3,R629,$CJ$5)*H629-CJ630</f>
        <v>0</v>
      </c>
      <c r="CF630" s="10">
        <f t="shared" ref="CF630:CF654" si="766">(CJ630/VLOOKUP(CC630,discount,3,FALSE))-(CJ630/VLOOKUP(CC630,discount,2,FALSE))</f>
        <v>-67.837383352103643</v>
      </c>
      <c r="CG630" s="234">
        <f>_xll.xSPRDOPT((VLOOKUP(G629,NGPREVPRICES,2,FALSE)+HLOOKUP(D629,PREVCURVES,VLOOKUP(G629,MOVE_DOWN2,2,FALSE),FALSE)),VLOOKUP(G629,NGPREVPRICES,2,FALSE),CK630,VLOOKUP(G629,NGPREVPRICES,4,FALSE),HLOOKUP(D629,VOLS,VLOOKUP(G629,move_down,2,FALSE),FALSE),VLOOKUP(G629,NGPrices,3,FALSE),HLOOKUP(D629,Correllate,VLOOKUP(G629,CorMove,2,FALSE),FALSE),Q629-$CD$3,R629,$CJ$5)*H629-CJ630</f>
        <v>0</v>
      </c>
      <c r="CH630" s="234">
        <f>_xll.xSPRDOPT((VLOOKUP(G629,NGPREVPRICES,2,FALSE)+HLOOKUP(D629,PREVCURVES,VLOOKUP(G629,MOVE_DOWN2,2,FALSE),FALSE)),VLOOKUP(G629,NGPREVPRICES,2,FALSE),CK630,VLOOKUP(G629,NGPREVPRICES,4,FALSE),HLOOKUP(D629,PREVVOLS,VLOOKUP(G629,MOVE_DOWN2,2,FALSE),FALSE),VLOOKUP(G629,NGPREVPRICES,3,FALSE),HLOOKUP(D629,Correllate,VLOOKUP(G629,CorMove,2,FALSE),FALSE),Q629-$C$3,R629,$CJ$5)*H629-CJ630</f>
        <v>-1986.4510666116839</v>
      </c>
      <c r="CI630" s="234">
        <f t="shared" ref="CI630:CI654" si="767">SUM(CD630:CH630)</f>
        <v>-2054.2884499637876</v>
      </c>
      <c r="CJ630" s="234">
        <f>_xll.xSPRDOPT((VLOOKUP(G629,NGPREVPRICES,2,FALSE)+HLOOKUP(D629,PREVCURVES,VLOOKUP(G629,MOVE_DOWN2,2,FALSE),FALSE)),VLOOKUP(G629,NGPREVPRICES,2,FALSE),CK630,VLOOKUP(G629,NGPREVPRICES,4,FALSE),HLOOKUP(D629,PREVVOLS,VLOOKUP(G629,MOVE_DOWN2,2,FALSE),FALSE),VLOOKUP(G629,NGPREVPRICES,3,FALSE),HLOOKUP(D629,Correllate,VLOOKUP(G629,CorMove,2,FALSE),FALSE),Q629-$CD$3,R629,$CJ$5)*H629</f>
        <v>365285.37794140994</v>
      </c>
      <c r="CK630" s="235">
        <f t="shared" ref="CK630:CK654" si="768">I629</f>
        <v>0.95</v>
      </c>
      <c r="CM630" t="str">
        <f t="shared" ref="CM630:CM654" si="769">CONCATENATE(CC630,$CD$6)</f>
        <v>36831Curve Shift/Gamma</v>
      </c>
      <c r="CN630" t="str">
        <f t="shared" si="747"/>
        <v>36831Rho</v>
      </c>
      <c r="CO630" t="str">
        <f t="shared" si="748"/>
        <v>36831Drift</v>
      </c>
      <c r="CP630" t="str">
        <f t="shared" si="749"/>
        <v>36831Vega</v>
      </c>
      <c r="CQ630" t="str">
        <f t="shared" si="750"/>
        <v>36831Theta</v>
      </c>
    </row>
    <row r="631" spans="1:95" x14ac:dyDescent="0.25">
      <c r="A631" s="140" t="s">
        <v>276</v>
      </c>
      <c r="B631" t="s">
        <v>250</v>
      </c>
      <c r="C631" t="s">
        <v>564</v>
      </c>
      <c r="D631" s="4" t="s">
        <v>7</v>
      </c>
      <c r="E631" t="s">
        <v>20</v>
      </c>
      <c r="F631" t="s">
        <v>1</v>
      </c>
      <c r="G631" s="5">
        <v>36892</v>
      </c>
      <c r="H631" s="130">
        <v>1000000</v>
      </c>
      <c r="I631" s="235">
        <v>0.95</v>
      </c>
      <c r="J631" s="53">
        <f t="shared" si="751"/>
        <v>4.7439999999999998</v>
      </c>
      <c r="K631" s="7">
        <f t="shared" si="752"/>
        <v>2.17</v>
      </c>
      <c r="L631" s="53">
        <f t="shared" si="753"/>
        <v>6.9139999999999997</v>
      </c>
      <c r="M631" s="157">
        <f t="shared" si="754"/>
        <v>6.8374831148490994E-2</v>
      </c>
      <c r="N631" s="4">
        <f t="shared" si="755"/>
        <v>0.60499999999999998</v>
      </c>
      <c r="O631" s="4">
        <f t="shared" si="756"/>
        <v>0.69599999999999995</v>
      </c>
      <c r="P631" s="9">
        <f t="shared" si="757"/>
        <v>0.83</v>
      </c>
      <c r="Q631" s="5">
        <f t="shared" si="708"/>
        <v>36888</v>
      </c>
      <c r="R631" s="4">
        <f t="shared" si="758"/>
        <v>0</v>
      </c>
      <c r="S631" s="158">
        <f>_xll.xSPRDOPT($L631,$J631,$I631,$M631,$O631,$N631,$P631,$Q631-$C$3,$R631,0)</f>
        <v>0.15272864479355774</v>
      </c>
      <c r="T631" s="159">
        <f>_xll.xSPRDOPT($L631,$J631,$I631,$M631,$O631,$N631,$P631,$Q631-$C$3,$R631,1)*H631</f>
        <v>-162980.11069688477</v>
      </c>
      <c r="U631" s="160">
        <f t="shared" si="759"/>
        <v>152728.64479355773</v>
      </c>
      <c r="V631" s="159">
        <f>_xll.xSPRDOPT($L631,$J631,$I631,$M631,$O631,$N631,$P631,$Q631-$C$3,$R631,2)*H631</f>
        <v>221152.03223556979</v>
      </c>
      <c r="W631" s="159">
        <f t="shared" si="760"/>
        <v>58171.921538685012</v>
      </c>
      <c r="X631" s="51" t="str">
        <f t="shared" si="761"/>
        <v>36892IF-TRANSCO/Z6</v>
      </c>
      <c r="Y631" s="418">
        <f t="shared" si="762"/>
        <v>100</v>
      </c>
      <c r="Z631" s="456">
        <f t="shared" si="763"/>
        <v>-0.16298011069688478</v>
      </c>
      <c r="AA631" s="456">
        <f>_xll.xSPRDOPT($L631,$J631,$I631,$M631,$O631,$N631,$P631,$Q631-$C$3,$R631,3)</f>
        <v>0.15486108343643903</v>
      </c>
      <c r="AB631" s="456">
        <f>((_xll.xSPRDOPT($L631+AB$5,$J631,$I631,$M631,$O631,$N631,$P631,$Q631-$C$3,$R631,3)*$H631)/10000)/100</f>
        <v>0.15486108343643903</v>
      </c>
      <c r="AC631" s="456">
        <f>((_xll.xSPRDOPT($L631+$AB$5,$J631,$I631,$M631,$O631,$N631,$P631,$Q631-$C$3,$R631,7)*$H631)/100)</f>
        <v>-8537.9300555608988</v>
      </c>
      <c r="AD631" s="456">
        <f>(_xll.xSPRDOPT($L631+$AB$5,$J631,$I631,$M631,$O631,$N631,$P631,$Q631-$C$3,$R631,9)/365)*$H631</f>
        <v>-1569.8048540583495</v>
      </c>
      <c r="AE631">
        <f t="shared" si="707"/>
        <v>0</v>
      </c>
      <c r="AF631" s="456">
        <f t="shared" si="764"/>
        <v>6389.2847796330943</v>
      </c>
      <c r="AG631" s="456">
        <f>((_xll.xSPRDOPT($L631,$J631,$I631,$M631,$O631,$N631,$P631,$Q631-$C$3,$R631,6)*$H631)/100)</f>
        <v>-1533.8311920810049</v>
      </c>
      <c r="AH631" s="456">
        <f>((_xll.xSPRDOPT($L631,$J631,$I631,$M631,$O631,$N631,$P631,$Q631-$C$3,$R631,5)*$H631)/100)</f>
        <v>6887.1913259871126</v>
      </c>
      <c r="AI631" s="456">
        <f>(((_xll.xSPRDOPT($L631,$J631,$I631,$M631,$O631,$N631,$P631,$Q631-$C$3,$R631,4)*$H631)/10000)/100)-AB631</f>
        <v>7.0813128689725863E-2</v>
      </c>
      <c r="AJ631" s="456"/>
      <c r="AK631" s="456"/>
      <c r="CC631" s="141">
        <f t="shared" si="765"/>
        <v>36861</v>
      </c>
      <c r="CD631" s="234">
        <f>_xll.xSPRDOPT((VLOOKUP(G630,NGPrices,2,FALSE)+HLOOKUP(D630,Prices,VLOOKUP(G630,move_down,2,FALSE),FALSE)),VLOOKUP(G630,NGPrices,2,FALSE),I630,VLOOKUP(G630,NGPREVPRICES,4,FALSE),HLOOKUP(D630,PREVVOLS,VLOOKUP(G630,MOVE_DOWN2,2,FALSE),FALSE),VLOOKUP(G630,NGPREVPRICES,3,FALSE),HLOOKUP(D630,Correllate,VLOOKUP(G630,CorMove,2,FALSE),FALSE),Q630-$CD$3,R630,$CD$5)*H630-CJ631</f>
        <v>0</v>
      </c>
      <c r="CE631" s="234">
        <f>_xll.xSPRDOPT((VLOOKUP(G630,NGPREVPRICES,2,FALSE)+HLOOKUP(D630,PREVCURVES,VLOOKUP(G630,MOVE_DOWN2,2,FALSE),FALSE)),VLOOKUP(G630,NGPREVPRICES,2,FALSE),CK631,VLOOKUP(G630,NGPrices,4,FALSE),HLOOKUP(D630,PREVVOLS,VLOOKUP(G630,MOVE_DOWN2,2,FALSE),FALSE),VLOOKUP(G630,NGPREVPRICES,3,FALSE),HLOOKUP(D630,Correllate,VLOOKUP(G630,CorMove,2,FALSE),FALSE),Q630-$CD$3,R630,$CJ$5)*H630-CJ631</f>
        <v>0</v>
      </c>
      <c r="CF631" s="10">
        <f t="shared" si="766"/>
        <v>-38.737661466759164</v>
      </c>
      <c r="CG631" s="234">
        <f>_xll.xSPRDOPT((VLOOKUP(G630,NGPREVPRICES,2,FALSE)+HLOOKUP(D630,PREVCURVES,VLOOKUP(G630,MOVE_DOWN2,2,FALSE),FALSE)),VLOOKUP(G630,NGPREVPRICES,2,FALSE),CK631,VLOOKUP(G630,NGPREVPRICES,4,FALSE),HLOOKUP(D630,VOLS,VLOOKUP(G630,move_down,2,FALSE),FALSE),VLOOKUP(G630,NGPrices,3,FALSE),HLOOKUP(D630,Correllate,VLOOKUP(G630,CorMove,2,FALSE),FALSE),Q630-$CD$3,R630,$CJ$5)*H630-CJ631</f>
        <v>0</v>
      </c>
      <c r="CH631" s="234">
        <f>_xll.xSPRDOPT((VLOOKUP(G630,NGPREVPRICES,2,FALSE)+HLOOKUP(D630,PREVCURVES,VLOOKUP(G630,MOVE_DOWN2,2,FALSE),FALSE)),VLOOKUP(G630,NGPREVPRICES,2,FALSE),CK631,VLOOKUP(G630,NGPREVPRICES,4,FALSE),HLOOKUP(D630,PREVVOLS,VLOOKUP(G630,MOVE_DOWN2,2,FALSE),FALSE),VLOOKUP(G630,NGPREVPRICES,3,FALSE),HLOOKUP(D630,Correllate,VLOOKUP(G630,CorMove,2,FALSE),FALSE),Q630-$C$3,R630,$CJ$5)*H630-CJ631</f>
        <v>-2108.5790997942386</v>
      </c>
      <c r="CI631" s="234">
        <f t="shared" si="767"/>
        <v>-2147.3167612609977</v>
      </c>
      <c r="CJ631" s="234">
        <f>_xll.xSPRDOPT((VLOOKUP(G630,NGPREVPRICES,2,FALSE)+HLOOKUP(D630,PREVCURVES,VLOOKUP(G630,MOVE_DOWN2,2,FALSE),FALSE)),VLOOKUP(G630,NGPREVPRICES,2,FALSE),CK631,VLOOKUP(G630,NGPREVPRICES,4,FALSE),HLOOKUP(D630,PREVVOLS,VLOOKUP(G630,MOVE_DOWN2,2,FALSE),FALSE),VLOOKUP(G630,NGPREVPRICES,3,FALSE),HLOOKUP(D630,Correllate,VLOOKUP(G630,CorMove,2,FALSE),FALSE),Q630-$CD$3,R630,$CJ$5)*H630</f>
        <v>206779.59023365367</v>
      </c>
      <c r="CK631" s="235">
        <f t="shared" si="768"/>
        <v>0.95</v>
      </c>
      <c r="CM631" t="str">
        <f t="shared" si="769"/>
        <v>36861Curve Shift/Gamma</v>
      </c>
      <c r="CN631" t="str">
        <f t="shared" si="747"/>
        <v>36861Rho</v>
      </c>
      <c r="CO631" t="str">
        <f t="shared" si="748"/>
        <v>36861Drift</v>
      </c>
      <c r="CP631" t="str">
        <f t="shared" si="749"/>
        <v>36861Vega</v>
      </c>
      <c r="CQ631" t="str">
        <f t="shared" si="750"/>
        <v>36861Theta</v>
      </c>
    </row>
    <row r="632" spans="1:95" x14ac:dyDescent="0.25">
      <c r="A632" s="140" t="s">
        <v>276</v>
      </c>
      <c r="B632" t="s">
        <v>250</v>
      </c>
      <c r="C632" t="s">
        <v>564</v>
      </c>
      <c r="D632" s="4" t="s">
        <v>7</v>
      </c>
      <c r="E632" t="s">
        <v>20</v>
      </c>
      <c r="F632" t="s">
        <v>1</v>
      </c>
      <c r="G632" s="5">
        <v>36923</v>
      </c>
      <c r="H632" s="130">
        <v>1000000</v>
      </c>
      <c r="I632" s="235">
        <v>0.95</v>
      </c>
      <c r="J632" s="53">
        <f t="shared" si="751"/>
        <v>4.4800000000000004</v>
      </c>
      <c r="K632" s="7">
        <f t="shared" si="752"/>
        <v>2.09</v>
      </c>
      <c r="L632" s="53">
        <f t="shared" si="753"/>
        <v>6.57</v>
      </c>
      <c r="M632" s="157">
        <f t="shared" si="754"/>
        <v>6.8640161611372E-2</v>
      </c>
      <c r="N632" s="4">
        <f t="shared" si="755"/>
        <v>0.59250000000000003</v>
      </c>
      <c r="O632" s="4">
        <f t="shared" si="756"/>
        <v>0.68100000000000005</v>
      </c>
      <c r="P632" s="9">
        <f t="shared" si="757"/>
        <v>0.83</v>
      </c>
      <c r="Q632" s="5">
        <f t="shared" si="708"/>
        <v>36921</v>
      </c>
      <c r="R632" s="4">
        <f t="shared" si="758"/>
        <v>0</v>
      </c>
      <c r="S632" s="158">
        <f>_xll.xSPRDOPT($L632,$J632,$I632,$M632,$O632,$N632,$P632,$Q632-$C$3,$R632,0)</f>
        <v>0.1893795248282355</v>
      </c>
      <c r="T632" s="159">
        <f>_xll.xSPRDOPT($L632,$J632,$I632,$M632,$O632,$N632,$P632,$Q632-$C$3,$R632,1)*H632</f>
        <v>-183075.1487073593</v>
      </c>
      <c r="U632" s="160">
        <f t="shared" si="759"/>
        <v>189379.5248282355</v>
      </c>
      <c r="V632" s="159">
        <f>_xll.xSPRDOPT($L632,$J632,$I632,$M632,$O632,$N632,$P632,$Q632-$C$3,$R632,2)*H632</f>
        <v>251697.26816811011</v>
      </c>
      <c r="W632" s="159">
        <f t="shared" si="760"/>
        <v>68622.119460750808</v>
      </c>
      <c r="X632" s="51" t="str">
        <f t="shared" si="761"/>
        <v>36923IF-TRANSCO/Z6</v>
      </c>
      <c r="Y632" s="418">
        <f t="shared" si="762"/>
        <v>100</v>
      </c>
      <c r="Z632" s="456">
        <f t="shared" si="763"/>
        <v>-0.1830751487073593</v>
      </c>
      <c r="AA632" s="456">
        <f>_xll.xSPRDOPT($L632,$J632,$I632,$M632,$O632,$N632,$P632,$Q632-$C$3,$R632,3)</f>
        <v>0.15810070426631745</v>
      </c>
      <c r="AB632" s="456">
        <f>((_xll.xSPRDOPT($L632+AB$5,$J632,$I632,$M632,$O632,$N632,$P632,$Q632-$C$3,$R632,3)*$H632)/10000)/100</f>
        <v>0.15810070426631745</v>
      </c>
      <c r="AC632" s="456">
        <f>((_xll.xSPRDOPT($L632+$AB$5,$J632,$I632,$M632,$O632,$N632,$P632,$Q632-$C$3,$R632,7)*$H632)/100)</f>
        <v>-9506.043306596097</v>
      </c>
      <c r="AD632" s="456">
        <f>(_xll.xSPRDOPT($L632+$AB$5,$J632,$I632,$M632,$O632,$N632,$P632,$Q632-$C$3,$R632,9)/365)*$H632</f>
        <v>-1383.7622127881953</v>
      </c>
      <c r="AE632">
        <f t="shared" si="707"/>
        <v>0</v>
      </c>
      <c r="AF632" s="456">
        <f t="shared" si="764"/>
        <v>7373.3095318931837</v>
      </c>
      <c r="AG632" s="456">
        <f>((_xll.xSPRDOPT($L632,$J632,$I632,$M632,$O632,$N632,$P632,$Q632-$C$3,$R632,6)*$H632)/100)</f>
        <v>-1831.9551317366468</v>
      </c>
      <c r="AH632" s="456">
        <f>((_xll.xSPRDOPT($L632,$J632,$I632,$M632,$O632,$N632,$P632,$Q632-$C$3,$R632,5)*$H632)/100)</f>
        <v>8008.9857756250713</v>
      </c>
      <c r="AI632" s="456">
        <f>(((_xll.xSPRDOPT($L632,$J632,$I632,$M632,$O632,$N632,$P632,$Q632-$C$3,$R632,4)*$H632)/10000)/100)-AB632</f>
        <v>7.095278330618901E-2</v>
      </c>
      <c r="AJ632" s="456"/>
      <c r="AK632" s="456"/>
      <c r="CC632" s="141">
        <f t="shared" si="765"/>
        <v>36892</v>
      </c>
      <c r="CD632" s="234">
        <f>_xll.xSPRDOPT((VLOOKUP(G631,NGPrices,2,FALSE)+HLOOKUP(D631,Prices,VLOOKUP(G631,move_down,2,FALSE),FALSE)),VLOOKUP(G631,NGPrices,2,FALSE),I631,VLOOKUP(G631,NGPREVPRICES,4,FALSE),HLOOKUP(D631,PREVVOLS,VLOOKUP(G631,MOVE_DOWN2,2,FALSE),FALSE),VLOOKUP(G631,NGPREVPRICES,3,FALSE),HLOOKUP(D631,Correllate,VLOOKUP(G631,CorMove,2,FALSE),FALSE),Q631-$CD$3,R631,$CD$5)*H631-CJ632</f>
        <v>0</v>
      </c>
      <c r="CE632" s="234">
        <f>_xll.xSPRDOPT((VLOOKUP(G631,NGPREVPRICES,2,FALSE)+HLOOKUP(D631,PREVCURVES,VLOOKUP(G631,MOVE_DOWN2,2,FALSE),FALSE)),VLOOKUP(G631,NGPREVPRICES,2,FALSE),CK632,VLOOKUP(G631,NGPrices,4,FALSE),HLOOKUP(D631,PREVVOLS,VLOOKUP(G631,MOVE_DOWN2,2,FALSE),FALSE),VLOOKUP(G631,NGPREVPRICES,3,FALSE),HLOOKUP(D631,Correllate,VLOOKUP(G631,CorMove,2,FALSE),FALSE),Q631-$CD$3,R631,$CJ$5)*H631-CJ632</f>
        <v>0</v>
      </c>
      <c r="CF632" s="10">
        <f t="shared" si="766"/>
        <v>-29.075746721558971</v>
      </c>
      <c r="CG632" s="234">
        <f>_xll.xSPRDOPT((VLOOKUP(G631,NGPREVPRICES,2,FALSE)+HLOOKUP(D631,PREVCURVES,VLOOKUP(G631,MOVE_DOWN2,2,FALSE),FALSE)),VLOOKUP(G631,NGPREVPRICES,2,FALSE),CK632,VLOOKUP(G631,NGPREVPRICES,4,FALSE),HLOOKUP(D631,VOLS,VLOOKUP(G631,move_down,2,FALSE),FALSE),VLOOKUP(G631,NGPrices,3,FALSE),HLOOKUP(D631,Correllate,VLOOKUP(G631,CorMove,2,FALSE),FALSE),Q631-$CD$3,R631,$CJ$5)*H631-CJ632</f>
        <v>0</v>
      </c>
      <c r="CH632" s="234">
        <f>_xll.xSPRDOPT((VLOOKUP(G631,NGPREVPRICES,2,FALSE)+HLOOKUP(D631,PREVCURVES,VLOOKUP(G631,MOVE_DOWN2,2,FALSE),FALSE)),VLOOKUP(G631,NGPREVPRICES,2,FALSE),CK632,VLOOKUP(G631,NGPREVPRICES,4,FALSE),HLOOKUP(D631,PREVVOLS,VLOOKUP(G631,MOVE_DOWN2,2,FALSE),FALSE),VLOOKUP(G631,NGPREVPRICES,3,FALSE),HLOOKUP(D631,Correllate,VLOOKUP(G631,CorMove,2,FALSE),FALSE),Q631-$C$3,R631,$CJ$5)*H631-CJ632</f>
        <v>-1567.5083273733035</v>
      </c>
      <c r="CI632" s="234">
        <f t="shared" si="767"/>
        <v>-1596.5840740948624</v>
      </c>
      <c r="CJ632" s="234">
        <f>_xll.xSPRDOPT((VLOOKUP(G631,NGPREVPRICES,2,FALSE)+HLOOKUP(D631,PREVCURVES,VLOOKUP(G631,MOVE_DOWN2,2,FALSE),FALSE)),VLOOKUP(G631,NGPREVPRICES,2,FALSE),CK632,VLOOKUP(G631,NGPREVPRICES,4,FALSE),HLOOKUP(D631,PREVVOLS,VLOOKUP(G631,MOVE_DOWN2,2,FALSE),FALSE),VLOOKUP(G631,NGPREVPRICES,3,FALSE),HLOOKUP(D631,Correllate,VLOOKUP(G631,CorMove,2,FALSE),FALSE),Q631-$CD$3,R631,$CJ$5)*H631</f>
        <v>154296.15312093103</v>
      </c>
      <c r="CK632" s="235">
        <f t="shared" si="768"/>
        <v>0.95</v>
      </c>
      <c r="CM632" t="str">
        <f t="shared" si="769"/>
        <v>36892Curve Shift/Gamma</v>
      </c>
      <c r="CN632" t="str">
        <f t="shared" si="747"/>
        <v>36892Rho</v>
      </c>
      <c r="CO632" t="str">
        <f t="shared" si="748"/>
        <v>36892Drift</v>
      </c>
      <c r="CP632" t="str">
        <f t="shared" si="749"/>
        <v>36892Vega</v>
      </c>
      <c r="CQ632" t="str">
        <f t="shared" si="750"/>
        <v>36892Theta</v>
      </c>
    </row>
    <row r="633" spans="1:95" x14ac:dyDescent="0.25">
      <c r="A633" s="140" t="s">
        <v>276</v>
      </c>
      <c r="B633" t="s">
        <v>250</v>
      </c>
      <c r="C633" t="s">
        <v>564</v>
      </c>
      <c r="D633" s="4" t="s">
        <v>7</v>
      </c>
      <c r="E633" t="s">
        <v>20</v>
      </c>
      <c r="F633" t="s">
        <v>1</v>
      </c>
      <c r="G633" s="5">
        <v>36951</v>
      </c>
      <c r="H633" s="130">
        <v>1000000</v>
      </c>
      <c r="I633" s="235">
        <v>0.95</v>
      </c>
      <c r="J633" s="53">
        <f t="shared" si="751"/>
        <v>4.2130000000000001</v>
      </c>
      <c r="K633" s="7">
        <f t="shared" si="752"/>
        <v>1.075</v>
      </c>
      <c r="L633" s="53">
        <f t="shared" si="753"/>
        <v>5.2880000000000003</v>
      </c>
      <c r="M633" s="157">
        <f t="shared" si="754"/>
        <v>6.8879814952706994E-2</v>
      </c>
      <c r="N633" s="4">
        <f t="shared" si="755"/>
        <v>0.53249999999999997</v>
      </c>
      <c r="O633" s="4">
        <f t="shared" si="756"/>
        <v>0.61199999999999999</v>
      </c>
      <c r="P633" s="9">
        <f t="shared" si="757"/>
        <v>0.83</v>
      </c>
      <c r="Q633" s="5">
        <f t="shared" si="708"/>
        <v>36949</v>
      </c>
      <c r="R633" s="4">
        <f t="shared" si="758"/>
        <v>0</v>
      </c>
      <c r="S633" s="158">
        <f>_xll.xSPRDOPT($L633,$J633,$I633,$M633,$O633,$N633,$P633,$Q633-$C$3,$R633,0)</f>
        <v>0.43792535757140783</v>
      </c>
      <c r="T633" s="159">
        <f>_xll.xSPRDOPT($L633,$J633,$I633,$M633,$O633,$N633,$P633,$Q633-$C$3,$R633,1)*H633</f>
        <v>-398086.13151725434</v>
      </c>
      <c r="U633" s="160">
        <f t="shared" si="759"/>
        <v>437925.3575714078</v>
      </c>
      <c r="V633" s="159">
        <f>_xll.xSPRDOPT($L633,$J633,$I633,$M633,$O633,$N633,$P633,$Q633-$C$3,$R633,2)*H633</f>
        <v>486777.55562516704</v>
      </c>
      <c r="W633" s="159">
        <f t="shared" si="760"/>
        <v>88691.424107912695</v>
      </c>
      <c r="X633" s="51" t="str">
        <f t="shared" si="761"/>
        <v>36951IF-TRANSCO/Z6</v>
      </c>
      <c r="Y633" s="418">
        <f t="shared" si="762"/>
        <v>100</v>
      </c>
      <c r="Z633" s="456">
        <f t="shared" si="763"/>
        <v>-0.39808613151725436</v>
      </c>
      <c r="AA633" s="456">
        <f>_xll.xSPRDOPT($L633,$J633,$I633,$M633,$O633,$N633,$P633,$Q633-$C$3,$R633,3)</f>
        <v>0.28821738225150678</v>
      </c>
      <c r="AB633" s="456">
        <f>((_xll.xSPRDOPT($L633+AB$5,$J633,$I633,$M633,$O633,$N633,$P633,$Q633-$C$3,$R633,3)*$H633)/10000)/100</f>
        <v>0.28821738225150678</v>
      </c>
      <c r="AC633" s="456">
        <f>((_xll.xSPRDOPT($L633+$AB$5,$J633,$I633,$M633,$O633,$N633,$P633,$Q633-$C$3,$R633,7)*$H633)/100)</f>
        <v>-10700.47043658742</v>
      </c>
      <c r="AD633" s="456">
        <f>(_xll.xSPRDOPT($L633+$AB$5,$J633,$I633,$M633,$O633,$N633,$P633,$Q633-$C$3,$R633,9)/365)*$H633</f>
        <v>-1271.1844275440958</v>
      </c>
      <c r="AE633">
        <f t="shared" si="707"/>
        <v>0</v>
      </c>
      <c r="AF633" s="456">
        <f t="shared" si="764"/>
        <v>9247.9888870459254</v>
      </c>
      <c r="AG633" s="456">
        <f>((_xll.xSPRDOPT($L633,$J633,$I633,$M633,$O633,$N633,$P633,$Q633-$C$3,$R633,6)*$H633)/100)</f>
        <v>-2320.0072113708557</v>
      </c>
      <c r="AH633" s="456">
        <f>((_xll.xSPRDOPT($L633,$J633,$I633,$M633,$O633,$N633,$P633,$Q633-$C$3,$R633,5)*$H633)/100)</f>
        <v>10065.29072288715</v>
      </c>
      <c r="AI633" s="456">
        <f>(((_xll.xSPRDOPT($L633,$J633,$I633,$M633,$O633,$N633,$P633,$Q633-$C$3,$R633,4)*$H633)/10000)/100)-AB633</f>
        <v>1.6665762201773682E-2</v>
      </c>
      <c r="AJ633" s="456"/>
      <c r="AK633" s="456"/>
      <c r="CC633" s="141">
        <f t="shared" si="765"/>
        <v>36923</v>
      </c>
      <c r="CD633" s="234">
        <f>_xll.xSPRDOPT((VLOOKUP(G632,NGPrices,2,FALSE)+HLOOKUP(D632,Prices,VLOOKUP(G632,move_down,2,FALSE),FALSE)),VLOOKUP(G632,NGPrices,2,FALSE),I632,VLOOKUP(G632,NGPREVPRICES,4,FALSE),HLOOKUP(D632,PREVVOLS,VLOOKUP(G632,MOVE_DOWN2,2,FALSE),FALSE),VLOOKUP(G632,NGPREVPRICES,3,FALSE),HLOOKUP(D632,Correllate,VLOOKUP(G632,CorMove,2,FALSE),FALSE),Q632-$CD$3,R632,$CD$5)*H632-CJ633</f>
        <v>0</v>
      </c>
      <c r="CE633" s="234">
        <f>_xll.xSPRDOPT((VLOOKUP(G632,NGPREVPRICES,2,FALSE)+HLOOKUP(D632,PREVCURVES,VLOOKUP(G632,MOVE_DOWN2,2,FALSE),FALSE)),VLOOKUP(G632,NGPREVPRICES,2,FALSE),CK633,VLOOKUP(G632,NGPrices,4,FALSE),HLOOKUP(D632,PREVVOLS,VLOOKUP(G632,MOVE_DOWN2,2,FALSE),FALSE),VLOOKUP(G632,NGPREVPRICES,3,FALSE),HLOOKUP(D632,Correllate,VLOOKUP(G632,CorMove,2,FALSE),FALSE),Q632-$CD$3,R632,$CJ$5)*H632-CJ633</f>
        <v>0</v>
      </c>
      <c r="CF633" s="10">
        <f t="shared" si="766"/>
        <v>-36.280556000332581</v>
      </c>
      <c r="CG633" s="234">
        <f>_xll.xSPRDOPT((VLOOKUP(G632,NGPREVPRICES,2,FALSE)+HLOOKUP(D632,PREVCURVES,VLOOKUP(G632,MOVE_DOWN2,2,FALSE),FALSE)),VLOOKUP(G632,NGPREVPRICES,2,FALSE),CK633,VLOOKUP(G632,NGPREVPRICES,4,FALSE),HLOOKUP(D632,VOLS,VLOOKUP(G632,move_down,2,FALSE),FALSE),VLOOKUP(G632,NGPrices,3,FALSE),HLOOKUP(D632,Correllate,VLOOKUP(G632,CorMove,2,FALSE),FALSE),Q632-$CD$3,R632,$CJ$5)*H632-CJ633</f>
        <v>0</v>
      </c>
      <c r="CH633" s="234">
        <f>_xll.xSPRDOPT((VLOOKUP(G632,NGPREVPRICES,2,FALSE)+HLOOKUP(D632,PREVCURVES,VLOOKUP(G632,MOVE_DOWN2,2,FALSE),FALSE)),VLOOKUP(G632,NGPREVPRICES,2,FALSE),CK633,VLOOKUP(G632,NGPREVPRICES,4,FALSE),HLOOKUP(D632,PREVVOLS,VLOOKUP(G632,MOVE_DOWN2,2,FALSE),FALSE),VLOOKUP(G632,NGPREVPRICES,3,FALSE),HLOOKUP(D632,Correllate,VLOOKUP(G632,CorMove,2,FALSE),FALSE),Q632-$C$3,R632,$CJ$5)*H632-CJ633</f>
        <v>-1381.549049144116</v>
      </c>
      <c r="CI633" s="234">
        <f t="shared" si="767"/>
        <v>-1417.8296051444486</v>
      </c>
      <c r="CJ633" s="234">
        <f>_xll.xSPRDOPT((VLOOKUP(G632,NGPREVPRICES,2,FALSE)+HLOOKUP(D632,PREVCURVES,VLOOKUP(G632,MOVE_DOWN2,2,FALSE),FALSE)),VLOOKUP(G632,NGPREVPRICES,2,FALSE),CK633,VLOOKUP(G632,NGPREVPRICES,4,FALSE),HLOOKUP(D632,PREVVOLS,VLOOKUP(G632,MOVE_DOWN2,2,FALSE),FALSE),VLOOKUP(G632,NGPREVPRICES,3,FALSE),HLOOKUP(D632,Correllate,VLOOKUP(G632,CorMove,2,FALSE),FALSE),Q632-$CD$3,R632,$CJ$5)*H632</f>
        <v>190761.07387737962</v>
      </c>
      <c r="CK633" s="235">
        <f t="shared" si="768"/>
        <v>0.95</v>
      </c>
      <c r="CM633" t="str">
        <f t="shared" si="769"/>
        <v>36923Curve Shift/Gamma</v>
      </c>
      <c r="CN633" t="str">
        <f t="shared" si="747"/>
        <v>36923Rho</v>
      </c>
      <c r="CO633" t="str">
        <f t="shared" si="748"/>
        <v>36923Drift</v>
      </c>
      <c r="CP633" t="str">
        <f t="shared" si="749"/>
        <v>36923Vega</v>
      </c>
      <c r="CQ633" t="str">
        <f t="shared" si="750"/>
        <v>36923Theta</v>
      </c>
    </row>
    <row r="634" spans="1:95" x14ac:dyDescent="0.25">
      <c r="A634" s="140" t="s">
        <v>320</v>
      </c>
      <c r="B634" t="s">
        <v>250</v>
      </c>
      <c r="C634" t="s">
        <v>563</v>
      </c>
      <c r="D634" s="4" t="s">
        <v>7</v>
      </c>
      <c r="E634" t="s">
        <v>20</v>
      </c>
      <c r="F634" t="s">
        <v>21</v>
      </c>
      <c r="G634" s="5">
        <v>36831</v>
      </c>
      <c r="H634" s="130">
        <v>-300000</v>
      </c>
      <c r="I634" s="235">
        <v>4</v>
      </c>
      <c r="J634" s="53">
        <f t="shared" si="751"/>
        <v>4.7359999999999998</v>
      </c>
      <c r="K634" s="7">
        <f t="shared" si="752"/>
        <v>0.77</v>
      </c>
      <c r="L634" s="53">
        <f t="shared" si="753"/>
        <v>5.5060000000000002</v>
      </c>
      <c r="M634" s="157">
        <f t="shared" si="754"/>
        <v>6.810675983792E-2</v>
      </c>
      <c r="N634" s="4">
        <f t="shared" si="755"/>
        <v>0.59499999999999997</v>
      </c>
      <c r="O634" s="4">
        <f t="shared" si="756"/>
        <v>0.625</v>
      </c>
      <c r="P634" s="9">
        <f t="shared" si="757"/>
        <v>0.89</v>
      </c>
      <c r="Q634" s="5">
        <f t="shared" si="708"/>
        <v>36829</v>
      </c>
      <c r="R634" s="4">
        <f t="shared" si="758"/>
        <v>1</v>
      </c>
      <c r="S634" s="158">
        <f>_xll.xSPRDOPT($L634,$J634,$I634,$M634,$O634,$N634,$P634,$Q634-$C$3,$R634,0)</f>
        <v>1.7902768087041265E-4</v>
      </c>
      <c r="T634" s="159">
        <f>_xll.xSPRDOPT($L634,$J634,$I634,$M634,$O634,$N634,$P634,$Q634-$C$3,$R634,1)*H634</f>
        <v>-268.76278121165052</v>
      </c>
      <c r="U634" s="160">
        <f t="shared" si="759"/>
        <v>-53.7083042611238</v>
      </c>
      <c r="V634" s="159">
        <f>_xll.xSPRDOPT($L634,$J634,$I634,$M634,$O634,$N634,$P634,$Q634-$C$3,$R634,2)*H634</f>
        <v>195.80988620782878</v>
      </c>
      <c r="W634" s="159">
        <f t="shared" si="760"/>
        <v>-72.952895003821737</v>
      </c>
      <c r="X634" s="51" t="str">
        <f t="shared" si="761"/>
        <v>36831IF-TRANSCO/Z6</v>
      </c>
      <c r="Y634" s="418">
        <f t="shared" si="762"/>
        <v>-30</v>
      </c>
      <c r="Z634" s="456">
        <f t="shared" si="763"/>
        <v>8.9587593737216835E-4</v>
      </c>
      <c r="AA634" s="456">
        <f>_xll.xSPRDOPT($L634,$J634,$I634,$M634,$O634,$N634,$P634,$Q634-$C$3,$R634,3)</f>
        <v>4.0170666445858141E-3</v>
      </c>
      <c r="AB634" s="456">
        <f>((_xll.xSPRDOPT($L634+AB$5,$J634,$I634,$M634,$O634,$N634,$P634,$Q634-$C$3,$R634,3)*$H634)/10000)/100</f>
        <v>-1.2051199933757444E-3</v>
      </c>
      <c r="AC634" s="456">
        <f>((_xll.xSPRDOPT($L634+$AB$5,$J634,$I634,$M634,$O634,$N634,$P634,$Q634-$C$3,$R634,7)*$H634)/100)</f>
        <v>14.853111263638896</v>
      </c>
      <c r="AD634" s="456">
        <f>(_xll.xSPRDOPT($L634+$AB$5,$J634,$I634,$M634,$O634,$N634,$P634,$Q634-$C$3,$R634,9)/365)*$H634</f>
        <v>5.5831403280986214</v>
      </c>
      <c r="AE634">
        <f t="shared" si="707"/>
        <v>0</v>
      </c>
      <c r="AF634" s="456">
        <f t="shared" si="764"/>
        <v>-11.648359900974317</v>
      </c>
      <c r="AG634" s="456">
        <f>((_xll.xSPRDOPT($L634,$J634,$I634,$M634,$O634,$N634,$P634,$Q634-$C$3,$R634,6)*$H634)/100)</f>
        <v>6.8413081120982255</v>
      </c>
      <c r="AH634" s="456">
        <f>((_xll.xSPRDOPT($L634,$J634,$I634,$M634,$O634,$N634,$P634,$Q634-$C$3,$R634,5)*$H634)/100)</f>
        <v>-17.60216394844506</v>
      </c>
      <c r="AI634" s="456">
        <f>(((_xll.xSPRDOPT($L634,$J634,$I634,$M634,$O634,$N634,$P634,$Q634-$C$3,$R634,4)*$H634)/10000)/100)-AB634</f>
        <v>5.2614910481248265E-4</v>
      </c>
      <c r="AJ634" s="456"/>
      <c r="AK634" s="456"/>
      <c r="CC634" s="141">
        <f t="shared" si="765"/>
        <v>36951</v>
      </c>
      <c r="CD634" s="234">
        <f>_xll.xSPRDOPT((VLOOKUP(G633,NGPrices,2,FALSE)+HLOOKUP(D633,Prices,VLOOKUP(G633,move_down,2,FALSE),FALSE)),VLOOKUP(G633,NGPrices,2,FALSE),I633,VLOOKUP(G633,NGPREVPRICES,4,FALSE),HLOOKUP(D633,PREVVOLS,VLOOKUP(G633,MOVE_DOWN2,2,FALSE),FALSE),VLOOKUP(G633,NGPREVPRICES,3,FALSE),HLOOKUP(D633,Correllate,VLOOKUP(G633,CorMove,2,FALSE),FALSE),Q633-$CD$3,R633,$CD$5)*H633-CJ634</f>
        <v>0</v>
      </c>
      <c r="CE634" s="234">
        <f>_xll.xSPRDOPT((VLOOKUP(G633,NGPREVPRICES,2,FALSE)+HLOOKUP(D633,PREVCURVES,VLOOKUP(G633,MOVE_DOWN2,2,FALSE),FALSE)),VLOOKUP(G633,NGPREVPRICES,2,FALSE),CK634,VLOOKUP(G633,NGPrices,4,FALSE),HLOOKUP(D633,PREVVOLS,VLOOKUP(G633,MOVE_DOWN2,2,FALSE),FALSE),VLOOKUP(G633,NGPREVPRICES,3,FALSE),HLOOKUP(D633,Correllate,VLOOKUP(G633,CorMove,2,FALSE),FALSE),Q633-$CD$3,R633,$CJ$5)*H633-CJ634</f>
        <v>0</v>
      </c>
      <c r="CF634" s="10">
        <f t="shared" si="766"/>
        <v>-84.230764286825433</v>
      </c>
      <c r="CG634" s="234">
        <f>_xll.xSPRDOPT((VLOOKUP(G633,NGPREVPRICES,2,FALSE)+HLOOKUP(D633,PREVCURVES,VLOOKUP(G633,MOVE_DOWN2,2,FALSE),FALSE)),VLOOKUP(G633,NGPREVPRICES,2,FALSE),CK634,VLOOKUP(G633,NGPREVPRICES,4,FALSE),HLOOKUP(D633,VOLS,VLOOKUP(G633,move_down,2,FALSE),FALSE),VLOOKUP(G633,NGPrices,3,FALSE),HLOOKUP(D633,Correllate,VLOOKUP(G633,CorMove,2,FALSE),FALSE),Q633-$CD$3,R633,$CJ$5)*H633-CJ634</f>
        <v>0</v>
      </c>
      <c r="CH634" s="234">
        <f>_xll.xSPRDOPT((VLOOKUP(G633,NGPREVPRICES,2,FALSE)+HLOOKUP(D633,PREVCURVES,VLOOKUP(G633,MOVE_DOWN2,2,FALSE),FALSE)),VLOOKUP(G633,NGPREVPRICES,2,FALSE),CK634,VLOOKUP(G633,NGPREVPRICES,4,FALSE),HLOOKUP(D633,PREVVOLS,VLOOKUP(G633,MOVE_DOWN2,2,FALSE),FALSE),VLOOKUP(G633,NGPREVPRICES,3,FALSE),HLOOKUP(D633,Correllate,VLOOKUP(G633,CorMove,2,FALSE),FALSE),Q633-$C$3,R633,$CJ$5)*H633-CJ634</f>
        <v>-1268.2172705553821</v>
      </c>
      <c r="CI634" s="234">
        <f t="shared" si="767"/>
        <v>-1352.4480348422076</v>
      </c>
      <c r="CJ634" s="234">
        <f>_xll.xSPRDOPT((VLOOKUP(G633,NGPREVPRICES,2,FALSE)+HLOOKUP(D633,PREVCURVES,VLOOKUP(G633,MOVE_DOWN2,2,FALSE),FALSE)),VLOOKUP(G633,NGPREVPRICES,2,FALSE),CK634,VLOOKUP(G633,NGPREVPRICES,4,FALSE),HLOOKUP(D633,PREVVOLS,VLOOKUP(G633,MOVE_DOWN2,2,FALSE),FALSE),VLOOKUP(G633,NGPREVPRICES,3,FALSE),HLOOKUP(D633,Correllate,VLOOKUP(G633,CorMove,2,FALSE),FALSE),Q633-$CD$3,R633,$CJ$5)*H633</f>
        <v>439193.57484196319</v>
      </c>
      <c r="CK634" s="235">
        <f t="shared" si="768"/>
        <v>0.95</v>
      </c>
      <c r="CM634" t="str">
        <f t="shared" si="769"/>
        <v>36951Curve Shift/Gamma</v>
      </c>
      <c r="CN634" t="str">
        <f t="shared" si="747"/>
        <v>36951Rho</v>
      </c>
      <c r="CO634" t="str">
        <f t="shared" si="748"/>
        <v>36951Drift</v>
      </c>
      <c r="CP634" t="str">
        <f t="shared" si="749"/>
        <v>36951Vega</v>
      </c>
      <c r="CQ634" t="str">
        <f t="shared" si="750"/>
        <v>36951Theta</v>
      </c>
    </row>
    <row r="635" spans="1:95" x14ac:dyDescent="0.25">
      <c r="A635" s="140" t="s">
        <v>320</v>
      </c>
      <c r="B635" t="s">
        <v>250</v>
      </c>
      <c r="C635" t="s">
        <v>563</v>
      </c>
      <c r="D635" s="4" t="s">
        <v>7</v>
      </c>
      <c r="E635" t="s">
        <v>20</v>
      </c>
      <c r="F635" t="s">
        <v>21</v>
      </c>
      <c r="G635" s="5">
        <v>36861</v>
      </c>
      <c r="H635" s="130">
        <v>-310000</v>
      </c>
      <c r="I635" s="235">
        <v>4</v>
      </c>
      <c r="J635" s="53">
        <f t="shared" si="751"/>
        <v>4.8</v>
      </c>
      <c r="K635" s="7">
        <f t="shared" si="752"/>
        <v>1.645</v>
      </c>
      <c r="L635" s="53">
        <f t="shared" si="753"/>
        <v>6.4450000000000003</v>
      </c>
      <c r="M635" s="157">
        <f t="shared" si="754"/>
        <v>6.8314027999354002E-2</v>
      </c>
      <c r="N635" s="4">
        <f t="shared" si="755"/>
        <v>0.6</v>
      </c>
      <c r="O635" s="4">
        <f t="shared" si="756"/>
        <v>0.69</v>
      </c>
      <c r="P635" s="9">
        <f t="shared" si="757"/>
        <v>0.83</v>
      </c>
      <c r="Q635" s="5">
        <f t="shared" si="708"/>
        <v>36859</v>
      </c>
      <c r="R635" s="4">
        <f t="shared" si="758"/>
        <v>1</v>
      </c>
      <c r="S635" s="158">
        <f>_xll.xSPRDOPT($L635,$J635,$I635,$M635,$O635,$N635,$P635,$Q635-$C$3,$R635,0)</f>
        <v>6.2967165719961346E-2</v>
      </c>
      <c r="T635" s="159">
        <f>_xll.xSPRDOPT($L635,$J635,$I635,$M635,$O635,$N635,$P635,$Q635-$C$3,$R635,1)*H635</f>
        <v>-31641.322808357334</v>
      </c>
      <c r="U635" s="160">
        <f t="shared" si="759"/>
        <v>-19519.821373188017</v>
      </c>
      <c r="V635" s="159">
        <f>_xll.xSPRDOPT($L635,$J635,$I635,$M635,$O635,$N635,$P635,$Q635-$C$3,$R635,2)*H635</f>
        <v>23588.401573022729</v>
      </c>
      <c r="W635" s="159">
        <f t="shared" si="760"/>
        <v>-8052.9212353346047</v>
      </c>
      <c r="X635" s="51" t="str">
        <f t="shared" si="761"/>
        <v>36861IF-TRANSCO/Z6</v>
      </c>
      <c r="Y635" s="418">
        <f t="shared" si="762"/>
        <v>-31</v>
      </c>
      <c r="Z635" s="456">
        <f t="shared" si="763"/>
        <v>0.1020687832527656</v>
      </c>
      <c r="AA635" s="456">
        <f>_xll.xSPRDOPT($L635,$J635,$I635,$M635,$O635,$N635,$P635,$Q635-$C$3,$R635,3)</f>
        <v>0.12458806124687334</v>
      </c>
      <c r="AB635" s="456">
        <f>((_xll.xSPRDOPT($L635+AB$5,$J635,$I635,$M635,$O635,$N635,$P635,$Q635-$C$3,$R635,3)*$H635)/10000)/100</f>
        <v>-3.8622298986530738E-2</v>
      </c>
      <c r="AC635" s="456">
        <f>((_xll.xSPRDOPT($L635+$AB$5,$J635,$I635,$M635,$O635,$N635,$P635,$Q635-$C$3,$R635,7)*$H635)/100)</f>
        <v>1005.5050713404057</v>
      </c>
      <c r="AD635" s="456">
        <f>(_xll.xSPRDOPT($L635+$AB$5,$J635,$I635,$M635,$O635,$N635,$P635,$Q635-$C$3,$R635,9)/365)*$H635</f>
        <v>423.49269784346836</v>
      </c>
      <c r="AE635">
        <f t="shared" si="707"/>
        <v>0</v>
      </c>
      <c r="AF635" s="456">
        <f t="shared" si="764"/>
        <v>-1309.0180019775976</v>
      </c>
      <c r="AG635" s="456">
        <f>((_xll.xSPRDOPT($L635,$J635,$I635,$M635,$O635,$N635,$P635,$Q635-$C$3,$R635,6)*$H635)/100)</f>
        <v>506.51403058823598</v>
      </c>
      <c r="AH635" s="456">
        <f>((_xll.xSPRDOPT($L635,$J635,$I635,$M635,$O635,$N635,$P635,$Q635-$C$3,$R635,5)*$H635)/100)</f>
        <v>-1578.7235065789857</v>
      </c>
      <c r="AI635" s="456">
        <f>(((_xll.xSPRDOPT($L635,$J635,$I635,$M635,$O635,$N635,$P635,$Q635-$C$3,$R635,4)*$H635)/10000)/100)-AB635</f>
        <v>1.3222326563260885E-2</v>
      </c>
      <c r="AJ635" s="456"/>
      <c r="AK635" s="456"/>
      <c r="CC635" s="141">
        <f t="shared" si="765"/>
        <v>36831</v>
      </c>
      <c r="CD635" s="234">
        <f>_xll.xSPRDOPT((VLOOKUP(G634,NGPrices,2,FALSE)+HLOOKUP(D634,Prices,VLOOKUP(G634,move_down,2,FALSE),FALSE)),VLOOKUP(G634,NGPrices,2,FALSE),I634,VLOOKUP(G634,NGPREVPRICES,4,FALSE),HLOOKUP(D634,PREVVOLS,VLOOKUP(G634,MOVE_DOWN2,2,FALSE),FALSE),VLOOKUP(G634,NGPREVPRICES,3,FALSE),HLOOKUP(D634,Correllate,VLOOKUP(G634,CorMove,2,FALSE),FALSE),Q634-$CD$3,R634,$CD$5)*H634-CJ635</f>
        <v>0</v>
      </c>
      <c r="CE635" s="234">
        <f>_xll.xSPRDOPT((VLOOKUP(G634,NGPREVPRICES,2,FALSE)+HLOOKUP(D634,PREVCURVES,VLOOKUP(G634,MOVE_DOWN2,2,FALSE),FALSE)),VLOOKUP(G634,NGPREVPRICES,2,FALSE),CK635,VLOOKUP(G634,NGPrices,4,FALSE),HLOOKUP(D634,PREVVOLS,VLOOKUP(G634,MOVE_DOWN2,2,FALSE),FALSE),VLOOKUP(G634,NGPREVPRICES,3,FALSE),HLOOKUP(D634,Correllate,VLOOKUP(G634,CorMove,2,FALSE),FALSE),Q634-$CD$3,R634,$CJ$5)*H634-CJ635</f>
        <v>0</v>
      </c>
      <c r="CF635" s="10">
        <f t="shared" si="766"/>
        <v>1.104947679288415E-2</v>
      </c>
      <c r="CG635" s="234">
        <f>_xll.xSPRDOPT((VLOOKUP(G634,NGPREVPRICES,2,FALSE)+HLOOKUP(D634,PREVCURVES,VLOOKUP(G634,MOVE_DOWN2,2,FALSE),FALSE)),VLOOKUP(G634,NGPREVPRICES,2,FALSE),CK635,VLOOKUP(G634,NGPREVPRICES,4,FALSE),HLOOKUP(D634,VOLS,VLOOKUP(G634,move_down,2,FALSE),FALSE),VLOOKUP(G634,NGPrices,3,FALSE),HLOOKUP(D634,Correllate,VLOOKUP(G634,CorMove,2,FALSE),FALSE),Q634-$CD$3,R634,$CJ$5)*H634-CJ635</f>
        <v>0</v>
      </c>
      <c r="CH635" s="234">
        <f>_xll.xSPRDOPT((VLOOKUP(G634,NGPREVPRICES,2,FALSE)+HLOOKUP(D634,PREVCURVES,VLOOKUP(G634,MOVE_DOWN2,2,FALSE),FALSE)),VLOOKUP(G634,NGPREVPRICES,2,FALSE),CK635,VLOOKUP(G634,NGPREVPRICES,4,FALSE),HLOOKUP(D634,PREVVOLS,VLOOKUP(G634,MOVE_DOWN2,2,FALSE),FALSE),VLOOKUP(G634,NGPREVPRICES,3,FALSE),HLOOKUP(D634,Correllate,VLOOKUP(G634,CorMove,2,FALSE),FALSE),Q634-$C$3,R634,$CJ$5)*H634-CJ635</f>
        <v>5.7900446860110861</v>
      </c>
      <c r="CI635" s="234">
        <f t="shared" si="767"/>
        <v>5.8010941628039703</v>
      </c>
      <c r="CJ635" s="234">
        <f>_xll.xSPRDOPT((VLOOKUP(G634,NGPREVPRICES,2,FALSE)+HLOOKUP(D634,PREVCURVES,VLOOKUP(G634,MOVE_DOWN2,2,FALSE),FALSE)),VLOOKUP(G634,NGPREVPRICES,2,FALSE),CK635,VLOOKUP(G634,NGPREVPRICES,4,FALSE),HLOOKUP(D634,PREVVOLS,VLOOKUP(G634,MOVE_DOWN2,2,FALSE),FALSE),VLOOKUP(G634,NGPREVPRICES,3,FALSE),HLOOKUP(D634,Correllate,VLOOKUP(G634,CorMove,2,FALSE),FALSE),Q634-$CD$3,R634,$CJ$5)*H634</f>
        <v>-59.498348947134886</v>
      </c>
      <c r="CK635" s="235">
        <f t="shared" si="768"/>
        <v>4</v>
      </c>
      <c r="CM635" t="str">
        <f t="shared" si="769"/>
        <v>36831Curve Shift/Gamma</v>
      </c>
      <c r="CN635" t="str">
        <f t="shared" si="747"/>
        <v>36831Rho</v>
      </c>
      <c r="CO635" t="str">
        <f t="shared" si="748"/>
        <v>36831Drift</v>
      </c>
      <c r="CP635" t="str">
        <f t="shared" si="749"/>
        <v>36831Vega</v>
      </c>
      <c r="CQ635" t="str">
        <f t="shared" si="750"/>
        <v>36831Theta</v>
      </c>
    </row>
    <row r="636" spans="1:95" x14ac:dyDescent="0.25">
      <c r="A636" s="140" t="s">
        <v>320</v>
      </c>
      <c r="B636" t="s">
        <v>250</v>
      </c>
      <c r="C636" t="s">
        <v>563</v>
      </c>
      <c r="D636" s="4" t="s">
        <v>7</v>
      </c>
      <c r="E636" t="s">
        <v>20</v>
      </c>
      <c r="F636" t="s">
        <v>21</v>
      </c>
      <c r="G636" s="5">
        <v>36892</v>
      </c>
      <c r="H636" s="130">
        <v>-310000</v>
      </c>
      <c r="I636" s="235">
        <v>4</v>
      </c>
      <c r="J636" s="53">
        <f t="shared" si="751"/>
        <v>4.7439999999999998</v>
      </c>
      <c r="K636" s="7">
        <f t="shared" si="752"/>
        <v>2.17</v>
      </c>
      <c r="L636" s="53">
        <f t="shared" si="753"/>
        <v>6.9139999999999997</v>
      </c>
      <c r="M636" s="157">
        <f t="shared" si="754"/>
        <v>6.8374831148490994E-2</v>
      </c>
      <c r="N636" s="4">
        <f t="shared" si="755"/>
        <v>0.60499999999999998</v>
      </c>
      <c r="O636" s="4">
        <f t="shared" si="756"/>
        <v>0.69599999999999995</v>
      </c>
      <c r="P636" s="9">
        <f t="shared" si="757"/>
        <v>0.83</v>
      </c>
      <c r="Q636" s="5">
        <f t="shared" si="708"/>
        <v>36888</v>
      </c>
      <c r="R636" s="4">
        <f t="shared" si="758"/>
        <v>1</v>
      </c>
      <c r="S636" s="158">
        <f>_xll.xSPRDOPT($L636,$J636,$I636,$M636,$O636,$N636,$P636,$Q636-$C$3,$R636,0)</f>
        <v>0.20011300314407027</v>
      </c>
      <c r="T636" s="159">
        <f>_xll.xSPRDOPT($L636,$J636,$I636,$M636,$O636,$N636,$P636,$Q636-$C$3,$R636,1)*H636</f>
        <v>-68539.777285164615</v>
      </c>
      <c r="U636" s="160">
        <f t="shared" si="759"/>
        <v>-62035.030974661786</v>
      </c>
      <c r="V636" s="159">
        <f>_xll.xSPRDOPT($L636,$J636,$I636,$M636,$O636,$N636,$P636,$Q636-$C$3,$R636,2)*H636</f>
        <v>52753.607636590677</v>
      </c>
      <c r="W636" s="159">
        <f t="shared" si="760"/>
        <v>-15786.169648573938</v>
      </c>
      <c r="X636" s="51" t="str">
        <f t="shared" si="761"/>
        <v>36892IF-TRANSCO/Z6</v>
      </c>
      <c r="Y636" s="418">
        <f t="shared" si="762"/>
        <v>-31</v>
      </c>
      <c r="Z636" s="456">
        <f t="shared" si="763"/>
        <v>0.22109605575859553</v>
      </c>
      <c r="AA636" s="456">
        <f>_xll.xSPRDOPT($L636,$J636,$I636,$M636,$O636,$N636,$P636,$Q636-$C$3,$R636,3)</f>
        <v>0.16511251742226471</v>
      </c>
      <c r="AB636" s="456">
        <f>((_xll.xSPRDOPT($L636+AB$5,$J636,$I636,$M636,$O636,$N636,$P636,$Q636-$C$3,$R636,3)*$H636)/10000)/100</f>
        <v>-5.1184880400902057E-2</v>
      </c>
      <c r="AC636" s="456">
        <f>((_xll.xSPRDOPT($L636+$AB$5,$J636,$I636,$M636,$O636,$N636,$P636,$Q636-$C$3,$R636,7)*$H636)/100)</f>
        <v>2011.215831570931</v>
      </c>
      <c r="AD636" s="456">
        <f>(_xll.xSPRDOPT($L636+$AB$5,$J636,$I636,$M636,$O636,$N636,$P636,$Q636-$C$3,$R636,9)/365)*$H636</f>
        <v>663.39386679199799</v>
      </c>
      <c r="AE636">
        <f t="shared" si="707"/>
        <v>0</v>
      </c>
      <c r="AF636" s="456">
        <f t="shared" si="764"/>
        <v>-2698.2110431979054</v>
      </c>
      <c r="AG636" s="456">
        <f>((_xll.xSPRDOPT($L636,$J636,$I636,$M636,$O636,$N636,$P636,$Q636-$C$3,$R636,6)*$H636)/100)</f>
        <v>1032.8098418255829</v>
      </c>
      <c r="AH636" s="456">
        <f>((_xll.xSPRDOPT($L636,$J636,$I636,$M636,$O636,$N636,$P636,$Q636-$C$3,$R636,5)*$H636)/100)</f>
        <v>-3243.2006256310501</v>
      </c>
      <c r="AI636" s="456">
        <f>(((_xll.xSPRDOPT($L636,$J636,$I636,$M636,$O636,$N636,$P636,$Q636-$C$3,$R636,4)*$H636)/10000)/100)-AB636</f>
        <v>1.2911527606945951E-2</v>
      </c>
      <c r="AJ636" s="456"/>
      <c r="CC636" s="141">
        <f t="shared" si="765"/>
        <v>36861</v>
      </c>
      <c r="CD636" s="234">
        <f>_xll.xSPRDOPT((VLOOKUP(G635,NGPrices,2,FALSE)+HLOOKUP(D635,Prices,VLOOKUP(G635,move_down,2,FALSE),FALSE)),VLOOKUP(G635,NGPrices,2,FALSE),I635,VLOOKUP(G635,NGPREVPRICES,4,FALSE),HLOOKUP(D635,PREVVOLS,VLOOKUP(G635,MOVE_DOWN2,2,FALSE),FALSE),VLOOKUP(G635,NGPREVPRICES,3,FALSE),HLOOKUP(D635,Correllate,VLOOKUP(G635,CorMove,2,FALSE),FALSE),Q635-$CD$3,R635,$CD$5)*H635-CJ636</f>
        <v>0</v>
      </c>
      <c r="CE636" s="234">
        <f>_xll.xSPRDOPT((VLOOKUP(G635,NGPREVPRICES,2,FALSE)+HLOOKUP(D635,PREVCURVES,VLOOKUP(G635,MOVE_DOWN2,2,FALSE),FALSE)),VLOOKUP(G635,NGPREVPRICES,2,FALSE),CK636,VLOOKUP(G635,NGPrices,4,FALSE),HLOOKUP(D635,PREVVOLS,VLOOKUP(G635,MOVE_DOWN2,2,FALSE),FALSE),VLOOKUP(G635,NGPREVPRICES,3,FALSE),HLOOKUP(D635,Correllate,VLOOKUP(G635,CorMove,2,FALSE),FALSE),Q635-$CD$3,R635,$CJ$5)*H635-CJ636</f>
        <v>0</v>
      </c>
      <c r="CF636" s="10">
        <f t="shared" si="766"/>
        <v>3.7362643157903221</v>
      </c>
      <c r="CG636" s="234">
        <f>_xll.xSPRDOPT((VLOOKUP(G635,NGPREVPRICES,2,FALSE)+HLOOKUP(D635,PREVCURVES,VLOOKUP(G635,MOVE_DOWN2,2,FALSE),FALSE)),VLOOKUP(G635,NGPREVPRICES,2,FALSE),CK636,VLOOKUP(G635,NGPREVPRICES,4,FALSE),HLOOKUP(D635,VOLS,VLOOKUP(G635,move_down,2,FALSE),FALSE),VLOOKUP(G635,NGPrices,3,FALSE),HLOOKUP(D635,Correllate,VLOOKUP(G635,CorMove,2,FALSE),FALSE),Q635-$CD$3,R635,$CJ$5)*H635-CJ636</f>
        <v>0</v>
      </c>
      <c r="CH636" s="234">
        <f>_xll.xSPRDOPT((VLOOKUP(G635,NGPREVPRICES,2,FALSE)+HLOOKUP(D635,PREVCURVES,VLOOKUP(G635,MOVE_DOWN2,2,FALSE),FALSE)),VLOOKUP(G635,NGPREVPRICES,2,FALSE),CK636,VLOOKUP(G635,NGPREVPRICES,4,FALSE),HLOOKUP(D635,PREVVOLS,VLOOKUP(G635,MOVE_DOWN2,2,FALSE),FALSE),VLOOKUP(G635,NGPREVPRICES,3,FALSE),HLOOKUP(D635,Correllate,VLOOKUP(G635,CorMove,2,FALSE),FALSE),Q635-$C$3,R635,$CJ$5)*H635-CJ636</f>
        <v>424.16014171654751</v>
      </c>
      <c r="CI636" s="234">
        <f t="shared" si="767"/>
        <v>427.89640603233784</v>
      </c>
      <c r="CJ636" s="234">
        <f>_xll.xSPRDOPT((VLOOKUP(G635,NGPREVPRICES,2,FALSE)+HLOOKUP(D635,PREVCURVES,VLOOKUP(G635,MOVE_DOWN2,2,FALSE),FALSE)),VLOOKUP(G635,NGPREVPRICES,2,FALSE),CK636,VLOOKUP(G635,NGPREVPRICES,4,FALSE),HLOOKUP(D635,PREVVOLS,VLOOKUP(G635,MOVE_DOWN2,2,FALSE),FALSE),VLOOKUP(G635,NGPREVPRICES,3,FALSE),HLOOKUP(D635,Correllate,VLOOKUP(G635,CorMove,2,FALSE),FALSE),Q635-$CD$3,R635,$CJ$5)*H635</f>
        <v>-19943.981514904564</v>
      </c>
      <c r="CK636" s="235">
        <f t="shared" si="768"/>
        <v>4</v>
      </c>
      <c r="CM636" t="str">
        <f t="shared" si="769"/>
        <v>36861Curve Shift/Gamma</v>
      </c>
      <c r="CN636" t="str">
        <f t="shared" si="747"/>
        <v>36861Rho</v>
      </c>
      <c r="CO636" t="str">
        <f t="shared" si="748"/>
        <v>36861Drift</v>
      </c>
      <c r="CP636" t="str">
        <f t="shared" si="749"/>
        <v>36861Vega</v>
      </c>
      <c r="CQ636" t="str">
        <f t="shared" si="750"/>
        <v>36861Theta</v>
      </c>
    </row>
    <row r="637" spans="1:95" x14ac:dyDescent="0.25">
      <c r="A637" s="140" t="s">
        <v>320</v>
      </c>
      <c r="B637" t="s">
        <v>250</v>
      </c>
      <c r="C637" t="s">
        <v>563</v>
      </c>
      <c r="D637" s="4" t="s">
        <v>7</v>
      </c>
      <c r="E637" t="s">
        <v>20</v>
      </c>
      <c r="F637" t="s">
        <v>21</v>
      </c>
      <c r="G637" s="5">
        <v>36923</v>
      </c>
      <c r="H637" s="130">
        <v>-280000</v>
      </c>
      <c r="I637" s="235">
        <v>4</v>
      </c>
      <c r="J637" s="53">
        <f t="shared" si="751"/>
        <v>4.4800000000000004</v>
      </c>
      <c r="K637" s="7">
        <f t="shared" si="752"/>
        <v>2.09</v>
      </c>
      <c r="L637" s="53">
        <f t="shared" si="753"/>
        <v>6.57</v>
      </c>
      <c r="M637" s="157">
        <f t="shared" si="754"/>
        <v>6.8640161611372E-2</v>
      </c>
      <c r="N637" s="4">
        <f t="shared" si="755"/>
        <v>0.59250000000000003</v>
      </c>
      <c r="O637" s="4">
        <f t="shared" si="756"/>
        <v>0.68100000000000005</v>
      </c>
      <c r="P637" s="9">
        <f t="shared" si="757"/>
        <v>0.83</v>
      </c>
      <c r="Q637" s="5">
        <f t="shared" si="708"/>
        <v>36921</v>
      </c>
      <c r="R637" s="4">
        <f t="shared" si="758"/>
        <v>1</v>
      </c>
      <c r="S637" s="158">
        <f>_xll.xSPRDOPT($L637,$J637,$I637,$M637,$O637,$N637,$P637,$Q637-$C$3,$R637,0)</f>
        <v>0.22037545726377106</v>
      </c>
      <c r="T637" s="159">
        <f>_xll.xSPRDOPT($L637,$J637,$I637,$M637,$O637,$N637,$P637,$Q637-$C$3,$R637,1)*H637</f>
        <v>-64638.661507195706</v>
      </c>
      <c r="U637" s="160">
        <f t="shared" si="759"/>
        <v>-61705.128033855894</v>
      </c>
      <c r="V637" s="159">
        <f>_xll.xSPRDOPT($L637,$J637,$I637,$M637,$O637,$N637,$P637,$Q637-$C$3,$R637,2)*H637</f>
        <v>48729.870963864741</v>
      </c>
      <c r="W637" s="159">
        <f t="shared" si="760"/>
        <v>-15908.790543330964</v>
      </c>
      <c r="X637" s="51" t="str">
        <f t="shared" si="761"/>
        <v>36923IF-TRANSCO/Z6</v>
      </c>
      <c r="Y637" s="418">
        <f t="shared" si="762"/>
        <v>-28</v>
      </c>
      <c r="Z637" s="456">
        <f t="shared" si="763"/>
        <v>0.23085236252569896</v>
      </c>
      <c r="AA637" s="456">
        <f>_xll.xSPRDOPT($L637,$J637,$I637,$M637,$O637,$N637,$P637,$Q637-$C$3,$R637,3)</f>
        <v>0.15989968143051894</v>
      </c>
      <c r="AB637" s="456">
        <f>((_xll.xSPRDOPT($L637+AB$5,$J637,$I637,$M637,$O637,$N637,$P637,$Q637-$C$3,$R637,3)*$H637)/10000)/100</f>
        <v>-4.4771910800545302E-2</v>
      </c>
      <c r="AC637" s="456">
        <f>((_xll.xSPRDOPT($L637+$AB$5,$J637,$I637,$M637,$O637,$N637,$P637,$Q637-$C$3,$R637,7)*$H637)/100)</f>
        <v>1909.8072540370047</v>
      </c>
      <c r="AD637" s="456">
        <f>(_xll.xSPRDOPT($L637+$AB$5,$J637,$I637,$M637,$O637,$N637,$P637,$Q637-$C$3,$R637,9)/365)*$H637</f>
        <v>505.13364642894368</v>
      </c>
      <c r="AE637">
        <f t="shared" si="707"/>
        <v>0</v>
      </c>
      <c r="AF637" s="456">
        <f t="shared" si="764"/>
        <v>-2684.324905220491</v>
      </c>
      <c r="AG637" s="456">
        <f>((_xll.xSPRDOPT($L637,$J637,$I637,$M637,$O637,$N637,$P637,$Q637-$C$3,$R637,6)*$H637)/100)</f>
        <v>1018.1604622851316</v>
      </c>
      <c r="AH637" s="456">
        <f>((_xll.xSPRDOPT($L637,$J637,$I637,$M637,$O637,$N637,$P637,$Q637-$C$3,$R637,5)*$H637)/100)</f>
        <v>-3221.3253748121601</v>
      </c>
      <c r="AI637" s="456">
        <f>(((_xll.xSPRDOPT($L637,$J637,$I637,$M637,$O637,$N637,$P637,$Q637-$C$3,$R637,4)*$H637)/10000)/100)-AB637</f>
        <v>1.1720121954878412E-2</v>
      </c>
      <c r="AJ637" s="456"/>
      <c r="CC637" s="141">
        <f t="shared" si="765"/>
        <v>36892</v>
      </c>
      <c r="CD637" s="234">
        <f>_xll.xSPRDOPT((VLOOKUP(G636,NGPrices,2,FALSE)+HLOOKUP(D636,Prices,VLOOKUP(G636,move_down,2,FALSE),FALSE)),VLOOKUP(G636,NGPrices,2,FALSE),I636,VLOOKUP(G636,NGPREVPRICES,4,FALSE),HLOOKUP(D636,PREVVOLS,VLOOKUP(G636,MOVE_DOWN2,2,FALSE),FALSE),VLOOKUP(G636,NGPREVPRICES,3,FALSE),HLOOKUP(D636,Correllate,VLOOKUP(G636,CorMove,2,FALSE),FALSE),Q636-$CD$3,R636,$CD$5)*H636-CJ637</f>
        <v>0</v>
      </c>
      <c r="CE637" s="234">
        <f>_xll.xSPRDOPT((VLOOKUP(G636,NGPREVPRICES,2,FALSE)+HLOOKUP(D636,PREVCURVES,VLOOKUP(G636,MOVE_DOWN2,2,FALSE),FALSE)),VLOOKUP(G636,NGPREVPRICES,2,FALSE),CK637,VLOOKUP(G636,NGPrices,4,FALSE),HLOOKUP(D636,PREVVOLS,VLOOKUP(G636,MOVE_DOWN2,2,FALSE),FALSE),VLOOKUP(G636,NGPREVPRICES,3,FALSE),HLOOKUP(D636,Correllate,VLOOKUP(G636,CorMove,2,FALSE),FALSE),Q636-$CD$3,R636,$CJ$5)*H636-CJ637</f>
        <v>0</v>
      </c>
      <c r="CF637" s="10">
        <f t="shared" si="766"/>
        <v>11.81479827532894</v>
      </c>
      <c r="CG637" s="234">
        <f>_xll.xSPRDOPT((VLOOKUP(G636,NGPREVPRICES,2,FALSE)+HLOOKUP(D636,PREVCURVES,VLOOKUP(G636,MOVE_DOWN2,2,FALSE),FALSE)),VLOOKUP(G636,NGPREVPRICES,2,FALSE),CK637,VLOOKUP(G636,NGPREVPRICES,4,FALSE),HLOOKUP(D636,VOLS,VLOOKUP(G636,move_down,2,FALSE),FALSE),VLOOKUP(G636,NGPrices,3,FALSE),HLOOKUP(D636,Correllate,VLOOKUP(G636,CorMove,2,FALSE),FALSE),Q636-$CD$3,R636,$CJ$5)*H636-CJ637</f>
        <v>0</v>
      </c>
      <c r="CH637" s="234">
        <f>_xll.xSPRDOPT((VLOOKUP(G636,NGPREVPRICES,2,FALSE)+HLOOKUP(D636,PREVCURVES,VLOOKUP(G636,MOVE_DOWN2,2,FALSE),FALSE)),VLOOKUP(G636,NGPREVPRICES,2,FALSE),CK637,VLOOKUP(G636,NGPREVPRICES,4,FALSE),HLOOKUP(D636,PREVVOLS,VLOOKUP(G636,MOVE_DOWN2,2,FALSE),FALSE),VLOOKUP(G636,NGPREVPRICES,3,FALSE),HLOOKUP(D636,Correllate,VLOOKUP(G636,CorMove,2,FALSE),FALSE),Q636-$C$3,R636,$CJ$5)*H636-CJ637</f>
        <v>662.51351971254917</v>
      </c>
      <c r="CI637" s="234">
        <f t="shared" si="767"/>
        <v>674.32831798787811</v>
      </c>
      <c r="CJ637" s="234">
        <f>_xll.xSPRDOPT((VLOOKUP(G636,NGPREVPRICES,2,FALSE)+HLOOKUP(D636,PREVCURVES,VLOOKUP(G636,MOVE_DOWN2,2,FALSE),FALSE)),VLOOKUP(G636,NGPREVPRICES,2,FALSE),CK637,VLOOKUP(G636,NGPREVPRICES,4,FALSE),HLOOKUP(D636,PREVVOLS,VLOOKUP(G636,MOVE_DOWN2,2,FALSE),FALSE),VLOOKUP(G636,NGPREVPRICES,3,FALSE),HLOOKUP(D636,Correllate,VLOOKUP(G636,CorMove,2,FALSE),FALSE),Q636-$CD$3,R636,$CJ$5)*H636</f>
        <v>-62697.544494374335</v>
      </c>
      <c r="CK637" s="235">
        <f t="shared" si="768"/>
        <v>4</v>
      </c>
      <c r="CM637" t="str">
        <f t="shared" si="769"/>
        <v>36892Curve Shift/Gamma</v>
      </c>
      <c r="CN637" t="str">
        <f t="shared" si="747"/>
        <v>36892Rho</v>
      </c>
      <c r="CO637" t="str">
        <f t="shared" si="748"/>
        <v>36892Drift</v>
      </c>
      <c r="CP637" t="str">
        <f t="shared" si="749"/>
        <v>36892Vega</v>
      </c>
      <c r="CQ637" t="str">
        <f t="shared" si="750"/>
        <v>36892Theta</v>
      </c>
    </row>
    <row r="638" spans="1:95" x14ac:dyDescent="0.25">
      <c r="A638" s="140" t="s">
        <v>320</v>
      </c>
      <c r="B638" t="s">
        <v>250</v>
      </c>
      <c r="C638" t="s">
        <v>563</v>
      </c>
      <c r="D638" s="4" t="s">
        <v>7</v>
      </c>
      <c r="E638" t="s">
        <v>20</v>
      </c>
      <c r="F638" t="s">
        <v>21</v>
      </c>
      <c r="G638" s="5">
        <v>36951</v>
      </c>
      <c r="H638" s="130">
        <v>-310000</v>
      </c>
      <c r="I638" s="235">
        <v>4</v>
      </c>
      <c r="J638" s="53">
        <f t="shared" si="751"/>
        <v>4.2130000000000001</v>
      </c>
      <c r="K638" s="7">
        <f t="shared" si="752"/>
        <v>1.075</v>
      </c>
      <c r="L638" s="53">
        <f t="shared" si="753"/>
        <v>5.2880000000000003</v>
      </c>
      <c r="M638" s="157">
        <f t="shared" si="754"/>
        <v>6.8879814952706994E-2</v>
      </c>
      <c r="N638" s="4">
        <f t="shared" si="755"/>
        <v>0.53249999999999997</v>
      </c>
      <c r="O638" s="4">
        <f t="shared" si="756"/>
        <v>0.61199999999999999</v>
      </c>
      <c r="P638" s="9">
        <f t="shared" si="757"/>
        <v>0.83</v>
      </c>
      <c r="Q638" s="5">
        <f t="shared" si="708"/>
        <v>36949</v>
      </c>
      <c r="R638" s="4">
        <f t="shared" si="758"/>
        <v>1</v>
      </c>
      <c r="S638" s="158">
        <f>_xll.xSPRDOPT($L638,$J638,$I638,$M638,$O638,$N638,$P638,$Q638-$C$3,$R638,0)</f>
        <v>4.7404844060349234E-2</v>
      </c>
      <c r="T638" s="159">
        <f>_xll.xSPRDOPT($L638,$J638,$I638,$M638,$O638,$N638,$P638,$Q638-$C$3,$R638,1)*H638</f>
        <v>-24684.44375242056</v>
      </c>
      <c r="U638" s="160">
        <f t="shared" si="759"/>
        <v>-14695.501658708263</v>
      </c>
      <c r="V638" s="159">
        <f>_xll.xSPRDOPT($L638,$J638,$I638,$M638,$O638,$N638,$P638,$Q638-$C$3,$R638,2)*H638</f>
        <v>16718.729569446208</v>
      </c>
      <c r="W638" s="159">
        <f t="shared" si="760"/>
        <v>-7965.7141829743523</v>
      </c>
      <c r="X638" s="51" t="str">
        <f t="shared" si="761"/>
        <v>36951IF-TRANSCO/Z6</v>
      </c>
      <c r="Y638" s="418">
        <f t="shared" si="762"/>
        <v>-31</v>
      </c>
      <c r="Z638" s="456">
        <f t="shared" si="763"/>
        <v>7.9627237911034071E-2</v>
      </c>
      <c r="AA638" s="456">
        <f>_xll.xSPRDOPT($L638,$J638,$I638,$M638,$O638,$N638,$P638,$Q638-$C$3,$R638,3)</f>
        <v>0.10030006705393331</v>
      </c>
      <c r="AB638" s="456">
        <f>((_xll.xSPRDOPT($L638+AB$5,$J638,$I638,$M638,$O638,$N638,$P638,$Q638-$C$3,$R638,3)*$H638)/10000)/100</f>
        <v>-3.1093020786719324E-2</v>
      </c>
      <c r="AC638" s="456">
        <f>((_xll.xSPRDOPT($L638+$AB$5,$J638,$I638,$M638,$O638,$N638,$P638,$Q638-$C$3,$R638,7)*$H638)/100)</f>
        <v>837.60793889586625</v>
      </c>
      <c r="AD638" s="456">
        <f>(_xll.xSPRDOPT($L638+$AB$5,$J638,$I638,$M638,$O638,$N638,$P638,$Q638-$C$3,$R638,9)/365)*$H638</f>
        <v>181.71791704541238</v>
      </c>
      <c r="AE638">
        <f t="shared" si="707"/>
        <v>0</v>
      </c>
      <c r="AF638" s="456">
        <f t="shared" si="764"/>
        <v>-1260.259287954291</v>
      </c>
      <c r="AG638" s="456">
        <f>((_xll.xSPRDOPT($L638,$J638,$I638,$M638,$O638,$N638,$P638,$Q638-$C$3,$R638,6)*$H638)/100)</f>
        <v>481.44146044658652</v>
      </c>
      <c r="AH638" s="456">
        <f>((_xll.xSPRDOPT($L638,$J638,$I638,$M638,$O638,$N638,$P638,$Q638-$C$3,$R638,5)*$H638)/100)</f>
        <v>-1515.4504060840968</v>
      </c>
      <c r="AI638" s="456">
        <f>(((_xll.xSPRDOPT($L638,$J638,$I638,$M638,$O638,$N638,$P638,$Q638-$C$3,$R638,4)*$H638)/10000)/100)-AB638</f>
        <v>1.3594270002505685E-2</v>
      </c>
      <c r="AJ638" s="456"/>
      <c r="CC638" s="141">
        <f t="shared" si="765"/>
        <v>36923</v>
      </c>
      <c r="CD638" s="234">
        <f>_xll.xSPRDOPT((VLOOKUP(G637,NGPrices,2,FALSE)+HLOOKUP(D637,Prices,VLOOKUP(G637,move_down,2,FALSE),FALSE)),VLOOKUP(G637,NGPrices,2,FALSE),I637,VLOOKUP(G637,NGPREVPRICES,4,FALSE),HLOOKUP(D637,PREVVOLS,VLOOKUP(G637,MOVE_DOWN2,2,FALSE),FALSE),VLOOKUP(G637,NGPREVPRICES,3,FALSE),HLOOKUP(D637,Correllate,VLOOKUP(G637,CorMove,2,FALSE),FALSE),Q637-$CD$3,R637,$CD$5)*H637-CJ638</f>
        <v>0</v>
      </c>
      <c r="CE638" s="234">
        <f>_xll.xSPRDOPT((VLOOKUP(G637,NGPREVPRICES,2,FALSE)+HLOOKUP(D637,PREVCURVES,VLOOKUP(G637,MOVE_DOWN2,2,FALSE),FALSE)),VLOOKUP(G637,NGPREVPRICES,2,FALSE),CK638,VLOOKUP(G637,NGPrices,4,FALSE),HLOOKUP(D637,PREVVOLS,VLOOKUP(G637,MOVE_DOWN2,2,FALSE),FALSE),VLOOKUP(G637,NGPREVPRICES,3,FALSE),HLOOKUP(D637,Correllate,VLOOKUP(G637,CorMove,2,FALSE),FALSE),Q637-$CD$3,R637,$CJ$5)*H637-CJ638</f>
        <v>0</v>
      </c>
      <c r="CF638" s="10">
        <f t="shared" si="766"/>
        <v>11.831549136375543</v>
      </c>
      <c r="CG638" s="234">
        <f>_xll.xSPRDOPT((VLOOKUP(G637,NGPREVPRICES,2,FALSE)+HLOOKUP(D637,PREVCURVES,VLOOKUP(G637,MOVE_DOWN2,2,FALSE),FALSE)),VLOOKUP(G637,NGPREVPRICES,2,FALSE),CK638,VLOOKUP(G637,NGPREVPRICES,4,FALSE),HLOOKUP(D637,VOLS,VLOOKUP(G637,move_down,2,FALSE),FALSE),VLOOKUP(G637,NGPrices,3,FALSE),HLOOKUP(D637,Correllate,VLOOKUP(G637,CorMove,2,FALSE),FALSE),Q637-$CD$3,R637,$CJ$5)*H637-CJ638</f>
        <v>0</v>
      </c>
      <c r="CH638" s="234">
        <f>_xll.xSPRDOPT((VLOOKUP(G637,NGPREVPRICES,2,FALSE)+HLOOKUP(D637,PREVCURVES,VLOOKUP(G637,MOVE_DOWN2,2,FALSE),FALSE)),VLOOKUP(G637,NGPREVPRICES,2,FALSE),CK638,VLOOKUP(G637,NGPREVPRICES,4,FALSE),HLOOKUP(D637,PREVVOLS,VLOOKUP(G637,MOVE_DOWN2,2,FALSE),FALSE),VLOOKUP(G637,NGPREVPRICES,3,FALSE),HLOOKUP(D637,Correllate,VLOOKUP(G637,CorMove,2,FALSE),FALSE),Q637-$C$3,R637,$CJ$5)*H637-CJ638</f>
        <v>504.47588913945947</v>
      </c>
      <c r="CI638" s="234">
        <f t="shared" si="767"/>
        <v>516.30743827583501</v>
      </c>
      <c r="CJ638" s="234">
        <f>_xll.xSPRDOPT((VLOOKUP(G637,NGPREVPRICES,2,FALSE)+HLOOKUP(D637,PREVCURVES,VLOOKUP(G637,MOVE_DOWN2,2,FALSE),FALSE)),VLOOKUP(G637,NGPREVPRICES,2,FALSE),CK638,VLOOKUP(G637,NGPREVPRICES,4,FALSE),HLOOKUP(D637,PREVVOLS,VLOOKUP(G637,MOVE_DOWN2,2,FALSE),FALSE),VLOOKUP(G637,NGPREVPRICES,3,FALSE),HLOOKUP(D637,Correllate,VLOOKUP(G637,CorMove,2,FALSE),FALSE),Q637-$CD$3,R637,$CJ$5)*H637</f>
        <v>-62209.603922995353</v>
      </c>
      <c r="CK638" s="235">
        <f t="shared" si="768"/>
        <v>4</v>
      </c>
      <c r="CM638" t="str">
        <f t="shared" si="769"/>
        <v>36923Curve Shift/Gamma</v>
      </c>
      <c r="CN638" t="str">
        <f t="shared" si="747"/>
        <v>36923Rho</v>
      </c>
      <c r="CO638" t="str">
        <f t="shared" si="748"/>
        <v>36923Drift</v>
      </c>
      <c r="CP638" t="str">
        <f t="shared" si="749"/>
        <v>36923Vega</v>
      </c>
      <c r="CQ638" t="str">
        <f t="shared" si="750"/>
        <v>36923Theta</v>
      </c>
    </row>
    <row r="639" spans="1:95" x14ac:dyDescent="0.25">
      <c r="A639" s="140" t="s">
        <v>279</v>
      </c>
      <c r="B639" t="s">
        <v>250</v>
      </c>
      <c r="C639" t="s">
        <v>565</v>
      </c>
      <c r="D639" s="4" t="s">
        <v>9</v>
      </c>
      <c r="E639" t="s">
        <v>20</v>
      </c>
      <c r="F639" t="s">
        <v>21</v>
      </c>
      <c r="G639" s="5">
        <v>36770</v>
      </c>
      <c r="H639" s="130">
        <v>300000</v>
      </c>
      <c r="I639" s="235">
        <v>-0.6</v>
      </c>
      <c r="J639" s="53">
        <f t="shared" si="751"/>
        <v>4.6849999999999996</v>
      </c>
      <c r="K639" s="7">
        <f t="shared" si="752"/>
        <v>-1.24</v>
      </c>
      <c r="L639" s="53">
        <f t="shared" si="753"/>
        <v>3.4449999999999994</v>
      </c>
      <c r="M639" s="157">
        <f t="shared" si="754"/>
        <v>6.7216196212184998E-2</v>
      </c>
      <c r="N639" s="4">
        <f t="shared" si="755"/>
        <v>0.4</v>
      </c>
      <c r="O639" s="4">
        <f t="shared" si="756"/>
        <v>0.38400000000000001</v>
      </c>
      <c r="P639" s="9">
        <f t="shared" si="757"/>
        <v>0.84</v>
      </c>
      <c r="Q639" s="5">
        <f t="shared" si="708"/>
        <v>36768</v>
      </c>
      <c r="R639" s="4">
        <f t="shared" si="758"/>
        <v>1</v>
      </c>
      <c r="S639" s="158">
        <f>_xll.xSPRDOPT($L639,$J639,$I639,$M639,$O639,$N639,$P639,$Q639-$C$3,$R639,0)</f>
        <v>8.3897668035071149E-8</v>
      </c>
      <c r="T639" s="159">
        <f>_xll.xSPRDOPT($L639,$J639,$I639,$M639,$O639,$N639,$P639,$Q639-$C$3,$R639,1)*H639</f>
        <v>-5.0898721770664679E-2</v>
      </c>
      <c r="U639" s="160">
        <f t="shared" si="759"/>
        <v>2.5169300410521345E-2</v>
      </c>
      <c r="V639" s="159">
        <f>_xll.xSPRDOPT($L639,$J639,$I639,$M639,$O639,$N639,$P639,$Q639-$C$3,$R639,2)*H639</f>
        <v>3.9320339284554251E-2</v>
      </c>
      <c r="W639" s="159">
        <f t="shared" si="760"/>
        <v>-1.1578382486110428E-2</v>
      </c>
      <c r="X639" s="51" t="str">
        <f t="shared" si="761"/>
        <v>36770IF-NWPL_ROCKY_M</v>
      </c>
      <c r="Y639" s="418">
        <f t="shared" si="762"/>
        <v>30</v>
      </c>
      <c r="Z639" s="456">
        <f t="shared" si="763"/>
        <v>-1.696624059022156E-7</v>
      </c>
      <c r="AA639" s="456">
        <f>_xll.xSPRDOPT($L639,$J639,$I639,$M639,$O639,$N639,$P639,$Q639-$C$3,$R639,3)</f>
        <v>-2.7017006637996751E-5</v>
      </c>
      <c r="AB639" s="456">
        <f>((_xll.xSPRDOPT($L639+AB$5,$J639,$I639,$M639,$O639,$N639,$P639,$Q639-$C$3,$R639,3)*$H639)/10000)/100</f>
        <v>-8.1051019913990243E-6</v>
      </c>
      <c r="AC639" s="456">
        <f>((_xll.xSPRDOPT($L639+$AB$5,$J639,$I639,$M639,$O639,$N639,$P639,$Q639-$C$3,$R639,7)*$H639)/100)</f>
        <v>3.7582575954514787E-5</v>
      </c>
      <c r="AD639" s="456">
        <f>(_xll.xSPRDOPT($L639+$AB$5,$J639,$I639,$M639,$O639,$N639,$P639,$Q639-$C$3,$R639,9)/365)*$H639</f>
        <v>6.3807442035525578E-6</v>
      </c>
      <c r="AE639">
        <f t="shared" si="707"/>
        <v>0</v>
      </c>
      <c r="AF639" s="456">
        <f t="shared" si="764"/>
        <v>-5.8373377236795294E-8</v>
      </c>
      <c r="AG639" s="456">
        <f>((_xll.xSPRDOPT($L639,$J639,$I639,$M639,$O639,$N639,$P639,$Q639-$C$3,$R639,6)*$H639)/100)</f>
        <v>-2.1982379402464099E-6</v>
      </c>
      <c r="AH639" s="456">
        <f>((_xll.xSPRDOPT($L639,$J639,$I639,$M639,$O639,$N639,$P639,$Q639-$C$3,$R639,5)*$H639)/100)</f>
        <v>2.2290255864683487E-6</v>
      </c>
      <c r="AI639" s="456">
        <f>(((_xll.xSPRDOPT($L639,$J639,$I639,$M639,$O639,$N639,$P639,$Q639-$C$3,$R639,4)*$H639)/10000)/100)-AB639</f>
        <v>8.1051019913990243E-6</v>
      </c>
      <c r="AJ639" s="456"/>
      <c r="CC639" s="141">
        <f t="shared" si="765"/>
        <v>36951</v>
      </c>
      <c r="CD639" s="234">
        <f>_xll.xSPRDOPT((VLOOKUP(G638,NGPrices,2,FALSE)+HLOOKUP(D638,Prices,VLOOKUP(G638,move_down,2,FALSE),FALSE)),VLOOKUP(G638,NGPrices,2,FALSE),I638,VLOOKUP(G638,NGPREVPRICES,4,FALSE),HLOOKUP(D638,PREVVOLS,VLOOKUP(G638,MOVE_DOWN2,2,FALSE),FALSE),VLOOKUP(G638,NGPREVPRICES,3,FALSE),HLOOKUP(D638,Correllate,VLOOKUP(G638,CorMove,2,FALSE),FALSE),Q638-$CD$3,R638,$CD$5)*H638-CJ639</f>
        <v>0</v>
      </c>
      <c r="CE639" s="234">
        <f>_xll.xSPRDOPT((VLOOKUP(G638,NGPREVPRICES,2,FALSE)+HLOOKUP(D638,PREVCURVES,VLOOKUP(G638,MOVE_DOWN2,2,FALSE),FALSE)),VLOOKUP(G638,NGPREVPRICES,2,FALSE),CK639,VLOOKUP(G638,NGPrices,4,FALSE),HLOOKUP(D638,PREVVOLS,VLOOKUP(G638,MOVE_DOWN2,2,FALSE),FALSE),VLOOKUP(G638,NGPREVPRICES,3,FALSE),HLOOKUP(D638,Correllate,VLOOKUP(G638,CorMove,2,FALSE),FALSE),Q638-$CD$3,R638,$CJ$5)*H638-CJ639</f>
        <v>0</v>
      </c>
      <c r="CF639" s="10">
        <f t="shared" si="766"/>
        <v>2.8532641318342939</v>
      </c>
      <c r="CG639" s="234">
        <f>_xll.xSPRDOPT((VLOOKUP(G638,NGPREVPRICES,2,FALSE)+HLOOKUP(D638,PREVCURVES,VLOOKUP(G638,MOVE_DOWN2,2,FALSE),FALSE)),VLOOKUP(G638,NGPREVPRICES,2,FALSE),CK639,VLOOKUP(G638,NGPREVPRICES,4,FALSE),HLOOKUP(D638,VOLS,VLOOKUP(G638,move_down,2,FALSE),FALSE),VLOOKUP(G638,NGPrices,3,FALSE),HLOOKUP(D638,Correllate,VLOOKUP(G638,CorMove,2,FALSE),FALSE),Q638-$CD$3,R638,$CJ$5)*H638-CJ639</f>
        <v>0</v>
      </c>
      <c r="CH639" s="234">
        <f>_xll.xSPRDOPT((VLOOKUP(G638,NGPREVPRICES,2,FALSE)+HLOOKUP(D638,PREVCURVES,VLOOKUP(G638,MOVE_DOWN2,2,FALSE),FALSE)),VLOOKUP(G638,NGPREVPRICES,2,FALSE),CK639,VLOOKUP(G638,NGPREVPRICES,4,FALSE),HLOOKUP(D638,PREVVOLS,VLOOKUP(G638,MOVE_DOWN2,2,FALSE),FALSE),VLOOKUP(G638,NGPREVPRICES,3,FALSE),HLOOKUP(D638,Correllate,VLOOKUP(G638,CorMove,2,FALSE),FALSE),Q638-$C$3,R638,$CJ$5)*H638-CJ639</f>
        <v>181.9042943181812</v>
      </c>
      <c r="CI639" s="234">
        <f t="shared" si="767"/>
        <v>184.75755845001549</v>
      </c>
      <c r="CJ639" s="234">
        <f>_xll.xSPRDOPT((VLOOKUP(G638,NGPREVPRICES,2,FALSE)+HLOOKUP(D638,PREVCURVES,VLOOKUP(G638,MOVE_DOWN2,2,FALSE),FALSE)),VLOOKUP(G638,NGPREVPRICES,2,FALSE),CK639,VLOOKUP(G638,NGPREVPRICES,4,FALSE),HLOOKUP(D638,PREVVOLS,VLOOKUP(G638,MOVE_DOWN2,2,FALSE),FALSE),VLOOKUP(G638,NGPREVPRICES,3,FALSE),HLOOKUP(D638,Correllate,VLOOKUP(G638,CorMove,2,FALSE),FALSE),Q638-$CD$3,R638,$CJ$5)*H638</f>
        <v>-14877.405953026444</v>
      </c>
      <c r="CK639" s="235">
        <f t="shared" si="768"/>
        <v>4</v>
      </c>
      <c r="CM639" t="str">
        <f t="shared" si="769"/>
        <v>36951Curve Shift/Gamma</v>
      </c>
      <c r="CN639" t="str">
        <f t="shared" si="747"/>
        <v>36951Rho</v>
      </c>
      <c r="CO639" t="str">
        <f t="shared" si="748"/>
        <v>36951Drift</v>
      </c>
      <c r="CP639" t="str">
        <f t="shared" si="749"/>
        <v>36951Vega</v>
      </c>
      <c r="CQ639" t="str">
        <f t="shared" si="750"/>
        <v>36951Theta</v>
      </c>
    </row>
    <row r="640" spans="1:95" x14ac:dyDescent="0.25">
      <c r="A640" s="140" t="s">
        <v>279</v>
      </c>
      <c r="B640" t="s">
        <v>250</v>
      </c>
      <c r="C640" t="s">
        <v>565</v>
      </c>
      <c r="D640" s="4" t="s">
        <v>9</v>
      </c>
      <c r="E640" t="s">
        <v>20</v>
      </c>
      <c r="F640" t="s">
        <v>21</v>
      </c>
      <c r="G640" s="5">
        <v>36800</v>
      </c>
      <c r="H640" s="130">
        <v>310000</v>
      </c>
      <c r="I640" s="235">
        <v>-0.6</v>
      </c>
      <c r="J640" s="53">
        <f t="shared" si="751"/>
        <v>4.6920000000000002</v>
      </c>
      <c r="K640" s="7">
        <f t="shared" si="752"/>
        <v>-0.80500000000000005</v>
      </c>
      <c r="L640" s="53">
        <f t="shared" si="753"/>
        <v>3.887</v>
      </c>
      <c r="M640" s="157">
        <f t="shared" si="754"/>
        <v>6.8050789414654006E-2</v>
      </c>
      <c r="N640" s="4">
        <f t="shared" si="755"/>
        <v>0.57499999999999996</v>
      </c>
      <c r="O640" s="4">
        <f t="shared" si="756"/>
        <v>0.55200000000000005</v>
      </c>
      <c r="P640" s="9">
        <f t="shared" si="757"/>
        <v>0.84</v>
      </c>
      <c r="Q640" s="5">
        <f t="shared" si="708"/>
        <v>36797</v>
      </c>
      <c r="R640" s="4">
        <f t="shared" si="758"/>
        <v>1</v>
      </c>
      <c r="S640" s="158">
        <f>_xll.xSPRDOPT($L640,$J640,$I640,$M640,$O640,$N640,$P640,$Q640-$C$3,$R640,0)</f>
        <v>8.0755538925435855E-2</v>
      </c>
      <c r="T640" s="159">
        <f>_xll.xSPRDOPT($L640,$J640,$I640,$M640,$O640,$N640,$P640,$Q640-$C$3,$R640,1)*H640</f>
        <v>100039.2754484584</v>
      </c>
      <c r="U640" s="160">
        <f t="shared" si="759"/>
        <v>25034.217066885114</v>
      </c>
      <c r="V640" s="159">
        <f>_xll.xSPRDOPT($L640,$J640,$I640,$M640,$O640,$N640,$P640,$Q640-$C$3,$R640,2)*H640</f>
        <v>-90372.33080598143</v>
      </c>
      <c r="W640" s="159">
        <f t="shared" si="760"/>
        <v>9666.9446424769703</v>
      </c>
      <c r="X640" s="51" t="str">
        <f t="shared" si="761"/>
        <v>36800IF-NWPL_ROCKY_M</v>
      </c>
      <c r="Y640" s="418">
        <f t="shared" si="762"/>
        <v>31</v>
      </c>
      <c r="Z640" s="456">
        <f t="shared" si="763"/>
        <v>0.32270734015631741</v>
      </c>
      <c r="AA640" s="456">
        <f>_xll.xSPRDOPT($L640,$J640,$I640,$M640,$O640,$N640,$P640,$Q640-$C$3,$R640,3)</f>
        <v>0.89148657769210926</v>
      </c>
      <c r="AB640" s="456">
        <f>((_xll.xSPRDOPT($L640+AB$5,$J640,$I640,$M640,$O640,$N640,$P640,$Q640-$C$3,$R640,3)*$H640)/10000)/100</f>
        <v>0.27636083908455389</v>
      </c>
      <c r="AC640" s="456">
        <f>((_xll.xSPRDOPT($L640+$AB$5,$J640,$I640,$M640,$O640,$N640,$P640,$Q640-$C$3,$R640,7)*$H640)/100)</f>
        <v>-1256.1905548598534</v>
      </c>
      <c r="AD640" s="456">
        <f>(_xll.xSPRDOPT($L640+$AB$5,$J640,$I640,$M640,$O640,$N640,$P640,$Q640-$C$3,$R640,9)/365)*$H640</f>
        <v>-738.09199495418079</v>
      </c>
      <c r="AE640">
        <f t="shared" si="707"/>
        <v>0</v>
      </c>
      <c r="AF640" s="456">
        <f t="shared" si="764"/>
        <v>774.52276951746262</v>
      </c>
      <c r="AG640" s="456">
        <f>((_xll.xSPRDOPT($L640,$J640,$I640,$M640,$O640,$N640,$P640,$Q640-$C$3,$R640,6)*$H640)/100)</f>
        <v>792.26169041559183</v>
      </c>
      <c r="AH640" s="456">
        <f>((_xll.xSPRDOPT($L640,$J640,$I640,$M640,$O640,$N640,$P640,$Q640-$C$3,$R640,5)*$H640)/100)</f>
        <v>-18.478042602217929</v>
      </c>
      <c r="AI640" s="456">
        <f>(((_xll.xSPRDOPT($L640,$J640,$I640,$M640,$O640,$N640,$P640,$Q640-$C$3,$R640,4)*$H640)/10000)/100)-AB640</f>
        <v>-2.365846890415052E-2</v>
      </c>
      <c r="AJ640" s="456"/>
      <c r="CC640" s="141">
        <f t="shared" si="765"/>
        <v>36770</v>
      </c>
      <c r="CD640" s="234">
        <f>_xll.xSPRDOPT((VLOOKUP(G639,NGPrices,2,FALSE)+HLOOKUP(D639,Prices,VLOOKUP(G639,move_down,2,FALSE),FALSE)),VLOOKUP(G639,NGPrices,2,FALSE),I639,VLOOKUP(G639,NGPREVPRICES,4,FALSE),HLOOKUP(D639,PREVVOLS,VLOOKUP(G639,MOVE_DOWN2,2,FALSE),FALSE),VLOOKUP(G639,NGPREVPRICES,3,FALSE),HLOOKUP(D639,Correllate,VLOOKUP(G639,CorMove,2,FALSE),FALSE),Q639-$CD$3,R639,$CD$5)*H639-CJ640</f>
        <v>0</v>
      </c>
      <c r="CE640" s="234">
        <f>_xll.xSPRDOPT((VLOOKUP(G639,NGPREVPRICES,2,FALSE)+HLOOKUP(D639,PREVCURVES,VLOOKUP(G639,MOVE_DOWN2,2,FALSE),FALSE)),VLOOKUP(G639,NGPREVPRICES,2,FALSE),CK640,VLOOKUP(G639,NGPrices,4,FALSE),HLOOKUP(D639,PREVVOLS,VLOOKUP(G639,MOVE_DOWN2,2,FALSE),FALSE),VLOOKUP(G639,NGPREVPRICES,3,FALSE),HLOOKUP(D639,Correllate,VLOOKUP(G639,CorMove,2,FALSE),FALSE),Q639-$CD$3,R639,$CJ$5)*H639-CJ640</f>
        <v>0</v>
      </c>
      <c r="CF640" s="10">
        <f t="shared" si="766"/>
        <v>-4.5853319700465967E-6</v>
      </c>
      <c r="CG640" s="234">
        <f>_xll.xSPRDOPT((VLOOKUP(G639,NGPREVPRICES,2,FALSE)+HLOOKUP(D639,PREVCURVES,VLOOKUP(G639,MOVE_DOWN2,2,FALSE),FALSE)),VLOOKUP(G639,NGPREVPRICES,2,FALSE),CK640,VLOOKUP(G639,NGPREVPRICES,4,FALSE),HLOOKUP(D639,VOLS,VLOOKUP(G639,move_down,2,FALSE),FALSE),VLOOKUP(G639,NGPrices,3,FALSE),HLOOKUP(D639,Correllate,VLOOKUP(G639,CorMove,2,FALSE),FALSE),Q639-$CD$3,R639,$CJ$5)*H639-CJ640</f>
        <v>0</v>
      </c>
      <c r="CH640" s="234">
        <f>_xll.xSPRDOPT((VLOOKUP(G639,NGPREVPRICES,2,FALSE)+HLOOKUP(D639,PREVCURVES,VLOOKUP(G639,MOVE_DOWN2,2,FALSE),FALSE)),VLOOKUP(G639,NGPREVPRICES,2,FALSE),CK640,VLOOKUP(G639,NGPREVPRICES,4,FALSE),HLOOKUP(D639,PREVVOLS,VLOOKUP(G639,MOVE_DOWN2,2,FALSE),FALSE),VLOOKUP(G639,NGPREVPRICES,3,FALSE),HLOOKUP(D639,Correllate,VLOOKUP(G639,CorMove,2,FALSE),FALSE),Q639-$C$3,R639,$CJ$5)*H639-CJ640</f>
        <v>6.3787308768326056E-6</v>
      </c>
      <c r="CI640" s="234">
        <f t="shared" si="767"/>
        <v>1.793398906786009E-6</v>
      </c>
      <c r="CJ640" s="234">
        <f>_xll.xSPRDOPT((VLOOKUP(G639,NGPREVPRICES,2,FALSE)+HLOOKUP(D639,PREVCURVES,VLOOKUP(G639,MOVE_DOWN2,2,FALSE),FALSE)),VLOOKUP(G639,NGPREVPRICES,2,FALSE),CK640,VLOOKUP(G639,NGPREVPRICES,4,FALSE),HLOOKUP(D639,PREVVOLS,VLOOKUP(G639,MOVE_DOWN2,2,FALSE),FALSE),VLOOKUP(G639,NGPREVPRICES,3,FALSE),HLOOKUP(D639,Correllate,VLOOKUP(G639,CorMove,2,FALSE),FALSE),Q639-$CD$3,R639,$CJ$5)*H639</f>
        <v>2.5162921679644512E-2</v>
      </c>
      <c r="CK640" s="235">
        <f t="shared" si="768"/>
        <v>-0.6</v>
      </c>
      <c r="CM640" t="str">
        <f t="shared" si="769"/>
        <v>36770Curve Shift/Gamma</v>
      </c>
      <c r="CN640" t="str">
        <f t="shared" si="747"/>
        <v>36770Rho</v>
      </c>
      <c r="CO640" t="str">
        <f t="shared" si="748"/>
        <v>36770Drift</v>
      </c>
      <c r="CP640" t="str">
        <f t="shared" si="749"/>
        <v>36770Vega</v>
      </c>
      <c r="CQ640" t="str">
        <f t="shared" si="750"/>
        <v>36770Theta</v>
      </c>
    </row>
    <row r="641" spans="1:95" x14ac:dyDescent="0.25">
      <c r="A641" s="140" t="s">
        <v>279</v>
      </c>
      <c r="B641" t="s">
        <v>250</v>
      </c>
      <c r="C641" t="s">
        <v>566</v>
      </c>
      <c r="D641" s="4" t="s">
        <v>9</v>
      </c>
      <c r="E641" t="s">
        <v>20</v>
      </c>
      <c r="F641" t="s">
        <v>21</v>
      </c>
      <c r="G641" s="5">
        <v>36770</v>
      </c>
      <c r="H641" s="130">
        <v>-300000</v>
      </c>
      <c r="I641" s="235">
        <v>-0.7</v>
      </c>
      <c r="J641" s="53">
        <f t="shared" si="751"/>
        <v>4.6849999999999996</v>
      </c>
      <c r="K641" s="7">
        <f t="shared" si="752"/>
        <v>-1.24</v>
      </c>
      <c r="L641" s="53">
        <f t="shared" si="753"/>
        <v>3.4449999999999994</v>
      </c>
      <c r="M641" s="157">
        <f t="shared" si="754"/>
        <v>6.7216196212184998E-2</v>
      </c>
      <c r="N641" s="4">
        <f t="shared" si="755"/>
        <v>0.4</v>
      </c>
      <c r="O641" s="4">
        <f t="shared" si="756"/>
        <v>0.38400000000000001</v>
      </c>
      <c r="P641" s="9">
        <f t="shared" si="757"/>
        <v>0.84</v>
      </c>
      <c r="Q641" s="5">
        <f t="shared" si="708"/>
        <v>36768</v>
      </c>
      <c r="R641" s="4">
        <f t="shared" si="758"/>
        <v>1</v>
      </c>
      <c r="S641" s="158">
        <f>_xll.xSPRDOPT($L641,$J641,$I641,$M641,$O641,$N641,$P641,$Q641-$C$3,$R641,0)</f>
        <v>7.0787746886402658E-8</v>
      </c>
      <c r="T641" s="159">
        <f>_xll.xSPRDOPT($L641,$J641,$I641,$M641,$O641,$N641,$P641,$Q641-$C$3,$R641,1)*H641</f>
        <v>5.0898722503411875E-2</v>
      </c>
      <c r="U641" s="160">
        <f t="shared" si="759"/>
        <v>-2.1236324065920797E-2</v>
      </c>
      <c r="V641" s="159">
        <f>_xll.xSPRDOPT($L641,$J641,$I641,$M641,$O641,$N641,$P641,$Q641-$C$3,$R641,2)*H641</f>
        <v>-3.9320339284554251E-2</v>
      </c>
      <c r="W641" s="159">
        <f t="shared" si="760"/>
        <v>1.1578383218857624E-2</v>
      </c>
      <c r="X641" s="51" t="str">
        <f t="shared" si="761"/>
        <v>36770IF-NWPL_ROCKY_M</v>
      </c>
      <c r="Y641" s="418">
        <f t="shared" si="762"/>
        <v>-30</v>
      </c>
      <c r="Z641" s="456">
        <f t="shared" si="763"/>
        <v>-1.6966240834470625E-7</v>
      </c>
      <c r="AA641" s="456">
        <f>_xll.xSPRDOPT($L641,$J641,$I641,$M641,$O641,$N641,$P641,$Q641-$C$3,$R641,3)</f>
        <v>-2.2775312433717832E-5</v>
      </c>
      <c r="AB641" s="456">
        <f>((_xll.xSPRDOPT($L641+AB$5,$J641,$I641,$M641,$O641,$N641,$P641,$Q641-$C$3,$R641,3)*$H641)/10000)/100</f>
        <v>6.8325937301153493E-6</v>
      </c>
      <c r="AC641" s="456">
        <f>((_xll.xSPRDOPT($L641+$AB$5,$J641,$I641,$M641,$O641,$N641,$P641,$Q641-$C$3,$R641,7)*$H641)/100)</f>
        <v>0</v>
      </c>
      <c r="AD641" s="456">
        <f>(_xll.xSPRDOPT($L641+$AB$5,$J641,$I641,$M641,$O641,$N641,$P641,$Q641-$C$3,$R641,9)/365)*$H641</f>
        <v>-5.6573143829381075E-6</v>
      </c>
      <c r="AE641">
        <f t="shared" si="707"/>
        <v>0</v>
      </c>
      <c r="AF641" s="456">
        <f t="shared" si="764"/>
        <v>4.6304619917795996E-8</v>
      </c>
      <c r="AG641" s="456">
        <f>((_xll.xSPRDOPT($L641,$J641,$I641,$M641,$O641,$N641,$P641,$Q641-$C$3,$R641,6)*$H641)/100)</f>
        <v>2.1920804110020222E-6</v>
      </c>
      <c r="AH641" s="456">
        <f>((_xll.xSPRDOPT($L641,$J641,$I641,$M641,$O641,$N641,$P641,$Q641-$C$3,$R641,5)*$H641)/100)</f>
        <v>-2.2351831157127359E-6</v>
      </c>
      <c r="AI641" s="456">
        <f>(((_xll.xSPRDOPT($L641,$J641,$I641,$M641,$O641,$N641,$P641,$Q641-$C$3,$R641,4)*$H641)/10000)/100)-AB641</f>
        <v>-6.8325937301153493E-6</v>
      </c>
      <c r="AJ641" s="456"/>
      <c r="CC641" s="141">
        <f t="shared" si="765"/>
        <v>36800</v>
      </c>
      <c r="CD641" s="234">
        <f>_xll.xSPRDOPT((VLOOKUP(G640,NGPrices,2,FALSE)+HLOOKUP(D640,Prices,VLOOKUP(G640,move_down,2,FALSE),FALSE)),VLOOKUP(G640,NGPrices,2,FALSE),I640,VLOOKUP(G640,NGPREVPRICES,4,FALSE),HLOOKUP(D640,PREVVOLS,VLOOKUP(G640,MOVE_DOWN2,2,FALSE),FALSE),VLOOKUP(G640,NGPREVPRICES,3,FALSE),HLOOKUP(D640,Correllate,VLOOKUP(G640,CorMove,2,FALSE),FALSE),Q640-$CD$3,R640,$CD$5)*H640-CJ641</f>
        <v>0</v>
      </c>
      <c r="CE641" s="234">
        <f>_xll.xSPRDOPT((VLOOKUP(G640,NGPREVPRICES,2,FALSE)+HLOOKUP(D640,PREVCURVES,VLOOKUP(G640,MOVE_DOWN2,2,FALSE),FALSE)),VLOOKUP(G640,NGPREVPRICES,2,FALSE),CK641,VLOOKUP(G640,NGPrices,4,FALSE),HLOOKUP(D640,PREVVOLS,VLOOKUP(G640,MOVE_DOWN2,2,FALSE),FALSE),VLOOKUP(G640,NGPREVPRICES,3,FALSE),HLOOKUP(D640,Correllate,VLOOKUP(G640,CorMove,2,FALSE),FALSE),Q640-$CD$3,R640,$CJ$5)*H640-CJ641</f>
        <v>0</v>
      </c>
      <c r="CF641" s="10">
        <f t="shared" si="766"/>
        <v>-4.7503082799521508</v>
      </c>
      <c r="CG641" s="234">
        <f>_xll.xSPRDOPT((VLOOKUP(G640,NGPREVPRICES,2,FALSE)+HLOOKUP(D640,PREVCURVES,VLOOKUP(G640,MOVE_DOWN2,2,FALSE),FALSE)),VLOOKUP(G640,NGPREVPRICES,2,FALSE),CK641,VLOOKUP(G640,NGPREVPRICES,4,FALSE),HLOOKUP(D640,VOLS,VLOOKUP(G640,move_down,2,FALSE),FALSE),VLOOKUP(G640,NGPrices,3,FALSE),HLOOKUP(D640,Correllate,VLOOKUP(G640,CorMove,2,FALSE),FALSE),Q640-$CD$3,R640,$CJ$5)*H640-CJ641</f>
        <v>0</v>
      </c>
      <c r="CH641" s="234">
        <f>_xll.xSPRDOPT((VLOOKUP(G640,NGPREVPRICES,2,FALSE)+HLOOKUP(D640,PREVCURVES,VLOOKUP(G640,MOVE_DOWN2,2,FALSE),FALSE)),VLOOKUP(G640,NGPREVPRICES,2,FALSE),CK641,VLOOKUP(G640,NGPREVPRICES,4,FALSE),HLOOKUP(D640,PREVVOLS,VLOOKUP(G640,MOVE_DOWN2,2,FALSE),FALSE),VLOOKUP(G640,NGPREVPRICES,3,FALSE),HLOOKUP(D640,Correllate,VLOOKUP(G640,CorMove,2,FALSE),FALSE),Q640-$C$3,R640,$CJ$5)*H640-CJ641</f>
        <v>-732.85863461949339</v>
      </c>
      <c r="CI641" s="234">
        <f t="shared" si="767"/>
        <v>-737.60894289944554</v>
      </c>
      <c r="CJ641" s="234">
        <f>_xll.xSPRDOPT((VLOOKUP(G640,NGPREVPRICES,2,FALSE)+HLOOKUP(D640,PREVCURVES,VLOOKUP(G640,MOVE_DOWN2,2,FALSE),FALSE)),VLOOKUP(G640,NGPREVPRICES,2,FALSE),CK641,VLOOKUP(G640,NGPREVPRICES,4,FALSE),HLOOKUP(D640,PREVVOLS,VLOOKUP(G640,MOVE_DOWN2,2,FALSE),FALSE),VLOOKUP(G640,NGPREVPRICES,3,FALSE),HLOOKUP(D640,Correllate,VLOOKUP(G640,CorMove,2,FALSE),FALSE),Q640-$CD$3,R640,$CJ$5)*H640</f>
        <v>25767.075701504607</v>
      </c>
      <c r="CK641" s="235">
        <f t="shared" si="768"/>
        <v>-0.6</v>
      </c>
      <c r="CM641" t="str">
        <f t="shared" si="769"/>
        <v>36800Curve Shift/Gamma</v>
      </c>
      <c r="CN641" t="str">
        <f t="shared" si="747"/>
        <v>36800Rho</v>
      </c>
      <c r="CO641" t="str">
        <f t="shared" si="748"/>
        <v>36800Drift</v>
      </c>
      <c r="CP641" t="str">
        <f t="shared" si="749"/>
        <v>36800Vega</v>
      </c>
      <c r="CQ641" t="str">
        <f t="shared" si="750"/>
        <v>36800Theta</v>
      </c>
    </row>
    <row r="642" spans="1:95" x14ac:dyDescent="0.25">
      <c r="A642" s="140" t="s">
        <v>279</v>
      </c>
      <c r="B642" t="s">
        <v>250</v>
      </c>
      <c r="C642" t="s">
        <v>566</v>
      </c>
      <c r="D642" s="4" t="s">
        <v>9</v>
      </c>
      <c r="E642" t="s">
        <v>20</v>
      </c>
      <c r="F642" t="s">
        <v>21</v>
      </c>
      <c r="G642" s="5">
        <v>36800</v>
      </c>
      <c r="H642" s="130">
        <v>-310000</v>
      </c>
      <c r="I642" s="235">
        <v>-0.7</v>
      </c>
      <c r="J642" s="53">
        <f t="shared" si="751"/>
        <v>4.6920000000000002</v>
      </c>
      <c r="K642" s="7">
        <f t="shared" si="752"/>
        <v>-0.80500000000000005</v>
      </c>
      <c r="L642" s="53">
        <f t="shared" si="753"/>
        <v>3.887</v>
      </c>
      <c r="M642" s="157">
        <f t="shared" si="754"/>
        <v>6.8050789414654006E-2</v>
      </c>
      <c r="N642" s="4">
        <f t="shared" si="755"/>
        <v>0.57499999999999996</v>
      </c>
      <c r="O642" s="4">
        <f t="shared" si="756"/>
        <v>0.55200000000000005</v>
      </c>
      <c r="P642" s="9">
        <f t="shared" si="757"/>
        <v>0.84</v>
      </c>
      <c r="Q642" s="5">
        <f t="shared" si="708"/>
        <v>36797</v>
      </c>
      <c r="R642" s="4">
        <f t="shared" si="758"/>
        <v>1</v>
      </c>
      <c r="S642" s="158">
        <f>_xll.xSPRDOPT($L642,$J642,$I642,$M642,$O642,$N642,$P642,$Q642-$C$3,$R642,0)</f>
        <v>0.11779195626691341</v>
      </c>
      <c r="T642" s="159">
        <f>_xll.xSPRDOPT($L642,$J642,$I642,$M642,$O642,$N642,$P642,$Q642-$C$3,$R642,1)*H642</f>
        <v>-128588.27209830811</v>
      </c>
      <c r="U642" s="160">
        <f t="shared" si="759"/>
        <v>-36515.506442743157</v>
      </c>
      <c r="V642" s="159">
        <f>_xll.xSPRDOPT($L642,$J642,$I642,$M642,$O642,$N642,$P642,$Q642-$C$3,$R642,2)*H642</f>
        <v>118073.2489564635</v>
      </c>
      <c r="W642" s="159">
        <f t="shared" si="760"/>
        <v>-10515.023141844606</v>
      </c>
      <c r="X642" s="51" t="str">
        <f t="shared" si="761"/>
        <v>36800IF-NWPL_ROCKY_M</v>
      </c>
      <c r="Y642" s="418">
        <f t="shared" si="762"/>
        <v>-31</v>
      </c>
      <c r="Z642" s="456">
        <f t="shared" si="763"/>
        <v>0.41480087773647778</v>
      </c>
      <c r="AA642" s="456">
        <f>_xll.xSPRDOPT($L642,$J642,$I642,$M642,$O642,$N642,$P642,$Q642-$C$3,$R642,3)</f>
        <v>0.94528392865792132</v>
      </c>
      <c r="AB642" s="456">
        <f>((_xll.xSPRDOPT($L642+AB$5,$J642,$I642,$M642,$O642,$N642,$P642,$Q642-$C$3,$R642,3)*$H642)/10000)/100</f>
        <v>-0.29303801788395561</v>
      </c>
      <c r="AC642" s="456">
        <f>((_xll.xSPRDOPT($L642+$AB$5,$J642,$I642,$M642,$O642,$N642,$P642,$Q642-$C$3,$R642,7)*$H642)/100)</f>
        <v>1361.5571214929832</v>
      </c>
      <c r="AD642" s="456">
        <f>(_xll.xSPRDOPT($L642+$AB$5,$J642,$I642,$M642,$O642,$N642,$P642,$Q642-$C$3,$R642,9)/365)*$H642</f>
        <v>818.23045942476631</v>
      </c>
      <c r="AE642">
        <f t="shared" si="707"/>
        <v>0</v>
      </c>
      <c r="AF642" s="456">
        <f t="shared" si="764"/>
        <v>-860.32038926703785</v>
      </c>
      <c r="AG642" s="456">
        <f>((_xll.xSPRDOPT($L642,$J642,$I642,$M642,$O642,$N642,$P642,$Q642-$C$3,$R642,6)*$H642)/100)</f>
        <v>-922.34710082367678</v>
      </c>
      <c r="AH642" s="456">
        <f>((_xll.xSPRDOPT($L642,$J642,$I642,$M642,$O642,$N642,$P642,$Q642-$C$3,$R642,5)*$H642)/100)</f>
        <v>64.611157871498833</v>
      </c>
      <c r="AI642" s="456">
        <f>(((_xll.xSPRDOPT($L642,$J642,$I642,$M642,$O642,$N642,$P642,$Q642-$C$3,$R642,4)*$H642)/10000)/100)-AB642</f>
        <v>1.3017574128235732E-2</v>
      </c>
      <c r="AJ642" s="456"/>
      <c r="CC642" s="141">
        <f t="shared" si="765"/>
        <v>36770</v>
      </c>
      <c r="CD642" s="234">
        <f>_xll.xSPRDOPT((VLOOKUP(G641,NGPrices,2,FALSE)+HLOOKUP(D641,Prices,VLOOKUP(G641,move_down,2,FALSE),FALSE)),VLOOKUP(G641,NGPrices,2,FALSE),I641,VLOOKUP(G641,NGPREVPRICES,4,FALSE),HLOOKUP(D641,PREVVOLS,VLOOKUP(G641,MOVE_DOWN2,2,FALSE),FALSE),VLOOKUP(G641,NGPREVPRICES,3,FALSE),HLOOKUP(D641,Correllate,VLOOKUP(G641,CorMove,2,FALSE),FALSE),Q641-$CD$3,R641,$CD$5)*H641-CJ642</f>
        <v>0</v>
      </c>
      <c r="CE642" s="234">
        <f>_xll.xSPRDOPT((VLOOKUP(G641,NGPREVPRICES,2,FALSE)+HLOOKUP(D641,PREVCURVES,VLOOKUP(G641,MOVE_DOWN2,2,FALSE),FALSE)),VLOOKUP(G641,NGPREVPRICES,2,FALSE),CK642,VLOOKUP(G641,NGPrices,4,FALSE),HLOOKUP(D641,PREVVOLS,VLOOKUP(G641,MOVE_DOWN2,2,FALSE),FALSE),VLOOKUP(G641,NGPREVPRICES,3,FALSE),HLOOKUP(D641,Correllate,VLOOKUP(G641,CorMove,2,FALSE),FALSE),Q641-$CD$3,R641,$CJ$5)*H641-CJ642</f>
        <v>0</v>
      </c>
      <c r="CF642" s="10">
        <f t="shared" si="766"/>
        <v>3.8687744009953395E-6</v>
      </c>
      <c r="CG642" s="234">
        <f>_xll.xSPRDOPT((VLOOKUP(G641,NGPREVPRICES,2,FALSE)+HLOOKUP(D641,PREVCURVES,VLOOKUP(G641,MOVE_DOWN2,2,FALSE),FALSE)),VLOOKUP(G641,NGPREVPRICES,2,FALSE),CK642,VLOOKUP(G641,NGPREVPRICES,4,FALSE),HLOOKUP(D641,VOLS,VLOOKUP(G641,move_down,2,FALSE),FALSE),VLOOKUP(G641,NGPrices,3,FALSE),HLOOKUP(D641,Correllate,VLOOKUP(G641,CorMove,2,FALSE),FALSE),Q641-$CD$3,R641,$CJ$5)*H641-CJ642</f>
        <v>0</v>
      </c>
      <c r="CH642" s="234">
        <f>_xll.xSPRDOPT((VLOOKUP(G641,NGPREVPRICES,2,FALSE)+HLOOKUP(D641,PREVCURVES,VLOOKUP(G641,MOVE_DOWN2,2,FALSE),FALSE)),VLOOKUP(G641,NGPREVPRICES,2,FALSE),CK642,VLOOKUP(G641,NGPREVPRICES,4,FALSE),HLOOKUP(D641,PREVVOLS,VLOOKUP(G641,MOVE_DOWN2,2,FALSE),FALSE),VLOOKUP(G641,NGPREVPRICES,3,FALSE),HLOOKUP(D641,Correllate,VLOOKUP(G641,CorMove,2,FALSE),FALSE),Q641-$C$3,R641,$CJ$5)*H641-CJ642</f>
        <v>-5.6546434201720785E-6</v>
      </c>
      <c r="CI642" s="234">
        <f t="shared" si="767"/>
        <v>-1.785869019176739E-6</v>
      </c>
      <c r="CJ642" s="234">
        <f>_xll.xSPRDOPT((VLOOKUP(G641,NGPREVPRICES,2,FALSE)+HLOOKUP(D641,PREVCURVES,VLOOKUP(G641,MOVE_DOWN2,2,FALSE),FALSE)),VLOOKUP(G641,NGPREVPRICES,2,FALSE),CK642,VLOOKUP(G641,NGPREVPRICES,4,FALSE),HLOOKUP(D641,PREVVOLS,VLOOKUP(G641,MOVE_DOWN2,2,FALSE),FALSE),VLOOKUP(G641,NGPREVPRICES,3,FALSE),HLOOKUP(D641,Correllate,VLOOKUP(G641,CorMove,2,FALSE),FALSE),Q641-$CD$3,R641,$CJ$5)*H641</f>
        <v>-2.1230669422500625E-2</v>
      </c>
      <c r="CK642" s="235">
        <f t="shared" si="768"/>
        <v>-0.7</v>
      </c>
      <c r="CM642" t="str">
        <f t="shared" si="769"/>
        <v>36770Curve Shift/Gamma</v>
      </c>
      <c r="CN642" t="str">
        <f t="shared" si="747"/>
        <v>36770Rho</v>
      </c>
      <c r="CO642" t="str">
        <f t="shared" si="748"/>
        <v>36770Drift</v>
      </c>
      <c r="CP642" t="str">
        <f t="shared" si="749"/>
        <v>36770Vega</v>
      </c>
      <c r="CQ642" t="str">
        <f t="shared" si="750"/>
        <v>36770Theta</v>
      </c>
    </row>
    <row r="643" spans="1:95" x14ac:dyDescent="0.25">
      <c r="A643" s="140" t="s">
        <v>279</v>
      </c>
      <c r="B643" t="s">
        <v>250</v>
      </c>
      <c r="C643" t="s">
        <v>567</v>
      </c>
      <c r="D643" s="4" t="s">
        <v>7</v>
      </c>
      <c r="E643" t="s">
        <v>20</v>
      </c>
      <c r="F643" t="s">
        <v>21</v>
      </c>
      <c r="G643" s="5">
        <v>36951</v>
      </c>
      <c r="H643" s="130">
        <v>2000000</v>
      </c>
      <c r="I643" s="235">
        <v>2</v>
      </c>
      <c r="J643" s="53">
        <f t="shared" si="751"/>
        <v>4.2130000000000001</v>
      </c>
      <c r="K643" s="7">
        <f t="shared" si="752"/>
        <v>1.075</v>
      </c>
      <c r="L643" s="53">
        <f t="shared" si="753"/>
        <v>5.2880000000000003</v>
      </c>
      <c r="M643" s="157">
        <f t="shared" si="754"/>
        <v>6.8879814952706994E-2</v>
      </c>
      <c r="N643" s="4">
        <f t="shared" si="755"/>
        <v>0.53249999999999997</v>
      </c>
      <c r="O643" s="4">
        <f t="shared" si="756"/>
        <v>0.61199999999999999</v>
      </c>
      <c r="P643" s="9">
        <f t="shared" si="757"/>
        <v>0.83</v>
      </c>
      <c r="Q643" s="5">
        <f t="shared" si="708"/>
        <v>36949</v>
      </c>
      <c r="R643" s="4">
        <f t="shared" si="758"/>
        <v>1</v>
      </c>
      <c r="S643" s="158">
        <f>_xll.xSPRDOPT($L643,$J643,$I643,$M643,$O643,$N643,$P643,$Q643-$C$3,$R643,0)</f>
        <v>0.23621710702013918</v>
      </c>
      <c r="T643" s="159">
        <f>_xll.xSPRDOPT($L643,$J643,$I643,$M643,$O643,$N643,$P643,$Q643-$C$3,$R643,1)*H643</f>
        <v>610953.18429590773</v>
      </c>
      <c r="U643" s="160">
        <f t="shared" si="759"/>
        <v>472434.21404027834</v>
      </c>
      <c r="V643" s="159">
        <f>_xll.xSPRDOPT($L643,$J643,$I643,$M643,$O643,$N643,$P643,$Q643-$C$3,$R643,2)*H643</f>
        <v>-469617.68199048558</v>
      </c>
      <c r="W643" s="159">
        <f t="shared" si="760"/>
        <v>141335.50230542215</v>
      </c>
      <c r="X643" s="51" t="str">
        <f t="shared" si="761"/>
        <v>36951IF-TRANSCO/Z6</v>
      </c>
      <c r="Y643" s="418">
        <f t="shared" si="762"/>
        <v>200</v>
      </c>
      <c r="Z643" s="456">
        <f t="shared" si="763"/>
        <v>0.30547659214795386</v>
      </c>
      <c r="AA643" s="456">
        <f>_xll.xSPRDOPT($L643,$J643,$I643,$M643,$O643,$N643,$P643,$Q643-$C$3,$R643,3)</f>
        <v>0.25076203847426992</v>
      </c>
      <c r="AB643" s="456">
        <f>((_xll.xSPRDOPT($L643+AB$5,$J643,$I643,$M643,$O643,$N643,$P643,$Q643-$C$3,$R643,3)*$H643)/10000)/100</f>
        <v>0.50152407694853984</v>
      </c>
      <c r="AC643" s="456">
        <f>((_xll.xSPRDOPT($L643+$AB$5,$J643,$I643,$M643,$O643,$N643,$P643,$Q643-$C$3,$R643,7)*$H643)/100)</f>
        <v>-16019.248005286361</v>
      </c>
      <c r="AD643" s="456">
        <f>(_xll.xSPRDOPT($L643+$AB$5,$J643,$I643,$M643,$O643,$N643,$P643,$Q643-$C$3,$R643,9)/365)*$H643</f>
        <v>-2517.3548337908037</v>
      </c>
      <c r="AE643">
        <f t="shared" si="707"/>
        <v>0</v>
      </c>
      <c r="AF643" s="456">
        <f t="shared" si="764"/>
        <v>17805.066441993065</v>
      </c>
      <c r="AG643" s="456">
        <f>((_xll.xSPRDOPT($L643,$J643,$I643,$M643,$O643,$N643,$P643,$Q643-$C$3,$R643,6)*$H643)/100)</f>
        <v>-6377.735113091695</v>
      </c>
      <c r="AH643" s="456">
        <f>((_xll.xSPRDOPT($L643,$J643,$I643,$M643,$O643,$N643,$P643,$Q643-$C$3,$R643,5)*$H643)/100)</f>
        <v>21041.408215821299</v>
      </c>
      <c r="AI643" s="456">
        <f>(((_xll.xSPRDOPT($L643,$J643,$I643,$M643,$O643,$N643,$P643,$Q643-$C$3,$R643,4)*$H643)/10000)/100)-AB643</f>
        <v>-0.10677279026539976</v>
      </c>
      <c r="AJ643" s="456"/>
      <c r="CC643" s="141">
        <f t="shared" si="765"/>
        <v>36800</v>
      </c>
      <c r="CD643" s="234">
        <f>_xll.xSPRDOPT((VLOOKUP(G642,NGPrices,2,FALSE)+HLOOKUP(D642,Prices,VLOOKUP(G642,move_down,2,FALSE),FALSE)),VLOOKUP(G642,NGPrices,2,FALSE),I642,VLOOKUP(G642,NGPREVPRICES,4,FALSE),HLOOKUP(D642,PREVVOLS,VLOOKUP(G642,MOVE_DOWN2,2,FALSE),FALSE),VLOOKUP(G642,NGPREVPRICES,3,FALSE),HLOOKUP(D642,Correllate,VLOOKUP(G642,CorMove,2,FALSE),FALSE),Q642-$CD$3,R642,$CD$5)*H642-CJ643</f>
        <v>0</v>
      </c>
      <c r="CE643" s="234">
        <f>_xll.xSPRDOPT((VLOOKUP(G642,NGPREVPRICES,2,FALSE)+HLOOKUP(D642,PREVCURVES,VLOOKUP(G642,MOVE_DOWN2,2,FALSE),FALSE)),VLOOKUP(G642,NGPREVPRICES,2,FALSE),CK643,VLOOKUP(G642,NGPrices,4,FALSE),HLOOKUP(D642,PREVVOLS,VLOOKUP(G642,MOVE_DOWN2,2,FALSE),FALSE),VLOOKUP(G642,NGPREVPRICES,3,FALSE),HLOOKUP(D642,Correllate,VLOOKUP(G642,CorMove,2,FALSE),FALSE),Q642-$CD$3,R642,$CJ$5)*H642-CJ643</f>
        <v>0</v>
      </c>
      <c r="CF643" s="10">
        <f t="shared" si="766"/>
        <v>6.8813897644868121</v>
      </c>
      <c r="CG643" s="234">
        <f>_xll.xSPRDOPT((VLOOKUP(G642,NGPREVPRICES,2,FALSE)+HLOOKUP(D642,PREVCURVES,VLOOKUP(G642,MOVE_DOWN2,2,FALSE),FALSE)),VLOOKUP(G642,NGPREVPRICES,2,FALSE),CK643,VLOOKUP(G642,NGPREVPRICES,4,FALSE),HLOOKUP(D642,VOLS,VLOOKUP(G642,move_down,2,FALSE),FALSE),VLOOKUP(G642,NGPrices,3,FALSE),HLOOKUP(D642,Correllate,VLOOKUP(G642,CorMove,2,FALSE),FALSE),Q642-$CD$3,R642,$CJ$5)*H642-CJ643</f>
        <v>0</v>
      </c>
      <c r="CH643" s="234">
        <f>_xll.xSPRDOPT((VLOOKUP(G642,NGPREVPRICES,2,FALSE)+HLOOKUP(D642,PREVCURVES,VLOOKUP(G642,MOVE_DOWN2,2,FALSE),FALSE)),VLOOKUP(G642,NGPREVPRICES,2,FALSE),CK643,VLOOKUP(G642,NGPREVPRICES,4,FALSE),HLOOKUP(D642,PREVVOLS,VLOOKUP(G642,MOVE_DOWN2,2,FALSE),FALSE),VLOOKUP(G642,NGPREVPRICES,3,FALSE),HLOOKUP(D642,Correllate,VLOOKUP(G642,CorMove,2,FALSE),FALSE),Q642-$C$3,R642,$CJ$5)*H642-CJ643</f>
        <v>811.18490935835871</v>
      </c>
      <c r="CI643" s="234">
        <f t="shared" si="767"/>
        <v>818.06629912284552</v>
      </c>
      <c r="CJ643" s="234">
        <f>_xll.xSPRDOPT((VLOOKUP(G642,NGPREVPRICES,2,FALSE)+HLOOKUP(D642,PREVCURVES,VLOOKUP(G642,MOVE_DOWN2,2,FALSE),FALSE)),VLOOKUP(G642,NGPREVPRICES,2,FALSE),CK643,VLOOKUP(G642,NGPREVPRICES,4,FALSE),HLOOKUP(D642,PREVVOLS,VLOOKUP(G642,MOVE_DOWN2,2,FALSE),FALSE),VLOOKUP(G642,NGPREVPRICES,3,FALSE),HLOOKUP(D642,Correllate,VLOOKUP(G642,CorMove,2,FALSE),FALSE),Q642-$CD$3,R642,$CJ$5)*H642</f>
        <v>-37326.691352101516</v>
      </c>
      <c r="CK643" s="235">
        <f t="shared" si="768"/>
        <v>-0.7</v>
      </c>
      <c r="CM643" t="str">
        <f t="shared" si="769"/>
        <v>36800Curve Shift/Gamma</v>
      </c>
      <c r="CN643" t="str">
        <f t="shared" si="747"/>
        <v>36800Rho</v>
      </c>
      <c r="CO643" t="str">
        <f t="shared" si="748"/>
        <v>36800Drift</v>
      </c>
      <c r="CP643" t="str">
        <f t="shared" si="749"/>
        <v>36800Vega</v>
      </c>
      <c r="CQ643" t="str">
        <f t="shared" si="750"/>
        <v>36800Theta</v>
      </c>
    </row>
    <row r="644" spans="1:95" x14ac:dyDescent="0.25">
      <c r="A644" s="140" t="s">
        <v>383</v>
      </c>
      <c r="B644" t="s">
        <v>250</v>
      </c>
      <c r="C644" t="s">
        <v>568</v>
      </c>
      <c r="D644" s="4" t="s">
        <v>190</v>
      </c>
      <c r="E644" t="s">
        <v>20</v>
      </c>
      <c r="F644" t="s">
        <v>21</v>
      </c>
      <c r="G644" s="5">
        <v>36770</v>
      </c>
      <c r="H644" s="130">
        <v>450000</v>
      </c>
      <c r="I644" s="235">
        <v>0.5</v>
      </c>
      <c r="J644" s="53">
        <f t="shared" si="751"/>
        <v>4.6849999999999996</v>
      </c>
      <c r="K644" s="7">
        <f t="shared" si="752"/>
        <v>2.5</v>
      </c>
      <c r="L644" s="53">
        <f t="shared" si="753"/>
        <v>7.1849999999999996</v>
      </c>
      <c r="M644" s="157">
        <f t="shared" si="754"/>
        <v>6.7216196212184998E-2</v>
      </c>
      <c r="N644" s="4">
        <f t="shared" si="755"/>
        <v>0.4</v>
      </c>
      <c r="O644" s="4">
        <f t="shared" si="756"/>
        <v>0.376</v>
      </c>
      <c r="P644" s="9">
        <f t="shared" si="757"/>
        <v>0.83</v>
      </c>
      <c r="Q644" s="5">
        <f t="shared" si="708"/>
        <v>36768</v>
      </c>
      <c r="R644" s="4">
        <f t="shared" si="758"/>
        <v>1</v>
      </c>
      <c r="S644" s="158">
        <f>_xll.xSPRDOPT($L644,$J644,$I644,$M644,$O644,$N644,$P644,$Q644-$C$3,$R644,0)</f>
        <v>1.999632240245053</v>
      </c>
      <c r="T644" s="159">
        <f>_xll.xSPRDOPT($L644,$J644,$I644,$M644,$O644,$N644,$P644,$Q644-$C$3,$R644,1)*H644</f>
        <v>449917.25403982564</v>
      </c>
      <c r="U644" s="160">
        <f t="shared" si="759"/>
        <v>899834.50811027386</v>
      </c>
      <c r="V644" s="159">
        <f>_xll.xSPRDOPT($L644,$J644,$I644,$M644,$O644,$N644,$P644,$Q644-$C$3,$R644,2)*H644</f>
        <v>-449917.27200629486</v>
      </c>
      <c r="W644" s="159">
        <f t="shared" si="760"/>
        <v>-1.7966469225939363E-2</v>
      </c>
      <c r="X644" s="51" t="str">
        <f t="shared" si="761"/>
        <v>36770NGI-SOCAL</v>
      </c>
      <c r="Y644" s="418">
        <f t="shared" si="762"/>
        <v>45</v>
      </c>
      <c r="Z644" s="456">
        <f t="shared" si="763"/>
        <v>0.9998161200885014</v>
      </c>
      <c r="AA644" s="456">
        <f>_xll.xSPRDOPT($L644,$J644,$I644,$M644,$O644,$N644,$P644,$Q644-$C$3,$R644,3)</f>
        <v>1.4396013659759965E-181</v>
      </c>
      <c r="AB644" s="456">
        <f>((_xll.xSPRDOPT($L644+AB$5,$J644,$I644,$M644,$O644,$N644,$P644,$Q644-$C$3,$R644,3)*$H644)/10000)/100</f>
        <v>6.4782061468919841E-182</v>
      </c>
      <c r="AC644" s="456">
        <f>((_xll.xSPRDOPT($L644+$AB$5,$J644,$I644,$M644,$O644,$N644,$P644,$Q644-$C$3,$R644,7)*$H644)/100)</f>
        <v>-1.6912159179531652E-4</v>
      </c>
      <c r="AD644" s="456">
        <f>(_xll.xSPRDOPT($L644+$AB$5,$J644,$I644,$M644,$O644,$N644,$P644,$Q644-$C$3,$R644,9)/365)*$H644</f>
        <v>165.7080838016953</v>
      </c>
      <c r="AE644">
        <f t="shared" si="707"/>
        <v>0</v>
      </c>
      <c r="AF644" s="456">
        <f t="shared" si="764"/>
        <v>4.7696221527027095E-7</v>
      </c>
      <c r="AG644" s="456">
        <f>((_xll.xSPRDOPT($L644,$J644,$I644,$M644,$O644,$N644,$P644,$Q644-$C$3,$R644,6)*$H644)/100)</f>
        <v>4.7659276351560819E-6</v>
      </c>
      <c r="AH644" s="456">
        <f>((_xll.xSPRDOPT($L644,$J644,$I644,$M644,$O644,$N644,$P644,$Q644-$C$3,$R644,5)*$H644)/100)</f>
        <v>-4.5627291700912882E-6</v>
      </c>
      <c r="AI644" s="456">
        <f>(((_xll.xSPRDOPT($L644,$J644,$I644,$M644,$O644,$N644,$P644,$Q644-$C$3,$R644,4)*$H644)/10000)/100)-AB644</f>
        <v>-1.8980670944015181E-5</v>
      </c>
      <c r="AJ644" s="456"/>
      <c r="CC644" s="141">
        <f t="shared" si="765"/>
        <v>36951</v>
      </c>
      <c r="CD644" s="234">
        <f>_xll.xSPRDOPT((VLOOKUP(G643,NGPrices,2,FALSE)+HLOOKUP(D643,Prices,VLOOKUP(G643,move_down,2,FALSE),FALSE)),VLOOKUP(G643,NGPrices,2,FALSE),I643,VLOOKUP(G643,NGPREVPRICES,4,FALSE),HLOOKUP(D643,PREVVOLS,VLOOKUP(G643,MOVE_DOWN2,2,FALSE),FALSE),VLOOKUP(G643,NGPREVPRICES,3,FALSE),HLOOKUP(D643,Correllate,VLOOKUP(G643,CorMove,2,FALSE),FALSE),Q643-$CD$3,R643,$CD$5)*H643-CJ644</f>
        <v>0</v>
      </c>
      <c r="CE644" s="234">
        <f>_xll.xSPRDOPT((VLOOKUP(G643,NGPREVPRICES,2,FALSE)+HLOOKUP(D643,PREVCURVES,VLOOKUP(G643,MOVE_DOWN2,2,FALSE),FALSE)),VLOOKUP(G643,NGPREVPRICES,2,FALSE),CK644,VLOOKUP(G643,NGPrices,4,FALSE),HLOOKUP(D643,PREVVOLS,VLOOKUP(G643,MOVE_DOWN2,2,FALSE),FALSE),VLOOKUP(G643,NGPREVPRICES,3,FALSE),HLOOKUP(D643,Correllate,VLOOKUP(G643,CorMove,2,FALSE),FALSE),Q643-$CD$3,R643,$CJ$5)*H643-CJ644</f>
        <v>0</v>
      </c>
      <c r="CF644" s="10">
        <f t="shared" si="766"/>
        <v>-91.087758724112064</v>
      </c>
      <c r="CG644" s="234">
        <f>_xll.xSPRDOPT((VLOOKUP(G643,NGPREVPRICES,2,FALSE)+HLOOKUP(D643,PREVCURVES,VLOOKUP(G643,MOVE_DOWN2,2,FALSE),FALSE)),VLOOKUP(G643,NGPREVPRICES,2,FALSE),CK644,VLOOKUP(G643,NGPREVPRICES,4,FALSE),HLOOKUP(D643,VOLS,VLOOKUP(G643,move_down,2,FALSE),FALSE),VLOOKUP(G643,NGPrices,3,FALSE),HLOOKUP(D643,Correllate,VLOOKUP(G643,CorMove,2,FALSE),FALSE),Q643-$CD$3,R643,$CJ$5)*H643-CJ644</f>
        <v>0</v>
      </c>
      <c r="CH644" s="234">
        <f>_xll.xSPRDOPT((VLOOKUP(G643,NGPREVPRICES,2,FALSE)+HLOOKUP(D643,PREVCURVES,VLOOKUP(G643,MOVE_DOWN2,2,FALSE),FALSE)),VLOOKUP(G643,NGPREVPRICES,2,FALSE),CK644,VLOOKUP(G643,NGPREVPRICES,4,FALSE),HLOOKUP(D643,PREVVOLS,VLOOKUP(G643,MOVE_DOWN2,2,FALSE),FALSE),VLOOKUP(G643,NGPREVPRICES,3,FALSE),HLOOKUP(D643,Correllate,VLOOKUP(G643,CorMove,2,FALSE),FALSE),Q643-$C$3,R643,$CJ$5)*H643-CJ644</f>
        <v>-2512.8996077053598</v>
      </c>
      <c r="CI644" s="234">
        <f t="shared" si="767"/>
        <v>-2603.9873664294719</v>
      </c>
      <c r="CJ644" s="234">
        <f>_xll.xSPRDOPT((VLOOKUP(G643,NGPREVPRICES,2,FALSE)+HLOOKUP(D643,PREVCURVES,VLOOKUP(G643,MOVE_DOWN2,2,FALSE),FALSE)),VLOOKUP(G643,NGPREVPRICES,2,FALSE),CK644,VLOOKUP(G643,NGPREVPRICES,4,FALSE),HLOOKUP(D643,PREVVOLS,VLOOKUP(G643,MOVE_DOWN2,2,FALSE),FALSE),VLOOKUP(G643,NGPREVPRICES,3,FALSE),HLOOKUP(D643,Correllate,VLOOKUP(G643,CorMove,2,FALSE),FALSE),Q643-$CD$3,R643,$CJ$5)*H643</f>
        <v>474947.1136479837</v>
      </c>
      <c r="CK644" s="235">
        <f t="shared" si="768"/>
        <v>2</v>
      </c>
      <c r="CM644" t="str">
        <f t="shared" si="769"/>
        <v>36951Curve Shift/Gamma</v>
      </c>
      <c r="CN644" t="str">
        <f t="shared" si="747"/>
        <v>36951Rho</v>
      </c>
      <c r="CO644" t="str">
        <f t="shared" si="748"/>
        <v>36951Drift</v>
      </c>
      <c r="CP644" t="str">
        <f t="shared" si="749"/>
        <v>36951Vega</v>
      </c>
      <c r="CQ644" t="str">
        <f t="shared" si="750"/>
        <v>36951Theta</v>
      </c>
    </row>
    <row r="645" spans="1:95" x14ac:dyDescent="0.25">
      <c r="A645" s="140" t="s">
        <v>383</v>
      </c>
      <c r="B645" t="s">
        <v>250</v>
      </c>
      <c r="C645" t="s">
        <v>568</v>
      </c>
      <c r="D645" s="4" t="s">
        <v>190</v>
      </c>
      <c r="E645" t="s">
        <v>20</v>
      </c>
      <c r="F645" t="s">
        <v>21</v>
      </c>
      <c r="G645" s="5">
        <v>36800</v>
      </c>
      <c r="H645" s="130">
        <v>465000</v>
      </c>
      <c r="I645" s="235">
        <v>0.5</v>
      </c>
      <c r="J645" s="53">
        <f t="shared" si="751"/>
        <v>4.6920000000000002</v>
      </c>
      <c r="K645" s="7">
        <f t="shared" si="752"/>
        <v>1.99</v>
      </c>
      <c r="L645" s="53">
        <f t="shared" si="753"/>
        <v>6.6820000000000004</v>
      </c>
      <c r="M645" s="157">
        <f t="shared" si="754"/>
        <v>6.8050789414654006E-2</v>
      </c>
      <c r="N645" s="4">
        <f t="shared" si="755"/>
        <v>0.57499999999999996</v>
      </c>
      <c r="O645" s="4">
        <f t="shared" si="756"/>
        <v>0.54100000000000004</v>
      </c>
      <c r="P645" s="9">
        <f t="shared" si="757"/>
        <v>0.83</v>
      </c>
      <c r="Q645" s="5">
        <f t="shared" si="708"/>
        <v>36797</v>
      </c>
      <c r="R645" s="4">
        <f t="shared" si="758"/>
        <v>1</v>
      </c>
      <c r="S645" s="158">
        <f>_xll.xSPRDOPT($L645,$J645,$I645,$M645,$O645,$N645,$P645,$Q645-$C$3,$R645,0)</f>
        <v>1.4820478711859699</v>
      </c>
      <c r="T645" s="159">
        <f>_xll.xSPRDOPT($L645,$J645,$I645,$M645,$O645,$N645,$P645,$Q645-$C$3,$R645,1)*H645</f>
        <v>461488.40128337417</v>
      </c>
      <c r="U645" s="160">
        <f t="shared" si="759"/>
        <v>689152.26010147599</v>
      </c>
      <c r="V645" s="159">
        <f>_xll.xSPRDOPT($L645,$J645,$I645,$M645,$O645,$N645,$P645,$Q645-$C$3,$R645,2)*H645</f>
        <v>-461179.06239017198</v>
      </c>
      <c r="W645" s="159">
        <f t="shared" si="760"/>
        <v>309.33889320219168</v>
      </c>
      <c r="X645" s="51" t="str">
        <f t="shared" si="761"/>
        <v>36800NGI-SOCAL</v>
      </c>
      <c r="Y645" s="418">
        <f t="shared" si="762"/>
        <v>46.5</v>
      </c>
      <c r="Z645" s="456">
        <f t="shared" si="763"/>
        <v>0.99244817480295522</v>
      </c>
      <c r="AA645" s="456">
        <f>_xll.xSPRDOPT($L645,$J645,$I645,$M645,$O645,$N645,$P645,$Q645-$C$3,$R645,3)</f>
        <v>1.05276084778876E-2</v>
      </c>
      <c r="AB645" s="456">
        <f>((_xll.xSPRDOPT($L645+AB$5,$J645,$I645,$M645,$O645,$N645,$P645,$Q645-$C$3,$R645,3)*$H645)/10000)/100</f>
        <v>4.895337942217734E-3</v>
      </c>
      <c r="AC645" s="456">
        <f>((_xll.xSPRDOPT($L645+$AB$5,$J645,$I645,$M645,$O645,$N645,$P645,$Q645-$C$3,$R645,7)*$H645)/100)</f>
        <v>-50.980514358169209</v>
      </c>
      <c r="AD645" s="456">
        <f>(_xll.xSPRDOPT($L645+$AB$5,$J645,$I645,$M645,$O645,$N645,$P645,$Q645-$C$3,$R645,9)/365)*$H645</f>
        <v>99.483124415273622</v>
      </c>
      <c r="AE645">
        <f t="shared" si="707"/>
        <v>0</v>
      </c>
      <c r="AF645" s="456">
        <f t="shared" si="764"/>
        <v>30.243054442648244</v>
      </c>
      <c r="AG645" s="456">
        <f>((_xll.xSPRDOPT($L645,$J645,$I645,$M645,$O645,$N645,$P645,$Q645-$C$3,$R645,6)*$H645)/100)</f>
        <v>12.461463593065739</v>
      </c>
      <c r="AH645" s="456">
        <f>((_xll.xSPRDOPT($L645,$J645,$I645,$M645,$O645,$N645,$P645,$Q645-$C$3,$R645,5)*$H645)/100)</f>
        <v>18.899103028669018</v>
      </c>
      <c r="AI645" s="456">
        <f>(((_xll.xSPRDOPT($L645,$J645,$I645,$M645,$O645,$N645,$P645,$Q645-$C$3,$R645,4)*$H645)/10000)/100)-AB645</f>
        <v>3.3812407846287584E-3</v>
      </c>
      <c r="AJ645" s="456"/>
      <c r="CC645" s="141">
        <f t="shared" si="765"/>
        <v>36770</v>
      </c>
      <c r="CD645" s="234">
        <f>_xll.xSPRDOPT((VLOOKUP(G644,NGPrices,2,FALSE)+HLOOKUP(D644,Prices,VLOOKUP(G644,move_down,2,FALSE),FALSE)),VLOOKUP(G644,NGPrices,2,FALSE),I644,VLOOKUP(G644,NGPREVPRICES,4,FALSE),HLOOKUP(D644,PREVVOLS,VLOOKUP(G644,MOVE_DOWN2,2,FALSE),FALSE),VLOOKUP(G644,NGPREVPRICES,3,FALSE),HLOOKUP(D644,Correllate,VLOOKUP(G644,CorMove,2,FALSE),FALSE),Q644-$CD$3,R644,$CD$5)*H644-CJ645</f>
        <v>0</v>
      </c>
      <c r="CE645" s="234">
        <f>_xll.xSPRDOPT((VLOOKUP(G644,NGPREVPRICES,2,FALSE)+HLOOKUP(D644,PREVCURVES,VLOOKUP(G644,MOVE_DOWN2,2,FALSE),FALSE)),VLOOKUP(G644,NGPREVPRICES,2,FALSE),CK645,VLOOKUP(G644,NGPrices,4,FALSE),HLOOKUP(D644,PREVVOLS,VLOOKUP(G644,MOVE_DOWN2,2,FALSE),FALSE),VLOOKUP(G644,NGPREVPRICES,3,FALSE),HLOOKUP(D644,Correllate,VLOOKUP(G644,CorMove,2,FALSE),FALSE),Q644-$CD$3,R644,$CJ$5)*H644-CJ645</f>
        <v>0</v>
      </c>
      <c r="CF645" s="10">
        <f t="shared" si="766"/>
        <v>-163.94283436832484</v>
      </c>
      <c r="CG645" s="234">
        <f>_xll.xSPRDOPT((VLOOKUP(G644,NGPREVPRICES,2,FALSE)+HLOOKUP(D644,PREVCURVES,VLOOKUP(G644,MOVE_DOWN2,2,FALSE),FALSE)),VLOOKUP(G644,NGPREVPRICES,2,FALSE),CK645,VLOOKUP(G644,NGPREVPRICES,4,FALSE),HLOOKUP(D644,VOLS,VLOOKUP(G644,move_down,2,FALSE),FALSE),VLOOKUP(G644,NGPrices,3,FALSE),HLOOKUP(D644,Correllate,VLOOKUP(G644,CorMove,2,FALSE),FALSE),Q644-$CD$3,R644,$CJ$5)*H644-CJ645</f>
        <v>0</v>
      </c>
      <c r="CH645" s="234">
        <f>_xll.xSPRDOPT((VLOOKUP(G644,NGPREVPRICES,2,FALSE)+HLOOKUP(D644,PREVCURVES,VLOOKUP(G644,MOVE_DOWN2,2,FALSE),FALSE)),VLOOKUP(G644,NGPREVPRICES,2,FALSE),CK645,VLOOKUP(G644,NGPREVPRICES,4,FALSE),HLOOKUP(D644,PREVVOLS,VLOOKUP(G644,MOVE_DOWN2,2,FALSE),FALSE),VLOOKUP(G644,NGPREVPRICES,3,FALSE),HLOOKUP(D644,Correllate,VLOOKUP(G644,CorMove,2,FALSE),FALSE),Q644-$C$3,R644,$CJ$5)*H644-CJ645</f>
        <v>165.57942668884061</v>
      </c>
      <c r="CI645" s="234">
        <f t="shared" si="767"/>
        <v>1.6365923205157742</v>
      </c>
      <c r="CJ645" s="234">
        <f>_xll.xSPRDOPT((VLOOKUP(G644,NGPREVPRICES,2,FALSE)+HLOOKUP(D644,PREVCURVES,VLOOKUP(G644,MOVE_DOWN2,2,FALSE),FALSE)),VLOOKUP(G644,NGPREVPRICES,2,FALSE),CK645,VLOOKUP(G644,NGPREVPRICES,4,FALSE),HLOOKUP(D644,PREVVOLS,VLOOKUP(G644,MOVE_DOWN2,2,FALSE),FALSE),VLOOKUP(G644,NGPREVPRICES,3,FALSE),HLOOKUP(D644,Correllate,VLOOKUP(G644,CorMove,2,FALSE),FALSE),Q644-$CD$3,R644,$CJ$5)*H644</f>
        <v>899668.92868358502</v>
      </c>
      <c r="CK645" s="235">
        <f t="shared" si="768"/>
        <v>0.5</v>
      </c>
      <c r="CM645" t="str">
        <f t="shared" si="769"/>
        <v>36770Curve Shift/Gamma</v>
      </c>
      <c r="CN645" t="str">
        <f t="shared" si="747"/>
        <v>36770Rho</v>
      </c>
      <c r="CO645" t="str">
        <f t="shared" si="748"/>
        <v>36770Drift</v>
      </c>
      <c r="CP645" t="str">
        <f t="shared" si="749"/>
        <v>36770Vega</v>
      </c>
      <c r="CQ645" t="str">
        <f t="shared" si="750"/>
        <v>36770Theta</v>
      </c>
    </row>
    <row r="646" spans="1:95" x14ac:dyDescent="0.25">
      <c r="A646" s="140" t="s">
        <v>284</v>
      </c>
      <c r="B646" t="s">
        <v>250</v>
      </c>
      <c r="C646" t="s">
        <v>569</v>
      </c>
      <c r="D646" s="4" t="s">
        <v>7</v>
      </c>
      <c r="E646" t="s">
        <v>20</v>
      </c>
      <c r="F646" t="s">
        <v>1</v>
      </c>
      <c r="G646" s="5">
        <v>36982</v>
      </c>
      <c r="H646" s="130">
        <v>300000</v>
      </c>
      <c r="I646" s="235">
        <v>0.3</v>
      </c>
      <c r="J646" s="53">
        <f t="shared" si="751"/>
        <v>3.9380000000000002</v>
      </c>
      <c r="K646" s="7">
        <f t="shared" si="752"/>
        <v>0.52</v>
      </c>
      <c r="L646" s="53">
        <f t="shared" si="753"/>
        <v>4.4580000000000002</v>
      </c>
      <c r="M646" s="157">
        <f t="shared" si="754"/>
        <v>6.9061726541120999E-2</v>
      </c>
      <c r="N646" s="4">
        <f t="shared" si="755"/>
        <v>0.4425</v>
      </c>
      <c r="O646" s="4">
        <f t="shared" si="756"/>
        <v>0.434</v>
      </c>
      <c r="P646" s="9">
        <f t="shared" si="757"/>
        <v>0.9738</v>
      </c>
      <c r="Q646" s="5">
        <f t="shared" si="708"/>
        <v>36979</v>
      </c>
      <c r="R646" s="4">
        <f t="shared" si="758"/>
        <v>0</v>
      </c>
      <c r="S646" s="158">
        <f>_xll.xSPRDOPT($L646,$J646,$I646,$M646,$O646,$N646,$P646,$Q646-$C$3,$R646,0)</f>
        <v>4.7900160508101752E-2</v>
      </c>
      <c r="T646" s="159">
        <f>_xll.xSPRDOPT($L646,$J646,$I646,$M646,$O646,$N646,$P646,$Q646-$C$3,$R646,1)*H646</f>
        <v>-69229.532884918823</v>
      </c>
      <c r="U646" s="160">
        <f t="shared" si="759"/>
        <v>14370.048152430525</v>
      </c>
      <c r="V646" s="159">
        <f>_xll.xSPRDOPT($L646,$J646,$I646,$M646,$O646,$N646,$P646,$Q646-$C$3,$R646,2)*H646</f>
        <v>75903.495413081473</v>
      </c>
      <c r="W646" s="159">
        <f t="shared" si="760"/>
        <v>6673.9625281626504</v>
      </c>
      <c r="X646" s="51" t="str">
        <f t="shared" si="761"/>
        <v>36982IF-TRANSCO/Z6</v>
      </c>
      <c r="Y646" s="418">
        <f t="shared" si="762"/>
        <v>30</v>
      </c>
      <c r="Z646" s="456">
        <f t="shared" si="763"/>
        <v>-0.23076510961639607</v>
      </c>
      <c r="AA646" s="456">
        <f>_xll.xSPRDOPT($L646,$J646,$I646,$M646,$O646,$N646,$P646,$Q646-$C$3,$R646,3)</f>
        <v>0.88242485183694386</v>
      </c>
      <c r="AB646" s="456">
        <f>((_xll.xSPRDOPT($L646+AB$5,$J646,$I646,$M646,$O646,$N646,$P646,$Q646-$C$3,$R646,3)*$H646)/10000)/100</f>
        <v>0.26472745555108312</v>
      </c>
      <c r="AC646" s="456">
        <f>((_xll.xSPRDOPT($L646+$AB$5,$J646,$I646,$M646,$O646,$N646,$P646,$Q646-$C$3,$R646,7)*$H646)/100)</f>
        <v>-5440.515504419539</v>
      </c>
      <c r="AD646" s="456">
        <f>(_xll.xSPRDOPT($L646+$AB$5,$J646,$I646,$M646,$O646,$N646,$P646,$Q646-$C$3,$R646,9)/365)*$H646</f>
        <v>-69.305122976481243</v>
      </c>
      <c r="AE646">
        <f t="shared" ref="AE646:AE687" si="770">CD647</f>
        <v>0</v>
      </c>
      <c r="AF646" s="456">
        <f t="shared" si="764"/>
        <v>689.65667676355827</v>
      </c>
      <c r="AG646" s="456">
        <f>((_xll.xSPRDOPT($L646,$J646,$I646,$M646,$O646,$N646,$P646,$Q646-$C$3,$R646,6)*$H646)/100)</f>
        <v>-336.0215850835524</v>
      </c>
      <c r="AH646" s="456">
        <f>((_xll.xSPRDOPT($L646,$J646,$I646,$M646,$O646,$N646,$P646,$Q646-$C$3,$R646,5)*$H646)/100)</f>
        <v>1045.7664305699227</v>
      </c>
      <c r="AI646" s="456">
        <f>(((_xll.xSPRDOPT($L646,$J646,$I646,$M646,$O646,$N646,$P646,$Q646-$C$3,$R646,4)*$H646)/10000)/100)-AB646</f>
        <v>2.743214014118539E-2</v>
      </c>
      <c r="AJ646" s="456"/>
      <c r="CC646" s="141">
        <f t="shared" si="765"/>
        <v>36800</v>
      </c>
      <c r="CD646" s="234">
        <f>_xll.xSPRDOPT((VLOOKUP(G645,NGPrices,2,FALSE)+HLOOKUP(D645,Prices,VLOOKUP(G645,move_down,2,FALSE),FALSE)),VLOOKUP(G645,NGPrices,2,FALSE),I645,VLOOKUP(G645,NGPREVPRICES,4,FALSE),HLOOKUP(D645,PREVVOLS,VLOOKUP(G645,MOVE_DOWN2,2,FALSE),FALSE),VLOOKUP(G645,NGPREVPRICES,3,FALSE),HLOOKUP(D645,Correllate,VLOOKUP(G645,CorMove,2,FALSE),FALSE),Q645-$CD$3,R645,$CD$5)*H645-CJ646</f>
        <v>0</v>
      </c>
      <c r="CE646" s="234">
        <f>_xll.xSPRDOPT((VLOOKUP(G645,NGPREVPRICES,2,FALSE)+HLOOKUP(D645,PREVCURVES,VLOOKUP(G645,MOVE_DOWN2,2,FALSE),FALSE)),VLOOKUP(G645,NGPREVPRICES,2,FALSE),CK646,VLOOKUP(G645,NGPrices,4,FALSE),HLOOKUP(D645,PREVVOLS,VLOOKUP(G645,MOVE_DOWN2,2,FALSE),FALSE),VLOOKUP(G645,NGPREVPRICES,3,FALSE),HLOOKUP(D645,Correllate,VLOOKUP(G645,CorMove,2,FALSE),FALSE),Q645-$CD$3,R645,$CJ$5)*H645-CJ646</f>
        <v>0</v>
      </c>
      <c r="CF646" s="10">
        <f t="shared" si="766"/>
        <v>-127.03116555395536</v>
      </c>
      <c r="CG646" s="234">
        <f>_xll.xSPRDOPT((VLOOKUP(G645,NGPREVPRICES,2,FALSE)+HLOOKUP(D645,PREVCURVES,VLOOKUP(G645,MOVE_DOWN2,2,FALSE),FALSE)),VLOOKUP(G645,NGPREVPRICES,2,FALSE),CK646,VLOOKUP(G645,NGPREVPRICES,4,FALSE),HLOOKUP(D645,VOLS,VLOOKUP(G645,move_down,2,FALSE),FALSE),VLOOKUP(G645,NGPrices,3,FALSE),HLOOKUP(D645,Correllate,VLOOKUP(G645,CorMove,2,FALSE),FALSE),Q645-$CD$3,R645,$CJ$5)*H645-CJ646</f>
        <v>0</v>
      </c>
      <c r="CH646" s="234">
        <f>_xll.xSPRDOPT((VLOOKUP(G645,NGPREVPRICES,2,FALSE)+HLOOKUP(D645,PREVCURVES,VLOOKUP(G645,MOVE_DOWN2,2,FALSE),FALSE)),VLOOKUP(G645,NGPREVPRICES,2,FALSE),CK646,VLOOKUP(G645,NGPREVPRICES,4,FALSE),HLOOKUP(D645,PREVVOLS,VLOOKUP(G645,MOVE_DOWN2,2,FALSE),FALSE),VLOOKUP(G645,NGPREVPRICES,3,FALSE),HLOOKUP(D645,Correllate,VLOOKUP(G645,CorMove,2,FALSE),FALSE),Q645-$C$3,R645,$CJ$5)*H645-CJ646</f>
        <v>97.683771512005478</v>
      </c>
      <c r="CI646" s="234">
        <f t="shared" si="767"/>
        <v>-29.347394041949883</v>
      </c>
      <c r="CJ646" s="234">
        <f>_xll.xSPRDOPT((VLOOKUP(G645,NGPREVPRICES,2,FALSE)+HLOOKUP(D645,PREVCURVES,VLOOKUP(G645,MOVE_DOWN2,2,FALSE),FALSE)),VLOOKUP(G645,NGPREVPRICES,2,FALSE),CK646,VLOOKUP(G645,NGPREVPRICES,4,FALSE),HLOOKUP(D645,PREVVOLS,VLOOKUP(G645,MOVE_DOWN2,2,FALSE),FALSE),VLOOKUP(G645,NGPREVPRICES,3,FALSE),HLOOKUP(D645,Correllate,VLOOKUP(G645,CorMove,2,FALSE),FALSE),Q645-$CD$3,R645,$CJ$5)*H645</f>
        <v>689054.57632996398</v>
      </c>
      <c r="CK646" s="235">
        <f t="shared" si="768"/>
        <v>0.5</v>
      </c>
      <c r="CM646" t="str">
        <f t="shared" si="769"/>
        <v>36800Curve Shift/Gamma</v>
      </c>
      <c r="CN646" t="str">
        <f t="shared" si="747"/>
        <v>36800Rho</v>
      </c>
      <c r="CO646" t="str">
        <f t="shared" si="748"/>
        <v>36800Drift</v>
      </c>
      <c r="CP646" t="str">
        <f t="shared" si="749"/>
        <v>36800Vega</v>
      </c>
      <c r="CQ646" t="str">
        <f t="shared" si="750"/>
        <v>36800Theta</v>
      </c>
    </row>
    <row r="647" spans="1:95" x14ac:dyDescent="0.25">
      <c r="A647" s="140" t="s">
        <v>284</v>
      </c>
      <c r="B647" t="s">
        <v>250</v>
      </c>
      <c r="C647" t="s">
        <v>569</v>
      </c>
      <c r="D647" s="4" t="s">
        <v>7</v>
      </c>
      <c r="E647" t="s">
        <v>20</v>
      </c>
      <c r="F647" t="s">
        <v>1</v>
      </c>
      <c r="G647" s="5">
        <v>37012</v>
      </c>
      <c r="H647" s="130">
        <v>310000</v>
      </c>
      <c r="I647" s="235">
        <v>0.3</v>
      </c>
      <c r="J647" s="53">
        <f t="shared" si="751"/>
        <v>3.8380000000000001</v>
      </c>
      <c r="K647" s="7">
        <f t="shared" si="752"/>
        <v>0.40500000000000003</v>
      </c>
      <c r="L647" s="53">
        <f t="shared" si="753"/>
        <v>4.2430000000000003</v>
      </c>
      <c r="M647" s="157">
        <f t="shared" si="754"/>
        <v>6.9101151218999998E-2</v>
      </c>
      <c r="N647" s="4">
        <f t="shared" si="755"/>
        <v>0.40500000000000003</v>
      </c>
      <c r="O647" s="4">
        <f t="shared" si="756"/>
        <v>0.39700000000000002</v>
      </c>
      <c r="P647" s="9">
        <f t="shared" si="757"/>
        <v>0.9738</v>
      </c>
      <c r="Q647" s="5">
        <f t="shared" ref="Q647:Q710" si="771">WORKDAY(G647,-2)</f>
        <v>37008</v>
      </c>
      <c r="R647" s="4">
        <f t="shared" si="758"/>
        <v>0</v>
      </c>
      <c r="S647" s="158">
        <f>_xll.xSPRDOPT($L647,$J647,$I647,$M647,$O647,$N647,$P647,$Q647-$C$3,$R647,0)</f>
        <v>7.4822127414418682E-2</v>
      </c>
      <c r="T647" s="159">
        <f>_xll.xSPRDOPT($L647,$J647,$I647,$M647,$O647,$N647,$P647,$Q647-$C$3,$R647,1)*H647</f>
        <v>-104641.74380544151</v>
      </c>
      <c r="U647" s="160">
        <f t="shared" si="759"/>
        <v>23194.859498469792</v>
      </c>
      <c r="V647" s="159">
        <f>_xll.xSPRDOPT($L647,$J647,$I647,$M647,$O647,$N647,$P647,$Q647-$C$3,$R647,2)*H647</f>
        <v>112533.5357540727</v>
      </c>
      <c r="W647" s="159">
        <f t="shared" si="760"/>
        <v>7891.7919486311876</v>
      </c>
      <c r="X647" s="51" t="str">
        <f t="shared" si="761"/>
        <v>37012IF-TRANSCO/Z6</v>
      </c>
      <c r="Y647" s="418">
        <f t="shared" si="762"/>
        <v>31</v>
      </c>
      <c r="Z647" s="456">
        <f t="shared" si="763"/>
        <v>-0.33755401227561777</v>
      </c>
      <c r="AA647" s="456">
        <f>_xll.xSPRDOPT($L647,$J647,$I647,$M647,$O647,$N647,$P647,$Q647-$C$3,$R647,3)</f>
        <v>1.1297989794907344</v>
      </c>
      <c r="AB647" s="456">
        <f>((_xll.xSPRDOPT($L647+AB$5,$J647,$I647,$M647,$O647,$N647,$P647,$Q647-$C$3,$R647,3)*$H647)/10000)/100</f>
        <v>0.35023768364212765</v>
      </c>
      <c r="AC647" s="456">
        <f>((_xll.xSPRDOPT($L647+$AB$5,$J647,$I647,$M647,$O647,$N647,$P647,$Q647-$C$3,$R647,7)*$H647)/100)</f>
        <v>-6200.8137826833399</v>
      </c>
      <c r="AD647" s="456">
        <f>(_xll.xSPRDOPT($L647+$AB$5,$J647,$I647,$M647,$O647,$N647,$P647,$Q647-$C$3,$R647,9)/365)*$H647</f>
        <v>-67.804591241580468</v>
      </c>
      <c r="AE647">
        <f t="shared" si="770"/>
        <v>0</v>
      </c>
      <c r="AF647" s="456">
        <f t="shared" si="764"/>
        <v>858.63101571419759</v>
      </c>
      <c r="AG647" s="456">
        <f>((_xll.xSPRDOPT($L647,$J647,$I647,$M647,$O647,$N647,$P647,$Q647-$C$3,$R647,6)*$H647)/100)</f>
        <v>-422.37805820680944</v>
      </c>
      <c r="AH647" s="456">
        <f>((_xll.xSPRDOPT($L647,$J647,$I647,$M647,$O647,$N647,$P647,$Q647-$C$3,$R647,5)*$H647)/100)</f>
        <v>1306.8228587859141</v>
      </c>
      <c r="AI647" s="456">
        <f>(((_xll.xSPRDOPT($L647,$J647,$I647,$M647,$O647,$N647,$P647,$Q647-$C$3,$R647,4)*$H647)/10000)/100)-AB647</f>
        <v>1.7799608595781446E-2</v>
      </c>
      <c r="AJ647" s="456"/>
      <c r="CC647" s="141">
        <f t="shared" si="765"/>
        <v>36982</v>
      </c>
      <c r="CD647" s="234">
        <f>_xll.xSPRDOPT((VLOOKUP(G646,NGPrices,2,FALSE)+HLOOKUP(D646,Prices,VLOOKUP(G646,move_down,2,FALSE),FALSE)),VLOOKUP(G646,NGPrices,2,FALSE),I646,VLOOKUP(G646,NGPREVPRICES,4,FALSE),HLOOKUP(D646,PREVVOLS,VLOOKUP(G646,MOVE_DOWN2,2,FALSE),FALSE),VLOOKUP(G646,NGPREVPRICES,3,FALSE),HLOOKUP(D646,Correllate,VLOOKUP(G646,CorMove,2,FALSE),FALSE),Q646-$CD$3,R646,$CD$5)*H646-CJ647</f>
        <v>0</v>
      </c>
      <c r="CE647" s="234">
        <f>_xll.xSPRDOPT((VLOOKUP(G646,NGPREVPRICES,2,FALSE)+HLOOKUP(D646,PREVCURVES,VLOOKUP(G646,MOVE_DOWN2,2,FALSE),FALSE)),VLOOKUP(G646,NGPREVPRICES,2,FALSE),CK647,VLOOKUP(G646,NGPrices,4,FALSE),HLOOKUP(D646,PREVVOLS,VLOOKUP(G646,MOVE_DOWN2,2,FALSE),FALSE),VLOOKUP(G646,NGPREVPRICES,3,FALSE),HLOOKUP(D646,Correllate,VLOOKUP(G646,CorMove,2,FALSE),FALSE),Q646-$CD$3,R646,$CJ$5)*H646-CJ647</f>
        <v>0</v>
      </c>
      <c r="CF647" s="10">
        <f t="shared" si="766"/>
        <v>-2.791916360385585</v>
      </c>
      <c r="CG647" s="234">
        <f>_xll.xSPRDOPT((VLOOKUP(G646,NGPREVPRICES,2,FALSE)+HLOOKUP(D646,PREVCURVES,VLOOKUP(G646,MOVE_DOWN2,2,FALSE),FALSE)),VLOOKUP(G646,NGPREVPRICES,2,FALSE),CK647,VLOOKUP(G646,NGPREVPRICES,4,FALSE),HLOOKUP(D646,VOLS,VLOOKUP(G646,move_down,2,FALSE),FALSE),VLOOKUP(G646,NGPrices,3,FALSE),HLOOKUP(D646,Correllate,VLOOKUP(G646,CorMove,2,FALSE),FALSE),Q646-$CD$3,R646,$CJ$5)*H646-CJ647</f>
        <v>0</v>
      </c>
      <c r="CH647" s="234">
        <f>_xll.xSPRDOPT((VLOOKUP(G646,NGPREVPRICES,2,FALSE)+HLOOKUP(D646,PREVCURVES,VLOOKUP(G646,MOVE_DOWN2,2,FALSE),FALSE)),VLOOKUP(G646,NGPREVPRICES,2,FALSE),CK647,VLOOKUP(G646,NGPREVPRICES,4,FALSE),HLOOKUP(D646,PREVVOLS,VLOOKUP(G646,MOVE_DOWN2,2,FALSE),FALSE),VLOOKUP(G646,NGPREVPRICES,3,FALSE),HLOOKUP(D646,Correllate,VLOOKUP(G646,CorMove,2,FALSE),FALSE),Q646-$C$3,R646,$CJ$5)*H646-CJ647</f>
        <v>-69.198545925570215</v>
      </c>
      <c r="CI647" s="234">
        <f t="shared" si="767"/>
        <v>-71.9904622859558</v>
      </c>
      <c r="CJ647" s="234">
        <f>_xll.xSPRDOPT((VLOOKUP(G646,NGPREVPRICES,2,FALSE)+HLOOKUP(D646,PREVCURVES,VLOOKUP(G646,MOVE_DOWN2,2,FALSE),FALSE)),VLOOKUP(G646,NGPREVPRICES,2,FALSE),CK647,VLOOKUP(G646,NGPREVPRICES,4,FALSE),HLOOKUP(D646,PREVVOLS,VLOOKUP(G646,MOVE_DOWN2,2,FALSE),FALSE),VLOOKUP(G646,NGPREVPRICES,3,FALSE),HLOOKUP(D646,Correllate,VLOOKUP(G646,CorMove,2,FALSE),FALSE),Q646-$CD$3,R646,$CJ$5)*H646</f>
        <v>14439.246698356095</v>
      </c>
      <c r="CK647" s="235">
        <f t="shared" si="768"/>
        <v>0.3</v>
      </c>
      <c r="CM647" t="str">
        <f t="shared" si="769"/>
        <v>36982Curve Shift/Gamma</v>
      </c>
      <c r="CN647" t="str">
        <f t="shared" si="747"/>
        <v>36982Rho</v>
      </c>
      <c r="CO647" t="str">
        <f t="shared" si="748"/>
        <v>36982Drift</v>
      </c>
      <c r="CP647" t="str">
        <f t="shared" si="749"/>
        <v>36982Vega</v>
      </c>
      <c r="CQ647" t="str">
        <f t="shared" si="750"/>
        <v>36982Theta</v>
      </c>
    </row>
    <row r="648" spans="1:95" x14ac:dyDescent="0.25">
      <c r="A648" s="140" t="s">
        <v>284</v>
      </c>
      <c r="B648" t="s">
        <v>250</v>
      </c>
      <c r="C648" t="s">
        <v>569</v>
      </c>
      <c r="D648" s="4" t="s">
        <v>7</v>
      </c>
      <c r="E648" t="s">
        <v>20</v>
      </c>
      <c r="F648" t="s">
        <v>1</v>
      </c>
      <c r="G648" s="5">
        <v>37043</v>
      </c>
      <c r="H648" s="130">
        <v>300000</v>
      </c>
      <c r="I648" s="235">
        <v>0.3</v>
      </c>
      <c r="J648" s="53">
        <f t="shared" si="751"/>
        <v>3.8180000000000001</v>
      </c>
      <c r="K648" s="7">
        <f t="shared" si="752"/>
        <v>0.39500000000000002</v>
      </c>
      <c r="L648" s="53">
        <f t="shared" si="753"/>
        <v>4.2130000000000001</v>
      </c>
      <c r="M648" s="157">
        <f t="shared" si="754"/>
        <v>6.9141890053328006E-2</v>
      </c>
      <c r="N648" s="4">
        <f t="shared" si="755"/>
        <v>0.4</v>
      </c>
      <c r="O648" s="4">
        <f t="shared" si="756"/>
        <v>0.39200000000000002</v>
      </c>
      <c r="P648" s="9">
        <f t="shared" si="757"/>
        <v>0.9738</v>
      </c>
      <c r="Q648" s="5">
        <f t="shared" si="771"/>
        <v>37041</v>
      </c>
      <c r="R648" s="4">
        <f t="shared" si="758"/>
        <v>0</v>
      </c>
      <c r="S648" s="158">
        <f>_xll.xSPRDOPT($L648,$J648,$I648,$M648,$O648,$N648,$P648,$Q648-$C$3,$R648,0)</f>
        <v>8.3169699169893974E-2</v>
      </c>
      <c r="T648" s="159">
        <f>_xll.xSPRDOPT($L648,$J648,$I648,$M648,$O648,$N648,$P648,$Q648-$C$3,$R648,1)*H648</f>
        <v>-105313.25283078969</v>
      </c>
      <c r="U648" s="160">
        <f t="shared" si="759"/>
        <v>24950.909750968192</v>
      </c>
      <c r="V648" s="159">
        <f>_xll.xSPRDOPT($L648,$J648,$I648,$M648,$O648,$N648,$P648,$Q648-$C$3,$R648,2)*H648</f>
        <v>113418.03000295334</v>
      </c>
      <c r="W648" s="159">
        <f t="shared" si="760"/>
        <v>8104.7771721636527</v>
      </c>
      <c r="X648" s="51" t="str">
        <f t="shared" si="761"/>
        <v>37043IF-TRANSCO/Z6</v>
      </c>
      <c r="Y648" s="418">
        <f t="shared" si="762"/>
        <v>30</v>
      </c>
      <c r="Z648" s="456">
        <f t="shared" si="763"/>
        <v>-0.35104417610263228</v>
      </c>
      <c r="AA648" s="456">
        <f>_xll.xSPRDOPT($L648,$J648,$I648,$M648,$O648,$N648,$P648,$Q648-$C$3,$R648,3)</f>
        <v>1.0905369348515652</v>
      </c>
      <c r="AB648" s="456">
        <f>((_xll.xSPRDOPT($L648+AB$5,$J648,$I648,$M648,$O648,$N648,$P648,$Q648-$C$3,$R648,3)*$H648)/10000)/100</f>
        <v>0.32716108045546954</v>
      </c>
      <c r="AC648" s="456">
        <f>((_xll.xSPRDOPT($L648+$AB$5,$J648,$I648,$M648,$O648,$N648,$P648,$Q648-$C$3,$R648,7)*$H648)/100)</f>
        <v>-6330.2383091576894</v>
      </c>
      <c r="AD648" s="456">
        <f>(_xll.xSPRDOPT($L648+$AB$5,$J648,$I648,$M648,$O648,$N648,$P648,$Q648-$C$3,$R648,9)/365)*$H648</f>
        <v>-60.168186096793235</v>
      </c>
      <c r="AE648">
        <f t="shared" si="770"/>
        <v>0</v>
      </c>
      <c r="AF648" s="456">
        <f t="shared" si="764"/>
        <v>888.44789934235268</v>
      </c>
      <c r="AG648" s="456">
        <f>((_xll.xSPRDOPT($L648,$J648,$I648,$M648,$O648,$N648,$P648,$Q648-$C$3,$R648,6)*$H648)/100)</f>
        <v>-435.20258828604756</v>
      </c>
      <c r="AH648" s="456">
        <f>((_xll.xSPRDOPT($L648,$J648,$I648,$M648,$O648,$N648,$P648,$Q648-$C$3,$R648,5)*$H648)/100)</f>
        <v>1350.6637628861226</v>
      </c>
      <c r="AI648" s="456">
        <f>(((_xll.xSPRDOPT($L648,$J648,$I648,$M648,$O648,$N648,$P648,$Q648-$C$3,$R648,4)*$H648)/10000)/100)-AB648</f>
        <v>1.5211378208325577E-2</v>
      </c>
      <c r="AJ648" s="456"/>
      <c r="CC648" s="141">
        <f t="shared" si="765"/>
        <v>37012</v>
      </c>
      <c r="CD648" s="234">
        <f>_xll.xSPRDOPT((VLOOKUP(G647,NGPrices,2,FALSE)+HLOOKUP(D647,Prices,VLOOKUP(G647,move_down,2,FALSE),FALSE)),VLOOKUP(G647,NGPrices,2,FALSE),I647,VLOOKUP(G647,NGPREVPRICES,4,FALSE),HLOOKUP(D647,PREVVOLS,VLOOKUP(G647,MOVE_DOWN2,2,FALSE),FALSE),VLOOKUP(G647,NGPREVPRICES,3,FALSE),HLOOKUP(D647,Correllate,VLOOKUP(G647,CorMove,2,FALSE),FALSE),Q647-$CD$3,R647,$CD$5)*H647-CJ648</f>
        <v>0</v>
      </c>
      <c r="CE648" s="234">
        <f>_xll.xSPRDOPT((VLOOKUP(G647,NGPREVPRICES,2,FALSE)+HLOOKUP(D647,PREVCURVES,VLOOKUP(G647,MOVE_DOWN2,2,FALSE),FALSE)),VLOOKUP(G647,NGPREVPRICES,2,FALSE),CK648,VLOOKUP(G647,NGPrices,4,FALSE),HLOOKUP(D647,PREVVOLS,VLOOKUP(G647,MOVE_DOWN2,2,FALSE),FALSE),VLOOKUP(G647,NGPREVPRICES,3,FALSE),HLOOKUP(D647,Correllate,VLOOKUP(G647,CorMove,2,FALSE),FALSE),Q647-$CD$3,R647,$CJ$5)*H647-CJ648</f>
        <v>0</v>
      </c>
      <c r="CF648" s="10">
        <f t="shared" si="766"/>
        <v>-4.5253071445622481</v>
      </c>
      <c r="CG648" s="234">
        <f>_xll.xSPRDOPT((VLOOKUP(G647,NGPREVPRICES,2,FALSE)+HLOOKUP(D647,PREVCURVES,VLOOKUP(G647,MOVE_DOWN2,2,FALSE),FALSE)),VLOOKUP(G647,NGPREVPRICES,2,FALSE),CK648,VLOOKUP(G647,NGPREVPRICES,4,FALSE),HLOOKUP(D647,VOLS,VLOOKUP(G647,move_down,2,FALSE),FALSE),VLOOKUP(G647,NGPrices,3,FALSE),HLOOKUP(D647,Correllate,VLOOKUP(G647,CorMove,2,FALSE),FALSE),Q647-$CD$3,R647,$CJ$5)*H647-CJ648</f>
        <v>0</v>
      </c>
      <c r="CH648" s="234">
        <f>_xll.xSPRDOPT((VLOOKUP(G647,NGPREVPRICES,2,FALSE)+HLOOKUP(D647,PREVCURVES,VLOOKUP(G647,MOVE_DOWN2,2,FALSE),FALSE)),VLOOKUP(G647,NGPREVPRICES,2,FALSE),CK648,VLOOKUP(G647,NGPREVPRICES,4,FALSE),HLOOKUP(D647,PREVVOLS,VLOOKUP(G647,MOVE_DOWN2,2,FALSE),FALSE),VLOOKUP(G647,NGPREVPRICES,3,FALSE),HLOOKUP(D647,Correllate,VLOOKUP(G647,CorMove,2,FALSE),FALSE),Q647-$C$3,R647,$CJ$5)*H647-CJ648</f>
        <v>-67.679797486845928</v>
      </c>
      <c r="CI648" s="234">
        <f t="shared" si="767"/>
        <v>-72.205104631408176</v>
      </c>
      <c r="CJ648" s="234">
        <f>_xll.xSPRDOPT((VLOOKUP(G647,NGPREVPRICES,2,FALSE)+HLOOKUP(D647,PREVCURVES,VLOOKUP(G647,MOVE_DOWN2,2,FALSE),FALSE)),VLOOKUP(G647,NGPREVPRICES,2,FALSE),CK648,VLOOKUP(G647,NGPREVPRICES,4,FALSE),HLOOKUP(D647,PREVVOLS,VLOOKUP(G647,MOVE_DOWN2,2,FALSE),FALSE),VLOOKUP(G647,NGPREVPRICES,3,FALSE),HLOOKUP(D647,Correllate,VLOOKUP(G647,CorMove,2,FALSE),FALSE),Q647-$CD$3,R647,$CJ$5)*H647</f>
        <v>23262.539295956638</v>
      </c>
      <c r="CK648" s="235">
        <f t="shared" si="768"/>
        <v>0.3</v>
      </c>
      <c r="CM648" t="str">
        <f t="shared" si="769"/>
        <v>37012Curve Shift/Gamma</v>
      </c>
      <c r="CN648" t="str">
        <f t="shared" si="747"/>
        <v>37012Rho</v>
      </c>
      <c r="CO648" t="str">
        <f t="shared" si="748"/>
        <v>37012Drift</v>
      </c>
      <c r="CP648" t="str">
        <f t="shared" si="749"/>
        <v>37012Vega</v>
      </c>
      <c r="CQ648" t="str">
        <f t="shared" si="750"/>
        <v>37012Theta</v>
      </c>
    </row>
    <row r="649" spans="1:95" x14ac:dyDescent="0.25">
      <c r="A649" s="140" t="s">
        <v>284</v>
      </c>
      <c r="B649" t="s">
        <v>250</v>
      </c>
      <c r="C649" t="s">
        <v>569</v>
      </c>
      <c r="D649" s="4" t="s">
        <v>7</v>
      </c>
      <c r="E649" t="s">
        <v>20</v>
      </c>
      <c r="F649" t="s">
        <v>1</v>
      </c>
      <c r="G649" s="5">
        <v>37073</v>
      </c>
      <c r="H649" s="130">
        <v>310000</v>
      </c>
      <c r="I649" s="235">
        <v>0.3</v>
      </c>
      <c r="J649" s="53">
        <f t="shared" si="751"/>
        <v>3.8029999999999999</v>
      </c>
      <c r="K649" s="7">
        <f t="shared" si="752"/>
        <v>0.46</v>
      </c>
      <c r="L649" s="53">
        <f t="shared" si="753"/>
        <v>4.2629999999999999</v>
      </c>
      <c r="M649" s="157">
        <f t="shared" si="754"/>
        <v>6.9181571268567998E-2</v>
      </c>
      <c r="N649" s="4">
        <f t="shared" si="755"/>
        <v>0.4</v>
      </c>
      <c r="O649" s="4">
        <f t="shared" si="756"/>
        <v>0.39200000000000002</v>
      </c>
      <c r="P649" s="9">
        <f t="shared" si="757"/>
        <v>0.9738</v>
      </c>
      <c r="Q649" s="5">
        <f t="shared" si="771"/>
        <v>37070</v>
      </c>
      <c r="R649" s="4">
        <f t="shared" si="758"/>
        <v>0</v>
      </c>
      <c r="S649" s="158">
        <f>_xll.xSPRDOPT($L649,$J649,$I649,$M649,$O649,$N649,$P649,$Q649-$C$3,$R649,0)</f>
        <v>6.7557221876477447E-2</v>
      </c>
      <c r="T649" s="159">
        <f>_xll.xSPRDOPT($L649,$J649,$I649,$M649,$O649,$N649,$P649,$Q649-$C$3,$R649,1)*H649</f>
        <v>-89444.353860625619</v>
      </c>
      <c r="U649" s="160">
        <f t="shared" si="759"/>
        <v>20942.738781708009</v>
      </c>
      <c r="V649" s="159">
        <f>_xll.xSPRDOPT($L649,$J649,$I649,$M649,$O649,$N649,$P649,$Q649-$C$3,$R649,2)*H649</f>
        <v>97625.779183528924</v>
      </c>
      <c r="W649" s="159">
        <f t="shared" si="760"/>
        <v>8181.4253229033056</v>
      </c>
      <c r="X649" s="51" t="str">
        <f t="shared" si="761"/>
        <v>37073IF-TRANSCO/Z6</v>
      </c>
      <c r="Y649" s="418">
        <f t="shared" si="762"/>
        <v>31</v>
      </c>
      <c r="Z649" s="456">
        <f t="shared" si="763"/>
        <v>-0.28853017374395362</v>
      </c>
      <c r="AA649" s="456">
        <f>_xll.xSPRDOPT($L649,$J649,$I649,$M649,$O649,$N649,$P649,$Q649-$C$3,$R649,3)</f>
        <v>0.94571843122483801</v>
      </c>
      <c r="AB649" s="456">
        <f>((_xll.xSPRDOPT($L649+AB$5,$J649,$I649,$M649,$O649,$N649,$P649,$Q649-$C$3,$R649,3)*$H649)/10000)/100</f>
        <v>0.29317271367969977</v>
      </c>
      <c r="AC649" s="456">
        <f>((_xll.xSPRDOPT($L649+$AB$5,$J649,$I649,$M649,$O649,$N649,$P649,$Q649-$C$3,$R649,7)*$H649)/100)</f>
        <v>-6416.7534762058585</v>
      </c>
      <c r="AD649" s="456">
        <f>(_xll.xSPRDOPT($L649+$AB$5,$J649,$I649,$M649,$O649,$N649,$P649,$Q649-$C$3,$R649,9)/365)*$H649</f>
        <v>-55.72974897504492</v>
      </c>
      <c r="AE649">
        <f t="shared" si="770"/>
        <v>0</v>
      </c>
      <c r="AF649" s="456">
        <f t="shared" si="764"/>
        <v>903.82386227415782</v>
      </c>
      <c r="AG649" s="456">
        <f>((_xll.xSPRDOPT($L649,$J649,$I649,$M649,$O649,$N649,$P649,$Q649-$C$3,$R649,6)*$H649)/100)</f>
        <v>-453.87783934356872</v>
      </c>
      <c r="AH649" s="456">
        <f>((_xll.xSPRDOPT($L649,$J649,$I649,$M649,$O649,$N649,$P649,$Q649-$C$3,$R649,5)*$H649)/100)</f>
        <v>1385.4098996099251</v>
      </c>
      <c r="AI649" s="456">
        <f>(((_xll.xSPRDOPT($L649,$J649,$I649,$M649,$O649,$N649,$P649,$Q649-$C$3,$R649,4)*$H649)/10000)/100)-AB649</f>
        <v>2.2875396312091567E-2</v>
      </c>
      <c r="AJ649" s="456"/>
      <c r="CC649" s="141">
        <f t="shared" si="765"/>
        <v>37043</v>
      </c>
      <c r="CD649" s="234">
        <f>_xll.xSPRDOPT((VLOOKUP(G648,NGPrices,2,FALSE)+HLOOKUP(D648,Prices,VLOOKUP(G648,move_down,2,FALSE),FALSE)),VLOOKUP(G648,NGPrices,2,FALSE),I648,VLOOKUP(G648,NGPREVPRICES,4,FALSE),HLOOKUP(D648,PREVVOLS,VLOOKUP(G648,MOVE_DOWN2,2,FALSE),FALSE),VLOOKUP(G648,NGPREVPRICES,3,FALSE),HLOOKUP(D648,Correllate,VLOOKUP(G648,CorMove,2,FALSE),FALSE),Q648-$CD$3,R648,$CD$5)*H648-CJ649</f>
        <v>0</v>
      </c>
      <c r="CE649" s="234">
        <f>_xll.xSPRDOPT((VLOOKUP(G648,NGPREVPRICES,2,FALSE)+HLOOKUP(D648,PREVCURVES,VLOOKUP(G648,MOVE_DOWN2,2,FALSE),FALSE)),VLOOKUP(G648,NGPREVPRICES,2,FALSE),CK649,VLOOKUP(G648,NGPrices,4,FALSE),HLOOKUP(D648,PREVVOLS,VLOOKUP(G648,MOVE_DOWN2,2,FALSE),FALSE),VLOOKUP(G648,NGPREVPRICES,3,FALSE),HLOOKUP(D648,Correllate,VLOOKUP(G648,CorMove,2,FALSE),FALSE),Q648-$CD$3,R648,$CJ$5)*H648-CJ649</f>
        <v>0</v>
      </c>
      <c r="CF649" s="10">
        <f t="shared" si="766"/>
        <v>-4.8960363137739478</v>
      </c>
      <c r="CG649" s="234">
        <f>_xll.xSPRDOPT((VLOOKUP(G648,NGPREVPRICES,2,FALSE)+HLOOKUP(D648,PREVCURVES,VLOOKUP(G648,MOVE_DOWN2,2,FALSE),FALSE)),VLOOKUP(G648,NGPREVPRICES,2,FALSE),CK649,VLOOKUP(G648,NGPREVPRICES,4,FALSE),HLOOKUP(D648,VOLS,VLOOKUP(G648,move_down,2,FALSE),FALSE),VLOOKUP(G648,NGPrices,3,FALSE),HLOOKUP(D648,Correllate,VLOOKUP(G648,CorMove,2,FALSE),FALSE),Q648-$CD$3,R648,$CJ$5)*H648-CJ649</f>
        <v>0</v>
      </c>
      <c r="CH649" s="234">
        <f>_xll.xSPRDOPT((VLOOKUP(G648,NGPREVPRICES,2,FALSE)+HLOOKUP(D648,PREVCURVES,VLOOKUP(G648,MOVE_DOWN2,2,FALSE),FALSE)),VLOOKUP(G648,NGPREVPRICES,2,FALSE),CK649,VLOOKUP(G648,NGPREVPRICES,4,FALSE),HLOOKUP(D648,PREVVOLS,VLOOKUP(G648,MOVE_DOWN2,2,FALSE),FALSE),VLOOKUP(G648,NGPREVPRICES,3,FALSE),HLOOKUP(D648,Correllate,VLOOKUP(G648,CorMove,2,FALSE),FALSE),Q648-$C$3,R648,$CJ$5)*H648-CJ649</f>
        <v>-60.062023840440816</v>
      </c>
      <c r="CI649" s="234">
        <f t="shared" si="767"/>
        <v>-64.958060154214763</v>
      </c>
      <c r="CJ649" s="234">
        <f>_xll.xSPRDOPT((VLOOKUP(G648,NGPREVPRICES,2,FALSE)+HLOOKUP(D648,PREVCURVES,VLOOKUP(G648,MOVE_DOWN2,2,FALSE),FALSE)),VLOOKUP(G648,NGPREVPRICES,2,FALSE),CK649,VLOOKUP(G648,NGPREVPRICES,4,FALSE),HLOOKUP(D648,PREVVOLS,VLOOKUP(G648,MOVE_DOWN2,2,FALSE),FALSE),VLOOKUP(G648,NGPREVPRICES,3,FALSE),HLOOKUP(D648,Correllate,VLOOKUP(G648,CorMove,2,FALSE),FALSE),Q648-$CD$3,R648,$CJ$5)*H648</f>
        <v>25010.971774808633</v>
      </c>
      <c r="CK649" s="235">
        <f t="shared" si="768"/>
        <v>0.3</v>
      </c>
      <c r="CM649" t="str">
        <f t="shared" si="769"/>
        <v>37043Curve Shift/Gamma</v>
      </c>
      <c r="CN649" t="str">
        <f t="shared" si="747"/>
        <v>37043Rho</v>
      </c>
      <c r="CO649" t="str">
        <f t="shared" si="748"/>
        <v>37043Drift</v>
      </c>
      <c r="CP649" t="str">
        <f t="shared" si="749"/>
        <v>37043Vega</v>
      </c>
      <c r="CQ649" t="str">
        <f t="shared" si="750"/>
        <v>37043Theta</v>
      </c>
    </row>
    <row r="650" spans="1:95" x14ac:dyDescent="0.25">
      <c r="A650" s="140" t="s">
        <v>284</v>
      </c>
      <c r="B650" t="s">
        <v>250</v>
      </c>
      <c r="C650" t="s">
        <v>569</v>
      </c>
      <c r="D650" s="4" t="s">
        <v>7</v>
      </c>
      <c r="E650" t="s">
        <v>20</v>
      </c>
      <c r="F650" t="s">
        <v>1</v>
      </c>
      <c r="G650" s="5">
        <v>37104</v>
      </c>
      <c r="H650" s="130">
        <v>310000</v>
      </c>
      <c r="I650" s="235">
        <v>0.3</v>
      </c>
      <c r="J650" s="53">
        <f t="shared" si="751"/>
        <v>3.8079999999999998</v>
      </c>
      <c r="K650" s="7">
        <f t="shared" si="752"/>
        <v>0.46</v>
      </c>
      <c r="L650" s="53">
        <f t="shared" si="753"/>
        <v>4.2679999999999998</v>
      </c>
      <c r="M650" s="157">
        <f t="shared" si="754"/>
        <v>6.9223060737754999E-2</v>
      </c>
      <c r="N650" s="4">
        <f t="shared" si="755"/>
        <v>0.4</v>
      </c>
      <c r="O650" s="4">
        <f t="shared" si="756"/>
        <v>0.39200000000000002</v>
      </c>
      <c r="P650" s="9">
        <f t="shared" si="757"/>
        <v>0.9738</v>
      </c>
      <c r="Q650" s="5">
        <f t="shared" si="771"/>
        <v>37102</v>
      </c>
      <c r="R650" s="4">
        <f t="shared" si="758"/>
        <v>0</v>
      </c>
      <c r="S650" s="158">
        <f>_xll.xSPRDOPT($L650,$J650,$I650,$M650,$O650,$N650,$P650,$Q650-$C$3,$R650,0)</f>
        <v>7.3287572111294608E-2</v>
      </c>
      <c r="T650" s="159">
        <f>_xll.xSPRDOPT($L650,$J650,$I650,$M650,$O650,$N650,$P650,$Q650-$C$3,$R650,1)*H650</f>
        <v>-91076.784435882408</v>
      </c>
      <c r="U650" s="160">
        <f t="shared" si="759"/>
        <v>22719.147354501329</v>
      </c>
      <c r="V650" s="159">
        <f>_xll.xSPRDOPT($L650,$J650,$I650,$M650,$O650,$N650,$P650,$Q650-$C$3,$R650,2)*H650</f>
        <v>99718.249428171242</v>
      </c>
      <c r="W650" s="159">
        <f t="shared" si="760"/>
        <v>8641.4649922888348</v>
      </c>
      <c r="X650" s="51" t="str">
        <f t="shared" si="761"/>
        <v>37104IF-TRANSCO/Z6</v>
      </c>
      <c r="Y650" s="418">
        <f t="shared" si="762"/>
        <v>31</v>
      </c>
      <c r="Z650" s="456">
        <f t="shared" si="763"/>
        <v>-0.29379607882542713</v>
      </c>
      <c r="AA650" s="456">
        <f>_xll.xSPRDOPT($L650,$J650,$I650,$M650,$O650,$N650,$P650,$Q650-$C$3,$R650,3)</f>
        <v>0.90219036827034238</v>
      </c>
      <c r="AB650" s="456">
        <f>((_xll.xSPRDOPT($L650+AB$5,$J650,$I650,$M650,$O650,$N650,$P650,$Q650-$C$3,$R650,3)*$H650)/10000)/100</f>
        <v>0.27967901416380614</v>
      </c>
      <c r="AC650" s="456">
        <f>((_xll.xSPRDOPT($L650+$AB$5,$J650,$I650,$M650,$O650,$N650,$P650,$Q650-$C$3,$R650,7)*$H650)/100)</f>
        <v>-6784.9522158856453</v>
      </c>
      <c r="AD650" s="456">
        <f>(_xll.xSPRDOPT($L650+$AB$5,$J650,$I650,$M650,$O650,$N650,$P650,$Q650-$C$3,$R650,9)/365)*$H650</f>
        <v>-52.83943992835087</v>
      </c>
      <c r="AE650">
        <f t="shared" si="770"/>
        <v>0</v>
      </c>
      <c r="AF650" s="456">
        <f t="shared" si="764"/>
        <v>956.57672595952999</v>
      </c>
      <c r="AG650" s="456">
        <f>((_xll.xSPRDOPT($L650,$J650,$I650,$M650,$O650,$N650,$P650,$Q650-$C$3,$R650,6)*$H650)/100)</f>
        <v>-475.92622189384457</v>
      </c>
      <c r="AH650" s="456">
        <f>((_xll.xSPRDOPT($L650,$J650,$I650,$M650,$O650,$N650,$P650,$Q650-$C$3,$R650,5)*$H650)/100)</f>
        <v>1461.7377018911984</v>
      </c>
      <c r="AI650" s="456">
        <f>(((_xll.xSPRDOPT($L650,$J650,$I650,$M650,$O650,$N650,$P650,$Q650-$C$3,$R650,4)*$H650)/10000)/100)-AB650</f>
        <v>2.1864450524646473E-2</v>
      </c>
      <c r="AJ650" s="456"/>
      <c r="CC650" s="141">
        <f t="shared" si="765"/>
        <v>37073</v>
      </c>
      <c r="CD650" s="234">
        <f>_xll.xSPRDOPT((VLOOKUP(G649,NGPrices,2,FALSE)+HLOOKUP(D649,Prices,VLOOKUP(G649,move_down,2,FALSE),FALSE)),VLOOKUP(G649,NGPrices,2,FALSE),I649,VLOOKUP(G649,NGPREVPRICES,4,FALSE),HLOOKUP(D649,PREVVOLS,VLOOKUP(G649,MOVE_DOWN2,2,FALSE),FALSE),VLOOKUP(G649,NGPREVPRICES,3,FALSE),HLOOKUP(D649,Correllate,VLOOKUP(G649,CorMove,2,FALSE),FALSE),Q649-$CD$3,R649,$CD$5)*H649-CJ650</f>
        <v>0</v>
      </c>
      <c r="CE650" s="234">
        <f>_xll.xSPRDOPT((VLOOKUP(G649,NGPREVPRICES,2,FALSE)+HLOOKUP(D649,PREVCURVES,VLOOKUP(G649,MOVE_DOWN2,2,FALSE),FALSE)),VLOOKUP(G649,NGPREVPRICES,2,FALSE),CK650,VLOOKUP(G649,NGPrices,4,FALSE),HLOOKUP(D649,PREVVOLS,VLOOKUP(G649,MOVE_DOWN2,2,FALSE),FALSE),VLOOKUP(G649,NGPREVPRICES,3,FALSE),HLOOKUP(D649,Correllate,VLOOKUP(G649,CorMove,2,FALSE),FALSE),Q649-$CD$3,R649,$CJ$5)*H649-CJ650</f>
        <v>0</v>
      </c>
      <c r="CF650" s="10">
        <f t="shared" si="766"/>
        <v>-4.1354085923230741</v>
      </c>
      <c r="CG650" s="234">
        <f>_xll.xSPRDOPT((VLOOKUP(G649,NGPREVPRICES,2,FALSE)+HLOOKUP(D649,PREVCURVES,VLOOKUP(G649,MOVE_DOWN2,2,FALSE),FALSE)),VLOOKUP(G649,NGPREVPRICES,2,FALSE),CK650,VLOOKUP(G649,NGPREVPRICES,4,FALSE),HLOOKUP(D649,VOLS,VLOOKUP(G649,move_down,2,FALSE),FALSE),VLOOKUP(G649,NGPrices,3,FALSE),HLOOKUP(D649,Correllate,VLOOKUP(G649,CorMove,2,FALSE),FALSE),Q649-$CD$3,R649,$CJ$5)*H649-CJ650</f>
        <v>0</v>
      </c>
      <c r="CH650" s="234">
        <f>_xll.xSPRDOPT((VLOOKUP(G649,NGPREVPRICES,2,FALSE)+HLOOKUP(D649,PREVCURVES,VLOOKUP(G649,MOVE_DOWN2,2,FALSE),FALSE)),VLOOKUP(G649,NGPREVPRICES,2,FALSE),CK650,VLOOKUP(G649,NGPREVPRICES,4,FALSE),HLOOKUP(D649,PREVVOLS,VLOOKUP(G649,MOVE_DOWN2,2,FALSE),FALSE),VLOOKUP(G649,NGPREVPRICES,3,FALSE),HLOOKUP(D649,Correllate,VLOOKUP(G649,CorMove,2,FALSE),FALSE),Q649-$C$3,R649,$CJ$5)*H649-CJ650</f>
        <v>-55.643056287706713</v>
      </c>
      <c r="CI650" s="234">
        <f t="shared" si="767"/>
        <v>-59.778464880029787</v>
      </c>
      <c r="CJ650" s="234">
        <f>_xll.xSPRDOPT((VLOOKUP(G649,NGPREVPRICES,2,FALSE)+HLOOKUP(D649,PREVCURVES,VLOOKUP(G649,MOVE_DOWN2,2,FALSE),FALSE)),VLOOKUP(G649,NGPREVPRICES,2,FALSE),CK650,VLOOKUP(G649,NGPREVPRICES,4,FALSE),HLOOKUP(D649,PREVVOLS,VLOOKUP(G649,MOVE_DOWN2,2,FALSE),FALSE),VLOOKUP(G649,NGPREVPRICES,3,FALSE),HLOOKUP(D649,Correllate,VLOOKUP(G649,CorMove,2,FALSE),FALSE),Q649-$CD$3,R649,$CJ$5)*H649</f>
        <v>20998.381837995716</v>
      </c>
      <c r="CK650" s="235">
        <f t="shared" si="768"/>
        <v>0.3</v>
      </c>
      <c r="CM650" t="str">
        <f t="shared" si="769"/>
        <v>37073Curve Shift/Gamma</v>
      </c>
      <c r="CN650" t="str">
        <f t="shared" si="747"/>
        <v>37073Rho</v>
      </c>
      <c r="CO650" t="str">
        <f t="shared" si="748"/>
        <v>37073Drift</v>
      </c>
      <c r="CP650" t="str">
        <f t="shared" si="749"/>
        <v>37073Vega</v>
      </c>
      <c r="CQ650" t="str">
        <f t="shared" si="750"/>
        <v>37073Theta</v>
      </c>
    </row>
    <row r="651" spans="1:95" x14ac:dyDescent="0.25">
      <c r="A651" s="140" t="s">
        <v>284</v>
      </c>
      <c r="B651" t="s">
        <v>250</v>
      </c>
      <c r="C651" t="s">
        <v>569</v>
      </c>
      <c r="D651" s="4" t="s">
        <v>7</v>
      </c>
      <c r="E651" t="s">
        <v>20</v>
      </c>
      <c r="F651" t="s">
        <v>1</v>
      </c>
      <c r="G651" s="5">
        <v>37135</v>
      </c>
      <c r="H651" s="130">
        <v>300000</v>
      </c>
      <c r="I651" s="235">
        <v>0.3</v>
      </c>
      <c r="J651" s="53">
        <f t="shared" si="751"/>
        <v>3.7879999999999998</v>
      </c>
      <c r="K651" s="7">
        <f t="shared" si="752"/>
        <v>0.39500000000000002</v>
      </c>
      <c r="L651" s="53">
        <f t="shared" si="753"/>
        <v>4.1829999999999998</v>
      </c>
      <c r="M651" s="157">
        <f t="shared" si="754"/>
        <v>6.9264550207512002E-2</v>
      </c>
      <c r="N651" s="4">
        <f t="shared" si="755"/>
        <v>0.4</v>
      </c>
      <c r="O651" s="4">
        <f t="shared" si="756"/>
        <v>0.39200000000000002</v>
      </c>
      <c r="P651" s="9">
        <f t="shared" si="757"/>
        <v>0.9738</v>
      </c>
      <c r="Q651" s="5">
        <f t="shared" si="771"/>
        <v>37133</v>
      </c>
      <c r="R651" s="4">
        <f t="shared" si="758"/>
        <v>0</v>
      </c>
      <c r="S651" s="158">
        <f>_xll.xSPRDOPT($L651,$J651,$I651,$M651,$O651,$N651,$P651,$Q651-$C$3,$R651,0)</f>
        <v>9.9050550041599406E-2</v>
      </c>
      <c r="T651" s="159">
        <f>_xll.xSPRDOPT($L651,$J651,$I651,$M651,$O651,$N651,$P651,$Q651-$C$3,$R651,1)*H651</f>
        <v>-106813.35012944798</v>
      </c>
      <c r="U651" s="160">
        <f t="shared" si="759"/>
        <v>29715.165012479822</v>
      </c>
      <c r="V651" s="159">
        <f>_xll.xSPRDOPT($L651,$J651,$I651,$M651,$O651,$N651,$P651,$Q651-$C$3,$R651,2)*H651</f>
        <v>116100.46992476107</v>
      </c>
      <c r="W651" s="159">
        <f t="shared" si="760"/>
        <v>9287.1197953130904</v>
      </c>
      <c r="X651" s="51" t="str">
        <f t="shared" si="761"/>
        <v>37135IF-TRANSCO/Z6</v>
      </c>
      <c r="Y651" s="418">
        <f t="shared" si="762"/>
        <v>30</v>
      </c>
      <c r="Z651" s="456">
        <f t="shared" si="763"/>
        <v>-0.35604450043149327</v>
      </c>
      <c r="AA651" s="456">
        <f>_xll.xSPRDOPT($L651,$J651,$I651,$M651,$O651,$N651,$P651,$Q651-$C$3,$R651,3)</f>
        <v>0.94211922754250732</v>
      </c>
      <c r="AB651" s="456">
        <f>((_xll.xSPRDOPT($L651+AB$5,$J651,$I651,$M651,$O651,$N651,$P651,$Q651-$C$3,$R651,3)*$H651)/10000)/100</f>
        <v>0.28263576826275222</v>
      </c>
      <c r="AC651" s="456">
        <f>((_xll.xSPRDOPT($L651+$AB$5,$J651,$I651,$M651,$O651,$N651,$P651,$Q651-$C$3,$R651,7)*$H651)/100)</f>
        <v>-7198.5551168508082</v>
      </c>
      <c r="AD651" s="456">
        <f>(_xll.xSPRDOPT($L651+$AB$5,$J651,$I651,$M651,$O651,$N651,$P651,$Q651-$C$3,$R651,9)/365)*$H651</f>
        <v>-49.859882448332819</v>
      </c>
      <c r="AE651">
        <f t="shared" si="770"/>
        <v>0</v>
      </c>
      <c r="AF651" s="456">
        <f t="shared" si="764"/>
        <v>1014.9329610847875</v>
      </c>
      <c r="AG651" s="456">
        <f>((_xll.xSPRDOPT($L651,$J651,$I651,$M651,$O651,$N651,$P651,$Q651-$C$3,$R651,6)*$H651)/100)</f>
        <v>-497.44045473396761</v>
      </c>
      <c r="AH651" s="456">
        <f>((_xll.xSPRDOPT($L651,$J651,$I651,$M651,$O651,$N651,$P651,$Q651-$C$3,$R651,5)*$H651)/100)</f>
        <v>1543.2381794068931</v>
      </c>
      <c r="AI651" s="456">
        <f>(((_xll.xSPRDOPT($L651,$J651,$I651,$M651,$O651,$N651,$P651,$Q651-$C$3,$R651,4)*$H651)/10000)/100)-AB651</f>
        <v>1.3425396689859426E-2</v>
      </c>
      <c r="AJ651" s="456"/>
      <c r="CC651" s="141">
        <f t="shared" si="765"/>
        <v>37104</v>
      </c>
      <c r="CD651" s="234">
        <f>_xll.xSPRDOPT((VLOOKUP(G650,NGPrices,2,FALSE)+HLOOKUP(D650,Prices,VLOOKUP(G650,move_down,2,FALSE),FALSE)),VLOOKUP(G650,NGPrices,2,FALSE),I650,VLOOKUP(G650,NGPREVPRICES,4,FALSE),HLOOKUP(D650,PREVVOLS,VLOOKUP(G650,MOVE_DOWN2,2,FALSE),FALSE),VLOOKUP(G650,NGPREVPRICES,3,FALSE),HLOOKUP(D650,Correllate,VLOOKUP(G650,CorMove,2,FALSE),FALSE),Q650-$CD$3,R650,$CD$5)*H650-CJ651</f>
        <v>0</v>
      </c>
      <c r="CE651" s="234">
        <f>_xll.xSPRDOPT((VLOOKUP(G650,NGPREVPRICES,2,FALSE)+HLOOKUP(D650,PREVCURVES,VLOOKUP(G650,MOVE_DOWN2,2,FALSE),FALSE)),VLOOKUP(G650,NGPREVPRICES,2,FALSE),CK651,VLOOKUP(G650,NGPrices,4,FALSE),HLOOKUP(D650,PREVVOLS,VLOOKUP(G650,MOVE_DOWN2,2,FALSE),FALSE),VLOOKUP(G650,NGPREVPRICES,3,FALSE),HLOOKUP(D650,Correllate,VLOOKUP(G650,CorMove,2,FALSE),FALSE),Q650-$CD$3,R650,$CJ$5)*H650-CJ651</f>
        <v>0</v>
      </c>
      <c r="CF651" s="10">
        <f t="shared" si="766"/>
        <v>-4.5123643839360739</v>
      </c>
      <c r="CG651" s="234">
        <f>_xll.xSPRDOPT((VLOOKUP(G650,NGPREVPRICES,2,FALSE)+HLOOKUP(D650,PREVCURVES,VLOOKUP(G650,MOVE_DOWN2,2,FALSE),FALSE)),VLOOKUP(G650,NGPREVPRICES,2,FALSE),CK651,VLOOKUP(G650,NGPREVPRICES,4,FALSE),HLOOKUP(D650,VOLS,VLOOKUP(G650,move_down,2,FALSE),FALSE),VLOOKUP(G650,NGPrices,3,FALSE),HLOOKUP(D650,Correllate,VLOOKUP(G650,CorMove,2,FALSE),FALSE),Q650-$CD$3,R650,$CJ$5)*H650-CJ651</f>
        <v>0</v>
      </c>
      <c r="CH651" s="234">
        <f>_xll.xSPRDOPT((VLOOKUP(G650,NGPREVPRICES,2,FALSE)+HLOOKUP(D650,PREVCURVES,VLOOKUP(G650,MOVE_DOWN2,2,FALSE),FALSE)),VLOOKUP(G650,NGPREVPRICES,2,FALSE),CK651,VLOOKUP(G650,NGPREVPRICES,4,FALSE),HLOOKUP(D650,PREVVOLS,VLOOKUP(G650,MOVE_DOWN2,2,FALSE),FALSE),VLOOKUP(G650,NGPREVPRICES,3,FALSE),HLOOKUP(D650,Correllate,VLOOKUP(G650,CorMove,2,FALSE),FALSE),Q650-$C$3,R650,$CJ$5)*H650-CJ651</f>
        <v>-52.759436555956199</v>
      </c>
      <c r="CI651" s="234">
        <f t="shared" si="767"/>
        <v>-57.271800939892273</v>
      </c>
      <c r="CJ651" s="234">
        <f>_xll.xSPRDOPT((VLOOKUP(G650,NGPREVPRICES,2,FALSE)+HLOOKUP(D650,PREVCURVES,VLOOKUP(G650,MOVE_DOWN2,2,FALSE),FALSE)),VLOOKUP(G650,NGPREVPRICES,2,FALSE),CK651,VLOOKUP(G650,NGPREVPRICES,4,FALSE),HLOOKUP(D650,PREVVOLS,VLOOKUP(G650,MOVE_DOWN2,2,FALSE),FALSE),VLOOKUP(G650,NGPREVPRICES,3,FALSE),HLOOKUP(D650,Correllate,VLOOKUP(G650,CorMove,2,FALSE),FALSE),Q650-$CD$3,R650,$CJ$5)*H650</f>
        <v>22771.906791057285</v>
      </c>
      <c r="CK651" s="235">
        <f t="shared" si="768"/>
        <v>0.3</v>
      </c>
      <c r="CM651" t="str">
        <f t="shared" si="769"/>
        <v>37104Curve Shift/Gamma</v>
      </c>
      <c r="CN651" t="str">
        <f t="shared" si="747"/>
        <v>37104Rho</v>
      </c>
      <c r="CO651" t="str">
        <f t="shared" si="748"/>
        <v>37104Drift</v>
      </c>
      <c r="CP651" t="str">
        <f t="shared" si="749"/>
        <v>37104Vega</v>
      </c>
      <c r="CQ651" t="str">
        <f t="shared" si="750"/>
        <v>37104Theta</v>
      </c>
    </row>
    <row r="652" spans="1:95" x14ac:dyDescent="0.25">
      <c r="A652" s="140" t="s">
        <v>284</v>
      </c>
      <c r="B652" t="s">
        <v>250</v>
      </c>
      <c r="C652" t="s">
        <v>569</v>
      </c>
      <c r="D652" s="4" t="s">
        <v>7</v>
      </c>
      <c r="E652" t="s">
        <v>20</v>
      </c>
      <c r="F652" t="s">
        <v>1</v>
      </c>
      <c r="G652" s="5">
        <v>37165</v>
      </c>
      <c r="H652" s="130">
        <v>310000</v>
      </c>
      <c r="I652" s="235">
        <v>0.3</v>
      </c>
      <c r="J652" s="53">
        <f t="shared" si="751"/>
        <v>3.7730000000000001</v>
      </c>
      <c r="K652" s="7">
        <f t="shared" si="752"/>
        <v>0.46100000000000002</v>
      </c>
      <c r="L652" s="53">
        <f t="shared" si="753"/>
        <v>4.234</v>
      </c>
      <c r="M652" s="157">
        <f t="shared" si="754"/>
        <v>6.9300944538363995E-2</v>
      </c>
      <c r="N652" s="4">
        <f t="shared" si="755"/>
        <v>0.40250000000000002</v>
      </c>
      <c r="O652" s="4">
        <f t="shared" si="756"/>
        <v>0.39400000000000002</v>
      </c>
      <c r="P652" s="9">
        <f t="shared" si="757"/>
        <v>0.9738</v>
      </c>
      <c r="Q652" s="5">
        <f t="shared" si="771"/>
        <v>37161</v>
      </c>
      <c r="R652" s="4">
        <f t="shared" si="758"/>
        <v>0</v>
      </c>
      <c r="S652" s="158">
        <f>_xll.xSPRDOPT($L652,$J652,$I652,$M652,$O652,$N652,$P652,$Q652-$C$3,$R652,0)</f>
        <v>8.2110958320859739E-2</v>
      </c>
      <c r="T652" s="159">
        <f>_xll.xSPRDOPT($L652,$J652,$I652,$M652,$O652,$N652,$P652,$Q652-$C$3,$R652,1)*H652</f>
        <v>-92792.176625266686</v>
      </c>
      <c r="U652" s="160">
        <f t="shared" si="759"/>
        <v>25454.397079466518</v>
      </c>
      <c r="V652" s="159">
        <f>_xll.xSPRDOPT($L652,$J652,$I652,$M652,$O652,$N652,$P652,$Q652-$C$3,$R652,2)*H652</f>
        <v>102224.61628172736</v>
      </c>
      <c r="W652" s="159">
        <f t="shared" si="760"/>
        <v>9432.4396564606723</v>
      </c>
      <c r="X652" s="51" t="str">
        <f t="shared" si="761"/>
        <v>37165IF-TRANSCO/Z6</v>
      </c>
      <c r="Y652" s="418">
        <f t="shared" si="762"/>
        <v>31</v>
      </c>
      <c r="Z652" s="456">
        <f t="shared" si="763"/>
        <v>-0.29932960201698933</v>
      </c>
      <c r="AA652" s="456">
        <f>_xll.xSPRDOPT($L652,$J652,$I652,$M652,$O652,$N652,$P652,$Q652-$C$3,$R652,3)</f>
        <v>0.83514426539601483</v>
      </c>
      <c r="AB652" s="456">
        <f>((_xll.xSPRDOPT($L652+AB$5,$J652,$I652,$M652,$O652,$N652,$P652,$Q652-$C$3,$R652,3)*$H652)/10000)/100</f>
        <v>0.25889472227276461</v>
      </c>
      <c r="AC652" s="456">
        <f>((_xll.xSPRDOPT($L652+$AB$5,$J652,$I652,$M652,$O652,$N652,$P652,$Q652-$C$3,$R652,7)*$H652)/100)</f>
        <v>-7348.3784868403527</v>
      </c>
      <c r="AD652" s="456">
        <f>(_xll.xSPRDOPT($L652+$AB$5,$J652,$I652,$M652,$O652,$N652,$P652,$Q652-$C$3,$R652,9)/365)*$H652</f>
        <v>-47.88353907195075</v>
      </c>
      <c r="AE652">
        <f t="shared" si="770"/>
        <v>0</v>
      </c>
      <c r="AF652" s="456">
        <f t="shared" si="764"/>
        <v>1031.3572780108639</v>
      </c>
      <c r="AG652" s="456">
        <f>((_xll.xSPRDOPT($L652,$J652,$I652,$M652,$O652,$N652,$P652,$Q652-$C$3,$R652,6)*$H652)/100)</f>
        <v>-499.0283533682076</v>
      </c>
      <c r="AH652" s="456">
        <f>((_xll.xSPRDOPT($L652,$J652,$I652,$M652,$O652,$N652,$P652,$Q652-$C$3,$R652,5)*$H652)/100)</f>
        <v>1563.4015650509548</v>
      </c>
      <c r="AI652" s="456">
        <f>(((_xll.xSPRDOPT($L652,$J652,$I652,$M652,$O652,$N652,$P652,$Q652-$C$3,$R652,4)*$H652)/10000)/100)-AB652</f>
        <v>2.0671476429311386E-2</v>
      </c>
      <c r="AJ652" s="456"/>
      <c r="CC652" s="141">
        <f t="shared" si="765"/>
        <v>37135</v>
      </c>
      <c r="CD652" s="234">
        <f>_xll.xSPRDOPT((VLOOKUP(G651,NGPrices,2,FALSE)+HLOOKUP(D651,Prices,VLOOKUP(G651,move_down,2,FALSE),FALSE)),VLOOKUP(G651,NGPrices,2,FALSE),I651,VLOOKUP(G651,NGPREVPRICES,4,FALSE),HLOOKUP(D651,PREVVOLS,VLOOKUP(G651,MOVE_DOWN2,2,FALSE),FALSE),VLOOKUP(G651,NGPREVPRICES,3,FALSE),HLOOKUP(D651,Correllate,VLOOKUP(G651,CorMove,2,FALSE),FALSE),Q651-$CD$3,R651,$CD$5)*H651-CJ652</f>
        <v>0</v>
      </c>
      <c r="CE652" s="234">
        <f>_xll.xSPRDOPT((VLOOKUP(G651,NGPREVPRICES,2,FALSE)+HLOOKUP(D651,PREVCURVES,VLOOKUP(G651,MOVE_DOWN2,2,FALSE),FALSE)),VLOOKUP(G651,NGPREVPRICES,2,FALSE),CK652,VLOOKUP(G651,NGPrices,4,FALSE),HLOOKUP(D651,PREVVOLS,VLOOKUP(G651,MOVE_DOWN2,2,FALSE),FALSE),VLOOKUP(G651,NGPREVPRICES,3,FALSE),HLOOKUP(D651,Correllate,VLOOKUP(G651,CorMove,2,FALSE),FALSE),Q651-$CD$3,R651,$CJ$5)*H651-CJ652</f>
        <v>0</v>
      </c>
      <c r="CF652" s="10">
        <f t="shared" si="766"/>
        <v>-5.9344953651270771</v>
      </c>
      <c r="CG652" s="234">
        <f>_xll.xSPRDOPT((VLOOKUP(G651,NGPREVPRICES,2,FALSE)+HLOOKUP(D651,PREVCURVES,VLOOKUP(G651,MOVE_DOWN2,2,FALSE),FALSE)),VLOOKUP(G651,NGPREVPRICES,2,FALSE),CK652,VLOOKUP(G651,NGPREVPRICES,4,FALSE),HLOOKUP(D651,VOLS,VLOOKUP(G651,move_down,2,FALSE),FALSE),VLOOKUP(G651,NGPrices,3,FALSE),HLOOKUP(D651,Correllate,VLOOKUP(G651,CorMove,2,FALSE),FALSE),Q651-$CD$3,R651,$CJ$5)*H651-CJ652</f>
        <v>0</v>
      </c>
      <c r="CH652" s="234">
        <f>_xll.xSPRDOPT((VLOOKUP(G651,NGPREVPRICES,2,FALSE)+HLOOKUP(D651,PREVCURVES,VLOOKUP(G651,MOVE_DOWN2,2,FALSE),FALSE)),VLOOKUP(G651,NGPREVPRICES,2,FALSE),CK652,VLOOKUP(G651,NGPREVPRICES,4,FALSE),HLOOKUP(D651,PREVVOLS,VLOOKUP(G651,MOVE_DOWN2,2,FALSE),FALSE),VLOOKUP(G651,NGPREVPRICES,3,FALSE),HLOOKUP(D651,Correllate,VLOOKUP(G651,CorMove,2,FALSE),FALSE),Q651-$C$3,R651,$CJ$5)*H651-CJ652</f>
        <v>-49.781119035058509</v>
      </c>
      <c r="CI652" s="234">
        <f t="shared" si="767"/>
        <v>-55.715614400185586</v>
      </c>
      <c r="CJ652" s="234">
        <f>_xll.xSPRDOPT((VLOOKUP(G651,NGPREVPRICES,2,FALSE)+HLOOKUP(D651,PREVCURVES,VLOOKUP(G651,MOVE_DOWN2,2,FALSE),FALSE)),VLOOKUP(G651,NGPREVPRICES,2,FALSE),CK652,VLOOKUP(G651,NGPREVPRICES,4,FALSE),HLOOKUP(D651,PREVVOLS,VLOOKUP(G651,MOVE_DOWN2,2,FALSE),FALSE),VLOOKUP(G651,NGPREVPRICES,3,FALSE),HLOOKUP(D651,Correllate,VLOOKUP(G651,CorMove,2,FALSE),FALSE),Q651-$CD$3,R651,$CJ$5)*H651</f>
        <v>29764.94613151488</v>
      </c>
      <c r="CK652" s="235">
        <f t="shared" si="768"/>
        <v>0.3</v>
      </c>
      <c r="CM652" t="str">
        <f t="shared" si="769"/>
        <v>37135Curve Shift/Gamma</v>
      </c>
      <c r="CN652" t="str">
        <f t="shared" si="747"/>
        <v>37135Rho</v>
      </c>
      <c r="CO652" t="str">
        <f t="shared" si="748"/>
        <v>37135Drift</v>
      </c>
      <c r="CP652" t="str">
        <f t="shared" si="749"/>
        <v>37135Vega</v>
      </c>
      <c r="CQ652" t="str">
        <f t="shared" si="750"/>
        <v>37135Theta</v>
      </c>
    </row>
    <row r="653" spans="1:95" x14ac:dyDescent="0.25">
      <c r="A653" s="140" t="s">
        <v>281</v>
      </c>
      <c r="B653" t="s">
        <v>250</v>
      </c>
      <c r="C653" t="s">
        <v>570</v>
      </c>
      <c r="D653" s="4" t="s">
        <v>7</v>
      </c>
      <c r="E653" t="s">
        <v>20</v>
      </c>
      <c r="F653" t="s">
        <v>21</v>
      </c>
      <c r="G653" s="5">
        <v>36982</v>
      </c>
      <c r="H653" s="130">
        <v>500000</v>
      </c>
      <c r="I653" s="235">
        <v>0.7</v>
      </c>
      <c r="J653" s="53">
        <f t="shared" si="751"/>
        <v>3.9380000000000002</v>
      </c>
      <c r="K653" s="7">
        <f t="shared" si="752"/>
        <v>0.52</v>
      </c>
      <c r="L653" s="53">
        <f t="shared" si="753"/>
        <v>4.4580000000000002</v>
      </c>
      <c r="M653" s="157">
        <f t="shared" si="754"/>
        <v>6.9061726541120999E-2</v>
      </c>
      <c r="N653" s="4">
        <f t="shared" si="755"/>
        <v>0.4425</v>
      </c>
      <c r="O653" s="4">
        <f t="shared" si="756"/>
        <v>0.434</v>
      </c>
      <c r="P653" s="9">
        <f t="shared" si="757"/>
        <v>0.9738</v>
      </c>
      <c r="Q653" s="5">
        <f t="shared" si="771"/>
        <v>36979</v>
      </c>
      <c r="R653" s="4">
        <f t="shared" si="758"/>
        <v>1</v>
      </c>
      <c r="S653" s="158">
        <f>_xll.xSPRDOPT($L653,$J653,$I653,$M653,$O653,$N653,$P653,$Q653-$C$3,$R653,0)</f>
        <v>7.4256199589022007E-2</v>
      </c>
      <c r="T653" s="159">
        <f>_xll.xSPRDOPT($L653,$J653,$I653,$M653,$O653,$N653,$P653,$Q653-$C$3,$R653,1)*H653</f>
        <v>161737.36965950287</v>
      </c>
      <c r="U653" s="160">
        <f t="shared" si="759"/>
        <v>37128.099794511007</v>
      </c>
      <c r="V653" s="159">
        <f>_xll.xSPRDOPT($L653,$J653,$I653,$M653,$O653,$N653,$P653,$Q653-$C$3,$R653,2)*H653</f>
        <v>-150815.96525366604</v>
      </c>
      <c r="W653" s="159">
        <f t="shared" si="760"/>
        <v>10921.404405836831</v>
      </c>
      <c r="X653" s="51" t="str">
        <f t="shared" si="761"/>
        <v>36982IF-TRANSCO/Z6</v>
      </c>
      <c r="Y653" s="418">
        <f t="shared" si="762"/>
        <v>50</v>
      </c>
      <c r="Z653" s="456">
        <f t="shared" si="763"/>
        <v>0.32347473931900572</v>
      </c>
      <c r="AA653" s="456">
        <f>_xll.xSPRDOPT($L653,$J653,$I653,$M653,$O653,$N653,$P653,$Q653-$C$3,$R653,3)</f>
        <v>0.95901980555212163</v>
      </c>
      <c r="AB653" s="456">
        <f>((_xll.xSPRDOPT($L653+AB$5,$J653,$I653,$M653,$O653,$N653,$P653,$Q653-$C$3,$R653,3)*$H653)/10000)/100</f>
        <v>0.47950990277606081</v>
      </c>
      <c r="AC653" s="456">
        <f>((_xll.xSPRDOPT($L653+$AB$5,$J653,$I653,$M653,$O653,$N653,$P653,$Q653-$C$3,$R653,7)*$H653)/100)</f>
        <v>-9140.5537302365046</v>
      </c>
      <c r="AD653" s="456">
        <f>(_xll.xSPRDOPT($L653+$AB$5,$J653,$I653,$M653,$O653,$N653,$P653,$Q653-$C$3,$R653,9)/365)*$H653</f>
        <v>-146.20626417370718</v>
      </c>
      <c r="AE653">
        <f t="shared" si="770"/>
        <v>0</v>
      </c>
      <c r="AF653" s="456">
        <f t="shared" si="764"/>
        <v>1467.2450028615754</v>
      </c>
      <c r="AG653" s="456">
        <f>((_xll.xSPRDOPT($L653,$J653,$I653,$M653,$O653,$N653,$P653,$Q653-$C$3,$R653,6)*$H653)/100)</f>
        <v>-1961.8494307803685</v>
      </c>
      <c r="AH653" s="456">
        <f>((_xll.xSPRDOPT($L653,$J653,$I653,$M653,$O653,$N653,$P653,$Q653-$C$3,$R653,5)*$H653)/100)</f>
        <v>3496.2541172501387</v>
      </c>
      <c r="AI653" s="456">
        <f>(((_xll.xSPRDOPT($L653,$J653,$I653,$M653,$O653,$N653,$P653,$Q653-$C$3,$R653,4)*$H653)/10000)/100)-AB653</f>
        <v>-2.3733943165836768E-2</v>
      </c>
      <c r="AJ653" s="456"/>
      <c r="CC653" s="141">
        <f t="shared" si="765"/>
        <v>37165</v>
      </c>
      <c r="CD653" s="234">
        <f>_xll.xSPRDOPT((VLOOKUP(G652,NGPrices,2,FALSE)+HLOOKUP(D652,Prices,VLOOKUP(G652,move_down,2,FALSE),FALSE)),VLOOKUP(G652,NGPrices,2,FALSE),I652,VLOOKUP(G652,NGPREVPRICES,4,FALSE),HLOOKUP(D652,PREVVOLS,VLOOKUP(G652,MOVE_DOWN2,2,FALSE),FALSE),VLOOKUP(G652,NGPREVPRICES,3,FALSE),HLOOKUP(D652,Correllate,VLOOKUP(G652,CorMove,2,FALSE),FALSE),Q652-$CD$3,R652,$CD$5)*H652-CJ653</f>
        <v>0</v>
      </c>
      <c r="CE653" s="234">
        <f>_xll.xSPRDOPT((VLOOKUP(G652,NGPREVPRICES,2,FALSE)+HLOOKUP(D652,PREVCURVES,VLOOKUP(G652,MOVE_DOWN2,2,FALSE),FALSE)),VLOOKUP(G652,NGPREVPRICES,2,FALSE),CK653,VLOOKUP(G652,NGPrices,4,FALSE),HLOOKUP(D652,PREVVOLS,VLOOKUP(G652,MOVE_DOWN2,2,FALSE),FALSE),VLOOKUP(G652,NGPREVPRICES,3,FALSE),HLOOKUP(D652,Correllate,VLOOKUP(G652,CorMove,2,FALSE),FALSE),Q652-$CD$3,R652,$CJ$5)*H652-CJ653</f>
        <v>0</v>
      </c>
      <c r="CF653" s="10">
        <f t="shared" si="766"/>
        <v>-5.1147918612041394</v>
      </c>
      <c r="CG653" s="234">
        <f>_xll.xSPRDOPT((VLOOKUP(G652,NGPREVPRICES,2,FALSE)+HLOOKUP(D652,PREVCURVES,VLOOKUP(G652,MOVE_DOWN2,2,FALSE),FALSE)),VLOOKUP(G652,NGPREVPRICES,2,FALSE),CK653,VLOOKUP(G652,NGPREVPRICES,4,FALSE),HLOOKUP(D652,VOLS,VLOOKUP(G652,move_down,2,FALSE),FALSE),VLOOKUP(G652,NGPrices,3,FALSE),HLOOKUP(D652,Correllate,VLOOKUP(G652,CorMove,2,FALSE),FALSE),Q652-$CD$3,R652,$CJ$5)*H652-CJ653</f>
        <v>0</v>
      </c>
      <c r="CH653" s="234">
        <f>_xll.xSPRDOPT((VLOOKUP(G652,NGPREVPRICES,2,FALSE)+HLOOKUP(D652,PREVCURVES,VLOOKUP(G652,MOVE_DOWN2,2,FALSE),FALSE)),VLOOKUP(G652,NGPREVPRICES,2,FALSE),CK653,VLOOKUP(G652,NGPREVPRICES,4,FALSE),HLOOKUP(D652,PREVVOLS,VLOOKUP(G652,MOVE_DOWN2,2,FALSE),FALSE),VLOOKUP(G652,NGPREVPRICES,3,FALSE),HLOOKUP(D652,Correllate,VLOOKUP(G652,CorMove,2,FALSE),FALSE),Q652-$C$3,R652,$CJ$5)*H652-CJ653</f>
        <v>-47.814252331365424</v>
      </c>
      <c r="CI653" s="234">
        <f t="shared" si="767"/>
        <v>-52.929044192569563</v>
      </c>
      <c r="CJ653" s="234">
        <f>_xll.xSPRDOPT((VLOOKUP(G652,NGPREVPRICES,2,FALSE)+HLOOKUP(D652,PREVCURVES,VLOOKUP(G652,MOVE_DOWN2,2,FALSE),FALSE)),VLOOKUP(G652,NGPREVPRICES,2,FALSE),CK653,VLOOKUP(G652,NGPREVPRICES,4,FALSE),HLOOKUP(D652,PREVVOLS,VLOOKUP(G652,MOVE_DOWN2,2,FALSE),FALSE),VLOOKUP(G652,NGPREVPRICES,3,FALSE),HLOOKUP(D652,Correllate,VLOOKUP(G652,CorMove,2,FALSE),FALSE),Q652-$CD$3,R652,$CJ$5)*H652</f>
        <v>25502.211331797884</v>
      </c>
      <c r="CK653" s="235">
        <f t="shared" si="768"/>
        <v>0.3</v>
      </c>
      <c r="CM653" t="str">
        <f t="shared" si="769"/>
        <v>37165Curve Shift/Gamma</v>
      </c>
      <c r="CN653" t="str">
        <f t="shared" si="747"/>
        <v>37165Rho</v>
      </c>
      <c r="CO653" t="str">
        <f t="shared" si="748"/>
        <v>37165Drift</v>
      </c>
      <c r="CP653" t="str">
        <f t="shared" si="749"/>
        <v>37165Vega</v>
      </c>
      <c r="CQ653" t="str">
        <f t="shared" si="750"/>
        <v>37165Theta</v>
      </c>
    </row>
    <row r="654" spans="1:95" x14ac:dyDescent="0.25">
      <c r="A654" s="140" t="s">
        <v>571</v>
      </c>
      <c r="B654" t="s">
        <v>250</v>
      </c>
      <c r="C654" t="s">
        <v>572</v>
      </c>
      <c r="D654" s="4" t="s">
        <v>74</v>
      </c>
      <c r="E654" t="s">
        <v>20</v>
      </c>
      <c r="F654" t="s">
        <v>21</v>
      </c>
      <c r="G654" s="5">
        <v>36831</v>
      </c>
      <c r="H654" s="130">
        <v>-1500000</v>
      </c>
      <c r="I654" s="235">
        <v>0.12</v>
      </c>
      <c r="J654" s="53">
        <f t="shared" ref="J654:J669" si="772">VLOOKUP(G654,NGPrices,2,FALSE)</f>
        <v>4.7359999999999998</v>
      </c>
      <c r="K654" s="7">
        <f t="shared" ref="K654:K669" si="773">HLOOKUP(D654,Prices,VLOOKUP(G654,move_down,2,FALSE),FALSE)+VLOOKUP(G654,CHANGE,HLOOKUP(D654,CHANGE,2,FALSE),FALSE)</f>
        <v>8.7499999999999994E-2</v>
      </c>
      <c r="L654" s="53">
        <f t="shared" ref="L654:L669" si="774">K654+J654</f>
        <v>4.8235000000000001</v>
      </c>
      <c r="M654" s="157">
        <f t="shared" ref="M654:M669" si="775">VLOOKUP(G654,NGPrices,4,FALSE)</f>
        <v>6.810675983792E-2</v>
      </c>
      <c r="N654" s="4">
        <f t="shared" ref="N654:N669" si="776">VLOOKUP(G654,NGPrices,3,FALSE)</f>
        <v>0.59499999999999997</v>
      </c>
      <c r="O654" s="4">
        <f t="shared" ref="O654:O669" si="777">HLOOKUP(D654,VOLS,VLOOKUP(G654,move_down,2,FALSE),FALSE)</f>
        <v>0.59499999999999997</v>
      </c>
      <c r="P654" s="9">
        <f t="shared" ref="P654:P669" si="778">HLOOKUP(D654,Correllate,VLOOKUP(G654,CorMove,2,FALSE),FALSE)</f>
        <v>0.997</v>
      </c>
      <c r="Q654" s="5">
        <f t="shared" si="771"/>
        <v>36829</v>
      </c>
      <c r="R654" s="4">
        <f t="shared" ref="R654:R669" si="779">IF(F654="P",0,1)</f>
        <v>1</v>
      </c>
      <c r="S654" s="158">
        <f>_xll.xSPRDOPT($L654,$J654,$I654,$M654,$O654,$N654,$P654,$Q654-$C$3,$R654,0)</f>
        <v>2.3715838259831541E-2</v>
      </c>
      <c r="T654" s="159">
        <f>_xll.xSPRDOPT($L654,$J654,$I654,$M654,$O654,$N654,$P654,$Q654-$C$3,$R654,1)*H654</f>
        <v>-550670.35976188607</v>
      </c>
      <c r="U654" s="160">
        <f t="shared" ref="U654:U669" si="780">S654*H654</f>
        <v>-35573.757389747312</v>
      </c>
      <c r="V654" s="159">
        <f>_xll.xSPRDOPT($L654,$J654,$I654,$M654,$O654,$N654,$P654,$Q654-$C$3,$R654,2)*H654</f>
        <v>540555.21395837096</v>
      </c>
      <c r="W654" s="159">
        <f t="shared" ref="W654:W669" si="781">+V654+T654</f>
        <v>-10115.145803515101</v>
      </c>
      <c r="X654" s="51" t="str">
        <f t="shared" ref="X654:X669" si="782">CONCATENATE(G654,D654)</f>
        <v>36831NGI/CHI. GATE</v>
      </c>
      <c r="Y654" s="418">
        <f t="shared" ref="Y654:Y669" si="783">H654/10000</f>
        <v>-150</v>
      </c>
      <c r="Z654" s="456">
        <f t="shared" ref="Z654:Z669" si="784">T654/H654</f>
        <v>0.3671135731745907</v>
      </c>
      <c r="AA654" s="456">
        <f>_xll.xSPRDOPT($L654,$J654,$I654,$M654,$O654,$N654,$P654,$Q654-$C$3,$R654,3)</f>
        <v>3.9360920437372209</v>
      </c>
      <c r="AB654" s="456">
        <f>((_xll.xSPRDOPT($L654+AB$5,$J654,$I654,$M654,$O654,$N654,$P654,$Q654-$C$3,$R654,3)*$H654)/10000)/100</f>
        <v>-5.9041380656058315</v>
      </c>
      <c r="AC654" s="456">
        <f>((_xll.xSPRDOPT($L654+$AB$5,$J654,$I654,$M654,$O654,$N654,$P654,$Q654-$C$3,$R654,7)*$H654)/100)</f>
        <v>80567.549719748538</v>
      </c>
      <c r="AD654" s="456">
        <f>(_xll.xSPRDOPT($L654+$AB$5,$J654,$I654,$M654,$O654,$N654,$P654,$Q654-$C$3,$R654,9)/365)*$H654</f>
        <v>423.89638276795387</v>
      </c>
      <c r="AE654">
        <f t="shared" si="770"/>
        <v>0</v>
      </c>
      <c r="AF654" s="456">
        <f t="shared" ref="AF654:AF669" si="785">((O654/N654)*AH654)+AG654</f>
        <v>-896.63351651613266</v>
      </c>
      <c r="AG654" s="456">
        <f>((_xll.xSPRDOPT($L654,$J654,$I654,$M654,$O654,$N654,$P654,$Q654-$C$3,$R654,6)*$H654)/100)</f>
        <v>2841.2337230714093</v>
      </c>
      <c r="AH654" s="456">
        <f>((_xll.xSPRDOPT($L654,$J654,$I654,$M654,$O654,$N654,$P654,$Q654-$C$3,$R654,5)*$H654)/100)</f>
        <v>-3737.8672395875419</v>
      </c>
      <c r="AI654" s="456">
        <f>(((_xll.xSPRDOPT($L654,$J654,$I654,$M654,$O654,$N654,$P654,$Q654-$C$3,$R654,4)*$H654)/10000)/100)-AB654</f>
        <v>7.0240442669128988E-2</v>
      </c>
      <c r="AJ654" s="456"/>
      <c r="CC654" s="141">
        <f t="shared" si="765"/>
        <v>36982</v>
      </c>
      <c r="CD654" s="234">
        <f>_xll.xSPRDOPT((VLOOKUP(G653,NGPrices,2,FALSE)+HLOOKUP(D653,Prices,VLOOKUP(G653,move_down,2,FALSE),FALSE)),VLOOKUP(G653,NGPrices,2,FALSE),I653,VLOOKUP(G653,NGPREVPRICES,4,FALSE),HLOOKUP(D653,PREVVOLS,VLOOKUP(G653,MOVE_DOWN2,2,FALSE),FALSE),VLOOKUP(G653,NGPREVPRICES,3,FALSE),HLOOKUP(D653,Correllate,VLOOKUP(G653,CorMove,2,FALSE),FALSE),Q653-$CD$3,R653,$CD$5)*H653-CJ654</f>
        <v>0</v>
      </c>
      <c r="CE654" s="234">
        <f>_xll.xSPRDOPT((VLOOKUP(G653,NGPREVPRICES,2,FALSE)+HLOOKUP(D653,PREVCURVES,VLOOKUP(G653,MOVE_DOWN2,2,FALSE),FALSE)),VLOOKUP(G653,NGPREVPRICES,2,FALSE),CK654,VLOOKUP(G653,NGPrices,4,FALSE),HLOOKUP(D653,PREVVOLS,VLOOKUP(G653,MOVE_DOWN2,2,FALSE),FALSE),VLOOKUP(G653,NGPREVPRICES,3,FALSE),HLOOKUP(D653,Correllate,VLOOKUP(G653,CorMove,2,FALSE),FALSE),Q653-$CD$3,R653,$CJ$5)*H653-CJ654</f>
        <v>0</v>
      </c>
      <c r="CF654" s="10">
        <f t="shared" si="766"/>
        <v>-7.2071632321021752</v>
      </c>
      <c r="CG654" s="234">
        <f>_xll.xSPRDOPT((VLOOKUP(G653,NGPREVPRICES,2,FALSE)+HLOOKUP(D653,PREVCURVES,VLOOKUP(G653,MOVE_DOWN2,2,FALSE),FALSE)),VLOOKUP(G653,NGPREVPRICES,2,FALSE),CK654,VLOOKUP(G653,NGPREVPRICES,4,FALSE),HLOOKUP(D653,VOLS,VLOOKUP(G653,move_down,2,FALSE),FALSE),VLOOKUP(G653,NGPrices,3,FALSE),HLOOKUP(D653,Correllate,VLOOKUP(G653,CorMove,2,FALSE),FALSE),Q653-$CD$3,R653,$CJ$5)*H653-CJ654</f>
        <v>0</v>
      </c>
      <c r="CH654" s="234">
        <f>_xll.xSPRDOPT((VLOOKUP(G653,NGPREVPRICES,2,FALSE)+HLOOKUP(D653,PREVCURVES,VLOOKUP(G653,MOVE_DOWN2,2,FALSE),FALSE)),VLOOKUP(G653,NGPREVPRICES,2,FALSE),CK654,VLOOKUP(G653,NGPREVPRICES,4,FALSE),HLOOKUP(D653,PREVVOLS,VLOOKUP(G653,MOVE_DOWN2,2,FALSE),FALSE),VLOOKUP(G653,NGPREVPRICES,3,FALSE),HLOOKUP(D653,Correllate,VLOOKUP(G653,CorMove,2,FALSE),FALSE),Q653-$C$3,R653,$CJ$5)*H653-CJ654</f>
        <v>-145.94228646717966</v>
      </c>
      <c r="CI654" s="234">
        <f t="shared" si="767"/>
        <v>-153.14944969928183</v>
      </c>
      <c r="CJ654" s="234">
        <f>_xll.xSPRDOPT((VLOOKUP(G653,NGPREVPRICES,2,FALSE)+HLOOKUP(D653,PREVCURVES,VLOOKUP(G653,MOVE_DOWN2,2,FALSE),FALSE)),VLOOKUP(G653,NGPREVPRICES,2,FALSE),CK654,VLOOKUP(G653,NGPREVPRICES,4,FALSE),HLOOKUP(D653,PREVVOLS,VLOOKUP(G653,MOVE_DOWN2,2,FALSE),FALSE),VLOOKUP(G653,NGPREVPRICES,3,FALSE),HLOOKUP(D653,Correllate,VLOOKUP(G653,CorMove,2,FALSE),FALSE),Q653-$CD$3,R653,$CJ$5)*H653</f>
        <v>37274.042080978186</v>
      </c>
      <c r="CK654" s="235">
        <f t="shared" si="768"/>
        <v>0.7</v>
      </c>
      <c r="CM654" t="str">
        <f t="shared" si="769"/>
        <v>36982Curve Shift/Gamma</v>
      </c>
      <c r="CN654" t="str">
        <f t="shared" si="747"/>
        <v>36982Rho</v>
      </c>
      <c r="CO654" t="str">
        <f t="shared" si="748"/>
        <v>36982Drift</v>
      </c>
      <c r="CP654" t="str">
        <f t="shared" si="749"/>
        <v>36982Vega</v>
      </c>
      <c r="CQ654" t="str">
        <f t="shared" si="750"/>
        <v>36982Theta</v>
      </c>
    </row>
    <row r="655" spans="1:95" x14ac:dyDescent="0.25">
      <c r="A655" s="140" t="s">
        <v>571</v>
      </c>
      <c r="B655" t="s">
        <v>250</v>
      </c>
      <c r="C655" t="s">
        <v>572</v>
      </c>
      <c r="D655" s="4" t="s">
        <v>74</v>
      </c>
      <c r="E655" t="s">
        <v>20</v>
      </c>
      <c r="F655" t="s">
        <v>21</v>
      </c>
      <c r="G655" s="5">
        <v>36861</v>
      </c>
      <c r="H655" s="130">
        <v>-1550000</v>
      </c>
      <c r="I655" s="235">
        <v>0.12</v>
      </c>
      <c r="J655" s="53">
        <f t="shared" si="772"/>
        <v>4.8</v>
      </c>
      <c r="K655" s="7">
        <f t="shared" si="773"/>
        <v>0.1</v>
      </c>
      <c r="L655" s="53">
        <f t="shared" si="774"/>
        <v>4.8999999999999995</v>
      </c>
      <c r="M655" s="157">
        <f t="shared" si="775"/>
        <v>6.8314027999354002E-2</v>
      </c>
      <c r="N655" s="4">
        <f t="shared" si="776"/>
        <v>0.6</v>
      </c>
      <c r="O655" s="4">
        <f t="shared" si="777"/>
        <v>0.6</v>
      </c>
      <c r="P655" s="9">
        <f t="shared" si="778"/>
        <v>0.997</v>
      </c>
      <c r="Q655" s="5">
        <f t="shared" si="771"/>
        <v>36859</v>
      </c>
      <c r="R655" s="4">
        <f t="shared" si="779"/>
        <v>1</v>
      </c>
      <c r="S655" s="158">
        <f>_xll.xSPRDOPT($L655,$J655,$I655,$M655,$O655,$N655,$P655,$Q655-$C$3,$R655,0)</f>
        <v>3.7433845382356959E-2</v>
      </c>
      <c r="T655" s="159">
        <f>_xll.xSPRDOPT($L655,$J655,$I655,$M655,$O655,$N655,$P655,$Q655-$C$3,$R655,1)*H655</f>
        <v>-669222.96401725558</v>
      </c>
      <c r="U655" s="160">
        <f t="shared" si="780"/>
        <v>-58022.460342653285</v>
      </c>
      <c r="V655" s="159">
        <f>_xll.xSPRDOPT($L655,$J655,$I655,$M655,$O655,$N655,$P655,$Q655-$C$3,$R655,2)*H655</f>
        <v>655886.31318288087</v>
      </c>
      <c r="W655" s="159">
        <f t="shared" si="781"/>
        <v>-13336.650834374712</v>
      </c>
      <c r="X655" s="51" t="str">
        <f t="shared" si="782"/>
        <v>36861NGI/CHI. GATE</v>
      </c>
      <c r="Y655" s="418">
        <f t="shared" si="783"/>
        <v>-155</v>
      </c>
      <c r="Z655" s="456">
        <f t="shared" si="784"/>
        <v>0.43175675097887456</v>
      </c>
      <c r="AA655" s="456">
        <f>_xll.xSPRDOPT($L655,$J655,$I655,$M655,$O655,$N655,$P655,$Q655-$C$3,$R655,3)</f>
        <v>3.2719443414643554</v>
      </c>
      <c r="AB655" s="456">
        <f>((_xll.xSPRDOPT($L655+AB$5,$J655,$I655,$M655,$O655,$N655,$P655,$Q655-$C$3,$R655,3)*$H655)/10000)/100</f>
        <v>-5.0715137292697507</v>
      </c>
      <c r="AC655" s="456">
        <f>((_xll.xSPRDOPT($L655+$AB$5,$J655,$I655,$M655,$O655,$N655,$P655,$Q655-$C$3,$R655,7)*$H655)/100)</f>
        <v>107785.42137854471</v>
      </c>
      <c r="AD655" s="456">
        <f>(_xll.xSPRDOPT($L655+$AB$5,$J655,$I655,$M655,$O655,$N655,$P655,$Q655-$C$3,$R655,9)/365)*$H655</f>
        <v>377.64589943139373</v>
      </c>
      <c r="AE655">
        <f t="shared" si="770"/>
        <v>0</v>
      </c>
      <c r="AF655" s="456">
        <f t="shared" si="785"/>
        <v>-1190.6011267151453</v>
      </c>
      <c r="AG655" s="456">
        <f>((_xll.xSPRDOPT($L655,$J655,$I655,$M655,$O655,$N655,$P655,$Q655-$C$3,$R655,6)*$H655)/100)</f>
        <v>3731.7381043734822</v>
      </c>
      <c r="AH655" s="456">
        <f>((_xll.xSPRDOPT($L655,$J655,$I655,$M655,$O655,$N655,$P655,$Q655-$C$3,$R655,5)*$H655)/100)</f>
        <v>-4922.3392310886275</v>
      </c>
      <c r="AI655" s="456">
        <f>(((_xll.xSPRDOPT($L655,$J655,$I655,$M655,$O655,$N655,$P655,$Q655-$C$3,$R655,4)*$H655)/10000)/100)-AB655</f>
        <v>3.5023470502542509E-2</v>
      </c>
      <c r="AJ655" s="456"/>
      <c r="CC655" s="141">
        <f>G654</f>
        <v>36831</v>
      </c>
      <c r="CD655" s="234">
        <f>_xll.xSPRDOPT((VLOOKUP(G654,NGPrices,2,FALSE)+HLOOKUP(D654,Prices,VLOOKUP(G654,move_down,2,FALSE),FALSE)),VLOOKUP(G654,NGPrices,2,FALSE),I654,VLOOKUP(G654,NGPREVPRICES,4,FALSE),HLOOKUP(D654,PREVVOLS,VLOOKUP(G654,MOVE_DOWN2,2,FALSE),FALSE),VLOOKUP(G654,NGPREVPRICES,3,FALSE),HLOOKUP(D654,Correllate,VLOOKUP(G654,CorMove,2,FALSE),FALSE),Q654-$CD$3,R654,$CD$5)*H654-CJ655</f>
        <v>0</v>
      </c>
      <c r="CE655" s="234">
        <f>_xll.xSPRDOPT((VLOOKUP(G654,NGPREVPRICES,2,FALSE)+HLOOKUP(D654,PREVCURVES,VLOOKUP(G654,MOVE_DOWN2,2,FALSE),FALSE)),VLOOKUP(G654,NGPREVPRICES,2,FALSE),CK655,VLOOKUP(G654,NGPrices,4,FALSE),HLOOKUP(D654,PREVVOLS,VLOOKUP(G654,MOVE_DOWN2,2,FALSE),FALSE),VLOOKUP(G654,NGPREVPRICES,3,FALSE),HLOOKUP(D654,Correllate,VLOOKUP(G654,CorMove,2,FALSE),FALSE),Q654-$CD$3,R654,$CJ$5)*H654-CJ655</f>
        <v>0</v>
      </c>
      <c r="CF655" s="10">
        <f>(CJ655/VLOOKUP(CC655,discount,3,FALSE))-(CJ655/VLOOKUP(CC655,discount,2,FALSE))</f>
        <v>6.6847980957318214</v>
      </c>
      <c r="CG655" s="234">
        <f>_xll.xSPRDOPT((VLOOKUP(G654,NGPREVPRICES,2,FALSE)+HLOOKUP(D654,PREVCURVES,VLOOKUP(G654,MOVE_DOWN2,2,FALSE),FALSE)),VLOOKUP(G654,NGPREVPRICES,2,FALSE),CK655,VLOOKUP(G654,NGPREVPRICES,4,FALSE),HLOOKUP(D654,VOLS,VLOOKUP(G654,move_down,2,FALSE),FALSE),VLOOKUP(G654,NGPrices,3,FALSE),HLOOKUP(D654,Correllate,VLOOKUP(G654,CorMove,2,FALSE),FALSE),Q654-$CD$3,R654,$CJ$5)*H654-CJ655</f>
        <v>0</v>
      </c>
      <c r="CH655" s="234">
        <f>_xll.xSPRDOPT((VLOOKUP(G654,NGPREVPRICES,2,FALSE)+HLOOKUP(D654,PREVCURVES,VLOOKUP(G654,MOVE_DOWN2,2,FALSE),FALSE)),VLOOKUP(G654,NGPREVPRICES,2,FALSE),CK655,VLOOKUP(G654,NGPREVPRICES,4,FALSE),HLOOKUP(D654,PREVVOLS,VLOOKUP(G654,MOVE_DOWN2,2,FALSE),FALSE),VLOOKUP(G654,NGPREVPRICES,3,FALSE),HLOOKUP(D654,Correllate,VLOOKUP(G654,CorMove,2,FALSE),FALSE),Q654-$C$3,R654,$CJ$5)*H654-CJ655</f>
        <v>422.01482610539097</v>
      </c>
      <c r="CI655" s="234">
        <f>SUM(CD655:CH655)</f>
        <v>428.69962420112279</v>
      </c>
      <c r="CJ655" s="234">
        <f>_xll.xSPRDOPT((VLOOKUP(G654,NGPREVPRICES,2,FALSE)+HLOOKUP(D654,PREVCURVES,VLOOKUP(G654,MOVE_DOWN2,2,FALSE),FALSE)),VLOOKUP(G654,NGPREVPRICES,2,FALSE),CK655,VLOOKUP(G654,NGPREVPRICES,4,FALSE),HLOOKUP(D654,PREVVOLS,VLOOKUP(G654,MOVE_DOWN2,2,FALSE),FALSE),VLOOKUP(G654,NGPREVPRICES,3,FALSE),HLOOKUP(D654,Correllate,VLOOKUP(G654,CorMove,2,FALSE),FALSE),Q654-$CD$3,R654,$CJ$5)*H654</f>
        <v>-35995.772215852703</v>
      </c>
      <c r="CK655" s="235">
        <f>I654</f>
        <v>0.12</v>
      </c>
      <c r="CM655" t="str">
        <f>CONCATENATE(CC655,$CD$6)</f>
        <v>36831Curve Shift/Gamma</v>
      </c>
      <c r="CN655" t="str">
        <f t="shared" si="747"/>
        <v>36831Rho</v>
      </c>
      <c r="CO655" t="str">
        <f t="shared" si="748"/>
        <v>36831Drift</v>
      </c>
      <c r="CP655" t="str">
        <f t="shared" si="749"/>
        <v>36831Vega</v>
      </c>
      <c r="CQ655" t="str">
        <f t="shared" si="750"/>
        <v>36831Theta</v>
      </c>
    </row>
    <row r="656" spans="1:95" x14ac:dyDescent="0.25">
      <c r="A656" s="140" t="s">
        <v>571</v>
      </c>
      <c r="B656" t="s">
        <v>250</v>
      </c>
      <c r="C656" t="s">
        <v>572</v>
      </c>
      <c r="D656" s="4" t="s">
        <v>74</v>
      </c>
      <c r="E656" t="s">
        <v>20</v>
      </c>
      <c r="F656" t="s">
        <v>21</v>
      </c>
      <c r="G656" s="5">
        <v>36892</v>
      </c>
      <c r="H656" s="130">
        <v>-1550000</v>
      </c>
      <c r="I656" s="235">
        <v>0.12</v>
      </c>
      <c r="J656" s="53">
        <f t="shared" si="772"/>
        <v>4.7439999999999998</v>
      </c>
      <c r="K656" s="7">
        <f t="shared" si="773"/>
        <v>0.1275</v>
      </c>
      <c r="L656" s="53">
        <f t="shared" si="774"/>
        <v>4.8715000000000002</v>
      </c>
      <c r="M656" s="157">
        <f t="shared" si="775"/>
        <v>6.8374831148490994E-2</v>
      </c>
      <c r="N656" s="4">
        <f t="shared" si="776"/>
        <v>0.60499999999999998</v>
      </c>
      <c r="O656" s="4">
        <f t="shared" si="777"/>
        <v>0.60499999999999998</v>
      </c>
      <c r="P656" s="9">
        <f t="shared" si="778"/>
        <v>0.997</v>
      </c>
      <c r="Q656" s="5">
        <f t="shared" si="771"/>
        <v>36888</v>
      </c>
      <c r="R656" s="4">
        <f t="shared" si="779"/>
        <v>1</v>
      </c>
      <c r="S656" s="158">
        <f>_xll.xSPRDOPT($L656,$J656,$I656,$M656,$O656,$N656,$P656,$Q656-$C$3,$R656,0)</f>
        <v>5.7007257969257118E-2</v>
      </c>
      <c r="T656" s="159">
        <f>_xll.xSPRDOPT($L656,$J656,$I656,$M656,$O656,$N656,$P656,$Q656-$C$3,$R656,1)*H656</f>
        <v>-801852.45257039135</v>
      </c>
      <c r="U656" s="160">
        <f t="shared" si="780"/>
        <v>-88361.249852348526</v>
      </c>
      <c r="V656" s="159">
        <f>_xll.xSPRDOPT($L656,$J656,$I656,$M656,$O656,$N656,$P656,$Q656-$C$3,$R656,2)*H656</f>
        <v>786380.13984282746</v>
      </c>
      <c r="W656" s="159">
        <f t="shared" si="781"/>
        <v>-15472.312727563898</v>
      </c>
      <c r="X656" s="51" t="str">
        <f t="shared" si="782"/>
        <v>36892NGI/CHI. GATE</v>
      </c>
      <c r="Y656" s="418">
        <f t="shared" si="783"/>
        <v>-155</v>
      </c>
      <c r="Z656" s="456">
        <f t="shared" si="784"/>
        <v>0.51732416294863959</v>
      </c>
      <c r="AA656" s="456">
        <f>_xll.xSPRDOPT($L656,$J656,$I656,$M656,$O656,$N656,$P656,$Q656-$C$3,$R656,3)</f>
        <v>2.8485503705285673</v>
      </c>
      <c r="AB656" s="456">
        <f>((_xll.xSPRDOPT($L656+AB$5,$J656,$I656,$M656,$O656,$N656,$P656,$Q656-$C$3,$R656,3)*$H656)/10000)/100</f>
        <v>-4.4152530743192795</v>
      </c>
      <c r="AC656" s="456">
        <f>((_xll.xSPRDOPT($L656+$AB$5,$J656,$I656,$M656,$O656,$N656,$P656,$Q656-$C$3,$R656,7)*$H656)/100)</f>
        <v>123948.93434454869</v>
      </c>
      <c r="AD656" s="456">
        <f>(_xll.xSPRDOPT($L656+$AB$5,$J656,$I656,$M656,$O656,$N656,$P656,$Q656-$C$3,$R656,9)/365)*$H656</f>
        <v>325.76405730744261</v>
      </c>
      <c r="AE656">
        <f t="shared" si="770"/>
        <v>0</v>
      </c>
      <c r="AF656" s="456">
        <f t="shared" si="785"/>
        <v>-1368.1878719222968</v>
      </c>
      <c r="AG656" s="456">
        <f>((_xll.xSPRDOPT($L656,$J656,$I656,$M656,$O656,$N656,$P656,$Q656-$C$3,$R656,6)*$H656)/100)</f>
        <v>4378.0125153552654</v>
      </c>
      <c r="AH656" s="456">
        <f>((_xll.xSPRDOPT($L656,$J656,$I656,$M656,$O656,$N656,$P656,$Q656-$C$3,$R656,5)*$H656)/100)</f>
        <v>-5746.2003872775622</v>
      </c>
      <c r="AI656" s="456">
        <f>(((_xll.xSPRDOPT($L656,$J656,$I656,$M656,$O656,$N656,$P656,$Q656-$C$3,$R656,4)*$H656)/10000)/100)-AB656</f>
        <v>-1.6077904757428207E-2</v>
      </c>
      <c r="AJ656" s="456"/>
      <c r="CC656" s="141">
        <f>G655</f>
        <v>36861</v>
      </c>
      <c r="CD656" s="234">
        <f>_xll.xSPRDOPT((VLOOKUP(G655,NGPrices,2,FALSE)+HLOOKUP(D655,Prices,VLOOKUP(G655,move_down,2,FALSE),FALSE)),VLOOKUP(G655,NGPrices,2,FALSE),I655,VLOOKUP(G655,NGPREVPRICES,4,FALSE),HLOOKUP(D655,PREVVOLS,VLOOKUP(G655,MOVE_DOWN2,2,FALSE),FALSE),VLOOKUP(G655,NGPREVPRICES,3,FALSE),HLOOKUP(D655,Correllate,VLOOKUP(G655,CorMove,2,FALSE),FALSE),Q655-$CD$3,R655,$CD$5)*H655-CJ656</f>
        <v>0</v>
      </c>
      <c r="CE656" s="234">
        <f>_xll.xSPRDOPT((VLOOKUP(G655,NGPREVPRICES,2,FALSE)+HLOOKUP(D655,PREVCURVES,VLOOKUP(G655,MOVE_DOWN2,2,FALSE),FALSE)),VLOOKUP(G655,NGPREVPRICES,2,FALSE),CK656,VLOOKUP(G655,NGPrices,4,FALSE),HLOOKUP(D655,PREVVOLS,VLOOKUP(G655,MOVE_DOWN2,2,FALSE),FALSE),VLOOKUP(G655,NGPREVPRICES,3,FALSE),HLOOKUP(D655,Correllate,VLOOKUP(G655,CorMove,2,FALSE),FALSE),Q655-$CD$3,R655,$CJ$5)*H655-CJ656</f>
        <v>0</v>
      </c>
      <c r="CF656" s="10">
        <f>(CJ656/VLOOKUP(CC656,discount,3,FALSE))-(CJ656/VLOOKUP(CC656,discount,2,FALSE))</f>
        <v>10.940304239324178</v>
      </c>
      <c r="CG656" s="234">
        <f>_xll.xSPRDOPT((VLOOKUP(G655,NGPREVPRICES,2,FALSE)+HLOOKUP(D655,PREVCURVES,VLOOKUP(G655,MOVE_DOWN2,2,FALSE),FALSE)),VLOOKUP(G655,NGPREVPRICES,2,FALSE),CK656,VLOOKUP(G655,NGPREVPRICES,4,FALSE),HLOOKUP(D655,VOLS,VLOOKUP(G655,move_down,2,FALSE),FALSE),VLOOKUP(G655,NGPrices,3,FALSE),HLOOKUP(D655,Correllate,VLOOKUP(G655,CorMove,2,FALSE),FALSE),Q655-$CD$3,R655,$CJ$5)*H655-CJ656</f>
        <v>0</v>
      </c>
      <c r="CH656" s="234">
        <f>_xll.xSPRDOPT((VLOOKUP(G655,NGPREVPRICES,2,FALSE)+HLOOKUP(D655,PREVCURVES,VLOOKUP(G655,MOVE_DOWN2,2,FALSE),FALSE)),VLOOKUP(G655,NGPREVPRICES,2,FALSE),CK656,VLOOKUP(G655,NGPREVPRICES,4,FALSE),HLOOKUP(D655,PREVVOLS,VLOOKUP(G655,MOVE_DOWN2,2,FALSE),FALSE),VLOOKUP(G655,NGPREVPRICES,3,FALSE),HLOOKUP(D655,Correllate,VLOOKUP(G655,CorMove,2,FALSE),FALSE),Q655-$C$3,R655,$CJ$5)*H655-CJ656</f>
        <v>376.30566388829902</v>
      </c>
      <c r="CI656" s="234">
        <f>SUM(CD656:CH656)</f>
        <v>387.2459681276232</v>
      </c>
      <c r="CJ656" s="234">
        <f>_xll.xSPRDOPT((VLOOKUP(G655,NGPREVPRICES,2,FALSE)+HLOOKUP(D655,PREVCURVES,VLOOKUP(G655,MOVE_DOWN2,2,FALSE),FALSE)),VLOOKUP(G655,NGPREVPRICES,2,FALSE),CK656,VLOOKUP(G655,NGPREVPRICES,4,FALSE),HLOOKUP(D655,PREVVOLS,VLOOKUP(G655,MOVE_DOWN2,2,FALSE),FALSE),VLOOKUP(G655,NGPREVPRICES,3,FALSE),HLOOKUP(D655,Correllate,VLOOKUP(G655,CorMove,2,FALSE),FALSE),Q655-$CD$3,R655,$CJ$5)*H655</f>
        <v>-58398.766006541584</v>
      </c>
      <c r="CK656" s="235">
        <f>I655</f>
        <v>0.12</v>
      </c>
      <c r="CM656" t="str">
        <f>CONCATENATE(CC656,$CD$6)</f>
        <v>36861Curve Shift/Gamma</v>
      </c>
      <c r="CN656" t="str">
        <f t="shared" si="747"/>
        <v>36861Rho</v>
      </c>
      <c r="CO656" t="str">
        <f t="shared" si="748"/>
        <v>36861Drift</v>
      </c>
      <c r="CP656" t="str">
        <f t="shared" si="749"/>
        <v>36861Vega</v>
      </c>
      <c r="CQ656" t="str">
        <f t="shared" si="750"/>
        <v>36861Theta</v>
      </c>
    </row>
    <row r="657" spans="1:95" x14ac:dyDescent="0.25">
      <c r="A657" s="140" t="s">
        <v>571</v>
      </c>
      <c r="B657" t="s">
        <v>250</v>
      </c>
      <c r="C657" t="s">
        <v>572</v>
      </c>
      <c r="D657" s="4" t="s">
        <v>74</v>
      </c>
      <c r="E657" t="s">
        <v>20</v>
      </c>
      <c r="F657" t="s">
        <v>21</v>
      </c>
      <c r="G657" s="5">
        <v>36923</v>
      </c>
      <c r="H657" s="130">
        <v>-1400000</v>
      </c>
      <c r="I657" s="235">
        <v>0.12</v>
      </c>
      <c r="J657" s="53">
        <f t="shared" si="772"/>
        <v>4.4800000000000004</v>
      </c>
      <c r="K657" s="7">
        <f t="shared" si="773"/>
        <v>0.13750000000000001</v>
      </c>
      <c r="L657" s="53">
        <f t="shared" si="774"/>
        <v>4.6175000000000006</v>
      </c>
      <c r="M657" s="157">
        <f t="shared" si="775"/>
        <v>6.8640161611372E-2</v>
      </c>
      <c r="N657" s="4">
        <f t="shared" si="776"/>
        <v>0.59250000000000003</v>
      </c>
      <c r="O657" s="4">
        <f t="shared" si="777"/>
        <v>0.59299999999999997</v>
      </c>
      <c r="P657" s="9">
        <f t="shared" si="778"/>
        <v>0.997</v>
      </c>
      <c r="Q657" s="5">
        <f t="shared" si="771"/>
        <v>36921</v>
      </c>
      <c r="R657" s="4">
        <f t="shared" si="779"/>
        <v>1</v>
      </c>
      <c r="S657" s="158">
        <f>_xll.xSPRDOPT($L657,$J657,$I657,$M657,$O657,$N657,$P657,$Q657-$C$3,$R657,0)</f>
        <v>6.4816128003551771E-2</v>
      </c>
      <c r="T657" s="159">
        <f>_xll.xSPRDOPT($L657,$J657,$I657,$M657,$O657,$N657,$P657,$Q657-$C$3,$R657,1)*H657</f>
        <v>-757355.41718628863</v>
      </c>
      <c r="U657" s="160">
        <f t="shared" si="780"/>
        <v>-90742.579204972484</v>
      </c>
      <c r="V657" s="159">
        <f>_xll.xSPRDOPT($L657,$J657,$I657,$M657,$O657,$N657,$P657,$Q657-$C$3,$R657,2)*H657</f>
        <v>742195.39833676885</v>
      </c>
      <c r="W657" s="159">
        <f t="shared" si="781"/>
        <v>-15160.01884951978</v>
      </c>
      <c r="X657" s="51" t="str">
        <f t="shared" si="782"/>
        <v>36923NGI/CHI. GATE</v>
      </c>
      <c r="Y657" s="418">
        <f t="shared" si="783"/>
        <v>-140</v>
      </c>
      <c r="Z657" s="456">
        <f t="shared" si="784"/>
        <v>0.54096815513306329</v>
      </c>
      <c r="AA657" s="456">
        <f>_xll.xSPRDOPT($L657,$J657,$I657,$M657,$O657,$N657,$P657,$Q657-$C$3,$R657,3)</f>
        <v>2.6573654472765673</v>
      </c>
      <c r="AB657" s="456">
        <f>((_xll.xSPRDOPT($L657+AB$5,$J657,$I657,$M657,$O657,$N657,$P657,$Q657-$C$3,$R657,3)*$H657)/10000)/100</f>
        <v>-3.7203116261871942</v>
      </c>
      <c r="AC657" s="456">
        <f>((_xll.xSPRDOPT($L657+$AB$5,$J657,$I657,$M657,$O657,$N657,$P657,$Q657-$C$3,$R657,7)*$H657)/100)</f>
        <v>114463.17843660255</v>
      </c>
      <c r="AD657" s="456">
        <f>(_xll.xSPRDOPT($L657+$AB$5,$J657,$I657,$M657,$O657,$N657,$P657,$Q657-$C$3,$R657,9)/365)*$H657</f>
        <v>236.69486070834967</v>
      </c>
      <c r="AE657">
        <f t="shared" si="770"/>
        <v>0</v>
      </c>
      <c r="AF657" s="456">
        <f t="shared" si="785"/>
        <v>-1318.2178835804953</v>
      </c>
      <c r="AG657" s="456">
        <f>((_xll.xSPRDOPT($L657,$J657,$I657,$M657,$O657,$N657,$P657,$Q657-$C$3,$R657,6)*$H657)/100)</f>
        <v>4567.108636846332</v>
      </c>
      <c r="AH657" s="456">
        <f>((_xll.xSPRDOPT($L657,$J657,$I657,$M657,$O657,$N657,$P657,$Q657-$C$3,$R657,5)*$H657)/100)</f>
        <v>-5880.3641877789132</v>
      </c>
      <c r="AI657" s="456">
        <f>(((_xll.xSPRDOPT($L657,$J657,$I657,$M657,$O657,$N657,$P657,$Q657-$C$3,$R657,4)*$H657)/10000)/100)-AB657</f>
        <v>-3.0074444934443445E-2</v>
      </c>
      <c r="AJ657" s="456"/>
      <c r="CC657" s="141">
        <f>G656</f>
        <v>36892</v>
      </c>
      <c r="CD657" s="234">
        <f>_xll.xSPRDOPT((VLOOKUP(G656,NGPrices,2,FALSE)+HLOOKUP(D656,Prices,VLOOKUP(G656,move_down,2,FALSE),FALSE)),VLOOKUP(G656,NGPrices,2,FALSE),I656,VLOOKUP(G656,NGPREVPRICES,4,FALSE),HLOOKUP(D656,PREVVOLS,VLOOKUP(G656,MOVE_DOWN2,2,FALSE),FALSE),VLOOKUP(G656,NGPREVPRICES,3,FALSE),HLOOKUP(D656,Correllate,VLOOKUP(G656,CorMove,2,FALSE),FALSE),Q656-$CD$3,R656,$CD$5)*H656-CJ657</f>
        <v>0</v>
      </c>
      <c r="CE657" s="234">
        <f>_xll.xSPRDOPT((VLOOKUP(G656,NGPREVPRICES,2,FALSE)+HLOOKUP(D656,PREVCURVES,VLOOKUP(G656,MOVE_DOWN2,2,FALSE),FALSE)),VLOOKUP(G656,NGPREVPRICES,2,FALSE),CK657,VLOOKUP(G656,NGPrices,4,FALSE),HLOOKUP(D656,PREVVOLS,VLOOKUP(G656,MOVE_DOWN2,2,FALSE),FALSE),VLOOKUP(G656,NGPREVPRICES,3,FALSE),HLOOKUP(D656,Correllate,VLOOKUP(G656,CorMove,2,FALSE),FALSE),Q656-$CD$3,R656,$CJ$5)*H656-CJ657</f>
        <v>0</v>
      </c>
      <c r="CF657" s="10">
        <f>(CJ657/VLOOKUP(CC657,discount,3,FALSE))-(CJ657/VLOOKUP(CC657,discount,2,FALSE))</f>
        <v>16.712093126712716</v>
      </c>
      <c r="CG657" s="234">
        <f>_xll.xSPRDOPT((VLOOKUP(G656,NGPREVPRICES,2,FALSE)+HLOOKUP(D656,PREVCURVES,VLOOKUP(G656,MOVE_DOWN2,2,FALSE),FALSE)),VLOOKUP(G656,NGPREVPRICES,2,FALSE),CK657,VLOOKUP(G656,NGPREVPRICES,4,FALSE),HLOOKUP(D656,VOLS,VLOOKUP(G656,move_down,2,FALSE),FALSE),VLOOKUP(G656,NGPrices,3,FALSE),HLOOKUP(D656,Correllate,VLOOKUP(G656,CorMove,2,FALSE),FALSE),Q656-$CD$3,R656,$CJ$5)*H656-CJ657</f>
        <v>0</v>
      </c>
      <c r="CH657" s="234">
        <f>_xll.xSPRDOPT((VLOOKUP(G656,NGPREVPRICES,2,FALSE)+HLOOKUP(D656,PREVCURVES,VLOOKUP(G656,MOVE_DOWN2,2,FALSE),FALSE)),VLOOKUP(G656,NGPREVPRICES,2,FALSE),CK657,VLOOKUP(G656,NGPREVPRICES,4,FALSE),HLOOKUP(D656,PREVVOLS,VLOOKUP(G656,MOVE_DOWN2,2,FALSE),FALSE),VLOOKUP(G656,NGPREVPRICES,3,FALSE),HLOOKUP(D656,Correllate,VLOOKUP(G656,CorMove,2,FALSE),FALSE),Q656-$C$3,R656,$CJ$5)*H656-CJ657</f>
        <v>324.75036439381074</v>
      </c>
      <c r="CI657" s="234">
        <f>SUM(CD657:CH657)</f>
        <v>341.46245752052346</v>
      </c>
      <c r="CJ657" s="234">
        <f>_xll.xSPRDOPT((VLOOKUP(G656,NGPREVPRICES,2,FALSE)+HLOOKUP(D656,PREVCURVES,VLOOKUP(G656,MOVE_DOWN2,2,FALSE),FALSE)),VLOOKUP(G656,NGPREVPRICES,2,FALSE),CK657,VLOOKUP(G656,NGPREVPRICES,4,FALSE),HLOOKUP(D656,PREVVOLS,VLOOKUP(G656,MOVE_DOWN2,2,FALSE),FALSE),VLOOKUP(G656,NGPREVPRICES,3,FALSE),HLOOKUP(D656,Correllate,VLOOKUP(G656,CorMove,2,FALSE),FALSE),Q656-$CD$3,R656,$CJ$5)*H656</f>
        <v>-88686.000216742337</v>
      </c>
      <c r="CK657" s="235">
        <f>I656</f>
        <v>0.12</v>
      </c>
      <c r="CM657" t="str">
        <f>CONCATENATE(CC657,$CD$6)</f>
        <v>36892Curve Shift/Gamma</v>
      </c>
      <c r="CN657" t="str">
        <f t="shared" si="747"/>
        <v>36892Rho</v>
      </c>
      <c r="CO657" t="str">
        <f t="shared" si="748"/>
        <v>36892Drift</v>
      </c>
      <c r="CP657" t="str">
        <f t="shared" si="749"/>
        <v>36892Vega</v>
      </c>
      <c r="CQ657" t="str">
        <f t="shared" si="750"/>
        <v>36892Theta</v>
      </c>
    </row>
    <row r="658" spans="1:95" x14ac:dyDescent="0.25">
      <c r="A658" s="140" t="s">
        <v>571</v>
      </c>
      <c r="B658" t="s">
        <v>250</v>
      </c>
      <c r="C658" t="s">
        <v>572</v>
      </c>
      <c r="D658" s="4" t="s">
        <v>74</v>
      </c>
      <c r="E658" t="s">
        <v>20</v>
      </c>
      <c r="F658" t="s">
        <v>21</v>
      </c>
      <c r="G658" s="5">
        <v>36951</v>
      </c>
      <c r="H658" s="130">
        <v>-1550000</v>
      </c>
      <c r="I658" s="235">
        <v>0.12</v>
      </c>
      <c r="J658" s="53">
        <f t="shared" si="772"/>
        <v>4.2130000000000001</v>
      </c>
      <c r="K658" s="7">
        <f t="shared" si="773"/>
        <v>0.1225</v>
      </c>
      <c r="L658" s="53">
        <f t="shared" si="774"/>
        <v>4.3354999999999997</v>
      </c>
      <c r="M658" s="157">
        <f t="shared" si="775"/>
        <v>6.8879814952706994E-2</v>
      </c>
      <c r="N658" s="4">
        <f t="shared" si="776"/>
        <v>0.53249999999999997</v>
      </c>
      <c r="O658" s="4">
        <f t="shared" si="777"/>
        <v>0.53300000000000003</v>
      </c>
      <c r="P658" s="9">
        <f t="shared" si="778"/>
        <v>0.997</v>
      </c>
      <c r="Q658" s="5">
        <f t="shared" si="771"/>
        <v>36949</v>
      </c>
      <c r="R658" s="4">
        <f t="shared" si="779"/>
        <v>1</v>
      </c>
      <c r="S658" s="158">
        <f>_xll.xSPRDOPT($L658,$J658,$I658,$M658,$O658,$N658,$P658,$Q658-$C$3,$R658,0)</f>
        <v>5.2611258917561327E-2</v>
      </c>
      <c r="T658" s="159">
        <f>_xll.xSPRDOPT($L658,$J658,$I658,$M658,$O658,$N658,$P658,$Q658-$C$3,$R658,1)*H658</f>
        <v>-773253.62192540744</v>
      </c>
      <c r="U658" s="160">
        <f t="shared" si="780"/>
        <v>-81547.451322220062</v>
      </c>
      <c r="V658" s="159">
        <f>_xll.xSPRDOPT($L658,$J658,$I658,$M658,$O658,$N658,$P658,$Q658-$C$3,$R658,2)*H658</f>
        <v>756894.93635993695</v>
      </c>
      <c r="W658" s="159">
        <f t="shared" si="781"/>
        <v>-16358.685565470485</v>
      </c>
      <c r="X658" s="51" t="str">
        <f t="shared" si="782"/>
        <v>36951NGI/CHI. GATE</v>
      </c>
      <c r="Y658" s="418">
        <f t="shared" si="783"/>
        <v>-155</v>
      </c>
      <c r="Z658" s="456">
        <f t="shared" si="784"/>
        <v>0.49887330446800482</v>
      </c>
      <c r="AA658" s="456">
        <f>_xll.xSPRDOPT($L658,$J658,$I658,$M658,$O658,$N658,$P658,$Q658-$C$3,$R658,3)</f>
        <v>2.8935612792428604</v>
      </c>
      <c r="AB658" s="456">
        <f>((_xll.xSPRDOPT($L658+AB$5,$J658,$I658,$M658,$O658,$N658,$P658,$Q658-$C$3,$R658,3)*$H658)/10000)/100</f>
        <v>-4.4850199828264339</v>
      </c>
      <c r="AC658" s="456">
        <f>((_xll.xSPRDOPT($L658+$AB$5,$J658,$I658,$M658,$O658,$N658,$P658,$Q658-$C$3,$R658,7)*$H658)/100)</f>
        <v>115986.10218965875</v>
      </c>
      <c r="AD658" s="456">
        <f>(_xll.xSPRDOPT($L658+$AB$5,$J658,$I658,$M658,$O658,$N658,$P658,$Q658-$C$3,$R658,9)/365)*$H658</f>
        <v>204.72141440982293</v>
      </c>
      <c r="AE658">
        <f t="shared" si="770"/>
        <v>0</v>
      </c>
      <c r="AF658" s="456">
        <f t="shared" si="785"/>
        <v>-1503.5741434912306</v>
      </c>
      <c r="AG658" s="456">
        <f>((_xll.xSPRDOPT($L658,$J658,$I658,$M658,$O658,$N658,$P658,$Q658-$C$3,$R658,6)*$H658)/100)</f>
        <v>5444.1252699000379</v>
      </c>
      <c r="AH658" s="456">
        <f>((_xll.xSPRDOPT($L658,$J658,$I658,$M658,$O658,$N658,$P658,$Q658-$C$3,$R658,5)*$H658)/100)</f>
        <v>-6941.1818717276738</v>
      </c>
      <c r="AI658" s="456">
        <f>(((_xll.xSPRDOPT($L658,$J658,$I658,$M658,$O658,$N658,$P658,$Q658-$C$3,$R658,4)*$H658)/10000)/100)-AB658</f>
        <v>-1.0417350893330735E-2</v>
      </c>
      <c r="AJ658" s="456"/>
      <c r="CC658" s="141">
        <f>G657</f>
        <v>36923</v>
      </c>
      <c r="CD658" s="234">
        <f>_xll.xSPRDOPT((VLOOKUP(G657,NGPrices,2,FALSE)+HLOOKUP(D657,Prices,VLOOKUP(G657,move_down,2,FALSE),FALSE)),VLOOKUP(G657,NGPrices,2,FALSE),I657,VLOOKUP(G657,NGPREVPRICES,4,FALSE),HLOOKUP(D657,PREVVOLS,VLOOKUP(G657,MOVE_DOWN2,2,FALSE),FALSE),VLOOKUP(G657,NGPREVPRICES,3,FALSE),HLOOKUP(D657,Correllate,VLOOKUP(G657,CorMove,2,FALSE),FALSE),Q657-$CD$3,R657,$CD$5)*H657-CJ658</f>
        <v>0</v>
      </c>
      <c r="CE658" s="234">
        <f>_xll.xSPRDOPT((VLOOKUP(G657,NGPREVPRICES,2,FALSE)+HLOOKUP(D657,PREVCURVES,VLOOKUP(G657,MOVE_DOWN2,2,FALSE),FALSE)),VLOOKUP(G657,NGPREVPRICES,2,FALSE),CK658,VLOOKUP(G657,NGPrices,4,FALSE),HLOOKUP(D657,PREVVOLS,VLOOKUP(G657,MOVE_DOWN2,2,FALSE),FALSE),VLOOKUP(G657,NGPREVPRICES,3,FALSE),HLOOKUP(D657,Correllate,VLOOKUP(G657,CorMove,2,FALSE),FALSE),Q657-$CD$3,R657,$CJ$5)*H657-CJ658</f>
        <v>0</v>
      </c>
      <c r="CF658" s="10">
        <f>(CJ658/VLOOKUP(CC658,discount,3,FALSE))-(CJ658/VLOOKUP(CC658,discount,2,FALSE))</f>
        <v>17.303093305701623</v>
      </c>
      <c r="CG658" s="234">
        <f>_xll.xSPRDOPT((VLOOKUP(G657,NGPREVPRICES,2,FALSE)+HLOOKUP(D657,PREVCURVES,VLOOKUP(G657,MOVE_DOWN2,2,FALSE),FALSE)),VLOOKUP(G657,NGPREVPRICES,2,FALSE),CK658,VLOOKUP(G657,NGPREVPRICES,4,FALSE),HLOOKUP(D657,VOLS,VLOOKUP(G657,move_down,2,FALSE),FALSE),VLOOKUP(G657,NGPrices,3,FALSE),HLOOKUP(D657,Correllate,VLOOKUP(G657,CorMove,2,FALSE),FALSE),Q657-$CD$3,R657,$CJ$5)*H657-CJ658</f>
        <v>0</v>
      </c>
      <c r="CH658" s="234">
        <f>_xll.xSPRDOPT((VLOOKUP(G657,NGPREVPRICES,2,FALSE)+HLOOKUP(D657,PREVCURVES,VLOOKUP(G657,MOVE_DOWN2,2,FALSE),FALSE)),VLOOKUP(G657,NGPREVPRICES,2,FALSE),CK658,VLOOKUP(G657,NGPREVPRICES,4,FALSE),HLOOKUP(D657,PREVVOLS,VLOOKUP(G657,MOVE_DOWN2,2,FALSE),FALSE),VLOOKUP(G657,NGPREVPRICES,3,FALSE),HLOOKUP(D657,Correllate,VLOOKUP(G657,CorMove,2,FALSE),FALSE),Q657-$C$3,R657,$CJ$5)*H657-CJ658</f>
        <v>236.08882765253657</v>
      </c>
      <c r="CI658" s="234">
        <f>SUM(CD658:CH658)</f>
        <v>253.39192095823819</v>
      </c>
      <c r="CJ658" s="234">
        <f>_xll.xSPRDOPT((VLOOKUP(G657,NGPREVPRICES,2,FALSE)+HLOOKUP(D657,PREVCURVES,VLOOKUP(G657,MOVE_DOWN2,2,FALSE),FALSE)),VLOOKUP(G657,NGPREVPRICES,2,FALSE),CK658,VLOOKUP(G657,NGPREVPRICES,4,FALSE),HLOOKUP(D657,PREVVOLS,VLOOKUP(G657,MOVE_DOWN2,2,FALSE),FALSE),VLOOKUP(G657,NGPREVPRICES,3,FALSE),HLOOKUP(D657,Correllate,VLOOKUP(G657,CorMove,2,FALSE),FALSE),Q657-$CD$3,R657,$CJ$5)*H657</f>
        <v>-90978.668032625021</v>
      </c>
      <c r="CK658" s="235">
        <f>I657</f>
        <v>0.12</v>
      </c>
      <c r="CM658" t="str">
        <f>CONCATENATE(CC658,$CD$6)</f>
        <v>36923Curve Shift/Gamma</v>
      </c>
      <c r="CN658" t="str">
        <f t="shared" si="747"/>
        <v>36923Rho</v>
      </c>
      <c r="CO658" t="str">
        <f t="shared" si="748"/>
        <v>36923Drift</v>
      </c>
      <c r="CP658" t="str">
        <f t="shared" si="749"/>
        <v>36923Vega</v>
      </c>
      <c r="CQ658" t="str">
        <f t="shared" si="750"/>
        <v>36923Theta</v>
      </c>
    </row>
    <row r="659" spans="1:95" x14ac:dyDescent="0.25">
      <c r="A659" s="140" t="s">
        <v>399</v>
      </c>
      <c r="B659" t="s">
        <v>250</v>
      </c>
      <c r="C659" t="s">
        <v>573</v>
      </c>
      <c r="D659" s="4" t="s">
        <v>74</v>
      </c>
      <c r="E659" t="s">
        <v>20</v>
      </c>
      <c r="F659" t="s">
        <v>21</v>
      </c>
      <c r="G659" s="5">
        <v>36831</v>
      </c>
      <c r="H659" s="130">
        <v>-300000</v>
      </c>
      <c r="I659" s="235">
        <v>0.12</v>
      </c>
      <c r="J659" s="53">
        <f t="shared" si="772"/>
        <v>4.7359999999999998</v>
      </c>
      <c r="K659" s="7">
        <f t="shared" si="773"/>
        <v>8.7499999999999994E-2</v>
      </c>
      <c r="L659" s="53">
        <f t="shared" si="774"/>
        <v>4.8235000000000001</v>
      </c>
      <c r="M659" s="157">
        <f t="shared" si="775"/>
        <v>6.810675983792E-2</v>
      </c>
      <c r="N659" s="4">
        <f t="shared" si="776"/>
        <v>0.59499999999999997</v>
      </c>
      <c r="O659" s="4">
        <f t="shared" si="777"/>
        <v>0.59499999999999997</v>
      </c>
      <c r="P659" s="9">
        <f t="shared" si="778"/>
        <v>0.997</v>
      </c>
      <c r="Q659" s="5">
        <f t="shared" si="771"/>
        <v>36829</v>
      </c>
      <c r="R659" s="4">
        <f t="shared" si="779"/>
        <v>1</v>
      </c>
      <c r="S659" s="158">
        <f>_xll.xSPRDOPT($L659,$J659,$I659,$M659,$O659,$N659,$P659,$Q659-$C$3,$R659,0)</f>
        <v>2.3715838259831541E-2</v>
      </c>
      <c r="T659" s="159">
        <f>_xll.xSPRDOPT($L659,$J659,$I659,$M659,$O659,$N659,$P659,$Q659-$C$3,$R659,1)*H659</f>
        <v>-110134.07195237721</v>
      </c>
      <c r="U659" s="160">
        <f t="shared" si="780"/>
        <v>-7114.7514779494622</v>
      </c>
      <c r="V659" s="159">
        <f>_xll.xSPRDOPT($L659,$J659,$I659,$M659,$O659,$N659,$P659,$Q659-$C$3,$R659,2)*H659</f>
        <v>108111.04279167419</v>
      </c>
      <c r="W659" s="159">
        <f t="shared" si="781"/>
        <v>-2023.0291607030231</v>
      </c>
      <c r="X659" s="51" t="str">
        <f t="shared" si="782"/>
        <v>36831NGI/CHI. GATE</v>
      </c>
      <c r="Y659" s="418">
        <f t="shared" si="783"/>
        <v>-30</v>
      </c>
      <c r="Z659" s="456">
        <f t="shared" si="784"/>
        <v>0.3671135731745907</v>
      </c>
      <c r="AA659" s="456">
        <f>_xll.xSPRDOPT($L659,$J659,$I659,$M659,$O659,$N659,$P659,$Q659-$C$3,$R659,3)</f>
        <v>3.9360920437372209</v>
      </c>
      <c r="AB659" s="456">
        <f>((_xll.xSPRDOPT($L659+AB$5,$J659,$I659,$M659,$O659,$N659,$P659,$Q659-$C$3,$R659,3)*$H659)/10000)/100</f>
        <v>-1.1808276131211664</v>
      </c>
      <c r="AC659" s="456">
        <f>((_xll.xSPRDOPT($L659+$AB$5,$J659,$I659,$M659,$O659,$N659,$P659,$Q659-$C$3,$R659,7)*$H659)/100)</f>
        <v>16113.509943949708</v>
      </c>
      <c r="AD659" s="456">
        <f>(_xll.xSPRDOPT($L659+$AB$5,$J659,$I659,$M659,$O659,$N659,$P659,$Q659-$C$3,$R659,9)/365)*$H659</f>
        <v>84.779276553590776</v>
      </c>
      <c r="AE659">
        <f t="shared" si="770"/>
        <v>0</v>
      </c>
      <c r="AF659" s="456">
        <f t="shared" si="785"/>
        <v>-179.32670330322674</v>
      </c>
      <c r="AG659" s="456">
        <f>((_xll.xSPRDOPT($L659,$J659,$I659,$M659,$O659,$N659,$P659,$Q659-$C$3,$R659,6)*$H659)/100)</f>
        <v>568.24674461428174</v>
      </c>
      <c r="AH659" s="456">
        <f>((_xll.xSPRDOPT($L659,$J659,$I659,$M659,$O659,$N659,$P659,$Q659-$C$3,$R659,5)*$H659)/100)</f>
        <v>-747.57344791750847</v>
      </c>
      <c r="AI659" s="456">
        <f>(((_xll.xSPRDOPT($L659,$J659,$I659,$M659,$O659,$N659,$P659,$Q659-$C$3,$R659,4)*$H659)/10000)/100)-AB659</f>
        <v>1.4048088533825664E-2</v>
      </c>
      <c r="AJ659" s="456"/>
      <c r="CC659" s="141">
        <f>G658</f>
        <v>36951</v>
      </c>
      <c r="CD659" s="234">
        <f>_xll.xSPRDOPT((VLOOKUP(G658,NGPrices,2,FALSE)+HLOOKUP(D658,Prices,VLOOKUP(G658,move_down,2,FALSE),FALSE)),VLOOKUP(G658,NGPrices,2,FALSE),I658,VLOOKUP(G658,NGPREVPRICES,4,FALSE),HLOOKUP(D658,PREVVOLS,VLOOKUP(G658,MOVE_DOWN2,2,FALSE),FALSE),VLOOKUP(G658,NGPREVPRICES,3,FALSE),HLOOKUP(D658,Correllate,VLOOKUP(G658,CorMove,2,FALSE),FALSE),Q658-$CD$3,R658,$CD$5)*H658-CJ659</f>
        <v>0</v>
      </c>
      <c r="CE659" s="234">
        <f>_xll.xSPRDOPT((VLOOKUP(G658,NGPREVPRICES,2,FALSE)+HLOOKUP(D658,PREVCURVES,VLOOKUP(G658,MOVE_DOWN2,2,FALSE),FALSE)),VLOOKUP(G658,NGPREVPRICES,2,FALSE),CK659,VLOOKUP(G658,NGPrices,4,FALSE),HLOOKUP(D658,PREVVOLS,VLOOKUP(G658,MOVE_DOWN2,2,FALSE),FALSE),VLOOKUP(G658,NGPREVPRICES,3,FALSE),HLOOKUP(D658,Correllate,VLOOKUP(G658,CorMove,2,FALSE),FALSE),Q658-$CD$3,R658,$CJ$5)*H658-CJ659</f>
        <v>0</v>
      </c>
      <c r="CF659" s="10">
        <f>(CJ659/VLOOKUP(CC659,discount,3,FALSE))-(CJ659/VLOOKUP(CC659,discount,2,FALSE))</f>
        <v>15.678753576255986</v>
      </c>
      <c r="CG659" s="234">
        <f>_xll.xSPRDOPT((VLOOKUP(G658,NGPREVPRICES,2,FALSE)+HLOOKUP(D658,PREVCURVES,VLOOKUP(G658,MOVE_DOWN2,2,FALSE),FALSE)),VLOOKUP(G658,NGPREVPRICES,2,FALSE),CK659,VLOOKUP(G658,NGPREVPRICES,4,FALSE),HLOOKUP(D658,VOLS,VLOOKUP(G658,move_down,2,FALSE),FALSE),VLOOKUP(G658,NGPrices,3,FALSE),HLOOKUP(D658,Correllate,VLOOKUP(G658,CorMove,2,FALSE),FALSE),Q658-$CD$3,R658,$CJ$5)*H658-CJ659</f>
        <v>0</v>
      </c>
      <c r="CH659" s="234">
        <f>_xll.xSPRDOPT((VLOOKUP(G658,NGPREVPRICES,2,FALSE)+HLOOKUP(D658,PREVCURVES,VLOOKUP(G658,MOVE_DOWN2,2,FALSE),FALSE)),VLOOKUP(G658,NGPREVPRICES,2,FALSE),CK659,VLOOKUP(G658,NGPREVPRICES,4,FALSE),HLOOKUP(D658,PREVVOLS,VLOOKUP(G658,MOVE_DOWN2,2,FALSE),FALSE),VLOOKUP(G658,NGPREVPRICES,3,FALSE),HLOOKUP(D658,Correllate,VLOOKUP(G658,CorMove,2,FALSE),FALSE),Q658-$C$3,R658,$CJ$5)*H658-CJ659</f>
        <v>204.24463501897117</v>
      </c>
      <c r="CI659" s="234">
        <f>SUM(CD659:CH659)</f>
        <v>219.92338859522715</v>
      </c>
      <c r="CJ659" s="234">
        <f>_xll.xSPRDOPT((VLOOKUP(G658,NGPREVPRICES,2,FALSE)+HLOOKUP(D658,PREVCURVES,VLOOKUP(G658,MOVE_DOWN2,2,FALSE),FALSE)),VLOOKUP(G658,NGPREVPRICES,2,FALSE),CK659,VLOOKUP(G658,NGPREVPRICES,4,FALSE),HLOOKUP(D658,PREVVOLS,VLOOKUP(G658,MOVE_DOWN2,2,FALSE),FALSE),VLOOKUP(G658,NGPREVPRICES,3,FALSE),HLOOKUP(D658,Correllate,VLOOKUP(G658,CorMove,2,FALSE),FALSE),Q658-$CD$3,R658,$CJ$5)*H658</f>
        <v>-81751.695957239033</v>
      </c>
      <c r="CK659" s="235">
        <f>I658</f>
        <v>0.12</v>
      </c>
      <c r="CM659" t="str">
        <f>CONCATENATE(CC659,$CD$6)</f>
        <v>36951Curve Shift/Gamma</v>
      </c>
      <c r="CN659" t="str">
        <f t="shared" si="747"/>
        <v>36951Rho</v>
      </c>
      <c r="CO659" t="str">
        <f t="shared" si="748"/>
        <v>36951Drift</v>
      </c>
      <c r="CP659" t="str">
        <f t="shared" si="749"/>
        <v>36951Vega</v>
      </c>
      <c r="CQ659" t="str">
        <f t="shared" si="750"/>
        <v>36951Theta</v>
      </c>
    </row>
    <row r="660" spans="1:95" x14ac:dyDescent="0.25">
      <c r="A660" s="140" t="s">
        <v>399</v>
      </c>
      <c r="B660" t="s">
        <v>250</v>
      </c>
      <c r="C660" t="s">
        <v>573</v>
      </c>
      <c r="D660" s="4" t="s">
        <v>74</v>
      </c>
      <c r="E660" t="s">
        <v>20</v>
      </c>
      <c r="F660" t="s">
        <v>21</v>
      </c>
      <c r="G660" s="5">
        <v>36861</v>
      </c>
      <c r="H660" s="130">
        <v>-310000</v>
      </c>
      <c r="I660" s="235">
        <v>0.12</v>
      </c>
      <c r="J660" s="53">
        <f t="shared" si="772"/>
        <v>4.8</v>
      </c>
      <c r="K660" s="7">
        <f t="shared" si="773"/>
        <v>0.1</v>
      </c>
      <c r="L660" s="53">
        <f t="shared" si="774"/>
        <v>4.8999999999999995</v>
      </c>
      <c r="M660" s="157">
        <f t="shared" si="775"/>
        <v>6.8314027999354002E-2</v>
      </c>
      <c r="N660" s="4">
        <f t="shared" si="776"/>
        <v>0.6</v>
      </c>
      <c r="O660" s="4">
        <f t="shared" si="777"/>
        <v>0.6</v>
      </c>
      <c r="P660" s="9">
        <f t="shared" si="778"/>
        <v>0.997</v>
      </c>
      <c r="Q660" s="5">
        <f t="shared" si="771"/>
        <v>36859</v>
      </c>
      <c r="R660" s="4">
        <f t="shared" si="779"/>
        <v>1</v>
      </c>
      <c r="S660" s="158">
        <f>_xll.xSPRDOPT($L660,$J660,$I660,$M660,$O660,$N660,$P660,$Q660-$C$3,$R660,0)</f>
        <v>3.7433845382356959E-2</v>
      </c>
      <c r="T660" s="159">
        <f>_xll.xSPRDOPT($L660,$J660,$I660,$M660,$O660,$N660,$P660,$Q660-$C$3,$R660,1)*H660</f>
        <v>-133844.59280345112</v>
      </c>
      <c r="U660" s="160">
        <f t="shared" si="780"/>
        <v>-11604.492068530657</v>
      </c>
      <c r="V660" s="159">
        <f>_xll.xSPRDOPT($L660,$J660,$I660,$M660,$O660,$N660,$P660,$Q660-$C$3,$R660,2)*H660</f>
        <v>131177.26263657617</v>
      </c>
      <c r="W660" s="159">
        <f t="shared" si="781"/>
        <v>-2667.3301668749482</v>
      </c>
      <c r="X660" s="51" t="str">
        <f t="shared" si="782"/>
        <v>36861NGI/CHI. GATE</v>
      </c>
      <c r="Y660" s="418">
        <f t="shared" si="783"/>
        <v>-31</v>
      </c>
      <c r="Z660" s="456">
        <f t="shared" si="784"/>
        <v>0.43175675097887456</v>
      </c>
      <c r="AA660" s="456">
        <f>_xll.xSPRDOPT($L660,$J660,$I660,$M660,$O660,$N660,$P660,$Q660-$C$3,$R660,3)</f>
        <v>3.2719443414643554</v>
      </c>
      <c r="AB660" s="456">
        <f>((_xll.xSPRDOPT($L660+AB$5,$J660,$I660,$M660,$O660,$N660,$P660,$Q660-$C$3,$R660,3)*$H660)/10000)/100</f>
        <v>-1.0143027458539502</v>
      </c>
      <c r="AC660" s="456">
        <f>((_xll.xSPRDOPT($L660+$AB$5,$J660,$I660,$M660,$O660,$N660,$P660,$Q660-$C$3,$R660,7)*$H660)/100)</f>
        <v>21557.084275708938</v>
      </c>
      <c r="AD660" s="456">
        <f>(_xll.xSPRDOPT($L660+$AB$5,$J660,$I660,$M660,$O660,$N660,$P660,$Q660-$C$3,$R660,9)/365)*$H660</f>
        <v>75.529179886278754</v>
      </c>
      <c r="AE660">
        <f t="shared" si="770"/>
        <v>0</v>
      </c>
      <c r="AF660" s="456">
        <f t="shared" si="785"/>
        <v>-238.12022534302923</v>
      </c>
      <c r="AG660" s="456">
        <f>((_xll.xSPRDOPT($L660,$J660,$I660,$M660,$O660,$N660,$P660,$Q660-$C$3,$R660,6)*$H660)/100)</f>
        <v>746.34762087469642</v>
      </c>
      <c r="AH660" s="456">
        <f>((_xll.xSPRDOPT($L660,$J660,$I660,$M660,$O660,$N660,$P660,$Q660-$C$3,$R660,5)*$H660)/100)</f>
        <v>-984.46784621772565</v>
      </c>
      <c r="AI660" s="456">
        <f>(((_xll.xSPRDOPT($L660,$J660,$I660,$M660,$O660,$N660,$P660,$Q660-$C$3,$R660,4)*$H660)/10000)/100)-AB660</f>
        <v>7.0046941005086349E-3</v>
      </c>
      <c r="AJ660" s="456"/>
      <c r="CC660" s="141">
        <f t="shared" ref="CC660:CC670" si="786">G659</f>
        <v>36831</v>
      </c>
      <c r="CD660" s="234">
        <f>_xll.xSPRDOPT((VLOOKUP(G659,NGPrices,2,FALSE)+HLOOKUP(D659,Prices,VLOOKUP(G659,move_down,2,FALSE),FALSE)),VLOOKUP(G659,NGPrices,2,FALSE),I659,VLOOKUP(G659,NGPREVPRICES,4,FALSE),HLOOKUP(D659,PREVVOLS,VLOOKUP(G659,MOVE_DOWN2,2,FALSE),FALSE),VLOOKUP(G659,NGPREVPRICES,3,FALSE),HLOOKUP(D659,Correllate,VLOOKUP(G659,CorMove,2,FALSE),FALSE),Q659-$CD$3,R659,$CD$5)*H659-CJ660</f>
        <v>0</v>
      </c>
      <c r="CE660" s="234">
        <f>_xll.xSPRDOPT((VLOOKUP(G659,NGPREVPRICES,2,FALSE)+HLOOKUP(D659,PREVCURVES,VLOOKUP(G659,MOVE_DOWN2,2,FALSE),FALSE)),VLOOKUP(G659,NGPREVPRICES,2,FALSE),CK660,VLOOKUP(G659,NGPrices,4,FALSE),HLOOKUP(D659,PREVVOLS,VLOOKUP(G659,MOVE_DOWN2,2,FALSE),FALSE),VLOOKUP(G659,NGPREVPRICES,3,FALSE),HLOOKUP(D659,Correllate,VLOOKUP(G659,CorMove,2,FALSE),FALSE),Q659-$CD$3,R659,$CJ$5)*H659-CJ660</f>
        <v>0</v>
      </c>
      <c r="CF660" s="10">
        <f t="shared" ref="CF660:CF670" si="787">(CJ660/VLOOKUP(CC660,discount,3,FALSE))-(CJ660/VLOOKUP(CC660,discount,2,FALSE))</f>
        <v>1.33695961914691</v>
      </c>
      <c r="CG660" s="234">
        <f>_xll.xSPRDOPT((VLOOKUP(G659,NGPREVPRICES,2,FALSE)+HLOOKUP(D659,PREVCURVES,VLOOKUP(G659,MOVE_DOWN2,2,FALSE),FALSE)),VLOOKUP(G659,NGPREVPRICES,2,FALSE),CK660,VLOOKUP(G659,NGPREVPRICES,4,FALSE),HLOOKUP(D659,VOLS,VLOOKUP(G659,move_down,2,FALSE),FALSE),VLOOKUP(G659,NGPrices,3,FALSE),HLOOKUP(D659,Correllate,VLOOKUP(G659,CorMove,2,FALSE),FALSE),Q659-$CD$3,R659,$CJ$5)*H659-CJ660</f>
        <v>0</v>
      </c>
      <c r="CH660" s="234">
        <f>_xll.xSPRDOPT((VLOOKUP(G659,NGPREVPRICES,2,FALSE)+HLOOKUP(D659,PREVCURVES,VLOOKUP(G659,MOVE_DOWN2,2,FALSE),FALSE)),VLOOKUP(G659,NGPREVPRICES,2,FALSE),CK660,VLOOKUP(G659,NGPREVPRICES,4,FALSE),HLOOKUP(D659,PREVVOLS,VLOOKUP(G659,MOVE_DOWN2,2,FALSE),FALSE),VLOOKUP(G659,NGPREVPRICES,3,FALSE),HLOOKUP(D659,Correllate,VLOOKUP(G659,CorMove,2,FALSE),FALSE),Q659-$C$3,R659,$CJ$5)*H659-CJ660</f>
        <v>84.402965221078375</v>
      </c>
      <c r="CI660" s="234">
        <f t="shared" ref="CI660:CI670" si="788">SUM(CD660:CH660)</f>
        <v>85.739924840225285</v>
      </c>
      <c r="CJ660" s="234">
        <f>_xll.xSPRDOPT((VLOOKUP(G659,NGPREVPRICES,2,FALSE)+HLOOKUP(D659,PREVCURVES,VLOOKUP(G659,MOVE_DOWN2,2,FALSE),FALSE)),VLOOKUP(G659,NGPREVPRICES,2,FALSE),CK660,VLOOKUP(G659,NGPREVPRICES,4,FALSE),HLOOKUP(D659,PREVVOLS,VLOOKUP(G659,MOVE_DOWN2,2,FALSE),FALSE),VLOOKUP(G659,NGPREVPRICES,3,FALSE),HLOOKUP(D659,Correllate,VLOOKUP(G659,CorMove,2,FALSE),FALSE),Q659-$CD$3,R659,$CJ$5)*H659</f>
        <v>-7199.1544431705406</v>
      </c>
      <c r="CK660" s="235">
        <f t="shared" ref="CK660:CK670" si="789">I659</f>
        <v>0.12</v>
      </c>
      <c r="CM660" t="str">
        <f t="shared" ref="CM660:CM670" si="790">CONCATENATE(CC660,$CD$6)</f>
        <v>36831Curve Shift/Gamma</v>
      </c>
      <c r="CN660" t="str">
        <f t="shared" si="747"/>
        <v>36831Rho</v>
      </c>
      <c r="CO660" t="str">
        <f t="shared" si="748"/>
        <v>36831Drift</v>
      </c>
      <c r="CP660" t="str">
        <f t="shared" si="749"/>
        <v>36831Vega</v>
      </c>
      <c r="CQ660" t="str">
        <f t="shared" si="750"/>
        <v>36831Theta</v>
      </c>
    </row>
    <row r="661" spans="1:95" x14ac:dyDescent="0.25">
      <c r="A661" s="140" t="s">
        <v>399</v>
      </c>
      <c r="B661" t="s">
        <v>250</v>
      </c>
      <c r="C661" t="s">
        <v>573</v>
      </c>
      <c r="D661" s="4" t="s">
        <v>74</v>
      </c>
      <c r="E661" t="s">
        <v>20</v>
      </c>
      <c r="F661" t="s">
        <v>21</v>
      </c>
      <c r="G661" s="5">
        <v>36892</v>
      </c>
      <c r="H661" s="130">
        <v>-310000</v>
      </c>
      <c r="I661" s="235">
        <v>0.12</v>
      </c>
      <c r="J661" s="53">
        <f t="shared" si="772"/>
        <v>4.7439999999999998</v>
      </c>
      <c r="K661" s="7">
        <f t="shared" si="773"/>
        <v>0.1275</v>
      </c>
      <c r="L661" s="53">
        <f t="shared" si="774"/>
        <v>4.8715000000000002</v>
      </c>
      <c r="M661" s="157">
        <f t="shared" si="775"/>
        <v>6.8374831148490994E-2</v>
      </c>
      <c r="N661" s="4">
        <f t="shared" si="776"/>
        <v>0.60499999999999998</v>
      </c>
      <c r="O661" s="4">
        <f t="shared" si="777"/>
        <v>0.60499999999999998</v>
      </c>
      <c r="P661" s="9">
        <f t="shared" si="778"/>
        <v>0.997</v>
      </c>
      <c r="Q661" s="5">
        <f t="shared" si="771"/>
        <v>36888</v>
      </c>
      <c r="R661" s="4">
        <f t="shared" si="779"/>
        <v>1</v>
      </c>
      <c r="S661" s="158">
        <f>_xll.xSPRDOPT($L661,$J661,$I661,$M661,$O661,$N661,$P661,$Q661-$C$3,$R661,0)</f>
        <v>5.7007257969257118E-2</v>
      </c>
      <c r="T661" s="159">
        <f>_xll.xSPRDOPT($L661,$J661,$I661,$M661,$O661,$N661,$P661,$Q661-$C$3,$R661,1)*H661</f>
        <v>-160370.49051407826</v>
      </c>
      <c r="U661" s="160">
        <f t="shared" si="780"/>
        <v>-17672.249970469707</v>
      </c>
      <c r="V661" s="159">
        <f>_xll.xSPRDOPT($L661,$J661,$I661,$M661,$O661,$N661,$P661,$Q661-$C$3,$R661,2)*H661</f>
        <v>157276.02796856547</v>
      </c>
      <c r="W661" s="159">
        <f t="shared" si="781"/>
        <v>-3094.4625455127971</v>
      </c>
      <c r="X661" s="51" t="str">
        <f t="shared" si="782"/>
        <v>36892NGI/CHI. GATE</v>
      </c>
      <c r="Y661" s="418">
        <f t="shared" si="783"/>
        <v>-31</v>
      </c>
      <c r="Z661" s="456">
        <f t="shared" si="784"/>
        <v>0.51732416294863959</v>
      </c>
      <c r="AA661" s="456">
        <f>_xll.xSPRDOPT($L661,$J661,$I661,$M661,$O661,$N661,$P661,$Q661-$C$3,$R661,3)</f>
        <v>2.8485503705285673</v>
      </c>
      <c r="AB661" s="456">
        <f>((_xll.xSPRDOPT($L661+AB$5,$J661,$I661,$M661,$O661,$N661,$P661,$Q661-$C$3,$R661,3)*$H661)/10000)/100</f>
        <v>-0.88305061486385583</v>
      </c>
      <c r="AC661" s="456">
        <f>((_xll.xSPRDOPT($L661+$AB$5,$J661,$I661,$M661,$O661,$N661,$P661,$Q661-$C$3,$R661,7)*$H661)/100)</f>
        <v>24789.786868909738</v>
      </c>
      <c r="AD661" s="456">
        <f>(_xll.xSPRDOPT($L661+$AB$5,$J661,$I661,$M661,$O661,$N661,$P661,$Q661-$C$3,$R661,9)/365)*$H661</f>
        <v>65.152811461488525</v>
      </c>
      <c r="AE661">
        <f t="shared" si="770"/>
        <v>0</v>
      </c>
      <c r="AF661" s="456">
        <f t="shared" si="785"/>
        <v>-273.63757438445953</v>
      </c>
      <c r="AG661" s="456">
        <f>((_xll.xSPRDOPT($L661,$J661,$I661,$M661,$O661,$N661,$P661,$Q661-$C$3,$R661,6)*$H661)/100)</f>
        <v>875.60250307105309</v>
      </c>
      <c r="AH661" s="456">
        <f>((_xll.xSPRDOPT($L661,$J661,$I661,$M661,$O661,$N661,$P661,$Q661-$C$3,$R661,5)*$H661)/100)</f>
        <v>-1149.2400774555126</v>
      </c>
      <c r="AI661" s="456">
        <f>(((_xll.xSPRDOPT($L661,$J661,$I661,$M661,$O661,$N661,$P661,$Q661-$C$3,$R661,4)*$H661)/10000)/100)-AB661</f>
        <v>-3.2155809514858857E-3</v>
      </c>
      <c r="AJ661" s="456"/>
      <c r="CC661" s="141">
        <f t="shared" si="786"/>
        <v>36861</v>
      </c>
      <c r="CD661" s="234">
        <f>_xll.xSPRDOPT((VLOOKUP(G660,NGPrices,2,FALSE)+HLOOKUP(D660,Prices,VLOOKUP(G660,move_down,2,FALSE),FALSE)),VLOOKUP(G660,NGPrices,2,FALSE),I660,VLOOKUP(G660,NGPREVPRICES,4,FALSE),HLOOKUP(D660,PREVVOLS,VLOOKUP(G660,MOVE_DOWN2,2,FALSE),FALSE),VLOOKUP(G660,NGPREVPRICES,3,FALSE),HLOOKUP(D660,Correllate,VLOOKUP(G660,CorMove,2,FALSE),FALSE),Q660-$CD$3,R660,$CD$5)*H660-CJ661</f>
        <v>0</v>
      </c>
      <c r="CE661" s="234">
        <f>_xll.xSPRDOPT((VLOOKUP(G660,NGPREVPRICES,2,FALSE)+HLOOKUP(D660,PREVCURVES,VLOOKUP(G660,MOVE_DOWN2,2,FALSE),FALSE)),VLOOKUP(G660,NGPREVPRICES,2,FALSE),CK661,VLOOKUP(G660,NGPrices,4,FALSE),HLOOKUP(D660,PREVVOLS,VLOOKUP(G660,MOVE_DOWN2,2,FALSE),FALSE),VLOOKUP(G660,NGPREVPRICES,3,FALSE),HLOOKUP(D660,Correllate,VLOOKUP(G660,CorMove,2,FALSE),FALSE),Q660-$CD$3,R660,$CJ$5)*H660-CJ661</f>
        <v>0</v>
      </c>
      <c r="CF661" s="10">
        <f t="shared" si="787"/>
        <v>2.1880608478641079</v>
      </c>
      <c r="CG661" s="234">
        <f>_xll.xSPRDOPT((VLOOKUP(G660,NGPREVPRICES,2,FALSE)+HLOOKUP(D660,PREVCURVES,VLOOKUP(G660,MOVE_DOWN2,2,FALSE),FALSE)),VLOOKUP(G660,NGPREVPRICES,2,FALSE),CK661,VLOOKUP(G660,NGPREVPRICES,4,FALSE),HLOOKUP(D660,VOLS,VLOOKUP(G660,move_down,2,FALSE),FALSE),VLOOKUP(G660,NGPrices,3,FALSE),HLOOKUP(D660,Correllate,VLOOKUP(G660,CorMove,2,FALSE),FALSE),Q660-$CD$3,R660,$CJ$5)*H660-CJ661</f>
        <v>0</v>
      </c>
      <c r="CH661" s="234">
        <f>_xll.xSPRDOPT((VLOOKUP(G660,NGPREVPRICES,2,FALSE)+HLOOKUP(D660,PREVCURVES,VLOOKUP(G660,MOVE_DOWN2,2,FALSE),FALSE)),VLOOKUP(G660,NGPREVPRICES,2,FALSE),CK661,VLOOKUP(G660,NGPREVPRICES,4,FALSE),HLOOKUP(D660,PREVVOLS,VLOOKUP(G660,MOVE_DOWN2,2,FALSE),FALSE),VLOOKUP(G660,NGPREVPRICES,3,FALSE),HLOOKUP(D660,Correllate,VLOOKUP(G660,CorMove,2,FALSE),FALSE),Q660-$C$3,R660,$CJ$5)*H660-CJ661</f>
        <v>75.26113277766126</v>
      </c>
      <c r="CI661" s="234">
        <f t="shared" si="788"/>
        <v>77.449193625525368</v>
      </c>
      <c r="CJ661" s="234">
        <f>_xll.xSPRDOPT((VLOOKUP(G660,NGPREVPRICES,2,FALSE)+HLOOKUP(D660,PREVCURVES,VLOOKUP(G660,MOVE_DOWN2,2,FALSE),FALSE)),VLOOKUP(G660,NGPREVPRICES,2,FALSE),CK661,VLOOKUP(G660,NGPREVPRICES,4,FALSE),HLOOKUP(D660,PREVVOLS,VLOOKUP(G660,MOVE_DOWN2,2,FALSE),FALSE),VLOOKUP(G660,NGPREVPRICES,3,FALSE),HLOOKUP(D660,Correllate,VLOOKUP(G660,CorMove,2,FALSE),FALSE),Q660-$CD$3,R660,$CJ$5)*H660</f>
        <v>-11679.753201308318</v>
      </c>
      <c r="CK661" s="235">
        <f t="shared" si="789"/>
        <v>0.12</v>
      </c>
      <c r="CM661" t="str">
        <f t="shared" si="790"/>
        <v>36861Curve Shift/Gamma</v>
      </c>
      <c r="CN661" t="str">
        <f t="shared" si="747"/>
        <v>36861Rho</v>
      </c>
      <c r="CO661" t="str">
        <f t="shared" si="748"/>
        <v>36861Drift</v>
      </c>
      <c r="CP661" t="str">
        <f t="shared" si="749"/>
        <v>36861Vega</v>
      </c>
      <c r="CQ661" t="str">
        <f t="shared" si="750"/>
        <v>36861Theta</v>
      </c>
    </row>
    <row r="662" spans="1:95" x14ac:dyDescent="0.25">
      <c r="A662" s="140" t="s">
        <v>399</v>
      </c>
      <c r="B662" t="s">
        <v>250</v>
      </c>
      <c r="C662" t="s">
        <v>573</v>
      </c>
      <c r="D662" s="4" t="s">
        <v>74</v>
      </c>
      <c r="E662" t="s">
        <v>20</v>
      </c>
      <c r="F662" t="s">
        <v>21</v>
      </c>
      <c r="G662" s="5">
        <v>36923</v>
      </c>
      <c r="H662" s="130">
        <v>-280000</v>
      </c>
      <c r="I662" s="235">
        <v>0.12</v>
      </c>
      <c r="J662" s="53">
        <f t="shared" si="772"/>
        <v>4.4800000000000004</v>
      </c>
      <c r="K662" s="7">
        <f t="shared" si="773"/>
        <v>0.13750000000000001</v>
      </c>
      <c r="L662" s="53">
        <f t="shared" si="774"/>
        <v>4.6175000000000006</v>
      </c>
      <c r="M662" s="157">
        <f t="shared" si="775"/>
        <v>6.8640161611372E-2</v>
      </c>
      <c r="N662" s="4">
        <f t="shared" si="776"/>
        <v>0.59250000000000003</v>
      </c>
      <c r="O662" s="4">
        <f t="shared" si="777"/>
        <v>0.59299999999999997</v>
      </c>
      <c r="P662" s="9">
        <f t="shared" si="778"/>
        <v>0.997</v>
      </c>
      <c r="Q662" s="5">
        <f t="shared" si="771"/>
        <v>36921</v>
      </c>
      <c r="R662" s="4">
        <f t="shared" si="779"/>
        <v>1</v>
      </c>
      <c r="S662" s="158">
        <f>_xll.xSPRDOPT($L662,$J662,$I662,$M662,$O662,$N662,$P662,$Q662-$C$3,$R662,0)</f>
        <v>6.4816128003551771E-2</v>
      </c>
      <c r="T662" s="159">
        <f>_xll.xSPRDOPT($L662,$J662,$I662,$M662,$O662,$N662,$P662,$Q662-$C$3,$R662,1)*H662</f>
        <v>-151471.08343725771</v>
      </c>
      <c r="U662" s="160">
        <f t="shared" si="780"/>
        <v>-18148.515840994496</v>
      </c>
      <c r="V662" s="159">
        <f>_xll.xSPRDOPT($L662,$J662,$I662,$M662,$O662,$N662,$P662,$Q662-$C$3,$R662,2)*H662</f>
        <v>148439.07966735377</v>
      </c>
      <c r="W662" s="159">
        <f t="shared" si="781"/>
        <v>-3032.0037699039385</v>
      </c>
      <c r="X662" s="51" t="str">
        <f t="shared" si="782"/>
        <v>36923NGI/CHI. GATE</v>
      </c>
      <c r="Y662" s="418">
        <f t="shared" si="783"/>
        <v>-28</v>
      </c>
      <c r="Z662" s="456">
        <f t="shared" si="784"/>
        <v>0.54096815513306329</v>
      </c>
      <c r="AA662" s="456">
        <f>_xll.xSPRDOPT($L662,$J662,$I662,$M662,$O662,$N662,$P662,$Q662-$C$3,$R662,3)</f>
        <v>2.6573654472765673</v>
      </c>
      <c r="AB662" s="456">
        <f>((_xll.xSPRDOPT($L662+AB$5,$J662,$I662,$M662,$O662,$N662,$P662,$Q662-$C$3,$R662,3)*$H662)/10000)/100</f>
        <v>-0.74406232523743898</v>
      </c>
      <c r="AC662" s="456">
        <f>((_xll.xSPRDOPT($L662+$AB$5,$J662,$I662,$M662,$O662,$N662,$P662,$Q662-$C$3,$R662,7)*$H662)/100)</f>
        <v>22892.635687320511</v>
      </c>
      <c r="AD662" s="456">
        <f>(_xll.xSPRDOPT($L662+$AB$5,$J662,$I662,$M662,$O662,$N662,$P662,$Q662-$C$3,$R662,9)/365)*$H662</f>
        <v>47.338972141669935</v>
      </c>
      <c r="AE662">
        <f t="shared" si="770"/>
        <v>0</v>
      </c>
      <c r="AF662" s="456">
        <f t="shared" si="785"/>
        <v>-263.64357671609889</v>
      </c>
      <c r="AG662" s="456">
        <f>((_xll.xSPRDOPT($L662,$J662,$I662,$M662,$O662,$N662,$P662,$Q662-$C$3,$R662,6)*$H662)/100)</f>
        <v>913.42172736926648</v>
      </c>
      <c r="AH662" s="456">
        <f>((_xll.xSPRDOPT($L662,$J662,$I662,$M662,$O662,$N662,$P662,$Q662-$C$3,$R662,5)*$H662)/100)</f>
        <v>-1176.0728375557826</v>
      </c>
      <c r="AI662" s="456">
        <f>(((_xll.xSPRDOPT($L662,$J662,$I662,$M662,$O662,$N662,$P662,$Q662-$C$3,$R662,4)*$H662)/10000)/100)-AB662</f>
        <v>-6.0148889868885114E-3</v>
      </c>
      <c r="AJ662" s="456"/>
      <c r="CC662" s="141">
        <f t="shared" si="786"/>
        <v>36892</v>
      </c>
      <c r="CD662" s="234">
        <f>_xll.xSPRDOPT((VLOOKUP(G661,NGPrices,2,FALSE)+HLOOKUP(D661,Prices,VLOOKUP(G661,move_down,2,FALSE),FALSE)),VLOOKUP(G661,NGPrices,2,FALSE),I661,VLOOKUP(G661,NGPREVPRICES,4,FALSE),HLOOKUP(D661,PREVVOLS,VLOOKUP(G661,MOVE_DOWN2,2,FALSE),FALSE),VLOOKUP(G661,NGPREVPRICES,3,FALSE),HLOOKUP(D661,Correllate,VLOOKUP(G661,CorMove,2,FALSE),FALSE),Q661-$CD$3,R661,$CD$5)*H661-CJ662</f>
        <v>0</v>
      </c>
      <c r="CE662" s="234">
        <f>_xll.xSPRDOPT((VLOOKUP(G661,NGPREVPRICES,2,FALSE)+HLOOKUP(D661,PREVCURVES,VLOOKUP(G661,MOVE_DOWN2,2,FALSE),FALSE)),VLOOKUP(G661,NGPREVPRICES,2,FALSE),CK662,VLOOKUP(G661,NGPrices,4,FALSE),HLOOKUP(D661,PREVVOLS,VLOOKUP(G661,MOVE_DOWN2,2,FALSE),FALSE),VLOOKUP(G661,NGPREVPRICES,3,FALSE),HLOOKUP(D661,Correllate,VLOOKUP(G661,CorMove,2,FALSE),FALSE),Q661-$CD$3,R661,$CJ$5)*H661-CJ662</f>
        <v>0</v>
      </c>
      <c r="CF662" s="10">
        <f t="shared" si="787"/>
        <v>3.3424186253432708</v>
      </c>
      <c r="CG662" s="234">
        <f>_xll.xSPRDOPT((VLOOKUP(G661,NGPREVPRICES,2,FALSE)+HLOOKUP(D661,PREVCURVES,VLOOKUP(G661,MOVE_DOWN2,2,FALSE),FALSE)),VLOOKUP(G661,NGPREVPRICES,2,FALSE),CK662,VLOOKUP(G661,NGPREVPRICES,4,FALSE),HLOOKUP(D661,VOLS,VLOOKUP(G661,move_down,2,FALSE),FALSE),VLOOKUP(G661,NGPrices,3,FALSE),HLOOKUP(D661,Correllate,VLOOKUP(G661,CorMove,2,FALSE),FALSE),Q661-$CD$3,R661,$CJ$5)*H661-CJ662</f>
        <v>0</v>
      </c>
      <c r="CH662" s="234">
        <f>_xll.xSPRDOPT((VLOOKUP(G661,NGPREVPRICES,2,FALSE)+HLOOKUP(D661,PREVCURVES,VLOOKUP(G661,MOVE_DOWN2,2,FALSE),FALSE)),VLOOKUP(G661,NGPREVPRICES,2,FALSE),CK662,VLOOKUP(G661,NGPREVPRICES,4,FALSE),HLOOKUP(D661,PREVVOLS,VLOOKUP(G661,MOVE_DOWN2,2,FALSE),FALSE),VLOOKUP(G661,NGPREVPRICES,3,FALSE),HLOOKUP(D661,Correllate,VLOOKUP(G661,CorMove,2,FALSE),FALSE),Q661-$C$3,R661,$CJ$5)*H661-CJ662</f>
        <v>64.950072878760693</v>
      </c>
      <c r="CI662" s="234">
        <f t="shared" si="788"/>
        <v>68.292491504103964</v>
      </c>
      <c r="CJ662" s="234">
        <f>_xll.xSPRDOPT((VLOOKUP(G661,NGPREVPRICES,2,FALSE)+HLOOKUP(D661,PREVCURVES,VLOOKUP(G661,MOVE_DOWN2,2,FALSE),FALSE)),VLOOKUP(G661,NGPREVPRICES,2,FALSE),CK662,VLOOKUP(G661,NGPREVPRICES,4,FALSE),HLOOKUP(D661,PREVVOLS,VLOOKUP(G661,MOVE_DOWN2,2,FALSE),FALSE),VLOOKUP(G661,NGPREVPRICES,3,FALSE),HLOOKUP(D661,Correllate,VLOOKUP(G661,CorMove,2,FALSE),FALSE),Q661-$CD$3,R661,$CJ$5)*H661</f>
        <v>-17737.200043348468</v>
      </c>
      <c r="CK662" s="235">
        <f t="shared" si="789"/>
        <v>0.12</v>
      </c>
      <c r="CM662" t="str">
        <f t="shared" si="790"/>
        <v>36892Curve Shift/Gamma</v>
      </c>
      <c r="CN662" t="str">
        <f t="shared" si="747"/>
        <v>36892Rho</v>
      </c>
      <c r="CO662" t="str">
        <f t="shared" si="748"/>
        <v>36892Drift</v>
      </c>
      <c r="CP662" t="str">
        <f t="shared" si="749"/>
        <v>36892Vega</v>
      </c>
      <c r="CQ662" t="str">
        <f t="shared" si="750"/>
        <v>36892Theta</v>
      </c>
    </row>
    <row r="663" spans="1:95" x14ac:dyDescent="0.25">
      <c r="A663" s="140" t="s">
        <v>399</v>
      </c>
      <c r="B663" t="s">
        <v>250</v>
      </c>
      <c r="C663" t="s">
        <v>573</v>
      </c>
      <c r="D663" s="4" t="s">
        <v>74</v>
      </c>
      <c r="E663" t="s">
        <v>20</v>
      </c>
      <c r="F663" t="s">
        <v>21</v>
      </c>
      <c r="G663" s="5">
        <v>36951</v>
      </c>
      <c r="H663" s="130">
        <v>-310000</v>
      </c>
      <c r="I663" s="235">
        <v>0.12</v>
      </c>
      <c r="J663" s="53">
        <f t="shared" si="772"/>
        <v>4.2130000000000001</v>
      </c>
      <c r="K663" s="7">
        <f t="shared" si="773"/>
        <v>0.1225</v>
      </c>
      <c r="L663" s="53">
        <f t="shared" si="774"/>
        <v>4.3354999999999997</v>
      </c>
      <c r="M663" s="157">
        <f t="shared" si="775"/>
        <v>6.8879814952706994E-2</v>
      </c>
      <c r="N663" s="4">
        <f t="shared" si="776"/>
        <v>0.53249999999999997</v>
      </c>
      <c r="O663" s="4">
        <f t="shared" si="777"/>
        <v>0.53300000000000003</v>
      </c>
      <c r="P663" s="9">
        <f t="shared" si="778"/>
        <v>0.997</v>
      </c>
      <c r="Q663" s="5">
        <f t="shared" si="771"/>
        <v>36949</v>
      </c>
      <c r="R663" s="4">
        <f t="shared" si="779"/>
        <v>1</v>
      </c>
      <c r="S663" s="158">
        <f>_xll.xSPRDOPT($L663,$J663,$I663,$M663,$O663,$N663,$P663,$Q663-$C$3,$R663,0)</f>
        <v>5.2611258917561327E-2</v>
      </c>
      <c r="T663" s="159">
        <f>_xll.xSPRDOPT($L663,$J663,$I663,$M663,$O663,$N663,$P663,$Q663-$C$3,$R663,1)*H663</f>
        <v>-154650.7243850815</v>
      </c>
      <c r="U663" s="160">
        <f t="shared" si="780"/>
        <v>-16309.490264444012</v>
      </c>
      <c r="V663" s="159">
        <f>_xll.xSPRDOPT($L663,$J663,$I663,$M663,$O663,$N663,$P663,$Q663-$C$3,$R663,2)*H663</f>
        <v>151378.9872719874</v>
      </c>
      <c r="W663" s="159">
        <f t="shared" si="781"/>
        <v>-3271.7371130941028</v>
      </c>
      <c r="X663" s="51" t="str">
        <f t="shared" si="782"/>
        <v>36951NGI/CHI. GATE</v>
      </c>
      <c r="Y663" s="418">
        <f t="shared" si="783"/>
        <v>-31</v>
      </c>
      <c r="Z663" s="456">
        <f t="shared" si="784"/>
        <v>0.49887330446800482</v>
      </c>
      <c r="AA663" s="456">
        <f>_xll.xSPRDOPT($L663,$J663,$I663,$M663,$O663,$N663,$P663,$Q663-$C$3,$R663,3)</f>
        <v>2.8935612792428604</v>
      </c>
      <c r="AB663" s="456">
        <f>((_xll.xSPRDOPT($L663+AB$5,$J663,$I663,$M663,$O663,$N663,$P663,$Q663-$C$3,$R663,3)*$H663)/10000)/100</f>
        <v>-0.89700399656528673</v>
      </c>
      <c r="AC663" s="456">
        <f>((_xll.xSPRDOPT($L663+$AB$5,$J663,$I663,$M663,$O663,$N663,$P663,$Q663-$C$3,$R663,7)*$H663)/100)</f>
        <v>23197.220437931748</v>
      </c>
      <c r="AD663" s="456">
        <f>(_xll.xSPRDOPT($L663+$AB$5,$J663,$I663,$M663,$O663,$N663,$P663,$Q663-$C$3,$R663,9)/365)*$H663</f>
        <v>40.944282881964583</v>
      </c>
      <c r="AE663">
        <f t="shared" si="770"/>
        <v>0</v>
      </c>
      <c r="AF663" s="456">
        <f t="shared" si="785"/>
        <v>-300.71482869824604</v>
      </c>
      <c r="AG663" s="456">
        <f>((_xll.xSPRDOPT($L663,$J663,$I663,$M663,$O663,$N663,$P663,$Q663-$C$3,$R663,6)*$H663)/100)</f>
        <v>1088.8250539800076</v>
      </c>
      <c r="AH663" s="456">
        <f>((_xll.xSPRDOPT($L663,$J663,$I663,$M663,$O663,$N663,$P663,$Q663-$C$3,$R663,5)*$H663)/100)</f>
        <v>-1388.2363743455346</v>
      </c>
      <c r="AI663" s="456">
        <f>(((_xll.xSPRDOPT($L663,$J663,$I663,$M663,$O663,$N663,$P663,$Q663-$C$3,$R663,4)*$H663)/10000)/100)-AB663</f>
        <v>-2.0834701786661691E-3</v>
      </c>
      <c r="AJ663" s="456"/>
      <c r="CC663" s="141">
        <f t="shared" si="786"/>
        <v>36923</v>
      </c>
      <c r="CD663" s="234">
        <f>_xll.xSPRDOPT((VLOOKUP(G662,NGPrices,2,FALSE)+HLOOKUP(D662,Prices,VLOOKUP(G662,move_down,2,FALSE),FALSE)),VLOOKUP(G662,NGPrices,2,FALSE),I662,VLOOKUP(G662,NGPREVPRICES,4,FALSE),HLOOKUP(D662,PREVVOLS,VLOOKUP(G662,MOVE_DOWN2,2,FALSE),FALSE),VLOOKUP(G662,NGPREVPRICES,3,FALSE),HLOOKUP(D662,Correllate,VLOOKUP(G662,CorMove,2,FALSE),FALSE),Q662-$CD$3,R662,$CD$5)*H662-CJ663</f>
        <v>0</v>
      </c>
      <c r="CE663" s="234">
        <f>_xll.xSPRDOPT((VLOOKUP(G662,NGPREVPRICES,2,FALSE)+HLOOKUP(D662,PREVCURVES,VLOOKUP(G662,MOVE_DOWN2,2,FALSE),FALSE)),VLOOKUP(G662,NGPREVPRICES,2,FALSE),CK663,VLOOKUP(G662,NGPrices,4,FALSE),HLOOKUP(D662,PREVVOLS,VLOOKUP(G662,MOVE_DOWN2,2,FALSE),FALSE),VLOOKUP(G662,NGPREVPRICES,3,FALSE),HLOOKUP(D662,Correllate,VLOOKUP(G662,CorMove,2,FALSE),FALSE),Q662-$CD$3,R662,$CJ$5)*H662-CJ663</f>
        <v>0</v>
      </c>
      <c r="CF663" s="10">
        <f t="shared" si="787"/>
        <v>3.4606186611381418</v>
      </c>
      <c r="CG663" s="234">
        <f>_xll.xSPRDOPT((VLOOKUP(G662,NGPREVPRICES,2,FALSE)+HLOOKUP(D662,PREVCURVES,VLOOKUP(G662,MOVE_DOWN2,2,FALSE),FALSE)),VLOOKUP(G662,NGPREVPRICES,2,FALSE),CK663,VLOOKUP(G662,NGPREVPRICES,4,FALSE),HLOOKUP(D662,VOLS,VLOOKUP(G662,move_down,2,FALSE),FALSE),VLOOKUP(G662,NGPrices,3,FALSE),HLOOKUP(D662,Correllate,VLOOKUP(G662,CorMove,2,FALSE),FALSE),Q662-$CD$3,R662,$CJ$5)*H662-CJ663</f>
        <v>0</v>
      </c>
      <c r="CH663" s="234">
        <f>_xll.xSPRDOPT((VLOOKUP(G662,NGPREVPRICES,2,FALSE)+HLOOKUP(D662,PREVCURVES,VLOOKUP(G662,MOVE_DOWN2,2,FALSE),FALSE)),VLOOKUP(G662,NGPREVPRICES,2,FALSE),CK663,VLOOKUP(G662,NGPREVPRICES,4,FALSE),HLOOKUP(D662,PREVVOLS,VLOOKUP(G662,MOVE_DOWN2,2,FALSE),FALSE),VLOOKUP(G662,NGPREVPRICES,3,FALSE),HLOOKUP(D662,Correllate,VLOOKUP(G662,CorMove,2,FALSE),FALSE),Q662-$C$3,R662,$CJ$5)*H662-CJ663</f>
        <v>47.217765530505858</v>
      </c>
      <c r="CI663" s="234">
        <f t="shared" si="788"/>
        <v>50.678384191644</v>
      </c>
      <c r="CJ663" s="234">
        <f>_xll.xSPRDOPT((VLOOKUP(G662,NGPREVPRICES,2,FALSE)+HLOOKUP(D662,PREVCURVES,VLOOKUP(G662,MOVE_DOWN2,2,FALSE),FALSE)),VLOOKUP(G662,NGPREVPRICES,2,FALSE),CK663,VLOOKUP(G662,NGPREVPRICES,4,FALSE),HLOOKUP(D662,PREVVOLS,VLOOKUP(G662,MOVE_DOWN2,2,FALSE),FALSE),VLOOKUP(G662,NGPREVPRICES,3,FALSE),HLOOKUP(D662,Correllate,VLOOKUP(G662,CorMove,2,FALSE),FALSE),Q662-$CD$3,R662,$CJ$5)*H662</f>
        <v>-18195.733606525002</v>
      </c>
      <c r="CK663" s="235">
        <f t="shared" si="789"/>
        <v>0.12</v>
      </c>
      <c r="CM663" t="str">
        <f t="shared" si="790"/>
        <v>36923Curve Shift/Gamma</v>
      </c>
      <c r="CN663" t="str">
        <f t="shared" si="747"/>
        <v>36923Rho</v>
      </c>
      <c r="CO663" t="str">
        <f t="shared" si="748"/>
        <v>36923Drift</v>
      </c>
      <c r="CP663" t="str">
        <f t="shared" si="749"/>
        <v>36923Vega</v>
      </c>
      <c r="CQ663" t="str">
        <f t="shared" si="750"/>
        <v>36923Theta</v>
      </c>
    </row>
    <row r="664" spans="1:95" x14ac:dyDescent="0.25">
      <c r="A664" s="140" t="s">
        <v>509</v>
      </c>
      <c r="B664" t="s">
        <v>250</v>
      </c>
      <c r="C664" t="s">
        <v>574</v>
      </c>
      <c r="D664" s="4" t="s">
        <v>7</v>
      </c>
      <c r="E664" t="s">
        <v>20</v>
      </c>
      <c r="F664" t="s">
        <v>21</v>
      </c>
      <c r="G664" s="5">
        <v>36800</v>
      </c>
      <c r="H664" s="130">
        <v>1550000</v>
      </c>
      <c r="I664" s="235">
        <v>0.5</v>
      </c>
      <c r="J664" s="53">
        <f t="shared" si="772"/>
        <v>4.6920000000000002</v>
      </c>
      <c r="K664" s="7">
        <f t="shared" si="773"/>
        <v>0.41499999999999998</v>
      </c>
      <c r="L664" s="53">
        <f t="shared" si="774"/>
        <v>5.1070000000000002</v>
      </c>
      <c r="M664" s="157">
        <f t="shared" si="775"/>
        <v>6.8050789414654006E-2</v>
      </c>
      <c r="N664" s="4">
        <f t="shared" si="776"/>
        <v>0.57499999999999996</v>
      </c>
      <c r="O664" s="4">
        <f t="shared" si="777"/>
        <v>0.56399999999999995</v>
      </c>
      <c r="P664" s="9">
        <f t="shared" si="778"/>
        <v>0.99250000000000005</v>
      </c>
      <c r="Q664" s="5">
        <f t="shared" si="771"/>
        <v>36797</v>
      </c>
      <c r="R664" s="4">
        <f t="shared" si="779"/>
        <v>1</v>
      </c>
      <c r="S664" s="158">
        <f>_xll.xSPRDOPT($L664,$J664,$I664,$M664,$O664,$N664,$P664,$Q664-$C$3,$R664,0)</f>
        <v>1.5836459428838316E-2</v>
      </c>
      <c r="T664" s="159">
        <f>_xll.xSPRDOPT($L664,$J664,$I664,$M664,$O664,$N664,$P664,$Q664-$C$3,$R664,1)*H664</f>
        <v>370691.93156267091</v>
      </c>
      <c r="U664" s="160">
        <f t="shared" si="780"/>
        <v>24546.512114699392</v>
      </c>
      <c r="V664" s="159">
        <f>_xll.xSPRDOPT($L664,$J664,$I664,$M664,$O664,$N664,$P664,$Q664-$C$3,$R664,2)*H664</f>
        <v>-363374.53994787537</v>
      </c>
      <c r="W664" s="159">
        <f t="shared" si="781"/>
        <v>7317.391614795546</v>
      </c>
      <c r="X664" s="51" t="str">
        <f t="shared" si="782"/>
        <v>36800IF-TRANSCO/Z6</v>
      </c>
      <c r="Y664" s="418">
        <f t="shared" si="783"/>
        <v>155</v>
      </c>
      <c r="Z664" s="456">
        <f t="shared" si="784"/>
        <v>0.23915608487914253</v>
      </c>
      <c r="AA664" s="456">
        <f>_xll.xSPRDOPT($L664,$J664,$I664,$M664,$O664,$N664,$P664,$Q664-$C$3,$R664,3)</f>
        <v>2.699227102646506</v>
      </c>
      <c r="AB664" s="456">
        <f>((_xll.xSPRDOPT($L664+AB$5,$J664,$I664,$M664,$O664,$N664,$P664,$Q664-$C$3,$R664,3)*$H664)/10000)/100</f>
        <v>4.1838020091020844</v>
      </c>
      <c r="AC664" s="456">
        <f>((_xll.xSPRDOPT($L664+$AB$5,$J664,$I664,$M664,$O664,$N664,$P664,$Q664-$C$3,$R664,7)*$H664)/100)</f>
        <v>-26427.23497408914</v>
      </c>
      <c r="AD664" s="456">
        <f>(_xll.xSPRDOPT($L664+$AB$5,$J664,$I664,$M664,$O664,$N664,$P664,$Q664-$C$3,$R664,9)/365)*$H664</f>
        <v>-916.88914304434888</v>
      </c>
      <c r="AE664">
        <f t="shared" si="770"/>
        <v>0</v>
      </c>
      <c r="AF664" s="456">
        <f t="shared" si="785"/>
        <v>960.87115072643064</v>
      </c>
      <c r="AG664" s="456">
        <f>((_xll.xSPRDOPT($L664,$J664,$I664,$M664,$O664,$N664,$P664,$Q664-$C$3,$R664,6)*$H664)/100)</f>
        <v>-3005.4489366929974</v>
      </c>
      <c r="AH664" s="456">
        <f>((_xll.xSPRDOPT($L664,$J664,$I664,$M664,$O664,$N664,$P664,$Q664-$C$3,$R664,5)*$H664)/100)</f>
        <v>4043.6773940889557</v>
      </c>
      <c r="AI664" s="456">
        <f>(((_xll.xSPRDOPT($L664,$J664,$I664,$M664,$O664,$N664,$P664,$Q664-$C$3,$R664,4)*$H664)/10000)/100)-AB664</f>
        <v>-8.5542308760605756E-2</v>
      </c>
      <c r="AJ664" s="456"/>
      <c r="CC664" s="141">
        <f t="shared" si="786"/>
        <v>36951</v>
      </c>
      <c r="CD664" s="234">
        <f>_xll.xSPRDOPT((VLOOKUP(G663,NGPrices,2,FALSE)+HLOOKUP(D663,Prices,VLOOKUP(G663,move_down,2,FALSE),FALSE)),VLOOKUP(G663,NGPrices,2,FALSE),I663,VLOOKUP(G663,NGPREVPRICES,4,FALSE),HLOOKUP(D663,PREVVOLS,VLOOKUP(G663,MOVE_DOWN2,2,FALSE),FALSE),VLOOKUP(G663,NGPREVPRICES,3,FALSE),HLOOKUP(D663,Correllate,VLOOKUP(G663,CorMove,2,FALSE),FALSE),Q663-$CD$3,R663,$CD$5)*H663-CJ664</f>
        <v>0</v>
      </c>
      <c r="CE664" s="234">
        <f>_xll.xSPRDOPT((VLOOKUP(G663,NGPREVPRICES,2,FALSE)+HLOOKUP(D663,PREVCURVES,VLOOKUP(G663,MOVE_DOWN2,2,FALSE),FALSE)),VLOOKUP(G663,NGPREVPRICES,2,FALSE),CK664,VLOOKUP(G663,NGPrices,4,FALSE),HLOOKUP(D663,PREVVOLS,VLOOKUP(G663,MOVE_DOWN2,2,FALSE),FALSE),VLOOKUP(G663,NGPREVPRICES,3,FALSE),HLOOKUP(D663,Correllate,VLOOKUP(G663,CorMove,2,FALSE),FALSE),Q663-$CD$3,R663,$CJ$5)*H663-CJ664</f>
        <v>0</v>
      </c>
      <c r="CF664" s="10">
        <f t="shared" si="787"/>
        <v>3.1357507152497419</v>
      </c>
      <c r="CG664" s="234">
        <f>_xll.xSPRDOPT((VLOOKUP(G663,NGPREVPRICES,2,FALSE)+HLOOKUP(D663,PREVCURVES,VLOOKUP(G663,MOVE_DOWN2,2,FALSE),FALSE)),VLOOKUP(G663,NGPREVPRICES,2,FALSE),CK664,VLOOKUP(G663,NGPREVPRICES,4,FALSE),HLOOKUP(D663,VOLS,VLOOKUP(G663,move_down,2,FALSE),FALSE),VLOOKUP(G663,NGPrices,3,FALSE),HLOOKUP(D663,Correllate,VLOOKUP(G663,CorMove,2,FALSE),FALSE),Q663-$CD$3,R663,$CJ$5)*H663-CJ664</f>
        <v>0</v>
      </c>
      <c r="CH664" s="234">
        <f>_xll.xSPRDOPT((VLOOKUP(G663,NGPREVPRICES,2,FALSE)+HLOOKUP(D663,PREVCURVES,VLOOKUP(G663,MOVE_DOWN2,2,FALSE),FALSE)),VLOOKUP(G663,NGPREVPRICES,2,FALSE),CK664,VLOOKUP(G663,NGPREVPRICES,4,FALSE),HLOOKUP(D663,PREVVOLS,VLOOKUP(G663,MOVE_DOWN2,2,FALSE),FALSE),VLOOKUP(G663,NGPREVPRICES,3,FALSE),HLOOKUP(D663,Correllate,VLOOKUP(G663,CorMove,2,FALSE),FALSE),Q663-$C$3,R663,$CJ$5)*H663-CJ664</f>
        <v>40.848927003795325</v>
      </c>
      <c r="CI664" s="234">
        <f t="shared" si="788"/>
        <v>43.984677719045067</v>
      </c>
      <c r="CJ664" s="234">
        <f>_xll.xSPRDOPT((VLOOKUP(G663,NGPREVPRICES,2,FALSE)+HLOOKUP(D663,PREVCURVES,VLOOKUP(G663,MOVE_DOWN2,2,FALSE),FALSE)),VLOOKUP(G663,NGPREVPRICES,2,FALSE),CK664,VLOOKUP(G663,NGPREVPRICES,4,FALSE),HLOOKUP(D663,PREVVOLS,VLOOKUP(G663,MOVE_DOWN2,2,FALSE),FALSE),VLOOKUP(G663,NGPREVPRICES,3,FALSE),HLOOKUP(D663,Correllate,VLOOKUP(G663,CorMove,2,FALSE),FALSE),Q663-$CD$3,R663,$CJ$5)*H663</f>
        <v>-16350.339191447807</v>
      </c>
      <c r="CK664" s="235">
        <f t="shared" si="789"/>
        <v>0.12</v>
      </c>
      <c r="CM664" t="str">
        <f t="shared" si="790"/>
        <v>36951Curve Shift/Gamma</v>
      </c>
      <c r="CN664" t="str">
        <f t="shared" si="747"/>
        <v>36951Rho</v>
      </c>
      <c r="CO664" t="str">
        <f t="shared" si="748"/>
        <v>36951Drift</v>
      </c>
      <c r="CP664" t="str">
        <f t="shared" si="749"/>
        <v>36951Vega</v>
      </c>
      <c r="CQ664" t="str">
        <f t="shared" si="750"/>
        <v>36951Theta</v>
      </c>
    </row>
    <row r="665" spans="1:95" x14ac:dyDescent="0.25">
      <c r="A665" s="140" t="s">
        <v>268</v>
      </c>
      <c r="B665" t="s">
        <v>250</v>
      </c>
      <c r="C665" t="s">
        <v>575</v>
      </c>
      <c r="D665" s="4" t="s">
        <v>7</v>
      </c>
      <c r="E665" t="s">
        <v>20</v>
      </c>
      <c r="F665" t="s">
        <v>21</v>
      </c>
      <c r="G665" s="5">
        <v>36831</v>
      </c>
      <c r="H665" s="130">
        <v>300000</v>
      </c>
      <c r="I665" s="235">
        <v>2.5</v>
      </c>
      <c r="J665" s="53">
        <f t="shared" si="772"/>
        <v>4.7359999999999998</v>
      </c>
      <c r="K665" s="7">
        <f t="shared" si="773"/>
        <v>0.77</v>
      </c>
      <c r="L665" s="53">
        <f t="shared" si="774"/>
        <v>5.5060000000000002</v>
      </c>
      <c r="M665" s="157">
        <f t="shared" si="775"/>
        <v>6.810675983792E-2</v>
      </c>
      <c r="N665" s="4">
        <f t="shared" si="776"/>
        <v>0.59499999999999997</v>
      </c>
      <c r="O665" s="4">
        <f t="shared" si="777"/>
        <v>0.625</v>
      </c>
      <c r="P665" s="9">
        <f t="shared" si="778"/>
        <v>0.89</v>
      </c>
      <c r="Q665" s="5">
        <f t="shared" si="771"/>
        <v>36829</v>
      </c>
      <c r="R665" s="4">
        <f t="shared" si="779"/>
        <v>1</v>
      </c>
      <c r="S665" s="158">
        <f>_xll.xSPRDOPT($L665,$J665,$I665,$M665,$O665,$N665,$P665,$Q665-$C$3,$R665,0)</f>
        <v>6.1115926235317444E-3</v>
      </c>
      <c r="T665" s="159">
        <f>_xll.xSPRDOPT($L665,$J665,$I665,$M665,$O665,$N665,$P665,$Q665-$C$3,$R665,1)*H665</f>
        <v>7131.4018388908835</v>
      </c>
      <c r="U665" s="160">
        <f t="shared" si="780"/>
        <v>1833.4777870595233</v>
      </c>
      <c r="V665" s="159">
        <f>_xll.xSPRDOPT($L665,$J665,$I665,$M665,$O665,$N665,$P665,$Q665-$C$3,$R665,2)*H665</f>
        <v>-5625.3467895568156</v>
      </c>
      <c r="W665" s="159">
        <f t="shared" si="781"/>
        <v>1506.0550493340679</v>
      </c>
      <c r="X665" s="51" t="str">
        <f t="shared" si="782"/>
        <v>36831IF-TRANSCO/Z6</v>
      </c>
      <c r="Y665" s="418">
        <f t="shared" si="783"/>
        <v>30</v>
      </c>
      <c r="Z665" s="456">
        <f t="shared" si="784"/>
        <v>2.3771339462969613E-2</v>
      </c>
      <c r="AA665" s="456">
        <f>_xll.xSPRDOPT($L665,$J665,$I665,$M665,$O665,$N665,$P665,$Q665-$C$3,$R665,3)</f>
        <v>7.7908481785274333E-2</v>
      </c>
      <c r="AB665" s="456">
        <f>((_xll.xSPRDOPT($L665+AB$5,$J665,$I665,$M665,$O665,$N665,$P665,$Q665-$C$3,$R665,3)*$H665)/10000)/100</f>
        <v>2.3372544535582299E-2</v>
      </c>
      <c r="AC665" s="456">
        <f>((_xll.xSPRDOPT($L665+$AB$5,$J665,$I665,$M665,$O665,$N665,$P665,$Q665-$C$3,$R665,7)*$H665)/100)</f>
        <v>-315.46491222234823</v>
      </c>
      <c r="AD665" s="456">
        <f>(_xll.xSPRDOPT($L665+$AB$5,$J665,$I665,$M665,$O665,$N665,$P665,$Q665-$C$3,$R665,9)/365)*$H665</f>
        <v>-97.211633369735551</v>
      </c>
      <c r="AE665">
        <f t="shared" si="770"/>
        <v>0</v>
      </c>
      <c r="AF665" s="456">
        <f t="shared" si="785"/>
        <v>203.16614102374257</v>
      </c>
      <c r="AG665" s="456">
        <f>((_xll.xSPRDOPT($L665,$J665,$I665,$M665,$O665,$N665,$P665,$Q665-$C$3,$R665,6)*$H665)/100)</f>
        <v>-114.59901841796649</v>
      </c>
      <c r="AH665" s="456">
        <f>((_xll.xSPRDOPT($L665,$J665,$I665,$M665,$O665,$N665,$P665,$Q665-$C$3,$R665,5)*$H665)/100)</f>
        <v>302.512431788507</v>
      </c>
      <c r="AI665" s="456">
        <f>(((_xll.xSPRDOPT($L665,$J665,$I665,$M665,$O665,$N665,$P665,$Q665-$C$3,$R665,4)*$H665)/10000)/100)-AB665</f>
        <v>-7.6018716499635722E-3</v>
      </c>
      <c r="AJ665" s="456"/>
      <c r="CC665" s="141">
        <f t="shared" si="786"/>
        <v>36800</v>
      </c>
      <c r="CD665" s="234">
        <f>_xll.xSPRDOPT((VLOOKUP(G664,NGPrices,2,FALSE)+HLOOKUP(D664,Prices,VLOOKUP(G664,move_down,2,FALSE),FALSE)),VLOOKUP(G664,NGPrices,2,FALSE),I664,VLOOKUP(G664,NGPREVPRICES,4,FALSE),HLOOKUP(D664,PREVVOLS,VLOOKUP(G664,MOVE_DOWN2,2,FALSE),FALSE),VLOOKUP(G664,NGPREVPRICES,3,FALSE),HLOOKUP(D664,Correllate,VLOOKUP(G664,CorMove,2,FALSE),FALSE),Q664-$CD$3,R664,$CD$5)*H664-CJ665</f>
        <v>0</v>
      </c>
      <c r="CE665" s="234">
        <f>_xll.xSPRDOPT((VLOOKUP(G664,NGPREVPRICES,2,FALSE)+HLOOKUP(D664,PREVCURVES,VLOOKUP(G664,MOVE_DOWN2,2,FALSE),FALSE)),VLOOKUP(G664,NGPREVPRICES,2,FALSE),CK665,VLOOKUP(G664,NGPrices,4,FALSE),HLOOKUP(D664,PREVVOLS,VLOOKUP(G664,MOVE_DOWN2,2,FALSE),FALSE),VLOOKUP(G664,NGPREVPRICES,3,FALSE),HLOOKUP(D664,Correllate,VLOOKUP(G664,CorMove,2,FALSE),FALSE),Q664-$CD$3,R664,$CJ$5)*H664-CJ665</f>
        <v>0</v>
      </c>
      <c r="CF665" s="10">
        <f t="shared" si="787"/>
        <v>-4.6935229691916902</v>
      </c>
      <c r="CG665" s="234">
        <f>_xll.xSPRDOPT((VLOOKUP(G664,NGPREVPRICES,2,FALSE)+HLOOKUP(D664,PREVCURVES,VLOOKUP(G664,MOVE_DOWN2,2,FALSE),FALSE)),VLOOKUP(G664,NGPREVPRICES,2,FALSE),CK665,VLOOKUP(G664,NGPREVPRICES,4,FALSE),HLOOKUP(D664,VOLS,VLOOKUP(G664,move_down,2,FALSE),FALSE),VLOOKUP(G664,NGPrices,3,FALSE),HLOOKUP(D664,Correllate,VLOOKUP(G664,CorMove,2,FALSE),FALSE),Q664-$CD$3,R664,$CJ$5)*H664-CJ665</f>
        <v>0</v>
      </c>
      <c r="CH665" s="234">
        <f>_xll.xSPRDOPT((VLOOKUP(G664,NGPREVPRICES,2,FALSE)+HLOOKUP(D664,PREVCURVES,VLOOKUP(G664,MOVE_DOWN2,2,FALSE),FALSE)),VLOOKUP(G664,NGPREVPRICES,2,FALSE),CK665,VLOOKUP(G664,NGPREVPRICES,4,FALSE),HLOOKUP(D664,PREVVOLS,VLOOKUP(G664,MOVE_DOWN2,2,FALSE),FALSE),VLOOKUP(G664,NGPREVPRICES,3,FALSE),HLOOKUP(D664,Correllate,VLOOKUP(G664,CorMove,2,FALSE),FALSE),Q664-$C$3,R664,$CJ$5)*H664-CJ665</f>
        <v>-912.54328269041071</v>
      </c>
      <c r="CI665" s="234">
        <f t="shared" si="788"/>
        <v>-917.2368056596024</v>
      </c>
      <c r="CJ665" s="234">
        <f>_xll.xSPRDOPT((VLOOKUP(G664,NGPREVPRICES,2,FALSE)+HLOOKUP(D664,PREVCURVES,VLOOKUP(G664,MOVE_DOWN2,2,FALSE),FALSE)),VLOOKUP(G664,NGPREVPRICES,2,FALSE),CK665,VLOOKUP(G664,NGPREVPRICES,4,FALSE),HLOOKUP(D664,PREVVOLS,VLOOKUP(G664,MOVE_DOWN2,2,FALSE),FALSE),VLOOKUP(G664,NGPREVPRICES,3,FALSE),HLOOKUP(D664,Correllate,VLOOKUP(G664,CorMove,2,FALSE),FALSE),Q664-$CD$3,R664,$CJ$5)*H664</f>
        <v>25459.055397389802</v>
      </c>
      <c r="CK665" s="235">
        <f t="shared" si="789"/>
        <v>0.5</v>
      </c>
      <c r="CM665" t="str">
        <f t="shared" si="790"/>
        <v>36800Curve Shift/Gamma</v>
      </c>
      <c r="CN665" t="str">
        <f t="shared" si="747"/>
        <v>36800Rho</v>
      </c>
      <c r="CO665" t="str">
        <f t="shared" si="748"/>
        <v>36800Drift</v>
      </c>
      <c r="CP665" t="str">
        <f t="shared" si="749"/>
        <v>36800Vega</v>
      </c>
      <c r="CQ665" t="str">
        <f t="shared" si="750"/>
        <v>36800Theta</v>
      </c>
    </row>
    <row r="666" spans="1:95" x14ac:dyDescent="0.25">
      <c r="A666" s="140" t="s">
        <v>268</v>
      </c>
      <c r="B666" t="s">
        <v>250</v>
      </c>
      <c r="C666" t="s">
        <v>575</v>
      </c>
      <c r="D666" s="4" t="s">
        <v>7</v>
      </c>
      <c r="E666" t="s">
        <v>20</v>
      </c>
      <c r="F666" t="s">
        <v>21</v>
      </c>
      <c r="G666" s="5">
        <v>36861</v>
      </c>
      <c r="H666" s="130">
        <v>310000</v>
      </c>
      <c r="I666" s="235">
        <v>2.5</v>
      </c>
      <c r="J666" s="53">
        <f t="shared" si="772"/>
        <v>4.8</v>
      </c>
      <c r="K666" s="7">
        <f t="shared" si="773"/>
        <v>1.645</v>
      </c>
      <c r="L666" s="53">
        <f t="shared" si="774"/>
        <v>6.4450000000000003</v>
      </c>
      <c r="M666" s="157">
        <f t="shared" si="775"/>
        <v>6.8314027999354002E-2</v>
      </c>
      <c r="N666" s="4">
        <f t="shared" si="776"/>
        <v>0.6</v>
      </c>
      <c r="O666" s="4">
        <f t="shared" si="777"/>
        <v>0.69</v>
      </c>
      <c r="P666" s="9">
        <f t="shared" si="778"/>
        <v>0.83</v>
      </c>
      <c r="Q666" s="5">
        <f t="shared" si="771"/>
        <v>36859</v>
      </c>
      <c r="R666" s="4">
        <f t="shared" si="779"/>
        <v>1</v>
      </c>
      <c r="S666" s="158">
        <f>_xll.xSPRDOPT($L666,$J666,$I666,$M666,$O666,$N666,$P666,$Q666-$C$3,$R666,0)</f>
        <v>0.24519282370785345</v>
      </c>
      <c r="T666" s="159">
        <f>_xll.xSPRDOPT($L666,$J666,$I666,$M666,$O666,$N666,$P666,$Q666-$C$3,$R666,1)*H666</f>
        <v>96812.519721239165</v>
      </c>
      <c r="U666" s="160">
        <f t="shared" si="780"/>
        <v>76009.775349434567</v>
      </c>
      <c r="V666" s="159">
        <f>_xll.xSPRDOPT($L666,$J666,$I666,$M666,$O666,$N666,$P666,$Q666-$C$3,$R666,2)*H666</f>
        <v>-78951.387292939777</v>
      </c>
      <c r="W666" s="159">
        <f t="shared" si="781"/>
        <v>17861.132428299388</v>
      </c>
      <c r="X666" s="51" t="str">
        <f t="shared" si="782"/>
        <v>36861IF-TRANSCO/Z6</v>
      </c>
      <c r="Y666" s="418">
        <f t="shared" si="783"/>
        <v>31</v>
      </c>
      <c r="Z666" s="456">
        <f t="shared" si="784"/>
        <v>0.31229845071367474</v>
      </c>
      <c r="AA666" s="456">
        <f>_xll.xSPRDOPT($L666,$J666,$I666,$M666,$O666,$N666,$P666,$Q666-$C$3,$R666,3)</f>
        <v>0.25819289510904975</v>
      </c>
      <c r="AB666" s="456">
        <f>((_xll.xSPRDOPT($L666+AB$5,$J666,$I666,$M666,$O666,$N666,$P666,$Q666-$C$3,$R666,3)*$H666)/10000)/100</f>
        <v>8.0039797483805422E-2</v>
      </c>
      <c r="AC666" s="456">
        <f>((_xll.xSPRDOPT($L666+$AB$5,$J666,$I666,$M666,$O666,$N666,$P666,$Q666-$C$3,$R666,7)*$H666)/100)</f>
        <v>-2351.5285529484822</v>
      </c>
      <c r="AD666" s="456">
        <f>(_xll.xSPRDOPT($L666+$AB$5,$J666,$I666,$M666,$O666,$N666,$P666,$Q666-$C$3,$R666,9)/365)*$H666</f>
        <v>-790.98974536789285</v>
      </c>
      <c r="AE666">
        <f t="shared" si="770"/>
        <v>0</v>
      </c>
      <c r="AF666" s="456">
        <f t="shared" si="785"/>
        <v>2467.638486807833</v>
      </c>
      <c r="AG666" s="456">
        <f>((_xll.xSPRDOPT($L666,$J666,$I666,$M666,$O666,$N666,$P666,$Q666-$C$3,$R666,6)*$H666)/100)</f>
        <v>-924.43585626919116</v>
      </c>
      <c r="AH666" s="456">
        <f>((_xll.xSPRDOPT($L666,$J666,$I666,$M666,$O666,$N666,$P666,$Q666-$C$3,$R666,5)*$H666)/100)</f>
        <v>2949.629863545239</v>
      </c>
      <c r="AI666" s="456">
        <f>(((_xll.xSPRDOPT($L666,$J666,$I666,$M666,$O666,$N666,$P666,$Q666-$C$3,$R666,4)*$H666)/10000)/100)-AB666</f>
        <v>-1.3167554802759662E-2</v>
      </c>
      <c r="AJ666" s="456"/>
      <c r="CC666" s="141">
        <f t="shared" si="786"/>
        <v>36831</v>
      </c>
      <c r="CD666" s="234">
        <f>_xll.xSPRDOPT((VLOOKUP(G665,NGPrices,2,FALSE)+HLOOKUP(D665,Prices,VLOOKUP(G665,move_down,2,FALSE),FALSE)),VLOOKUP(G665,NGPrices,2,FALSE),I665,VLOOKUP(G665,NGPREVPRICES,4,FALSE),HLOOKUP(D665,PREVVOLS,VLOOKUP(G665,MOVE_DOWN2,2,FALSE),FALSE),VLOOKUP(G665,NGPREVPRICES,3,FALSE),HLOOKUP(D665,Correllate,VLOOKUP(G665,CorMove,2,FALSE),FALSE),Q665-$CD$3,R665,$CD$5)*H665-CJ666</f>
        <v>0</v>
      </c>
      <c r="CE666" s="234">
        <f>_xll.xSPRDOPT((VLOOKUP(G665,NGPREVPRICES,2,FALSE)+HLOOKUP(D665,PREVCURVES,VLOOKUP(G665,MOVE_DOWN2,2,FALSE),FALSE)),VLOOKUP(G665,NGPREVPRICES,2,FALSE),CK666,VLOOKUP(G665,NGPrices,4,FALSE),HLOOKUP(D665,PREVVOLS,VLOOKUP(G665,MOVE_DOWN2,2,FALSE),FALSE),VLOOKUP(G665,NGPREVPRICES,3,FALSE),HLOOKUP(D665,Correllate,VLOOKUP(G665,CorMove,2,FALSE),FALSE),Q665-$CD$3,R665,$CJ$5)*H665-CJ666</f>
        <v>0</v>
      </c>
      <c r="CF666" s="10">
        <f t="shared" si="787"/>
        <v>-0.35876775753786205</v>
      </c>
      <c r="CG666" s="234">
        <f>_xll.xSPRDOPT((VLOOKUP(G665,NGPREVPRICES,2,FALSE)+HLOOKUP(D665,PREVCURVES,VLOOKUP(G665,MOVE_DOWN2,2,FALSE),FALSE)),VLOOKUP(G665,NGPREVPRICES,2,FALSE),CK666,VLOOKUP(G665,NGPREVPRICES,4,FALSE),HLOOKUP(D665,VOLS,VLOOKUP(G665,move_down,2,FALSE),FALSE),VLOOKUP(G665,NGPrices,3,FALSE),HLOOKUP(D665,Correllate,VLOOKUP(G665,CorMove,2,FALSE),FALSE),Q665-$CD$3,R665,$CJ$5)*H665-CJ666</f>
        <v>0</v>
      </c>
      <c r="CH666" s="234">
        <f>_xll.xSPRDOPT((VLOOKUP(G665,NGPREVPRICES,2,FALSE)+HLOOKUP(D665,PREVCURVES,VLOOKUP(G665,MOVE_DOWN2,2,FALSE),FALSE)),VLOOKUP(G665,NGPREVPRICES,2,FALSE),CK666,VLOOKUP(G665,NGPREVPRICES,4,FALSE),HLOOKUP(D665,PREVVOLS,VLOOKUP(G665,MOVE_DOWN2,2,FALSE),FALSE),VLOOKUP(G665,NGPREVPRICES,3,FALSE),HLOOKUP(D665,Correllate,VLOOKUP(G665,CorMove,2,FALSE),FALSE),Q665-$C$3,R665,$CJ$5)*H665-CJ666</f>
        <v>-98.386465799197822</v>
      </c>
      <c r="CI666" s="234">
        <f t="shared" si="788"/>
        <v>-98.745233556735684</v>
      </c>
      <c r="CJ666" s="234">
        <f>_xll.xSPRDOPT((VLOOKUP(G665,NGPREVPRICES,2,FALSE)+HLOOKUP(D665,PREVCURVES,VLOOKUP(G665,MOVE_DOWN2,2,FALSE),FALSE)),VLOOKUP(G665,NGPREVPRICES,2,FALSE),CK666,VLOOKUP(G665,NGPREVPRICES,4,FALSE),HLOOKUP(D665,PREVVOLS,VLOOKUP(G665,MOVE_DOWN2,2,FALSE),FALSE),VLOOKUP(G665,NGPREVPRICES,3,FALSE),HLOOKUP(D665,Correllate,VLOOKUP(G665,CorMove,2,FALSE),FALSE),Q665-$CD$3,R665,$CJ$5)*H665</f>
        <v>1931.8642528587211</v>
      </c>
      <c r="CK666" s="235">
        <f t="shared" si="789"/>
        <v>2.5</v>
      </c>
      <c r="CM666" t="str">
        <f t="shared" si="790"/>
        <v>36831Curve Shift/Gamma</v>
      </c>
      <c r="CN666" t="str">
        <f t="shared" si="747"/>
        <v>36831Rho</v>
      </c>
      <c r="CO666" t="str">
        <f t="shared" si="748"/>
        <v>36831Drift</v>
      </c>
      <c r="CP666" t="str">
        <f t="shared" si="749"/>
        <v>36831Vega</v>
      </c>
      <c r="CQ666" t="str">
        <f t="shared" si="750"/>
        <v>36831Theta</v>
      </c>
    </row>
    <row r="667" spans="1:95" x14ac:dyDescent="0.25">
      <c r="A667" s="140" t="s">
        <v>268</v>
      </c>
      <c r="B667" t="s">
        <v>250</v>
      </c>
      <c r="C667" t="s">
        <v>575</v>
      </c>
      <c r="D667" s="4" t="s">
        <v>7</v>
      </c>
      <c r="E667" t="s">
        <v>20</v>
      </c>
      <c r="F667" t="s">
        <v>21</v>
      </c>
      <c r="G667" s="5">
        <v>36892</v>
      </c>
      <c r="H667" s="130">
        <v>310000</v>
      </c>
      <c r="I667" s="235">
        <v>2.5</v>
      </c>
      <c r="J667" s="53">
        <f t="shared" si="772"/>
        <v>4.7439999999999998</v>
      </c>
      <c r="K667" s="7">
        <f t="shared" si="773"/>
        <v>2.17</v>
      </c>
      <c r="L667" s="53">
        <f t="shared" si="774"/>
        <v>6.9139999999999997</v>
      </c>
      <c r="M667" s="157">
        <f t="shared" si="775"/>
        <v>6.8374831148490994E-2</v>
      </c>
      <c r="N667" s="4">
        <f t="shared" si="776"/>
        <v>0.60499999999999998</v>
      </c>
      <c r="O667" s="4">
        <f t="shared" si="777"/>
        <v>0.69599999999999995</v>
      </c>
      <c r="P667" s="9">
        <f t="shared" si="778"/>
        <v>0.83</v>
      </c>
      <c r="Q667" s="5">
        <f t="shared" si="771"/>
        <v>36888</v>
      </c>
      <c r="R667" s="4">
        <f t="shared" si="779"/>
        <v>1</v>
      </c>
      <c r="S667" s="158">
        <f>_xll.xSPRDOPT($L667,$J667,$I667,$M667,$O667,$N667,$P667,$Q667-$C$3,$R667,0)</f>
        <v>0.52922812131883945</v>
      </c>
      <c r="T667" s="159">
        <f>_xll.xSPRDOPT($L667,$J667,$I667,$M667,$O667,$N667,$P667,$Q667-$C$3,$R667,1)*H667</f>
        <v>144687.61620653246</v>
      </c>
      <c r="U667" s="160">
        <f t="shared" si="780"/>
        <v>164060.71760884023</v>
      </c>
      <c r="V667" s="159">
        <f>_xll.xSPRDOPT($L667,$J667,$I667,$M667,$O667,$N667,$P667,$Q667-$C$3,$R667,2)*H667</f>
        <v>-121112.26865571494</v>
      </c>
      <c r="W667" s="159">
        <f t="shared" si="781"/>
        <v>23575.347550817518</v>
      </c>
      <c r="X667" s="51" t="str">
        <f t="shared" si="782"/>
        <v>36892IF-TRANSCO/Z6</v>
      </c>
      <c r="Y667" s="418">
        <f t="shared" si="783"/>
        <v>31</v>
      </c>
      <c r="Z667" s="456">
        <f t="shared" si="784"/>
        <v>0.46673424582752404</v>
      </c>
      <c r="AA667" s="456">
        <f>_xll.xSPRDOPT($L667,$J667,$I667,$M667,$O667,$N667,$P667,$Q667-$C$3,$R667,3)</f>
        <v>0.22967006797299966</v>
      </c>
      <c r="AB667" s="456">
        <f>((_xll.xSPRDOPT($L667+AB$5,$J667,$I667,$M667,$O667,$N667,$P667,$Q667-$C$3,$R667,3)*$H667)/10000)/100</f>
        <v>7.1197721071629902E-2</v>
      </c>
      <c r="AC667" s="456">
        <f>((_xll.xSPRDOPT($L667+$AB$5,$J667,$I667,$M667,$O667,$N667,$P667,$Q667-$C$3,$R667,7)*$H667)/100)</f>
        <v>-3171.9405324228724</v>
      </c>
      <c r="AD667" s="456">
        <f>(_xll.xSPRDOPT($L667+$AB$5,$J667,$I667,$M667,$O667,$N667,$P667,$Q667-$C$3,$R667,9)/365)*$H667</f>
        <v>-820.1990545954427</v>
      </c>
      <c r="AE667">
        <f t="shared" si="770"/>
        <v>0</v>
      </c>
      <c r="AF667" s="456">
        <f t="shared" si="785"/>
        <v>3401.3993516315504</v>
      </c>
      <c r="AG667" s="456">
        <f>((_xll.xSPRDOPT($L667,$J667,$I667,$M667,$O667,$N667,$P667,$Q667-$C$3,$R667,6)*$H667)/100)</f>
        <v>-1274.834307160937</v>
      </c>
      <c r="AH667" s="456">
        <f>((_xll.xSPRDOPT($L667,$J667,$I667,$M667,$O667,$N667,$P667,$Q667-$C$3,$R667,5)*$H667)/100)</f>
        <v>4064.8295453584124</v>
      </c>
      <c r="AI667" s="456">
        <f>(((_xll.xSPRDOPT($L667,$J667,$I667,$M667,$O667,$N667,$P667,$Q667-$C$3,$R667,4)*$H667)/10000)/100)-AB667</f>
        <v>-2.9868339797722299E-3</v>
      </c>
      <c r="AJ667" s="456"/>
      <c r="CC667" s="141">
        <f t="shared" si="786"/>
        <v>36861</v>
      </c>
      <c r="CD667" s="234">
        <f>_xll.xSPRDOPT((VLOOKUP(G666,NGPrices,2,FALSE)+HLOOKUP(D666,Prices,VLOOKUP(G666,move_down,2,FALSE),FALSE)),VLOOKUP(G666,NGPrices,2,FALSE),I666,VLOOKUP(G666,NGPREVPRICES,4,FALSE),HLOOKUP(D666,PREVVOLS,VLOOKUP(G666,MOVE_DOWN2,2,FALSE),FALSE),VLOOKUP(G666,NGPREVPRICES,3,FALSE),HLOOKUP(D666,Correllate,VLOOKUP(G666,CorMove,2,FALSE),FALSE),Q666-$CD$3,R666,$CD$5)*H666-CJ667</f>
        <v>0</v>
      </c>
      <c r="CE667" s="234">
        <f>_xll.xSPRDOPT((VLOOKUP(G666,NGPREVPRICES,2,FALSE)+HLOOKUP(D666,PREVCURVES,VLOOKUP(G666,MOVE_DOWN2,2,FALSE),FALSE)),VLOOKUP(G666,NGPREVPRICES,2,FALSE),CK667,VLOOKUP(G666,NGPrices,4,FALSE),HLOOKUP(D666,PREVVOLS,VLOOKUP(G666,MOVE_DOWN2,2,FALSE),FALSE),VLOOKUP(G666,NGPREVPRICES,3,FALSE),HLOOKUP(D666,Correllate,VLOOKUP(G666,CorMove,2,FALSE),FALSE),Q666-$CD$3,R666,$CJ$5)*H666-CJ667</f>
        <v>0</v>
      </c>
      <c r="CF667" s="10">
        <f t="shared" si="787"/>
        <v>-14.38729698023235</v>
      </c>
      <c r="CG667" s="234">
        <f>_xll.xSPRDOPT((VLOOKUP(G666,NGPREVPRICES,2,FALSE)+HLOOKUP(D666,PREVCURVES,VLOOKUP(G666,MOVE_DOWN2,2,FALSE),FALSE)),VLOOKUP(G666,NGPREVPRICES,2,FALSE),CK667,VLOOKUP(G666,NGPREVPRICES,4,FALSE),HLOOKUP(D666,VOLS,VLOOKUP(G666,move_down,2,FALSE),FALSE),VLOOKUP(G666,NGPrices,3,FALSE),HLOOKUP(D666,Correllate,VLOOKUP(G666,CorMove,2,FALSE),FALSE),Q666-$CD$3,R666,$CJ$5)*H666-CJ667</f>
        <v>0</v>
      </c>
      <c r="CH667" s="234">
        <f>_xll.xSPRDOPT((VLOOKUP(G666,NGPREVPRICES,2,FALSE)+HLOOKUP(D666,PREVCURVES,VLOOKUP(G666,MOVE_DOWN2,2,FALSE),FALSE)),VLOOKUP(G666,NGPREVPRICES,2,FALSE),CK667,VLOOKUP(G666,NGPREVPRICES,4,FALSE),HLOOKUP(D666,PREVVOLS,VLOOKUP(G666,MOVE_DOWN2,2,FALSE),FALSE),VLOOKUP(G666,NGPREVPRICES,3,FALSE),HLOOKUP(D666,Correllate,VLOOKUP(G666,CorMove,2,FALSE),FALSE),Q666-$C$3,R666,$CJ$5)*H666-CJ667</f>
        <v>-788.85578873785562</v>
      </c>
      <c r="CI667" s="234">
        <f t="shared" si="788"/>
        <v>-803.24308571808797</v>
      </c>
      <c r="CJ667" s="234">
        <f>_xll.xSPRDOPT((VLOOKUP(G666,NGPREVPRICES,2,FALSE)+HLOOKUP(D666,PREVCURVES,VLOOKUP(G666,MOVE_DOWN2,2,FALSE),FALSE)),VLOOKUP(G666,NGPREVPRICES,2,FALSE),CK667,VLOOKUP(G666,NGPREVPRICES,4,FALSE),HLOOKUP(D666,PREVVOLS,VLOOKUP(G666,MOVE_DOWN2,2,FALSE),FALSE),VLOOKUP(G666,NGPREVPRICES,3,FALSE),HLOOKUP(D666,Correllate,VLOOKUP(G666,CorMove,2,FALSE),FALSE),Q666-$CD$3,R666,$CJ$5)*H666</f>
        <v>76798.631138172423</v>
      </c>
      <c r="CK667" s="235">
        <f t="shared" si="789"/>
        <v>2.5</v>
      </c>
      <c r="CM667" t="str">
        <f t="shared" si="790"/>
        <v>36861Curve Shift/Gamma</v>
      </c>
      <c r="CN667" t="str">
        <f t="shared" si="747"/>
        <v>36861Rho</v>
      </c>
      <c r="CO667" t="str">
        <f t="shared" si="748"/>
        <v>36861Drift</v>
      </c>
      <c r="CP667" t="str">
        <f t="shared" si="749"/>
        <v>36861Vega</v>
      </c>
      <c r="CQ667" t="str">
        <f t="shared" si="750"/>
        <v>36861Theta</v>
      </c>
    </row>
    <row r="668" spans="1:95" x14ac:dyDescent="0.25">
      <c r="A668" s="140" t="s">
        <v>268</v>
      </c>
      <c r="B668" t="s">
        <v>250</v>
      </c>
      <c r="C668" t="s">
        <v>575</v>
      </c>
      <c r="D668" s="4" t="s">
        <v>7</v>
      </c>
      <c r="E668" t="s">
        <v>20</v>
      </c>
      <c r="F668" t="s">
        <v>21</v>
      </c>
      <c r="G668" s="5">
        <v>36923</v>
      </c>
      <c r="H668" s="130">
        <v>280000</v>
      </c>
      <c r="I668" s="235">
        <v>2.5</v>
      </c>
      <c r="J668" s="53">
        <f t="shared" si="772"/>
        <v>4.4800000000000004</v>
      </c>
      <c r="K668" s="7">
        <f t="shared" si="773"/>
        <v>2.09</v>
      </c>
      <c r="L668" s="53">
        <f t="shared" si="774"/>
        <v>6.57</v>
      </c>
      <c r="M668" s="157">
        <f t="shared" si="775"/>
        <v>6.8640161611372E-2</v>
      </c>
      <c r="N668" s="4">
        <f t="shared" si="776"/>
        <v>0.59250000000000003</v>
      </c>
      <c r="O668" s="4">
        <f t="shared" si="777"/>
        <v>0.68100000000000005</v>
      </c>
      <c r="P668" s="9">
        <f t="shared" si="778"/>
        <v>0.83</v>
      </c>
      <c r="Q668" s="5">
        <f t="shared" si="771"/>
        <v>36921</v>
      </c>
      <c r="R668" s="4">
        <f t="shared" si="779"/>
        <v>1</v>
      </c>
      <c r="S668" s="158">
        <f>_xll.xSPRDOPT($L668,$J668,$I668,$M668,$O668,$N668,$P668,$Q668-$C$3,$R668,0)</f>
        <v>0.53494168201694325</v>
      </c>
      <c r="T668" s="159">
        <f>_xll.xSPRDOPT($L668,$J668,$I668,$M668,$O668,$N668,$P668,$Q668-$C$3,$R668,1)*H668</f>
        <v>128085.42484767239</v>
      </c>
      <c r="U668" s="160">
        <f t="shared" si="780"/>
        <v>149783.67096474412</v>
      </c>
      <c r="V668" s="159">
        <f>_xll.xSPRDOPT($L668,$J668,$I668,$M668,$O668,$N668,$P668,$Q668-$C$3,$R668,2)*H668</f>
        <v>-104984.67609865764</v>
      </c>
      <c r="W668" s="159">
        <f t="shared" si="781"/>
        <v>23100.748749014747</v>
      </c>
      <c r="X668" s="51" t="str">
        <f t="shared" si="782"/>
        <v>36923IF-TRANSCO/Z6</v>
      </c>
      <c r="Y668" s="418">
        <f t="shared" si="783"/>
        <v>28</v>
      </c>
      <c r="Z668" s="456">
        <f t="shared" si="784"/>
        <v>0.45744794588454424</v>
      </c>
      <c r="AA668" s="456">
        <f>_xll.xSPRDOPT($L668,$J668,$I668,$M668,$O668,$N668,$P668,$Q668-$C$3,$R668,3)</f>
        <v>0.21618551080216697</v>
      </c>
      <c r="AB668" s="456">
        <f>((_xll.xSPRDOPT($L668+AB$5,$J668,$I668,$M668,$O668,$N668,$P668,$Q668-$C$3,$R668,3)*$H668)/10000)/100</f>
        <v>6.0531943024606745E-2</v>
      </c>
      <c r="AC668" s="456">
        <f>((_xll.xSPRDOPT($L668+$AB$5,$J668,$I668,$M668,$O668,$N668,$P668,$Q668-$C$3,$R668,7)*$H668)/100)</f>
        <v>-2929.1996900406107</v>
      </c>
      <c r="AD668" s="456">
        <f>(_xll.xSPRDOPT($L668+$AB$5,$J668,$I668,$M668,$O668,$N668,$P668,$Q668-$C$3,$R668,9)/365)*$H668</f>
        <v>-604.79960954333001</v>
      </c>
      <c r="AE668">
        <f t="shared" si="770"/>
        <v>0</v>
      </c>
      <c r="AF668" s="456">
        <f t="shared" si="785"/>
        <v>3288.1090766114849</v>
      </c>
      <c r="AG668" s="456">
        <f>((_xll.xSPRDOPT($L668,$J668,$I668,$M668,$O668,$N668,$P668,$Q668-$C$3,$R668,6)*$H668)/100)</f>
        <v>-1231.4051005252395</v>
      </c>
      <c r="AH668" s="456">
        <f>((_xll.xSPRDOPT($L668,$J668,$I668,$M668,$O668,$N668,$P668,$Q668-$C$3,$R668,5)*$H668)/100)</f>
        <v>3932.1764316497924</v>
      </c>
      <c r="AI668" s="456">
        <f>(((_xll.xSPRDOPT($L668,$J668,$I668,$M668,$O668,$N668,$P668,$Q668-$C$3,$R668,4)*$H668)/10000)/100)-AB668</f>
        <v>-3.2520111342553767E-3</v>
      </c>
      <c r="AJ668" s="456"/>
      <c r="CC668" s="141">
        <f t="shared" si="786"/>
        <v>36892</v>
      </c>
      <c r="CD668" s="234">
        <f>_xll.xSPRDOPT((VLOOKUP(G667,NGPrices,2,FALSE)+HLOOKUP(D667,Prices,VLOOKUP(G667,move_down,2,FALSE),FALSE)),VLOOKUP(G667,NGPrices,2,FALSE),I667,VLOOKUP(G667,NGPREVPRICES,4,FALSE),HLOOKUP(D667,PREVVOLS,VLOOKUP(G667,MOVE_DOWN2,2,FALSE),FALSE),VLOOKUP(G667,NGPREVPRICES,3,FALSE),HLOOKUP(D667,Correllate,VLOOKUP(G667,CorMove,2,FALSE),FALSE),Q667-$CD$3,R667,$CD$5)*H667-CJ668</f>
        <v>0</v>
      </c>
      <c r="CE668" s="234">
        <f>_xll.xSPRDOPT((VLOOKUP(G667,NGPREVPRICES,2,FALSE)+HLOOKUP(D667,PREVCURVES,VLOOKUP(G667,MOVE_DOWN2,2,FALSE),FALSE)),VLOOKUP(G667,NGPREVPRICES,2,FALSE),CK668,VLOOKUP(G667,NGPrices,4,FALSE),HLOOKUP(D667,PREVVOLS,VLOOKUP(G667,MOVE_DOWN2,2,FALSE),FALSE),VLOOKUP(G667,NGPREVPRICES,3,FALSE),HLOOKUP(D667,Correllate,VLOOKUP(G667,CorMove,2,FALSE),FALSE),Q667-$CD$3,R667,$CJ$5)*H667-CJ668</f>
        <v>0</v>
      </c>
      <c r="CF668" s="10">
        <f t="shared" si="787"/>
        <v>-31.069895023159916</v>
      </c>
      <c r="CG668" s="234">
        <f>_xll.xSPRDOPT((VLOOKUP(G667,NGPREVPRICES,2,FALSE)+HLOOKUP(D667,PREVCURVES,VLOOKUP(G667,MOVE_DOWN2,2,FALSE),FALSE)),VLOOKUP(G667,NGPREVPRICES,2,FALSE),CK668,VLOOKUP(G667,NGPREVPRICES,4,FALSE),HLOOKUP(D667,VOLS,VLOOKUP(G667,move_down,2,FALSE),FALSE),VLOOKUP(G667,NGPrices,3,FALSE),HLOOKUP(D667,Correllate,VLOOKUP(G667,CorMove,2,FALSE),FALSE),Q667-$CD$3,R667,$CJ$5)*H667-CJ668</f>
        <v>0</v>
      </c>
      <c r="CH668" s="234">
        <f>_xll.xSPRDOPT((VLOOKUP(G667,NGPREVPRICES,2,FALSE)+HLOOKUP(D667,PREVCURVES,VLOOKUP(G667,MOVE_DOWN2,2,FALSE),FALSE)),VLOOKUP(G667,NGPREVPRICES,2,FALSE),CK668,VLOOKUP(G667,NGPREVPRICES,4,FALSE),HLOOKUP(D667,PREVVOLS,VLOOKUP(G667,MOVE_DOWN2,2,FALSE),FALSE),VLOOKUP(G667,NGPREVPRICES,3,FALSE),HLOOKUP(D667,Correllate,VLOOKUP(G667,CorMove,2,FALSE),FALSE),Q667-$C$3,R667,$CJ$5)*H667-CJ668</f>
        <v>-817.77462214895058</v>
      </c>
      <c r="CI668" s="234">
        <f t="shared" si="788"/>
        <v>-848.8445171721105</v>
      </c>
      <c r="CJ668" s="234">
        <f>_xll.xSPRDOPT((VLOOKUP(G667,NGPREVPRICES,2,FALSE)+HLOOKUP(D667,PREVCURVES,VLOOKUP(G667,MOVE_DOWN2,2,FALSE),FALSE)),VLOOKUP(G667,NGPREVPRICES,2,FALSE),CK668,VLOOKUP(G667,NGPREVPRICES,4,FALSE),HLOOKUP(D667,PREVVOLS,VLOOKUP(G667,MOVE_DOWN2,2,FALSE),FALSE),VLOOKUP(G667,NGPREVPRICES,3,FALSE),HLOOKUP(D667,Correllate,VLOOKUP(G667,CorMove,2,FALSE),FALSE),Q667-$CD$3,R667,$CJ$5)*H667</f>
        <v>164878.49223098918</v>
      </c>
      <c r="CK668" s="235">
        <f t="shared" si="789"/>
        <v>2.5</v>
      </c>
      <c r="CM668" t="str">
        <f t="shared" si="790"/>
        <v>36892Curve Shift/Gamma</v>
      </c>
      <c r="CN668" t="str">
        <f t="shared" si="747"/>
        <v>36892Rho</v>
      </c>
      <c r="CO668" t="str">
        <f t="shared" si="748"/>
        <v>36892Drift</v>
      </c>
      <c r="CP668" t="str">
        <f t="shared" si="749"/>
        <v>36892Vega</v>
      </c>
      <c r="CQ668" t="str">
        <f t="shared" si="750"/>
        <v>36892Theta</v>
      </c>
    </row>
    <row r="669" spans="1:95" x14ac:dyDescent="0.25">
      <c r="A669" s="140" t="s">
        <v>268</v>
      </c>
      <c r="B669" t="s">
        <v>250</v>
      </c>
      <c r="C669" t="s">
        <v>575</v>
      </c>
      <c r="D669" s="4" t="s">
        <v>7</v>
      </c>
      <c r="E669" t="s">
        <v>20</v>
      </c>
      <c r="F669" t="s">
        <v>21</v>
      </c>
      <c r="G669" s="5">
        <v>36951</v>
      </c>
      <c r="H669" s="130">
        <v>310000</v>
      </c>
      <c r="I669" s="235">
        <v>2.5</v>
      </c>
      <c r="J669" s="53">
        <f t="shared" si="772"/>
        <v>4.2130000000000001</v>
      </c>
      <c r="K669" s="7">
        <f t="shared" si="773"/>
        <v>1.075</v>
      </c>
      <c r="L669" s="53">
        <f t="shared" si="774"/>
        <v>5.2880000000000003</v>
      </c>
      <c r="M669" s="157">
        <f t="shared" si="775"/>
        <v>6.8879814952706994E-2</v>
      </c>
      <c r="N669" s="4">
        <f t="shared" si="776"/>
        <v>0.53249999999999997</v>
      </c>
      <c r="O669" s="4">
        <f t="shared" si="777"/>
        <v>0.61199999999999999</v>
      </c>
      <c r="P669" s="9">
        <f t="shared" si="778"/>
        <v>0.83</v>
      </c>
      <c r="Q669" s="5">
        <f t="shared" si="771"/>
        <v>36949</v>
      </c>
      <c r="R669" s="4">
        <f t="shared" si="779"/>
        <v>1</v>
      </c>
      <c r="S669" s="158">
        <f>_xll.xSPRDOPT($L669,$J669,$I669,$M669,$O669,$N669,$P669,$Q669-$C$3,$R669,0)</f>
        <v>0.15660034057175656</v>
      </c>
      <c r="T669" s="159">
        <f>_xll.xSPRDOPT($L669,$J669,$I669,$M669,$O669,$N669,$P669,$Q669-$C$3,$R669,1)*H669</f>
        <v>68187.967452506709</v>
      </c>
      <c r="U669" s="160">
        <f t="shared" si="780"/>
        <v>48546.105577244532</v>
      </c>
      <c r="V669" s="159">
        <f>_xll.xSPRDOPT($L669,$J669,$I669,$M669,$O669,$N669,$P669,$Q669-$C$3,$R669,2)*H669</f>
        <v>-50506.235487063357</v>
      </c>
      <c r="W669" s="159">
        <f t="shared" si="781"/>
        <v>17681.731965443352</v>
      </c>
      <c r="X669" s="51" t="str">
        <f t="shared" si="782"/>
        <v>36951IF-TRANSCO/Z6</v>
      </c>
      <c r="Y669" s="418">
        <f t="shared" si="783"/>
        <v>31</v>
      </c>
      <c r="Z669" s="456">
        <f t="shared" si="784"/>
        <v>0.2199611853306668</v>
      </c>
      <c r="AA669" s="456">
        <f>_xll.xSPRDOPT($L669,$J669,$I669,$M669,$O669,$N669,$P669,$Q669-$C$3,$R669,3)</f>
        <v>0.20855990404016209</v>
      </c>
      <c r="AB669" s="456">
        <f>((_xll.xSPRDOPT($L669+AB$5,$J669,$I669,$M669,$O669,$N669,$P669,$Q669-$C$3,$R669,3)*$H669)/10000)/100</f>
        <v>6.4653570252450249E-2</v>
      </c>
      <c r="AC669" s="456">
        <f>((_xll.xSPRDOPT($L669+$AB$5,$J669,$I669,$M669,$O669,$N669,$P669,$Q669-$C$3,$R669,7)*$H669)/100)</f>
        <v>-1958.994654682441</v>
      </c>
      <c r="AD669" s="456">
        <f>(_xll.xSPRDOPT($L669+$AB$5,$J669,$I669,$M669,$O669,$N669,$P669,$Q669-$C$3,$R669,9)/365)*$H669</f>
        <v>-340.69913522803944</v>
      </c>
      <c r="AE669">
        <f t="shared" si="770"/>
        <v>0</v>
      </c>
      <c r="AF669" s="456">
        <f t="shared" si="785"/>
        <v>2389.896803252896</v>
      </c>
      <c r="AG669" s="456">
        <f>((_xll.xSPRDOPT($L669,$J669,$I669,$M669,$O669,$N669,$P669,$Q669-$C$3,$R669,6)*$H669)/100)</f>
        <v>-893.00665809604436</v>
      </c>
      <c r="AH669" s="456">
        <f>((_xll.xSPRDOPT($L669,$J669,$I669,$M669,$O669,$N669,$P669,$Q669-$C$3,$R669,5)*$H669)/100)</f>
        <v>2856.4478646541024</v>
      </c>
      <c r="AI669" s="456">
        <f>(((_xll.xSPRDOPT($L669,$J669,$I669,$M669,$O669,$N669,$P669,$Q669-$C$3,$R669,4)*$H669)/10000)/100)-AB669</f>
        <v>-1.8780219276826111E-2</v>
      </c>
      <c r="AJ669" s="456"/>
      <c r="CC669" s="141">
        <f t="shared" si="786"/>
        <v>36923</v>
      </c>
      <c r="CD669" s="234">
        <f>_xll.xSPRDOPT((VLOOKUP(G668,NGPrices,2,FALSE)+HLOOKUP(D668,Prices,VLOOKUP(G668,move_down,2,FALSE),FALSE)),VLOOKUP(G668,NGPrices,2,FALSE),I668,VLOOKUP(G668,NGPREVPRICES,4,FALSE),HLOOKUP(D668,PREVVOLS,VLOOKUP(G668,MOVE_DOWN2,2,FALSE),FALSE),VLOOKUP(G668,NGPREVPRICES,3,FALSE),HLOOKUP(D668,Correllate,VLOOKUP(G668,CorMove,2,FALSE),FALSE),Q668-$CD$3,R668,$CD$5)*H668-CJ669</f>
        <v>0</v>
      </c>
      <c r="CE669" s="234">
        <f>_xll.xSPRDOPT((VLOOKUP(G668,NGPREVPRICES,2,FALSE)+HLOOKUP(D668,PREVCURVES,VLOOKUP(G668,MOVE_DOWN2,2,FALSE),FALSE)),VLOOKUP(G668,NGPREVPRICES,2,FALSE),CK669,VLOOKUP(G668,NGPrices,4,FALSE),HLOOKUP(D668,PREVVOLS,VLOOKUP(G668,MOVE_DOWN2,2,FALSE),FALSE),VLOOKUP(G668,NGPREVPRICES,3,FALSE),HLOOKUP(D668,Correllate,VLOOKUP(G668,CorMove,2,FALSE),FALSE),Q668-$CD$3,R668,$CJ$5)*H668-CJ669</f>
        <v>0</v>
      </c>
      <c r="CF669" s="10">
        <f t="shared" si="787"/>
        <v>-28.601863653282635</v>
      </c>
      <c r="CG669" s="234">
        <f>_xll.xSPRDOPT((VLOOKUP(G668,NGPREVPRICES,2,FALSE)+HLOOKUP(D668,PREVCURVES,VLOOKUP(G668,MOVE_DOWN2,2,FALSE),FALSE)),VLOOKUP(G668,NGPREVPRICES,2,FALSE),CK669,VLOOKUP(G668,NGPREVPRICES,4,FALSE),HLOOKUP(D668,VOLS,VLOOKUP(G668,move_down,2,FALSE),FALSE),VLOOKUP(G668,NGPrices,3,FALSE),HLOOKUP(D668,Correllate,VLOOKUP(G668,CorMove,2,FALSE),FALSE),Q668-$CD$3,R668,$CJ$5)*H668-CJ669</f>
        <v>0</v>
      </c>
      <c r="CH669" s="234">
        <f>_xll.xSPRDOPT((VLOOKUP(G668,NGPREVPRICES,2,FALSE)+HLOOKUP(D668,PREVCURVES,VLOOKUP(G668,MOVE_DOWN2,2,FALSE),FALSE)),VLOOKUP(G668,NGPREVPRICES,2,FALSE),CK669,VLOOKUP(G668,NGPREVPRICES,4,FALSE),HLOOKUP(D668,PREVVOLS,VLOOKUP(G668,MOVE_DOWN2,2,FALSE),FALSE),VLOOKUP(G668,NGPREVPRICES,3,FALSE),HLOOKUP(D668,Correllate,VLOOKUP(G668,CorMove,2,FALSE),FALSE),Q668-$C$3,R668,$CJ$5)*H668-CJ669</f>
        <v>-603.28080476378091</v>
      </c>
      <c r="CI669" s="234">
        <f t="shared" si="788"/>
        <v>-631.88266841706354</v>
      </c>
      <c r="CJ669" s="234">
        <f>_xll.xSPRDOPT((VLOOKUP(G668,NGPREVPRICES,2,FALSE)+HLOOKUP(D668,PREVCURVES,VLOOKUP(G668,MOVE_DOWN2,2,FALSE),FALSE)),VLOOKUP(G668,NGPREVPRICES,2,FALSE),CK669,VLOOKUP(G668,NGPREVPRICES,4,FALSE),HLOOKUP(D668,PREVVOLS,VLOOKUP(G668,MOVE_DOWN2,2,FALSE),FALSE),VLOOKUP(G668,NGPREVPRICES,3,FALSE),HLOOKUP(D668,Correllate,VLOOKUP(G668,CorMove,2,FALSE),FALSE),Q668-$CD$3,R668,$CJ$5)*H668</f>
        <v>150386.9517695079</v>
      </c>
      <c r="CK669" s="235">
        <f t="shared" si="789"/>
        <v>2.5</v>
      </c>
      <c r="CM669" t="str">
        <f t="shared" si="790"/>
        <v>36923Curve Shift/Gamma</v>
      </c>
      <c r="CN669" t="str">
        <f t="shared" si="747"/>
        <v>36923Rho</v>
      </c>
      <c r="CO669" t="str">
        <f t="shared" si="748"/>
        <v>36923Drift</v>
      </c>
      <c r="CP669" t="str">
        <f t="shared" si="749"/>
        <v>36923Vega</v>
      </c>
      <c r="CQ669" t="str">
        <f t="shared" si="750"/>
        <v>36923Theta</v>
      </c>
    </row>
    <row r="670" spans="1:95" x14ac:dyDescent="0.25">
      <c r="A670" s="140" t="s">
        <v>286</v>
      </c>
      <c r="B670" t="s">
        <v>250</v>
      </c>
      <c r="C670" t="s">
        <v>576</v>
      </c>
      <c r="D670" s="4" t="s">
        <v>7</v>
      </c>
      <c r="E670" t="s">
        <v>20</v>
      </c>
      <c r="F670" t="s">
        <v>21</v>
      </c>
      <c r="G670" s="5">
        <v>36982</v>
      </c>
      <c r="H670" s="130">
        <v>500000</v>
      </c>
      <c r="I670" s="235">
        <v>0.5</v>
      </c>
      <c r="J670" s="53">
        <f>VLOOKUP(G670,NGPrices,2,FALSE)</f>
        <v>3.9380000000000002</v>
      </c>
      <c r="K670" s="7">
        <f>HLOOKUP(D670,Prices,VLOOKUP(G670,move_down,2,FALSE),FALSE)+VLOOKUP(G670,CHANGE,HLOOKUP(D670,CHANGE,2,FALSE),FALSE)</f>
        <v>0.52</v>
      </c>
      <c r="L670" s="53">
        <f>K670+J670</f>
        <v>4.4580000000000002</v>
      </c>
      <c r="M670" s="157">
        <f>VLOOKUP(G670,NGPrices,4,FALSE)</f>
        <v>6.9061726541120999E-2</v>
      </c>
      <c r="N670" s="4">
        <f>VLOOKUP(G670,NGPrices,3,FALSE)</f>
        <v>0.4425</v>
      </c>
      <c r="O670" s="4">
        <f>HLOOKUP(D670,VOLS,VLOOKUP(G670,move_down,2,FALSE),FALSE)</f>
        <v>0.434</v>
      </c>
      <c r="P670" s="9">
        <f>HLOOKUP(D670,Correllate,VLOOKUP(G670,CorMove,2,FALSE),FALSE)</f>
        <v>0.9738</v>
      </c>
      <c r="Q670" s="5">
        <f t="shared" si="771"/>
        <v>36979</v>
      </c>
      <c r="R670" s="4">
        <f>IF(F670="P",0,1)</f>
        <v>1</v>
      </c>
      <c r="S670" s="158">
        <f>_xll.xSPRDOPT($L670,$J670,$I670,$M670,$O670,$N670,$P670,$Q670-$C$3,$R670,0)</f>
        <v>0.14432555431731731</v>
      </c>
      <c r="T670" s="159">
        <f>_xll.xSPRDOPT($L670,$J670,$I670,$M670,$O670,$N670,$P670,$Q670-$C$3,$R670,1)*H670</f>
        <v>259921.9465561476</v>
      </c>
      <c r="U670" s="160">
        <f>S670*H670</f>
        <v>72162.777158658646</v>
      </c>
      <c r="V670" s="159">
        <f>_xll.xSPRDOPT($L670,$J670,$I670,$M670,$O670,$N670,$P670,$Q670-$C$3,$R670,2)*H670</f>
        <v>-247007.31269080707</v>
      </c>
      <c r="W670" s="159">
        <f>+V670+T670</f>
        <v>12914.633865340526</v>
      </c>
      <c r="X670" s="51" t="str">
        <f>CONCATENATE(G670,D670)</f>
        <v>36982IF-TRANSCO/Z6</v>
      </c>
      <c r="Y670" s="418">
        <f>H670/10000</f>
        <v>50</v>
      </c>
      <c r="Z670" s="456">
        <f>T670/H670</f>
        <v>0.51984389311229517</v>
      </c>
      <c r="AA670" s="456">
        <f>_xll.xSPRDOPT($L670,$J670,$I670,$M670,$O670,$N670,$P670,$Q670-$C$3,$R670,3)</f>
        <v>1.085706904640773</v>
      </c>
      <c r="AB670" s="456">
        <f>((_xll.xSPRDOPT($L670+AB$5,$J670,$I670,$M670,$O670,$N670,$P670,$Q670-$C$3,$R670,3)*$H670)/10000)/100</f>
        <v>0.54285345232038651</v>
      </c>
      <c r="AC670" s="456">
        <f>((_xll.xSPRDOPT($L670+$AB$5,$J670,$I670,$M670,$O670,$N670,$P670,$Q670-$C$3,$R670,7)*$H670)/100)</f>
        <v>-10688.333409892821</v>
      </c>
      <c r="AD670" s="456">
        <f>(_xll.xSPRDOPT($L670+$AB$5,$J670,$I670,$M670,$O670,$N670,$P670,$Q670-$C$3,$R670,9)/365)*$H670</f>
        <v>-145.90196959188924</v>
      </c>
      <c r="AE670">
        <f t="shared" si="770"/>
        <v>0</v>
      </c>
      <c r="AF670" s="456">
        <f>((O670/N670)*AH670)+AG670</f>
        <v>1527.8055555162866</v>
      </c>
      <c r="AG670" s="456">
        <f>((_xll.xSPRDOPT($L670,$J670,$I670,$M670,$O670,$N670,$P670,$Q670-$C$3,$R670,6)*$H670)/100)</f>
        <v>-1605.3358902928555</v>
      </c>
      <c r="AH670" s="456">
        <f>((_xll.xSPRDOPT($L670,$J670,$I670,$M670,$O670,$N670,$P670,$Q670-$C$3,$R670,5)*$H670)/100)</f>
        <v>3194.5048151395058</v>
      </c>
      <c r="AI670" s="456">
        <f>(((_xll.xSPRDOPT($L670,$J670,$I670,$M670,$O670,$N670,$P670,$Q670-$C$3,$R670,4)*$H670)/10000)/100)-AB670</f>
        <v>7.39285302316528E-3</v>
      </c>
      <c r="AJ670" s="456"/>
      <c r="CC670" s="141">
        <f t="shared" si="786"/>
        <v>36951</v>
      </c>
      <c r="CD670" s="234">
        <f>_xll.xSPRDOPT((VLOOKUP(G669,NGPrices,2,FALSE)+HLOOKUP(D669,Prices,VLOOKUP(G669,move_down,2,FALSE),FALSE)),VLOOKUP(G669,NGPrices,2,FALSE),I669,VLOOKUP(G669,NGPREVPRICES,4,FALSE),HLOOKUP(D669,PREVVOLS,VLOOKUP(G669,MOVE_DOWN2,2,FALSE),FALSE),VLOOKUP(G669,NGPREVPRICES,3,FALSE),HLOOKUP(D669,Correllate,VLOOKUP(G669,CorMove,2,FALSE),FALSE),Q669-$CD$3,R669,$CD$5)*H669-CJ670</f>
        <v>0</v>
      </c>
      <c r="CE670" s="234">
        <f>_xll.xSPRDOPT((VLOOKUP(G669,NGPREVPRICES,2,FALSE)+HLOOKUP(D669,PREVCURVES,VLOOKUP(G669,MOVE_DOWN2,2,FALSE),FALSE)),VLOOKUP(G669,NGPREVPRICES,2,FALSE),CK670,VLOOKUP(G669,NGPrices,4,FALSE),HLOOKUP(D669,PREVVOLS,VLOOKUP(G669,MOVE_DOWN2,2,FALSE),FALSE),VLOOKUP(G669,NGPREVPRICES,3,FALSE),HLOOKUP(D669,Correllate,VLOOKUP(G669,CorMove,2,FALSE),FALSE),Q669-$CD$3,R669,$CJ$5)*H669-CJ670</f>
        <v>0</v>
      </c>
      <c r="CF670" s="10">
        <f t="shared" si="787"/>
        <v>-9.375681076257024</v>
      </c>
      <c r="CG670" s="234">
        <f>_xll.xSPRDOPT((VLOOKUP(G669,NGPREVPRICES,2,FALSE)+HLOOKUP(D669,PREVCURVES,VLOOKUP(G669,MOVE_DOWN2,2,FALSE),FALSE)),VLOOKUP(G669,NGPREVPRICES,2,FALSE),CK670,VLOOKUP(G669,NGPREVPRICES,4,FALSE),HLOOKUP(D669,VOLS,VLOOKUP(G669,move_down,2,FALSE),FALSE),VLOOKUP(G669,NGPrices,3,FALSE),HLOOKUP(D669,Correllate,VLOOKUP(G669,CorMove,2,FALSE),FALSE),Q669-$CD$3,R669,$CJ$5)*H669-CJ670</f>
        <v>0</v>
      </c>
      <c r="CH670" s="234">
        <f>_xll.xSPRDOPT((VLOOKUP(G669,NGPREVPRICES,2,FALSE)+HLOOKUP(D669,PREVCURVES,VLOOKUP(G669,MOVE_DOWN2,2,FALSE),FALSE)),VLOOKUP(G669,NGPREVPRICES,2,FALSE),CK670,VLOOKUP(G669,NGPREVPRICES,4,FALSE),HLOOKUP(D669,PREVVOLS,VLOOKUP(G669,MOVE_DOWN2,2,FALSE),FALSE),VLOOKUP(G669,NGPREVPRICES,3,FALSE),HLOOKUP(D669,Correllate,VLOOKUP(G669,CorMove,2,FALSE),FALSE),Q669-$C$3,R669,$CJ$5)*H669-CJ670</f>
        <v>-340.29505470926961</v>
      </c>
      <c r="CI670" s="234">
        <f t="shared" si="788"/>
        <v>-349.67073578552663</v>
      </c>
      <c r="CJ670" s="234">
        <f>_xll.xSPRDOPT((VLOOKUP(G669,NGPREVPRICES,2,FALSE)+HLOOKUP(D669,PREVCURVES,VLOOKUP(G669,MOVE_DOWN2,2,FALSE),FALSE)),VLOOKUP(G669,NGPREVPRICES,2,FALSE),CK670,VLOOKUP(G669,NGPREVPRICES,4,FALSE),HLOOKUP(D669,PREVVOLS,VLOOKUP(G669,MOVE_DOWN2,2,FALSE),FALSE),VLOOKUP(G669,NGPREVPRICES,3,FALSE),HLOOKUP(D669,Correllate,VLOOKUP(G669,CorMove,2,FALSE),FALSE),Q669-$CD$3,R669,$CJ$5)*H669</f>
        <v>48886.400631953802</v>
      </c>
      <c r="CK670" s="235">
        <f t="shared" si="789"/>
        <v>2.5</v>
      </c>
      <c r="CM670" t="str">
        <f t="shared" si="790"/>
        <v>36951Curve Shift/Gamma</v>
      </c>
      <c r="CN670" t="str">
        <f t="shared" si="747"/>
        <v>36951Rho</v>
      </c>
      <c r="CO670" t="str">
        <f t="shared" si="748"/>
        <v>36951Drift</v>
      </c>
      <c r="CP670" t="str">
        <f t="shared" si="749"/>
        <v>36951Vega</v>
      </c>
      <c r="CQ670" t="str">
        <f t="shared" si="750"/>
        <v>36951Theta</v>
      </c>
    </row>
    <row r="671" spans="1:95" x14ac:dyDescent="0.25">
      <c r="A671" s="140" t="s">
        <v>286</v>
      </c>
      <c r="B671" t="s">
        <v>250</v>
      </c>
      <c r="C671" t="s">
        <v>576</v>
      </c>
      <c r="D671" s="4" t="s">
        <v>7</v>
      </c>
      <c r="E671" t="s">
        <v>20</v>
      </c>
      <c r="F671" t="s">
        <v>21</v>
      </c>
      <c r="G671" s="5">
        <v>37012</v>
      </c>
      <c r="H671" s="130">
        <v>500000</v>
      </c>
      <c r="I671" s="235">
        <v>0.5</v>
      </c>
      <c r="J671" s="53">
        <f t="shared" ref="J671:J676" si="791">VLOOKUP(G671,NGPrices,2,FALSE)</f>
        <v>3.8380000000000001</v>
      </c>
      <c r="K671" s="7">
        <f t="shared" ref="K671:K676" si="792">HLOOKUP(D671,Prices,VLOOKUP(G671,move_down,2,FALSE),FALSE)+VLOOKUP(G671,CHANGE,HLOOKUP(D671,CHANGE,2,FALSE),FALSE)</f>
        <v>0.40500000000000003</v>
      </c>
      <c r="L671" s="53">
        <f t="shared" ref="L671:L676" si="793">K671+J671</f>
        <v>4.2430000000000003</v>
      </c>
      <c r="M671" s="157">
        <f t="shared" ref="M671:M676" si="794">VLOOKUP(G671,NGPrices,4,FALSE)</f>
        <v>6.9101151218999998E-2</v>
      </c>
      <c r="N671" s="4">
        <f t="shared" ref="N671:N676" si="795">VLOOKUP(G671,NGPrices,3,FALSE)</f>
        <v>0.40500000000000003</v>
      </c>
      <c r="O671" s="4">
        <f t="shared" ref="O671:O676" si="796">HLOOKUP(D671,VOLS,VLOOKUP(G671,move_down,2,FALSE),FALSE)</f>
        <v>0.39700000000000002</v>
      </c>
      <c r="P671" s="9">
        <f t="shared" ref="P671:P676" si="797">HLOOKUP(D671,Correllate,VLOOKUP(G671,CorMove,2,FALSE),FALSE)</f>
        <v>0.9738</v>
      </c>
      <c r="Q671" s="5">
        <f t="shared" si="771"/>
        <v>37008</v>
      </c>
      <c r="R671" s="4">
        <f t="shared" ref="R671:R676" si="798">IF(F671="P",0,1)</f>
        <v>1</v>
      </c>
      <c r="S671" s="158">
        <f>_xll.xSPRDOPT($L671,$J671,$I671,$M671,$O671,$N671,$P671,$Q671-$C$3,$R671,0)</f>
        <v>8.5657482166036525E-2</v>
      </c>
      <c r="T671" s="159">
        <f>_xll.xSPRDOPT($L671,$J671,$I671,$M671,$O671,$N671,$P671,$Q671-$C$3,$R671,1)*H671</f>
        <v>193047.43138974052</v>
      </c>
      <c r="U671" s="160">
        <f t="shared" ref="U671:U676" si="799">S671*H671</f>
        <v>42828.741083018263</v>
      </c>
      <c r="V671" s="159">
        <f>_xll.xSPRDOPT($L671,$J671,$I671,$M671,$O671,$N671,$P671,$Q671-$C$3,$R671,2)*H671</f>
        <v>-180936.50124015848</v>
      </c>
      <c r="W671" s="159">
        <f t="shared" ref="W671:W676" si="800">+V671+T671</f>
        <v>12110.93014958204</v>
      </c>
      <c r="X671" s="51" t="str">
        <f t="shared" ref="X671:X676" si="801">CONCATENATE(G671,D671)</f>
        <v>37012IF-TRANSCO/Z6</v>
      </c>
      <c r="Y671" s="418">
        <f t="shared" ref="Y671:Y676" si="802">H671/10000</f>
        <v>50</v>
      </c>
      <c r="Z671" s="456">
        <f t="shared" ref="Z671:Z676" si="803">T671/H671</f>
        <v>0.38609486277948102</v>
      </c>
      <c r="AA671" s="456">
        <f>_xll.xSPRDOPT($L671,$J671,$I671,$M671,$O671,$N671,$P671,$Q671-$C$3,$R671,3)</f>
        <v>1.1373780888041054</v>
      </c>
      <c r="AB671" s="456">
        <f>((_xll.xSPRDOPT($L671+AB$5,$J671,$I671,$M671,$O671,$N671,$P671,$Q671-$C$3,$R671,3)*$H671)/10000)/100</f>
        <v>0.56868904440205259</v>
      </c>
      <c r="AC671" s="456">
        <f>((_xll.xSPRDOPT($L671+$AB$5,$J671,$I671,$M671,$O671,$N671,$P671,$Q671-$C$3,$R671,7)*$H671)/100)</f>
        <v>-9660.0444611165512</v>
      </c>
      <c r="AD671" s="456">
        <f>(_xll.xSPRDOPT($L671+$AB$5,$J671,$I671,$M671,$O671,$N671,$P671,$Q671-$C$3,$R671,9)/365)*$H671</f>
        <v>-118.05918279693141</v>
      </c>
      <c r="AE671">
        <f t="shared" si="770"/>
        <v>0</v>
      </c>
      <c r="AF671" s="456">
        <f t="shared" ref="AF671:AF676" si="804">((O671/N671)*AH671)+AG671</f>
        <v>1500.5205341878241</v>
      </c>
      <c r="AG671" s="456">
        <f>((_xll.xSPRDOPT($L671,$J671,$I671,$M671,$O671,$N671,$P671,$Q671-$C$3,$R671,6)*$H671)/100)</f>
        <v>-1561.4295571515672</v>
      </c>
      <c r="AH671" s="456">
        <f>((_xll.xSPRDOPT($L671,$J671,$I671,$M671,$O671,$N671,$P671,$Q671-$C$3,$R671,5)*$H671)/100)</f>
        <v>3123.6518564041653</v>
      </c>
      <c r="AI671" s="456">
        <f>(((_xll.xSPRDOPT($L671,$J671,$I671,$M671,$O671,$N671,$P671,$Q671-$C$3,$R671,4)*$H671)/10000)/100)-AB671</f>
        <v>-1.828958133247871E-2</v>
      </c>
      <c r="AJ671" s="456"/>
      <c r="CC671" s="141">
        <f t="shared" ref="CC671:CC688" si="805">G670</f>
        <v>36982</v>
      </c>
      <c r="CD671" s="234">
        <f>_xll.xSPRDOPT((VLOOKUP(G670,NGPrices,2,FALSE)+HLOOKUP(D670,Prices,VLOOKUP(G670,move_down,2,FALSE),FALSE)),VLOOKUP(G670,NGPrices,2,FALSE),I670,VLOOKUP(G670,NGPREVPRICES,4,FALSE),HLOOKUP(D670,PREVVOLS,VLOOKUP(G670,MOVE_DOWN2,2,FALSE),FALSE),VLOOKUP(G670,NGPREVPRICES,3,FALSE),HLOOKUP(D670,Correllate,VLOOKUP(G670,CorMove,2,FALSE),FALSE),Q670-$CD$3,R670,$CD$5)*H670-CJ671</f>
        <v>0</v>
      </c>
      <c r="CE671" s="234">
        <f>_xll.xSPRDOPT((VLOOKUP(G670,NGPREVPRICES,2,FALSE)+HLOOKUP(D670,PREVCURVES,VLOOKUP(G670,MOVE_DOWN2,2,FALSE),FALSE)),VLOOKUP(G670,NGPREVPRICES,2,FALSE),CK671,VLOOKUP(G670,NGPrices,4,FALSE),HLOOKUP(D670,PREVVOLS,VLOOKUP(G670,MOVE_DOWN2,2,FALSE),FALSE),VLOOKUP(G670,NGPREVPRICES,3,FALSE),HLOOKUP(D670,Correllate,VLOOKUP(G670,CorMove,2,FALSE),FALSE),Q670-$CD$3,R670,$CJ$5)*H670-CJ671</f>
        <v>0</v>
      </c>
      <c r="CF671" s="10">
        <f t="shared" ref="CF671:CF694" si="806">(CJ671/VLOOKUP(CC671,discount,3,FALSE))-(CJ671/VLOOKUP(CC671,discount,2,FALSE))</f>
        <v>-13.981263523790403</v>
      </c>
      <c r="CG671" s="234">
        <f>_xll.xSPRDOPT((VLOOKUP(G670,NGPREVPRICES,2,FALSE)+HLOOKUP(D670,PREVCURVES,VLOOKUP(G670,MOVE_DOWN2,2,FALSE),FALSE)),VLOOKUP(G670,NGPREVPRICES,2,FALSE),CK671,VLOOKUP(G670,NGPREVPRICES,4,FALSE),HLOOKUP(D670,VOLS,VLOOKUP(G670,move_down,2,FALSE),FALSE),VLOOKUP(G670,NGPrices,3,FALSE),HLOOKUP(D670,Correllate,VLOOKUP(G670,CorMove,2,FALSE),FALSE),Q670-$CD$3,R670,$CJ$5)*H670-CJ671</f>
        <v>0</v>
      </c>
      <c r="CH671" s="234">
        <f>_xll.xSPRDOPT((VLOOKUP(G670,NGPREVPRICES,2,FALSE)+HLOOKUP(D670,PREVCURVES,VLOOKUP(G670,MOVE_DOWN2,2,FALSE),FALSE)),VLOOKUP(G670,NGPREVPRICES,2,FALSE),CK671,VLOOKUP(G670,NGPREVPRICES,4,FALSE),HLOOKUP(D670,PREVVOLS,VLOOKUP(G670,MOVE_DOWN2,2,FALSE),FALSE),VLOOKUP(G670,NGPREVPRICES,3,FALSE),HLOOKUP(D670,Correllate,VLOOKUP(G670,CorMove,2,FALSE),FALSE),Q670-$C$3,R670,$CJ$5)*H670-CJ671</f>
        <v>-145.58996836475853</v>
      </c>
      <c r="CI671" s="234">
        <f t="shared" ref="CI671:CI694" si="807">SUM(CD671:CH671)</f>
        <v>-159.57123188854894</v>
      </c>
      <c r="CJ671" s="234">
        <f>_xll.xSPRDOPT((VLOOKUP(G670,NGPREVPRICES,2,FALSE)+HLOOKUP(D670,PREVCURVES,VLOOKUP(G670,MOVE_DOWN2,2,FALSE),FALSE)),VLOOKUP(G670,NGPREVPRICES,2,FALSE),CK671,VLOOKUP(G670,NGPREVPRICES,4,FALSE),HLOOKUP(D670,PREVVOLS,VLOOKUP(G670,MOVE_DOWN2,2,FALSE),FALSE),VLOOKUP(G670,NGPREVPRICES,3,FALSE),HLOOKUP(D670,Correllate,VLOOKUP(G670,CorMove,2,FALSE),FALSE),Q670-$CD$3,R670,$CJ$5)*H670</f>
        <v>72308.367127023404</v>
      </c>
      <c r="CK671" s="235">
        <f t="shared" ref="CK671:CK688" si="808">I670</f>
        <v>0.5</v>
      </c>
      <c r="CM671" t="str">
        <f t="shared" ref="CM671:CM694" si="809">CONCATENATE(CC671,$CD$6)</f>
        <v>36982Curve Shift/Gamma</v>
      </c>
      <c r="CN671" t="str">
        <f t="shared" si="747"/>
        <v>36982Rho</v>
      </c>
      <c r="CO671" t="str">
        <f t="shared" si="748"/>
        <v>36982Drift</v>
      </c>
      <c r="CP671" t="str">
        <f t="shared" si="749"/>
        <v>36982Vega</v>
      </c>
      <c r="CQ671" t="str">
        <f t="shared" si="750"/>
        <v>36982Theta</v>
      </c>
    </row>
    <row r="672" spans="1:95" x14ac:dyDescent="0.25">
      <c r="A672" s="140" t="s">
        <v>286</v>
      </c>
      <c r="B672" t="s">
        <v>250</v>
      </c>
      <c r="C672" t="s">
        <v>576</v>
      </c>
      <c r="D672" s="4" t="s">
        <v>7</v>
      </c>
      <c r="E672" t="s">
        <v>20</v>
      </c>
      <c r="F672" t="s">
        <v>21</v>
      </c>
      <c r="G672" s="5">
        <v>37043</v>
      </c>
      <c r="H672" s="130">
        <v>500000</v>
      </c>
      <c r="I672" s="235">
        <v>0.5</v>
      </c>
      <c r="J672" s="53">
        <f t="shared" si="791"/>
        <v>3.8180000000000001</v>
      </c>
      <c r="K672" s="7">
        <f t="shared" si="792"/>
        <v>0.39500000000000002</v>
      </c>
      <c r="L672" s="53">
        <f t="shared" si="793"/>
        <v>4.2130000000000001</v>
      </c>
      <c r="M672" s="157">
        <f t="shared" si="794"/>
        <v>6.9141890053328006E-2</v>
      </c>
      <c r="N672" s="4">
        <f t="shared" si="795"/>
        <v>0.4</v>
      </c>
      <c r="O672" s="4">
        <f t="shared" si="796"/>
        <v>0.39200000000000002</v>
      </c>
      <c r="P672" s="9">
        <f t="shared" si="797"/>
        <v>0.9738</v>
      </c>
      <c r="Q672" s="5">
        <f t="shared" si="771"/>
        <v>37041</v>
      </c>
      <c r="R672" s="4">
        <f t="shared" si="798"/>
        <v>1</v>
      </c>
      <c r="S672" s="158">
        <f>_xll.xSPRDOPT($L672,$J672,$I672,$M672,$O672,$N672,$P672,$Q672-$C$3,$R672,0)</f>
        <v>8.7137041152656705E-2</v>
      </c>
      <c r="T672" s="159">
        <f>_xll.xSPRDOPT($L672,$J672,$I672,$M672,$O672,$N672,$P672,$Q672-$C$3,$R672,1)*H672</f>
        <v>189368.88629147474</v>
      </c>
      <c r="U672" s="160">
        <f t="shared" si="799"/>
        <v>43568.520576328352</v>
      </c>
      <c r="V672" s="159">
        <f>_xll.xSPRDOPT($L672,$J672,$I672,$M672,$O672,$N672,$P672,$Q672-$C$3,$R672,2)*H672</f>
        <v>-176754.05837904342</v>
      </c>
      <c r="W672" s="159">
        <f t="shared" si="800"/>
        <v>12614.827912431327</v>
      </c>
      <c r="X672" s="51" t="str">
        <f t="shared" si="801"/>
        <v>37043IF-TRANSCO/Z6</v>
      </c>
      <c r="Y672" s="418">
        <f t="shared" si="802"/>
        <v>50</v>
      </c>
      <c r="Z672" s="456">
        <f t="shared" si="803"/>
        <v>0.37873777258294949</v>
      </c>
      <c r="AA672" s="456">
        <f>_xll.xSPRDOPT($L672,$J672,$I672,$M672,$O672,$N672,$P672,$Q672-$C$3,$R672,3)</f>
        <v>1.0774400090850123</v>
      </c>
      <c r="AB672" s="456">
        <f>((_xll.xSPRDOPT($L672+AB$5,$J672,$I672,$M672,$O672,$N672,$P672,$Q672-$C$3,$R672,3)*$H672)/10000)/100</f>
        <v>0.53872000454250613</v>
      </c>
      <c r="AC672" s="456">
        <f>((_xll.xSPRDOPT($L672+$AB$5,$J672,$I672,$M672,$O672,$N672,$P672,$Q672-$C$3,$R672,7)*$H672)/100)</f>
        <v>-10003.076843254139</v>
      </c>
      <c r="AD672" s="456">
        <f>(_xll.xSPRDOPT($L672+$AB$5,$J672,$I672,$M672,$O672,$N672,$P672,$Q672-$C$3,$R672,9)/365)*$H672</f>
        <v>-106.76842460174691</v>
      </c>
      <c r="AE672">
        <f t="shared" si="770"/>
        <v>0</v>
      </c>
      <c r="AF672" s="456">
        <f t="shared" si="804"/>
        <v>1574.7173172813114</v>
      </c>
      <c r="AG672" s="456">
        <f>((_xll.xSPRDOPT($L672,$J672,$I672,$M672,$O672,$N672,$P672,$Q672-$C$3,$R672,6)*$H672)/100)</f>
        <v>-1628.9528733766315</v>
      </c>
      <c r="AH672" s="456">
        <f>((_xll.xSPRDOPT($L672,$J672,$I672,$M672,$O672,$N672,$P672,$Q672-$C$3,$R672,5)*$H672)/100)</f>
        <v>3269.0512149570845</v>
      </c>
      <c r="AI672" s="456">
        <f>(((_xll.xSPRDOPT($L672,$J672,$I672,$M672,$O672,$N672,$P672,$Q672-$C$3,$R672,4)*$H672)/10000)/100)-AB672</f>
        <v>-1.9223311933088794E-2</v>
      </c>
      <c r="AJ672" s="456"/>
      <c r="CC672" s="141">
        <f t="shared" si="805"/>
        <v>37012</v>
      </c>
      <c r="CD672" s="234">
        <f>_xll.xSPRDOPT((VLOOKUP(G671,NGPrices,2,FALSE)+HLOOKUP(D671,Prices,VLOOKUP(G671,move_down,2,FALSE),FALSE)),VLOOKUP(G671,NGPrices,2,FALSE),I671,VLOOKUP(G671,NGPREVPRICES,4,FALSE),HLOOKUP(D671,PREVVOLS,VLOOKUP(G671,MOVE_DOWN2,2,FALSE),FALSE),VLOOKUP(G671,NGPREVPRICES,3,FALSE),HLOOKUP(D671,Correllate,VLOOKUP(G671,CorMove,2,FALSE),FALSE),Q671-$CD$3,R671,$CD$5)*H671-CJ672</f>
        <v>0</v>
      </c>
      <c r="CE672" s="234">
        <f>_xll.xSPRDOPT((VLOOKUP(G671,NGPREVPRICES,2,FALSE)+HLOOKUP(D671,PREVCURVES,VLOOKUP(G671,MOVE_DOWN2,2,FALSE),FALSE)),VLOOKUP(G671,NGPREVPRICES,2,FALSE),CK672,VLOOKUP(G671,NGPrices,4,FALSE),HLOOKUP(D671,PREVVOLS,VLOOKUP(G671,MOVE_DOWN2,2,FALSE),FALSE),VLOOKUP(G671,NGPREVPRICES,3,FALSE),HLOOKUP(D671,Correllate,VLOOKUP(G671,CorMove,2,FALSE),FALSE),Q671-$CD$3,R671,$CJ$5)*H671-CJ672</f>
        <v>0</v>
      </c>
      <c r="CF672" s="10">
        <f t="shared" si="806"/>
        <v>-8.3544818042573752</v>
      </c>
      <c r="CG672" s="234">
        <f>_xll.xSPRDOPT((VLOOKUP(G671,NGPREVPRICES,2,FALSE)+HLOOKUP(D671,PREVCURVES,VLOOKUP(G671,MOVE_DOWN2,2,FALSE),FALSE)),VLOOKUP(G671,NGPREVPRICES,2,FALSE),CK672,VLOOKUP(G671,NGPREVPRICES,4,FALSE),HLOOKUP(D671,VOLS,VLOOKUP(G671,move_down,2,FALSE),FALSE),VLOOKUP(G671,NGPrices,3,FALSE),HLOOKUP(D671,Correllate,VLOOKUP(G671,CorMove,2,FALSE),FALSE),Q671-$CD$3,R671,$CJ$5)*H671-CJ672</f>
        <v>0</v>
      </c>
      <c r="CH672" s="234">
        <f>_xll.xSPRDOPT((VLOOKUP(G671,NGPREVPRICES,2,FALSE)+HLOOKUP(D671,PREVCURVES,VLOOKUP(G671,MOVE_DOWN2,2,FALSE),FALSE)),VLOOKUP(G671,NGPREVPRICES,2,FALSE),CK672,VLOOKUP(G671,NGPREVPRICES,4,FALSE),HLOOKUP(D671,PREVVOLS,VLOOKUP(G671,MOVE_DOWN2,2,FALSE),FALSE),VLOOKUP(G671,NGPREVPRICES,3,FALSE),HLOOKUP(D671,Correllate,VLOOKUP(G671,CorMove,2,FALSE),FALSE),Q671-$C$3,R671,$CJ$5)*H671-CJ672</f>
        <v>-117.83802429737989</v>
      </c>
      <c r="CI672" s="234">
        <f t="shared" si="807"/>
        <v>-126.19250610163726</v>
      </c>
      <c r="CJ672" s="234">
        <f>_xll.xSPRDOPT((VLOOKUP(G671,NGPREVPRICES,2,FALSE)+HLOOKUP(D671,PREVCURVES,VLOOKUP(G671,MOVE_DOWN2,2,FALSE),FALSE)),VLOOKUP(G671,NGPREVPRICES,2,FALSE),CK672,VLOOKUP(G671,NGPREVPRICES,4,FALSE),HLOOKUP(D671,PREVVOLS,VLOOKUP(G671,MOVE_DOWN2,2,FALSE),FALSE),VLOOKUP(G671,NGPREVPRICES,3,FALSE),HLOOKUP(D671,Correllate,VLOOKUP(G671,CorMove,2,FALSE),FALSE),Q671-$CD$3,R671,$CJ$5)*H671</f>
        <v>42946.579107315643</v>
      </c>
      <c r="CK672" s="235">
        <f t="shared" si="808"/>
        <v>0.5</v>
      </c>
      <c r="CM672" t="str">
        <f t="shared" si="809"/>
        <v>37012Curve Shift/Gamma</v>
      </c>
      <c r="CN672" t="str">
        <f t="shared" si="747"/>
        <v>37012Rho</v>
      </c>
      <c r="CO672" t="str">
        <f t="shared" si="748"/>
        <v>37012Drift</v>
      </c>
      <c r="CP672" t="str">
        <f t="shared" si="749"/>
        <v>37012Vega</v>
      </c>
      <c r="CQ672" t="str">
        <f t="shared" si="750"/>
        <v>37012Theta</v>
      </c>
    </row>
    <row r="673" spans="1:95" x14ac:dyDescent="0.25">
      <c r="A673" s="140" t="s">
        <v>286</v>
      </c>
      <c r="B673" t="s">
        <v>250</v>
      </c>
      <c r="C673" t="s">
        <v>576</v>
      </c>
      <c r="D673" s="4" t="s">
        <v>7</v>
      </c>
      <c r="E673" t="s">
        <v>20</v>
      </c>
      <c r="F673" t="s">
        <v>21</v>
      </c>
      <c r="G673" s="5">
        <v>37073</v>
      </c>
      <c r="H673" s="130">
        <v>500000</v>
      </c>
      <c r="I673" s="235">
        <v>0.5</v>
      </c>
      <c r="J673" s="53">
        <f t="shared" si="791"/>
        <v>3.8029999999999999</v>
      </c>
      <c r="K673" s="7">
        <f t="shared" si="792"/>
        <v>0.46</v>
      </c>
      <c r="L673" s="53">
        <f t="shared" si="793"/>
        <v>4.2629999999999999</v>
      </c>
      <c r="M673" s="157">
        <f t="shared" si="794"/>
        <v>6.9181571268567998E-2</v>
      </c>
      <c r="N673" s="4">
        <f t="shared" si="795"/>
        <v>0.4</v>
      </c>
      <c r="O673" s="4">
        <f t="shared" si="796"/>
        <v>0.39200000000000002</v>
      </c>
      <c r="P673" s="9">
        <f t="shared" si="797"/>
        <v>0.9738</v>
      </c>
      <c r="Q673" s="5">
        <f t="shared" si="771"/>
        <v>37070</v>
      </c>
      <c r="R673" s="4">
        <f t="shared" si="798"/>
        <v>1</v>
      </c>
      <c r="S673" s="158">
        <f>_xll.xSPRDOPT($L673,$J673,$I673,$M673,$O673,$N673,$P673,$Q673-$C$3,$R673,0)</f>
        <v>0.11980175281069419</v>
      </c>
      <c r="T673" s="159">
        <f>_xll.xSPRDOPT($L673,$J673,$I673,$M673,$O673,$N673,$P673,$Q673-$C$3,$R673,1)*H673</f>
        <v>224984.49653905301</v>
      </c>
      <c r="U673" s="160">
        <f t="shared" si="799"/>
        <v>59900.876405347095</v>
      </c>
      <c r="V673" s="159">
        <f>_xll.xSPRDOPT($L673,$J673,$I673,$M673,$O673,$N673,$P673,$Q673-$C$3,$R673,2)*H673</f>
        <v>-211347.45615968504</v>
      </c>
      <c r="W673" s="159">
        <f t="shared" si="800"/>
        <v>13637.040379367972</v>
      </c>
      <c r="X673" s="51" t="str">
        <f t="shared" si="801"/>
        <v>37073IF-TRANSCO/Z6</v>
      </c>
      <c r="Y673" s="418">
        <f t="shared" si="802"/>
        <v>50</v>
      </c>
      <c r="Z673" s="456">
        <f t="shared" si="803"/>
        <v>0.44996899307810601</v>
      </c>
      <c r="AA673" s="456">
        <f>_xll.xSPRDOPT($L673,$J673,$I673,$M673,$O673,$N673,$P673,$Q673-$C$3,$R673,3)</f>
        <v>1.0357146025088457</v>
      </c>
      <c r="AB673" s="456">
        <f>((_xll.xSPRDOPT($L673+AB$5,$J673,$I673,$M673,$O673,$N673,$P673,$Q673-$C$3,$R673,3)*$H673)/10000)/100</f>
        <v>0.51785730125442286</v>
      </c>
      <c r="AC673" s="456">
        <f>((_xll.xSPRDOPT($L673+$AB$5,$J673,$I673,$M673,$O673,$N673,$P673,$Q673-$C$3,$R673,7)*$H673)/100)</f>
        <v>-10863.718126226402</v>
      </c>
      <c r="AD673" s="456">
        <f>(_xll.xSPRDOPT($L673+$AB$5,$J673,$I673,$M673,$O673,$N673,$P673,$Q673-$C$3,$R673,9)/365)*$H673</f>
        <v>-102.6978223662621</v>
      </c>
      <c r="AE673">
        <f t="shared" si="770"/>
        <v>0</v>
      </c>
      <c r="AF673" s="456">
        <f t="shared" si="804"/>
        <v>1726.695180297746</v>
      </c>
      <c r="AG673" s="456">
        <f>((_xll.xSPRDOPT($L673,$J673,$I673,$M673,$O673,$N673,$P673,$Q673-$C$3,$R673,6)*$H673)/100)</f>
        <v>-1817.5659300444313</v>
      </c>
      <c r="AH673" s="456">
        <f>((_xll.xSPRDOPT($L673,$J673,$I673,$M673,$O673,$N673,$P673,$Q673-$C$3,$R673,5)*$H673)/100)</f>
        <v>3616.5929697369156</v>
      </c>
      <c r="AI673" s="456">
        <f>(((_xll.xSPRDOPT($L673,$J673,$I673,$M673,$O673,$N673,$P673,$Q673-$C$3,$R673,4)*$H673)/10000)/100)-AB673</f>
        <v>-4.6385294904193186E-3</v>
      </c>
      <c r="AJ673" s="456"/>
      <c r="CC673" s="141">
        <f t="shared" si="805"/>
        <v>37043</v>
      </c>
      <c r="CD673" s="234">
        <f>_xll.xSPRDOPT((VLOOKUP(G672,NGPrices,2,FALSE)+HLOOKUP(D672,Prices,VLOOKUP(G672,move_down,2,FALSE),FALSE)),VLOOKUP(G672,NGPrices,2,FALSE),I672,VLOOKUP(G672,NGPREVPRICES,4,FALSE),HLOOKUP(D672,PREVVOLS,VLOOKUP(G672,MOVE_DOWN2,2,FALSE),FALSE),VLOOKUP(G672,NGPREVPRICES,3,FALSE),HLOOKUP(D672,Correllate,VLOOKUP(G672,CorMove,2,FALSE),FALSE),Q672-$CD$3,R672,$CD$5)*H672-CJ673</f>
        <v>0</v>
      </c>
      <c r="CE673" s="234">
        <f>_xll.xSPRDOPT((VLOOKUP(G672,NGPREVPRICES,2,FALSE)+HLOOKUP(D672,PREVCURVES,VLOOKUP(G672,MOVE_DOWN2,2,FALSE),FALSE)),VLOOKUP(G672,NGPREVPRICES,2,FALSE),CK673,VLOOKUP(G672,NGPrices,4,FALSE),HLOOKUP(D672,PREVVOLS,VLOOKUP(G672,MOVE_DOWN2,2,FALSE),FALSE),VLOOKUP(G672,NGPREVPRICES,3,FALSE),HLOOKUP(D672,Correllate,VLOOKUP(G672,CorMove,2,FALSE),FALSE),Q672-$CD$3,R672,$CJ$5)*H672-CJ673</f>
        <v>0</v>
      </c>
      <c r="CF673" s="10">
        <f t="shared" si="806"/>
        <v>-8.5496432396757882</v>
      </c>
      <c r="CG673" s="234">
        <f>_xll.xSPRDOPT((VLOOKUP(G672,NGPREVPRICES,2,FALSE)+HLOOKUP(D672,PREVCURVES,VLOOKUP(G672,MOVE_DOWN2,2,FALSE),FALSE)),VLOOKUP(G672,NGPREVPRICES,2,FALSE),CK673,VLOOKUP(G672,NGPREVPRICES,4,FALSE),HLOOKUP(D672,VOLS,VLOOKUP(G672,move_down,2,FALSE),FALSE),VLOOKUP(G672,NGPrices,3,FALSE),HLOOKUP(D672,Correllate,VLOOKUP(G672,CorMove,2,FALSE),FALSE),Q672-$CD$3,R672,$CJ$5)*H672-CJ673</f>
        <v>0</v>
      </c>
      <c r="CH673" s="234">
        <f>_xll.xSPRDOPT((VLOOKUP(G672,NGPREVPRICES,2,FALSE)+HLOOKUP(D672,PREVCURVES,VLOOKUP(G672,MOVE_DOWN2,2,FALSE),FALSE)),VLOOKUP(G672,NGPREVPRICES,2,FALSE),CK673,VLOOKUP(G672,NGPREVPRICES,4,FALSE),HLOOKUP(D672,PREVVOLS,VLOOKUP(G672,MOVE_DOWN2,2,FALSE),FALSE),VLOOKUP(G672,NGPREVPRICES,3,FALSE),HLOOKUP(D672,Correllate,VLOOKUP(G672,CorMove,2,FALSE),FALSE),Q672-$C$3,R672,$CJ$5)*H672-CJ673</f>
        <v>-106.58149568112276</v>
      </c>
      <c r="CI673" s="234">
        <f t="shared" si="807"/>
        <v>-115.13113892079855</v>
      </c>
      <c r="CJ673" s="234">
        <f>_xll.xSPRDOPT((VLOOKUP(G672,NGPREVPRICES,2,FALSE)+HLOOKUP(D672,PREVCURVES,VLOOKUP(G672,MOVE_DOWN2,2,FALSE),FALSE)),VLOOKUP(G672,NGPREVPRICES,2,FALSE),CK673,VLOOKUP(G672,NGPREVPRICES,4,FALSE),HLOOKUP(D672,PREVVOLS,VLOOKUP(G672,MOVE_DOWN2,2,FALSE),FALSE),VLOOKUP(G672,NGPREVPRICES,3,FALSE),HLOOKUP(D672,Correllate,VLOOKUP(G672,CorMove,2,FALSE),FALSE),Q672-$CD$3,R672,$CJ$5)*H672</f>
        <v>43675.102072009475</v>
      </c>
      <c r="CK673" s="235">
        <f t="shared" si="808"/>
        <v>0.5</v>
      </c>
      <c r="CM673" t="str">
        <f t="shared" si="809"/>
        <v>37043Curve Shift/Gamma</v>
      </c>
      <c r="CN673" t="str">
        <f t="shared" si="747"/>
        <v>37043Rho</v>
      </c>
      <c r="CO673" t="str">
        <f t="shared" si="748"/>
        <v>37043Drift</v>
      </c>
      <c r="CP673" t="str">
        <f t="shared" si="749"/>
        <v>37043Vega</v>
      </c>
      <c r="CQ673" t="str">
        <f t="shared" si="750"/>
        <v>37043Theta</v>
      </c>
    </row>
    <row r="674" spans="1:95" x14ac:dyDescent="0.25">
      <c r="A674" s="140" t="s">
        <v>286</v>
      </c>
      <c r="B674" t="s">
        <v>250</v>
      </c>
      <c r="C674" t="s">
        <v>576</v>
      </c>
      <c r="D674" s="4" t="s">
        <v>7</v>
      </c>
      <c r="E674" t="s">
        <v>20</v>
      </c>
      <c r="F674" t="s">
        <v>21</v>
      </c>
      <c r="G674" s="5">
        <v>37104</v>
      </c>
      <c r="H674" s="130">
        <v>500000</v>
      </c>
      <c r="I674" s="235">
        <v>0.5</v>
      </c>
      <c r="J674" s="53">
        <f t="shared" si="791"/>
        <v>3.8079999999999998</v>
      </c>
      <c r="K674" s="7">
        <f t="shared" si="792"/>
        <v>0.46</v>
      </c>
      <c r="L674" s="53">
        <f t="shared" si="793"/>
        <v>4.2679999999999998</v>
      </c>
      <c r="M674" s="157">
        <f t="shared" si="794"/>
        <v>6.9223060737754999E-2</v>
      </c>
      <c r="N674" s="4">
        <f t="shared" si="795"/>
        <v>0.4</v>
      </c>
      <c r="O674" s="4">
        <f t="shared" si="796"/>
        <v>0.39200000000000002</v>
      </c>
      <c r="P674" s="9">
        <f t="shared" si="797"/>
        <v>0.9738</v>
      </c>
      <c r="Q674" s="5">
        <f t="shared" si="771"/>
        <v>37102</v>
      </c>
      <c r="R674" s="4">
        <f t="shared" si="798"/>
        <v>1</v>
      </c>
      <c r="S674" s="158">
        <f>_xll.xSPRDOPT($L674,$J674,$I674,$M674,$O674,$N674,$P674,$Q674-$C$3,$R674,0)</f>
        <v>0.12629012827674946</v>
      </c>
      <c r="T674" s="159">
        <f>_xll.xSPRDOPT($L674,$J674,$I674,$M674,$O674,$N674,$P674,$Q674-$C$3,$R674,1)*H674</f>
        <v>225138.63957939818</v>
      </c>
      <c r="U674" s="160">
        <f t="shared" si="799"/>
        <v>63145.064138374728</v>
      </c>
      <c r="V674" s="159">
        <f>_xll.xSPRDOPT($L674,$J674,$I674,$M674,$O674,$N674,$P674,$Q674-$C$3,$R674,2)*H674</f>
        <v>-210871.3085492739</v>
      </c>
      <c r="W674" s="159">
        <f t="shared" si="800"/>
        <v>14267.331030124275</v>
      </c>
      <c r="X674" s="51" t="str">
        <f t="shared" si="801"/>
        <v>37104IF-TRANSCO/Z6</v>
      </c>
      <c r="Y674" s="418">
        <f t="shared" si="802"/>
        <v>50</v>
      </c>
      <c r="Z674" s="456">
        <f t="shared" si="803"/>
        <v>0.45027727915879634</v>
      </c>
      <c r="AA674" s="456">
        <f>_xll.xSPRDOPT($L674,$J674,$I674,$M674,$O674,$N674,$P674,$Q674-$C$3,$R674,3)</f>
        <v>0.97832373520049332</v>
      </c>
      <c r="AB674" s="456">
        <f>((_xll.xSPRDOPT($L674+AB$5,$J674,$I674,$M674,$O674,$N674,$P674,$Q674-$C$3,$R674,3)*$H674)/10000)/100</f>
        <v>0.48916186760024666</v>
      </c>
      <c r="AC674" s="456">
        <f>((_xll.xSPRDOPT($L674+$AB$5,$J674,$I674,$M674,$O674,$N674,$P674,$Q674-$C$3,$R674,7)*$H674)/100)</f>
        <v>-11376.935041108296</v>
      </c>
      <c r="AD674" s="456">
        <f>(_xll.xSPRDOPT($L674+$AB$5,$J674,$I674,$M674,$O674,$N674,$P674,$Q674-$C$3,$R674,9)/365)*$H674</f>
        <v>-96.128176140442307</v>
      </c>
      <c r="AE674">
        <f t="shared" si="770"/>
        <v>0</v>
      </c>
      <c r="AF674" s="456">
        <f t="shared" si="804"/>
        <v>1809.4988232107548</v>
      </c>
      <c r="AG674" s="456">
        <f>((_xll.xSPRDOPT($L674,$J674,$I674,$M674,$O674,$N674,$P674,$Q674-$C$3,$R674,6)*$H674)/100)</f>
        <v>-1888.896164871247</v>
      </c>
      <c r="AH674" s="456">
        <f>((_xll.xSPRDOPT($L674,$J674,$I674,$M674,$O674,$N674,$P674,$Q674-$C$3,$R674,5)*$H674)/100)</f>
        <v>3773.8724368183694</v>
      </c>
      <c r="AI674" s="456">
        <f>(((_xll.xSPRDOPT($L674,$J674,$I674,$M674,$O674,$N674,$P674,$Q674-$C$3,$R674,4)*$H674)/10000)/100)-AB674</f>
        <v>-4.040297959430339E-3</v>
      </c>
      <c r="AJ674" s="456"/>
      <c r="CC674" s="141">
        <f t="shared" si="805"/>
        <v>37073</v>
      </c>
      <c r="CD674" s="234">
        <f>_xll.xSPRDOPT((VLOOKUP(G673,NGPrices,2,FALSE)+HLOOKUP(D673,Prices,VLOOKUP(G673,move_down,2,FALSE),FALSE)),VLOOKUP(G673,NGPrices,2,FALSE),I673,VLOOKUP(G673,NGPREVPRICES,4,FALSE),HLOOKUP(D673,PREVVOLS,VLOOKUP(G673,MOVE_DOWN2,2,FALSE),FALSE),VLOOKUP(G673,NGPREVPRICES,3,FALSE),HLOOKUP(D673,Correllate,VLOOKUP(G673,CorMove,2,FALSE),FALSE),Q673-$CD$3,R673,$CD$5)*H673-CJ674</f>
        <v>0</v>
      </c>
      <c r="CE674" s="234">
        <f>_xll.xSPRDOPT((VLOOKUP(G673,NGPREVPRICES,2,FALSE)+HLOOKUP(D673,PREVCURVES,VLOOKUP(G673,MOVE_DOWN2,2,FALSE),FALSE)),VLOOKUP(G673,NGPREVPRICES,2,FALSE),CK674,VLOOKUP(G673,NGPrices,4,FALSE),HLOOKUP(D673,PREVVOLS,VLOOKUP(G673,MOVE_DOWN2,2,FALSE),FALSE),VLOOKUP(G673,NGPREVPRICES,3,FALSE),HLOOKUP(D673,Correllate,VLOOKUP(G673,CorMove,2,FALSE),FALSE),Q673-$CD$3,R673,$CJ$5)*H673-CJ674</f>
        <v>0</v>
      </c>
      <c r="CF674" s="10">
        <f t="shared" si="806"/>
        <v>-11.817031806058367</v>
      </c>
      <c r="CG674" s="234">
        <f>_xll.xSPRDOPT((VLOOKUP(G673,NGPREVPRICES,2,FALSE)+HLOOKUP(D673,PREVCURVES,VLOOKUP(G673,MOVE_DOWN2,2,FALSE),FALSE)),VLOOKUP(G673,NGPREVPRICES,2,FALSE),CK674,VLOOKUP(G673,NGPREVPRICES,4,FALSE),HLOOKUP(D673,VOLS,VLOOKUP(G673,move_down,2,FALSE),FALSE),VLOOKUP(G673,NGPrices,3,FALSE),HLOOKUP(D673,Correllate,VLOOKUP(G673,CorMove,2,FALSE),FALSE),Q673-$CD$3,R673,$CJ$5)*H673-CJ674</f>
        <v>0</v>
      </c>
      <c r="CH674" s="234">
        <f>_xll.xSPRDOPT((VLOOKUP(G673,NGPREVPRICES,2,FALSE)+HLOOKUP(D673,PREVCURVES,VLOOKUP(G673,MOVE_DOWN2,2,FALSE),FALSE)),VLOOKUP(G673,NGPREVPRICES,2,FALSE),CK674,VLOOKUP(G673,NGPREVPRICES,4,FALSE),HLOOKUP(D673,PREVVOLS,VLOOKUP(G673,MOVE_DOWN2,2,FALSE),FALSE),VLOOKUP(G673,NGPREVPRICES,3,FALSE),HLOOKUP(D673,Correllate,VLOOKUP(G673,CorMove,2,FALSE),FALSE),Q673-$C$3,R673,$CJ$5)*H673-CJ674</f>
        <v>-102.51637087560812</v>
      </c>
      <c r="CI674" s="234">
        <f t="shared" si="807"/>
        <v>-114.33340268166648</v>
      </c>
      <c r="CJ674" s="234">
        <f>_xll.xSPRDOPT((VLOOKUP(G673,NGPREVPRICES,2,FALSE)+HLOOKUP(D673,PREVCURVES,VLOOKUP(G673,MOVE_DOWN2,2,FALSE),FALSE)),VLOOKUP(G673,NGPREVPRICES,2,FALSE),CK674,VLOOKUP(G673,NGPREVPRICES,4,FALSE),HLOOKUP(D673,PREVVOLS,VLOOKUP(G673,MOVE_DOWN2,2,FALSE),FALSE),VLOOKUP(G673,NGPREVPRICES,3,FALSE),HLOOKUP(D673,Correllate,VLOOKUP(G673,CorMove,2,FALSE),FALSE),Q673-$CD$3,R673,$CJ$5)*H673</f>
        <v>60003.392776222703</v>
      </c>
      <c r="CK674" s="235">
        <f t="shared" si="808"/>
        <v>0.5</v>
      </c>
      <c r="CM674" t="str">
        <f t="shared" si="809"/>
        <v>37073Curve Shift/Gamma</v>
      </c>
      <c r="CN674" t="str">
        <f t="shared" si="747"/>
        <v>37073Rho</v>
      </c>
      <c r="CO674" t="str">
        <f t="shared" si="748"/>
        <v>37073Drift</v>
      </c>
      <c r="CP674" t="str">
        <f t="shared" si="749"/>
        <v>37073Vega</v>
      </c>
      <c r="CQ674" t="str">
        <f t="shared" si="750"/>
        <v>37073Theta</v>
      </c>
    </row>
    <row r="675" spans="1:95" x14ac:dyDescent="0.25">
      <c r="A675" s="140" t="s">
        <v>286</v>
      </c>
      <c r="B675" t="s">
        <v>250</v>
      </c>
      <c r="C675" t="s">
        <v>576</v>
      </c>
      <c r="D675" s="4" t="s">
        <v>7</v>
      </c>
      <c r="E675" t="s">
        <v>20</v>
      </c>
      <c r="F675" t="s">
        <v>21</v>
      </c>
      <c r="G675" s="5">
        <v>37135</v>
      </c>
      <c r="H675" s="130">
        <v>500000</v>
      </c>
      <c r="I675" s="235">
        <v>0.5</v>
      </c>
      <c r="J675" s="53">
        <f t="shared" si="791"/>
        <v>3.7879999999999998</v>
      </c>
      <c r="K675" s="7">
        <f t="shared" si="792"/>
        <v>0.39500000000000002</v>
      </c>
      <c r="L675" s="53">
        <f t="shared" si="793"/>
        <v>4.1829999999999998</v>
      </c>
      <c r="M675" s="157">
        <f t="shared" si="794"/>
        <v>6.9264550207512002E-2</v>
      </c>
      <c r="N675" s="4">
        <f t="shared" si="795"/>
        <v>0.4</v>
      </c>
      <c r="O675" s="4">
        <f t="shared" si="796"/>
        <v>0.39200000000000002</v>
      </c>
      <c r="P675" s="9">
        <f t="shared" si="797"/>
        <v>0.9738</v>
      </c>
      <c r="Q675" s="5">
        <f t="shared" si="771"/>
        <v>37133</v>
      </c>
      <c r="R675" s="4">
        <f t="shared" si="798"/>
        <v>1</v>
      </c>
      <c r="S675" s="158">
        <f>_xll.xSPRDOPT($L675,$J675,$I675,$M675,$O675,$N675,$P675,$Q675-$C$3,$R675,0)</f>
        <v>0.1041854050668512</v>
      </c>
      <c r="T675" s="159">
        <f>_xll.xSPRDOPT($L675,$J675,$I675,$M675,$O675,$N675,$P675,$Q675-$C$3,$R675,1)*H675</f>
        <v>194678.90400616711</v>
      </c>
      <c r="U675" s="160">
        <f t="shared" si="799"/>
        <v>52092.702533425603</v>
      </c>
      <c r="V675" s="159">
        <f>_xll.xSPRDOPT($L675,$J675,$I675,$M675,$O675,$N675,$P675,$Q675-$C$3,$R675,2)*H675</f>
        <v>-180202.31691814208</v>
      </c>
      <c r="W675" s="159">
        <f t="shared" si="800"/>
        <v>14476.58708802503</v>
      </c>
      <c r="X675" s="51" t="str">
        <f t="shared" si="801"/>
        <v>37135IF-TRANSCO/Z6</v>
      </c>
      <c r="Y675" s="418">
        <f t="shared" si="802"/>
        <v>50</v>
      </c>
      <c r="Z675" s="456">
        <f t="shared" si="803"/>
        <v>0.38935780801233422</v>
      </c>
      <c r="AA675" s="456">
        <f>_xll.xSPRDOPT($L675,$J675,$I675,$M675,$O675,$N675,$P675,$Q675-$C$3,$R675,3)</f>
        <v>0.93165781042035256</v>
      </c>
      <c r="AB675" s="456">
        <f>((_xll.xSPRDOPT($L675+AB$5,$J675,$I675,$M675,$O675,$N675,$P675,$Q675-$C$3,$R675,3)*$H675)/10000)/100</f>
        <v>0.46582890521017634</v>
      </c>
      <c r="AC675" s="456">
        <f>((_xll.xSPRDOPT($L675+$AB$5,$J675,$I675,$M675,$O675,$N675,$P675,$Q675-$C$3,$R675,7)*$H675)/100)</f>
        <v>-11389.853323430252</v>
      </c>
      <c r="AD675" s="456">
        <f>(_xll.xSPRDOPT($L675+$AB$5,$J675,$I675,$M675,$O675,$N675,$P675,$Q675-$C$3,$R675,9)/365)*$H675</f>
        <v>-88.737994582129829</v>
      </c>
      <c r="AE675">
        <f t="shared" si="770"/>
        <v>0</v>
      </c>
      <c r="AF675" s="456">
        <f t="shared" si="804"/>
        <v>1803.5730588702822</v>
      </c>
      <c r="AG675" s="456">
        <f>((_xll.xSPRDOPT($L675,$J675,$I675,$M675,$O675,$N675,$P675,$Q675-$C$3,$R675,6)*$H675)/100)</f>
        <v>-1844.4006948719202</v>
      </c>
      <c r="AH675" s="456">
        <f>((_xll.xSPRDOPT($L675,$J675,$I675,$M675,$O675,$N675,$P675,$Q675-$C$3,$R675,5)*$H675)/100)</f>
        <v>3722.4221976961248</v>
      </c>
      <c r="AI675" s="456">
        <f>(((_xll.xSPRDOPT($L675,$J675,$I675,$M675,$O675,$N675,$P675,$Q675-$C$3,$R675,4)*$H675)/10000)/100)-AB675</f>
        <v>-1.5777783153341218E-2</v>
      </c>
      <c r="AJ675" s="456"/>
      <c r="CC675" s="141">
        <f t="shared" si="805"/>
        <v>37104</v>
      </c>
      <c r="CD675" s="234">
        <f>_xll.xSPRDOPT((VLOOKUP(G674,NGPrices,2,FALSE)+HLOOKUP(D674,Prices,VLOOKUP(G674,move_down,2,FALSE),FALSE)),VLOOKUP(G674,NGPrices,2,FALSE),I674,VLOOKUP(G674,NGPREVPRICES,4,FALSE),HLOOKUP(D674,PREVVOLS,VLOOKUP(G674,MOVE_DOWN2,2,FALSE),FALSE),VLOOKUP(G674,NGPREVPRICES,3,FALSE),HLOOKUP(D674,Correllate,VLOOKUP(G674,CorMove,2,FALSE),FALSE),Q674-$CD$3,R674,$CD$5)*H674-CJ675</f>
        <v>0</v>
      </c>
      <c r="CE675" s="234">
        <f>_xll.xSPRDOPT((VLOOKUP(G674,NGPREVPRICES,2,FALSE)+HLOOKUP(D674,PREVCURVES,VLOOKUP(G674,MOVE_DOWN2,2,FALSE),FALSE)),VLOOKUP(G674,NGPREVPRICES,2,FALSE),CK675,VLOOKUP(G674,NGPrices,4,FALSE),HLOOKUP(D674,PREVVOLS,VLOOKUP(G674,MOVE_DOWN2,2,FALSE),FALSE),VLOOKUP(G674,NGPREVPRICES,3,FALSE),HLOOKUP(D674,Correllate,VLOOKUP(G674,CorMove,2,FALSE),FALSE),Q674-$CD$3,R674,$CJ$5)*H674-CJ675</f>
        <v>0</v>
      </c>
      <c r="CF675" s="10">
        <f t="shared" si="806"/>
        <v>-12.531518410134595</v>
      </c>
      <c r="CG675" s="234">
        <f>_xll.xSPRDOPT((VLOOKUP(G674,NGPREVPRICES,2,FALSE)+HLOOKUP(D674,PREVCURVES,VLOOKUP(G674,MOVE_DOWN2,2,FALSE),FALSE)),VLOOKUP(G674,NGPREVPRICES,2,FALSE),CK675,VLOOKUP(G674,NGPREVPRICES,4,FALSE),HLOOKUP(D674,VOLS,VLOOKUP(G674,move_down,2,FALSE),FALSE),VLOOKUP(G674,NGPrices,3,FALSE),HLOOKUP(D674,Correllate,VLOOKUP(G674,CorMove,2,FALSE),FALSE),Q674-$CD$3,R674,$CJ$5)*H674-CJ675</f>
        <v>0</v>
      </c>
      <c r="CH675" s="234">
        <f>_xll.xSPRDOPT((VLOOKUP(G674,NGPREVPRICES,2,FALSE)+HLOOKUP(D674,PREVCURVES,VLOOKUP(G674,MOVE_DOWN2,2,FALSE),FALSE)),VLOOKUP(G674,NGPREVPRICES,2,FALSE),CK675,VLOOKUP(G674,NGPREVPRICES,4,FALSE),HLOOKUP(D674,PREVVOLS,VLOOKUP(G674,MOVE_DOWN2,2,FALSE),FALSE),VLOOKUP(G674,NGPREVPRICES,3,FALSE),HLOOKUP(D674,Correllate,VLOOKUP(G674,CorMove,2,FALSE),FALSE),Q674-$C$3,R674,$CJ$5)*H674-CJ675</f>
        <v>-95.965376377818757</v>
      </c>
      <c r="CI675" s="234">
        <f t="shared" si="807"/>
        <v>-108.49689478795335</v>
      </c>
      <c r="CJ675" s="234">
        <f>_xll.xSPRDOPT((VLOOKUP(G674,NGPREVPRICES,2,FALSE)+HLOOKUP(D674,PREVCURVES,VLOOKUP(G674,MOVE_DOWN2,2,FALSE),FALSE)),VLOOKUP(G674,NGPREVPRICES,2,FALSE),CK675,VLOOKUP(G674,NGPREVPRICES,4,FALSE),HLOOKUP(D674,PREVVOLS,VLOOKUP(G674,MOVE_DOWN2,2,FALSE),FALSE),VLOOKUP(G674,NGPREVPRICES,3,FALSE),HLOOKUP(D674,Correllate,VLOOKUP(G674,CorMove,2,FALSE),FALSE),Q674-$CD$3,R674,$CJ$5)*H674</f>
        <v>63241.029514752547</v>
      </c>
      <c r="CK675" s="235">
        <f t="shared" si="808"/>
        <v>0.5</v>
      </c>
      <c r="CM675" t="str">
        <f t="shared" si="809"/>
        <v>37104Curve Shift/Gamma</v>
      </c>
      <c r="CN675" t="str">
        <f t="shared" si="747"/>
        <v>37104Rho</v>
      </c>
      <c r="CO675" t="str">
        <f t="shared" si="748"/>
        <v>37104Drift</v>
      </c>
      <c r="CP675" t="str">
        <f t="shared" si="749"/>
        <v>37104Vega</v>
      </c>
      <c r="CQ675" t="str">
        <f t="shared" si="750"/>
        <v>37104Theta</v>
      </c>
    </row>
    <row r="676" spans="1:95" x14ac:dyDescent="0.25">
      <c r="A676" s="140" t="s">
        <v>286</v>
      </c>
      <c r="B676" t="s">
        <v>250</v>
      </c>
      <c r="C676" t="s">
        <v>576</v>
      </c>
      <c r="D676" s="4" t="s">
        <v>7</v>
      </c>
      <c r="E676" t="s">
        <v>20</v>
      </c>
      <c r="F676" t="s">
        <v>21</v>
      </c>
      <c r="G676" s="5">
        <v>37165</v>
      </c>
      <c r="H676" s="130">
        <v>500000</v>
      </c>
      <c r="I676" s="235">
        <v>0.5</v>
      </c>
      <c r="J676" s="53">
        <f t="shared" si="791"/>
        <v>3.7730000000000001</v>
      </c>
      <c r="K676" s="7">
        <f t="shared" si="792"/>
        <v>0.46100000000000002</v>
      </c>
      <c r="L676" s="53">
        <f t="shared" si="793"/>
        <v>4.234</v>
      </c>
      <c r="M676" s="157">
        <f t="shared" si="794"/>
        <v>6.9300944538363995E-2</v>
      </c>
      <c r="N676" s="4">
        <f t="shared" si="795"/>
        <v>0.40250000000000002</v>
      </c>
      <c r="O676" s="4">
        <f t="shared" si="796"/>
        <v>0.39400000000000002</v>
      </c>
      <c r="P676" s="9">
        <f t="shared" si="797"/>
        <v>0.9738</v>
      </c>
      <c r="Q676" s="5">
        <f t="shared" si="771"/>
        <v>37161</v>
      </c>
      <c r="R676" s="4">
        <f t="shared" si="798"/>
        <v>1</v>
      </c>
      <c r="S676" s="158">
        <f>_xll.xSPRDOPT($L676,$J676,$I676,$M676,$O676,$N676,$P676,$Q676-$C$3,$R676,0)</f>
        <v>0.13697160605231973</v>
      </c>
      <c r="T676" s="159">
        <f>_xll.xSPRDOPT($L676,$J676,$I676,$M676,$O676,$N676,$P676,$Q676-$C$3,$R676,1)*H676</f>
        <v>225451.26567672682</v>
      </c>
      <c r="U676" s="160">
        <f t="shared" si="799"/>
        <v>68485.803026159861</v>
      </c>
      <c r="V676" s="159">
        <f>_xll.xSPRDOPT($L676,$J676,$I676,$M676,$O676,$N676,$P676,$Q676-$C$3,$R676,2)*H676</f>
        <v>-210073.94094954472</v>
      </c>
      <c r="W676" s="159">
        <f t="shared" si="800"/>
        <v>15377.324727182102</v>
      </c>
      <c r="X676" s="51" t="str">
        <f t="shared" si="801"/>
        <v>37165IF-TRANSCO/Z6</v>
      </c>
      <c r="Y676" s="418">
        <f t="shared" si="802"/>
        <v>50</v>
      </c>
      <c r="Z676" s="456">
        <f t="shared" si="803"/>
        <v>0.45090253135345365</v>
      </c>
      <c r="AA676" s="456">
        <f>_xll.xSPRDOPT($L676,$J676,$I676,$M676,$O676,$N676,$P676,$Q676-$C$3,$R676,3)</f>
        <v>0.89495583167160031</v>
      </c>
      <c r="AB676" s="456">
        <f>((_xll.xSPRDOPT($L676+AB$5,$J676,$I676,$M676,$O676,$N676,$P676,$Q676-$C$3,$R676,3)*$H676)/10000)/100</f>
        <v>0.44747791583580016</v>
      </c>
      <c r="AC676" s="456">
        <f>((_xll.xSPRDOPT($L676+$AB$5,$J676,$I676,$M676,$O676,$N676,$P676,$Q676-$C$3,$R676,7)*$H676)/100)</f>
        <v>-12177.425309479215</v>
      </c>
      <c r="AD676" s="456">
        <f>(_xll.xSPRDOPT($L676+$AB$5,$J676,$I676,$M676,$O676,$N676,$P676,$Q676-$C$3,$R676,9)/365)*$H676</f>
        <v>-85.613760666132649</v>
      </c>
      <c r="AE676">
        <f t="shared" si="770"/>
        <v>0</v>
      </c>
      <c r="AF676" s="456">
        <f t="shared" si="804"/>
        <v>1929.3637780860963</v>
      </c>
      <c r="AG676" s="456">
        <f>((_xll.xSPRDOPT($L676,$J676,$I676,$M676,$O676,$N676,$P676,$Q676-$C$3,$R676,6)*$H676)/100)</f>
        <v>-1982.638770875828</v>
      </c>
      <c r="AH676" s="456">
        <f>((_xll.xSPRDOPT($L676,$J676,$I676,$M676,$O676,$N676,$P676,$Q676-$C$3,$R676,5)*$H676)/100)</f>
        <v>3996.3985430385137</v>
      </c>
      <c r="AI676" s="456">
        <f>(((_xll.xSPRDOPT($L676,$J676,$I676,$M676,$O676,$N676,$P676,$Q676-$C$3,$R676,4)*$H676)/10000)/100)-AB676</f>
        <v>-2.8891298930716069E-3</v>
      </c>
      <c r="AJ676" s="456"/>
      <c r="CC676" s="141">
        <f t="shared" si="805"/>
        <v>37135</v>
      </c>
      <c r="CD676" s="234">
        <f>_xll.xSPRDOPT((VLOOKUP(G675,NGPrices,2,FALSE)+HLOOKUP(D675,Prices,VLOOKUP(G675,move_down,2,FALSE),FALSE)),VLOOKUP(G675,NGPrices,2,FALSE),I675,VLOOKUP(G675,NGPREVPRICES,4,FALSE),HLOOKUP(D675,PREVVOLS,VLOOKUP(G675,MOVE_DOWN2,2,FALSE),FALSE),VLOOKUP(G675,NGPREVPRICES,3,FALSE),HLOOKUP(D675,Correllate,VLOOKUP(G675,CorMove,2,FALSE),FALSE),Q675-$CD$3,R675,$CD$5)*H675-CJ676</f>
        <v>0</v>
      </c>
      <c r="CE676" s="234">
        <f>_xll.xSPRDOPT((VLOOKUP(G675,NGPREVPRICES,2,FALSE)+HLOOKUP(D675,PREVCURVES,VLOOKUP(G675,MOVE_DOWN2,2,FALSE),FALSE)),VLOOKUP(G675,NGPREVPRICES,2,FALSE),CK676,VLOOKUP(G675,NGPrices,4,FALSE),HLOOKUP(D675,PREVVOLS,VLOOKUP(G675,MOVE_DOWN2,2,FALSE),FALSE),VLOOKUP(G675,NGPREVPRICES,3,FALSE),HLOOKUP(D675,Correllate,VLOOKUP(G675,CorMove,2,FALSE),FALSE),Q675-$CD$3,R675,$CJ$5)*H675-CJ676</f>
        <v>0</v>
      </c>
      <c r="CF676" s="10">
        <f t="shared" si="806"/>
        <v>-10.403838430793257</v>
      </c>
      <c r="CG676" s="234">
        <f>_xll.xSPRDOPT((VLOOKUP(G675,NGPREVPRICES,2,FALSE)+HLOOKUP(D675,PREVCURVES,VLOOKUP(G675,MOVE_DOWN2,2,FALSE),FALSE)),VLOOKUP(G675,NGPREVPRICES,2,FALSE),CK676,VLOOKUP(G675,NGPREVPRICES,4,FALSE),HLOOKUP(D675,VOLS,VLOOKUP(G675,move_down,2,FALSE),FALSE),VLOOKUP(G675,NGPrices,3,FALSE),HLOOKUP(D675,Correllate,VLOOKUP(G675,CorMove,2,FALSE),FALSE),Q675-$CD$3,R675,$CJ$5)*H675-CJ676</f>
        <v>0</v>
      </c>
      <c r="CH676" s="234">
        <f>_xll.xSPRDOPT((VLOOKUP(G675,NGPREVPRICES,2,FALSE)+HLOOKUP(D675,PREVCURVES,VLOOKUP(G675,MOVE_DOWN2,2,FALSE),FALSE)),VLOOKUP(G675,NGPREVPRICES,2,FALSE),CK676,VLOOKUP(G675,NGPREVPRICES,4,FALSE),HLOOKUP(D675,PREVVOLS,VLOOKUP(G675,MOVE_DOWN2,2,FALSE),FALSE),VLOOKUP(G675,NGPREVPRICES,3,FALSE),HLOOKUP(D675,Correllate,VLOOKUP(G675,CorMove,2,FALSE),FALSE),Q675-$C$3,R675,$CJ$5)*H675-CJ676</f>
        <v>-88.598723199553206</v>
      </c>
      <c r="CI676" s="234">
        <f t="shared" si="807"/>
        <v>-99.002561630346463</v>
      </c>
      <c r="CJ676" s="234">
        <f>_xll.xSPRDOPT((VLOOKUP(G675,NGPREVPRICES,2,FALSE)+HLOOKUP(D675,PREVCURVES,VLOOKUP(G675,MOVE_DOWN2,2,FALSE),FALSE)),VLOOKUP(G675,NGPREVPRICES,2,FALSE),CK676,VLOOKUP(G675,NGPREVPRICES,4,FALSE),HLOOKUP(D675,PREVVOLS,VLOOKUP(G675,MOVE_DOWN2,2,FALSE),FALSE),VLOOKUP(G675,NGPREVPRICES,3,FALSE),HLOOKUP(D675,Correllate,VLOOKUP(G675,CorMove,2,FALSE),FALSE),Q675-$CD$3,R675,$CJ$5)*H675</f>
        <v>52181.301256625156</v>
      </c>
      <c r="CK676" s="235">
        <f t="shared" si="808"/>
        <v>0.5</v>
      </c>
      <c r="CM676" t="str">
        <f t="shared" si="809"/>
        <v>37135Curve Shift/Gamma</v>
      </c>
      <c r="CN676" t="str">
        <f t="shared" si="747"/>
        <v>37135Rho</v>
      </c>
      <c r="CO676" t="str">
        <f t="shared" si="748"/>
        <v>37135Drift</v>
      </c>
      <c r="CP676" t="str">
        <f t="shared" si="749"/>
        <v>37135Vega</v>
      </c>
      <c r="CQ676" t="str">
        <f t="shared" si="750"/>
        <v>37135Theta</v>
      </c>
    </row>
    <row r="677" spans="1:95" x14ac:dyDescent="0.25">
      <c r="A677" s="140" t="s">
        <v>286</v>
      </c>
      <c r="B677" t="s">
        <v>250</v>
      </c>
      <c r="C677" t="s">
        <v>577</v>
      </c>
      <c r="D677" s="4" t="s">
        <v>7</v>
      </c>
      <c r="E677" t="s">
        <v>20</v>
      </c>
      <c r="F677" t="s">
        <v>1</v>
      </c>
      <c r="G677" s="5">
        <v>36982</v>
      </c>
      <c r="H677" s="130">
        <v>1000000</v>
      </c>
      <c r="I677" s="235">
        <v>0.3</v>
      </c>
      <c r="J677" s="53">
        <f>VLOOKUP(G677,NGPrices,2,FALSE)</f>
        <v>3.9380000000000002</v>
      </c>
      <c r="K677" s="7">
        <f>HLOOKUP(D677,Prices,VLOOKUP(G677,move_down,2,FALSE),FALSE)+VLOOKUP(G677,CHANGE,HLOOKUP(D677,CHANGE,2,FALSE),FALSE)</f>
        <v>0.52</v>
      </c>
      <c r="L677" s="53">
        <f>K677+J677</f>
        <v>4.4580000000000002</v>
      </c>
      <c r="M677" s="157">
        <f>VLOOKUP(G677,NGPrices,4,FALSE)</f>
        <v>6.9061726541120999E-2</v>
      </c>
      <c r="N677" s="4">
        <f>VLOOKUP(G677,NGPrices,3,FALSE)</f>
        <v>0.4425</v>
      </c>
      <c r="O677" s="4">
        <f>HLOOKUP(D677,VOLS,VLOOKUP(G677,move_down,2,FALSE),FALSE)</f>
        <v>0.434</v>
      </c>
      <c r="P677" s="9">
        <f>HLOOKUP(D677,Correllate,VLOOKUP(G677,CorMove,2,FALSE),FALSE)</f>
        <v>0.9738</v>
      </c>
      <c r="Q677" s="5">
        <f t="shared" si="771"/>
        <v>36979</v>
      </c>
      <c r="R677" s="4">
        <f>IF(F677="P",0,1)</f>
        <v>0</v>
      </c>
      <c r="S677" s="158">
        <f>_xll.xSPRDOPT($L677,$J677,$I677,$M677,$O677,$N677,$P677,$Q677-$C$3,$R677,0)</f>
        <v>4.7900160508101752E-2</v>
      </c>
      <c r="T677" s="159">
        <f>_xll.xSPRDOPT($L677,$J677,$I677,$M677,$O677,$N677,$P677,$Q677-$C$3,$R677,1)*H677</f>
        <v>-230765.10961639608</v>
      </c>
      <c r="U677" s="160">
        <f>S677*H677</f>
        <v>47900.160508101755</v>
      </c>
      <c r="V677" s="159">
        <f>_xll.xSPRDOPT($L677,$J677,$I677,$M677,$O677,$N677,$P677,$Q677-$C$3,$R677,2)*H677</f>
        <v>253011.65137693827</v>
      </c>
      <c r="W677" s="159">
        <f>+V677+T677</f>
        <v>22246.541760542197</v>
      </c>
      <c r="X677" s="51" t="str">
        <f>CONCATENATE(G677,D677)</f>
        <v>36982IF-TRANSCO/Z6</v>
      </c>
      <c r="Y677" s="418">
        <f>H677/10000</f>
        <v>100</v>
      </c>
      <c r="Z677" s="456">
        <f>T677/H677</f>
        <v>-0.23076510961639607</v>
      </c>
      <c r="AA677" s="456">
        <f>_xll.xSPRDOPT($L677,$J677,$I677,$M677,$O677,$N677,$P677,$Q677-$C$3,$R677,3)</f>
        <v>0.88242485183694386</v>
      </c>
      <c r="AB677" s="456">
        <f>((_xll.xSPRDOPT($L677+AB$5,$J677,$I677,$M677,$O677,$N677,$P677,$Q677-$C$3,$R677,3)*$H677)/10000)/100</f>
        <v>0.88242485183694386</v>
      </c>
      <c r="AC677" s="456">
        <f>((_xll.xSPRDOPT($L677+$AB$5,$J677,$I677,$M677,$O677,$N677,$P677,$Q677-$C$3,$R677,7)*$H677)/100)</f>
        <v>-18135.051681398465</v>
      </c>
      <c r="AD677" s="456">
        <f>(_xll.xSPRDOPT($L677+$AB$5,$J677,$I677,$M677,$O677,$N677,$P677,$Q677-$C$3,$R677,9)/365)*$H677</f>
        <v>-231.01707658827084</v>
      </c>
      <c r="AE677">
        <f t="shared" si="770"/>
        <v>0</v>
      </c>
      <c r="AF677" s="456">
        <f>((O677/N677)*AH677)+AG677</f>
        <v>2298.8555892118607</v>
      </c>
      <c r="AG677" s="456">
        <f>((_xll.xSPRDOPT($L677,$J677,$I677,$M677,$O677,$N677,$P677,$Q677-$C$3,$R677,6)*$H677)/100)</f>
        <v>-1120.0719502785082</v>
      </c>
      <c r="AH677" s="456">
        <f>((_xll.xSPRDOPT($L677,$J677,$I677,$M677,$O677,$N677,$P677,$Q677-$C$3,$R677,5)*$H677)/100)</f>
        <v>3485.8881018997427</v>
      </c>
      <c r="AI677" s="456">
        <f>(((_xll.xSPRDOPT($L677,$J677,$I677,$M677,$O677,$N677,$P677,$Q677-$C$3,$R677,4)*$H677)/10000)/100)-AB677</f>
        <v>9.1440467137284376E-2</v>
      </c>
      <c r="AJ677" s="456"/>
      <c r="CC677" s="141">
        <f t="shared" si="805"/>
        <v>37165</v>
      </c>
      <c r="CD677" s="234">
        <f>_xll.xSPRDOPT((VLOOKUP(G676,NGPrices,2,FALSE)+HLOOKUP(D676,Prices,VLOOKUP(G676,move_down,2,FALSE),FALSE)),VLOOKUP(G676,NGPrices,2,FALSE),I676,VLOOKUP(G676,NGPREVPRICES,4,FALSE),HLOOKUP(D676,PREVVOLS,VLOOKUP(G676,MOVE_DOWN2,2,FALSE),FALSE),VLOOKUP(G676,NGPREVPRICES,3,FALSE),HLOOKUP(D676,Correllate,VLOOKUP(G676,CorMove,2,FALSE),FALSE),Q676-$CD$3,R676,$CD$5)*H676-CJ677</f>
        <v>0</v>
      </c>
      <c r="CE677" s="234">
        <f>_xll.xSPRDOPT((VLOOKUP(G676,NGPREVPRICES,2,FALSE)+HLOOKUP(D676,PREVCURVES,VLOOKUP(G676,MOVE_DOWN2,2,FALSE),FALSE)),VLOOKUP(G676,NGPREVPRICES,2,FALSE),CK677,VLOOKUP(G676,NGPrices,4,FALSE),HLOOKUP(D676,PREVVOLS,VLOOKUP(G676,MOVE_DOWN2,2,FALSE),FALSE),VLOOKUP(G676,NGPREVPRICES,3,FALSE),HLOOKUP(D676,Correllate,VLOOKUP(G676,CorMove,2,FALSE),FALSE),Q676-$CD$3,R676,$CJ$5)*H676-CJ677</f>
        <v>0</v>
      </c>
      <c r="CF677" s="10">
        <f t="shared" si="806"/>
        <v>-13.752839837237843</v>
      </c>
      <c r="CG677" s="234">
        <f>_xll.xSPRDOPT((VLOOKUP(G676,NGPREVPRICES,2,FALSE)+HLOOKUP(D676,PREVCURVES,VLOOKUP(G676,MOVE_DOWN2,2,FALSE),FALSE)),VLOOKUP(G676,NGPREVPRICES,2,FALSE),CK677,VLOOKUP(G676,NGPREVPRICES,4,FALSE),HLOOKUP(D676,VOLS,VLOOKUP(G676,move_down,2,FALSE),FALSE),VLOOKUP(G676,NGPrices,3,FALSE),HLOOKUP(D676,Correllate,VLOOKUP(G676,CorMove,2,FALSE),FALSE),Q676-$CD$3,R676,$CJ$5)*H676-CJ677</f>
        <v>0</v>
      </c>
      <c r="CH677" s="234">
        <f>_xll.xSPRDOPT((VLOOKUP(G676,NGPREVPRICES,2,FALSE)+HLOOKUP(D676,PREVCURVES,VLOOKUP(G676,MOVE_DOWN2,2,FALSE),FALSE)),VLOOKUP(G676,NGPREVPRICES,2,FALSE),CK677,VLOOKUP(G676,NGPREVPRICES,4,FALSE),HLOOKUP(D676,PREVVOLS,VLOOKUP(G676,MOVE_DOWN2,2,FALSE),FALSE),VLOOKUP(G676,NGPREVPRICES,3,FALSE),HLOOKUP(D676,Correllate,VLOOKUP(G676,CorMove,2,FALSE),FALSE),Q676-$C$3,R676,$CJ$5)*H676-CJ677</f>
        <v>-85.477577034544083</v>
      </c>
      <c r="CI677" s="234">
        <f t="shared" si="807"/>
        <v>-99.230416871781927</v>
      </c>
      <c r="CJ677" s="234">
        <f>_xll.xSPRDOPT((VLOOKUP(G676,NGPREVPRICES,2,FALSE)+HLOOKUP(D676,PREVCURVES,VLOOKUP(G676,MOVE_DOWN2,2,FALSE),FALSE)),VLOOKUP(G676,NGPREVPRICES,2,FALSE),CK677,VLOOKUP(G676,NGPREVPRICES,4,FALSE),HLOOKUP(D676,PREVVOLS,VLOOKUP(G676,MOVE_DOWN2,2,FALSE),FALSE),VLOOKUP(G676,NGPREVPRICES,3,FALSE),HLOOKUP(D676,Correllate,VLOOKUP(G676,CorMove,2,FALSE),FALSE),Q676-$CD$3,R676,$CJ$5)*H676</f>
        <v>68571.280603194406</v>
      </c>
      <c r="CK677" s="235">
        <f t="shared" si="808"/>
        <v>0.5</v>
      </c>
      <c r="CM677" t="str">
        <f t="shared" si="809"/>
        <v>37165Curve Shift/Gamma</v>
      </c>
      <c r="CN677" t="str">
        <f t="shared" si="747"/>
        <v>37165Rho</v>
      </c>
      <c r="CO677" t="str">
        <f t="shared" si="748"/>
        <v>37165Drift</v>
      </c>
      <c r="CP677" t="str">
        <f t="shared" si="749"/>
        <v>37165Vega</v>
      </c>
      <c r="CQ677" t="str">
        <f t="shared" si="750"/>
        <v>37165Theta</v>
      </c>
    </row>
    <row r="678" spans="1:95" x14ac:dyDescent="0.25">
      <c r="A678" s="140" t="s">
        <v>286</v>
      </c>
      <c r="B678" t="s">
        <v>250</v>
      </c>
      <c r="C678" t="s">
        <v>577</v>
      </c>
      <c r="D678" s="4" t="s">
        <v>7</v>
      </c>
      <c r="E678" t="s">
        <v>20</v>
      </c>
      <c r="F678" t="s">
        <v>1</v>
      </c>
      <c r="G678" s="5">
        <v>37012</v>
      </c>
      <c r="H678" s="130">
        <v>1000000</v>
      </c>
      <c r="I678" s="235">
        <v>0.3</v>
      </c>
      <c r="J678" s="53">
        <f t="shared" ref="J678:J683" si="810">VLOOKUP(G678,NGPrices,2,FALSE)</f>
        <v>3.8380000000000001</v>
      </c>
      <c r="K678" s="7">
        <f t="shared" ref="K678:K683" si="811">HLOOKUP(D678,Prices,VLOOKUP(G678,move_down,2,FALSE),FALSE)+VLOOKUP(G678,CHANGE,HLOOKUP(D678,CHANGE,2,FALSE),FALSE)</f>
        <v>0.40500000000000003</v>
      </c>
      <c r="L678" s="53">
        <f t="shared" ref="L678:L683" si="812">K678+J678</f>
        <v>4.2430000000000003</v>
      </c>
      <c r="M678" s="157">
        <f t="shared" ref="M678:M683" si="813">VLOOKUP(G678,NGPrices,4,FALSE)</f>
        <v>6.9101151218999998E-2</v>
      </c>
      <c r="N678" s="4">
        <f t="shared" ref="N678:N683" si="814">VLOOKUP(G678,NGPrices,3,FALSE)</f>
        <v>0.40500000000000003</v>
      </c>
      <c r="O678" s="4">
        <f t="shared" ref="O678:O683" si="815">HLOOKUP(D678,VOLS,VLOOKUP(G678,move_down,2,FALSE),FALSE)</f>
        <v>0.39700000000000002</v>
      </c>
      <c r="P678" s="9">
        <f t="shared" ref="P678:P683" si="816">HLOOKUP(D678,Correllate,VLOOKUP(G678,CorMove,2,FALSE),FALSE)</f>
        <v>0.9738</v>
      </c>
      <c r="Q678" s="5">
        <f t="shared" si="771"/>
        <v>37008</v>
      </c>
      <c r="R678" s="4">
        <f t="shared" ref="R678:R683" si="817">IF(F678="P",0,1)</f>
        <v>0</v>
      </c>
      <c r="S678" s="158">
        <f>_xll.xSPRDOPT($L678,$J678,$I678,$M678,$O678,$N678,$P678,$Q678-$C$3,$R678,0)</f>
        <v>7.4822127414418682E-2</v>
      </c>
      <c r="T678" s="159">
        <f>_xll.xSPRDOPT($L678,$J678,$I678,$M678,$O678,$N678,$P678,$Q678-$C$3,$R678,1)*H678</f>
        <v>-337554.01227561774</v>
      </c>
      <c r="U678" s="160">
        <f t="shared" ref="U678:U683" si="818">S678*H678</f>
        <v>74822.127414418675</v>
      </c>
      <c r="V678" s="159">
        <f>_xll.xSPRDOPT($L678,$J678,$I678,$M678,$O678,$N678,$P678,$Q678-$C$3,$R678,2)*H678</f>
        <v>363011.40565829905</v>
      </c>
      <c r="W678" s="159">
        <f t="shared" ref="W678:W683" si="819">+V678+T678</f>
        <v>25457.393382681301</v>
      </c>
      <c r="X678" s="51" t="str">
        <f t="shared" ref="X678:X683" si="820">CONCATENATE(G678,D678)</f>
        <v>37012IF-TRANSCO/Z6</v>
      </c>
      <c r="Y678" s="418">
        <f t="shared" ref="Y678:Y683" si="821">H678/10000</f>
        <v>100</v>
      </c>
      <c r="Z678" s="456">
        <f t="shared" ref="Z678:Z683" si="822">T678/H678</f>
        <v>-0.33755401227561777</v>
      </c>
      <c r="AA678" s="456">
        <f>_xll.xSPRDOPT($L678,$J678,$I678,$M678,$O678,$N678,$P678,$Q678-$C$3,$R678,3)</f>
        <v>1.1297989794907344</v>
      </c>
      <c r="AB678" s="456">
        <f>((_xll.xSPRDOPT($L678+AB$5,$J678,$I678,$M678,$O678,$N678,$P678,$Q678-$C$3,$R678,3)*$H678)/10000)/100</f>
        <v>1.1297989794907344</v>
      </c>
      <c r="AC678" s="456">
        <f>((_xll.xSPRDOPT($L678+$AB$5,$J678,$I678,$M678,$O678,$N678,$P678,$Q678-$C$3,$R678,7)*$H678)/100)</f>
        <v>-20002.625105430128</v>
      </c>
      <c r="AD678" s="456">
        <f>(_xll.xSPRDOPT($L678+$AB$5,$J678,$I678,$M678,$O678,$N678,$P678,$Q678-$C$3,$R678,9)/365)*$H678</f>
        <v>-218.72448787606604</v>
      </c>
      <c r="AE678">
        <f t="shared" si="770"/>
        <v>0</v>
      </c>
      <c r="AF678" s="456">
        <f t="shared" ref="AF678:AF683" si="823">((O678/N678)*AH678)+AG678</f>
        <v>2769.7774700457981</v>
      </c>
      <c r="AG678" s="456">
        <f>((_xll.xSPRDOPT($L678,$J678,$I678,$M678,$O678,$N678,$P678,$Q678-$C$3,$R678,6)*$H678)/100)</f>
        <v>-1362.5098651832564</v>
      </c>
      <c r="AH678" s="456">
        <f>((_xll.xSPRDOPT($L678,$J678,$I678,$M678,$O678,$N678,$P678,$Q678-$C$3,$R678,5)*$H678)/100)</f>
        <v>4215.5576089868191</v>
      </c>
      <c r="AI678" s="456">
        <f>(((_xll.xSPRDOPT($L678,$J678,$I678,$M678,$O678,$N678,$P678,$Q678-$C$3,$R678,4)*$H678)/10000)/100)-AB678</f>
        <v>5.7418092244456265E-2</v>
      </c>
      <c r="AJ678" s="456"/>
      <c r="CC678" s="141">
        <f t="shared" si="805"/>
        <v>36982</v>
      </c>
      <c r="CD678" s="234">
        <f>_xll.xSPRDOPT((VLOOKUP(G677,NGPrices,2,FALSE)+HLOOKUP(D677,Prices,VLOOKUP(G677,move_down,2,FALSE),FALSE)),VLOOKUP(G677,NGPrices,2,FALSE),I677,VLOOKUP(G677,NGPREVPRICES,4,FALSE),HLOOKUP(D677,PREVVOLS,VLOOKUP(G677,MOVE_DOWN2,2,FALSE),FALSE),VLOOKUP(G677,NGPREVPRICES,3,FALSE),HLOOKUP(D677,Correllate,VLOOKUP(G677,CorMove,2,FALSE),FALSE),Q677-$CD$3,R677,$CD$5)*H677-CJ678</f>
        <v>0</v>
      </c>
      <c r="CE678" s="234">
        <f>_xll.xSPRDOPT((VLOOKUP(G677,NGPREVPRICES,2,FALSE)+HLOOKUP(D677,PREVCURVES,VLOOKUP(G677,MOVE_DOWN2,2,FALSE),FALSE)),VLOOKUP(G677,NGPREVPRICES,2,FALSE),CK678,VLOOKUP(G677,NGPrices,4,FALSE),HLOOKUP(D677,PREVVOLS,VLOOKUP(G677,MOVE_DOWN2,2,FALSE),FALSE),VLOOKUP(G677,NGPREVPRICES,3,FALSE),HLOOKUP(D677,Correllate,VLOOKUP(G677,CorMove,2,FALSE),FALSE),Q677-$CD$3,R677,$CJ$5)*H677-CJ678</f>
        <v>0</v>
      </c>
      <c r="CF678" s="10">
        <f t="shared" si="806"/>
        <v>-9.3063878679531626</v>
      </c>
      <c r="CG678" s="234">
        <f>_xll.xSPRDOPT((VLOOKUP(G677,NGPREVPRICES,2,FALSE)+HLOOKUP(D677,PREVCURVES,VLOOKUP(G677,MOVE_DOWN2,2,FALSE),FALSE)),VLOOKUP(G677,NGPREVPRICES,2,FALSE),CK678,VLOOKUP(G677,NGPREVPRICES,4,FALSE),HLOOKUP(D677,VOLS,VLOOKUP(G677,move_down,2,FALSE),FALSE),VLOOKUP(G677,NGPrices,3,FALSE),HLOOKUP(D677,Correllate,VLOOKUP(G677,CorMove,2,FALSE),FALSE),Q677-$CD$3,R677,$CJ$5)*H677-CJ678</f>
        <v>0</v>
      </c>
      <c r="CH678" s="234">
        <f>_xll.xSPRDOPT((VLOOKUP(G677,NGPREVPRICES,2,FALSE)+HLOOKUP(D677,PREVCURVES,VLOOKUP(G677,MOVE_DOWN2,2,FALSE),FALSE)),VLOOKUP(G677,NGPREVPRICES,2,FALSE),CK678,VLOOKUP(G677,NGPREVPRICES,4,FALSE),HLOOKUP(D677,PREVVOLS,VLOOKUP(G677,MOVE_DOWN2,2,FALSE),FALSE),VLOOKUP(G677,NGPREVPRICES,3,FALSE),HLOOKUP(D677,Correllate,VLOOKUP(G677,CorMove,2,FALSE),FALSE),Q677-$C$3,R677,$CJ$5)*H677-CJ678</f>
        <v>-230.66181975189829</v>
      </c>
      <c r="CI678" s="234">
        <f t="shared" si="807"/>
        <v>-239.96820761985146</v>
      </c>
      <c r="CJ678" s="234">
        <f>_xll.xSPRDOPT((VLOOKUP(G677,NGPREVPRICES,2,FALSE)+HLOOKUP(D677,PREVCURVES,VLOOKUP(G677,MOVE_DOWN2,2,FALSE),FALSE)),VLOOKUP(G677,NGPREVPRICES,2,FALSE),CK678,VLOOKUP(G677,NGPREVPRICES,4,FALSE),HLOOKUP(D677,PREVVOLS,VLOOKUP(G677,MOVE_DOWN2,2,FALSE),FALSE),VLOOKUP(G677,NGPREVPRICES,3,FALSE),HLOOKUP(D677,Correllate,VLOOKUP(G677,CorMove,2,FALSE),FALSE),Q677-$CD$3,R677,$CJ$5)*H677</f>
        <v>48130.822327853653</v>
      </c>
      <c r="CK678" s="235">
        <f t="shared" si="808"/>
        <v>0.3</v>
      </c>
      <c r="CM678" t="str">
        <f t="shared" si="809"/>
        <v>36982Curve Shift/Gamma</v>
      </c>
      <c r="CN678" t="str">
        <f t="shared" si="747"/>
        <v>36982Rho</v>
      </c>
      <c r="CO678" t="str">
        <f t="shared" si="748"/>
        <v>36982Drift</v>
      </c>
      <c r="CP678" t="str">
        <f t="shared" si="749"/>
        <v>36982Vega</v>
      </c>
      <c r="CQ678" t="str">
        <f t="shared" si="750"/>
        <v>36982Theta</v>
      </c>
    </row>
    <row r="679" spans="1:95" x14ac:dyDescent="0.25">
      <c r="A679" s="140" t="s">
        <v>286</v>
      </c>
      <c r="B679" t="s">
        <v>250</v>
      </c>
      <c r="C679" t="s">
        <v>577</v>
      </c>
      <c r="D679" s="4" t="s">
        <v>7</v>
      </c>
      <c r="E679" t="s">
        <v>20</v>
      </c>
      <c r="F679" t="s">
        <v>1</v>
      </c>
      <c r="G679" s="5">
        <v>37043</v>
      </c>
      <c r="H679" s="130">
        <v>1000000</v>
      </c>
      <c r="I679" s="235">
        <v>0.3</v>
      </c>
      <c r="J679" s="53">
        <f t="shared" si="810"/>
        <v>3.8180000000000001</v>
      </c>
      <c r="K679" s="7">
        <f t="shared" si="811"/>
        <v>0.39500000000000002</v>
      </c>
      <c r="L679" s="53">
        <f t="shared" si="812"/>
        <v>4.2130000000000001</v>
      </c>
      <c r="M679" s="157">
        <f t="shared" si="813"/>
        <v>6.9141890053328006E-2</v>
      </c>
      <c r="N679" s="4">
        <f t="shared" si="814"/>
        <v>0.4</v>
      </c>
      <c r="O679" s="4">
        <f t="shared" si="815"/>
        <v>0.39200000000000002</v>
      </c>
      <c r="P679" s="9">
        <f t="shared" si="816"/>
        <v>0.9738</v>
      </c>
      <c r="Q679" s="5">
        <f t="shared" si="771"/>
        <v>37041</v>
      </c>
      <c r="R679" s="4">
        <f t="shared" si="817"/>
        <v>0</v>
      </c>
      <c r="S679" s="158">
        <f>_xll.xSPRDOPT($L679,$J679,$I679,$M679,$O679,$N679,$P679,$Q679-$C$3,$R679,0)</f>
        <v>8.3169699169893974E-2</v>
      </c>
      <c r="T679" s="159">
        <f>_xll.xSPRDOPT($L679,$J679,$I679,$M679,$O679,$N679,$P679,$Q679-$C$3,$R679,1)*H679</f>
        <v>-351044.17610263225</v>
      </c>
      <c r="U679" s="160">
        <f t="shared" si="818"/>
        <v>83169.699169893967</v>
      </c>
      <c r="V679" s="159">
        <f>_xll.xSPRDOPT($L679,$J679,$I679,$M679,$O679,$N679,$P679,$Q679-$C$3,$R679,2)*H679</f>
        <v>378060.10000984446</v>
      </c>
      <c r="W679" s="159">
        <f t="shared" si="819"/>
        <v>27015.923907212215</v>
      </c>
      <c r="X679" s="51" t="str">
        <f t="shared" si="820"/>
        <v>37043IF-TRANSCO/Z6</v>
      </c>
      <c r="Y679" s="418">
        <f t="shared" si="821"/>
        <v>100</v>
      </c>
      <c r="Z679" s="456">
        <f t="shared" si="822"/>
        <v>-0.35104417610263222</v>
      </c>
      <c r="AA679" s="456">
        <f>_xll.xSPRDOPT($L679,$J679,$I679,$M679,$O679,$N679,$P679,$Q679-$C$3,$R679,3)</f>
        <v>1.0905369348515652</v>
      </c>
      <c r="AB679" s="456">
        <f>((_xll.xSPRDOPT($L679+AB$5,$J679,$I679,$M679,$O679,$N679,$P679,$Q679-$C$3,$R679,3)*$H679)/10000)/100</f>
        <v>1.0905369348515652</v>
      </c>
      <c r="AC679" s="456">
        <f>((_xll.xSPRDOPT($L679+$AB$5,$J679,$I679,$M679,$O679,$N679,$P679,$Q679-$C$3,$R679,7)*$H679)/100)</f>
        <v>-21100.794363858964</v>
      </c>
      <c r="AD679" s="456">
        <f>(_xll.xSPRDOPT($L679+$AB$5,$J679,$I679,$M679,$O679,$N679,$P679,$Q679-$C$3,$R679,9)/365)*$H679</f>
        <v>-200.56062032264413</v>
      </c>
      <c r="AE679">
        <f t="shared" si="770"/>
        <v>0</v>
      </c>
      <c r="AF679" s="456">
        <f t="shared" si="823"/>
        <v>2961.4929978078417</v>
      </c>
      <c r="AG679" s="456">
        <f>((_xll.xSPRDOPT($L679,$J679,$I679,$M679,$O679,$N679,$P679,$Q679-$C$3,$R679,6)*$H679)/100)</f>
        <v>-1450.675294286825</v>
      </c>
      <c r="AH679" s="456">
        <f>((_xll.xSPRDOPT($L679,$J679,$I679,$M679,$O679,$N679,$P679,$Q679-$C$3,$R679,5)*$H679)/100)</f>
        <v>4502.2125429537418</v>
      </c>
      <c r="AI679" s="456">
        <f>(((_xll.xSPRDOPT($L679,$J679,$I679,$M679,$O679,$N679,$P679,$Q679-$C$3,$R679,4)*$H679)/10000)/100)-AB679</f>
        <v>5.0704594027751737E-2</v>
      </c>
      <c r="AJ679" s="456"/>
      <c r="CC679" s="141">
        <f t="shared" si="805"/>
        <v>37012</v>
      </c>
      <c r="CD679" s="234">
        <f>_xll.xSPRDOPT((VLOOKUP(G678,NGPrices,2,FALSE)+HLOOKUP(D678,Prices,VLOOKUP(G678,move_down,2,FALSE),FALSE)),VLOOKUP(G678,NGPrices,2,FALSE),I678,VLOOKUP(G678,NGPREVPRICES,4,FALSE),HLOOKUP(D678,PREVVOLS,VLOOKUP(G678,MOVE_DOWN2,2,FALSE),FALSE),VLOOKUP(G678,NGPREVPRICES,3,FALSE),HLOOKUP(D678,Correllate,VLOOKUP(G678,CorMove,2,FALSE),FALSE),Q678-$CD$3,R678,$CD$5)*H678-CJ679</f>
        <v>0</v>
      </c>
      <c r="CE679" s="234">
        <f>_xll.xSPRDOPT((VLOOKUP(G678,NGPREVPRICES,2,FALSE)+HLOOKUP(D678,PREVCURVES,VLOOKUP(G678,MOVE_DOWN2,2,FALSE),FALSE)),VLOOKUP(G678,NGPREVPRICES,2,FALSE),CK679,VLOOKUP(G678,NGPrices,4,FALSE),HLOOKUP(D678,PREVVOLS,VLOOKUP(G678,MOVE_DOWN2,2,FALSE),FALSE),VLOOKUP(G678,NGPREVPRICES,3,FALSE),HLOOKUP(D678,Correllate,VLOOKUP(G678,CorMove,2,FALSE),FALSE),Q678-$CD$3,R678,$CJ$5)*H678-CJ679</f>
        <v>0</v>
      </c>
      <c r="CF679" s="10">
        <f t="shared" si="806"/>
        <v>-14.597764982463559</v>
      </c>
      <c r="CG679" s="234">
        <f>_xll.xSPRDOPT((VLOOKUP(G678,NGPREVPRICES,2,FALSE)+HLOOKUP(D678,PREVCURVES,VLOOKUP(G678,MOVE_DOWN2,2,FALSE),FALSE)),VLOOKUP(G678,NGPREVPRICES,2,FALSE),CK679,VLOOKUP(G678,NGPREVPRICES,4,FALSE),HLOOKUP(D678,VOLS,VLOOKUP(G678,move_down,2,FALSE),FALSE),VLOOKUP(G678,NGPrices,3,FALSE),HLOOKUP(D678,Correllate,VLOOKUP(G678,CorMove,2,FALSE),FALSE),Q678-$CD$3,R678,$CJ$5)*H678-CJ679</f>
        <v>0</v>
      </c>
      <c r="CH679" s="234">
        <f>_xll.xSPRDOPT((VLOOKUP(G678,NGPREVPRICES,2,FALSE)+HLOOKUP(D678,PREVCURVES,VLOOKUP(G678,MOVE_DOWN2,2,FALSE),FALSE)),VLOOKUP(G678,NGPREVPRICES,2,FALSE),CK679,VLOOKUP(G678,NGPREVPRICES,4,FALSE),HLOOKUP(D678,PREVVOLS,VLOOKUP(G678,MOVE_DOWN2,2,FALSE),FALSE),VLOOKUP(G678,NGPREVPRICES,3,FALSE),HLOOKUP(D678,Correllate,VLOOKUP(G678,CorMove,2,FALSE),FALSE),Q678-$C$3,R678,$CJ$5)*H678-CJ679</f>
        <v>-218.32192737692094</v>
      </c>
      <c r="CI679" s="234">
        <f t="shared" si="807"/>
        <v>-232.9196923593845</v>
      </c>
      <c r="CJ679" s="234">
        <f>_xll.xSPRDOPT((VLOOKUP(G678,NGPREVPRICES,2,FALSE)+HLOOKUP(D678,PREVCURVES,VLOOKUP(G678,MOVE_DOWN2,2,FALSE),FALSE)),VLOOKUP(G678,NGPREVPRICES,2,FALSE),CK679,VLOOKUP(G678,NGPREVPRICES,4,FALSE),HLOOKUP(D678,PREVVOLS,VLOOKUP(G678,MOVE_DOWN2,2,FALSE),FALSE),VLOOKUP(G678,NGPREVPRICES,3,FALSE),HLOOKUP(D678,Correllate,VLOOKUP(G678,CorMove,2,FALSE),FALSE),Q678-$CD$3,R678,$CJ$5)*H678</f>
        <v>75040.449341795596</v>
      </c>
      <c r="CK679" s="235">
        <f t="shared" si="808"/>
        <v>0.3</v>
      </c>
      <c r="CM679" t="str">
        <f t="shared" si="809"/>
        <v>37012Curve Shift/Gamma</v>
      </c>
      <c r="CN679" t="str">
        <f t="shared" si="747"/>
        <v>37012Rho</v>
      </c>
      <c r="CO679" t="str">
        <f t="shared" si="748"/>
        <v>37012Drift</v>
      </c>
      <c r="CP679" t="str">
        <f t="shared" si="749"/>
        <v>37012Vega</v>
      </c>
      <c r="CQ679" t="str">
        <f t="shared" si="750"/>
        <v>37012Theta</v>
      </c>
    </row>
    <row r="680" spans="1:95" x14ac:dyDescent="0.25">
      <c r="A680" s="140" t="s">
        <v>286</v>
      </c>
      <c r="B680" t="s">
        <v>250</v>
      </c>
      <c r="C680" t="s">
        <v>577</v>
      </c>
      <c r="D680" s="4" t="s">
        <v>7</v>
      </c>
      <c r="E680" t="s">
        <v>20</v>
      </c>
      <c r="F680" t="s">
        <v>1</v>
      </c>
      <c r="G680" s="5">
        <v>37073</v>
      </c>
      <c r="H680" s="130">
        <v>1000000</v>
      </c>
      <c r="I680" s="235">
        <v>0.3</v>
      </c>
      <c r="J680" s="53">
        <f t="shared" si="810"/>
        <v>3.8029999999999999</v>
      </c>
      <c r="K680" s="7">
        <f t="shared" si="811"/>
        <v>0.46</v>
      </c>
      <c r="L680" s="53">
        <f t="shared" si="812"/>
        <v>4.2629999999999999</v>
      </c>
      <c r="M680" s="157">
        <f t="shared" si="813"/>
        <v>6.9181571268567998E-2</v>
      </c>
      <c r="N680" s="4">
        <f t="shared" si="814"/>
        <v>0.4</v>
      </c>
      <c r="O680" s="4">
        <f t="shared" si="815"/>
        <v>0.39200000000000002</v>
      </c>
      <c r="P680" s="9">
        <f t="shared" si="816"/>
        <v>0.9738</v>
      </c>
      <c r="Q680" s="5">
        <f t="shared" si="771"/>
        <v>37070</v>
      </c>
      <c r="R680" s="4">
        <f t="shared" si="817"/>
        <v>0</v>
      </c>
      <c r="S680" s="158">
        <f>_xll.xSPRDOPT($L680,$J680,$I680,$M680,$O680,$N680,$P680,$Q680-$C$3,$R680,0)</f>
        <v>6.7557221876477447E-2</v>
      </c>
      <c r="T680" s="159">
        <f>_xll.xSPRDOPT($L680,$J680,$I680,$M680,$O680,$N680,$P680,$Q680-$C$3,$R680,1)*H680</f>
        <v>-288530.17374395364</v>
      </c>
      <c r="U680" s="160">
        <f t="shared" si="818"/>
        <v>67557.221876477444</v>
      </c>
      <c r="V680" s="159">
        <f>_xll.xSPRDOPT($L680,$J680,$I680,$M680,$O680,$N680,$P680,$Q680-$C$3,$R680,2)*H680</f>
        <v>314921.86833396432</v>
      </c>
      <c r="W680" s="159">
        <f t="shared" si="819"/>
        <v>26391.69459001068</v>
      </c>
      <c r="X680" s="51" t="str">
        <f t="shared" si="820"/>
        <v>37073IF-TRANSCO/Z6</v>
      </c>
      <c r="Y680" s="418">
        <f t="shared" si="821"/>
        <v>100</v>
      </c>
      <c r="Z680" s="456">
        <f t="shared" si="822"/>
        <v>-0.28853017374395362</v>
      </c>
      <c r="AA680" s="456">
        <f>_xll.xSPRDOPT($L680,$J680,$I680,$M680,$O680,$N680,$P680,$Q680-$C$3,$R680,3)</f>
        <v>0.94571843122483801</v>
      </c>
      <c r="AB680" s="456">
        <f>((_xll.xSPRDOPT($L680+AB$5,$J680,$I680,$M680,$O680,$N680,$P680,$Q680-$C$3,$R680,3)*$H680)/10000)/100</f>
        <v>0.94571843122483801</v>
      </c>
      <c r="AC680" s="456">
        <f>((_xll.xSPRDOPT($L680+$AB$5,$J680,$I680,$M680,$O680,$N680,$P680,$Q680-$C$3,$R680,7)*$H680)/100)</f>
        <v>-20699.204761954381</v>
      </c>
      <c r="AD680" s="456">
        <f>(_xll.xSPRDOPT($L680+$AB$5,$J680,$I680,$M680,$O680,$N680,$P680,$Q680-$C$3,$R680,9)/365)*$H680</f>
        <v>-179.77338379046751</v>
      </c>
      <c r="AE680">
        <f t="shared" si="770"/>
        <v>0</v>
      </c>
      <c r="AF680" s="456">
        <f t="shared" si="823"/>
        <v>2915.5608460456697</v>
      </c>
      <c r="AG680" s="456">
        <f>((_xll.xSPRDOPT($L680,$J680,$I680,$M680,$O680,$N680,$P680,$Q680-$C$3,$R680,6)*$H680)/100)</f>
        <v>-1464.1220623986089</v>
      </c>
      <c r="AH680" s="456">
        <f>((_xll.xSPRDOPT($L680,$J680,$I680,$M680,$O680,$N680,$P680,$Q680-$C$3,$R680,5)*$H680)/100)</f>
        <v>4469.0641922900804</v>
      </c>
      <c r="AI680" s="456">
        <f>(((_xll.xSPRDOPT($L680,$J680,$I680,$M680,$O680,$N680,$P680,$Q680-$C$3,$R680,4)*$H680)/10000)/100)-AB680</f>
        <v>7.3791601006747087E-2</v>
      </c>
      <c r="AJ680" s="456"/>
      <c r="CC680" s="141">
        <f t="shared" si="805"/>
        <v>37043</v>
      </c>
      <c r="CD680" s="234">
        <f>_xll.xSPRDOPT((VLOOKUP(G679,NGPrices,2,FALSE)+HLOOKUP(D679,Prices,VLOOKUP(G679,move_down,2,FALSE),FALSE)),VLOOKUP(G679,NGPrices,2,FALSE),I679,VLOOKUP(G679,NGPREVPRICES,4,FALSE),HLOOKUP(D679,PREVVOLS,VLOOKUP(G679,MOVE_DOWN2,2,FALSE),FALSE),VLOOKUP(G679,NGPREVPRICES,3,FALSE),HLOOKUP(D679,Correllate,VLOOKUP(G679,CorMove,2,FALSE),FALSE),Q679-$CD$3,R679,$CD$5)*H679-CJ680</f>
        <v>0</v>
      </c>
      <c r="CE680" s="234">
        <f>_xll.xSPRDOPT((VLOOKUP(G679,NGPREVPRICES,2,FALSE)+HLOOKUP(D679,PREVCURVES,VLOOKUP(G679,MOVE_DOWN2,2,FALSE),FALSE)),VLOOKUP(G679,NGPREVPRICES,2,FALSE),CK680,VLOOKUP(G679,NGPrices,4,FALSE),HLOOKUP(D679,PREVVOLS,VLOOKUP(G679,MOVE_DOWN2,2,FALSE),FALSE),VLOOKUP(G679,NGPREVPRICES,3,FALSE),HLOOKUP(D679,Correllate,VLOOKUP(G679,CorMove,2,FALSE),FALSE),Q679-$CD$3,R679,$CJ$5)*H679-CJ680</f>
        <v>0</v>
      </c>
      <c r="CF680" s="10">
        <f t="shared" si="806"/>
        <v>-16.320121045893757</v>
      </c>
      <c r="CG680" s="234">
        <f>_xll.xSPRDOPT((VLOOKUP(G679,NGPREVPRICES,2,FALSE)+HLOOKUP(D679,PREVCURVES,VLOOKUP(G679,MOVE_DOWN2,2,FALSE),FALSE)),VLOOKUP(G679,NGPREVPRICES,2,FALSE),CK680,VLOOKUP(G679,NGPREVPRICES,4,FALSE),HLOOKUP(D679,VOLS,VLOOKUP(G679,move_down,2,FALSE),FALSE),VLOOKUP(G679,NGPrices,3,FALSE),HLOOKUP(D679,Correllate,VLOOKUP(G679,CorMove,2,FALSE),FALSE),Q679-$CD$3,R679,$CJ$5)*H679-CJ680</f>
        <v>0</v>
      </c>
      <c r="CH680" s="234">
        <f>_xll.xSPRDOPT((VLOOKUP(G679,NGPREVPRICES,2,FALSE)+HLOOKUP(D679,PREVCURVES,VLOOKUP(G679,MOVE_DOWN2,2,FALSE),FALSE)),VLOOKUP(G679,NGPREVPRICES,2,FALSE),CK680,VLOOKUP(G679,NGPREVPRICES,4,FALSE),HLOOKUP(D679,PREVVOLS,VLOOKUP(G679,MOVE_DOWN2,2,FALSE),FALSE),VLOOKUP(G679,NGPREVPRICES,3,FALSE),HLOOKUP(D679,Correllate,VLOOKUP(G679,CorMove,2,FALSE),FALSE),Q679-$C$3,R679,$CJ$5)*H679-CJ680</f>
        <v>-200.20674613480514</v>
      </c>
      <c r="CI680" s="234">
        <f t="shared" si="807"/>
        <v>-216.5268671806989</v>
      </c>
      <c r="CJ680" s="234">
        <f>_xll.xSPRDOPT((VLOOKUP(G679,NGPREVPRICES,2,FALSE)+HLOOKUP(D679,PREVCURVES,VLOOKUP(G679,MOVE_DOWN2,2,FALSE),FALSE)),VLOOKUP(G679,NGPREVPRICES,2,FALSE),CK680,VLOOKUP(G679,NGPREVPRICES,4,FALSE),HLOOKUP(D679,PREVVOLS,VLOOKUP(G679,MOVE_DOWN2,2,FALSE),FALSE),VLOOKUP(G679,NGPREVPRICES,3,FALSE),HLOOKUP(D679,Correllate,VLOOKUP(G679,CorMove,2,FALSE),FALSE),Q679-$CD$3,R679,$CJ$5)*H679</f>
        <v>83369.905916028772</v>
      </c>
      <c r="CK680" s="235">
        <f t="shared" si="808"/>
        <v>0.3</v>
      </c>
      <c r="CM680" t="str">
        <f t="shared" si="809"/>
        <v>37043Curve Shift/Gamma</v>
      </c>
      <c r="CN680" t="str">
        <f t="shared" si="747"/>
        <v>37043Rho</v>
      </c>
      <c r="CO680" t="str">
        <f t="shared" si="748"/>
        <v>37043Drift</v>
      </c>
      <c r="CP680" t="str">
        <f t="shared" si="749"/>
        <v>37043Vega</v>
      </c>
      <c r="CQ680" t="str">
        <f t="shared" si="750"/>
        <v>37043Theta</v>
      </c>
    </row>
    <row r="681" spans="1:95" x14ac:dyDescent="0.25">
      <c r="A681" s="140" t="s">
        <v>286</v>
      </c>
      <c r="B681" t="s">
        <v>250</v>
      </c>
      <c r="C681" t="s">
        <v>577</v>
      </c>
      <c r="D681" s="4" t="s">
        <v>7</v>
      </c>
      <c r="E681" t="s">
        <v>20</v>
      </c>
      <c r="F681" t="s">
        <v>1</v>
      </c>
      <c r="G681" s="5">
        <v>37104</v>
      </c>
      <c r="H681" s="130">
        <v>1000000</v>
      </c>
      <c r="I681" s="235">
        <v>0.3</v>
      </c>
      <c r="J681" s="53">
        <f t="shared" si="810"/>
        <v>3.8079999999999998</v>
      </c>
      <c r="K681" s="7">
        <f t="shared" si="811"/>
        <v>0.46</v>
      </c>
      <c r="L681" s="53">
        <f t="shared" si="812"/>
        <v>4.2679999999999998</v>
      </c>
      <c r="M681" s="157">
        <f t="shared" si="813"/>
        <v>6.9223060737754999E-2</v>
      </c>
      <c r="N681" s="4">
        <f t="shared" si="814"/>
        <v>0.4</v>
      </c>
      <c r="O681" s="4">
        <f t="shared" si="815"/>
        <v>0.39200000000000002</v>
      </c>
      <c r="P681" s="9">
        <f t="shared" si="816"/>
        <v>0.9738</v>
      </c>
      <c r="Q681" s="5">
        <f t="shared" si="771"/>
        <v>37102</v>
      </c>
      <c r="R681" s="4">
        <f t="shared" si="817"/>
        <v>0</v>
      </c>
      <c r="S681" s="158">
        <f>_xll.xSPRDOPT($L681,$J681,$I681,$M681,$O681,$N681,$P681,$Q681-$C$3,$R681,0)</f>
        <v>7.3287572111294608E-2</v>
      </c>
      <c r="T681" s="159">
        <f>_xll.xSPRDOPT($L681,$J681,$I681,$M681,$O681,$N681,$P681,$Q681-$C$3,$R681,1)*H681</f>
        <v>-293796.0788254271</v>
      </c>
      <c r="U681" s="160">
        <f t="shared" si="818"/>
        <v>73287.572111294605</v>
      </c>
      <c r="V681" s="159">
        <f>_xll.xSPRDOPT($L681,$J681,$I681,$M681,$O681,$N681,$P681,$Q681-$C$3,$R681,2)*H681</f>
        <v>321671.7723489395</v>
      </c>
      <c r="W681" s="159">
        <f t="shared" si="819"/>
        <v>27875.693523512396</v>
      </c>
      <c r="X681" s="51" t="str">
        <f t="shared" si="820"/>
        <v>37104IF-TRANSCO/Z6</v>
      </c>
      <c r="Y681" s="418">
        <f t="shared" si="821"/>
        <v>100</v>
      </c>
      <c r="Z681" s="456">
        <f t="shared" si="822"/>
        <v>-0.29379607882542708</v>
      </c>
      <c r="AA681" s="456">
        <f>_xll.xSPRDOPT($L681,$J681,$I681,$M681,$O681,$N681,$P681,$Q681-$C$3,$R681,3)</f>
        <v>0.90219036827034238</v>
      </c>
      <c r="AB681" s="456">
        <f>((_xll.xSPRDOPT($L681+AB$5,$J681,$I681,$M681,$O681,$N681,$P681,$Q681-$C$3,$R681,3)*$H681)/10000)/100</f>
        <v>0.90219036827034227</v>
      </c>
      <c r="AC681" s="456">
        <f>((_xll.xSPRDOPT($L681+$AB$5,$J681,$I681,$M681,$O681,$N681,$P681,$Q681-$C$3,$R681,7)*$H681)/100)</f>
        <v>-21886.942631889182</v>
      </c>
      <c r="AD681" s="456">
        <f>(_xll.xSPRDOPT($L681+$AB$5,$J681,$I681,$M681,$O681,$N681,$P681,$Q681-$C$3,$R681,9)/365)*$H681</f>
        <v>-170.44980622048666</v>
      </c>
      <c r="AE681">
        <f t="shared" si="770"/>
        <v>0</v>
      </c>
      <c r="AF681" s="456">
        <f t="shared" si="823"/>
        <v>3085.7313740629988</v>
      </c>
      <c r="AG681" s="456">
        <f>((_xll.xSPRDOPT($L681,$J681,$I681,$M681,$O681,$N681,$P681,$Q681-$C$3,$R681,6)*$H681)/100)</f>
        <v>-1535.2458770769181</v>
      </c>
      <c r="AH681" s="456">
        <f>((_xll.xSPRDOPT($L681,$J681,$I681,$M681,$O681,$N681,$P681,$Q681-$C$3,$R681,5)*$H681)/100)</f>
        <v>4715.2829093264463</v>
      </c>
      <c r="AI681" s="456">
        <f>(((_xll.xSPRDOPT($L681,$J681,$I681,$M681,$O681,$N681,$P681,$Q681-$C$3,$R681,4)*$H681)/10000)/100)-AB681</f>
        <v>7.0530485563375711E-2</v>
      </c>
      <c r="AJ681" s="456"/>
      <c r="CC681" s="141">
        <f t="shared" si="805"/>
        <v>37073</v>
      </c>
      <c r="CD681" s="234">
        <f>_xll.xSPRDOPT((VLOOKUP(G680,NGPrices,2,FALSE)+HLOOKUP(D680,Prices,VLOOKUP(G680,move_down,2,FALSE),FALSE)),VLOOKUP(G680,NGPrices,2,FALSE),I680,VLOOKUP(G680,NGPREVPRICES,4,FALSE),HLOOKUP(D680,PREVVOLS,VLOOKUP(G680,MOVE_DOWN2,2,FALSE),FALSE),VLOOKUP(G680,NGPREVPRICES,3,FALSE),HLOOKUP(D680,Correllate,VLOOKUP(G680,CorMove,2,FALSE),FALSE),Q680-$CD$3,R680,$CD$5)*H680-CJ681</f>
        <v>0</v>
      </c>
      <c r="CE681" s="234">
        <f>_xll.xSPRDOPT((VLOOKUP(G680,NGPREVPRICES,2,FALSE)+HLOOKUP(D680,PREVCURVES,VLOOKUP(G680,MOVE_DOWN2,2,FALSE),FALSE)),VLOOKUP(G680,NGPREVPRICES,2,FALSE),CK681,VLOOKUP(G680,NGPrices,4,FALSE),HLOOKUP(D680,PREVVOLS,VLOOKUP(G680,MOVE_DOWN2,2,FALSE),FALSE),VLOOKUP(G680,NGPREVPRICES,3,FALSE),HLOOKUP(D680,Correllate,VLOOKUP(G680,CorMove,2,FALSE),FALSE),Q680-$CD$3,R680,$CJ$5)*H680-CJ681</f>
        <v>0</v>
      </c>
      <c r="CF681" s="10">
        <f t="shared" si="806"/>
        <v>-13.340027717174962</v>
      </c>
      <c r="CG681" s="234">
        <f>_xll.xSPRDOPT((VLOOKUP(G680,NGPREVPRICES,2,FALSE)+HLOOKUP(D680,PREVCURVES,VLOOKUP(G680,MOVE_DOWN2,2,FALSE),FALSE)),VLOOKUP(G680,NGPREVPRICES,2,FALSE),CK681,VLOOKUP(G680,NGPREVPRICES,4,FALSE),HLOOKUP(D680,VOLS,VLOOKUP(G680,move_down,2,FALSE),FALSE),VLOOKUP(G680,NGPrices,3,FALSE),HLOOKUP(D680,Correllate,VLOOKUP(G680,CorMove,2,FALSE),FALSE),Q680-$CD$3,R680,$CJ$5)*H680-CJ681</f>
        <v>0</v>
      </c>
      <c r="CH681" s="234">
        <f>_xll.xSPRDOPT((VLOOKUP(G680,NGPREVPRICES,2,FALSE)+HLOOKUP(D680,PREVCURVES,VLOOKUP(G680,MOVE_DOWN2,2,FALSE),FALSE)),VLOOKUP(G680,NGPREVPRICES,2,FALSE),CK681,VLOOKUP(G680,NGPREVPRICES,4,FALSE),HLOOKUP(D680,PREVVOLS,VLOOKUP(G680,MOVE_DOWN2,2,FALSE),FALSE),VLOOKUP(G680,NGPREVPRICES,3,FALSE),HLOOKUP(D680,Correllate,VLOOKUP(G680,CorMove,2,FALSE),FALSE),Q680-$C$3,R680,$CJ$5)*H680-CJ681</f>
        <v>-179.49372996034799</v>
      </c>
      <c r="CI681" s="234">
        <f t="shared" si="807"/>
        <v>-192.83375767752295</v>
      </c>
      <c r="CJ681" s="234">
        <f>_xll.xSPRDOPT((VLOOKUP(G680,NGPREVPRICES,2,FALSE)+HLOOKUP(D680,PREVCURVES,VLOOKUP(G680,MOVE_DOWN2,2,FALSE),FALSE)),VLOOKUP(G680,NGPREVPRICES,2,FALSE),CK681,VLOOKUP(G680,NGPREVPRICES,4,FALSE),HLOOKUP(D680,PREVVOLS,VLOOKUP(G680,MOVE_DOWN2,2,FALSE),FALSE),VLOOKUP(G680,NGPREVPRICES,3,FALSE),HLOOKUP(D680,Correllate,VLOOKUP(G680,CorMove,2,FALSE),FALSE),Q680-$CD$3,R680,$CJ$5)*H680</f>
        <v>67736.715606437792</v>
      </c>
      <c r="CK681" s="235">
        <f t="shared" si="808"/>
        <v>0.3</v>
      </c>
      <c r="CM681" t="str">
        <f t="shared" si="809"/>
        <v>37073Curve Shift/Gamma</v>
      </c>
      <c r="CN681" t="str">
        <f t="shared" si="747"/>
        <v>37073Rho</v>
      </c>
      <c r="CO681" t="str">
        <f t="shared" si="748"/>
        <v>37073Drift</v>
      </c>
      <c r="CP681" t="str">
        <f t="shared" si="749"/>
        <v>37073Vega</v>
      </c>
      <c r="CQ681" t="str">
        <f t="shared" si="750"/>
        <v>37073Theta</v>
      </c>
    </row>
    <row r="682" spans="1:95" x14ac:dyDescent="0.25">
      <c r="A682" s="140" t="s">
        <v>286</v>
      </c>
      <c r="B682" t="s">
        <v>250</v>
      </c>
      <c r="C682" t="s">
        <v>577</v>
      </c>
      <c r="D682" s="4" t="s">
        <v>7</v>
      </c>
      <c r="E682" t="s">
        <v>20</v>
      </c>
      <c r="F682" t="s">
        <v>1</v>
      </c>
      <c r="G682" s="5">
        <v>37135</v>
      </c>
      <c r="H682" s="130">
        <v>1000000</v>
      </c>
      <c r="I682" s="235">
        <v>0.3</v>
      </c>
      <c r="J682" s="53">
        <f t="shared" si="810"/>
        <v>3.7879999999999998</v>
      </c>
      <c r="K682" s="7">
        <f t="shared" si="811"/>
        <v>0.39500000000000002</v>
      </c>
      <c r="L682" s="53">
        <f t="shared" si="812"/>
        <v>4.1829999999999998</v>
      </c>
      <c r="M682" s="157">
        <f t="shared" si="813"/>
        <v>6.9264550207512002E-2</v>
      </c>
      <c r="N682" s="4">
        <f t="shared" si="814"/>
        <v>0.4</v>
      </c>
      <c r="O682" s="4">
        <f t="shared" si="815"/>
        <v>0.39200000000000002</v>
      </c>
      <c r="P682" s="9">
        <f t="shared" si="816"/>
        <v>0.9738</v>
      </c>
      <c r="Q682" s="5">
        <f t="shared" si="771"/>
        <v>37133</v>
      </c>
      <c r="R682" s="4">
        <f t="shared" si="817"/>
        <v>0</v>
      </c>
      <c r="S682" s="158">
        <f>_xll.xSPRDOPT($L682,$J682,$I682,$M682,$O682,$N682,$P682,$Q682-$C$3,$R682,0)</f>
        <v>9.9050550041599406E-2</v>
      </c>
      <c r="T682" s="159">
        <f>_xll.xSPRDOPT($L682,$J682,$I682,$M682,$O682,$N682,$P682,$Q682-$C$3,$R682,1)*H682</f>
        <v>-356044.50043149327</v>
      </c>
      <c r="U682" s="160">
        <f t="shared" si="818"/>
        <v>99050.550041599403</v>
      </c>
      <c r="V682" s="159">
        <f>_xll.xSPRDOPT($L682,$J682,$I682,$M682,$O682,$N682,$P682,$Q682-$C$3,$R682,2)*H682</f>
        <v>387001.56641587027</v>
      </c>
      <c r="W682" s="159">
        <f t="shared" si="819"/>
        <v>30957.065984376997</v>
      </c>
      <c r="X682" s="51" t="str">
        <f t="shared" si="820"/>
        <v>37135IF-TRANSCO/Z6</v>
      </c>
      <c r="Y682" s="418">
        <f t="shared" si="821"/>
        <v>100</v>
      </c>
      <c r="Z682" s="456">
        <f t="shared" si="822"/>
        <v>-0.35604450043149327</v>
      </c>
      <c r="AA682" s="456">
        <f>_xll.xSPRDOPT($L682,$J682,$I682,$M682,$O682,$N682,$P682,$Q682-$C$3,$R682,3)</f>
        <v>0.94211922754250732</v>
      </c>
      <c r="AB682" s="456">
        <f>((_xll.xSPRDOPT($L682+AB$5,$J682,$I682,$M682,$O682,$N682,$P682,$Q682-$C$3,$R682,3)*$H682)/10000)/100</f>
        <v>0.94211922754250732</v>
      </c>
      <c r="AC682" s="456">
        <f>((_xll.xSPRDOPT($L682+$AB$5,$J682,$I682,$M682,$O682,$N682,$P682,$Q682-$C$3,$R682,7)*$H682)/100)</f>
        <v>-23995.183722836027</v>
      </c>
      <c r="AD682" s="456">
        <f>(_xll.xSPRDOPT($L682+$AB$5,$J682,$I682,$M682,$O682,$N682,$P682,$Q682-$C$3,$R682,9)/365)*$H682</f>
        <v>-166.19960816110941</v>
      </c>
      <c r="AE682">
        <f t="shared" si="770"/>
        <v>0</v>
      </c>
      <c r="AF682" s="456">
        <f t="shared" si="823"/>
        <v>3383.1098702826248</v>
      </c>
      <c r="AG682" s="456">
        <f>((_xll.xSPRDOPT($L682,$J682,$I682,$M682,$O682,$N682,$P682,$Q682-$C$3,$R682,6)*$H682)/100)</f>
        <v>-1658.1348491132258</v>
      </c>
      <c r="AH682" s="456">
        <f>((_xll.xSPRDOPT($L682,$J682,$I682,$M682,$O682,$N682,$P682,$Q682-$C$3,$R682,5)*$H682)/100)</f>
        <v>5144.1272646896432</v>
      </c>
      <c r="AI682" s="456">
        <f>(((_xll.xSPRDOPT($L682,$J682,$I682,$M682,$O682,$N682,$P682,$Q682-$C$3,$R682,4)*$H682)/10000)/100)-AB682</f>
        <v>4.4751322299531382E-2</v>
      </c>
      <c r="AJ682" s="456"/>
      <c r="CC682" s="141">
        <f t="shared" si="805"/>
        <v>37104</v>
      </c>
      <c r="CD682" s="234">
        <f>_xll.xSPRDOPT((VLOOKUP(G681,NGPrices,2,FALSE)+HLOOKUP(D681,Prices,VLOOKUP(G681,move_down,2,FALSE),FALSE)),VLOOKUP(G681,NGPrices,2,FALSE),I681,VLOOKUP(G681,NGPREVPRICES,4,FALSE),HLOOKUP(D681,PREVVOLS,VLOOKUP(G681,MOVE_DOWN2,2,FALSE),FALSE),VLOOKUP(G681,NGPREVPRICES,3,FALSE),HLOOKUP(D681,Correllate,VLOOKUP(G681,CorMove,2,FALSE),FALSE),Q681-$CD$3,R681,$CD$5)*H681-CJ682</f>
        <v>0</v>
      </c>
      <c r="CE682" s="234">
        <f>_xll.xSPRDOPT((VLOOKUP(G681,NGPREVPRICES,2,FALSE)+HLOOKUP(D681,PREVCURVES,VLOOKUP(G681,MOVE_DOWN2,2,FALSE),FALSE)),VLOOKUP(G681,NGPREVPRICES,2,FALSE),CK682,VLOOKUP(G681,NGPrices,4,FALSE),HLOOKUP(D681,PREVVOLS,VLOOKUP(G681,MOVE_DOWN2,2,FALSE),FALSE),VLOOKUP(G681,NGPREVPRICES,3,FALSE),HLOOKUP(D681,Correllate,VLOOKUP(G681,CorMove,2,FALSE),FALSE),Q681-$CD$3,R681,$CJ$5)*H681-CJ682</f>
        <v>0</v>
      </c>
      <c r="CF682" s="10">
        <f t="shared" si="806"/>
        <v>-14.556014141737251</v>
      </c>
      <c r="CG682" s="234">
        <f>_xll.xSPRDOPT((VLOOKUP(G681,NGPREVPRICES,2,FALSE)+HLOOKUP(D681,PREVCURVES,VLOOKUP(G681,MOVE_DOWN2,2,FALSE),FALSE)),VLOOKUP(G681,NGPREVPRICES,2,FALSE),CK682,VLOOKUP(G681,NGPREVPRICES,4,FALSE),HLOOKUP(D681,VOLS,VLOOKUP(G681,move_down,2,FALSE),FALSE),VLOOKUP(G681,NGPrices,3,FALSE),HLOOKUP(D681,Correllate,VLOOKUP(G681,CorMove,2,FALSE),FALSE),Q681-$CD$3,R681,$CJ$5)*H681-CJ682</f>
        <v>0</v>
      </c>
      <c r="CH682" s="234">
        <f>_xll.xSPRDOPT((VLOOKUP(G681,NGPREVPRICES,2,FALSE)+HLOOKUP(D681,PREVCURVES,VLOOKUP(G681,MOVE_DOWN2,2,FALSE),FALSE)),VLOOKUP(G681,NGPREVPRICES,2,FALSE),CK682,VLOOKUP(G681,NGPREVPRICES,4,FALSE),HLOOKUP(D681,PREVVOLS,VLOOKUP(G681,MOVE_DOWN2,2,FALSE),FALSE),VLOOKUP(G681,NGPREVPRICES,3,FALSE),HLOOKUP(D681,Correllate,VLOOKUP(G681,CorMove,2,FALSE),FALSE),Q681-$C$3,R681,$CJ$5)*H681-CJ682</f>
        <v>-170.19173082566704</v>
      </c>
      <c r="CI682" s="234">
        <f t="shared" si="807"/>
        <v>-184.74774496740429</v>
      </c>
      <c r="CJ682" s="234">
        <f>_xll.xSPRDOPT((VLOOKUP(G681,NGPREVPRICES,2,FALSE)+HLOOKUP(D681,PREVCURVES,VLOOKUP(G681,MOVE_DOWN2,2,FALSE),FALSE)),VLOOKUP(G681,NGPREVPRICES,2,FALSE),CK682,VLOOKUP(G681,NGPREVPRICES,4,FALSE),HLOOKUP(D681,PREVVOLS,VLOOKUP(G681,MOVE_DOWN2,2,FALSE),FALSE),VLOOKUP(G681,NGPREVPRICES,3,FALSE),HLOOKUP(D681,Correllate,VLOOKUP(G681,CorMove,2,FALSE),FALSE),Q681-$CD$3,R681,$CJ$5)*H681</f>
        <v>73457.763842120272</v>
      </c>
      <c r="CK682" s="235">
        <f t="shared" si="808"/>
        <v>0.3</v>
      </c>
      <c r="CM682" t="str">
        <f t="shared" si="809"/>
        <v>37104Curve Shift/Gamma</v>
      </c>
      <c r="CN682" t="str">
        <f t="shared" si="747"/>
        <v>37104Rho</v>
      </c>
      <c r="CO682" t="str">
        <f t="shared" si="748"/>
        <v>37104Drift</v>
      </c>
      <c r="CP682" t="str">
        <f t="shared" si="749"/>
        <v>37104Vega</v>
      </c>
      <c r="CQ682" t="str">
        <f t="shared" si="750"/>
        <v>37104Theta</v>
      </c>
    </row>
    <row r="683" spans="1:95" x14ac:dyDescent="0.25">
      <c r="A683" s="140" t="s">
        <v>286</v>
      </c>
      <c r="B683" t="s">
        <v>250</v>
      </c>
      <c r="C683" t="s">
        <v>577</v>
      </c>
      <c r="D683" s="4" t="s">
        <v>7</v>
      </c>
      <c r="E683" t="s">
        <v>20</v>
      </c>
      <c r="F683" t="s">
        <v>1</v>
      </c>
      <c r="G683" s="5">
        <v>37165</v>
      </c>
      <c r="H683" s="130">
        <v>1000000</v>
      </c>
      <c r="I683" s="235">
        <v>0.3</v>
      </c>
      <c r="J683" s="53">
        <f t="shared" si="810"/>
        <v>3.7730000000000001</v>
      </c>
      <c r="K683" s="7">
        <f t="shared" si="811"/>
        <v>0.46100000000000002</v>
      </c>
      <c r="L683" s="53">
        <f t="shared" si="812"/>
        <v>4.234</v>
      </c>
      <c r="M683" s="157">
        <f t="shared" si="813"/>
        <v>6.9300944538363995E-2</v>
      </c>
      <c r="N683" s="4">
        <f t="shared" si="814"/>
        <v>0.40250000000000002</v>
      </c>
      <c r="O683" s="4">
        <f t="shared" si="815"/>
        <v>0.39400000000000002</v>
      </c>
      <c r="P683" s="9">
        <f t="shared" si="816"/>
        <v>0.9738</v>
      </c>
      <c r="Q683" s="5">
        <f t="shared" si="771"/>
        <v>37161</v>
      </c>
      <c r="R683" s="4">
        <f t="shared" si="817"/>
        <v>0</v>
      </c>
      <c r="S683" s="158">
        <f>_xll.xSPRDOPT($L683,$J683,$I683,$M683,$O683,$N683,$P683,$Q683-$C$3,$R683,0)</f>
        <v>8.2110958320859739E-2</v>
      </c>
      <c r="T683" s="159">
        <f>_xll.xSPRDOPT($L683,$J683,$I683,$M683,$O683,$N683,$P683,$Q683-$C$3,$R683,1)*H683</f>
        <v>-299329.60201698932</v>
      </c>
      <c r="U683" s="160">
        <f t="shared" si="818"/>
        <v>82110.958320859732</v>
      </c>
      <c r="V683" s="159">
        <f>_xll.xSPRDOPT($L683,$J683,$I683,$M683,$O683,$N683,$P683,$Q683-$C$3,$R683,2)*H683</f>
        <v>329756.82671524951</v>
      </c>
      <c r="W683" s="159">
        <f t="shared" si="819"/>
        <v>30427.224698260194</v>
      </c>
      <c r="X683" s="51" t="str">
        <f t="shared" si="820"/>
        <v>37165IF-TRANSCO/Z6</v>
      </c>
      <c r="Y683" s="418">
        <f t="shared" si="821"/>
        <v>100</v>
      </c>
      <c r="Z683" s="456">
        <f t="shared" si="822"/>
        <v>-0.29932960201698933</v>
      </c>
      <c r="AA683" s="456">
        <f>_xll.xSPRDOPT($L683,$J683,$I683,$M683,$O683,$N683,$P683,$Q683-$C$3,$R683,3)</f>
        <v>0.83514426539601483</v>
      </c>
      <c r="AB683" s="456">
        <f>((_xll.xSPRDOPT($L683+AB$5,$J683,$I683,$M683,$O683,$N683,$P683,$Q683-$C$3,$R683,3)*$H683)/10000)/100</f>
        <v>0.83514426539601472</v>
      </c>
      <c r="AC683" s="456">
        <f>((_xll.xSPRDOPT($L683+$AB$5,$J683,$I683,$M683,$O683,$N683,$P683,$Q683-$C$3,$R683,7)*$H683)/100)</f>
        <v>-23704.446731743072</v>
      </c>
      <c r="AD683" s="456">
        <f>(_xll.xSPRDOPT($L683+$AB$5,$J683,$I683,$M683,$O683,$N683,$P683,$Q683-$C$3,$R683,9)/365)*$H683</f>
        <v>-154.46302926435726</v>
      </c>
      <c r="AE683">
        <f t="shared" si="770"/>
        <v>0</v>
      </c>
      <c r="AF683" s="456">
        <f t="shared" si="823"/>
        <v>3326.9589613253665</v>
      </c>
      <c r="AG683" s="456">
        <f>((_xll.xSPRDOPT($L683,$J683,$I683,$M683,$O683,$N683,$P683,$Q683-$C$3,$R683,6)*$H683)/100)</f>
        <v>-1609.7688818329279</v>
      </c>
      <c r="AH683" s="456">
        <f>((_xll.xSPRDOPT($L683,$J683,$I683,$M683,$O683,$N683,$P683,$Q683-$C$3,$R683,5)*$H683)/100)</f>
        <v>5043.2308550030803</v>
      </c>
      <c r="AI683" s="456">
        <f>(((_xll.xSPRDOPT($L683,$J683,$I683,$M683,$O683,$N683,$P683,$Q683-$C$3,$R683,4)*$H683)/10000)/100)-AB683</f>
        <v>6.6682182030036952E-2</v>
      </c>
      <c r="AJ683" s="456"/>
      <c r="CC683" s="141">
        <f t="shared" si="805"/>
        <v>37135</v>
      </c>
      <c r="CD683" s="234">
        <f>_xll.xSPRDOPT((VLOOKUP(G682,NGPrices,2,FALSE)+HLOOKUP(D682,Prices,VLOOKUP(G682,move_down,2,FALSE),FALSE)),VLOOKUP(G682,NGPrices,2,FALSE),I682,VLOOKUP(G682,NGPREVPRICES,4,FALSE),HLOOKUP(D682,PREVVOLS,VLOOKUP(G682,MOVE_DOWN2,2,FALSE),FALSE),VLOOKUP(G682,NGPREVPRICES,3,FALSE),HLOOKUP(D682,Correllate,VLOOKUP(G682,CorMove,2,FALSE),FALSE),Q682-$CD$3,R682,$CD$5)*H682-CJ683</f>
        <v>0</v>
      </c>
      <c r="CE683" s="234">
        <f>_xll.xSPRDOPT((VLOOKUP(G682,NGPREVPRICES,2,FALSE)+HLOOKUP(D682,PREVCURVES,VLOOKUP(G682,MOVE_DOWN2,2,FALSE),FALSE)),VLOOKUP(G682,NGPREVPRICES,2,FALSE),CK683,VLOOKUP(G682,NGPrices,4,FALSE),HLOOKUP(D682,PREVVOLS,VLOOKUP(G682,MOVE_DOWN2,2,FALSE),FALSE),VLOOKUP(G682,NGPREVPRICES,3,FALSE),HLOOKUP(D682,Correllate,VLOOKUP(G682,CorMove,2,FALSE),FALSE),Q682-$CD$3,R682,$CJ$5)*H682-CJ683</f>
        <v>0</v>
      </c>
      <c r="CF683" s="10">
        <f t="shared" si="806"/>
        <v>-19.781651217097533</v>
      </c>
      <c r="CG683" s="234">
        <f>_xll.xSPRDOPT((VLOOKUP(G682,NGPREVPRICES,2,FALSE)+HLOOKUP(D682,PREVCURVES,VLOOKUP(G682,MOVE_DOWN2,2,FALSE),FALSE)),VLOOKUP(G682,NGPREVPRICES,2,FALSE),CK683,VLOOKUP(G682,NGPREVPRICES,4,FALSE),HLOOKUP(D682,VOLS,VLOOKUP(G682,move_down,2,FALSE),FALSE),VLOOKUP(G682,NGPrices,3,FALSE),HLOOKUP(D682,Correllate,VLOOKUP(G682,CorMove,2,FALSE),FALSE),Q682-$CD$3,R682,$CJ$5)*H682-CJ683</f>
        <v>0</v>
      </c>
      <c r="CH683" s="234">
        <f>_xll.xSPRDOPT((VLOOKUP(G682,NGPREVPRICES,2,FALSE)+HLOOKUP(D682,PREVCURVES,VLOOKUP(G682,MOVE_DOWN2,2,FALSE),FALSE)),VLOOKUP(G682,NGPREVPRICES,2,FALSE),CK683,VLOOKUP(G682,NGPREVPRICES,4,FALSE),HLOOKUP(D682,PREVVOLS,VLOOKUP(G682,MOVE_DOWN2,2,FALSE),FALSE),VLOOKUP(G682,NGPREVPRICES,3,FALSE),HLOOKUP(D682,Correllate,VLOOKUP(G682,CorMove,2,FALSE),FALSE),Q682-$C$3,R682,$CJ$5)*H682-CJ683</f>
        <v>-165.93706345019746</v>
      </c>
      <c r="CI683" s="234">
        <f t="shared" si="807"/>
        <v>-185.71871466729499</v>
      </c>
      <c r="CJ683" s="234">
        <f>_xll.xSPRDOPT((VLOOKUP(G682,NGPREVPRICES,2,FALSE)+HLOOKUP(D682,PREVCURVES,VLOOKUP(G682,MOVE_DOWN2,2,FALSE),FALSE)),VLOOKUP(G682,NGPREVPRICES,2,FALSE),CK683,VLOOKUP(G682,NGPREVPRICES,4,FALSE),HLOOKUP(D682,PREVVOLS,VLOOKUP(G682,MOVE_DOWN2,2,FALSE),FALSE),VLOOKUP(G682,NGPREVPRICES,3,FALSE),HLOOKUP(D682,Correllate,VLOOKUP(G682,CorMove,2,FALSE),FALSE),Q682-$CD$3,R682,$CJ$5)*H682</f>
        <v>99216.4871050496</v>
      </c>
      <c r="CK683" s="235">
        <f t="shared" si="808"/>
        <v>0.3</v>
      </c>
      <c r="CM683" t="str">
        <f t="shared" si="809"/>
        <v>37135Curve Shift/Gamma</v>
      </c>
      <c r="CN683" t="str">
        <f t="shared" si="747"/>
        <v>37135Rho</v>
      </c>
      <c r="CO683" t="str">
        <f t="shared" si="748"/>
        <v>37135Drift</v>
      </c>
      <c r="CP683" t="str">
        <f t="shared" si="749"/>
        <v>37135Vega</v>
      </c>
      <c r="CQ683" t="str">
        <f t="shared" si="750"/>
        <v>37135Theta</v>
      </c>
    </row>
    <row r="684" spans="1:95" x14ac:dyDescent="0.25">
      <c r="A684" s="140" t="s">
        <v>279</v>
      </c>
      <c r="B684" t="s">
        <v>250</v>
      </c>
      <c r="C684" t="s">
        <v>578</v>
      </c>
      <c r="D684" s="4" t="s">
        <v>9</v>
      </c>
      <c r="E684" t="s">
        <v>20</v>
      </c>
      <c r="F684" t="s">
        <v>21</v>
      </c>
      <c r="G684" s="5">
        <v>36770</v>
      </c>
      <c r="H684" s="130">
        <v>-1000000</v>
      </c>
      <c r="I684" s="235">
        <v>-1.17</v>
      </c>
      <c r="J684" s="53">
        <f t="shared" ref="J684:J692" si="824">VLOOKUP(G684,NGPrices,2,FALSE)</f>
        <v>4.6849999999999996</v>
      </c>
      <c r="K684" s="7">
        <f t="shared" ref="K684:K692" si="825">HLOOKUP(D684,Prices,VLOOKUP(G684,move_down,2,FALSE),FALSE)+VLOOKUP(G684,CHANGE,HLOOKUP(D684,CHANGE,2,FALSE),FALSE)</f>
        <v>-1.24</v>
      </c>
      <c r="L684" s="53">
        <f t="shared" ref="L684:L692" si="826">K684+J684</f>
        <v>3.4449999999999994</v>
      </c>
      <c r="M684" s="157">
        <f t="shared" ref="M684:M692" si="827">VLOOKUP(G684,NGPrices,4,FALSE)</f>
        <v>6.7216196212184998E-2</v>
      </c>
      <c r="N684" s="4">
        <f t="shared" ref="N684:N692" si="828">VLOOKUP(G684,NGPrices,3,FALSE)</f>
        <v>0.4</v>
      </c>
      <c r="O684" s="4">
        <f t="shared" ref="O684:O692" si="829">HLOOKUP(D684,VOLS,VLOOKUP(G684,move_down,2,FALSE),FALSE)</f>
        <v>0.38400000000000001</v>
      </c>
      <c r="P684" s="9">
        <f t="shared" ref="P684:P692" si="830">HLOOKUP(D684,Correllate,VLOOKUP(G684,CorMove,2,FALSE),FALSE)</f>
        <v>0.84</v>
      </c>
      <c r="Q684" s="5">
        <f t="shared" si="771"/>
        <v>36768</v>
      </c>
      <c r="R684" s="4">
        <f t="shared" ref="R684:R692" si="831">IF(F684="P",0,1)</f>
        <v>1</v>
      </c>
      <c r="S684" s="158">
        <f>_xll.xSPRDOPT($L684,$J684,$I684,$M684,$O684,$N684,$P684,$Q684-$C$3,$R684,0)</f>
        <v>2.5059654128760656E-3</v>
      </c>
      <c r="T684" s="159">
        <f>_xll.xSPRDOPT($L684,$J684,$I684,$M684,$O684,$N684,$P684,$Q684-$C$3,$R684,1)*H684</f>
        <v>-98885.92049179379</v>
      </c>
      <c r="U684" s="160">
        <f t="shared" ref="U684:U692" si="832">S684*H684</f>
        <v>-2505.9654128760658</v>
      </c>
      <c r="V684" s="159">
        <f>_xll.xSPRDOPT($L684,$J684,$I684,$M684,$O684,$N684,$P684,$Q684-$C$3,$R684,2)*H684</f>
        <v>97069.223206440074</v>
      </c>
      <c r="W684" s="159">
        <f t="shared" ref="W684:W692" si="833">+V684+T684</f>
        <v>-1816.6972853537154</v>
      </c>
      <c r="X684" s="51" t="str">
        <f t="shared" ref="X684:X692" si="834">CONCATENATE(G684,D684)</f>
        <v>36770IF-NWPL_ROCKY_M</v>
      </c>
      <c r="Y684" s="418">
        <f t="shared" ref="Y684:Y692" si="835">H684/10000</f>
        <v>-100</v>
      </c>
      <c r="Z684" s="456">
        <f t="shared" ref="Z684:Z692" si="836">T684/H684</f>
        <v>9.8885920491793788E-2</v>
      </c>
      <c r="AA684" s="456">
        <f>_xll.xSPRDOPT($L684,$J684,$I684,$M684,$O684,$N684,$P684,$Q684-$C$3,$R684,3)</f>
        <v>3.2324793258322462</v>
      </c>
      <c r="AB684" s="456">
        <f>((_xll.xSPRDOPT($L684+AB$5,$J684,$I684,$M684,$O684,$N684,$P684,$Q684-$C$3,$R684,3)*$H684)/10000)/100</f>
        <v>-3.2324793258322462</v>
      </c>
      <c r="AC684" s="456">
        <f>((_xll.xSPRDOPT($L684+$AB$5,$J684,$I684,$M684,$O684,$N684,$P684,$Q684-$C$3,$R684,7)*$H684)/100)</f>
        <v>216.42923867610799</v>
      </c>
      <c r="AD684" s="456">
        <f>(_xll.xSPRDOPT($L684+$AB$5,$J684,$I684,$M684,$O684,$N684,$P684,$Q684-$C$3,$R684,9)/365)*$H684</f>
        <v>4689.1328336667793</v>
      </c>
      <c r="AE684">
        <f t="shared" si="770"/>
        <v>0</v>
      </c>
      <c r="AF684" s="456">
        <f t="shared" ref="AF684:AF692" si="837">((O684/N684)*AH684)+AG684</f>
        <v>-234.32435636853569</v>
      </c>
      <c r="AG684" s="456">
        <f>((_xll.xSPRDOPT($L684,$J684,$I684,$M684,$O684,$N684,$P684,$Q684-$C$3,$R684,6)*$H684)/100)</f>
        <v>-301.63890795464772</v>
      </c>
      <c r="AH684" s="456">
        <f>((_xll.xSPRDOPT($L684,$J684,$I684,$M684,$O684,$N684,$P684,$Q684-$C$3,$R684,5)*$H684)/100)</f>
        <v>70.119324568866716</v>
      </c>
      <c r="AI684" s="456">
        <f>(((_xll.xSPRDOPT($L684,$J684,$I684,$M684,$O684,$N684,$P684,$Q684-$C$3,$R684,4)*$H684)/10000)/100)-AB684</f>
        <v>8.6777943156165716E-2</v>
      </c>
      <c r="AJ684" s="456"/>
      <c r="CC684" s="141">
        <f t="shared" si="805"/>
        <v>37165</v>
      </c>
      <c r="CD684" s="234">
        <f>_xll.xSPRDOPT((VLOOKUP(G683,NGPrices,2,FALSE)+HLOOKUP(D683,Prices,VLOOKUP(G683,move_down,2,FALSE),FALSE)),VLOOKUP(G683,NGPrices,2,FALSE),I683,VLOOKUP(G683,NGPREVPRICES,4,FALSE),HLOOKUP(D683,PREVVOLS,VLOOKUP(G683,MOVE_DOWN2,2,FALSE),FALSE),VLOOKUP(G683,NGPREVPRICES,3,FALSE),HLOOKUP(D683,Correllate,VLOOKUP(G683,CorMove,2,FALSE),FALSE),Q683-$CD$3,R683,$CD$5)*H683-CJ684</f>
        <v>0</v>
      </c>
      <c r="CE684" s="234">
        <f>_xll.xSPRDOPT((VLOOKUP(G683,NGPREVPRICES,2,FALSE)+HLOOKUP(D683,PREVCURVES,VLOOKUP(G683,MOVE_DOWN2,2,FALSE),FALSE)),VLOOKUP(G683,NGPREVPRICES,2,FALSE),CK684,VLOOKUP(G683,NGPrices,4,FALSE),HLOOKUP(D683,PREVVOLS,VLOOKUP(G683,MOVE_DOWN2,2,FALSE),FALSE),VLOOKUP(G683,NGPREVPRICES,3,FALSE),HLOOKUP(D683,Correllate,VLOOKUP(G683,CorMove,2,FALSE),FALSE),Q683-$CD$3,R683,$CJ$5)*H683-CJ684</f>
        <v>0</v>
      </c>
      <c r="CF684" s="10">
        <f t="shared" si="806"/>
        <v>-16.499328584541217</v>
      </c>
      <c r="CG684" s="234">
        <f>_xll.xSPRDOPT((VLOOKUP(G683,NGPREVPRICES,2,FALSE)+HLOOKUP(D683,PREVCURVES,VLOOKUP(G683,MOVE_DOWN2,2,FALSE),FALSE)),VLOOKUP(G683,NGPREVPRICES,2,FALSE),CK684,VLOOKUP(G683,NGPREVPRICES,4,FALSE),HLOOKUP(D683,VOLS,VLOOKUP(G683,move_down,2,FALSE),FALSE),VLOOKUP(G683,NGPrices,3,FALSE),HLOOKUP(D683,Correllate,VLOOKUP(G683,CorMove,2,FALSE),FALSE),Q683-$CD$3,R683,$CJ$5)*H683-CJ684</f>
        <v>0</v>
      </c>
      <c r="CH684" s="234">
        <f>_xll.xSPRDOPT((VLOOKUP(G683,NGPREVPRICES,2,FALSE)+HLOOKUP(D683,PREVCURVES,VLOOKUP(G683,MOVE_DOWN2,2,FALSE),FALSE)),VLOOKUP(G683,NGPREVPRICES,2,FALSE),CK684,VLOOKUP(G683,NGPREVPRICES,4,FALSE),HLOOKUP(D683,PREVVOLS,VLOOKUP(G683,MOVE_DOWN2,2,FALSE),FALSE),VLOOKUP(G683,NGPREVPRICES,3,FALSE),HLOOKUP(D683,Correllate,VLOOKUP(G683,CorMove,2,FALSE),FALSE),Q683-$C$3,R683,$CJ$5)*H683-CJ684</f>
        <v>-154.2395236495795</v>
      </c>
      <c r="CI684" s="234">
        <f t="shared" si="807"/>
        <v>-170.73885223412071</v>
      </c>
      <c r="CJ684" s="234">
        <f>_xll.xSPRDOPT((VLOOKUP(G683,NGPREVPRICES,2,FALSE)+HLOOKUP(D683,PREVCURVES,VLOOKUP(G683,MOVE_DOWN2,2,FALSE),FALSE)),VLOOKUP(G683,NGPREVPRICES,2,FALSE),CK684,VLOOKUP(G683,NGPREVPRICES,4,FALSE),HLOOKUP(D683,PREVVOLS,VLOOKUP(G683,MOVE_DOWN2,2,FALSE),FALSE),VLOOKUP(G683,NGPREVPRICES,3,FALSE),HLOOKUP(D683,Correllate,VLOOKUP(G683,CorMove,2,FALSE),FALSE),Q683-$CD$3,R683,$CJ$5)*H683</f>
        <v>82265.197844509312</v>
      </c>
      <c r="CK684" s="235">
        <f t="shared" si="808"/>
        <v>0.3</v>
      </c>
      <c r="CM684" t="str">
        <f t="shared" si="809"/>
        <v>37165Curve Shift/Gamma</v>
      </c>
      <c r="CN684" t="str">
        <f t="shared" si="747"/>
        <v>37165Rho</v>
      </c>
      <c r="CO684" t="str">
        <f t="shared" si="748"/>
        <v>37165Drift</v>
      </c>
      <c r="CP684" t="str">
        <f t="shared" si="749"/>
        <v>37165Vega</v>
      </c>
      <c r="CQ684" t="str">
        <f t="shared" si="750"/>
        <v>37165Theta</v>
      </c>
    </row>
    <row r="685" spans="1:95" x14ac:dyDescent="0.25">
      <c r="A685" s="140" t="s">
        <v>279</v>
      </c>
      <c r="B685" t="s">
        <v>250</v>
      </c>
      <c r="C685" t="s">
        <v>579</v>
      </c>
      <c r="D685" s="4" t="s">
        <v>9</v>
      </c>
      <c r="E685" t="s">
        <v>20</v>
      </c>
      <c r="F685" t="s">
        <v>1</v>
      </c>
      <c r="G685" s="5">
        <v>36770</v>
      </c>
      <c r="H685" s="130">
        <v>-1000000</v>
      </c>
      <c r="I685" s="235">
        <v>-1.17</v>
      </c>
      <c r="J685" s="53">
        <f t="shared" si="824"/>
        <v>4.6849999999999996</v>
      </c>
      <c r="K685" s="7">
        <f t="shared" si="825"/>
        <v>-1.24</v>
      </c>
      <c r="L685" s="53">
        <f t="shared" si="826"/>
        <v>3.4449999999999994</v>
      </c>
      <c r="M685" s="157">
        <f t="shared" si="827"/>
        <v>6.7216196212184998E-2</v>
      </c>
      <c r="N685" s="4">
        <f t="shared" si="828"/>
        <v>0.4</v>
      </c>
      <c r="O685" s="4">
        <f t="shared" si="829"/>
        <v>0.38400000000000001</v>
      </c>
      <c r="P685" s="9">
        <f t="shared" si="830"/>
        <v>0.84</v>
      </c>
      <c r="Q685" s="5">
        <f t="shared" si="771"/>
        <v>36768</v>
      </c>
      <c r="R685" s="4">
        <f t="shared" si="831"/>
        <v>0</v>
      </c>
      <c r="S685" s="158">
        <f>_xll.xSPRDOPT($L685,$J685,$I685,$M685,$O685,$N685,$P685,$Q685-$C$3,$R685,0)</f>
        <v>7.2493084644023612E-2</v>
      </c>
      <c r="T685" s="159">
        <f>_xll.xSPRDOPT($L685,$J685,$I685,$M685,$O685,$N685,$P685,$Q685-$C$3,$R685,1)*H685</f>
        <v>900930.06852459686</v>
      </c>
      <c r="U685" s="160">
        <f t="shared" si="832"/>
        <v>-72493.084644023606</v>
      </c>
      <c r="V685" s="159">
        <f>_xll.xSPRDOPT($L685,$J685,$I685,$M685,$O685,$N685,$P685,$Q685-$C$3,$R685,2)*H685</f>
        <v>-902746.76580995065</v>
      </c>
      <c r="W685" s="159">
        <f t="shared" si="833"/>
        <v>-1816.6972853537882</v>
      </c>
      <c r="X685" s="51" t="str">
        <f t="shared" si="834"/>
        <v>36770IF-NWPL_ROCKY_M</v>
      </c>
      <c r="Y685" s="418">
        <f t="shared" si="835"/>
        <v>-100</v>
      </c>
      <c r="Z685" s="456">
        <f t="shared" si="836"/>
        <v>-0.90093006852459689</v>
      </c>
      <c r="AA685" s="456">
        <f>_xll.xSPRDOPT($L685,$J685,$I685,$M685,$O685,$N685,$P685,$Q685-$C$3,$R685,3)</f>
        <v>3.2324793258322462</v>
      </c>
      <c r="AB685" s="456">
        <f>((_xll.xSPRDOPT($L685+AB$5,$J685,$I685,$M685,$O685,$N685,$P685,$Q685-$C$3,$R685,3)*$H685)/10000)/100</f>
        <v>-3.2324793258322462</v>
      </c>
      <c r="AC685" s="456">
        <f>((_xll.xSPRDOPT($L685+$AB$5,$J685,$I685,$M685,$O685,$N685,$P685,$Q685-$C$3,$R685,7)*$H685)/100)</f>
        <v>216.42923867610799</v>
      </c>
      <c r="AD685" s="456">
        <f>(_xll.xSPRDOPT($L685+$AB$5,$J685,$I685,$M685,$O685,$N685,$P685,$Q685-$C$3,$R685,9)/365)*$H685</f>
        <v>4676.2444283556379</v>
      </c>
      <c r="AE685">
        <f t="shared" si="770"/>
        <v>0</v>
      </c>
      <c r="AF685" s="456">
        <f t="shared" si="837"/>
        <v>-234.32435636853569</v>
      </c>
      <c r="AG685" s="456">
        <f>((_xll.xSPRDOPT($L685,$J685,$I685,$M685,$O685,$N685,$P685,$Q685-$C$3,$R685,6)*$H685)/100)</f>
        <v>-301.63890795464772</v>
      </c>
      <c r="AH685" s="456">
        <f>((_xll.xSPRDOPT($L685,$J685,$I685,$M685,$O685,$N685,$P685,$Q685-$C$3,$R685,5)*$H685)/100)</f>
        <v>70.119324568866716</v>
      </c>
      <c r="AI685" s="456">
        <f>(((_xll.xSPRDOPT($L685,$J685,$I685,$M685,$O685,$N685,$P685,$Q685-$C$3,$R685,4)*$H685)/10000)/100)-AB685</f>
        <v>8.6777943156165716E-2</v>
      </c>
      <c r="AJ685" s="456"/>
      <c r="CC685" s="141">
        <f t="shared" si="805"/>
        <v>36770</v>
      </c>
      <c r="CD685" s="234">
        <f>_xll.xSPRDOPT((VLOOKUP(G684,NGPrices,2,FALSE)+HLOOKUP(D684,Prices,VLOOKUP(G684,move_down,2,FALSE),FALSE)),VLOOKUP(G684,NGPrices,2,FALSE),I684,VLOOKUP(G684,NGPREVPRICES,4,FALSE),HLOOKUP(D684,PREVVOLS,VLOOKUP(G684,MOVE_DOWN2,2,FALSE),FALSE),VLOOKUP(G684,NGPREVPRICES,3,FALSE),HLOOKUP(D684,Correllate,VLOOKUP(G684,CorMove,2,FALSE),FALSE),Q684-$CD$3,R684,$CD$5)*H684-CJ685</f>
        <v>0</v>
      </c>
      <c r="CE685" s="234">
        <f>_xll.xSPRDOPT((VLOOKUP(G684,NGPREVPRICES,2,FALSE)+HLOOKUP(D684,PREVCURVES,VLOOKUP(G684,MOVE_DOWN2,2,FALSE),FALSE)),VLOOKUP(G684,NGPREVPRICES,2,FALSE),CK685,VLOOKUP(G684,NGPrices,4,FALSE),HLOOKUP(D684,PREVVOLS,VLOOKUP(G684,MOVE_DOWN2,2,FALSE),FALSE),VLOOKUP(G684,NGPREVPRICES,3,FALSE),HLOOKUP(D684,Correllate,VLOOKUP(G684,CorMove,2,FALSE),FALSE),Q684-$CD$3,R684,$CJ$5)*H684-CJ685</f>
        <v>0</v>
      </c>
      <c r="CF685" s="10">
        <f t="shared" si="806"/>
        <v>1.3662179757811828</v>
      </c>
      <c r="CG685" s="234">
        <f>_xll.xSPRDOPT((VLOOKUP(G684,NGPREVPRICES,2,FALSE)+HLOOKUP(D684,PREVCURVES,VLOOKUP(G684,MOVE_DOWN2,2,FALSE),FALSE)),VLOOKUP(G684,NGPREVPRICES,2,FALSE),CK685,VLOOKUP(G684,NGPREVPRICES,4,FALSE),HLOOKUP(D684,VOLS,VLOOKUP(G684,move_down,2,FALSE),FALSE),VLOOKUP(G684,NGPrices,3,FALSE),HLOOKUP(D684,Correllate,VLOOKUP(G684,CorMove,2,FALSE),FALSE),Q684-$CD$3,R684,$CJ$5)*H684-CJ685</f>
        <v>0</v>
      </c>
      <c r="CH685" s="234">
        <f>_xll.xSPRDOPT((VLOOKUP(G684,NGPREVPRICES,2,FALSE)+HLOOKUP(D684,PREVCURVES,VLOOKUP(G684,MOVE_DOWN2,2,FALSE),FALSE)),VLOOKUP(G684,NGPREVPRICES,2,FALSE),CK685,VLOOKUP(G684,NGPREVPRICES,4,FALSE),HLOOKUP(D684,PREVVOLS,VLOOKUP(G684,MOVE_DOWN2,2,FALSE),FALSE),VLOOKUP(G684,NGPREVPRICES,3,FALSE),HLOOKUP(D684,Correllate,VLOOKUP(G684,CorMove,2,FALSE),FALSE),Q684-$C$3,R684,$CJ$5)*H684-CJ685</f>
        <v>4991.4276104550127</v>
      </c>
      <c r="CI685" s="234">
        <f t="shared" si="807"/>
        <v>4992.7938284307938</v>
      </c>
      <c r="CJ685" s="234">
        <f>_xll.xSPRDOPT((VLOOKUP(G684,NGPREVPRICES,2,FALSE)+HLOOKUP(D684,PREVCURVES,VLOOKUP(G684,MOVE_DOWN2,2,FALSE),FALSE)),VLOOKUP(G684,NGPREVPRICES,2,FALSE),CK685,VLOOKUP(G684,NGPREVPRICES,4,FALSE),HLOOKUP(D684,PREVVOLS,VLOOKUP(G684,MOVE_DOWN2,2,FALSE),FALSE),VLOOKUP(G684,NGPREVPRICES,3,FALSE),HLOOKUP(D684,Correllate,VLOOKUP(G684,CorMove,2,FALSE),FALSE),Q684-$CD$3,R684,$CJ$5)*H684</f>
        <v>-7497.3930233310784</v>
      </c>
      <c r="CK685" s="235">
        <f t="shared" si="808"/>
        <v>-1.17</v>
      </c>
      <c r="CM685" t="str">
        <f t="shared" si="809"/>
        <v>36770Curve Shift/Gamma</v>
      </c>
      <c r="CN685" t="str">
        <f t="shared" si="747"/>
        <v>36770Rho</v>
      </c>
      <c r="CO685" t="str">
        <f t="shared" si="748"/>
        <v>36770Drift</v>
      </c>
      <c r="CP685" t="str">
        <f t="shared" si="749"/>
        <v>36770Vega</v>
      </c>
      <c r="CQ685" t="str">
        <f t="shared" si="750"/>
        <v>36770Theta</v>
      </c>
    </row>
    <row r="686" spans="1:95" x14ac:dyDescent="0.25">
      <c r="A686" s="140" t="s">
        <v>279</v>
      </c>
      <c r="B686" t="s">
        <v>250</v>
      </c>
      <c r="C686" t="s">
        <v>580</v>
      </c>
      <c r="D686" s="4" t="s">
        <v>9</v>
      </c>
      <c r="E686" t="s">
        <v>20</v>
      </c>
      <c r="F686" t="s">
        <v>21</v>
      </c>
      <c r="G686" s="5">
        <v>36770</v>
      </c>
      <c r="H686" s="130">
        <v>-500000</v>
      </c>
      <c r="I686" s="235">
        <v>-1.17</v>
      </c>
      <c r="J686" s="53">
        <f t="shared" si="824"/>
        <v>4.6849999999999996</v>
      </c>
      <c r="K686" s="7">
        <f t="shared" si="825"/>
        <v>-1.24</v>
      </c>
      <c r="L686" s="53">
        <f t="shared" si="826"/>
        <v>3.4449999999999994</v>
      </c>
      <c r="M686" s="157">
        <f t="shared" si="827"/>
        <v>6.7216196212184998E-2</v>
      </c>
      <c r="N686" s="4">
        <f t="shared" si="828"/>
        <v>0.4</v>
      </c>
      <c r="O686" s="4">
        <f t="shared" si="829"/>
        <v>0.38400000000000001</v>
      </c>
      <c r="P686" s="9">
        <f t="shared" si="830"/>
        <v>0.84</v>
      </c>
      <c r="Q686" s="5">
        <f t="shared" si="771"/>
        <v>36768</v>
      </c>
      <c r="R686" s="4">
        <f t="shared" si="831"/>
        <v>1</v>
      </c>
      <c r="S686" s="158">
        <f>_xll.xSPRDOPT($L686,$J686,$I686,$M686,$O686,$N686,$P686,$Q686-$C$3,$R686,0)</f>
        <v>2.5059654128760656E-3</v>
      </c>
      <c r="T686" s="159">
        <f>_xll.xSPRDOPT($L686,$J686,$I686,$M686,$O686,$N686,$P686,$Q686-$C$3,$R686,1)*H686</f>
        <v>-49442.960245896895</v>
      </c>
      <c r="U686" s="160">
        <f t="shared" si="832"/>
        <v>-1252.9827064380329</v>
      </c>
      <c r="V686" s="159">
        <f>_xll.xSPRDOPT($L686,$J686,$I686,$M686,$O686,$N686,$P686,$Q686-$C$3,$R686,2)*H686</f>
        <v>48534.611603220037</v>
      </c>
      <c r="W686" s="159">
        <f t="shared" si="833"/>
        <v>-908.34864267685771</v>
      </c>
      <c r="X686" s="51" t="str">
        <f t="shared" si="834"/>
        <v>36770IF-NWPL_ROCKY_M</v>
      </c>
      <c r="Y686" s="418">
        <f t="shared" si="835"/>
        <v>-50</v>
      </c>
      <c r="Z686" s="456">
        <f t="shared" si="836"/>
        <v>9.8885920491793788E-2</v>
      </c>
      <c r="AA686" s="456">
        <f>_xll.xSPRDOPT($L686,$J686,$I686,$M686,$O686,$N686,$P686,$Q686-$C$3,$R686,3)</f>
        <v>3.2324793258322462</v>
      </c>
      <c r="AB686" s="456">
        <f>((_xll.xSPRDOPT($L686+AB$5,$J686,$I686,$M686,$O686,$N686,$P686,$Q686-$C$3,$R686,3)*$H686)/10000)/100</f>
        <v>-1.6162396629161231</v>
      </c>
      <c r="AC686" s="456">
        <f>((_xll.xSPRDOPT($L686+$AB$5,$J686,$I686,$M686,$O686,$N686,$P686,$Q686-$C$3,$R686,7)*$H686)/100)</f>
        <v>108.21461933805399</v>
      </c>
      <c r="AD686" s="456">
        <f>(_xll.xSPRDOPT($L686+$AB$5,$J686,$I686,$M686,$O686,$N686,$P686,$Q686-$C$3,$R686,9)/365)*$H686</f>
        <v>2344.5664168333897</v>
      </c>
      <c r="AE686">
        <f t="shared" si="770"/>
        <v>0</v>
      </c>
      <c r="AF686" s="456">
        <f t="shared" si="837"/>
        <v>-117.16217818426784</v>
      </c>
      <c r="AG686" s="456">
        <f>((_xll.xSPRDOPT($L686,$J686,$I686,$M686,$O686,$N686,$P686,$Q686-$C$3,$R686,6)*$H686)/100)</f>
        <v>-150.81945397732386</v>
      </c>
      <c r="AH686" s="456">
        <f>((_xll.xSPRDOPT($L686,$J686,$I686,$M686,$O686,$N686,$P686,$Q686-$C$3,$R686,5)*$H686)/100)</f>
        <v>35.059662284433358</v>
      </c>
      <c r="AI686" s="456">
        <f>(((_xll.xSPRDOPT($L686,$J686,$I686,$M686,$O686,$N686,$P686,$Q686-$C$3,$R686,4)*$H686)/10000)/100)-AB686</f>
        <v>4.3388971578082858E-2</v>
      </c>
      <c r="AJ686" s="456"/>
      <c r="CC686" s="141">
        <f t="shared" si="805"/>
        <v>36770</v>
      </c>
      <c r="CD686" s="234">
        <f>_xll.xSPRDOPT((VLOOKUP(G685,NGPrices,2,FALSE)+HLOOKUP(D685,Prices,VLOOKUP(G685,move_down,2,FALSE),FALSE)),VLOOKUP(G685,NGPrices,2,FALSE),I685,VLOOKUP(G685,NGPREVPRICES,4,FALSE),HLOOKUP(D685,PREVVOLS,VLOOKUP(G685,MOVE_DOWN2,2,FALSE),FALSE),VLOOKUP(G685,NGPREVPRICES,3,FALSE),HLOOKUP(D685,Correllate,VLOOKUP(G685,CorMove,2,FALSE),FALSE),Q685-$CD$3,R685,$CD$5)*H685-CJ686</f>
        <v>0</v>
      </c>
      <c r="CE686" s="234">
        <f>_xll.xSPRDOPT((VLOOKUP(G685,NGPREVPRICES,2,FALSE)+HLOOKUP(D685,PREVCURVES,VLOOKUP(G685,MOVE_DOWN2,2,FALSE),FALSE)),VLOOKUP(G685,NGPREVPRICES,2,FALSE),CK686,VLOOKUP(G685,NGPrices,4,FALSE),HLOOKUP(D685,PREVVOLS,VLOOKUP(G685,MOVE_DOWN2,2,FALSE),FALSE),VLOOKUP(G685,NGPREVPRICES,3,FALSE),HLOOKUP(D685,Correllate,VLOOKUP(G685,CorMove,2,FALSE),FALSE),Q685-$CD$3,R685,$CJ$5)*H685-CJ686</f>
        <v>0</v>
      </c>
      <c r="CF686" s="10">
        <f t="shared" si="806"/>
        <v>14.117325643412187</v>
      </c>
      <c r="CG686" s="234">
        <f>_xll.xSPRDOPT((VLOOKUP(G685,NGPREVPRICES,2,FALSE)+HLOOKUP(D685,PREVCURVES,VLOOKUP(G685,MOVE_DOWN2,2,FALSE),FALSE)),VLOOKUP(G685,NGPREVPRICES,2,FALSE),CK686,VLOOKUP(G685,NGPREVPRICES,4,FALSE),HLOOKUP(D685,VOLS,VLOOKUP(G685,move_down,2,FALSE),FALSE),VLOOKUP(G685,NGPrices,3,FALSE),HLOOKUP(D685,Correllate,VLOOKUP(G685,CorMove,2,FALSE),FALSE),Q685-$CD$3,R685,$CJ$5)*H685-CJ686</f>
        <v>0</v>
      </c>
      <c r="CH686" s="234">
        <f>_xll.xSPRDOPT((VLOOKUP(G685,NGPREVPRICES,2,FALSE)+HLOOKUP(D685,PREVCURVES,VLOOKUP(G685,MOVE_DOWN2,2,FALSE),FALSE)),VLOOKUP(G685,NGPREVPRICES,2,FALSE),CK686,VLOOKUP(G685,NGPREVPRICES,4,FALSE),HLOOKUP(D685,PREVVOLS,VLOOKUP(G685,MOVE_DOWN2,2,FALSE),FALSE),VLOOKUP(G685,NGPREVPRICES,3,FALSE),HLOOKUP(D685,Correllate,VLOOKUP(G685,CorMove,2,FALSE),FALSE),Q685-$C$3,R685,$CJ$5)*H685-CJ686</f>
        <v>4978.5492118059192</v>
      </c>
      <c r="CI686" s="234">
        <f t="shared" si="807"/>
        <v>4992.6665374493314</v>
      </c>
      <c r="CJ686" s="234">
        <f>_xll.xSPRDOPT((VLOOKUP(G685,NGPREVPRICES,2,FALSE)+HLOOKUP(D685,PREVCURVES,VLOOKUP(G685,MOVE_DOWN2,2,FALSE),FALSE)),VLOOKUP(G685,NGPREVPRICES,2,FALSE),CK686,VLOOKUP(G685,NGPREVPRICES,4,FALSE),HLOOKUP(D685,PREVVOLS,VLOOKUP(G685,MOVE_DOWN2,2,FALSE),FALSE),VLOOKUP(G685,NGPREVPRICES,3,FALSE),HLOOKUP(D685,Correllate,VLOOKUP(G685,CorMove,2,FALSE),FALSE),Q685-$CD$3,R685,$CJ$5)*H685</f>
        <v>-77471.633855829525</v>
      </c>
      <c r="CK686" s="235">
        <f t="shared" si="808"/>
        <v>-1.17</v>
      </c>
      <c r="CM686" t="str">
        <f t="shared" si="809"/>
        <v>36770Curve Shift/Gamma</v>
      </c>
      <c r="CN686" t="str">
        <f t="shared" ref="CN686:CN749" si="838">CONCATENATE($CC686,$CE$6)</f>
        <v>36770Rho</v>
      </c>
      <c r="CO686" t="str">
        <f t="shared" ref="CO686:CO749" si="839">CONCATENATE($CC686,$CF$6)</f>
        <v>36770Drift</v>
      </c>
      <c r="CP686" t="str">
        <f t="shared" ref="CP686:CP749" si="840">CONCATENATE($CC686,$CG$6)</f>
        <v>36770Vega</v>
      </c>
      <c r="CQ686" t="str">
        <f t="shared" ref="CQ686:CQ749" si="841">CONCATENATE($CC686,$CH$6)</f>
        <v>36770Theta</v>
      </c>
    </row>
    <row r="687" spans="1:95" x14ac:dyDescent="0.25">
      <c r="A687" s="140" t="s">
        <v>279</v>
      </c>
      <c r="B687" t="s">
        <v>250</v>
      </c>
      <c r="C687" t="s">
        <v>581</v>
      </c>
      <c r="D687" s="4" t="s">
        <v>9</v>
      </c>
      <c r="E687" t="s">
        <v>20</v>
      </c>
      <c r="F687" t="s">
        <v>1</v>
      </c>
      <c r="G687" s="5">
        <v>36770</v>
      </c>
      <c r="H687" s="130">
        <v>-500000</v>
      </c>
      <c r="I687" s="235">
        <v>-1.17</v>
      </c>
      <c r="J687" s="53">
        <f t="shared" si="824"/>
        <v>4.6849999999999996</v>
      </c>
      <c r="K687" s="7">
        <f t="shared" si="825"/>
        <v>-1.24</v>
      </c>
      <c r="L687" s="53">
        <f t="shared" si="826"/>
        <v>3.4449999999999994</v>
      </c>
      <c r="M687" s="157">
        <f t="shared" si="827"/>
        <v>6.7216196212184998E-2</v>
      </c>
      <c r="N687" s="4">
        <f t="shared" si="828"/>
        <v>0.4</v>
      </c>
      <c r="O687" s="4">
        <f t="shared" si="829"/>
        <v>0.38400000000000001</v>
      </c>
      <c r="P687" s="9">
        <f t="shared" si="830"/>
        <v>0.84</v>
      </c>
      <c r="Q687" s="5">
        <f t="shared" si="771"/>
        <v>36768</v>
      </c>
      <c r="R687" s="4">
        <f t="shared" si="831"/>
        <v>0</v>
      </c>
      <c r="S687" s="158">
        <f>_xll.xSPRDOPT($L687,$J687,$I687,$M687,$O687,$N687,$P687,$Q687-$C$3,$R687,0)</f>
        <v>7.2493084644023612E-2</v>
      </c>
      <c r="T687" s="159">
        <f>_xll.xSPRDOPT($L687,$J687,$I687,$M687,$O687,$N687,$P687,$Q687-$C$3,$R687,1)*H687</f>
        <v>450465.03426229843</v>
      </c>
      <c r="U687" s="160">
        <f t="shared" si="832"/>
        <v>-36246.542322011803</v>
      </c>
      <c r="V687" s="159">
        <f>_xll.xSPRDOPT($L687,$J687,$I687,$M687,$O687,$N687,$P687,$Q687-$C$3,$R687,2)*H687</f>
        <v>-451373.38290497533</v>
      </c>
      <c r="W687" s="159">
        <f t="shared" si="833"/>
        <v>-908.34864267689409</v>
      </c>
      <c r="X687" s="51" t="str">
        <f t="shared" si="834"/>
        <v>36770IF-NWPL_ROCKY_M</v>
      </c>
      <c r="Y687" s="418">
        <f t="shared" si="835"/>
        <v>-50</v>
      </c>
      <c r="Z687" s="456">
        <f t="shared" si="836"/>
        <v>-0.90093006852459689</v>
      </c>
      <c r="AA687" s="456">
        <f>_xll.xSPRDOPT($L687,$J687,$I687,$M687,$O687,$N687,$P687,$Q687-$C$3,$R687,3)</f>
        <v>3.2324793258322462</v>
      </c>
      <c r="AB687" s="456">
        <f>((_xll.xSPRDOPT($L687+AB$5,$J687,$I687,$M687,$O687,$N687,$P687,$Q687-$C$3,$R687,3)*$H687)/10000)/100</f>
        <v>-1.6162396629161231</v>
      </c>
      <c r="AC687" s="456">
        <f>((_xll.xSPRDOPT($L687+$AB$5,$J687,$I687,$M687,$O687,$N687,$P687,$Q687-$C$3,$R687,7)*$H687)/100)</f>
        <v>108.21461933805399</v>
      </c>
      <c r="AD687" s="456">
        <f>(_xll.xSPRDOPT($L687+$AB$5,$J687,$I687,$M687,$O687,$N687,$P687,$Q687-$C$3,$R687,9)/365)*$H687</f>
        <v>2338.1222141778189</v>
      </c>
      <c r="AE687">
        <f t="shared" si="770"/>
        <v>0</v>
      </c>
      <c r="AF687" s="456">
        <f t="shared" si="837"/>
        <v>-117.16217818426784</v>
      </c>
      <c r="AG687" s="456">
        <f>((_xll.xSPRDOPT($L687,$J687,$I687,$M687,$O687,$N687,$P687,$Q687-$C$3,$R687,6)*$H687)/100)</f>
        <v>-150.81945397732386</v>
      </c>
      <c r="AH687" s="456">
        <f>((_xll.xSPRDOPT($L687,$J687,$I687,$M687,$O687,$N687,$P687,$Q687-$C$3,$R687,5)*$H687)/100)</f>
        <v>35.059662284433358</v>
      </c>
      <c r="AI687" s="456">
        <f>(((_xll.xSPRDOPT($L687,$J687,$I687,$M687,$O687,$N687,$P687,$Q687-$C$3,$R687,4)*$H687)/10000)/100)-AB687</f>
        <v>4.3388971578082858E-2</v>
      </c>
      <c r="AJ687" s="456"/>
      <c r="CC687" s="141">
        <f t="shared" si="805"/>
        <v>36770</v>
      </c>
      <c r="CD687" s="234">
        <f>_xll.xSPRDOPT((VLOOKUP(G686,NGPrices,2,FALSE)+HLOOKUP(D686,Prices,VLOOKUP(G686,move_down,2,FALSE),FALSE)),VLOOKUP(G686,NGPrices,2,FALSE),I686,VLOOKUP(G686,NGPREVPRICES,4,FALSE),HLOOKUP(D686,PREVVOLS,VLOOKUP(G686,MOVE_DOWN2,2,FALSE),FALSE),VLOOKUP(G686,NGPREVPRICES,3,FALSE),HLOOKUP(D686,Correllate,VLOOKUP(G686,CorMove,2,FALSE),FALSE),Q686-$CD$3,R686,$CD$5)*H686-CJ687</f>
        <v>0</v>
      </c>
      <c r="CE687" s="234">
        <f>_xll.xSPRDOPT((VLOOKUP(G686,NGPREVPRICES,2,FALSE)+HLOOKUP(D686,PREVCURVES,VLOOKUP(G686,MOVE_DOWN2,2,FALSE),FALSE)),VLOOKUP(G686,NGPREVPRICES,2,FALSE),CK687,VLOOKUP(G686,NGPrices,4,FALSE),HLOOKUP(D686,PREVVOLS,VLOOKUP(G686,MOVE_DOWN2,2,FALSE),FALSE),VLOOKUP(G686,NGPREVPRICES,3,FALSE),HLOOKUP(D686,Correllate,VLOOKUP(G686,CorMove,2,FALSE),FALSE),Q686-$CD$3,R686,$CJ$5)*H686-CJ687</f>
        <v>0</v>
      </c>
      <c r="CF687" s="10">
        <f t="shared" si="806"/>
        <v>0.68310898789059138</v>
      </c>
      <c r="CG687" s="234">
        <f>_xll.xSPRDOPT((VLOOKUP(G686,NGPREVPRICES,2,FALSE)+HLOOKUP(D686,PREVCURVES,VLOOKUP(G686,MOVE_DOWN2,2,FALSE),FALSE)),VLOOKUP(G686,NGPREVPRICES,2,FALSE),CK687,VLOOKUP(G686,NGPREVPRICES,4,FALSE),HLOOKUP(D686,VOLS,VLOOKUP(G686,move_down,2,FALSE),FALSE),VLOOKUP(G686,NGPrices,3,FALSE),HLOOKUP(D686,Correllate,VLOOKUP(G686,CorMove,2,FALSE),FALSE),Q686-$CD$3,R686,$CJ$5)*H686-CJ687</f>
        <v>0</v>
      </c>
      <c r="CH687" s="234">
        <f>_xll.xSPRDOPT((VLOOKUP(G686,NGPREVPRICES,2,FALSE)+HLOOKUP(D686,PREVCURVES,VLOOKUP(G686,MOVE_DOWN2,2,FALSE),FALSE)),VLOOKUP(G686,NGPREVPRICES,2,FALSE),CK687,VLOOKUP(G686,NGPREVPRICES,4,FALSE),HLOOKUP(D686,PREVVOLS,VLOOKUP(G686,MOVE_DOWN2,2,FALSE),FALSE),VLOOKUP(G686,NGPREVPRICES,3,FALSE),HLOOKUP(D686,Correllate,VLOOKUP(G686,CorMove,2,FALSE),FALSE),Q686-$C$3,R686,$CJ$5)*H686-CJ687</f>
        <v>2495.7138052275063</v>
      </c>
      <c r="CI687" s="234">
        <f t="shared" si="807"/>
        <v>2496.3969142153969</v>
      </c>
      <c r="CJ687" s="234">
        <f>_xll.xSPRDOPT((VLOOKUP(G686,NGPREVPRICES,2,FALSE)+HLOOKUP(D686,PREVCURVES,VLOOKUP(G686,MOVE_DOWN2,2,FALSE),FALSE)),VLOOKUP(G686,NGPREVPRICES,2,FALSE),CK687,VLOOKUP(G686,NGPREVPRICES,4,FALSE),HLOOKUP(D686,PREVVOLS,VLOOKUP(G686,MOVE_DOWN2,2,FALSE),FALSE),VLOOKUP(G686,NGPREVPRICES,3,FALSE),HLOOKUP(D686,Correllate,VLOOKUP(G686,CorMove,2,FALSE),FALSE),Q686-$CD$3,R686,$CJ$5)*H686</f>
        <v>-3748.6965116655392</v>
      </c>
      <c r="CK687" s="235">
        <f t="shared" si="808"/>
        <v>-1.17</v>
      </c>
      <c r="CM687" t="str">
        <f t="shared" si="809"/>
        <v>36770Curve Shift/Gamma</v>
      </c>
      <c r="CN687" t="str">
        <f t="shared" si="838"/>
        <v>36770Rho</v>
      </c>
      <c r="CO687" t="str">
        <f t="shared" si="839"/>
        <v>36770Drift</v>
      </c>
      <c r="CP687" t="str">
        <f t="shared" si="840"/>
        <v>36770Vega</v>
      </c>
      <c r="CQ687" t="str">
        <f t="shared" si="841"/>
        <v>36770Theta</v>
      </c>
    </row>
    <row r="688" spans="1:95" x14ac:dyDescent="0.25">
      <c r="A688" s="140" t="s">
        <v>284</v>
      </c>
      <c r="B688" t="s">
        <v>250</v>
      </c>
      <c r="C688" t="s">
        <v>582</v>
      </c>
      <c r="D688" s="4" t="s">
        <v>6</v>
      </c>
      <c r="E688" t="s">
        <v>20</v>
      </c>
      <c r="F688" t="s">
        <v>21</v>
      </c>
      <c r="G688" s="5">
        <v>36831</v>
      </c>
      <c r="H688" s="130">
        <v>300000</v>
      </c>
      <c r="I688" s="235">
        <v>-0.15</v>
      </c>
      <c r="J688" s="53">
        <f t="shared" si="824"/>
        <v>4.7359999999999998</v>
      </c>
      <c r="K688" s="7">
        <f t="shared" si="825"/>
        <v>-0.14249999999999999</v>
      </c>
      <c r="L688" s="53">
        <f t="shared" si="826"/>
        <v>4.5934999999999997</v>
      </c>
      <c r="M688" s="157">
        <f t="shared" si="827"/>
        <v>6.810675983792E-2</v>
      </c>
      <c r="N688" s="4">
        <f t="shared" si="828"/>
        <v>0.59499999999999997</v>
      </c>
      <c r="O688" s="4">
        <f t="shared" si="829"/>
        <v>0.59499999999999997</v>
      </c>
      <c r="P688" s="9">
        <f t="shared" si="830"/>
        <v>0.995</v>
      </c>
      <c r="Q688" s="5">
        <f t="shared" si="771"/>
        <v>36829</v>
      </c>
      <c r="R688" s="4">
        <f t="shared" si="831"/>
        <v>1</v>
      </c>
      <c r="S688" s="158">
        <f>_xll.xSPRDOPT($L688,$J688,$I688,$M688,$O688,$N688,$P688,$Q688-$C$3,$R688,0)</f>
        <v>5.1202252229485656E-2</v>
      </c>
      <c r="T688" s="159">
        <f>_xll.xSPRDOPT($L688,$J688,$I688,$M688,$O688,$N688,$P688,$Q688-$C$3,$R688,1)*H688</f>
        <v>156613.37565708594</v>
      </c>
      <c r="U688" s="160">
        <f t="shared" si="832"/>
        <v>15360.675668845697</v>
      </c>
      <c r="V688" s="159">
        <f>_xll.xSPRDOPT($L688,$J688,$I688,$M688,$O688,$N688,$P688,$Q688-$C$3,$R688,2)*H688</f>
        <v>-153856.80762429468</v>
      </c>
      <c r="W688" s="159">
        <f t="shared" si="833"/>
        <v>2756.568032791256</v>
      </c>
      <c r="X688" s="51" t="str">
        <f t="shared" si="834"/>
        <v>36831IF-PAN/TX/OK</v>
      </c>
      <c r="Y688" s="418">
        <f t="shared" si="835"/>
        <v>30</v>
      </c>
      <c r="Z688" s="456">
        <f t="shared" si="836"/>
        <v>0.52204458552361976</v>
      </c>
      <c r="AA688" s="456">
        <f>_xll.xSPRDOPT($L688,$J688,$I688,$M688,$O688,$N688,$P688,$Q688-$C$3,$R688,3)</f>
        <v>3.2737144352982499</v>
      </c>
      <c r="AB688" s="456">
        <f>((_xll.xSPRDOPT($L688+AB$5,$J688,$I688,$M688,$O688,$N688,$P688,$Q688-$C$3,$R688,3)*$H688)/10000)/100</f>
        <v>0.98211433058947506</v>
      </c>
      <c r="AC688" s="456">
        <f>((_xll.xSPRDOPT($L688+$AB$5,$J688,$I688,$M688,$O688,$N688,$P688,$Q688-$C$3,$R688,7)*$H688)/100)</f>
        <v>-12854.834375486898</v>
      </c>
      <c r="AD688" s="456">
        <f>(_xll.xSPRDOPT($L688+$AB$5,$J688,$I688,$M688,$O688,$N688,$P688,$Q688-$C$3,$R688,9)/365)*$H688</f>
        <v>-111.9085478944364</v>
      </c>
      <c r="AE688">
        <f t="shared" ref="AE688:AE708" si="842">CD690</f>
        <v>0</v>
      </c>
      <c r="AF688" s="456">
        <f t="shared" si="837"/>
        <v>239.03070238821567</v>
      </c>
      <c r="AG688" s="456">
        <f>((_xll.xSPRDOPT($L688,$J688,$I688,$M688,$O688,$N688,$P688,$Q688-$C$3,$R688,6)*$H688)/100)</f>
        <v>805.84156617232873</v>
      </c>
      <c r="AH688" s="456">
        <f>((_xll.xSPRDOPT($L688,$J688,$I688,$M688,$O688,$N688,$P688,$Q688-$C$3,$R688,5)*$H688)/100)</f>
        <v>-566.81086378411305</v>
      </c>
      <c r="AI688" s="456">
        <f>(((_xll.xSPRDOPT($L688,$J688,$I688,$M688,$O688,$N688,$P688,$Q688-$C$3,$R688,4)*$H688)/10000)/100)-AB688</f>
        <v>2.3804624223958681E-3</v>
      </c>
      <c r="AJ688" s="456"/>
      <c r="CC688" s="141">
        <f t="shared" si="805"/>
        <v>36770</v>
      </c>
      <c r="CD688" s="234">
        <f>_xll.xSPRDOPT((VLOOKUP(G687,NGPrices,2,FALSE)+HLOOKUP(D687,Prices,VLOOKUP(G687,move_down,2,FALSE),FALSE)),VLOOKUP(G687,NGPrices,2,FALSE),I687,VLOOKUP(G687,NGPREVPRICES,4,FALSE),HLOOKUP(D687,PREVVOLS,VLOOKUP(G687,MOVE_DOWN2,2,FALSE),FALSE),VLOOKUP(G687,NGPREVPRICES,3,FALSE),HLOOKUP(D687,Correllate,VLOOKUP(G687,CorMove,2,FALSE),FALSE),Q687-$CD$3,R687,$CD$5)*H687-CJ688</f>
        <v>0</v>
      </c>
      <c r="CE688" s="234">
        <f>_xll.xSPRDOPT((VLOOKUP(G687,NGPREVPRICES,2,FALSE)+HLOOKUP(D687,PREVCURVES,VLOOKUP(G687,MOVE_DOWN2,2,FALSE),FALSE)),VLOOKUP(G687,NGPREVPRICES,2,FALSE),CK688,VLOOKUP(G687,NGPrices,4,FALSE),HLOOKUP(D687,PREVVOLS,VLOOKUP(G687,MOVE_DOWN2,2,FALSE),FALSE),VLOOKUP(G687,NGPREVPRICES,3,FALSE),HLOOKUP(D687,Correllate,VLOOKUP(G687,CorMove,2,FALSE),FALSE),Q687-$CD$3,R687,$CJ$5)*H687-CJ688</f>
        <v>0</v>
      </c>
      <c r="CF688" s="10">
        <f t="shared" si="806"/>
        <v>7.0586628217060934</v>
      </c>
      <c r="CG688" s="234">
        <f>_xll.xSPRDOPT((VLOOKUP(G687,NGPREVPRICES,2,FALSE)+HLOOKUP(D687,PREVCURVES,VLOOKUP(G687,MOVE_DOWN2,2,FALSE),FALSE)),VLOOKUP(G687,NGPREVPRICES,2,FALSE),CK688,VLOOKUP(G687,NGPREVPRICES,4,FALSE),HLOOKUP(D687,VOLS,VLOOKUP(G687,move_down,2,FALSE),FALSE),VLOOKUP(G687,NGPrices,3,FALSE),HLOOKUP(D687,Correllate,VLOOKUP(G687,CorMove,2,FALSE),FALSE),Q687-$CD$3,R687,$CJ$5)*H687-CJ688</f>
        <v>0</v>
      </c>
      <c r="CH688" s="234">
        <f>_xll.xSPRDOPT((VLOOKUP(G687,NGPREVPRICES,2,FALSE)+HLOOKUP(D687,PREVCURVES,VLOOKUP(G687,MOVE_DOWN2,2,FALSE),FALSE)),VLOOKUP(G687,NGPREVPRICES,2,FALSE),CK688,VLOOKUP(G687,NGPREVPRICES,4,FALSE),HLOOKUP(D687,PREVVOLS,VLOOKUP(G687,MOVE_DOWN2,2,FALSE),FALSE),VLOOKUP(G687,NGPREVPRICES,3,FALSE),HLOOKUP(D687,Correllate,VLOOKUP(G687,CorMove,2,FALSE),FALSE),Q687-$C$3,R687,$CJ$5)*H687-CJ688</f>
        <v>2489.2746059029596</v>
      </c>
      <c r="CI688" s="234">
        <f t="shared" si="807"/>
        <v>2496.3332687246657</v>
      </c>
      <c r="CJ688" s="234">
        <f>_xll.xSPRDOPT((VLOOKUP(G687,NGPREVPRICES,2,FALSE)+HLOOKUP(D687,PREVCURVES,VLOOKUP(G687,MOVE_DOWN2,2,FALSE),FALSE)),VLOOKUP(G687,NGPREVPRICES,2,FALSE),CK688,VLOOKUP(G687,NGPREVPRICES,4,FALSE),HLOOKUP(D687,PREVVOLS,VLOOKUP(G687,MOVE_DOWN2,2,FALSE),FALSE),VLOOKUP(G687,NGPREVPRICES,3,FALSE),HLOOKUP(D687,Correllate,VLOOKUP(G687,CorMove,2,FALSE),FALSE),Q687-$CD$3,R687,$CJ$5)*H687</f>
        <v>-38735.816927914762</v>
      </c>
      <c r="CK688" s="235">
        <f t="shared" si="808"/>
        <v>-1.17</v>
      </c>
      <c r="CM688" t="str">
        <f t="shared" si="809"/>
        <v>36770Curve Shift/Gamma</v>
      </c>
      <c r="CN688" t="str">
        <f t="shared" si="838"/>
        <v>36770Rho</v>
      </c>
      <c r="CO688" t="str">
        <f t="shared" si="839"/>
        <v>36770Drift</v>
      </c>
      <c r="CP688" t="str">
        <f t="shared" si="840"/>
        <v>36770Vega</v>
      </c>
      <c r="CQ688" t="str">
        <f t="shared" si="841"/>
        <v>36770Theta</v>
      </c>
    </row>
    <row r="689" spans="1:95" x14ac:dyDescent="0.25">
      <c r="A689" s="140" t="s">
        <v>284</v>
      </c>
      <c r="B689" t="s">
        <v>250</v>
      </c>
      <c r="C689" t="s">
        <v>582</v>
      </c>
      <c r="D689" s="4" t="s">
        <v>6</v>
      </c>
      <c r="E689" t="s">
        <v>20</v>
      </c>
      <c r="F689" t="s">
        <v>21</v>
      </c>
      <c r="G689" s="5">
        <v>36861</v>
      </c>
      <c r="H689" s="130">
        <v>310000</v>
      </c>
      <c r="I689" s="235">
        <v>-0.15</v>
      </c>
      <c r="J689" s="53">
        <f t="shared" si="824"/>
        <v>4.8</v>
      </c>
      <c r="K689" s="7">
        <f t="shared" si="825"/>
        <v>-0.1525</v>
      </c>
      <c r="L689" s="53">
        <f t="shared" si="826"/>
        <v>4.6475</v>
      </c>
      <c r="M689" s="157">
        <f t="shared" si="827"/>
        <v>6.8314027999354002E-2</v>
      </c>
      <c r="N689" s="4">
        <f t="shared" si="828"/>
        <v>0.6</v>
      </c>
      <c r="O689" s="4">
        <f t="shared" si="829"/>
        <v>0.6</v>
      </c>
      <c r="P689" s="9">
        <f t="shared" si="830"/>
        <v>0.995</v>
      </c>
      <c r="Q689" s="5">
        <f t="shared" si="771"/>
        <v>36859</v>
      </c>
      <c r="R689" s="4">
        <f t="shared" si="831"/>
        <v>1</v>
      </c>
      <c r="S689" s="158">
        <f>_xll.xSPRDOPT($L689,$J689,$I689,$M689,$O689,$N689,$P689,$Q689-$C$3,$R689,0)</f>
        <v>5.7391371600140684E-2</v>
      </c>
      <c r="T689" s="159">
        <f>_xll.xSPRDOPT($L689,$J689,$I689,$M689,$O689,$N689,$P689,$Q689-$C$3,$R689,1)*H689</f>
        <v>151536.94366570769</v>
      </c>
      <c r="U689" s="160">
        <f t="shared" si="832"/>
        <v>17791.325196043614</v>
      </c>
      <c r="V689" s="159">
        <f>_xll.xSPRDOPT($L689,$J689,$I689,$M689,$O689,$N689,$P689,$Q689-$C$3,$R689,2)*H689</f>
        <v>-148051.07345173982</v>
      </c>
      <c r="W689" s="159">
        <f t="shared" si="833"/>
        <v>3485.8702139678644</v>
      </c>
      <c r="X689" s="51" t="str">
        <f t="shared" si="834"/>
        <v>36861IF-PAN/TX/OK</v>
      </c>
      <c r="Y689" s="418">
        <f t="shared" si="835"/>
        <v>31</v>
      </c>
      <c r="Z689" s="456">
        <f t="shared" si="836"/>
        <v>0.48882885053454095</v>
      </c>
      <c r="AA689" s="456">
        <f>_xll.xSPRDOPT($L689,$J689,$I689,$M689,$O689,$N689,$P689,$Q689-$C$3,$R689,3)</f>
        <v>2.6273273740964833</v>
      </c>
      <c r="AB689" s="456">
        <f>((_xll.xSPRDOPT($L689+AB$5,$J689,$I689,$M689,$O689,$N689,$P689,$Q689-$C$3,$R689,3)*$H689)/10000)/100</f>
        <v>0.81447148596990981</v>
      </c>
      <c r="AC689" s="456">
        <f>((_xll.xSPRDOPT($L689+$AB$5,$J689,$I689,$M689,$O689,$N689,$P689,$Q689-$C$3,$R689,7)*$H689)/100)</f>
        <v>-16460.736713230071</v>
      </c>
      <c r="AD689" s="456">
        <f>(_xll.xSPRDOPT($L689+$AB$5,$J689,$I689,$M689,$O689,$N689,$P689,$Q689-$C$3,$R689,9)/365)*$H689</f>
        <v>-95.773593054436077</v>
      </c>
      <c r="AE689">
        <f t="shared" si="842"/>
        <v>0</v>
      </c>
      <c r="AF689" s="456">
        <f t="shared" si="837"/>
        <v>303.7091878486691</v>
      </c>
      <c r="AG689" s="456">
        <f>((_xll.xSPRDOPT($L689,$J689,$I689,$M689,$O689,$N689,$P689,$Q689-$C$3,$R689,6)*$H689)/100)</f>
        <v>1014.4774771849499</v>
      </c>
      <c r="AH689" s="456">
        <f>((_xll.xSPRDOPT($L689,$J689,$I689,$M689,$O689,$N689,$P689,$Q689-$C$3,$R689,5)*$H689)/100)</f>
        <v>-710.76828933628076</v>
      </c>
      <c r="AI689" s="456">
        <f>(((_xll.xSPRDOPT($L689,$J689,$I689,$M689,$O689,$N689,$P689,$Q689-$C$3,$R689,4)*$H689)/10000)/100)-AB689</f>
        <v>-1.3836509571589772E-3</v>
      </c>
      <c r="AJ689" s="456"/>
      <c r="CC689" s="141" t="e">
        <f>#REF!</f>
        <v>#REF!</v>
      </c>
      <c r="CD689" s="234" t="e">
        <f>_xll.xSPRDOPT((VLOOKUP(#REF!,NGPrices,2,FALSE)+HLOOKUP(#REF!,Prices,VLOOKUP(#REF!,move_down,2,FALSE),FALSE)),VLOOKUP(#REF!,NGPrices,2,FALSE),#REF!,VLOOKUP(#REF!,NGPREVPRICES,4,FALSE),HLOOKUP(#REF!,PREVVOLS,VLOOKUP(#REF!,MOVE_DOWN2,2,FALSE),FALSE),VLOOKUP(#REF!,NGPREVPRICES,3,FALSE),HLOOKUP(#REF!,Correllate,VLOOKUP(#REF!,CorMove,2,FALSE),FALSE),#REF!-$CD$3,#REF!,$CD$5)*#REF!-CJ689</f>
        <v>#REF!</v>
      </c>
      <c r="CE689" s="234" t="e">
        <f>_xll.xSPRDOPT((VLOOKUP(#REF!,NGPREVPRICES,2,FALSE)+HLOOKUP(#REF!,PREVCURVES,VLOOKUP(#REF!,MOVE_DOWN2,2,FALSE),FALSE)),VLOOKUP(#REF!,NGPREVPRICES,2,FALSE),CK689,VLOOKUP(#REF!,NGPrices,4,FALSE),HLOOKUP(#REF!,PREVVOLS,VLOOKUP(#REF!,MOVE_DOWN2,2,FALSE),FALSE),VLOOKUP(#REF!,NGPREVPRICES,3,FALSE),HLOOKUP(#REF!,Correllate,VLOOKUP(#REF!,CorMove,2,FALSE),FALSE),#REF!-$CD$3,#REF!,$CJ$5)*#REF!-CJ689</f>
        <v>#REF!</v>
      </c>
      <c r="CF689" s="10" t="e">
        <f t="shared" si="806"/>
        <v>#REF!</v>
      </c>
      <c r="CG689" s="234" t="e">
        <f>_xll.xSPRDOPT((VLOOKUP(#REF!,NGPREVPRICES,2,FALSE)+HLOOKUP(#REF!,PREVCURVES,VLOOKUP(#REF!,MOVE_DOWN2,2,FALSE),FALSE)),VLOOKUP(#REF!,NGPREVPRICES,2,FALSE),CK689,VLOOKUP(#REF!,NGPREVPRICES,4,FALSE),HLOOKUP(#REF!,VOLS,VLOOKUP(#REF!,move_down,2,FALSE),FALSE),VLOOKUP(#REF!,NGPrices,3,FALSE),HLOOKUP(#REF!,Correllate,VLOOKUP(#REF!,CorMove,2,FALSE),FALSE),#REF!-$CD$3,#REF!,$CJ$5)*#REF!-CJ689</f>
        <v>#REF!</v>
      </c>
      <c r="CH689" s="234" t="e">
        <f>_xll.xSPRDOPT((VLOOKUP(#REF!,NGPREVPRICES,2,FALSE)+HLOOKUP(#REF!,PREVCURVES,VLOOKUP(#REF!,MOVE_DOWN2,2,FALSE),FALSE)),VLOOKUP(#REF!,NGPREVPRICES,2,FALSE),CK689,VLOOKUP(#REF!,NGPREVPRICES,4,FALSE),HLOOKUP(#REF!,PREVVOLS,VLOOKUP(#REF!,MOVE_DOWN2,2,FALSE),FALSE),VLOOKUP(#REF!,NGPREVPRICES,3,FALSE),HLOOKUP(#REF!,Correllate,VLOOKUP(#REF!,CorMove,2,FALSE),FALSE),#REF!-$C$3,#REF!,$CJ$5)*#REF!-CJ689</f>
        <v>#REF!</v>
      </c>
      <c r="CI689" s="234" t="e">
        <f t="shared" si="807"/>
        <v>#REF!</v>
      </c>
      <c r="CJ689" s="234" t="e">
        <f>_xll.xSPRDOPT((VLOOKUP(#REF!,NGPREVPRICES,2,FALSE)+HLOOKUP(#REF!,PREVCURVES,VLOOKUP(#REF!,MOVE_DOWN2,2,FALSE),FALSE)),VLOOKUP(#REF!,NGPREVPRICES,2,FALSE),CK689,VLOOKUP(#REF!,NGPREVPRICES,4,FALSE),HLOOKUP(#REF!,PREVVOLS,VLOOKUP(#REF!,MOVE_DOWN2,2,FALSE),FALSE),VLOOKUP(#REF!,NGPREVPRICES,3,FALSE),HLOOKUP(#REF!,Correllate,VLOOKUP(#REF!,CorMove,2,FALSE),FALSE),#REF!-$CD$3,#REF!,$CJ$5)*#REF!</f>
        <v>#REF!</v>
      </c>
      <c r="CK689" s="235" t="e">
        <f>#REF!</f>
        <v>#REF!</v>
      </c>
      <c r="CM689" t="e">
        <f t="shared" si="809"/>
        <v>#REF!</v>
      </c>
      <c r="CN689" t="e">
        <f t="shared" si="838"/>
        <v>#REF!</v>
      </c>
      <c r="CO689" t="e">
        <f t="shared" si="839"/>
        <v>#REF!</v>
      </c>
      <c r="CP689" t="e">
        <f t="shared" si="840"/>
        <v>#REF!</v>
      </c>
      <c r="CQ689" t="e">
        <f t="shared" si="841"/>
        <v>#REF!</v>
      </c>
    </row>
    <row r="690" spans="1:95" x14ac:dyDescent="0.25">
      <c r="A690" s="140" t="s">
        <v>284</v>
      </c>
      <c r="B690" t="s">
        <v>250</v>
      </c>
      <c r="C690" t="s">
        <v>582</v>
      </c>
      <c r="D690" s="4" t="s">
        <v>6</v>
      </c>
      <c r="E690" t="s">
        <v>20</v>
      </c>
      <c r="F690" t="s">
        <v>21</v>
      </c>
      <c r="G690" s="5">
        <v>36892</v>
      </c>
      <c r="H690" s="130">
        <v>310000</v>
      </c>
      <c r="I690" s="235">
        <v>-0.15</v>
      </c>
      <c r="J690" s="53">
        <f t="shared" si="824"/>
        <v>4.7439999999999998</v>
      </c>
      <c r="K690" s="7">
        <f t="shared" si="825"/>
        <v>-0.16</v>
      </c>
      <c r="L690" s="53">
        <f t="shared" si="826"/>
        <v>4.5839999999999996</v>
      </c>
      <c r="M690" s="157">
        <f t="shared" si="827"/>
        <v>6.8374831148490994E-2</v>
      </c>
      <c r="N690" s="4">
        <f t="shared" si="828"/>
        <v>0.60499999999999998</v>
      </c>
      <c r="O690" s="4">
        <f t="shared" si="829"/>
        <v>0.60499999999999998</v>
      </c>
      <c r="P690" s="9">
        <f t="shared" si="830"/>
        <v>0.995</v>
      </c>
      <c r="Q690" s="5">
        <f t="shared" si="771"/>
        <v>36888</v>
      </c>
      <c r="R690" s="4">
        <f t="shared" si="831"/>
        <v>1</v>
      </c>
      <c r="S690" s="158">
        <f>_xll.xSPRDOPT($L690,$J690,$I690,$M690,$O690,$N690,$P690,$Q690-$C$3,$R690,0)</f>
        <v>6.1913832199126773E-2</v>
      </c>
      <c r="T690" s="159">
        <f>_xll.xSPRDOPT($L690,$J690,$I690,$M690,$O690,$N690,$P690,$Q690-$C$3,$R690,1)*H690</f>
        <v>145811.50928468377</v>
      </c>
      <c r="U690" s="160">
        <f t="shared" si="832"/>
        <v>19193.2879817293</v>
      </c>
      <c r="V690" s="159">
        <f>_xll.xSPRDOPT($L690,$J690,$I690,$M690,$O690,$N690,$P690,$Q690-$C$3,$R690,2)*H690</f>
        <v>-141816.77419703841</v>
      </c>
      <c r="W690" s="159">
        <f t="shared" si="833"/>
        <v>3994.7350876453565</v>
      </c>
      <c r="X690" s="51" t="str">
        <f t="shared" si="834"/>
        <v>36892IF-PAN/TX/OK</v>
      </c>
      <c r="Y690" s="418">
        <f t="shared" si="835"/>
        <v>31</v>
      </c>
      <c r="Z690" s="456">
        <f t="shared" si="836"/>
        <v>0.47035970736994764</v>
      </c>
      <c r="AA690" s="456">
        <f>_xll.xSPRDOPT($L690,$J690,$I690,$M690,$O690,$N690,$P690,$Q690-$C$3,$R690,3)</f>
        <v>2.2840828340447588</v>
      </c>
      <c r="AB690" s="456">
        <f>((_xll.xSPRDOPT($L690+AB$5,$J690,$I690,$M690,$O690,$N690,$P690,$Q690-$C$3,$R690,3)*$H690)/10000)/100</f>
        <v>0.70806567855387514</v>
      </c>
      <c r="AC690" s="456">
        <f>((_xll.xSPRDOPT($L690+$AB$5,$J690,$I690,$M690,$O690,$N690,$P690,$Q690-$C$3,$R690,7)*$H690)/100)</f>
        <v>-18624.085742649106</v>
      </c>
      <c r="AD690" s="456">
        <f>(_xll.xSPRDOPT($L690+$AB$5,$J690,$I690,$M690,$O690,$N690,$P690,$Q690-$C$3,$R690,9)/365)*$H690</f>
        <v>-82.097002734132445</v>
      </c>
      <c r="AE690">
        <f t="shared" si="842"/>
        <v>0</v>
      </c>
      <c r="AF690" s="456">
        <f t="shared" si="837"/>
        <v>342.53514636208536</v>
      </c>
      <c r="AG690" s="456">
        <f>((_xll.xSPRDOPT($L690,$J690,$I690,$M690,$O690,$N690,$P690,$Q690-$C$3,$R690,6)*$H690)/100)</f>
        <v>1151.9107450795113</v>
      </c>
      <c r="AH690" s="456">
        <f>((_xll.xSPRDOPT($L690,$J690,$I690,$M690,$O690,$N690,$P690,$Q690-$C$3,$R690,5)*$H690)/100)</f>
        <v>-809.37559871742599</v>
      </c>
      <c r="AI690" s="456">
        <f>(((_xll.xSPRDOPT($L690,$J690,$I690,$M690,$O690,$N690,$P690,$Q690-$C$3,$R690,4)*$H690)/10000)/100)-AB690</f>
        <v>-3.4758035671076382E-3</v>
      </c>
      <c r="AJ690" s="456"/>
      <c r="CC690" s="141">
        <f>G688</f>
        <v>36831</v>
      </c>
      <c r="CD690" s="234">
        <f>_xll.xSPRDOPT((VLOOKUP(G688,NGPrices,2,FALSE)+HLOOKUP(D688,Prices,VLOOKUP(G688,move_down,2,FALSE),FALSE)),VLOOKUP(G688,NGPrices,2,FALSE),I688,VLOOKUP(G688,NGPREVPRICES,4,FALSE),HLOOKUP(D688,PREVVOLS,VLOOKUP(G688,MOVE_DOWN2,2,FALSE),FALSE),VLOOKUP(G688,NGPREVPRICES,3,FALSE),HLOOKUP(D688,Correllate,VLOOKUP(G688,CorMove,2,FALSE),FALSE),Q688-$CD$3,R688,$CD$5)*H688-CJ690</f>
        <v>0</v>
      </c>
      <c r="CE690" s="234">
        <f>_xll.xSPRDOPT((VLOOKUP(G688,NGPREVPRICES,2,FALSE)+HLOOKUP(D688,PREVCURVES,VLOOKUP(G688,MOVE_DOWN2,2,FALSE),FALSE)),VLOOKUP(G688,NGPREVPRICES,2,FALSE),CK690,VLOOKUP(G688,NGPrices,4,FALSE),HLOOKUP(D688,PREVVOLS,VLOOKUP(G688,MOVE_DOWN2,2,FALSE),FALSE),VLOOKUP(G688,NGPREVPRICES,3,FALSE),HLOOKUP(D688,Correllate,VLOOKUP(G688,CorMove,2,FALSE),FALSE),Q688-$CD$3,R688,$CJ$5)*H688-CJ690</f>
        <v>0</v>
      </c>
      <c r="CF690" s="10">
        <f t="shared" si="806"/>
        <v>-2.8733211174785538</v>
      </c>
      <c r="CG690" s="234">
        <f>_xll.xSPRDOPT((VLOOKUP(G688,NGPREVPRICES,2,FALSE)+HLOOKUP(D688,PREVCURVES,VLOOKUP(G688,MOVE_DOWN2,2,FALSE),FALSE)),VLOOKUP(G688,NGPREVPRICES,2,FALSE),CK690,VLOOKUP(G688,NGPREVPRICES,4,FALSE),HLOOKUP(D688,VOLS,VLOOKUP(G688,move_down,2,FALSE),FALSE),VLOOKUP(G688,NGPrices,3,FALSE),HLOOKUP(D688,Correllate,VLOOKUP(G688,CorMove,2,FALSE),FALSE),Q688-$CD$3,R688,$CJ$5)*H688-CJ690</f>
        <v>0</v>
      </c>
      <c r="CH690" s="234">
        <f>_xll.xSPRDOPT((VLOOKUP(G688,NGPREVPRICES,2,FALSE)+HLOOKUP(D688,PREVCURVES,VLOOKUP(G688,MOVE_DOWN2,2,FALSE),FALSE)),VLOOKUP(G688,NGPREVPRICES,2,FALSE),CK690,VLOOKUP(G688,NGPREVPRICES,4,FALSE),HLOOKUP(D688,PREVVOLS,VLOOKUP(G688,MOVE_DOWN2,2,FALSE),FALSE),VLOOKUP(G688,NGPREVPRICES,3,FALSE),HLOOKUP(D688,Correllate,VLOOKUP(G688,CorMove,2,FALSE),FALSE),Q688-$C$3,R688,$CJ$5)*H688-CJ690</f>
        <v>-111.35668973774773</v>
      </c>
      <c r="CI690" s="234">
        <f t="shared" si="807"/>
        <v>-114.23001085522628</v>
      </c>
      <c r="CJ690" s="234">
        <f>_xll.xSPRDOPT((VLOOKUP(G688,NGPREVPRICES,2,FALSE)+HLOOKUP(D688,PREVCURVES,VLOOKUP(G688,MOVE_DOWN2,2,FALSE),FALSE)),VLOOKUP(G688,NGPREVPRICES,2,FALSE),CK690,VLOOKUP(G688,NGPREVPRICES,4,FALSE),HLOOKUP(D688,PREVVOLS,VLOOKUP(G688,MOVE_DOWN2,2,FALSE),FALSE),VLOOKUP(G688,NGPREVPRICES,3,FALSE),HLOOKUP(D688,Correllate,VLOOKUP(G688,CorMove,2,FALSE),FALSE),Q688-$CD$3,R688,$CJ$5)*H688</f>
        <v>15472.032358583445</v>
      </c>
      <c r="CK690" s="235">
        <f>I688</f>
        <v>-0.15</v>
      </c>
      <c r="CM690" t="str">
        <f t="shared" si="809"/>
        <v>36831Curve Shift/Gamma</v>
      </c>
      <c r="CN690" t="str">
        <f t="shared" si="838"/>
        <v>36831Rho</v>
      </c>
      <c r="CO690" t="str">
        <f t="shared" si="839"/>
        <v>36831Drift</v>
      </c>
      <c r="CP690" t="str">
        <f t="shared" si="840"/>
        <v>36831Vega</v>
      </c>
      <c r="CQ690" t="str">
        <f t="shared" si="841"/>
        <v>36831Theta</v>
      </c>
    </row>
    <row r="691" spans="1:95" x14ac:dyDescent="0.25">
      <c r="A691" s="140" t="s">
        <v>284</v>
      </c>
      <c r="B691" t="s">
        <v>250</v>
      </c>
      <c r="C691" t="s">
        <v>582</v>
      </c>
      <c r="D691" s="4" t="s">
        <v>6</v>
      </c>
      <c r="E691" t="s">
        <v>20</v>
      </c>
      <c r="F691" t="s">
        <v>21</v>
      </c>
      <c r="G691" s="5">
        <v>36923</v>
      </c>
      <c r="H691" s="130">
        <v>280000</v>
      </c>
      <c r="I691" s="235">
        <v>-0.15</v>
      </c>
      <c r="J691" s="53">
        <f t="shared" si="824"/>
        <v>4.4800000000000004</v>
      </c>
      <c r="K691" s="7">
        <f t="shared" si="825"/>
        <v>-0.14499999999999999</v>
      </c>
      <c r="L691" s="53">
        <f t="shared" si="826"/>
        <v>4.3350000000000009</v>
      </c>
      <c r="M691" s="157">
        <f t="shared" si="827"/>
        <v>6.8640161611372E-2</v>
      </c>
      <c r="N691" s="4">
        <f t="shared" si="828"/>
        <v>0.59250000000000003</v>
      </c>
      <c r="O691" s="4">
        <f t="shared" si="829"/>
        <v>0.59299999999999997</v>
      </c>
      <c r="P691" s="9">
        <f t="shared" si="830"/>
        <v>0.995</v>
      </c>
      <c r="Q691" s="5">
        <f t="shared" si="771"/>
        <v>36921</v>
      </c>
      <c r="R691" s="4">
        <f t="shared" si="831"/>
        <v>1</v>
      </c>
      <c r="S691" s="158">
        <f>_xll.xSPRDOPT($L691,$J691,$I691,$M691,$O691,$N691,$P691,$Q691-$C$3,$R691,0)</f>
        <v>7.1898890483950734E-2</v>
      </c>
      <c r="T691" s="159">
        <f>_xll.xSPRDOPT($L691,$J691,$I691,$M691,$O691,$N691,$P691,$Q691-$C$3,$R691,1)*H691</f>
        <v>140294.33340210823</v>
      </c>
      <c r="U691" s="160">
        <f t="shared" si="832"/>
        <v>20131.689335506206</v>
      </c>
      <c r="V691" s="159">
        <f>_xll.xSPRDOPT($L691,$J691,$I691,$M691,$O691,$N691,$P691,$Q691-$C$3,$R691,2)*H691</f>
        <v>-136343.40532215178</v>
      </c>
      <c r="W691" s="159">
        <f t="shared" si="833"/>
        <v>3950.928079956444</v>
      </c>
      <c r="X691" s="51" t="str">
        <f t="shared" si="834"/>
        <v>36923IF-PAN/TX/OK</v>
      </c>
      <c r="Y691" s="418">
        <f t="shared" si="835"/>
        <v>28</v>
      </c>
      <c r="Z691" s="456">
        <f t="shared" si="836"/>
        <v>0.50105119072181514</v>
      </c>
      <c r="AA691" s="456">
        <f>_xll.xSPRDOPT($L691,$J691,$I691,$M691,$O691,$N691,$P691,$Q691-$C$3,$R691,3)</f>
        <v>2.1661787474504046</v>
      </c>
      <c r="AB691" s="456">
        <f>((_xll.xSPRDOPT($L691+AB$5,$J691,$I691,$M691,$O691,$N691,$P691,$Q691-$C$3,$R691,3)*$H691)/10000)/100</f>
        <v>0.6065300492861132</v>
      </c>
      <c r="AC691" s="456">
        <f>((_xll.xSPRDOPT($L691+$AB$5,$J691,$I691,$M691,$O691,$N691,$P691,$Q691-$C$3,$R691,7)*$H691)/100)</f>
        <v>-17454.041594288963</v>
      </c>
      <c r="AD691" s="456">
        <f>(_xll.xSPRDOPT($L691+$AB$5,$J691,$I691,$M691,$O691,$N691,$P691,$Q691-$C$3,$R691,9)/365)*$H691</f>
        <v>-59.70207280944016</v>
      </c>
      <c r="AE691">
        <f t="shared" si="842"/>
        <v>0</v>
      </c>
      <c r="AF691" s="456">
        <f t="shared" si="837"/>
        <v>329.80421887686919</v>
      </c>
      <c r="AG691" s="456">
        <f>((_xll.xSPRDOPT($L691,$J691,$I691,$M691,$O691,$N691,$P691,$Q691-$C$3,$R691,6)*$H691)/100)</f>
        <v>1118.7121165020478</v>
      </c>
      <c r="AH691" s="456">
        <f>((_xll.xSPRDOPT($L691,$J691,$I691,$M691,$O691,$N691,$P691,$Q691-$C$3,$R691,5)*$H691)/100)</f>
        <v>-788.24271390036836</v>
      </c>
      <c r="AI691" s="456">
        <f>(((_xll.xSPRDOPT($L691,$J691,$I691,$M691,$O691,$N691,$P691,$Q691-$C$3,$R691,4)*$H691)/10000)/100)-AB691</f>
        <v>3.7866813058906601E-4</v>
      </c>
      <c r="AJ691" s="456"/>
      <c r="CC691" s="141">
        <f>G689</f>
        <v>36861</v>
      </c>
      <c r="CD691" s="234">
        <f>_xll.xSPRDOPT((VLOOKUP(G689,NGPrices,2,FALSE)+HLOOKUP(D689,Prices,VLOOKUP(G689,move_down,2,FALSE),FALSE)),VLOOKUP(G689,NGPrices,2,FALSE),I689,VLOOKUP(G689,NGPREVPRICES,4,FALSE),HLOOKUP(D689,PREVVOLS,VLOOKUP(G689,MOVE_DOWN2,2,FALSE),FALSE),VLOOKUP(G689,NGPREVPRICES,3,FALSE),HLOOKUP(D689,Correllate,VLOOKUP(G689,CorMove,2,FALSE),FALSE),Q689-$CD$3,R689,$CD$5)*H689-CJ691</f>
        <v>0</v>
      </c>
      <c r="CE691" s="234">
        <f>_xll.xSPRDOPT((VLOOKUP(G689,NGPREVPRICES,2,FALSE)+HLOOKUP(D689,PREVCURVES,VLOOKUP(G689,MOVE_DOWN2,2,FALSE),FALSE)),VLOOKUP(G689,NGPREVPRICES,2,FALSE),CK691,VLOOKUP(G689,NGPrices,4,FALSE),HLOOKUP(D689,PREVVOLS,VLOOKUP(G689,MOVE_DOWN2,2,FALSE),FALSE),VLOOKUP(G689,NGPREVPRICES,3,FALSE),HLOOKUP(D689,Correllate,VLOOKUP(G689,CorMove,2,FALSE),FALSE),Q689-$CD$3,R689,$CJ$5)*H689-CJ691</f>
        <v>0</v>
      </c>
      <c r="CF691" s="10">
        <f t="shared" si="806"/>
        <v>-3.3508667911919474</v>
      </c>
      <c r="CG691" s="234">
        <f>_xll.xSPRDOPT((VLOOKUP(G689,NGPREVPRICES,2,FALSE)+HLOOKUP(D689,PREVCURVES,VLOOKUP(G689,MOVE_DOWN2,2,FALSE),FALSE)),VLOOKUP(G689,NGPREVPRICES,2,FALSE),CK691,VLOOKUP(G689,NGPREVPRICES,4,FALSE),HLOOKUP(D689,VOLS,VLOOKUP(G689,move_down,2,FALSE),FALSE),VLOOKUP(G689,NGPrices,3,FALSE),HLOOKUP(D689,Correllate,VLOOKUP(G689,CorMove,2,FALSE),FALSE),Q689-$CD$3,R689,$CJ$5)*H689-CJ691</f>
        <v>0</v>
      </c>
      <c r="CH691" s="234">
        <f>_xll.xSPRDOPT((VLOOKUP(G689,NGPREVPRICES,2,FALSE)+HLOOKUP(D689,PREVCURVES,VLOOKUP(G689,MOVE_DOWN2,2,FALSE),FALSE)),VLOOKUP(G689,NGPREVPRICES,2,FALSE),CK691,VLOOKUP(G689,NGPREVPRICES,4,FALSE),HLOOKUP(D689,PREVVOLS,VLOOKUP(G689,MOVE_DOWN2,2,FALSE),FALSE),VLOOKUP(G689,NGPREVPRICES,3,FALSE),HLOOKUP(D689,Correllate,VLOOKUP(G689,CorMove,2,FALSE),FALSE),Q689-$C$3,R689,$CJ$5)*H689-CJ691</f>
        <v>-95.424694743654982</v>
      </c>
      <c r="CI691" s="234">
        <f t="shared" si="807"/>
        <v>-98.775561534846929</v>
      </c>
      <c r="CJ691" s="234">
        <f>_xll.xSPRDOPT((VLOOKUP(G689,NGPREVPRICES,2,FALSE)+HLOOKUP(D689,PREVCURVES,VLOOKUP(G689,MOVE_DOWN2,2,FALSE),FALSE)),VLOOKUP(G689,NGPREVPRICES,2,FALSE),CK691,VLOOKUP(G689,NGPREVPRICES,4,FALSE),HLOOKUP(D689,PREVVOLS,VLOOKUP(G689,MOVE_DOWN2,2,FALSE),FALSE),VLOOKUP(G689,NGPREVPRICES,3,FALSE),HLOOKUP(D689,Correllate,VLOOKUP(G689,CorMove,2,FALSE),FALSE),Q689-$CD$3,R689,$CJ$5)*H689</f>
        <v>17886.749890787269</v>
      </c>
      <c r="CK691" s="235">
        <f>I689</f>
        <v>-0.15</v>
      </c>
      <c r="CM691" t="str">
        <f t="shared" si="809"/>
        <v>36861Curve Shift/Gamma</v>
      </c>
      <c r="CN691" t="str">
        <f t="shared" si="838"/>
        <v>36861Rho</v>
      </c>
      <c r="CO691" t="str">
        <f t="shared" si="839"/>
        <v>36861Drift</v>
      </c>
      <c r="CP691" t="str">
        <f t="shared" si="840"/>
        <v>36861Vega</v>
      </c>
      <c r="CQ691" t="str">
        <f t="shared" si="841"/>
        <v>36861Theta</v>
      </c>
    </row>
    <row r="692" spans="1:95" x14ac:dyDescent="0.25">
      <c r="A692" s="140" t="s">
        <v>284</v>
      </c>
      <c r="B692" t="s">
        <v>250</v>
      </c>
      <c r="C692" t="s">
        <v>582</v>
      </c>
      <c r="D692" s="4" t="s">
        <v>6</v>
      </c>
      <c r="E692" t="s">
        <v>20</v>
      </c>
      <c r="F692" t="s">
        <v>21</v>
      </c>
      <c r="G692" s="5">
        <v>36951</v>
      </c>
      <c r="H692" s="130">
        <v>310000</v>
      </c>
      <c r="I692" s="235">
        <v>-0.15</v>
      </c>
      <c r="J692" s="53">
        <f t="shared" si="824"/>
        <v>4.2130000000000001</v>
      </c>
      <c r="K692" s="7">
        <f t="shared" si="825"/>
        <v>-0.13750000000000001</v>
      </c>
      <c r="L692" s="53">
        <f t="shared" si="826"/>
        <v>4.0754999999999999</v>
      </c>
      <c r="M692" s="157">
        <f t="shared" si="827"/>
        <v>6.8879814952706994E-2</v>
      </c>
      <c r="N692" s="4">
        <f t="shared" si="828"/>
        <v>0.53249999999999997</v>
      </c>
      <c r="O692" s="4">
        <f t="shared" si="829"/>
        <v>0.53300000000000003</v>
      </c>
      <c r="P692" s="9">
        <f t="shared" si="830"/>
        <v>0.995</v>
      </c>
      <c r="Q692" s="5">
        <f t="shared" si="771"/>
        <v>36949</v>
      </c>
      <c r="R692" s="4">
        <f t="shared" si="831"/>
        <v>1</v>
      </c>
      <c r="S692" s="158">
        <f>_xll.xSPRDOPT($L692,$J692,$I692,$M692,$O692,$N692,$P692,$Q692-$C$3,$R692,0)</f>
        <v>7.0059395806128189E-2</v>
      </c>
      <c r="T692" s="159">
        <f>_xll.xSPRDOPT($L692,$J692,$I692,$M692,$O692,$N692,$P692,$Q692-$C$3,$R692,1)*H692</f>
        <v>160007.16873015588</v>
      </c>
      <c r="U692" s="160">
        <f t="shared" si="832"/>
        <v>21718.412699899738</v>
      </c>
      <c r="V692" s="159">
        <f>_xll.xSPRDOPT($L692,$J692,$I692,$M692,$O692,$N692,$P692,$Q692-$C$3,$R692,2)*H692</f>
        <v>-155789.7577798618</v>
      </c>
      <c r="W692" s="159">
        <f t="shared" si="833"/>
        <v>4217.4109502940846</v>
      </c>
      <c r="X692" s="51" t="str">
        <f t="shared" si="834"/>
        <v>36951IF-PAN/TX/OK</v>
      </c>
      <c r="Y692" s="418">
        <f t="shared" si="835"/>
        <v>31</v>
      </c>
      <c r="Z692" s="456">
        <f t="shared" si="836"/>
        <v>0.51615215719405128</v>
      </c>
      <c r="AA692" s="456">
        <f>_xll.xSPRDOPT($L692,$J692,$I692,$M692,$O692,$N692,$P692,$Q692-$C$3,$R692,3)</f>
        <v>2.3240264109608839</v>
      </c>
      <c r="AB692" s="456">
        <f>((_xll.xSPRDOPT($L692+AB$5,$J692,$I692,$M692,$O692,$N692,$P692,$Q692-$C$3,$R692,3)*$H692)/10000)/100</f>
        <v>0.72044818739787397</v>
      </c>
      <c r="AC692" s="456">
        <f>((_xll.xSPRDOPT($L692+$AB$5,$J692,$I692,$M692,$O692,$N692,$P692,$Q692-$C$3,$R692,7)*$H692)/100)</f>
        <v>-17526.581685910092</v>
      </c>
      <c r="AD692" s="456">
        <f>(_xll.xSPRDOPT($L692+$AB$5,$J692,$I692,$M692,$O692,$N692,$P692,$Q692-$C$3,$R692,9)/365)*$H692</f>
        <v>-50.446962104993275</v>
      </c>
      <c r="AE692">
        <f t="shared" si="842"/>
        <v>0</v>
      </c>
      <c r="AF692" s="456">
        <f t="shared" si="837"/>
        <v>372.60025626482775</v>
      </c>
      <c r="AG692" s="456">
        <f>((_xll.xSPRDOPT($L692,$J692,$I692,$M692,$O692,$N692,$P692,$Q692-$C$3,$R692,6)*$H692)/100)</f>
        <v>1310.5874400317948</v>
      </c>
      <c r="AH692" s="456">
        <f>((_xll.xSPRDOPT($L692,$J692,$I692,$M692,$O692,$N692,$P692,$Q692-$C$3,$R692,5)*$H692)/100)</f>
        <v>-937.1072708366039</v>
      </c>
      <c r="AI692" s="456">
        <f>(((_xll.xSPRDOPT($L692,$J692,$I692,$M692,$O692,$N692,$P692,$Q692-$C$3,$R692,4)*$H692)/10000)/100)-AB692</f>
        <v>2.7517859328006766E-3</v>
      </c>
      <c r="AJ692" s="456"/>
      <c r="CC692" s="141">
        <f>G690</f>
        <v>36892</v>
      </c>
      <c r="CD692" s="234">
        <f>_xll.xSPRDOPT((VLOOKUP(G690,NGPrices,2,FALSE)+HLOOKUP(D690,Prices,VLOOKUP(G690,move_down,2,FALSE),FALSE)),VLOOKUP(G690,NGPrices,2,FALSE),I690,VLOOKUP(G690,NGPREVPRICES,4,FALSE),HLOOKUP(D690,PREVVOLS,VLOOKUP(G690,MOVE_DOWN2,2,FALSE),FALSE),VLOOKUP(G690,NGPREVPRICES,3,FALSE),HLOOKUP(D690,Correllate,VLOOKUP(G690,CorMove,2,FALSE),FALSE),Q690-$CD$3,R690,$CD$5)*H690-CJ692</f>
        <v>0</v>
      </c>
      <c r="CE692" s="234">
        <f>_xll.xSPRDOPT((VLOOKUP(G690,NGPREVPRICES,2,FALSE)+HLOOKUP(D690,PREVCURVES,VLOOKUP(G690,MOVE_DOWN2,2,FALSE),FALSE)),VLOOKUP(G690,NGPREVPRICES,2,FALSE),CK692,VLOOKUP(G690,NGPrices,4,FALSE),HLOOKUP(D690,PREVVOLS,VLOOKUP(G690,MOVE_DOWN2,2,FALSE),FALSE),VLOOKUP(G690,NGPREVPRICES,3,FALSE),HLOOKUP(D690,Correllate,VLOOKUP(G690,CorMove,2,FALSE),FALSE),Q690-$CD$3,R690,$CJ$5)*H690-CJ692</f>
        <v>0</v>
      </c>
      <c r="CF692" s="10">
        <f t="shared" si="806"/>
        <v>-3.6322297575134144</v>
      </c>
      <c r="CG692" s="234">
        <f>_xll.xSPRDOPT((VLOOKUP(G690,NGPREVPRICES,2,FALSE)+HLOOKUP(D690,PREVCURVES,VLOOKUP(G690,MOVE_DOWN2,2,FALSE),FALSE)),VLOOKUP(G690,NGPREVPRICES,2,FALSE),CK692,VLOOKUP(G690,NGPREVPRICES,4,FALSE),HLOOKUP(D690,VOLS,VLOOKUP(G690,move_down,2,FALSE),FALSE),VLOOKUP(G690,NGPrices,3,FALSE),HLOOKUP(D690,Correllate,VLOOKUP(G690,CorMove,2,FALSE),FALSE),Q690-$CD$3,R690,$CJ$5)*H690-CJ692</f>
        <v>0</v>
      </c>
      <c r="CH692" s="234">
        <f>_xll.xSPRDOPT((VLOOKUP(G690,NGPREVPRICES,2,FALSE)+HLOOKUP(D690,PREVCURVES,VLOOKUP(G690,MOVE_DOWN2,2,FALSE),FALSE)),VLOOKUP(G690,NGPREVPRICES,2,FALSE),CK692,VLOOKUP(G690,NGPREVPRICES,4,FALSE),HLOOKUP(D690,PREVVOLS,VLOOKUP(G690,MOVE_DOWN2,2,FALSE),FALSE),VLOOKUP(G690,NGPREVPRICES,3,FALSE),HLOOKUP(D690,Correllate,VLOOKUP(G690,CorMove,2,FALSE),FALSE),Q690-$C$3,R690,$CJ$5)*H690-CJ692</f>
        <v>-81.851680287953059</v>
      </c>
      <c r="CI692" s="234">
        <f t="shared" si="807"/>
        <v>-85.483910045466473</v>
      </c>
      <c r="CJ692" s="234">
        <f>_xll.xSPRDOPT((VLOOKUP(G690,NGPREVPRICES,2,FALSE)+HLOOKUP(D690,PREVCURVES,VLOOKUP(G690,MOVE_DOWN2,2,FALSE),FALSE)),VLOOKUP(G690,NGPREVPRICES,2,FALSE),CK692,VLOOKUP(G690,NGPREVPRICES,4,FALSE),HLOOKUP(D690,PREVVOLS,VLOOKUP(G690,MOVE_DOWN2,2,FALSE),FALSE),VLOOKUP(G690,NGPREVPRICES,3,FALSE),HLOOKUP(D690,Correllate,VLOOKUP(G690,CorMove,2,FALSE),FALSE),Q690-$CD$3,R690,$CJ$5)*H690</f>
        <v>19275.139662017253</v>
      </c>
      <c r="CK692" s="235">
        <f>I690</f>
        <v>-0.15</v>
      </c>
      <c r="CM692" t="str">
        <f t="shared" si="809"/>
        <v>36892Curve Shift/Gamma</v>
      </c>
      <c r="CN692" t="str">
        <f t="shared" si="838"/>
        <v>36892Rho</v>
      </c>
      <c r="CO692" t="str">
        <f t="shared" si="839"/>
        <v>36892Drift</v>
      </c>
      <c r="CP692" t="str">
        <f t="shared" si="840"/>
        <v>36892Vega</v>
      </c>
      <c r="CQ692" t="str">
        <f t="shared" si="841"/>
        <v>36892Theta</v>
      </c>
    </row>
    <row r="693" spans="1:95" x14ac:dyDescent="0.25">
      <c r="A693" s="140" t="s">
        <v>320</v>
      </c>
      <c r="B693" t="s">
        <v>250</v>
      </c>
      <c r="C693" t="s">
        <v>584</v>
      </c>
      <c r="D693" s="4" t="s">
        <v>7</v>
      </c>
      <c r="E693" t="s">
        <v>20</v>
      </c>
      <c r="F693" t="s">
        <v>21</v>
      </c>
      <c r="G693" s="5">
        <v>36831</v>
      </c>
      <c r="H693" s="130">
        <v>-500000</v>
      </c>
      <c r="I693" s="235">
        <v>1.45</v>
      </c>
      <c r="J693" s="53">
        <f t="shared" ref="J693:J707" si="843">VLOOKUP(G693,NGPrices,2,FALSE)</f>
        <v>4.7359999999999998</v>
      </c>
      <c r="K693" s="7">
        <f t="shared" ref="K693:K707" si="844">HLOOKUP(D693,Prices,VLOOKUP(G693,move_down,2,FALSE),FALSE)+VLOOKUP(G693,CHANGE,HLOOKUP(D693,CHANGE,2,FALSE),FALSE)</f>
        <v>0.77</v>
      </c>
      <c r="L693" s="53">
        <f t="shared" ref="L693:L707" si="845">K693+J693</f>
        <v>5.5060000000000002</v>
      </c>
      <c r="M693" s="157">
        <f t="shared" ref="M693:M707" si="846">VLOOKUP(G693,NGPrices,4,FALSE)</f>
        <v>6.810675983792E-2</v>
      </c>
      <c r="N693" s="4">
        <f t="shared" ref="N693:N707" si="847">VLOOKUP(G693,NGPrices,3,FALSE)</f>
        <v>0.59499999999999997</v>
      </c>
      <c r="O693" s="4">
        <f t="shared" ref="O693:O707" si="848">HLOOKUP(D693,VOLS,VLOOKUP(G693,move_down,2,FALSE),FALSE)</f>
        <v>0.625</v>
      </c>
      <c r="P693" s="9">
        <f t="shared" ref="P693:P707" si="849">HLOOKUP(D693,Correllate,VLOOKUP(G693,CorMove,2,FALSE),FALSE)</f>
        <v>0.89</v>
      </c>
      <c r="Q693" s="5">
        <f t="shared" si="771"/>
        <v>36829</v>
      </c>
      <c r="R693" s="4">
        <f t="shared" ref="R693:R707" si="850">IF(F693="P",0,1)</f>
        <v>1</v>
      </c>
      <c r="S693" s="158">
        <f>_xll.xSPRDOPT($L693,$J693,$I693,$M693,$O693,$N693,$P693,$Q693-$C$3,$R693,0)</f>
        <v>6.6965314905687037E-2</v>
      </c>
      <c r="T693" s="159">
        <f>_xll.xSPRDOPT($L693,$J693,$I693,$M693,$O693,$N693,$P693,$Q693-$C$3,$R693,1)*H693</f>
        <v>-94725.126104829877</v>
      </c>
      <c r="U693" s="160">
        <f t="shared" ref="U693:U707" si="851">S693*H693</f>
        <v>-33482.657452843516</v>
      </c>
      <c r="V693" s="159">
        <f>_xll.xSPRDOPT($L693,$J693,$I693,$M693,$O693,$N693,$P693,$Q693-$C$3,$R693,2)*H693</f>
        <v>81003.171368549971</v>
      </c>
      <c r="W693" s="159">
        <f t="shared" ref="W693:W707" si="852">+V693+T693</f>
        <v>-13721.954736279906</v>
      </c>
      <c r="X693" s="51" t="str">
        <f t="shared" ref="X693:X707" si="853">CONCATENATE(G693,D693)</f>
        <v>36831IF-TRANSCO/Z6</v>
      </c>
      <c r="Y693" s="418">
        <f t="shared" ref="Y693:Y707" si="854">H693/10000</f>
        <v>-50</v>
      </c>
      <c r="Z693" s="456">
        <f t="shared" ref="Z693:Z707" si="855">T693/H693</f>
        <v>0.18945025220965975</v>
      </c>
      <c r="AA693" s="456">
        <f>_xll.xSPRDOPT($L693,$J693,$I693,$M693,$O693,$N693,$P693,$Q693-$C$3,$R693,3)</f>
        <v>0.39645099490977564</v>
      </c>
      <c r="AB693" s="456">
        <f>((_xll.xSPRDOPT($L693+AB$5,$J693,$I693,$M693,$O693,$N693,$P693,$Q693-$C$3,$R693,3)*$H693)/10000)/100</f>
        <v>-0.19822549745488782</v>
      </c>
      <c r="AC693" s="456">
        <f>((_xll.xSPRDOPT($L693+$AB$5,$J693,$I693,$M693,$O693,$N693,$P693,$Q693-$C$3,$R693,7)*$H693)/100)</f>
        <v>2959.4228082325426</v>
      </c>
      <c r="AD693" s="456">
        <f>(_xll.xSPRDOPT($L693+$AB$5,$J693,$I693,$M693,$O693,$N693,$P693,$Q693-$C$3,$R693,9)/365)*$H693</f>
        <v>736.33568748418588</v>
      </c>
      <c r="AE693">
        <f t="shared" si="842"/>
        <v>0</v>
      </c>
      <c r="AF693" s="456">
        <f t="shared" ref="AF693:AF707" si="856">((O693/N693)*AH693)+AG693</f>
        <v>-1546.509399731448</v>
      </c>
      <c r="AG693" s="456">
        <f>((_xll.xSPRDOPT($L693,$J693,$I693,$M693,$O693,$N693,$P693,$Q693-$C$3,$R693,6)*$H693)/100)</f>
        <v>723.73400376864959</v>
      </c>
      <c r="AH693" s="456">
        <f>((_xll.xSPRDOPT($L693,$J693,$I693,$M693,$O693,$N693,$P693,$Q693-$C$3,$R693,5)*$H693)/100)</f>
        <v>-2161.2717201320925</v>
      </c>
      <c r="AI693" s="456">
        <f>(((_xll.xSPRDOPT($L693,$J693,$I693,$M693,$O693,$N693,$P693,$Q693-$C$3,$R693,4)*$H693)/10000)/100)-AB693</f>
        <v>3.4766323729474968E-2</v>
      </c>
      <c r="AJ693" s="456"/>
      <c r="CC693" s="141">
        <f>G691</f>
        <v>36923</v>
      </c>
      <c r="CD693" s="234">
        <f>_xll.xSPRDOPT((VLOOKUP(G691,NGPrices,2,FALSE)+HLOOKUP(D691,Prices,VLOOKUP(G691,move_down,2,FALSE),FALSE)),VLOOKUP(G691,NGPrices,2,FALSE),I691,VLOOKUP(G691,NGPREVPRICES,4,FALSE),HLOOKUP(D691,PREVVOLS,VLOOKUP(G691,MOVE_DOWN2,2,FALSE),FALSE),VLOOKUP(G691,NGPREVPRICES,3,FALSE),HLOOKUP(D691,Correllate,VLOOKUP(G691,CorMove,2,FALSE),FALSE),Q691-$CD$3,R691,$CD$5)*H691-CJ693</f>
        <v>0</v>
      </c>
      <c r="CE693" s="234">
        <f>_xll.xSPRDOPT((VLOOKUP(G691,NGPREVPRICES,2,FALSE)+HLOOKUP(D691,PREVCURVES,VLOOKUP(G691,MOVE_DOWN2,2,FALSE),FALSE)),VLOOKUP(G691,NGPREVPRICES,2,FALSE),CK693,VLOOKUP(G691,NGPrices,4,FALSE),HLOOKUP(D691,PREVVOLS,VLOOKUP(G691,MOVE_DOWN2,2,FALSE),FALSE),VLOOKUP(G691,NGPREVPRICES,3,FALSE),HLOOKUP(D691,Correllate,VLOOKUP(G691,CorMove,2,FALSE),FALSE),Q691-$CD$3,R691,$CJ$5)*H691-CJ693</f>
        <v>0</v>
      </c>
      <c r="CF693" s="10">
        <f t="shared" si="806"/>
        <v>-3.8401405814838654</v>
      </c>
      <c r="CG693" s="234">
        <f>_xll.xSPRDOPT((VLOOKUP(G691,NGPREVPRICES,2,FALSE)+HLOOKUP(D691,PREVCURVES,VLOOKUP(G691,MOVE_DOWN2,2,FALSE),FALSE)),VLOOKUP(G691,NGPREVPRICES,2,FALSE),CK693,VLOOKUP(G691,NGPREVPRICES,4,FALSE),HLOOKUP(D691,VOLS,VLOOKUP(G691,move_down,2,FALSE),FALSE),VLOOKUP(G691,NGPrices,3,FALSE),HLOOKUP(D691,Correllate,VLOOKUP(G691,CorMove,2,FALSE),FALSE),Q691-$CD$3,R691,$CJ$5)*H691-CJ693</f>
        <v>0</v>
      </c>
      <c r="CH693" s="234">
        <f>_xll.xSPRDOPT((VLOOKUP(G691,NGPREVPRICES,2,FALSE)+HLOOKUP(D691,PREVCURVES,VLOOKUP(G691,MOVE_DOWN2,2,FALSE),FALSE)),VLOOKUP(G691,NGPREVPRICES,2,FALSE),CK693,VLOOKUP(G691,NGPREVPRICES,4,FALSE),HLOOKUP(D691,PREVVOLS,VLOOKUP(G691,MOVE_DOWN2,2,FALSE),FALSE),VLOOKUP(G691,NGPREVPRICES,3,FALSE),HLOOKUP(D691,Correllate,VLOOKUP(G691,CorMove,2,FALSE),FALSE),Q691-$C$3,R691,$CJ$5)*H691-CJ693</f>
        <v>-59.548669702282496</v>
      </c>
      <c r="CI693" s="234">
        <f t="shared" si="807"/>
        <v>-63.388810283766361</v>
      </c>
      <c r="CJ693" s="234">
        <f>_xll.xSPRDOPT((VLOOKUP(G691,NGPREVPRICES,2,FALSE)+HLOOKUP(D691,PREVCURVES,VLOOKUP(G691,MOVE_DOWN2,2,FALSE),FALSE)),VLOOKUP(G691,NGPREVPRICES,2,FALSE),CK693,VLOOKUP(G691,NGPREVPRICES,4,FALSE),HLOOKUP(D691,PREVVOLS,VLOOKUP(G691,MOVE_DOWN2,2,FALSE),FALSE),VLOOKUP(G691,NGPREVPRICES,3,FALSE),HLOOKUP(D691,Correllate,VLOOKUP(G691,CorMove,2,FALSE),FALSE),Q691-$CD$3,R691,$CJ$5)*H691</f>
        <v>20191.238005208488</v>
      </c>
      <c r="CK693" s="235">
        <f>I691</f>
        <v>-0.15</v>
      </c>
      <c r="CM693" t="str">
        <f t="shared" si="809"/>
        <v>36923Curve Shift/Gamma</v>
      </c>
      <c r="CN693" t="str">
        <f t="shared" si="838"/>
        <v>36923Rho</v>
      </c>
      <c r="CO693" t="str">
        <f t="shared" si="839"/>
        <v>36923Drift</v>
      </c>
      <c r="CP693" t="str">
        <f t="shared" si="840"/>
        <v>36923Vega</v>
      </c>
      <c r="CQ693" t="str">
        <f t="shared" si="841"/>
        <v>36923Theta</v>
      </c>
    </row>
    <row r="694" spans="1:95" x14ac:dyDescent="0.25">
      <c r="A694" s="140" t="s">
        <v>320</v>
      </c>
      <c r="B694" t="s">
        <v>250</v>
      </c>
      <c r="C694" t="s">
        <v>584</v>
      </c>
      <c r="D694" s="4" t="s">
        <v>7</v>
      </c>
      <c r="E694" t="s">
        <v>20</v>
      </c>
      <c r="F694" t="s">
        <v>21</v>
      </c>
      <c r="G694" s="5">
        <v>36861</v>
      </c>
      <c r="H694" s="130">
        <v>-500000</v>
      </c>
      <c r="I694" s="235">
        <v>1.45</v>
      </c>
      <c r="J694" s="53">
        <f t="shared" si="843"/>
        <v>4.8</v>
      </c>
      <c r="K694" s="7">
        <f t="shared" si="844"/>
        <v>1.645</v>
      </c>
      <c r="L694" s="53">
        <f t="shared" si="845"/>
        <v>6.4450000000000003</v>
      </c>
      <c r="M694" s="157">
        <f t="shared" si="846"/>
        <v>6.8314027999354002E-2</v>
      </c>
      <c r="N694" s="4">
        <f t="shared" si="847"/>
        <v>0.6</v>
      </c>
      <c r="O694" s="4">
        <f t="shared" si="848"/>
        <v>0.69</v>
      </c>
      <c r="P694" s="9">
        <f t="shared" si="849"/>
        <v>0.83</v>
      </c>
      <c r="Q694" s="5">
        <f t="shared" si="771"/>
        <v>36859</v>
      </c>
      <c r="R694" s="4">
        <f t="shared" si="850"/>
        <v>1</v>
      </c>
      <c r="S694" s="158">
        <f>_xll.xSPRDOPT($L694,$J694,$I694,$M694,$O694,$N694,$P694,$Q694-$C$3,$R694,0)</f>
        <v>0.60219982536366967</v>
      </c>
      <c r="T694" s="159">
        <f>_xll.xSPRDOPT($L694,$J694,$I694,$M694,$O694,$N694,$P694,$Q694-$C$3,$R694,1)*H694</f>
        <v>-295484.88658632926</v>
      </c>
      <c r="U694" s="160">
        <f t="shared" si="851"/>
        <v>-301099.91268183483</v>
      </c>
      <c r="V694" s="159">
        <f>_xll.xSPRDOPT($L694,$J694,$I694,$M694,$O694,$N694,$P694,$Q694-$C$3,$R694,2)*H694</f>
        <v>260405.65599854515</v>
      </c>
      <c r="W694" s="159">
        <f t="shared" si="852"/>
        <v>-35079.230587784114</v>
      </c>
      <c r="X694" s="51" t="str">
        <f t="shared" si="853"/>
        <v>36861IF-TRANSCO/Z6</v>
      </c>
      <c r="Y694" s="418">
        <f t="shared" si="854"/>
        <v>-50</v>
      </c>
      <c r="Z694" s="456">
        <f t="shared" si="855"/>
        <v>0.59096977317265853</v>
      </c>
      <c r="AA694" s="456">
        <f>_xll.xSPRDOPT($L694,$J694,$I694,$M694,$O694,$N694,$P694,$Q694-$C$3,$R694,3)</f>
        <v>0.2923721662159891</v>
      </c>
      <c r="AB694" s="456">
        <f>((_xll.xSPRDOPT($L694+AB$5,$J694,$I694,$M694,$O694,$N694,$P694,$Q694-$C$3,$R694,3)*$H694)/10000)/100</f>
        <v>-0.14618608310799455</v>
      </c>
      <c r="AC694" s="456">
        <f>((_xll.xSPRDOPT($L694+$AB$5,$J694,$I694,$M694,$O694,$N694,$P694,$Q694-$C$3,$R694,7)*$H694)/100)</f>
        <v>4867.0315606562108</v>
      </c>
      <c r="AD694" s="456">
        <f>(_xll.xSPRDOPT($L694+$AB$5,$J694,$I694,$M694,$O694,$N694,$P694,$Q694-$C$3,$R694,9)/365)*$H694</f>
        <v>1286.9550423732035</v>
      </c>
      <c r="AE694">
        <f t="shared" si="842"/>
        <v>0</v>
      </c>
      <c r="AF694" s="456">
        <f t="shared" si="856"/>
        <v>-4116.6625779456372</v>
      </c>
      <c r="AG694" s="456">
        <f>((_xll.xSPRDOPT($L694,$J694,$I694,$M694,$O694,$N694,$P694,$Q694-$C$3,$R694,6)*$H694)/100)</f>
        <v>1287.1842621679912</v>
      </c>
      <c r="AH694" s="456">
        <f>((_xll.xSPRDOPT($L694,$J694,$I694,$M694,$O694,$N694,$P694,$Q694-$C$3,$R694,5)*$H694)/100)</f>
        <v>-4698.9972522727212</v>
      </c>
      <c r="AI694" s="456">
        <f>(((_xll.xSPRDOPT($L694,$J694,$I694,$M694,$O694,$N694,$P694,$Q694-$C$3,$R694,4)*$H694)/10000)/100)-AB694</f>
        <v>-1.0204745100936358E-2</v>
      </c>
      <c r="AJ694" s="456"/>
      <c r="CC694" s="141">
        <f>G692</f>
        <v>36951</v>
      </c>
      <c r="CD694" s="234">
        <f>_xll.xSPRDOPT((VLOOKUP(G692,NGPrices,2,FALSE)+HLOOKUP(D692,Prices,VLOOKUP(G692,move_down,2,FALSE),FALSE)),VLOOKUP(G692,NGPrices,2,FALSE),I692,VLOOKUP(G692,NGPREVPRICES,4,FALSE),HLOOKUP(D692,PREVVOLS,VLOOKUP(G692,MOVE_DOWN2,2,FALSE),FALSE),VLOOKUP(G692,NGPREVPRICES,3,FALSE),HLOOKUP(D692,Correllate,VLOOKUP(G692,CorMove,2,FALSE),FALSE),Q692-$CD$3,R692,$CD$5)*H692-CJ694</f>
        <v>0</v>
      </c>
      <c r="CE694" s="234">
        <f>_xll.xSPRDOPT((VLOOKUP(G692,NGPREVPRICES,2,FALSE)+HLOOKUP(D692,PREVCURVES,VLOOKUP(G692,MOVE_DOWN2,2,FALSE),FALSE)),VLOOKUP(G692,NGPREVPRICES,2,FALSE),CK694,VLOOKUP(G692,NGPrices,4,FALSE),HLOOKUP(D692,PREVVOLS,VLOOKUP(G692,MOVE_DOWN2,2,FALSE),FALSE),VLOOKUP(G692,NGPREVPRICES,3,FALSE),HLOOKUP(D692,Correllate,VLOOKUP(G692,CorMove,2,FALSE),FALSE),Q692-$CD$3,R692,$CJ$5)*H692-CJ694</f>
        <v>0</v>
      </c>
      <c r="CF694" s="10">
        <f t="shared" si="806"/>
        <v>-4.1749194348230958</v>
      </c>
      <c r="CG694" s="234">
        <f>_xll.xSPRDOPT((VLOOKUP(G692,NGPREVPRICES,2,FALSE)+HLOOKUP(D692,PREVCURVES,VLOOKUP(G692,MOVE_DOWN2,2,FALSE),FALSE)),VLOOKUP(G692,NGPREVPRICES,2,FALSE),CK694,VLOOKUP(G692,NGPREVPRICES,4,FALSE),HLOOKUP(D692,VOLS,VLOOKUP(G692,move_down,2,FALSE),FALSE),VLOOKUP(G692,NGPrices,3,FALSE),HLOOKUP(D692,Correllate,VLOOKUP(G692,CorMove,2,FALSE),FALSE),Q692-$CD$3,R692,$CJ$5)*H692-CJ694</f>
        <v>0</v>
      </c>
      <c r="CH694" s="234">
        <f>_xll.xSPRDOPT((VLOOKUP(G692,NGPREVPRICES,2,FALSE)+HLOOKUP(D692,PREVCURVES,VLOOKUP(G692,MOVE_DOWN2,2,FALSE),FALSE)),VLOOKUP(G692,NGPREVPRICES,2,FALSE),CK694,VLOOKUP(G692,NGPREVPRICES,4,FALSE),HLOOKUP(D692,PREVVOLS,VLOOKUP(G692,MOVE_DOWN2,2,FALSE),FALSE),VLOOKUP(G692,NGPREVPRICES,3,FALSE),HLOOKUP(D692,Correllate,VLOOKUP(G692,CorMove,2,FALSE),FALSE),Q692-$C$3,R692,$CJ$5)*H692-CJ694</f>
        <v>-50.329478594376269</v>
      </c>
      <c r="CI694" s="234">
        <f t="shared" si="807"/>
        <v>-54.504398029199365</v>
      </c>
      <c r="CJ694" s="234">
        <f>_xll.xSPRDOPT((VLOOKUP(G692,NGPREVPRICES,2,FALSE)+HLOOKUP(D692,PREVCURVES,VLOOKUP(G692,MOVE_DOWN2,2,FALSE),FALSE)),VLOOKUP(G692,NGPREVPRICES,2,FALSE),CK694,VLOOKUP(G692,NGPREVPRICES,4,FALSE),HLOOKUP(D692,PREVVOLS,VLOOKUP(G692,MOVE_DOWN2,2,FALSE),FALSE),VLOOKUP(G692,NGPREVPRICES,3,FALSE),HLOOKUP(D692,Correllate,VLOOKUP(G692,CorMove,2,FALSE),FALSE),Q692-$CD$3,R692,$CJ$5)*H692</f>
        <v>21768.742178494114</v>
      </c>
      <c r="CK694" s="235">
        <f>I692</f>
        <v>-0.15</v>
      </c>
      <c r="CM694" t="str">
        <f t="shared" si="809"/>
        <v>36951Curve Shift/Gamma</v>
      </c>
      <c r="CN694" t="str">
        <f t="shared" si="838"/>
        <v>36951Rho</v>
      </c>
      <c r="CO694" t="str">
        <f t="shared" si="839"/>
        <v>36951Drift</v>
      </c>
      <c r="CP694" t="str">
        <f t="shared" si="840"/>
        <v>36951Vega</v>
      </c>
      <c r="CQ694" t="str">
        <f t="shared" si="841"/>
        <v>36951Theta</v>
      </c>
    </row>
    <row r="695" spans="1:95" x14ac:dyDescent="0.25">
      <c r="A695" s="140" t="s">
        <v>320</v>
      </c>
      <c r="B695" t="s">
        <v>250</v>
      </c>
      <c r="C695" t="s">
        <v>584</v>
      </c>
      <c r="D695" s="4" t="s">
        <v>7</v>
      </c>
      <c r="E695" t="s">
        <v>20</v>
      </c>
      <c r="F695" t="s">
        <v>21</v>
      </c>
      <c r="G695" s="5">
        <v>36892</v>
      </c>
      <c r="H695" s="130">
        <v>-500000</v>
      </c>
      <c r="I695" s="235">
        <v>1.45</v>
      </c>
      <c r="J695" s="53">
        <f t="shared" si="843"/>
        <v>4.7439999999999998</v>
      </c>
      <c r="K695" s="7">
        <f t="shared" si="844"/>
        <v>2.17</v>
      </c>
      <c r="L695" s="53">
        <f t="shared" si="845"/>
        <v>6.9139999999999997</v>
      </c>
      <c r="M695" s="157">
        <f t="shared" si="846"/>
        <v>6.8374831148490994E-2</v>
      </c>
      <c r="N695" s="4">
        <f t="shared" si="847"/>
        <v>0.60499999999999998</v>
      </c>
      <c r="O695" s="4">
        <f t="shared" si="848"/>
        <v>0.69599999999999995</v>
      </c>
      <c r="P695" s="9">
        <f t="shared" si="849"/>
        <v>0.83</v>
      </c>
      <c r="Q695" s="5">
        <f t="shared" si="771"/>
        <v>36888</v>
      </c>
      <c r="R695" s="4">
        <f t="shared" si="850"/>
        <v>1</v>
      </c>
      <c r="S695" s="158">
        <f>_xll.xSPRDOPT($L695,$J695,$I695,$M695,$O695,$N695,$P695,$Q695-$C$3,$R695,0)</f>
        <v>1.012281023939948</v>
      </c>
      <c r="T695" s="159">
        <f>_xll.xSPRDOPT($L695,$J695,$I695,$M695,$O695,$N695,$P695,$Q695-$C$3,$R695,1)*H695</f>
        <v>-353384.36850646586</v>
      </c>
      <c r="U695" s="160">
        <f t="shared" si="851"/>
        <v>-506140.51196997403</v>
      </c>
      <c r="V695" s="159">
        <f>_xll.xSPRDOPT($L695,$J695,$I695,$M695,$O695,$N695,$P695,$Q695-$C$3,$R695,2)*H695</f>
        <v>317188.88496203895</v>
      </c>
      <c r="W695" s="159">
        <f t="shared" si="852"/>
        <v>-36195.483544426912</v>
      </c>
      <c r="X695" s="51" t="str">
        <f t="shared" si="853"/>
        <v>36892IF-TRANSCO/Z6</v>
      </c>
      <c r="Y695" s="418">
        <f t="shared" si="854"/>
        <v>-50</v>
      </c>
      <c r="Z695" s="456">
        <f t="shared" si="855"/>
        <v>0.70676873701293175</v>
      </c>
      <c r="AA695" s="456">
        <f>_xll.xSPRDOPT($L695,$J695,$I695,$M695,$O695,$N695,$P695,$Q695-$C$3,$R695,3)</f>
        <v>0.20251797451806519</v>
      </c>
      <c r="AB695" s="456">
        <f>((_xll.xSPRDOPT($L695+AB$5,$J695,$I695,$M695,$O695,$N695,$P695,$Q695-$C$3,$R695,3)*$H695)/10000)/100</f>
        <v>-0.10125898725903261</v>
      </c>
      <c r="AC695" s="456">
        <f>((_xll.xSPRDOPT($L695+$AB$5,$J695,$I695,$M695,$O695,$N695,$P695,$Q695-$C$3,$R695,7)*$H695)/100)</f>
        <v>5141.1396712358928</v>
      </c>
      <c r="AD695" s="456">
        <f>(_xll.xSPRDOPT($L695+$AB$5,$J695,$I695,$M695,$O695,$N695,$P695,$Q695-$C$3,$R695,9)/365)*$H695</f>
        <v>1004.2356075577344</v>
      </c>
      <c r="AE695">
        <f t="shared" si="842"/>
        <v>0</v>
      </c>
      <c r="AF695" s="456">
        <f t="shared" si="856"/>
        <v>-4393.1911632127512</v>
      </c>
      <c r="AG695" s="456">
        <f>((_xll.xSPRDOPT($L695,$J695,$I695,$M695,$O695,$N695,$P695,$Q695-$C$3,$R695,6)*$H695)/100)</f>
        <v>1393.2700108687284</v>
      </c>
      <c r="AH695" s="456">
        <f>((_xll.xSPRDOPT($L695,$J695,$I695,$M695,$O695,$N695,$P695,$Q695-$C$3,$R695,5)*$H695)/100)</f>
        <v>-5029.8980033323214</v>
      </c>
      <c r="AI695" s="456">
        <f>(((_xll.xSPRDOPT($L695,$J695,$I695,$M695,$O695,$N695,$P695,$Q695-$C$3,$R695,4)*$H695)/10000)/100)-AB695</f>
        <v>-2.4217512685718132E-2</v>
      </c>
      <c r="AJ695" s="456"/>
      <c r="CC695" s="141">
        <f t="shared" ref="CC695:CC709" si="857">G693</f>
        <v>36831</v>
      </c>
      <c r="CD695" s="234">
        <f>_xll.xSPRDOPT((VLOOKUP(G693,NGPrices,2,FALSE)+HLOOKUP(D693,Prices,VLOOKUP(G693,move_down,2,FALSE),FALSE)),VLOOKUP(G693,NGPrices,2,FALSE),I693,VLOOKUP(G693,NGPREVPRICES,4,FALSE),HLOOKUP(D693,PREVVOLS,VLOOKUP(G693,MOVE_DOWN2,2,FALSE),FALSE),VLOOKUP(G693,NGPREVPRICES,3,FALSE),HLOOKUP(D693,Correllate,VLOOKUP(G693,CorMove,2,FALSE),FALSE),Q693-$CD$3,R693,$CD$5)*H693-CJ695</f>
        <v>0</v>
      </c>
      <c r="CE695" s="234">
        <f>_xll.xSPRDOPT((VLOOKUP(G693,NGPREVPRICES,2,FALSE)+HLOOKUP(D693,PREVCURVES,VLOOKUP(G693,MOVE_DOWN2,2,FALSE),FALSE)),VLOOKUP(G693,NGPREVPRICES,2,FALSE),CK695,VLOOKUP(G693,NGPrices,4,FALSE),HLOOKUP(D693,PREVVOLS,VLOOKUP(G693,MOVE_DOWN2,2,FALSE),FALSE),VLOOKUP(G693,NGPREVPRICES,3,FALSE),HLOOKUP(D693,Correllate,VLOOKUP(G693,CorMove,2,FALSE),FALSE),Q693-$CD$3,R693,$CJ$5)*H693-CJ695</f>
        <v>0</v>
      </c>
      <c r="CF695" s="10">
        <f t="shared" ref="CF695:CF709" si="858">(CJ695/VLOOKUP(CC695,discount,3,FALSE))-(CJ695/VLOOKUP(CC695,discount,2,FALSE))</f>
        <v>6.3546453757226118</v>
      </c>
      <c r="CG695" s="234">
        <f>_xll.xSPRDOPT((VLOOKUP(G693,NGPREVPRICES,2,FALSE)+HLOOKUP(D693,PREVCURVES,VLOOKUP(G693,MOVE_DOWN2,2,FALSE),FALSE)),VLOOKUP(G693,NGPREVPRICES,2,FALSE),CK695,VLOOKUP(G693,NGPREVPRICES,4,FALSE),HLOOKUP(D693,VOLS,VLOOKUP(G693,move_down,2,FALSE),FALSE),VLOOKUP(G693,NGPrices,3,FALSE),HLOOKUP(D693,Correllate,VLOOKUP(G693,CorMove,2,FALSE),FALSE),Q693-$CD$3,R693,$CJ$5)*H693-CJ695</f>
        <v>0</v>
      </c>
      <c r="CH695" s="234">
        <f>_xll.xSPRDOPT((VLOOKUP(G693,NGPREVPRICES,2,FALSE)+HLOOKUP(D693,PREVCURVES,VLOOKUP(G693,MOVE_DOWN2,2,FALSE),FALSE)),VLOOKUP(G693,NGPREVPRICES,2,FALSE),CK695,VLOOKUP(G693,NGPREVPRICES,4,FALSE),HLOOKUP(D693,PREVVOLS,VLOOKUP(G693,MOVE_DOWN2,2,FALSE),FALSE),VLOOKUP(G693,NGPREVPRICES,3,FALSE),HLOOKUP(D693,Correllate,VLOOKUP(G693,CorMove,2,FALSE),FALSE),Q693-$C$3,R693,$CJ$5)*H693-CJ695</f>
        <v>735.33450160404755</v>
      </c>
      <c r="CI695" s="234">
        <f t="shared" ref="CI695:CI709" si="859">SUM(CD695:CH695)</f>
        <v>741.68914697977016</v>
      </c>
      <c r="CJ695" s="234">
        <f>_xll.xSPRDOPT((VLOOKUP(G693,NGPREVPRICES,2,FALSE)+HLOOKUP(D693,PREVCURVES,VLOOKUP(G693,MOVE_DOWN2,2,FALSE),FALSE)),VLOOKUP(G693,NGPREVPRICES,2,FALSE),CK695,VLOOKUP(G693,NGPREVPRICES,4,FALSE),HLOOKUP(D693,PREVVOLS,VLOOKUP(G693,MOVE_DOWN2,2,FALSE),FALSE),VLOOKUP(G693,NGPREVPRICES,3,FALSE),HLOOKUP(D693,Correllate,VLOOKUP(G693,CorMove,2,FALSE),FALSE),Q693-$CD$3,R693,$CJ$5)*H693</f>
        <v>-34217.991954447563</v>
      </c>
      <c r="CK695" s="235">
        <f t="shared" ref="CK695:CK709" si="860">I693</f>
        <v>1.45</v>
      </c>
      <c r="CM695" t="str">
        <f t="shared" ref="CM695:CM709" si="861">CONCATENATE(CC695,$CD$6)</f>
        <v>36831Curve Shift/Gamma</v>
      </c>
      <c r="CN695" t="str">
        <f t="shared" si="838"/>
        <v>36831Rho</v>
      </c>
      <c r="CO695" t="str">
        <f t="shared" si="839"/>
        <v>36831Drift</v>
      </c>
      <c r="CP695" t="str">
        <f t="shared" si="840"/>
        <v>36831Vega</v>
      </c>
      <c r="CQ695" t="str">
        <f t="shared" si="841"/>
        <v>36831Theta</v>
      </c>
    </row>
    <row r="696" spans="1:95" x14ac:dyDescent="0.25">
      <c r="A696" s="140" t="s">
        <v>320</v>
      </c>
      <c r="B696" t="s">
        <v>250</v>
      </c>
      <c r="C696" t="s">
        <v>584</v>
      </c>
      <c r="D696" s="4" t="s">
        <v>7</v>
      </c>
      <c r="E696" t="s">
        <v>20</v>
      </c>
      <c r="F696" t="s">
        <v>21</v>
      </c>
      <c r="G696" s="5">
        <v>36923</v>
      </c>
      <c r="H696" s="130">
        <v>-500000</v>
      </c>
      <c r="I696" s="235">
        <v>1.45</v>
      </c>
      <c r="J696" s="53">
        <f t="shared" si="843"/>
        <v>4.4800000000000004</v>
      </c>
      <c r="K696" s="7">
        <f t="shared" si="844"/>
        <v>2.09</v>
      </c>
      <c r="L696" s="53">
        <f t="shared" si="845"/>
        <v>6.57</v>
      </c>
      <c r="M696" s="157">
        <f t="shared" si="846"/>
        <v>6.8640161611372E-2</v>
      </c>
      <c r="N696" s="4">
        <f t="shared" si="847"/>
        <v>0.59250000000000003</v>
      </c>
      <c r="O696" s="4">
        <f t="shared" si="848"/>
        <v>0.68100000000000005</v>
      </c>
      <c r="P696" s="9">
        <f t="shared" si="849"/>
        <v>0.83</v>
      </c>
      <c r="Q696" s="5">
        <f t="shared" si="771"/>
        <v>36921</v>
      </c>
      <c r="R696" s="4">
        <f t="shared" si="850"/>
        <v>1</v>
      </c>
      <c r="S696" s="158">
        <f>_xll.xSPRDOPT($L696,$J696,$I696,$M696,$O696,$N696,$P696,$Q696-$C$3,$R696,0)</f>
        <v>0.98475073888970677</v>
      </c>
      <c r="T696" s="159">
        <f>_xll.xSPRDOPT($L696,$J696,$I696,$M696,$O696,$N696,$P696,$Q696-$C$3,$R696,1)*H696</f>
        <v>-341009.73642753437</v>
      </c>
      <c r="U696" s="160">
        <f t="shared" si="851"/>
        <v>-492375.36944485339</v>
      </c>
      <c r="V696" s="159">
        <f>_xll.xSPRDOPT($L696,$J696,$I696,$M696,$O696,$N696,$P696,$Q696-$C$3,$R696,2)*H696</f>
        <v>300227.57237686228</v>
      </c>
      <c r="W696" s="159">
        <f t="shared" si="852"/>
        <v>-40782.164050672087</v>
      </c>
      <c r="X696" s="51" t="str">
        <f t="shared" si="853"/>
        <v>36923IF-TRANSCO/Z6</v>
      </c>
      <c r="Y696" s="418">
        <f t="shared" si="854"/>
        <v>-50</v>
      </c>
      <c r="Z696" s="456">
        <f t="shared" si="855"/>
        <v>0.6820194728550687</v>
      </c>
      <c r="AA696" s="456">
        <f>_xll.xSPRDOPT($L696,$J696,$I696,$M696,$O696,$N696,$P696,$Q696-$C$3,$R696,3)</f>
        <v>0.19776422519162931</v>
      </c>
      <c r="AB696" s="456">
        <f>((_xll.xSPRDOPT($L696+AB$5,$J696,$I696,$M696,$O696,$N696,$P696,$Q696-$C$3,$R696,3)*$H696)/10000)/100</f>
        <v>-9.8882112595814656E-2</v>
      </c>
      <c r="AC696" s="456">
        <f>((_xll.xSPRDOPT($L696+$AB$5,$J696,$I696,$M696,$O696,$N696,$P696,$Q696-$C$3,$R696,7)*$H696)/100)</f>
        <v>5462.7884876455028</v>
      </c>
      <c r="AD696" s="456">
        <f>(_xll.xSPRDOPT($L696+$AB$5,$J696,$I696,$M696,$O696,$N696,$P696,$Q696-$C$3,$R696,9)/365)*$H696</f>
        <v>843.96219569089169</v>
      </c>
      <c r="AE696">
        <f t="shared" si="842"/>
        <v>0</v>
      </c>
      <c r="AF696" s="456">
        <f t="shared" si="856"/>
        <v>-4865.1779990122113</v>
      </c>
      <c r="AG696" s="456">
        <f>((_xll.xSPRDOPT($L696,$J696,$I696,$M696,$O696,$N696,$P696,$Q696-$C$3,$R696,6)*$H696)/100)</f>
        <v>1568.2322574846473</v>
      </c>
      <c r="AH696" s="456">
        <f>((_xll.xSPRDOPT($L696,$J696,$I696,$M696,$O696,$N696,$P696,$Q696-$C$3,$R696,5)*$H696)/100)</f>
        <v>-5597.3503332957243</v>
      </c>
      <c r="AI696" s="456">
        <f>(((_xll.xSPRDOPT($L696,$J696,$I696,$M696,$O696,$N696,$P696,$Q696-$C$3,$R696,4)*$H696)/10000)/100)-AB696</f>
        <v>-2.2465372065367778E-2</v>
      </c>
      <c r="AJ696" s="456"/>
      <c r="CC696" s="141">
        <f t="shared" si="857"/>
        <v>36861</v>
      </c>
      <c r="CD696" s="234">
        <f>_xll.xSPRDOPT((VLOOKUP(G694,NGPrices,2,FALSE)+HLOOKUP(D694,Prices,VLOOKUP(G694,move_down,2,FALSE),FALSE)),VLOOKUP(G694,NGPrices,2,FALSE),I694,VLOOKUP(G694,NGPREVPRICES,4,FALSE),HLOOKUP(D694,PREVVOLS,VLOOKUP(G694,MOVE_DOWN2,2,FALSE),FALSE),VLOOKUP(G694,NGPREVPRICES,3,FALSE),HLOOKUP(D694,Correllate,VLOOKUP(G694,CorMove,2,FALSE),FALSE),Q694-$CD$3,R694,$CD$5)*H694-CJ696</f>
        <v>0</v>
      </c>
      <c r="CE696" s="234">
        <f>_xll.xSPRDOPT((VLOOKUP(G694,NGPREVPRICES,2,FALSE)+HLOOKUP(D694,PREVCURVES,VLOOKUP(G694,MOVE_DOWN2,2,FALSE),FALSE)),VLOOKUP(G694,NGPREVPRICES,2,FALSE),CK696,VLOOKUP(G694,NGPrices,4,FALSE),HLOOKUP(D694,PREVVOLS,VLOOKUP(G694,MOVE_DOWN2,2,FALSE),FALSE),VLOOKUP(G694,NGPREVPRICES,3,FALSE),HLOOKUP(D694,Correllate,VLOOKUP(G694,CorMove,2,FALSE),FALSE),Q694-$CD$3,R694,$CJ$5)*H694-CJ696</f>
        <v>0</v>
      </c>
      <c r="CF696" s="10">
        <f t="shared" si="858"/>
        <v>56.647653357009403</v>
      </c>
      <c r="CG696" s="234">
        <f>_xll.xSPRDOPT((VLOOKUP(G694,NGPREVPRICES,2,FALSE)+HLOOKUP(D694,PREVCURVES,VLOOKUP(G694,MOVE_DOWN2,2,FALSE),FALSE)),VLOOKUP(G694,NGPREVPRICES,2,FALSE),CK696,VLOOKUP(G694,NGPREVPRICES,4,FALSE),HLOOKUP(D694,VOLS,VLOOKUP(G694,move_down,2,FALSE),FALSE),VLOOKUP(G694,NGPrices,3,FALSE),HLOOKUP(D694,Correllate,VLOOKUP(G694,CorMove,2,FALSE),FALSE),Q694-$CD$3,R694,$CJ$5)*H694-CJ696</f>
        <v>0</v>
      </c>
      <c r="CH696" s="234">
        <f>_xll.xSPRDOPT((VLOOKUP(G694,NGPREVPRICES,2,FALSE)+HLOOKUP(D694,PREVCURVES,VLOOKUP(G694,MOVE_DOWN2,2,FALSE),FALSE)),VLOOKUP(G694,NGPREVPRICES,2,FALSE),CK696,VLOOKUP(G694,NGPREVPRICES,4,FALSE),HLOOKUP(D694,PREVVOLS,VLOOKUP(G694,MOVE_DOWN2,2,FALSE),FALSE),VLOOKUP(G694,NGPREVPRICES,3,FALSE),HLOOKUP(D694,Correllate,VLOOKUP(G694,CorMove,2,FALSE),FALSE),Q694-$C$3,R694,$CJ$5)*H694-CJ696</f>
        <v>1282.2680005439906</v>
      </c>
      <c r="CI696" s="234">
        <f t="shared" si="859"/>
        <v>1338.915653901</v>
      </c>
      <c r="CJ696" s="234">
        <f>_xll.xSPRDOPT((VLOOKUP(G694,NGPREVPRICES,2,FALSE)+HLOOKUP(D694,PREVCURVES,VLOOKUP(G694,MOVE_DOWN2,2,FALSE),FALSE)),VLOOKUP(G694,NGPREVPRICES,2,FALSE),CK696,VLOOKUP(G694,NGPREVPRICES,4,FALSE),HLOOKUP(D694,PREVVOLS,VLOOKUP(G694,MOVE_DOWN2,2,FALSE),FALSE),VLOOKUP(G694,NGPREVPRICES,3,FALSE),HLOOKUP(D694,Correllate,VLOOKUP(G694,CorMove,2,FALSE),FALSE),Q694-$CD$3,R694,$CJ$5)*H694</f>
        <v>-302382.18068237882</v>
      </c>
      <c r="CK696" s="235">
        <f t="shared" si="860"/>
        <v>1.45</v>
      </c>
      <c r="CM696" t="str">
        <f t="shared" si="861"/>
        <v>36861Curve Shift/Gamma</v>
      </c>
      <c r="CN696" t="str">
        <f t="shared" si="838"/>
        <v>36861Rho</v>
      </c>
      <c r="CO696" t="str">
        <f t="shared" si="839"/>
        <v>36861Drift</v>
      </c>
      <c r="CP696" t="str">
        <f t="shared" si="840"/>
        <v>36861Vega</v>
      </c>
      <c r="CQ696" t="str">
        <f t="shared" si="841"/>
        <v>36861Theta</v>
      </c>
    </row>
    <row r="697" spans="1:95" x14ac:dyDescent="0.25">
      <c r="A697" s="140" t="s">
        <v>320</v>
      </c>
      <c r="B697" t="s">
        <v>250</v>
      </c>
      <c r="C697" t="s">
        <v>584</v>
      </c>
      <c r="D697" s="4" t="s">
        <v>7</v>
      </c>
      <c r="E697" t="s">
        <v>20</v>
      </c>
      <c r="F697" t="s">
        <v>21</v>
      </c>
      <c r="G697" s="5">
        <v>36951</v>
      </c>
      <c r="H697" s="130">
        <v>-500000</v>
      </c>
      <c r="I697" s="235">
        <v>1.45</v>
      </c>
      <c r="J697" s="53">
        <f t="shared" si="843"/>
        <v>4.2130000000000001</v>
      </c>
      <c r="K697" s="7">
        <f t="shared" si="844"/>
        <v>1.075</v>
      </c>
      <c r="L697" s="53">
        <f t="shared" si="845"/>
        <v>5.2880000000000003</v>
      </c>
      <c r="M697" s="157">
        <f t="shared" si="846"/>
        <v>6.8879814952706994E-2</v>
      </c>
      <c r="N697" s="4">
        <f t="shared" si="847"/>
        <v>0.53249999999999997</v>
      </c>
      <c r="O697" s="4">
        <f t="shared" si="848"/>
        <v>0.61199999999999999</v>
      </c>
      <c r="P697" s="9">
        <f t="shared" si="849"/>
        <v>0.83</v>
      </c>
      <c r="Q697" s="5">
        <f t="shared" si="771"/>
        <v>36949</v>
      </c>
      <c r="R697" s="4">
        <f t="shared" si="850"/>
        <v>1</v>
      </c>
      <c r="S697" s="158">
        <f>_xll.xSPRDOPT($L697,$J697,$I697,$M697,$O697,$N697,$P697,$Q697-$C$3,$R697,0)</f>
        <v>0.37188167306788888</v>
      </c>
      <c r="T697" s="159">
        <f>_xll.xSPRDOPT($L697,$J697,$I697,$M697,$O697,$N697,$P697,$Q697-$C$3,$R697,1)*H697</f>
        <v>-214964.39887431142</v>
      </c>
      <c r="U697" s="160">
        <f t="shared" si="851"/>
        <v>-185940.83653394444</v>
      </c>
      <c r="V697" s="159">
        <f>_xll.xSPRDOPT($L697,$J697,$I697,$M697,$O697,$N697,$P697,$Q697-$C$3,$R697,2)*H697</f>
        <v>173047.39408740282</v>
      </c>
      <c r="W697" s="159">
        <f t="shared" si="852"/>
        <v>-41917.004786908597</v>
      </c>
      <c r="X697" s="51" t="str">
        <f t="shared" si="853"/>
        <v>36951IF-TRANSCO/Z6</v>
      </c>
      <c r="Y697" s="418">
        <f t="shared" si="854"/>
        <v>-50</v>
      </c>
      <c r="Z697" s="456">
        <f t="shared" si="855"/>
        <v>0.42992879774862286</v>
      </c>
      <c r="AA697" s="456">
        <f>_xll.xSPRDOPT($L697,$J697,$I697,$M697,$O697,$N697,$P697,$Q697-$C$3,$R697,3)</f>
        <v>0.28558261496155896</v>
      </c>
      <c r="AB697" s="456">
        <f>((_xll.xSPRDOPT($L697+AB$5,$J697,$I697,$M697,$O697,$N697,$P697,$Q697-$C$3,$R697,3)*$H697)/10000)/100</f>
        <v>-0.14279130748077948</v>
      </c>
      <c r="AC697" s="456">
        <f>((_xll.xSPRDOPT($L697+$AB$5,$J697,$I697,$M697,$O697,$N697,$P697,$Q697-$C$3,$R697,7)*$H697)/100)</f>
        <v>4894.4949810567532</v>
      </c>
      <c r="AD697" s="456">
        <f>(_xll.xSPRDOPT($L697+$AB$5,$J697,$I697,$M697,$O697,$N697,$P697,$Q697-$C$3,$R697,9)/365)*$H697</f>
        <v>670.09562513977812</v>
      </c>
      <c r="AE697">
        <f t="shared" si="842"/>
        <v>0</v>
      </c>
      <c r="AF697" s="456">
        <f t="shared" si="856"/>
        <v>-4817.119162373383</v>
      </c>
      <c r="AG697" s="456">
        <f>((_xll.xSPRDOPT($L697,$J697,$I697,$M697,$O697,$N697,$P697,$Q697-$C$3,$R697,6)*$H697)/100)</f>
        <v>1548.1358102749614</v>
      </c>
      <c r="AH697" s="456">
        <f>((_xll.xSPRDOPT($L697,$J697,$I697,$M697,$O697,$N697,$P697,$Q697-$C$3,$R697,5)*$H697)/100)</f>
        <v>-5538.3958708092214</v>
      </c>
      <c r="AI697" s="456">
        <f>(((_xll.xSPRDOPT($L697,$J697,$I697,$M697,$O697,$N697,$P697,$Q697-$C$3,$R697,4)*$H697)/10000)/100)-AB697</f>
        <v>1.3675528195642522E-2</v>
      </c>
      <c r="AJ697" s="456"/>
      <c r="CC697" s="141">
        <f t="shared" si="857"/>
        <v>36892</v>
      </c>
      <c r="CD697" s="234">
        <f>_xll.xSPRDOPT((VLOOKUP(G695,NGPrices,2,FALSE)+HLOOKUP(D695,Prices,VLOOKUP(G695,move_down,2,FALSE),FALSE)),VLOOKUP(G695,NGPrices,2,FALSE),I695,VLOOKUP(G695,NGPREVPRICES,4,FALSE),HLOOKUP(D695,PREVVOLS,VLOOKUP(G695,MOVE_DOWN2,2,FALSE),FALSE),VLOOKUP(G695,NGPREVPRICES,3,FALSE),HLOOKUP(D695,Correllate,VLOOKUP(G695,CorMove,2,FALSE),FALSE),Q695-$CD$3,R695,$CD$5)*H695-CJ697</f>
        <v>0</v>
      </c>
      <c r="CE697" s="234">
        <f>_xll.xSPRDOPT((VLOOKUP(G695,NGPREVPRICES,2,FALSE)+HLOOKUP(D695,PREVCURVES,VLOOKUP(G695,MOVE_DOWN2,2,FALSE),FALSE)),VLOOKUP(G695,NGPREVPRICES,2,FALSE),CK697,VLOOKUP(G695,NGPrices,4,FALSE),HLOOKUP(D695,PREVVOLS,VLOOKUP(G695,MOVE_DOWN2,2,FALSE),FALSE),VLOOKUP(G695,NGPREVPRICES,3,FALSE),HLOOKUP(D695,Correllate,VLOOKUP(G695,CorMove,2,FALSE),FALSE),Q695-$CD$3,R695,$CJ$5)*H695-CJ697</f>
        <v>0</v>
      </c>
      <c r="CF697" s="10">
        <f t="shared" si="858"/>
        <v>95.566445652337279</v>
      </c>
      <c r="CG697" s="234">
        <f>_xll.xSPRDOPT((VLOOKUP(G695,NGPREVPRICES,2,FALSE)+HLOOKUP(D695,PREVCURVES,VLOOKUP(G695,MOVE_DOWN2,2,FALSE),FALSE)),VLOOKUP(G695,NGPREVPRICES,2,FALSE),CK697,VLOOKUP(G695,NGPREVPRICES,4,FALSE),HLOOKUP(D695,VOLS,VLOOKUP(G695,move_down,2,FALSE),FALSE),VLOOKUP(G695,NGPrices,3,FALSE),HLOOKUP(D695,Correllate,VLOOKUP(G695,CorMove,2,FALSE),FALSE),Q695-$CD$3,R695,$CJ$5)*H695-CJ697</f>
        <v>0</v>
      </c>
      <c r="CH697" s="234">
        <f>_xll.xSPRDOPT((VLOOKUP(G695,NGPREVPRICES,2,FALSE)+HLOOKUP(D695,PREVCURVES,VLOOKUP(G695,MOVE_DOWN2,2,FALSE),FALSE)),VLOOKUP(G695,NGPREVPRICES,2,FALSE),CK697,VLOOKUP(G695,NGPREVPRICES,4,FALSE),HLOOKUP(D695,PREVVOLS,VLOOKUP(G695,MOVE_DOWN2,2,FALSE),FALSE),VLOOKUP(G695,NGPREVPRICES,3,FALSE),HLOOKUP(D695,Correllate,VLOOKUP(G695,CorMove,2,FALSE),FALSE),Q695-$C$3,R695,$CJ$5)*H695-CJ697</f>
        <v>1001.577029755339</v>
      </c>
      <c r="CI697" s="234">
        <f t="shared" si="859"/>
        <v>1097.1434754076763</v>
      </c>
      <c r="CJ697" s="234">
        <f>_xll.xSPRDOPT((VLOOKUP(G695,NGPREVPRICES,2,FALSE)+HLOOKUP(D695,PREVCURVES,VLOOKUP(G695,MOVE_DOWN2,2,FALSE),FALSE)),VLOOKUP(G695,NGPREVPRICES,2,FALSE),CK697,VLOOKUP(G695,NGPREVPRICES,4,FALSE),HLOOKUP(D695,PREVVOLS,VLOOKUP(G695,MOVE_DOWN2,2,FALSE),FALSE),VLOOKUP(G695,NGPREVPRICES,3,FALSE),HLOOKUP(D695,Correllate,VLOOKUP(G695,CorMove,2,FALSE),FALSE),Q695-$CD$3,R695,$CJ$5)*H695</f>
        <v>-507142.08899972937</v>
      </c>
      <c r="CK697" s="235">
        <f t="shared" si="860"/>
        <v>1.45</v>
      </c>
      <c r="CM697" t="str">
        <f t="shared" si="861"/>
        <v>36892Curve Shift/Gamma</v>
      </c>
      <c r="CN697" t="str">
        <f t="shared" si="838"/>
        <v>36892Rho</v>
      </c>
      <c r="CO697" t="str">
        <f t="shared" si="839"/>
        <v>36892Drift</v>
      </c>
      <c r="CP697" t="str">
        <f t="shared" si="840"/>
        <v>36892Vega</v>
      </c>
      <c r="CQ697" t="str">
        <f t="shared" si="841"/>
        <v>36892Theta</v>
      </c>
    </row>
    <row r="698" spans="1:95" x14ac:dyDescent="0.25">
      <c r="A698" s="140" t="s">
        <v>320</v>
      </c>
      <c r="B698" t="s">
        <v>250</v>
      </c>
      <c r="C698" t="s">
        <v>583</v>
      </c>
      <c r="D698" s="4" t="s">
        <v>7</v>
      </c>
      <c r="E698" t="s">
        <v>20</v>
      </c>
      <c r="F698" t="s">
        <v>1</v>
      </c>
      <c r="G698" s="5">
        <v>36831</v>
      </c>
      <c r="H698" s="130">
        <v>-500000</v>
      </c>
      <c r="I698" s="235">
        <v>1.45</v>
      </c>
      <c r="J698" s="53">
        <f t="shared" si="843"/>
        <v>4.7359999999999998</v>
      </c>
      <c r="K698" s="7">
        <f t="shared" si="844"/>
        <v>0.77</v>
      </c>
      <c r="L698" s="53">
        <f t="shared" si="845"/>
        <v>5.5060000000000002</v>
      </c>
      <c r="M698" s="157">
        <f t="shared" si="846"/>
        <v>6.810675983792E-2</v>
      </c>
      <c r="N698" s="4">
        <f t="shared" si="847"/>
        <v>0.59499999999999997</v>
      </c>
      <c r="O698" s="4">
        <f t="shared" si="848"/>
        <v>0.625</v>
      </c>
      <c r="P698" s="9">
        <f t="shared" si="849"/>
        <v>0.89</v>
      </c>
      <c r="Q698" s="5">
        <f t="shared" si="771"/>
        <v>36829</v>
      </c>
      <c r="R698" s="4">
        <f t="shared" si="850"/>
        <v>0</v>
      </c>
      <c r="S698" s="158">
        <f>_xll.xSPRDOPT($L698,$J698,$I698,$M698,$O698,$N698,$P698,$Q698-$C$3,$R698,0)</f>
        <v>0.73914917008247727</v>
      </c>
      <c r="T698" s="159">
        <f>_xll.xSPRDOPT($L698,$J698,$I698,$M698,$O698,$N698,$P698,$Q698-$C$3,$R698,1)*H698</f>
        <v>399527.70858398674</v>
      </c>
      <c r="U698" s="160">
        <f t="shared" si="851"/>
        <v>-369574.58504123864</v>
      </c>
      <c r="V698" s="159">
        <f>_xll.xSPRDOPT($L698,$J698,$I698,$M698,$O698,$N698,$P698,$Q698-$C$3,$R698,2)*H698</f>
        <v>-413249.66332026664</v>
      </c>
      <c r="W698" s="159">
        <f t="shared" si="852"/>
        <v>-13721.954736279906</v>
      </c>
      <c r="X698" s="51" t="str">
        <f t="shared" si="853"/>
        <v>36831IF-TRANSCO/Z6</v>
      </c>
      <c r="Y698" s="418">
        <f t="shared" si="854"/>
        <v>-50</v>
      </c>
      <c r="Z698" s="456">
        <f t="shared" si="855"/>
        <v>-0.79905541716797346</v>
      </c>
      <c r="AA698" s="456">
        <f>_xll.xSPRDOPT($L698,$J698,$I698,$M698,$O698,$N698,$P698,$Q698-$C$3,$R698,3)</f>
        <v>0.39645099490977564</v>
      </c>
      <c r="AB698" s="456">
        <f>((_xll.xSPRDOPT($L698+AB$5,$J698,$I698,$M698,$O698,$N698,$P698,$Q698-$C$3,$R698,3)*$H698)/10000)/100</f>
        <v>-0.19822549745488782</v>
      </c>
      <c r="AC698" s="456">
        <f>((_xll.xSPRDOPT($L698+$AB$5,$J698,$I698,$M698,$O698,$N698,$P698,$Q698-$C$3,$R698,7)*$H698)/100)</f>
        <v>2959.4228082325426</v>
      </c>
      <c r="AD698" s="456">
        <f>(_xll.xSPRDOPT($L698+$AB$5,$J698,$I698,$M698,$O698,$N698,$P698,$Q698-$C$3,$R698,9)/365)*$H698</f>
        <v>673.62299653699017</v>
      </c>
      <c r="AE698">
        <f t="shared" si="842"/>
        <v>0</v>
      </c>
      <c r="AF698" s="456">
        <f t="shared" si="856"/>
        <v>-1546.509399731448</v>
      </c>
      <c r="AG698" s="456">
        <f>((_xll.xSPRDOPT($L698,$J698,$I698,$M698,$O698,$N698,$P698,$Q698-$C$3,$R698,6)*$H698)/100)</f>
        <v>723.73400376864959</v>
      </c>
      <c r="AH698" s="456">
        <f>((_xll.xSPRDOPT($L698,$J698,$I698,$M698,$O698,$N698,$P698,$Q698-$C$3,$R698,5)*$H698)/100)</f>
        <v>-2161.2717201320925</v>
      </c>
      <c r="AI698" s="456">
        <f>(((_xll.xSPRDOPT($L698,$J698,$I698,$M698,$O698,$N698,$P698,$Q698-$C$3,$R698,4)*$H698)/10000)/100)-AB698</f>
        <v>3.4766323729474968E-2</v>
      </c>
      <c r="AJ698" s="456"/>
      <c r="CC698" s="141">
        <f t="shared" si="857"/>
        <v>36923</v>
      </c>
      <c r="CD698" s="234">
        <f>_xll.xSPRDOPT((VLOOKUP(G696,NGPrices,2,FALSE)+HLOOKUP(D696,Prices,VLOOKUP(G696,move_down,2,FALSE),FALSE)),VLOOKUP(G696,NGPrices,2,FALSE),I696,VLOOKUP(G696,NGPREVPRICES,4,FALSE),HLOOKUP(D696,PREVVOLS,VLOOKUP(G696,MOVE_DOWN2,2,FALSE),FALSE),VLOOKUP(G696,NGPREVPRICES,3,FALSE),HLOOKUP(D696,Correllate,VLOOKUP(G696,CorMove,2,FALSE),FALSE),Q696-$CD$3,R696,$CD$5)*H696-CJ698</f>
        <v>0</v>
      </c>
      <c r="CE698" s="234">
        <f>_xll.xSPRDOPT((VLOOKUP(G696,NGPREVPRICES,2,FALSE)+HLOOKUP(D696,PREVCURVES,VLOOKUP(G696,MOVE_DOWN2,2,FALSE),FALSE)),VLOOKUP(G696,NGPREVPRICES,2,FALSE),CK698,VLOOKUP(G696,NGPrices,4,FALSE),HLOOKUP(D696,PREVVOLS,VLOOKUP(G696,MOVE_DOWN2,2,FALSE),FALSE),VLOOKUP(G696,NGPREVPRICES,3,FALSE),HLOOKUP(D696,Correllate,VLOOKUP(G696,CorMove,2,FALSE),FALSE),Q696-$CD$3,R696,$CJ$5)*H696-CJ698</f>
        <v>0</v>
      </c>
      <c r="CF698" s="10">
        <f t="shared" si="858"/>
        <v>93.804241023783106</v>
      </c>
      <c r="CG698" s="234">
        <f>_xll.xSPRDOPT((VLOOKUP(G696,NGPREVPRICES,2,FALSE)+HLOOKUP(D696,PREVCURVES,VLOOKUP(G696,MOVE_DOWN2,2,FALSE),FALSE)),VLOOKUP(G696,NGPREVPRICES,2,FALSE),CK698,VLOOKUP(G696,NGPREVPRICES,4,FALSE),HLOOKUP(D696,VOLS,VLOOKUP(G696,move_down,2,FALSE),FALSE),VLOOKUP(G696,NGPrices,3,FALSE),HLOOKUP(D696,Correllate,VLOOKUP(G696,CorMove,2,FALSE),FALSE),Q696-$CD$3,R696,$CJ$5)*H696-CJ698</f>
        <v>0</v>
      </c>
      <c r="CH698" s="234">
        <f>_xll.xSPRDOPT((VLOOKUP(G696,NGPREVPRICES,2,FALSE)+HLOOKUP(D696,PREVCURVES,VLOOKUP(G696,MOVE_DOWN2,2,FALSE),FALSE)),VLOOKUP(G696,NGPREVPRICES,2,FALSE),CK698,VLOOKUP(G696,NGPREVPRICES,4,FALSE),HLOOKUP(D696,PREVVOLS,VLOOKUP(G696,MOVE_DOWN2,2,FALSE),FALSE),VLOOKUP(G696,NGPREVPRICES,3,FALSE),HLOOKUP(D696,Correllate,VLOOKUP(G696,CorMove,2,FALSE),FALSE),Q696-$C$3,R696,$CJ$5)*H696-CJ698</f>
        <v>841.92721872840775</v>
      </c>
      <c r="CI698" s="234">
        <f t="shared" si="859"/>
        <v>935.73145975219086</v>
      </c>
      <c r="CJ698" s="234">
        <f>_xll.xSPRDOPT((VLOOKUP(G696,NGPREVPRICES,2,FALSE)+HLOOKUP(D696,PREVCURVES,VLOOKUP(G696,MOVE_DOWN2,2,FALSE),FALSE)),VLOOKUP(G696,NGPREVPRICES,2,FALSE),CK698,VLOOKUP(G696,NGPREVPRICES,4,FALSE),HLOOKUP(D696,PREVVOLS,VLOOKUP(G696,MOVE_DOWN2,2,FALSE),FALSE),VLOOKUP(G696,NGPREVPRICES,3,FALSE),HLOOKUP(D696,Correllate,VLOOKUP(G696,CorMove,2,FALSE),FALSE),Q696-$CD$3,R696,$CJ$5)*H696</f>
        <v>-493217.2966635818</v>
      </c>
      <c r="CK698" s="235">
        <f t="shared" si="860"/>
        <v>1.45</v>
      </c>
      <c r="CM698" t="str">
        <f t="shared" si="861"/>
        <v>36923Curve Shift/Gamma</v>
      </c>
      <c r="CN698" t="str">
        <f t="shared" si="838"/>
        <v>36923Rho</v>
      </c>
      <c r="CO698" t="str">
        <f t="shared" si="839"/>
        <v>36923Drift</v>
      </c>
      <c r="CP698" t="str">
        <f t="shared" si="840"/>
        <v>36923Vega</v>
      </c>
      <c r="CQ698" t="str">
        <f t="shared" si="841"/>
        <v>36923Theta</v>
      </c>
    </row>
    <row r="699" spans="1:95" x14ac:dyDescent="0.25">
      <c r="A699" s="140" t="s">
        <v>320</v>
      </c>
      <c r="B699" t="s">
        <v>250</v>
      </c>
      <c r="C699" t="s">
        <v>583</v>
      </c>
      <c r="D699" s="4" t="s">
        <v>7</v>
      </c>
      <c r="E699" t="s">
        <v>20</v>
      </c>
      <c r="F699" t="s">
        <v>1</v>
      </c>
      <c r="G699" s="5">
        <v>36861</v>
      </c>
      <c r="H699" s="130">
        <v>-500000</v>
      </c>
      <c r="I699" s="235">
        <v>1.45</v>
      </c>
      <c r="J699" s="53">
        <f t="shared" si="843"/>
        <v>4.8</v>
      </c>
      <c r="K699" s="7">
        <f t="shared" si="844"/>
        <v>1.645</v>
      </c>
      <c r="L699" s="53">
        <f t="shared" si="845"/>
        <v>6.4450000000000003</v>
      </c>
      <c r="M699" s="157">
        <f t="shared" si="846"/>
        <v>6.8314027999354002E-2</v>
      </c>
      <c r="N699" s="4">
        <f t="shared" si="847"/>
        <v>0.6</v>
      </c>
      <c r="O699" s="4">
        <f t="shared" si="848"/>
        <v>0.69</v>
      </c>
      <c r="P699" s="9">
        <f t="shared" si="849"/>
        <v>0.83</v>
      </c>
      <c r="Q699" s="5">
        <f t="shared" si="771"/>
        <v>36859</v>
      </c>
      <c r="R699" s="4">
        <f t="shared" si="850"/>
        <v>0</v>
      </c>
      <c r="S699" s="158">
        <f>_xll.xSPRDOPT($L699,$J699,$I699,$M699,$O699,$N699,$P699,$Q699-$C$3,$R699,0)</f>
        <v>0.41052650509856004</v>
      </c>
      <c r="T699" s="159">
        <f>_xll.xSPRDOPT($L699,$J699,$I699,$M699,$O699,$N699,$P699,$Q699-$C$3,$R699,1)*H699</f>
        <v>195985.1653754907</v>
      </c>
      <c r="U699" s="160">
        <f t="shared" si="851"/>
        <v>-205263.25254928001</v>
      </c>
      <c r="V699" s="159">
        <f>_xll.xSPRDOPT($L699,$J699,$I699,$M699,$O699,$N699,$P699,$Q699-$C$3,$R699,2)*H699</f>
        <v>-231064.39596327482</v>
      </c>
      <c r="W699" s="159">
        <f t="shared" si="852"/>
        <v>-35079.230587784114</v>
      </c>
      <c r="X699" s="51" t="str">
        <f t="shared" si="853"/>
        <v>36861IF-TRANSCO/Z6</v>
      </c>
      <c r="Y699" s="418">
        <f t="shared" si="854"/>
        <v>-50</v>
      </c>
      <c r="Z699" s="456">
        <f t="shared" si="855"/>
        <v>-0.39197033075098142</v>
      </c>
      <c r="AA699" s="456">
        <f>_xll.xSPRDOPT($L699,$J699,$I699,$M699,$O699,$N699,$P699,$Q699-$C$3,$R699,3)</f>
        <v>0.2923721662159891</v>
      </c>
      <c r="AB699" s="456">
        <f>((_xll.xSPRDOPT($L699+AB$5,$J699,$I699,$M699,$O699,$N699,$P699,$Q699-$C$3,$R699,3)*$H699)/10000)/100</f>
        <v>-0.14618608310799455</v>
      </c>
      <c r="AC699" s="456">
        <f>((_xll.xSPRDOPT($L699+$AB$5,$J699,$I699,$M699,$O699,$N699,$P699,$Q699-$C$3,$R699,7)*$H699)/100)</f>
        <v>4867.0315606562108</v>
      </c>
      <c r="AD699" s="456">
        <f>(_xll.xSPRDOPT($L699+$AB$5,$J699,$I699,$M699,$O699,$N699,$P699,$Q699-$C$3,$R699,9)/365)*$H699</f>
        <v>1304.8919965750117</v>
      </c>
      <c r="AE699">
        <f t="shared" si="842"/>
        <v>0</v>
      </c>
      <c r="AF699" s="456">
        <f t="shared" si="856"/>
        <v>-4116.6625779456372</v>
      </c>
      <c r="AG699" s="456">
        <f>((_xll.xSPRDOPT($L699,$J699,$I699,$M699,$O699,$N699,$P699,$Q699-$C$3,$R699,6)*$H699)/100)</f>
        <v>1287.1842621679912</v>
      </c>
      <c r="AH699" s="456">
        <f>((_xll.xSPRDOPT($L699,$J699,$I699,$M699,$O699,$N699,$P699,$Q699-$C$3,$R699,5)*$H699)/100)</f>
        <v>-4698.9972522727212</v>
      </c>
      <c r="AI699" s="456">
        <f>(((_xll.xSPRDOPT($L699,$J699,$I699,$M699,$O699,$N699,$P699,$Q699-$C$3,$R699,4)*$H699)/10000)/100)-AB699</f>
        <v>-1.0204745100936358E-2</v>
      </c>
      <c r="AJ699" s="456"/>
      <c r="CC699" s="141">
        <f t="shared" si="857"/>
        <v>36951</v>
      </c>
      <c r="CD699" s="234">
        <f>_xll.xSPRDOPT((VLOOKUP(G697,NGPrices,2,FALSE)+HLOOKUP(D697,Prices,VLOOKUP(G697,move_down,2,FALSE),FALSE)),VLOOKUP(G697,NGPrices,2,FALSE),I697,VLOOKUP(G697,NGPREVPRICES,4,FALSE),HLOOKUP(D697,PREVVOLS,VLOOKUP(G697,MOVE_DOWN2,2,FALSE),FALSE),VLOOKUP(G697,NGPREVPRICES,3,FALSE),HLOOKUP(D697,Correllate,VLOOKUP(G697,CorMove,2,FALSE),FALSE),Q697-$CD$3,R697,$CD$5)*H697-CJ699</f>
        <v>0</v>
      </c>
      <c r="CE699" s="234">
        <f>_xll.xSPRDOPT((VLOOKUP(G697,NGPREVPRICES,2,FALSE)+HLOOKUP(D697,PREVCURVES,VLOOKUP(G697,MOVE_DOWN2,2,FALSE),FALSE)),VLOOKUP(G697,NGPREVPRICES,2,FALSE),CK699,VLOOKUP(G697,NGPrices,4,FALSE),HLOOKUP(D697,PREVVOLS,VLOOKUP(G697,MOVE_DOWN2,2,FALSE),FALSE),VLOOKUP(G697,NGPREVPRICES,3,FALSE),HLOOKUP(D697,Correllate,VLOOKUP(G697,CorMove,2,FALSE),FALSE),Q697-$CD$3,R697,$CJ$5)*H697-CJ699</f>
        <v>0</v>
      </c>
      <c r="CF699" s="10">
        <f t="shared" si="858"/>
        <v>35.788902073545614</v>
      </c>
      <c r="CG699" s="234">
        <f>_xll.xSPRDOPT((VLOOKUP(G697,NGPREVPRICES,2,FALSE)+HLOOKUP(D697,PREVCURVES,VLOOKUP(G697,MOVE_DOWN2,2,FALSE),FALSE)),VLOOKUP(G697,NGPREVPRICES,2,FALSE),CK699,VLOOKUP(G697,NGPREVPRICES,4,FALSE),HLOOKUP(D697,VOLS,VLOOKUP(G697,move_down,2,FALSE),FALSE),VLOOKUP(G697,NGPrices,3,FALSE),HLOOKUP(D697,Correllate,VLOOKUP(G697,CorMove,2,FALSE),FALSE),Q697-$CD$3,R697,$CJ$5)*H697-CJ699</f>
        <v>0</v>
      </c>
      <c r="CH699" s="234">
        <f>_xll.xSPRDOPT((VLOOKUP(G697,NGPREVPRICES,2,FALSE)+HLOOKUP(D697,PREVCURVES,VLOOKUP(G697,MOVE_DOWN2,2,FALSE),FALSE)),VLOOKUP(G697,NGPREVPRICES,2,FALSE),CK699,VLOOKUP(G697,NGPREVPRICES,4,FALSE),HLOOKUP(D697,PREVVOLS,VLOOKUP(G697,MOVE_DOWN2,2,FALSE),FALSE),VLOOKUP(G697,NGPREVPRICES,3,FALSE),HLOOKUP(D697,Correllate,VLOOKUP(G697,CorMove,2,FALSE),FALSE),Q697-$C$3,R697,$CJ$5)*H697-CJ699</f>
        <v>668.60449908929877</v>
      </c>
      <c r="CI699" s="234">
        <f t="shared" si="859"/>
        <v>704.39340116284438</v>
      </c>
      <c r="CJ699" s="234">
        <f>_xll.xSPRDOPT((VLOOKUP(G697,NGPREVPRICES,2,FALSE)+HLOOKUP(D697,PREVCURVES,VLOOKUP(G697,MOVE_DOWN2,2,FALSE),FALSE)),VLOOKUP(G697,NGPREVPRICES,2,FALSE),CK699,VLOOKUP(G697,NGPREVPRICES,4,FALSE),HLOOKUP(D697,PREVVOLS,VLOOKUP(G697,MOVE_DOWN2,2,FALSE),FALSE),VLOOKUP(G697,NGPREVPRICES,3,FALSE),HLOOKUP(D697,Correllate,VLOOKUP(G697,CorMove,2,FALSE),FALSE),Q697-$CD$3,R697,$CJ$5)*H697</f>
        <v>-186609.44103303374</v>
      </c>
      <c r="CK699" s="235">
        <f t="shared" si="860"/>
        <v>1.45</v>
      </c>
      <c r="CM699" t="str">
        <f t="shared" si="861"/>
        <v>36951Curve Shift/Gamma</v>
      </c>
      <c r="CN699" t="str">
        <f t="shared" si="838"/>
        <v>36951Rho</v>
      </c>
      <c r="CO699" t="str">
        <f t="shared" si="839"/>
        <v>36951Drift</v>
      </c>
      <c r="CP699" t="str">
        <f t="shared" si="840"/>
        <v>36951Vega</v>
      </c>
      <c r="CQ699" t="str">
        <f t="shared" si="841"/>
        <v>36951Theta</v>
      </c>
    </row>
    <row r="700" spans="1:95" x14ac:dyDescent="0.25">
      <c r="A700" s="140" t="s">
        <v>320</v>
      </c>
      <c r="B700" t="s">
        <v>250</v>
      </c>
      <c r="C700" t="s">
        <v>583</v>
      </c>
      <c r="D700" s="4" t="s">
        <v>7</v>
      </c>
      <c r="E700" t="s">
        <v>20</v>
      </c>
      <c r="F700" t="s">
        <v>1</v>
      </c>
      <c r="G700" s="5">
        <v>36892</v>
      </c>
      <c r="H700" s="130">
        <v>-500000</v>
      </c>
      <c r="I700" s="235">
        <v>1.45</v>
      </c>
      <c r="J700" s="53">
        <f t="shared" si="843"/>
        <v>4.7439999999999998</v>
      </c>
      <c r="K700" s="7">
        <f t="shared" si="844"/>
        <v>2.17</v>
      </c>
      <c r="L700" s="53">
        <f t="shared" si="845"/>
        <v>6.9139999999999997</v>
      </c>
      <c r="M700" s="157">
        <f t="shared" si="846"/>
        <v>6.8374831148490994E-2</v>
      </c>
      <c r="N700" s="4">
        <f t="shared" si="847"/>
        <v>0.60499999999999998</v>
      </c>
      <c r="O700" s="4">
        <f t="shared" si="848"/>
        <v>0.69599999999999995</v>
      </c>
      <c r="P700" s="9">
        <f t="shared" si="849"/>
        <v>0.83</v>
      </c>
      <c r="Q700" s="5">
        <f t="shared" si="771"/>
        <v>36888</v>
      </c>
      <c r="R700" s="4">
        <f t="shared" si="850"/>
        <v>0</v>
      </c>
      <c r="S700" s="158">
        <f>_xll.xSPRDOPT($L700,$J700,$I700,$M700,$O700,$N700,$P700,$Q700-$C$3,$R700,0)</f>
        <v>0.30840657428801843</v>
      </c>
      <c r="T700" s="159">
        <f>_xll.xSPRDOPT($L700,$J700,$I700,$M700,$O700,$N700,$P700,$Q700-$C$3,$R700,1)*H700</f>
        <v>135417.33264070775</v>
      </c>
      <c r="U700" s="160">
        <f t="shared" si="851"/>
        <v>-154203.28714400923</v>
      </c>
      <c r="V700" s="159">
        <f>_xll.xSPRDOPT($L700,$J700,$I700,$M700,$O700,$N700,$P700,$Q700-$C$3,$R700,2)*H700</f>
        <v>-171612.8161851347</v>
      </c>
      <c r="W700" s="159">
        <f t="shared" si="852"/>
        <v>-36195.483544426941</v>
      </c>
      <c r="X700" s="51" t="str">
        <f t="shared" si="853"/>
        <v>36892IF-TRANSCO/Z6</v>
      </c>
      <c r="Y700" s="418">
        <f t="shared" si="854"/>
        <v>-50</v>
      </c>
      <c r="Z700" s="456">
        <f t="shared" si="855"/>
        <v>-0.27083466528141553</v>
      </c>
      <c r="AA700" s="456">
        <f>_xll.xSPRDOPT($L700,$J700,$I700,$M700,$O700,$N700,$P700,$Q700-$C$3,$R700,3)</f>
        <v>0.20251797451806519</v>
      </c>
      <c r="AB700" s="456">
        <f>((_xll.xSPRDOPT($L700+AB$5,$J700,$I700,$M700,$O700,$N700,$P700,$Q700-$C$3,$R700,3)*$H700)/10000)/100</f>
        <v>-0.10125898725903261</v>
      </c>
      <c r="AC700" s="456">
        <f>((_xll.xSPRDOPT($L700+$AB$5,$J700,$I700,$M700,$O700,$N700,$P700,$Q700-$C$3,$R700,7)*$H700)/100)</f>
        <v>5141.1396712358928</v>
      </c>
      <c r="AD700" s="456">
        <f>(_xll.xSPRDOPT($L700+$AB$5,$J700,$I700,$M700,$O700,$N700,$P700,$Q700-$C$3,$R700,9)/365)*$H700</f>
        <v>1070.1634111805943</v>
      </c>
      <c r="AE700">
        <f t="shared" si="842"/>
        <v>0</v>
      </c>
      <c r="AF700" s="456">
        <f t="shared" si="856"/>
        <v>-4393.1911632127512</v>
      </c>
      <c r="AG700" s="456">
        <f>((_xll.xSPRDOPT($L700,$J700,$I700,$M700,$O700,$N700,$P700,$Q700-$C$3,$R700,6)*$H700)/100)</f>
        <v>1393.2700108687284</v>
      </c>
      <c r="AH700" s="456">
        <f>((_xll.xSPRDOPT($L700,$J700,$I700,$M700,$O700,$N700,$P700,$Q700-$C$3,$R700,5)*$H700)/100)</f>
        <v>-5029.8980033323214</v>
      </c>
      <c r="AI700" s="456">
        <f>(((_xll.xSPRDOPT($L700,$J700,$I700,$M700,$O700,$N700,$P700,$Q700-$C$3,$R700,4)*$H700)/10000)/100)-AB700</f>
        <v>-2.4217512685718132E-2</v>
      </c>
      <c r="AJ700" s="456"/>
      <c r="CC700" s="141">
        <f t="shared" si="857"/>
        <v>36831</v>
      </c>
      <c r="CD700" s="234">
        <f>_xll.xSPRDOPT((VLOOKUP(G698,NGPrices,2,FALSE)+HLOOKUP(D698,Prices,VLOOKUP(G698,move_down,2,FALSE),FALSE)),VLOOKUP(G698,NGPrices,2,FALSE),I698,VLOOKUP(G698,NGPREVPRICES,4,FALSE),HLOOKUP(D698,PREVVOLS,VLOOKUP(G698,MOVE_DOWN2,2,FALSE),FALSE),VLOOKUP(G698,NGPREVPRICES,3,FALSE),HLOOKUP(D698,Correllate,VLOOKUP(G698,CorMove,2,FALSE),FALSE),Q698-$CD$3,R698,$CD$5)*H698-CJ700</f>
        <v>0</v>
      </c>
      <c r="CE700" s="234">
        <f>_xll.xSPRDOPT((VLOOKUP(G698,NGPREVPRICES,2,FALSE)+HLOOKUP(D698,PREVCURVES,VLOOKUP(G698,MOVE_DOWN2,2,FALSE),FALSE)),VLOOKUP(G698,NGPREVPRICES,2,FALSE),CK700,VLOOKUP(G698,NGPrices,4,FALSE),HLOOKUP(D698,PREVVOLS,VLOOKUP(G698,MOVE_DOWN2,2,FALSE),FALSE),VLOOKUP(G698,NGPREVPRICES,3,FALSE),HLOOKUP(D698,Correllate,VLOOKUP(G698,CorMove,2,FALSE),FALSE),Q698-$CD$3,R698,$CJ$5)*H698-CJ700</f>
        <v>0</v>
      </c>
      <c r="CF700" s="10">
        <f t="shared" si="858"/>
        <v>68.758856858825311</v>
      </c>
      <c r="CG700" s="234">
        <f>_xll.xSPRDOPT((VLOOKUP(G698,NGPREVPRICES,2,FALSE)+HLOOKUP(D698,PREVCURVES,VLOOKUP(G698,MOVE_DOWN2,2,FALSE),FALSE)),VLOOKUP(G698,NGPREVPRICES,2,FALSE),CK700,VLOOKUP(G698,NGPREVPRICES,4,FALSE),HLOOKUP(D698,VOLS,VLOOKUP(G698,move_down,2,FALSE),FALSE),VLOOKUP(G698,NGPrices,3,FALSE),HLOOKUP(D698,Correllate,VLOOKUP(G698,CorMove,2,FALSE),FALSE),Q698-$CD$3,R698,$CJ$5)*H698-CJ700</f>
        <v>0</v>
      </c>
      <c r="CH700" s="234">
        <f>_xll.xSPRDOPT((VLOOKUP(G698,NGPREVPRICES,2,FALSE)+HLOOKUP(D698,PREVCURVES,VLOOKUP(G698,MOVE_DOWN2,2,FALSE),FALSE)),VLOOKUP(G698,NGPREVPRICES,2,FALSE),CK700,VLOOKUP(G698,NGPREVPRICES,4,FALSE),HLOOKUP(D698,PREVVOLS,VLOOKUP(G698,MOVE_DOWN2,2,FALSE),FALSE),VLOOKUP(G698,NGPREVPRICES,3,FALSE),HLOOKUP(D698,Correllate,VLOOKUP(G698,CorMove,2,FALSE),FALSE),Q698-$C$3,R698,$CJ$5)*H698-CJ700</f>
        <v>672.67057768581435</v>
      </c>
      <c r="CI700" s="234">
        <f t="shared" si="859"/>
        <v>741.42943454463966</v>
      </c>
      <c r="CJ700" s="234">
        <f>_xll.xSPRDOPT((VLOOKUP(G698,NGPREVPRICES,2,FALSE)+HLOOKUP(D698,PREVCURVES,VLOOKUP(G698,MOVE_DOWN2,2,FALSE),FALSE)),VLOOKUP(G698,NGPREVPRICES,2,FALSE),CK700,VLOOKUP(G698,NGPREVPRICES,4,FALSE),HLOOKUP(D698,PREVVOLS,VLOOKUP(G698,MOVE_DOWN2,2,FALSE),FALSE),VLOOKUP(G698,NGPREVPRICES,3,FALSE),HLOOKUP(D698,Correllate,VLOOKUP(G698,CorMove,2,FALSE),FALSE),Q698-$CD$3,R698,$CJ$5)*H698</f>
        <v>-370247.25561892445</v>
      </c>
      <c r="CK700" s="235">
        <f t="shared" si="860"/>
        <v>1.45</v>
      </c>
      <c r="CM700" t="str">
        <f t="shared" si="861"/>
        <v>36831Curve Shift/Gamma</v>
      </c>
      <c r="CN700" t="str">
        <f t="shared" si="838"/>
        <v>36831Rho</v>
      </c>
      <c r="CO700" t="str">
        <f t="shared" si="839"/>
        <v>36831Drift</v>
      </c>
      <c r="CP700" t="str">
        <f t="shared" si="840"/>
        <v>36831Vega</v>
      </c>
      <c r="CQ700" t="str">
        <f t="shared" si="841"/>
        <v>36831Theta</v>
      </c>
    </row>
    <row r="701" spans="1:95" x14ac:dyDescent="0.25">
      <c r="A701" s="140" t="s">
        <v>320</v>
      </c>
      <c r="B701" t="s">
        <v>250</v>
      </c>
      <c r="C701" t="s">
        <v>583</v>
      </c>
      <c r="D701" s="4" t="s">
        <v>7</v>
      </c>
      <c r="E701" t="s">
        <v>20</v>
      </c>
      <c r="F701" t="s">
        <v>1</v>
      </c>
      <c r="G701" s="5">
        <v>36923</v>
      </c>
      <c r="H701" s="130">
        <v>-500000</v>
      </c>
      <c r="I701" s="235">
        <v>1.45</v>
      </c>
      <c r="J701" s="53">
        <f t="shared" si="843"/>
        <v>4.4800000000000004</v>
      </c>
      <c r="K701" s="7">
        <f t="shared" si="844"/>
        <v>2.09</v>
      </c>
      <c r="L701" s="53">
        <f t="shared" si="845"/>
        <v>6.57</v>
      </c>
      <c r="M701" s="157">
        <f t="shared" si="846"/>
        <v>6.8640161611372E-2</v>
      </c>
      <c r="N701" s="4">
        <f t="shared" si="847"/>
        <v>0.59250000000000003</v>
      </c>
      <c r="O701" s="4">
        <f t="shared" si="848"/>
        <v>0.68100000000000005</v>
      </c>
      <c r="P701" s="9">
        <f t="shared" si="849"/>
        <v>0.83</v>
      </c>
      <c r="Q701" s="5">
        <f t="shared" si="771"/>
        <v>36921</v>
      </c>
      <c r="R701" s="4">
        <f t="shared" si="850"/>
        <v>0</v>
      </c>
      <c r="S701" s="158">
        <f>_xll.xSPRDOPT($L701,$J701,$I701,$M701,$O701,$N701,$P701,$Q701-$C$3,$R701,0)</f>
        <v>0.36300732348967735</v>
      </c>
      <c r="T701" s="159">
        <f>_xll.xSPRDOPT($L701,$J701,$I701,$M701,$O701,$N701,$P701,$Q701-$C$3,$R701,1)*H701</f>
        <v>144727.30685373896</v>
      </c>
      <c r="U701" s="160">
        <f t="shared" si="851"/>
        <v>-181503.66174483867</v>
      </c>
      <c r="V701" s="159">
        <f>_xll.xSPRDOPT($L701,$J701,$I701,$M701,$O701,$N701,$P701,$Q701-$C$3,$R701,2)*H701</f>
        <v>-185509.47090441105</v>
      </c>
      <c r="W701" s="159">
        <f t="shared" si="852"/>
        <v>-40782.164050672087</v>
      </c>
      <c r="X701" s="51" t="str">
        <f t="shared" si="853"/>
        <v>36923IF-TRANSCO/Z6</v>
      </c>
      <c r="Y701" s="418">
        <f t="shared" si="854"/>
        <v>-50</v>
      </c>
      <c r="Z701" s="456">
        <f t="shared" si="855"/>
        <v>-0.28945461370747794</v>
      </c>
      <c r="AA701" s="456">
        <f>_xll.xSPRDOPT($L701,$J701,$I701,$M701,$O701,$N701,$P701,$Q701-$C$3,$R701,3)</f>
        <v>0.19776422519162931</v>
      </c>
      <c r="AB701" s="456">
        <f>((_xll.xSPRDOPT($L701+AB$5,$J701,$I701,$M701,$O701,$N701,$P701,$Q701-$C$3,$R701,3)*$H701)/10000)/100</f>
        <v>-9.8882112595814656E-2</v>
      </c>
      <c r="AC701" s="456">
        <f>((_xll.xSPRDOPT($L701+$AB$5,$J701,$I701,$M701,$O701,$N701,$P701,$Q701-$C$3,$R701,7)*$H701)/100)</f>
        <v>5462.7884876455028</v>
      </c>
      <c r="AD701" s="456">
        <f>(_xll.xSPRDOPT($L701+$AB$5,$J701,$I701,$M701,$O701,$N701,$P701,$Q701-$C$3,$R701,9)/365)*$H701</f>
        <v>902.42324844961001</v>
      </c>
      <c r="AE701">
        <f t="shared" si="842"/>
        <v>0</v>
      </c>
      <c r="AF701" s="456">
        <f t="shared" si="856"/>
        <v>-4865.1779990122113</v>
      </c>
      <c r="AG701" s="456">
        <f>((_xll.xSPRDOPT($L701,$J701,$I701,$M701,$O701,$N701,$P701,$Q701-$C$3,$R701,6)*$H701)/100)</f>
        <v>1568.2322574846473</v>
      </c>
      <c r="AH701" s="456">
        <f>((_xll.xSPRDOPT($L701,$J701,$I701,$M701,$O701,$N701,$P701,$Q701-$C$3,$R701,5)*$H701)/100)</f>
        <v>-5597.3503332957243</v>
      </c>
      <c r="AI701" s="456">
        <f>(((_xll.xSPRDOPT($L701,$J701,$I701,$M701,$O701,$N701,$P701,$Q701-$C$3,$R701,4)*$H701)/10000)/100)-AB701</f>
        <v>-2.2465372065367778E-2</v>
      </c>
      <c r="AJ701" s="456"/>
      <c r="CC701" s="141">
        <f t="shared" si="857"/>
        <v>36861</v>
      </c>
      <c r="CD701" s="234">
        <f>_xll.xSPRDOPT((VLOOKUP(G699,NGPrices,2,FALSE)+HLOOKUP(D699,Prices,VLOOKUP(G699,move_down,2,FALSE),FALSE)),VLOOKUP(G699,NGPrices,2,FALSE),I699,VLOOKUP(G699,NGPREVPRICES,4,FALSE),HLOOKUP(D699,PREVVOLS,VLOOKUP(G699,MOVE_DOWN2,2,FALSE),FALSE),VLOOKUP(G699,NGPREVPRICES,3,FALSE),HLOOKUP(D699,Correllate,VLOOKUP(G699,CorMove,2,FALSE),FALSE),Q699-$CD$3,R699,$CD$5)*H699-CJ701</f>
        <v>0</v>
      </c>
      <c r="CE701" s="234">
        <f>_xll.xSPRDOPT((VLOOKUP(G699,NGPREVPRICES,2,FALSE)+HLOOKUP(D699,PREVCURVES,VLOOKUP(G699,MOVE_DOWN2,2,FALSE),FALSE)),VLOOKUP(G699,NGPREVPRICES,2,FALSE),CK701,VLOOKUP(G699,NGPrices,4,FALSE),HLOOKUP(D699,PREVVOLS,VLOOKUP(G699,MOVE_DOWN2,2,FALSE),FALSE),VLOOKUP(G699,NGPREVPRICES,3,FALSE),HLOOKUP(D699,Correllate,VLOOKUP(G699,CorMove,2,FALSE),FALSE),Q699-$CD$3,R699,$CJ$5)*H699-CJ701</f>
        <v>0</v>
      </c>
      <c r="CF701" s="10">
        <f t="shared" si="858"/>
        <v>38.697168993472587</v>
      </c>
      <c r="CG701" s="234">
        <f>_xll.xSPRDOPT((VLOOKUP(G699,NGPREVPRICES,2,FALSE)+HLOOKUP(D699,PREVCURVES,VLOOKUP(G699,MOVE_DOWN2,2,FALSE),FALSE)),VLOOKUP(G699,NGPREVPRICES,2,FALSE),CK701,VLOOKUP(G699,NGPREVPRICES,4,FALSE),HLOOKUP(D699,VOLS,VLOOKUP(G699,move_down,2,FALSE),FALSE),VLOOKUP(G699,NGPrices,3,FALSE),HLOOKUP(D699,Correllate,VLOOKUP(G699,CorMove,2,FALSE),FALSE),Q699-$CD$3,R699,$CJ$5)*H699-CJ701</f>
        <v>0</v>
      </c>
      <c r="CH701" s="234">
        <f>_xll.xSPRDOPT((VLOOKUP(G699,NGPREVPRICES,2,FALSE)+HLOOKUP(D699,PREVCURVES,VLOOKUP(G699,MOVE_DOWN2,2,FALSE),FALSE)),VLOOKUP(G699,NGPREVPRICES,2,FALSE),CK701,VLOOKUP(G699,NGPREVPRICES,4,FALSE),HLOOKUP(D699,PREVVOLS,VLOOKUP(G699,MOVE_DOWN2,2,FALSE),FALSE),VLOOKUP(G699,NGPREVPRICES,3,FALSE),HLOOKUP(D699,Correllate,VLOOKUP(G699,CorMove,2,FALSE),FALSE),Q699-$C$3,R699,$CJ$5)*H699-CJ701</f>
        <v>1300.1910014154564</v>
      </c>
      <c r="CI701" s="234">
        <f t="shared" si="859"/>
        <v>1338.888170408929</v>
      </c>
      <c r="CJ701" s="234">
        <f>_xll.xSPRDOPT((VLOOKUP(G699,NGPREVPRICES,2,FALSE)+HLOOKUP(D699,PREVCURVES,VLOOKUP(G699,MOVE_DOWN2,2,FALSE),FALSE)),VLOOKUP(G699,NGPREVPRICES,2,FALSE),CK701,VLOOKUP(G699,NGPREVPRICES,4,FALSE),HLOOKUP(D699,PREVVOLS,VLOOKUP(G699,MOVE_DOWN2,2,FALSE),FALSE),VLOOKUP(G699,NGPREVPRICES,3,FALSE),HLOOKUP(D699,Correllate,VLOOKUP(G699,CorMove,2,FALSE),FALSE),Q699-$CD$3,R699,$CJ$5)*H699</f>
        <v>-206563.44355069546</v>
      </c>
      <c r="CK701" s="235">
        <f t="shared" si="860"/>
        <v>1.45</v>
      </c>
      <c r="CM701" t="str">
        <f t="shared" si="861"/>
        <v>36861Curve Shift/Gamma</v>
      </c>
      <c r="CN701" t="str">
        <f t="shared" si="838"/>
        <v>36861Rho</v>
      </c>
      <c r="CO701" t="str">
        <f t="shared" si="839"/>
        <v>36861Drift</v>
      </c>
      <c r="CP701" t="str">
        <f t="shared" si="840"/>
        <v>36861Vega</v>
      </c>
      <c r="CQ701" t="str">
        <f t="shared" si="841"/>
        <v>36861Theta</v>
      </c>
    </row>
    <row r="702" spans="1:95" x14ac:dyDescent="0.25">
      <c r="A702" s="140" t="s">
        <v>320</v>
      </c>
      <c r="B702" t="s">
        <v>250</v>
      </c>
      <c r="C702" t="s">
        <v>583</v>
      </c>
      <c r="D702" s="4" t="s">
        <v>7</v>
      </c>
      <c r="E702" t="s">
        <v>20</v>
      </c>
      <c r="F702" t="s">
        <v>1</v>
      </c>
      <c r="G702" s="5">
        <v>36951</v>
      </c>
      <c r="H702" s="130">
        <v>-500000</v>
      </c>
      <c r="I702" s="235">
        <v>1.45</v>
      </c>
      <c r="J702" s="53">
        <f t="shared" si="843"/>
        <v>4.2130000000000001</v>
      </c>
      <c r="K702" s="7">
        <f t="shared" si="844"/>
        <v>1.075</v>
      </c>
      <c r="L702" s="53">
        <f t="shared" si="845"/>
        <v>5.2880000000000003</v>
      </c>
      <c r="M702" s="157">
        <f t="shared" si="846"/>
        <v>6.8879814952706994E-2</v>
      </c>
      <c r="N702" s="4">
        <f t="shared" si="847"/>
        <v>0.53249999999999997</v>
      </c>
      <c r="O702" s="4">
        <f t="shared" si="848"/>
        <v>0.61199999999999999</v>
      </c>
      <c r="P702" s="9">
        <f t="shared" si="849"/>
        <v>0.83</v>
      </c>
      <c r="Q702" s="5">
        <f t="shared" si="771"/>
        <v>36949</v>
      </c>
      <c r="R702" s="4">
        <f t="shared" si="850"/>
        <v>0</v>
      </c>
      <c r="S702" s="158">
        <f>_xll.xSPRDOPT($L702,$J702,$I702,$M702,$O702,$N702,$P702,$Q702-$C$3,$R702,0)</f>
        <v>0.73422927689095596</v>
      </c>
      <c r="T702" s="159">
        <f>_xll.xSPRDOPT($L702,$J702,$I702,$M702,$O702,$N702,$P702,$Q702-$C$3,$R702,1)*H702</f>
        <v>268165.73955644487</v>
      </c>
      <c r="U702" s="160">
        <f t="shared" si="851"/>
        <v>-367114.63844547799</v>
      </c>
      <c r="V702" s="159">
        <f>_xll.xSPRDOPT($L702,$J702,$I702,$M702,$O702,$N702,$P702,$Q702-$C$3,$R702,2)*H702</f>
        <v>-310082.74434335349</v>
      </c>
      <c r="W702" s="159">
        <f t="shared" si="852"/>
        <v>-41917.004786908627</v>
      </c>
      <c r="X702" s="51" t="str">
        <f t="shared" si="853"/>
        <v>36951IF-TRANSCO/Z6</v>
      </c>
      <c r="Y702" s="418">
        <f t="shared" si="854"/>
        <v>-50</v>
      </c>
      <c r="Z702" s="456">
        <f t="shared" si="855"/>
        <v>-0.5363314791128897</v>
      </c>
      <c r="AA702" s="456">
        <f>_xll.xSPRDOPT($L702,$J702,$I702,$M702,$O702,$N702,$P702,$Q702-$C$3,$R702,3)</f>
        <v>0.28558261496155896</v>
      </c>
      <c r="AB702" s="456">
        <f>((_xll.xSPRDOPT($L702+AB$5,$J702,$I702,$M702,$O702,$N702,$P702,$Q702-$C$3,$R702,3)*$H702)/10000)/100</f>
        <v>-0.14279130748077948</v>
      </c>
      <c r="AC702" s="456">
        <f>((_xll.xSPRDOPT($L702+$AB$5,$J702,$I702,$M702,$O702,$N702,$P702,$Q702-$C$3,$R702,7)*$H702)/100)</f>
        <v>4894.4949810567532</v>
      </c>
      <c r="AD702" s="456">
        <f>(_xll.xSPRDOPT($L702+$AB$5,$J702,$I702,$M702,$O702,$N702,$P702,$Q702-$C$3,$R702,9)/365)*$H702</f>
        <v>635.90598692075127</v>
      </c>
      <c r="AE702">
        <f t="shared" si="842"/>
        <v>0</v>
      </c>
      <c r="AF702" s="456">
        <f t="shared" si="856"/>
        <v>-4817.119162373383</v>
      </c>
      <c r="AG702" s="456">
        <f>((_xll.xSPRDOPT($L702,$J702,$I702,$M702,$O702,$N702,$P702,$Q702-$C$3,$R702,6)*$H702)/100)</f>
        <v>1548.1358102749614</v>
      </c>
      <c r="AH702" s="456">
        <f>((_xll.xSPRDOPT($L702,$J702,$I702,$M702,$O702,$N702,$P702,$Q702-$C$3,$R702,5)*$H702)/100)</f>
        <v>-5538.3958708092214</v>
      </c>
      <c r="AI702" s="456">
        <f>(((_xll.xSPRDOPT($L702,$J702,$I702,$M702,$O702,$N702,$P702,$Q702-$C$3,$R702,4)*$H702)/10000)/100)-AB702</f>
        <v>1.3675528195642522E-2</v>
      </c>
      <c r="AJ702" s="456"/>
      <c r="CC702" s="141">
        <f t="shared" si="857"/>
        <v>36892</v>
      </c>
      <c r="CD702" s="234">
        <f>_xll.xSPRDOPT((VLOOKUP(G700,NGPrices,2,FALSE)+HLOOKUP(D700,Prices,VLOOKUP(G700,move_down,2,FALSE),FALSE)),VLOOKUP(G700,NGPrices,2,FALSE),I700,VLOOKUP(G700,NGPREVPRICES,4,FALSE),HLOOKUP(D700,PREVVOLS,VLOOKUP(G700,MOVE_DOWN2,2,FALSE),FALSE),VLOOKUP(G700,NGPREVPRICES,3,FALSE),HLOOKUP(D700,Correllate,VLOOKUP(G700,CorMove,2,FALSE),FALSE),Q700-$CD$3,R700,$CD$5)*H700-CJ702</f>
        <v>0</v>
      </c>
      <c r="CE702" s="234">
        <f>_xll.xSPRDOPT((VLOOKUP(G700,NGPREVPRICES,2,FALSE)+HLOOKUP(D700,PREVCURVES,VLOOKUP(G700,MOVE_DOWN2,2,FALSE),FALSE)),VLOOKUP(G700,NGPREVPRICES,2,FALSE),CK702,VLOOKUP(G700,NGPrices,4,FALSE),HLOOKUP(D700,PREVVOLS,VLOOKUP(G700,MOVE_DOWN2,2,FALSE),FALSE),VLOOKUP(G700,NGPREVPRICES,3,FALSE),HLOOKUP(D700,Correllate,VLOOKUP(G700,CorMove,2,FALSE),FALSE),Q700-$CD$3,R700,$CJ$5)*H700-CJ702</f>
        <v>0</v>
      </c>
      <c r="CF702" s="10">
        <f t="shared" si="858"/>
        <v>29.259399136935826</v>
      </c>
      <c r="CG702" s="234">
        <f>_xll.xSPRDOPT((VLOOKUP(G700,NGPREVPRICES,2,FALSE)+HLOOKUP(D700,PREVCURVES,VLOOKUP(G700,MOVE_DOWN2,2,FALSE),FALSE)),VLOOKUP(G700,NGPREVPRICES,2,FALSE),CK702,VLOOKUP(G700,NGPREVPRICES,4,FALSE),HLOOKUP(D700,VOLS,VLOOKUP(G700,move_down,2,FALSE),FALSE),VLOOKUP(G700,NGPrices,3,FALSE),HLOOKUP(D700,Correllate,VLOOKUP(G700,CorMove,2,FALSE),FALSE),Q700-$CD$3,R700,$CJ$5)*H700-CJ702</f>
        <v>0</v>
      </c>
      <c r="CH702" s="234">
        <f>_xll.xSPRDOPT((VLOOKUP(G700,NGPREVPRICES,2,FALSE)+HLOOKUP(D700,PREVCURVES,VLOOKUP(G700,MOVE_DOWN2,2,FALSE),FALSE)),VLOOKUP(G700,NGPREVPRICES,2,FALSE),CK702,VLOOKUP(G700,NGPREVPRICES,4,FALSE),HLOOKUP(D700,PREVVOLS,VLOOKUP(G700,MOVE_DOWN2,2,FALSE),FALSE),VLOOKUP(G700,NGPREVPRICES,3,FALSE),HLOOKUP(D700,Correllate,VLOOKUP(G700,CorMove,2,FALSE),FALSE),Q700-$C$3,R700,$CJ$5)*H700-CJ702</f>
        <v>1067.4535420187458</v>
      </c>
      <c r="CI702" s="234">
        <f t="shared" si="859"/>
        <v>1096.7129411556816</v>
      </c>
      <c r="CJ702" s="234">
        <f>_xll.xSPRDOPT((VLOOKUP(G700,NGPREVPRICES,2,FALSE)+HLOOKUP(D700,PREVCURVES,VLOOKUP(G700,MOVE_DOWN2,2,FALSE),FALSE)),VLOOKUP(G700,NGPREVPRICES,2,FALSE),CK702,VLOOKUP(G700,NGPREVPRICES,4,FALSE),HLOOKUP(D700,PREVVOLS,VLOOKUP(G700,MOVE_DOWN2,2,FALSE),FALSE),VLOOKUP(G700,NGPREVPRICES,3,FALSE),HLOOKUP(D700,Correllate,VLOOKUP(G700,CorMove,2,FALSE),FALSE),Q700-$CD$3,R700,$CJ$5)*H700</f>
        <v>-155270.74068602797</v>
      </c>
      <c r="CK702" s="235">
        <f t="shared" si="860"/>
        <v>1.45</v>
      </c>
      <c r="CM702" t="str">
        <f t="shared" si="861"/>
        <v>36892Curve Shift/Gamma</v>
      </c>
      <c r="CN702" t="str">
        <f t="shared" si="838"/>
        <v>36892Rho</v>
      </c>
      <c r="CO702" t="str">
        <f t="shared" si="839"/>
        <v>36892Drift</v>
      </c>
      <c r="CP702" t="str">
        <f t="shared" si="840"/>
        <v>36892Vega</v>
      </c>
      <c r="CQ702" t="str">
        <f t="shared" si="841"/>
        <v>36892Theta</v>
      </c>
    </row>
    <row r="703" spans="1:95" x14ac:dyDescent="0.25">
      <c r="A703" s="140" t="s">
        <v>320</v>
      </c>
      <c r="B703" t="s">
        <v>250</v>
      </c>
      <c r="C703" t="s">
        <v>585</v>
      </c>
      <c r="D703" s="4" t="s">
        <v>7</v>
      </c>
      <c r="E703" t="s">
        <v>20</v>
      </c>
      <c r="F703" t="s">
        <v>1</v>
      </c>
      <c r="G703" s="5">
        <v>36831</v>
      </c>
      <c r="H703" s="130">
        <v>1000000</v>
      </c>
      <c r="I703" s="235">
        <v>0.95</v>
      </c>
      <c r="J703" s="53">
        <f t="shared" si="843"/>
        <v>4.7359999999999998</v>
      </c>
      <c r="K703" s="7">
        <f t="shared" si="844"/>
        <v>0.77</v>
      </c>
      <c r="L703" s="53">
        <f t="shared" si="845"/>
        <v>5.5060000000000002</v>
      </c>
      <c r="M703" s="157">
        <f t="shared" si="846"/>
        <v>6.810675983792E-2</v>
      </c>
      <c r="N703" s="4">
        <f t="shared" si="847"/>
        <v>0.59499999999999997</v>
      </c>
      <c r="O703" s="4">
        <f t="shared" si="848"/>
        <v>0.625</v>
      </c>
      <c r="P703" s="9">
        <f t="shared" si="849"/>
        <v>0.89</v>
      </c>
      <c r="Q703" s="5">
        <f t="shared" si="771"/>
        <v>36829</v>
      </c>
      <c r="R703" s="4">
        <f t="shared" si="850"/>
        <v>0</v>
      </c>
      <c r="S703" s="158">
        <f>_xll.xSPRDOPT($L703,$J703,$I703,$M703,$O703,$N703,$P703,$Q703-$C$3,$R703,0)</f>
        <v>0.36329892687479826</v>
      </c>
      <c r="T703" s="159">
        <f>_xll.xSPRDOPT($L703,$J703,$I703,$M703,$O703,$N703,$P703,$Q703-$C$3,$R703,1)*H703</f>
        <v>-575012.07044925843</v>
      </c>
      <c r="U703" s="160">
        <f t="shared" si="851"/>
        <v>363298.92687479826</v>
      </c>
      <c r="V703" s="159">
        <f>_xll.xSPRDOPT($L703,$J703,$I703,$M703,$O703,$N703,$P703,$Q703-$C$3,$R703,2)*H703</f>
        <v>617545.11248015345</v>
      </c>
      <c r="W703" s="159">
        <f t="shared" si="852"/>
        <v>42533.042030895012</v>
      </c>
      <c r="X703" s="51" t="str">
        <f t="shared" si="853"/>
        <v>36831IF-TRANSCO/Z6</v>
      </c>
      <c r="Y703" s="418">
        <f t="shared" si="854"/>
        <v>100</v>
      </c>
      <c r="Z703" s="456">
        <f t="shared" si="855"/>
        <v>-0.57501207044925839</v>
      </c>
      <c r="AA703" s="456">
        <f>_xll.xSPRDOPT($L703,$J703,$I703,$M703,$O703,$N703,$P703,$Q703-$C$3,$R703,3)</f>
        <v>0.58419351190951563</v>
      </c>
      <c r="AB703" s="456">
        <f>((_xll.xSPRDOPT($L703+AB$5,$J703,$I703,$M703,$O703,$N703,$P703,$Q703-$C$3,$R703,3)*$H703)/10000)/100</f>
        <v>0.58419351190951563</v>
      </c>
      <c r="AC703" s="456">
        <f>((_xll.xSPRDOPT($L703+$AB$5,$J703,$I703,$M703,$O703,$N703,$P703,$Q703-$C$3,$R703,7)*$H703)/100)</f>
        <v>-9343.8293609424072</v>
      </c>
      <c r="AD703" s="456">
        <f>(_xll.xSPRDOPT($L703+$AB$5,$J703,$I703,$M703,$O703,$N703,$P703,$Q703-$C$3,$R703,9)/365)*$H703</f>
        <v>-1995.8383014487654</v>
      </c>
      <c r="AE703">
        <f t="shared" si="842"/>
        <v>0</v>
      </c>
      <c r="AF703" s="456">
        <f t="shared" si="856"/>
        <v>4297.725715210845</v>
      </c>
      <c r="AG703" s="456">
        <f>((_xll.xSPRDOPT($L703,$J703,$I703,$M703,$O703,$N703,$P703,$Q703-$C$3,$R703,6)*$H703)/100)</f>
        <v>-1462.4406921582524</v>
      </c>
      <c r="AH703" s="456">
        <f>((_xll.xSPRDOPT($L703,$J703,$I703,$M703,$O703,$N703,$P703,$Q703-$C$3,$R703,5)*$H703)/100)</f>
        <v>5483.67841981538</v>
      </c>
      <c r="AI703" s="456">
        <f>(((_xll.xSPRDOPT($L703,$J703,$I703,$M703,$O703,$N703,$P703,$Q703-$C$3,$R703,4)*$H703)/10000)/100)-AB703</f>
        <v>-3.1787789464280625E-2</v>
      </c>
      <c r="AJ703" s="456"/>
      <c r="CC703" s="141">
        <f t="shared" si="857"/>
        <v>36923</v>
      </c>
      <c r="CD703" s="234">
        <f>_xll.xSPRDOPT((VLOOKUP(G701,NGPrices,2,FALSE)+HLOOKUP(D701,Prices,VLOOKUP(G701,move_down,2,FALSE),FALSE)),VLOOKUP(G701,NGPrices,2,FALSE),I701,VLOOKUP(G701,NGPREVPRICES,4,FALSE),HLOOKUP(D701,PREVVOLS,VLOOKUP(G701,MOVE_DOWN2,2,FALSE),FALSE),VLOOKUP(G701,NGPREVPRICES,3,FALSE),HLOOKUP(D701,Correllate,VLOOKUP(G701,CorMove,2,FALSE),FALSE),Q701-$CD$3,R701,$CD$5)*H701-CJ703</f>
        <v>0</v>
      </c>
      <c r="CE703" s="234">
        <f>_xll.xSPRDOPT((VLOOKUP(G701,NGPREVPRICES,2,FALSE)+HLOOKUP(D701,PREVCURVES,VLOOKUP(G701,MOVE_DOWN2,2,FALSE),FALSE)),VLOOKUP(G701,NGPREVPRICES,2,FALSE),CK703,VLOOKUP(G701,NGPrices,4,FALSE),HLOOKUP(D701,PREVVOLS,VLOOKUP(G701,MOVE_DOWN2,2,FALSE),FALSE),VLOOKUP(G701,NGPREVPRICES,3,FALSE),HLOOKUP(D701,Correllate,VLOOKUP(G701,CorMove,2,FALSE),FALSE),Q701-$CD$3,R701,$CJ$5)*H701-CJ703</f>
        <v>0</v>
      </c>
      <c r="CF703" s="10">
        <f t="shared" si="858"/>
        <v>34.691137798217824</v>
      </c>
      <c r="CG703" s="234">
        <f>_xll.xSPRDOPT((VLOOKUP(G701,NGPREVPRICES,2,FALSE)+HLOOKUP(D701,PREVCURVES,VLOOKUP(G701,MOVE_DOWN2,2,FALSE),FALSE)),VLOOKUP(G701,NGPREVPRICES,2,FALSE),CK703,VLOOKUP(G701,NGPREVPRICES,4,FALSE),HLOOKUP(D701,VOLS,VLOOKUP(G701,move_down,2,FALSE),FALSE),VLOOKUP(G701,NGPrices,3,FALSE),HLOOKUP(D701,Correllate,VLOOKUP(G701,CorMove,2,FALSE),FALSE),Q701-$CD$3,R701,$CJ$5)*H701-CJ703</f>
        <v>0</v>
      </c>
      <c r="CH703" s="234">
        <f>_xll.xSPRDOPT((VLOOKUP(G701,NGPREVPRICES,2,FALSE)+HLOOKUP(D701,PREVCURVES,VLOOKUP(G701,MOVE_DOWN2,2,FALSE),FALSE)),VLOOKUP(G701,NGPREVPRICES,2,FALSE),CK703,VLOOKUP(G701,NGPREVPRICES,4,FALSE),HLOOKUP(D701,PREVVOLS,VLOOKUP(G701,MOVE_DOWN2,2,FALSE),FALSE),VLOOKUP(G701,NGPREVPRICES,3,FALSE),HLOOKUP(D701,Correllate,VLOOKUP(G701,CorMove,2,FALSE),FALSE),Q701-$C$3,R701,$CJ$5)*H701-CJ703</f>
        <v>900.34276798946667</v>
      </c>
      <c r="CI703" s="234">
        <f t="shared" si="859"/>
        <v>935.03390578768449</v>
      </c>
      <c r="CJ703" s="234">
        <f>_xll.xSPRDOPT((VLOOKUP(G701,NGPREVPRICES,2,FALSE)+HLOOKUP(D701,PREVCURVES,VLOOKUP(G701,MOVE_DOWN2,2,FALSE),FALSE)),VLOOKUP(G701,NGPREVPRICES,2,FALSE),CK703,VLOOKUP(G701,NGPREVPRICES,4,FALSE),HLOOKUP(D701,PREVVOLS,VLOOKUP(G701,MOVE_DOWN2,2,FALSE),FALSE),VLOOKUP(G701,NGPREVPRICES,3,FALSE),HLOOKUP(D701,Correllate,VLOOKUP(G701,CorMove,2,FALSE),FALSE),Q701-$CD$3,R701,$CJ$5)*H701</f>
        <v>-182404.00451282813</v>
      </c>
      <c r="CK703" s="235">
        <f t="shared" si="860"/>
        <v>1.45</v>
      </c>
      <c r="CM703" t="str">
        <f t="shared" si="861"/>
        <v>36923Curve Shift/Gamma</v>
      </c>
      <c r="CN703" t="str">
        <f t="shared" si="838"/>
        <v>36923Rho</v>
      </c>
      <c r="CO703" t="str">
        <f t="shared" si="839"/>
        <v>36923Drift</v>
      </c>
      <c r="CP703" t="str">
        <f t="shared" si="840"/>
        <v>36923Vega</v>
      </c>
      <c r="CQ703" t="str">
        <f t="shared" si="841"/>
        <v>36923Theta</v>
      </c>
    </row>
    <row r="704" spans="1:95" x14ac:dyDescent="0.25">
      <c r="A704" s="140" t="s">
        <v>320</v>
      </c>
      <c r="B704" t="s">
        <v>250</v>
      </c>
      <c r="C704" t="s">
        <v>585</v>
      </c>
      <c r="D704" s="4" t="s">
        <v>7</v>
      </c>
      <c r="E704" t="s">
        <v>20</v>
      </c>
      <c r="F704" t="s">
        <v>1</v>
      </c>
      <c r="G704" s="5">
        <v>36861</v>
      </c>
      <c r="H704" s="130">
        <v>1000000</v>
      </c>
      <c r="I704" s="235">
        <v>0.95</v>
      </c>
      <c r="J704" s="53">
        <f t="shared" si="843"/>
        <v>4.8</v>
      </c>
      <c r="K704" s="7">
        <f t="shared" si="844"/>
        <v>1.645</v>
      </c>
      <c r="L704" s="53">
        <f t="shared" si="845"/>
        <v>6.4450000000000003</v>
      </c>
      <c r="M704" s="157">
        <f t="shared" si="846"/>
        <v>6.8314027999354002E-2</v>
      </c>
      <c r="N704" s="4">
        <f t="shared" si="847"/>
        <v>0.6</v>
      </c>
      <c r="O704" s="4">
        <f t="shared" si="848"/>
        <v>0.69</v>
      </c>
      <c r="P704" s="9">
        <f t="shared" si="849"/>
        <v>0.83</v>
      </c>
      <c r="Q704" s="5">
        <f t="shared" si="771"/>
        <v>36859</v>
      </c>
      <c r="R704" s="4">
        <f t="shared" si="850"/>
        <v>0</v>
      </c>
      <c r="S704" s="158">
        <f>_xll.xSPRDOPT($L704,$J704,$I704,$M704,$O704,$N704,$P704,$Q704-$C$3,$R704,0)</f>
        <v>0.20467101113385944</v>
      </c>
      <c r="T704" s="159">
        <f>_xll.xSPRDOPT($L704,$J704,$I704,$M704,$O704,$N704,$P704,$Q704-$C$3,$R704,1)*H704</f>
        <v>-244174.14482355749</v>
      </c>
      <c r="U704" s="160">
        <f t="shared" si="851"/>
        <v>204671.01113385943</v>
      </c>
      <c r="V704" s="159">
        <f>_xll.xSPRDOPT($L704,$J704,$I704,$M704,$O704,$N704,$P704,$Q704-$C$3,$R704,2)*H704</f>
        <v>305880.84589909494</v>
      </c>
      <c r="W704" s="159">
        <f t="shared" si="852"/>
        <v>61706.70107553745</v>
      </c>
      <c r="X704" s="51" t="str">
        <f t="shared" si="853"/>
        <v>36861IF-TRANSCO/Z6</v>
      </c>
      <c r="Y704" s="418">
        <f t="shared" si="854"/>
        <v>100</v>
      </c>
      <c r="Z704" s="456">
        <f t="shared" si="855"/>
        <v>-0.24417414482355748</v>
      </c>
      <c r="AA704" s="456">
        <f>_xll.xSPRDOPT($L704,$J704,$I704,$M704,$O704,$N704,$P704,$Q704-$C$3,$R704,3)</f>
        <v>0.24535174838685014</v>
      </c>
      <c r="AB704" s="456">
        <f>((_xll.xSPRDOPT($L704+AB$5,$J704,$I704,$M704,$O704,$N704,$P704,$Q704-$C$3,$R704,3)*$H704)/10000)/100</f>
        <v>0.24535174838685017</v>
      </c>
      <c r="AC704" s="456">
        <f>((_xll.xSPRDOPT($L704+$AB$5,$J704,$I704,$M704,$O704,$N704,$P704,$Q704-$C$3,$R704,7)*$H704)/100)</f>
        <v>-8837.3893361566315</v>
      </c>
      <c r="AD704" s="456">
        <f>(_xll.xSPRDOPT($L704+$AB$5,$J704,$I704,$M704,$O704,$N704,$P704,$Q704-$C$3,$R704,9)/365)*$H704</f>
        <v>-2114.3175487268968</v>
      </c>
      <c r="AE704">
        <f t="shared" si="842"/>
        <v>0</v>
      </c>
      <c r="AF704" s="456">
        <f t="shared" si="856"/>
        <v>6596.8622436018495</v>
      </c>
      <c r="AG704" s="456">
        <f>((_xll.xSPRDOPT($L704,$J704,$I704,$M704,$O704,$N704,$P704,$Q704-$C$3,$R704,6)*$H704)/100)</f>
        <v>-1547.605859195477</v>
      </c>
      <c r="AH704" s="456">
        <f>((_xll.xSPRDOPT($L704,$J704,$I704,$M704,$O704,$N704,$P704,$Q704-$C$3,$R704,5)*$H704)/100)</f>
        <v>7082.1461763455018</v>
      </c>
      <c r="AI704" s="456">
        <f>(((_xll.xSPRDOPT($L704,$J704,$I704,$M704,$O704,$N704,$P704,$Q704-$C$3,$R704,4)*$H704)/10000)/100)-AB704</f>
        <v>6.1289785757673437E-2</v>
      </c>
      <c r="AJ704" s="456"/>
      <c r="CC704" s="141">
        <f t="shared" si="857"/>
        <v>36951</v>
      </c>
      <c r="CD704" s="234">
        <f>_xll.xSPRDOPT((VLOOKUP(G702,NGPrices,2,FALSE)+HLOOKUP(D702,Prices,VLOOKUP(G702,move_down,2,FALSE),FALSE)),VLOOKUP(G702,NGPrices,2,FALSE),I702,VLOOKUP(G702,NGPREVPRICES,4,FALSE),HLOOKUP(D702,PREVVOLS,VLOOKUP(G702,MOVE_DOWN2,2,FALSE),FALSE),VLOOKUP(G702,NGPREVPRICES,3,FALSE),HLOOKUP(D702,Correllate,VLOOKUP(G702,CorMove,2,FALSE),FALSE),Q702-$CD$3,R702,$CD$5)*H702-CJ704</f>
        <v>0</v>
      </c>
      <c r="CE704" s="234">
        <f>_xll.xSPRDOPT((VLOOKUP(G702,NGPREVPRICES,2,FALSE)+HLOOKUP(D702,PREVCURVES,VLOOKUP(G702,MOVE_DOWN2,2,FALSE),FALSE)),VLOOKUP(G702,NGPREVPRICES,2,FALSE),CK704,VLOOKUP(G702,NGPrices,4,FALSE),HLOOKUP(D702,PREVVOLS,VLOOKUP(G702,MOVE_DOWN2,2,FALSE),FALSE),VLOOKUP(G702,NGPREVPRICES,3,FALSE),HLOOKUP(D702,Correllate,VLOOKUP(G702,CorMove,2,FALSE),FALSE),Q702-$CD$3,R702,$CJ$5)*H702-CJ704</f>
        <v>0</v>
      </c>
      <c r="CF704" s="10">
        <f t="shared" si="858"/>
        <v>70.528777838684618</v>
      </c>
      <c r="CG704" s="234">
        <f>_xll.xSPRDOPT((VLOOKUP(G702,NGPREVPRICES,2,FALSE)+HLOOKUP(D702,PREVCURVES,VLOOKUP(G702,MOVE_DOWN2,2,FALSE),FALSE)),VLOOKUP(G702,NGPREVPRICES,2,FALSE),CK704,VLOOKUP(G702,NGPREVPRICES,4,FALSE),HLOOKUP(D702,VOLS,VLOOKUP(G702,move_down,2,FALSE),FALSE),VLOOKUP(G702,NGPrices,3,FALSE),HLOOKUP(D702,Correllate,VLOOKUP(G702,CorMove,2,FALSE),FALSE),Q702-$CD$3,R702,$CJ$5)*H702-CJ704</f>
        <v>0</v>
      </c>
      <c r="CH704" s="234">
        <f>_xll.xSPRDOPT((VLOOKUP(G702,NGPREVPRICES,2,FALSE)+HLOOKUP(D702,PREVCURVES,VLOOKUP(G702,MOVE_DOWN2,2,FALSE),FALSE)),VLOOKUP(G702,NGPREVPRICES,2,FALSE),CK704,VLOOKUP(G702,NGPREVPRICES,4,FALSE),HLOOKUP(D702,PREVVOLS,VLOOKUP(G702,MOVE_DOWN2,2,FALSE),FALSE),VLOOKUP(G702,NGPREVPRICES,3,FALSE),HLOOKUP(D702,Correllate,VLOOKUP(G702,CorMove,2,FALSE),FALSE),Q702-$C$3,R702,$CJ$5)*H702-CJ704</f>
        <v>634.44148377963575</v>
      </c>
      <c r="CI704" s="234">
        <f t="shared" si="859"/>
        <v>704.97026161832036</v>
      </c>
      <c r="CJ704" s="234">
        <f>_xll.xSPRDOPT((VLOOKUP(G702,NGPREVPRICES,2,FALSE)+HLOOKUP(D702,PREVCURVES,VLOOKUP(G702,MOVE_DOWN2,2,FALSE),FALSE)),VLOOKUP(G702,NGPREVPRICES,2,FALSE),CK704,VLOOKUP(G702,NGPREVPRICES,4,FALSE),HLOOKUP(D702,PREVVOLS,VLOOKUP(G702,MOVE_DOWN2,2,FALSE),FALSE),VLOOKUP(G702,NGPREVPRICES,3,FALSE),HLOOKUP(D702,Correllate,VLOOKUP(G702,CorMove,2,FALSE),FALSE),Q702-$CD$3,R702,$CJ$5)*H702</f>
        <v>-367749.07992925763</v>
      </c>
      <c r="CK704" s="235">
        <f t="shared" si="860"/>
        <v>1.45</v>
      </c>
      <c r="CM704" t="str">
        <f t="shared" si="861"/>
        <v>36951Curve Shift/Gamma</v>
      </c>
      <c r="CN704" t="str">
        <f t="shared" si="838"/>
        <v>36951Rho</v>
      </c>
      <c r="CO704" t="str">
        <f t="shared" si="839"/>
        <v>36951Drift</v>
      </c>
      <c r="CP704" t="str">
        <f t="shared" si="840"/>
        <v>36951Vega</v>
      </c>
      <c r="CQ704" t="str">
        <f t="shared" si="841"/>
        <v>36951Theta</v>
      </c>
    </row>
    <row r="705" spans="1:95" x14ac:dyDescent="0.25">
      <c r="A705" s="140" t="s">
        <v>320</v>
      </c>
      <c r="B705" t="s">
        <v>250</v>
      </c>
      <c r="C705" t="s">
        <v>585</v>
      </c>
      <c r="D705" s="4" t="s">
        <v>7</v>
      </c>
      <c r="E705" t="s">
        <v>20</v>
      </c>
      <c r="F705" t="s">
        <v>1</v>
      </c>
      <c r="G705" s="5">
        <v>36892</v>
      </c>
      <c r="H705" s="130">
        <v>1000000</v>
      </c>
      <c r="I705" s="235">
        <v>0.95</v>
      </c>
      <c r="J705" s="53">
        <f t="shared" si="843"/>
        <v>4.7439999999999998</v>
      </c>
      <c r="K705" s="7">
        <f t="shared" si="844"/>
        <v>2.17</v>
      </c>
      <c r="L705" s="53">
        <f t="shared" si="845"/>
        <v>6.9139999999999997</v>
      </c>
      <c r="M705" s="157">
        <f t="shared" si="846"/>
        <v>6.8374831148490994E-2</v>
      </c>
      <c r="N705" s="4">
        <f t="shared" si="847"/>
        <v>0.60499999999999998</v>
      </c>
      <c r="O705" s="4">
        <f t="shared" si="848"/>
        <v>0.69599999999999995</v>
      </c>
      <c r="P705" s="9">
        <f t="shared" si="849"/>
        <v>0.83</v>
      </c>
      <c r="Q705" s="5">
        <f t="shared" si="771"/>
        <v>36888</v>
      </c>
      <c r="R705" s="4">
        <f t="shared" si="850"/>
        <v>0</v>
      </c>
      <c r="S705" s="158">
        <f>_xll.xSPRDOPT($L705,$J705,$I705,$M705,$O705,$N705,$P705,$Q705-$C$3,$R705,0)</f>
        <v>0.15272864479355774</v>
      </c>
      <c r="T705" s="159">
        <f>_xll.xSPRDOPT($L705,$J705,$I705,$M705,$O705,$N705,$P705,$Q705-$C$3,$R705,1)*H705</f>
        <v>-162980.11069688477</v>
      </c>
      <c r="U705" s="160">
        <f t="shared" si="851"/>
        <v>152728.64479355773</v>
      </c>
      <c r="V705" s="159">
        <f>_xll.xSPRDOPT($L705,$J705,$I705,$M705,$O705,$N705,$P705,$Q705-$C$3,$R705,2)*H705</f>
        <v>221152.03223556979</v>
      </c>
      <c r="W705" s="159">
        <f t="shared" si="852"/>
        <v>58171.921538685012</v>
      </c>
      <c r="X705" s="51" t="str">
        <f t="shared" si="853"/>
        <v>36892IF-TRANSCO/Z6</v>
      </c>
      <c r="Y705" s="418">
        <f t="shared" si="854"/>
        <v>100</v>
      </c>
      <c r="Z705" s="456">
        <f t="shared" si="855"/>
        <v>-0.16298011069688478</v>
      </c>
      <c r="AA705" s="456">
        <f>_xll.xSPRDOPT($L705,$J705,$I705,$M705,$O705,$N705,$P705,$Q705-$C$3,$R705,3)</f>
        <v>0.15486108343643903</v>
      </c>
      <c r="AB705" s="456">
        <f>((_xll.xSPRDOPT($L705+AB$5,$J705,$I705,$M705,$O705,$N705,$P705,$Q705-$C$3,$R705,3)*$H705)/10000)/100</f>
        <v>0.15486108343643903</v>
      </c>
      <c r="AC705" s="456">
        <f>((_xll.xSPRDOPT($L705+$AB$5,$J705,$I705,$M705,$O705,$N705,$P705,$Q705-$C$3,$R705,7)*$H705)/100)</f>
        <v>-8537.9300555608988</v>
      </c>
      <c r="AD705" s="456">
        <f>(_xll.xSPRDOPT($L705+$AB$5,$J705,$I705,$M705,$O705,$N705,$P705,$Q705-$C$3,$R705,9)/365)*$H705</f>
        <v>-1569.8048540583495</v>
      </c>
      <c r="AE705">
        <f t="shared" si="842"/>
        <v>0</v>
      </c>
      <c r="AF705" s="456">
        <f t="shared" si="856"/>
        <v>6389.2847796330943</v>
      </c>
      <c r="AG705" s="456">
        <f>((_xll.xSPRDOPT($L705,$J705,$I705,$M705,$O705,$N705,$P705,$Q705-$C$3,$R705,6)*$H705)/100)</f>
        <v>-1533.8311920810049</v>
      </c>
      <c r="AH705" s="456">
        <f>((_xll.xSPRDOPT($L705,$J705,$I705,$M705,$O705,$N705,$P705,$Q705-$C$3,$R705,5)*$H705)/100)</f>
        <v>6887.1913259871126</v>
      </c>
      <c r="AI705" s="456">
        <f>(((_xll.xSPRDOPT($L705,$J705,$I705,$M705,$O705,$N705,$P705,$Q705-$C$3,$R705,4)*$H705)/10000)/100)-AB705</f>
        <v>7.0813128689725863E-2</v>
      </c>
      <c r="AJ705" s="456"/>
      <c r="CC705" s="141">
        <f t="shared" si="857"/>
        <v>36831</v>
      </c>
      <c r="CD705" s="234">
        <f>_xll.xSPRDOPT((VLOOKUP(G703,NGPrices,2,FALSE)+HLOOKUP(D703,Prices,VLOOKUP(G703,move_down,2,FALSE),FALSE)),VLOOKUP(G703,NGPrices,2,FALSE),I703,VLOOKUP(G703,NGPREVPRICES,4,FALSE),HLOOKUP(D703,PREVVOLS,VLOOKUP(G703,MOVE_DOWN2,2,FALSE),FALSE),VLOOKUP(G703,NGPREVPRICES,3,FALSE),HLOOKUP(D703,Correllate,VLOOKUP(G703,CorMove,2,FALSE),FALSE),Q703-$CD$3,R703,$CD$5)*H703-CJ705</f>
        <v>0</v>
      </c>
      <c r="CE705" s="234">
        <f>_xll.xSPRDOPT((VLOOKUP(G703,NGPREVPRICES,2,FALSE)+HLOOKUP(D703,PREVCURVES,VLOOKUP(G703,MOVE_DOWN2,2,FALSE),FALSE)),VLOOKUP(G703,NGPREVPRICES,2,FALSE),CK705,VLOOKUP(G703,NGPrices,4,FALSE),HLOOKUP(D703,PREVVOLS,VLOOKUP(G703,MOVE_DOWN2,2,FALSE),FALSE),VLOOKUP(G703,NGPREVPRICES,3,FALSE),HLOOKUP(D703,Correllate,VLOOKUP(G703,CorMove,2,FALSE),FALSE),Q703-$CD$3,R703,$CJ$5)*H703-CJ705</f>
        <v>0</v>
      </c>
      <c r="CF705" s="10">
        <f t="shared" si="858"/>
        <v>-67.837383352103643</v>
      </c>
      <c r="CG705" s="234">
        <f>_xll.xSPRDOPT((VLOOKUP(G703,NGPREVPRICES,2,FALSE)+HLOOKUP(D703,PREVCURVES,VLOOKUP(G703,MOVE_DOWN2,2,FALSE),FALSE)),VLOOKUP(G703,NGPREVPRICES,2,FALSE),CK705,VLOOKUP(G703,NGPREVPRICES,4,FALSE),HLOOKUP(D703,VOLS,VLOOKUP(G703,move_down,2,FALSE),FALSE),VLOOKUP(G703,NGPrices,3,FALSE),HLOOKUP(D703,Correllate,VLOOKUP(G703,CorMove,2,FALSE),FALSE),Q703-$CD$3,R703,$CJ$5)*H703-CJ705</f>
        <v>0</v>
      </c>
      <c r="CH705" s="234">
        <f>_xll.xSPRDOPT((VLOOKUP(G703,NGPREVPRICES,2,FALSE)+HLOOKUP(D703,PREVCURVES,VLOOKUP(G703,MOVE_DOWN2,2,FALSE),FALSE)),VLOOKUP(G703,NGPREVPRICES,2,FALSE),CK705,VLOOKUP(G703,NGPREVPRICES,4,FALSE),HLOOKUP(D703,PREVVOLS,VLOOKUP(G703,MOVE_DOWN2,2,FALSE),FALSE),VLOOKUP(G703,NGPREVPRICES,3,FALSE),HLOOKUP(D703,Correllate,VLOOKUP(G703,CorMove,2,FALSE),FALSE),Q703-$C$3,R703,$CJ$5)*H703-CJ705</f>
        <v>-1986.4510666116839</v>
      </c>
      <c r="CI705" s="234">
        <f t="shared" si="859"/>
        <v>-2054.2884499637876</v>
      </c>
      <c r="CJ705" s="234">
        <f>_xll.xSPRDOPT((VLOOKUP(G703,NGPREVPRICES,2,FALSE)+HLOOKUP(D703,PREVCURVES,VLOOKUP(G703,MOVE_DOWN2,2,FALSE),FALSE)),VLOOKUP(G703,NGPREVPRICES,2,FALSE),CK705,VLOOKUP(G703,NGPREVPRICES,4,FALSE),HLOOKUP(D703,PREVVOLS,VLOOKUP(G703,MOVE_DOWN2,2,FALSE),FALSE),VLOOKUP(G703,NGPREVPRICES,3,FALSE),HLOOKUP(D703,Correllate,VLOOKUP(G703,CorMove,2,FALSE),FALSE),Q703-$CD$3,R703,$CJ$5)*H703</f>
        <v>365285.37794140994</v>
      </c>
      <c r="CK705" s="235">
        <f t="shared" si="860"/>
        <v>0.95</v>
      </c>
      <c r="CM705" t="str">
        <f t="shared" si="861"/>
        <v>36831Curve Shift/Gamma</v>
      </c>
      <c r="CN705" t="str">
        <f t="shared" si="838"/>
        <v>36831Rho</v>
      </c>
      <c r="CO705" t="str">
        <f t="shared" si="839"/>
        <v>36831Drift</v>
      </c>
      <c r="CP705" t="str">
        <f t="shared" si="840"/>
        <v>36831Vega</v>
      </c>
      <c r="CQ705" t="str">
        <f t="shared" si="841"/>
        <v>36831Theta</v>
      </c>
    </row>
    <row r="706" spans="1:95" x14ac:dyDescent="0.25">
      <c r="A706" s="140" t="s">
        <v>320</v>
      </c>
      <c r="B706" t="s">
        <v>250</v>
      </c>
      <c r="C706" t="s">
        <v>585</v>
      </c>
      <c r="D706" s="4" t="s">
        <v>7</v>
      </c>
      <c r="E706" t="s">
        <v>20</v>
      </c>
      <c r="F706" t="s">
        <v>1</v>
      </c>
      <c r="G706" s="5">
        <v>36923</v>
      </c>
      <c r="H706" s="130">
        <v>1000000</v>
      </c>
      <c r="I706" s="235">
        <v>0.95</v>
      </c>
      <c r="J706" s="53">
        <f t="shared" si="843"/>
        <v>4.4800000000000004</v>
      </c>
      <c r="K706" s="7">
        <f t="shared" si="844"/>
        <v>2.09</v>
      </c>
      <c r="L706" s="53">
        <f t="shared" si="845"/>
        <v>6.57</v>
      </c>
      <c r="M706" s="157">
        <f t="shared" si="846"/>
        <v>6.8640161611372E-2</v>
      </c>
      <c r="N706" s="4">
        <f t="shared" si="847"/>
        <v>0.59250000000000003</v>
      </c>
      <c r="O706" s="4">
        <f t="shared" si="848"/>
        <v>0.68100000000000005</v>
      </c>
      <c r="P706" s="9">
        <f t="shared" si="849"/>
        <v>0.83</v>
      </c>
      <c r="Q706" s="5">
        <f t="shared" si="771"/>
        <v>36921</v>
      </c>
      <c r="R706" s="4">
        <f t="shared" si="850"/>
        <v>0</v>
      </c>
      <c r="S706" s="158">
        <f>_xll.xSPRDOPT($L706,$J706,$I706,$M706,$O706,$N706,$P706,$Q706-$C$3,$R706,0)</f>
        <v>0.1893795248282355</v>
      </c>
      <c r="T706" s="159">
        <f>_xll.xSPRDOPT($L706,$J706,$I706,$M706,$O706,$N706,$P706,$Q706-$C$3,$R706,1)*H706</f>
        <v>-183075.1487073593</v>
      </c>
      <c r="U706" s="160">
        <f t="shared" si="851"/>
        <v>189379.5248282355</v>
      </c>
      <c r="V706" s="159">
        <f>_xll.xSPRDOPT($L706,$J706,$I706,$M706,$O706,$N706,$P706,$Q706-$C$3,$R706,2)*H706</f>
        <v>251697.26816811011</v>
      </c>
      <c r="W706" s="159">
        <f t="shared" si="852"/>
        <v>68622.119460750808</v>
      </c>
      <c r="X706" s="51" t="str">
        <f t="shared" si="853"/>
        <v>36923IF-TRANSCO/Z6</v>
      </c>
      <c r="Y706" s="418">
        <f t="shared" si="854"/>
        <v>100</v>
      </c>
      <c r="Z706" s="456">
        <f t="shared" si="855"/>
        <v>-0.1830751487073593</v>
      </c>
      <c r="AA706" s="456">
        <f>_xll.xSPRDOPT($L706,$J706,$I706,$M706,$O706,$N706,$P706,$Q706-$C$3,$R706,3)</f>
        <v>0.15810070426631745</v>
      </c>
      <c r="AB706" s="456">
        <f>((_xll.xSPRDOPT($L706+AB$5,$J706,$I706,$M706,$O706,$N706,$P706,$Q706-$C$3,$R706,3)*$H706)/10000)/100</f>
        <v>0.15810070426631745</v>
      </c>
      <c r="AC706" s="456">
        <f>((_xll.xSPRDOPT($L706+$AB$5,$J706,$I706,$M706,$O706,$N706,$P706,$Q706-$C$3,$R706,7)*$H706)/100)</f>
        <v>-9506.043306596097</v>
      </c>
      <c r="AD706" s="456">
        <f>(_xll.xSPRDOPT($L706+$AB$5,$J706,$I706,$M706,$O706,$N706,$P706,$Q706-$C$3,$R706,9)/365)*$H706</f>
        <v>-1383.7622127881953</v>
      </c>
      <c r="AE706">
        <f t="shared" si="842"/>
        <v>0</v>
      </c>
      <c r="AF706" s="456">
        <f t="shared" si="856"/>
        <v>7373.3095318931837</v>
      </c>
      <c r="AG706" s="456">
        <f>((_xll.xSPRDOPT($L706,$J706,$I706,$M706,$O706,$N706,$P706,$Q706-$C$3,$R706,6)*$H706)/100)</f>
        <v>-1831.9551317366468</v>
      </c>
      <c r="AH706" s="456">
        <f>((_xll.xSPRDOPT($L706,$J706,$I706,$M706,$O706,$N706,$P706,$Q706-$C$3,$R706,5)*$H706)/100)</f>
        <v>8008.9857756250713</v>
      </c>
      <c r="AI706" s="456">
        <f>(((_xll.xSPRDOPT($L706,$J706,$I706,$M706,$O706,$N706,$P706,$Q706-$C$3,$R706,4)*$H706)/10000)/100)-AB706</f>
        <v>7.095278330618901E-2</v>
      </c>
      <c r="AJ706" s="456"/>
      <c r="CC706" s="141">
        <f t="shared" si="857"/>
        <v>36861</v>
      </c>
      <c r="CD706" s="234">
        <f>_xll.xSPRDOPT((VLOOKUP(G704,NGPrices,2,FALSE)+HLOOKUP(D704,Prices,VLOOKUP(G704,move_down,2,FALSE),FALSE)),VLOOKUP(G704,NGPrices,2,FALSE),I704,VLOOKUP(G704,NGPREVPRICES,4,FALSE),HLOOKUP(D704,PREVVOLS,VLOOKUP(G704,MOVE_DOWN2,2,FALSE),FALSE),VLOOKUP(G704,NGPREVPRICES,3,FALSE),HLOOKUP(D704,Correllate,VLOOKUP(G704,CorMove,2,FALSE),FALSE),Q704-$CD$3,R704,$CD$5)*H704-CJ706</f>
        <v>0</v>
      </c>
      <c r="CE706" s="234">
        <f>_xll.xSPRDOPT((VLOOKUP(G704,NGPREVPRICES,2,FALSE)+HLOOKUP(D704,PREVCURVES,VLOOKUP(G704,MOVE_DOWN2,2,FALSE),FALSE)),VLOOKUP(G704,NGPREVPRICES,2,FALSE),CK706,VLOOKUP(G704,NGPrices,4,FALSE),HLOOKUP(D704,PREVVOLS,VLOOKUP(G704,MOVE_DOWN2,2,FALSE),FALSE),VLOOKUP(G704,NGPREVPRICES,3,FALSE),HLOOKUP(D704,Correllate,VLOOKUP(G704,CorMove,2,FALSE),FALSE),Q704-$CD$3,R704,$CJ$5)*H704-CJ706</f>
        <v>0</v>
      </c>
      <c r="CF706" s="10">
        <f t="shared" si="858"/>
        <v>-38.737661466759164</v>
      </c>
      <c r="CG706" s="234">
        <f>_xll.xSPRDOPT((VLOOKUP(G704,NGPREVPRICES,2,FALSE)+HLOOKUP(D704,PREVCURVES,VLOOKUP(G704,MOVE_DOWN2,2,FALSE),FALSE)),VLOOKUP(G704,NGPREVPRICES,2,FALSE),CK706,VLOOKUP(G704,NGPREVPRICES,4,FALSE),HLOOKUP(D704,VOLS,VLOOKUP(G704,move_down,2,FALSE),FALSE),VLOOKUP(G704,NGPrices,3,FALSE),HLOOKUP(D704,Correllate,VLOOKUP(G704,CorMove,2,FALSE),FALSE),Q704-$CD$3,R704,$CJ$5)*H704-CJ706</f>
        <v>0</v>
      </c>
      <c r="CH706" s="234">
        <f>_xll.xSPRDOPT((VLOOKUP(G704,NGPREVPRICES,2,FALSE)+HLOOKUP(D704,PREVCURVES,VLOOKUP(G704,MOVE_DOWN2,2,FALSE),FALSE)),VLOOKUP(G704,NGPREVPRICES,2,FALSE),CK706,VLOOKUP(G704,NGPREVPRICES,4,FALSE),HLOOKUP(D704,PREVVOLS,VLOOKUP(G704,MOVE_DOWN2,2,FALSE),FALSE),VLOOKUP(G704,NGPREVPRICES,3,FALSE),HLOOKUP(D704,Correllate,VLOOKUP(G704,CorMove,2,FALSE),FALSE),Q704-$C$3,R704,$CJ$5)*H704-CJ706</f>
        <v>-2108.5790997942386</v>
      </c>
      <c r="CI706" s="234">
        <f t="shared" si="859"/>
        <v>-2147.3167612609977</v>
      </c>
      <c r="CJ706" s="234">
        <f>_xll.xSPRDOPT((VLOOKUP(G704,NGPREVPRICES,2,FALSE)+HLOOKUP(D704,PREVCURVES,VLOOKUP(G704,MOVE_DOWN2,2,FALSE),FALSE)),VLOOKUP(G704,NGPREVPRICES,2,FALSE),CK706,VLOOKUP(G704,NGPREVPRICES,4,FALSE),HLOOKUP(D704,PREVVOLS,VLOOKUP(G704,MOVE_DOWN2,2,FALSE),FALSE),VLOOKUP(G704,NGPREVPRICES,3,FALSE),HLOOKUP(D704,Correllate,VLOOKUP(G704,CorMove,2,FALSE),FALSE),Q704-$CD$3,R704,$CJ$5)*H704</f>
        <v>206779.59023365367</v>
      </c>
      <c r="CK706" s="235">
        <f t="shared" si="860"/>
        <v>0.95</v>
      </c>
      <c r="CM706" t="str">
        <f t="shared" si="861"/>
        <v>36861Curve Shift/Gamma</v>
      </c>
      <c r="CN706" t="str">
        <f t="shared" si="838"/>
        <v>36861Rho</v>
      </c>
      <c r="CO706" t="str">
        <f t="shared" si="839"/>
        <v>36861Drift</v>
      </c>
      <c r="CP706" t="str">
        <f t="shared" si="840"/>
        <v>36861Vega</v>
      </c>
      <c r="CQ706" t="str">
        <f t="shared" si="841"/>
        <v>36861Theta</v>
      </c>
    </row>
    <row r="707" spans="1:95" x14ac:dyDescent="0.25">
      <c r="A707" s="140" t="s">
        <v>320</v>
      </c>
      <c r="B707" t="s">
        <v>250</v>
      </c>
      <c r="C707" t="s">
        <v>585</v>
      </c>
      <c r="D707" s="4" t="s">
        <v>7</v>
      </c>
      <c r="E707" t="s">
        <v>20</v>
      </c>
      <c r="F707" t="s">
        <v>1</v>
      </c>
      <c r="G707" s="5">
        <v>36951</v>
      </c>
      <c r="H707" s="130">
        <v>1000000</v>
      </c>
      <c r="I707" s="235">
        <v>0.95</v>
      </c>
      <c r="J707" s="53">
        <f t="shared" si="843"/>
        <v>4.2130000000000001</v>
      </c>
      <c r="K707" s="7">
        <f t="shared" si="844"/>
        <v>1.075</v>
      </c>
      <c r="L707" s="53">
        <f t="shared" si="845"/>
        <v>5.2880000000000003</v>
      </c>
      <c r="M707" s="157">
        <f t="shared" si="846"/>
        <v>6.8879814952706994E-2</v>
      </c>
      <c r="N707" s="4">
        <f t="shared" si="847"/>
        <v>0.53249999999999997</v>
      </c>
      <c r="O707" s="4">
        <f t="shared" si="848"/>
        <v>0.61199999999999999</v>
      </c>
      <c r="P707" s="9">
        <f t="shared" si="849"/>
        <v>0.83</v>
      </c>
      <c r="Q707" s="5">
        <f t="shared" si="771"/>
        <v>36949</v>
      </c>
      <c r="R707" s="4">
        <f t="shared" si="850"/>
        <v>0</v>
      </c>
      <c r="S707" s="158">
        <f>_xll.xSPRDOPT($L707,$J707,$I707,$M707,$O707,$N707,$P707,$Q707-$C$3,$R707,0)</f>
        <v>0.43792535757140783</v>
      </c>
      <c r="T707" s="159">
        <f>_xll.xSPRDOPT($L707,$J707,$I707,$M707,$O707,$N707,$P707,$Q707-$C$3,$R707,1)*H707</f>
        <v>-398086.13151725434</v>
      </c>
      <c r="U707" s="160">
        <f t="shared" si="851"/>
        <v>437925.3575714078</v>
      </c>
      <c r="V707" s="159">
        <f>_xll.xSPRDOPT($L707,$J707,$I707,$M707,$O707,$N707,$P707,$Q707-$C$3,$R707,2)*H707</f>
        <v>486777.55562516704</v>
      </c>
      <c r="W707" s="159">
        <f t="shared" si="852"/>
        <v>88691.424107912695</v>
      </c>
      <c r="X707" s="51" t="str">
        <f t="shared" si="853"/>
        <v>36951IF-TRANSCO/Z6</v>
      </c>
      <c r="Y707" s="418">
        <f t="shared" si="854"/>
        <v>100</v>
      </c>
      <c r="Z707" s="456">
        <f t="shared" si="855"/>
        <v>-0.39808613151725436</v>
      </c>
      <c r="AA707" s="456">
        <f>_xll.xSPRDOPT($L707,$J707,$I707,$M707,$O707,$N707,$P707,$Q707-$C$3,$R707,3)</f>
        <v>0.28821738225150678</v>
      </c>
      <c r="AB707" s="456">
        <f>((_xll.xSPRDOPT($L707+AB$5,$J707,$I707,$M707,$O707,$N707,$P707,$Q707-$C$3,$R707,3)*$H707)/10000)/100</f>
        <v>0.28821738225150678</v>
      </c>
      <c r="AC707" s="456">
        <f>((_xll.xSPRDOPT($L707+$AB$5,$J707,$I707,$M707,$O707,$N707,$P707,$Q707-$C$3,$R707,7)*$H707)/100)</f>
        <v>-10700.47043658742</v>
      </c>
      <c r="AD707" s="456">
        <f>(_xll.xSPRDOPT($L707+$AB$5,$J707,$I707,$M707,$O707,$N707,$P707,$Q707-$C$3,$R707,9)/365)*$H707</f>
        <v>-1271.1844275440958</v>
      </c>
      <c r="AE707">
        <f t="shared" si="842"/>
        <v>0</v>
      </c>
      <c r="AF707" s="456">
        <f t="shared" si="856"/>
        <v>9247.9888870459254</v>
      </c>
      <c r="AG707" s="456">
        <f>((_xll.xSPRDOPT($L707,$J707,$I707,$M707,$O707,$N707,$P707,$Q707-$C$3,$R707,6)*$H707)/100)</f>
        <v>-2320.0072113708557</v>
      </c>
      <c r="AH707" s="456">
        <f>((_xll.xSPRDOPT($L707,$J707,$I707,$M707,$O707,$N707,$P707,$Q707-$C$3,$R707,5)*$H707)/100)</f>
        <v>10065.29072288715</v>
      </c>
      <c r="AI707" s="456">
        <f>(((_xll.xSPRDOPT($L707,$J707,$I707,$M707,$O707,$N707,$P707,$Q707-$C$3,$R707,4)*$H707)/10000)/100)-AB707</f>
        <v>1.6665762201773682E-2</v>
      </c>
      <c r="AJ707" s="456"/>
      <c r="CC707" s="141">
        <f t="shared" si="857"/>
        <v>36892</v>
      </c>
      <c r="CD707" s="234">
        <f>_xll.xSPRDOPT((VLOOKUP(G705,NGPrices,2,FALSE)+HLOOKUP(D705,Prices,VLOOKUP(G705,move_down,2,FALSE),FALSE)),VLOOKUP(G705,NGPrices,2,FALSE),I705,VLOOKUP(G705,NGPREVPRICES,4,FALSE),HLOOKUP(D705,PREVVOLS,VLOOKUP(G705,MOVE_DOWN2,2,FALSE),FALSE),VLOOKUP(G705,NGPREVPRICES,3,FALSE),HLOOKUP(D705,Correllate,VLOOKUP(G705,CorMove,2,FALSE),FALSE),Q705-$CD$3,R705,$CD$5)*H705-CJ707</f>
        <v>0</v>
      </c>
      <c r="CE707" s="234">
        <f>_xll.xSPRDOPT((VLOOKUP(G705,NGPREVPRICES,2,FALSE)+HLOOKUP(D705,PREVCURVES,VLOOKUP(G705,MOVE_DOWN2,2,FALSE),FALSE)),VLOOKUP(G705,NGPREVPRICES,2,FALSE),CK707,VLOOKUP(G705,NGPrices,4,FALSE),HLOOKUP(D705,PREVVOLS,VLOOKUP(G705,MOVE_DOWN2,2,FALSE),FALSE),VLOOKUP(G705,NGPREVPRICES,3,FALSE),HLOOKUP(D705,Correllate,VLOOKUP(G705,CorMove,2,FALSE),FALSE),Q705-$CD$3,R705,$CJ$5)*H705-CJ707</f>
        <v>0</v>
      </c>
      <c r="CF707" s="10">
        <f t="shared" si="858"/>
        <v>-29.075746721558971</v>
      </c>
      <c r="CG707" s="234">
        <f>_xll.xSPRDOPT((VLOOKUP(G705,NGPREVPRICES,2,FALSE)+HLOOKUP(D705,PREVCURVES,VLOOKUP(G705,MOVE_DOWN2,2,FALSE),FALSE)),VLOOKUP(G705,NGPREVPRICES,2,FALSE),CK707,VLOOKUP(G705,NGPREVPRICES,4,FALSE),HLOOKUP(D705,VOLS,VLOOKUP(G705,move_down,2,FALSE),FALSE),VLOOKUP(G705,NGPrices,3,FALSE),HLOOKUP(D705,Correllate,VLOOKUP(G705,CorMove,2,FALSE),FALSE),Q705-$CD$3,R705,$CJ$5)*H705-CJ707</f>
        <v>0</v>
      </c>
      <c r="CH707" s="234">
        <f>_xll.xSPRDOPT((VLOOKUP(G705,NGPREVPRICES,2,FALSE)+HLOOKUP(D705,PREVCURVES,VLOOKUP(G705,MOVE_DOWN2,2,FALSE),FALSE)),VLOOKUP(G705,NGPREVPRICES,2,FALSE),CK707,VLOOKUP(G705,NGPREVPRICES,4,FALSE),HLOOKUP(D705,PREVVOLS,VLOOKUP(G705,MOVE_DOWN2,2,FALSE),FALSE),VLOOKUP(G705,NGPREVPRICES,3,FALSE),HLOOKUP(D705,Correllate,VLOOKUP(G705,CorMove,2,FALSE),FALSE),Q705-$C$3,R705,$CJ$5)*H705-CJ707</f>
        <v>-1567.5083273733035</v>
      </c>
      <c r="CI707" s="234">
        <f t="shared" si="859"/>
        <v>-1596.5840740948624</v>
      </c>
      <c r="CJ707" s="234">
        <f>_xll.xSPRDOPT((VLOOKUP(G705,NGPREVPRICES,2,FALSE)+HLOOKUP(D705,PREVCURVES,VLOOKUP(G705,MOVE_DOWN2,2,FALSE),FALSE)),VLOOKUP(G705,NGPREVPRICES,2,FALSE),CK707,VLOOKUP(G705,NGPREVPRICES,4,FALSE),HLOOKUP(D705,PREVVOLS,VLOOKUP(G705,MOVE_DOWN2,2,FALSE),FALSE),VLOOKUP(G705,NGPREVPRICES,3,FALSE),HLOOKUP(D705,Correllate,VLOOKUP(G705,CorMove,2,FALSE),FALSE),Q705-$CD$3,R705,$CJ$5)*H705</f>
        <v>154296.15312093103</v>
      </c>
      <c r="CK707" s="235">
        <f t="shared" si="860"/>
        <v>0.95</v>
      </c>
      <c r="CM707" t="str">
        <f t="shared" si="861"/>
        <v>36892Curve Shift/Gamma</v>
      </c>
      <c r="CN707" t="str">
        <f t="shared" si="838"/>
        <v>36892Rho</v>
      </c>
      <c r="CO707" t="str">
        <f t="shared" si="839"/>
        <v>36892Drift</v>
      </c>
      <c r="CP707" t="str">
        <f t="shared" si="840"/>
        <v>36892Vega</v>
      </c>
      <c r="CQ707" t="str">
        <f t="shared" si="841"/>
        <v>36892Theta</v>
      </c>
    </row>
    <row r="708" spans="1:95" x14ac:dyDescent="0.25">
      <c r="A708" s="140" t="s">
        <v>279</v>
      </c>
      <c r="B708" t="s">
        <v>250</v>
      </c>
      <c r="C708" t="s">
        <v>586</v>
      </c>
      <c r="D708" s="4" t="s">
        <v>9</v>
      </c>
      <c r="E708" t="s">
        <v>20</v>
      </c>
      <c r="F708" t="s">
        <v>1</v>
      </c>
      <c r="G708" s="5">
        <v>36800</v>
      </c>
      <c r="H708" s="130">
        <v>2000000</v>
      </c>
      <c r="I708" s="235">
        <v>-0.65</v>
      </c>
      <c r="J708" s="53">
        <f>VLOOKUP(G708,NGPrices,2,FALSE)</f>
        <v>4.6920000000000002</v>
      </c>
      <c r="K708" s="7">
        <f>HLOOKUP(D708,Prices,VLOOKUP(G708,move_down,2,FALSE),FALSE)+VLOOKUP(G708,CHANGE,HLOOKUP(D708,CHANGE,2,FALSE),FALSE)</f>
        <v>-0.80500000000000005</v>
      </c>
      <c r="L708" s="53">
        <f>K708+J708</f>
        <v>3.887</v>
      </c>
      <c r="M708" s="157">
        <f>VLOOKUP(G708,NGPrices,4,FALSE)</f>
        <v>6.8050789414654006E-2</v>
      </c>
      <c r="N708" s="4">
        <f>VLOOKUP(G708,NGPrices,3,FALSE)</f>
        <v>0.57499999999999996</v>
      </c>
      <c r="O708" s="4">
        <f>HLOOKUP(D708,VOLS,VLOOKUP(G708,move_down,2,FALSE),FALSE)</f>
        <v>0.55200000000000005</v>
      </c>
      <c r="P708" s="9">
        <f>HLOOKUP(D708,Correllate,VLOOKUP(G708,CorMove,2,FALSE),FALSE)</f>
        <v>0.84</v>
      </c>
      <c r="Q708" s="5">
        <f t="shared" si="771"/>
        <v>36797</v>
      </c>
      <c r="R708" s="4">
        <f>IF(F708="P",0,1)</f>
        <v>0</v>
      </c>
      <c r="S708" s="158">
        <f>_xll.xSPRDOPT($L708,$J708,$I708,$M708,$O708,$N708,$P708,$Q708-$C$3,$R708,0)</f>
        <v>0.25223034092363822</v>
      </c>
      <c r="T708" s="159">
        <f>_xll.xSPRDOPT($L708,$J708,$I708,$M708,$O708,$N708,$P708,$Q708-$C$3,$R708,1)*H708</f>
        <v>-1252683.2652090359</v>
      </c>
      <c r="U708" s="160">
        <f>S708*H708</f>
        <v>504460.68184727646</v>
      </c>
      <c r="V708" s="159">
        <f>_xll.xSPRDOPT($L708,$J708,$I708,$M708,$O708,$N708,$P708,$Q708-$C$3,$R708,2)*H708</f>
        <v>1318246.3197901417</v>
      </c>
      <c r="W708" s="159">
        <f>+V708+T708</f>
        <v>65563.054581105709</v>
      </c>
      <c r="X708" s="51" t="str">
        <f>CONCATENATE(G708,D708)</f>
        <v>36800IF-NWPL_ROCKY_M</v>
      </c>
      <c r="Y708" s="418">
        <f>H708/10000</f>
        <v>200</v>
      </c>
      <c r="Z708" s="456">
        <f>T708/H708</f>
        <v>-0.62634163260451803</v>
      </c>
      <c r="AA708" s="456">
        <f>_xll.xSPRDOPT($L708,$J708,$I708,$M708,$O708,$N708,$P708,$Q708-$C$3,$R708,3)</f>
        <v>0.92519165921263691</v>
      </c>
      <c r="AB708" s="456">
        <f>((_xll.xSPRDOPT($L708+AB$5,$J708,$I708,$M708,$O708,$N708,$P708,$Q708-$C$3,$R708,3)*$H708)/10000)/100</f>
        <v>1.8503833184252738</v>
      </c>
      <c r="AC708" s="456">
        <f>((_xll.xSPRDOPT($L708+$AB$5,$J708,$I708,$M708,$O708,$N708,$P708,$Q708-$C$3,$R708,7)*$H708)/100)</f>
        <v>-8504.6276965442175</v>
      </c>
      <c r="AD708" s="456">
        <f>(_xll.xSPRDOPT($L708+$AB$5,$J708,$I708,$M708,$O708,$N708,$P708,$Q708-$C$3,$R708,9)/365)*$H708</f>
        <v>-4995.7807608234452</v>
      </c>
      <c r="AE708">
        <f t="shared" si="842"/>
        <v>0</v>
      </c>
      <c r="AF708" s="456">
        <f>((O708/N708)*AH708)+AG708</f>
        <v>5307.4943923145911</v>
      </c>
      <c r="AG708" s="456">
        <f>((_xll.xSPRDOPT($L708,$J708,$I708,$M708,$O708,$N708,$P708,$Q708-$C$3,$R708,6)*$H708)/100)</f>
        <v>5563.2922144800123</v>
      </c>
      <c r="AH708" s="456">
        <f>((_xll.xSPRDOPT($L708,$J708,$I708,$M708,$O708,$N708,$P708,$Q708-$C$3,$R708,5)*$H708)/100)</f>
        <v>-266.45606475564659</v>
      </c>
      <c r="AI708" s="456">
        <f>(((_xll.xSPRDOPT($L708,$J708,$I708,$M708,$O708,$N708,$P708,$Q708-$C$3,$R708,4)*$H708)/10000)/100)-AB708</f>
        <v>-0.12034370744017964</v>
      </c>
      <c r="AJ708" s="456"/>
      <c r="CC708" s="141">
        <f t="shared" si="857"/>
        <v>36923</v>
      </c>
      <c r="CD708" s="234">
        <f>_xll.xSPRDOPT((VLOOKUP(G706,NGPrices,2,FALSE)+HLOOKUP(D706,Prices,VLOOKUP(G706,move_down,2,FALSE),FALSE)),VLOOKUP(G706,NGPrices,2,FALSE),I706,VLOOKUP(G706,NGPREVPRICES,4,FALSE),HLOOKUP(D706,PREVVOLS,VLOOKUP(G706,MOVE_DOWN2,2,FALSE),FALSE),VLOOKUP(G706,NGPREVPRICES,3,FALSE),HLOOKUP(D706,Correllate,VLOOKUP(G706,CorMove,2,FALSE),FALSE),Q706-$CD$3,R706,$CD$5)*H706-CJ708</f>
        <v>0</v>
      </c>
      <c r="CE708" s="234">
        <f>_xll.xSPRDOPT((VLOOKUP(G706,NGPREVPRICES,2,FALSE)+HLOOKUP(D706,PREVCURVES,VLOOKUP(G706,MOVE_DOWN2,2,FALSE),FALSE)),VLOOKUP(G706,NGPREVPRICES,2,FALSE),CK708,VLOOKUP(G706,NGPrices,4,FALSE),HLOOKUP(D706,PREVVOLS,VLOOKUP(G706,MOVE_DOWN2,2,FALSE),FALSE),VLOOKUP(G706,NGPREVPRICES,3,FALSE),HLOOKUP(D706,Correllate,VLOOKUP(G706,CorMove,2,FALSE),FALSE),Q706-$CD$3,R706,$CJ$5)*H706-CJ708</f>
        <v>0</v>
      </c>
      <c r="CF708" s="10">
        <f t="shared" si="858"/>
        <v>-36.280556000332581</v>
      </c>
      <c r="CG708" s="234">
        <f>_xll.xSPRDOPT((VLOOKUP(G706,NGPREVPRICES,2,FALSE)+HLOOKUP(D706,PREVCURVES,VLOOKUP(G706,MOVE_DOWN2,2,FALSE),FALSE)),VLOOKUP(G706,NGPREVPRICES,2,FALSE),CK708,VLOOKUP(G706,NGPREVPRICES,4,FALSE),HLOOKUP(D706,VOLS,VLOOKUP(G706,move_down,2,FALSE),FALSE),VLOOKUP(G706,NGPrices,3,FALSE),HLOOKUP(D706,Correllate,VLOOKUP(G706,CorMove,2,FALSE),FALSE),Q706-$CD$3,R706,$CJ$5)*H706-CJ708</f>
        <v>0</v>
      </c>
      <c r="CH708" s="234">
        <f>_xll.xSPRDOPT((VLOOKUP(G706,NGPREVPRICES,2,FALSE)+HLOOKUP(D706,PREVCURVES,VLOOKUP(G706,MOVE_DOWN2,2,FALSE),FALSE)),VLOOKUP(G706,NGPREVPRICES,2,FALSE),CK708,VLOOKUP(G706,NGPREVPRICES,4,FALSE),HLOOKUP(D706,PREVVOLS,VLOOKUP(G706,MOVE_DOWN2,2,FALSE),FALSE),VLOOKUP(G706,NGPREVPRICES,3,FALSE),HLOOKUP(D706,Correllate,VLOOKUP(G706,CorMove,2,FALSE),FALSE),Q706-$C$3,R706,$CJ$5)*H706-CJ708</f>
        <v>-1381.549049144116</v>
      </c>
      <c r="CI708" s="234">
        <f t="shared" si="859"/>
        <v>-1417.8296051444486</v>
      </c>
      <c r="CJ708" s="234">
        <f>_xll.xSPRDOPT((VLOOKUP(G706,NGPREVPRICES,2,FALSE)+HLOOKUP(D706,PREVCURVES,VLOOKUP(G706,MOVE_DOWN2,2,FALSE),FALSE)),VLOOKUP(G706,NGPREVPRICES,2,FALSE),CK708,VLOOKUP(G706,NGPREVPRICES,4,FALSE),HLOOKUP(D706,PREVVOLS,VLOOKUP(G706,MOVE_DOWN2,2,FALSE),FALSE),VLOOKUP(G706,NGPREVPRICES,3,FALSE),HLOOKUP(D706,Correllate,VLOOKUP(G706,CorMove,2,FALSE),FALSE),Q706-$CD$3,R706,$CJ$5)*H706</f>
        <v>190761.07387737962</v>
      </c>
      <c r="CK708" s="235">
        <f t="shared" si="860"/>
        <v>0.95</v>
      </c>
      <c r="CM708" t="str">
        <f t="shared" si="861"/>
        <v>36923Curve Shift/Gamma</v>
      </c>
      <c r="CN708" t="str">
        <f t="shared" si="838"/>
        <v>36923Rho</v>
      </c>
      <c r="CO708" t="str">
        <f t="shared" si="839"/>
        <v>36923Drift</v>
      </c>
      <c r="CP708" t="str">
        <f t="shared" si="840"/>
        <v>36923Vega</v>
      </c>
      <c r="CQ708" t="str">
        <f t="shared" si="841"/>
        <v>36923Theta</v>
      </c>
    </row>
    <row r="709" spans="1:95" x14ac:dyDescent="0.25">
      <c r="A709" s="140" t="s">
        <v>279</v>
      </c>
      <c r="B709" t="s">
        <v>250</v>
      </c>
      <c r="C709" t="s">
        <v>587</v>
      </c>
      <c r="D709" s="4" t="s">
        <v>9</v>
      </c>
      <c r="E709" t="s">
        <v>20</v>
      </c>
      <c r="F709" t="s">
        <v>1</v>
      </c>
      <c r="G709" s="5">
        <v>36800</v>
      </c>
      <c r="H709" s="130">
        <v>2000000</v>
      </c>
      <c r="I709" s="235">
        <v>-0.65</v>
      </c>
      <c r="J709" s="53">
        <f>VLOOKUP(G709,NGPrices,2,FALSE)</f>
        <v>4.6920000000000002</v>
      </c>
      <c r="K709" s="7">
        <f>HLOOKUP(D709,Prices,VLOOKUP(G709,move_down,2,FALSE),FALSE)+VLOOKUP(G709,CHANGE,HLOOKUP(D709,CHANGE,2,FALSE),FALSE)</f>
        <v>-0.80500000000000005</v>
      </c>
      <c r="L709" s="53">
        <f>K709+J709</f>
        <v>3.887</v>
      </c>
      <c r="M709" s="157">
        <f>VLOOKUP(G709,NGPrices,4,FALSE)</f>
        <v>6.8050789414654006E-2</v>
      </c>
      <c r="N709" s="4">
        <f>VLOOKUP(G709,NGPrices,3,FALSE)</f>
        <v>0.57499999999999996</v>
      </c>
      <c r="O709" s="4">
        <f>HLOOKUP(D709,VOLS,VLOOKUP(G709,move_down,2,FALSE),FALSE)</f>
        <v>0.55200000000000005</v>
      </c>
      <c r="P709" s="9">
        <f>HLOOKUP(D709,Correllate,VLOOKUP(G709,CorMove,2,FALSE),FALSE)</f>
        <v>0.84</v>
      </c>
      <c r="Q709" s="5">
        <f t="shared" si="771"/>
        <v>36797</v>
      </c>
      <c r="R709" s="4">
        <f>IF(F709="P",0,1)</f>
        <v>0</v>
      </c>
      <c r="S709" s="158">
        <f>_xll.xSPRDOPT($L709,$J709,$I709,$M709,$O709,$N709,$P709,$Q709-$C$3,$R709,0)</f>
        <v>0.25223034092363822</v>
      </c>
      <c r="T709" s="159">
        <f>_xll.xSPRDOPT($L709,$J709,$I709,$M709,$O709,$N709,$P709,$Q709-$C$3,$R709,1)*H709</f>
        <v>-1252683.2652090359</v>
      </c>
      <c r="U709" s="160">
        <f>S709*H709</f>
        <v>504460.68184727646</v>
      </c>
      <c r="V709" s="159">
        <f>_xll.xSPRDOPT($L709,$J709,$I709,$M709,$O709,$N709,$P709,$Q709-$C$3,$R709,2)*H709</f>
        <v>1318246.3197901417</v>
      </c>
      <c r="W709" s="159">
        <f>+V709+T709</f>
        <v>65563.054581105709</v>
      </c>
      <c r="X709" s="51" t="str">
        <f>CONCATENATE(G709,D709)</f>
        <v>36800IF-NWPL_ROCKY_M</v>
      </c>
      <c r="Y709" s="418">
        <f>H709/10000</f>
        <v>200</v>
      </c>
      <c r="Z709" s="456">
        <f>T709/H709</f>
        <v>-0.62634163260451803</v>
      </c>
      <c r="AA709" s="456">
        <f>_xll.xSPRDOPT($L709,$J709,$I709,$M709,$O709,$N709,$P709,$Q709-$C$3,$R709,3)</f>
        <v>0.92519165921263691</v>
      </c>
      <c r="AB709" s="456">
        <f>((_xll.xSPRDOPT($L709+AB$5,$J709,$I709,$M709,$O709,$N709,$P709,$Q709-$C$3,$R709,3)*$H709)/10000)/100</f>
        <v>1.8503833184252738</v>
      </c>
      <c r="AC709" s="456">
        <f>((_xll.xSPRDOPT($L709+$AB$5,$J709,$I709,$M709,$O709,$N709,$P709,$Q709-$C$3,$R709,7)*$H709)/100)</f>
        <v>-8504.6276965442175</v>
      </c>
      <c r="AD709" s="456">
        <f>(_xll.xSPRDOPT($L709+$AB$5,$J709,$I709,$M709,$O709,$N709,$P709,$Q709-$C$3,$R709,9)/365)*$H709</f>
        <v>-4995.7807608234452</v>
      </c>
      <c r="AE709">
        <f t="shared" ref="AE709:AE772" si="862">CD711</f>
        <v>0</v>
      </c>
      <c r="AF709" s="456">
        <f>((O709/N709)*AH709)+AG709</f>
        <v>5307.4943923145911</v>
      </c>
      <c r="AG709" s="456">
        <f>((_xll.xSPRDOPT($L709,$J709,$I709,$M709,$O709,$N709,$P709,$Q709-$C$3,$R709,6)*$H709)/100)</f>
        <v>5563.2922144800123</v>
      </c>
      <c r="AH709" s="456">
        <f>((_xll.xSPRDOPT($L709,$J709,$I709,$M709,$O709,$N709,$P709,$Q709-$C$3,$R709,5)*$H709)/100)</f>
        <v>-266.45606475564659</v>
      </c>
      <c r="AI709" s="456">
        <f>(((_xll.xSPRDOPT($L709,$J709,$I709,$M709,$O709,$N709,$P709,$Q709-$C$3,$R709,4)*$H709)/10000)/100)-AB709</f>
        <v>-0.12034370744017964</v>
      </c>
      <c r="AJ709" s="456"/>
      <c r="CC709" s="141">
        <f t="shared" si="857"/>
        <v>36951</v>
      </c>
      <c r="CD709" s="234">
        <f>_xll.xSPRDOPT((VLOOKUP(G707,NGPrices,2,FALSE)+HLOOKUP(D707,Prices,VLOOKUP(G707,move_down,2,FALSE),FALSE)),VLOOKUP(G707,NGPrices,2,FALSE),I707,VLOOKUP(G707,NGPREVPRICES,4,FALSE),HLOOKUP(D707,PREVVOLS,VLOOKUP(G707,MOVE_DOWN2,2,FALSE),FALSE),VLOOKUP(G707,NGPREVPRICES,3,FALSE),HLOOKUP(D707,Correllate,VLOOKUP(G707,CorMove,2,FALSE),FALSE),Q707-$CD$3,R707,$CD$5)*H707-CJ709</f>
        <v>0</v>
      </c>
      <c r="CE709" s="234">
        <f>_xll.xSPRDOPT((VLOOKUP(G707,NGPREVPRICES,2,FALSE)+HLOOKUP(D707,PREVCURVES,VLOOKUP(G707,MOVE_DOWN2,2,FALSE),FALSE)),VLOOKUP(G707,NGPREVPRICES,2,FALSE),CK709,VLOOKUP(G707,NGPrices,4,FALSE),HLOOKUP(D707,PREVVOLS,VLOOKUP(G707,MOVE_DOWN2,2,FALSE),FALSE),VLOOKUP(G707,NGPREVPRICES,3,FALSE),HLOOKUP(D707,Correllate,VLOOKUP(G707,CorMove,2,FALSE),FALSE),Q707-$CD$3,R707,$CJ$5)*H707-CJ709</f>
        <v>0</v>
      </c>
      <c r="CF709" s="10">
        <f t="shared" si="858"/>
        <v>-84.230764286825433</v>
      </c>
      <c r="CG709" s="234">
        <f>_xll.xSPRDOPT((VLOOKUP(G707,NGPREVPRICES,2,FALSE)+HLOOKUP(D707,PREVCURVES,VLOOKUP(G707,MOVE_DOWN2,2,FALSE),FALSE)),VLOOKUP(G707,NGPREVPRICES,2,FALSE),CK709,VLOOKUP(G707,NGPREVPRICES,4,FALSE),HLOOKUP(D707,VOLS,VLOOKUP(G707,move_down,2,FALSE),FALSE),VLOOKUP(G707,NGPrices,3,FALSE),HLOOKUP(D707,Correllate,VLOOKUP(G707,CorMove,2,FALSE),FALSE),Q707-$CD$3,R707,$CJ$5)*H707-CJ709</f>
        <v>0</v>
      </c>
      <c r="CH709" s="234">
        <f>_xll.xSPRDOPT((VLOOKUP(G707,NGPREVPRICES,2,FALSE)+HLOOKUP(D707,PREVCURVES,VLOOKUP(G707,MOVE_DOWN2,2,FALSE),FALSE)),VLOOKUP(G707,NGPREVPRICES,2,FALSE),CK709,VLOOKUP(G707,NGPREVPRICES,4,FALSE),HLOOKUP(D707,PREVVOLS,VLOOKUP(G707,MOVE_DOWN2,2,FALSE),FALSE),VLOOKUP(G707,NGPREVPRICES,3,FALSE),HLOOKUP(D707,Correllate,VLOOKUP(G707,CorMove,2,FALSE),FALSE),Q707-$C$3,R707,$CJ$5)*H707-CJ709</f>
        <v>-1268.2172705553821</v>
      </c>
      <c r="CI709" s="234">
        <f t="shared" si="859"/>
        <v>-1352.4480348422076</v>
      </c>
      <c r="CJ709" s="234">
        <f>_xll.xSPRDOPT((VLOOKUP(G707,NGPREVPRICES,2,FALSE)+HLOOKUP(D707,PREVCURVES,VLOOKUP(G707,MOVE_DOWN2,2,FALSE),FALSE)),VLOOKUP(G707,NGPREVPRICES,2,FALSE),CK709,VLOOKUP(G707,NGPREVPRICES,4,FALSE),HLOOKUP(D707,PREVVOLS,VLOOKUP(G707,MOVE_DOWN2,2,FALSE),FALSE),VLOOKUP(G707,NGPREVPRICES,3,FALSE),HLOOKUP(D707,Correllate,VLOOKUP(G707,CorMove,2,FALSE),FALSE),Q707-$CD$3,R707,$CJ$5)*H707</f>
        <v>439193.57484196319</v>
      </c>
      <c r="CK709" s="235">
        <f t="shared" si="860"/>
        <v>0.95</v>
      </c>
      <c r="CM709" t="str">
        <f t="shared" si="861"/>
        <v>36951Curve Shift/Gamma</v>
      </c>
      <c r="CN709" t="str">
        <f t="shared" si="838"/>
        <v>36951Rho</v>
      </c>
      <c r="CO709" t="str">
        <f t="shared" si="839"/>
        <v>36951Drift</v>
      </c>
      <c r="CP709" t="str">
        <f t="shared" si="840"/>
        <v>36951Vega</v>
      </c>
      <c r="CQ709" t="str">
        <f t="shared" si="841"/>
        <v>36951Theta</v>
      </c>
    </row>
    <row r="710" spans="1:95" x14ac:dyDescent="0.25">
      <c r="A710" s="140" t="s">
        <v>281</v>
      </c>
      <c r="B710" t="s">
        <v>250</v>
      </c>
      <c r="C710" t="s">
        <v>588</v>
      </c>
      <c r="D710" s="4" t="s">
        <v>7</v>
      </c>
      <c r="E710" t="s">
        <v>20</v>
      </c>
      <c r="F710" t="s">
        <v>21</v>
      </c>
      <c r="G710" s="5">
        <v>36982</v>
      </c>
      <c r="H710" s="130">
        <v>500000</v>
      </c>
      <c r="I710" s="235">
        <v>0.42</v>
      </c>
      <c r="J710" s="53">
        <f>VLOOKUP(G710,NGPrices,2,FALSE)</f>
        <v>3.9380000000000002</v>
      </c>
      <c r="K710" s="7">
        <f>HLOOKUP(D710,Prices,VLOOKUP(G710,move_down,2,FALSE),FALSE)+VLOOKUP(G710,CHANGE,HLOOKUP(D710,CHANGE,2,FALSE),FALSE)</f>
        <v>0.52</v>
      </c>
      <c r="L710" s="53">
        <f>K710+J710</f>
        <v>4.4580000000000002</v>
      </c>
      <c r="M710" s="157">
        <f>VLOOKUP(G710,NGPrices,4,FALSE)</f>
        <v>6.9061726541120999E-2</v>
      </c>
      <c r="N710" s="4">
        <f>VLOOKUP(G710,NGPrices,3,FALSE)</f>
        <v>0.4425</v>
      </c>
      <c r="O710" s="4">
        <f>HLOOKUP(D710,VOLS,VLOOKUP(G710,move_down,2,FALSE),FALSE)</f>
        <v>0.434</v>
      </c>
      <c r="P710" s="9">
        <f>HLOOKUP(D710,Correllate,VLOOKUP(G710,CorMove,2,FALSE),FALSE)</f>
        <v>0.9738</v>
      </c>
      <c r="Q710" s="5">
        <f t="shared" si="771"/>
        <v>36979</v>
      </c>
      <c r="R710" s="4">
        <f>IF(F710="P",0,1)</f>
        <v>1</v>
      </c>
      <c r="S710" s="158">
        <f>_xll.xSPRDOPT($L710,$J710,$I710,$M710,$O710,$N710,$P710,$Q710-$C$3,$R710,0)</f>
        <v>0.18453292180585718</v>
      </c>
      <c r="T710" s="159">
        <f>_xll.xSPRDOPT($L710,$J710,$I710,$M710,$O710,$N710,$P710,$Q710-$C$3,$R710,1)*H710</f>
        <v>303286.68268324062</v>
      </c>
      <c r="U710" s="160">
        <f>S710*H710</f>
        <v>92266.460902928593</v>
      </c>
      <c r="V710" s="159">
        <f>_xll.xSPRDOPT($L710,$J710,$I710,$M710,$O710,$N710,$P710,$Q710-$C$3,$R710,2)*H710</f>
        <v>-290545.63935409958</v>
      </c>
      <c r="W710" s="159">
        <f>+V710+T710</f>
        <v>12741.043329141045</v>
      </c>
      <c r="X710" s="51" t="str">
        <f>CONCATENATE(G710,D710)</f>
        <v>36982IF-TRANSCO/Z6</v>
      </c>
      <c r="Y710" s="418">
        <f>H710/10000</f>
        <v>50</v>
      </c>
      <c r="Z710" s="456">
        <f>T710/H710</f>
        <v>0.60657336536648121</v>
      </c>
      <c r="AA710" s="456">
        <f>_xll.xSPRDOPT($L710,$J710,$I710,$M710,$O710,$N710,$P710,$Q710-$C$3,$R710,3)</f>
        <v>1.0485140460267834</v>
      </c>
      <c r="AB710" s="456">
        <f>((_xll.xSPRDOPT($L710+AB$5,$J710,$I710,$M710,$O710,$N710,$P710,$Q710-$C$3,$R710,3)*$H710)/10000)/100</f>
        <v>0.52425702301339172</v>
      </c>
      <c r="AC710" s="456">
        <f>((_xll.xSPRDOPT($L710+$AB$5,$J710,$I710,$M710,$O710,$N710,$P710,$Q710-$C$3,$R710,7)*$H710)/100)</f>
        <v>-10486.44867508933</v>
      </c>
      <c r="AD710" s="456">
        <f>(_xll.xSPRDOPT($L710+$AB$5,$J710,$I710,$M710,$O710,$N710,$P710,$Q710-$C$3,$R710,9)/365)*$H710</f>
        <v>-131.51399445806459</v>
      </c>
      <c r="AE710">
        <f t="shared" si="862"/>
        <v>0</v>
      </c>
      <c r="AF710" s="456">
        <f>((O710/N710)*AH710)+AG710</f>
        <v>1426.4584549714584</v>
      </c>
      <c r="AG710" s="456">
        <f>((_xll.xSPRDOPT($L710,$J710,$I710,$M710,$O710,$N710,$P710,$Q710-$C$3,$R710,6)*$H710)/100)</f>
        <v>-1237.8660701276469</v>
      </c>
      <c r="AH710" s="456">
        <f>((_xll.xSPRDOPT($L710,$J710,$I710,$M710,$O710,$N710,$P710,$Q710-$C$3,$R710,5)*$H710)/100)</f>
        <v>2716.5059962127975</v>
      </c>
      <c r="AI710" s="456">
        <f>(((_xll.xSPRDOPT($L710,$J710,$I710,$M710,$O710,$N710,$P710,$Q710-$C$3,$R710,4)*$H710)/10000)/100)-AB710</f>
        <v>2.405909315979049E-2</v>
      </c>
      <c r="AJ710" s="456"/>
      <c r="CC710" s="141">
        <f t="shared" ref="CC710:CC729" si="863">G708</f>
        <v>36800</v>
      </c>
      <c r="CD710" s="234">
        <f>_xll.xSPRDOPT((VLOOKUP(G708,NGPrices,2,FALSE)+HLOOKUP(D708,Prices,VLOOKUP(G708,move_down,2,FALSE),FALSE)),VLOOKUP(G708,NGPrices,2,FALSE),I708,VLOOKUP(G708,NGPREVPRICES,4,FALSE),HLOOKUP(D708,PREVVOLS,VLOOKUP(G708,MOVE_DOWN2,2,FALSE),FALSE),VLOOKUP(G708,NGPREVPRICES,3,FALSE),HLOOKUP(D708,Correllate,VLOOKUP(G708,CorMove,2,FALSE),FALSE),Q708-$CD$3,R708,$CD$5)*H708-CJ710</f>
        <v>0</v>
      </c>
      <c r="CE710" s="234">
        <f>_xll.xSPRDOPT((VLOOKUP(G708,NGPREVPRICES,2,FALSE)+HLOOKUP(D708,PREVCURVES,VLOOKUP(G708,MOVE_DOWN2,2,FALSE),FALSE)),VLOOKUP(G708,NGPREVPRICES,2,FALSE),CK710,VLOOKUP(G708,NGPrices,4,FALSE),HLOOKUP(D708,PREVVOLS,VLOOKUP(G708,MOVE_DOWN2,2,FALSE),FALSE),VLOOKUP(G708,NGPREVPRICES,3,FALSE),HLOOKUP(D708,Correllate,VLOOKUP(G708,CorMove,2,FALSE),FALSE),Q708-$CD$3,R708,$CJ$5)*H708-CJ710</f>
        <v>0</v>
      </c>
      <c r="CF710" s="10">
        <f t="shared" ref="CF710:CF729" si="864">(CJ710/VLOOKUP(CC710,discount,3,FALSE))-(CJ710/VLOOKUP(CC710,discount,2,FALSE))</f>
        <v>-93.913798967376351</v>
      </c>
      <c r="CG710" s="234">
        <f>_xll.xSPRDOPT((VLOOKUP(G708,NGPREVPRICES,2,FALSE)+HLOOKUP(D708,PREVCURVES,VLOOKUP(G708,MOVE_DOWN2,2,FALSE),FALSE)),VLOOKUP(G708,NGPREVPRICES,2,FALSE),CK710,VLOOKUP(G708,NGPREVPRICES,4,FALSE),HLOOKUP(D708,VOLS,VLOOKUP(G708,move_down,2,FALSE),FALSE),VLOOKUP(G708,NGPrices,3,FALSE),HLOOKUP(D708,Correllate,VLOOKUP(G708,CorMove,2,FALSE),FALSE),Q708-$CD$3,R708,$CJ$5)*H708-CJ710</f>
        <v>0</v>
      </c>
      <c r="CH710" s="234">
        <f>_xll.xSPRDOPT((VLOOKUP(G708,NGPREVPRICES,2,FALSE)+HLOOKUP(D708,PREVCURVES,VLOOKUP(G708,MOVE_DOWN2,2,FALSE),FALSE)),VLOOKUP(G708,NGPREVPRICES,2,FALSE),CK710,VLOOKUP(G708,NGPREVPRICES,4,FALSE),HLOOKUP(D708,PREVVOLS,VLOOKUP(G708,MOVE_DOWN2,2,FALSE),FALSE),VLOOKUP(G708,NGPREVPRICES,3,FALSE),HLOOKUP(D708,Correllate,VLOOKUP(G708,CorMove,2,FALSE),FALSE),Q708-$C$3,R708,$CJ$5)*H708-CJ710</f>
        <v>-4955.5128072100342</v>
      </c>
      <c r="CI710" s="234">
        <f t="shared" ref="CI710:CI729" si="865">SUM(CD710:CH710)</f>
        <v>-5049.4266061774106</v>
      </c>
      <c r="CJ710" s="234">
        <f>_xll.xSPRDOPT((VLOOKUP(G708,NGPREVPRICES,2,FALSE)+HLOOKUP(D708,PREVCURVES,VLOOKUP(G708,MOVE_DOWN2,2,FALSE),FALSE)),VLOOKUP(G708,NGPREVPRICES,2,FALSE),CK710,VLOOKUP(G708,NGPREVPRICES,4,FALSE),HLOOKUP(D708,PREVVOLS,VLOOKUP(G708,MOVE_DOWN2,2,FALSE),FALSE),VLOOKUP(G708,NGPREVPRICES,3,FALSE),HLOOKUP(D708,Correllate,VLOOKUP(G708,CorMove,2,FALSE),FALSE),Q708-$CD$3,R708,$CJ$5)*H708</f>
        <v>509416.19465448649</v>
      </c>
      <c r="CK710" s="235">
        <f t="shared" ref="CK710:CK729" si="866">I708</f>
        <v>-0.65</v>
      </c>
      <c r="CM710" t="str">
        <f t="shared" ref="CM710:CM729" si="867">CONCATENATE(CC710,$CD$6)</f>
        <v>36800Curve Shift/Gamma</v>
      </c>
      <c r="CN710" t="str">
        <f t="shared" si="838"/>
        <v>36800Rho</v>
      </c>
      <c r="CO710" t="str">
        <f t="shared" si="839"/>
        <v>36800Drift</v>
      </c>
      <c r="CP710" t="str">
        <f t="shared" si="840"/>
        <v>36800Vega</v>
      </c>
      <c r="CQ710" t="str">
        <f t="shared" si="841"/>
        <v>36800Theta</v>
      </c>
    </row>
    <row r="711" spans="1:95" x14ac:dyDescent="0.25">
      <c r="A711" s="140" t="s">
        <v>281</v>
      </c>
      <c r="B711" t="s">
        <v>250</v>
      </c>
      <c r="C711" t="s">
        <v>588</v>
      </c>
      <c r="D711" s="4" t="s">
        <v>7</v>
      </c>
      <c r="E711" t="s">
        <v>20</v>
      </c>
      <c r="F711" t="s">
        <v>21</v>
      </c>
      <c r="G711" s="5">
        <v>37012</v>
      </c>
      <c r="H711" s="130">
        <v>500000</v>
      </c>
      <c r="I711" s="235">
        <v>0.42</v>
      </c>
      <c r="J711" s="53">
        <f t="shared" ref="J711:J717" si="868">VLOOKUP(G711,NGPrices,2,FALSE)</f>
        <v>3.8380000000000001</v>
      </c>
      <c r="K711" s="7">
        <f t="shared" ref="K711:K717" si="869">HLOOKUP(D711,Prices,VLOOKUP(G711,move_down,2,FALSE),FALSE)+VLOOKUP(G711,CHANGE,HLOOKUP(D711,CHANGE,2,FALSE),FALSE)</f>
        <v>0.40500000000000003</v>
      </c>
      <c r="L711" s="53">
        <f t="shared" ref="L711:L717" si="870">K711+J711</f>
        <v>4.2430000000000003</v>
      </c>
      <c r="M711" s="157">
        <f t="shared" ref="M711:M717" si="871">VLOOKUP(G711,NGPrices,4,FALSE)</f>
        <v>6.9101151218999998E-2</v>
      </c>
      <c r="N711" s="4">
        <f t="shared" ref="N711:N717" si="872">VLOOKUP(G711,NGPrices,3,FALSE)</f>
        <v>0.40500000000000003</v>
      </c>
      <c r="O711" s="4">
        <f t="shared" ref="O711:O717" si="873">HLOOKUP(D711,VOLS,VLOOKUP(G711,move_down,2,FALSE),FALSE)</f>
        <v>0.39700000000000002</v>
      </c>
      <c r="P711" s="9">
        <f t="shared" ref="P711:P717" si="874">HLOOKUP(D711,Correllate,VLOOKUP(G711,CorMove,2,FALSE),FALSE)</f>
        <v>0.9738</v>
      </c>
      <c r="Q711" s="5">
        <f t="shared" ref="Q711:Q774" si="875">WORKDAY(G711,-2)</f>
        <v>37008</v>
      </c>
      <c r="R711" s="4">
        <f t="shared" ref="R711:R717" si="876">IF(F711="P",0,1)</f>
        <v>1</v>
      </c>
      <c r="S711" s="158">
        <f>_xll.xSPRDOPT($L711,$J711,$I711,$M711,$O711,$N711,$P711,$Q711-$C$3,$R711,0)</f>
        <v>0.11547340650736486</v>
      </c>
      <c r="T711" s="159">
        <f>_xll.xSPRDOPT($L711,$J711,$I711,$M711,$O711,$N711,$P711,$Q711-$C$3,$R711,1)*H711</f>
        <v>237913.45439948939</v>
      </c>
      <c r="U711" s="160">
        <f t="shared" ref="U711:U717" si="877">S711*H711</f>
        <v>57736.703253682426</v>
      </c>
      <c r="V711" s="159">
        <f>_xll.xSPRDOPT($L711,$J711,$I711,$M711,$O711,$N711,$P711,$Q711-$C$3,$R711,2)*H711</f>
        <v>-224984.51245210555</v>
      </c>
      <c r="W711" s="159">
        <f t="shared" ref="W711:W717" si="878">+V711+T711</f>
        <v>12928.941947383835</v>
      </c>
      <c r="X711" s="51" t="str">
        <f t="shared" ref="X711:X717" si="879">CONCATENATE(G711,D711)</f>
        <v>37012IF-TRANSCO/Z6</v>
      </c>
      <c r="Y711" s="418">
        <f t="shared" ref="Y711:Y717" si="880">H711/10000</f>
        <v>50</v>
      </c>
      <c r="Z711" s="456">
        <f t="shared" ref="Z711:Z717" si="881">T711/H711</f>
        <v>0.47582690879897876</v>
      </c>
      <c r="AA711" s="456">
        <f>_xll.xSPRDOPT($L711,$J711,$I711,$M711,$O711,$N711,$P711,$Q711-$C$3,$R711,3)</f>
        <v>1.1893966310287358</v>
      </c>
      <c r="AB711" s="456">
        <f>((_xll.xSPRDOPT($L711+AB$5,$J711,$I711,$M711,$O711,$N711,$P711,$Q711-$C$3,$R711,3)*$H711)/10000)/100</f>
        <v>0.59469831551436791</v>
      </c>
      <c r="AC711" s="456">
        <f>((_xll.xSPRDOPT($L711+$AB$5,$J711,$I711,$M711,$O711,$N711,$P711,$Q711-$C$3,$R711,7)*$H711)/100)</f>
        <v>-10256.293778573621</v>
      </c>
      <c r="AD711" s="456">
        <f>(_xll.xSPRDOPT($L711+$AB$5,$J711,$I711,$M711,$O711,$N711,$P711,$Q711-$C$3,$R711,9)/365)*$H711</f>
        <v>-116.8586657409076</v>
      </c>
      <c r="AE711">
        <f t="shared" si="862"/>
        <v>0</v>
      </c>
      <c r="AF711" s="456">
        <f t="shared" ref="AF711:AF717" si="882">((O711/N711)*AH711)+AG711</f>
        <v>1519.8091135397062</v>
      </c>
      <c r="AG711" s="456">
        <f>((_xll.xSPRDOPT($L711,$J711,$I711,$M711,$O711,$N711,$P711,$Q711-$C$3,$R711,6)*$H711)/100)</f>
        <v>-1310.8217583510464</v>
      </c>
      <c r="AH711" s="456">
        <f>((_xll.xSPRDOPT($L711,$J711,$I711,$M711,$O711,$N711,$P711,$Q711-$C$3,$R711,5)*$H711)/100)</f>
        <v>2887.6712924830099</v>
      </c>
      <c r="AI711" s="456">
        <f>(((_xll.xSPRDOPT($L711,$J711,$I711,$M711,$O711,$N711,$P711,$Q711-$C$3,$R711,4)*$H711)/10000)/100)-AB711</f>
        <v>-1.5099936960910609E-3</v>
      </c>
      <c r="AJ711" s="456"/>
      <c r="CC711" s="141">
        <f t="shared" si="863"/>
        <v>36800</v>
      </c>
      <c r="CD711" s="234">
        <f>_xll.xSPRDOPT((VLOOKUP(G709,NGPrices,2,FALSE)+HLOOKUP(D709,Prices,VLOOKUP(G709,move_down,2,FALSE),FALSE)),VLOOKUP(G709,NGPrices,2,FALSE),I709,VLOOKUP(G709,NGPREVPRICES,4,FALSE),HLOOKUP(D709,PREVVOLS,VLOOKUP(G709,MOVE_DOWN2,2,FALSE),FALSE),VLOOKUP(G709,NGPREVPRICES,3,FALSE),HLOOKUP(D709,Correllate,VLOOKUP(G709,CorMove,2,FALSE),FALSE),Q709-$CD$3,R709,$CD$5)*H709-CJ711</f>
        <v>0</v>
      </c>
      <c r="CE711" s="234">
        <f>_xll.xSPRDOPT((VLOOKUP(G709,NGPREVPRICES,2,FALSE)+HLOOKUP(D709,PREVCURVES,VLOOKUP(G709,MOVE_DOWN2,2,FALSE),FALSE)),VLOOKUP(G709,NGPREVPRICES,2,FALSE),CK711,VLOOKUP(G709,NGPrices,4,FALSE),HLOOKUP(D709,PREVVOLS,VLOOKUP(G709,MOVE_DOWN2,2,FALSE),FALSE),VLOOKUP(G709,NGPREVPRICES,3,FALSE),HLOOKUP(D709,Correllate,VLOOKUP(G709,CorMove,2,FALSE),FALSE),Q709-$CD$3,R709,$CJ$5)*H709-CJ711</f>
        <v>0</v>
      </c>
      <c r="CF711" s="10">
        <f t="shared" si="864"/>
        <v>-93.913798967376351</v>
      </c>
      <c r="CG711" s="234">
        <f>_xll.xSPRDOPT((VLOOKUP(G709,NGPREVPRICES,2,FALSE)+HLOOKUP(D709,PREVCURVES,VLOOKUP(G709,MOVE_DOWN2,2,FALSE),FALSE)),VLOOKUP(G709,NGPREVPRICES,2,FALSE),CK711,VLOOKUP(G709,NGPREVPRICES,4,FALSE),HLOOKUP(D709,VOLS,VLOOKUP(G709,move_down,2,FALSE),FALSE),VLOOKUP(G709,NGPrices,3,FALSE),HLOOKUP(D709,Correllate,VLOOKUP(G709,CorMove,2,FALSE),FALSE),Q709-$CD$3,R709,$CJ$5)*H709-CJ711</f>
        <v>0</v>
      </c>
      <c r="CH711" s="234">
        <f>_xll.xSPRDOPT((VLOOKUP(G709,NGPREVPRICES,2,FALSE)+HLOOKUP(D709,PREVCURVES,VLOOKUP(G709,MOVE_DOWN2,2,FALSE),FALSE)),VLOOKUP(G709,NGPREVPRICES,2,FALSE),CK711,VLOOKUP(G709,NGPREVPRICES,4,FALSE),HLOOKUP(D709,PREVVOLS,VLOOKUP(G709,MOVE_DOWN2,2,FALSE),FALSE),VLOOKUP(G709,NGPREVPRICES,3,FALSE),HLOOKUP(D709,Correllate,VLOOKUP(G709,CorMove,2,FALSE),FALSE),Q709-$C$3,R709,$CJ$5)*H709-CJ711</f>
        <v>-4955.5128072100342</v>
      </c>
      <c r="CI711" s="234">
        <f t="shared" si="865"/>
        <v>-5049.4266061774106</v>
      </c>
      <c r="CJ711" s="234">
        <f>_xll.xSPRDOPT((VLOOKUP(G709,NGPREVPRICES,2,FALSE)+HLOOKUP(D709,PREVCURVES,VLOOKUP(G709,MOVE_DOWN2,2,FALSE),FALSE)),VLOOKUP(G709,NGPREVPRICES,2,FALSE),CK711,VLOOKUP(G709,NGPREVPRICES,4,FALSE),HLOOKUP(D709,PREVVOLS,VLOOKUP(G709,MOVE_DOWN2,2,FALSE),FALSE),VLOOKUP(G709,NGPREVPRICES,3,FALSE),HLOOKUP(D709,Correllate,VLOOKUP(G709,CorMove,2,FALSE),FALSE),Q709-$CD$3,R709,$CJ$5)*H709</f>
        <v>509416.19465448649</v>
      </c>
      <c r="CK711" s="235">
        <f t="shared" si="866"/>
        <v>-0.65</v>
      </c>
      <c r="CM711" t="str">
        <f t="shared" si="867"/>
        <v>36800Curve Shift/Gamma</v>
      </c>
      <c r="CN711" t="str">
        <f t="shared" si="838"/>
        <v>36800Rho</v>
      </c>
      <c r="CO711" t="str">
        <f t="shared" si="839"/>
        <v>36800Drift</v>
      </c>
      <c r="CP711" t="str">
        <f t="shared" si="840"/>
        <v>36800Vega</v>
      </c>
      <c r="CQ711" t="str">
        <f t="shared" si="841"/>
        <v>36800Theta</v>
      </c>
    </row>
    <row r="712" spans="1:95" x14ac:dyDescent="0.25">
      <c r="A712" s="140" t="s">
        <v>281</v>
      </c>
      <c r="B712" t="s">
        <v>250</v>
      </c>
      <c r="C712" t="s">
        <v>588</v>
      </c>
      <c r="D712" s="4" t="s">
        <v>7</v>
      </c>
      <c r="E712" t="s">
        <v>20</v>
      </c>
      <c r="F712" t="s">
        <v>21</v>
      </c>
      <c r="G712" s="5">
        <v>37043</v>
      </c>
      <c r="H712" s="130">
        <v>500000</v>
      </c>
      <c r="I712" s="235">
        <v>0.42</v>
      </c>
      <c r="J712" s="53">
        <f t="shared" si="868"/>
        <v>3.8180000000000001</v>
      </c>
      <c r="K712" s="7">
        <f t="shared" si="869"/>
        <v>0.39500000000000002</v>
      </c>
      <c r="L712" s="53">
        <f t="shared" si="870"/>
        <v>4.2130000000000001</v>
      </c>
      <c r="M712" s="157">
        <f t="shared" si="871"/>
        <v>6.9141890053328006E-2</v>
      </c>
      <c r="N712" s="4">
        <f t="shared" si="872"/>
        <v>0.4</v>
      </c>
      <c r="O712" s="4">
        <f t="shared" si="873"/>
        <v>0.39200000000000002</v>
      </c>
      <c r="P712" s="9">
        <f t="shared" si="874"/>
        <v>0.9738</v>
      </c>
      <c r="Q712" s="5">
        <f t="shared" si="875"/>
        <v>37041</v>
      </c>
      <c r="R712" s="4">
        <f t="shared" si="876"/>
        <v>1</v>
      </c>
      <c r="S712" s="158">
        <f>_xll.xSPRDOPT($L712,$J712,$I712,$M712,$O712,$N712,$P712,$Q712-$C$3,$R712,0)</f>
        <v>0.11596080969009942</v>
      </c>
      <c r="T712" s="159">
        <f>_xll.xSPRDOPT($L712,$J712,$I712,$M712,$O712,$N712,$P712,$Q712-$C$3,$R712,1)*H712</f>
        <v>231632.09113176339</v>
      </c>
      <c r="U712" s="160">
        <f t="shared" si="877"/>
        <v>57980.404845049707</v>
      </c>
      <c r="V712" s="159">
        <f>_xll.xSPRDOPT($L712,$J712,$I712,$M712,$O712,$N712,$P712,$Q712-$C$3,$R712,2)*H712</f>
        <v>-218128.17908548916</v>
      </c>
      <c r="W712" s="159">
        <f t="shared" si="878"/>
        <v>13503.912046274228</v>
      </c>
      <c r="X712" s="51" t="str">
        <f t="shared" si="879"/>
        <v>37043IF-TRANSCO/Z6</v>
      </c>
      <c r="Y712" s="418">
        <f t="shared" si="880"/>
        <v>50</v>
      </c>
      <c r="Z712" s="456">
        <f t="shared" si="881"/>
        <v>0.46326418226352678</v>
      </c>
      <c r="AA712" s="456">
        <f>_xll.xSPRDOPT($L712,$J712,$I712,$M712,$O712,$N712,$P712,$Q712-$C$3,$R712,3)</f>
        <v>1.1298872667175488</v>
      </c>
      <c r="AB712" s="456">
        <f>((_xll.xSPRDOPT($L712+AB$5,$J712,$I712,$M712,$O712,$N712,$P712,$Q712-$C$3,$R712,3)*$H712)/10000)/100</f>
        <v>0.5649436333587744</v>
      </c>
      <c r="AC712" s="456">
        <f>((_xll.xSPRDOPT($L712+$AB$5,$J712,$I712,$M712,$O712,$N712,$P712,$Q712-$C$3,$R712,7)*$H712)/100)</f>
        <v>-10649.374650048439</v>
      </c>
      <c r="AD712" s="456">
        <f>(_xll.xSPRDOPT($L712+$AB$5,$J712,$I712,$M712,$O712,$N712,$P712,$Q712-$C$3,$R712,9)/365)*$H712</f>
        <v>-105.85395038855856</v>
      </c>
      <c r="AE712">
        <f t="shared" si="862"/>
        <v>0</v>
      </c>
      <c r="AF712" s="456">
        <f t="shared" si="882"/>
        <v>1599.5735439011667</v>
      </c>
      <c r="AG712" s="456">
        <f>((_xll.xSPRDOPT($L712,$J712,$I712,$M712,$O712,$N712,$P712,$Q712-$C$3,$R712,6)*$H712)/100)</f>
        <v>-1372.0526431420396</v>
      </c>
      <c r="AH712" s="456">
        <f>((_xll.xSPRDOPT($L712,$J712,$I712,$M712,$O712,$N712,$P712,$Q712-$C$3,$R712,5)*$H712)/100)</f>
        <v>3032.2716194318432</v>
      </c>
      <c r="AI712" s="456">
        <f>(((_xll.xSPRDOPT($L712,$J712,$I712,$M712,$O712,$N712,$P712,$Q712-$C$3,$R712,4)*$H712)/10000)/100)-AB712</f>
        <v>-3.6028858149339538E-3</v>
      </c>
      <c r="AJ712" s="456"/>
      <c r="CC712" s="141">
        <f t="shared" si="863"/>
        <v>36982</v>
      </c>
      <c r="CD712" s="234">
        <f>_xll.xSPRDOPT((VLOOKUP(G710,NGPrices,2,FALSE)+HLOOKUP(D710,Prices,VLOOKUP(G710,move_down,2,FALSE),FALSE)),VLOOKUP(G710,NGPrices,2,FALSE),I710,VLOOKUP(G710,NGPREVPRICES,4,FALSE),HLOOKUP(D710,PREVVOLS,VLOOKUP(G710,MOVE_DOWN2,2,FALSE),FALSE),VLOOKUP(G710,NGPREVPRICES,3,FALSE),HLOOKUP(D710,Correllate,VLOOKUP(G710,CorMove,2,FALSE),FALSE),Q710-$CD$3,R710,$CD$5)*H710-CJ712</f>
        <v>0</v>
      </c>
      <c r="CE712" s="234">
        <f>_xll.xSPRDOPT((VLOOKUP(G710,NGPREVPRICES,2,FALSE)+HLOOKUP(D710,PREVCURVES,VLOOKUP(G710,MOVE_DOWN2,2,FALSE),FALSE)),VLOOKUP(G710,NGPREVPRICES,2,FALSE),CK712,VLOOKUP(G710,NGPrices,4,FALSE),HLOOKUP(D710,PREVVOLS,VLOOKUP(G710,MOVE_DOWN2,2,FALSE),FALSE),VLOOKUP(G710,NGPREVPRICES,3,FALSE),HLOOKUP(D710,Correllate,VLOOKUP(G710,CorMove,2,FALSE),FALSE),Q710-$CD$3,R710,$CJ$5)*H710-CJ712</f>
        <v>0</v>
      </c>
      <c r="CF712" s="10">
        <f t="shared" si="864"/>
        <v>-17.865658784008701</v>
      </c>
      <c r="CG712" s="234">
        <f>_xll.xSPRDOPT((VLOOKUP(G710,NGPREVPRICES,2,FALSE)+HLOOKUP(D710,PREVCURVES,VLOOKUP(G710,MOVE_DOWN2,2,FALSE),FALSE)),VLOOKUP(G710,NGPREVPRICES,2,FALSE),CK712,VLOOKUP(G710,NGPREVPRICES,4,FALSE),HLOOKUP(D710,VOLS,VLOOKUP(G710,move_down,2,FALSE),FALSE),VLOOKUP(G710,NGPrices,3,FALSE),HLOOKUP(D710,Correllate,VLOOKUP(G710,CorMove,2,FALSE),FALSE),Q710-$CD$3,R710,$CJ$5)*H710-CJ712</f>
        <v>0</v>
      </c>
      <c r="CH712" s="234">
        <f>_xll.xSPRDOPT((VLOOKUP(G710,NGPREVPRICES,2,FALSE)+HLOOKUP(D710,PREVCURVES,VLOOKUP(G710,MOVE_DOWN2,2,FALSE),FALSE)),VLOOKUP(G710,NGPREVPRICES,2,FALSE),CK712,VLOOKUP(G710,NGPREVPRICES,4,FALSE),HLOOKUP(D710,PREVVOLS,VLOOKUP(G710,MOVE_DOWN2,2,FALSE),FALSE),VLOOKUP(G710,NGPREVPRICES,3,FALSE),HLOOKUP(D710,Correllate,VLOOKUP(G710,CorMove,2,FALSE),FALSE),Q710-$C$3,R710,$CJ$5)*H710-CJ712</f>
        <v>-131.24064406500838</v>
      </c>
      <c r="CI712" s="234">
        <f t="shared" si="865"/>
        <v>-149.10630284901708</v>
      </c>
      <c r="CJ712" s="234">
        <f>_xll.xSPRDOPT((VLOOKUP(G710,NGPREVPRICES,2,FALSE)+HLOOKUP(D710,PREVCURVES,VLOOKUP(G710,MOVE_DOWN2,2,FALSE),FALSE)),VLOOKUP(G710,NGPREVPRICES,2,FALSE),CK712,VLOOKUP(G710,NGPREVPRICES,4,FALSE),HLOOKUP(D710,PREVVOLS,VLOOKUP(G710,MOVE_DOWN2,2,FALSE),FALSE),VLOOKUP(G710,NGPREVPRICES,3,FALSE),HLOOKUP(D710,Correllate,VLOOKUP(G710,CorMove,2,FALSE),FALSE),Q710-$CD$3,R710,$CJ$5)*H710</f>
        <v>92397.701546993601</v>
      </c>
      <c r="CK712" s="235">
        <f t="shared" si="866"/>
        <v>0.42</v>
      </c>
      <c r="CM712" t="str">
        <f t="shared" si="867"/>
        <v>36982Curve Shift/Gamma</v>
      </c>
      <c r="CN712" t="str">
        <f t="shared" si="838"/>
        <v>36982Rho</v>
      </c>
      <c r="CO712" t="str">
        <f t="shared" si="839"/>
        <v>36982Drift</v>
      </c>
      <c r="CP712" t="str">
        <f t="shared" si="840"/>
        <v>36982Vega</v>
      </c>
      <c r="CQ712" t="str">
        <f t="shared" si="841"/>
        <v>36982Theta</v>
      </c>
    </row>
    <row r="713" spans="1:95" x14ac:dyDescent="0.25">
      <c r="A713" s="140" t="s">
        <v>281</v>
      </c>
      <c r="B713" t="s">
        <v>250</v>
      </c>
      <c r="C713" t="s">
        <v>588</v>
      </c>
      <c r="D713" s="4" t="s">
        <v>7</v>
      </c>
      <c r="E713" t="s">
        <v>20</v>
      </c>
      <c r="F713" t="s">
        <v>21</v>
      </c>
      <c r="G713" s="5">
        <v>37073</v>
      </c>
      <c r="H713" s="130">
        <v>500000</v>
      </c>
      <c r="I713" s="235">
        <v>0.42</v>
      </c>
      <c r="J713" s="53">
        <f t="shared" si="868"/>
        <v>3.8029999999999999</v>
      </c>
      <c r="K713" s="7">
        <f t="shared" si="869"/>
        <v>0.46</v>
      </c>
      <c r="L713" s="53">
        <f t="shared" si="870"/>
        <v>4.2629999999999999</v>
      </c>
      <c r="M713" s="157">
        <f t="shared" si="871"/>
        <v>6.9181571268567998E-2</v>
      </c>
      <c r="N713" s="4">
        <f t="shared" si="872"/>
        <v>0.4</v>
      </c>
      <c r="O713" s="4">
        <f t="shared" si="873"/>
        <v>0.39200000000000002</v>
      </c>
      <c r="P713" s="9">
        <f t="shared" si="874"/>
        <v>0.9738</v>
      </c>
      <c r="Q713" s="5">
        <f t="shared" si="875"/>
        <v>37070</v>
      </c>
      <c r="R713" s="4">
        <f t="shared" si="876"/>
        <v>1</v>
      </c>
      <c r="S713" s="158">
        <f>_xll.xSPRDOPT($L713,$J713,$I713,$M713,$O713,$N713,$P713,$Q713-$C$3,$R713,0)</f>
        <v>0.15380649805500343</v>
      </c>
      <c r="T713" s="159">
        <f>_xll.xSPRDOPT($L713,$J713,$I713,$M713,$O713,$N713,$P713,$Q713-$C$3,$R713,1)*H713</f>
        <v>265888.66661401396</v>
      </c>
      <c r="U713" s="160">
        <f t="shared" si="877"/>
        <v>76903.249027501719</v>
      </c>
      <c r="V713" s="159">
        <f>_xll.xSPRDOPT($L713,$J713,$I713,$M713,$O713,$N713,$P713,$Q713-$C$3,$R713,2)*H713</f>
        <v>-251888.11582094818</v>
      </c>
      <c r="W713" s="159">
        <f t="shared" si="878"/>
        <v>14000.550793065777</v>
      </c>
      <c r="X713" s="51" t="str">
        <f t="shared" si="879"/>
        <v>37073IF-TRANSCO/Z6</v>
      </c>
      <c r="Y713" s="418">
        <f t="shared" si="880"/>
        <v>50</v>
      </c>
      <c r="Z713" s="456">
        <f t="shared" si="881"/>
        <v>0.53177733322802789</v>
      </c>
      <c r="AA713" s="456">
        <f>_xll.xSPRDOPT($L713,$J713,$I713,$M713,$O713,$N713,$P713,$Q713-$C$3,$R713,3)</f>
        <v>1.0410104976142858</v>
      </c>
      <c r="AB713" s="456">
        <f>((_xll.xSPRDOPT($L713+AB$5,$J713,$I713,$M713,$O713,$N713,$P713,$Q713-$C$3,$R713,3)*$H713)/10000)/100</f>
        <v>0.52050524880714288</v>
      </c>
      <c r="AC713" s="456">
        <f>((_xll.xSPRDOPT($L713+$AB$5,$J713,$I713,$M713,$O713,$N713,$P713,$Q713-$C$3,$R713,7)*$H713)/100)</f>
        <v>-11090.181893108107</v>
      </c>
      <c r="AD713" s="456">
        <f>(_xll.xSPRDOPT($L713+$AB$5,$J713,$I713,$M713,$O713,$N713,$P713,$Q713-$C$3,$R713,9)/365)*$H713</f>
        <v>-96.250519659075934</v>
      </c>
      <c r="AE713">
        <f t="shared" si="862"/>
        <v>0</v>
      </c>
      <c r="AF713" s="456">
        <f t="shared" si="882"/>
        <v>1677.8744428604077</v>
      </c>
      <c r="AG713" s="456">
        <f>((_xll.xSPRDOPT($L713,$J713,$I713,$M713,$O713,$N713,$P713,$Q713-$C$3,$R713,6)*$H713)/100)</f>
        <v>-1468.3790673451117</v>
      </c>
      <c r="AH713" s="456">
        <f>((_xll.xSPRDOPT($L713,$J713,$I713,$M713,$O713,$N713,$P713,$Q713-$C$3,$R713,5)*$H713)/100)</f>
        <v>3210.4627655158361</v>
      </c>
      <c r="AI713" s="456">
        <f>(((_xll.xSPRDOPT($L713,$J713,$I713,$M713,$O713,$N713,$P713,$Q713-$C$3,$R713,4)*$H713)/10000)/100)-AB713</f>
        <v>1.1479412123198141E-2</v>
      </c>
      <c r="AJ713" s="456"/>
      <c r="CC713" s="141">
        <f t="shared" si="863"/>
        <v>37012</v>
      </c>
      <c r="CD713" s="234">
        <f>_xll.xSPRDOPT((VLOOKUP(G711,NGPrices,2,FALSE)+HLOOKUP(D711,Prices,VLOOKUP(G711,move_down,2,FALSE),FALSE)),VLOOKUP(G711,NGPrices,2,FALSE),I711,VLOOKUP(G711,NGPREVPRICES,4,FALSE),HLOOKUP(D711,PREVVOLS,VLOOKUP(G711,MOVE_DOWN2,2,FALSE),FALSE),VLOOKUP(G711,NGPREVPRICES,3,FALSE),HLOOKUP(D711,Correllate,VLOOKUP(G711,CorMove,2,FALSE),FALSE),Q711-$CD$3,R711,$CD$5)*H711-CJ713</f>
        <v>0</v>
      </c>
      <c r="CE713" s="234">
        <f>_xll.xSPRDOPT((VLOOKUP(G711,NGPREVPRICES,2,FALSE)+HLOOKUP(D711,PREVCURVES,VLOOKUP(G711,MOVE_DOWN2,2,FALSE),FALSE)),VLOOKUP(G711,NGPREVPRICES,2,FALSE),CK713,VLOOKUP(G711,NGPrices,4,FALSE),HLOOKUP(D711,PREVVOLS,VLOOKUP(G711,MOVE_DOWN2,2,FALSE),FALSE),VLOOKUP(G711,NGPREVPRICES,3,FALSE),HLOOKUP(D711,Correllate,VLOOKUP(G711,CorMove,2,FALSE),FALSE),Q711-$CD$3,R711,$CJ$5)*H711-CJ713</f>
        <v>0</v>
      </c>
      <c r="CF713" s="10">
        <f t="shared" si="864"/>
        <v>-11.254320974650909</v>
      </c>
      <c r="CG713" s="234">
        <f>_xll.xSPRDOPT((VLOOKUP(G711,NGPREVPRICES,2,FALSE)+HLOOKUP(D711,PREVCURVES,VLOOKUP(G711,MOVE_DOWN2,2,FALSE),FALSE)),VLOOKUP(G711,NGPREVPRICES,2,FALSE),CK713,VLOOKUP(G711,NGPREVPRICES,4,FALSE),HLOOKUP(D711,VOLS,VLOOKUP(G711,move_down,2,FALSE),FALSE),VLOOKUP(G711,NGPrices,3,FALSE),HLOOKUP(D711,Correllate,VLOOKUP(G711,CorMove,2,FALSE),FALSE),Q711-$CD$3,R711,$CJ$5)*H711-CJ713</f>
        <v>0</v>
      </c>
      <c r="CH713" s="234">
        <f>_xll.xSPRDOPT((VLOOKUP(G711,NGPREVPRICES,2,FALSE)+HLOOKUP(D711,PREVCURVES,VLOOKUP(G711,MOVE_DOWN2,2,FALSE),FALSE)),VLOOKUP(G711,NGPREVPRICES,2,FALSE),CK713,VLOOKUP(G711,NGPREVPRICES,4,FALSE),HLOOKUP(D711,PREVVOLS,VLOOKUP(G711,MOVE_DOWN2,2,FALSE),FALSE),VLOOKUP(G711,NGPREVPRICES,3,FALSE),HLOOKUP(D711,Correllate,VLOOKUP(G711,CorMove,2,FALSE),FALSE),Q711-$C$3,R711,$CJ$5)*H711-CJ713</f>
        <v>-116.62593673238734</v>
      </c>
      <c r="CI713" s="234">
        <f t="shared" si="865"/>
        <v>-127.88025770703825</v>
      </c>
      <c r="CJ713" s="234">
        <f>_xll.xSPRDOPT((VLOOKUP(G711,NGPREVPRICES,2,FALSE)+HLOOKUP(D711,PREVCURVES,VLOOKUP(G711,MOVE_DOWN2,2,FALSE),FALSE)),VLOOKUP(G711,NGPREVPRICES,2,FALSE),CK713,VLOOKUP(G711,NGPREVPRICES,4,FALSE),HLOOKUP(D711,PREVVOLS,VLOOKUP(G711,MOVE_DOWN2,2,FALSE),FALSE),VLOOKUP(G711,NGPREVPRICES,3,FALSE),HLOOKUP(D711,Correllate,VLOOKUP(G711,CorMove,2,FALSE),FALSE),Q711-$CD$3,R711,$CJ$5)*H711</f>
        <v>57853.329190414814</v>
      </c>
      <c r="CK713" s="235">
        <f t="shared" si="866"/>
        <v>0.42</v>
      </c>
      <c r="CM713" t="str">
        <f t="shared" si="867"/>
        <v>37012Curve Shift/Gamma</v>
      </c>
      <c r="CN713" t="str">
        <f t="shared" si="838"/>
        <v>37012Rho</v>
      </c>
      <c r="CO713" t="str">
        <f t="shared" si="839"/>
        <v>37012Drift</v>
      </c>
      <c r="CP713" t="str">
        <f t="shared" si="840"/>
        <v>37012Vega</v>
      </c>
      <c r="CQ713" t="str">
        <f t="shared" si="841"/>
        <v>37012Theta</v>
      </c>
    </row>
    <row r="714" spans="1:95" x14ac:dyDescent="0.25">
      <c r="A714" s="140" t="s">
        <v>281</v>
      </c>
      <c r="B714" t="s">
        <v>250</v>
      </c>
      <c r="C714" t="s">
        <v>588</v>
      </c>
      <c r="D714" s="4" t="s">
        <v>7</v>
      </c>
      <c r="E714" t="s">
        <v>20</v>
      </c>
      <c r="F714" t="s">
        <v>21</v>
      </c>
      <c r="G714" s="5">
        <v>37104</v>
      </c>
      <c r="H714" s="130">
        <v>500000</v>
      </c>
      <c r="I714" s="235">
        <v>0.42</v>
      </c>
      <c r="J714" s="53">
        <f t="shared" si="868"/>
        <v>3.8079999999999998</v>
      </c>
      <c r="K714" s="7">
        <f t="shared" si="869"/>
        <v>0.46</v>
      </c>
      <c r="L714" s="53">
        <f t="shared" si="870"/>
        <v>4.2679999999999998</v>
      </c>
      <c r="M714" s="157">
        <f t="shared" si="871"/>
        <v>6.9223060737754999E-2</v>
      </c>
      <c r="N714" s="4">
        <f t="shared" si="872"/>
        <v>0.4</v>
      </c>
      <c r="O714" s="4">
        <f t="shared" si="873"/>
        <v>0.39200000000000002</v>
      </c>
      <c r="P714" s="9">
        <f t="shared" si="874"/>
        <v>0.9738</v>
      </c>
      <c r="Q714" s="5">
        <f t="shared" si="875"/>
        <v>37102</v>
      </c>
      <c r="R714" s="4">
        <f t="shared" si="876"/>
        <v>1</v>
      </c>
      <c r="S714" s="158">
        <f>_xll.xSPRDOPT($L714,$J714,$I714,$M714,$O714,$N714,$P714,$Q714-$C$3,$R714,0)</f>
        <v>0.15989177961131337</v>
      </c>
      <c r="T714" s="159">
        <f>_xll.xSPRDOPT($L714,$J714,$I714,$M714,$O714,$N714,$P714,$Q714-$C$3,$R714,1)*H714</f>
        <v>263681.47736838495</v>
      </c>
      <c r="U714" s="160">
        <f t="shared" si="877"/>
        <v>79945.889805656683</v>
      </c>
      <c r="V714" s="159">
        <f>_xll.xSPRDOPT($L714,$J714,$I714,$M714,$O714,$N714,$P714,$Q714-$C$3,$R714,2)*H714</f>
        <v>-249036.88137964372</v>
      </c>
      <c r="W714" s="159">
        <f t="shared" si="878"/>
        <v>14644.595988741232</v>
      </c>
      <c r="X714" s="51" t="str">
        <f t="shared" si="879"/>
        <v>37104IF-TRANSCO/Z6</v>
      </c>
      <c r="Y714" s="418">
        <f t="shared" si="880"/>
        <v>50</v>
      </c>
      <c r="Z714" s="456">
        <f t="shared" si="881"/>
        <v>0.52736295473676986</v>
      </c>
      <c r="AA714" s="456">
        <f>_xll.xSPRDOPT($L714,$J714,$I714,$M714,$O714,$N714,$P714,$Q714-$C$3,$R714,3)</f>
        <v>0.98325666313739934</v>
      </c>
      <c r="AB714" s="456">
        <f>((_xll.xSPRDOPT($L714+AB$5,$J714,$I714,$M714,$O714,$N714,$P714,$Q714-$C$3,$R714,3)*$H714)/10000)/100</f>
        <v>0.49162833156869967</v>
      </c>
      <c r="AC714" s="456">
        <f>((_xll.xSPRDOPT($L714+$AB$5,$J714,$I714,$M714,$O714,$N714,$P714,$Q714-$C$3,$R714,7)*$H714)/100)</f>
        <v>-11612.169704291013</v>
      </c>
      <c r="AD714" s="456">
        <f>(_xll.xSPRDOPT($L714+$AB$5,$J714,$I714,$M714,$O714,$N714,$P714,$Q714-$C$3,$R714,9)/365)*$H714</f>
        <v>-89.888238912798315</v>
      </c>
      <c r="AE714">
        <f t="shared" si="862"/>
        <v>0</v>
      </c>
      <c r="AF714" s="456">
        <f t="shared" si="882"/>
        <v>1758.385634292398</v>
      </c>
      <c r="AG714" s="456">
        <f>((_xll.xSPRDOPT($L714,$J714,$I714,$M714,$O714,$N714,$P714,$Q714-$C$3,$R714,6)*$H714)/100)</f>
        <v>-1525.5861365845942</v>
      </c>
      <c r="AH714" s="456">
        <f>((_xll.xSPRDOPT($L714,$J714,$I714,$M714,$O714,$N714,$P714,$Q714-$C$3,$R714,5)*$H714)/100)</f>
        <v>3350.9916029357064</v>
      </c>
      <c r="AI714" s="456">
        <f>(((_xll.xSPRDOPT($L714,$J714,$I714,$M714,$O714,$N714,$P714,$Q714-$C$3,$R714,4)*$H714)/10000)/100)-AB714</f>
        <v>1.1089124942848527E-2</v>
      </c>
      <c r="AJ714" s="456"/>
      <c r="CC714" s="141">
        <f t="shared" si="863"/>
        <v>37043</v>
      </c>
      <c r="CD714" s="234">
        <f>_xll.xSPRDOPT((VLOOKUP(G712,NGPrices,2,FALSE)+HLOOKUP(D712,Prices,VLOOKUP(G712,move_down,2,FALSE),FALSE)),VLOOKUP(G712,NGPrices,2,FALSE),I712,VLOOKUP(G712,NGPREVPRICES,4,FALSE),HLOOKUP(D712,PREVVOLS,VLOOKUP(G712,MOVE_DOWN2,2,FALSE),FALSE),VLOOKUP(G712,NGPREVPRICES,3,FALSE),HLOOKUP(D712,Correllate,VLOOKUP(G712,CorMove,2,FALSE),FALSE),Q712-$CD$3,R712,$CD$5)*H712-CJ714</f>
        <v>0</v>
      </c>
      <c r="CE714" s="234">
        <f>_xll.xSPRDOPT((VLOOKUP(G712,NGPREVPRICES,2,FALSE)+HLOOKUP(D712,PREVCURVES,VLOOKUP(G712,MOVE_DOWN2,2,FALSE),FALSE)),VLOOKUP(G712,NGPREVPRICES,2,FALSE),CK714,VLOOKUP(G712,NGPrices,4,FALSE),HLOOKUP(D712,PREVVOLS,VLOOKUP(G712,MOVE_DOWN2,2,FALSE),FALSE),VLOOKUP(G712,NGPREVPRICES,3,FALSE),HLOOKUP(D712,Correllate,VLOOKUP(G712,CorMove,2,FALSE),FALSE),Q712-$CD$3,R712,$CJ$5)*H712-CJ714</f>
        <v>0</v>
      </c>
      <c r="CF714" s="10">
        <f t="shared" si="864"/>
        <v>-11.370668411022052</v>
      </c>
      <c r="CG714" s="234">
        <f>_xll.xSPRDOPT((VLOOKUP(G712,NGPREVPRICES,2,FALSE)+HLOOKUP(D712,PREVCURVES,VLOOKUP(G712,MOVE_DOWN2,2,FALSE),FALSE)),VLOOKUP(G712,NGPREVPRICES,2,FALSE),CK714,VLOOKUP(G712,NGPREVPRICES,4,FALSE),HLOOKUP(D712,VOLS,VLOOKUP(G712,move_down,2,FALSE),FALSE),VLOOKUP(G712,NGPrices,3,FALSE),HLOOKUP(D712,Correllate,VLOOKUP(G712,CorMove,2,FALSE),FALSE),Q712-$CD$3,R712,$CJ$5)*H712-CJ714</f>
        <v>0</v>
      </c>
      <c r="CH714" s="234">
        <f>_xll.xSPRDOPT((VLOOKUP(G712,NGPREVPRICES,2,FALSE)+HLOOKUP(D712,PREVCURVES,VLOOKUP(G712,MOVE_DOWN2,2,FALSE),FALSE)),VLOOKUP(G712,NGPREVPRICES,2,FALSE),CK714,VLOOKUP(G712,NGPREVPRICES,4,FALSE),HLOOKUP(D712,PREVVOLS,VLOOKUP(G712,MOVE_DOWN2,2,FALSE),FALSE),VLOOKUP(G712,NGPREVPRICES,3,FALSE),HLOOKUP(D712,Correllate,VLOOKUP(G712,CorMove,2,FALSE),FALSE),Q712-$C$3,R712,$CJ$5)*H712-CJ714</f>
        <v>-105.65670822963148</v>
      </c>
      <c r="CI714" s="234">
        <f t="shared" si="865"/>
        <v>-117.02737664065353</v>
      </c>
      <c r="CJ714" s="234">
        <f>_xll.xSPRDOPT((VLOOKUP(G712,NGPREVPRICES,2,FALSE)+HLOOKUP(D712,PREVCURVES,VLOOKUP(G712,MOVE_DOWN2,2,FALSE),FALSE)),VLOOKUP(G712,NGPREVPRICES,2,FALSE),CK714,VLOOKUP(G712,NGPREVPRICES,4,FALSE),HLOOKUP(D712,PREVVOLS,VLOOKUP(G712,MOVE_DOWN2,2,FALSE),FALSE),VLOOKUP(G712,NGPREVPRICES,3,FALSE),HLOOKUP(D712,Correllate,VLOOKUP(G712,CorMove,2,FALSE),FALSE),Q712-$CD$3,R712,$CJ$5)*H712</f>
        <v>58086.061553279338</v>
      </c>
      <c r="CK714" s="235">
        <f t="shared" si="866"/>
        <v>0.42</v>
      </c>
      <c r="CM714" t="str">
        <f t="shared" si="867"/>
        <v>37043Curve Shift/Gamma</v>
      </c>
      <c r="CN714" t="str">
        <f t="shared" si="838"/>
        <v>37043Rho</v>
      </c>
      <c r="CO714" t="str">
        <f t="shared" si="839"/>
        <v>37043Drift</v>
      </c>
      <c r="CP714" t="str">
        <f t="shared" si="840"/>
        <v>37043Vega</v>
      </c>
      <c r="CQ714" t="str">
        <f t="shared" si="841"/>
        <v>37043Theta</v>
      </c>
    </row>
    <row r="715" spans="1:95" x14ac:dyDescent="0.25">
      <c r="A715" s="140" t="s">
        <v>281</v>
      </c>
      <c r="B715" t="s">
        <v>250</v>
      </c>
      <c r="C715" t="s">
        <v>588</v>
      </c>
      <c r="D715" s="4" t="s">
        <v>7</v>
      </c>
      <c r="E715" t="s">
        <v>20</v>
      </c>
      <c r="F715" t="s">
        <v>21</v>
      </c>
      <c r="G715" s="5">
        <v>37135</v>
      </c>
      <c r="H715" s="130">
        <v>500000</v>
      </c>
      <c r="I715" s="235">
        <v>0.42</v>
      </c>
      <c r="J715" s="53">
        <f t="shared" si="868"/>
        <v>3.7879999999999998</v>
      </c>
      <c r="K715" s="7">
        <f t="shared" si="869"/>
        <v>0.39500000000000002</v>
      </c>
      <c r="L715" s="53">
        <f t="shared" si="870"/>
        <v>4.1829999999999998</v>
      </c>
      <c r="M715" s="157">
        <f t="shared" si="871"/>
        <v>6.9264550207512002E-2</v>
      </c>
      <c r="N715" s="4">
        <f t="shared" si="872"/>
        <v>0.4</v>
      </c>
      <c r="O715" s="4">
        <f t="shared" si="873"/>
        <v>0.39200000000000002</v>
      </c>
      <c r="P715" s="9">
        <f t="shared" si="874"/>
        <v>0.9738</v>
      </c>
      <c r="Q715" s="5">
        <f t="shared" si="875"/>
        <v>37133</v>
      </c>
      <c r="R715" s="4">
        <f t="shared" si="876"/>
        <v>1</v>
      </c>
      <c r="S715" s="158">
        <f>_xll.xSPRDOPT($L715,$J715,$I715,$M715,$O715,$N715,$P715,$Q715-$C$3,$R715,0)</f>
        <v>0.13264623743062773</v>
      </c>
      <c r="T715" s="159">
        <f>_xll.xSPRDOPT($L715,$J715,$I715,$M715,$O715,$N715,$P715,$Q715-$C$3,$R715,1)*H715</f>
        <v>230757.66773745543</v>
      </c>
      <c r="U715" s="160">
        <f t="shared" si="877"/>
        <v>66323.11871531386</v>
      </c>
      <c r="V715" s="159">
        <f>_xll.xSPRDOPT($L715,$J715,$I715,$M715,$O715,$N715,$P715,$Q715-$C$3,$R715,2)*H715</f>
        <v>-215429.78511835221</v>
      </c>
      <c r="W715" s="159">
        <f t="shared" si="878"/>
        <v>15327.882619103213</v>
      </c>
      <c r="X715" s="51" t="str">
        <f t="shared" si="879"/>
        <v>37135IF-TRANSCO/Z6</v>
      </c>
      <c r="Y715" s="418">
        <f t="shared" si="880"/>
        <v>50</v>
      </c>
      <c r="Z715" s="456">
        <f t="shared" si="881"/>
        <v>0.46151533547491086</v>
      </c>
      <c r="AA715" s="456">
        <f>_xll.xSPRDOPT($L715,$J715,$I715,$M715,$O715,$N715,$P715,$Q715-$C$3,$R715,3)</f>
        <v>0.96659001949611822</v>
      </c>
      <c r="AB715" s="456">
        <f>((_xll.xSPRDOPT($L715+AB$5,$J715,$I715,$M715,$O715,$N715,$P715,$Q715-$C$3,$R715,3)*$H715)/10000)/100</f>
        <v>0.48329500974805911</v>
      </c>
      <c r="AC715" s="456">
        <f>((_xll.xSPRDOPT($L715+$AB$5,$J715,$I715,$M715,$O715,$N715,$P715,$Q715-$C$3,$R715,7)*$H715)/100)</f>
        <v>-11994.470511039442</v>
      </c>
      <c r="AD715" s="456">
        <f>(_xll.xSPRDOPT($L715+$AB$5,$J715,$I715,$M715,$O715,$N715,$P715,$Q715-$C$3,$R715,9)/365)*$H715</f>
        <v>-86.49315536345523</v>
      </c>
      <c r="AE715">
        <f t="shared" si="862"/>
        <v>0</v>
      </c>
      <c r="AF715" s="456">
        <f t="shared" si="882"/>
        <v>1811.9049741564772</v>
      </c>
      <c r="AG715" s="456">
        <f>((_xll.xSPRDOPT($L715,$J715,$I715,$M715,$O715,$N715,$P715,$Q715-$C$3,$R715,6)*$H715)/100)</f>
        <v>-1540.5690969852785</v>
      </c>
      <c r="AH715" s="456">
        <f>((_xll.xSPRDOPT($L715,$J715,$I715,$M715,$O715,$N715,$P715,$Q715-$C$3,$R715,5)*$H715)/100)</f>
        <v>3420.8919093283221</v>
      </c>
      <c r="AI715" s="456">
        <f>(((_xll.xSPRDOPT($L715,$J715,$I715,$M715,$O715,$N715,$P715,$Q715-$C$3,$R715,4)*$H715)/10000)/100)-AB715</f>
        <v>-2.3668771777039521E-3</v>
      </c>
      <c r="AJ715" s="456"/>
      <c r="CC715" s="141">
        <f t="shared" si="863"/>
        <v>37073</v>
      </c>
      <c r="CD715" s="234">
        <f>_xll.xSPRDOPT((VLOOKUP(G713,NGPrices,2,FALSE)+HLOOKUP(D713,Prices,VLOOKUP(G713,move_down,2,FALSE),FALSE)),VLOOKUP(G713,NGPrices,2,FALSE),I713,VLOOKUP(G713,NGPREVPRICES,4,FALSE),HLOOKUP(D713,PREVVOLS,VLOOKUP(G713,MOVE_DOWN2,2,FALSE),FALSE),VLOOKUP(G713,NGPREVPRICES,3,FALSE),HLOOKUP(D713,Correllate,VLOOKUP(G713,CorMove,2,FALSE),FALSE),Q713-$CD$3,R713,$CD$5)*H713-CJ715</f>
        <v>0</v>
      </c>
      <c r="CE715" s="234">
        <f>_xll.xSPRDOPT((VLOOKUP(G713,NGPREVPRICES,2,FALSE)+HLOOKUP(D713,PREVCURVES,VLOOKUP(G713,MOVE_DOWN2,2,FALSE),FALSE)),VLOOKUP(G713,NGPREVPRICES,2,FALSE),CK715,VLOOKUP(G713,NGPrices,4,FALSE),HLOOKUP(D713,PREVVOLS,VLOOKUP(G713,MOVE_DOWN2,2,FALSE),FALSE),VLOOKUP(G713,NGPREVPRICES,3,FALSE),HLOOKUP(D713,Correllate,VLOOKUP(G713,CorMove,2,FALSE),FALSE),Q713-$CD$3,R713,$CJ$5)*H713-CJ715</f>
        <v>0</v>
      </c>
      <c r="CF715" s="10">
        <f t="shared" si="864"/>
        <v>-15.164200583560159</v>
      </c>
      <c r="CG715" s="234">
        <f>_xll.xSPRDOPT((VLOOKUP(G713,NGPREVPRICES,2,FALSE)+HLOOKUP(D713,PREVCURVES,VLOOKUP(G713,MOVE_DOWN2,2,FALSE),FALSE)),VLOOKUP(G713,NGPREVPRICES,2,FALSE),CK715,VLOOKUP(G713,NGPREVPRICES,4,FALSE),HLOOKUP(D713,VOLS,VLOOKUP(G713,move_down,2,FALSE),FALSE),VLOOKUP(G713,NGPrices,3,FALSE),HLOOKUP(D713,Correllate,VLOOKUP(G713,CorMove,2,FALSE),FALSE),Q713-$CD$3,R713,$CJ$5)*H713-CJ715</f>
        <v>0</v>
      </c>
      <c r="CH715" s="234">
        <f>_xll.xSPRDOPT((VLOOKUP(G713,NGPREVPRICES,2,FALSE)+HLOOKUP(D713,PREVCURVES,VLOOKUP(G713,MOVE_DOWN2,2,FALSE),FALSE)),VLOOKUP(G713,NGPREVPRICES,2,FALSE),CK715,VLOOKUP(G713,NGPREVPRICES,4,FALSE),HLOOKUP(D713,PREVVOLS,VLOOKUP(G713,MOVE_DOWN2,2,FALSE),FALSE),VLOOKUP(G713,NGPREVPRICES,3,FALSE),HLOOKUP(D713,Correllate,VLOOKUP(G713,CorMove,2,FALSE),FALSE),Q713-$C$3,R713,$CJ$5)*H713-CJ715</f>
        <v>-96.07691878217156</v>
      </c>
      <c r="CI715" s="234">
        <f t="shared" si="865"/>
        <v>-111.24111936573172</v>
      </c>
      <c r="CJ715" s="234">
        <f>_xll.xSPRDOPT((VLOOKUP(G713,NGPREVPRICES,2,FALSE)+HLOOKUP(D713,PREVCURVES,VLOOKUP(G713,MOVE_DOWN2,2,FALSE),FALSE)),VLOOKUP(G713,NGPREVPRICES,2,FALSE),CK715,VLOOKUP(G713,NGPREVPRICES,4,FALSE),HLOOKUP(D713,PREVVOLS,VLOOKUP(G713,MOVE_DOWN2,2,FALSE),FALSE),VLOOKUP(G713,NGPREVPRICES,3,FALSE),HLOOKUP(D713,Correllate,VLOOKUP(G713,CorMove,2,FALSE),FALSE),Q713-$CD$3,R713,$CJ$5)*H713</f>
        <v>76999.325946283891</v>
      </c>
      <c r="CK715" s="235">
        <f t="shared" si="866"/>
        <v>0.42</v>
      </c>
      <c r="CM715" t="str">
        <f t="shared" si="867"/>
        <v>37073Curve Shift/Gamma</v>
      </c>
      <c r="CN715" t="str">
        <f t="shared" si="838"/>
        <v>37073Rho</v>
      </c>
      <c r="CO715" t="str">
        <f t="shared" si="839"/>
        <v>37073Drift</v>
      </c>
      <c r="CP715" t="str">
        <f t="shared" si="840"/>
        <v>37073Vega</v>
      </c>
      <c r="CQ715" t="str">
        <f t="shared" si="841"/>
        <v>37073Theta</v>
      </c>
    </row>
    <row r="716" spans="1:95" x14ac:dyDescent="0.25">
      <c r="A716" s="140" t="s">
        <v>281</v>
      </c>
      <c r="B716" t="s">
        <v>250</v>
      </c>
      <c r="C716" t="s">
        <v>588</v>
      </c>
      <c r="D716" s="4" t="s">
        <v>7</v>
      </c>
      <c r="E716" t="s">
        <v>20</v>
      </c>
      <c r="F716" t="s">
        <v>21</v>
      </c>
      <c r="G716" s="5">
        <v>37165</v>
      </c>
      <c r="H716" s="130">
        <v>500000</v>
      </c>
      <c r="I716" s="235">
        <v>0.42</v>
      </c>
      <c r="J716" s="53">
        <f t="shared" si="868"/>
        <v>3.7730000000000001</v>
      </c>
      <c r="K716" s="7">
        <f t="shared" si="869"/>
        <v>0.46100000000000002</v>
      </c>
      <c r="L716" s="53">
        <f t="shared" si="870"/>
        <v>4.234</v>
      </c>
      <c r="M716" s="157">
        <f t="shared" si="871"/>
        <v>6.9300944538363995E-2</v>
      </c>
      <c r="N716" s="4">
        <f t="shared" si="872"/>
        <v>0.40250000000000002</v>
      </c>
      <c r="O716" s="4">
        <f t="shared" si="873"/>
        <v>0.39400000000000002</v>
      </c>
      <c r="P716" s="9">
        <f t="shared" si="874"/>
        <v>0.9738</v>
      </c>
      <c r="Q716" s="5">
        <f t="shared" si="875"/>
        <v>37161</v>
      </c>
      <c r="R716" s="4">
        <f t="shared" si="876"/>
        <v>1</v>
      </c>
      <c r="S716" s="158">
        <f>_xll.xSPRDOPT($L716,$J716,$I716,$M716,$O716,$N716,$P716,$Q716-$C$3,$R716,0)</f>
        <v>0.16990916160627231</v>
      </c>
      <c r="T716" s="159">
        <f>_xll.xSPRDOPT($L716,$J716,$I716,$M716,$O716,$N716,$P716,$Q716-$C$3,$R716,1)*H716</f>
        <v>260550.4859518219</v>
      </c>
      <c r="U716" s="160">
        <f t="shared" si="877"/>
        <v>84954.580803136152</v>
      </c>
      <c r="V716" s="159">
        <f>_xll.xSPRDOPT($L716,$J716,$I716,$M716,$O716,$N716,$P716,$Q716-$C$3,$R716,2)*H716</f>
        <v>-244771.97349054113</v>
      </c>
      <c r="W716" s="159">
        <f t="shared" si="878"/>
        <v>15778.51246128077</v>
      </c>
      <c r="X716" s="51" t="str">
        <f t="shared" si="879"/>
        <v>37165IF-TRANSCO/Z6</v>
      </c>
      <c r="Y716" s="418">
        <f t="shared" si="880"/>
        <v>50</v>
      </c>
      <c r="Z716" s="456">
        <f t="shared" si="881"/>
        <v>0.52110097190364379</v>
      </c>
      <c r="AA716" s="456">
        <f>_xll.xSPRDOPT($L716,$J716,$I716,$M716,$O716,$N716,$P716,$Q716-$C$3,$R716,3)</f>
        <v>0.89891962949520388</v>
      </c>
      <c r="AB716" s="456">
        <f>((_xll.xSPRDOPT($L716+AB$5,$J716,$I716,$M716,$O716,$N716,$P716,$Q716-$C$3,$R716,3)*$H716)/10000)/100</f>
        <v>0.44945981474760194</v>
      </c>
      <c r="AC716" s="456">
        <f>((_xll.xSPRDOPT($L716+$AB$5,$J716,$I716,$M716,$O716,$N716,$P716,$Q716-$C$3,$R716,7)*$H716)/100)</f>
        <v>-12420.989637776684</v>
      </c>
      <c r="AD716" s="456">
        <f>(_xll.xSPRDOPT($L716+$AB$5,$J716,$I716,$M716,$O716,$N716,$P716,$Q716-$C$3,$R716,9)/365)*$H716</f>
        <v>-79.631724461092489</v>
      </c>
      <c r="AE716">
        <f t="shared" si="862"/>
        <v>0</v>
      </c>
      <c r="AF716" s="456">
        <f t="shared" si="882"/>
        <v>1873.5043093558625</v>
      </c>
      <c r="AG716" s="456">
        <f>((_xll.xSPRDOPT($L716,$J716,$I716,$M716,$O716,$N716,$P716,$Q716-$C$3,$R716,6)*$H716)/100)</f>
        <v>-1596.9771475463549</v>
      </c>
      <c r="AH716" s="456">
        <f>((_xll.xSPRDOPT($L716,$J716,$I716,$M716,$O716,$N716,$P716,$Q716-$C$3,$R716,5)*$H716)/100)</f>
        <v>3545.3522497541685</v>
      </c>
      <c r="AI716" s="456">
        <f>(((_xll.xSPRDOPT($L716,$J716,$I716,$M716,$O716,$N716,$P716,$Q716-$C$3,$R716,4)*$H716)/10000)/100)-AB716</f>
        <v>1.0904632941556469E-2</v>
      </c>
      <c r="AJ716" s="456"/>
      <c r="CC716" s="141">
        <f t="shared" si="863"/>
        <v>37104</v>
      </c>
      <c r="CD716" s="234">
        <f>_xll.xSPRDOPT((VLOOKUP(G714,NGPrices,2,FALSE)+HLOOKUP(D714,Prices,VLOOKUP(G714,move_down,2,FALSE),FALSE)),VLOOKUP(G714,NGPrices,2,FALSE),I714,VLOOKUP(G714,NGPREVPRICES,4,FALSE),HLOOKUP(D714,PREVVOLS,VLOOKUP(G714,MOVE_DOWN2,2,FALSE),FALSE),VLOOKUP(G714,NGPREVPRICES,3,FALSE),HLOOKUP(D714,Correllate,VLOOKUP(G714,CorMove,2,FALSE),FALSE),Q714-$CD$3,R714,$CD$5)*H714-CJ716</f>
        <v>0</v>
      </c>
      <c r="CE716" s="234">
        <f>_xll.xSPRDOPT((VLOOKUP(G714,NGPREVPRICES,2,FALSE)+HLOOKUP(D714,PREVCURVES,VLOOKUP(G714,MOVE_DOWN2,2,FALSE),FALSE)),VLOOKUP(G714,NGPREVPRICES,2,FALSE),CK716,VLOOKUP(G714,NGPrices,4,FALSE),HLOOKUP(D714,PREVVOLS,VLOOKUP(G714,MOVE_DOWN2,2,FALSE),FALSE),VLOOKUP(G714,NGPREVPRICES,3,FALSE),HLOOKUP(D714,Correllate,VLOOKUP(G714,CorMove,2,FALSE),FALSE),Q714-$CD$3,R714,$CJ$5)*H714-CJ716</f>
        <v>0</v>
      </c>
      <c r="CF716" s="10">
        <f t="shared" si="864"/>
        <v>-15.859448922550655</v>
      </c>
      <c r="CG716" s="234">
        <f>_xll.xSPRDOPT((VLOOKUP(G714,NGPREVPRICES,2,FALSE)+HLOOKUP(D714,PREVCURVES,VLOOKUP(G714,MOVE_DOWN2,2,FALSE),FALSE)),VLOOKUP(G714,NGPREVPRICES,2,FALSE),CK716,VLOOKUP(G714,NGPREVPRICES,4,FALSE),HLOOKUP(D714,VOLS,VLOOKUP(G714,move_down,2,FALSE),FALSE),VLOOKUP(G714,NGPrices,3,FALSE),HLOOKUP(D714,Correllate,VLOOKUP(G714,CorMove,2,FALSE),FALSE),Q714-$CD$3,R714,$CJ$5)*H714-CJ716</f>
        <v>0</v>
      </c>
      <c r="CH716" s="234">
        <f>_xll.xSPRDOPT((VLOOKUP(G714,NGPREVPRICES,2,FALSE)+HLOOKUP(D714,PREVCURVES,VLOOKUP(G714,MOVE_DOWN2,2,FALSE),FALSE)),VLOOKUP(G714,NGPREVPRICES,2,FALSE),CK716,VLOOKUP(G714,NGPREVPRICES,4,FALSE),HLOOKUP(D714,PREVVOLS,VLOOKUP(G714,MOVE_DOWN2,2,FALSE),FALSE),VLOOKUP(G714,NGPREVPRICES,3,FALSE),HLOOKUP(D714,Correllate,VLOOKUP(G714,CorMove,2,FALSE),FALSE),Q714-$C$3,R714,$CJ$5)*H714-CJ716</f>
        <v>-89.732740155319334</v>
      </c>
      <c r="CI716" s="234">
        <f t="shared" si="865"/>
        <v>-105.59218907786999</v>
      </c>
      <c r="CJ716" s="234">
        <f>_xll.xSPRDOPT((VLOOKUP(G714,NGPREVPRICES,2,FALSE)+HLOOKUP(D714,PREVCURVES,VLOOKUP(G714,MOVE_DOWN2,2,FALSE),FALSE)),VLOOKUP(G714,NGPREVPRICES,2,FALSE),CK716,VLOOKUP(G714,NGPREVPRICES,4,FALSE),HLOOKUP(D714,PREVVOLS,VLOOKUP(G714,MOVE_DOWN2,2,FALSE),FALSE),VLOOKUP(G714,NGPREVPRICES,3,FALSE),HLOOKUP(D714,Correllate,VLOOKUP(G714,CorMove,2,FALSE),FALSE),Q714-$CD$3,R714,$CJ$5)*H714</f>
        <v>80035.622545812002</v>
      </c>
      <c r="CK716" s="235">
        <f t="shared" si="866"/>
        <v>0.42</v>
      </c>
      <c r="CM716" t="str">
        <f t="shared" si="867"/>
        <v>37104Curve Shift/Gamma</v>
      </c>
      <c r="CN716" t="str">
        <f t="shared" si="838"/>
        <v>37104Rho</v>
      </c>
      <c r="CO716" t="str">
        <f t="shared" si="839"/>
        <v>37104Drift</v>
      </c>
      <c r="CP716" t="str">
        <f t="shared" si="840"/>
        <v>37104Vega</v>
      </c>
      <c r="CQ716" t="str">
        <f t="shared" si="841"/>
        <v>37104Theta</v>
      </c>
    </row>
    <row r="717" spans="1:95" x14ac:dyDescent="0.25">
      <c r="A717" s="140" t="s">
        <v>281</v>
      </c>
      <c r="B717" t="s">
        <v>250</v>
      </c>
      <c r="C717" t="s">
        <v>589</v>
      </c>
      <c r="D717" s="4" t="s">
        <v>7</v>
      </c>
      <c r="E717" t="s">
        <v>20</v>
      </c>
      <c r="F717" t="s">
        <v>1</v>
      </c>
      <c r="G717" s="5">
        <v>36982</v>
      </c>
      <c r="H717" s="130">
        <v>500000</v>
      </c>
      <c r="I717" s="235">
        <v>0.42</v>
      </c>
      <c r="J717" s="53">
        <f t="shared" si="868"/>
        <v>3.9380000000000002</v>
      </c>
      <c r="K717" s="7">
        <f t="shared" si="869"/>
        <v>0.52</v>
      </c>
      <c r="L717" s="53">
        <f t="shared" si="870"/>
        <v>4.4580000000000002</v>
      </c>
      <c r="M717" s="157">
        <f t="shared" si="871"/>
        <v>6.9061726541120999E-2</v>
      </c>
      <c r="N717" s="4">
        <f t="shared" si="872"/>
        <v>0.4425</v>
      </c>
      <c r="O717" s="4">
        <f t="shared" si="873"/>
        <v>0.434</v>
      </c>
      <c r="P717" s="9">
        <f t="shared" si="874"/>
        <v>0.9738</v>
      </c>
      <c r="Q717" s="5">
        <f t="shared" si="875"/>
        <v>36979</v>
      </c>
      <c r="R717" s="4">
        <f t="shared" si="876"/>
        <v>0</v>
      </c>
      <c r="S717" s="158">
        <f>_xll.xSPRDOPT($L717,$J717,$I717,$M717,$O717,$N717,$P717,$Q717-$C$3,$R717,0)</f>
        <v>8.8462154716150543E-2</v>
      </c>
      <c r="T717" s="159">
        <f>_xll.xSPRDOPT($L717,$J717,$I717,$M717,$O717,$N717,$P717,$Q717-$C$3,$R717,1)*H717</f>
        <v>-177067.15276529279</v>
      </c>
      <c r="U717" s="160">
        <f t="shared" si="877"/>
        <v>44231.077358075272</v>
      </c>
      <c r="V717" s="159">
        <f>_xll.xSPRDOPT($L717,$J717,$I717,$M717,$O717,$N717,$P717,$Q717-$C$3,$R717,2)*H717</f>
        <v>189808.19609443384</v>
      </c>
      <c r="W717" s="159">
        <f t="shared" si="878"/>
        <v>12741.043329141045</v>
      </c>
      <c r="X717" s="51" t="str">
        <f t="shared" si="879"/>
        <v>36982IF-TRANSCO/Z6</v>
      </c>
      <c r="Y717" s="418">
        <f t="shared" si="880"/>
        <v>50</v>
      </c>
      <c r="Z717" s="456">
        <f t="shared" si="881"/>
        <v>-0.35413430553058556</v>
      </c>
      <c r="AA717" s="456">
        <f>_xll.xSPRDOPT($L717,$J717,$I717,$M717,$O717,$N717,$P717,$Q717-$C$3,$R717,3)</f>
        <v>1.0485140460267834</v>
      </c>
      <c r="AB717" s="456">
        <f>((_xll.xSPRDOPT($L717+AB$5,$J717,$I717,$M717,$O717,$N717,$P717,$Q717-$C$3,$R717,3)*$H717)/10000)/100</f>
        <v>0.52425702301339172</v>
      </c>
      <c r="AC717" s="456">
        <f>((_xll.xSPRDOPT($L717+$AB$5,$J717,$I717,$M717,$O717,$N717,$P717,$Q717-$C$3,$R717,7)*$H717)/100)</f>
        <v>-10486.44867508933</v>
      </c>
      <c r="AD717" s="456">
        <f>(_xll.xSPRDOPT($L717+$AB$5,$J717,$I717,$M717,$O717,$N717,$P717,$Q717-$C$3,$R717,9)/365)*$H717</f>
        <v>-140.60277945168798</v>
      </c>
      <c r="AE717">
        <f t="shared" si="862"/>
        <v>0</v>
      </c>
      <c r="AF717" s="456">
        <f t="shared" si="882"/>
        <v>1426.4584549714584</v>
      </c>
      <c r="AG717" s="456">
        <f>((_xll.xSPRDOPT($L717,$J717,$I717,$M717,$O717,$N717,$P717,$Q717-$C$3,$R717,6)*$H717)/100)</f>
        <v>-1237.8660701276469</v>
      </c>
      <c r="AH717" s="456">
        <f>((_xll.xSPRDOPT($L717,$J717,$I717,$M717,$O717,$N717,$P717,$Q717-$C$3,$R717,5)*$H717)/100)</f>
        <v>2716.5059962127975</v>
      </c>
      <c r="AI717" s="456">
        <f>(((_xll.xSPRDOPT($L717,$J717,$I717,$M717,$O717,$N717,$P717,$Q717-$C$3,$R717,4)*$H717)/10000)/100)-AB717</f>
        <v>2.405909315979049E-2</v>
      </c>
      <c r="AJ717" s="456"/>
      <c r="CC717" s="141">
        <f t="shared" si="863"/>
        <v>37135</v>
      </c>
      <c r="CD717" s="234">
        <f>_xll.xSPRDOPT((VLOOKUP(G715,NGPrices,2,FALSE)+HLOOKUP(D715,Prices,VLOOKUP(G715,move_down,2,FALSE),FALSE)),VLOOKUP(G715,NGPrices,2,FALSE),I715,VLOOKUP(G715,NGPREVPRICES,4,FALSE),HLOOKUP(D715,PREVVOLS,VLOOKUP(G715,MOVE_DOWN2,2,FALSE),FALSE),VLOOKUP(G715,NGPREVPRICES,3,FALSE),HLOOKUP(D715,Correllate,VLOOKUP(G715,CorMove,2,FALSE),FALSE),Q715-$CD$3,R715,$CD$5)*H715-CJ717</f>
        <v>0</v>
      </c>
      <c r="CE717" s="234">
        <f>_xll.xSPRDOPT((VLOOKUP(G715,NGPREVPRICES,2,FALSE)+HLOOKUP(D715,PREVCURVES,VLOOKUP(G715,MOVE_DOWN2,2,FALSE),FALSE)),VLOOKUP(G715,NGPREVPRICES,2,FALSE),CK717,VLOOKUP(G715,NGPrices,4,FALSE),HLOOKUP(D715,PREVVOLS,VLOOKUP(G715,MOVE_DOWN2,2,FALSE),FALSE),VLOOKUP(G715,NGPREVPRICES,3,FALSE),HLOOKUP(D715,Correllate,VLOOKUP(G715,CorMove,2,FALSE),FALSE),Q715-$CD$3,R715,$CJ$5)*H715-CJ717</f>
        <v>0</v>
      </c>
      <c r="CF717" s="10">
        <f t="shared" si="864"/>
        <v>-13.240631684384425</v>
      </c>
      <c r="CG717" s="234">
        <f>_xll.xSPRDOPT((VLOOKUP(G715,NGPREVPRICES,2,FALSE)+HLOOKUP(D715,PREVCURVES,VLOOKUP(G715,MOVE_DOWN2,2,FALSE),FALSE)),VLOOKUP(G715,NGPREVPRICES,2,FALSE),CK717,VLOOKUP(G715,NGPREVPRICES,4,FALSE),HLOOKUP(D715,VOLS,VLOOKUP(G715,move_down,2,FALSE),FALSE),VLOOKUP(G715,NGPrices,3,FALSE),HLOOKUP(D715,Correllate,VLOOKUP(G715,CorMove,2,FALSE),FALSE),Q715-$CD$3,R715,$CJ$5)*H715-CJ717</f>
        <v>0</v>
      </c>
      <c r="CH717" s="234">
        <f>_xll.xSPRDOPT((VLOOKUP(G715,NGPREVPRICES,2,FALSE)+HLOOKUP(D715,PREVCURVES,VLOOKUP(G715,MOVE_DOWN2,2,FALSE),FALSE)),VLOOKUP(G715,NGPREVPRICES,2,FALSE),CK717,VLOOKUP(G715,NGPREVPRICES,4,FALSE),HLOOKUP(D715,PREVVOLS,VLOOKUP(G715,MOVE_DOWN2,2,FALSE),FALSE),VLOOKUP(G715,NGPREVPRICES,3,FALSE),HLOOKUP(D715,Correllate,VLOOKUP(G715,CorMove,2,FALSE),FALSE),Q715-$C$3,R715,$CJ$5)*H715-CJ717</f>
        <v>-86.350765261653578</v>
      </c>
      <c r="CI717" s="234">
        <f t="shared" si="865"/>
        <v>-99.591396946038003</v>
      </c>
      <c r="CJ717" s="234">
        <f>_xll.xSPRDOPT((VLOOKUP(G715,NGPREVPRICES,2,FALSE)+HLOOKUP(D715,PREVCURVES,VLOOKUP(G715,MOVE_DOWN2,2,FALSE),FALSE)),VLOOKUP(G715,NGPREVPRICES,2,FALSE),CK717,VLOOKUP(G715,NGPREVPRICES,4,FALSE),HLOOKUP(D715,PREVVOLS,VLOOKUP(G715,MOVE_DOWN2,2,FALSE),FALSE),VLOOKUP(G715,NGPREVPRICES,3,FALSE),HLOOKUP(D715,Correllate,VLOOKUP(G715,CorMove,2,FALSE),FALSE),Q715-$CD$3,R715,$CJ$5)*H715</f>
        <v>66409.469480575513</v>
      </c>
      <c r="CK717" s="235">
        <f t="shared" si="866"/>
        <v>0.42</v>
      </c>
      <c r="CM717" t="str">
        <f t="shared" si="867"/>
        <v>37135Curve Shift/Gamma</v>
      </c>
      <c r="CN717" t="str">
        <f t="shared" si="838"/>
        <v>37135Rho</v>
      </c>
      <c r="CO717" t="str">
        <f t="shared" si="839"/>
        <v>37135Drift</v>
      </c>
      <c r="CP717" t="str">
        <f t="shared" si="840"/>
        <v>37135Vega</v>
      </c>
      <c r="CQ717" t="str">
        <f t="shared" si="841"/>
        <v>37135Theta</v>
      </c>
    </row>
    <row r="718" spans="1:95" x14ac:dyDescent="0.25">
      <c r="A718" s="140" t="s">
        <v>281</v>
      </c>
      <c r="B718" t="s">
        <v>250</v>
      </c>
      <c r="C718" t="s">
        <v>589</v>
      </c>
      <c r="D718" s="4" t="s">
        <v>7</v>
      </c>
      <c r="E718" t="s">
        <v>20</v>
      </c>
      <c r="F718" t="s">
        <v>1</v>
      </c>
      <c r="G718" s="5">
        <v>37012</v>
      </c>
      <c r="H718" s="130">
        <v>500000</v>
      </c>
      <c r="I718" s="235">
        <v>0.42</v>
      </c>
      <c r="J718" s="53">
        <f t="shared" ref="J718:J723" si="883">VLOOKUP(G718,NGPrices,2,FALSE)</f>
        <v>3.8380000000000001</v>
      </c>
      <c r="K718" s="7">
        <f t="shared" ref="K718:K723" si="884">HLOOKUP(D718,Prices,VLOOKUP(G718,move_down,2,FALSE),FALSE)+VLOOKUP(G718,CHANGE,HLOOKUP(D718,CHANGE,2,FALSE),FALSE)</f>
        <v>0.40500000000000003</v>
      </c>
      <c r="L718" s="53">
        <f t="shared" ref="L718:L723" si="885">K718+J718</f>
        <v>4.2430000000000003</v>
      </c>
      <c r="M718" s="157">
        <f t="shared" ref="M718:M723" si="886">VLOOKUP(G718,NGPrices,4,FALSE)</f>
        <v>6.9101151218999998E-2</v>
      </c>
      <c r="N718" s="4">
        <f t="shared" ref="N718:N723" si="887">VLOOKUP(G718,NGPrices,3,FALSE)</f>
        <v>0.40500000000000003</v>
      </c>
      <c r="O718" s="4">
        <f t="shared" ref="O718:O723" si="888">HLOOKUP(D718,VOLS,VLOOKUP(G718,move_down,2,FALSE),FALSE)</f>
        <v>0.39700000000000002</v>
      </c>
      <c r="P718" s="9">
        <f t="shared" ref="P718:P723" si="889">HLOOKUP(D718,Correllate,VLOOKUP(G718,CorMove,2,FALSE),FALSE)</f>
        <v>0.9738</v>
      </c>
      <c r="Q718" s="5">
        <f t="shared" si="875"/>
        <v>37008</v>
      </c>
      <c r="R718" s="4">
        <f t="shared" ref="R718:R723" si="890">IF(F718="P",0,1)</f>
        <v>0</v>
      </c>
      <c r="S718" s="158">
        <f>_xll.xSPRDOPT($L718,$J718,$I718,$M718,$O718,$N718,$P718,$Q718-$C$3,$R718,0)</f>
        <v>0.12980484669771769</v>
      </c>
      <c r="T718" s="159">
        <f>_xll.xSPRDOPT($L718,$J718,$I718,$M718,$O718,$N718,$P718,$Q718-$C$3,$R718,1)*H718</f>
        <v>-239801.21861228225</v>
      </c>
      <c r="U718" s="160">
        <f t="shared" ref="U718:U723" si="891">S718*H718</f>
        <v>64902.423348858843</v>
      </c>
      <c r="V718" s="159">
        <f>_xll.xSPRDOPT($L718,$J718,$I718,$M718,$O718,$N718,$P718,$Q718-$C$3,$R718,2)*H718</f>
        <v>252730.16055966608</v>
      </c>
      <c r="W718" s="159">
        <f t="shared" ref="W718:W723" si="892">+V718+T718</f>
        <v>12928.941947383835</v>
      </c>
      <c r="X718" s="51" t="str">
        <f t="shared" ref="X718:X723" si="893">CONCATENATE(G718,D718)</f>
        <v>37012IF-TRANSCO/Z6</v>
      </c>
      <c r="Y718" s="418">
        <f t="shared" ref="Y718:Y723" si="894">H718/10000</f>
        <v>50</v>
      </c>
      <c r="Z718" s="456">
        <f t="shared" ref="Z718:Z723" si="895">T718/H718</f>
        <v>-0.47960243722456447</v>
      </c>
      <c r="AA718" s="456">
        <f>_xll.xSPRDOPT($L718,$J718,$I718,$M718,$O718,$N718,$P718,$Q718-$C$3,$R718,3)</f>
        <v>1.1893966310287358</v>
      </c>
      <c r="AB718" s="456">
        <f>((_xll.xSPRDOPT($L718+AB$5,$J718,$I718,$M718,$O718,$N718,$P718,$Q718-$C$3,$R718,3)*$H718)/10000)/100</f>
        <v>0.59469831551436791</v>
      </c>
      <c r="AC718" s="456">
        <f>((_xll.xSPRDOPT($L718+$AB$5,$J718,$I718,$M718,$O718,$N718,$P718,$Q718-$C$3,$R718,7)*$H718)/100)</f>
        <v>-10256.293778573621</v>
      </c>
      <c r="AD718" s="456">
        <f>(_xll.xSPRDOPT($L718+$AB$5,$J718,$I718,$M718,$O718,$N718,$P718,$Q718-$C$3,$R718,9)/365)*$H718</f>
        <v>-115.50206434942865</v>
      </c>
      <c r="AE718">
        <f t="shared" si="862"/>
        <v>0</v>
      </c>
      <c r="AF718" s="456">
        <f t="shared" ref="AF718:AF723" si="896">((O718/N718)*AH718)+AG718</f>
        <v>1519.8091135397062</v>
      </c>
      <c r="AG718" s="456">
        <f>((_xll.xSPRDOPT($L718,$J718,$I718,$M718,$O718,$N718,$P718,$Q718-$C$3,$R718,6)*$H718)/100)</f>
        <v>-1310.8217583510464</v>
      </c>
      <c r="AH718" s="456">
        <f>((_xll.xSPRDOPT($L718,$J718,$I718,$M718,$O718,$N718,$P718,$Q718-$C$3,$R718,5)*$H718)/100)</f>
        <v>2887.6712924830099</v>
      </c>
      <c r="AI718" s="456">
        <f>(((_xll.xSPRDOPT($L718,$J718,$I718,$M718,$O718,$N718,$P718,$Q718-$C$3,$R718,4)*$H718)/10000)/100)-AB718</f>
        <v>-1.5099936960910609E-3</v>
      </c>
      <c r="AJ718" s="456"/>
      <c r="CC718" s="141">
        <f t="shared" si="863"/>
        <v>37165</v>
      </c>
      <c r="CD718" s="234">
        <f>_xll.xSPRDOPT((VLOOKUP(G716,NGPrices,2,FALSE)+HLOOKUP(D716,Prices,VLOOKUP(G716,move_down,2,FALSE),FALSE)),VLOOKUP(G716,NGPrices,2,FALSE),I716,VLOOKUP(G716,NGPREVPRICES,4,FALSE),HLOOKUP(D716,PREVVOLS,VLOOKUP(G716,MOVE_DOWN2,2,FALSE),FALSE),VLOOKUP(G716,NGPREVPRICES,3,FALSE),HLOOKUP(D716,Correllate,VLOOKUP(G716,CorMove,2,FALSE),FALSE),Q716-$CD$3,R716,$CD$5)*H716-CJ718</f>
        <v>0</v>
      </c>
      <c r="CE718" s="234">
        <f>_xll.xSPRDOPT((VLOOKUP(G716,NGPREVPRICES,2,FALSE)+HLOOKUP(D716,PREVCURVES,VLOOKUP(G716,MOVE_DOWN2,2,FALSE),FALSE)),VLOOKUP(G716,NGPREVPRICES,2,FALSE),CK718,VLOOKUP(G716,NGPrices,4,FALSE),HLOOKUP(D716,PREVVOLS,VLOOKUP(G716,MOVE_DOWN2,2,FALSE),FALSE),VLOOKUP(G716,NGPREVPRICES,3,FALSE),HLOOKUP(D716,Correllate,VLOOKUP(G716,CorMove,2,FALSE),FALSE),Q716-$CD$3,R716,$CJ$5)*H716-CJ718</f>
        <v>0</v>
      </c>
      <c r="CF718" s="10">
        <f t="shared" si="864"/>
        <v>-17.054663619681378</v>
      </c>
      <c r="CG718" s="234">
        <f>_xll.xSPRDOPT((VLOOKUP(G716,NGPREVPRICES,2,FALSE)+HLOOKUP(D716,PREVCURVES,VLOOKUP(G716,MOVE_DOWN2,2,FALSE),FALSE)),VLOOKUP(G716,NGPREVPRICES,2,FALSE),CK718,VLOOKUP(G716,NGPREVPRICES,4,FALSE),HLOOKUP(D716,VOLS,VLOOKUP(G716,move_down,2,FALSE),FALSE),VLOOKUP(G716,NGPrices,3,FALSE),HLOOKUP(D716,Correllate,VLOOKUP(G716,CorMove,2,FALSE),FALSE),Q716-$CD$3,R716,$CJ$5)*H716-CJ718</f>
        <v>0</v>
      </c>
      <c r="CH718" s="234">
        <f>_xll.xSPRDOPT((VLOOKUP(G716,NGPREVPRICES,2,FALSE)+HLOOKUP(D716,PREVCURVES,VLOOKUP(G716,MOVE_DOWN2,2,FALSE),FALSE)),VLOOKUP(G716,NGPREVPRICES,2,FALSE),CK718,VLOOKUP(G716,NGPREVPRICES,4,FALSE),HLOOKUP(D716,PREVVOLS,VLOOKUP(G716,MOVE_DOWN2,2,FALSE),FALSE),VLOOKUP(G716,NGPREVPRICES,3,FALSE),HLOOKUP(D716,Correllate,VLOOKUP(G716,CorMove,2,FALSE),FALSE),Q716-$C$3,R716,$CJ$5)*H716-CJ718</f>
        <v>-79.502229773701401</v>
      </c>
      <c r="CI718" s="234">
        <f t="shared" si="865"/>
        <v>-96.556893393382779</v>
      </c>
      <c r="CJ718" s="234">
        <f>_xll.xSPRDOPT((VLOOKUP(G716,NGPREVPRICES,2,FALSE)+HLOOKUP(D716,PREVCURVES,VLOOKUP(G716,MOVE_DOWN2,2,FALSE),FALSE)),VLOOKUP(G716,NGPREVPRICES,2,FALSE),CK718,VLOOKUP(G716,NGPREVPRICES,4,FALSE),HLOOKUP(D716,PREVVOLS,VLOOKUP(G716,MOVE_DOWN2,2,FALSE),FALSE),VLOOKUP(G716,NGPREVPRICES,3,FALSE),HLOOKUP(D716,Correllate,VLOOKUP(G716,CorMove,2,FALSE),FALSE),Q716-$CD$3,R716,$CJ$5)*H716</f>
        <v>85034.083032909854</v>
      </c>
      <c r="CK718" s="235">
        <f t="shared" si="866"/>
        <v>0.42</v>
      </c>
      <c r="CM718" t="str">
        <f t="shared" si="867"/>
        <v>37165Curve Shift/Gamma</v>
      </c>
      <c r="CN718" t="str">
        <f t="shared" si="838"/>
        <v>37165Rho</v>
      </c>
      <c r="CO718" t="str">
        <f t="shared" si="839"/>
        <v>37165Drift</v>
      </c>
      <c r="CP718" t="str">
        <f t="shared" si="840"/>
        <v>37165Vega</v>
      </c>
      <c r="CQ718" t="str">
        <f t="shared" si="841"/>
        <v>37165Theta</v>
      </c>
    </row>
    <row r="719" spans="1:95" x14ac:dyDescent="0.25">
      <c r="A719" s="140" t="s">
        <v>281</v>
      </c>
      <c r="B719" t="s">
        <v>250</v>
      </c>
      <c r="C719" t="s">
        <v>589</v>
      </c>
      <c r="D719" s="4" t="s">
        <v>7</v>
      </c>
      <c r="E719" t="s">
        <v>20</v>
      </c>
      <c r="F719" t="s">
        <v>1</v>
      </c>
      <c r="G719" s="5">
        <v>37043</v>
      </c>
      <c r="H719" s="130">
        <v>500000</v>
      </c>
      <c r="I719" s="235">
        <v>0.42</v>
      </c>
      <c r="J719" s="53">
        <f t="shared" si="883"/>
        <v>3.8180000000000001</v>
      </c>
      <c r="K719" s="7">
        <f t="shared" si="884"/>
        <v>0.39500000000000002</v>
      </c>
      <c r="L719" s="53">
        <f t="shared" si="885"/>
        <v>4.2130000000000001</v>
      </c>
      <c r="M719" s="157">
        <f t="shared" si="886"/>
        <v>6.9141890053328006E-2</v>
      </c>
      <c r="N719" s="4">
        <f t="shared" si="887"/>
        <v>0.4</v>
      </c>
      <c r="O719" s="4">
        <f t="shared" si="888"/>
        <v>0.39200000000000002</v>
      </c>
      <c r="P719" s="9">
        <f t="shared" si="889"/>
        <v>0.9738</v>
      </c>
      <c r="Q719" s="5">
        <f t="shared" si="875"/>
        <v>37041</v>
      </c>
      <c r="R719" s="4">
        <f t="shared" si="890"/>
        <v>0</v>
      </c>
      <c r="S719" s="158">
        <f>_xll.xSPRDOPT($L719,$J719,$I719,$M719,$O719,$N719,$P719,$Q719-$C$3,$R719,0)</f>
        <v>0.1396971584475738</v>
      </c>
      <c r="T719" s="159">
        <f>_xll.xSPRDOPT($L719,$J719,$I719,$M719,$O719,$N719,$P719,$Q719-$C$3,$R719,1)*H719</f>
        <v>-243094.88401773007</v>
      </c>
      <c r="U719" s="160">
        <f t="shared" si="891"/>
        <v>69848.579223786903</v>
      </c>
      <c r="V719" s="159">
        <f>_xll.xSPRDOPT($L719,$J719,$I719,$M719,$O719,$N719,$P719,$Q719-$C$3,$R719,2)*H719</f>
        <v>256598.79606400433</v>
      </c>
      <c r="W719" s="159">
        <f t="shared" si="892"/>
        <v>13503.912046274258</v>
      </c>
      <c r="X719" s="51" t="str">
        <f t="shared" si="893"/>
        <v>37043IF-TRANSCO/Z6</v>
      </c>
      <c r="Y719" s="418">
        <f t="shared" si="894"/>
        <v>50</v>
      </c>
      <c r="Z719" s="456">
        <f t="shared" si="895"/>
        <v>-0.48618976803546016</v>
      </c>
      <c r="AA719" s="456">
        <f>_xll.xSPRDOPT($L719,$J719,$I719,$M719,$O719,$N719,$P719,$Q719-$C$3,$R719,3)</f>
        <v>1.1298872667175488</v>
      </c>
      <c r="AB719" s="456">
        <f>((_xll.xSPRDOPT($L719+AB$5,$J719,$I719,$M719,$O719,$N719,$P719,$Q719-$C$3,$R719,3)*$H719)/10000)/100</f>
        <v>0.5649436333587744</v>
      </c>
      <c r="AC719" s="456">
        <f>((_xll.xSPRDOPT($L719+$AB$5,$J719,$I719,$M719,$O719,$N719,$P719,$Q719-$C$3,$R719,7)*$H719)/100)</f>
        <v>-10649.374650048439</v>
      </c>
      <c r="AD719" s="456">
        <f>(_xll.xSPRDOPT($L719+$AB$5,$J719,$I719,$M719,$O719,$N719,$P719,$Q719-$C$3,$R719,9)/365)*$H719</f>
        <v>-103.60576406519316</v>
      </c>
      <c r="AE719">
        <f t="shared" si="862"/>
        <v>0</v>
      </c>
      <c r="AF719" s="456">
        <f t="shared" si="896"/>
        <v>1599.5735439011667</v>
      </c>
      <c r="AG719" s="456">
        <f>((_xll.xSPRDOPT($L719,$J719,$I719,$M719,$O719,$N719,$P719,$Q719-$C$3,$R719,6)*$H719)/100)</f>
        <v>-1372.0526431420396</v>
      </c>
      <c r="AH719" s="456">
        <f>((_xll.xSPRDOPT($L719,$J719,$I719,$M719,$O719,$N719,$P719,$Q719-$C$3,$R719,5)*$H719)/100)</f>
        <v>3032.2716194318432</v>
      </c>
      <c r="AI719" s="456">
        <f>(((_xll.xSPRDOPT($L719,$J719,$I719,$M719,$O719,$N719,$P719,$Q719-$C$3,$R719,4)*$H719)/10000)/100)-AB719</f>
        <v>-3.6028858149339538E-3</v>
      </c>
      <c r="AJ719" s="456"/>
      <c r="CC719" s="141">
        <f t="shared" si="863"/>
        <v>36982</v>
      </c>
      <c r="CD719" s="234">
        <f>_xll.xSPRDOPT((VLOOKUP(G717,NGPrices,2,FALSE)+HLOOKUP(D717,Prices,VLOOKUP(G717,move_down,2,FALSE),FALSE)),VLOOKUP(G717,NGPrices,2,FALSE),I717,VLOOKUP(G717,NGPREVPRICES,4,FALSE),HLOOKUP(D717,PREVVOLS,VLOOKUP(G717,MOVE_DOWN2,2,FALSE),FALSE),VLOOKUP(G717,NGPREVPRICES,3,FALSE),HLOOKUP(D717,Correllate,VLOOKUP(G717,CorMove,2,FALSE),FALSE),Q717-$CD$3,R717,$CD$5)*H717-CJ719</f>
        <v>0</v>
      </c>
      <c r="CE719" s="234">
        <f>_xll.xSPRDOPT((VLOOKUP(G717,NGPREVPRICES,2,FALSE)+HLOOKUP(D717,PREVCURVES,VLOOKUP(G717,MOVE_DOWN2,2,FALSE),FALSE)),VLOOKUP(G717,NGPREVPRICES,2,FALSE),CK719,VLOOKUP(G717,NGPrices,4,FALSE),HLOOKUP(D717,PREVVOLS,VLOOKUP(G717,MOVE_DOWN2,2,FALSE),FALSE),VLOOKUP(G717,NGPREVPRICES,3,FALSE),HLOOKUP(D717,Correllate,VLOOKUP(G717,CorMove,2,FALSE),FALSE),Q717-$CD$3,R717,$CJ$5)*H717-CJ719</f>
        <v>0</v>
      </c>
      <c r="CF719" s="10">
        <f t="shared" si="864"/>
        <v>-8.579480589585728</v>
      </c>
      <c r="CG719" s="234">
        <f>_xll.xSPRDOPT((VLOOKUP(G717,NGPREVPRICES,2,FALSE)+HLOOKUP(D717,PREVCURVES,VLOOKUP(G717,MOVE_DOWN2,2,FALSE),FALSE)),VLOOKUP(G717,NGPREVPRICES,2,FALSE),CK719,VLOOKUP(G717,NGPREVPRICES,4,FALSE),HLOOKUP(D717,VOLS,VLOOKUP(G717,move_down,2,FALSE),FALSE),VLOOKUP(G717,NGPrices,3,FALSE),HLOOKUP(D717,Correllate,VLOOKUP(G717,CorMove,2,FALSE),FALSE),Q717-$CD$3,R717,$CJ$5)*H717-CJ719</f>
        <v>0</v>
      </c>
      <c r="CH719" s="234">
        <f>_xll.xSPRDOPT((VLOOKUP(G717,NGPREVPRICES,2,FALSE)+HLOOKUP(D717,PREVCURVES,VLOOKUP(G717,MOVE_DOWN2,2,FALSE),FALSE)),VLOOKUP(G717,NGPREVPRICES,2,FALSE),CK719,VLOOKUP(G717,NGPREVPRICES,4,FALSE),HLOOKUP(D717,PREVVOLS,VLOOKUP(G717,MOVE_DOWN2,2,FALSE),FALSE),VLOOKUP(G717,NGPREVPRICES,3,FALSE),HLOOKUP(D717,Correllate,VLOOKUP(G717,CorMove,2,FALSE),FALSE),Q717-$C$3,R717,$CJ$5)*H717-CJ719</f>
        <v>-140.32234950933343</v>
      </c>
      <c r="CI719" s="234">
        <f t="shared" si="865"/>
        <v>-148.90183009891916</v>
      </c>
      <c r="CJ719" s="234">
        <f>_xll.xSPRDOPT((VLOOKUP(G717,NGPREVPRICES,2,FALSE)+HLOOKUP(D717,PREVCURVES,VLOOKUP(G717,MOVE_DOWN2,2,FALSE),FALSE)),VLOOKUP(G717,NGPREVPRICES,2,FALSE),CK719,VLOOKUP(G717,NGPREVPRICES,4,FALSE),HLOOKUP(D717,PREVVOLS,VLOOKUP(G717,MOVE_DOWN2,2,FALSE),FALSE),VLOOKUP(G717,NGPREVPRICES,3,FALSE),HLOOKUP(D717,Correllate,VLOOKUP(G717,CorMove,2,FALSE),FALSE),Q717-$CD$3,R717,$CJ$5)*H717</f>
        <v>44371.399707584605</v>
      </c>
      <c r="CK719" s="235">
        <f t="shared" si="866"/>
        <v>0.42</v>
      </c>
      <c r="CM719" t="str">
        <f t="shared" si="867"/>
        <v>36982Curve Shift/Gamma</v>
      </c>
      <c r="CN719" t="str">
        <f t="shared" si="838"/>
        <v>36982Rho</v>
      </c>
      <c r="CO719" t="str">
        <f t="shared" si="839"/>
        <v>36982Drift</v>
      </c>
      <c r="CP719" t="str">
        <f t="shared" si="840"/>
        <v>36982Vega</v>
      </c>
      <c r="CQ719" t="str">
        <f t="shared" si="841"/>
        <v>36982Theta</v>
      </c>
    </row>
    <row r="720" spans="1:95" x14ac:dyDescent="0.25">
      <c r="A720" s="140" t="s">
        <v>281</v>
      </c>
      <c r="B720" t="s">
        <v>250</v>
      </c>
      <c r="C720" t="s">
        <v>589</v>
      </c>
      <c r="D720" s="4" t="s">
        <v>7</v>
      </c>
      <c r="E720" t="s">
        <v>20</v>
      </c>
      <c r="F720" t="s">
        <v>1</v>
      </c>
      <c r="G720" s="5">
        <v>37073</v>
      </c>
      <c r="H720" s="130">
        <v>500000</v>
      </c>
      <c r="I720" s="235">
        <v>0.42</v>
      </c>
      <c r="J720" s="53">
        <f t="shared" si="883"/>
        <v>3.8029999999999999</v>
      </c>
      <c r="K720" s="7">
        <f t="shared" si="884"/>
        <v>0.46</v>
      </c>
      <c r="L720" s="53">
        <f t="shared" si="885"/>
        <v>4.2629999999999999</v>
      </c>
      <c r="M720" s="157">
        <f t="shared" si="886"/>
        <v>6.9181571268567998E-2</v>
      </c>
      <c r="N720" s="4">
        <f t="shared" si="887"/>
        <v>0.4</v>
      </c>
      <c r="O720" s="4">
        <f t="shared" si="888"/>
        <v>0.39200000000000002</v>
      </c>
      <c r="P720" s="9">
        <f t="shared" si="889"/>
        <v>0.9738</v>
      </c>
      <c r="Q720" s="5">
        <f t="shared" si="875"/>
        <v>37070</v>
      </c>
      <c r="R720" s="4">
        <f t="shared" si="890"/>
        <v>0</v>
      </c>
      <c r="S720" s="158">
        <f>_xll.xSPRDOPT($L720,$J720,$I720,$M720,$O720,$N720,$P720,$Q720-$C$3,$R720,0)</f>
        <v>0.11603750101928861</v>
      </c>
      <c r="T720" s="159">
        <f>_xll.xSPRDOPT($L720,$J720,$I720,$M720,$O720,$N720,$P720,$Q720-$C$3,$R720,1)*H720</f>
        <v>-206223.79633242133</v>
      </c>
      <c r="U720" s="160">
        <f t="shared" si="891"/>
        <v>58018.750509644306</v>
      </c>
      <c r="V720" s="159">
        <f>_xll.xSPRDOPT($L720,$J720,$I720,$M720,$O720,$N720,$P720,$Q720-$C$3,$R720,2)*H720</f>
        <v>220224.34712548711</v>
      </c>
      <c r="W720" s="159">
        <f t="shared" si="892"/>
        <v>14000.550793065777</v>
      </c>
      <c r="X720" s="51" t="str">
        <f t="shared" si="893"/>
        <v>37073IF-TRANSCO/Z6</v>
      </c>
      <c r="Y720" s="418">
        <f t="shared" si="894"/>
        <v>50</v>
      </c>
      <c r="Z720" s="456">
        <f t="shared" si="895"/>
        <v>-0.41244759266484265</v>
      </c>
      <c r="AA720" s="456">
        <f>_xll.xSPRDOPT($L720,$J720,$I720,$M720,$O720,$N720,$P720,$Q720-$C$3,$R720,3)</f>
        <v>1.0410104976142858</v>
      </c>
      <c r="AB720" s="456">
        <f>((_xll.xSPRDOPT($L720+AB$5,$J720,$I720,$M720,$O720,$N720,$P720,$Q720-$C$3,$R720,3)*$H720)/10000)/100</f>
        <v>0.52050524880714288</v>
      </c>
      <c r="AC720" s="456">
        <f>((_xll.xSPRDOPT($L720+$AB$5,$J720,$I720,$M720,$O720,$N720,$P720,$Q720-$C$3,$R720,7)*$H720)/100)</f>
        <v>-11090.181893108107</v>
      </c>
      <c r="AD720" s="456">
        <f>(_xll.xSPRDOPT($L720+$AB$5,$J720,$I720,$M720,$O720,$N720,$P720,$Q720-$C$3,$R720,9)/365)*$H720</f>
        <v>-99.829860152457613</v>
      </c>
      <c r="AE720">
        <f t="shared" si="862"/>
        <v>0</v>
      </c>
      <c r="AF720" s="456">
        <f t="shared" si="896"/>
        <v>1677.8744428604077</v>
      </c>
      <c r="AG720" s="456">
        <f>((_xll.xSPRDOPT($L720,$J720,$I720,$M720,$O720,$N720,$P720,$Q720-$C$3,$R720,6)*$H720)/100)</f>
        <v>-1468.3790673451117</v>
      </c>
      <c r="AH720" s="456">
        <f>((_xll.xSPRDOPT($L720,$J720,$I720,$M720,$O720,$N720,$P720,$Q720-$C$3,$R720,5)*$H720)/100)</f>
        <v>3210.4627655158361</v>
      </c>
      <c r="AI720" s="456">
        <f>(((_xll.xSPRDOPT($L720,$J720,$I720,$M720,$O720,$N720,$P720,$Q720-$C$3,$R720,4)*$H720)/10000)/100)-AB720</f>
        <v>1.1479412123198141E-2</v>
      </c>
      <c r="AJ720" s="456"/>
      <c r="CC720" s="141">
        <f t="shared" si="863"/>
        <v>37012</v>
      </c>
      <c r="CD720" s="234">
        <f>_xll.xSPRDOPT((VLOOKUP(G718,NGPrices,2,FALSE)+HLOOKUP(D718,Prices,VLOOKUP(G718,move_down,2,FALSE),FALSE)),VLOOKUP(G718,NGPrices,2,FALSE),I718,VLOOKUP(G718,NGPREVPRICES,4,FALSE),HLOOKUP(D718,PREVVOLS,VLOOKUP(G718,MOVE_DOWN2,2,FALSE),FALSE),VLOOKUP(G718,NGPREVPRICES,3,FALSE),HLOOKUP(D718,Correllate,VLOOKUP(G718,CorMove,2,FALSE),FALSE),Q718-$CD$3,R718,$CD$5)*H718-CJ720</f>
        <v>0</v>
      </c>
      <c r="CE720" s="234">
        <f>_xll.xSPRDOPT((VLOOKUP(G718,NGPREVPRICES,2,FALSE)+HLOOKUP(D718,PREVCURVES,VLOOKUP(G718,MOVE_DOWN2,2,FALSE),FALSE)),VLOOKUP(G718,NGPREVPRICES,2,FALSE),CK720,VLOOKUP(G718,NGPrices,4,FALSE),HLOOKUP(D718,PREVVOLS,VLOOKUP(G718,MOVE_DOWN2,2,FALSE),FALSE),VLOOKUP(G718,NGPREVPRICES,3,FALSE),HLOOKUP(D718,Correllate,VLOOKUP(G718,CorMove,2,FALSE),FALSE),Q718-$CD$3,R718,$CJ$5)*H718-CJ720</f>
        <v>0</v>
      </c>
      <c r="CF720" s="10">
        <f t="shared" si="864"/>
        <v>-12.648018785301247</v>
      </c>
      <c r="CG720" s="234">
        <f>_xll.xSPRDOPT((VLOOKUP(G718,NGPREVPRICES,2,FALSE)+HLOOKUP(D718,PREVCURVES,VLOOKUP(G718,MOVE_DOWN2,2,FALSE),FALSE)),VLOOKUP(G718,NGPREVPRICES,2,FALSE),CK720,VLOOKUP(G718,NGPREVPRICES,4,FALSE),HLOOKUP(D718,VOLS,VLOOKUP(G718,move_down,2,FALSE),FALSE),VLOOKUP(G718,NGPrices,3,FALSE),HLOOKUP(D718,Correllate,VLOOKUP(G718,CorMove,2,FALSE),FALSE),Q718-$CD$3,R718,$CJ$5)*H718-CJ720</f>
        <v>0</v>
      </c>
      <c r="CH720" s="234">
        <f>_xll.xSPRDOPT((VLOOKUP(G718,NGPREVPRICES,2,FALSE)+HLOOKUP(D718,PREVCURVES,VLOOKUP(G718,MOVE_DOWN2,2,FALSE),FALSE)),VLOOKUP(G718,NGPREVPRICES,2,FALSE),CK720,VLOOKUP(G718,NGPREVPRICES,4,FALSE),HLOOKUP(D718,PREVVOLS,VLOOKUP(G718,MOVE_DOWN2,2,FALSE),FALSE),VLOOKUP(G718,NGPREVPRICES,3,FALSE),HLOOKUP(D718,Correllate,VLOOKUP(G718,CorMove,2,FALSE),FALSE),Q718-$C$3,R718,$CJ$5)*H718-CJ720</f>
        <v>-115.27039211506781</v>
      </c>
      <c r="CI720" s="234">
        <f t="shared" si="865"/>
        <v>-127.91841090036905</v>
      </c>
      <c r="CJ720" s="234">
        <f>_xll.xSPRDOPT((VLOOKUP(G718,NGPREVPRICES,2,FALSE)+HLOOKUP(D718,PREVCURVES,VLOOKUP(G718,MOVE_DOWN2,2,FALSE),FALSE)),VLOOKUP(G718,NGPREVPRICES,2,FALSE),CK720,VLOOKUP(G718,NGPREVPRICES,4,FALSE),HLOOKUP(D718,PREVVOLS,VLOOKUP(G718,MOVE_DOWN2,2,FALSE),FALSE),VLOOKUP(G718,NGPREVPRICES,3,FALSE),HLOOKUP(D718,Correllate,VLOOKUP(G718,CorMove,2,FALSE),FALSE),Q718-$CD$3,R718,$CJ$5)*H718</f>
        <v>65017.693740973911</v>
      </c>
      <c r="CK720" s="235">
        <f t="shared" si="866"/>
        <v>0.42</v>
      </c>
      <c r="CM720" t="str">
        <f t="shared" si="867"/>
        <v>37012Curve Shift/Gamma</v>
      </c>
      <c r="CN720" t="str">
        <f t="shared" si="838"/>
        <v>37012Rho</v>
      </c>
      <c r="CO720" t="str">
        <f t="shared" si="839"/>
        <v>37012Drift</v>
      </c>
      <c r="CP720" t="str">
        <f t="shared" si="840"/>
        <v>37012Vega</v>
      </c>
      <c r="CQ720" t="str">
        <f t="shared" si="841"/>
        <v>37012Theta</v>
      </c>
    </row>
    <row r="721" spans="1:95" x14ac:dyDescent="0.25">
      <c r="A721" s="140" t="s">
        <v>281</v>
      </c>
      <c r="B721" t="s">
        <v>250</v>
      </c>
      <c r="C721" t="s">
        <v>589</v>
      </c>
      <c r="D721" s="4" t="s">
        <v>7</v>
      </c>
      <c r="E721" t="s">
        <v>20</v>
      </c>
      <c r="F721" t="s">
        <v>1</v>
      </c>
      <c r="G721" s="5">
        <v>37104</v>
      </c>
      <c r="H721" s="130">
        <v>500000</v>
      </c>
      <c r="I721" s="235">
        <v>0.42</v>
      </c>
      <c r="J721" s="53">
        <f t="shared" si="883"/>
        <v>3.8079999999999998</v>
      </c>
      <c r="K721" s="7">
        <f t="shared" si="884"/>
        <v>0.46</v>
      </c>
      <c r="L721" s="53">
        <f t="shared" si="885"/>
        <v>4.2679999999999998</v>
      </c>
      <c r="M721" s="157">
        <f t="shared" si="886"/>
        <v>6.9223060737754999E-2</v>
      </c>
      <c r="N721" s="4">
        <f t="shared" si="887"/>
        <v>0.4</v>
      </c>
      <c r="O721" s="4">
        <f t="shared" si="888"/>
        <v>0.39200000000000002</v>
      </c>
      <c r="P721" s="9">
        <f t="shared" si="889"/>
        <v>0.9738</v>
      </c>
      <c r="Q721" s="5">
        <f t="shared" si="875"/>
        <v>37102</v>
      </c>
      <c r="R721" s="4">
        <f t="shared" si="890"/>
        <v>0</v>
      </c>
      <c r="S721" s="158">
        <f>_xll.xSPRDOPT($L721,$J721,$I721,$M721,$O721,$N721,$P721,$Q721-$C$3,$R721,0)</f>
        <v>0.12235243974038423</v>
      </c>
      <c r="T721" s="159">
        <f>_xll.xSPRDOPT($L721,$J721,$I721,$M721,$O721,$N721,$P721,$Q721-$C$3,$R721,1)*H721</f>
        <v>-205560.27101823498</v>
      </c>
      <c r="U721" s="160">
        <f t="shared" si="891"/>
        <v>61176.219870192115</v>
      </c>
      <c r="V721" s="159">
        <f>_xll.xSPRDOPT($L721,$J721,$I721,$M721,$O721,$N721,$P721,$Q721-$C$3,$R721,2)*H721</f>
        <v>220204.86700697619</v>
      </c>
      <c r="W721" s="159">
        <f t="shared" si="892"/>
        <v>14644.595988741203</v>
      </c>
      <c r="X721" s="51" t="str">
        <f t="shared" si="893"/>
        <v>37104IF-TRANSCO/Z6</v>
      </c>
      <c r="Y721" s="418">
        <f t="shared" si="894"/>
        <v>50</v>
      </c>
      <c r="Z721" s="456">
        <f t="shared" si="895"/>
        <v>-0.41112054203646997</v>
      </c>
      <c r="AA721" s="456">
        <f>_xll.xSPRDOPT($L721,$J721,$I721,$M721,$O721,$N721,$P721,$Q721-$C$3,$R721,3)</f>
        <v>0.98325666313739934</v>
      </c>
      <c r="AB721" s="456">
        <f>((_xll.xSPRDOPT($L721+AB$5,$J721,$I721,$M721,$O721,$N721,$P721,$Q721-$C$3,$R721,3)*$H721)/10000)/100</f>
        <v>0.49162833156869967</v>
      </c>
      <c r="AC721" s="456">
        <f>((_xll.xSPRDOPT($L721+$AB$5,$J721,$I721,$M721,$O721,$N721,$P721,$Q721-$C$3,$R721,7)*$H721)/100)</f>
        <v>-11612.169704291013</v>
      </c>
      <c r="AD721" s="456">
        <f>(_xll.xSPRDOPT($L721+$AB$5,$J721,$I721,$M721,$O721,$N721,$P721,$Q721-$C$3,$R721,9)/365)*$H721</f>
        <v>-93.447948507237427</v>
      </c>
      <c r="AE721">
        <f t="shared" si="862"/>
        <v>0</v>
      </c>
      <c r="AF721" s="456">
        <f t="shared" si="896"/>
        <v>1758.385634292398</v>
      </c>
      <c r="AG721" s="456">
        <f>((_xll.xSPRDOPT($L721,$J721,$I721,$M721,$O721,$N721,$P721,$Q721-$C$3,$R721,6)*$H721)/100)</f>
        <v>-1525.5861365845942</v>
      </c>
      <c r="AH721" s="456">
        <f>((_xll.xSPRDOPT($L721,$J721,$I721,$M721,$O721,$N721,$P721,$Q721-$C$3,$R721,5)*$H721)/100)</f>
        <v>3350.9916029357064</v>
      </c>
      <c r="AI721" s="456">
        <f>(((_xll.xSPRDOPT($L721,$J721,$I721,$M721,$O721,$N721,$P721,$Q721-$C$3,$R721,4)*$H721)/10000)/100)-AB721</f>
        <v>1.1089124942848527E-2</v>
      </c>
      <c r="AJ721" s="456"/>
      <c r="CC721" s="141">
        <f t="shared" si="863"/>
        <v>37043</v>
      </c>
      <c r="CD721" s="234">
        <f>_xll.xSPRDOPT((VLOOKUP(G719,NGPrices,2,FALSE)+HLOOKUP(D719,Prices,VLOOKUP(G719,move_down,2,FALSE),FALSE)),VLOOKUP(G719,NGPrices,2,FALSE),I719,VLOOKUP(G719,NGPREVPRICES,4,FALSE),HLOOKUP(D719,PREVVOLS,VLOOKUP(G719,MOVE_DOWN2,2,FALSE),FALSE),VLOOKUP(G719,NGPREVPRICES,3,FALSE),HLOOKUP(D719,Correllate,VLOOKUP(G719,CorMove,2,FALSE),FALSE),Q719-$CD$3,R719,$CD$5)*H719-CJ721</f>
        <v>0</v>
      </c>
      <c r="CE721" s="234">
        <f>_xll.xSPRDOPT((VLOOKUP(G719,NGPREVPRICES,2,FALSE)+HLOOKUP(D719,PREVCURVES,VLOOKUP(G719,MOVE_DOWN2,2,FALSE),FALSE)),VLOOKUP(G719,NGPREVPRICES,2,FALSE),CK721,VLOOKUP(G719,NGPrices,4,FALSE),HLOOKUP(D719,PREVVOLS,VLOOKUP(G719,MOVE_DOWN2,2,FALSE),FALSE),VLOOKUP(G719,NGPREVPRICES,3,FALSE),HLOOKUP(D719,Correllate,VLOOKUP(G719,CorMove,2,FALSE),FALSE),Q719-$CD$3,R719,$CJ$5)*H719-CJ721</f>
        <v>0</v>
      </c>
      <c r="CF721" s="10">
        <f t="shared" si="864"/>
        <v>-13.693489556593704</v>
      </c>
      <c r="CG721" s="234">
        <f>_xll.xSPRDOPT((VLOOKUP(G719,NGPREVPRICES,2,FALSE)+HLOOKUP(D719,PREVCURVES,VLOOKUP(G719,MOVE_DOWN2,2,FALSE),FALSE)),VLOOKUP(G719,NGPREVPRICES,2,FALSE),CK721,VLOOKUP(G719,NGPREVPRICES,4,FALSE),HLOOKUP(D719,VOLS,VLOOKUP(G719,move_down,2,FALSE),FALSE),VLOOKUP(G719,NGPrices,3,FALSE),HLOOKUP(D719,Correllate,VLOOKUP(G719,CorMove,2,FALSE),FALSE),Q719-$CD$3,R719,$CJ$5)*H719-CJ721</f>
        <v>0</v>
      </c>
      <c r="CH721" s="234">
        <f>_xll.xSPRDOPT((VLOOKUP(G719,NGPREVPRICES,2,FALSE)+HLOOKUP(D719,PREVCURVES,VLOOKUP(G719,MOVE_DOWN2,2,FALSE),FALSE)),VLOOKUP(G719,NGPREVPRICES,2,FALSE),CK721,VLOOKUP(G719,NGPREVPRICES,4,FALSE),HLOOKUP(D719,PREVVOLS,VLOOKUP(G719,MOVE_DOWN2,2,FALSE),FALSE),VLOOKUP(G719,NGPREVPRICES,3,FALSE),HLOOKUP(D719,Correllate,VLOOKUP(G719,CorMove,2,FALSE),FALSE),Q719-$C$3,R719,$CJ$5)*H719-CJ721</f>
        <v>-103.41027333810052</v>
      </c>
      <c r="CI721" s="234">
        <f t="shared" si="865"/>
        <v>-117.10376289469423</v>
      </c>
      <c r="CJ721" s="234">
        <f>_xll.xSPRDOPT((VLOOKUP(G719,NGPREVPRICES,2,FALSE)+HLOOKUP(D719,PREVCURVES,VLOOKUP(G719,MOVE_DOWN2,2,FALSE),FALSE)),VLOOKUP(G719,NGPREVPRICES,2,FALSE),CK721,VLOOKUP(G719,NGPREVPRICES,4,FALSE),HLOOKUP(D719,PREVVOLS,VLOOKUP(G719,MOVE_DOWN2,2,FALSE),FALSE),VLOOKUP(G719,NGPREVPRICES,3,FALSE),HLOOKUP(D719,Correllate,VLOOKUP(G719,CorMove,2,FALSE),FALSE),Q719-$CD$3,R719,$CJ$5)*H719</f>
        <v>69951.989497125003</v>
      </c>
      <c r="CK721" s="235">
        <f t="shared" si="866"/>
        <v>0.42</v>
      </c>
      <c r="CM721" t="str">
        <f t="shared" si="867"/>
        <v>37043Curve Shift/Gamma</v>
      </c>
      <c r="CN721" t="str">
        <f t="shared" si="838"/>
        <v>37043Rho</v>
      </c>
      <c r="CO721" t="str">
        <f t="shared" si="839"/>
        <v>37043Drift</v>
      </c>
      <c r="CP721" t="str">
        <f t="shared" si="840"/>
        <v>37043Vega</v>
      </c>
      <c r="CQ721" t="str">
        <f t="shared" si="841"/>
        <v>37043Theta</v>
      </c>
    </row>
    <row r="722" spans="1:95" x14ac:dyDescent="0.25">
      <c r="A722" s="140" t="s">
        <v>281</v>
      </c>
      <c r="B722" t="s">
        <v>250</v>
      </c>
      <c r="C722" t="s">
        <v>589</v>
      </c>
      <c r="D722" s="4" t="s">
        <v>7</v>
      </c>
      <c r="E722" t="s">
        <v>20</v>
      </c>
      <c r="F722" t="s">
        <v>1</v>
      </c>
      <c r="G722" s="5">
        <v>37135</v>
      </c>
      <c r="H722" s="130">
        <v>500000</v>
      </c>
      <c r="I722" s="235">
        <v>0.42</v>
      </c>
      <c r="J722" s="53">
        <f t="shared" si="883"/>
        <v>3.7879999999999998</v>
      </c>
      <c r="K722" s="7">
        <f t="shared" si="884"/>
        <v>0.39500000000000002</v>
      </c>
      <c r="L722" s="53">
        <f t="shared" si="885"/>
        <v>4.1829999999999998</v>
      </c>
      <c r="M722" s="157">
        <f t="shared" si="886"/>
        <v>6.9264550207512002E-2</v>
      </c>
      <c r="N722" s="4">
        <f t="shared" si="887"/>
        <v>0.4</v>
      </c>
      <c r="O722" s="4">
        <f t="shared" si="888"/>
        <v>0.39200000000000002</v>
      </c>
      <c r="P722" s="9">
        <f t="shared" si="889"/>
        <v>0.9738</v>
      </c>
      <c r="Q722" s="5">
        <f t="shared" si="875"/>
        <v>37133</v>
      </c>
      <c r="R722" s="4">
        <f t="shared" si="890"/>
        <v>0</v>
      </c>
      <c r="S722" s="158">
        <f>_xll.xSPRDOPT($L722,$J722,$I722,$M722,$O722,$N722,$P722,$Q722-$C$3,$R722,0)</f>
        <v>0.15596991496219026</v>
      </c>
      <c r="T722" s="159">
        <f>_xll.xSPRDOPT($L722,$J722,$I722,$M722,$O722,$N722,$P722,$Q722-$C$3,$R722,1)*H722</f>
        <v>-235715.88289379902</v>
      </c>
      <c r="U722" s="160">
        <f t="shared" si="891"/>
        <v>77984.957481095131</v>
      </c>
      <c r="V722" s="159">
        <f>_xll.xSPRDOPT($L722,$J722,$I722,$M722,$O722,$N722,$P722,$Q722-$C$3,$R722,2)*H722</f>
        <v>251043.76551290226</v>
      </c>
      <c r="W722" s="159">
        <f t="shared" si="892"/>
        <v>15327.882619103242</v>
      </c>
      <c r="X722" s="51" t="str">
        <f t="shared" si="893"/>
        <v>37135IF-TRANSCO/Z6</v>
      </c>
      <c r="Y722" s="418">
        <f t="shared" si="894"/>
        <v>50</v>
      </c>
      <c r="Z722" s="456">
        <f t="shared" si="895"/>
        <v>-0.47143176578759804</v>
      </c>
      <c r="AA722" s="456">
        <f>_xll.xSPRDOPT($L722,$J722,$I722,$M722,$O722,$N722,$P722,$Q722-$C$3,$R722,3)</f>
        <v>0.96659001949611822</v>
      </c>
      <c r="AB722" s="456">
        <f>((_xll.xSPRDOPT($L722+AB$5,$J722,$I722,$M722,$O722,$N722,$P722,$Q722-$C$3,$R722,3)*$H722)/10000)/100</f>
        <v>0.48329500974805911</v>
      </c>
      <c r="AC722" s="456">
        <f>((_xll.xSPRDOPT($L722+$AB$5,$J722,$I722,$M722,$O722,$N722,$P722,$Q722-$C$3,$R722,7)*$H722)/100)</f>
        <v>-11994.470511039442</v>
      </c>
      <c r="AD722" s="456">
        <f>(_xll.xSPRDOPT($L722+$AB$5,$J722,$I722,$M722,$O722,$N722,$P722,$Q722-$C$3,$R722,9)/365)*$H722</f>
        <v>-84.280136139607663</v>
      </c>
      <c r="AE722">
        <f t="shared" si="862"/>
        <v>0</v>
      </c>
      <c r="AF722" s="456">
        <f t="shared" si="896"/>
        <v>1811.9049741564772</v>
      </c>
      <c r="AG722" s="456">
        <f>((_xll.xSPRDOPT($L722,$J722,$I722,$M722,$O722,$N722,$P722,$Q722-$C$3,$R722,6)*$H722)/100)</f>
        <v>-1540.5690969852785</v>
      </c>
      <c r="AH722" s="456">
        <f>((_xll.xSPRDOPT($L722,$J722,$I722,$M722,$O722,$N722,$P722,$Q722-$C$3,$R722,5)*$H722)/100)</f>
        <v>3420.8919093283221</v>
      </c>
      <c r="AI722" s="456">
        <f>(((_xll.xSPRDOPT($L722,$J722,$I722,$M722,$O722,$N722,$P722,$Q722-$C$3,$R722,4)*$H722)/10000)/100)-AB722</f>
        <v>-2.3668771777039521E-3</v>
      </c>
      <c r="AJ722" s="456"/>
      <c r="CC722" s="141">
        <f t="shared" si="863"/>
        <v>37073</v>
      </c>
      <c r="CD722" s="234">
        <f>_xll.xSPRDOPT((VLOOKUP(G720,NGPrices,2,FALSE)+HLOOKUP(D720,Prices,VLOOKUP(G720,move_down,2,FALSE),FALSE)),VLOOKUP(G720,NGPrices,2,FALSE),I720,VLOOKUP(G720,NGPREVPRICES,4,FALSE),HLOOKUP(D720,PREVVOLS,VLOOKUP(G720,MOVE_DOWN2,2,FALSE),FALSE),VLOOKUP(G720,NGPREVPRICES,3,FALSE),HLOOKUP(D720,Correllate,VLOOKUP(G720,CorMove,2,FALSE),FALSE),Q720-$CD$3,R720,$CD$5)*H720-CJ722</f>
        <v>0</v>
      </c>
      <c r="CE722" s="234">
        <f>_xll.xSPRDOPT((VLOOKUP(G720,NGPREVPRICES,2,FALSE)+HLOOKUP(D720,PREVCURVES,VLOOKUP(G720,MOVE_DOWN2,2,FALSE),FALSE)),VLOOKUP(G720,NGPREVPRICES,2,FALSE),CK722,VLOOKUP(G720,NGPrices,4,FALSE),HLOOKUP(D720,PREVVOLS,VLOOKUP(G720,MOVE_DOWN2,2,FALSE),FALSE),VLOOKUP(G720,NGPREVPRICES,3,FALSE),HLOOKUP(D720,Correllate,VLOOKUP(G720,CorMove,2,FALSE),FALSE),Q720-$CD$3,R720,$CJ$5)*H720-CJ722</f>
        <v>0</v>
      </c>
      <c r="CF722" s="10">
        <f t="shared" si="864"/>
        <v>-11.445803255046485</v>
      </c>
      <c r="CG722" s="234">
        <f>_xll.xSPRDOPT((VLOOKUP(G720,NGPREVPRICES,2,FALSE)+HLOOKUP(D720,PREVCURVES,VLOOKUP(G720,MOVE_DOWN2,2,FALSE),FALSE)),VLOOKUP(G720,NGPREVPRICES,2,FALSE),CK722,VLOOKUP(G720,NGPREVPRICES,4,FALSE),HLOOKUP(D720,VOLS,VLOOKUP(G720,move_down,2,FALSE),FALSE),VLOOKUP(G720,NGPrices,3,FALSE),HLOOKUP(D720,Correllate,VLOOKUP(G720,CorMove,2,FALSE),FALSE),Q720-$CD$3,R720,$CJ$5)*H720-CJ722</f>
        <v>0</v>
      </c>
      <c r="CH722" s="234">
        <f>_xll.xSPRDOPT((VLOOKUP(G720,NGPREVPRICES,2,FALSE)+HLOOKUP(D720,PREVCURVES,VLOOKUP(G720,MOVE_DOWN2,2,FALSE),FALSE)),VLOOKUP(G720,NGPREVPRICES,2,FALSE),CK722,VLOOKUP(G720,NGPREVPRICES,4,FALSE),HLOOKUP(D720,PREVVOLS,VLOOKUP(G720,MOVE_DOWN2,2,FALSE),FALSE),VLOOKUP(G720,NGPREVPRICES,3,FALSE),HLOOKUP(D720,Correllate,VLOOKUP(G720,CorMove,2,FALSE),FALSE),Q720-$C$3,R720,$CJ$5)*H720-CJ722</f>
        <v>-99.653470624820329</v>
      </c>
      <c r="CI722" s="234">
        <f t="shared" si="865"/>
        <v>-111.09927387986681</v>
      </c>
      <c r="CJ722" s="234">
        <f>_xll.xSPRDOPT((VLOOKUP(G720,NGPREVPRICES,2,FALSE)+HLOOKUP(D720,PREVCURVES,VLOOKUP(G720,MOVE_DOWN2,2,FALSE),FALSE)),VLOOKUP(G720,NGPREVPRICES,2,FALSE),CK722,VLOOKUP(G720,NGPREVPRICES,4,FALSE),HLOOKUP(D720,PREVVOLS,VLOOKUP(G720,MOVE_DOWN2,2,FALSE),FALSE),VLOOKUP(G720,NGPREVPRICES,3,FALSE),HLOOKUP(D720,Correllate,VLOOKUP(G720,CorMove,2,FALSE),FALSE),Q720-$CD$3,R720,$CJ$5)*H720</f>
        <v>58118.403980269126</v>
      </c>
      <c r="CK722" s="235">
        <f t="shared" si="866"/>
        <v>0.42</v>
      </c>
      <c r="CM722" t="str">
        <f t="shared" si="867"/>
        <v>37073Curve Shift/Gamma</v>
      </c>
      <c r="CN722" t="str">
        <f t="shared" si="838"/>
        <v>37073Rho</v>
      </c>
      <c r="CO722" t="str">
        <f t="shared" si="839"/>
        <v>37073Drift</v>
      </c>
      <c r="CP722" t="str">
        <f t="shared" si="840"/>
        <v>37073Vega</v>
      </c>
      <c r="CQ722" t="str">
        <f t="shared" si="841"/>
        <v>37073Theta</v>
      </c>
    </row>
    <row r="723" spans="1:95" x14ac:dyDescent="0.25">
      <c r="A723" s="140" t="s">
        <v>281</v>
      </c>
      <c r="B723" t="s">
        <v>250</v>
      </c>
      <c r="C723" t="s">
        <v>589</v>
      </c>
      <c r="D723" s="4" t="s">
        <v>7</v>
      </c>
      <c r="E723" t="s">
        <v>20</v>
      </c>
      <c r="F723" t="s">
        <v>1</v>
      </c>
      <c r="G723" s="5">
        <v>37165</v>
      </c>
      <c r="H723" s="130">
        <v>500000</v>
      </c>
      <c r="I723" s="235">
        <v>0.42</v>
      </c>
      <c r="J723" s="53">
        <f t="shared" si="883"/>
        <v>3.7730000000000001</v>
      </c>
      <c r="K723" s="7">
        <f t="shared" si="884"/>
        <v>0.46100000000000002</v>
      </c>
      <c r="L723" s="53">
        <f t="shared" si="885"/>
        <v>4.234</v>
      </c>
      <c r="M723" s="157">
        <f t="shared" si="886"/>
        <v>6.9300944538363995E-2</v>
      </c>
      <c r="N723" s="4">
        <f t="shared" si="887"/>
        <v>0.40250000000000002</v>
      </c>
      <c r="O723" s="4">
        <f t="shared" si="888"/>
        <v>0.39400000000000002</v>
      </c>
      <c r="P723" s="9">
        <f t="shared" si="889"/>
        <v>0.9738</v>
      </c>
      <c r="Q723" s="5">
        <f t="shared" si="875"/>
        <v>37161</v>
      </c>
      <c r="R723" s="4">
        <f t="shared" si="890"/>
        <v>0</v>
      </c>
      <c r="S723" s="158">
        <f>_xll.xSPRDOPT($L723,$J723,$I723,$M723,$O723,$N723,$P723,$Q723-$C$3,$R723,0)</f>
        <v>0.13186239046651826</v>
      </c>
      <c r="T723" s="159">
        <f>_xll.xSPRDOPT($L723,$J723,$I723,$M723,$O723,$N723,$P723,$Q723-$C$3,$R723,1)*H723</f>
        <v>-203434.5279476229</v>
      </c>
      <c r="U723" s="160">
        <f t="shared" si="891"/>
        <v>65931.195233259132</v>
      </c>
      <c r="V723" s="159">
        <f>_xll.xSPRDOPT($L723,$J723,$I723,$M723,$O723,$N723,$P723,$Q723-$C$3,$R723,2)*H723</f>
        <v>219213.04040890365</v>
      </c>
      <c r="W723" s="159">
        <f t="shared" si="892"/>
        <v>15778.512461280741</v>
      </c>
      <c r="X723" s="51" t="str">
        <f t="shared" si="893"/>
        <v>37165IF-TRANSCO/Z6</v>
      </c>
      <c r="Y723" s="418">
        <f t="shared" si="894"/>
        <v>50</v>
      </c>
      <c r="Z723" s="456">
        <f t="shared" si="895"/>
        <v>-0.4068690558952458</v>
      </c>
      <c r="AA723" s="456">
        <f>_xll.xSPRDOPT($L723,$J723,$I723,$M723,$O723,$N723,$P723,$Q723-$C$3,$R723,3)</f>
        <v>0.89891962949520388</v>
      </c>
      <c r="AB723" s="456">
        <f>((_xll.xSPRDOPT($L723+AB$5,$J723,$I723,$M723,$O723,$N723,$P723,$Q723-$C$3,$R723,3)*$H723)/10000)/100</f>
        <v>0.44945981474760194</v>
      </c>
      <c r="AC723" s="456">
        <f>((_xll.xSPRDOPT($L723+$AB$5,$J723,$I723,$M723,$O723,$N723,$P723,$Q723-$C$3,$R723,7)*$H723)/100)</f>
        <v>-12420.989637776684</v>
      </c>
      <c r="AD723" s="456">
        <f>(_xll.xSPRDOPT($L723+$AB$5,$J723,$I723,$M723,$O723,$N723,$P723,$Q723-$C$3,$R723,9)/365)*$H723</f>
        <v>-83.243611004407455</v>
      </c>
      <c r="AE723">
        <f t="shared" si="862"/>
        <v>0</v>
      </c>
      <c r="AF723" s="456">
        <f t="shared" si="896"/>
        <v>1873.5043093558625</v>
      </c>
      <c r="AG723" s="456">
        <f>((_xll.xSPRDOPT($L723,$J723,$I723,$M723,$O723,$N723,$P723,$Q723-$C$3,$R723,6)*$H723)/100)</f>
        <v>-1596.9771475463549</v>
      </c>
      <c r="AH723" s="456">
        <f>((_xll.xSPRDOPT($L723,$J723,$I723,$M723,$O723,$N723,$P723,$Q723-$C$3,$R723,5)*$H723)/100)</f>
        <v>3545.3522497541685</v>
      </c>
      <c r="AI723" s="456">
        <f>(((_xll.xSPRDOPT($L723,$J723,$I723,$M723,$O723,$N723,$P723,$Q723-$C$3,$R723,4)*$H723)/10000)/100)-AB723</f>
        <v>1.0904632941556469E-2</v>
      </c>
      <c r="AJ723" s="456"/>
      <c r="CC723" s="141">
        <f t="shared" si="863"/>
        <v>37104</v>
      </c>
      <c r="CD723" s="234">
        <f>_xll.xSPRDOPT((VLOOKUP(G721,NGPrices,2,FALSE)+HLOOKUP(D721,Prices,VLOOKUP(G721,move_down,2,FALSE),FALSE)),VLOOKUP(G721,NGPrices,2,FALSE),I721,VLOOKUP(G721,NGPREVPRICES,4,FALSE),HLOOKUP(D721,PREVVOLS,VLOOKUP(G721,MOVE_DOWN2,2,FALSE),FALSE),VLOOKUP(G721,NGPREVPRICES,3,FALSE),HLOOKUP(D721,Correllate,VLOOKUP(G721,CorMove,2,FALSE),FALSE),Q721-$CD$3,R721,$CD$5)*H721-CJ723</f>
        <v>0</v>
      </c>
      <c r="CE723" s="234">
        <f>_xll.xSPRDOPT((VLOOKUP(G721,NGPREVPRICES,2,FALSE)+HLOOKUP(D721,PREVCURVES,VLOOKUP(G721,MOVE_DOWN2,2,FALSE),FALSE)),VLOOKUP(G721,NGPREVPRICES,2,FALSE),CK723,VLOOKUP(G721,NGPrices,4,FALSE),HLOOKUP(D721,PREVVOLS,VLOOKUP(G721,MOVE_DOWN2,2,FALSE),FALSE),VLOOKUP(G721,NGPREVPRICES,3,FALSE),HLOOKUP(D721,Correllate,VLOOKUP(G721,CorMove,2,FALSE),FALSE),Q721-$CD$3,R721,$CJ$5)*H721-CJ723</f>
        <v>0</v>
      </c>
      <c r="CF723" s="10">
        <f t="shared" si="864"/>
        <v>-12.140852113749133</v>
      </c>
      <c r="CG723" s="234">
        <f>_xll.xSPRDOPT((VLOOKUP(G721,NGPREVPRICES,2,FALSE)+HLOOKUP(D721,PREVCURVES,VLOOKUP(G721,MOVE_DOWN2,2,FALSE),FALSE)),VLOOKUP(G721,NGPREVPRICES,2,FALSE),CK723,VLOOKUP(G721,NGPREVPRICES,4,FALSE),HLOOKUP(D721,VOLS,VLOOKUP(G721,move_down,2,FALSE),FALSE),VLOOKUP(G721,NGPrices,3,FALSE),HLOOKUP(D721,Correllate,VLOOKUP(G721,CorMove,2,FALSE),FALSE),Q721-$CD$3,R721,$CJ$5)*H721-CJ723</f>
        <v>0</v>
      </c>
      <c r="CH723" s="234">
        <f>_xll.xSPRDOPT((VLOOKUP(G721,NGPREVPRICES,2,FALSE)+HLOOKUP(D721,PREVCURVES,VLOOKUP(G721,MOVE_DOWN2,2,FALSE),FALSE)),VLOOKUP(G721,NGPREVPRICES,2,FALSE),CK723,VLOOKUP(G721,NGPREVPRICES,4,FALSE),HLOOKUP(D721,PREVVOLS,VLOOKUP(G721,MOVE_DOWN2,2,FALSE),FALSE),VLOOKUP(G721,NGPREVPRICES,3,FALSE),HLOOKUP(D721,Correllate,VLOOKUP(G721,CorMove,2,FALSE),FALSE),Q721-$C$3,R721,$CJ$5)*H721-CJ723</f>
        <v>-93.289676191045146</v>
      </c>
      <c r="CI723" s="234">
        <f t="shared" si="865"/>
        <v>-105.43052830479428</v>
      </c>
      <c r="CJ723" s="234">
        <f>_xll.xSPRDOPT((VLOOKUP(G721,NGPREVPRICES,2,FALSE)+HLOOKUP(D721,PREVCURVES,VLOOKUP(G721,MOVE_DOWN2,2,FALSE),FALSE)),VLOOKUP(G721,NGPREVPRICES,2,FALSE),CK723,VLOOKUP(G721,NGPREVPRICES,4,FALSE),HLOOKUP(D721,PREVVOLS,VLOOKUP(G721,MOVE_DOWN2,2,FALSE),FALSE),VLOOKUP(G721,NGPREVPRICES,3,FALSE),HLOOKUP(D721,Correllate,VLOOKUP(G721,CorMove,2,FALSE),FALSE),Q721-$CD$3,R721,$CJ$5)*H721</f>
        <v>61269.50954638316</v>
      </c>
      <c r="CK723" s="235">
        <f t="shared" si="866"/>
        <v>0.42</v>
      </c>
      <c r="CM723" t="str">
        <f t="shared" si="867"/>
        <v>37104Curve Shift/Gamma</v>
      </c>
      <c r="CN723" t="str">
        <f t="shared" si="838"/>
        <v>37104Rho</v>
      </c>
      <c r="CO723" t="str">
        <f t="shared" si="839"/>
        <v>37104Drift</v>
      </c>
      <c r="CP723" t="str">
        <f t="shared" si="840"/>
        <v>37104Vega</v>
      </c>
      <c r="CQ723" t="str">
        <f t="shared" si="841"/>
        <v>37104Theta</v>
      </c>
    </row>
    <row r="724" spans="1:95" x14ac:dyDescent="0.25">
      <c r="A724" s="140" t="s">
        <v>320</v>
      </c>
      <c r="B724" t="s">
        <v>250</v>
      </c>
      <c r="C724" t="s">
        <v>590</v>
      </c>
      <c r="D724" s="4" t="s">
        <v>190</v>
      </c>
      <c r="E724" t="s">
        <v>20</v>
      </c>
      <c r="F724" t="s">
        <v>21</v>
      </c>
      <c r="G724" s="5">
        <v>36800</v>
      </c>
      <c r="H724" s="130">
        <v>620000</v>
      </c>
      <c r="I724" s="235">
        <v>0.75</v>
      </c>
      <c r="J724" s="53">
        <f t="shared" ref="J724:J741" si="897">VLOOKUP(G724,NGPrices,2,FALSE)</f>
        <v>4.6920000000000002</v>
      </c>
      <c r="K724" s="7">
        <f t="shared" ref="K724:K741" si="898">HLOOKUP(D724,Prices,VLOOKUP(G724,move_down,2,FALSE),FALSE)+VLOOKUP(G724,CHANGE,HLOOKUP(D724,CHANGE,2,FALSE),FALSE)</f>
        <v>1.99</v>
      </c>
      <c r="L724" s="53">
        <f t="shared" ref="L724:L741" si="899">K724+J724</f>
        <v>6.6820000000000004</v>
      </c>
      <c r="M724" s="157">
        <f t="shared" ref="M724:M741" si="900">VLOOKUP(G724,NGPrices,4,FALSE)</f>
        <v>6.8050789414654006E-2</v>
      </c>
      <c r="N724" s="4">
        <f t="shared" ref="N724:N741" si="901">VLOOKUP(G724,NGPrices,3,FALSE)</f>
        <v>0.57499999999999996</v>
      </c>
      <c r="O724" s="4">
        <f t="shared" ref="O724:O741" si="902">HLOOKUP(D724,VOLS,VLOOKUP(G724,move_down,2,FALSE),FALSE)</f>
        <v>0.54100000000000004</v>
      </c>
      <c r="P724" s="9">
        <f t="shared" ref="P724:P741" si="903">HLOOKUP(D724,Correllate,VLOOKUP(G724,CorMove,2,FALSE),FALSE)</f>
        <v>0.83</v>
      </c>
      <c r="Q724" s="5">
        <f t="shared" si="875"/>
        <v>36797</v>
      </c>
      <c r="R724" s="4">
        <f t="shared" ref="R724:R741" si="904">IF(F724="P",0,1)</f>
        <v>1</v>
      </c>
      <c r="S724" s="158">
        <f>_xll.xSPRDOPT($L724,$J724,$I724,$M724,$O724,$N724,$P724,$Q724-$C$3,$R724,0)</f>
        <v>1.2347850923305406</v>
      </c>
      <c r="T724" s="159">
        <f>_xll.xSPRDOPT($L724,$J724,$I724,$M724,$O724,$N724,$P724,$Q724-$C$3,$R724,1)*H724</f>
        <v>611304.38135638356</v>
      </c>
      <c r="U724" s="160">
        <f t="shared" ref="U724:U741" si="905">S724*H724</f>
        <v>765566.75724493514</v>
      </c>
      <c r="V724" s="159">
        <f>_xll.xSPRDOPT($L724,$J724,$I724,$M724,$O724,$N724,$P724,$Q724-$C$3,$R724,2)*H724</f>
        <v>-609853.46637362544</v>
      </c>
      <c r="W724" s="159">
        <f t="shared" ref="W724:W741" si="906">+V724+T724</f>
        <v>1450.9149827581132</v>
      </c>
      <c r="X724" s="51" t="str">
        <f t="shared" ref="X724:X741" si="907">CONCATENATE(G724,D724)</f>
        <v>36800NGI-SOCAL</v>
      </c>
      <c r="Y724" s="418">
        <f t="shared" ref="Y724:Y741" si="908">H724/10000</f>
        <v>62</v>
      </c>
      <c r="Z724" s="456">
        <f t="shared" ref="Z724:Z741" si="909">T724/H724</f>
        <v>0.98597480863932829</v>
      </c>
      <c r="AA724" s="456">
        <f>_xll.xSPRDOPT($L724,$J724,$I724,$M724,$O724,$N724,$P724,$Q724-$C$3,$R724,3)</f>
        <v>3.9214337756338598E-2</v>
      </c>
      <c r="AB724" s="456">
        <f>((_xll.xSPRDOPT($L724+AB$5,$J724,$I724,$M724,$O724,$N724,$P724,$Q724-$C$3,$R724,3)*$H724)/10000)/100</f>
        <v>2.4312889408929932E-2</v>
      </c>
      <c r="AC724" s="456">
        <f>((_xll.xSPRDOPT($L724+$AB$5,$J724,$I724,$M724,$O724,$N724,$P724,$Q724-$C$3,$R724,7)*$H724)/100)</f>
        <v>-241.122962284333</v>
      </c>
      <c r="AD724" s="456">
        <f>(_xll.xSPRDOPT($L724+$AB$5,$J724,$I724,$M724,$O724,$N724,$P724,$Q724-$C$3,$R724,9)/365)*$H724</f>
        <v>3.3017353893595596</v>
      </c>
      <c r="AE724">
        <f t="shared" si="862"/>
        <v>0</v>
      </c>
      <c r="AF724" s="456">
        <f t="shared" ref="AF724:AF741" si="910">((O724/N724)*AH724)+AG724</f>
        <v>145.39356097272196</v>
      </c>
      <c r="AG724" s="456">
        <f>((_xll.xSPRDOPT($L724,$J724,$I724,$M724,$O724,$N724,$P724,$Q724-$C$3,$R724,6)*$H724)/100)</f>
        <v>39.587350207984969</v>
      </c>
      <c r="AH724" s="456">
        <f>((_xll.xSPRDOPT($L724,$J724,$I724,$M724,$O724,$N724,$P724,$Q724-$C$3,$R724,5)*$H724)/100)</f>
        <v>112.45576929708645</v>
      </c>
      <c r="AI724" s="456">
        <f>(((_xll.xSPRDOPT($L724,$J724,$I724,$M724,$O724,$N724,$P724,$Q724-$C$3,$R724,4)*$H724)/10000)/100)-AB724</f>
        <v>1.2968848881581462E-2</v>
      </c>
      <c r="AJ724" s="456"/>
      <c r="CC724" s="141">
        <f t="shared" si="863"/>
        <v>37135</v>
      </c>
      <c r="CD724" s="234">
        <f>_xll.xSPRDOPT((VLOOKUP(G722,NGPrices,2,FALSE)+HLOOKUP(D722,Prices,VLOOKUP(G722,move_down,2,FALSE),FALSE)),VLOOKUP(G722,NGPrices,2,FALSE),I722,VLOOKUP(G722,NGPREVPRICES,4,FALSE),HLOOKUP(D722,PREVVOLS,VLOOKUP(G722,MOVE_DOWN2,2,FALSE),FALSE),VLOOKUP(G722,NGPREVPRICES,3,FALSE),HLOOKUP(D722,Correllate,VLOOKUP(G722,CorMove,2,FALSE),FALSE),Q722-$CD$3,R722,$CD$5)*H722-CJ724</f>
        <v>0</v>
      </c>
      <c r="CE724" s="234">
        <f>_xll.xSPRDOPT((VLOOKUP(G722,NGPREVPRICES,2,FALSE)+HLOOKUP(D722,PREVCURVES,VLOOKUP(G722,MOVE_DOWN2,2,FALSE),FALSE)),VLOOKUP(G722,NGPREVPRICES,2,FALSE),CK724,VLOOKUP(G722,NGPrices,4,FALSE),HLOOKUP(D722,PREVVOLS,VLOOKUP(G722,MOVE_DOWN2,2,FALSE),FALSE),VLOOKUP(G722,NGPREVPRICES,3,FALSE),HLOOKUP(D722,Correllate,VLOOKUP(G722,CorMove,2,FALSE),FALSE),Q722-$CD$3,R722,$CJ$5)*H722-CJ724</f>
        <v>0</v>
      </c>
      <c r="CF724" s="10">
        <f t="shared" si="864"/>
        <v>-15.56531269941479</v>
      </c>
      <c r="CG724" s="234">
        <f>_xll.xSPRDOPT((VLOOKUP(G722,NGPREVPRICES,2,FALSE)+HLOOKUP(D722,PREVCURVES,VLOOKUP(G722,MOVE_DOWN2,2,FALSE),FALSE)),VLOOKUP(G722,NGPREVPRICES,2,FALSE),CK724,VLOOKUP(G722,NGPREVPRICES,4,FALSE),HLOOKUP(D722,VOLS,VLOOKUP(G722,move_down,2,FALSE),FALSE),VLOOKUP(G722,NGPrices,3,FALSE),HLOOKUP(D722,Correllate,VLOOKUP(G722,CorMove,2,FALSE),FALSE),Q722-$CD$3,R722,$CJ$5)*H722-CJ724</f>
        <v>0</v>
      </c>
      <c r="CH724" s="234">
        <f>_xll.xSPRDOPT((VLOOKUP(G722,NGPREVPRICES,2,FALSE)+HLOOKUP(D722,PREVCURVES,VLOOKUP(G722,MOVE_DOWN2,2,FALSE),FALSE)),VLOOKUP(G722,NGPREVPRICES,2,FALSE),CK724,VLOOKUP(G722,NGPREVPRICES,4,FALSE),HLOOKUP(D722,PREVVOLS,VLOOKUP(G722,MOVE_DOWN2,2,FALSE),FALSE),VLOOKUP(G722,NGPREVPRICES,3,FALSE),HLOOKUP(D722,Correllate,VLOOKUP(G722,CorMove,2,FALSE),FALSE),Q722-$C$3,R722,$CJ$5)*H722-CJ724</f>
        <v>-84.139470444075414</v>
      </c>
      <c r="CI724" s="234">
        <f t="shared" si="865"/>
        <v>-99.704783143490204</v>
      </c>
      <c r="CJ724" s="234">
        <f>_xll.xSPRDOPT((VLOOKUP(G722,NGPREVPRICES,2,FALSE)+HLOOKUP(D722,PREVCURVES,VLOOKUP(G722,MOVE_DOWN2,2,FALSE),FALSE)),VLOOKUP(G722,NGPREVPRICES,2,FALSE),CK724,VLOOKUP(G722,NGPREVPRICES,4,FALSE),HLOOKUP(D722,PREVVOLS,VLOOKUP(G722,MOVE_DOWN2,2,FALSE),FALSE),VLOOKUP(G722,NGPREVPRICES,3,FALSE),HLOOKUP(D722,Correllate,VLOOKUP(G722,CorMove,2,FALSE),FALSE),Q722-$CD$3,R722,$CJ$5)*H722</f>
        <v>78069.096951539206</v>
      </c>
      <c r="CK724" s="235">
        <f t="shared" si="866"/>
        <v>0.42</v>
      </c>
      <c r="CM724" t="str">
        <f t="shared" si="867"/>
        <v>37135Curve Shift/Gamma</v>
      </c>
      <c r="CN724" t="str">
        <f t="shared" si="838"/>
        <v>37135Rho</v>
      </c>
      <c r="CO724" t="str">
        <f t="shared" si="839"/>
        <v>37135Drift</v>
      </c>
      <c r="CP724" t="str">
        <f t="shared" si="840"/>
        <v>37135Vega</v>
      </c>
      <c r="CQ724" t="str">
        <f t="shared" si="841"/>
        <v>37135Theta</v>
      </c>
    </row>
    <row r="725" spans="1:95" x14ac:dyDescent="0.25">
      <c r="A725" s="140" t="s">
        <v>320</v>
      </c>
      <c r="B725" t="s">
        <v>250</v>
      </c>
      <c r="C725" t="s">
        <v>591</v>
      </c>
      <c r="D725" s="4" t="s">
        <v>190</v>
      </c>
      <c r="E725" t="s">
        <v>20</v>
      </c>
      <c r="F725" t="s">
        <v>1</v>
      </c>
      <c r="G725" s="5">
        <v>36800</v>
      </c>
      <c r="H725" s="130">
        <v>-620000</v>
      </c>
      <c r="I725" s="235">
        <v>0.4</v>
      </c>
      <c r="J725" s="53">
        <f t="shared" si="897"/>
        <v>4.6920000000000002</v>
      </c>
      <c r="K725" s="7">
        <f t="shared" si="898"/>
        <v>1.99</v>
      </c>
      <c r="L725" s="53">
        <f t="shared" si="899"/>
        <v>6.6820000000000004</v>
      </c>
      <c r="M725" s="157">
        <f t="shared" si="900"/>
        <v>6.8050789414654006E-2</v>
      </c>
      <c r="N725" s="4">
        <f t="shared" si="901"/>
        <v>0.57499999999999996</v>
      </c>
      <c r="O725" s="4">
        <f t="shared" si="902"/>
        <v>0.54100000000000004</v>
      </c>
      <c r="P725" s="9">
        <f t="shared" si="903"/>
        <v>0.83</v>
      </c>
      <c r="Q725" s="5">
        <f t="shared" si="875"/>
        <v>36797</v>
      </c>
      <c r="R725" s="4">
        <f t="shared" si="904"/>
        <v>0</v>
      </c>
      <c r="S725" s="158">
        <f>_xll.xSPRDOPT($L725,$J725,$I725,$M725,$O725,$N725,$P725,$Q725-$C$3,$R725,0)</f>
        <v>1.7989100635662503E-4</v>
      </c>
      <c r="T725" s="159">
        <f>_xll.xSPRDOPT($L725,$J725,$I725,$M725,$O725,$N725,$P725,$Q725-$C$3,$R725,1)*H725</f>
        <v>651.19517720091392</v>
      </c>
      <c r="U725" s="160">
        <f t="shared" si="905"/>
        <v>-111.53242394110751</v>
      </c>
      <c r="V725" s="159">
        <f>_xll.xSPRDOPT($L725,$J725,$I725,$M725,$O725,$N725,$P725,$Q725-$C$3,$R725,2)*H725</f>
        <v>-885.96122639824864</v>
      </c>
      <c r="W725" s="159">
        <f t="shared" si="906"/>
        <v>-234.76604919733472</v>
      </c>
      <c r="X725" s="51" t="str">
        <f t="shared" si="907"/>
        <v>36800NGI-SOCAL</v>
      </c>
      <c r="Y725" s="418">
        <f t="shared" si="908"/>
        <v>-62</v>
      </c>
      <c r="Z725" s="456">
        <f t="shared" si="909"/>
        <v>-1.0503148019369579E-3</v>
      </c>
      <c r="AA725" s="456">
        <f>_xll.xSPRDOPT($L725,$J725,$I725,$M725,$O725,$N725,$P725,$Q725-$C$3,$R725,3)</f>
        <v>5.8585878424194581E-3</v>
      </c>
      <c r="AB725" s="456">
        <f>((_xll.xSPRDOPT($L725+AB$5,$J725,$I725,$M725,$O725,$N725,$P725,$Q725-$C$3,$R725,3)*$H725)/10000)/100</f>
        <v>-3.6323244623000638E-3</v>
      </c>
      <c r="AC725" s="456">
        <f>((_xll.xSPRDOPT($L725+$AB$5,$J725,$I725,$M725,$O725,$N725,$P725,$Q725-$C$3,$R725,7)*$H725)/100)</f>
        <v>38.55579179188733</v>
      </c>
      <c r="AD725" s="456">
        <f>(_xll.xSPRDOPT($L725+$AB$5,$J725,$I725,$M725,$O725,$N725,$P725,$Q725-$C$3,$R725,9)/365)*$H725</f>
        <v>21.858124052193695</v>
      </c>
      <c r="AE725">
        <f t="shared" si="862"/>
        <v>0</v>
      </c>
      <c r="AF725" s="456">
        <f t="shared" si="910"/>
        <v>-22.814546015941456</v>
      </c>
      <c r="AG725" s="456">
        <f>((_xll.xSPRDOPT($L725,$J725,$I725,$M725,$O725,$N725,$P725,$Q725-$C$3,$R725,6)*$H725)/100)</f>
        <v>-10.68078745664079</v>
      </c>
      <c r="AH725" s="456">
        <f>((_xll.xSPRDOPT($L725,$J725,$I725,$M725,$O725,$N725,$P725,$Q725-$C$3,$R725,5)*$H725)/100)</f>
        <v>-12.896323792232685</v>
      </c>
      <c r="AI725" s="456">
        <f>(((_xll.xSPRDOPT($L725,$J725,$I725,$M725,$O725,$N725,$P725,$Q725-$C$3,$R725,4)*$H725)/10000)/100)-AB725</f>
        <v>-2.7484684958067728E-3</v>
      </c>
      <c r="AJ725" s="456"/>
      <c r="CC725" s="141">
        <f t="shared" si="863"/>
        <v>37165</v>
      </c>
      <c r="CD725" s="234">
        <f>_xll.xSPRDOPT((VLOOKUP(G723,NGPrices,2,FALSE)+HLOOKUP(D723,Prices,VLOOKUP(G723,move_down,2,FALSE),FALSE)),VLOOKUP(G723,NGPrices,2,FALSE),I723,VLOOKUP(G723,NGPREVPRICES,4,FALSE),HLOOKUP(D723,PREVVOLS,VLOOKUP(G723,MOVE_DOWN2,2,FALSE),FALSE),VLOOKUP(G723,NGPREVPRICES,3,FALSE),HLOOKUP(D723,Correllate,VLOOKUP(G723,CorMove,2,FALSE),FALSE),Q723-$CD$3,R723,$CD$5)*H723-CJ725</f>
        <v>0</v>
      </c>
      <c r="CE725" s="234">
        <f>_xll.xSPRDOPT((VLOOKUP(G723,NGPREVPRICES,2,FALSE)+HLOOKUP(D723,PREVCURVES,VLOOKUP(G723,MOVE_DOWN2,2,FALSE),FALSE)),VLOOKUP(G723,NGPREVPRICES,2,FALSE),CK725,VLOOKUP(G723,NGPrices,4,FALSE),HLOOKUP(D723,PREVVOLS,VLOOKUP(G723,MOVE_DOWN2,2,FALSE),FALSE),VLOOKUP(G723,NGPREVPRICES,3,FALSE),HLOOKUP(D723,Correllate,VLOOKUP(G723,CorMove,2,FALSE),FALSE),Q723-$CD$3,R723,$CJ$5)*H723-CJ725</f>
        <v>0</v>
      </c>
      <c r="CF725" s="10">
        <f t="shared" si="864"/>
        <v>-13.240006264371914</v>
      </c>
      <c r="CG725" s="234">
        <f>_xll.xSPRDOPT((VLOOKUP(G723,NGPREVPRICES,2,FALSE)+HLOOKUP(D723,PREVCURVES,VLOOKUP(G723,MOVE_DOWN2,2,FALSE),FALSE)),VLOOKUP(G723,NGPREVPRICES,2,FALSE),CK725,VLOOKUP(G723,NGPREVPRICES,4,FALSE),HLOOKUP(D723,VOLS,VLOOKUP(G723,move_down,2,FALSE),FALSE),VLOOKUP(G723,NGPrices,3,FALSE),HLOOKUP(D723,Correllate,VLOOKUP(G723,CorMove,2,FALSE),FALSE),Q723-$CD$3,R723,$CJ$5)*H723-CJ725</f>
        <v>0</v>
      </c>
      <c r="CH725" s="234">
        <f>_xll.xSPRDOPT((VLOOKUP(G723,NGPREVPRICES,2,FALSE)+HLOOKUP(D723,PREVCURVES,VLOOKUP(G723,MOVE_DOWN2,2,FALSE),FALSE)),VLOOKUP(G723,NGPREVPRICES,2,FALSE),CK725,VLOOKUP(G723,NGPREVPRICES,4,FALSE),HLOOKUP(D723,PREVVOLS,VLOOKUP(G723,MOVE_DOWN2,2,FALSE),FALSE),VLOOKUP(G723,NGPREVPRICES,3,FALSE),HLOOKUP(D723,Correllate,VLOOKUP(G723,CorMove,2,FALSE),FALSE),Q723-$C$3,R723,$CJ$5)*H723-CJ725</f>
        <v>-83.111301719734911</v>
      </c>
      <c r="CI725" s="234">
        <f t="shared" si="865"/>
        <v>-96.351307984106825</v>
      </c>
      <c r="CJ725" s="234">
        <f>_xll.xSPRDOPT((VLOOKUP(G723,NGPREVPRICES,2,FALSE)+HLOOKUP(D723,PREVCURVES,VLOOKUP(G723,MOVE_DOWN2,2,FALSE),FALSE)),VLOOKUP(G723,NGPREVPRICES,2,FALSE),CK725,VLOOKUP(G723,NGPREVPRICES,4,FALSE),HLOOKUP(D723,PREVVOLS,VLOOKUP(G723,MOVE_DOWN2,2,FALSE),FALSE),VLOOKUP(G723,NGPREVPRICES,3,FALSE),HLOOKUP(D723,Correllate,VLOOKUP(G723,CorMove,2,FALSE),FALSE),Q723-$CD$3,R723,$CJ$5)*H723</f>
        <v>66014.306534978867</v>
      </c>
      <c r="CK725" s="235">
        <f t="shared" si="866"/>
        <v>0.42</v>
      </c>
      <c r="CM725" t="str">
        <f t="shared" si="867"/>
        <v>37165Curve Shift/Gamma</v>
      </c>
      <c r="CN725" t="str">
        <f t="shared" si="838"/>
        <v>37165Rho</v>
      </c>
      <c r="CO725" t="str">
        <f t="shared" si="839"/>
        <v>37165Drift</v>
      </c>
      <c r="CP725" t="str">
        <f t="shared" si="840"/>
        <v>37165Vega</v>
      </c>
      <c r="CQ725" t="str">
        <f t="shared" si="841"/>
        <v>37165Theta</v>
      </c>
    </row>
    <row r="726" spans="1:95" x14ac:dyDescent="0.25">
      <c r="A726" s="140" t="s">
        <v>383</v>
      </c>
      <c r="B726" t="s">
        <v>250</v>
      </c>
      <c r="C726" t="s">
        <v>592</v>
      </c>
      <c r="D726" s="4" t="s">
        <v>190</v>
      </c>
      <c r="E726" t="s">
        <v>20</v>
      </c>
      <c r="F726" t="s">
        <v>21</v>
      </c>
      <c r="G726" s="5">
        <v>36800</v>
      </c>
      <c r="H726" s="130">
        <v>620000</v>
      </c>
      <c r="I726" s="235">
        <v>0.75</v>
      </c>
      <c r="J726" s="53">
        <f t="shared" si="897"/>
        <v>4.6920000000000002</v>
      </c>
      <c r="K726" s="7">
        <f t="shared" si="898"/>
        <v>1.99</v>
      </c>
      <c r="L726" s="53">
        <f t="shared" si="899"/>
        <v>6.6820000000000004</v>
      </c>
      <c r="M726" s="157">
        <f t="shared" si="900"/>
        <v>6.8050789414654006E-2</v>
      </c>
      <c r="N726" s="4">
        <f t="shared" si="901"/>
        <v>0.57499999999999996</v>
      </c>
      <c r="O726" s="4">
        <f t="shared" si="902"/>
        <v>0.54100000000000004</v>
      </c>
      <c r="P726" s="9">
        <f t="shared" si="903"/>
        <v>0.83</v>
      </c>
      <c r="Q726" s="5">
        <f t="shared" si="875"/>
        <v>36797</v>
      </c>
      <c r="R726" s="4">
        <f t="shared" si="904"/>
        <v>1</v>
      </c>
      <c r="S726" s="158">
        <f>_xll.xSPRDOPT($L726,$J726,$I726,$M726,$O726,$N726,$P726,$Q726-$C$3,$R726,0)</f>
        <v>1.2347850923305406</v>
      </c>
      <c r="T726" s="159">
        <f>_xll.xSPRDOPT($L726,$J726,$I726,$M726,$O726,$N726,$P726,$Q726-$C$3,$R726,1)*H726</f>
        <v>611304.38135638356</v>
      </c>
      <c r="U726" s="160">
        <f t="shared" si="905"/>
        <v>765566.75724493514</v>
      </c>
      <c r="V726" s="159">
        <f>_xll.xSPRDOPT($L726,$J726,$I726,$M726,$O726,$N726,$P726,$Q726-$C$3,$R726,2)*H726</f>
        <v>-609853.46637362544</v>
      </c>
      <c r="W726" s="159">
        <f t="shared" si="906"/>
        <v>1450.9149827581132</v>
      </c>
      <c r="X726" s="51" t="str">
        <f t="shared" si="907"/>
        <v>36800NGI-SOCAL</v>
      </c>
      <c r="Y726" s="418">
        <f t="shared" si="908"/>
        <v>62</v>
      </c>
      <c r="Z726" s="456">
        <f t="shared" si="909"/>
        <v>0.98597480863932829</v>
      </c>
      <c r="AA726" s="456">
        <f>_xll.xSPRDOPT($L726,$J726,$I726,$M726,$O726,$N726,$P726,$Q726-$C$3,$R726,3)</f>
        <v>3.9214337756338598E-2</v>
      </c>
      <c r="AB726" s="456">
        <f>((_xll.xSPRDOPT($L726+AB$5,$J726,$I726,$M726,$O726,$N726,$P726,$Q726-$C$3,$R726,3)*$H726)/10000)/100</f>
        <v>2.4312889408929932E-2</v>
      </c>
      <c r="AC726" s="456">
        <f>((_xll.xSPRDOPT($L726+$AB$5,$J726,$I726,$M726,$O726,$N726,$P726,$Q726-$C$3,$R726,7)*$H726)/100)</f>
        <v>-241.122962284333</v>
      </c>
      <c r="AD726" s="456">
        <f>(_xll.xSPRDOPT($L726+$AB$5,$J726,$I726,$M726,$O726,$N726,$P726,$Q726-$C$3,$R726,9)/365)*$H726</f>
        <v>3.3017353893595596</v>
      </c>
      <c r="AE726">
        <f t="shared" si="862"/>
        <v>0</v>
      </c>
      <c r="AF726" s="456">
        <f t="shared" si="910"/>
        <v>145.39356097272196</v>
      </c>
      <c r="AG726" s="456">
        <f>((_xll.xSPRDOPT($L726,$J726,$I726,$M726,$O726,$N726,$P726,$Q726-$C$3,$R726,6)*$H726)/100)</f>
        <v>39.587350207984969</v>
      </c>
      <c r="AH726" s="456">
        <f>((_xll.xSPRDOPT($L726,$J726,$I726,$M726,$O726,$N726,$P726,$Q726-$C$3,$R726,5)*$H726)/100)</f>
        <v>112.45576929708645</v>
      </c>
      <c r="AI726" s="456">
        <f>(((_xll.xSPRDOPT($L726,$J726,$I726,$M726,$O726,$N726,$P726,$Q726-$C$3,$R726,4)*$H726)/10000)/100)-AB726</f>
        <v>1.2968848881581462E-2</v>
      </c>
      <c r="AJ726" s="456"/>
      <c r="CC726" s="141">
        <f t="shared" si="863"/>
        <v>36800</v>
      </c>
      <c r="CD726" s="234">
        <f>_xll.xSPRDOPT((VLOOKUP(G724,NGPrices,2,FALSE)+HLOOKUP(D724,Prices,VLOOKUP(G724,move_down,2,FALSE),FALSE)),VLOOKUP(G724,NGPrices,2,FALSE),I724,VLOOKUP(G724,NGPREVPRICES,4,FALSE),HLOOKUP(D724,PREVVOLS,VLOOKUP(G724,MOVE_DOWN2,2,FALSE),FALSE),VLOOKUP(G724,NGPREVPRICES,3,FALSE),HLOOKUP(D724,Correllate,VLOOKUP(G724,CorMove,2,FALSE),FALSE),Q724-$CD$3,R724,$CD$5)*H724-CJ726</f>
        <v>0</v>
      </c>
      <c r="CE726" s="234">
        <f>_xll.xSPRDOPT((VLOOKUP(G724,NGPREVPRICES,2,FALSE)+HLOOKUP(D724,PREVCURVES,VLOOKUP(G724,MOVE_DOWN2,2,FALSE),FALSE)),VLOOKUP(G724,NGPREVPRICES,2,FALSE),CK726,VLOOKUP(G724,NGPrices,4,FALSE),HLOOKUP(D724,PREVVOLS,VLOOKUP(G724,MOVE_DOWN2,2,FALSE),FALSE),VLOOKUP(G724,NGPREVPRICES,3,FALSE),HLOOKUP(D724,Correllate,VLOOKUP(G724,CorMove,2,FALSE),FALSE),Q724-$CD$3,R724,$CJ$5)*H724-CJ726</f>
        <v>0</v>
      </c>
      <c r="CF726" s="10">
        <f t="shared" si="864"/>
        <v>-141.13697557803243</v>
      </c>
      <c r="CG726" s="234">
        <f>_xll.xSPRDOPT((VLOOKUP(G724,NGPREVPRICES,2,FALSE)+HLOOKUP(D724,PREVCURVES,VLOOKUP(G724,MOVE_DOWN2,2,FALSE),FALSE)),VLOOKUP(G724,NGPREVPRICES,2,FALSE),CK726,VLOOKUP(G724,NGPREVPRICES,4,FALSE),HLOOKUP(D724,VOLS,VLOOKUP(G724,move_down,2,FALSE),FALSE),VLOOKUP(G724,NGPrices,3,FALSE),HLOOKUP(D724,Correllate,VLOOKUP(G724,CorMove,2,FALSE),FALSE),Q724-$CD$3,R724,$CJ$5)*H724-CJ726</f>
        <v>0</v>
      </c>
      <c r="CH726" s="234">
        <f>_xll.xSPRDOPT((VLOOKUP(G724,NGPREVPRICES,2,FALSE)+HLOOKUP(D724,PREVCURVES,VLOOKUP(G724,MOVE_DOWN2,2,FALSE),FALSE)),VLOOKUP(G724,NGPREVPRICES,2,FALSE),CK726,VLOOKUP(G724,NGPREVPRICES,4,FALSE),HLOOKUP(D724,PREVVOLS,VLOOKUP(G724,MOVE_DOWN2,2,FALSE),FALSE),VLOOKUP(G724,NGPREVPRICES,3,FALSE),HLOOKUP(D724,Correllate,VLOOKUP(G724,CorMove,2,FALSE),FALSE),Q724-$C$3,R724,$CJ$5)*H724-CJ726</f>
        <v>-1.900550962658599</v>
      </c>
      <c r="CI726" s="234">
        <f t="shared" si="865"/>
        <v>-143.03752654069103</v>
      </c>
      <c r="CJ726" s="234">
        <f>_xll.xSPRDOPT((VLOOKUP(G724,NGPREVPRICES,2,FALSE)+HLOOKUP(D724,PREVCURVES,VLOOKUP(G724,MOVE_DOWN2,2,FALSE),FALSE)),VLOOKUP(G724,NGPREVPRICES,2,FALSE),CK726,VLOOKUP(G724,NGPREVPRICES,4,FALSE),HLOOKUP(D724,PREVVOLS,VLOOKUP(G724,MOVE_DOWN2,2,FALSE),FALSE),VLOOKUP(G724,NGPREVPRICES,3,FALSE),HLOOKUP(D724,Correllate,VLOOKUP(G724,CorMove,2,FALSE),FALSE),Q724-$CD$3,R724,$CJ$5)*H724</f>
        <v>765568.6577958978</v>
      </c>
      <c r="CK726" s="235">
        <f t="shared" si="866"/>
        <v>0.75</v>
      </c>
      <c r="CM726" t="str">
        <f t="shared" si="867"/>
        <v>36800Curve Shift/Gamma</v>
      </c>
      <c r="CN726" t="str">
        <f t="shared" si="838"/>
        <v>36800Rho</v>
      </c>
      <c r="CO726" t="str">
        <f t="shared" si="839"/>
        <v>36800Drift</v>
      </c>
      <c r="CP726" t="str">
        <f t="shared" si="840"/>
        <v>36800Vega</v>
      </c>
      <c r="CQ726" t="str">
        <f t="shared" si="841"/>
        <v>36800Theta</v>
      </c>
    </row>
    <row r="727" spans="1:95" x14ac:dyDescent="0.25">
      <c r="A727" s="140" t="s">
        <v>383</v>
      </c>
      <c r="B727" t="s">
        <v>250</v>
      </c>
      <c r="C727" t="s">
        <v>593</v>
      </c>
      <c r="D727" s="4" t="s">
        <v>190</v>
      </c>
      <c r="E727" t="s">
        <v>20</v>
      </c>
      <c r="F727" t="s">
        <v>1</v>
      </c>
      <c r="G727" s="5">
        <v>36800</v>
      </c>
      <c r="H727" s="130">
        <v>-620000</v>
      </c>
      <c r="I727" s="235">
        <v>0.4</v>
      </c>
      <c r="J727" s="53">
        <f t="shared" si="897"/>
        <v>4.6920000000000002</v>
      </c>
      <c r="K727" s="7">
        <f t="shared" si="898"/>
        <v>1.99</v>
      </c>
      <c r="L727" s="53">
        <f t="shared" si="899"/>
        <v>6.6820000000000004</v>
      </c>
      <c r="M727" s="157">
        <f t="shared" si="900"/>
        <v>6.8050789414654006E-2</v>
      </c>
      <c r="N727" s="4">
        <f t="shared" si="901"/>
        <v>0.57499999999999996</v>
      </c>
      <c r="O727" s="4">
        <f t="shared" si="902"/>
        <v>0.54100000000000004</v>
      </c>
      <c r="P727" s="9">
        <f t="shared" si="903"/>
        <v>0.83</v>
      </c>
      <c r="Q727" s="5">
        <f t="shared" si="875"/>
        <v>36797</v>
      </c>
      <c r="R727" s="4">
        <f t="shared" si="904"/>
        <v>0</v>
      </c>
      <c r="S727" s="158">
        <f>_xll.xSPRDOPT($L727,$J727,$I727,$M727,$O727,$N727,$P727,$Q727-$C$3,$R727,0)</f>
        <v>1.7989100635662503E-4</v>
      </c>
      <c r="T727" s="159">
        <f>_xll.xSPRDOPT($L727,$J727,$I727,$M727,$O727,$N727,$P727,$Q727-$C$3,$R727,1)*H727</f>
        <v>651.19517720091392</v>
      </c>
      <c r="U727" s="160">
        <f t="shared" si="905"/>
        <v>-111.53242394110751</v>
      </c>
      <c r="V727" s="159">
        <f>_xll.xSPRDOPT($L727,$J727,$I727,$M727,$O727,$N727,$P727,$Q727-$C$3,$R727,2)*H727</f>
        <v>-885.96122639824864</v>
      </c>
      <c r="W727" s="159">
        <f t="shared" si="906"/>
        <v>-234.76604919733472</v>
      </c>
      <c r="X727" s="51" t="str">
        <f t="shared" si="907"/>
        <v>36800NGI-SOCAL</v>
      </c>
      <c r="Y727" s="418">
        <f t="shared" si="908"/>
        <v>-62</v>
      </c>
      <c r="Z727" s="456">
        <f t="shared" si="909"/>
        <v>-1.0503148019369579E-3</v>
      </c>
      <c r="AA727" s="456">
        <f>_xll.xSPRDOPT($L727,$J727,$I727,$M727,$O727,$N727,$P727,$Q727-$C$3,$R727,3)</f>
        <v>5.8585878424194581E-3</v>
      </c>
      <c r="AB727" s="456">
        <f>((_xll.xSPRDOPT($L727+AB$5,$J727,$I727,$M727,$O727,$N727,$P727,$Q727-$C$3,$R727,3)*$H727)/10000)/100</f>
        <v>-3.6323244623000638E-3</v>
      </c>
      <c r="AC727" s="456">
        <f>((_xll.xSPRDOPT($L727+$AB$5,$J727,$I727,$M727,$O727,$N727,$P727,$Q727-$C$3,$R727,7)*$H727)/100)</f>
        <v>38.55579179188733</v>
      </c>
      <c r="AD727" s="456">
        <f>(_xll.xSPRDOPT($L727+$AB$5,$J727,$I727,$M727,$O727,$N727,$P727,$Q727-$C$3,$R727,9)/365)*$H727</f>
        <v>21.858124052193695</v>
      </c>
      <c r="AE727">
        <f t="shared" si="862"/>
        <v>0</v>
      </c>
      <c r="AF727" s="456">
        <f t="shared" si="910"/>
        <v>-22.814546015941456</v>
      </c>
      <c r="AG727" s="456">
        <f>((_xll.xSPRDOPT($L727,$J727,$I727,$M727,$O727,$N727,$P727,$Q727-$C$3,$R727,6)*$H727)/100)</f>
        <v>-10.68078745664079</v>
      </c>
      <c r="AH727" s="456">
        <f>((_xll.xSPRDOPT($L727,$J727,$I727,$M727,$O727,$N727,$P727,$Q727-$C$3,$R727,5)*$H727)/100)</f>
        <v>-12.896323792232685</v>
      </c>
      <c r="AI727" s="456">
        <f>(((_xll.xSPRDOPT($L727,$J727,$I727,$M727,$O727,$N727,$P727,$Q727-$C$3,$R727,4)*$H727)/10000)/100)-AB727</f>
        <v>-2.7484684958067728E-3</v>
      </c>
      <c r="AJ727" s="456"/>
      <c r="CC727" s="141">
        <f t="shared" si="863"/>
        <v>36800</v>
      </c>
      <c r="CD727" s="234">
        <f>_xll.xSPRDOPT((VLOOKUP(G725,NGPrices,2,FALSE)+HLOOKUP(D725,Prices,VLOOKUP(G725,move_down,2,FALSE),FALSE)),VLOOKUP(G725,NGPrices,2,FALSE),I725,VLOOKUP(G725,NGPREVPRICES,4,FALSE),HLOOKUP(D725,PREVVOLS,VLOOKUP(G725,MOVE_DOWN2,2,FALSE),FALSE),VLOOKUP(G725,NGPREVPRICES,3,FALSE),HLOOKUP(D725,Correllate,VLOOKUP(G725,CorMove,2,FALSE),FALSE),Q725-$CD$3,R725,$CD$5)*H725-CJ727</f>
        <v>0</v>
      </c>
      <c r="CE727" s="234">
        <f>_xll.xSPRDOPT((VLOOKUP(G725,NGPREVPRICES,2,FALSE)+HLOOKUP(D725,PREVCURVES,VLOOKUP(G725,MOVE_DOWN2,2,FALSE),FALSE)),VLOOKUP(G725,NGPREVPRICES,2,FALSE),CK727,VLOOKUP(G725,NGPrices,4,FALSE),HLOOKUP(D725,PREVVOLS,VLOOKUP(G725,MOVE_DOWN2,2,FALSE),FALSE),VLOOKUP(G725,NGPREVPRICES,3,FALSE),HLOOKUP(D725,Correllate,VLOOKUP(G725,CorMove,2,FALSE),FALSE),Q725-$CD$3,R725,$CJ$5)*H725-CJ727</f>
        <v>0</v>
      </c>
      <c r="CF727" s="10">
        <f t="shared" si="864"/>
        <v>2.4868169233343451E-2</v>
      </c>
      <c r="CG727" s="234">
        <f>_xll.xSPRDOPT((VLOOKUP(G725,NGPREVPRICES,2,FALSE)+HLOOKUP(D725,PREVCURVES,VLOOKUP(G725,MOVE_DOWN2,2,FALSE),FALSE)),VLOOKUP(G725,NGPREVPRICES,2,FALSE),CK727,VLOOKUP(G725,NGPREVPRICES,4,FALSE),HLOOKUP(D725,VOLS,VLOOKUP(G725,move_down,2,FALSE),FALSE),VLOOKUP(G725,NGPrices,3,FALSE),HLOOKUP(D725,Correllate,VLOOKUP(G725,CorMove,2,FALSE),FALSE),Q725-$CD$3,R725,$CJ$5)*H725-CJ727</f>
        <v>0</v>
      </c>
      <c r="CH727" s="234">
        <f>_xll.xSPRDOPT((VLOOKUP(G725,NGPREVPRICES,2,FALSE)+HLOOKUP(D725,PREVCURVES,VLOOKUP(G725,MOVE_DOWN2,2,FALSE),FALSE)),VLOOKUP(G725,NGPREVPRICES,2,FALSE),CK727,VLOOKUP(G725,NGPREVPRICES,4,FALSE),HLOOKUP(D725,PREVVOLS,VLOOKUP(G725,MOVE_DOWN2,2,FALSE),FALSE),VLOOKUP(G725,NGPREVPRICES,3,FALSE),HLOOKUP(D725,Correllate,VLOOKUP(G725,CorMove,2,FALSE),FALSE),Q725-$C$3,R725,$CJ$5)*H725-CJ727</f>
        <v>23.359873869894813</v>
      </c>
      <c r="CI727" s="234">
        <f t="shared" si="865"/>
        <v>23.384742039128156</v>
      </c>
      <c r="CJ727" s="234">
        <f>_xll.xSPRDOPT((VLOOKUP(G725,NGPREVPRICES,2,FALSE)+HLOOKUP(D725,PREVCURVES,VLOOKUP(G725,MOVE_DOWN2,2,FALSE),FALSE)),VLOOKUP(G725,NGPREVPRICES,2,FALSE),CK727,VLOOKUP(G725,NGPREVPRICES,4,FALSE),HLOOKUP(D725,PREVVOLS,VLOOKUP(G725,MOVE_DOWN2,2,FALSE),FALSE),VLOOKUP(G725,NGPREVPRICES,3,FALSE),HLOOKUP(D725,Correllate,VLOOKUP(G725,CorMove,2,FALSE),FALSE),Q725-$CD$3,R725,$CJ$5)*H725</f>
        <v>-134.89229781100232</v>
      </c>
      <c r="CK727" s="235">
        <f t="shared" si="866"/>
        <v>0.4</v>
      </c>
      <c r="CM727" t="str">
        <f t="shared" si="867"/>
        <v>36800Curve Shift/Gamma</v>
      </c>
      <c r="CN727" t="str">
        <f t="shared" si="838"/>
        <v>36800Rho</v>
      </c>
      <c r="CO727" t="str">
        <f t="shared" si="839"/>
        <v>36800Drift</v>
      </c>
      <c r="CP727" t="str">
        <f t="shared" si="840"/>
        <v>36800Vega</v>
      </c>
      <c r="CQ727" t="str">
        <f t="shared" si="841"/>
        <v>36800Theta</v>
      </c>
    </row>
    <row r="728" spans="1:95" x14ac:dyDescent="0.25">
      <c r="A728" s="140" t="s">
        <v>383</v>
      </c>
      <c r="B728" t="s">
        <v>250</v>
      </c>
      <c r="C728" t="s">
        <v>594</v>
      </c>
      <c r="D728" s="4" t="s">
        <v>9</v>
      </c>
      <c r="E728" t="s">
        <v>20</v>
      </c>
      <c r="F728" t="s">
        <v>21</v>
      </c>
      <c r="G728" s="5">
        <v>36831</v>
      </c>
      <c r="H728" s="130">
        <v>600000</v>
      </c>
      <c r="I728" s="235">
        <v>-0.375</v>
      </c>
      <c r="J728" s="53">
        <f t="shared" si="897"/>
        <v>4.7359999999999998</v>
      </c>
      <c r="K728" s="7">
        <f t="shared" si="898"/>
        <v>-0.46750000000000003</v>
      </c>
      <c r="L728" s="53">
        <f t="shared" si="899"/>
        <v>4.2684999999999995</v>
      </c>
      <c r="M728" s="157">
        <f t="shared" si="900"/>
        <v>6.810675983792E-2</v>
      </c>
      <c r="N728" s="4">
        <f t="shared" si="901"/>
        <v>0.59499999999999997</v>
      </c>
      <c r="O728" s="4">
        <f t="shared" si="902"/>
        <v>0.57099999999999995</v>
      </c>
      <c r="P728" s="9">
        <f t="shared" si="903"/>
        <v>0.93</v>
      </c>
      <c r="Q728" s="5">
        <f t="shared" si="875"/>
        <v>36829</v>
      </c>
      <c r="R728" s="4">
        <f t="shared" si="904"/>
        <v>1</v>
      </c>
      <c r="S728" s="158">
        <f>_xll.xSPRDOPT($L728,$J728,$I728,$M728,$O728,$N728,$P728,$Q728-$C$3,$R728,0)</f>
        <v>0.12630335786193397</v>
      </c>
      <c r="T728" s="159">
        <f>_xll.xSPRDOPT($L728,$J728,$I728,$M728,$O728,$N728,$P728,$Q728-$C$3,$R728,1)*H728</f>
        <v>255477.92705029628</v>
      </c>
      <c r="U728" s="160">
        <f t="shared" si="905"/>
        <v>75782.014717160389</v>
      </c>
      <c r="V728" s="159">
        <f>_xll.xSPRDOPT($L728,$J728,$I728,$M728,$O728,$N728,$P728,$Q728-$C$3,$R728,2)*H728</f>
        <v>-235070.06226559638</v>
      </c>
      <c r="W728" s="159">
        <f t="shared" si="906"/>
        <v>20407.864784699894</v>
      </c>
      <c r="X728" s="51" t="str">
        <f t="shared" si="907"/>
        <v>36831IF-NWPL_ROCKY_M</v>
      </c>
      <c r="Y728" s="418">
        <f t="shared" si="908"/>
        <v>60</v>
      </c>
      <c r="Z728" s="456">
        <f t="shared" si="909"/>
        <v>0.42579654508382714</v>
      </c>
      <c r="AA728" s="456">
        <f>_xll.xSPRDOPT($L728,$J728,$I728,$M728,$O728,$N728,$P728,$Q728-$C$3,$R728,3)</f>
        <v>0.92017338626520007</v>
      </c>
      <c r="AB728" s="456">
        <f>((_xll.xSPRDOPT($L728+AB$5,$J728,$I728,$M728,$O728,$N728,$P728,$Q728-$C$3,$R728,3)*$H728)/10000)/100</f>
        <v>0.55210403175912004</v>
      </c>
      <c r="AC728" s="456">
        <f>((_xll.xSPRDOPT($L728+$AB$5,$J728,$I728,$M728,$O728,$N728,$P728,$Q728-$C$3,$R728,7)*$H728)/100)</f>
        <v>-6310.4463756999994</v>
      </c>
      <c r="AD728" s="456">
        <f>(_xll.xSPRDOPT($L728+$AB$5,$J728,$I728,$M728,$O728,$N728,$P728,$Q728-$C$3,$R728,9)/365)*$H728</f>
        <v>-780.97537495098629</v>
      </c>
      <c r="AE728">
        <f t="shared" si="862"/>
        <v>0</v>
      </c>
      <c r="AF728" s="456">
        <f t="shared" si="910"/>
        <v>1655.9139189045043</v>
      </c>
      <c r="AG728" s="456">
        <f>((_xll.xSPRDOPT($L728,$J728,$I728,$M728,$O728,$N728,$P728,$Q728-$C$3,$R728,6)*$H728)/100)</f>
        <v>2162.573245042724</v>
      </c>
      <c r="AH728" s="456">
        <f>((_xll.xSPRDOPT($L728,$J728,$I728,$M728,$O728,$N728,$P728,$Q728-$C$3,$R728,5)*$H728)/100)</f>
        <v>-527.95498958360906</v>
      </c>
      <c r="AI728" s="456">
        <f>(((_xll.xSPRDOPT($L728,$J728,$I728,$M728,$O728,$N728,$P728,$Q728-$C$3,$R728,4)*$H728)/10000)/100)-AB728</f>
        <v>-2.1245181543167457E-2</v>
      </c>
      <c r="AJ728" s="456"/>
      <c r="CC728" s="141">
        <f t="shared" si="863"/>
        <v>36800</v>
      </c>
      <c r="CD728" s="234">
        <f>_xll.xSPRDOPT((VLOOKUP(G726,NGPrices,2,FALSE)+HLOOKUP(D726,Prices,VLOOKUP(G726,move_down,2,FALSE),FALSE)),VLOOKUP(G726,NGPrices,2,FALSE),I726,VLOOKUP(G726,NGPREVPRICES,4,FALSE),HLOOKUP(D726,PREVVOLS,VLOOKUP(G726,MOVE_DOWN2,2,FALSE),FALSE),VLOOKUP(G726,NGPREVPRICES,3,FALSE),HLOOKUP(D726,Correllate,VLOOKUP(G726,CorMove,2,FALSE),FALSE),Q726-$CD$3,R726,$CD$5)*H726-CJ728</f>
        <v>0</v>
      </c>
      <c r="CE728" s="234">
        <f>_xll.xSPRDOPT((VLOOKUP(G726,NGPREVPRICES,2,FALSE)+HLOOKUP(D726,PREVCURVES,VLOOKUP(G726,MOVE_DOWN2,2,FALSE),FALSE)),VLOOKUP(G726,NGPREVPRICES,2,FALSE),CK728,VLOOKUP(G726,NGPrices,4,FALSE),HLOOKUP(D726,PREVVOLS,VLOOKUP(G726,MOVE_DOWN2,2,FALSE),FALSE),VLOOKUP(G726,NGPREVPRICES,3,FALSE),HLOOKUP(D726,Correllate,VLOOKUP(G726,CorMove,2,FALSE),FALSE),Q726-$CD$3,R726,$CJ$5)*H726-CJ728</f>
        <v>0</v>
      </c>
      <c r="CF728" s="10">
        <f t="shared" si="864"/>
        <v>-141.13697557803243</v>
      </c>
      <c r="CG728" s="234">
        <f>_xll.xSPRDOPT((VLOOKUP(G726,NGPREVPRICES,2,FALSE)+HLOOKUP(D726,PREVCURVES,VLOOKUP(G726,MOVE_DOWN2,2,FALSE),FALSE)),VLOOKUP(G726,NGPREVPRICES,2,FALSE),CK728,VLOOKUP(G726,NGPREVPRICES,4,FALSE),HLOOKUP(D726,VOLS,VLOOKUP(G726,move_down,2,FALSE),FALSE),VLOOKUP(G726,NGPrices,3,FALSE),HLOOKUP(D726,Correllate,VLOOKUP(G726,CorMove,2,FALSE),FALSE),Q726-$CD$3,R726,$CJ$5)*H726-CJ728</f>
        <v>0</v>
      </c>
      <c r="CH728" s="234">
        <f>_xll.xSPRDOPT((VLOOKUP(G726,NGPREVPRICES,2,FALSE)+HLOOKUP(D726,PREVCURVES,VLOOKUP(G726,MOVE_DOWN2,2,FALSE),FALSE)),VLOOKUP(G726,NGPREVPRICES,2,FALSE),CK728,VLOOKUP(G726,NGPREVPRICES,4,FALSE),HLOOKUP(D726,PREVVOLS,VLOOKUP(G726,MOVE_DOWN2,2,FALSE),FALSE),VLOOKUP(G726,NGPREVPRICES,3,FALSE),HLOOKUP(D726,Correllate,VLOOKUP(G726,CorMove,2,FALSE),FALSE),Q726-$C$3,R726,$CJ$5)*H726-CJ728</f>
        <v>-1.900550962658599</v>
      </c>
      <c r="CI728" s="234">
        <f t="shared" si="865"/>
        <v>-143.03752654069103</v>
      </c>
      <c r="CJ728" s="234">
        <f>_xll.xSPRDOPT((VLOOKUP(G726,NGPREVPRICES,2,FALSE)+HLOOKUP(D726,PREVCURVES,VLOOKUP(G726,MOVE_DOWN2,2,FALSE),FALSE)),VLOOKUP(G726,NGPREVPRICES,2,FALSE),CK728,VLOOKUP(G726,NGPREVPRICES,4,FALSE),HLOOKUP(D726,PREVVOLS,VLOOKUP(G726,MOVE_DOWN2,2,FALSE),FALSE),VLOOKUP(G726,NGPREVPRICES,3,FALSE),HLOOKUP(D726,Correllate,VLOOKUP(G726,CorMove,2,FALSE),FALSE),Q726-$CD$3,R726,$CJ$5)*H726</f>
        <v>765568.6577958978</v>
      </c>
      <c r="CK728" s="235">
        <f t="shared" si="866"/>
        <v>0.75</v>
      </c>
      <c r="CM728" t="str">
        <f t="shared" si="867"/>
        <v>36800Curve Shift/Gamma</v>
      </c>
      <c r="CN728" t="str">
        <f t="shared" si="838"/>
        <v>36800Rho</v>
      </c>
      <c r="CO728" t="str">
        <f t="shared" si="839"/>
        <v>36800Drift</v>
      </c>
      <c r="CP728" t="str">
        <f t="shared" si="840"/>
        <v>36800Vega</v>
      </c>
      <c r="CQ728" t="str">
        <f t="shared" si="841"/>
        <v>36800Theta</v>
      </c>
    </row>
    <row r="729" spans="1:95" x14ac:dyDescent="0.25">
      <c r="A729" s="140" t="s">
        <v>383</v>
      </c>
      <c r="B729" t="s">
        <v>250</v>
      </c>
      <c r="C729" t="s">
        <v>594</v>
      </c>
      <c r="D729" s="4" t="s">
        <v>9</v>
      </c>
      <c r="E729" t="s">
        <v>20</v>
      </c>
      <c r="F729" t="s">
        <v>21</v>
      </c>
      <c r="G729" s="5">
        <v>36861</v>
      </c>
      <c r="H729" s="130">
        <v>620000</v>
      </c>
      <c r="I729" s="235">
        <v>-0.375</v>
      </c>
      <c r="J729" s="53">
        <f t="shared" si="897"/>
        <v>4.8</v>
      </c>
      <c r="K729" s="7">
        <f t="shared" si="898"/>
        <v>-0.35749999999999998</v>
      </c>
      <c r="L729" s="53">
        <f t="shared" si="899"/>
        <v>4.4424999999999999</v>
      </c>
      <c r="M729" s="157">
        <f t="shared" si="900"/>
        <v>6.8314027999354002E-2</v>
      </c>
      <c r="N729" s="4">
        <f t="shared" si="901"/>
        <v>0.6</v>
      </c>
      <c r="O729" s="4">
        <f t="shared" si="902"/>
        <v>0.57599999999999996</v>
      </c>
      <c r="P729" s="9">
        <f t="shared" si="903"/>
        <v>0.93</v>
      </c>
      <c r="Q729" s="5">
        <f t="shared" si="875"/>
        <v>36859</v>
      </c>
      <c r="R729" s="4">
        <f t="shared" si="904"/>
        <v>1</v>
      </c>
      <c r="S729" s="158">
        <f>_xll.xSPRDOPT($L729,$J729,$I729,$M729,$O729,$N729,$P729,$Q729-$C$3,$R729,0)</f>
        <v>0.21899437785537534</v>
      </c>
      <c r="T729" s="159">
        <f>_xll.xSPRDOPT($L729,$J729,$I729,$M729,$O729,$N729,$P729,$Q729-$C$3,$R729,1)*H729</f>
        <v>325381.82555775426</v>
      </c>
      <c r="U729" s="160">
        <f t="shared" si="905"/>
        <v>135776.5142703327</v>
      </c>
      <c r="V729" s="159">
        <f>_xll.xSPRDOPT($L729,$J729,$I729,$M729,$O729,$N729,$P729,$Q729-$C$3,$R729,2)*H729</f>
        <v>-298969.29463117756</v>
      </c>
      <c r="W729" s="159">
        <f t="shared" si="906"/>
        <v>26412.530926576699</v>
      </c>
      <c r="X729" s="51" t="str">
        <f t="shared" si="907"/>
        <v>36861IF-NWPL_ROCKY_M</v>
      </c>
      <c r="Y729" s="418">
        <f t="shared" si="908"/>
        <v>62</v>
      </c>
      <c r="Z729" s="456">
        <f t="shared" si="909"/>
        <v>0.52480939606089394</v>
      </c>
      <c r="AA729" s="456">
        <f>_xll.xSPRDOPT($L729,$J729,$I729,$M729,$O729,$N729,$P729,$Q729-$C$3,$R729,3)</f>
        <v>0.7277897054971304</v>
      </c>
      <c r="AB729" s="456">
        <f>((_xll.xSPRDOPT($L729+AB$5,$J729,$I729,$M729,$O729,$N729,$P729,$Q729-$C$3,$R729,3)*$H729)/10000)/100</f>
        <v>0.45122961740822087</v>
      </c>
      <c r="AC729" s="456">
        <f>((_xll.xSPRDOPT($L729+$AB$5,$J729,$I729,$M729,$O729,$N729,$P729,$Q729-$C$3,$R729,7)*$H729)/100)</f>
        <v>-8398.6747709456795</v>
      </c>
      <c r="AD729" s="456">
        <f>(_xll.xSPRDOPT($L729+$AB$5,$J729,$I729,$M729,$O729,$N729,$P729,$Q729-$C$3,$R729,9)/365)*$H729</f>
        <v>-683.47553634096698</v>
      </c>
      <c r="AE729">
        <f t="shared" si="862"/>
        <v>0</v>
      </c>
      <c r="AF729" s="456">
        <f t="shared" si="910"/>
        <v>2172.4342989768434</v>
      </c>
      <c r="AG729" s="456">
        <f>((_xll.xSPRDOPT($L729,$J729,$I729,$M729,$O729,$N729,$P729,$Q729-$C$3,$R729,6)*$H729)/100)</f>
        <v>2786.6848652081781</v>
      </c>
      <c r="AH729" s="456">
        <f>((_xll.xSPRDOPT($L729,$J729,$I729,$M729,$O729,$N729,$P729,$Q729-$C$3,$R729,5)*$H729)/100)</f>
        <v>-639.84433982430699</v>
      </c>
      <c r="AI729" s="456">
        <f>(((_xll.xSPRDOPT($L729,$J729,$I729,$M729,$O729,$N729,$P729,$Q729-$C$3,$R729,4)*$H729)/10000)/100)-AB729</f>
        <v>2.6620767813917423E-3</v>
      </c>
      <c r="AJ729" s="456"/>
      <c r="CC729" s="141">
        <f t="shared" si="863"/>
        <v>36800</v>
      </c>
      <c r="CD729" s="234">
        <f>_xll.xSPRDOPT((VLOOKUP(G727,NGPrices,2,FALSE)+HLOOKUP(D727,Prices,VLOOKUP(G727,move_down,2,FALSE),FALSE)),VLOOKUP(G727,NGPrices,2,FALSE),I727,VLOOKUP(G727,NGPREVPRICES,4,FALSE),HLOOKUP(D727,PREVVOLS,VLOOKUP(G727,MOVE_DOWN2,2,FALSE),FALSE),VLOOKUP(G727,NGPREVPRICES,3,FALSE),HLOOKUP(D727,Correllate,VLOOKUP(G727,CorMove,2,FALSE),FALSE),Q727-$CD$3,R727,$CD$5)*H727-CJ729</f>
        <v>0</v>
      </c>
      <c r="CE729" s="234">
        <f>_xll.xSPRDOPT((VLOOKUP(G727,NGPREVPRICES,2,FALSE)+HLOOKUP(D727,PREVCURVES,VLOOKUP(G727,MOVE_DOWN2,2,FALSE),FALSE)),VLOOKUP(G727,NGPREVPRICES,2,FALSE),CK729,VLOOKUP(G727,NGPrices,4,FALSE),HLOOKUP(D727,PREVVOLS,VLOOKUP(G727,MOVE_DOWN2,2,FALSE),FALSE),VLOOKUP(G727,NGPREVPRICES,3,FALSE),HLOOKUP(D727,Correllate,VLOOKUP(G727,CorMove,2,FALSE),FALSE),Q727-$CD$3,R727,$CJ$5)*H727-CJ729</f>
        <v>0</v>
      </c>
      <c r="CF729" s="10">
        <f t="shared" si="864"/>
        <v>2.4868169233343451E-2</v>
      </c>
      <c r="CG729" s="234">
        <f>_xll.xSPRDOPT((VLOOKUP(G727,NGPREVPRICES,2,FALSE)+HLOOKUP(D727,PREVCURVES,VLOOKUP(G727,MOVE_DOWN2,2,FALSE),FALSE)),VLOOKUP(G727,NGPREVPRICES,2,FALSE),CK729,VLOOKUP(G727,NGPREVPRICES,4,FALSE),HLOOKUP(D727,VOLS,VLOOKUP(G727,move_down,2,FALSE),FALSE),VLOOKUP(G727,NGPrices,3,FALSE),HLOOKUP(D727,Correllate,VLOOKUP(G727,CorMove,2,FALSE),FALSE),Q727-$CD$3,R727,$CJ$5)*H727-CJ729</f>
        <v>0</v>
      </c>
      <c r="CH729" s="234">
        <f>_xll.xSPRDOPT((VLOOKUP(G727,NGPREVPRICES,2,FALSE)+HLOOKUP(D727,PREVCURVES,VLOOKUP(G727,MOVE_DOWN2,2,FALSE),FALSE)),VLOOKUP(G727,NGPREVPRICES,2,FALSE),CK729,VLOOKUP(G727,NGPREVPRICES,4,FALSE),HLOOKUP(D727,PREVVOLS,VLOOKUP(G727,MOVE_DOWN2,2,FALSE),FALSE),VLOOKUP(G727,NGPREVPRICES,3,FALSE),HLOOKUP(D727,Correllate,VLOOKUP(G727,CorMove,2,FALSE),FALSE),Q727-$C$3,R727,$CJ$5)*H727-CJ729</f>
        <v>23.359873869894813</v>
      </c>
      <c r="CI729" s="234">
        <f t="shared" si="865"/>
        <v>23.384742039128156</v>
      </c>
      <c r="CJ729" s="234">
        <f>_xll.xSPRDOPT((VLOOKUP(G727,NGPREVPRICES,2,FALSE)+HLOOKUP(D727,PREVCURVES,VLOOKUP(G727,MOVE_DOWN2,2,FALSE),FALSE)),VLOOKUP(G727,NGPREVPRICES,2,FALSE),CK729,VLOOKUP(G727,NGPREVPRICES,4,FALSE),HLOOKUP(D727,PREVVOLS,VLOOKUP(G727,MOVE_DOWN2,2,FALSE),FALSE),VLOOKUP(G727,NGPREVPRICES,3,FALSE),HLOOKUP(D727,Correllate,VLOOKUP(G727,CorMove,2,FALSE),FALSE),Q727-$CD$3,R727,$CJ$5)*H727</f>
        <v>-134.89229781100232</v>
      </c>
      <c r="CK729" s="235">
        <f t="shared" si="866"/>
        <v>0.4</v>
      </c>
      <c r="CM729" t="str">
        <f t="shared" si="867"/>
        <v>36800Curve Shift/Gamma</v>
      </c>
      <c r="CN729" t="str">
        <f t="shared" si="838"/>
        <v>36800Rho</v>
      </c>
      <c r="CO729" t="str">
        <f t="shared" si="839"/>
        <v>36800Drift</v>
      </c>
      <c r="CP729" t="str">
        <f t="shared" si="840"/>
        <v>36800Vega</v>
      </c>
      <c r="CQ729" t="str">
        <f t="shared" si="841"/>
        <v>36800Theta</v>
      </c>
    </row>
    <row r="730" spans="1:95" x14ac:dyDescent="0.25">
      <c r="A730" s="140" t="s">
        <v>383</v>
      </c>
      <c r="B730" t="s">
        <v>250</v>
      </c>
      <c r="C730" t="s">
        <v>594</v>
      </c>
      <c r="D730" s="4" t="s">
        <v>9</v>
      </c>
      <c r="E730" t="s">
        <v>20</v>
      </c>
      <c r="F730" t="s">
        <v>21</v>
      </c>
      <c r="G730" s="5">
        <v>36892</v>
      </c>
      <c r="H730" s="130">
        <v>620000</v>
      </c>
      <c r="I730" s="235">
        <v>-0.375</v>
      </c>
      <c r="J730" s="53">
        <f t="shared" si="897"/>
        <v>4.7439999999999998</v>
      </c>
      <c r="K730" s="7">
        <f t="shared" si="898"/>
        <v>-0.36749999999999999</v>
      </c>
      <c r="L730" s="53">
        <f t="shared" si="899"/>
        <v>4.3765000000000001</v>
      </c>
      <c r="M730" s="157">
        <f t="shared" si="900"/>
        <v>6.8374831148490994E-2</v>
      </c>
      <c r="N730" s="4">
        <f t="shared" si="901"/>
        <v>0.60499999999999998</v>
      </c>
      <c r="O730" s="4">
        <f t="shared" si="902"/>
        <v>0.58099999999999996</v>
      </c>
      <c r="P730" s="9">
        <f t="shared" si="903"/>
        <v>0.93</v>
      </c>
      <c r="Q730" s="5">
        <f t="shared" si="875"/>
        <v>36888</v>
      </c>
      <c r="R730" s="4">
        <f t="shared" si="904"/>
        <v>1</v>
      </c>
      <c r="S730" s="158">
        <f>_xll.xSPRDOPT($L730,$J730,$I730,$M730,$O730,$N730,$P730,$Q730-$C$3,$R730,0)</f>
        <v>0.24254013129571933</v>
      </c>
      <c r="T730" s="159">
        <f>_xll.xSPRDOPT($L730,$J730,$I730,$M730,$O730,$N730,$P730,$Q730-$C$3,$R730,1)*H730</f>
        <v>320642.0402882527</v>
      </c>
      <c r="U730" s="160">
        <f t="shared" si="905"/>
        <v>150374.88140334599</v>
      </c>
      <c r="V730" s="159">
        <f>_xll.xSPRDOPT($L730,$J730,$I730,$M730,$O730,$N730,$P730,$Q730-$C$3,$R730,2)*H730</f>
        <v>-290277.29295393813</v>
      </c>
      <c r="W730" s="159">
        <f t="shared" si="906"/>
        <v>30364.747334314568</v>
      </c>
      <c r="X730" s="51" t="str">
        <f t="shared" si="907"/>
        <v>36892IF-NWPL_ROCKY_M</v>
      </c>
      <c r="Y730" s="418">
        <f t="shared" si="908"/>
        <v>62</v>
      </c>
      <c r="Z730" s="456">
        <f t="shared" si="909"/>
        <v>0.51716458111008501</v>
      </c>
      <c r="AA730" s="456">
        <f>_xll.xSPRDOPT($L730,$J730,$I730,$M730,$O730,$N730,$P730,$Q730-$C$3,$R730,3)</f>
        <v>0.63519009478736688</v>
      </c>
      <c r="AB730" s="456">
        <f>((_xll.xSPRDOPT($L730+AB$5,$J730,$I730,$M730,$O730,$N730,$P730,$Q730-$C$3,$R730,3)*$H730)/10000)/100</f>
        <v>0.39381785876816744</v>
      </c>
      <c r="AC730" s="456">
        <f>((_xll.xSPRDOPT($L730+$AB$5,$J730,$I730,$M730,$O730,$N730,$P730,$Q730-$C$3,$R730,7)*$H730)/100)</f>
        <v>-9524.6180321827433</v>
      </c>
      <c r="AD730" s="456">
        <f>(_xll.xSPRDOPT($L730+$AB$5,$J730,$I730,$M730,$O730,$N730,$P730,$Q730-$C$3,$R730,9)/365)*$H730</f>
        <v>-584.43168180495627</v>
      </c>
      <c r="AE730">
        <f t="shared" si="862"/>
        <v>0</v>
      </c>
      <c r="AF730" s="456">
        <f t="shared" si="910"/>
        <v>2448.7273831549946</v>
      </c>
      <c r="AG730" s="456">
        <f>((_xll.xSPRDOPT($L730,$J730,$I730,$M730,$O730,$N730,$P730,$Q730-$C$3,$R730,6)*$H730)/100)</f>
        <v>3147.1491425233799</v>
      </c>
      <c r="AH730" s="456">
        <f>((_xll.xSPRDOPT($L730,$J730,$I730,$M730,$O730,$N730,$P730,$Q730-$C$3,$R730,5)*$H730)/100)</f>
        <v>-727.27222791372287</v>
      </c>
      <c r="AI730" s="456">
        <f>(((_xll.xSPRDOPT($L730,$J730,$I730,$M730,$O730,$N730,$P730,$Q730-$C$3,$R730,4)*$H730)/10000)/100)-AB730</f>
        <v>5.4290544119417472E-4</v>
      </c>
      <c r="AJ730" s="456"/>
      <c r="CC730" s="141">
        <f t="shared" ref="CC730:CC750" si="911">G728</f>
        <v>36831</v>
      </c>
      <c r="CD730" s="234">
        <f>_xll.xSPRDOPT((VLOOKUP(G728,NGPrices,2,FALSE)+HLOOKUP(D728,Prices,VLOOKUP(G728,move_down,2,FALSE),FALSE)),VLOOKUP(G728,NGPrices,2,FALSE),I728,VLOOKUP(G728,NGPREVPRICES,4,FALSE),HLOOKUP(D728,PREVVOLS,VLOOKUP(G728,MOVE_DOWN2,2,FALSE),FALSE),VLOOKUP(G728,NGPREVPRICES,3,FALSE),HLOOKUP(D728,Correllate,VLOOKUP(G728,CorMove,2,FALSE),FALSE),Q728-$CD$3,R728,$CD$5)*H728-CJ730</f>
        <v>0</v>
      </c>
      <c r="CE730" s="234">
        <f>_xll.xSPRDOPT((VLOOKUP(G728,NGPREVPRICES,2,FALSE)+HLOOKUP(D728,PREVCURVES,VLOOKUP(G728,MOVE_DOWN2,2,FALSE),FALSE)),VLOOKUP(G728,NGPREVPRICES,2,FALSE),CK730,VLOOKUP(G728,NGPrices,4,FALSE),HLOOKUP(D728,PREVVOLS,VLOOKUP(G728,MOVE_DOWN2,2,FALSE),FALSE),VLOOKUP(G728,NGPREVPRICES,3,FALSE),HLOOKUP(D728,Correllate,VLOOKUP(G728,CorMove,2,FALSE),FALSE),Q728-$CD$3,R728,$CJ$5)*H728-CJ730</f>
        <v>0</v>
      </c>
      <c r="CF730" s="10">
        <f t="shared" ref="CF730:CF750" si="912">(CJ730/VLOOKUP(CC730,discount,3,FALSE))-(CJ730/VLOOKUP(CC730,discount,2,FALSE))</f>
        <v>-14.217873706162209</v>
      </c>
      <c r="CG730" s="234">
        <f>_xll.xSPRDOPT((VLOOKUP(G728,NGPREVPRICES,2,FALSE)+HLOOKUP(D728,PREVCURVES,VLOOKUP(G728,MOVE_DOWN2,2,FALSE),FALSE)),VLOOKUP(G728,NGPREVPRICES,2,FALSE),CK730,VLOOKUP(G728,NGPREVPRICES,4,FALSE),HLOOKUP(D728,VOLS,VLOOKUP(G728,move_down,2,FALSE),FALSE),VLOOKUP(G728,NGPrices,3,FALSE),HLOOKUP(D728,Correllate,VLOOKUP(G728,CorMove,2,FALSE),FALSE),Q728-$CD$3,R728,$CJ$5)*H728-CJ730</f>
        <v>0</v>
      </c>
      <c r="CH730" s="234">
        <f>_xll.xSPRDOPT((VLOOKUP(G728,NGPREVPRICES,2,FALSE)+HLOOKUP(D728,PREVCURVES,VLOOKUP(G728,MOVE_DOWN2,2,FALSE),FALSE)),VLOOKUP(G728,NGPREVPRICES,2,FALSE),CK730,VLOOKUP(G728,NGPREVPRICES,4,FALSE),HLOOKUP(D728,PREVVOLS,VLOOKUP(G728,MOVE_DOWN2,2,FALSE),FALSE),VLOOKUP(G728,NGPREVPRICES,3,FALSE),HLOOKUP(D728,Correllate,VLOOKUP(G728,CorMove,2,FALSE),FALSE),Q728-$C$3,R728,$CJ$5)*H728-CJ730</f>
        <v>-777.26740195939783</v>
      </c>
      <c r="CI730" s="234">
        <f t="shared" ref="CI730:CI750" si="913">SUM(CD730:CH730)</f>
        <v>-791.48527566556004</v>
      </c>
      <c r="CJ730" s="234">
        <f>_xll.xSPRDOPT((VLOOKUP(G728,NGPREVPRICES,2,FALSE)+HLOOKUP(D728,PREVCURVES,VLOOKUP(G728,MOVE_DOWN2,2,FALSE),FALSE)),VLOOKUP(G728,NGPREVPRICES,2,FALSE),CK730,VLOOKUP(G728,NGPREVPRICES,4,FALSE),HLOOKUP(D728,PREVVOLS,VLOOKUP(G728,MOVE_DOWN2,2,FALSE),FALSE),VLOOKUP(G728,NGPREVPRICES,3,FALSE),HLOOKUP(D728,Correllate,VLOOKUP(G728,CorMove,2,FALSE),FALSE),Q728-$CD$3,R728,$CJ$5)*H728</f>
        <v>76559.282119119787</v>
      </c>
      <c r="CK730" s="235">
        <f t="shared" ref="CK730:CK750" si="914">I728</f>
        <v>-0.375</v>
      </c>
      <c r="CM730" t="str">
        <f t="shared" ref="CM730:CM750" si="915">CONCATENATE(CC730,$CD$6)</f>
        <v>36831Curve Shift/Gamma</v>
      </c>
      <c r="CN730" t="str">
        <f t="shared" si="838"/>
        <v>36831Rho</v>
      </c>
      <c r="CO730" t="str">
        <f t="shared" si="839"/>
        <v>36831Drift</v>
      </c>
      <c r="CP730" t="str">
        <f t="shared" si="840"/>
        <v>36831Vega</v>
      </c>
      <c r="CQ730" t="str">
        <f t="shared" si="841"/>
        <v>36831Theta</v>
      </c>
    </row>
    <row r="731" spans="1:95" x14ac:dyDescent="0.25">
      <c r="A731" s="140" t="s">
        <v>383</v>
      </c>
      <c r="B731" t="s">
        <v>250</v>
      </c>
      <c r="C731" t="s">
        <v>594</v>
      </c>
      <c r="D731" s="4" t="s">
        <v>9</v>
      </c>
      <c r="E731" t="s">
        <v>20</v>
      </c>
      <c r="F731" t="s">
        <v>21</v>
      </c>
      <c r="G731" s="5">
        <v>36923</v>
      </c>
      <c r="H731" s="130">
        <v>560000</v>
      </c>
      <c r="I731" s="235">
        <v>-0.375</v>
      </c>
      <c r="J731" s="53">
        <f t="shared" si="897"/>
        <v>4.4800000000000004</v>
      </c>
      <c r="K731" s="7">
        <f t="shared" si="898"/>
        <v>-0.38750000000000001</v>
      </c>
      <c r="L731" s="53">
        <f t="shared" si="899"/>
        <v>4.0925000000000002</v>
      </c>
      <c r="M731" s="157">
        <f t="shared" si="900"/>
        <v>6.8640161611372E-2</v>
      </c>
      <c r="N731" s="4">
        <f t="shared" si="901"/>
        <v>0.59250000000000003</v>
      </c>
      <c r="O731" s="4">
        <f t="shared" si="902"/>
        <v>0.56899999999999995</v>
      </c>
      <c r="P731" s="9">
        <f t="shared" si="903"/>
        <v>0.93</v>
      </c>
      <c r="Q731" s="5">
        <f t="shared" si="875"/>
        <v>36921</v>
      </c>
      <c r="R731" s="4">
        <f t="shared" si="904"/>
        <v>1</v>
      </c>
      <c r="S731" s="158">
        <f>_xll.xSPRDOPT($L731,$J731,$I731,$M731,$O731,$N731,$P731,$Q731-$C$3,$R731,0)</f>
        <v>0.24154409180861064</v>
      </c>
      <c r="T731" s="159">
        <f>_xll.xSPRDOPT($L731,$J731,$I731,$M731,$O731,$N731,$P731,$Q731-$C$3,$R731,1)*H731</f>
        <v>282122.26700708695</v>
      </c>
      <c r="U731" s="160">
        <f t="shared" si="905"/>
        <v>135264.69141282197</v>
      </c>
      <c r="V731" s="159">
        <f>_xll.xSPRDOPT($L731,$J731,$I731,$M731,$O731,$N731,$P731,$Q731-$C$3,$R731,2)*H731</f>
        <v>-252109.30046170048</v>
      </c>
      <c r="W731" s="159">
        <f t="shared" si="906"/>
        <v>30012.966545386473</v>
      </c>
      <c r="X731" s="51" t="str">
        <f t="shared" si="907"/>
        <v>36923IF-NWPL_ROCKY_M</v>
      </c>
      <c r="Y731" s="418">
        <f t="shared" si="908"/>
        <v>56</v>
      </c>
      <c r="Z731" s="456">
        <f t="shared" si="909"/>
        <v>0.50378976251265528</v>
      </c>
      <c r="AA731" s="456">
        <f>_xll.xSPRDOPT($L731,$J731,$I731,$M731,$O731,$N731,$P731,$Q731-$C$3,$R731,3)</f>
        <v>0.60769391787164151</v>
      </c>
      <c r="AB731" s="456">
        <f>((_xll.xSPRDOPT($L731+AB$5,$J731,$I731,$M731,$O731,$N731,$P731,$Q731-$C$3,$R731,3)*$H731)/10000)/100</f>
        <v>0.34030859400811925</v>
      </c>
      <c r="AC731" s="456">
        <f>((_xll.xSPRDOPT($L731+$AB$5,$J731,$I731,$M731,$O731,$N731,$P731,$Q731-$C$3,$R731,7)*$H731)/100)</f>
        <v>-8829.9550979937594</v>
      </c>
      <c r="AD731" s="456">
        <f>(_xll.xSPRDOPT($L731+$AB$5,$J731,$I731,$M731,$O731,$N731,$P731,$Q731-$C$3,$R731,9)/365)*$H731</f>
        <v>-425.25528011060356</v>
      </c>
      <c r="AE731">
        <f t="shared" si="862"/>
        <v>0</v>
      </c>
      <c r="AF731" s="456">
        <f t="shared" si="910"/>
        <v>2341.2368037218248</v>
      </c>
      <c r="AG731" s="456">
        <f>((_xll.xSPRDOPT($L731,$J731,$I731,$M731,$O731,$N731,$P731,$Q731-$C$3,$R731,6)*$H731)/100)</f>
        <v>3069.2413427082752</v>
      </c>
      <c r="AH731" s="456">
        <f>((_xll.xSPRDOPT($L731,$J731,$I731,$M731,$O731,$N731,$P731,$Q731-$C$3,$R731,5)*$H731)/100)</f>
        <v>-758.07151028026692</v>
      </c>
      <c r="AI731" s="456">
        <f>(((_xll.xSPRDOPT($L731,$J731,$I731,$M731,$O731,$N731,$P731,$Q731-$C$3,$R731,4)*$H731)/10000)/100)-AB731</f>
        <v>-2.668711680901048E-3</v>
      </c>
      <c r="AJ731" s="456"/>
      <c r="CC731" s="141">
        <f t="shared" si="911"/>
        <v>36861</v>
      </c>
      <c r="CD731" s="234">
        <f>_xll.xSPRDOPT((VLOOKUP(G729,NGPrices,2,FALSE)+HLOOKUP(D729,Prices,VLOOKUP(G729,move_down,2,FALSE),FALSE)),VLOOKUP(G729,NGPrices,2,FALSE),I729,VLOOKUP(G729,NGPREVPRICES,4,FALSE),HLOOKUP(D729,PREVVOLS,VLOOKUP(G729,MOVE_DOWN2,2,FALSE),FALSE),VLOOKUP(G729,NGPREVPRICES,3,FALSE),HLOOKUP(D729,Correllate,VLOOKUP(G729,CorMove,2,FALSE),FALSE),Q729-$CD$3,R729,$CD$5)*H729-CJ731</f>
        <v>0</v>
      </c>
      <c r="CE731" s="234">
        <f>_xll.xSPRDOPT((VLOOKUP(G729,NGPREVPRICES,2,FALSE)+HLOOKUP(D729,PREVCURVES,VLOOKUP(G729,MOVE_DOWN2,2,FALSE),FALSE)),VLOOKUP(G729,NGPREVPRICES,2,FALSE),CK731,VLOOKUP(G729,NGPrices,4,FALSE),HLOOKUP(D729,PREVVOLS,VLOOKUP(G729,MOVE_DOWN2,2,FALSE),FALSE),VLOOKUP(G729,NGPREVPRICES,3,FALSE),HLOOKUP(D729,Correllate,VLOOKUP(G729,CorMove,2,FALSE),FALSE),Q729-$CD$3,R729,$CJ$5)*H729-CJ731</f>
        <v>0</v>
      </c>
      <c r="CF731" s="10">
        <f t="shared" si="912"/>
        <v>-25.563662809552625</v>
      </c>
      <c r="CG731" s="234">
        <f>_xll.xSPRDOPT((VLOOKUP(G729,NGPREVPRICES,2,FALSE)+HLOOKUP(D729,PREVCURVES,VLOOKUP(G729,MOVE_DOWN2,2,FALSE),FALSE)),VLOOKUP(G729,NGPREVPRICES,2,FALSE),CK731,VLOOKUP(G729,NGPREVPRICES,4,FALSE),HLOOKUP(D729,VOLS,VLOOKUP(G729,move_down,2,FALSE),FALSE),VLOOKUP(G729,NGPrices,3,FALSE),HLOOKUP(D729,Correllate,VLOOKUP(G729,CorMove,2,FALSE),FALSE),Q729-$CD$3,R729,$CJ$5)*H729-CJ731</f>
        <v>0</v>
      </c>
      <c r="CH731" s="234">
        <f>_xll.xSPRDOPT((VLOOKUP(G729,NGPREVPRICES,2,FALSE)+HLOOKUP(D729,PREVCURVES,VLOOKUP(G729,MOVE_DOWN2,2,FALSE),FALSE)),VLOOKUP(G729,NGPREVPRICES,2,FALSE),CK731,VLOOKUP(G729,NGPREVPRICES,4,FALSE),HLOOKUP(D729,PREVVOLS,VLOOKUP(G729,MOVE_DOWN2,2,FALSE),FALSE),VLOOKUP(G729,NGPREVPRICES,3,FALSE),HLOOKUP(D729,Correllate,VLOOKUP(G729,CorMove,2,FALSE),FALSE),Q729-$C$3,R729,$CJ$5)*H729-CJ731</f>
        <v>-680.96716966043459</v>
      </c>
      <c r="CI731" s="234">
        <f t="shared" si="913"/>
        <v>-706.53083246998722</v>
      </c>
      <c r="CJ731" s="234">
        <f>_xll.xSPRDOPT((VLOOKUP(G729,NGPREVPRICES,2,FALSE)+HLOOKUP(D729,PREVCURVES,VLOOKUP(G729,MOVE_DOWN2,2,FALSE),FALSE)),VLOOKUP(G729,NGPREVPRICES,2,FALSE),CK731,VLOOKUP(G729,NGPREVPRICES,4,FALSE),HLOOKUP(D729,PREVVOLS,VLOOKUP(G729,MOVE_DOWN2,2,FALSE),FALSE),VLOOKUP(G729,NGPREVPRICES,3,FALSE),HLOOKUP(D729,Correllate,VLOOKUP(G729,CorMove,2,FALSE),FALSE),Q729-$CD$3,R729,$CJ$5)*H729</f>
        <v>136457.48143999313</v>
      </c>
      <c r="CK731" s="235">
        <f t="shared" si="914"/>
        <v>-0.375</v>
      </c>
      <c r="CM731" t="str">
        <f t="shared" si="915"/>
        <v>36861Curve Shift/Gamma</v>
      </c>
      <c r="CN731" t="str">
        <f t="shared" si="838"/>
        <v>36861Rho</v>
      </c>
      <c r="CO731" t="str">
        <f t="shared" si="839"/>
        <v>36861Drift</v>
      </c>
      <c r="CP731" t="str">
        <f t="shared" si="840"/>
        <v>36861Vega</v>
      </c>
      <c r="CQ731" t="str">
        <f t="shared" si="841"/>
        <v>36861Theta</v>
      </c>
    </row>
    <row r="732" spans="1:95" x14ac:dyDescent="0.25">
      <c r="A732" s="140" t="s">
        <v>383</v>
      </c>
      <c r="B732" t="s">
        <v>250</v>
      </c>
      <c r="C732" t="s">
        <v>594</v>
      </c>
      <c r="D732" s="4" t="s">
        <v>9</v>
      </c>
      <c r="E732" t="s">
        <v>20</v>
      </c>
      <c r="F732" t="s">
        <v>21</v>
      </c>
      <c r="G732" s="5">
        <v>36951</v>
      </c>
      <c r="H732" s="130">
        <v>620000</v>
      </c>
      <c r="I732" s="235">
        <v>-0.375</v>
      </c>
      <c r="J732" s="53">
        <f t="shared" si="897"/>
        <v>4.2130000000000001</v>
      </c>
      <c r="K732" s="7">
        <f t="shared" si="898"/>
        <v>-0.39750000000000002</v>
      </c>
      <c r="L732" s="53">
        <f t="shared" si="899"/>
        <v>3.8155000000000001</v>
      </c>
      <c r="M732" s="157">
        <f t="shared" si="900"/>
        <v>6.8879814952706994E-2</v>
      </c>
      <c r="N732" s="4">
        <f t="shared" si="901"/>
        <v>0.53249999999999997</v>
      </c>
      <c r="O732" s="4">
        <f t="shared" si="902"/>
        <v>0.51100000000000001</v>
      </c>
      <c r="P732" s="9">
        <f t="shared" si="903"/>
        <v>0.93</v>
      </c>
      <c r="Q732" s="5">
        <f t="shared" si="875"/>
        <v>36949</v>
      </c>
      <c r="R732" s="4">
        <f t="shared" si="904"/>
        <v>1</v>
      </c>
      <c r="S732" s="158">
        <f>_xll.xSPRDOPT($L732,$J732,$I732,$M732,$O732,$N732,$P732,$Q732-$C$3,$R732,0)</f>
        <v>0.21579725552787815</v>
      </c>
      <c r="T732" s="159">
        <f>_xll.xSPRDOPT($L732,$J732,$I732,$M732,$O732,$N732,$P732,$Q732-$C$3,$R732,1)*H732</f>
        <v>305638.9728455157</v>
      </c>
      <c r="U732" s="160">
        <f t="shared" si="905"/>
        <v>133794.29842728446</v>
      </c>
      <c r="V732" s="159">
        <f>_xll.xSPRDOPT($L732,$J732,$I732,$M732,$O732,$N732,$P732,$Q732-$C$3,$R732,2)*H732</f>
        <v>-273475.34009758139</v>
      </c>
      <c r="W732" s="159">
        <f t="shared" si="906"/>
        <v>32163.632747934316</v>
      </c>
      <c r="X732" s="51" t="str">
        <f t="shared" si="907"/>
        <v>36951IF-NWPL_ROCKY_M</v>
      </c>
      <c r="Y732" s="418">
        <f t="shared" si="908"/>
        <v>62</v>
      </c>
      <c r="Z732" s="456">
        <f t="shared" si="909"/>
        <v>0.49296608523470276</v>
      </c>
      <c r="AA732" s="456">
        <f>_xll.xSPRDOPT($L732,$J732,$I732,$M732,$O732,$N732,$P732,$Q732-$C$3,$R732,3)</f>
        <v>0.65858458366075867</v>
      </c>
      <c r="AB732" s="456">
        <f>((_xll.xSPRDOPT($L732+AB$5,$J732,$I732,$M732,$O732,$N732,$P732,$Q732-$C$3,$R732,3)*$H732)/10000)/100</f>
        <v>0.40832244186967037</v>
      </c>
      <c r="AC732" s="456">
        <f>((_xll.xSPRDOPT($L732+$AB$5,$J732,$I732,$M732,$O732,$N732,$P732,$Q732-$C$3,$R732,7)*$H732)/100)</f>
        <v>-8837.0227547712057</v>
      </c>
      <c r="AD732" s="456">
        <f>(_xll.xSPRDOPT($L732+$AB$5,$J732,$I732,$M732,$O732,$N732,$P732,$Q732-$C$3,$R732,9)/365)*$H732</f>
        <v>-360.8920073391842</v>
      </c>
      <c r="AE732">
        <f t="shared" si="862"/>
        <v>0</v>
      </c>
      <c r="AF732" s="456">
        <f t="shared" si="910"/>
        <v>2637.726996656043</v>
      </c>
      <c r="AG732" s="456">
        <f>((_xll.xSPRDOPT($L732,$J732,$I732,$M732,$O732,$N732,$P732,$Q732-$C$3,$R732,6)*$H732)/100)</f>
        <v>3546.6045829674804</v>
      </c>
      <c r="AH732" s="456">
        <f>((_xll.xSPRDOPT($L732,$J732,$I732,$M732,$O732,$N732,$P732,$Q732-$C$3,$R732,5)*$H732)/100)</f>
        <v>-947.11803270223163</v>
      </c>
      <c r="AI732" s="456">
        <f>(((_xll.xSPRDOPT($L732,$J732,$I732,$M732,$O732,$N732,$P732,$Q732-$C$3,$R732,4)*$H732)/10000)/100)-AB732</f>
        <v>-5.3097934503688049E-3</v>
      </c>
      <c r="AJ732" s="456"/>
      <c r="CC732" s="141">
        <f t="shared" si="911"/>
        <v>36892</v>
      </c>
      <c r="CD732" s="234">
        <f>_xll.xSPRDOPT((VLOOKUP(G730,NGPrices,2,FALSE)+HLOOKUP(D730,Prices,VLOOKUP(G730,move_down,2,FALSE),FALSE)),VLOOKUP(G730,NGPrices,2,FALSE),I730,VLOOKUP(G730,NGPREVPRICES,4,FALSE),HLOOKUP(D730,PREVVOLS,VLOOKUP(G730,MOVE_DOWN2,2,FALSE),FALSE),VLOOKUP(G730,NGPREVPRICES,3,FALSE),HLOOKUP(D730,Correllate,VLOOKUP(G730,CorMove,2,FALSE),FALSE),Q730-$CD$3,R730,$CD$5)*H730-CJ732</f>
        <v>0</v>
      </c>
      <c r="CE732" s="234">
        <f>_xll.xSPRDOPT((VLOOKUP(G730,NGPREVPRICES,2,FALSE)+HLOOKUP(D730,PREVCURVES,VLOOKUP(G730,MOVE_DOWN2,2,FALSE),FALSE)),VLOOKUP(G730,NGPREVPRICES,2,FALSE),CK732,VLOOKUP(G730,NGPrices,4,FALSE),HLOOKUP(D730,PREVVOLS,VLOOKUP(G730,MOVE_DOWN2,2,FALSE),FALSE),VLOOKUP(G730,NGPREVPRICES,3,FALSE),HLOOKUP(D730,Correllate,VLOOKUP(G730,CorMove,2,FALSE),FALSE),Q730-$CD$3,R730,$CJ$5)*H730-CJ732</f>
        <v>0</v>
      </c>
      <c r="CF732" s="10">
        <f t="shared" si="912"/>
        <v>-28.446615256951191</v>
      </c>
      <c r="CG732" s="234">
        <f>_xll.xSPRDOPT((VLOOKUP(G730,NGPREVPRICES,2,FALSE)+HLOOKUP(D730,PREVCURVES,VLOOKUP(G730,MOVE_DOWN2,2,FALSE),FALSE)),VLOOKUP(G730,NGPREVPRICES,2,FALSE),CK732,VLOOKUP(G730,NGPREVPRICES,4,FALSE),HLOOKUP(D730,VOLS,VLOOKUP(G730,move_down,2,FALSE),FALSE),VLOOKUP(G730,NGPrices,3,FALSE),HLOOKUP(D730,Correllate,VLOOKUP(G730,CorMove,2,FALSE),FALSE),Q730-$CD$3,R730,$CJ$5)*H730-CJ732</f>
        <v>0</v>
      </c>
      <c r="CH732" s="234">
        <f>_xll.xSPRDOPT((VLOOKUP(G730,NGPREVPRICES,2,FALSE)+HLOOKUP(D730,PREVCURVES,VLOOKUP(G730,MOVE_DOWN2,2,FALSE),FALSE)),VLOOKUP(G730,NGPREVPRICES,2,FALSE),CK732,VLOOKUP(G730,NGPREVPRICES,4,FALSE),HLOOKUP(D730,PREVVOLS,VLOOKUP(G730,MOVE_DOWN2,2,FALSE),FALSE),VLOOKUP(G730,NGPREVPRICES,3,FALSE),HLOOKUP(D730,Correllate,VLOOKUP(G730,CorMove,2,FALSE),FALSE),Q730-$C$3,R730,$CJ$5)*H730-CJ732</f>
        <v>-582.66219799401006</v>
      </c>
      <c r="CI732" s="234">
        <f t="shared" si="913"/>
        <v>-611.10881325096125</v>
      </c>
      <c r="CJ732" s="234">
        <f>_xll.xSPRDOPT((VLOOKUP(G730,NGPREVPRICES,2,FALSE)+HLOOKUP(D730,PREVCURVES,VLOOKUP(G730,MOVE_DOWN2,2,FALSE),FALSE)),VLOOKUP(G730,NGPREVPRICES,2,FALSE),CK732,VLOOKUP(G730,NGPREVPRICES,4,FALSE),HLOOKUP(D730,PREVVOLS,VLOOKUP(G730,MOVE_DOWN2,2,FALSE),FALSE),VLOOKUP(G730,NGPREVPRICES,3,FALSE),HLOOKUP(D730,Correllate,VLOOKUP(G730,CorMove,2,FALSE),FALSE),Q730-$CD$3,R730,$CJ$5)*H730</f>
        <v>150957.54360134</v>
      </c>
      <c r="CK732" s="235">
        <f t="shared" si="914"/>
        <v>-0.375</v>
      </c>
      <c r="CM732" t="str">
        <f t="shared" si="915"/>
        <v>36892Curve Shift/Gamma</v>
      </c>
      <c r="CN732" t="str">
        <f t="shared" si="838"/>
        <v>36892Rho</v>
      </c>
      <c r="CO732" t="str">
        <f t="shared" si="839"/>
        <v>36892Drift</v>
      </c>
      <c r="CP732" t="str">
        <f t="shared" si="840"/>
        <v>36892Vega</v>
      </c>
      <c r="CQ732" t="str">
        <f t="shared" si="841"/>
        <v>36892Theta</v>
      </c>
    </row>
    <row r="733" spans="1:95" x14ac:dyDescent="0.25">
      <c r="A733" s="140" t="s">
        <v>383</v>
      </c>
      <c r="B733" t="s">
        <v>250</v>
      </c>
      <c r="C733" t="s">
        <v>595</v>
      </c>
      <c r="D733" s="4" t="s">
        <v>9</v>
      </c>
      <c r="E733" t="s">
        <v>20</v>
      </c>
      <c r="F733" t="s">
        <v>1</v>
      </c>
      <c r="G733" s="5">
        <v>36831</v>
      </c>
      <c r="H733" s="130">
        <v>600000</v>
      </c>
      <c r="I733" s="235">
        <v>-0.375</v>
      </c>
      <c r="J733" s="53">
        <f t="shared" si="897"/>
        <v>4.7359999999999998</v>
      </c>
      <c r="K733" s="7">
        <f t="shared" si="898"/>
        <v>-0.46750000000000003</v>
      </c>
      <c r="L733" s="53">
        <f t="shared" si="899"/>
        <v>4.2684999999999995</v>
      </c>
      <c r="M733" s="157">
        <f t="shared" si="900"/>
        <v>6.810675983792E-2</v>
      </c>
      <c r="N733" s="4">
        <f t="shared" si="901"/>
        <v>0.59499999999999997</v>
      </c>
      <c r="O733" s="4">
        <f t="shared" si="902"/>
        <v>0.57099999999999995</v>
      </c>
      <c r="P733" s="9">
        <f t="shared" si="903"/>
        <v>0.93</v>
      </c>
      <c r="Q733" s="5">
        <f t="shared" si="875"/>
        <v>36829</v>
      </c>
      <c r="R733" s="4">
        <f t="shared" si="904"/>
        <v>0</v>
      </c>
      <c r="S733" s="158">
        <f>_xll.xSPRDOPT($L733,$J733,$I733,$M733,$O733,$N733,$P733,$Q733-$C$3,$R733,0)</f>
        <v>0.21774013227936531</v>
      </c>
      <c r="T733" s="159">
        <f>_xll.xSPRDOPT($L733,$J733,$I733,$M733,$O733,$N733,$P733,$Q733-$C$3,$R733,1)*H733</f>
        <v>-337625.4745762836</v>
      </c>
      <c r="U733" s="160">
        <f t="shared" si="905"/>
        <v>130644.07936761918</v>
      </c>
      <c r="V733" s="159">
        <f>_xll.xSPRDOPT($L733,$J733,$I733,$M733,$O733,$N733,$P733,$Q733-$C$3,$R733,2)*H733</f>
        <v>358033.33936098352</v>
      </c>
      <c r="W733" s="159">
        <f t="shared" si="906"/>
        <v>20407.864784699923</v>
      </c>
      <c r="X733" s="51" t="str">
        <f t="shared" si="907"/>
        <v>36831IF-NWPL_ROCKY_M</v>
      </c>
      <c r="Y733" s="418">
        <f t="shared" si="908"/>
        <v>60</v>
      </c>
      <c r="Z733" s="456">
        <f t="shared" si="909"/>
        <v>-0.56270912429380604</v>
      </c>
      <c r="AA733" s="456">
        <f>_xll.xSPRDOPT($L733,$J733,$I733,$M733,$O733,$N733,$P733,$Q733-$C$3,$R733,3)</f>
        <v>0.92017338626520007</v>
      </c>
      <c r="AB733" s="456">
        <f>((_xll.xSPRDOPT($L733+AB$5,$J733,$I733,$M733,$O733,$N733,$P733,$Q733-$C$3,$R733,3)*$H733)/10000)/100</f>
        <v>0.55210403175912004</v>
      </c>
      <c r="AC733" s="456">
        <f>((_xll.xSPRDOPT($L733+$AB$5,$J733,$I733,$M733,$O733,$N733,$P733,$Q733-$C$3,$R733,7)*$H733)/100)</f>
        <v>-6310.4463756999994</v>
      </c>
      <c r="AD733" s="456">
        <f>(_xll.xSPRDOPT($L733+$AB$5,$J733,$I733,$M733,$O733,$N733,$P733,$Q733-$C$3,$R733,9)/365)*$H733</f>
        <v>-770.73845039931166</v>
      </c>
      <c r="AE733">
        <f t="shared" si="862"/>
        <v>0</v>
      </c>
      <c r="AF733" s="456">
        <f t="shared" si="910"/>
        <v>1655.9139189045043</v>
      </c>
      <c r="AG733" s="456">
        <f>((_xll.xSPRDOPT($L733,$J733,$I733,$M733,$O733,$N733,$P733,$Q733-$C$3,$R733,6)*$H733)/100)</f>
        <v>2162.573245042724</v>
      </c>
      <c r="AH733" s="456">
        <f>((_xll.xSPRDOPT($L733,$J733,$I733,$M733,$O733,$N733,$P733,$Q733-$C$3,$R733,5)*$H733)/100)</f>
        <v>-527.95498958360906</v>
      </c>
      <c r="AI733" s="456">
        <f>(((_xll.xSPRDOPT($L733,$J733,$I733,$M733,$O733,$N733,$P733,$Q733-$C$3,$R733,4)*$H733)/10000)/100)-AB733</f>
        <v>-2.1245181543167457E-2</v>
      </c>
      <c r="AJ733" s="456"/>
      <c r="CC733" s="141">
        <f t="shared" si="911"/>
        <v>36923</v>
      </c>
      <c r="CD733" s="234">
        <f>_xll.xSPRDOPT((VLOOKUP(G731,NGPrices,2,FALSE)+HLOOKUP(D731,Prices,VLOOKUP(G731,move_down,2,FALSE),FALSE)),VLOOKUP(G731,NGPrices,2,FALSE),I731,VLOOKUP(G731,NGPREVPRICES,4,FALSE),HLOOKUP(D731,PREVVOLS,VLOOKUP(G731,MOVE_DOWN2,2,FALSE),FALSE),VLOOKUP(G731,NGPREVPRICES,3,FALSE),HLOOKUP(D731,Correllate,VLOOKUP(G731,CorMove,2,FALSE),FALSE),Q731-$CD$3,R731,$CD$5)*H731-CJ733</f>
        <v>0</v>
      </c>
      <c r="CE733" s="234">
        <f>_xll.xSPRDOPT((VLOOKUP(G731,NGPREVPRICES,2,FALSE)+HLOOKUP(D731,PREVCURVES,VLOOKUP(G731,MOVE_DOWN2,2,FALSE),FALSE)),VLOOKUP(G731,NGPREVPRICES,2,FALSE),CK733,VLOOKUP(G731,NGPrices,4,FALSE),HLOOKUP(D731,PREVVOLS,VLOOKUP(G731,MOVE_DOWN2,2,FALSE),FALSE),VLOOKUP(G731,NGPREVPRICES,3,FALSE),HLOOKUP(D731,Correllate,VLOOKUP(G731,CorMove,2,FALSE),FALSE),Q731-$CD$3,R731,$CJ$5)*H731-CJ733</f>
        <v>0</v>
      </c>
      <c r="CF733" s="10">
        <f t="shared" si="912"/>
        <v>-25.806453584606061</v>
      </c>
      <c r="CG733" s="234">
        <f>_xll.xSPRDOPT((VLOOKUP(G731,NGPREVPRICES,2,FALSE)+HLOOKUP(D731,PREVCURVES,VLOOKUP(G731,MOVE_DOWN2,2,FALSE),FALSE)),VLOOKUP(G731,NGPREVPRICES,2,FALSE),CK733,VLOOKUP(G731,NGPREVPRICES,4,FALSE),HLOOKUP(D731,VOLS,VLOOKUP(G731,move_down,2,FALSE),FALSE),VLOOKUP(G731,NGPrices,3,FALSE),HLOOKUP(D731,Correllate,VLOOKUP(G731,CorMove,2,FALSE),FALSE),Q731-$CD$3,R731,$CJ$5)*H731-CJ733</f>
        <v>0</v>
      </c>
      <c r="CH733" s="234">
        <f>_xll.xSPRDOPT((VLOOKUP(G731,NGPREVPRICES,2,FALSE)+HLOOKUP(D731,PREVCURVES,VLOOKUP(G731,MOVE_DOWN2,2,FALSE),FALSE)),VLOOKUP(G731,NGPREVPRICES,2,FALSE),CK733,VLOOKUP(G731,NGPREVPRICES,4,FALSE),HLOOKUP(D731,PREVVOLS,VLOOKUP(G731,MOVE_DOWN2,2,FALSE),FALSE),VLOOKUP(G731,NGPREVPRICES,3,FALSE),HLOOKUP(D731,Correllate,VLOOKUP(G731,CorMove,2,FALSE),FALSE),Q731-$C$3,R731,$CJ$5)*H731-CJ733</f>
        <v>-424.15521673514741</v>
      </c>
      <c r="CI733" s="234">
        <f t="shared" si="913"/>
        <v>-449.96167031975347</v>
      </c>
      <c r="CJ733" s="234">
        <f>_xll.xSPRDOPT((VLOOKUP(G731,NGPREVPRICES,2,FALSE)+HLOOKUP(D731,PREVCURVES,VLOOKUP(G731,MOVE_DOWN2,2,FALSE),FALSE)),VLOOKUP(G731,NGPREVPRICES,2,FALSE),CK733,VLOOKUP(G731,NGPREVPRICES,4,FALSE),HLOOKUP(D731,PREVVOLS,VLOOKUP(G731,MOVE_DOWN2,2,FALSE),FALSE),VLOOKUP(G731,NGPREVPRICES,3,FALSE),HLOOKUP(D731,Correllate,VLOOKUP(G731,CorMove,2,FALSE),FALSE),Q731-$CD$3,R731,$CJ$5)*H731</f>
        <v>135688.84662955711</v>
      </c>
      <c r="CK733" s="235">
        <f t="shared" si="914"/>
        <v>-0.375</v>
      </c>
      <c r="CM733" t="str">
        <f t="shared" si="915"/>
        <v>36923Curve Shift/Gamma</v>
      </c>
      <c r="CN733" t="str">
        <f t="shared" si="838"/>
        <v>36923Rho</v>
      </c>
      <c r="CO733" t="str">
        <f t="shared" si="839"/>
        <v>36923Drift</v>
      </c>
      <c r="CP733" t="str">
        <f t="shared" si="840"/>
        <v>36923Vega</v>
      </c>
      <c r="CQ733" t="str">
        <f t="shared" si="841"/>
        <v>36923Theta</v>
      </c>
    </row>
    <row r="734" spans="1:95" x14ac:dyDescent="0.25">
      <c r="A734" s="140" t="s">
        <v>383</v>
      </c>
      <c r="B734" t="s">
        <v>250</v>
      </c>
      <c r="C734" t="s">
        <v>595</v>
      </c>
      <c r="D734" s="4" t="s">
        <v>9</v>
      </c>
      <c r="E734" t="s">
        <v>20</v>
      </c>
      <c r="F734" t="s">
        <v>1</v>
      </c>
      <c r="G734" s="5">
        <v>36861</v>
      </c>
      <c r="H734" s="130">
        <v>620000</v>
      </c>
      <c r="I734" s="235">
        <v>-0.375</v>
      </c>
      <c r="J734" s="53">
        <f t="shared" si="897"/>
        <v>4.8</v>
      </c>
      <c r="K734" s="7">
        <f t="shared" si="898"/>
        <v>-0.35749999999999998</v>
      </c>
      <c r="L734" s="53">
        <f t="shared" si="899"/>
        <v>4.4424999999999999</v>
      </c>
      <c r="M734" s="157">
        <f t="shared" si="900"/>
        <v>6.8314027999354002E-2</v>
      </c>
      <c r="N734" s="4">
        <f t="shared" si="901"/>
        <v>0.6</v>
      </c>
      <c r="O734" s="4">
        <f t="shared" si="902"/>
        <v>0.57599999999999996</v>
      </c>
      <c r="P734" s="9">
        <f t="shared" si="903"/>
        <v>0.93</v>
      </c>
      <c r="Q734" s="5">
        <f t="shared" si="875"/>
        <v>36859</v>
      </c>
      <c r="R734" s="4">
        <f t="shared" si="904"/>
        <v>0</v>
      </c>
      <c r="S734" s="158">
        <f>_xll.xSPRDOPT($L734,$J734,$I734,$M734,$O734,$N734,$P734,$Q734-$C$3,$R734,0)</f>
        <v>0.20179292603671156</v>
      </c>
      <c r="T734" s="159">
        <f>_xll.xSPRDOPT($L734,$J734,$I734,$M734,$O734,$N734,$P734,$Q734-$C$3,$R734,1)*H734</f>
        <v>-284041.03887490253</v>
      </c>
      <c r="U734" s="160">
        <f t="shared" si="905"/>
        <v>125111.61414276117</v>
      </c>
      <c r="V734" s="159">
        <f>_xll.xSPRDOPT($L734,$J734,$I734,$M734,$O734,$N734,$P734,$Q734-$C$3,$R734,2)*H734</f>
        <v>310453.56980147923</v>
      </c>
      <c r="W734" s="159">
        <f t="shared" si="906"/>
        <v>26412.530926576699</v>
      </c>
      <c r="X734" s="51" t="str">
        <f t="shared" si="907"/>
        <v>36861IF-NWPL_ROCKY_M</v>
      </c>
      <c r="Y734" s="418">
        <f t="shared" si="908"/>
        <v>62</v>
      </c>
      <c r="Z734" s="456">
        <f t="shared" si="909"/>
        <v>-0.45813070786274601</v>
      </c>
      <c r="AA734" s="456">
        <f>_xll.xSPRDOPT($L734,$J734,$I734,$M734,$O734,$N734,$P734,$Q734-$C$3,$R734,3)</f>
        <v>0.7277897054971304</v>
      </c>
      <c r="AB734" s="456">
        <f>((_xll.xSPRDOPT($L734+AB$5,$J734,$I734,$M734,$O734,$N734,$P734,$Q734-$C$3,$R734,3)*$H734)/10000)/100</f>
        <v>0.45122961740822087</v>
      </c>
      <c r="AC734" s="456">
        <f>((_xll.xSPRDOPT($L734+$AB$5,$J734,$I734,$M734,$O734,$N734,$P734,$Q734-$C$3,$R734,7)*$H734)/100)</f>
        <v>-8398.6747709456795</v>
      </c>
      <c r="AD734" s="456">
        <f>(_xll.xSPRDOPT($L734+$AB$5,$J734,$I734,$M734,$O734,$N734,$P734,$Q734-$C$3,$R734,9)/365)*$H734</f>
        <v>-685.47159739829647</v>
      </c>
      <c r="AE734">
        <f t="shared" si="862"/>
        <v>0</v>
      </c>
      <c r="AF734" s="456">
        <f t="shared" si="910"/>
        <v>2172.4342989768434</v>
      </c>
      <c r="AG734" s="456">
        <f>((_xll.xSPRDOPT($L734,$J734,$I734,$M734,$O734,$N734,$P734,$Q734-$C$3,$R734,6)*$H734)/100)</f>
        <v>2786.6848652081781</v>
      </c>
      <c r="AH734" s="456">
        <f>((_xll.xSPRDOPT($L734,$J734,$I734,$M734,$O734,$N734,$P734,$Q734-$C$3,$R734,5)*$H734)/100)</f>
        <v>-639.84433982430699</v>
      </c>
      <c r="AI734" s="456">
        <f>(((_xll.xSPRDOPT($L734,$J734,$I734,$M734,$O734,$N734,$P734,$Q734-$C$3,$R734,4)*$H734)/10000)/100)-AB734</f>
        <v>2.6620767813917423E-3</v>
      </c>
      <c r="AJ734" s="456"/>
      <c r="CC734" s="141">
        <f t="shared" si="911"/>
        <v>36951</v>
      </c>
      <c r="CD734" s="234">
        <f>_xll.xSPRDOPT((VLOOKUP(G732,NGPrices,2,FALSE)+HLOOKUP(D732,Prices,VLOOKUP(G732,move_down,2,FALSE),FALSE)),VLOOKUP(G732,NGPrices,2,FALSE),I732,VLOOKUP(G732,NGPREVPRICES,4,FALSE),HLOOKUP(D732,PREVVOLS,VLOOKUP(G732,MOVE_DOWN2,2,FALSE),FALSE),VLOOKUP(G732,NGPREVPRICES,3,FALSE),HLOOKUP(D732,Correllate,VLOOKUP(G732,CorMove,2,FALSE),FALSE),Q732-$CD$3,R732,$CD$5)*H732-CJ734</f>
        <v>0</v>
      </c>
      <c r="CE734" s="234">
        <f>_xll.xSPRDOPT((VLOOKUP(G732,NGPREVPRICES,2,FALSE)+HLOOKUP(D732,PREVCURVES,VLOOKUP(G732,MOVE_DOWN2,2,FALSE),FALSE)),VLOOKUP(G732,NGPREVPRICES,2,FALSE),CK734,VLOOKUP(G732,NGPrices,4,FALSE),HLOOKUP(D732,PREVVOLS,VLOOKUP(G732,MOVE_DOWN2,2,FALSE),FALSE),VLOOKUP(G732,NGPREVPRICES,3,FALSE),HLOOKUP(D732,Correllate,VLOOKUP(G732,CorMove,2,FALSE),FALSE),Q732-$CD$3,R732,$CJ$5)*H732-CJ734</f>
        <v>0</v>
      </c>
      <c r="CF734" s="10">
        <f t="shared" si="912"/>
        <v>-25.728798880008981</v>
      </c>
      <c r="CG734" s="234">
        <f>_xll.xSPRDOPT((VLOOKUP(G732,NGPREVPRICES,2,FALSE)+HLOOKUP(D732,PREVCURVES,VLOOKUP(G732,MOVE_DOWN2,2,FALSE),FALSE)),VLOOKUP(G732,NGPREVPRICES,2,FALSE),CK734,VLOOKUP(G732,NGPREVPRICES,4,FALSE),HLOOKUP(D732,VOLS,VLOOKUP(G732,move_down,2,FALSE),FALSE),VLOOKUP(G732,NGPrices,3,FALSE),HLOOKUP(D732,Correllate,VLOOKUP(G732,CorMove,2,FALSE),FALSE),Q732-$CD$3,R732,$CJ$5)*H732-CJ734</f>
        <v>0</v>
      </c>
      <c r="CH734" s="234">
        <f>_xll.xSPRDOPT((VLOOKUP(G732,NGPREVPRICES,2,FALSE)+HLOOKUP(D732,PREVCURVES,VLOOKUP(G732,MOVE_DOWN2,2,FALSE),FALSE)),VLOOKUP(G732,NGPREVPRICES,2,FALSE),CK734,VLOOKUP(G732,NGPREVPRICES,4,FALSE),HLOOKUP(D732,PREVVOLS,VLOOKUP(G732,MOVE_DOWN2,2,FALSE),FALSE),VLOOKUP(G732,NGPREVPRICES,3,FALSE),HLOOKUP(D732,Correllate,VLOOKUP(G732,CorMove,2,FALSE),FALSE),Q732-$C$3,R732,$CJ$5)*H732-CJ734</f>
        <v>-360.0482911785075</v>
      </c>
      <c r="CI734" s="234">
        <f t="shared" si="913"/>
        <v>-385.77709005851648</v>
      </c>
      <c r="CJ734" s="234">
        <f>_xll.xSPRDOPT((VLOOKUP(G732,NGPREVPRICES,2,FALSE)+HLOOKUP(D732,PREVCURVES,VLOOKUP(G732,MOVE_DOWN2,2,FALSE),FALSE)),VLOOKUP(G732,NGPREVPRICES,2,FALSE),CK734,VLOOKUP(G732,NGPREVPRICES,4,FALSE),HLOOKUP(D732,PREVVOLS,VLOOKUP(G732,MOVE_DOWN2,2,FALSE),FALSE),VLOOKUP(G732,NGPREVPRICES,3,FALSE),HLOOKUP(D732,Correllate,VLOOKUP(G732,CorMove,2,FALSE),FALSE),Q732-$CD$3,R732,$CJ$5)*H732</f>
        <v>134154.34671846297</v>
      </c>
      <c r="CK734" s="235">
        <f t="shared" si="914"/>
        <v>-0.375</v>
      </c>
      <c r="CM734" t="str">
        <f t="shared" si="915"/>
        <v>36951Curve Shift/Gamma</v>
      </c>
      <c r="CN734" t="str">
        <f t="shared" si="838"/>
        <v>36951Rho</v>
      </c>
      <c r="CO734" t="str">
        <f t="shared" si="839"/>
        <v>36951Drift</v>
      </c>
      <c r="CP734" t="str">
        <f t="shared" si="840"/>
        <v>36951Vega</v>
      </c>
      <c r="CQ734" t="str">
        <f t="shared" si="841"/>
        <v>36951Theta</v>
      </c>
    </row>
    <row r="735" spans="1:95" x14ac:dyDescent="0.25">
      <c r="A735" s="140" t="s">
        <v>383</v>
      </c>
      <c r="B735" t="s">
        <v>250</v>
      </c>
      <c r="C735" t="s">
        <v>595</v>
      </c>
      <c r="D735" s="4" t="s">
        <v>9</v>
      </c>
      <c r="E735" t="s">
        <v>20</v>
      </c>
      <c r="F735" t="s">
        <v>1</v>
      </c>
      <c r="G735" s="5">
        <v>36892</v>
      </c>
      <c r="H735" s="130">
        <v>620000</v>
      </c>
      <c r="I735" s="235">
        <v>-0.375</v>
      </c>
      <c r="J735" s="53">
        <f t="shared" si="897"/>
        <v>4.7439999999999998</v>
      </c>
      <c r="K735" s="7">
        <f t="shared" si="898"/>
        <v>-0.36749999999999999</v>
      </c>
      <c r="L735" s="53">
        <f t="shared" si="899"/>
        <v>4.3765000000000001</v>
      </c>
      <c r="M735" s="157">
        <f t="shared" si="900"/>
        <v>6.8374831148490994E-2</v>
      </c>
      <c r="N735" s="4">
        <f t="shared" si="901"/>
        <v>0.60499999999999998</v>
      </c>
      <c r="O735" s="4">
        <f t="shared" si="902"/>
        <v>0.58099999999999996</v>
      </c>
      <c r="P735" s="9">
        <f t="shared" si="903"/>
        <v>0.93</v>
      </c>
      <c r="Q735" s="5">
        <f t="shared" si="875"/>
        <v>36888</v>
      </c>
      <c r="R735" s="4">
        <f t="shared" si="904"/>
        <v>0</v>
      </c>
      <c r="S735" s="158">
        <f>_xll.xSPRDOPT($L735,$J735,$I735,$M735,$O735,$N735,$P735,$Q735-$C$3,$R735,0)</f>
        <v>0.23520810577851106</v>
      </c>
      <c r="T735" s="159">
        <f>_xll.xSPRDOPT($L735,$J735,$I735,$M735,$O735,$N735,$P735,$Q735-$C$3,$R735,1)*H735</f>
        <v>-285472.0691342426</v>
      </c>
      <c r="U735" s="160">
        <f t="shared" si="905"/>
        <v>145829.02558267687</v>
      </c>
      <c r="V735" s="159">
        <f>_xll.xSPRDOPT($L735,$J735,$I735,$M735,$O735,$N735,$P735,$Q735-$C$3,$R735,2)*H735</f>
        <v>315836.81646855723</v>
      </c>
      <c r="W735" s="159">
        <f t="shared" si="906"/>
        <v>30364.747334314627</v>
      </c>
      <c r="X735" s="51" t="str">
        <f t="shared" si="907"/>
        <v>36892IF-NWPL_ROCKY_M</v>
      </c>
      <c r="Y735" s="418">
        <f t="shared" si="908"/>
        <v>62</v>
      </c>
      <c r="Z735" s="456">
        <f t="shared" si="909"/>
        <v>-0.46043882118426227</v>
      </c>
      <c r="AA735" s="456">
        <f>_xll.xSPRDOPT($L735,$J735,$I735,$M735,$O735,$N735,$P735,$Q735-$C$3,$R735,3)</f>
        <v>0.63519009478736688</v>
      </c>
      <c r="AB735" s="456">
        <f>((_xll.xSPRDOPT($L735+AB$5,$J735,$I735,$M735,$O735,$N735,$P735,$Q735-$C$3,$R735,3)*$H735)/10000)/100</f>
        <v>0.39381785876816744</v>
      </c>
      <c r="AC735" s="456">
        <f>((_xll.xSPRDOPT($L735+$AB$5,$J735,$I735,$M735,$O735,$N735,$P735,$Q735-$C$3,$R735,7)*$H735)/100)</f>
        <v>-9524.6180321827433</v>
      </c>
      <c r="AD735" s="456">
        <f>(_xll.xSPRDOPT($L735+$AB$5,$J735,$I735,$M735,$O735,$N735,$P735,$Q735-$C$3,$R735,9)/365)*$H735</f>
        <v>-585.28324926841822</v>
      </c>
      <c r="AE735">
        <f t="shared" si="862"/>
        <v>0</v>
      </c>
      <c r="AF735" s="456">
        <f t="shared" si="910"/>
        <v>2448.7273831549946</v>
      </c>
      <c r="AG735" s="456">
        <f>((_xll.xSPRDOPT($L735,$J735,$I735,$M735,$O735,$N735,$P735,$Q735-$C$3,$R735,6)*$H735)/100)</f>
        <v>3147.1491425233799</v>
      </c>
      <c r="AH735" s="456">
        <f>((_xll.xSPRDOPT($L735,$J735,$I735,$M735,$O735,$N735,$P735,$Q735-$C$3,$R735,5)*$H735)/100)</f>
        <v>-727.27222791372287</v>
      </c>
      <c r="AI735" s="456">
        <f>(((_xll.xSPRDOPT($L735,$J735,$I735,$M735,$O735,$N735,$P735,$Q735-$C$3,$R735,4)*$H735)/10000)/100)-AB735</f>
        <v>5.4290544119417472E-4</v>
      </c>
      <c r="AJ735" s="456"/>
      <c r="CC735" s="141">
        <f t="shared" si="911"/>
        <v>36831</v>
      </c>
      <c r="CD735" s="234">
        <f>_xll.xSPRDOPT((VLOOKUP(G733,NGPrices,2,FALSE)+HLOOKUP(D733,Prices,VLOOKUP(G733,move_down,2,FALSE),FALSE)),VLOOKUP(G733,NGPrices,2,FALSE),I733,VLOOKUP(G733,NGPREVPRICES,4,FALSE),HLOOKUP(D733,PREVVOLS,VLOOKUP(G733,MOVE_DOWN2,2,FALSE),FALSE),VLOOKUP(G733,NGPREVPRICES,3,FALSE),HLOOKUP(D733,Correllate,VLOOKUP(G733,CorMove,2,FALSE),FALSE),Q733-$CD$3,R733,$CD$5)*H733-CJ735</f>
        <v>0</v>
      </c>
      <c r="CE735" s="234">
        <f>_xll.xSPRDOPT((VLOOKUP(G733,NGPREVPRICES,2,FALSE)+HLOOKUP(D733,PREVCURVES,VLOOKUP(G733,MOVE_DOWN2,2,FALSE),FALSE)),VLOOKUP(G733,NGPREVPRICES,2,FALSE),CK735,VLOOKUP(G733,NGPrices,4,FALSE),HLOOKUP(D733,PREVVOLS,VLOOKUP(G733,MOVE_DOWN2,2,FALSE),FALSE),VLOOKUP(G733,NGPREVPRICES,3,FALSE),HLOOKUP(D733,Correllate,VLOOKUP(G733,CorMove,2,FALSE),FALSE),Q733-$CD$3,R733,$CJ$5)*H733-CJ735</f>
        <v>0</v>
      </c>
      <c r="CF735" s="10">
        <f t="shared" si="912"/>
        <v>-24.404443521780195</v>
      </c>
      <c r="CG735" s="234">
        <f>_xll.xSPRDOPT((VLOOKUP(G733,NGPREVPRICES,2,FALSE)+HLOOKUP(D733,PREVCURVES,VLOOKUP(G733,MOVE_DOWN2,2,FALSE),FALSE)),VLOOKUP(G733,NGPREVPRICES,2,FALSE),CK735,VLOOKUP(G733,NGPREVPRICES,4,FALSE),HLOOKUP(D733,VOLS,VLOOKUP(G733,move_down,2,FALSE),FALSE),VLOOKUP(G733,NGPrices,3,FALSE),HLOOKUP(D733,Correllate,VLOOKUP(G733,CorMove,2,FALSE),FALSE),Q733-$CD$3,R733,$CJ$5)*H733-CJ735</f>
        <v>0</v>
      </c>
      <c r="CH735" s="234">
        <f>_xll.xSPRDOPT((VLOOKUP(G733,NGPREVPRICES,2,FALSE)+HLOOKUP(D733,PREVCURVES,VLOOKUP(G733,MOVE_DOWN2,2,FALSE),FALSE)),VLOOKUP(G733,NGPREVPRICES,2,FALSE),CK735,VLOOKUP(G733,NGPREVPRICES,4,FALSE),HLOOKUP(D733,PREVVOLS,VLOOKUP(G733,MOVE_DOWN2,2,FALSE),FALSE),VLOOKUP(G733,NGPREVPRICES,3,FALSE),HLOOKUP(D733,Correllate,VLOOKUP(G733,CorMove,2,FALSE),FALSE),Q733-$C$3,R733,$CJ$5)*H733-CJ735</f>
        <v>-767.03843790796236</v>
      </c>
      <c r="CI735" s="234">
        <f t="shared" si="913"/>
        <v>-791.44288142974256</v>
      </c>
      <c r="CJ735" s="234">
        <f>_xll.xSPRDOPT((VLOOKUP(G733,NGPREVPRICES,2,FALSE)+HLOOKUP(D733,PREVCURVES,VLOOKUP(G733,MOVE_DOWN2,2,FALSE),FALSE)),VLOOKUP(G733,NGPREVPRICES,2,FALSE),CK735,VLOOKUP(G733,NGPREVPRICES,4,FALSE),HLOOKUP(D733,PREVVOLS,VLOOKUP(G733,MOVE_DOWN2,2,FALSE),FALSE),VLOOKUP(G733,NGPREVPRICES,3,FALSE),HLOOKUP(D733,Correllate,VLOOKUP(G733,CorMove,2,FALSE),FALSE),Q733-$CD$3,R733,$CJ$5)*H733</f>
        <v>131411.11780552714</v>
      </c>
      <c r="CK735" s="235">
        <f t="shared" si="914"/>
        <v>-0.375</v>
      </c>
      <c r="CM735" t="str">
        <f t="shared" si="915"/>
        <v>36831Curve Shift/Gamma</v>
      </c>
      <c r="CN735" t="str">
        <f t="shared" si="838"/>
        <v>36831Rho</v>
      </c>
      <c r="CO735" t="str">
        <f t="shared" si="839"/>
        <v>36831Drift</v>
      </c>
      <c r="CP735" t="str">
        <f t="shared" si="840"/>
        <v>36831Vega</v>
      </c>
      <c r="CQ735" t="str">
        <f t="shared" si="841"/>
        <v>36831Theta</v>
      </c>
    </row>
    <row r="736" spans="1:95" x14ac:dyDescent="0.25">
      <c r="A736" s="140" t="s">
        <v>383</v>
      </c>
      <c r="B736" t="s">
        <v>250</v>
      </c>
      <c r="C736" t="s">
        <v>595</v>
      </c>
      <c r="D736" s="4" t="s">
        <v>9</v>
      </c>
      <c r="E736" t="s">
        <v>20</v>
      </c>
      <c r="F736" t="s">
        <v>1</v>
      </c>
      <c r="G736" s="5">
        <v>36923</v>
      </c>
      <c r="H736" s="130">
        <v>560000</v>
      </c>
      <c r="I736" s="235">
        <v>-0.375</v>
      </c>
      <c r="J736" s="53">
        <f t="shared" si="897"/>
        <v>4.4800000000000004</v>
      </c>
      <c r="K736" s="7">
        <f t="shared" si="898"/>
        <v>-0.38750000000000001</v>
      </c>
      <c r="L736" s="53">
        <f t="shared" si="899"/>
        <v>4.0925000000000002</v>
      </c>
      <c r="M736" s="157">
        <f t="shared" si="900"/>
        <v>6.8640161611372E-2</v>
      </c>
      <c r="N736" s="4">
        <f t="shared" si="901"/>
        <v>0.59250000000000003</v>
      </c>
      <c r="O736" s="4">
        <f t="shared" si="902"/>
        <v>0.56899999999999995</v>
      </c>
      <c r="P736" s="9">
        <f t="shared" si="903"/>
        <v>0.93</v>
      </c>
      <c r="Q736" s="5">
        <f t="shared" si="875"/>
        <v>36921</v>
      </c>
      <c r="R736" s="4">
        <f t="shared" si="904"/>
        <v>0</v>
      </c>
      <c r="S736" s="158">
        <f>_xll.xSPRDOPT($L736,$J736,$I736,$M736,$O736,$N736,$P736,$Q736-$C$3,$R736,0)</f>
        <v>0.25368751789064298</v>
      </c>
      <c r="T736" s="159">
        <f>_xll.xSPRDOPT($L736,$J736,$I736,$M736,$O736,$N736,$P736,$Q736-$C$3,$R736,1)*H736</f>
        <v>-261903.22146793912</v>
      </c>
      <c r="U736" s="160">
        <f t="shared" si="905"/>
        <v>142065.01001876008</v>
      </c>
      <c r="V736" s="159">
        <f>_xll.xSPRDOPT($L736,$J736,$I736,$M736,$O736,$N736,$P736,$Q736-$C$3,$R736,2)*H736</f>
        <v>291916.18801332562</v>
      </c>
      <c r="W736" s="159">
        <f t="shared" si="906"/>
        <v>30012.966545386502</v>
      </c>
      <c r="X736" s="51" t="str">
        <f t="shared" si="907"/>
        <v>36923IF-NWPL_ROCKY_M</v>
      </c>
      <c r="Y736" s="418">
        <f t="shared" si="908"/>
        <v>56</v>
      </c>
      <c r="Z736" s="456">
        <f t="shared" si="909"/>
        <v>-0.4676843240498913</v>
      </c>
      <c r="AA736" s="456">
        <f>_xll.xSPRDOPT($L736,$J736,$I736,$M736,$O736,$N736,$P736,$Q736-$C$3,$R736,3)</f>
        <v>0.60769391787164151</v>
      </c>
      <c r="AB736" s="456">
        <f>((_xll.xSPRDOPT($L736+AB$5,$J736,$I736,$M736,$O736,$N736,$P736,$Q736-$C$3,$R736,3)*$H736)/10000)/100</f>
        <v>0.34030859400811925</v>
      </c>
      <c r="AC736" s="456">
        <f>((_xll.xSPRDOPT($L736+$AB$5,$J736,$I736,$M736,$O736,$N736,$P736,$Q736-$C$3,$R736,7)*$H736)/100)</f>
        <v>-8829.9550979937594</v>
      </c>
      <c r="AD736" s="456">
        <f>(_xll.xSPRDOPT($L736+$AB$5,$J736,$I736,$M736,$O736,$N736,$P736,$Q736-$C$3,$R736,9)/365)*$H736</f>
        <v>-423.97644458150654</v>
      </c>
      <c r="AE736">
        <f t="shared" si="862"/>
        <v>0</v>
      </c>
      <c r="AF736" s="456">
        <f t="shared" si="910"/>
        <v>2341.2368037218248</v>
      </c>
      <c r="AG736" s="456">
        <f>((_xll.xSPRDOPT($L736,$J736,$I736,$M736,$O736,$N736,$P736,$Q736-$C$3,$R736,6)*$H736)/100)</f>
        <v>3069.2413427082752</v>
      </c>
      <c r="AH736" s="456">
        <f>((_xll.xSPRDOPT($L736,$J736,$I736,$M736,$O736,$N736,$P736,$Q736-$C$3,$R736,5)*$H736)/100)</f>
        <v>-758.07151028026692</v>
      </c>
      <c r="AI736" s="456">
        <f>(((_xll.xSPRDOPT($L736,$J736,$I736,$M736,$O736,$N736,$P736,$Q736-$C$3,$R736,4)*$H736)/10000)/100)-AB736</f>
        <v>-2.668711680901048E-3</v>
      </c>
      <c r="AJ736" s="456"/>
      <c r="CC736" s="141">
        <f t="shared" si="911"/>
        <v>36861</v>
      </c>
      <c r="CD736" s="234">
        <f>_xll.xSPRDOPT((VLOOKUP(G734,NGPrices,2,FALSE)+HLOOKUP(D734,Prices,VLOOKUP(G734,move_down,2,FALSE),FALSE)),VLOOKUP(G734,NGPrices,2,FALSE),I734,VLOOKUP(G734,NGPREVPRICES,4,FALSE),HLOOKUP(D734,PREVVOLS,VLOOKUP(G734,MOVE_DOWN2,2,FALSE),FALSE),VLOOKUP(G734,NGPREVPRICES,3,FALSE),HLOOKUP(D734,Correllate,VLOOKUP(G734,CorMove,2,FALSE),FALSE),Q734-$CD$3,R734,$CD$5)*H734-CJ736</f>
        <v>0</v>
      </c>
      <c r="CE736" s="234">
        <f>_xll.xSPRDOPT((VLOOKUP(G734,NGPREVPRICES,2,FALSE)+HLOOKUP(D734,PREVCURVES,VLOOKUP(G734,MOVE_DOWN2,2,FALSE),FALSE)),VLOOKUP(G734,NGPREVPRICES,2,FALSE),CK736,VLOOKUP(G734,NGPrices,4,FALSE),HLOOKUP(D734,PREVVOLS,VLOOKUP(G734,MOVE_DOWN2,2,FALSE),FALSE),VLOOKUP(G734,NGPREVPRICES,3,FALSE),HLOOKUP(D734,Correllate,VLOOKUP(G734,CorMove,2,FALSE),FALSE),Q734-$CD$3,R734,$CJ$5)*H734-CJ736</f>
        <v>0</v>
      </c>
      <c r="CF736" s="10">
        <f t="shared" si="912"/>
        <v>-23.566096088077757</v>
      </c>
      <c r="CG736" s="234">
        <f>_xll.xSPRDOPT((VLOOKUP(G734,NGPREVPRICES,2,FALSE)+HLOOKUP(D734,PREVCURVES,VLOOKUP(G734,MOVE_DOWN2,2,FALSE),FALSE)),VLOOKUP(G734,NGPREVPRICES,2,FALSE),CK736,VLOOKUP(G734,NGPREVPRICES,4,FALSE),HLOOKUP(D734,VOLS,VLOOKUP(G734,move_down,2,FALSE),FALSE),VLOOKUP(G734,NGPrices,3,FALSE),HLOOKUP(D734,Correllate,VLOOKUP(G734,CorMove,2,FALSE),FALSE),Q734-$CD$3,R734,$CJ$5)*H734-CJ736</f>
        <v>0</v>
      </c>
      <c r="CH736" s="234">
        <f>_xll.xSPRDOPT((VLOOKUP(G734,NGPREVPRICES,2,FALSE)+HLOOKUP(D734,PREVCURVES,VLOOKUP(G734,MOVE_DOWN2,2,FALSE),FALSE)),VLOOKUP(G734,NGPREVPRICES,2,FALSE),CK736,VLOOKUP(G734,NGPREVPRICES,4,FALSE),HLOOKUP(D734,PREVVOLS,VLOOKUP(G734,MOVE_DOWN2,2,FALSE),FALSE),VLOOKUP(G734,NGPREVPRICES,3,FALSE),HLOOKUP(D734,Correllate,VLOOKUP(G734,CorMove,2,FALSE),FALSE),Q734-$C$3,R734,$CJ$5)*H734-CJ736</f>
        <v>-682.96167796272493</v>
      </c>
      <c r="CI736" s="234">
        <f t="shared" si="913"/>
        <v>-706.52777405080269</v>
      </c>
      <c r="CJ736" s="234">
        <f>_xll.xSPRDOPT((VLOOKUP(G734,NGPREVPRICES,2,FALSE)+HLOOKUP(D734,PREVCURVES,VLOOKUP(G734,MOVE_DOWN2,2,FALSE),FALSE)),VLOOKUP(G734,NGPREVPRICES,2,FALSE),CK736,VLOOKUP(G734,NGPREVPRICES,4,FALSE),HLOOKUP(D734,PREVVOLS,VLOOKUP(G734,MOVE_DOWN2,2,FALSE),FALSE),VLOOKUP(G734,NGPREVPRICES,3,FALSE),HLOOKUP(D734,Correllate,VLOOKUP(G734,CorMove,2,FALSE),FALSE),Q734-$CD$3,R734,$CJ$5)*H734</f>
        <v>125794.5758207239</v>
      </c>
      <c r="CK736" s="235">
        <f t="shared" si="914"/>
        <v>-0.375</v>
      </c>
      <c r="CM736" t="str">
        <f t="shared" si="915"/>
        <v>36861Curve Shift/Gamma</v>
      </c>
      <c r="CN736" t="str">
        <f t="shared" si="838"/>
        <v>36861Rho</v>
      </c>
      <c r="CO736" t="str">
        <f t="shared" si="839"/>
        <v>36861Drift</v>
      </c>
      <c r="CP736" t="str">
        <f t="shared" si="840"/>
        <v>36861Vega</v>
      </c>
      <c r="CQ736" t="str">
        <f t="shared" si="841"/>
        <v>36861Theta</v>
      </c>
    </row>
    <row r="737" spans="1:95" x14ac:dyDescent="0.25">
      <c r="A737" s="140" t="s">
        <v>383</v>
      </c>
      <c r="B737" t="s">
        <v>250</v>
      </c>
      <c r="C737" t="s">
        <v>595</v>
      </c>
      <c r="D737" s="4" t="s">
        <v>9</v>
      </c>
      <c r="E737" t="s">
        <v>20</v>
      </c>
      <c r="F737" t="s">
        <v>1</v>
      </c>
      <c r="G737" s="5">
        <v>36951</v>
      </c>
      <c r="H737" s="130">
        <v>620000</v>
      </c>
      <c r="I737" s="235">
        <v>-0.375</v>
      </c>
      <c r="J737" s="53">
        <f t="shared" si="897"/>
        <v>4.2130000000000001</v>
      </c>
      <c r="K737" s="7">
        <f t="shared" si="898"/>
        <v>-0.39750000000000002</v>
      </c>
      <c r="L737" s="53">
        <f t="shared" si="899"/>
        <v>3.8155000000000001</v>
      </c>
      <c r="M737" s="157">
        <f t="shared" si="900"/>
        <v>6.8879814952706994E-2</v>
      </c>
      <c r="N737" s="4">
        <f t="shared" si="901"/>
        <v>0.53249999999999997</v>
      </c>
      <c r="O737" s="4">
        <f t="shared" si="902"/>
        <v>0.51100000000000001</v>
      </c>
      <c r="P737" s="9">
        <f t="shared" si="903"/>
        <v>0.93</v>
      </c>
      <c r="Q737" s="5">
        <f t="shared" si="875"/>
        <v>36949</v>
      </c>
      <c r="R737" s="4">
        <f t="shared" si="904"/>
        <v>0</v>
      </c>
      <c r="S737" s="158">
        <f>_xll.xSPRDOPT($L737,$J737,$I737,$M737,$O737,$N737,$P737,$Q737-$C$3,$R737,0)</f>
        <v>0.2375381117572625</v>
      </c>
      <c r="T737" s="159">
        <f>_xll.xSPRDOPT($L737,$J737,$I737,$M737,$O737,$N737,$P737,$Q737-$C$3,$R737,1)*H737</f>
        <v>-293442.39880862215</v>
      </c>
      <c r="U737" s="160">
        <f t="shared" si="905"/>
        <v>147273.62928950274</v>
      </c>
      <c r="V737" s="159">
        <f>_xll.xSPRDOPT($L737,$J737,$I737,$M737,$O737,$N737,$P737,$Q737-$C$3,$R737,2)*H737</f>
        <v>325606.03155655641</v>
      </c>
      <c r="W737" s="159">
        <f t="shared" si="906"/>
        <v>32163.632747934258</v>
      </c>
      <c r="X737" s="51" t="str">
        <f t="shared" si="907"/>
        <v>36951IF-NWPL_ROCKY_M</v>
      </c>
      <c r="Y737" s="418">
        <f t="shared" si="908"/>
        <v>62</v>
      </c>
      <c r="Z737" s="456">
        <f t="shared" si="909"/>
        <v>-0.47329419162680991</v>
      </c>
      <c r="AA737" s="456">
        <f>_xll.xSPRDOPT($L737,$J737,$I737,$M737,$O737,$N737,$P737,$Q737-$C$3,$R737,3)</f>
        <v>0.65858458366075867</v>
      </c>
      <c r="AB737" s="456">
        <f>((_xll.xSPRDOPT($L737+AB$5,$J737,$I737,$M737,$O737,$N737,$P737,$Q737-$C$3,$R737,3)*$H737)/10000)/100</f>
        <v>0.40832244186967037</v>
      </c>
      <c r="AC737" s="456">
        <f>((_xll.xSPRDOPT($L737+$AB$5,$J737,$I737,$M737,$O737,$N737,$P737,$Q737-$C$3,$R737,7)*$H737)/100)</f>
        <v>-8837.0227547712057</v>
      </c>
      <c r="AD737" s="456">
        <f>(_xll.xSPRDOPT($L737+$AB$5,$J737,$I737,$M737,$O737,$N737,$P737,$Q737-$C$3,$R737,9)/365)*$H737</f>
        <v>-358.34829825568863</v>
      </c>
      <c r="AE737">
        <f t="shared" si="862"/>
        <v>0</v>
      </c>
      <c r="AF737" s="456">
        <f t="shared" si="910"/>
        <v>2637.726996656043</v>
      </c>
      <c r="AG737" s="456">
        <f>((_xll.xSPRDOPT($L737,$J737,$I737,$M737,$O737,$N737,$P737,$Q737-$C$3,$R737,6)*$H737)/100)</f>
        <v>3546.6045829674804</v>
      </c>
      <c r="AH737" s="456">
        <f>((_xll.xSPRDOPT($L737,$J737,$I737,$M737,$O737,$N737,$P737,$Q737-$C$3,$R737,5)*$H737)/100)</f>
        <v>-947.11803270223163</v>
      </c>
      <c r="AI737" s="456">
        <f>(((_xll.xSPRDOPT($L737,$J737,$I737,$M737,$O737,$N737,$P737,$Q737-$C$3,$R737,4)*$H737)/10000)/100)-AB737</f>
        <v>-5.3097934503688049E-3</v>
      </c>
      <c r="AJ737" s="456"/>
      <c r="CC737" s="141">
        <f t="shared" si="911"/>
        <v>36892</v>
      </c>
      <c r="CD737" s="234">
        <f>_xll.xSPRDOPT((VLOOKUP(G735,NGPrices,2,FALSE)+HLOOKUP(D735,Prices,VLOOKUP(G735,move_down,2,FALSE),FALSE)),VLOOKUP(G735,NGPrices,2,FALSE),I735,VLOOKUP(G735,NGPREVPRICES,4,FALSE),HLOOKUP(D735,PREVVOLS,VLOOKUP(G735,MOVE_DOWN2,2,FALSE),FALSE),VLOOKUP(G735,NGPREVPRICES,3,FALSE),HLOOKUP(D735,Correllate,VLOOKUP(G735,CorMove,2,FALSE),FALSE),Q735-$CD$3,R735,$CD$5)*H735-CJ737</f>
        <v>0</v>
      </c>
      <c r="CE737" s="234">
        <f>_xll.xSPRDOPT((VLOOKUP(G735,NGPREVPRICES,2,FALSE)+HLOOKUP(D735,PREVCURVES,VLOOKUP(G735,MOVE_DOWN2,2,FALSE),FALSE)),VLOOKUP(G735,NGPREVPRICES,2,FALSE),CK737,VLOOKUP(G735,NGPrices,4,FALSE),HLOOKUP(D735,PREVVOLS,VLOOKUP(G735,MOVE_DOWN2,2,FALSE),FALSE),VLOOKUP(G735,NGPREVPRICES,3,FALSE),HLOOKUP(D735,Correllate,VLOOKUP(G735,CorMove,2,FALSE),FALSE),Q735-$CD$3,R735,$CJ$5)*H735-CJ737</f>
        <v>0</v>
      </c>
      <c r="CF737" s="10">
        <f t="shared" si="912"/>
        <v>-27.590149239491438</v>
      </c>
      <c r="CG737" s="234">
        <f>_xll.xSPRDOPT((VLOOKUP(G735,NGPREVPRICES,2,FALSE)+HLOOKUP(D735,PREVCURVES,VLOOKUP(G735,MOVE_DOWN2,2,FALSE),FALSE)),VLOOKUP(G735,NGPREVPRICES,2,FALSE),CK737,VLOOKUP(G735,NGPREVPRICES,4,FALSE),HLOOKUP(D735,VOLS,VLOOKUP(G735,move_down,2,FALSE),FALSE),VLOOKUP(G735,NGPrices,3,FALSE),HLOOKUP(D735,Correllate,VLOOKUP(G735,CorMove,2,FALSE),FALSE),Q735-$CD$3,R735,$CJ$5)*H735-CJ737</f>
        <v>0</v>
      </c>
      <c r="CH737" s="234">
        <f>_xll.xSPRDOPT((VLOOKUP(G735,NGPREVPRICES,2,FALSE)+HLOOKUP(D735,PREVCURVES,VLOOKUP(G735,MOVE_DOWN2,2,FALSE),FALSE)),VLOOKUP(G735,NGPREVPRICES,2,FALSE),CK737,VLOOKUP(G735,NGPREVPRICES,4,FALSE),HLOOKUP(D735,PREVVOLS,VLOOKUP(G735,MOVE_DOWN2,2,FALSE),FALSE),VLOOKUP(G735,NGPREVPRICES,3,FALSE),HLOOKUP(D735,Correllate,VLOOKUP(G735,CorMove,2,FALSE),FALSE),Q735-$C$3,R735,$CJ$5)*H735-CJ737</f>
        <v>-583.5131029439799</v>
      </c>
      <c r="CI737" s="234">
        <f t="shared" si="913"/>
        <v>-611.10325218347134</v>
      </c>
      <c r="CJ737" s="234">
        <f>_xll.xSPRDOPT((VLOOKUP(G735,NGPREVPRICES,2,FALSE)+HLOOKUP(D735,PREVCURVES,VLOOKUP(G735,MOVE_DOWN2,2,FALSE),FALSE)),VLOOKUP(G735,NGPREVPRICES,2,FALSE),CK737,VLOOKUP(G735,NGPREVPRICES,4,FALSE),HLOOKUP(D735,PREVVOLS,VLOOKUP(G735,MOVE_DOWN2,2,FALSE),FALSE),VLOOKUP(G735,NGPREVPRICES,3,FALSE),HLOOKUP(D735,Correllate,VLOOKUP(G735,CorMove,2,FALSE),FALSE),Q735-$CD$3,R735,$CJ$5)*H735</f>
        <v>146412.53868562085</v>
      </c>
      <c r="CK737" s="235">
        <f t="shared" si="914"/>
        <v>-0.375</v>
      </c>
      <c r="CM737" t="str">
        <f t="shared" si="915"/>
        <v>36892Curve Shift/Gamma</v>
      </c>
      <c r="CN737" t="str">
        <f t="shared" si="838"/>
        <v>36892Rho</v>
      </c>
      <c r="CO737" t="str">
        <f t="shared" si="839"/>
        <v>36892Drift</v>
      </c>
      <c r="CP737" t="str">
        <f t="shared" si="840"/>
        <v>36892Vega</v>
      </c>
      <c r="CQ737" t="str">
        <f t="shared" si="841"/>
        <v>36892Theta</v>
      </c>
    </row>
    <row r="738" spans="1:95" x14ac:dyDescent="0.25">
      <c r="A738" s="140" t="s">
        <v>348</v>
      </c>
      <c r="B738" t="s">
        <v>250</v>
      </c>
      <c r="C738" t="s">
        <v>596</v>
      </c>
      <c r="D738" s="4" t="s">
        <v>74</v>
      </c>
      <c r="E738" t="s">
        <v>20</v>
      </c>
      <c r="F738" t="s">
        <v>21</v>
      </c>
      <c r="G738" s="5">
        <v>36892</v>
      </c>
      <c r="H738" s="130">
        <v>-1000000</v>
      </c>
      <c r="I738" s="235">
        <v>0.2</v>
      </c>
      <c r="J738" s="53">
        <f t="shared" si="897"/>
        <v>4.7439999999999998</v>
      </c>
      <c r="K738" s="7">
        <f t="shared" si="898"/>
        <v>0.1275</v>
      </c>
      <c r="L738" s="53">
        <f t="shared" si="899"/>
        <v>4.8715000000000002</v>
      </c>
      <c r="M738" s="157">
        <f t="shared" si="900"/>
        <v>6.8374831148490994E-2</v>
      </c>
      <c r="N738" s="4">
        <f t="shared" si="901"/>
        <v>0.60499999999999998</v>
      </c>
      <c r="O738" s="4">
        <f t="shared" si="902"/>
        <v>0.60499999999999998</v>
      </c>
      <c r="P738" s="9">
        <f t="shared" si="903"/>
        <v>0.997</v>
      </c>
      <c r="Q738" s="5">
        <f t="shared" si="875"/>
        <v>36888</v>
      </c>
      <c r="R738" s="4">
        <f t="shared" si="904"/>
        <v>1</v>
      </c>
      <c r="S738" s="158">
        <f>_xll.xSPRDOPT($L738,$J738,$I738,$M738,$O738,$N738,$P738,$Q738-$C$3,$R738,0)</f>
        <v>2.850780495246838E-2</v>
      </c>
      <c r="T738" s="159">
        <f>_xll.xSPRDOPT($L738,$J738,$I738,$M738,$O738,$N738,$P738,$Q738-$C$3,$R738,1)*H738</f>
        <v>-313002.39050403784</v>
      </c>
      <c r="U738" s="160">
        <f t="shared" si="905"/>
        <v>-28507.804952468381</v>
      </c>
      <c r="V738" s="159">
        <f>_xll.xSPRDOPT($L738,$J738,$I738,$M738,$O738,$N738,$P738,$Q738-$C$3,$R738,2)*H738</f>
        <v>304586.12962010992</v>
      </c>
      <c r="W738" s="159">
        <f t="shared" si="906"/>
        <v>-8416.2608839279274</v>
      </c>
      <c r="X738" s="51" t="str">
        <f t="shared" si="907"/>
        <v>36892NGI/CHI. GATE</v>
      </c>
      <c r="Y738" s="418">
        <f t="shared" si="908"/>
        <v>-100</v>
      </c>
      <c r="Z738" s="456">
        <f t="shared" si="909"/>
        <v>0.31300239050403783</v>
      </c>
      <c r="AA738" s="456">
        <f>_xll.xSPRDOPT($L738,$J738,$I738,$M738,$O738,$N738,$P738,$Q738-$C$3,$R738,3)</f>
        <v>2.4323325694587097</v>
      </c>
      <c r="AB738" s="456">
        <f>((_xll.xSPRDOPT($L738+AB$5,$J738,$I738,$M738,$O738,$N738,$P738,$Q738-$C$3,$R738,3)*$H738)/10000)/100</f>
        <v>-2.4323325694587097</v>
      </c>
      <c r="AC738" s="456">
        <f>((_xll.xSPRDOPT($L738+$AB$5,$J738,$I738,$M738,$O738,$N738,$P738,$Q738-$C$3,$R738,7)*$H738)/100)</f>
        <v>67415.262983596243</v>
      </c>
      <c r="AD738" s="456">
        <f>(_xll.xSPRDOPT($L738+$AB$5,$J738,$I738,$M738,$O738,$N738,$P738,$Q738-$C$3,$R738,9)/365)*$H738</f>
        <v>204.59164064208642</v>
      </c>
      <c r="AE738">
        <f t="shared" si="862"/>
        <v>0</v>
      </c>
      <c r="AF738" s="456">
        <f t="shared" si="910"/>
        <v>-839.15297655011318</v>
      </c>
      <c r="AG738" s="456">
        <f>((_xll.xSPRDOPT($L738,$J738,$I738,$M738,$O738,$N738,$P738,$Q738-$C$3,$R738,6)*$H738)/100)</f>
        <v>3755.7877828056476</v>
      </c>
      <c r="AH738" s="456">
        <f>((_xll.xSPRDOPT($L738,$J738,$I738,$M738,$O738,$N738,$P738,$Q738-$C$3,$R738,5)*$H738)/100)</f>
        <v>-4594.9407593557607</v>
      </c>
      <c r="AI738" s="456">
        <f>(((_xll.xSPRDOPT($L738,$J738,$I738,$M738,$O738,$N738,$P738,$Q738-$C$3,$R738,4)*$H738)/10000)/100)-AB738</f>
        <v>5.2635754474930962E-2</v>
      </c>
      <c r="AJ738" s="456"/>
      <c r="CC738" s="141">
        <f t="shared" si="911"/>
        <v>36923</v>
      </c>
      <c r="CD738" s="234">
        <f>_xll.xSPRDOPT((VLOOKUP(G736,NGPrices,2,FALSE)+HLOOKUP(D736,Prices,VLOOKUP(G736,move_down,2,FALSE),FALSE)),VLOOKUP(G736,NGPrices,2,FALSE),I736,VLOOKUP(G736,NGPREVPRICES,4,FALSE),HLOOKUP(D736,PREVVOLS,VLOOKUP(G736,MOVE_DOWN2,2,FALSE),FALSE),VLOOKUP(G736,NGPREVPRICES,3,FALSE),HLOOKUP(D736,Correllate,VLOOKUP(G736,CorMove,2,FALSE),FALSE),Q736-$CD$3,R736,$CD$5)*H736-CJ738</f>
        <v>0</v>
      </c>
      <c r="CE738" s="234">
        <f>_xll.xSPRDOPT((VLOOKUP(G736,NGPREVPRICES,2,FALSE)+HLOOKUP(D736,PREVCURVES,VLOOKUP(G736,MOVE_DOWN2,2,FALSE),FALSE)),VLOOKUP(G736,NGPREVPRICES,2,FALSE),CK738,VLOOKUP(G736,NGPrices,4,FALSE),HLOOKUP(D736,PREVVOLS,VLOOKUP(G736,MOVE_DOWN2,2,FALSE),FALSE),VLOOKUP(G736,NGPREVPRICES,3,FALSE),HLOOKUP(D736,Correllate,VLOOKUP(G736,CorMove,2,FALSE),FALSE),Q736-$CD$3,R736,$CJ$5)*H736-CJ738</f>
        <v>0</v>
      </c>
      <c r="CF738" s="10">
        <f t="shared" si="912"/>
        <v>-27.099552717671031</v>
      </c>
      <c r="CG738" s="234">
        <f>_xll.xSPRDOPT((VLOOKUP(G736,NGPREVPRICES,2,FALSE)+HLOOKUP(D736,PREVCURVES,VLOOKUP(G736,MOVE_DOWN2,2,FALSE),FALSE)),VLOOKUP(G736,NGPREVPRICES,2,FALSE),CK738,VLOOKUP(G736,NGPREVPRICES,4,FALSE),HLOOKUP(D736,VOLS,VLOOKUP(G736,move_down,2,FALSE),FALSE),VLOOKUP(G736,NGPrices,3,FALSE),HLOOKUP(D736,Correllate,VLOOKUP(G736,CorMove,2,FALSE),FALSE),Q736-$CD$3,R736,$CJ$5)*H736-CJ738</f>
        <v>0</v>
      </c>
      <c r="CH738" s="234">
        <f>_xll.xSPRDOPT((VLOOKUP(G736,NGPREVPRICES,2,FALSE)+HLOOKUP(D736,PREVCURVES,VLOOKUP(G736,MOVE_DOWN2,2,FALSE),FALSE)),VLOOKUP(G736,NGPREVPRICES,2,FALSE),CK738,VLOOKUP(G736,NGPREVPRICES,4,FALSE),HLOOKUP(D736,PREVVOLS,VLOOKUP(G736,MOVE_DOWN2,2,FALSE),FALSE),VLOOKUP(G736,NGPREVPRICES,3,FALSE),HLOOKUP(D736,Correllate,VLOOKUP(G736,CorMove,2,FALSE),FALSE),Q736-$C$3,R736,$CJ$5)*H736-CJ738</f>
        <v>-422.87737659501727</v>
      </c>
      <c r="CI738" s="234">
        <f t="shared" si="913"/>
        <v>-449.9769293126883</v>
      </c>
      <c r="CJ738" s="234">
        <f>_xll.xSPRDOPT((VLOOKUP(G736,NGPREVPRICES,2,FALSE)+HLOOKUP(D736,PREVCURVES,VLOOKUP(G736,MOVE_DOWN2,2,FALSE),FALSE)),VLOOKUP(G736,NGPREVPRICES,2,FALSE),CK738,VLOOKUP(G736,NGPREVPRICES,4,FALSE),HLOOKUP(D736,PREVVOLS,VLOOKUP(G736,MOVE_DOWN2,2,FALSE),FALSE),VLOOKUP(G736,NGPREVPRICES,3,FALSE),HLOOKUP(D736,Correllate,VLOOKUP(G736,CorMove,2,FALSE),FALSE),Q736-$CD$3,R736,$CJ$5)*H736</f>
        <v>142487.88739535509</v>
      </c>
      <c r="CK738" s="235">
        <f t="shared" si="914"/>
        <v>-0.375</v>
      </c>
      <c r="CM738" t="str">
        <f t="shared" si="915"/>
        <v>36923Curve Shift/Gamma</v>
      </c>
      <c r="CN738" t="str">
        <f t="shared" si="838"/>
        <v>36923Rho</v>
      </c>
      <c r="CO738" t="str">
        <f t="shared" si="839"/>
        <v>36923Drift</v>
      </c>
      <c r="CP738" t="str">
        <f t="shared" si="840"/>
        <v>36923Vega</v>
      </c>
      <c r="CQ738" t="str">
        <f t="shared" si="841"/>
        <v>36923Theta</v>
      </c>
    </row>
    <row r="739" spans="1:95" x14ac:dyDescent="0.25">
      <c r="A739" s="140" t="s">
        <v>348</v>
      </c>
      <c r="B739" t="s">
        <v>250</v>
      </c>
      <c r="C739" t="s">
        <v>596</v>
      </c>
      <c r="D739" s="4" t="s">
        <v>74</v>
      </c>
      <c r="E739" t="s">
        <v>20</v>
      </c>
      <c r="F739" t="s">
        <v>21</v>
      </c>
      <c r="G739" s="5">
        <v>36923</v>
      </c>
      <c r="H739" s="130">
        <v>-1000000</v>
      </c>
      <c r="I739" s="235">
        <v>0.2</v>
      </c>
      <c r="J739" s="53">
        <f t="shared" si="897"/>
        <v>4.4800000000000004</v>
      </c>
      <c r="K739" s="7">
        <f t="shared" si="898"/>
        <v>0.13750000000000001</v>
      </c>
      <c r="L739" s="53">
        <f t="shared" si="899"/>
        <v>4.6175000000000006</v>
      </c>
      <c r="M739" s="157">
        <f t="shared" si="900"/>
        <v>6.8640161611372E-2</v>
      </c>
      <c r="N739" s="4">
        <f t="shared" si="901"/>
        <v>0.59250000000000003</v>
      </c>
      <c r="O739" s="4">
        <f t="shared" si="902"/>
        <v>0.59299999999999997</v>
      </c>
      <c r="P739" s="9">
        <f t="shared" si="903"/>
        <v>0.997</v>
      </c>
      <c r="Q739" s="5">
        <f t="shared" si="875"/>
        <v>36921</v>
      </c>
      <c r="R739" s="4">
        <f t="shared" si="904"/>
        <v>1</v>
      </c>
      <c r="S739" s="158">
        <f>_xll.xSPRDOPT($L739,$J739,$I739,$M739,$O739,$N739,$P739,$Q739-$C$3,$R739,0)</f>
        <v>3.4815997437787051E-2</v>
      </c>
      <c r="T739" s="159">
        <f>_xll.xSPRDOPT($L739,$J739,$I739,$M739,$O739,$N739,$P739,$Q739-$C$3,$R739,1)*H739</f>
        <v>-346597.01251359016</v>
      </c>
      <c r="U739" s="160">
        <f t="shared" si="905"/>
        <v>-34815.997437787053</v>
      </c>
      <c r="V739" s="159">
        <f>_xll.xSPRDOPT($L739,$J739,$I739,$M739,$O739,$N739,$P739,$Q739-$C$3,$R739,2)*H739</f>
        <v>337042.28790476633</v>
      </c>
      <c r="W739" s="159">
        <f t="shared" si="906"/>
        <v>-9554.7246088238317</v>
      </c>
      <c r="X739" s="51" t="str">
        <f t="shared" si="907"/>
        <v>36923NGI/CHI. GATE</v>
      </c>
      <c r="Y739" s="418">
        <f t="shared" si="908"/>
        <v>-100</v>
      </c>
      <c r="Z739" s="456">
        <f t="shared" si="909"/>
        <v>0.34659701251359015</v>
      </c>
      <c r="AA739" s="456">
        <f>_xll.xSPRDOPT($L739,$J739,$I739,$M739,$O739,$N739,$P739,$Q739-$C$3,$R739,3)</f>
        <v>2.3713202005982938</v>
      </c>
      <c r="AB739" s="456">
        <f>((_xll.xSPRDOPT($L739+AB$5,$J739,$I739,$M739,$O739,$N739,$P739,$Q739-$C$3,$R739,3)*$H739)/10000)/100</f>
        <v>-2.3713202005982938</v>
      </c>
      <c r="AC739" s="456">
        <f>((_xll.xSPRDOPT($L739+$AB$5,$J739,$I739,$M739,$O739,$N739,$P739,$Q739-$C$3,$R739,7)*$H739)/100)</f>
        <v>71999.485544706607</v>
      </c>
      <c r="AD739" s="456">
        <f>(_xll.xSPRDOPT($L739+$AB$5,$J739,$I739,$M739,$O739,$N739,$P739,$Q739-$C$3,$R739,9)/365)*$H739</f>
        <v>175.605817200638</v>
      </c>
      <c r="AE739">
        <f t="shared" si="862"/>
        <v>0</v>
      </c>
      <c r="AF739" s="456">
        <f t="shared" si="910"/>
        <v>-946.24072563817026</v>
      </c>
      <c r="AG739" s="456">
        <f>((_xll.xSPRDOPT($L739,$J739,$I739,$M739,$O739,$N739,$P739,$Q739-$C$3,$R739,6)*$H739)/100)</f>
        <v>4419.1895661905091</v>
      </c>
      <c r="AH739" s="456">
        <f>((_xll.xSPRDOPT($L739,$J739,$I739,$M739,$O739,$N739,$P739,$Q739-$C$3,$R739,5)*$H739)/100)</f>
        <v>-5360.9063202504094</v>
      </c>
      <c r="AI739" s="456">
        <f>(((_xll.xSPRDOPT($L739,$J739,$I739,$M739,$O739,$N739,$P739,$Q739-$C$3,$R739,4)*$H739)/10000)/100)-AB739</f>
        <v>4.3097264498453747E-2</v>
      </c>
      <c r="AJ739" s="456"/>
      <c r="CC739" s="141">
        <f t="shared" si="911"/>
        <v>36951</v>
      </c>
      <c r="CD739" s="234">
        <f>_xll.xSPRDOPT((VLOOKUP(G737,NGPrices,2,FALSE)+HLOOKUP(D737,Prices,VLOOKUP(G737,move_down,2,FALSE),FALSE)),VLOOKUP(G737,NGPrices,2,FALSE),I737,VLOOKUP(G737,NGPREVPRICES,4,FALSE),HLOOKUP(D737,PREVVOLS,VLOOKUP(G737,MOVE_DOWN2,2,FALSE),FALSE),VLOOKUP(G737,NGPREVPRICES,3,FALSE),HLOOKUP(D737,Correllate,VLOOKUP(G737,CorMove,2,FALSE),FALSE),Q737-$CD$3,R737,$CD$5)*H737-CJ739</f>
        <v>0</v>
      </c>
      <c r="CE739" s="234">
        <f>_xll.xSPRDOPT((VLOOKUP(G737,NGPREVPRICES,2,FALSE)+HLOOKUP(D737,PREVCURVES,VLOOKUP(G737,MOVE_DOWN2,2,FALSE),FALSE)),VLOOKUP(G737,NGPREVPRICES,2,FALSE),CK739,VLOOKUP(G737,NGPrices,4,FALSE),HLOOKUP(D737,PREVVOLS,VLOOKUP(G737,MOVE_DOWN2,2,FALSE),FALSE),VLOOKUP(G737,NGPREVPRICES,3,FALSE),HLOOKUP(D737,Correllate,VLOOKUP(G737,CorMove,2,FALSE),FALSE),Q737-$CD$3,R737,$CJ$5)*H737-CJ739</f>
        <v>0</v>
      </c>
      <c r="CF739" s="10">
        <f t="shared" si="912"/>
        <v>-28.31344563694438</v>
      </c>
      <c r="CG739" s="234">
        <f>_xll.xSPRDOPT((VLOOKUP(G737,NGPREVPRICES,2,FALSE)+HLOOKUP(D737,PREVCURVES,VLOOKUP(G737,MOVE_DOWN2,2,FALSE),FALSE)),VLOOKUP(G737,NGPREVPRICES,2,FALSE),CK739,VLOOKUP(G737,NGPREVPRICES,4,FALSE),HLOOKUP(D737,VOLS,VLOOKUP(G737,move_down,2,FALSE),FALSE),VLOOKUP(G737,NGPrices,3,FALSE),HLOOKUP(D737,Correllate,VLOOKUP(G737,CorMove,2,FALSE),FALSE),Q737-$CD$3,R737,$CJ$5)*H737-CJ739</f>
        <v>0</v>
      </c>
      <c r="CH739" s="234">
        <f>_xll.xSPRDOPT((VLOOKUP(G737,NGPREVPRICES,2,FALSE)+HLOOKUP(D737,PREVCURVES,VLOOKUP(G737,MOVE_DOWN2,2,FALSE),FALSE)),VLOOKUP(G737,NGPREVPRICES,2,FALSE),CK739,VLOOKUP(G737,NGPREVPRICES,4,FALSE),HLOOKUP(D737,PREVVOLS,VLOOKUP(G737,MOVE_DOWN2,2,FALSE),FALSE),VLOOKUP(G737,NGPREVPRICES,3,FALSE),HLOOKUP(D737,Correllate,VLOOKUP(G737,CorMove,2,FALSE),FALSE),Q737-$C$3,R737,$CJ$5)*H737-CJ739</f>
        <v>-357.50656283917488</v>
      </c>
      <c r="CI739" s="234">
        <f t="shared" si="913"/>
        <v>-385.82000847611926</v>
      </c>
      <c r="CJ739" s="234">
        <f>_xll.xSPRDOPT((VLOOKUP(G737,NGPREVPRICES,2,FALSE)+HLOOKUP(D737,PREVCURVES,VLOOKUP(G737,MOVE_DOWN2,2,FALSE),FALSE)),VLOOKUP(G737,NGPREVPRICES,2,FALSE),CK739,VLOOKUP(G737,NGPREVPRICES,4,FALSE),HLOOKUP(D737,PREVVOLS,VLOOKUP(G737,MOVE_DOWN2,2,FALSE),FALSE),VLOOKUP(G737,NGPREVPRICES,3,FALSE),HLOOKUP(D737,Correllate,VLOOKUP(G737,CorMove,2,FALSE),FALSE),Q737-$CD$3,R737,$CJ$5)*H737</f>
        <v>147631.13585234192</v>
      </c>
      <c r="CK739" s="235">
        <f t="shared" si="914"/>
        <v>-0.375</v>
      </c>
      <c r="CM739" t="str">
        <f t="shared" si="915"/>
        <v>36951Curve Shift/Gamma</v>
      </c>
      <c r="CN739" t="str">
        <f t="shared" si="838"/>
        <v>36951Rho</v>
      </c>
      <c r="CO739" t="str">
        <f t="shared" si="839"/>
        <v>36951Drift</v>
      </c>
      <c r="CP739" t="str">
        <f t="shared" si="840"/>
        <v>36951Vega</v>
      </c>
      <c r="CQ739" t="str">
        <f t="shared" si="841"/>
        <v>36951Theta</v>
      </c>
    </row>
    <row r="740" spans="1:95" x14ac:dyDescent="0.25">
      <c r="A740" s="140" t="s">
        <v>348</v>
      </c>
      <c r="B740" t="s">
        <v>250</v>
      </c>
      <c r="C740" t="s">
        <v>596</v>
      </c>
      <c r="D740" s="4" t="s">
        <v>74</v>
      </c>
      <c r="E740" t="s">
        <v>20</v>
      </c>
      <c r="F740" t="s">
        <v>21</v>
      </c>
      <c r="G740" s="5">
        <v>36951</v>
      </c>
      <c r="H740" s="130">
        <v>-1000000</v>
      </c>
      <c r="I740" s="235">
        <v>0.2</v>
      </c>
      <c r="J740" s="53">
        <f t="shared" si="897"/>
        <v>4.2130000000000001</v>
      </c>
      <c r="K740" s="7">
        <f t="shared" si="898"/>
        <v>0.1225</v>
      </c>
      <c r="L740" s="53">
        <f t="shared" si="899"/>
        <v>4.3354999999999997</v>
      </c>
      <c r="M740" s="157">
        <f t="shared" si="900"/>
        <v>6.8879814952706994E-2</v>
      </c>
      <c r="N740" s="4">
        <f t="shared" si="901"/>
        <v>0.53249999999999997</v>
      </c>
      <c r="O740" s="4">
        <f t="shared" si="902"/>
        <v>0.53300000000000003</v>
      </c>
      <c r="P740" s="9">
        <f t="shared" si="903"/>
        <v>0.997</v>
      </c>
      <c r="Q740" s="5">
        <f t="shared" si="875"/>
        <v>36949</v>
      </c>
      <c r="R740" s="4">
        <f t="shared" si="904"/>
        <v>1</v>
      </c>
      <c r="S740" s="158">
        <f>_xll.xSPRDOPT($L740,$J740,$I740,$M740,$O740,$N740,$P740,$Q740-$C$3,$R740,0)</f>
        <v>2.6185472823568891E-2</v>
      </c>
      <c r="T740" s="159">
        <f>_xll.xSPRDOPT($L740,$J740,$I740,$M740,$O740,$N740,$P740,$Q740-$C$3,$R740,1)*H740</f>
        <v>-298082.01194515015</v>
      </c>
      <c r="U740" s="160">
        <f t="shared" si="905"/>
        <v>-26185.472823568893</v>
      </c>
      <c r="V740" s="159">
        <f>_xll.xSPRDOPT($L740,$J740,$I740,$M740,$O740,$N740,$P740,$Q740-$C$3,$R740,2)*H740</f>
        <v>289396.63974285749</v>
      </c>
      <c r="W740" s="159">
        <f t="shared" si="906"/>
        <v>-8685.3722022926668</v>
      </c>
      <c r="X740" s="51" t="str">
        <f t="shared" si="907"/>
        <v>36951NGI/CHI. GATE</v>
      </c>
      <c r="Y740" s="418">
        <f t="shared" si="908"/>
        <v>-100</v>
      </c>
      <c r="Z740" s="456">
        <f t="shared" si="909"/>
        <v>0.29808201194515016</v>
      </c>
      <c r="AA740" s="456">
        <f>_xll.xSPRDOPT($L740,$J740,$I740,$M740,$O740,$N740,$P740,$Q740-$C$3,$R740,3)</f>
        <v>2.408157401711319</v>
      </c>
      <c r="AB740" s="456">
        <f>((_xll.xSPRDOPT($L740+AB$5,$J740,$I740,$M740,$O740,$N740,$P740,$Q740-$C$3,$R740,3)*$H740)/10000)/100</f>
        <v>-2.4081574017113194</v>
      </c>
      <c r="AC740" s="456">
        <f>((_xll.xSPRDOPT($L740+$AB$5,$J740,$I740,$M740,$O740,$N740,$P740,$Q740-$C$3,$R740,7)*$H740)/100)</f>
        <v>61444.4210629238</v>
      </c>
      <c r="AD740" s="456">
        <f>(_xll.xSPRDOPT($L740+$AB$5,$J740,$I740,$M740,$O740,$N740,$P740,$Q740-$C$3,$R740,9)/365)*$H740</f>
        <v>128.82482106274094</v>
      </c>
      <c r="AE740">
        <f t="shared" si="862"/>
        <v>0</v>
      </c>
      <c r="AF740" s="456">
        <f t="shared" si="910"/>
        <v>-913.75792878662105</v>
      </c>
      <c r="AG740" s="456">
        <f>((_xll.xSPRDOPT($L740,$J740,$I740,$M740,$O740,$N740,$P740,$Q740-$C$3,$R740,6)*$H740)/100)</f>
        <v>4375.3071110060419</v>
      </c>
      <c r="AH740" s="456">
        <f>((_xll.xSPRDOPT($L740,$J740,$I740,$M740,$O740,$N740,$P740,$Q740-$C$3,$R740,5)*$H740)/100)</f>
        <v>-5284.1034403181848</v>
      </c>
      <c r="AI740" s="456">
        <f>(((_xll.xSPRDOPT($L740,$J740,$I740,$M740,$O740,$N740,$P740,$Q740-$C$3,$R740,4)*$H740)/10000)/100)-AB740</f>
        <v>5.8337645949622097E-2</v>
      </c>
      <c r="AJ740" s="456"/>
      <c r="CC740" s="141">
        <f t="shared" si="911"/>
        <v>36892</v>
      </c>
      <c r="CD740" s="234">
        <f>_xll.xSPRDOPT((VLOOKUP(G738,NGPrices,2,FALSE)+HLOOKUP(D738,Prices,VLOOKUP(G738,move_down,2,FALSE),FALSE)),VLOOKUP(G738,NGPrices,2,FALSE),I738,VLOOKUP(G738,NGPREVPRICES,4,FALSE),HLOOKUP(D738,PREVVOLS,VLOOKUP(G738,MOVE_DOWN2,2,FALSE),FALSE),VLOOKUP(G738,NGPREVPRICES,3,FALSE),HLOOKUP(D738,Correllate,VLOOKUP(G738,CorMove,2,FALSE),FALSE),Q738-$CD$3,R738,$CD$5)*H738-CJ740</f>
        <v>0</v>
      </c>
      <c r="CE740" s="234">
        <f>_xll.xSPRDOPT((VLOOKUP(G738,NGPREVPRICES,2,FALSE)+HLOOKUP(D738,PREVCURVES,VLOOKUP(G738,MOVE_DOWN2,2,FALSE),FALSE)),VLOOKUP(G738,NGPREVPRICES,2,FALSE),CK740,VLOOKUP(G738,NGPrices,4,FALSE),HLOOKUP(D738,PREVVOLS,VLOOKUP(G738,MOVE_DOWN2,2,FALSE),FALSE),VLOOKUP(G738,NGPREVPRICES,3,FALSE),HLOOKUP(D738,Correllate,VLOOKUP(G738,CorMove,2,FALSE),FALSE),Q738-$CD$3,R738,$CJ$5)*H738-CJ740</f>
        <v>0</v>
      </c>
      <c r="CF740" s="10">
        <f t="shared" si="912"/>
        <v>5.4105036199944152</v>
      </c>
      <c r="CG740" s="234">
        <f>_xll.xSPRDOPT((VLOOKUP(G738,NGPREVPRICES,2,FALSE)+HLOOKUP(D738,PREVCURVES,VLOOKUP(G738,MOVE_DOWN2,2,FALSE),FALSE)),VLOOKUP(G738,NGPREVPRICES,2,FALSE),CK740,VLOOKUP(G738,NGPREVPRICES,4,FALSE),HLOOKUP(D738,VOLS,VLOOKUP(G738,move_down,2,FALSE),FALSE),VLOOKUP(G738,NGPrices,3,FALSE),HLOOKUP(D738,Correllate,VLOOKUP(G738,CorMove,2,FALSE),FALSE),Q738-$CD$3,R738,$CJ$5)*H738-CJ740</f>
        <v>0</v>
      </c>
      <c r="CH740" s="234">
        <f>_xll.xSPRDOPT((VLOOKUP(G738,NGPREVPRICES,2,FALSE)+HLOOKUP(D738,PREVCURVES,VLOOKUP(G738,MOVE_DOWN2,2,FALSE),FALSE)),VLOOKUP(G738,NGPREVPRICES,2,FALSE),CK740,VLOOKUP(G738,NGPREVPRICES,4,FALSE),HLOOKUP(D738,PREVVOLS,VLOOKUP(G738,MOVE_DOWN2,2,FALSE),FALSE),VLOOKUP(G738,NGPREVPRICES,3,FALSE),HLOOKUP(D738,Correllate,VLOOKUP(G738,CorMove,2,FALSE),FALSE),Q738-$C$3,R738,$CJ$5)*H738-CJ740</f>
        <v>204.093765266829</v>
      </c>
      <c r="CI740" s="234">
        <f t="shared" si="913"/>
        <v>209.50426888682341</v>
      </c>
      <c r="CJ740" s="234">
        <f>_xll.xSPRDOPT((VLOOKUP(G738,NGPREVPRICES,2,FALSE)+HLOOKUP(D738,PREVCURVES,VLOOKUP(G738,MOVE_DOWN2,2,FALSE),FALSE)),VLOOKUP(G738,NGPREVPRICES,2,FALSE),CK740,VLOOKUP(G738,NGPREVPRICES,4,FALSE),HLOOKUP(D738,PREVVOLS,VLOOKUP(G738,MOVE_DOWN2,2,FALSE),FALSE),VLOOKUP(G738,NGPREVPRICES,3,FALSE),HLOOKUP(D738,Correllate,VLOOKUP(G738,CorMove,2,FALSE),FALSE),Q738-$CD$3,R738,$CJ$5)*H738</f>
        <v>-28711.89871773521</v>
      </c>
      <c r="CK740" s="235">
        <f t="shared" si="914"/>
        <v>0.2</v>
      </c>
      <c r="CM740" t="str">
        <f t="shared" si="915"/>
        <v>36892Curve Shift/Gamma</v>
      </c>
      <c r="CN740" t="str">
        <f t="shared" si="838"/>
        <v>36892Rho</v>
      </c>
      <c r="CO740" t="str">
        <f t="shared" si="839"/>
        <v>36892Drift</v>
      </c>
      <c r="CP740" t="str">
        <f t="shared" si="840"/>
        <v>36892Vega</v>
      </c>
      <c r="CQ740" t="str">
        <f t="shared" si="841"/>
        <v>36892Theta</v>
      </c>
    </row>
    <row r="741" spans="1:95" x14ac:dyDescent="0.25">
      <c r="A741" s="140" t="s">
        <v>284</v>
      </c>
      <c r="B741" t="s">
        <v>250</v>
      </c>
      <c r="C741" t="s">
        <v>597</v>
      </c>
      <c r="D741" s="4" t="s">
        <v>384</v>
      </c>
      <c r="E741" t="s">
        <v>20</v>
      </c>
      <c r="F741" t="s">
        <v>1</v>
      </c>
      <c r="G741" s="5">
        <v>36982</v>
      </c>
      <c r="H741" s="130">
        <v>1000000</v>
      </c>
      <c r="I741" s="235">
        <v>0.28000000000000003</v>
      </c>
      <c r="J741" s="53">
        <f t="shared" si="897"/>
        <v>3.9380000000000002</v>
      </c>
      <c r="K741" s="7">
        <f t="shared" si="898"/>
        <v>0.3775</v>
      </c>
      <c r="L741" s="53">
        <f t="shared" si="899"/>
        <v>4.3155000000000001</v>
      </c>
      <c r="M741" s="157">
        <f t="shared" si="900"/>
        <v>6.9061726541120999E-2</v>
      </c>
      <c r="N741" s="4">
        <f t="shared" si="901"/>
        <v>0.4425</v>
      </c>
      <c r="O741" s="4">
        <f t="shared" si="902"/>
        <v>0.434</v>
      </c>
      <c r="P741" s="9">
        <f t="shared" si="903"/>
        <v>0.99</v>
      </c>
      <c r="Q741" s="5">
        <f t="shared" si="875"/>
        <v>36979</v>
      </c>
      <c r="R741" s="4">
        <f t="shared" si="904"/>
        <v>0</v>
      </c>
      <c r="S741" s="158">
        <f>_xll.xSPRDOPT($L741,$J741,$I741,$M741,$O741,$N741,$P741,$Q741-$C$3,$R741,0)</f>
        <v>4.1344556890625217E-2</v>
      </c>
      <c r="T741" s="159">
        <f>_xll.xSPRDOPT($L741,$J741,$I741,$M741,$O741,$N741,$P741,$Q741-$C$3,$R741,1)*H741</f>
        <v>-296219.40668172133</v>
      </c>
      <c r="U741" s="160">
        <f t="shared" si="905"/>
        <v>41344.556890625216</v>
      </c>
      <c r="V741" s="159">
        <f>_xll.xSPRDOPT($L741,$J741,$I741,$M741,$O741,$N741,$P741,$Q741-$C$3,$R741,2)*H741</f>
        <v>310593.66300819803</v>
      </c>
      <c r="W741" s="159">
        <f t="shared" si="906"/>
        <v>14374.256326476694</v>
      </c>
      <c r="X741" s="51" t="str">
        <f t="shared" si="907"/>
        <v>36982IF-TETCO/M3</v>
      </c>
      <c r="Y741" s="418">
        <f t="shared" si="908"/>
        <v>100</v>
      </c>
      <c r="Z741" s="456">
        <f t="shared" si="909"/>
        <v>-0.29621940668172131</v>
      </c>
      <c r="AA741" s="456">
        <f>_xll.xSPRDOPT($L741,$J741,$I741,$M741,$O741,$N741,$P741,$Q741-$C$3,$R741,3)</f>
        <v>1.6091379851800973</v>
      </c>
      <c r="AB741" s="456">
        <f>((_xll.xSPRDOPT($L741+AB$5,$J741,$I741,$M741,$O741,$N741,$P741,$Q741-$C$3,$R741,3)*$H741)/10000)/100</f>
        <v>1.6091379851800973</v>
      </c>
      <c r="AC741" s="456">
        <f>((_xll.xSPRDOPT($L741+$AB$5,$J741,$I741,$M741,$O741,$N741,$P741,$Q741-$C$3,$R741,7)*$H741)/100)</f>
        <v>-31133.473851226085</v>
      </c>
      <c r="AD741" s="456">
        <f>(_xll.xSPRDOPT($L741+$AB$5,$J741,$I741,$M741,$O741,$N741,$P741,$Q741-$C$3,$R741,9)/365)*$H741</f>
        <v>-161.78825136093974</v>
      </c>
      <c r="AE741">
        <f t="shared" si="862"/>
        <v>0</v>
      </c>
      <c r="AF741" s="456">
        <f t="shared" si="910"/>
        <v>1624.0872586201108</v>
      </c>
      <c r="AG741" s="456">
        <f>((_xll.xSPRDOPT($L741,$J741,$I741,$M741,$O741,$N741,$P741,$Q741-$C$3,$R741,6)*$H741)/100)</f>
        <v>-2761.7009427191865</v>
      </c>
      <c r="AH741" s="456">
        <f>((_xll.xSPRDOPT($L741,$J741,$I741,$M741,$O741,$N741,$P741,$Q741-$C$3,$R741,5)*$H741)/100)</f>
        <v>4471.6849748678324</v>
      </c>
      <c r="AI741" s="456">
        <f>(((_xll.xSPRDOPT($L741,$J741,$I741,$M741,$O741,$N741,$P741,$Q741-$C$3,$R741,4)*$H741)/10000)/100)-AB741</f>
        <v>7.0314171584396457E-2</v>
      </c>
      <c r="AJ741" s="456"/>
      <c r="CC741" s="141">
        <f t="shared" si="911"/>
        <v>36923</v>
      </c>
      <c r="CD741" s="234">
        <f>_xll.xSPRDOPT((VLOOKUP(G739,NGPrices,2,FALSE)+HLOOKUP(D739,Prices,VLOOKUP(G739,move_down,2,FALSE),FALSE)),VLOOKUP(G739,NGPrices,2,FALSE),I739,VLOOKUP(G739,NGPREVPRICES,4,FALSE),HLOOKUP(D739,PREVVOLS,VLOOKUP(G739,MOVE_DOWN2,2,FALSE),FALSE),VLOOKUP(G739,NGPREVPRICES,3,FALSE),HLOOKUP(D739,Correllate,VLOOKUP(G739,CorMove,2,FALSE),FALSE),Q739-$CD$3,R739,$CD$5)*H739-CJ741</f>
        <v>0</v>
      </c>
      <c r="CE741" s="234">
        <f>_xll.xSPRDOPT((VLOOKUP(G739,NGPREVPRICES,2,FALSE)+HLOOKUP(D739,PREVCURVES,VLOOKUP(G739,MOVE_DOWN2,2,FALSE),FALSE)),VLOOKUP(G739,NGPREVPRICES,2,FALSE),CK741,VLOOKUP(G739,NGPrices,4,FALSE),HLOOKUP(D739,PREVVOLS,VLOOKUP(G739,MOVE_DOWN2,2,FALSE),FALSE),VLOOKUP(G739,NGPREVPRICES,3,FALSE),HLOOKUP(D739,Correllate,VLOOKUP(G739,CorMove,2,FALSE),FALSE),Q739-$CD$3,R739,$CJ$5)*H739-CJ741</f>
        <v>0</v>
      </c>
      <c r="CF741" s="10">
        <f t="shared" si="912"/>
        <v>6.6549241097454797</v>
      </c>
      <c r="CG741" s="234">
        <f>_xll.xSPRDOPT((VLOOKUP(G739,NGPREVPRICES,2,FALSE)+HLOOKUP(D739,PREVCURVES,VLOOKUP(G739,MOVE_DOWN2,2,FALSE),FALSE)),VLOOKUP(G739,NGPREVPRICES,2,FALSE),CK741,VLOOKUP(G739,NGPREVPRICES,4,FALSE),HLOOKUP(D739,VOLS,VLOOKUP(G739,move_down,2,FALSE),FALSE),VLOOKUP(G739,NGPrices,3,FALSE),HLOOKUP(D739,Correllate,VLOOKUP(G739,CorMove,2,FALSE),FALSE),Q739-$CD$3,R739,$CJ$5)*H739-CJ741</f>
        <v>0</v>
      </c>
      <c r="CH741" s="234">
        <f>_xll.xSPRDOPT((VLOOKUP(G739,NGPREVPRICES,2,FALSE)+HLOOKUP(D739,PREVCURVES,VLOOKUP(G739,MOVE_DOWN2,2,FALSE),FALSE)),VLOOKUP(G739,NGPREVPRICES,2,FALSE),CK741,VLOOKUP(G739,NGPREVPRICES,4,FALSE),HLOOKUP(D739,PREVVOLS,VLOOKUP(G739,MOVE_DOWN2,2,FALSE),FALSE),VLOOKUP(G739,NGPREVPRICES,3,FALSE),HLOOKUP(D739,Correllate,VLOOKUP(G739,CorMove,2,FALSE),FALSE),Q739-$C$3,R739,$CJ$5)*H739-CJ741</f>
        <v>175.2102420378942</v>
      </c>
      <c r="CI741" s="234">
        <f t="shared" si="913"/>
        <v>181.86516614763968</v>
      </c>
      <c r="CJ741" s="234">
        <f>_xll.xSPRDOPT((VLOOKUP(G739,NGPREVPRICES,2,FALSE)+HLOOKUP(D739,PREVCURVES,VLOOKUP(G739,MOVE_DOWN2,2,FALSE),FALSE)),VLOOKUP(G739,NGPREVPRICES,2,FALSE),CK741,VLOOKUP(G739,NGPREVPRICES,4,FALSE),HLOOKUP(D739,PREVVOLS,VLOOKUP(G739,MOVE_DOWN2,2,FALSE),FALSE),VLOOKUP(G739,NGPREVPRICES,3,FALSE),HLOOKUP(D739,Correllate,VLOOKUP(G739,CorMove,2,FALSE),FALSE),Q739-$CD$3,R739,$CJ$5)*H739</f>
        <v>-34991.207679824947</v>
      </c>
      <c r="CK741" s="235">
        <f t="shared" si="914"/>
        <v>0.2</v>
      </c>
      <c r="CM741" t="str">
        <f t="shared" si="915"/>
        <v>36923Curve Shift/Gamma</v>
      </c>
      <c r="CN741" t="str">
        <f t="shared" si="838"/>
        <v>36923Rho</v>
      </c>
      <c r="CO741" t="str">
        <f t="shared" si="839"/>
        <v>36923Drift</v>
      </c>
      <c r="CP741" t="str">
        <f t="shared" si="840"/>
        <v>36923Vega</v>
      </c>
      <c r="CQ741" t="str">
        <f t="shared" si="841"/>
        <v>36923Theta</v>
      </c>
    </row>
    <row r="742" spans="1:95" x14ac:dyDescent="0.25">
      <c r="A742" s="140" t="s">
        <v>284</v>
      </c>
      <c r="B742" t="s">
        <v>250</v>
      </c>
      <c r="C742" t="s">
        <v>597</v>
      </c>
      <c r="D742" s="4" t="s">
        <v>384</v>
      </c>
      <c r="E742" t="s">
        <v>20</v>
      </c>
      <c r="F742" t="s">
        <v>1</v>
      </c>
      <c r="G742" s="5">
        <v>37012</v>
      </c>
      <c r="H742" s="130">
        <v>1000000</v>
      </c>
      <c r="I742" s="235">
        <v>0.28000000000000003</v>
      </c>
      <c r="J742" s="53">
        <f t="shared" ref="J742:J747" si="916">VLOOKUP(G742,NGPrices,2,FALSE)</f>
        <v>3.8380000000000001</v>
      </c>
      <c r="K742" s="7">
        <f t="shared" ref="K742:K747" si="917">HLOOKUP(D742,Prices,VLOOKUP(G742,move_down,2,FALSE),FALSE)+VLOOKUP(G742,CHANGE,HLOOKUP(D742,CHANGE,2,FALSE),FALSE)</f>
        <v>0.315</v>
      </c>
      <c r="L742" s="53">
        <f t="shared" ref="L742:L747" si="918">K742+J742</f>
        <v>4.1530000000000005</v>
      </c>
      <c r="M742" s="157">
        <f t="shared" ref="M742:M747" si="919">VLOOKUP(G742,NGPrices,4,FALSE)</f>
        <v>6.9101151218999998E-2</v>
      </c>
      <c r="N742" s="4">
        <f t="shared" ref="N742:N747" si="920">VLOOKUP(G742,NGPrices,3,FALSE)</f>
        <v>0.40500000000000003</v>
      </c>
      <c r="O742" s="4">
        <f t="shared" ref="O742:O747" si="921">HLOOKUP(D742,VOLS,VLOOKUP(G742,move_down,2,FALSE),FALSE)</f>
        <v>0.39700000000000002</v>
      </c>
      <c r="P742" s="9">
        <f t="shared" ref="P742:P747" si="922">HLOOKUP(D742,Correllate,VLOOKUP(G742,CorMove,2,FALSE),FALSE)</f>
        <v>0.99</v>
      </c>
      <c r="Q742" s="5">
        <f t="shared" si="875"/>
        <v>37008</v>
      </c>
      <c r="R742" s="4">
        <f t="shared" ref="R742:R747" si="923">IF(F742="P",0,1)</f>
        <v>0</v>
      </c>
      <c r="S742" s="158">
        <f>_xll.xSPRDOPT($L742,$J742,$I742,$M742,$O742,$N742,$P742,$Q742-$C$3,$R742,0)</f>
        <v>5.9276756550739162E-2</v>
      </c>
      <c r="T742" s="159">
        <f>_xll.xSPRDOPT($L742,$J742,$I742,$M742,$O742,$N742,$P742,$Q742-$C$3,$R742,1)*H742</f>
        <v>-398898.42044975399</v>
      </c>
      <c r="U742" s="160">
        <f t="shared" ref="U742:U747" si="924">S742*H742</f>
        <v>59276.756550739163</v>
      </c>
      <c r="V742" s="159">
        <f>_xll.xSPRDOPT($L742,$J742,$I742,$M742,$O742,$N742,$P742,$Q742-$C$3,$R742,2)*H742</f>
        <v>414286.25254331972</v>
      </c>
      <c r="W742" s="159">
        <f t="shared" ref="W742:W747" si="925">+V742+T742</f>
        <v>15387.832093565725</v>
      </c>
      <c r="X742" s="51" t="str">
        <f t="shared" ref="X742:X747" si="926">CONCATENATE(G742,D742)</f>
        <v>37012IF-TETCO/M3</v>
      </c>
      <c r="Y742" s="418">
        <f t="shared" ref="Y742:Y747" si="927">H742/10000</f>
        <v>100</v>
      </c>
      <c r="Z742" s="456">
        <f t="shared" ref="Z742:Z747" si="928">T742/H742</f>
        <v>-0.39889842044975399</v>
      </c>
      <c r="AA742" s="456">
        <f>_xll.xSPRDOPT($L742,$J742,$I742,$M742,$O742,$N742,$P742,$Q742-$C$3,$R742,3)</f>
        <v>1.8941051353945046</v>
      </c>
      <c r="AB742" s="456">
        <f>((_xll.xSPRDOPT($L742+AB$5,$J742,$I742,$M742,$O742,$N742,$P742,$Q742-$C$3,$R742,3)*$H742)/10000)/100</f>
        <v>1.8941051353945049</v>
      </c>
      <c r="AC742" s="456">
        <f>((_xll.xSPRDOPT($L742+$AB$5,$J742,$I742,$M742,$O742,$N742,$P742,$Q742-$C$3,$R742,7)*$H742)/100)</f>
        <v>-32304.669695546589</v>
      </c>
      <c r="AD742" s="456">
        <f>(_xll.xSPRDOPT($L742+$AB$5,$J742,$I742,$M742,$O742,$N742,$P742,$Q742-$C$3,$R742,9)/365)*$H742</f>
        <v>-142.87589344235954</v>
      </c>
      <c r="AE742">
        <f t="shared" si="862"/>
        <v>0</v>
      </c>
      <c r="AF742" s="456">
        <f t="shared" ref="AF742:AF747" si="929">((O742/N742)*AH742)+AG742</f>
        <v>1832.7017057517496</v>
      </c>
      <c r="AG742" s="456">
        <f>((_xll.xSPRDOPT($L742,$J742,$I742,$M742,$O742,$N742,$P742,$Q742-$C$3,$R742,6)*$H742)/100)</f>
        <v>-3084.5242732009519</v>
      </c>
      <c r="AH742" s="456">
        <f>((_xll.xSPRDOPT($L742,$J742,$I742,$M742,$O742,$N742,$P742,$Q742-$C$3,$R742,5)*$H742)/100)</f>
        <v>5016.3136561104393</v>
      </c>
      <c r="AI742" s="456">
        <f>(((_xll.xSPRDOPT($L742,$J742,$I742,$M742,$O742,$N742,$P742,$Q742-$C$3,$R742,4)*$H742)/10000)/100)-AB742</f>
        <v>3.3644966949413657E-2</v>
      </c>
      <c r="AJ742" s="456"/>
      <c r="CC742" s="141">
        <f t="shared" si="911"/>
        <v>36951</v>
      </c>
      <c r="CD742" s="234">
        <f>_xll.xSPRDOPT((VLOOKUP(G740,NGPrices,2,FALSE)+HLOOKUP(D740,Prices,VLOOKUP(G740,move_down,2,FALSE),FALSE)),VLOOKUP(G740,NGPrices,2,FALSE),I740,VLOOKUP(G740,NGPREVPRICES,4,FALSE),HLOOKUP(D740,PREVVOLS,VLOOKUP(G740,MOVE_DOWN2,2,FALSE),FALSE),VLOOKUP(G740,NGPREVPRICES,3,FALSE),HLOOKUP(D740,Correllate,VLOOKUP(G740,CorMove,2,FALSE),FALSE),Q740-$CD$3,R740,$CD$5)*H740-CJ742</f>
        <v>0</v>
      </c>
      <c r="CE742" s="234">
        <f>_xll.xSPRDOPT((VLOOKUP(G740,NGPREVPRICES,2,FALSE)+HLOOKUP(D740,PREVCURVES,VLOOKUP(G740,MOVE_DOWN2,2,FALSE),FALSE)),VLOOKUP(G740,NGPREVPRICES,2,FALSE),CK742,VLOOKUP(G740,NGPrices,4,FALSE),HLOOKUP(D740,PREVVOLS,VLOOKUP(G740,MOVE_DOWN2,2,FALSE),FALSE),VLOOKUP(G740,NGPREVPRICES,3,FALSE),HLOOKUP(D740,Correllate,VLOOKUP(G740,CorMove,2,FALSE),FALSE),Q740-$CD$3,R740,$CJ$5)*H740-CJ742</f>
        <v>0</v>
      </c>
      <c r="CF742" s="10">
        <f t="shared" si="912"/>
        <v>5.0466429478365171</v>
      </c>
      <c r="CG742" s="234">
        <f>_xll.xSPRDOPT((VLOOKUP(G740,NGPREVPRICES,2,FALSE)+HLOOKUP(D740,PREVCURVES,VLOOKUP(G740,MOVE_DOWN2,2,FALSE),FALSE)),VLOOKUP(G740,NGPREVPRICES,2,FALSE),CK742,VLOOKUP(G740,NGPREVPRICES,4,FALSE),HLOOKUP(D740,VOLS,VLOOKUP(G740,move_down,2,FALSE),FALSE),VLOOKUP(G740,NGPrices,3,FALSE),HLOOKUP(D740,Correllate,VLOOKUP(G740,CorMove,2,FALSE),FALSE),Q740-$CD$3,R740,$CJ$5)*H740-CJ742</f>
        <v>0</v>
      </c>
      <c r="CH742" s="234">
        <f>_xll.xSPRDOPT((VLOOKUP(G740,NGPREVPRICES,2,FALSE)+HLOOKUP(D740,PREVCURVES,VLOOKUP(G740,MOVE_DOWN2,2,FALSE),FALSE)),VLOOKUP(G740,NGPREVPRICES,2,FALSE),CK742,VLOOKUP(G740,NGPREVPRICES,4,FALSE),HLOOKUP(D740,PREVVOLS,VLOOKUP(G740,MOVE_DOWN2,2,FALSE),FALSE),VLOOKUP(G740,NGPREVPRICES,3,FALSE),HLOOKUP(D740,Correllate,VLOOKUP(G740,CorMove,2,FALSE),FALSE),Q740-$C$3,R740,$CJ$5)*H740-CJ742</f>
        <v>128.58446866778831</v>
      </c>
      <c r="CI742" s="234">
        <f t="shared" si="913"/>
        <v>133.63111161562483</v>
      </c>
      <c r="CJ742" s="234">
        <f>_xll.xSPRDOPT((VLOOKUP(G740,NGPREVPRICES,2,FALSE)+HLOOKUP(D740,PREVCURVES,VLOOKUP(G740,MOVE_DOWN2,2,FALSE),FALSE)),VLOOKUP(G740,NGPREVPRICES,2,FALSE),CK742,VLOOKUP(G740,NGPREVPRICES,4,FALSE),HLOOKUP(D740,PREVVOLS,VLOOKUP(G740,MOVE_DOWN2,2,FALSE),FALSE),VLOOKUP(G740,NGPREVPRICES,3,FALSE),HLOOKUP(D740,Correllate,VLOOKUP(G740,CorMove,2,FALSE),FALSE),Q740-$CD$3,R740,$CJ$5)*H740</f>
        <v>-26314.057292236681</v>
      </c>
      <c r="CK742" s="235">
        <f t="shared" si="914"/>
        <v>0.2</v>
      </c>
      <c r="CM742" t="str">
        <f t="shared" si="915"/>
        <v>36951Curve Shift/Gamma</v>
      </c>
      <c r="CN742" t="str">
        <f t="shared" si="838"/>
        <v>36951Rho</v>
      </c>
      <c r="CO742" t="str">
        <f t="shared" si="839"/>
        <v>36951Drift</v>
      </c>
      <c r="CP742" t="str">
        <f t="shared" si="840"/>
        <v>36951Vega</v>
      </c>
      <c r="CQ742" t="str">
        <f t="shared" si="841"/>
        <v>36951Theta</v>
      </c>
    </row>
    <row r="743" spans="1:95" x14ac:dyDescent="0.25">
      <c r="A743" s="140" t="s">
        <v>284</v>
      </c>
      <c r="B743" t="s">
        <v>250</v>
      </c>
      <c r="C743" t="s">
        <v>597</v>
      </c>
      <c r="D743" s="4" t="s">
        <v>384</v>
      </c>
      <c r="E743" t="s">
        <v>20</v>
      </c>
      <c r="F743" t="s">
        <v>1</v>
      </c>
      <c r="G743" s="5">
        <v>37043</v>
      </c>
      <c r="H743" s="130">
        <v>1000000</v>
      </c>
      <c r="I743" s="235">
        <v>0.28000000000000003</v>
      </c>
      <c r="J743" s="53">
        <f t="shared" si="916"/>
        <v>3.8180000000000001</v>
      </c>
      <c r="K743" s="7">
        <f t="shared" si="917"/>
        <v>0.315</v>
      </c>
      <c r="L743" s="53">
        <f t="shared" si="918"/>
        <v>4.133</v>
      </c>
      <c r="M743" s="157">
        <f t="shared" si="919"/>
        <v>6.9141890053328006E-2</v>
      </c>
      <c r="N743" s="4">
        <f t="shared" si="920"/>
        <v>0.4</v>
      </c>
      <c r="O743" s="4">
        <f t="shared" si="921"/>
        <v>0.39200000000000002</v>
      </c>
      <c r="P743" s="9">
        <f t="shared" si="922"/>
        <v>0.99</v>
      </c>
      <c r="Q743" s="5">
        <f t="shared" si="875"/>
        <v>37041</v>
      </c>
      <c r="R743" s="4">
        <f t="shared" si="923"/>
        <v>0</v>
      </c>
      <c r="S743" s="158">
        <f>_xll.xSPRDOPT($L743,$J743,$I743,$M743,$O743,$N743,$P743,$Q743-$C$3,$R743,0)</f>
        <v>6.2453917374015899E-2</v>
      </c>
      <c r="T743" s="159">
        <f>_xll.xSPRDOPT($L743,$J743,$I743,$M743,$O743,$N743,$P743,$Q743-$C$3,$R743,1)*H743</f>
        <v>-398815.50486878172</v>
      </c>
      <c r="U743" s="160">
        <f t="shared" si="924"/>
        <v>62453.917374015902</v>
      </c>
      <c r="V743" s="159">
        <f>_xll.xSPRDOPT($L743,$J743,$I743,$M743,$O743,$N743,$P743,$Q743-$C$3,$R743,2)*H743</f>
        <v>414924.16843300808</v>
      </c>
      <c r="W743" s="159">
        <f t="shared" si="925"/>
        <v>16108.663564226357</v>
      </c>
      <c r="X743" s="51" t="str">
        <f t="shared" si="926"/>
        <v>37043IF-TETCO/M3</v>
      </c>
      <c r="Y743" s="418">
        <f t="shared" si="927"/>
        <v>100</v>
      </c>
      <c r="Z743" s="456">
        <f t="shared" si="928"/>
        <v>-0.3988155048687817</v>
      </c>
      <c r="AA743" s="456">
        <f>_xll.xSPRDOPT($L743,$J743,$I743,$M743,$O743,$N743,$P743,$Q743-$C$3,$R743,3)</f>
        <v>1.7980719928330617</v>
      </c>
      <c r="AB743" s="456">
        <f>((_xll.xSPRDOPT($L743+AB$5,$J743,$I743,$M743,$O743,$N743,$P743,$Q743-$C$3,$R743,3)*$H743)/10000)/100</f>
        <v>1.7980719928330617</v>
      </c>
      <c r="AC743" s="456">
        <f>((_xll.xSPRDOPT($L743+$AB$5,$J743,$I743,$M743,$O743,$N743,$P743,$Q743-$C$3,$R743,7)*$H743)/100)</f>
        <v>-33667.676985518679</v>
      </c>
      <c r="AD743" s="456">
        <f>(_xll.xSPRDOPT($L743+$AB$5,$J743,$I743,$M743,$O743,$N743,$P743,$Q743-$C$3,$R743,9)/365)*$H743</f>
        <v>-129.71308098661507</v>
      </c>
      <c r="AE743">
        <f t="shared" si="862"/>
        <v>0</v>
      </c>
      <c r="AF743" s="456">
        <f t="shared" si="929"/>
        <v>1937.8213972614062</v>
      </c>
      <c r="AG743" s="456">
        <f>((_xll.xSPRDOPT($L743,$J743,$I743,$M743,$O743,$N743,$P743,$Q743-$C$3,$R743,6)*$H743)/100)</f>
        <v>-3248.2167906806803</v>
      </c>
      <c r="AH743" s="456">
        <f>((_xll.xSPRDOPT($L743,$J743,$I743,$M743,$O743,$N743,$P743,$Q743-$C$3,$R743,5)*$H743)/100)</f>
        <v>5291.8757019817212</v>
      </c>
      <c r="AI743" s="456">
        <f>(((_xll.xSPRDOPT($L743,$J743,$I743,$M743,$O743,$N743,$P743,$Q743-$C$3,$R743,4)*$H743)/10000)/100)-AB743</f>
        <v>3.2677899504378827E-2</v>
      </c>
      <c r="AJ743" s="456"/>
      <c r="CC743" s="141">
        <f t="shared" si="911"/>
        <v>36982</v>
      </c>
      <c r="CD743" s="234">
        <f>_xll.xSPRDOPT((VLOOKUP(G741,NGPrices,2,FALSE)+HLOOKUP(D741,Prices,VLOOKUP(G741,move_down,2,FALSE),FALSE)),VLOOKUP(G741,NGPrices,2,FALSE),I741,VLOOKUP(G741,NGPREVPRICES,4,FALSE),HLOOKUP(D741,PREVVOLS,VLOOKUP(G741,MOVE_DOWN2,2,FALSE),FALSE),VLOOKUP(G741,NGPREVPRICES,3,FALSE),HLOOKUP(D741,Correllate,VLOOKUP(G741,CorMove,2,FALSE),FALSE),Q741-$CD$3,R741,$CD$5)*H741-CJ743</f>
        <v>0</v>
      </c>
      <c r="CE743" s="234">
        <f>_xll.xSPRDOPT((VLOOKUP(G741,NGPREVPRICES,2,FALSE)+HLOOKUP(D741,PREVCURVES,VLOOKUP(G741,MOVE_DOWN2,2,FALSE),FALSE)),VLOOKUP(G741,NGPREVPRICES,2,FALSE),CK743,VLOOKUP(G741,NGPrices,4,FALSE),HLOOKUP(D741,PREVVOLS,VLOOKUP(G741,MOVE_DOWN2,2,FALSE),FALSE),VLOOKUP(G741,NGPREVPRICES,3,FALSE),HLOOKUP(D741,Correllate,VLOOKUP(G741,CorMove,2,FALSE),FALSE),Q741-$CD$3,R741,$CJ$5)*H741-CJ743</f>
        <v>0</v>
      </c>
      <c r="CF743" s="10">
        <f t="shared" si="912"/>
        <v>-8.0254483065000386</v>
      </c>
      <c r="CG743" s="234">
        <f>_xll.xSPRDOPT((VLOOKUP(G741,NGPREVPRICES,2,FALSE)+HLOOKUP(D741,PREVCURVES,VLOOKUP(G741,MOVE_DOWN2,2,FALSE),FALSE)),VLOOKUP(G741,NGPREVPRICES,2,FALSE),CK743,VLOOKUP(G741,NGPREVPRICES,4,FALSE),HLOOKUP(D741,VOLS,VLOOKUP(G741,move_down,2,FALSE),FALSE),VLOOKUP(G741,NGPrices,3,FALSE),HLOOKUP(D741,Correllate,VLOOKUP(G741,CorMove,2,FALSE),FALSE),Q741-$CD$3,R741,$CJ$5)*H741-CJ743</f>
        <v>0</v>
      </c>
      <c r="CH743" s="234">
        <f>_xll.xSPRDOPT((VLOOKUP(G741,NGPREVPRICES,2,FALSE)+HLOOKUP(D741,PREVCURVES,VLOOKUP(G741,MOVE_DOWN2,2,FALSE),FALSE)),VLOOKUP(G741,NGPREVPRICES,2,FALSE),CK743,VLOOKUP(G741,NGPREVPRICES,4,FALSE),HLOOKUP(D741,PREVVOLS,VLOOKUP(G741,MOVE_DOWN2,2,FALSE),FALSE),VLOOKUP(G741,NGPREVPRICES,3,FALSE),HLOOKUP(D741,Correllate,VLOOKUP(G741,CorMove,2,FALSE),FALSE),Q741-$C$3,R741,$CJ$5)*H741-CJ743</f>
        <v>-161.49594345149671</v>
      </c>
      <c r="CI743" s="234">
        <f t="shared" si="913"/>
        <v>-169.52139175799675</v>
      </c>
      <c r="CJ743" s="234">
        <f>_xll.xSPRDOPT((VLOOKUP(G741,NGPREVPRICES,2,FALSE)+HLOOKUP(D741,PREVCURVES,VLOOKUP(G741,MOVE_DOWN2,2,FALSE),FALSE)),VLOOKUP(G741,NGPREVPRICES,2,FALSE),CK743,VLOOKUP(G741,NGPREVPRICES,4,FALSE),HLOOKUP(D741,PREVVOLS,VLOOKUP(G741,MOVE_DOWN2,2,FALSE),FALSE),VLOOKUP(G741,NGPREVPRICES,3,FALSE),HLOOKUP(D741,Correllate,VLOOKUP(G741,CorMove,2,FALSE),FALSE),Q741-$CD$3,R741,$CJ$5)*H741</f>
        <v>41506.052834076712</v>
      </c>
      <c r="CK743" s="235">
        <f t="shared" si="914"/>
        <v>0.28000000000000003</v>
      </c>
      <c r="CM743" t="str">
        <f t="shared" si="915"/>
        <v>36982Curve Shift/Gamma</v>
      </c>
      <c r="CN743" t="str">
        <f t="shared" si="838"/>
        <v>36982Rho</v>
      </c>
      <c r="CO743" t="str">
        <f t="shared" si="839"/>
        <v>36982Drift</v>
      </c>
      <c r="CP743" t="str">
        <f t="shared" si="840"/>
        <v>36982Vega</v>
      </c>
      <c r="CQ743" t="str">
        <f t="shared" si="841"/>
        <v>36982Theta</v>
      </c>
    </row>
    <row r="744" spans="1:95" x14ac:dyDescent="0.25">
      <c r="A744" s="140" t="s">
        <v>284</v>
      </c>
      <c r="B744" t="s">
        <v>250</v>
      </c>
      <c r="C744" t="s">
        <v>597</v>
      </c>
      <c r="D744" s="4" t="s">
        <v>384</v>
      </c>
      <c r="E744" t="s">
        <v>20</v>
      </c>
      <c r="F744" t="s">
        <v>1</v>
      </c>
      <c r="G744" s="5">
        <v>37073</v>
      </c>
      <c r="H744" s="130">
        <v>1000000</v>
      </c>
      <c r="I744" s="235">
        <v>0.28000000000000003</v>
      </c>
      <c r="J744" s="53">
        <f t="shared" si="916"/>
        <v>3.8029999999999999</v>
      </c>
      <c r="K744" s="7">
        <f t="shared" si="917"/>
        <v>0.32750000000000001</v>
      </c>
      <c r="L744" s="53">
        <f t="shared" si="918"/>
        <v>4.1304999999999996</v>
      </c>
      <c r="M744" s="157">
        <f t="shared" si="919"/>
        <v>6.9181571268567998E-2</v>
      </c>
      <c r="N744" s="4">
        <f t="shared" si="920"/>
        <v>0.4</v>
      </c>
      <c r="O744" s="4">
        <f t="shared" si="921"/>
        <v>0.39200000000000002</v>
      </c>
      <c r="P744" s="9">
        <f t="shared" si="922"/>
        <v>0.99</v>
      </c>
      <c r="Q744" s="5">
        <f t="shared" si="875"/>
        <v>37070</v>
      </c>
      <c r="R744" s="4">
        <f t="shared" si="923"/>
        <v>0</v>
      </c>
      <c r="S744" s="158">
        <f>_xll.xSPRDOPT($L744,$J744,$I744,$M744,$O744,$N744,$P744,$Q744-$C$3,$R744,0)</f>
        <v>6.0986215705019942E-2</v>
      </c>
      <c r="T744" s="159">
        <f>_xll.xSPRDOPT($L744,$J744,$I744,$M744,$O744,$N744,$P744,$Q744-$C$3,$R744,1)*H744</f>
        <v>-377689.42393595004</v>
      </c>
      <c r="U744" s="160">
        <f t="shared" si="924"/>
        <v>60986.215705019938</v>
      </c>
      <c r="V744" s="159">
        <f>_xll.xSPRDOPT($L744,$J744,$I744,$M744,$O744,$N744,$P744,$Q744-$C$3,$R744,2)*H744</f>
        <v>394325.80470136815</v>
      </c>
      <c r="W744" s="159">
        <f t="shared" si="925"/>
        <v>16636.380765418115</v>
      </c>
      <c r="X744" s="51" t="str">
        <f t="shared" si="926"/>
        <v>37073IF-TETCO/M3</v>
      </c>
      <c r="Y744" s="418">
        <f t="shared" si="927"/>
        <v>100</v>
      </c>
      <c r="Z744" s="456">
        <f t="shared" si="928"/>
        <v>-0.37768942393595001</v>
      </c>
      <c r="AA744" s="456">
        <f>_xll.xSPRDOPT($L744,$J744,$I744,$M744,$O744,$N744,$P744,$Q744-$C$3,$R744,3)</f>
        <v>1.6791315962807616</v>
      </c>
      <c r="AB744" s="456">
        <f>((_xll.xSPRDOPT($L744+AB$5,$J744,$I744,$M744,$O744,$N744,$P744,$Q744-$C$3,$R744,3)*$H744)/10000)/100</f>
        <v>1.6791315962807616</v>
      </c>
      <c r="AC744" s="456">
        <f>((_xll.xSPRDOPT($L744+$AB$5,$J744,$I744,$M744,$O744,$N744,$P744,$Q744-$C$3,$R744,7)*$H744)/100)</f>
        <v>-34708.21831209377</v>
      </c>
      <c r="AD744" s="456">
        <f>(_xll.xSPRDOPT($L744+$AB$5,$J744,$I744,$M744,$O744,$N744,$P744,$Q744-$C$3,$R744,9)/365)*$H744</f>
        <v>-121.04357404280663</v>
      </c>
      <c r="AE744">
        <f t="shared" si="862"/>
        <v>0</v>
      </c>
      <c r="AF744" s="456">
        <f t="shared" si="929"/>
        <v>2007.5573304362078</v>
      </c>
      <c r="AG744" s="456">
        <f>((_xll.xSPRDOPT($L744,$J744,$I744,$M744,$O744,$N744,$P744,$Q744-$C$3,$R744,6)*$H744)/100)</f>
        <v>-3386.1162523469429</v>
      </c>
      <c r="AH744" s="456">
        <f>((_xll.xSPRDOPT($L744,$J744,$I744,$M744,$O744,$N744,$P744,$Q744-$C$3,$R744,5)*$H744)/100)</f>
        <v>5503.7485538603578</v>
      </c>
      <c r="AI744" s="456">
        <f>(((_xll.xSPRDOPT($L744,$J744,$I744,$M744,$O744,$N744,$P744,$Q744-$C$3,$R744,4)*$H744)/10000)/100)-AB744</f>
        <v>4.0270626636799811E-2</v>
      </c>
      <c r="AJ744" s="456"/>
      <c r="CC744" s="141">
        <f t="shared" si="911"/>
        <v>37012</v>
      </c>
      <c r="CD744" s="234">
        <f>_xll.xSPRDOPT((VLOOKUP(G742,NGPrices,2,FALSE)+HLOOKUP(D742,Prices,VLOOKUP(G742,move_down,2,FALSE),FALSE)),VLOOKUP(G742,NGPrices,2,FALSE),I742,VLOOKUP(G742,NGPREVPRICES,4,FALSE),HLOOKUP(D742,PREVVOLS,VLOOKUP(G742,MOVE_DOWN2,2,FALSE),FALSE),VLOOKUP(G742,NGPREVPRICES,3,FALSE),HLOOKUP(D742,Correllate,VLOOKUP(G742,CorMove,2,FALSE),FALSE),Q742-$CD$3,R742,$CD$5)*H742-CJ744</f>
        <v>0</v>
      </c>
      <c r="CE744" s="234">
        <f>_xll.xSPRDOPT((VLOOKUP(G742,NGPREVPRICES,2,FALSE)+HLOOKUP(D742,PREVCURVES,VLOOKUP(G742,MOVE_DOWN2,2,FALSE),FALSE)),VLOOKUP(G742,NGPREVPRICES,2,FALSE),CK744,VLOOKUP(G742,NGPrices,4,FALSE),HLOOKUP(D742,PREVVOLS,VLOOKUP(G742,MOVE_DOWN2,2,FALSE),FALSE),VLOOKUP(G742,NGPREVPRICES,3,FALSE),HLOOKUP(D742,Correllate,VLOOKUP(G742,CorMove,2,FALSE),FALSE),Q742-$CD$3,R742,$CJ$5)*H742-CJ744</f>
        <v>0</v>
      </c>
      <c r="CF744" s="10">
        <f t="shared" si="912"/>
        <v>-11.55896321462933</v>
      </c>
      <c r="CG744" s="234">
        <f>_xll.xSPRDOPT((VLOOKUP(G742,NGPREVPRICES,2,FALSE)+HLOOKUP(D742,PREVCURVES,VLOOKUP(G742,MOVE_DOWN2,2,FALSE),FALSE)),VLOOKUP(G742,NGPREVPRICES,2,FALSE),CK744,VLOOKUP(G742,NGPREVPRICES,4,FALSE),HLOOKUP(D742,VOLS,VLOOKUP(G742,move_down,2,FALSE),FALSE),VLOOKUP(G742,NGPrices,3,FALSE),HLOOKUP(D742,Correllate,VLOOKUP(G742,CorMove,2,FALSE),FALSE),Q742-$CD$3,R742,$CJ$5)*H742-CJ744</f>
        <v>0</v>
      </c>
      <c r="CH744" s="234">
        <f>_xll.xSPRDOPT((VLOOKUP(G742,NGPREVPRICES,2,FALSE)+HLOOKUP(D742,PREVCURVES,VLOOKUP(G742,MOVE_DOWN2,2,FALSE),FALSE)),VLOOKUP(G742,NGPREVPRICES,2,FALSE),CK744,VLOOKUP(G742,NGPREVPRICES,4,FALSE),HLOOKUP(D742,PREVVOLS,VLOOKUP(G742,MOVE_DOWN2,2,FALSE),FALSE),VLOOKUP(G742,NGPREVPRICES,3,FALSE),HLOOKUP(D742,Correllate,VLOOKUP(G742,CorMove,2,FALSE),FALSE),Q742-$C$3,R742,$CJ$5)*H742-CJ744</f>
        <v>-142.599398150036</v>
      </c>
      <c r="CI744" s="234">
        <f t="shared" si="913"/>
        <v>-154.15836136466532</v>
      </c>
      <c r="CJ744" s="234">
        <f>_xll.xSPRDOPT((VLOOKUP(G742,NGPREVPRICES,2,FALSE)+HLOOKUP(D742,PREVCURVES,VLOOKUP(G742,MOVE_DOWN2,2,FALSE),FALSE)),VLOOKUP(G742,NGPREVPRICES,2,FALSE),CK744,VLOOKUP(G742,NGPREVPRICES,4,FALSE),HLOOKUP(D742,PREVVOLS,VLOOKUP(G742,MOVE_DOWN2,2,FALSE),FALSE),VLOOKUP(G742,NGPREVPRICES,3,FALSE),HLOOKUP(D742,Correllate,VLOOKUP(G742,CorMove,2,FALSE),FALSE),Q742-$CD$3,R742,$CJ$5)*H742</f>
        <v>59419.355948889199</v>
      </c>
      <c r="CK744" s="235">
        <f t="shared" si="914"/>
        <v>0.28000000000000003</v>
      </c>
      <c r="CM744" t="str">
        <f t="shared" si="915"/>
        <v>37012Curve Shift/Gamma</v>
      </c>
      <c r="CN744" t="str">
        <f t="shared" si="838"/>
        <v>37012Rho</v>
      </c>
      <c r="CO744" t="str">
        <f t="shared" si="839"/>
        <v>37012Drift</v>
      </c>
      <c r="CP744" t="str">
        <f t="shared" si="840"/>
        <v>37012Vega</v>
      </c>
      <c r="CQ744" t="str">
        <f t="shared" si="841"/>
        <v>37012Theta</v>
      </c>
    </row>
    <row r="745" spans="1:95" x14ac:dyDescent="0.25">
      <c r="A745" s="140" t="s">
        <v>284</v>
      </c>
      <c r="B745" t="s">
        <v>250</v>
      </c>
      <c r="C745" t="s">
        <v>597</v>
      </c>
      <c r="D745" s="4" t="s">
        <v>384</v>
      </c>
      <c r="E745" t="s">
        <v>20</v>
      </c>
      <c r="F745" t="s">
        <v>1</v>
      </c>
      <c r="G745" s="5">
        <v>37104</v>
      </c>
      <c r="H745" s="130">
        <v>1000000</v>
      </c>
      <c r="I745" s="235">
        <v>0.28000000000000003</v>
      </c>
      <c r="J745" s="53">
        <f t="shared" si="916"/>
        <v>3.8079999999999998</v>
      </c>
      <c r="K745" s="7">
        <f t="shared" si="917"/>
        <v>0.32750000000000001</v>
      </c>
      <c r="L745" s="53">
        <f t="shared" si="918"/>
        <v>4.1354999999999995</v>
      </c>
      <c r="M745" s="157">
        <f t="shared" si="919"/>
        <v>6.9223060737754999E-2</v>
      </c>
      <c r="N745" s="4">
        <f t="shared" si="920"/>
        <v>0.4</v>
      </c>
      <c r="O745" s="4">
        <f t="shared" si="921"/>
        <v>0.39200000000000002</v>
      </c>
      <c r="P745" s="9">
        <f t="shared" si="922"/>
        <v>0.99</v>
      </c>
      <c r="Q745" s="5">
        <f t="shared" si="875"/>
        <v>37102</v>
      </c>
      <c r="R745" s="4">
        <f t="shared" si="923"/>
        <v>0</v>
      </c>
      <c r="S745" s="158">
        <f>_xll.xSPRDOPT($L745,$J745,$I745,$M745,$O745,$N745,$P745,$Q745-$C$3,$R745,0)</f>
        <v>6.4819272697030361E-2</v>
      </c>
      <c r="T745" s="159">
        <f>_xll.xSPRDOPT($L745,$J745,$I745,$M745,$O745,$N745,$P745,$Q745-$C$3,$R745,1)*H745</f>
        <v>-378760.77526752063</v>
      </c>
      <c r="U745" s="160">
        <f t="shared" si="924"/>
        <v>64819.272697030363</v>
      </c>
      <c r="V745" s="159">
        <f>_xll.xSPRDOPT($L745,$J745,$I745,$M745,$O745,$N745,$P745,$Q745-$C$3,$R745,2)*H745</f>
        <v>396195.61973987927</v>
      </c>
      <c r="W745" s="159">
        <f t="shared" si="925"/>
        <v>17434.844472358644</v>
      </c>
      <c r="X745" s="51" t="str">
        <f t="shared" si="926"/>
        <v>37104IF-TETCO/M3</v>
      </c>
      <c r="Y745" s="418">
        <f t="shared" si="927"/>
        <v>100</v>
      </c>
      <c r="Z745" s="456">
        <f t="shared" si="928"/>
        <v>-0.37876077526752061</v>
      </c>
      <c r="AA745" s="456">
        <f>_xll.xSPRDOPT($L745,$J745,$I745,$M745,$O745,$N745,$P745,$Q745-$C$3,$R745,3)</f>
        <v>1.5888560947760695</v>
      </c>
      <c r="AB745" s="456">
        <f>((_xll.xSPRDOPT($L745+AB$5,$J745,$I745,$M745,$O745,$N745,$P745,$Q745-$C$3,$R745,3)*$H745)/10000)/100</f>
        <v>1.5888560947760695</v>
      </c>
      <c r="AC745" s="456">
        <f>((_xll.xSPRDOPT($L745+$AB$5,$J745,$I745,$M745,$O745,$N745,$P745,$Q745-$C$3,$R745,7)*$H745)/100)</f>
        <v>-36407.938290058664</v>
      </c>
      <c r="AD745" s="456">
        <f>(_xll.xSPRDOPT($L745+$AB$5,$J745,$I745,$M745,$O745,$N745,$P745,$Q745-$C$3,$R745,9)/365)*$H745</f>
        <v>-113.66221979798642</v>
      </c>
      <c r="AE745">
        <f t="shared" si="862"/>
        <v>0</v>
      </c>
      <c r="AF745" s="456">
        <f t="shared" si="929"/>
        <v>2108.3076194087917</v>
      </c>
      <c r="AG745" s="456">
        <f>((_xll.xSPRDOPT($L745,$J745,$I745,$M745,$O745,$N745,$P745,$Q745-$C$3,$R745,6)*$H745)/100)</f>
        <v>-3525.017132018419</v>
      </c>
      <c r="AH745" s="456">
        <f>((_xll.xSPRDOPT($L745,$J745,$I745,$M745,$O745,$N745,$P745,$Q745-$C$3,$R745,5)*$H745)/100)</f>
        <v>5748.290562680827</v>
      </c>
      <c r="AI745" s="456">
        <f>(((_xll.xSPRDOPT($L745,$J745,$I745,$M745,$O745,$N745,$P745,$Q745-$C$3,$R745,4)*$H745)/10000)/100)-AB745</f>
        <v>3.8690561102149301E-2</v>
      </c>
      <c r="AJ745" s="456"/>
      <c r="CC745" s="141">
        <f t="shared" si="911"/>
        <v>37043</v>
      </c>
      <c r="CD745" s="234">
        <f>_xll.xSPRDOPT((VLOOKUP(G743,NGPrices,2,FALSE)+HLOOKUP(D743,Prices,VLOOKUP(G743,move_down,2,FALSE),FALSE)),VLOOKUP(G743,NGPrices,2,FALSE),I743,VLOOKUP(G743,NGPREVPRICES,4,FALSE),HLOOKUP(D743,PREVVOLS,VLOOKUP(G743,MOVE_DOWN2,2,FALSE),FALSE),VLOOKUP(G743,NGPREVPRICES,3,FALSE),HLOOKUP(D743,Correllate,VLOOKUP(G743,CorMove,2,FALSE),FALSE),Q743-$CD$3,R743,$CD$5)*H743-CJ745</f>
        <v>0</v>
      </c>
      <c r="CE745" s="234">
        <f>_xll.xSPRDOPT((VLOOKUP(G743,NGPREVPRICES,2,FALSE)+HLOOKUP(D743,PREVCURVES,VLOOKUP(G743,MOVE_DOWN2,2,FALSE),FALSE)),VLOOKUP(G743,NGPREVPRICES,2,FALSE),CK745,VLOOKUP(G743,NGPrices,4,FALSE),HLOOKUP(D743,PREVVOLS,VLOOKUP(G743,MOVE_DOWN2,2,FALSE),FALSE),VLOOKUP(G743,NGPREVPRICES,3,FALSE),HLOOKUP(D743,Correllate,VLOOKUP(G743,CorMove,2,FALSE),FALSE),Q743-$CD$3,R743,$CJ$5)*H743-CJ745</f>
        <v>0</v>
      </c>
      <c r="CF745" s="10">
        <f t="shared" si="912"/>
        <v>-12.251046201796271</v>
      </c>
      <c r="CG745" s="234">
        <f>_xll.xSPRDOPT((VLOOKUP(G743,NGPREVPRICES,2,FALSE)+HLOOKUP(D743,PREVCURVES,VLOOKUP(G743,MOVE_DOWN2,2,FALSE),FALSE)),VLOOKUP(G743,NGPREVPRICES,2,FALSE),CK745,VLOOKUP(G743,NGPREVPRICES,4,FALSE),HLOOKUP(D743,VOLS,VLOOKUP(G743,move_down,2,FALSE),FALSE),VLOOKUP(G743,NGPrices,3,FALSE),HLOOKUP(D743,Correllate,VLOOKUP(G743,CorMove,2,FALSE),FALSE),Q743-$CD$3,R743,$CJ$5)*H743-CJ745</f>
        <v>0</v>
      </c>
      <c r="CH745" s="234">
        <f>_xll.xSPRDOPT((VLOOKUP(G743,NGPREVPRICES,2,FALSE)+HLOOKUP(D743,PREVCURVES,VLOOKUP(G743,MOVE_DOWN2,2,FALSE),FALSE)),VLOOKUP(G743,NGPREVPRICES,2,FALSE),CK745,VLOOKUP(G743,NGPREVPRICES,4,FALSE),HLOOKUP(D743,PREVVOLS,VLOOKUP(G743,MOVE_DOWN2,2,FALSE),FALSE),VLOOKUP(G743,NGPREVPRICES,3,FALSE),HLOOKUP(D743,Correllate,VLOOKUP(G743,CorMove,2,FALSE),FALSE),Q743-$C$3,R743,$CJ$5)*H743-CJ745</f>
        <v>-129.47685101577372</v>
      </c>
      <c r="CI745" s="234">
        <f t="shared" si="913"/>
        <v>-141.72789721756999</v>
      </c>
      <c r="CJ745" s="234">
        <f>_xll.xSPRDOPT((VLOOKUP(G743,NGPREVPRICES,2,FALSE)+HLOOKUP(D743,PREVCURVES,VLOOKUP(G743,MOVE_DOWN2,2,FALSE),FALSE)),VLOOKUP(G743,NGPREVPRICES,2,FALSE),CK745,VLOOKUP(G743,NGPREVPRICES,4,FALSE),HLOOKUP(D743,PREVVOLS,VLOOKUP(G743,MOVE_DOWN2,2,FALSE),FALSE),VLOOKUP(G743,NGPREVPRICES,3,FALSE),HLOOKUP(D743,Correllate,VLOOKUP(G743,CorMove,2,FALSE),FALSE),Q743-$CD$3,R743,$CJ$5)*H743</f>
        <v>62583.394225031676</v>
      </c>
      <c r="CK745" s="235">
        <f t="shared" si="914"/>
        <v>0.28000000000000003</v>
      </c>
      <c r="CM745" t="str">
        <f t="shared" si="915"/>
        <v>37043Curve Shift/Gamma</v>
      </c>
      <c r="CN745" t="str">
        <f t="shared" si="838"/>
        <v>37043Rho</v>
      </c>
      <c r="CO745" t="str">
        <f t="shared" si="839"/>
        <v>37043Drift</v>
      </c>
      <c r="CP745" t="str">
        <f t="shared" si="840"/>
        <v>37043Vega</v>
      </c>
      <c r="CQ745" t="str">
        <f t="shared" si="841"/>
        <v>37043Theta</v>
      </c>
    </row>
    <row r="746" spans="1:95" x14ac:dyDescent="0.25">
      <c r="A746" s="140" t="s">
        <v>284</v>
      </c>
      <c r="B746" t="s">
        <v>250</v>
      </c>
      <c r="C746" t="s">
        <v>597</v>
      </c>
      <c r="D746" s="4" t="s">
        <v>384</v>
      </c>
      <c r="E746" t="s">
        <v>20</v>
      </c>
      <c r="F746" t="s">
        <v>1</v>
      </c>
      <c r="G746" s="5">
        <v>37135</v>
      </c>
      <c r="H746" s="130">
        <v>1000000</v>
      </c>
      <c r="I746" s="235">
        <v>0.28000000000000003</v>
      </c>
      <c r="J746" s="53">
        <f t="shared" si="916"/>
        <v>3.7879999999999998</v>
      </c>
      <c r="K746" s="7">
        <f t="shared" si="917"/>
        <v>0.3175</v>
      </c>
      <c r="L746" s="53">
        <f t="shared" si="918"/>
        <v>4.1055000000000001</v>
      </c>
      <c r="M746" s="157">
        <f t="shared" si="919"/>
        <v>6.9264550207512002E-2</v>
      </c>
      <c r="N746" s="4">
        <f t="shared" si="920"/>
        <v>0.4</v>
      </c>
      <c r="O746" s="4">
        <f t="shared" si="921"/>
        <v>0.39200000000000002</v>
      </c>
      <c r="P746" s="9">
        <f t="shared" si="922"/>
        <v>0.99</v>
      </c>
      <c r="Q746" s="5">
        <f t="shared" si="875"/>
        <v>37133</v>
      </c>
      <c r="R746" s="4">
        <f t="shared" si="923"/>
        <v>0</v>
      </c>
      <c r="S746" s="158">
        <f>_xll.xSPRDOPT($L746,$J746,$I746,$M746,$O746,$N746,$P746,$Q746-$C$3,$R746,0)</f>
        <v>7.1738181308063864E-2</v>
      </c>
      <c r="T746" s="159">
        <f>_xll.xSPRDOPT($L746,$J746,$I746,$M746,$O746,$N746,$P746,$Q746-$C$3,$R746,1)*H746</f>
        <v>-394134.23486412549</v>
      </c>
      <c r="U746" s="160">
        <f t="shared" si="924"/>
        <v>71738.181308063868</v>
      </c>
      <c r="V746" s="159">
        <f>_xll.xSPRDOPT($L746,$J746,$I746,$M746,$O746,$N746,$P746,$Q746-$C$3,$R746,2)*H746</f>
        <v>412427.22255743522</v>
      </c>
      <c r="W746" s="159">
        <f t="shared" si="925"/>
        <v>18292.987693309726</v>
      </c>
      <c r="X746" s="51" t="str">
        <f t="shared" si="926"/>
        <v>37135IF-TETCO/M3</v>
      </c>
      <c r="Y746" s="418">
        <f t="shared" si="927"/>
        <v>100</v>
      </c>
      <c r="Z746" s="456">
        <f t="shared" si="928"/>
        <v>-0.39413423486412552</v>
      </c>
      <c r="AA746" s="456">
        <f>_xll.xSPRDOPT($L746,$J746,$I746,$M746,$O746,$N746,$P746,$Q746-$C$3,$R746,3)</f>
        <v>1.5381006121474197</v>
      </c>
      <c r="AB746" s="456">
        <f>((_xll.xSPRDOPT($L746+AB$5,$J746,$I746,$M746,$O746,$N746,$P746,$Q746-$C$3,$R746,3)*$H746)/10000)/100</f>
        <v>1.5381006121474199</v>
      </c>
      <c r="AC746" s="456">
        <f>((_xll.xSPRDOPT($L746+$AB$5,$J746,$I746,$M746,$O746,$N746,$P746,$Q746-$C$3,$R746,7)*$H746)/100)</f>
        <v>-37954.247531856505</v>
      </c>
      <c r="AD746" s="456">
        <f>(_xll.xSPRDOPT($L746+$AB$5,$J746,$I746,$M746,$O746,$N746,$P746,$Q746-$C$3,$R746,9)/365)*$H746</f>
        <v>-106.75508818809368</v>
      </c>
      <c r="AE746">
        <f t="shared" si="862"/>
        <v>0</v>
      </c>
      <c r="AF746" s="456">
        <f t="shared" si="929"/>
        <v>2201.2364620060034</v>
      </c>
      <c r="AG746" s="456">
        <f>((_xll.xSPRDOPT($L746,$J746,$I746,$M746,$O746,$N746,$P746,$Q746-$C$3,$R746,6)*$H746)/100)</f>
        <v>-3659.3952377393016</v>
      </c>
      <c r="AH746" s="456">
        <f>((_xll.xSPRDOPT($L746,$J746,$I746,$M746,$O746,$N746,$P746,$Q746-$C$3,$R746,5)*$H746)/100)</f>
        <v>5980.2364283115357</v>
      </c>
      <c r="AI746" s="456">
        <f>(((_xll.xSPRDOPT($L746,$J746,$I746,$M746,$O746,$N746,$P746,$Q746-$C$3,$R746,4)*$H746)/10000)/100)-AB746</f>
        <v>3.1570827531754331E-2</v>
      </c>
      <c r="AJ746" s="456"/>
      <c r="CC746" s="141">
        <f t="shared" si="911"/>
        <v>37073</v>
      </c>
      <c r="CD746" s="234">
        <f>_xll.xSPRDOPT((VLOOKUP(G744,NGPrices,2,FALSE)+HLOOKUP(D744,Prices,VLOOKUP(G744,move_down,2,FALSE),FALSE)),VLOOKUP(G744,NGPrices,2,FALSE),I744,VLOOKUP(G744,NGPREVPRICES,4,FALSE),HLOOKUP(D744,PREVVOLS,VLOOKUP(G744,MOVE_DOWN2,2,FALSE),FALSE),VLOOKUP(G744,NGPREVPRICES,3,FALSE),HLOOKUP(D744,Correllate,VLOOKUP(G744,CorMove,2,FALSE),FALSE),Q744-$CD$3,R744,$CD$5)*H744-CJ746</f>
        <v>0</v>
      </c>
      <c r="CE746" s="234">
        <f>_xll.xSPRDOPT((VLOOKUP(G744,NGPREVPRICES,2,FALSE)+HLOOKUP(D744,PREVCURVES,VLOOKUP(G744,MOVE_DOWN2,2,FALSE),FALSE)),VLOOKUP(G744,NGPREVPRICES,2,FALSE),CK746,VLOOKUP(G744,NGPrices,4,FALSE),HLOOKUP(D744,PREVVOLS,VLOOKUP(G744,MOVE_DOWN2,2,FALSE),FALSE),VLOOKUP(G744,NGPREVPRICES,3,FALSE),HLOOKUP(D744,Correllate,VLOOKUP(G744,CorMove,2,FALSE),FALSE),Q744-$CD$3,R744,$CJ$5)*H744-CJ746</f>
        <v>0</v>
      </c>
      <c r="CF746" s="10">
        <f t="shared" si="912"/>
        <v>-12.03438571440347</v>
      </c>
      <c r="CG746" s="234">
        <f>_xll.xSPRDOPT((VLOOKUP(G744,NGPREVPRICES,2,FALSE)+HLOOKUP(D744,PREVCURVES,VLOOKUP(G744,MOVE_DOWN2,2,FALSE),FALSE)),VLOOKUP(G744,NGPREVPRICES,2,FALSE),CK746,VLOOKUP(G744,NGPREVPRICES,4,FALSE),HLOOKUP(D744,VOLS,VLOOKUP(G744,move_down,2,FALSE),FALSE),VLOOKUP(G744,NGPrices,3,FALSE),HLOOKUP(D744,Correllate,VLOOKUP(G744,CorMove,2,FALSE),FALSE),Q744-$CD$3,R744,$CJ$5)*H744-CJ746</f>
        <v>0</v>
      </c>
      <c r="CH746" s="234">
        <f>_xll.xSPRDOPT((VLOOKUP(G744,NGPREVPRICES,2,FALSE)+HLOOKUP(D744,PREVCURVES,VLOOKUP(G744,MOVE_DOWN2,2,FALSE),FALSE)),VLOOKUP(G744,NGPREVPRICES,2,FALSE),CK746,VLOOKUP(G744,NGPREVPRICES,4,FALSE),HLOOKUP(D744,PREVVOLS,VLOOKUP(G744,MOVE_DOWN2,2,FALSE),FALSE),VLOOKUP(G744,NGPREVPRICES,3,FALSE),HLOOKUP(D744,Correllate,VLOOKUP(G744,CorMove,2,FALSE),FALSE),Q744-$C$3,R744,$CJ$5)*H744-CJ746</f>
        <v>-120.83593815848144</v>
      </c>
      <c r="CI746" s="234">
        <f t="shared" si="913"/>
        <v>-132.87032387288491</v>
      </c>
      <c r="CJ746" s="234">
        <f>_xll.xSPRDOPT((VLOOKUP(G744,NGPREVPRICES,2,FALSE)+HLOOKUP(D744,PREVCURVES,VLOOKUP(G744,MOVE_DOWN2,2,FALSE),FALSE)),VLOOKUP(G744,NGPREVPRICES,2,FALSE),CK746,VLOOKUP(G744,NGPREVPRICES,4,FALSE),HLOOKUP(D744,PREVVOLS,VLOOKUP(G744,MOVE_DOWN2,2,FALSE),FALSE),VLOOKUP(G744,NGPREVPRICES,3,FALSE),HLOOKUP(D744,Correllate,VLOOKUP(G744,CorMove,2,FALSE),FALSE),Q744-$CD$3,R744,$CJ$5)*H744</f>
        <v>61107.05164317842</v>
      </c>
      <c r="CK746" s="235">
        <f t="shared" si="914"/>
        <v>0.28000000000000003</v>
      </c>
      <c r="CM746" t="str">
        <f t="shared" si="915"/>
        <v>37073Curve Shift/Gamma</v>
      </c>
      <c r="CN746" t="str">
        <f t="shared" si="838"/>
        <v>37073Rho</v>
      </c>
      <c r="CO746" t="str">
        <f t="shared" si="839"/>
        <v>37073Drift</v>
      </c>
      <c r="CP746" t="str">
        <f t="shared" si="840"/>
        <v>37073Vega</v>
      </c>
      <c r="CQ746" t="str">
        <f t="shared" si="841"/>
        <v>37073Theta</v>
      </c>
    </row>
    <row r="747" spans="1:95" x14ac:dyDescent="0.25">
      <c r="A747" s="140" t="s">
        <v>284</v>
      </c>
      <c r="B747" t="s">
        <v>250</v>
      </c>
      <c r="C747" t="s">
        <v>597</v>
      </c>
      <c r="D747" s="4" t="s">
        <v>384</v>
      </c>
      <c r="E747" t="s">
        <v>20</v>
      </c>
      <c r="F747" t="s">
        <v>1</v>
      </c>
      <c r="G747" s="5">
        <v>37165</v>
      </c>
      <c r="H747" s="130">
        <v>1000000</v>
      </c>
      <c r="I747" s="235">
        <v>0.28000000000000003</v>
      </c>
      <c r="J747" s="53">
        <f t="shared" si="916"/>
        <v>3.7730000000000001</v>
      </c>
      <c r="K747" s="7">
        <f t="shared" si="917"/>
        <v>0.33</v>
      </c>
      <c r="L747" s="53">
        <f t="shared" si="918"/>
        <v>4.1029999999999998</v>
      </c>
      <c r="M747" s="157">
        <f t="shared" si="919"/>
        <v>6.9300944538363995E-2</v>
      </c>
      <c r="N747" s="4">
        <f t="shared" si="920"/>
        <v>0.40250000000000002</v>
      </c>
      <c r="O747" s="4">
        <f t="shared" si="921"/>
        <v>0.39400000000000002</v>
      </c>
      <c r="P747" s="9">
        <f t="shared" si="922"/>
        <v>0.99</v>
      </c>
      <c r="Q747" s="5">
        <f t="shared" si="875"/>
        <v>37161</v>
      </c>
      <c r="R747" s="4">
        <f t="shared" si="923"/>
        <v>0</v>
      </c>
      <c r="S747" s="158">
        <f>_xll.xSPRDOPT($L747,$J747,$I747,$M747,$O747,$N747,$P747,$Q747-$C$3,$R747,0)</f>
        <v>6.9851162179168036E-2</v>
      </c>
      <c r="T747" s="159">
        <f>_xll.xSPRDOPT($L747,$J747,$I747,$M747,$O747,$N747,$P747,$Q747-$C$3,$R747,1)*H747</f>
        <v>-375295.27984959568</v>
      </c>
      <c r="U747" s="160">
        <f t="shared" si="924"/>
        <v>69851.162179168037</v>
      </c>
      <c r="V747" s="159">
        <f>_xll.xSPRDOPT($L747,$J747,$I747,$M747,$O747,$N747,$P747,$Q747-$C$3,$R747,2)*H747</f>
        <v>394087.43549021496</v>
      </c>
      <c r="W747" s="159">
        <f t="shared" si="925"/>
        <v>18792.155640619283</v>
      </c>
      <c r="X747" s="51" t="str">
        <f t="shared" si="926"/>
        <v>37165IF-TETCO/M3</v>
      </c>
      <c r="Y747" s="418">
        <f t="shared" si="927"/>
        <v>100</v>
      </c>
      <c r="Z747" s="456">
        <f t="shared" si="928"/>
        <v>-0.37529527984959571</v>
      </c>
      <c r="AA747" s="456">
        <f>_xll.xSPRDOPT($L747,$J747,$I747,$M747,$O747,$N747,$P747,$Q747-$C$3,$R747,3)</f>
        <v>1.4536494572375136</v>
      </c>
      <c r="AB747" s="456">
        <f>((_xll.xSPRDOPT($L747+AB$5,$J747,$I747,$M747,$O747,$N747,$P747,$Q747-$C$3,$R747,3)*$H747)/10000)/100</f>
        <v>1.4536494572375136</v>
      </c>
      <c r="AC747" s="456">
        <f>((_xll.xSPRDOPT($L747+$AB$5,$J747,$I747,$M747,$O747,$N747,$P747,$Q747-$C$3,$R747,7)*$H747)/100)</f>
        <v>-38986.759254952172</v>
      </c>
      <c r="AD747" s="456">
        <f>(_xll.xSPRDOPT($L747+$AB$5,$J747,$I747,$M747,$O747,$N747,$P747,$Q747-$C$3,$R747,9)/365)*$H747</f>
        <v>-101.64539432214339</v>
      </c>
      <c r="AE747">
        <f t="shared" si="862"/>
        <v>0</v>
      </c>
      <c r="AF747" s="456">
        <f t="shared" si="929"/>
        <v>2248.08202940397</v>
      </c>
      <c r="AG747" s="456">
        <f>((_xll.xSPRDOPT($L747,$J747,$I747,$M747,$O747,$N747,$P747,$Q747-$C$3,$R747,6)*$H747)/100)</f>
        <v>-3670.0157093540624</v>
      </c>
      <c r="AH747" s="456">
        <f>((_xll.xSPRDOPT($L747,$J747,$I747,$M747,$O747,$N747,$P747,$Q747-$C$3,$R747,5)*$H747)/100)</f>
        <v>6045.7724361677865</v>
      </c>
      <c r="AI747" s="456">
        <f>(((_xll.xSPRDOPT($L747,$J747,$I747,$M747,$O747,$N747,$P747,$Q747-$C$3,$R747,4)*$H747)/10000)/100)-AB747</f>
        <v>3.8438477967154716E-2</v>
      </c>
      <c r="AJ747" s="456"/>
      <c r="CC747" s="141">
        <f t="shared" si="911"/>
        <v>37104</v>
      </c>
      <c r="CD747" s="234">
        <f>_xll.xSPRDOPT((VLOOKUP(G745,NGPrices,2,FALSE)+HLOOKUP(D745,Prices,VLOOKUP(G745,move_down,2,FALSE),FALSE)),VLOOKUP(G745,NGPrices,2,FALSE),I745,VLOOKUP(G745,NGPREVPRICES,4,FALSE),HLOOKUP(D745,PREVVOLS,VLOOKUP(G745,MOVE_DOWN2,2,FALSE),FALSE),VLOOKUP(G745,NGPREVPRICES,3,FALSE),HLOOKUP(D745,Correllate,VLOOKUP(G745,CorMove,2,FALSE),FALSE),Q745-$CD$3,R745,$CD$5)*H745-CJ747</f>
        <v>0</v>
      </c>
      <c r="CE747" s="234">
        <f>_xll.xSPRDOPT((VLOOKUP(G745,NGPREVPRICES,2,FALSE)+HLOOKUP(D745,PREVCURVES,VLOOKUP(G745,MOVE_DOWN2,2,FALSE),FALSE)),VLOOKUP(G745,NGPREVPRICES,2,FALSE),CK747,VLOOKUP(G745,NGPrices,4,FALSE),HLOOKUP(D745,PREVVOLS,VLOOKUP(G745,MOVE_DOWN2,2,FALSE),FALSE),VLOOKUP(G745,NGPREVPRICES,3,FALSE),HLOOKUP(D745,Correllate,VLOOKUP(G745,CorMove,2,FALSE),FALSE),Q745-$CD$3,R745,$CJ$5)*H745-CJ747</f>
        <v>0</v>
      </c>
      <c r="CF747" s="10">
        <f t="shared" si="912"/>
        <v>-12.866740601326455</v>
      </c>
      <c r="CG747" s="234">
        <f>_xll.xSPRDOPT((VLOOKUP(G745,NGPREVPRICES,2,FALSE)+HLOOKUP(D745,PREVCURVES,VLOOKUP(G745,MOVE_DOWN2,2,FALSE),FALSE)),VLOOKUP(G745,NGPREVPRICES,2,FALSE),CK747,VLOOKUP(G745,NGPREVPRICES,4,FALSE),HLOOKUP(D745,VOLS,VLOOKUP(G745,move_down,2,FALSE),FALSE),VLOOKUP(G745,NGPrices,3,FALSE),HLOOKUP(D745,Correllate,VLOOKUP(G745,CorMove,2,FALSE),FALSE),Q745-$CD$3,R745,$CJ$5)*H745-CJ747</f>
        <v>0</v>
      </c>
      <c r="CH747" s="234">
        <f>_xll.xSPRDOPT((VLOOKUP(G745,NGPREVPRICES,2,FALSE)+HLOOKUP(D745,PREVCURVES,VLOOKUP(G745,MOVE_DOWN2,2,FALSE),FALSE)),VLOOKUP(G745,NGPREVPRICES,2,FALSE),CK747,VLOOKUP(G745,NGPREVPRICES,4,FALSE),HLOOKUP(D745,PREVVOLS,VLOOKUP(G745,MOVE_DOWN2,2,FALSE),FALSE),VLOOKUP(G745,NGPREVPRICES,3,FALSE),HLOOKUP(D745,Correllate,VLOOKUP(G745,CorMove,2,FALSE),FALSE),Q745-$C$3,R745,$CJ$5)*H745-CJ747</f>
        <v>-113.47491556739988</v>
      </c>
      <c r="CI747" s="234">
        <f t="shared" si="913"/>
        <v>-126.34165616872633</v>
      </c>
      <c r="CJ747" s="234">
        <f>_xll.xSPRDOPT((VLOOKUP(G745,NGPREVPRICES,2,FALSE)+HLOOKUP(D745,PREVCURVES,VLOOKUP(G745,MOVE_DOWN2,2,FALSE),FALSE)),VLOOKUP(G745,NGPREVPRICES,2,FALSE),CK747,VLOOKUP(G745,NGPREVPRICES,4,FALSE),HLOOKUP(D745,PREVVOLS,VLOOKUP(G745,MOVE_DOWN2,2,FALSE),FALSE),VLOOKUP(G745,NGPREVPRICES,3,FALSE),HLOOKUP(D745,Correllate,VLOOKUP(G745,CorMove,2,FALSE),FALSE),Q745-$CD$3,R745,$CJ$5)*H745</f>
        <v>64932.747612597763</v>
      </c>
      <c r="CK747" s="235">
        <f t="shared" si="914"/>
        <v>0.28000000000000003</v>
      </c>
      <c r="CM747" t="str">
        <f t="shared" si="915"/>
        <v>37104Curve Shift/Gamma</v>
      </c>
      <c r="CN747" t="str">
        <f t="shared" si="838"/>
        <v>37104Rho</v>
      </c>
      <c r="CO747" t="str">
        <f t="shared" si="839"/>
        <v>37104Drift</v>
      </c>
      <c r="CP747" t="str">
        <f t="shared" si="840"/>
        <v>37104Vega</v>
      </c>
      <c r="CQ747" t="str">
        <f t="shared" si="841"/>
        <v>37104Theta</v>
      </c>
    </row>
    <row r="748" spans="1:95" x14ac:dyDescent="0.25">
      <c r="A748" s="140" t="s">
        <v>363</v>
      </c>
      <c r="B748" t="s">
        <v>250</v>
      </c>
      <c r="C748" t="s">
        <v>598</v>
      </c>
      <c r="D748" s="4" t="s">
        <v>10</v>
      </c>
      <c r="E748" t="s">
        <v>20</v>
      </c>
      <c r="F748" t="s">
        <v>21</v>
      </c>
      <c r="G748" s="5">
        <v>36923</v>
      </c>
      <c r="H748" s="130">
        <v>-1120000</v>
      </c>
      <c r="I748" s="235">
        <v>0.4</v>
      </c>
      <c r="J748" s="53">
        <f t="shared" ref="J748:J759" si="930">VLOOKUP(G748,NGPrices,2,FALSE)</f>
        <v>4.4800000000000004</v>
      </c>
      <c r="K748" s="7">
        <f t="shared" ref="K748:K759" si="931">HLOOKUP(D748,Prices,VLOOKUP(G748,move_down,2,FALSE),FALSE)+VLOOKUP(G748,CHANGE,HLOOKUP(D748,CHANGE,2,FALSE),FALSE)</f>
        <v>0.29499999999999998</v>
      </c>
      <c r="L748" s="53">
        <f t="shared" ref="L748:L759" si="932">K748+J748</f>
        <v>4.7750000000000004</v>
      </c>
      <c r="M748" s="157">
        <f t="shared" ref="M748:M759" si="933">VLOOKUP(G748,NGPrices,4,FALSE)</f>
        <v>6.8640161611372E-2</v>
      </c>
      <c r="N748" s="4">
        <f t="shared" ref="N748:N759" si="934">VLOOKUP(G748,NGPrices,3,FALSE)</f>
        <v>0.59250000000000003</v>
      </c>
      <c r="O748" s="4">
        <f t="shared" ref="O748:O759" si="935">HLOOKUP(D748,VOLS,VLOOKUP(G748,move_down,2,FALSE),FALSE)</f>
        <v>0.59299999999999997</v>
      </c>
      <c r="P748" s="9">
        <f t="shared" ref="P748:P759" si="936">HLOOKUP(D748,Correllate,VLOOKUP(G748,CorMove,2,FALSE),FALSE)</f>
        <v>0.99</v>
      </c>
      <c r="Q748" s="5">
        <f t="shared" si="875"/>
        <v>36921</v>
      </c>
      <c r="R748" s="4">
        <f t="shared" ref="R748:R759" si="937">IF(F748="P",0,1)</f>
        <v>1</v>
      </c>
      <c r="S748" s="158">
        <f>_xll.xSPRDOPT($L748,$J748,$I748,$M748,$O748,$N748,$P748,$Q748-$C$3,$R748,0)</f>
        <v>7.0171024733450521E-2</v>
      </c>
      <c r="T748" s="159">
        <f>_xll.xSPRDOPT($L748,$J748,$I748,$M748,$O748,$N748,$P748,$Q748-$C$3,$R748,1)*H748</f>
        <v>-411913.49413717544</v>
      </c>
      <c r="U748" s="160">
        <f t="shared" ref="U748:U759" si="938">S748*H748</f>
        <v>-78591.547701464588</v>
      </c>
      <c r="V748" s="159">
        <f>_xll.xSPRDOPT($L748,$J748,$I748,$M748,$O748,$N748,$P748,$Q748-$C$3,$R748,2)*H748</f>
        <v>392377.87758446136</v>
      </c>
      <c r="W748" s="159">
        <f t="shared" ref="W748:W759" si="939">+V748+T748</f>
        <v>-19535.616552714084</v>
      </c>
      <c r="X748" s="51" t="str">
        <f t="shared" ref="X748:X759" si="940">CONCATENATE(G748,D748)</f>
        <v>36923IF-CGT/APPALAC</v>
      </c>
      <c r="Y748" s="418">
        <f t="shared" ref="Y748:Y759" si="941">H748/10000</f>
        <v>-112</v>
      </c>
      <c r="Z748" s="456">
        <f t="shared" ref="Z748:Z759" si="942">T748/H748</f>
        <v>0.36777990547962092</v>
      </c>
      <c r="AA748" s="456">
        <f>_xll.xSPRDOPT($L748,$J748,$I748,$M748,$O748,$N748,$P748,$Q748-$C$3,$R748,3)</f>
        <v>1.2853969881027432</v>
      </c>
      <c r="AB748" s="456">
        <f>((_xll.xSPRDOPT($L748+AB$5,$J748,$I748,$M748,$O748,$N748,$P748,$Q748-$C$3,$R748,3)*$H748)/10000)/100</f>
        <v>-1.4396446266750724</v>
      </c>
      <c r="AC748" s="456">
        <f>((_xll.xSPRDOPT($L748+$AB$5,$J748,$I748,$M748,$O748,$N748,$P748,$Q748-$C$3,$R748,7)*$H748)/100)</f>
        <v>44978.454961389361</v>
      </c>
      <c r="AD748" s="456">
        <f>(_xll.xSPRDOPT($L748+$AB$5,$J748,$I748,$M748,$O748,$N748,$P748,$Q748-$C$3,$R748,9)/365)*$H748</f>
        <v>376.83156349424058</v>
      </c>
      <c r="AE748">
        <f t="shared" si="862"/>
        <v>0</v>
      </c>
      <c r="AF748" s="456">
        <f t="shared" ref="AF748:AF759" si="943">((O748/N748)*AH748)+AG748</f>
        <v>-2034.3234101219332</v>
      </c>
      <c r="AG748" s="456">
        <f>((_xll.xSPRDOPT($L748,$J748,$I748,$M748,$O748,$N748,$P748,$Q748-$C$3,$R748,6)*$H748)/100)</f>
        <v>4951.5905567045284</v>
      </c>
      <c r="AH748" s="456">
        <f>((_xll.xSPRDOPT($L748,$J748,$I748,$M748,$O748,$N748,$P748,$Q748-$C$3,$R748,5)*$H748)/100)</f>
        <v>-6980.0236515087336</v>
      </c>
      <c r="AI748" s="456">
        <f>(((_xll.xSPRDOPT($L748,$J748,$I748,$M748,$O748,$N748,$P748,$Q748-$C$3,$R748,4)*$H748)/10000)/100)-AB748</f>
        <v>3.9489537811662201E-2</v>
      </c>
      <c r="AJ748" s="456"/>
      <c r="CC748" s="141">
        <f t="shared" si="911"/>
        <v>37135</v>
      </c>
      <c r="CD748" s="234">
        <f>_xll.xSPRDOPT((VLOOKUP(G746,NGPrices,2,FALSE)+HLOOKUP(D746,Prices,VLOOKUP(G746,move_down,2,FALSE),FALSE)),VLOOKUP(G746,NGPrices,2,FALSE),I746,VLOOKUP(G746,NGPREVPRICES,4,FALSE),HLOOKUP(D746,PREVVOLS,VLOOKUP(G746,MOVE_DOWN2,2,FALSE),FALSE),VLOOKUP(G746,NGPREVPRICES,3,FALSE),HLOOKUP(D746,Correllate,VLOOKUP(G746,CorMove,2,FALSE),FALSE),Q746-$CD$3,R746,$CD$5)*H746-CJ748</f>
        <v>0</v>
      </c>
      <c r="CE748" s="234">
        <f>_xll.xSPRDOPT((VLOOKUP(G746,NGPREVPRICES,2,FALSE)+HLOOKUP(D746,PREVCURVES,VLOOKUP(G746,MOVE_DOWN2,2,FALSE),FALSE)),VLOOKUP(G746,NGPREVPRICES,2,FALSE),CK748,VLOOKUP(G746,NGPrices,4,FALSE),HLOOKUP(D746,PREVVOLS,VLOOKUP(G746,MOVE_DOWN2,2,FALSE),FALSE),VLOOKUP(G746,NGPREVPRICES,3,FALSE),HLOOKUP(D746,Correllate,VLOOKUP(G746,CorMove,2,FALSE),FALSE),Q746-$CD$3,R746,$CJ$5)*H746-CJ748</f>
        <v>0</v>
      </c>
      <c r="CF748" s="10">
        <f t="shared" si="912"/>
        <v>-14.32431357743917</v>
      </c>
      <c r="CG748" s="234">
        <f>_xll.xSPRDOPT((VLOOKUP(G746,NGPREVPRICES,2,FALSE)+HLOOKUP(D746,PREVCURVES,VLOOKUP(G746,MOVE_DOWN2,2,FALSE),FALSE)),VLOOKUP(G746,NGPREVPRICES,2,FALSE),CK748,VLOOKUP(G746,NGPREVPRICES,4,FALSE),HLOOKUP(D746,VOLS,VLOOKUP(G746,move_down,2,FALSE),FALSE),VLOOKUP(G746,NGPrices,3,FALSE),HLOOKUP(D746,Correllate,VLOOKUP(G746,CorMove,2,FALSE),FALSE),Q746-$CD$3,R746,$CJ$5)*H746-CJ748</f>
        <v>0</v>
      </c>
      <c r="CH748" s="234">
        <f>_xll.xSPRDOPT((VLOOKUP(G746,NGPREVPRICES,2,FALSE)+HLOOKUP(D746,PREVCURVES,VLOOKUP(G746,MOVE_DOWN2,2,FALSE),FALSE)),VLOOKUP(G746,NGPREVPRICES,2,FALSE),CK748,VLOOKUP(G746,NGPREVPRICES,4,FALSE),HLOOKUP(D746,PREVVOLS,VLOOKUP(G746,MOVE_DOWN2,2,FALSE),FALSE),VLOOKUP(G746,NGPREVPRICES,3,FALSE),HLOOKUP(D746,Correllate,VLOOKUP(G746,CorMove,2,FALSE),FALSE),Q746-$C$3,R746,$CJ$5)*H746-CJ748</f>
        <v>-106.58320371736772</v>
      </c>
      <c r="CI748" s="234">
        <f t="shared" si="913"/>
        <v>-120.90751729480689</v>
      </c>
      <c r="CJ748" s="234">
        <f>_xll.xSPRDOPT((VLOOKUP(G746,NGPREVPRICES,2,FALSE)+HLOOKUP(D746,PREVCURVES,VLOOKUP(G746,MOVE_DOWN2,2,FALSE),FALSE)),VLOOKUP(G746,NGPREVPRICES,2,FALSE),CK748,VLOOKUP(G746,NGPREVPRICES,4,FALSE),HLOOKUP(D746,PREVVOLS,VLOOKUP(G746,MOVE_DOWN2,2,FALSE),FALSE),VLOOKUP(G746,NGPREVPRICES,3,FALSE),HLOOKUP(D746,Correllate,VLOOKUP(G746,CorMove,2,FALSE),FALSE),Q746-$CD$3,R746,$CJ$5)*H746</f>
        <v>71844.764511781235</v>
      </c>
      <c r="CK748" s="235">
        <f t="shared" si="914"/>
        <v>0.28000000000000003</v>
      </c>
      <c r="CM748" t="str">
        <f t="shared" si="915"/>
        <v>37135Curve Shift/Gamma</v>
      </c>
      <c r="CN748" t="str">
        <f t="shared" si="838"/>
        <v>37135Rho</v>
      </c>
      <c r="CO748" t="str">
        <f t="shared" si="839"/>
        <v>37135Drift</v>
      </c>
      <c r="CP748" t="str">
        <f t="shared" si="840"/>
        <v>37135Vega</v>
      </c>
      <c r="CQ748" t="str">
        <f t="shared" si="841"/>
        <v>37135Theta</v>
      </c>
    </row>
    <row r="749" spans="1:95" x14ac:dyDescent="0.25">
      <c r="A749" s="140" t="s">
        <v>286</v>
      </c>
      <c r="B749" t="s">
        <v>250</v>
      </c>
      <c r="C749" t="s">
        <v>599</v>
      </c>
      <c r="D749" s="4" t="s">
        <v>7</v>
      </c>
      <c r="E749" t="s">
        <v>20</v>
      </c>
      <c r="F749" t="s">
        <v>1</v>
      </c>
      <c r="G749" s="5">
        <v>36831</v>
      </c>
      <c r="H749" s="130">
        <v>2000000</v>
      </c>
      <c r="I749" s="235">
        <v>0.5</v>
      </c>
      <c r="J749" s="53">
        <f t="shared" si="930"/>
        <v>4.7359999999999998</v>
      </c>
      <c r="K749" s="7">
        <f t="shared" si="931"/>
        <v>0.77</v>
      </c>
      <c r="L749" s="53">
        <f t="shared" si="932"/>
        <v>5.5060000000000002</v>
      </c>
      <c r="M749" s="157">
        <f t="shared" si="933"/>
        <v>6.810675983792E-2</v>
      </c>
      <c r="N749" s="4">
        <f t="shared" si="934"/>
        <v>0.59499999999999997</v>
      </c>
      <c r="O749" s="4">
        <f t="shared" si="935"/>
        <v>0.625</v>
      </c>
      <c r="P749" s="9">
        <f t="shared" si="936"/>
        <v>0.89</v>
      </c>
      <c r="Q749" s="5">
        <f t="shared" si="875"/>
        <v>36829</v>
      </c>
      <c r="R749" s="4">
        <f t="shared" si="937"/>
        <v>0</v>
      </c>
      <c r="S749" s="158">
        <f>_xll.xSPRDOPT($L749,$J749,$I749,$M749,$O749,$N749,$P749,$Q749-$C$3,$R749,0)</f>
        <v>0.13808749969965145</v>
      </c>
      <c r="T749" s="159">
        <f>_xll.xSPRDOPT($L749,$J749,$I749,$M749,$O749,$N749,$P749,$Q749-$C$3,$R749,1)*H749</f>
        <v>-619666.05952724314</v>
      </c>
      <c r="U749" s="160">
        <f t="shared" si="938"/>
        <v>276174.99939930288</v>
      </c>
      <c r="V749" s="159">
        <f>_xll.xSPRDOPT($L749,$J749,$I749,$M749,$O749,$N749,$P749,$Q749-$C$3,$R749,2)*H749</f>
        <v>703178.80023342802</v>
      </c>
      <c r="W749" s="159">
        <f t="shared" si="939"/>
        <v>83512.740706184879</v>
      </c>
      <c r="X749" s="51" t="str">
        <f t="shared" si="940"/>
        <v>36831IF-TRANSCO/Z6</v>
      </c>
      <c r="Y749" s="418">
        <f t="shared" si="941"/>
        <v>200</v>
      </c>
      <c r="Z749" s="456">
        <f t="shared" si="942"/>
        <v>-0.30983302976362159</v>
      </c>
      <c r="AA749" s="456">
        <f>_xll.xSPRDOPT($L749,$J749,$I749,$M749,$O749,$N749,$P749,$Q749-$C$3,$R749,3)</f>
        <v>0.54064628469182052</v>
      </c>
      <c r="AB749" s="456">
        <f>((_xll.xSPRDOPT($L749+AB$5,$J749,$I749,$M749,$O749,$N749,$P749,$Q749-$C$3,$R749,3)*$H749)/10000)/100</f>
        <v>1.081292569383641</v>
      </c>
      <c r="AC749" s="456">
        <f>((_xll.xSPRDOPT($L749+$AB$5,$J749,$I749,$M749,$O749,$N749,$P749,$Q749-$C$3,$R749,7)*$H749)/100)</f>
        <v>-18707.139712768461</v>
      </c>
      <c r="AD749" s="456">
        <f>(_xll.xSPRDOPT($L749+$AB$5,$J749,$I749,$M749,$O749,$N749,$P749,$Q749-$C$3,$R749,9)/365)*$H749</f>
        <v>-3617.677846079046</v>
      </c>
      <c r="AE749">
        <f t="shared" si="862"/>
        <v>0</v>
      </c>
      <c r="AF749" s="456">
        <f t="shared" si="943"/>
        <v>7641.5238520418952</v>
      </c>
      <c r="AG749" s="456">
        <f>((_xll.xSPRDOPT($L749,$J749,$I749,$M749,$O749,$N749,$P749,$Q749-$C$3,$R749,6)*$H749)/100)</f>
        <v>-907.2126285460638</v>
      </c>
      <c r="AH749" s="456">
        <f>((_xll.xSPRDOPT($L749,$J749,$I749,$M749,$O749,$N749,$P749,$Q749-$C$3,$R749,5)*$H749)/100)</f>
        <v>8138.3971295197371</v>
      </c>
      <c r="AI749" s="456">
        <f>(((_xll.xSPRDOPT($L749,$J749,$I749,$M749,$O749,$N749,$P749,$Q749-$C$3,$R749,4)*$H749)/10000)/100)-AB749</f>
        <v>0.11386031972407107</v>
      </c>
      <c r="AJ749" s="456"/>
      <c r="CC749" s="141">
        <f t="shared" si="911"/>
        <v>37165</v>
      </c>
      <c r="CD749" s="234">
        <f>_xll.xSPRDOPT((VLOOKUP(G747,NGPrices,2,FALSE)+HLOOKUP(D747,Prices,VLOOKUP(G747,move_down,2,FALSE),FALSE)),VLOOKUP(G747,NGPrices,2,FALSE),I747,VLOOKUP(G747,NGPREVPRICES,4,FALSE),HLOOKUP(D747,PREVVOLS,VLOOKUP(G747,MOVE_DOWN2,2,FALSE),FALSE),VLOOKUP(G747,NGPREVPRICES,3,FALSE),HLOOKUP(D747,Correllate,VLOOKUP(G747,CorMove,2,FALSE),FALSE),Q747-$CD$3,R747,$CD$5)*H747-CJ749</f>
        <v>0</v>
      </c>
      <c r="CE749" s="234">
        <f>_xll.xSPRDOPT((VLOOKUP(G747,NGPREVPRICES,2,FALSE)+HLOOKUP(D747,PREVCURVES,VLOOKUP(G747,MOVE_DOWN2,2,FALSE),FALSE)),VLOOKUP(G747,NGPREVPRICES,2,FALSE),CK749,VLOOKUP(G747,NGPrices,4,FALSE),HLOOKUP(D747,PREVVOLS,VLOOKUP(G747,MOVE_DOWN2,2,FALSE),FALSE),VLOOKUP(G747,NGPREVPRICES,3,FALSE),HLOOKUP(D747,Correllate,VLOOKUP(G747,CorMove,2,FALSE),FALSE),Q747-$CD$3,R747,$CJ$5)*H747-CJ749</f>
        <v>0</v>
      </c>
      <c r="CF749" s="10">
        <f t="shared" si="912"/>
        <v>-14.029891058060457</v>
      </c>
      <c r="CG749" s="234">
        <f>_xll.xSPRDOPT((VLOOKUP(G747,NGPREVPRICES,2,FALSE)+HLOOKUP(D747,PREVCURVES,VLOOKUP(G747,MOVE_DOWN2,2,FALSE),FALSE)),VLOOKUP(G747,NGPREVPRICES,2,FALSE),CK749,VLOOKUP(G747,NGPREVPRICES,4,FALSE),HLOOKUP(D747,VOLS,VLOOKUP(G747,move_down,2,FALSE),FALSE),VLOOKUP(G747,NGPrices,3,FALSE),HLOOKUP(D747,Correllate,VLOOKUP(G747,CorMove,2,FALSE),FALSE),Q747-$CD$3,R747,$CJ$5)*H747-CJ749</f>
        <v>0</v>
      </c>
      <c r="CH749" s="234">
        <f>_xll.xSPRDOPT((VLOOKUP(G747,NGPREVPRICES,2,FALSE)+HLOOKUP(D747,PREVCURVES,VLOOKUP(G747,MOVE_DOWN2,2,FALSE),FALSE)),VLOOKUP(G747,NGPREVPRICES,2,FALSE),CK749,VLOOKUP(G747,NGPREVPRICES,4,FALSE),HLOOKUP(D747,PREVVOLS,VLOOKUP(G747,MOVE_DOWN2,2,FALSE),FALSE),VLOOKUP(G747,NGPREVPRICES,3,FALSE),HLOOKUP(D747,Correllate,VLOOKUP(G747,CorMove,2,FALSE),FALSE),Q747-$C$3,R747,$CJ$5)*H747-CJ749</f>
        <v>-101.48817959432199</v>
      </c>
      <c r="CI749" s="234">
        <f t="shared" si="913"/>
        <v>-115.51807065238245</v>
      </c>
      <c r="CJ749" s="234">
        <f>_xll.xSPRDOPT((VLOOKUP(G747,NGPREVPRICES,2,FALSE)+HLOOKUP(D747,PREVCURVES,VLOOKUP(G747,MOVE_DOWN2,2,FALSE),FALSE)),VLOOKUP(G747,NGPREVPRICES,2,FALSE),CK749,VLOOKUP(G747,NGPREVPRICES,4,FALSE),HLOOKUP(D747,PREVVOLS,VLOOKUP(G747,MOVE_DOWN2,2,FALSE),FALSE),VLOOKUP(G747,NGPREVPRICES,3,FALSE),HLOOKUP(D747,Correllate,VLOOKUP(G747,CorMove,2,FALSE),FALSE),Q747-$CD$3,R747,$CJ$5)*H747</f>
        <v>69952.650358762359</v>
      </c>
      <c r="CK749" s="235">
        <f t="shared" si="914"/>
        <v>0.28000000000000003</v>
      </c>
      <c r="CM749" t="str">
        <f t="shared" si="915"/>
        <v>37165Curve Shift/Gamma</v>
      </c>
      <c r="CN749" t="str">
        <f t="shared" si="838"/>
        <v>37165Rho</v>
      </c>
      <c r="CO749" t="str">
        <f t="shared" si="839"/>
        <v>37165Drift</v>
      </c>
      <c r="CP749" t="str">
        <f t="shared" si="840"/>
        <v>37165Vega</v>
      </c>
      <c r="CQ749" t="str">
        <f t="shared" si="841"/>
        <v>37165Theta</v>
      </c>
    </row>
    <row r="750" spans="1:95" x14ac:dyDescent="0.25">
      <c r="A750" s="140" t="s">
        <v>480</v>
      </c>
      <c r="B750" t="s">
        <v>250</v>
      </c>
      <c r="C750" t="s">
        <v>602</v>
      </c>
      <c r="D750" s="4" t="s">
        <v>74</v>
      </c>
      <c r="E750" t="s">
        <v>20</v>
      </c>
      <c r="F750" t="s">
        <v>21</v>
      </c>
      <c r="G750" s="5">
        <v>36892</v>
      </c>
      <c r="H750" s="130">
        <v>-1000000</v>
      </c>
      <c r="I750" s="235">
        <v>0.2</v>
      </c>
      <c r="J750" s="53">
        <f t="shared" si="930"/>
        <v>4.7439999999999998</v>
      </c>
      <c r="K750" s="7">
        <f t="shared" si="931"/>
        <v>0.1275</v>
      </c>
      <c r="L750" s="53">
        <f t="shared" si="932"/>
        <v>4.8715000000000002</v>
      </c>
      <c r="M750" s="157">
        <f t="shared" si="933"/>
        <v>6.8374831148490994E-2</v>
      </c>
      <c r="N750" s="4">
        <f t="shared" si="934"/>
        <v>0.60499999999999998</v>
      </c>
      <c r="O750" s="4">
        <f t="shared" si="935"/>
        <v>0.60499999999999998</v>
      </c>
      <c r="P750" s="9">
        <f t="shared" si="936"/>
        <v>0.997</v>
      </c>
      <c r="Q750" s="5">
        <f t="shared" si="875"/>
        <v>36888</v>
      </c>
      <c r="R750" s="4">
        <f t="shared" si="937"/>
        <v>1</v>
      </c>
      <c r="S750" s="158">
        <f>_xll.xSPRDOPT($L750,$J750,$I750,$M750,$O750,$N750,$P750,$Q750-$C$3,$R750,0)</f>
        <v>2.850780495246838E-2</v>
      </c>
      <c r="T750" s="159">
        <f>_xll.xSPRDOPT($L750,$J750,$I750,$M750,$O750,$N750,$P750,$Q750-$C$3,$R750,1)*H750</f>
        <v>-313002.39050403784</v>
      </c>
      <c r="U750" s="160">
        <f t="shared" si="938"/>
        <v>-28507.804952468381</v>
      </c>
      <c r="V750" s="159">
        <f>_xll.xSPRDOPT($L750,$J750,$I750,$M750,$O750,$N750,$P750,$Q750-$C$3,$R750,2)*H750</f>
        <v>304586.12962010992</v>
      </c>
      <c r="W750" s="159">
        <f t="shared" si="939"/>
        <v>-8416.2608839279274</v>
      </c>
      <c r="X750" s="51" t="str">
        <f t="shared" si="940"/>
        <v>36892NGI/CHI. GATE</v>
      </c>
      <c r="Y750" s="418">
        <f t="shared" si="941"/>
        <v>-100</v>
      </c>
      <c r="Z750" s="456">
        <f t="shared" si="942"/>
        <v>0.31300239050403783</v>
      </c>
      <c r="AA750" s="456">
        <f>_xll.xSPRDOPT($L750,$J750,$I750,$M750,$O750,$N750,$P750,$Q750-$C$3,$R750,3)</f>
        <v>2.4323325694587097</v>
      </c>
      <c r="AB750" s="456">
        <f>((_xll.xSPRDOPT($L750+AB$5,$J750,$I750,$M750,$O750,$N750,$P750,$Q750-$C$3,$R750,3)*$H750)/10000)/100</f>
        <v>-2.4323325694587097</v>
      </c>
      <c r="AC750" s="456">
        <f>((_xll.xSPRDOPT($L750+$AB$5,$J750,$I750,$M750,$O750,$N750,$P750,$Q750-$C$3,$R750,7)*$H750)/100)</f>
        <v>67415.262983596243</v>
      </c>
      <c r="AD750" s="456">
        <f>(_xll.xSPRDOPT($L750+$AB$5,$J750,$I750,$M750,$O750,$N750,$P750,$Q750-$C$3,$R750,9)/365)*$H750</f>
        <v>204.59164064208642</v>
      </c>
      <c r="AE750">
        <f t="shared" si="862"/>
        <v>0</v>
      </c>
      <c r="AF750" s="456">
        <f t="shared" si="943"/>
        <v>-839.15297655011318</v>
      </c>
      <c r="AG750" s="456">
        <f>((_xll.xSPRDOPT($L750,$J750,$I750,$M750,$O750,$N750,$P750,$Q750-$C$3,$R750,6)*$H750)/100)</f>
        <v>3755.7877828056476</v>
      </c>
      <c r="AH750" s="456">
        <f>((_xll.xSPRDOPT($L750,$J750,$I750,$M750,$O750,$N750,$P750,$Q750-$C$3,$R750,5)*$H750)/100)</f>
        <v>-4594.9407593557607</v>
      </c>
      <c r="AI750" s="456">
        <f>(((_xll.xSPRDOPT($L750,$J750,$I750,$M750,$O750,$N750,$P750,$Q750-$C$3,$R750,4)*$H750)/10000)/100)-AB750</f>
        <v>5.2635754474930962E-2</v>
      </c>
      <c r="AJ750" s="456"/>
      <c r="CC750" s="141">
        <f t="shared" si="911"/>
        <v>36923</v>
      </c>
      <c r="CD750" s="234">
        <f>_xll.xSPRDOPT((VLOOKUP(G748,NGPrices,2,FALSE)+HLOOKUP(D748,Prices,VLOOKUP(G748,move_down,2,FALSE),FALSE)),VLOOKUP(G748,NGPrices,2,FALSE),I748,VLOOKUP(G748,NGPREVPRICES,4,FALSE),HLOOKUP(D748,PREVVOLS,VLOOKUP(G748,MOVE_DOWN2,2,FALSE),FALSE),VLOOKUP(G748,NGPREVPRICES,3,FALSE),HLOOKUP(D748,Correllate,VLOOKUP(G748,CorMove,2,FALSE),FALSE),Q748-$CD$3,R748,$CD$5)*H748-CJ750</f>
        <v>0</v>
      </c>
      <c r="CE750" s="234">
        <f>_xll.xSPRDOPT((VLOOKUP(G748,NGPREVPRICES,2,FALSE)+HLOOKUP(D748,PREVCURVES,VLOOKUP(G748,MOVE_DOWN2,2,FALSE),FALSE)),VLOOKUP(G748,NGPREVPRICES,2,FALSE),CK750,VLOOKUP(G748,NGPrices,4,FALSE),HLOOKUP(D748,PREVVOLS,VLOOKUP(G748,MOVE_DOWN2,2,FALSE),FALSE),VLOOKUP(G748,NGPREVPRICES,3,FALSE),HLOOKUP(D748,Correllate,VLOOKUP(G748,CorMove,2,FALSE),FALSE),Q748-$CD$3,R748,$CJ$5)*H748-CJ750</f>
        <v>0</v>
      </c>
      <c r="CF750" s="10">
        <f t="shared" si="912"/>
        <v>15.018709196723648</v>
      </c>
      <c r="CG750" s="234">
        <f>_xll.xSPRDOPT((VLOOKUP(G748,NGPREVPRICES,2,FALSE)+HLOOKUP(D748,PREVCURVES,VLOOKUP(G748,MOVE_DOWN2,2,FALSE),FALSE)),VLOOKUP(G748,NGPREVPRICES,2,FALSE),CK750,VLOOKUP(G748,NGPREVPRICES,4,FALSE),HLOOKUP(D748,VOLS,VLOOKUP(G748,move_down,2,FALSE),FALSE),VLOOKUP(G748,NGPrices,3,FALSE),HLOOKUP(D748,Correllate,VLOOKUP(G748,CorMove,2,FALSE),FALSE),Q748-$CD$3,R748,$CJ$5)*H748-CJ750</f>
        <v>0</v>
      </c>
      <c r="CH750" s="234">
        <f>_xll.xSPRDOPT((VLOOKUP(G748,NGPREVPRICES,2,FALSE)+HLOOKUP(D748,PREVCURVES,VLOOKUP(G748,MOVE_DOWN2,2,FALSE),FALSE)),VLOOKUP(G748,NGPREVPRICES,2,FALSE),CK750,VLOOKUP(G748,NGPREVPRICES,4,FALSE),HLOOKUP(D748,PREVVOLS,VLOOKUP(G748,MOVE_DOWN2,2,FALSE),FALSE),VLOOKUP(G748,NGPREVPRICES,3,FALSE),HLOOKUP(D748,Correllate,VLOOKUP(G748,CorMove,2,FALSE),FALSE),Q748-$C$3,R748,$CJ$5)*H748-CJ750</f>
        <v>375.96025496334187</v>
      </c>
      <c r="CI750" s="234">
        <f t="shared" si="913"/>
        <v>390.97896416006552</v>
      </c>
      <c r="CJ750" s="234">
        <f>_xll.xSPRDOPT((VLOOKUP(G748,NGPREVPRICES,2,FALSE)+HLOOKUP(D748,PREVCURVES,VLOOKUP(G748,MOVE_DOWN2,2,FALSE),FALSE)),VLOOKUP(G748,NGPREVPRICES,2,FALSE),CK750,VLOOKUP(G748,NGPREVPRICES,4,FALSE),HLOOKUP(D748,PREVVOLS,VLOOKUP(G748,MOVE_DOWN2,2,FALSE),FALSE),VLOOKUP(G748,NGPREVPRICES,3,FALSE),HLOOKUP(D748,Correllate,VLOOKUP(G748,CorMove,2,FALSE),FALSE),Q748-$CD$3,R748,$CJ$5)*H748</f>
        <v>-78967.507956427929</v>
      </c>
      <c r="CK750" s="235">
        <f t="shared" si="914"/>
        <v>0.4</v>
      </c>
      <c r="CM750" t="str">
        <f t="shared" si="915"/>
        <v>36923Curve Shift/Gamma</v>
      </c>
      <c r="CN750" t="str">
        <f>CONCATENATE($CC750,$CE$6)</f>
        <v>36923Rho</v>
      </c>
      <c r="CO750" t="str">
        <f>CONCATENATE($CC750,$CF$6)</f>
        <v>36923Drift</v>
      </c>
      <c r="CP750" t="str">
        <f>CONCATENATE($CC750,$CG$6)</f>
        <v>36923Vega</v>
      </c>
      <c r="CQ750" t="str">
        <f>CONCATENATE($CC750,$CH$6)</f>
        <v>36923Theta</v>
      </c>
    </row>
    <row r="751" spans="1:95" x14ac:dyDescent="0.25">
      <c r="A751" s="140" t="s">
        <v>480</v>
      </c>
      <c r="B751" t="s">
        <v>250</v>
      </c>
      <c r="C751" t="s">
        <v>602</v>
      </c>
      <c r="D751" s="4" t="s">
        <v>74</v>
      </c>
      <c r="E751" t="s">
        <v>20</v>
      </c>
      <c r="F751" t="s">
        <v>21</v>
      </c>
      <c r="G751" s="5">
        <v>36923</v>
      </c>
      <c r="H751" s="130">
        <v>-1000000</v>
      </c>
      <c r="I751" s="235">
        <v>0.2</v>
      </c>
      <c r="J751" s="53">
        <f t="shared" si="930"/>
        <v>4.4800000000000004</v>
      </c>
      <c r="K751" s="7">
        <f t="shared" si="931"/>
        <v>0.13750000000000001</v>
      </c>
      <c r="L751" s="53">
        <f t="shared" si="932"/>
        <v>4.6175000000000006</v>
      </c>
      <c r="M751" s="157">
        <f t="shared" si="933"/>
        <v>6.8640161611372E-2</v>
      </c>
      <c r="N751" s="4">
        <f t="shared" si="934"/>
        <v>0.59250000000000003</v>
      </c>
      <c r="O751" s="4">
        <f t="shared" si="935"/>
        <v>0.59299999999999997</v>
      </c>
      <c r="P751" s="9">
        <f t="shared" si="936"/>
        <v>0.997</v>
      </c>
      <c r="Q751" s="5">
        <f t="shared" si="875"/>
        <v>36921</v>
      </c>
      <c r="R751" s="4">
        <f t="shared" si="937"/>
        <v>1</v>
      </c>
      <c r="S751" s="158">
        <f>_xll.xSPRDOPT($L751,$J751,$I751,$M751,$O751,$N751,$P751,$Q751-$C$3,$R751,0)</f>
        <v>3.4815997437787051E-2</v>
      </c>
      <c r="T751" s="159">
        <f>_xll.xSPRDOPT($L751,$J751,$I751,$M751,$O751,$N751,$P751,$Q751-$C$3,$R751,1)*H751</f>
        <v>-346597.01251359016</v>
      </c>
      <c r="U751" s="160">
        <f t="shared" si="938"/>
        <v>-34815.997437787053</v>
      </c>
      <c r="V751" s="159">
        <f>_xll.xSPRDOPT($L751,$J751,$I751,$M751,$O751,$N751,$P751,$Q751-$C$3,$R751,2)*H751</f>
        <v>337042.28790476633</v>
      </c>
      <c r="W751" s="159">
        <f t="shared" si="939"/>
        <v>-9554.7246088238317</v>
      </c>
      <c r="X751" s="51" t="str">
        <f t="shared" si="940"/>
        <v>36923NGI/CHI. GATE</v>
      </c>
      <c r="Y751" s="418">
        <f t="shared" si="941"/>
        <v>-100</v>
      </c>
      <c r="Z751" s="456">
        <f t="shared" si="942"/>
        <v>0.34659701251359015</v>
      </c>
      <c r="AA751" s="456">
        <f>_xll.xSPRDOPT($L751,$J751,$I751,$M751,$O751,$N751,$P751,$Q751-$C$3,$R751,3)</f>
        <v>2.3713202005982938</v>
      </c>
      <c r="AB751" s="456">
        <f>((_xll.xSPRDOPT($L751+AB$5,$J751,$I751,$M751,$O751,$N751,$P751,$Q751-$C$3,$R751,3)*$H751)/10000)/100</f>
        <v>-2.3713202005982938</v>
      </c>
      <c r="AC751" s="456">
        <f>((_xll.xSPRDOPT($L751+$AB$5,$J751,$I751,$M751,$O751,$N751,$P751,$Q751-$C$3,$R751,7)*$H751)/100)</f>
        <v>71999.485544706607</v>
      </c>
      <c r="AD751" s="456">
        <f>(_xll.xSPRDOPT($L751+$AB$5,$J751,$I751,$M751,$O751,$N751,$P751,$Q751-$C$3,$R751,9)/365)*$H751</f>
        <v>175.605817200638</v>
      </c>
      <c r="AE751">
        <f t="shared" si="862"/>
        <v>0</v>
      </c>
      <c r="AF751" s="456">
        <f t="shared" si="943"/>
        <v>-946.24072563817026</v>
      </c>
      <c r="AG751" s="456">
        <f>((_xll.xSPRDOPT($L751,$J751,$I751,$M751,$O751,$N751,$P751,$Q751-$C$3,$R751,6)*$H751)/100)</f>
        <v>4419.1895661905091</v>
      </c>
      <c r="AH751" s="456">
        <f>((_xll.xSPRDOPT($L751,$J751,$I751,$M751,$O751,$N751,$P751,$Q751-$C$3,$R751,5)*$H751)/100)</f>
        <v>-5360.9063202504094</v>
      </c>
      <c r="AI751" s="456">
        <f>(((_xll.xSPRDOPT($L751,$J751,$I751,$M751,$O751,$N751,$P751,$Q751-$C$3,$R751,4)*$H751)/10000)/100)-AB751</f>
        <v>4.3097264498453747E-2</v>
      </c>
      <c r="AJ751" s="456"/>
      <c r="CC751" s="141">
        <f>G749</f>
        <v>36831</v>
      </c>
      <c r="CD751" s="234">
        <f>_xll.xSPRDOPT((VLOOKUP(G749,NGPrices,2,FALSE)+HLOOKUP(D749,Prices,VLOOKUP(G749,move_down,2,FALSE),FALSE)),VLOOKUP(G749,NGPrices,2,FALSE),I749,VLOOKUP(G749,NGPREVPRICES,4,FALSE),HLOOKUP(D749,PREVVOLS,VLOOKUP(G749,MOVE_DOWN2,2,FALSE),FALSE),VLOOKUP(G749,NGPREVPRICES,3,FALSE),HLOOKUP(D749,Correllate,VLOOKUP(G749,CorMove,2,FALSE),FALSE),Q749-$CD$3,R749,$CD$5)*H749-CJ751</f>
        <v>0</v>
      </c>
      <c r="CE751" s="234">
        <f>_xll.xSPRDOPT((VLOOKUP(G749,NGPREVPRICES,2,FALSE)+HLOOKUP(D749,PREVCURVES,VLOOKUP(G749,MOVE_DOWN2,2,FALSE),FALSE)),VLOOKUP(G749,NGPREVPRICES,2,FALSE),CK751,VLOOKUP(G749,NGPrices,4,FALSE),HLOOKUP(D749,PREVVOLS,VLOOKUP(G749,MOVE_DOWN2,2,FALSE),FALSE),VLOOKUP(G749,NGPREVPRICES,3,FALSE),HLOOKUP(D749,Correllate,VLOOKUP(G749,CorMove,2,FALSE),FALSE),Q749-$CD$3,R749,$CJ$5)*H749-CJ751</f>
        <v>0</v>
      </c>
      <c r="CF751" s="10">
        <f>(CJ751/VLOOKUP(CC751,discount,3,FALSE))-(CJ751/VLOOKUP(CC751,discount,2,FALSE))</f>
        <v>-51.957661702472251</v>
      </c>
      <c r="CG751" s="234">
        <f>_xll.xSPRDOPT((VLOOKUP(G749,NGPREVPRICES,2,FALSE)+HLOOKUP(D749,PREVCURVES,VLOOKUP(G749,MOVE_DOWN2,2,FALSE),FALSE)),VLOOKUP(G749,NGPREVPRICES,2,FALSE),CK751,VLOOKUP(G749,NGPREVPRICES,4,FALSE),HLOOKUP(D749,VOLS,VLOOKUP(G749,move_down,2,FALSE),FALSE),VLOOKUP(G749,NGPrices,3,FALSE),HLOOKUP(D749,Correllate,VLOOKUP(G749,CorMove,2,FALSE),FALSE),Q749-$CD$3,R749,$CJ$5)*H749-CJ751</f>
        <v>0</v>
      </c>
      <c r="CH751" s="234">
        <f>_xll.xSPRDOPT((VLOOKUP(G749,NGPREVPRICES,2,FALSE)+HLOOKUP(D749,PREVCURVES,VLOOKUP(G749,MOVE_DOWN2,2,FALSE),FALSE)),VLOOKUP(G749,NGPREVPRICES,2,FALSE),CK751,VLOOKUP(G749,NGPREVPRICES,4,FALSE),HLOOKUP(D749,PREVVOLS,VLOOKUP(G749,MOVE_DOWN2,2,FALSE),FALSE),VLOOKUP(G749,NGPREVPRICES,3,FALSE),HLOOKUP(D749,Correllate,VLOOKUP(G749,CorMove,2,FALSE),FALSE),Q749-$C$3,R749,$CJ$5)*H749-CJ751</f>
        <v>-3602.509020128171</v>
      </c>
      <c r="CI751" s="234">
        <f>SUM(CD751:CH751)</f>
        <v>-3654.4666818306432</v>
      </c>
      <c r="CJ751" s="234">
        <f>_xll.xSPRDOPT((VLOOKUP(G749,NGPREVPRICES,2,FALSE)+HLOOKUP(D749,PREVCURVES,VLOOKUP(G749,MOVE_DOWN2,2,FALSE),FALSE)),VLOOKUP(G749,NGPREVPRICES,2,FALSE),CK751,VLOOKUP(G749,NGPREVPRICES,4,FALSE),HLOOKUP(D749,PREVVOLS,VLOOKUP(G749,MOVE_DOWN2,2,FALSE),FALSE),VLOOKUP(G749,NGPREVPRICES,3,FALSE),HLOOKUP(D749,Correllate,VLOOKUP(G749,CorMove,2,FALSE),FALSE),Q749-$CD$3,R749,$CJ$5)*H749</f>
        <v>279777.50841943105</v>
      </c>
      <c r="CK751" s="235">
        <f>I749</f>
        <v>0.5</v>
      </c>
      <c r="CM751" t="str">
        <f>CONCATENATE(CC751,$CD$6)</f>
        <v>36831Curve Shift/Gamma</v>
      </c>
      <c r="CN751" t="str">
        <f>CONCATENATE($CC751,$CE$6)</f>
        <v>36831Rho</v>
      </c>
      <c r="CO751" t="str">
        <f>CONCATENATE($CC751,$CF$6)</f>
        <v>36831Drift</v>
      </c>
      <c r="CP751" t="str">
        <f>CONCATENATE($CC751,$CG$6)</f>
        <v>36831Vega</v>
      </c>
      <c r="CQ751" t="str">
        <f>CONCATENATE($CC751,$CH$6)</f>
        <v>36831Theta</v>
      </c>
    </row>
    <row r="752" spans="1:95" x14ac:dyDescent="0.25">
      <c r="A752" s="140" t="s">
        <v>480</v>
      </c>
      <c r="B752" t="s">
        <v>250</v>
      </c>
      <c r="C752" t="s">
        <v>602</v>
      </c>
      <c r="D752" s="4" t="s">
        <v>74</v>
      </c>
      <c r="E752" t="s">
        <v>20</v>
      </c>
      <c r="F752" t="s">
        <v>21</v>
      </c>
      <c r="G752" s="5">
        <v>36951</v>
      </c>
      <c r="H752" s="130">
        <v>-1000000</v>
      </c>
      <c r="I752" s="235">
        <v>0.2</v>
      </c>
      <c r="J752" s="53">
        <f t="shared" si="930"/>
        <v>4.2130000000000001</v>
      </c>
      <c r="K752" s="7">
        <f t="shared" si="931"/>
        <v>0.1225</v>
      </c>
      <c r="L752" s="53">
        <f t="shared" si="932"/>
        <v>4.3354999999999997</v>
      </c>
      <c r="M752" s="157">
        <f t="shared" si="933"/>
        <v>6.8879814952706994E-2</v>
      </c>
      <c r="N752" s="4">
        <f t="shared" si="934"/>
        <v>0.53249999999999997</v>
      </c>
      <c r="O752" s="4">
        <f t="shared" si="935"/>
        <v>0.53300000000000003</v>
      </c>
      <c r="P752" s="9">
        <f t="shared" si="936"/>
        <v>0.997</v>
      </c>
      <c r="Q752" s="5">
        <f t="shared" si="875"/>
        <v>36949</v>
      </c>
      <c r="R752" s="4">
        <f t="shared" si="937"/>
        <v>1</v>
      </c>
      <c r="S752" s="158">
        <f>_xll.xSPRDOPT($L752,$J752,$I752,$M752,$O752,$N752,$P752,$Q752-$C$3,$R752,0)</f>
        <v>2.6185472823568891E-2</v>
      </c>
      <c r="T752" s="159">
        <f>_xll.xSPRDOPT($L752,$J752,$I752,$M752,$O752,$N752,$P752,$Q752-$C$3,$R752,1)*H752</f>
        <v>-298082.01194515015</v>
      </c>
      <c r="U752" s="160">
        <f t="shared" si="938"/>
        <v>-26185.472823568893</v>
      </c>
      <c r="V752" s="159">
        <f>_xll.xSPRDOPT($L752,$J752,$I752,$M752,$O752,$N752,$P752,$Q752-$C$3,$R752,2)*H752</f>
        <v>289396.63974285749</v>
      </c>
      <c r="W752" s="159">
        <f t="shared" si="939"/>
        <v>-8685.3722022926668</v>
      </c>
      <c r="X752" s="51" t="str">
        <f t="shared" si="940"/>
        <v>36951NGI/CHI. GATE</v>
      </c>
      <c r="Y752" s="418">
        <f t="shared" si="941"/>
        <v>-100</v>
      </c>
      <c r="Z752" s="456">
        <f t="shared" si="942"/>
        <v>0.29808201194515016</v>
      </c>
      <c r="AA752" s="456">
        <f>_xll.xSPRDOPT($L752,$J752,$I752,$M752,$O752,$N752,$P752,$Q752-$C$3,$R752,3)</f>
        <v>2.408157401711319</v>
      </c>
      <c r="AB752" s="456">
        <f>((_xll.xSPRDOPT($L752+AB$5,$J752,$I752,$M752,$O752,$N752,$P752,$Q752-$C$3,$R752,3)*$H752)/10000)/100</f>
        <v>-2.4081574017113194</v>
      </c>
      <c r="AC752" s="456">
        <f>((_xll.xSPRDOPT($L752+$AB$5,$J752,$I752,$M752,$O752,$N752,$P752,$Q752-$C$3,$R752,7)*$H752)/100)</f>
        <v>61444.4210629238</v>
      </c>
      <c r="AD752" s="456">
        <f>(_xll.xSPRDOPT($L752+$AB$5,$J752,$I752,$M752,$O752,$N752,$P752,$Q752-$C$3,$R752,9)/365)*$H752</f>
        <v>128.82482106274094</v>
      </c>
      <c r="AE752">
        <f t="shared" si="862"/>
        <v>0</v>
      </c>
      <c r="AF752" s="456">
        <f t="shared" si="943"/>
        <v>-913.75792878662105</v>
      </c>
      <c r="AG752" s="456">
        <f>((_xll.xSPRDOPT($L752,$J752,$I752,$M752,$O752,$N752,$P752,$Q752-$C$3,$R752,6)*$H752)/100)</f>
        <v>4375.3071110060419</v>
      </c>
      <c r="AH752" s="456">
        <f>((_xll.xSPRDOPT($L752,$J752,$I752,$M752,$O752,$N752,$P752,$Q752-$C$3,$R752,5)*$H752)/100)</f>
        <v>-5284.1034403181848</v>
      </c>
      <c r="AI752" s="456">
        <f>(((_xll.xSPRDOPT($L752,$J752,$I752,$M752,$O752,$N752,$P752,$Q752-$C$3,$R752,4)*$H752)/10000)/100)-AB752</f>
        <v>5.8337645949622097E-2</v>
      </c>
      <c r="AJ752" s="456"/>
      <c r="CC752" s="141">
        <f t="shared" ref="CC752:CC761" si="944">G750</f>
        <v>36892</v>
      </c>
      <c r="CD752" s="234">
        <f>_xll.xSPRDOPT((VLOOKUP(G750,NGPrices,2,FALSE)+HLOOKUP(D750,Prices,VLOOKUP(G750,move_down,2,FALSE),FALSE)),VLOOKUP(G750,NGPrices,2,FALSE),I750,VLOOKUP(G750,NGPREVPRICES,4,FALSE),HLOOKUP(D750,PREVVOLS,VLOOKUP(G750,MOVE_DOWN2,2,FALSE),FALSE),VLOOKUP(G750,NGPREVPRICES,3,FALSE),HLOOKUP(D750,Correllate,VLOOKUP(G750,CorMove,2,FALSE),FALSE),Q750-$CD$3,R750,$CD$5)*H750-CJ752</f>
        <v>0</v>
      </c>
      <c r="CE752" s="234">
        <f>_xll.xSPRDOPT((VLOOKUP(G750,NGPREVPRICES,2,FALSE)+HLOOKUP(D750,PREVCURVES,VLOOKUP(G750,MOVE_DOWN2,2,FALSE),FALSE)),VLOOKUP(G750,NGPREVPRICES,2,FALSE),CK752,VLOOKUP(G750,NGPrices,4,FALSE),HLOOKUP(D750,PREVVOLS,VLOOKUP(G750,MOVE_DOWN2,2,FALSE),FALSE),VLOOKUP(G750,NGPREVPRICES,3,FALSE),HLOOKUP(D750,Correllate,VLOOKUP(G750,CorMove,2,FALSE),FALSE),Q750-$CD$3,R750,$CJ$5)*H750-CJ752</f>
        <v>0</v>
      </c>
      <c r="CF752" s="10">
        <f t="shared" ref="CF752:CF761" si="945">(CJ752/VLOOKUP(CC752,discount,3,FALSE))-(CJ752/VLOOKUP(CC752,discount,2,FALSE))</f>
        <v>5.4105036199944152</v>
      </c>
      <c r="CG752" s="234">
        <f>_xll.xSPRDOPT((VLOOKUP(G750,NGPREVPRICES,2,FALSE)+HLOOKUP(D750,PREVCURVES,VLOOKUP(G750,MOVE_DOWN2,2,FALSE),FALSE)),VLOOKUP(G750,NGPREVPRICES,2,FALSE),CK752,VLOOKUP(G750,NGPREVPRICES,4,FALSE),HLOOKUP(D750,VOLS,VLOOKUP(G750,move_down,2,FALSE),FALSE),VLOOKUP(G750,NGPrices,3,FALSE),HLOOKUP(D750,Correllate,VLOOKUP(G750,CorMove,2,FALSE),FALSE),Q750-$CD$3,R750,$CJ$5)*H750-CJ752</f>
        <v>0</v>
      </c>
      <c r="CH752" s="234">
        <f>_xll.xSPRDOPT((VLOOKUP(G750,NGPREVPRICES,2,FALSE)+HLOOKUP(D750,PREVCURVES,VLOOKUP(G750,MOVE_DOWN2,2,FALSE),FALSE)),VLOOKUP(G750,NGPREVPRICES,2,FALSE),CK752,VLOOKUP(G750,NGPREVPRICES,4,FALSE),HLOOKUP(D750,PREVVOLS,VLOOKUP(G750,MOVE_DOWN2,2,FALSE),FALSE),VLOOKUP(G750,NGPREVPRICES,3,FALSE),HLOOKUP(D750,Correllate,VLOOKUP(G750,CorMove,2,FALSE),FALSE),Q750-$C$3,R750,$CJ$5)*H750-CJ752</f>
        <v>204.093765266829</v>
      </c>
      <c r="CI752" s="234">
        <f t="shared" ref="CI752:CI761" si="946">SUM(CD752:CH752)</f>
        <v>209.50426888682341</v>
      </c>
      <c r="CJ752" s="234">
        <f>_xll.xSPRDOPT((VLOOKUP(G750,NGPREVPRICES,2,FALSE)+HLOOKUP(D750,PREVCURVES,VLOOKUP(G750,MOVE_DOWN2,2,FALSE),FALSE)),VLOOKUP(G750,NGPREVPRICES,2,FALSE),CK752,VLOOKUP(G750,NGPREVPRICES,4,FALSE),HLOOKUP(D750,PREVVOLS,VLOOKUP(G750,MOVE_DOWN2,2,FALSE),FALSE),VLOOKUP(G750,NGPREVPRICES,3,FALSE),HLOOKUP(D750,Correllate,VLOOKUP(G750,CorMove,2,FALSE),FALSE),Q750-$CD$3,R750,$CJ$5)*H750</f>
        <v>-28711.89871773521</v>
      </c>
      <c r="CK752" s="235">
        <f t="shared" ref="CK752:CK761" si="947">I750</f>
        <v>0.2</v>
      </c>
      <c r="CM752" t="str">
        <f t="shared" ref="CM752:CM761" si="948">CONCATENATE(CC752,$CD$6)</f>
        <v>36892Curve Shift/Gamma</v>
      </c>
      <c r="CN752" t="str">
        <f t="shared" ref="CN752:CN816" si="949">CONCATENATE($CC752,$CE$6)</f>
        <v>36892Rho</v>
      </c>
      <c r="CO752" t="str">
        <f t="shared" ref="CO752:CO816" si="950">CONCATENATE($CC752,$CF$6)</f>
        <v>36892Drift</v>
      </c>
      <c r="CP752" t="str">
        <f t="shared" ref="CP752:CP816" si="951">CONCATENATE($CC752,$CG$6)</f>
        <v>36892Vega</v>
      </c>
      <c r="CQ752" t="str">
        <f t="shared" ref="CQ752:CQ816" si="952">CONCATENATE($CC752,$CH$6)</f>
        <v>36892Theta</v>
      </c>
    </row>
    <row r="753" spans="1:95" x14ac:dyDescent="0.25">
      <c r="A753" s="140" t="s">
        <v>279</v>
      </c>
      <c r="B753" t="s">
        <v>250</v>
      </c>
      <c r="C753" t="s">
        <v>603</v>
      </c>
      <c r="D753" s="4" t="s">
        <v>190</v>
      </c>
      <c r="E753" t="s">
        <v>20</v>
      </c>
      <c r="F753" t="s">
        <v>21</v>
      </c>
      <c r="G753" s="5">
        <v>36831</v>
      </c>
      <c r="H753" s="130">
        <v>-300000</v>
      </c>
      <c r="I753" s="235">
        <v>0.4</v>
      </c>
      <c r="J753" s="53">
        <f t="shared" si="930"/>
        <v>4.7359999999999998</v>
      </c>
      <c r="K753" s="7">
        <f t="shared" si="931"/>
        <v>1.5449999999999999</v>
      </c>
      <c r="L753" s="53">
        <f t="shared" si="932"/>
        <v>6.2809999999999997</v>
      </c>
      <c r="M753" s="157">
        <f t="shared" si="933"/>
        <v>6.810675983792E-2</v>
      </c>
      <c r="N753" s="4">
        <f t="shared" si="934"/>
        <v>0.59499999999999997</v>
      </c>
      <c r="O753" s="4">
        <f t="shared" si="935"/>
        <v>0.57699999999999996</v>
      </c>
      <c r="P753" s="9">
        <f t="shared" si="936"/>
        <v>0.85</v>
      </c>
      <c r="Q753" s="5">
        <f t="shared" si="875"/>
        <v>36829</v>
      </c>
      <c r="R753" s="4">
        <f t="shared" si="937"/>
        <v>1</v>
      </c>
      <c r="S753" s="158">
        <f>_xll.xSPRDOPT($L753,$J753,$I753,$M753,$O753,$N753,$P753,$Q753-$C$3,$R753,0)</f>
        <v>1.1494150926559483</v>
      </c>
      <c r="T753" s="159">
        <f>_xll.xSPRDOPT($L753,$J753,$I753,$M753,$O753,$N753,$P753,$Q753-$C$3,$R753,1)*H753</f>
        <v>-281605.04610479769</v>
      </c>
      <c r="U753" s="160">
        <f t="shared" si="938"/>
        <v>-344824.52779678447</v>
      </c>
      <c r="V753" s="159">
        <f>_xll.xSPRDOPT($L753,$J753,$I753,$M753,$O753,$N753,$P753,$Q753-$C$3,$R753,2)*H753</f>
        <v>277111.06857589557</v>
      </c>
      <c r="W753" s="159">
        <f t="shared" si="939"/>
        <v>-4493.97752890212</v>
      </c>
      <c r="X753" s="51" t="str">
        <f t="shared" si="940"/>
        <v>36831NGI-SOCAL</v>
      </c>
      <c r="Y753" s="418">
        <f t="shared" si="941"/>
        <v>-30</v>
      </c>
      <c r="Z753" s="456">
        <f t="shared" si="942"/>
        <v>0.93868348701599225</v>
      </c>
      <c r="AA753" s="456">
        <f>_xll.xSPRDOPT($L753,$J753,$I753,$M753,$O753,$N753,$P753,$Q753-$C$3,$R753,3)</f>
        <v>0.12784665684499935</v>
      </c>
      <c r="AB753" s="456">
        <f>((_xll.xSPRDOPT($L753+AB$5,$J753,$I753,$M753,$O753,$N753,$P753,$Q753-$C$3,$R753,3)*$H753)/10000)/100</f>
        <v>-3.835399705349981E-2</v>
      </c>
      <c r="AC753" s="456">
        <f>((_xll.xSPRDOPT($L753+$AB$5,$J753,$I753,$M753,$O753,$N753,$P753,$Q753-$C$3,$R753,7)*$H753)/100)</f>
        <v>817.49269698304181</v>
      </c>
      <c r="AD753" s="456">
        <f>(_xll.xSPRDOPT($L753+$AB$5,$J753,$I753,$M753,$O753,$N753,$P753,$Q753-$C$3,$R753,9)/365)*$H753</f>
        <v>135.11743278941432</v>
      </c>
      <c r="AE753">
        <f t="shared" si="862"/>
        <v>0</v>
      </c>
      <c r="AF753" s="456">
        <f t="shared" si="943"/>
        <v>-415.39594342188741</v>
      </c>
      <c r="AG753" s="456">
        <f>((_xll.xSPRDOPT($L753,$J753,$I753,$M753,$O753,$N753,$P753,$Q753-$C$3,$R753,6)*$H753)/100)</f>
        <v>-146.08704964162797</v>
      </c>
      <c r="AH753" s="456">
        <f>((_xll.xSPRDOPT($L753,$J753,$I753,$M753,$O753,$N753,$P753,$Q753-$C$3,$R753,5)*$H753)/100)</f>
        <v>-277.71021109056215</v>
      </c>
      <c r="AI753" s="456">
        <f>(((_xll.xSPRDOPT($L753,$J753,$I753,$M753,$O753,$N753,$P753,$Q753-$C$3,$R753,4)*$H753)/10000)/100)-AB753</f>
        <v>-1.9646879385086045E-2</v>
      </c>
      <c r="AJ753" s="456"/>
      <c r="CC753" s="141">
        <f t="shared" si="944"/>
        <v>36923</v>
      </c>
      <c r="CD753" s="234">
        <f>_xll.xSPRDOPT((VLOOKUP(G751,NGPrices,2,FALSE)+HLOOKUP(D751,Prices,VLOOKUP(G751,move_down,2,FALSE),FALSE)),VLOOKUP(G751,NGPrices,2,FALSE),I751,VLOOKUP(G751,NGPREVPRICES,4,FALSE),HLOOKUP(D751,PREVVOLS,VLOOKUP(G751,MOVE_DOWN2,2,FALSE),FALSE),VLOOKUP(G751,NGPREVPRICES,3,FALSE),HLOOKUP(D751,Correllate,VLOOKUP(G751,CorMove,2,FALSE),FALSE),Q751-$CD$3,R751,$CD$5)*H751-CJ753</f>
        <v>0</v>
      </c>
      <c r="CE753" s="234">
        <f>_xll.xSPRDOPT((VLOOKUP(G751,NGPREVPRICES,2,FALSE)+HLOOKUP(D751,PREVCURVES,VLOOKUP(G751,MOVE_DOWN2,2,FALSE),FALSE)),VLOOKUP(G751,NGPREVPRICES,2,FALSE),CK753,VLOOKUP(G751,NGPrices,4,FALSE),HLOOKUP(D751,PREVVOLS,VLOOKUP(G751,MOVE_DOWN2,2,FALSE),FALSE),VLOOKUP(G751,NGPREVPRICES,3,FALSE),HLOOKUP(D751,Correllate,VLOOKUP(G751,CorMove,2,FALSE),FALSE),Q751-$CD$3,R751,$CJ$5)*H751-CJ753</f>
        <v>0</v>
      </c>
      <c r="CF753" s="10">
        <f t="shared" si="945"/>
        <v>6.6549241097454797</v>
      </c>
      <c r="CG753" s="234">
        <f>_xll.xSPRDOPT((VLOOKUP(G751,NGPREVPRICES,2,FALSE)+HLOOKUP(D751,PREVCURVES,VLOOKUP(G751,MOVE_DOWN2,2,FALSE),FALSE)),VLOOKUP(G751,NGPREVPRICES,2,FALSE),CK753,VLOOKUP(G751,NGPREVPRICES,4,FALSE),HLOOKUP(D751,VOLS,VLOOKUP(G751,move_down,2,FALSE),FALSE),VLOOKUP(G751,NGPrices,3,FALSE),HLOOKUP(D751,Correllate,VLOOKUP(G751,CorMove,2,FALSE),FALSE),Q751-$CD$3,R751,$CJ$5)*H751-CJ753</f>
        <v>0</v>
      </c>
      <c r="CH753" s="234">
        <f>_xll.xSPRDOPT((VLOOKUP(G751,NGPREVPRICES,2,FALSE)+HLOOKUP(D751,PREVCURVES,VLOOKUP(G751,MOVE_DOWN2,2,FALSE),FALSE)),VLOOKUP(G751,NGPREVPRICES,2,FALSE),CK753,VLOOKUP(G751,NGPREVPRICES,4,FALSE),HLOOKUP(D751,PREVVOLS,VLOOKUP(G751,MOVE_DOWN2,2,FALSE),FALSE),VLOOKUP(G751,NGPREVPRICES,3,FALSE),HLOOKUP(D751,Correllate,VLOOKUP(G751,CorMove,2,FALSE),FALSE),Q751-$C$3,R751,$CJ$5)*H751-CJ753</f>
        <v>175.2102420378942</v>
      </c>
      <c r="CI753" s="234">
        <f t="shared" si="946"/>
        <v>181.86516614763968</v>
      </c>
      <c r="CJ753" s="234">
        <f>_xll.xSPRDOPT((VLOOKUP(G751,NGPREVPRICES,2,FALSE)+HLOOKUP(D751,PREVCURVES,VLOOKUP(G751,MOVE_DOWN2,2,FALSE),FALSE)),VLOOKUP(G751,NGPREVPRICES,2,FALSE),CK753,VLOOKUP(G751,NGPREVPRICES,4,FALSE),HLOOKUP(D751,PREVVOLS,VLOOKUP(G751,MOVE_DOWN2,2,FALSE),FALSE),VLOOKUP(G751,NGPREVPRICES,3,FALSE),HLOOKUP(D751,Correllate,VLOOKUP(G751,CorMove,2,FALSE),FALSE),Q751-$CD$3,R751,$CJ$5)*H751</f>
        <v>-34991.207679824947</v>
      </c>
      <c r="CK753" s="235">
        <f t="shared" si="947"/>
        <v>0.2</v>
      </c>
      <c r="CM753" t="str">
        <f t="shared" si="948"/>
        <v>36923Curve Shift/Gamma</v>
      </c>
      <c r="CN753" t="str">
        <f t="shared" si="949"/>
        <v>36923Rho</v>
      </c>
      <c r="CO753" t="str">
        <f t="shared" si="950"/>
        <v>36923Drift</v>
      </c>
      <c r="CP753" t="str">
        <f t="shared" si="951"/>
        <v>36923Vega</v>
      </c>
      <c r="CQ753" t="str">
        <f t="shared" si="952"/>
        <v>36923Theta</v>
      </c>
    </row>
    <row r="754" spans="1:95" x14ac:dyDescent="0.25">
      <c r="A754" s="140" t="s">
        <v>279</v>
      </c>
      <c r="B754" t="s">
        <v>250</v>
      </c>
      <c r="C754" t="s">
        <v>603</v>
      </c>
      <c r="D754" s="4" t="s">
        <v>190</v>
      </c>
      <c r="E754" t="s">
        <v>20</v>
      </c>
      <c r="F754" t="s">
        <v>21</v>
      </c>
      <c r="G754" s="5">
        <v>36861</v>
      </c>
      <c r="H754" s="130">
        <v>-310000</v>
      </c>
      <c r="I754" s="235">
        <v>0.4</v>
      </c>
      <c r="J754" s="53">
        <f t="shared" si="930"/>
        <v>4.8</v>
      </c>
      <c r="K754" s="7">
        <f t="shared" si="931"/>
        <v>1.0049999999999999</v>
      </c>
      <c r="L754" s="53">
        <f t="shared" si="932"/>
        <v>5.8049999999999997</v>
      </c>
      <c r="M754" s="157">
        <f t="shared" si="933"/>
        <v>6.8314027999354002E-2</v>
      </c>
      <c r="N754" s="4">
        <f t="shared" si="934"/>
        <v>0.6</v>
      </c>
      <c r="O754" s="4">
        <f t="shared" si="935"/>
        <v>0.58199999999999996</v>
      </c>
      <c r="P754" s="9">
        <f t="shared" si="936"/>
        <v>0.85</v>
      </c>
      <c r="Q754" s="5">
        <f t="shared" si="875"/>
        <v>36859</v>
      </c>
      <c r="R754" s="4">
        <f t="shared" si="937"/>
        <v>1</v>
      </c>
      <c r="S754" s="158">
        <f>_xll.xSPRDOPT($L754,$J754,$I754,$M754,$O754,$N754,$P754,$Q754-$C$3,$R754,0)</f>
        <v>0.71513567609184614</v>
      </c>
      <c r="T754" s="159">
        <f>_xll.xSPRDOPT($L754,$J754,$I754,$M754,$O754,$N754,$P754,$Q754-$C$3,$R754,1)*H754</f>
        <v>-238456.2065994931</v>
      </c>
      <c r="U754" s="160">
        <f t="shared" si="938"/>
        <v>-221692.0595884723</v>
      </c>
      <c r="V754" s="159">
        <f>_xll.xSPRDOPT($L754,$J754,$I754,$M754,$O754,$N754,$P754,$Q754-$C$3,$R754,2)*H754</f>
        <v>223135.47565401011</v>
      </c>
      <c r="W754" s="159">
        <f t="shared" si="939"/>
        <v>-15320.730945482996</v>
      </c>
      <c r="X754" s="51" t="str">
        <f t="shared" si="940"/>
        <v>36861NGI-SOCAL</v>
      </c>
      <c r="Y754" s="418">
        <f t="shared" si="941"/>
        <v>-31</v>
      </c>
      <c r="Z754" s="456">
        <f t="shared" si="942"/>
        <v>0.76921356967578425</v>
      </c>
      <c r="AA754" s="456">
        <f>_xll.xSPRDOPT($L754,$J754,$I754,$M754,$O754,$N754,$P754,$Q754-$C$3,$R754,3)</f>
        <v>0.31737919738874626</v>
      </c>
      <c r="AB754" s="456">
        <f>((_xll.xSPRDOPT($L754+AB$5,$J754,$I754,$M754,$O754,$N754,$P754,$Q754-$C$3,$R754,3)*$H754)/10000)/100</f>
        <v>-9.8387551190511346E-2</v>
      </c>
      <c r="AC754" s="456">
        <f>((_xll.xSPRDOPT($L754+$AB$5,$J754,$I754,$M754,$O754,$N754,$P754,$Q754-$C$3,$R754,7)*$H754)/100)</f>
        <v>2698.9429015241021</v>
      </c>
      <c r="AD754" s="456">
        <f>(_xll.xSPRDOPT($L754+$AB$5,$J754,$I754,$M754,$O754,$N754,$P754,$Q754-$C$3,$R754,9)/365)*$H754</f>
        <v>402.81101660509393</v>
      </c>
      <c r="AE754">
        <f t="shared" si="862"/>
        <v>0</v>
      </c>
      <c r="AF754" s="456">
        <f t="shared" si="943"/>
        <v>-1361.5974662053807</v>
      </c>
      <c r="AG754" s="456">
        <f>((_xll.xSPRDOPT($L754,$J754,$I754,$M754,$O754,$N754,$P754,$Q754-$C$3,$R754,6)*$H754)/100)</f>
        <v>-470.57004156696405</v>
      </c>
      <c r="AH754" s="456">
        <f>((_xll.xSPRDOPT($L754,$J754,$I754,$M754,$O754,$N754,$P754,$Q754-$C$3,$R754,5)*$H754)/100)</f>
        <v>-918.5849738540378</v>
      </c>
      <c r="AI754" s="456">
        <f>(((_xll.xSPRDOPT($L754,$J754,$I754,$M754,$O754,$N754,$P754,$Q754-$C$3,$R754,4)*$H754)/10000)/100)-AB754</f>
        <v>-2.4933571725293174E-2</v>
      </c>
      <c r="AJ754" s="456"/>
      <c r="CC754" s="141">
        <f t="shared" si="944"/>
        <v>36951</v>
      </c>
      <c r="CD754" s="234">
        <f>_xll.xSPRDOPT((VLOOKUP(G752,NGPrices,2,FALSE)+HLOOKUP(D752,Prices,VLOOKUP(G752,move_down,2,FALSE),FALSE)),VLOOKUP(G752,NGPrices,2,FALSE),I752,VLOOKUP(G752,NGPREVPRICES,4,FALSE),HLOOKUP(D752,PREVVOLS,VLOOKUP(G752,MOVE_DOWN2,2,FALSE),FALSE),VLOOKUP(G752,NGPREVPRICES,3,FALSE),HLOOKUP(D752,Correllate,VLOOKUP(G752,CorMove,2,FALSE),FALSE),Q752-$CD$3,R752,$CD$5)*H752-CJ754</f>
        <v>0</v>
      </c>
      <c r="CE754" s="234">
        <f>_xll.xSPRDOPT((VLOOKUP(G752,NGPREVPRICES,2,FALSE)+HLOOKUP(D752,PREVCURVES,VLOOKUP(G752,MOVE_DOWN2,2,FALSE),FALSE)),VLOOKUP(G752,NGPREVPRICES,2,FALSE),CK754,VLOOKUP(G752,NGPrices,4,FALSE),HLOOKUP(D752,PREVVOLS,VLOOKUP(G752,MOVE_DOWN2,2,FALSE),FALSE),VLOOKUP(G752,NGPREVPRICES,3,FALSE),HLOOKUP(D752,Correllate,VLOOKUP(G752,CorMove,2,FALSE),FALSE),Q752-$CD$3,R752,$CJ$5)*H752-CJ754</f>
        <v>0</v>
      </c>
      <c r="CF754" s="10">
        <f t="shared" si="945"/>
        <v>5.0466429478365171</v>
      </c>
      <c r="CG754" s="234">
        <f>_xll.xSPRDOPT((VLOOKUP(G752,NGPREVPRICES,2,FALSE)+HLOOKUP(D752,PREVCURVES,VLOOKUP(G752,MOVE_DOWN2,2,FALSE),FALSE)),VLOOKUP(G752,NGPREVPRICES,2,FALSE),CK754,VLOOKUP(G752,NGPREVPRICES,4,FALSE),HLOOKUP(D752,VOLS,VLOOKUP(G752,move_down,2,FALSE),FALSE),VLOOKUP(G752,NGPrices,3,FALSE),HLOOKUP(D752,Correllate,VLOOKUP(G752,CorMove,2,FALSE),FALSE),Q752-$CD$3,R752,$CJ$5)*H752-CJ754</f>
        <v>0</v>
      </c>
      <c r="CH754" s="234">
        <f>_xll.xSPRDOPT((VLOOKUP(G752,NGPREVPRICES,2,FALSE)+HLOOKUP(D752,PREVCURVES,VLOOKUP(G752,MOVE_DOWN2,2,FALSE),FALSE)),VLOOKUP(G752,NGPREVPRICES,2,FALSE),CK754,VLOOKUP(G752,NGPREVPRICES,4,FALSE),HLOOKUP(D752,PREVVOLS,VLOOKUP(G752,MOVE_DOWN2,2,FALSE),FALSE),VLOOKUP(G752,NGPREVPRICES,3,FALSE),HLOOKUP(D752,Correllate,VLOOKUP(G752,CorMove,2,FALSE),FALSE),Q752-$C$3,R752,$CJ$5)*H752-CJ754</f>
        <v>128.58446866778831</v>
      </c>
      <c r="CI754" s="234">
        <f t="shared" si="946"/>
        <v>133.63111161562483</v>
      </c>
      <c r="CJ754" s="234">
        <f>_xll.xSPRDOPT((VLOOKUP(G752,NGPREVPRICES,2,FALSE)+HLOOKUP(D752,PREVCURVES,VLOOKUP(G752,MOVE_DOWN2,2,FALSE),FALSE)),VLOOKUP(G752,NGPREVPRICES,2,FALSE),CK754,VLOOKUP(G752,NGPREVPRICES,4,FALSE),HLOOKUP(D752,PREVVOLS,VLOOKUP(G752,MOVE_DOWN2,2,FALSE),FALSE),VLOOKUP(G752,NGPREVPRICES,3,FALSE),HLOOKUP(D752,Correllate,VLOOKUP(G752,CorMove,2,FALSE),FALSE),Q752-$CD$3,R752,$CJ$5)*H752</f>
        <v>-26314.057292236681</v>
      </c>
      <c r="CK754" s="235">
        <f t="shared" si="947"/>
        <v>0.2</v>
      </c>
      <c r="CM754" t="str">
        <f t="shared" si="948"/>
        <v>36951Curve Shift/Gamma</v>
      </c>
      <c r="CN754" t="str">
        <f t="shared" si="949"/>
        <v>36951Rho</v>
      </c>
      <c r="CO754" t="str">
        <f t="shared" si="950"/>
        <v>36951Drift</v>
      </c>
      <c r="CP754" t="str">
        <f t="shared" si="951"/>
        <v>36951Vega</v>
      </c>
      <c r="CQ754" t="str">
        <f t="shared" si="952"/>
        <v>36951Theta</v>
      </c>
    </row>
    <row r="755" spans="1:95" x14ac:dyDescent="0.25">
      <c r="A755" s="140" t="s">
        <v>279</v>
      </c>
      <c r="B755" t="s">
        <v>250</v>
      </c>
      <c r="C755" t="s">
        <v>603</v>
      </c>
      <c r="D755" s="4" t="s">
        <v>190</v>
      </c>
      <c r="E755" t="s">
        <v>20</v>
      </c>
      <c r="F755" t="s">
        <v>21</v>
      </c>
      <c r="G755" s="5">
        <v>36892</v>
      </c>
      <c r="H755" s="130">
        <v>-310000</v>
      </c>
      <c r="I755" s="235">
        <v>0.4</v>
      </c>
      <c r="J755" s="53">
        <f t="shared" si="930"/>
        <v>4.7439999999999998</v>
      </c>
      <c r="K755" s="7">
        <f t="shared" si="931"/>
        <v>0.76749999999999996</v>
      </c>
      <c r="L755" s="53">
        <f t="shared" si="932"/>
        <v>5.5114999999999998</v>
      </c>
      <c r="M755" s="157">
        <f t="shared" si="933"/>
        <v>6.8374831148490994E-2</v>
      </c>
      <c r="N755" s="4">
        <f t="shared" si="934"/>
        <v>0.60499999999999998</v>
      </c>
      <c r="O755" s="4">
        <f t="shared" si="935"/>
        <v>0.58699999999999997</v>
      </c>
      <c r="P755" s="9">
        <f t="shared" si="936"/>
        <v>0.85</v>
      </c>
      <c r="Q755" s="5">
        <f t="shared" si="875"/>
        <v>36888</v>
      </c>
      <c r="R755" s="4">
        <f t="shared" si="937"/>
        <v>1</v>
      </c>
      <c r="S755" s="158">
        <f>_xll.xSPRDOPT($L755,$J755,$I755,$M755,$O755,$N755,$P755,$Q755-$C$3,$R755,0)</f>
        <v>0.58274123454249072</v>
      </c>
      <c r="T755" s="159">
        <f>_xll.xSPRDOPT($L755,$J755,$I755,$M755,$O755,$N755,$P755,$Q755-$C$3,$R755,1)*H755</f>
        <v>-206546.97240983756</v>
      </c>
      <c r="U755" s="160">
        <f t="shared" si="938"/>
        <v>-180649.78270817213</v>
      </c>
      <c r="V755" s="159">
        <f>_xll.xSPRDOPT($L755,$J755,$I755,$M755,$O755,$N755,$P755,$Q755-$C$3,$R755,2)*H755</f>
        <v>185615.50469754878</v>
      </c>
      <c r="W755" s="159">
        <f t="shared" si="939"/>
        <v>-20931.467712288781</v>
      </c>
      <c r="X755" s="51" t="str">
        <f t="shared" si="940"/>
        <v>36892NGI-SOCAL</v>
      </c>
      <c r="Y755" s="418">
        <f t="shared" si="941"/>
        <v>-31</v>
      </c>
      <c r="Z755" s="456">
        <f t="shared" si="942"/>
        <v>0.66628055616076631</v>
      </c>
      <c r="AA755" s="456">
        <f>_xll.xSPRDOPT($L755,$J755,$I755,$M755,$O755,$N755,$P755,$Q755-$C$3,$R755,3)</f>
        <v>0.34902507552951939</v>
      </c>
      <c r="AB755" s="456">
        <f>((_xll.xSPRDOPT($L755+AB$5,$J755,$I755,$M755,$O755,$N755,$P755,$Q755-$C$3,$R755,3)*$H755)/10000)/100</f>
        <v>-0.108197773414151</v>
      </c>
      <c r="AC755" s="456">
        <f>((_xll.xSPRDOPT($L755+$AB$5,$J755,$I755,$M755,$O755,$N755,$P755,$Q755-$C$3,$R755,7)*$H755)/100)</f>
        <v>3570.8271719757008</v>
      </c>
      <c r="AD755" s="456">
        <f>(_xll.xSPRDOPT($L755+$AB$5,$J755,$I755,$M755,$O755,$N755,$P755,$Q755-$C$3,$R755,9)/365)*$H755</f>
        <v>413.75070440782309</v>
      </c>
      <c r="AE755">
        <f t="shared" si="862"/>
        <v>0</v>
      </c>
      <c r="AF755" s="456">
        <f t="shared" si="943"/>
        <v>-1789.140641034282</v>
      </c>
      <c r="AG755" s="456">
        <f>((_xll.xSPRDOPT($L755,$J755,$I755,$M755,$O755,$N755,$P755,$Q755-$C$3,$R755,6)*$H755)/100)</f>
        <v>-604.83170723980152</v>
      </c>
      <c r="AH755" s="456">
        <f>((_xll.xSPRDOPT($L755,$J755,$I755,$M755,$O755,$N755,$P755,$Q755-$C$3,$R755,5)*$H755)/100)</f>
        <v>-1220.625051014754</v>
      </c>
      <c r="AI755" s="456">
        <f>(((_xll.xSPRDOPT($L755,$J755,$I755,$M755,$O755,$N755,$P755,$Q755-$C$3,$R755,4)*$H755)/10000)/100)-AB755</f>
        <v>-1.6433938527494585E-2</v>
      </c>
      <c r="AJ755" s="456"/>
      <c r="CC755" s="141">
        <f t="shared" si="944"/>
        <v>36831</v>
      </c>
      <c r="CD755" s="234">
        <f>_xll.xSPRDOPT((VLOOKUP(G753,NGPrices,2,FALSE)+HLOOKUP(D753,Prices,VLOOKUP(G753,move_down,2,FALSE),FALSE)),VLOOKUP(G753,NGPrices,2,FALSE),I753,VLOOKUP(G753,NGPREVPRICES,4,FALSE),HLOOKUP(D753,PREVVOLS,VLOOKUP(G753,MOVE_DOWN2,2,FALSE),FALSE),VLOOKUP(G753,NGPREVPRICES,3,FALSE),HLOOKUP(D753,Correllate,VLOOKUP(G753,CorMove,2,FALSE),FALSE),Q753-$CD$3,R753,$CD$5)*H753-CJ755</f>
        <v>0</v>
      </c>
      <c r="CE755" s="234">
        <f>_xll.xSPRDOPT((VLOOKUP(G753,NGPREVPRICES,2,FALSE)+HLOOKUP(D753,PREVCURVES,VLOOKUP(G753,MOVE_DOWN2,2,FALSE),FALSE)),VLOOKUP(G753,NGPREVPRICES,2,FALSE),CK755,VLOOKUP(G753,NGPrices,4,FALSE),HLOOKUP(D753,PREVVOLS,VLOOKUP(G753,MOVE_DOWN2,2,FALSE),FALSE),VLOOKUP(G753,NGPREVPRICES,3,FALSE),HLOOKUP(D753,Correllate,VLOOKUP(G753,CorMove,2,FALSE),FALSE),Q753-$CD$3,R753,$CJ$5)*H753-CJ755</f>
        <v>0</v>
      </c>
      <c r="CF755" s="10">
        <f t="shared" si="945"/>
        <v>64.062874575436581</v>
      </c>
      <c r="CG755" s="234">
        <f>_xll.xSPRDOPT((VLOOKUP(G753,NGPREVPRICES,2,FALSE)+HLOOKUP(D753,PREVCURVES,VLOOKUP(G753,MOVE_DOWN2,2,FALSE),FALSE)),VLOOKUP(G753,NGPREVPRICES,2,FALSE),CK755,VLOOKUP(G753,NGPREVPRICES,4,FALSE),HLOOKUP(D753,VOLS,VLOOKUP(G753,move_down,2,FALSE),FALSE),VLOOKUP(G753,NGPrices,3,FALSE),HLOOKUP(D753,Correllate,VLOOKUP(G753,CorMove,2,FALSE),FALSE),Q753-$CD$3,R753,$CJ$5)*H753-CJ755</f>
        <v>0</v>
      </c>
      <c r="CH755" s="234">
        <f>_xll.xSPRDOPT((VLOOKUP(G753,NGPREVPRICES,2,FALSE)+HLOOKUP(D753,PREVCURVES,VLOOKUP(G753,MOVE_DOWN2,2,FALSE),FALSE)),VLOOKUP(G753,NGPREVPRICES,2,FALSE),CK755,VLOOKUP(G753,NGPREVPRICES,4,FALSE),HLOOKUP(D753,PREVVOLS,VLOOKUP(G753,MOVE_DOWN2,2,FALSE),FALSE),VLOOKUP(G753,NGPREVPRICES,3,FALSE),HLOOKUP(D753,Correllate,VLOOKUP(G753,CorMove,2,FALSE),FALSE),Q753-$C$3,R753,$CJ$5)*H753-CJ755</f>
        <v>136.17373603984015</v>
      </c>
      <c r="CI755" s="234">
        <f t="shared" si="946"/>
        <v>200.23661061527673</v>
      </c>
      <c r="CJ755" s="234">
        <f>_xll.xSPRDOPT((VLOOKUP(G753,NGPREVPRICES,2,FALSE)+HLOOKUP(D753,PREVCURVES,VLOOKUP(G753,MOVE_DOWN2,2,FALSE),FALSE)),VLOOKUP(G753,NGPREVPRICES,2,FALSE),CK755,VLOOKUP(G753,NGPREVPRICES,4,FALSE),HLOOKUP(D753,PREVVOLS,VLOOKUP(G753,MOVE_DOWN2,2,FALSE),FALSE),VLOOKUP(G753,NGPREVPRICES,3,FALSE),HLOOKUP(D753,Correllate,VLOOKUP(G753,CorMove,2,FALSE),FALSE),Q753-$CD$3,R753,$CJ$5)*H753</f>
        <v>-344960.70153282431</v>
      </c>
      <c r="CK755" s="235">
        <f t="shared" si="947"/>
        <v>0.4</v>
      </c>
      <c r="CM755" t="str">
        <f t="shared" si="948"/>
        <v>36831Curve Shift/Gamma</v>
      </c>
      <c r="CN755" t="str">
        <f t="shared" si="949"/>
        <v>36831Rho</v>
      </c>
      <c r="CO755" t="str">
        <f t="shared" si="950"/>
        <v>36831Drift</v>
      </c>
      <c r="CP755" t="str">
        <f t="shared" si="951"/>
        <v>36831Vega</v>
      </c>
      <c r="CQ755" t="str">
        <f t="shared" si="952"/>
        <v>36831Theta</v>
      </c>
    </row>
    <row r="756" spans="1:95" x14ac:dyDescent="0.25">
      <c r="A756" s="140" t="s">
        <v>279</v>
      </c>
      <c r="B756" t="s">
        <v>250</v>
      </c>
      <c r="C756" t="s">
        <v>603</v>
      </c>
      <c r="D756" s="4" t="s">
        <v>190</v>
      </c>
      <c r="E756" t="s">
        <v>20</v>
      </c>
      <c r="F756" t="s">
        <v>21</v>
      </c>
      <c r="G756" s="5">
        <v>36923</v>
      </c>
      <c r="H756" s="130">
        <v>-280000</v>
      </c>
      <c r="I756" s="235">
        <v>0.4</v>
      </c>
      <c r="J756" s="53">
        <f t="shared" si="930"/>
        <v>4.4800000000000004</v>
      </c>
      <c r="K756" s="7">
        <f t="shared" si="931"/>
        <v>0.61750000000000005</v>
      </c>
      <c r="L756" s="53">
        <f t="shared" si="932"/>
        <v>5.0975000000000001</v>
      </c>
      <c r="M756" s="157">
        <f t="shared" si="933"/>
        <v>6.8640161611372E-2</v>
      </c>
      <c r="N756" s="4">
        <f t="shared" si="934"/>
        <v>0.59250000000000003</v>
      </c>
      <c r="O756" s="4">
        <f t="shared" si="935"/>
        <v>0.57499999999999996</v>
      </c>
      <c r="P756" s="9">
        <f t="shared" si="936"/>
        <v>0.85</v>
      </c>
      <c r="Q756" s="5">
        <f t="shared" si="875"/>
        <v>36921</v>
      </c>
      <c r="R756" s="4">
        <f t="shared" si="937"/>
        <v>1</v>
      </c>
      <c r="S756" s="158">
        <f>_xll.xSPRDOPT($L756,$J756,$I756,$M756,$O756,$N756,$P756,$Q756-$C$3,$R756,0)</f>
        <v>0.50097596261832467</v>
      </c>
      <c r="T756" s="159">
        <f>_xll.xSPRDOPT($L756,$J756,$I756,$M756,$O756,$N756,$P756,$Q756-$C$3,$R756,1)*H756</f>
        <v>-170025.90711368679</v>
      </c>
      <c r="U756" s="160">
        <f t="shared" si="938"/>
        <v>-140273.26953313089</v>
      </c>
      <c r="V756" s="159">
        <f>_xll.xSPRDOPT($L756,$J756,$I756,$M756,$O756,$N756,$P756,$Q756-$C$3,$R756,2)*H756</f>
        <v>148279.4473000654</v>
      </c>
      <c r="W756" s="159">
        <f t="shared" si="939"/>
        <v>-21746.45981362139</v>
      </c>
      <c r="X756" s="51" t="str">
        <f t="shared" si="940"/>
        <v>36923NGI-SOCAL</v>
      </c>
      <c r="Y756" s="418">
        <f t="shared" si="941"/>
        <v>-28</v>
      </c>
      <c r="Z756" s="456">
        <f t="shared" si="942"/>
        <v>0.60723538254888143</v>
      </c>
      <c r="AA756" s="456">
        <f>_xll.xSPRDOPT($L756,$J756,$I756,$M756,$O756,$N756,$P756,$Q756-$C$3,$R756,3)</f>
        <v>0.36112799228435338</v>
      </c>
      <c r="AB756" s="456">
        <f>((_xll.xSPRDOPT($L756+AB$5,$J756,$I756,$M756,$O756,$N756,$P756,$Q756-$C$3,$R756,3)*$H756)/10000)/100</f>
        <v>-0.10111583783961896</v>
      </c>
      <c r="AC756" s="456">
        <f>((_xll.xSPRDOPT($L756+$AB$5,$J756,$I756,$M756,$O756,$N756,$P756,$Q756-$C$3,$R756,7)*$H756)/100)</f>
        <v>3466.5397968408083</v>
      </c>
      <c r="AD756" s="456">
        <f>(_xll.xSPRDOPT($L756+$AB$5,$J756,$I756,$M756,$O756,$N756,$P756,$Q756-$C$3,$R756,9)/365)*$H756</f>
        <v>315.98516560731957</v>
      </c>
      <c r="AE756">
        <f t="shared" si="862"/>
        <v>0</v>
      </c>
      <c r="AF756" s="456">
        <f t="shared" si="943"/>
        <v>-1778.4983126892691</v>
      </c>
      <c r="AG756" s="456">
        <f>((_xll.xSPRDOPT($L756,$J756,$I756,$M756,$O756,$N756,$P756,$Q756-$C$3,$R756,6)*$H756)/100)</f>
        <v>-569.85183061023508</v>
      </c>
      <c r="AH756" s="456">
        <f>((_xll.xSPRDOPT($L756,$J756,$I756,$M756,$O756,$N756,$P756,$Q756-$C$3,$R756,5)*$H756)/100)</f>
        <v>-1245.4313750118743</v>
      </c>
      <c r="AI756" s="456">
        <f>(((_xll.xSPRDOPT($L756,$J756,$I756,$M756,$O756,$N756,$P756,$Q756-$C$3,$R756,4)*$H756)/10000)/100)-AB756</f>
        <v>-9.4357101359215656E-3</v>
      </c>
      <c r="AJ756" s="456"/>
      <c r="CC756" s="141">
        <f t="shared" si="944"/>
        <v>36861</v>
      </c>
      <c r="CD756" s="234">
        <f>_xll.xSPRDOPT((VLOOKUP(G754,NGPrices,2,FALSE)+HLOOKUP(D754,Prices,VLOOKUP(G754,move_down,2,FALSE),FALSE)),VLOOKUP(G754,NGPrices,2,FALSE),I754,VLOOKUP(G754,NGPREVPRICES,4,FALSE),HLOOKUP(D754,PREVVOLS,VLOOKUP(G754,MOVE_DOWN2,2,FALSE),FALSE),VLOOKUP(G754,NGPREVPRICES,3,FALSE),HLOOKUP(D754,Correllate,VLOOKUP(G754,CorMove,2,FALSE),FALSE),Q754-$CD$3,R754,$CD$5)*H754-CJ756</f>
        <v>0</v>
      </c>
      <c r="CE756" s="234">
        <f>_xll.xSPRDOPT((VLOOKUP(G754,NGPREVPRICES,2,FALSE)+HLOOKUP(D754,PREVCURVES,VLOOKUP(G754,MOVE_DOWN2,2,FALSE),FALSE)),VLOOKUP(G754,NGPREVPRICES,2,FALSE),CK756,VLOOKUP(G754,NGPrices,4,FALSE),HLOOKUP(D754,PREVVOLS,VLOOKUP(G754,MOVE_DOWN2,2,FALSE),FALSE),VLOOKUP(G754,NGPREVPRICES,3,FALSE),HLOOKUP(D754,Correllate,VLOOKUP(G754,CorMove,2,FALSE),FALSE),Q754-$CD$3,R754,$CJ$5)*H754-CJ756</f>
        <v>0</v>
      </c>
      <c r="CF756" s="10">
        <f t="shared" si="945"/>
        <v>41.606612580013461</v>
      </c>
      <c r="CG756" s="234">
        <f>_xll.xSPRDOPT((VLOOKUP(G754,NGPREVPRICES,2,FALSE)+HLOOKUP(D754,PREVCURVES,VLOOKUP(G754,MOVE_DOWN2,2,FALSE),FALSE)),VLOOKUP(G754,NGPREVPRICES,2,FALSE),CK756,VLOOKUP(G754,NGPREVPRICES,4,FALSE),HLOOKUP(D754,VOLS,VLOOKUP(G754,move_down,2,FALSE),FALSE),VLOOKUP(G754,NGPrices,3,FALSE),HLOOKUP(D754,Correllate,VLOOKUP(G754,CorMove,2,FALSE),FALSE),Q754-$CD$3,R754,$CJ$5)*H754-CJ756</f>
        <v>0</v>
      </c>
      <c r="CH756" s="234">
        <f>_xll.xSPRDOPT((VLOOKUP(G754,NGPREVPRICES,2,FALSE)+HLOOKUP(D754,PREVCURVES,VLOOKUP(G754,MOVE_DOWN2,2,FALSE),FALSE)),VLOOKUP(G754,NGPREVPRICES,2,FALSE),CK756,VLOOKUP(G754,NGPREVPRICES,4,FALSE),HLOOKUP(D754,PREVVOLS,VLOOKUP(G754,MOVE_DOWN2,2,FALSE),FALSE),VLOOKUP(G754,NGPREVPRICES,3,FALSE),HLOOKUP(D754,Correllate,VLOOKUP(G754,CorMove,2,FALSE),FALSE),Q754-$C$3,R754,$CJ$5)*H754-CJ756</f>
        <v>401.84010869418853</v>
      </c>
      <c r="CI756" s="234">
        <f t="shared" si="946"/>
        <v>443.44672127420199</v>
      </c>
      <c r="CJ756" s="234">
        <f>_xll.xSPRDOPT((VLOOKUP(G754,NGPREVPRICES,2,FALSE)+HLOOKUP(D754,PREVCURVES,VLOOKUP(G754,MOVE_DOWN2,2,FALSE),FALSE)),VLOOKUP(G754,NGPREVPRICES,2,FALSE),CK756,VLOOKUP(G754,NGPREVPRICES,4,FALSE),HLOOKUP(D754,PREVVOLS,VLOOKUP(G754,MOVE_DOWN2,2,FALSE),FALSE),VLOOKUP(G754,NGPREVPRICES,3,FALSE),HLOOKUP(D754,Correllate,VLOOKUP(G754,CorMove,2,FALSE),FALSE),Q754-$CD$3,R754,$CJ$5)*H754</f>
        <v>-222093.89969716649</v>
      </c>
      <c r="CK756" s="235">
        <f t="shared" si="947"/>
        <v>0.4</v>
      </c>
      <c r="CM756" t="str">
        <f t="shared" si="948"/>
        <v>36861Curve Shift/Gamma</v>
      </c>
      <c r="CN756" t="str">
        <f t="shared" si="949"/>
        <v>36861Rho</v>
      </c>
      <c r="CO756" t="str">
        <f t="shared" si="950"/>
        <v>36861Drift</v>
      </c>
      <c r="CP756" t="str">
        <f t="shared" si="951"/>
        <v>36861Vega</v>
      </c>
      <c r="CQ756" t="str">
        <f t="shared" si="952"/>
        <v>36861Theta</v>
      </c>
    </row>
    <row r="757" spans="1:95" x14ac:dyDescent="0.25">
      <c r="A757" s="140" t="s">
        <v>279</v>
      </c>
      <c r="B757" t="s">
        <v>250</v>
      </c>
      <c r="C757" t="s">
        <v>603</v>
      </c>
      <c r="D757" s="4" t="s">
        <v>190</v>
      </c>
      <c r="E757" t="s">
        <v>20</v>
      </c>
      <c r="F757" t="s">
        <v>21</v>
      </c>
      <c r="G757" s="5">
        <v>36951</v>
      </c>
      <c r="H757" s="130">
        <v>-310000</v>
      </c>
      <c r="I757" s="235">
        <v>0.4</v>
      </c>
      <c r="J757" s="53">
        <f t="shared" si="930"/>
        <v>4.2130000000000001</v>
      </c>
      <c r="K757" s="7">
        <f t="shared" si="931"/>
        <v>0.59750000000000003</v>
      </c>
      <c r="L757" s="53">
        <f t="shared" si="932"/>
        <v>4.8105000000000002</v>
      </c>
      <c r="M757" s="157">
        <f t="shared" si="933"/>
        <v>6.8879814952706994E-2</v>
      </c>
      <c r="N757" s="4">
        <f t="shared" si="934"/>
        <v>0.53249999999999997</v>
      </c>
      <c r="O757" s="4">
        <f t="shared" si="935"/>
        <v>0.51700000000000002</v>
      </c>
      <c r="P757" s="9">
        <f t="shared" si="936"/>
        <v>0.85</v>
      </c>
      <c r="Q757" s="5">
        <f t="shared" si="875"/>
        <v>36949</v>
      </c>
      <c r="R757" s="4">
        <f t="shared" si="937"/>
        <v>1</v>
      </c>
      <c r="S757" s="158">
        <f>_xll.xSPRDOPT($L757,$J757,$I757,$M757,$O757,$N757,$P757,$Q757-$C$3,$R757,0)</f>
        <v>0.45759370881864125</v>
      </c>
      <c r="T757" s="159">
        <f>_xll.xSPRDOPT($L757,$J757,$I757,$M757,$O757,$N757,$P757,$Q757-$C$3,$R757,1)*H757</f>
        <v>-186584.89171747756</v>
      </c>
      <c r="U757" s="160">
        <f t="shared" si="938"/>
        <v>-141854.04973377878</v>
      </c>
      <c r="V757" s="159">
        <f>_xll.xSPRDOPT($L757,$J757,$I757,$M757,$O757,$N757,$P757,$Q757-$C$3,$R757,2)*H757</f>
        <v>163199.21733007897</v>
      </c>
      <c r="W757" s="159">
        <f t="shared" si="939"/>
        <v>-23385.674387398583</v>
      </c>
      <c r="X757" s="51" t="str">
        <f t="shared" si="940"/>
        <v>36951NGI-SOCAL</v>
      </c>
      <c r="Y757" s="418">
        <f t="shared" si="941"/>
        <v>-31</v>
      </c>
      <c r="Z757" s="456">
        <f t="shared" si="942"/>
        <v>0.60188674747573401</v>
      </c>
      <c r="AA757" s="456">
        <f>_xll.xSPRDOPT($L757,$J757,$I757,$M757,$O757,$N757,$P757,$Q757-$C$3,$R757,3)</f>
        <v>0.39076294904952308</v>
      </c>
      <c r="AB757" s="456">
        <f>((_xll.xSPRDOPT($L757+AB$5,$J757,$I757,$M757,$O757,$N757,$P757,$Q757-$C$3,$R757,3)*$H757)/10000)/100</f>
        <v>-0.12113651420535217</v>
      </c>
      <c r="AC757" s="456">
        <f>((_xll.xSPRDOPT($L757+$AB$5,$J757,$I757,$M757,$O757,$N757,$P757,$Q757-$C$3,$R757,7)*$H757)/100)</f>
        <v>3513.6341701195724</v>
      </c>
      <c r="AD757" s="456">
        <f>(_xll.xSPRDOPT($L757+$AB$5,$J757,$I757,$M757,$O757,$N757,$P757,$Q757-$C$3,$R757,9)/365)*$H757</f>
        <v>267.54978631836389</v>
      </c>
      <c r="AE757">
        <f t="shared" si="862"/>
        <v>0</v>
      </c>
      <c r="AF757" s="456">
        <f t="shared" si="943"/>
        <v>-2010.4958642725901</v>
      </c>
      <c r="AG757" s="456">
        <f>((_xll.xSPRDOPT($L757,$J757,$I757,$M757,$O757,$N757,$P757,$Q757-$C$3,$R757,6)*$H757)/100)</f>
        <v>-607.83156486915652</v>
      </c>
      <c r="AH757" s="456">
        <f>((_xll.xSPRDOPT($L757,$J757,$I757,$M757,$O757,$N757,$P757,$Q757-$C$3,$R757,5)*$H757)/100)</f>
        <v>-1444.7170975480237</v>
      </c>
      <c r="AI757" s="456">
        <f>(((_xll.xSPRDOPT($L757,$J757,$I757,$M757,$O757,$N757,$P757,$Q757-$C$3,$R757,4)*$H757)/10000)/100)-AB757</f>
        <v>-1.0858486698651207E-2</v>
      </c>
      <c r="AJ757" s="456"/>
      <c r="CC757" s="141">
        <f t="shared" si="944"/>
        <v>36892</v>
      </c>
      <c r="CD757" s="234">
        <f>_xll.xSPRDOPT((VLOOKUP(G755,NGPrices,2,FALSE)+HLOOKUP(D755,Prices,VLOOKUP(G755,move_down,2,FALSE),FALSE)),VLOOKUP(G755,NGPrices,2,FALSE),I755,VLOOKUP(G755,NGPREVPRICES,4,FALSE),HLOOKUP(D755,PREVVOLS,VLOOKUP(G755,MOVE_DOWN2,2,FALSE),FALSE),VLOOKUP(G755,NGPREVPRICES,3,FALSE),HLOOKUP(D755,Correllate,VLOOKUP(G755,CorMove,2,FALSE),FALSE),Q755-$CD$3,R755,$CD$5)*H755-CJ757</f>
        <v>0</v>
      </c>
      <c r="CE757" s="234">
        <f>_xll.xSPRDOPT((VLOOKUP(G755,NGPREVPRICES,2,FALSE)+HLOOKUP(D755,PREVCURVES,VLOOKUP(G755,MOVE_DOWN2,2,FALSE),FALSE)),VLOOKUP(G755,NGPREVPRICES,2,FALSE),CK757,VLOOKUP(G755,NGPrices,4,FALSE),HLOOKUP(D755,PREVVOLS,VLOOKUP(G755,MOVE_DOWN2,2,FALSE),FALSE),VLOOKUP(G755,NGPREVPRICES,3,FALSE),HLOOKUP(D755,Correllate,VLOOKUP(G755,CorMove,2,FALSE),FALSE),Q755-$CD$3,R755,$CJ$5)*H755-CJ757</f>
        <v>0</v>
      </c>
      <c r="CF757" s="10">
        <f t="shared" si="945"/>
        <v>34.119605231593596</v>
      </c>
      <c r="CG757" s="234">
        <f>_xll.xSPRDOPT((VLOOKUP(G755,NGPREVPRICES,2,FALSE)+HLOOKUP(D755,PREVCURVES,VLOOKUP(G755,MOVE_DOWN2,2,FALSE),FALSE)),VLOOKUP(G755,NGPREVPRICES,2,FALSE),CK757,VLOOKUP(G755,NGPREVPRICES,4,FALSE),HLOOKUP(D755,VOLS,VLOOKUP(G755,move_down,2,FALSE),FALSE),VLOOKUP(G755,NGPrices,3,FALSE),HLOOKUP(D755,Correllate,VLOOKUP(G755,CorMove,2,FALSE),FALSE),Q755-$CD$3,R755,$CJ$5)*H755-CJ757</f>
        <v>0</v>
      </c>
      <c r="CH757" s="234">
        <f>_xll.xSPRDOPT((VLOOKUP(G755,NGPREVPRICES,2,FALSE)+HLOOKUP(D755,PREVCURVES,VLOOKUP(G755,MOVE_DOWN2,2,FALSE),FALSE)),VLOOKUP(G755,NGPREVPRICES,2,FALSE),CK757,VLOOKUP(G755,NGPREVPRICES,4,FALSE),HLOOKUP(D755,PREVVOLS,VLOOKUP(G755,MOVE_DOWN2,2,FALSE),FALSE),VLOOKUP(G755,NGPREVPRICES,3,FALSE),HLOOKUP(D755,Correllate,VLOOKUP(G755,CorMove,2,FALSE),FALSE),Q755-$C$3,R755,$CJ$5)*H755-CJ757</f>
        <v>412.59493788366672</v>
      </c>
      <c r="CI757" s="234">
        <f t="shared" si="946"/>
        <v>446.71454311526031</v>
      </c>
      <c r="CJ757" s="234">
        <f>_xll.xSPRDOPT((VLOOKUP(G755,NGPREVPRICES,2,FALSE)+HLOOKUP(D755,PREVCURVES,VLOOKUP(G755,MOVE_DOWN2,2,FALSE),FALSE)),VLOOKUP(G755,NGPREVPRICES,2,FALSE),CK757,VLOOKUP(G755,NGPREVPRICES,4,FALSE),HLOOKUP(D755,PREVVOLS,VLOOKUP(G755,MOVE_DOWN2,2,FALSE),FALSE),VLOOKUP(G755,NGPREVPRICES,3,FALSE),HLOOKUP(D755,Correllate,VLOOKUP(G755,CorMove,2,FALSE),FALSE),Q755-$CD$3,R755,$CJ$5)*H755</f>
        <v>-181062.3776460558</v>
      </c>
      <c r="CK757" s="235">
        <f t="shared" si="947"/>
        <v>0.4</v>
      </c>
      <c r="CM757" t="str">
        <f t="shared" si="948"/>
        <v>36892Curve Shift/Gamma</v>
      </c>
      <c r="CN757" t="str">
        <f t="shared" si="949"/>
        <v>36892Rho</v>
      </c>
      <c r="CO757" t="str">
        <f t="shared" si="950"/>
        <v>36892Drift</v>
      </c>
      <c r="CP757" t="str">
        <f t="shared" si="951"/>
        <v>36892Vega</v>
      </c>
      <c r="CQ757" t="str">
        <f t="shared" si="952"/>
        <v>36892Theta</v>
      </c>
    </row>
    <row r="758" spans="1:95" x14ac:dyDescent="0.25">
      <c r="A758" s="140" t="s">
        <v>279</v>
      </c>
      <c r="B758" t="s">
        <v>250</v>
      </c>
      <c r="C758" t="s">
        <v>604</v>
      </c>
      <c r="D758" s="4" t="s">
        <v>190</v>
      </c>
      <c r="E758" t="s">
        <v>20</v>
      </c>
      <c r="F758" t="s">
        <v>21</v>
      </c>
      <c r="G758" s="5">
        <v>36770</v>
      </c>
      <c r="H758" s="130">
        <v>-600000</v>
      </c>
      <c r="I758" s="235">
        <v>0.9</v>
      </c>
      <c r="J758" s="53">
        <f t="shared" si="930"/>
        <v>4.6849999999999996</v>
      </c>
      <c r="K758" s="7">
        <f t="shared" si="931"/>
        <v>2.5</v>
      </c>
      <c r="L758" s="53">
        <f t="shared" si="932"/>
        <v>7.1849999999999996</v>
      </c>
      <c r="M758" s="157">
        <f t="shared" si="933"/>
        <v>6.7216196212184998E-2</v>
      </c>
      <c r="N758" s="4">
        <f t="shared" si="934"/>
        <v>0.4</v>
      </c>
      <c r="O758" s="4">
        <f t="shared" si="935"/>
        <v>0.376</v>
      </c>
      <c r="P758" s="9">
        <f t="shared" si="936"/>
        <v>0.83</v>
      </c>
      <c r="Q758" s="5">
        <f t="shared" si="875"/>
        <v>36768</v>
      </c>
      <c r="R758" s="4">
        <f t="shared" si="937"/>
        <v>1</v>
      </c>
      <c r="S758" s="158">
        <f>_xll.xSPRDOPT($L758,$J758,$I758,$M758,$O758,$N758,$P758,$Q758-$C$3,$R758,0)</f>
        <v>1.5997057921988143</v>
      </c>
      <c r="T758" s="159">
        <f>_xll.xSPRDOPT($L758,$J758,$I758,$M758,$O758,$N758,$P758,$Q758-$C$3,$R758,1)*H758</f>
        <v>-599889.67205310089</v>
      </c>
      <c r="U758" s="160">
        <f t="shared" si="938"/>
        <v>-959823.47531928855</v>
      </c>
      <c r="V758" s="159">
        <f>_xll.xSPRDOPT($L758,$J758,$I758,$M758,$O758,$N758,$P758,$Q758-$C$3,$R758,2)*H758</f>
        <v>599889.69600839051</v>
      </c>
      <c r="W758" s="159">
        <f t="shared" si="939"/>
        <v>2.3955289623700082E-2</v>
      </c>
      <c r="X758" s="51" t="str">
        <f t="shared" si="940"/>
        <v>36770NGI-SOCAL</v>
      </c>
      <c r="Y758" s="418">
        <f t="shared" si="941"/>
        <v>-60</v>
      </c>
      <c r="Z758" s="456">
        <f t="shared" si="942"/>
        <v>0.99981612008850151</v>
      </c>
      <c r="AA758" s="456">
        <f>_xll.xSPRDOPT($L758,$J758,$I758,$M758,$O758,$N758,$P758,$Q758-$C$3,$R758,3)</f>
        <v>6.5485903772681058E-113</v>
      </c>
      <c r="AB758" s="456">
        <f>((_xll.xSPRDOPT($L758+AB$5,$J758,$I758,$M758,$O758,$N758,$P758,$Q758-$C$3,$R758,3)*$H758)/10000)/100</f>
        <v>-3.9291542263608632E-113</v>
      </c>
      <c r="AC758" s="456">
        <f>((_xll.xSPRDOPT($L758+$AB$5,$J758,$I758,$M758,$O758,$N758,$P758,$Q758-$C$3,$R758,7)*$H758)/100)</f>
        <v>1.5033030381805915E-4</v>
      </c>
      <c r="AD758" s="456">
        <f>(_xll.xSPRDOPT($L758+$AB$5,$J758,$I758,$M758,$O758,$N758,$P758,$Q758-$C$3,$R758,9)/365)*$H758</f>
        <v>-176.75528772503625</v>
      </c>
      <c r="AE758">
        <f t="shared" si="862"/>
        <v>0</v>
      </c>
      <c r="AF758" s="456">
        <f t="shared" si="943"/>
        <v>-5.6501488346501641E-7</v>
      </c>
      <c r="AG758" s="456">
        <f>((_xll.xSPRDOPT($L758,$J758,$I758,$M758,$O758,$N758,$P758,$Q758-$C$3,$R758,6)*$H758)/100)</f>
        <v>-6.3299400632305593E-6</v>
      </c>
      <c r="AH758" s="456">
        <f>((_xll.xSPRDOPT($L758,$J758,$I758,$M758,$O758,$N758,$P758,$Q758-$C$3,$R758,5)*$H758)/100)</f>
        <v>6.1328991274101521E-6</v>
      </c>
      <c r="AI758" s="456">
        <f>(((_xll.xSPRDOPT($L758,$J758,$I758,$M758,$O758,$N758,$P758,$Q758-$C$3,$R758,4)*$H758)/10000)/100)-AB758</f>
        <v>2.0234707750999517E-5</v>
      </c>
      <c r="AJ758" s="456"/>
      <c r="CC758" s="141">
        <f t="shared" si="944"/>
        <v>36923</v>
      </c>
      <c r="CD758" s="234">
        <f>_xll.xSPRDOPT((VLOOKUP(G756,NGPrices,2,FALSE)+HLOOKUP(D756,Prices,VLOOKUP(G756,move_down,2,FALSE),FALSE)),VLOOKUP(G756,NGPrices,2,FALSE),I756,VLOOKUP(G756,NGPREVPRICES,4,FALSE),HLOOKUP(D756,PREVVOLS,VLOOKUP(G756,MOVE_DOWN2,2,FALSE),FALSE),VLOOKUP(G756,NGPREVPRICES,3,FALSE),HLOOKUP(D756,Correllate,VLOOKUP(G756,CorMove,2,FALSE),FALSE),Q756-$CD$3,R756,$CD$5)*H756-CJ758</f>
        <v>0</v>
      </c>
      <c r="CE758" s="234">
        <f>_xll.xSPRDOPT((VLOOKUP(G756,NGPREVPRICES,2,FALSE)+HLOOKUP(D756,PREVCURVES,VLOOKUP(G756,MOVE_DOWN2,2,FALSE),FALSE)),VLOOKUP(G756,NGPREVPRICES,2,FALSE),CK758,VLOOKUP(G756,NGPrices,4,FALSE),HLOOKUP(D756,PREVVOLS,VLOOKUP(G756,MOVE_DOWN2,2,FALSE),FALSE),VLOOKUP(G756,NGPREVPRICES,3,FALSE),HLOOKUP(D756,Correllate,VLOOKUP(G756,CorMove,2,FALSE),FALSE),Q756-$CD$3,R756,$CJ$5)*H756-CJ758</f>
        <v>0</v>
      </c>
      <c r="CF758" s="10">
        <f t="shared" si="945"/>
        <v>26.738300918776076</v>
      </c>
      <c r="CG758" s="234">
        <f>_xll.xSPRDOPT((VLOOKUP(G756,NGPREVPRICES,2,FALSE)+HLOOKUP(D756,PREVCURVES,VLOOKUP(G756,MOVE_DOWN2,2,FALSE),FALSE)),VLOOKUP(G756,NGPREVPRICES,2,FALSE),CK758,VLOOKUP(G756,NGPREVPRICES,4,FALSE),HLOOKUP(D756,VOLS,VLOOKUP(G756,move_down,2,FALSE),FALSE),VLOOKUP(G756,NGPrices,3,FALSE),HLOOKUP(D756,Correllate,VLOOKUP(G756,CorMove,2,FALSE),FALSE),Q756-$CD$3,R756,$CJ$5)*H756-CJ758</f>
        <v>0</v>
      </c>
      <c r="CH758" s="234">
        <f>_xll.xSPRDOPT((VLOOKUP(G756,NGPREVPRICES,2,FALSE)+HLOOKUP(D756,PREVCURVES,VLOOKUP(G756,MOVE_DOWN2,2,FALSE),FALSE)),VLOOKUP(G756,NGPREVPRICES,2,FALSE),CK758,VLOOKUP(G756,NGPREVPRICES,4,FALSE),HLOOKUP(D756,PREVVOLS,VLOOKUP(G756,MOVE_DOWN2,2,FALSE),FALSE),VLOOKUP(G756,NGPREVPRICES,3,FALSE),HLOOKUP(D756,Correllate,VLOOKUP(G756,CorMove,2,FALSE),FALSE),Q756-$C$3,R756,$CJ$5)*H756-CJ758</f>
        <v>315.17670978908427</v>
      </c>
      <c r="CI758" s="234">
        <f t="shared" si="946"/>
        <v>341.91501070786035</v>
      </c>
      <c r="CJ758" s="234">
        <f>_xll.xSPRDOPT((VLOOKUP(G756,NGPREVPRICES,2,FALSE)+HLOOKUP(D756,PREVCURVES,VLOOKUP(G756,MOVE_DOWN2,2,FALSE),FALSE)),VLOOKUP(G756,NGPREVPRICES,2,FALSE),CK758,VLOOKUP(G756,NGPREVPRICES,4,FALSE),HLOOKUP(D756,PREVVOLS,VLOOKUP(G756,MOVE_DOWN2,2,FALSE),FALSE),VLOOKUP(G756,NGPREVPRICES,3,FALSE),HLOOKUP(D756,Correllate,VLOOKUP(G756,CorMove,2,FALSE),FALSE),Q756-$CD$3,R756,$CJ$5)*H756</f>
        <v>-140588.44624291998</v>
      </c>
      <c r="CK758" s="235">
        <f t="shared" si="947"/>
        <v>0.4</v>
      </c>
      <c r="CM758" t="str">
        <f t="shared" si="948"/>
        <v>36923Curve Shift/Gamma</v>
      </c>
      <c r="CN758" t="str">
        <f t="shared" si="949"/>
        <v>36923Rho</v>
      </c>
      <c r="CO758" t="str">
        <f t="shared" si="950"/>
        <v>36923Drift</v>
      </c>
      <c r="CP758" t="str">
        <f t="shared" si="951"/>
        <v>36923Vega</v>
      </c>
      <c r="CQ758" t="str">
        <f t="shared" si="952"/>
        <v>36923Theta</v>
      </c>
    </row>
    <row r="759" spans="1:95" x14ac:dyDescent="0.25">
      <c r="A759" s="140" t="s">
        <v>399</v>
      </c>
      <c r="B759" t="s">
        <v>250</v>
      </c>
      <c r="C759" t="s">
        <v>605</v>
      </c>
      <c r="D759" s="4" t="s">
        <v>190</v>
      </c>
      <c r="E759" t="s">
        <v>20</v>
      </c>
      <c r="F759" t="s">
        <v>21</v>
      </c>
      <c r="G759" s="5">
        <v>36800</v>
      </c>
      <c r="H759" s="130">
        <v>310000</v>
      </c>
      <c r="I759" s="235">
        <v>0.8</v>
      </c>
      <c r="J759" s="53">
        <f t="shared" si="930"/>
        <v>4.6920000000000002</v>
      </c>
      <c r="K759" s="7">
        <f t="shared" si="931"/>
        <v>1.99</v>
      </c>
      <c r="L759" s="53">
        <f t="shared" si="932"/>
        <v>6.6820000000000004</v>
      </c>
      <c r="M759" s="157">
        <f t="shared" si="933"/>
        <v>6.8050789414654006E-2</v>
      </c>
      <c r="N759" s="4">
        <f t="shared" si="934"/>
        <v>0.57499999999999996</v>
      </c>
      <c r="O759" s="4">
        <f t="shared" si="935"/>
        <v>0.54100000000000004</v>
      </c>
      <c r="P759" s="9">
        <f t="shared" si="936"/>
        <v>0.83</v>
      </c>
      <c r="Q759" s="5">
        <f t="shared" si="875"/>
        <v>36797</v>
      </c>
      <c r="R759" s="4">
        <f t="shared" si="937"/>
        <v>1</v>
      </c>
      <c r="S759" s="158">
        <f>_xll.xSPRDOPT($L759,$J759,$I759,$M759,$O759,$N759,$P759,$Q759-$C$3,$R759,0)</f>
        <v>1.1856396719319167</v>
      </c>
      <c r="T759" s="159">
        <f>_xll.xSPRDOPT($L759,$J759,$I759,$M759,$O759,$N759,$P759,$Q759-$C$3,$R759,1)*H759</f>
        <v>304854.4281340274</v>
      </c>
      <c r="U759" s="160">
        <f t="shared" si="938"/>
        <v>367548.29829889414</v>
      </c>
      <c r="V759" s="159">
        <f>_xll.xSPRDOPT($L759,$J759,$I759,$M759,$O759,$N759,$P759,$Q759-$C$3,$R759,2)*H759</f>
        <v>-303947.44751192542</v>
      </c>
      <c r="W759" s="159">
        <f t="shared" si="939"/>
        <v>906.98062210198259</v>
      </c>
      <c r="X759" s="51" t="str">
        <f t="shared" si="940"/>
        <v>36800NGI-SOCAL</v>
      </c>
      <c r="Y759" s="418">
        <f t="shared" si="941"/>
        <v>31</v>
      </c>
      <c r="Z759" s="456">
        <f t="shared" si="942"/>
        <v>0.98340138107750774</v>
      </c>
      <c r="AA759" s="456">
        <f>_xll.xSPRDOPT($L759,$J759,$I759,$M759,$O759,$N759,$P759,$Q759-$C$3,$R759,3)</f>
        <v>4.9589387314914822E-2</v>
      </c>
      <c r="AB759" s="456">
        <f>((_xll.xSPRDOPT($L759+AB$5,$J759,$I759,$M759,$O759,$N759,$P759,$Q759-$C$3,$R759,3)*$H759)/10000)/100</f>
        <v>1.5372710067623594E-2</v>
      </c>
      <c r="AC759" s="456">
        <f>((_xll.xSPRDOPT($L759+$AB$5,$J759,$I759,$M759,$O759,$N759,$P759,$Q759-$C$3,$R759,7)*$H759)/100)</f>
        <v>-150.96678603864189</v>
      </c>
      <c r="AD759" s="456">
        <f>(_xll.xSPRDOPT($L759+$AB$5,$J759,$I759,$M759,$O759,$N759,$P759,$Q759-$C$3,$R759,9)/365)*$H759</f>
        <v>-19.203299233767446</v>
      </c>
      <c r="AE759">
        <f t="shared" si="862"/>
        <v>0</v>
      </c>
      <c r="AF759" s="456">
        <f t="shared" si="943"/>
        <v>91.480852230302801</v>
      </c>
      <c r="AG759" s="456">
        <f>((_xll.xSPRDOPT($L759,$J759,$I759,$M759,$O759,$N759,$P759,$Q759-$C$3,$R759,6)*$H759)/100)</f>
        <v>22.425684317404379</v>
      </c>
      <c r="AH759" s="456">
        <f>((_xll.xSPRDOPT($L759,$J759,$I759,$M759,$O759,$N759,$P759,$Q759-$C$3,$R759,5)*$H759)/100)</f>
        <v>73.395049075631405</v>
      </c>
      <c r="AI759" s="456">
        <f>(((_xll.xSPRDOPT($L759,$J759,$I759,$M759,$O759,$N759,$P759,$Q759-$C$3,$R759,4)*$H759)/10000)/100)-AB759</f>
        <v>7.7423925127691178E-3</v>
      </c>
      <c r="AJ759" s="456"/>
      <c r="CC759" s="141">
        <f t="shared" si="944"/>
        <v>36951</v>
      </c>
      <c r="CD759" s="234">
        <f>_xll.xSPRDOPT((VLOOKUP(G757,NGPrices,2,FALSE)+HLOOKUP(D757,Prices,VLOOKUP(G757,move_down,2,FALSE),FALSE)),VLOOKUP(G757,NGPrices,2,FALSE),I757,VLOOKUP(G757,NGPREVPRICES,4,FALSE),HLOOKUP(D757,PREVVOLS,VLOOKUP(G757,MOVE_DOWN2,2,FALSE),FALSE),VLOOKUP(G757,NGPREVPRICES,3,FALSE),HLOOKUP(D757,Correllate,VLOOKUP(G757,CorMove,2,FALSE),FALSE),Q757-$CD$3,R757,$CD$5)*H757-CJ759</f>
        <v>0</v>
      </c>
      <c r="CE759" s="234">
        <f>_xll.xSPRDOPT((VLOOKUP(G757,NGPREVPRICES,2,FALSE)+HLOOKUP(D757,PREVCURVES,VLOOKUP(G757,MOVE_DOWN2,2,FALSE),FALSE)),VLOOKUP(G757,NGPREVPRICES,2,FALSE),CK759,VLOOKUP(G757,NGPrices,4,FALSE),HLOOKUP(D757,PREVVOLS,VLOOKUP(G757,MOVE_DOWN2,2,FALSE),FALSE),VLOOKUP(G757,NGPREVPRICES,3,FALSE),HLOOKUP(D757,Correllate,VLOOKUP(G757,CorMove,2,FALSE),FALSE),Q757-$CD$3,R757,$CJ$5)*H757-CJ759</f>
        <v>0</v>
      </c>
      <c r="CF759" s="10">
        <f t="shared" si="945"/>
        <v>27.256679560028715</v>
      </c>
      <c r="CG759" s="234">
        <f>_xll.xSPRDOPT((VLOOKUP(G757,NGPREVPRICES,2,FALSE)+HLOOKUP(D757,PREVCURVES,VLOOKUP(G757,MOVE_DOWN2,2,FALSE),FALSE)),VLOOKUP(G757,NGPREVPRICES,2,FALSE),CK759,VLOOKUP(G757,NGPREVPRICES,4,FALSE),HLOOKUP(D757,VOLS,VLOOKUP(G757,move_down,2,FALSE),FALSE),VLOOKUP(G757,NGPrices,3,FALSE),HLOOKUP(D757,Correllate,VLOOKUP(G757,CorMove,2,FALSE),FALSE),Q757-$CD$3,R757,$CJ$5)*H757-CJ759</f>
        <v>0</v>
      </c>
      <c r="CH759" s="234">
        <f>_xll.xSPRDOPT((VLOOKUP(G757,NGPREVPRICES,2,FALSE)+HLOOKUP(D757,PREVCURVES,VLOOKUP(G757,MOVE_DOWN2,2,FALSE),FALSE)),VLOOKUP(G757,NGPREVPRICES,2,FALSE),CK759,VLOOKUP(G757,NGPREVPRICES,4,FALSE),HLOOKUP(D757,PREVVOLS,VLOOKUP(G757,MOVE_DOWN2,2,FALSE),FALSE),VLOOKUP(G757,NGPREVPRICES,3,FALSE),HLOOKUP(D757,Correllate,VLOOKUP(G757,CorMove,2,FALSE),FALSE),Q757-$C$3,R757,$CJ$5)*H757-CJ759</f>
        <v>266.92750830674777</v>
      </c>
      <c r="CI759" s="234">
        <f t="shared" si="946"/>
        <v>294.18418786677648</v>
      </c>
      <c r="CJ759" s="234">
        <f>_xll.xSPRDOPT((VLOOKUP(G757,NGPREVPRICES,2,FALSE)+HLOOKUP(D757,PREVCURVES,VLOOKUP(G757,MOVE_DOWN2,2,FALSE),FALSE)),VLOOKUP(G757,NGPREVPRICES,2,FALSE),CK759,VLOOKUP(G757,NGPREVPRICES,4,FALSE),HLOOKUP(D757,PREVVOLS,VLOOKUP(G757,MOVE_DOWN2,2,FALSE),FALSE),VLOOKUP(G757,NGPREVPRICES,3,FALSE),HLOOKUP(D757,Correllate,VLOOKUP(G757,CorMove,2,FALSE),FALSE),Q757-$CD$3,R757,$CJ$5)*H757</f>
        <v>-142120.97724208553</v>
      </c>
      <c r="CK759" s="235">
        <f t="shared" si="947"/>
        <v>0.4</v>
      </c>
      <c r="CM759" t="str">
        <f t="shared" si="948"/>
        <v>36951Curve Shift/Gamma</v>
      </c>
      <c r="CN759" t="str">
        <f t="shared" si="949"/>
        <v>36951Rho</v>
      </c>
      <c r="CO759" t="str">
        <f t="shared" si="950"/>
        <v>36951Drift</v>
      </c>
      <c r="CP759" t="str">
        <f t="shared" si="951"/>
        <v>36951Vega</v>
      </c>
      <c r="CQ759" t="str">
        <f t="shared" si="952"/>
        <v>36951Theta</v>
      </c>
    </row>
    <row r="760" spans="1:95" x14ac:dyDescent="0.25">
      <c r="A760" s="140" t="s">
        <v>279</v>
      </c>
      <c r="B760" t="s">
        <v>250</v>
      </c>
      <c r="C760" t="s">
        <v>606</v>
      </c>
      <c r="D760" s="4" t="s">
        <v>190</v>
      </c>
      <c r="E760" t="s">
        <v>20</v>
      </c>
      <c r="F760" t="s">
        <v>1</v>
      </c>
      <c r="G760" s="5">
        <v>36831</v>
      </c>
      <c r="H760" s="130">
        <v>300000</v>
      </c>
      <c r="I760" s="235">
        <v>0.3</v>
      </c>
      <c r="J760" s="53">
        <f t="shared" ref="J760:J774" si="953">VLOOKUP(G760,NGPrices,2,FALSE)</f>
        <v>4.7359999999999998</v>
      </c>
      <c r="K760" s="7">
        <f t="shared" ref="K760:K774" si="954">HLOOKUP(D760,Prices,VLOOKUP(G760,move_down,2,FALSE),FALSE)+VLOOKUP(G760,CHANGE,HLOOKUP(D760,CHANGE,2,FALSE),FALSE)</f>
        <v>1.5449999999999999</v>
      </c>
      <c r="L760" s="53">
        <f t="shared" ref="L760:L774" si="955">K760+J760</f>
        <v>6.2809999999999997</v>
      </c>
      <c r="M760" s="157">
        <f t="shared" ref="M760:M774" si="956">VLOOKUP(G760,NGPrices,4,FALSE)</f>
        <v>6.810675983792E-2</v>
      </c>
      <c r="N760" s="4">
        <f t="shared" ref="N760:N774" si="957">VLOOKUP(G760,NGPrices,3,FALSE)</f>
        <v>0.59499999999999997</v>
      </c>
      <c r="O760" s="4">
        <f t="shared" ref="O760:O774" si="958">HLOOKUP(D760,VOLS,VLOOKUP(G760,move_down,2,FALSE),FALSE)</f>
        <v>0.57699999999999996</v>
      </c>
      <c r="P760" s="9">
        <f t="shared" ref="P760:P774" si="959">HLOOKUP(D760,Correllate,VLOOKUP(G760,CorMove,2,FALSE),FALSE)</f>
        <v>0.85</v>
      </c>
      <c r="Q760" s="5">
        <f t="shared" si="875"/>
        <v>36829</v>
      </c>
      <c r="R760" s="4">
        <f t="shared" ref="R760:R774" si="960">IF(F760="P",0,1)</f>
        <v>0</v>
      </c>
      <c r="S760" s="158">
        <f>_xll.xSPRDOPT($L760,$J760,$I760,$M760,$O760,$N760,$P760,$Q760-$C$3,$R760,0)</f>
        <v>1.2488757169471287E-2</v>
      </c>
      <c r="T760" s="159">
        <f>_xll.xSPRDOPT($L760,$J760,$I760,$M760,$O760,$N760,$P760,$Q760-$C$3,$R760,1)*H760</f>
        <v>-11058.705556116933</v>
      </c>
      <c r="U760" s="160">
        <f t="shared" ref="U760:U774" si="961">S760*H760</f>
        <v>3746.6271508413861</v>
      </c>
      <c r="V760" s="159">
        <f>_xll.xSPRDOPT($L760,$J760,$I760,$M760,$O760,$N760,$P760,$Q760-$C$3,$R760,2)*H760</f>
        <v>14632.888578427006</v>
      </c>
      <c r="W760" s="159">
        <f t="shared" ref="W760:W774" si="962">+V760+T760</f>
        <v>3574.1830223100733</v>
      </c>
      <c r="X760" s="51" t="str">
        <f t="shared" ref="X760:X774" si="963">CONCATENATE(G760,D760)</f>
        <v>36831NGI-SOCAL</v>
      </c>
      <c r="Y760" s="418">
        <f t="shared" ref="Y760:Y774" si="964">H760/10000</f>
        <v>30</v>
      </c>
      <c r="Z760" s="456">
        <f t="shared" ref="Z760:Z774" si="965">T760/H760</f>
        <v>-3.6862351853723108E-2</v>
      </c>
      <c r="AA760" s="456">
        <f>_xll.xSPRDOPT($L760,$J760,$I760,$M760,$O760,$N760,$P760,$Q760-$C$3,$R760,3)</f>
        <v>9.9509688054344972E-2</v>
      </c>
      <c r="AB760" s="456">
        <f>((_xll.xSPRDOPT($L760+AB$5,$J760,$I760,$M760,$O760,$N760,$P760,$Q760-$C$3,$R760,3)*$H760)/10000)/100</f>
        <v>2.9852906416303494E-2</v>
      </c>
      <c r="AC760" s="456">
        <f>((_xll.xSPRDOPT($L760+$AB$5,$J760,$I760,$M760,$O760,$N760,$P760,$Q760-$C$3,$R760,7)*$H760)/100)</f>
        <v>-648.87279499414217</v>
      </c>
      <c r="AD760" s="456">
        <f>(_xll.xSPRDOPT($L760+$AB$5,$J760,$I760,$M760,$O760,$N760,$P760,$Q760-$C$3,$R760,9)/365)*$H760</f>
        <v>-156.82497857339678</v>
      </c>
      <c r="AE760">
        <f t="shared" si="862"/>
        <v>0</v>
      </c>
      <c r="AF760" s="456">
        <f t="shared" ref="AF760:AF774" si="966">((O760/N760)*AH760)+AG760</f>
        <v>328.06077597204251</v>
      </c>
      <c r="AG760" s="456">
        <f>((_xll.xSPRDOPT($L760,$J760,$I760,$M760,$O760,$N760,$P760,$Q760-$C$3,$R760,6)*$H760)/100)</f>
        <v>136.39861882117052</v>
      </c>
      <c r="AH760" s="456">
        <f>((_xll.xSPRDOPT($L760,$J760,$I760,$M760,$O760,$N760,$P760,$Q760-$C$3,$R760,5)*$H760)/100)</f>
        <v>197.64121924569986</v>
      </c>
      <c r="AI760" s="456">
        <f>(((_xll.xSPRDOPT($L760,$J760,$I760,$M760,$O760,$N760,$P760,$Q760-$C$3,$R760,4)*$H760)/10000)/100)-AB760</f>
        <v>1.7086603463881345E-2</v>
      </c>
      <c r="AJ760" s="456"/>
      <c r="CC760" s="141">
        <f t="shared" si="944"/>
        <v>36770</v>
      </c>
      <c r="CD760" s="234">
        <f>_xll.xSPRDOPT((VLOOKUP(G758,NGPrices,2,FALSE)+HLOOKUP(D758,Prices,VLOOKUP(G758,move_down,2,FALSE),FALSE)),VLOOKUP(G758,NGPrices,2,FALSE),I758,VLOOKUP(G758,NGPREVPRICES,4,FALSE),HLOOKUP(D758,PREVVOLS,VLOOKUP(G758,MOVE_DOWN2,2,FALSE),FALSE),VLOOKUP(G758,NGPREVPRICES,3,FALSE),HLOOKUP(D758,Correllate,VLOOKUP(G758,CorMove,2,FALSE),FALSE),Q758-$CD$3,R758,$CD$5)*H758-CJ760</f>
        <v>0</v>
      </c>
      <c r="CE760" s="234">
        <f>_xll.xSPRDOPT((VLOOKUP(G758,NGPREVPRICES,2,FALSE)+HLOOKUP(D758,PREVCURVES,VLOOKUP(G758,MOVE_DOWN2,2,FALSE),FALSE)),VLOOKUP(G758,NGPREVPRICES,2,FALSE),CK760,VLOOKUP(G758,NGPrices,4,FALSE),HLOOKUP(D758,PREVVOLS,VLOOKUP(G758,MOVE_DOWN2,2,FALSE),FALSE),VLOOKUP(G758,NGPREVPRICES,3,FALSE),HLOOKUP(D758,Correllate,VLOOKUP(G758,CorMove,2,FALSE),FALSE),Q758-$CD$3,R758,$CJ$5)*H758-CJ760</f>
        <v>0</v>
      </c>
      <c r="CF760" s="10">
        <f t="shared" si="945"/>
        <v>174.87235666019842</v>
      </c>
      <c r="CG760" s="234">
        <f>_xll.xSPRDOPT((VLOOKUP(G758,NGPREVPRICES,2,FALSE)+HLOOKUP(D758,PREVCURVES,VLOOKUP(G758,MOVE_DOWN2,2,FALSE),FALSE)),VLOOKUP(G758,NGPREVPRICES,2,FALSE),CK760,VLOOKUP(G758,NGPREVPRICES,4,FALSE),HLOOKUP(D758,VOLS,VLOOKUP(G758,move_down,2,FALSE),FALSE),VLOOKUP(G758,NGPrices,3,FALSE),HLOOKUP(D758,Correllate,VLOOKUP(G758,CorMove,2,FALSE),FALSE),Q758-$CD$3,R758,$CJ$5)*H758-CJ760</f>
        <v>0</v>
      </c>
      <c r="CH760" s="234">
        <f>_xll.xSPRDOPT((VLOOKUP(G758,NGPREVPRICES,2,FALSE)+HLOOKUP(D758,PREVCURVES,VLOOKUP(G758,MOVE_DOWN2,2,FALSE),FALSE)),VLOOKUP(G758,NGPREVPRICES,2,FALSE),CK760,VLOOKUP(G758,NGPREVPRICES,4,FALSE),HLOOKUP(D758,PREVVOLS,VLOOKUP(G758,MOVE_DOWN2,2,FALSE),FALSE),VLOOKUP(G758,NGPREVPRICES,3,FALSE),HLOOKUP(D758,Correllate,VLOOKUP(G758,CorMove,2,FALSE),FALSE),Q758-$C$3,R758,$CJ$5)*H758-CJ760</f>
        <v>-176.61805347271729</v>
      </c>
      <c r="CI760" s="234">
        <f t="shared" si="946"/>
        <v>-1.7456968125188723</v>
      </c>
      <c r="CJ760" s="234">
        <f>_xll.xSPRDOPT((VLOOKUP(G758,NGPREVPRICES,2,FALSE)+HLOOKUP(D758,PREVCURVES,VLOOKUP(G758,MOVE_DOWN2,2,FALSE),FALSE)),VLOOKUP(G758,NGPREVPRICES,2,FALSE),CK760,VLOOKUP(G758,NGPREVPRICES,4,FALSE),HLOOKUP(D758,PREVVOLS,VLOOKUP(G758,MOVE_DOWN2,2,FALSE),FALSE),VLOOKUP(G758,NGPREVPRICES,3,FALSE),HLOOKUP(D758,Correllate,VLOOKUP(G758,CorMove,2,FALSE),FALSE),Q758-$CD$3,R758,$CJ$5)*H758</f>
        <v>-959646.85726581584</v>
      </c>
      <c r="CK760" s="235">
        <f t="shared" si="947"/>
        <v>0.9</v>
      </c>
      <c r="CM760" t="str">
        <f t="shared" si="948"/>
        <v>36770Curve Shift/Gamma</v>
      </c>
      <c r="CN760" t="str">
        <f t="shared" si="949"/>
        <v>36770Rho</v>
      </c>
      <c r="CO760" t="str">
        <f t="shared" si="950"/>
        <v>36770Drift</v>
      </c>
      <c r="CP760" t="str">
        <f t="shared" si="951"/>
        <v>36770Vega</v>
      </c>
      <c r="CQ760" t="str">
        <f t="shared" si="952"/>
        <v>36770Theta</v>
      </c>
    </row>
    <row r="761" spans="1:95" x14ac:dyDescent="0.25">
      <c r="A761" s="140" t="s">
        <v>279</v>
      </c>
      <c r="B761" t="s">
        <v>250</v>
      </c>
      <c r="C761" t="s">
        <v>606</v>
      </c>
      <c r="D761" s="4" t="s">
        <v>190</v>
      </c>
      <c r="E761" t="s">
        <v>20</v>
      </c>
      <c r="F761" t="s">
        <v>1</v>
      </c>
      <c r="G761" s="5">
        <v>36861</v>
      </c>
      <c r="H761" s="130">
        <v>310000</v>
      </c>
      <c r="I761" s="235">
        <v>0.3</v>
      </c>
      <c r="J761" s="53">
        <f t="shared" si="953"/>
        <v>4.8</v>
      </c>
      <c r="K761" s="7">
        <f t="shared" si="954"/>
        <v>1.0049999999999999</v>
      </c>
      <c r="L761" s="53">
        <f t="shared" si="955"/>
        <v>5.8049999999999997</v>
      </c>
      <c r="M761" s="157">
        <f t="shared" si="956"/>
        <v>6.8314027999354002E-2</v>
      </c>
      <c r="N761" s="4">
        <f t="shared" si="957"/>
        <v>0.6</v>
      </c>
      <c r="O761" s="4">
        <f t="shared" si="958"/>
        <v>0.58199999999999996</v>
      </c>
      <c r="P761" s="9">
        <f t="shared" si="959"/>
        <v>0.85</v>
      </c>
      <c r="Q761" s="5">
        <f t="shared" si="875"/>
        <v>36859</v>
      </c>
      <c r="R761" s="4">
        <f t="shared" si="960"/>
        <v>0</v>
      </c>
      <c r="S761" s="158">
        <f>_xll.xSPRDOPT($L761,$J761,$I761,$M761,$O761,$N761,$P761,$Q761-$C$3,$R761,0)</f>
        <v>9.7892404165778601E-2</v>
      </c>
      <c r="T761" s="159">
        <f>_xll.xSPRDOPT($L761,$J761,$I761,$M761,$O761,$N761,$P761,$Q761-$C$3,$R761,1)*H761</f>
        <v>-56129.565279270588</v>
      </c>
      <c r="U761" s="160">
        <f t="shared" si="961"/>
        <v>30346.645291391367</v>
      </c>
      <c r="V761" s="159">
        <f>_xll.xSPRDOPT($L761,$J761,$I761,$M761,$O761,$N761,$P761,$Q761-$C$3,$R761,2)*H761</f>
        <v>70196.61832314718</v>
      </c>
      <c r="W761" s="159">
        <f t="shared" si="962"/>
        <v>14067.053043876593</v>
      </c>
      <c r="X761" s="51" t="str">
        <f t="shared" si="963"/>
        <v>36861NGI-SOCAL</v>
      </c>
      <c r="Y761" s="418">
        <f t="shared" si="964"/>
        <v>31</v>
      </c>
      <c r="Z761" s="456">
        <f t="shared" si="965"/>
        <v>-0.18106311380409867</v>
      </c>
      <c r="AA761" s="456">
        <f>_xll.xSPRDOPT($L761,$J761,$I761,$M761,$O761,$N761,$P761,$Q761-$C$3,$R761,3)</f>
        <v>0.28521344905962409</v>
      </c>
      <c r="AB761" s="456">
        <f>((_xll.xSPRDOPT($L761+AB$5,$J761,$I761,$M761,$O761,$N761,$P761,$Q761-$C$3,$R761,3)*$H761)/10000)/100</f>
        <v>8.8416169208483469E-2</v>
      </c>
      <c r="AC761" s="456">
        <f>((_xll.xSPRDOPT($L761+$AB$5,$J761,$I761,$M761,$O761,$N761,$P761,$Q761-$C$3,$R761,7)*$H761)/100)</f>
        <v>-2473.5794902985012</v>
      </c>
      <c r="AD761" s="456">
        <f>(_xll.xSPRDOPT($L761+$AB$5,$J761,$I761,$M761,$O761,$N761,$P761,$Q761-$C$3,$R761,9)/365)*$H761</f>
        <v>-399.27586221621766</v>
      </c>
      <c r="AE761">
        <f t="shared" si="862"/>
        <v>0</v>
      </c>
      <c r="AF761" s="456">
        <f t="shared" si="966"/>
        <v>1241.0138061513201</v>
      </c>
      <c r="AG761" s="456">
        <f>((_xll.xSPRDOPT($L761,$J761,$I761,$M761,$O761,$N761,$P761,$Q761-$C$3,$R761,6)*$H761)/100)</f>
        <v>508.53758457006398</v>
      </c>
      <c r="AH761" s="456">
        <f>((_xll.xSPRDOPT($L761,$J761,$I761,$M761,$O761,$N761,$P761,$Q761-$C$3,$R761,5)*$H761)/100)</f>
        <v>755.13012534150107</v>
      </c>
      <c r="AI761" s="456">
        <f>(((_xll.xSPRDOPT($L761,$J761,$I761,$M761,$O761,$N761,$P761,$Q761-$C$3,$R761,4)*$H761)/10000)/100)-AB761</f>
        <v>2.6826162616779836E-2</v>
      </c>
      <c r="AJ761" s="456"/>
      <c r="CC761" s="141">
        <f t="shared" si="944"/>
        <v>36800</v>
      </c>
      <c r="CD761" s="234">
        <f>_xll.xSPRDOPT((VLOOKUP(G759,NGPrices,2,FALSE)+HLOOKUP(D759,Prices,VLOOKUP(G759,move_down,2,FALSE),FALSE)),VLOOKUP(G759,NGPrices,2,FALSE),I759,VLOOKUP(G759,NGPREVPRICES,4,FALSE),HLOOKUP(D759,PREVVOLS,VLOOKUP(G759,MOVE_DOWN2,2,FALSE),FALSE),VLOOKUP(G759,NGPREVPRICES,3,FALSE),HLOOKUP(D759,Correllate,VLOOKUP(G759,CorMove,2,FALSE),FALSE),Q759-$CD$3,R759,$CD$5)*H759-CJ761</f>
        <v>0</v>
      </c>
      <c r="CE761" s="234">
        <f>_xll.xSPRDOPT((VLOOKUP(G759,NGPREVPRICES,2,FALSE)+HLOOKUP(D759,PREVCURVES,VLOOKUP(G759,MOVE_DOWN2,2,FALSE),FALSE)),VLOOKUP(G759,NGPREVPRICES,2,FALSE),CK761,VLOOKUP(G759,NGPrices,4,FALSE),HLOOKUP(D759,PREVVOLS,VLOOKUP(G759,MOVE_DOWN2,2,FALSE),FALSE),VLOOKUP(G759,NGPREVPRICES,3,FALSE),HLOOKUP(D759,Correllate,VLOOKUP(G759,CorMove,2,FALSE),FALSE),Q759-$CD$3,R759,$CJ$5)*H759-CJ761</f>
        <v>0</v>
      </c>
      <c r="CF761" s="10">
        <f t="shared" si="945"/>
        <v>-67.763716020563152</v>
      </c>
      <c r="CG761" s="234">
        <f>_xll.xSPRDOPT((VLOOKUP(G759,NGPREVPRICES,2,FALSE)+HLOOKUP(D759,PREVCURVES,VLOOKUP(G759,MOVE_DOWN2,2,FALSE),FALSE)),VLOOKUP(G759,NGPREVPRICES,2,FALSE),CK761,VLOOKUP(G759,NGPREVPRICES,4,FALSE),HLOOKUP(D759,VOLS,VLOOKUP(G759,move_down,2,FALSE),FALSE),VLOOKUP(G759,NGPrices,3,FALSE),HLOOKUP(D759,Correllate,VLOOKUP(G759,CorMove,2,FALSE),FALSE),Q759-$CD$3,R759,$CJ$5)*H759-CJ761</f>
        <v>0</v>
      </c>
      <c r="CH761" s="234">
        <f>_xll.xSPRDOPT((VLOOKUP(G759,NGPREVPRICES,2,FALSE)+HLOOKUP(D759,PREVCURVES,VLOOKUP(G759,MOVE_DOWN2,2,FALSE),FALSE)),VLOOKUP(G759,NGPREVPRICES,2,FALSE),CK761,VLOOKUP(G759,NGPREVPRICES,4,FALSE),HLOOKUP(D759,PREVVOLS,VLOOKUP(G759,MOVE_DOWN2,2,FALSE),FALSE),VLOOKUP(G759,NGPREVPRICES,3,FALSE),HLOOKUP(D759,Correllate,VLOOKUP(G759,CorMove,2,FALSE),FALSE),Q759-$C$3,R759,$CJ$5)*H759-CJ761</f>
        <v>-22.119791079836432</v>
      </c>
      <c r="CI761" s="234">
        <f t="shared" si="946"/>
        <v>-89.883507100399584</v>
      </c>
      <c r="CJ761" s="234">
        <f>_xll.xSPRDOPT((VLOOKUP(G759,NGPREVPRICES,2,FALSE)+HLOOKUP(D759,PREVCURVES,VLOOKUP(G759,MOVE_DOWN2,2,FALSE),FALSE)),VLOOKUP(G759,NGPREVPRICES,2,FALSE),CK761,VLOOKUP(G759,NGPREVPRICES,4,FALSE),HLOOKUP(D759,PREVVOLS,VLOOKUP(G759,MOVE_DOWN2,2,FALSE),FALSE),VLOOKUP(G759,NGPREVPRICES,3,FALSE),HLOOKUP(D759,Correllate,VLOOKUP(G759,CorMove,2,FALSE),FALSE),Q759-$CD$3,R759,$CJ$5)*H759</f>
        <v>367570.41808997397</v>
      </c>
      <c r="CK761" s="235">
        <f t="shared" si="947"/>
        <v>0.8</v>
      </c>
      <c r="CM761" t="str">
        <f t="shared" si="948"/>
        <v>36800Curve Shift/Gamma</v>
      </c>
      <c r="CN761" t="str">
        <f t="shared" si="949"/>
        <v>36800Rho</v>
      </c>
      <c r="CO761" t="str">
        <f t="shared" si="950"/>
        <v>36800Drift</v>
      </c>
      <c r="CP761" t="str">
        <f t="shared" si="951"/>
        <v>36800Vega</v>
      </c>
      <c r="CQ761" t="str">
        <f t="shared" si="952"/>
        <v>36800Theta</v>
      </c>
    </row>
    <row r="762" spans="1:95" x14ac:dyDescent="0.25">
      <c r="A762" s="140" t="s">
        <v>279</v>
      </c>
      <c r="B762" t="s">
        <v>250</v>
      </c>
      <c r="C762" t="s">
        <v>606</v>
      </c>
      <c r="D762" s="4" t="s">
        <v>190</v>
      </c>
      <c r="E762" t="s">
        <v>20</v>
      </c>
      <c r="F762" t="s">
        <v>1</v>
      </c>
      <c r="G762" s="5">
        <v>36892</v>
      </c>
      <c r="H762" s="130">
        <v>310000</v>
      </c>
      <c r="I762" s="235">
        <v>0.3</v>
      </c>
      <c r="J762" s="53">
        <f t="shared" si="953"/>
        <v>4.7439999999999998</v>
      </c>
      <c r="K762" s="7">
        <f t="shared" si="954"/>
        <v>0.76749999999999996</v>
      </c>
      <c r="L762" s="53">
        <f t="shared" si="955"/>
        <v>5.5114999999999998</v>
      </c>
      <c r="M762" s="157">
        <f t="shared" si="956"/>
        <v>6.8374831148490994E-2</v>
      </c>
      <c r="N762" s="4">
        <f t="shared" si="957"/>
        <v>0.60499999999999998</v>
      </c>
      <c r="O762" s="4">
        <f t="shared" si="958"/>
        <v>0.58699999999999997</v>
      </c>
      <c r="P762" s="9">
        <f t="shared" si="959"/>
        <v>0.85</v>
      </c>
      <c r="Q762" s="5">
        <f t="shared" si="875"/>
        <v>36888</v>
      </c>
      <c r="R762" s="4">
        <f t="shared" si="960"/>
        <v>0</v>
      </c>
      <c r="S762" s="158">
        <f>_xll.xSPRDOPT($L762,$J762,$I762,$M762,$O762,$N762,$P762,$Q762-$C$3,$R762,0)</f>
        <v>0.19006560295915642</v>
      </c>
      <c r="T762" s="159">
        <f>_xll.xSPRDOPT($L762,$J762,$I762,$M762,$O762,$N762,$P762,$Q762-$C$3,$R762,1)*H762</f>
        <v>-85395.175497400807</v>
      </c>
      <c r="U762" s="160">
        <f t="shared" si="961"/>
        <v>58920.336917338493</v>
      </c>
      <c r="V762" s="159">
        <f>_xll.xSPRDOPT($L762,$J762,$I762,$M762,$O762,$N762,$P762,$Q762-$C$3,$R762,2)*H762</f>
        <v>105490.62441573154</v>
      </c>
      <c r="W762" s="159">
        <f t="shared" si="962"/>
        <v>20095.448918330731</v>
      </c>
      <c r="X762" s="51" t="str">
        <f t="shared" si="963"/>
        <v>36892NGI-SOCAL</v>
      </c>
      <c r="Y762" s="418">
        <f t="shared" si="964"/>
        <v>31</v>
      </c>
      <c r="Z762" s="456">
        <f t="shared" si="965"/>
        <v>-0.27546830805613165</v>
      </c>
      <c r="AA762" s="456">
        <f>_xll.xSPRDOPT($L762,$J762,$I762,$M762,$O762,$N762,$P762,$Q762-$C$3,$R762,3)</f>
        <v>0.32785906506017948</v>
      </c>
      <c r="AB762" s="456">
        <f>((_xll.xSPRDOPT($L762+AB$5,$J762,$I762,$M762,$O762,$N762,$P762,$Q762-$C$3,$R762,3)*$H762)/10000)/100</f>
        <v>0.10163631016865564</v>
      </c>
      <c r="AC762" s="456">
        <f>((_xll.xSPRDOPT($L762+$AB$5,$J762,$I762,$M762,$O762,$N762,$P762,$Q762-$C$3,$R762,7)*$H762)/100)</f>
        <v>-3422.224175876036</v>
      </c>
      <c r="AD762" s="456">
        <f>(_xll.xSPRDOPT($L762+$AB$5,$J762,$I762,$M762,$O762,$N762,$P762,$Q762-$C$3,$R762,9)/365)*$H762</f>
        <v>-415.27966791109139</v>
      </c>
      <c r="AE762">
        <f t="shared" si="862"/>
        <v>0</v>
      </c>
      <c r="AF762" s="456">
        <f t="shared" si="966"/>
        <v>1704.1012597131607</v>
      </c>
      <c r="AG762" s="456">
        <f>((_xll.xSPRDOPT($L762,$J762,$I762,$M762,$O762,$N762,$P762,$Q762-$C$3,$R762,6)*$H762)/100)</f>
        <v>687.06183582237372</v>
      </c>
      <c r="AH762" s="456">
        <f>((_xll.xSPRDOPT($L762,$J762,$I762,$M762,$O762,$N762,$P762,$Q762-$C$3,$R762,5)*$H762)/100)</f>
        <v>1048.2263227494484</v>
      </c>
      <c r="AI762" s="456">
        <f>(((_xll.xSPRDOPT($L762,$J762,$I762,$M762,$O762,$N762,$P762,$Q762-$C$3,$R762,4)*$H762)/10000)/100)-AB762</f>
        <v>2.0189818915211502E-2</v>
      </c>
      <c r="AJ762" s="456"/>
      <c r="CC762" s="141">
        <f t="shared" ref="CC762:CC776" si="967">G760</f>
        <v>36831</v>
      </c>
      <c r="CD762" s="234">
        <f>_xll.xSPRDOPT((VLOOKUP(G760,NGPrices,2,FALSE)+HLOOKUP(D760,Prices,VLOOKUP(G760,move_down,2,FALSE),FALSE)),VLOOKUP(G760,NGPrices,2,FALSE),I760,VLOOKUP(G760,NGPREVPRICES,4,FALSE),HLOOKUP(D760,PREVVOLS,VLOOKUP(G760,MOVE_DOWN2,2,FALSE),FALSE),VLOOKUP(G760,NGPREVPRICES,3,FALSE),HLOOKUP(D760,Correllate,VLOOKUP(G760,CorMove,2,FALSE),FALSE),Q760-$CD$3,R760,$CD$5)*H760-CJ762</f>
        <v>0</v>
      </c>
      <c r="CE762" s="234">
        <f>_xll.xSPRDOPT((VLOOKUP(G760,NGPREVPRICES,2,FALSE)+HLOOKUP(D760,PREVCURVES,VLOOKUP(G760,MOVE_DOWN2,2,FALSE),FALSE)),VLOOKUP(G760,NGPREVPRICES,2,FALSE),CK762,VLOOKUP(G760,NGPrices,4,FALSE),HLOOKUP(D760,PREVVOLS,VLOOKUP(G760,MOVE_DOWN2,2,FALSE),FALSE),VLOOKUP(G760,NGPREVPRICES,3,FALSE),HLOOKUP(D760,Correllate,VLOOKUP(G760,CorMove,2,FALSE),FALSE),Q760-$CD$3,R760,$CJ$5)*H760-CJ762</f>
        <v>0</v>
      </c>
      <c r="CF762" s="10">
        <f t="shared" ref="CF762:CF776" si="968">(CJ762/VLOOKUP(CC762,discount,3,FALSE))-(CJ762/VLOOKUP(CC762,discount,2,FALSE))</f>
        <v>-0.7251150343304289</v>
      </c>
      <c r="CG762" s="234">
        <f>_xll.xSPRDOPT((VLOOKUP(G760,NGPREVPRICES,2,FALSE)+HLOOKUP(D760,PREVCURVES,VLOOKUP(G760,MOVE_DOWN2,2,FALSE),FALSE)),VLOOKUP(G760,NGPREVPRICES,2,FALSE),CK762,VLOOKUP(G760,NGPREVPRICES,4,FALSE),HLOOKUP(D760,VOLS,VLOOKUP(G760,move_down,2,FALSE),FALSE),VLOOKUP(G760,NGPrices,3,FALSE),HLOOKUP(D760,Correllate,VLOOKUP(G760,CorMove,2,FALSE),FALSE),Q760-$CD$3,R760,$CJ$5)*H760-CJ762</f>
        <v>0</v>
      </c>
      <c r="CH762" s="234">
        <f>_xll.xSPRDOPT((VLOOKUP(G760,NGPREVPRICES,2,FALSE)+HLOOKUP(D760,PREVCURVES,VLOOKUP(G760,MOVE_DOWN2,2,FALSE),FALSE)),VLOOKUP(G760,NGPREVPRICES,2,FALSE),CK762,VLOOKUP(G760,NGPREVPRICES,4,FALSE),HLOOKUP(D760,PREVVOLS,VLOOKUP(G760,MOVE_DOWN2,2,FALSE),FALSE),VLOOKUP(G760,NGPREVPRICES,3,FALSE),HLOOKUP(D760,Correllate,VLOOKUP(G760,CorMove,2,FALSE),FALSE),Q760-$C$3,R760,$CJ$5)*H760-CJ762</f>
        <v>-157.91495084226972</v>
      </c>
      <c r="CI762" s="234">
        <f t="shared" ref="CI762:CI776" si="969">SUM(CD762:CH762)</f>
        <v>-158.64006587660015</v>
      </c>
      <c r="CJ762" s="234">
        <f>_xll.xSPRDOPT((VLOOKUP(G760,NGPREVPRICES,2,FALSE)+HLOOKUP(D760,PREVCURVES,VLOOKUP(G760,MOVE_DOWN2,2,FALSE),FALSE)),VLOOKUP(G760,NGPREVPRICES,2,FALSE),CK762,VLOOKUP(G760,NGPREVPRICES,4,FALSE),HLOOKUP(D760,PREVVOLS,VLOOKUP(G760,MOVE_DOWN2,2,FALSE),FALSE),VLOOKUP(G760,NGPREVPRICES,3,FALSE),HLOOKUP(D760,Correllate,VLOOKUP(G760,CorMove,2,FALSE),FALSE),Q760-$CD$3,R760,$CJ$5)*H760</f>
        <v>3904.5421016836558</v>
      </c>
      <c r="CK762" s="235">
        <f t="shared" ref="CK762:CK776" si="970">I760</f>
        <v>0.3</v>
      </c>
      <c r="CM762" t="str">
        <f t="shared" ref="CM762:CM776" si="971">CONCATENATE(CC762,$CD$6)</f>
        <v>36831Curve Shift/Gamma</v>
      </c>
      <c r="CN762" t="str">
        <f t="shared" si="949"/>
        <v>36831Rho</v>
      </c>
      <c r="CO762" t="str">
        <f t="shared" si="950"/>
        <v>36831Drift</v>
      </c>
      <c r="CP762" t="str">
        <f t="shared" si="951"/>
        <v>36831Vega</v>
      </c>
      <c r="CQ762" t="str">
        <f t="shared" si="952"/>
        <v>36831Theta</v>
      </c>
    </row>
    <row r="763" spans="1:95" x14ac:dyDescent="0.25">
      <c r="A763" s="140" t="s">
        <v>279</v>
      </c>
      <c r="B763" t="s">
        <v>250</v>
      </c>
      <c r="C763" t="s">
        <v>606</v>
      </c>
      <c r="D763" s="4" t="s">
        <v>190</v>
      </c>
      <c r="E763" t="s">
        <v>20</v>
      </c>
      <c r="F763" t="s">
        <v>1</v>
      </c>
      <c r="G763" s="5">
        <v>36923</v>
      </c>
      <c r="H763" s="130">
        <v>280000</v>
      </c>
      <c r="I763" s="235">
        <v>0.3</v>
      </c>
      <c r="J763" s="53">
        <f t="shared" si="953"/>
        <v>4.4800000000000004</v>
      </c>
      <c r="K763" s="7">
        <f t="shared" si="954"/>
        <v>0.61750000000000005</v>
      </c>
      <c r="L763" s="53">
        <f t="shared" si="955"/>
        <v>5.0975000000000001</v>
      </c>
      <c r="M763" s="157">
        <f t="shared" si="956"/>
        <v>6.8640161611372E-2</v>
      </c>
      <c r="N763" s="4">
        <f t="shared" si="957"/>
        <v>0.59250000000000003</v>
      </c>
      <c r="O763" s="4">
        <f t="shared" si="958"/>
        <v>0.57499999999999996</v>
      </c>
      <c r="P763" s="9">
        <f t="shared" si="959"/>
        <v>0.85</v>
      </c>
      <c r="Q763" s="5">
        <f t="shared" si="875"/>
        <v>36921</v>
      </c>
      <c r="R763" s="4">
        <f t="shared" si="960"/>
        <v>0</v>
      </c>
      <c r="S763" s="158">
        <f>_xll.xSPRDOPT($L763,$J763,$I763,$M763,$O763,$N763,$P763,$Q763-$C$3,$R763,0)</f>
        <v>0.25020265162415029</v>
      </c>
      <c r="T763" s="159">
        <f>_xll.xSPRDOPT($L763,$J763,$I763,$M763,$O763,$N763,$P763,$Q763-$C$3,$R763,1)*H763</f>
        <v>-91650.411224246986</v>
      </c>
      <c r="U763" s="160">
        <f t="shared" si="961"/>
        <v>70056.742454762076</v>
      </c>
      <c r="V763" s="159">
        <f>_xll.xSPRDOPT($L763,$J763,$I763,$M763,$O763,$N763,$P763,$Q763-$C$3,$R763,2)*H763</f>
        <v>112925.68437807192</v>
      </c>
      <c r="W763" s="159">
        <f t="shared" si="962"/>
        <v>21275.273153824935</v>
      </c>
      <c r="X763" s="51" t="str">
        <f t="shared" si="963"/>
        <v>36923NGI-SOCAL</v>
      </c>
      <c r="Y763" s="418">
        <f t="shared" si="964"/>
        <v>28</v>
      </c>
      <c r="Z763" s="456">
        <f t="shared" si="965"/>
        <v>-0.32732289722945351</v>
      </c>
      <c r="AA763" s="456">
        <f>_xll.xSPRDOPT($L763,$J763,$I763,$M763,$O763,$N763,$P763,$Q763-$C$3,$R763,3)</f>
        <v>0.34526336742509806</v>
      </c>
      <c r="AB763" s="456">
        <f>((_xll.xSPRDOPT($L763+AB$5,$J763,$I763,$M763,$O763,$N763,$P763,$Q763-$C$3,$R763,3)*$H763)/10000)/100</f>
        <v>9.6673742879027455E-2</v>
      </c>
      <c r="AC763" s="456">
        <f>((_xll.xSPRDOPT($L763+$AB$5,$J763,$I763,$M763,$O763,$N763,$P763,$Q763-$C$3,$R763,7)*$H763)/100)</f>
        <v>-3385.5058789042318</v>
      </c>
      <c r="AD763" s="456">
        <f>(_xll.xSPRDOPT($L763+$AB$5,$J763,$I763,$M763,$O763,$N763,$P763,$Q763-$C$3,$R763,9)/365)*$H763</f>
        <v>-318.67411149745891</v>
      </c>
      <c r="AE763">
        <f t="shared" si="862"/>
        <v>0</v>
      </c>
      <c r="AF763" s="456">
        <f t="shared" si="966"/>
        <v>1723.8721496358851</v>
      </c>
      <c r="AG763" s="456">
        <f>((_xll.xSPRDOPT($L763,$J763,$I763,$M763,$O763,$N763,$P763,$Q763-$C$3,$R763,6)*$H763)/100)</f>
        <v>670.5364286705892</v>
      </c>
      <c r="AH763" s="456">
        <f>((_xll.xSPRDOPT($L763,$J763,$I763,$M763,$O763,$N763,$P763,$Q763-$C$3,$R763,5)*$H763)/100)</f>
        <v>1085.3937646468485</v>
      </c>
      <c r="AI763" s="456">
        <f>(((_xll.xSPRDOPT($L763,$J763,$I763,$M763,$O763,$N763,$P763,$Q763-$C$3,$R763,4)*$H763)/10000)/100)-AB763</f>
        <v>1.3567691640585897E-2</v>
      </c>
      <c r="AJ763" s="456"/>
      <c r="CC763" s="141">
        <f t="shared" si="967"/>
        <v>36861</v>
      </c>
      <c r="CD763" s="234">
        <f>_xll.xSPRDOPT((VLOOKUP(G761,NGPrices,2,FALSE)+HLOOKUP(D761,Prices,VLOOKUP(G761,move_down,2,FALSE),FALSE)),VLOOKUP(G761,NGPrices,2,FALSE),I761,VLOOKUP(G761,NGPREVPRICES,4,FALSE),HLOOKUP(D761,PREVVOLS,VLOOKUP(G761,MOVE_DOWN2,2,FALSE),FALSE),VLOOKUP(G761,NGPREVPRICES,3,FALSE),HLOOKUP(D761,Correllate,VLOOKUP(G761,CorMove,2,FALSE),FALSE),Q761-$CD$3,R761,$CD$5)*H761-CJ763</f>
        <v>0</v>
      </c>
      <c r="CE763" s="234">
        <f>_xll.xSPRDOPT((VLOOKUP(G761,NGPREVPRICES,2,FALSE)+HLOOKUP(D761,PREVCURVES,VLOOKUP(G761,MOVE_DOWN2,2,FALSE),FALSE)),VLOOKUP(G761,NGPREVPRICES,2,FALSE),CK763,VLOOKUP(G761,NGPrices,4,FALSE),HLOOKUP(D761,PREVVOLS,VLOOKUP(G761,MOVE_DOWN2,2,FALSE),FALSE),VLOOKUP(G761,NGPREVPRICES,3,FALSE),HLOOKUP(D761,Correllate,VLOOKUP(G761,CorMove,2,FALSE),FALSE),Q761-$CD$3,R761,$CJ$5)*H761-CJ763</f>
        <v>0</v>
      </c>
      <c r="CF763" s="10">
        <f t="shared" si="968"/>
        <v>-5.7597433120281494</v>
      </c>
      <c r="CG763" s="234">
        <f>_xll.xSPRDOPT((VLOOKUP(G761,NGPREVPRICES,2,FALSE)+HLOOKUP(D761,PREVCURVES,VLOOKUP(G761,MOVE_DOWN2,2,FALSE),FALSE)),VLOOKUP(G761,NGPREVPRICES,2,FALSE),CK763,VLOOKUP(G761,NGPREVPRICES,4,FALSE),HLOOKUP(D761,VOLS,VLOOKUP(G761,move_down,2,FALSE),FALSE),VLOOKUP(G761,NGPrices,3,FALSE),HLOOKUP(D761,Correllate,VLOOKUP(G761,CorMove,2,FALSE),FALSE),Q761-$CD$3,R761,$CJ$5)*H761-CJ763</f>
        <v>0</v>
      </c>
      <c r="CH763" s="234">
        <f>_xll.xSPRDOPT((VLOOKUP(G761,NGPREVPRICES,2,FALSE)+HLOOKUP(D761,PREVCURVES,VLOOKUP(G761,MOVE_DOWN2,2,FALSE),FALSE)),VLOOKUP(G761,NGPREVPRICES,2,FALSE),CK763,VLOOKUP(G761,NGPREVPRICES,4,FALSE),HLOOKUP(D761,PREVVOLS,VLOOKUP(G761,MOVE_DOWN2,2,FALSE),FALSE),VLOOKUP(G761,NGPREVPRICES,3,FALSE),HLOOKUP(D761,Correllate,VLOOKUP(G761,CorMove,2,FALSE),FALSE),Q761-$C$3,R761,$CJ$5)*H761-CJ763</f>
        <v>-398.56019640688828</v>
      </c>
      <c r="CI763" s="234">
        <f t="shared" si="969"/>
        <v>-404.31993971891643</v>
      </c>
      <c r="CJ763" s="234">
        <f>_xll.xSPRDOPT((VLOOKUP(G761,NGPREVPRICES,2,FALSE)+HLOOKUP(D761,PREVCURVES,VLOOKUP(G761,MOVE_DOWN2,2,FALSE),FALSE)),VLOOKUP(G761,NGPREVPRICES,2,FALSE),CK763,VLOOKUP(G761,NGPREVPRICES,4,FALSE),HLOOKUP(D761,PREVVOLS,VLOOKUP(G761,MOVE_DOWN2,2,FALSE),FALSE),VLOOKUP(G761,NGPREVPRICES,3,FALSE),HLOOKUP(D761,Correllate,VLOOKUP(G761,CorMove,2,FALSE),FALSE),Q761-$CD$3,R761,$CJ$5)*H761</f>
        <v>30745.205487798255</v>
      </c>
      <c r="CK763" s="235">
        <f t="shared" si="970"/>
        <v>0.3</v>
      </c>
      <c r="CM763" t="str">
        <f t="shared" si="971"/>
        <v>36861Curve Shift/Gamma</v>
      </c>
      <c r="CN763" t="str">
        <f t="shared" si="949"/>
        <v>36861Rho</v>
      </c>
      <c r="CO763" t="str">
        <f t="shared" si="950"/>
        <v>36861Drift</v>
      </c>
      <c r="CP763" t="str">
        <f t="shared" si="951"/>
        <v>36861Vega</v>
      </c>
      <c r="CQ763" t="str">
        <f t="shared" si="952"/>
        <v>36861Theta</v>
      </c>
    </row>
    <row r="764" spans="1:95" x14ac:dyDescent="0.25">
      <c r="A764" s="140" t="s">
        <v>279</v>
      </c>
      <c r="B764" t="s">
        <v>250</v>
      </c>
      <c r="C764" t="s">
        <v>606</v>
      </c>
      <c r="D764" s="4" t="s">
        <v>190</v>
      </c>
      <c r="E764" t="s">
        <v>20</v>
      </c>
      <c r="F764" t="s">
        <v>1</v>
      </c>
      <c r="G764" s="5">
        <v>36951</v>
      </c>
      <c r="H764" s="130">
        <v>310000</v>
      </c>
      <c r="I764" s="235">
        <v>0.3</v>
      </c>
      <c r="J764" s="53">
        <f t="shared" si="953"/>
        <v>4.2130000000000001</v>
      </c>
      <c r="K764" s="7">
        <f t="shared" si="954"/>
        <v>0.59750000000000003</v>
      </c>
      <c r="L764" s="53">
        <f t="shared" si="955"/>
        <v>4.8105000000000002</v>
      </c>
      <c r="M764" s="157">
        <f t="shared" si="956"/>
        <v>6.8879814952706994E-2</v>
      </c>
      <c r="N764" s="4">
        <f t="shared" si="957"/>
        <v>0.53249999999999997</v>
      </c>
      <c r="O764" s="4">
        <f t="shared" si="958"/>
        <v>0.51700000000000002</v>
      </c>
      <c r="P764" s="9">
        <f t="shared" si="959"/>
        <v>0.85</v>
      </c>
      <c r="Q764" s="5">
        <f t="shared" si="875"/>
        <v>36949</v>
      </c>
      <c r="R764" s="4">
        <f t="shared" si="960"/>
        <v>0</v>
      </c>
      <c r="S764" s="158">
        <f>_xll.xSPRDOPT($L764,$J764,$I764,$M764,$O764,$N764,$P764,$Q764-$C$3,$R764,0)</f>
        <v>0.22744024986276079</v>
      </c>
      <c r="T764" s="159">
        <f>_xll.xSPRDOPT($L764,$J764,$I764,$M764,$O764,$N764,$P764,$Q764-$C$3,$R764,1)*H764</f>
        <v>-100594.15137698034</v>
      </c>
      <c r="U764" s="160">
        <f t="shared" si="961"/>
        <v>70506.47745745584</v>
      </c>
      <c r="V764" s="159">
        <f>_xll.xSPRDOPT($L764,$J764,$I764,$M764,$O764,$N764,$P764,$Q764-$C$3,$R764,2)*H764</f>
        <v>123431.30547953222</v>
      </c>
      <c r="W764" s="159">
        <f t="shared" si="962"/>
        <v>22837.154102551882</v>
      </c>
      <c r="X764" s="51" t="str">
        <f t="shared" si="963"/>
        <v>36951NGI-SOCAL</v>
      </c>
      <c r="Y764" s="418">
        <f t="shared" si="964"/>
        <v>31</v>
      </c>
      <c r="Z764" s="456">
        <f t="shared" si="965"/>
        <v>-0.32449726250638822</v>
      </c>
      <c r="AA764" s="456">
        <f>_xll.xSPRDOPT($L764,$J764,$I764,$M764,$O764,$N764,$P764,$Q764-$C$3,$R764,3)</f>
        <v>0.37242484350268151</v>
      </c>
      <c r="AB764" s="456">
        <f>((_xll.xSPRDOPT($L764+AB$5,$J764,$I764,$M764,$O764,$N764,$P764,$Q764-$C$3,$R764,3)*$H764)/10000)/100</f>
        <v>0.11545170148583127</v>
      </c>
      <c r="AC764" s="456">
        <f>((_xll.xSPRDOPT($L764+$AB$5,$J764,$I764,$M764,$O764,$N764,$P764,$Q764-$C$3,$R764,7)*$H764)/100)</f>
        <v>-3425.0770482331386</v>
      </c>
      <c r="AD764" s="456">
        <f>(_xll.xSPRDOPT($L764+$AB$5,$J764,$I764,$M764,$O764,$N764,$P764,$Q764-$C$3,$R764,9)/365)*$H764</f>
        <v>-271.10458790977833</v>
      </c>
      <c r="AE764">
        <f t="shared" si="862"/>
        <v>0</v>
      </c>
      <c r="AF764" s="456">
        <f t="shared" si="966"/>
        <v>1942.8052208482172</v>
      </c>
      <c r="AG764" s="456">
        <f>((_xll.xSPRDOPT($L764,$J764,$I764,$M764,$O764,$N764,$P764,$Q764-$C$3,$R764,6)*$H764)/100)</f>
        <v>727.80561693215441</v>
      </c>
      <c r="AH764" s="456">
        <f>((_xll.xSPRDOPT($L764,$J764,$I764,$M764,$O764,$N764,$P764,$Q764-$C$3,$R764,5)*$H764)/100)</f>
        <v>1251.4260910740877</v>
      </c>
      <c r="AI764" s="456">
        <f>(((_xll.xSPRDOPT($L764,$J764,$I764,$M764,$O764,$N764,$P764,$Q764-$C$3,$R764,4)*$H764)/10000)/100)-AB764</f>
        <v>1.6089702379944518E-2</v>
      </c>
      <c r="AJ764" s="456"/>
      <c r="CC764" s="141">
        <f t="shared" si="967"/>
        <v>36892</v>
      </c>
      <c r="CD764" s="234">
        <f>_xll.xSPRDOPT((VLOOKUP(G762,NGPrices,2,FALSE)+HLOOKUP(D762,Prices,VLOOKUP(G762,move_down,2,FALSE),FALSE)),VLOOKUP(G762,NGPrices,2,FALSE),I762,VLOOKUP(G762,NGPREVPRICES,4,FALSE),HLOOKUP(D762,PREVVOLS,VLOOKUP(G762,MOVE_DOWN2,2,FALSE),FALSE),VLOOKUP(G762,NGPREVPRICES,3,FALSE),HLOOKUP(D762,Correllate,VLOOKUP(G762,CorMove,2,FALSE),FALSE),Q762-$CD$3,R762,$CD$5)*H762-CJ764</f>
        <v>0</v>
      </c>
      <c r="CE764" s="234">
        <f>_xll.xSPRDOPT((VLOOKUP(G762,NGPREVPRICES,2,FALSE)+HLOOKUP(D762,PREVCURVES,VLOOKUP(G762,MOVE_DOWN2,2,FALSE),FALSE)),VLOOKUP(G762,NGPREVPRICES,2,FALSE),CK764,VLOOKUP(G762,NGPrices,4,FALSE),HLOOKUP(D762,PREVVOLS,VLOOKUP(G762,MOVE_DOWN2,2,FALSE),FALSE),VLOOKUP(G762,NGPREVPRICES,3,FALSE),HLOOKUP(D762,Correllate,VLOOKUP(G762,CorMove,2,FALSE),FALSE),Q762-$CD$3,R762,$CJ$5)*H762-CJ764</f>
        <v>0</v>
      </c>
      <c r="CF764" s="10">
        <f t="shared" si="968"/>
        <v>-11.181076788772771</v>
      </c>
      <c r="CG764" s="234">
        <f>_xll.xSPRDOPT((VLOOKUP(G762,NGPREVPRICES,2,FALSE)+HLOOKUP(D762,PREVCURVES,VLOOKUP(G762,MOVE_DOWN2,2,FALSE),FALSE)),VLOOKUP(G762,NGPREVPRICES,2,FALSE),CK764,VLOOKUP(G762,NGPREVPRICES,4,FALSE),HLOOKUP(D762,VOLS,VLOOKUP(G762,move_down,2,FALSE),FALSE),VLOOKUP(G762,NGPrices,3,FALSE),HLOOKUP(D762,Correllate,VLOOKUP(G762,CorMove,2,FALSE),FALSE),Q762-$CD$3,R762,$CJ$5)*H762-CJ764</f>
        <v>0</v>
      </c>
      <c r="CH764" s="234">
        <f>_xll.xSPRDOPT((VLOOKUP(G762,NGPREVPRICES,2,FALSE)+HLOOKUP(D762,PREVCURVES,VLOOKUP(G762,MOVE_DOWN2,2,FALSE),FALSE)),VLOOKUP(G762,NGPREVPRICES,2,FALSE),CK764,VLOOKUP(G762,NGPREVPRICES,4,FALSE),HLOOKUP(D762,PREVVOLS,VLOOKUP(G762,MOVE_DOWN2,2,FALSE),FALSE),VLOOKUP(G762,NGPREVPRICES,3,FALSE),HLOOKUP(D762,Correllate,VLOOKUP(G762,CorMove,2,FALSE),FALSE),Q762-$C$3,R762,$CJ$5)*H762-CJ764</f>
        <v>-414.2402056151841</v>
      </c>
      <c r="CI764" s="234">
        <f t="shared" si="969"/>
        <v>-425.42128240395687</v>
      </c>
      <c r="CJ764" s="234">
        <f>_xll.xSPRDOPT((VLOOKUP(G762,NGPREVPRICES,2,FALSE)+HLOOKUP(D762,PREVCURVES,VLOOKUP(G762,MOVE_DOWN2,2,FALSE),FALSE)),VLOOKUP(G762,NGPREVPRICES,2,FALSE),CK764,VLOOKUP(G762,NGPREVPRICES,4,FALSE),HLOOKUP(D762,PREVVOLS,VLOOKUP(G762,MOVE_DOWN2,2,FALSE),FALSE),VLOOKUP(G762,NGPREVPRICES,3,FALSE),HLOOKUP(D762,Correllate,VLOOKUP(G762,CorMove,2,FALSE),FALSE),Q762-$CD$3,R762,$CJ$5)*H762</f>
        <v>59334.577122953677</v>
      </c>
      <c r="CK764" s="235">
        <f t="shared" si="970"/>
        <v>0.3</v>
      </c>
      <c r="CM764" t="str">
        <f t="shared" si="971"/>
        <v>36892Curve Shift/Gamma</v>
      </c>
      <c r="CN764" t="str">
        <f t="shared" si="949"/>
        <v>36892Rho</v>
      </c>
      <c r="CO764" t="str">
        <f t="shared" si="950"/>
        <v>36892Drift</v>
      </c>
      <c r="CP764" t="str">
        <f t="shared" si="951"/>
        <v>36892Vega</v>
      </c>
      <c r="CQ764" t="str">
        <f t="shared" si="952"/>
        <v>36892Theta</v>
      </c>
    </row>
    <row r="765" spans="1:95" x14ac:dyDescent="0.25">
      <c r="A765" s="140" t="s">
        <v>279</v>
      </c>
      <c r="B765" t="s">
        <v>250</v>
      </c>
      <c r="C765" t="s">
        <v>607</v>
      </c>
      <c r="D765" s="4" t="s">
        <v>190</v>
      </c>
      <c r="E765" t="s">
        <v>20</v>
      </c>
      <c r="F765" t="s">
        <v>21</v>
      </c>
      <c r="G765" s="5">
        <v>36831</v>
      </c>
      <c r="H765" s="130">
        <v>300000</v>
      </c>
      <c r="I765" s="235">
        <v>0.6</v>
      </c>
      <c r="J765" s="53">
        <f t="shared" si="953"/>
        <v>4.7359999999999998</v>
      </c>
      <c r="K765" s="7">
        <f t="shared" si="954"/>
        <v>1.5449999999999999</v>
      </c>
      <c r="L765" s="53">
        <f t="shared" si="955"/>
        <v>6.2809999999999997</v>
      </c>
      <c r="M765" s="157">
        <f t="shared" si="956"/>
        <v>6.810675983792E-2</v>
      </c>
      <c r="N765" s="4">
        <f t="shared" si="957"/>
        <v>0.59499999999999997</v>
      </c>
      <c r="O765" s="4">
        <f t="shared" si="958"/>
        <v>0.57699999999999996</v>
      </c>
      <c r="P765" s="9">
        <f t="shared" si="959"/>
        <v>0.85</v>
      </c>
      <c r="Q765" s="5">
        <f t="shared" si="875"/>
        <v>36829</v>
      </c>
      <c r="R765" s="4">
        <f t="shared" si="960"/>
        <v>1</v>
      </c>
      <c r="S765" s="158">
        <f>_xll.xSPRDOPT($L765,$J765,$I765,$M765,$O765,$N765,$P765,$Q765-$C$3,$R765,0)</f>
        <v>0.9676469928748952</v>
      </c>
      <c r="T765" s="159">
        <f>_xll.xSPRDOPT($L765,$J765,$I765,$M765,$O765,$N765,$P765,$Q765-$C$3,$R765,1)*H765</f>
        <v>270512.99559572304</v>
      </c>
      <c r="U765" s="160">
        <f t="shared" si="961"/>
        <v>290294.09786246857</v>
      </c>
      <c r="V765" s="159">
        <f>_xll.xSPRDOPT($L765,$J765,$I765,$M765,$O765,$N765,$P765,$Q765-$C$3,$R765,2)*H765</f>
        <v>-263828.44582172739</v>
      </c>
      <c r="W765" s="159">
        <f t="shared" si="962"/>
        <v>6684.5497739956481</v>
      </c>
      <c r="X765" s="51" t="str">
        <f t="shared" si="963"/>
        <v>36831NGI-SOCAL</v>
      </c>
      <c r="Y765" s="418">
        <f t="shared" si="964"/>
        <v>30</v>
      </c>
      <c r="Z765" s="456">
        <f t="shared" si="965"/>
        <v>0.90170998531907676</v>
      </c>
      <c r="AA765" s="456">
        <f>_xll.xSPRDOPT($L765,$J765,$I765,$M765,$O765,$N765,$P765,$Q765-$C$3,$R765,3)</f>
        <v>0.19855718959112881</v>
      </c>
      <c r="AB765" s="456">
        <f>((_xll.xSPRDOPT($L765+AB$5,$J765,$I765,$M765,$O765,$N765,$P765,$Q765-$C$3,$R765,3)*$H765)/10000)/100</f>
        <v>5.9567156877338635E-2</v>
      </c>
      <c r="AC765" s="456">
        <f>((_xll.xSPRDOPT($L765+$AB$5,$J765,$I765,$M765,$O765,$N765,$P765,$Q765-$C$3,$R765,7)*$H765)/100)</f>
        <v>-1220.4210184300603</v>
      </c>
      <c r="AD765" s="456">
        <f>(_xll.xSPRDOPT($L765+$AB$5,$J765,$I765,$M765,$O765,$N765,$P765,$Q765-$C$3,$R765,9)/365)*$H765</f>
        <v>-249.01940229521099</v>
      </c>
      <c r="AE765">
        <f t="shared" si="862"/>
        <v>0</v>
      </c>
      <c r="AF765" s="456">
        <f t="shared" si="966"/>
        <v>631.41838235726584</v>
      </c>
      <c r="AG765" s="456">
        <f>((_xll.xSPRDOPT($L765,$J765,$I765,$M765,$O765,$N765,$P765,$Q765-$C$3,$R765,6)*$H765)/100)</f>
        <v>142.86751013267204</v>
      </c>
      <c r="AH765" s="456">
        <f>((_xll.xSPRDOPT($L765,$J765,$I765,$M765,$O765,$N765,$P765,$Q765-$C$3,$R765,5)*$H765)/100)</f>
        <v>503.79162733731943</v>
      </c>
      <c r="AI765" s="456">
        <f>(((_xll.xSPRDOPT($L765,$J765,$I765,$M765,$O765,$N765,$P765,$Q765-$C$3,$R765,4)*$H765)/10000)/100)-AB765</f>
        <v>2.3700867586923184E-2</v>
      </c>
      <c r="AJ765" s="456"/>
      <c r="CC765" s="141">
        <f t="shared" si="967"/>
        <v>36923</v>
      </c>
      <c r="CD765" s="234">
        <f>_xll.xSPRDOPT((VLOOKUP(G763,NGPrices,2,FALSE)+HLOOKUP(D763,Prices,VLOOKUP(G763,move_down,2,FALSE),FALSE)),VLOOKUP(G763,NGPrices,2,FALSE),I763,VLOOKUP(G763,NGPREVPRICES,4,FALSE),HLOOKUP(D763,PREVVOLS,VLOOKUP(G763,MOVE_DOWN2,2,FALSE),FALSE),VLOOKUP(G763,NGPREVPRICES,3,FALSE),HLOOKUP(D763,Correllate,VLOOKUP(G763,CorMove,2,FALSE),FALSE),Q763-$CD$3,R763,$CD$5)*H763-CJ765</f>
        <v>0</v>
      </c>
      <c r="CE765" s="234">
        <f>_xll.xSPRDOPT((VLOOKUP(G763,NGPREVPRICES,2,FALSE)+HLOOKUP(D763,PREVCURVES,VLOOKUP(G763,MOVE_DOWN2,2,FALSE),FALSE)),VLOOKUP(G763,NGPREVPRICES,2,FALSE),CK765,VLOOKUP(G763,NGPrices,4,FALSE),HLOOKUP(D763,PREVVOLS,VLOOKUP(G763,MOVE_DOWN2,2,FALSE),FALSE),VLOOKUP(G763,NGPREVPRICES,3,FALSE),HLOOKUP(D763,Correllate,VLOOKUP(G763,CorMove,2,FALSE),FALSE),Q763-$CD$3,R763,$CJ$5)*H763-CJ765</f>
        <v>0</v>
      </c>
      <c r="CF765" s="10">
        <f t="shared" si="968"/>
        <v>-13.384446954616578</v>
      </c>
      <c r="CG765" s="234">
        <f>_xll.xSPRDOPT((VLOOKUP(G763,NGPREVPRICES,2,FALSE)+HLOOKUP(D763,PREVCURVES,VLOOKUP(G763,MOVE_DOWN2,2,FALSE),FALSE)),VLOOKUP(G763,NGPREVPRICES,2,FALSE),CK765,VLOOKUP(G763,NGPREVPRICES,4,FALSE),HLOOKUP(D763,VOLS,VLOOKUP(G763,move_down,2,FALSE),FALSE),VLOOKUP(G763,NGPrices,3,FALSE),HLOOKUP(D763,Correllate,VLOOKUP(G763,CorMove,2,FALSE),FALSE),Q763-$CD$3,R763,$CJ$5)*H763-CJ765</f>
        <v>0</v>
      </c>
      <c r="CH765" s="234">
        <f>_xll.xSPRDOPT((VLOOKUP(G763,NGPREVPRICES,2,FALSE)+HLOOKUP(D763,PREVCURVES,VLOOKUP(G763,MOVE_DOWN2,2,FALSE),FALSE)),VLOOKUP(G763,NGPREVPRICES,2,FALSE),CK765,VLOOKUP(G763,NGPREVPRICES,4,FALSE),HLOOKUP(D763,PREVVOLS,VLOOKUP(G763,MOVE_DOWN2,2,FALSE),FALSE),VLOOKUP(G763,NGPREVPRICES,3,FALSE),HLOOKUP(D763,Correllate,VLOOKUP(G763,CorMove,2,FALSE),FALSE),Q763-$C$3,R763,$CJ$5)*H763-CJ765</f>
        <v>-317.90875767140824</v>
      </c>
      <c r="CI765" s="234">
        <f t="shared" si="969"/>
        <v>-331.29320462602482</v>
      </c>
      <c r="CJ765" s="234">
        <f>_xll.xSPRDOPT((VLOOKUP(G763,NGPREVPRICES,2,FALSE)+HLOOKUP(D763,PREVCURVES,VLOOKUP(G763,MOVE_DOWN2,2,FALSE),FALSE)),VLOOKUP(G763,NGPREVPRICES,2,FALSE),CK765,VLOOKUP(G763,NGPREVPRICES,4,FALSE),HLOOKUP(D763,PREVVOLS,VLOOKUP(G763,MOVE_DOWN2,2,FALSE),FALSE),VLOOKUP(G763,NGPREVPRICES,3,FALSE),HLOOKUP(D763,Correllate,VLOOKUP(G763,CorMove,2,FALSE),FALSE),Q763-$CD$3,R763,$CJ$5)*H763</f>
        <v>70374.651212433484</v>
      </c>
      <c r="CK765" s="235">
        <f t="shared" si="970"/>
        <v>0.3</v>
      </c>
      <c r="CM765" t="str">
        <f t="shared" si="971"/>
        <v>36923Curve Shift/Gamma</v>
      </c>
      <c r="CN765" t="str">
        <f t="shared" si="949"/>
        <v>36923Rho</v>
      </c>
      <c r="CO765" t="str">
        <f t="shared" si="950"/>
        <v>36923Drift</v>
      </c>
      <c r="CP765" t="str">
        <f t="shared" si="951"/>
        <v>36923Vega</v>
      </c>
      <c r="CQ765" t="str">
        <f t="shared" si="952"/>
        <v>36923Theta</v>
      </c>
    </row>
    <row r="766" spans="1:95" x14ac:dyDescent="0.25">
      <c r="A766" s="140" t="s">
        <v>279</v>
      </c>
      <c r="B766" t="s">
        <v>250</v>
      </c>
      <c r="C766" t="s">
        <v>607</v>
      </c>
      <c r="D766" s="4" t="s">
        <v>190</v>
      </c>
      <c r="E766" t="s">
        <v>20</v>
      </c>
      <c r="F766" t="s">
        <v>21</v>
      </c>
      <c r="G766" s="5">
        <v>36861</v>
      </c>
      <c r="H766" s="130">
        <v>310000</v>
      </c>
      <c r="I766" s="235">
        <v>0.6</v>
      </c>
      <c r="J766" s="53">
        <f t="shared" si="953"/>
        <v>4.8</v>
      </c>
      <c r="K766" s="7">
        <f t="shared" si="954"/>
        <v>1.0049999999999999</v>
      </c>
      <c r="L766" s="53">
        <f t="shared" si="955"/>
        <v>5.8049999999999997</v>
      </c>
      <c r="M766" s="157">
        <f t="shared" si="956"/>
        <v>6.8314027999354002E-2</v>
      </c>
      <c r="N766" s="4">
        <f t="shared" si="957"/>
        <v>0.6</v>
      </c>
      <c r="O766" s="4">
        <f t="shared" si="958"/>
        <v>0.58199999999999996</v>
      </c>
      <c r="P766" s="9">
        <f t="shared" si="959"/>
        <v>0.85</v>
      </c>
      <c r="Q766" s="5">
        <f t="shared" si="875"/>
        <v>36859</v>
      </c>
      <c r="R766" s="4">
        <f t="shared" si="960"/>
        <v>1</v>
      </c>
      <c r="S766" s="158">
        <f>_xll.xSPRDOPT($L766,$J766,$I766,$M766,$O766,$N766,$P766,$Q766-$C$3,$R766,0)</f>
        <v>0.57598446601074105</v>
      </c>
      <c r="T766" s="159">
        <f>_xll.xSPRDOPT($L766,$J766,$I766,$M766,$O766,$N766,$P766,$Q766-$C$3,$R766,1)*H766</f>
        <v>215356.42182365357</v>
      </c>
      <c r="U766" s="160">
        <f t="shared" si="961"/>
        <v>178555.18446332973</v>
      </c>
      <c r="V766" s="159">
        <f>_xll.xSPRDOPT($L766,$J766,$I766,$M766,$O766,$N766,$P766,$Q766-$C$3,$R766,2)*H766</f>
        <v>-197990.16973328157</v>
      </c>
      <c r="W766" s="159">
        <f t="shared" si="962"/>
        <v>17366.252090372</v>
      </c>
      <c r="X766" s="51" t="str">
        <f t="shared" si="963"/>
        <v>36861NGI-SOCAL</v>
      </c>
      <c r="Y766" s="418">
        <f t="shared" si="964"/>
        <v>31</v>
      </c>
      <c r="Z766" s="456">
        <f t="shared" si="965"/>
        <v>0.69469813491501153</v>
      </c>
      <c r="AA766" s="456">
        <f>_xll.xSPRDOPT($L766,$J766,$I766,$M766,$O766,$N766,$P766,$Q766-$C$3,$R766,3)</f>
        <v>0.37525256032834498</v>
      </c>
      <c r="AB766" s="456">
        <f>((_xll.xSPRDOPT($L766+AB$5,$J766,$I766,$M766,$O766,$N766,$P766,$Q766-$C$3,$R766,3)*$H766)/10000)/100</f>
        <v>0.11632829370178693</v>
      </c>
      <c r="AC766" s="456">
        <f>((_xll.xSPRDOPT($L766+$AB$5,$J766,$I766,$M766,$O766,$N766,$P766,$Q766-$C$3,$R766,7)*$H766)/100)</f>
        <v>-3069.1216992620962</v>
      </c>
      <c r="AD766" s="456">
        <f>(_xll.xSPRDOPT($L766+$AB$5,$J766,$I766,$M766,$O766,$N766,$P766,$Q766-$C$3,$R766,9)/365)*$H766</f>
        <v>-481.38175308756928</v>
      </c>
      <c r="AE766">
        <f t="shared" si="862"/>
        <v>0</v>
      </c>
      <c r="AF766" s="456">
        <f t="shared" si="966"/>
        <v>1577.6407928562417</v>
      </c>
      <c r="AG766" s="456">
        <f>((_xll.xSPRDOPT($L766,$J766,$I766,$M766,$O766,$N766,$P766,$Q766-$C$3,$R766,6)*$H766)/100)</f>
        <v>351.36304106055127</v>
      </c>
      <c r="AH766" s="456">
        <f>((_xll.xSPRDOPT($L766,$J766,$I766,$M766,$O766,$N766,$P766,$Q766-$C$3,$R766,5)*$H766)/100)</f>
        <v>1264.2038678306087</v>
      </c>
      <c r="AI766" s="456">
        <f>(((_xll.xSPRDOPT($L766,$J766,$I766,$M766,$O766,$N766,$P766,$Q766-$C$3,$R766,4)*$H766)/10000)/100)-AB766</f>
        <v>1.8630923341000027E-2</v>
      </c>
      <c r="AJ766" s="456"/>
      <c r="CC766" s="141">
        <f t="shared" si="967"/>
        <v>36951</v>
      </c>
      <c r="CD766" s="234">
        <f>_xll.xSPRDOPT((VLOOKUP(G764,NGPrices,2,FALSE)+HLOOKUP(D764,Prices,VLOOKUP(G764,move_down,2,FALSE),FALSE)),VLOOKUP(G764,NGPrices,2,FALSE),I764,VLOOKUP(G764,NGPREVPRICES,4,FALSE),HLOOKUP(D764,PREVVOLS,VLOOKUP(G764,MOVE_DOWN2,2,FALSE),FALSE),VLOOKUP(G764,NGPREVPRICES,3,FALSE),HLOOKUP(D764,Correllate,VLOOKUP(G764,CorMove,2,FALSE),FALSE),Q764-$CD$3,R764,$CD$5)*H764-CJ766</f>
        <v>0</v>
      </c>
      <c r="CE766" s="234">
        <f>_xll.xSPRDOPT((VLOOKUP(G764,NGPREVPRICES,2,FALSE)+HLOOKUP(D764,PREVCURVES,VLOOKUP(G764,MOVE_DOWN2,2,FALSE),FALSE)),VLOOKUP(G764,NGPREVPRICES,2,FALSE),CK766,VLOOKUP(G764,NGPrices,4,FALSE),HLOOKUP(D764,PREVVOLS,VLOOKUP(G764,MOVE_DOWN2,2,FALSE),FALSE),VLOOKUP(G764,NGPREVPRICES,3,FALSE),HLOOKUP(D764,Correllate,VLOOKUP(G764,CorMove,2,FALSE),FALSE),Q764-$CD$3,R764,$CJ$5)*H764-CJ766</f>
        <v>0</v>
      </c>
      <c r="CF766" s="10">
        <f t="shared" si="968"/>
        <v>-13.573969571472844</v>
      </c>
      <c r="CG766" s="234">
        <f>_xll.xSPRDOPT((VLOOKUP(G764,NGPREVPRICES,2,FALSE)+HLOOKUP(D764,PREVCURVES,VLOOKUP(G764,MOVE_DOWN2,2,FALSE),FALSE)),VLOOKUP(G764,NGPREVPRICES,2,FALSE),CK766,VLOOKUP(G764,NGPREVPRICES,4,FALSE),HLOOKUP(D764,VOLS,VLOOKUP(G764,move_down,2,FALSE),FALSE),VLOOKUP(G764,NGPrices,3,FALSE),HLOOKUP(D764,Correllate,VLOOKUP(G764,CorMove,2,FALSE),FALSE),Q764-$CD$3,R764,$CJ$5)*H764-CJ766</f>
        <v>0</v>
      </c>
      <c r="CH766" s="234">
        <f>_xll.xSPRDOPT((VLOOKUP(G764,NGPREVPRICES,2,FALSE)+HLOOKUP(D764,PREVCURVES,VLOOKUP(G764,MOVE_DOWN2,2,FALSE),FALSE)),VLOOKUP(G764,NGPREVPRICES,2,FALSE),CK766,VLOOKUP(G764,NGPREVPRICES,4,FALSE),HLOOKUP(D764,PREVVOLS,VLOOKUP(G764,MOVE_DOWN2,2,FALSE),FALSE),VLOOKUP(G764,NGPREVPRICES,3,FALSE),HLOOKUP(D764,Correllate,VLOOKUP(G764,CorMove,2,FALSE),FALSE),Q764-$C$3,R764,$CJ$5)*H764-CJ766</f>
        <v>-270.5156206691172</v>
      </c>
      <c r="CI766" s="234">
        <f t="shared" si="969"/>
        <v>-284.08959024059004</v>
      </c>
      <c r="CJ766" s="234">
        <f>_xll.xSPRDOPT((VLOOKUP(G764,NGPREVPRICES,2,FALSE)+HLOOKUP(D764,PREVCURVES,VLOOKUP(G764,MOVE_DOWN2,2,FALSE),FALSE)),VLOOKUP(G764,NGPREVPRICES,2,FALSE),CK766,VLOOKUP(G764,NGPREVPRICES,4,FALSE),HLOOKUP(D764,PREVVOLS,VLOOKUP(G764,MOVE_DOWN2,2,FALSE),FALSE),VLOOKUP(G764,NGPREVPRICES,3,FALSE),HLOOKUP(D764,Correllate,VLOOKUP(G764,CorMove,2,FALSE),FALSE),Q764-$CD$3,R764,$CJ$5)*H764</f>
        <v>70776.993078124957</v>
      </c>
      <c r="CK766" s="235">
        <f t="shared" si="970"/>
        <v>0.3</v>
      </c>
      <c r="CM766" t="str">
        <f t="shared" si="971"/>
        <v>36951Curve Shift/Gamma</v>
      </c>
      <c r="CN766" t="str">
        <f t="shared" si="949"/>
        <v>36951Rho</v>
      </c>
      <c r="CO766" t="str">
        <f t="shared" si="950"/>
        <v>36951Drift</v>
      </c>
      <c r="CP766" t="str">
        <f t="shared" si="951"/>
        <v>36951Vega</v>
      </c>
      <c r="CQ766" t="str">
        <f t="shared" si="952"/>
        <v>36951Theta</v>
      </c>
    </row>
    <row r="767" spans="1:95" x14ac:dyDescent="0.25">
      <c r="A767" s="140" t="s">
        <v>279</v>
      </c>
      <c r="B767" t="s">
        <v>250</v>
      </c>
      <c r="C767" t="s">
        <v>607</v>
      </c>
      <c r="D767" s="4" t="s">
        <v>190</v>
      </c>
      <c r="E767" t="s">
        <v>20</v>
      </c>
      <c r="F767" t="s">
        <v>21</v>
      </c>
      <c r="G767" s="5">
        <v>36892</v>
      </c>
      <c r="H767" s="130">
        <v>310000</v>
      </c>
      <c r="I767" s="235">
        <v>0.6</v>
      </c>
      <c r="J767" s="53">
        <f t="shared" si="953"/>
        <v>4.7439999999999998</v>
      </c>
      <c r="K767" s="7">
        <f t="shared" si="954"/>
        <v>0.76749999999999996</v>
      </c>
      <c r="L767" s="53">
        <f t="shared" si="955"/>
        <v>5.5114999999999998</v>
      </c>
      <c r="M767" s="157">
        <f t="shared" si="956"/>
        <v>6.8374831148490994E-2</v>
      </c>
      <c r="N767" s="4">
        <f t="shared" si="957"/>
        <v>0.60499999999999998</v>
      </c>
      <c r="O767" s="4">
        <f t="shared" si="958"/>
        <v>0.58699999999999997</v>
      </c>
      <c r="P767" s="9">
        <f t="shared" si="959"/>
        <v>0.85</v>
      </c>
      <c r="Q767" s="5">
        <f t="shared" si="875"/>
        <v>36888</v>
      </c>
      <c r="R767" s="4">
        <f t="shared" si="960"/>
        <v>1</v>
      </c>
      <c r="S767" s="158">
        <f>_xll.xSPRDOPT($L767,$J767,$I767,$M767,$O767,$N767,$P767,$Q767-$C$3,$R767,0)</f>
        <v>0.46699478617511897</v>
      </c>
      <c r="T767" s="159">
        <f>_xll.xSPRDOPT($L767,$J767,$I767,$M767,$O767,$N767,$P767,$Q767-$C$3,$R767,1)*H767</f>
        <v>182864.42577826866</v>
      </c>
      <c r="U767" s="160">
        <f t="shared" si="961"/>
        <v>144768.38371428687</v>
      </c>
      <c r="V767" s="159">
        <f>_xll.xSPRDOPT($L767,$J767,$I767,$M767,$O767,$N767,$P767,$Q767-$C$3,$R767,2)*H767</f>
        <v>-160971.98906887032</v>
      </c>
      <c r="W767" s="159">
        <f t="shared" si="962"/>
        <v>21892.436709398346</v>
      </c>
      <c r="X767" s="51" t="str">
        <f t="shared" si="963"/>
        <v>36892NGI-SOCAL</v>
      </c>
      <c r="Y767" s="418">
        <f t="shared" si="964"/>
        <v>31</v>
      </c>
      <c r="Z767" s="456">
        <f t="shared" si="965"/>
        <v>0.58988524444602797</v>
      </c>
      <c r="AA767" s="456">
        <f>_xll.xSPRDOPT($L767,$J767,$I767,$M767,$O767,$N767,$P767,$Q767-$C$3,$R767,3)</f>
        <v>0.38083040877496893</v>
      </c>
      <c r="AB767" s="456">
        <f>((_xll.xSPRDOPT($L767+AB$5,$J767,$I767,$M767,$O767,$N767,$P767,$Q767-$C$3,$R767,3)*$H767)/10000)/100</f>
        <v>0.11805742672024037</v>
      </c>
      <c r="AC767" s="456">
        <f>((_xll.xSPRDOPT($L767+$AB$5,$J767,$I767,$M767,$O767,$N767,$P767,$Q767-$C$3,$R767,7)*$H767)/100)</f>
        <v>-3746.0125135268136</v>
      </c>
      <c r="AD767" s="456">
        <f>(_xll.xSPRDOPT($L767+$AB$5,$J767,$I767,$M767,$O767,$N767,$P767,$Q767-$C$3,$R767,9)/365)*$H767</f>
        <v>-451.98013848785712</v>
      </c>
      <c r="AE767">
        <f t="shared" si="862"/>
        <v>0</v>
      </c>
      <c r="AF767" s="456">
        <f t="shared" si="966"/>
        <v>1915.0857054426965</v>
      </c>
      <c r="AG767" s="456">
        <f>((_xll.xSPRDOPT($L767,$J767,$I767,$M767,$O767,$N767,$P767,$Q767-$C$3,$R767,6)*$H767)/100)</f>
        <v>411.82758658301066</v>
      </c>
      <c r="AH767" s="456">
        <f>((_xll.xSPRDOPT($L767,$J767,$I767,$M767,$O767,$N767,$P767,$Q767-$C$3,$R767,5)*$H767)/100)</f>
        <v>1549.35461994908</v>
      </c>
      <c r="AI767" s="456">
        <f>(((_xll.xSPRDOPT($L767,$J767,$I767,$M767,$O767,$N767,$P767,$Q767-$C$3,$R767,4)*$H767)/10000)/100)-AB767</f>
        <v>7.7508606663889562E-3</v>
      </c>
      <c r="AJ767" s="456"/>
      <c r="CC767" s="141">
        <f t="shared" si="967"/>
        <v>36831</v>
      </c>
      <c r="CD767" s="234">
        <f>_xll.xSPRDOPT((VLOOKUP(G765,NGPrices,2,FALSE)+HLOOKUP(D765,Prices,VLOOKUP(G765,move_down,2,FALSE),FALSE)),VLOOKUP(G765,NGPrices,2,FALSE),I765,VLOOKUP(G765,NGPREVPRICES,4,FALSE),HLOOKUP(D765,PREVVOLS,VLOOKUP(G765,MOVE_DOWN2,2,FALSE),FALSE),VLOOKUP(G765,NGPREVPRICES,3,FALSE),HLOOKUP(D765,Correllate,VLOOKUP(G765,CorMove,2,FALSE),FALSE),Q765-$CD$3,R765,$CD$5)*H765-CJ767</f>
        <v>0</v>
      </c>
      <c r="CE767" s="234">
        <f>_xll.xSPRDOPT((VLOOKUP(G765,NGPREVPRICES,2,FALSE)+HLOOKUP(D765,PREVCURVES,VLOOKUP(G765,MOVE_DOWN2,2,FALSE),FALSE)),VLOOKUP(G765,NGPREVPRICES,2,FALSE),CK767,VLOOKUP(G765,NGPrices,4,FALSE),HLOOKUP(D765,PREVVOLS,VLOOKUP(G765,MOVE_DOWN2,2,FALSE),FALSE),VLOOKUP(G765,NGPREVPRICES,3,FALSE),HLOOKUP(D765,Correllate,VLOOKUP(G765,CorMove,2,FALSE),FALSE),Q765-$CD$3,R765,$CJ$5)*H765-CJ767</f>
        <v>0</v>
      </c>
      <c r="CF767" s="10">
        <f t="shared" si="968"/>
        <v>-53.957057483203243</v>
      </c>
      <c r="CG767" s="234">
        <f>_xll.xSPRDOPT((VLOOKUP(G765,NGPREVPRICES,2,FALSE)+HLOOKUP(D765,PREVCURVES,VLOOKUP(G765,MOVE_DOWN2,2,FALSE),FALSE)),VLOOKUP(G765,NGPREVPRICES,2,FALSE),CK767,VLOOKUP(G765,NGPREVPRICES,4,FALSE),HLOOKUP(D765,VOLS,VLOOKUP(G765,move_down,2,FALSE),FALSE),VLOOKUP(G765,NGPrices,3,FALSE),HLOOKUP(D765,Correllate,VLOOKUP(G765,CorMove,2,FALSE),FALSE),Q765-$CD$3,R765,$CJ$5)*H765-CJ767</f>
        <v>0</v>
      </c>
      <c r="CH767" s="234">
        <f>_xll.xSPRDOPT((VLOOKUP(G765,NGPREVPRICES,2,FALSE)+HLOOKUP(D765,PREVCURVES,VLOOKUP(G765,MOVE_DOWN2,2,FALSE),FALSE)),VLOOKUP(G765,NGPREVPRICES,2,FALSE),CK767,VLOOKUP(G765,NGPREVPRICES,4,FALSE),HLOOKUP(D765,PREVVOLS,VLOOKUP(G765,MOVE_DOWN2,2,FALSE),FALSE),VLOOKUP(G765,NGPREVPRICES,3,FALSE),HLOOKUP(D765,Correllate,VLOOKUP(G765,CorMove,2,FALSE),FALSE),Q765-$C$3,R765,$CJ$5)*H765-CJ767</f>
        <v>-249.59886394959176</v>
      </c>
      <c r="CI767" s="234">
        <f t="shared" si="969"/>
        <v>-303.555921432795</v>
      </c>
      <c r="CJ767" s="234">
        <f>_xll.xSPRDOPT((VLOOKUP(G765,NGPREVPRICES,2,FALSE)+HLOOKUP(D765,PREVCURVES,VLOOKUP(G765,MOVE_DOWN2,2,FALSE),FALSE)),VLOOKUP(G765,NGPREVPRICES,2,FALSE),CK767,VLOOKUP(G765,NGPREVPRICES,4,FALSE),HLOOKUP(D765,PREVVOLS,VLOOKUP(G765,MOVE_DOWN2,2,FALSE),FALSE),VLOOKUP(G765,NGPREVPRICES,3,FALSE),HLOOKUP(D765,Correllate,VLOOKUP(G765,CorMove,2,FALSE),FALSE),Q765-$CD$3,R765,$CJ$5)*H765</f>
        <v>290543.69672641816</v>
      </c>
      <c r="CK767" s="235">
        <f t="shared" si="970"/>
        <v>0.6</v>
      </c>
      <c r="CM767" t="str">
        <f t="shared" si="971"/>
        <v>36831Curve Shift/Gamma</v>
      </c>
      <c r="CN767" t="str">
        <f t="shared" si="949"/>
        <v>36831Rho</v>
      </c>
      <c r="CO767" t="str">
        <f t="shared" si="950"/>
        <v>36831Drift</v>
      </c>
      <c r="CP767" t="str">
        <f t="shared" si="951"/>
        <v>36831Vega</v>
      </c>
      <c r="CQ767" t="str">
        <f t="shared" si="952"/>
        <v>36831Theta</v>
      </c>
    </row>
    <row r="768" spans="1:95" x14ac:dyDescent="0.25">
      <c r="A768" s="140" t="s">
        <v>279</v>
      </c>
      <c r="B768" t="s">
        <v>250</v>
      </c>
      <c r="C768" t="s">
        <v>607</v>
      </c>
      <c r="D768" s="4" t="s">
        <v>190</v>
      </c>
      <c r="E768" t="s">
        <v>20</v>
      </c>
      <c r="F768" t="s">
        <v>21</v>
      </c>
      <c r="G768" s="5">
        <v>36923</v>
      </c>
      <c r="H768" s="130">
        <v>280000</v>
      </c>
      <c r="I768" s="235">
        <v>0.6</v>
      </c>
      <c r="J768" s="53">
        <f t="shared" si="953"/>
        <v>4.4800000000000004</v>
      </c>
      <c r="K768" s="7">
        <f t="shared" si="954"/>
        <v>0.61750000000000005</v>
      </c>
      <c r="L768" s="53">
        <f t="shared" si="955"/>
        <v>5.0975000000000001</v>
      </c>
      <c r="M768" s="157">
        <f t="shared" si="956"/>
        <v>6.8640161611372E-2</v>
      </c>
      <c r="N768" s="4">
        <f t="shared" si="957"/>
        <v>0.59250000000000003</v>
      </c>
      <c r="O768" s="4">
        <f t="shared" si="958"/>
        <v>0.57499999999999996</v>
      </c>
      <c r="P768" s="9">
        <f t="shared" si="959"/>
        <v>0.85</v>
      </c>
      <c r="Q768" s="5">
        <f t="shared" si="875"/>
        <v>36921</v>
      </c>
      <c r="R768" s="4">
        <f t="shared" si="960"/>
        <v>1</v>
      </c>
      <c r="S768" s="158">
        <f>_xll.xSPRDOPT($L768,$J768,$I768,$M768,$O768,$N768,$P768,$Q768-$C$3,$R768,0)</f>
        <v>0.39879849314335997</v>
      </c>
      <c r="T768" s="159">
        <f>_xll.xSPRDOPT($L768,$J768,$I768,$M768,$O768,$N768,$P768,$Q768-$C$3,$R768,1)*H768</f>
        <v>148664.21704021876</v>
      </c>
      <c r="U768" s="160">
        <f t="shared" si="961"/>
        <v>111663.5780801408</v>
      </c>
      <c r="V768" s="159">
        <f>_xll.xSPRDOPT($L768,$J768,$I768,$M768,$O768,$N768,$P768,$Q768-$C$3,$R768,2)*H768</f>
        <v>-126711.05301121215</v>
      </c>
      <c r="W768" s="159">
        <f t="shared" si="962"/>
        <v>21953.164029006613</v>
      </c>
      <c r="X768" s="51" t="str">
        <f t="shared" si="963"/>
        <v>36923NGI-SOCAL</v>
      </c>
      <c r="Y768" s="418">
        <f t="shared" si="964"/>
        <v>28</v>
      </c>
      <c r="Z768" s="456">
        <f t="shared" si="965"/>
        <v>0.53094363228649555</v>
      </c>
      <c r="AA768" s="456">
        <f>_xll.xSPRDOPT($L768,$J768,$I768,$M768,$O768,$N768,$P768,$Q768-$C$3,$R768,3)</f>
        <v>0.38103475389144614</v>
      </c>
      <c r="AB768" s="456">
        <f>((_xll.xSPRDOPT($L768+AB$5,$J768,$I768,$M768,$O768,$N768,$P768,$Q768-$C$3,$R768,3)*$H768)/10000)/100</f>
        <v>0.10668973108960492</v>
      </c>
      <c r="AC768" s="456">
        <f>((_xll.xSPRDOPT($L768+$AB$5,$J768,$I768,$M768,$O768,$N768,$P768,$Q768-$C$3,$R768,7)*$H768)/100)</f>
        <v>-3509.7084113677261</v>
      </c>
      <c r="AD768" s="456">
        <f>(_xll.xSPRDOPT($L768+$AB$5,$J768,$I768,$M768,$O768,$N768,$P768,$Q768-$C$3,$R768,9)/365)*$H768</f>
        <v>-333.85316528473413</v>
      </c>
      <c r="AE768">
        <f t="shared" si="862"/>
        <v>0</v>
      </c>
      <c r="AF768" s="456">
        <f t="shared" si="966"/>
        <v>1843.3693498969926</v>
      </c>
      <c r="AG768" s="456">
        <f>((_xll.xSPRDOPT($L768,$J768,$I768,$M768,$O768,$N768,$P768,$Q768-$C$3,$R768,6)*$H768)/100)</f>
        <v>355.87057844815064</v>
      </c>
      <c r="AH768" s="456">
        <f>((_xll.xSPRDOPT($L768,$J768,$I768,$M768,$O768,$N768,$P768,$Q768-$C$3,$R768,5)*$H768)/100)</f>
        <v>1532.7704731885894</v>
      </c>
      <c r="AI768" s="456">
        <f>(((_xll.xSPRDOPT($L768,$J768,$I768,$M768,$O768,$N768,$P768,$Q768-$C$3,$R768,4)*$H768)/10000)/100)-AB768</f>
        <v>8.3061304767381716E-4</v>
      </c>
      <c r="AJ768" s="456"/>
      <c r="CC768" s="141">
        <f t="shared" si="967"/>
        <v>36861</v>
      </c>
      <c r="CD768" s="234">
        <f>_xll.xSPRDOPT((VLOOKUP(G766,NGPrices,2,FALSE)+HLOOKUP(D766,Prices,VLOOKUP(G766,move_down,2,FALSE),FALSE)),VLOOKUP(G766,NGPrices,2,FALSE),I766,VLOOKUP(G766,NGPREVPRICES,4,FALSE),HLOOKUP(D766,PREVVOLS,VLOOKUP(G766,MOVE_DOWN2,2,FALSE),FALSE),VLOOKUP(G766,NGPREVPRICES,3,FALSE),HLOOKUP(D766,Correllate,VLOOKUP(G766,CorMove,2,FALSE),FALSE),Q766-$CD$3,R766,$CD$5)*H766-CJ768</f>
        <v>0</v>
      </c>
      <c r="CE768" s="234">
        <f>_xll.xSPRDOPT((VLOOKUP(G766,NGPREVPRICES,2,FALSE)+HLOOKUP(D766,PREVCURVES,VLOOKUP(G766,MOVE_DOWN2,2,FALSE),FALSE)),VLOOKUP(G766,NGPREVPRICES,2,FALSE),CK768,VLOOKUP(G766,NGPrices,4,FALSE),HLOOKUP(D766,PREVVOLS,VLOOKUP(G766,MOVE_DOWN2,2,FALSE),FALSE),VLOOKUP(G766,NGPREVPRICES,3,FALSE),HLOOKUP(D766,Correllate,VLOOKUP(G766,CorMove,2,FALSE),FALSE),Q766-$CD$3,R766,$CJ$5)*H766-CJ768</f>
        <v>0</v>
      </c>
      <c r="CF768" s="10">
        <f t="shared" si="968"/>
        <v>-33.540057061502011</v>
      </c>
      <c r="CG768" s="234">
        <f>_xll.xSPRDOPT((VLOOKUP(G766,NGPREVPRICES,2,FALSE)+HLOOKUP(D766,PREVCURVES,VLOOKUP(G766,MOVE_DOWN2,2,FALSE),FALSE)),VLOOKUP(G766,NGPREVPRICES,2,FALSE),CK768,VLOOKUP(G766,NGPREVPRICES,4,FALSE),HLOOKUP(D766,VOLS,VLOOKUP(G766,move_down,2,FALSE),FALSE),VLOOKUP(G766,NGPrices,3,FALSE),HLOOKUP(D766,Correllate,VLOOKUP(G766,CorMove,2,FALSE),FALSE),Q766-$CD$3,R766,$CJ$5)*H766-CJ768</f>
        <v>0</v>
      </c>
      <c r="CH768" s="234">
        <f>_xll.xSPRDOPT((VLOOKUP(G766,NGPREVPRICES,2,FALSE)+HLOOKUP(D766,PREVCURVES,VLOOKUP(G766,MOVE_DOWN2,2,FALSE),FALSE)),VLOOKUP(G766,NGPREVPRICES,2,FALSE),CK768,VLOOKUP(G766,NGPREVPRICES,4,FALSE),HLOOKUP(D766,PREVVOLS,VLOOKUP(G766,MOVE_DOWN2,2,FALSE),FALSE),VLOOKUP(G766,NGPREVPRICES,3,FALSE),HLOOKUP(D766,Correllate,VLOOKUP(G766,CorMove,2,FALSE),FALSE),Q766-$C$3,R766,$CJ$5)*H766-CJ768</f>
        <v>-479.86806658926071</v>
      </c>
      <c r="CI768" s="234">
        <f t="shared" si="969"/>
        <v>-513.40812365076272</v>
      </c>
      <c r="CJ768" s="234">
        <f>_xll.xSPRDOPT((VLOOKUP(G766,NGPREVPRICES,2,FALSE)+HLOOKUP(D766,PREVCURVES,VLOOKUP(G766,MOVE_DOWN2,2,FALSE),FALSE)),VLOOKUP(G766,NGPREVPRICES,2,FALSE),CK768,VLOOKUP(G766,NGPREVPRICES,4,FALSE),HLOOKUP(D766,PREVVOLS,VLOOKUP(G766,MOVE_DOWN2,2,FALSE),FALSE),VLOOKUP(G766,NGPREVPRICES,3,FALSE),HLOOKUP(D766,Correllate,VLOOKUP(G766,CorMove,2,FALSE),FALSE),Q766-$CD$3,R766,$CJ$5)*H766</f>
        <v>179035.05252991899</v>
      </c>
      <c r="CK768" s="235">
        <f t="shared" si="970"/>
        <v>0.6</v>
      </c>
      <c r="CM768" t="str">
        <f t="shared" si="971"/>
        <v>36861Curve Shift/Gamma</v>
      </c>
      <c r="CN768" t="str">
        <f t="shared" si="949"/>
        <v>36861Rho</v>
      </c>
      <c r="CO768" t="str">
        <f t="shared" si="950"/>
        <v>36861Drift</v>
      </c>
      <c r="CP768" t="str">
        <f t="shared" si="951"/>
        <v>36861Vega</v>
      </c>
      <c r="CQ768" t="str">
        <f t="shared" si="952"/>
        <v>36861Theta</v>
      </c>
    </row>
    <row r="769" spans="1:95" x14ac:dyDescent="0.25">
      <c r="A769" s="140" t="s">
        <v>279</v>
      </c>
      <c r="B769" t="s">
        <v>250</v>
      </c>
      <c r="C769" t="s">
        <v>607</v>
      </c>
      <c r="D769" s="4" t="s">
        <v>190</v>
      </c>
      <c r="E769" t="s">
        <v>20</v>
      </c>
      <c r="F769" t="s">
        <v>21</v>
      </c>
      <c r="G769" s="5">
        <v>36951</v>
      </c>
      <c r="H769" s="130">
        <v>310000</v>
      </c>
      <c r="I769" s="235">
        <v>0.6</v>
      </c>
      <c r="J769" s="53">
        <f t="shared" si="953"/>
        <v>4.2130000000000001</v>
      </c>
      <c r="K769" s="7">
        <f t="shared" si="954"/>
        <v>0.59750000000000003</v>
      </c>
      <c r="L769" s="53">
        <f t="shared" si="955"/>
        <v>4.8105000000000002</v>
      </c>
      <c r="M769" s="157">
        <f t="shared" si="956"/>
        <v>6.8879814952706994E-2</v>
      </c>
      <c r="N769" s="4">
        <f t="shared" si="957"/>
        <v>0.53249999999999997</v>
      </c>
      <c r="O769" s="4">
        <f t="shared" si="958"/>
        <v>0.51700000000000002</v>
      </c>
      <c r="P769" s="9">
        <f t="shared" si="959"/>
        <v>0.85</v>
      </c>
      <c r="Q769" s="5">
        <f t="shared" si="875"/>
        <v>36949</v>
      </c>
      <c r="R769" s="4">
        <f t="shared" si="960"/>
        <v>1</v>
      </c>
      <c r="S769" s="158">
        <f>_xll.xSPRDOPT($L769,$J769,$I769,$M769,$O769,$N769,$P769,$Q769-$C$3,$R769,0)</f>
        <v>0.35708846053376209</v>
      </c>
      <c r="T769" s="159">
        <f>_xll.xSPRDOPT($L769,$J769,$I769,$M769,$O769,$N769,$P769,$Q769-$C$3,$R769,1)*H769</f>
        <v>161037.68379177593</v>
      </c>
      <c r="U769" s="160">
        <f t="shared" si="961"/>
        <v>110697.42276546625</v>
      </c>
      <c r="V769" s="159">
        <f>_xll.xSPRDOPT($L769,$J769,$I769,$M769,$O769,$N769,$P769,$Q769-$C$3,$R769,2)*H769</f>
        <v>-137478.81460094725</v>
      </c>
      <c r="W769" s="159">
        <f t="shared" si="962"/>
        <v>23558.869190828671</v>
      </c>
      <c r="X769" s="51" t="str">
        <f t="shared" si="963"/>
        <v>36951NGI-SOCAL</v>
      </c>
      <c r="Y769" s="418">
        <f t="shared" si="964"/>
        <v>31</v>
      </c>
      <c r="Z769" s="456">
        <f t="shared" si="965"/>
        <v>0.51947639932830947</v>
      </c>
      <c r="AA769" s="456">
        <f>_xll.xSPRDOPT($L769,$J769,$I769,$M769,$O769,$N769,$P769,$Q769-$C$3,$R769,3)</f>
        <v>0.41238411066884773</v>
      </c>
      <c r="AB769" s="456">
        <f>((_xll.xSPRDOPT($L769+AB$5,$J769,$I769,$M769,$O769,$N769,$P769,$Q769-$C$3,$R769,3)*$H769)/10000)/100</f>
        <v>0.12783907430734279</v>
      </c>
      <c r="AC769" s="456">
        <f>((_xll.xSPRDOPT($L769+$AB$5,$J769,$I769,$M769,$O769,$N769,$P769,$Q769-$C$3,$R769,7)*$H769)/100)</f>
        <v>-3550.0583684015023</v>
      </c>
      <c r="AD769" s="456">
        <f>(_xll.xSPRDOPT($L769+$AB$5,$J769,$I769,$M769,$O769,$N769,$P769,$Q769-$C$3,$R769,9)/365)*$H769</f>
        <v>-284.46903491902953</v>
      </c>
      <c r="AE769">
        <f t="shared" si="862"/>
        <v>0</v>
      </c>
      <c r="AF769" s="456">
        <f t="shared" si="966"/>
        <v>2085.9075626500667</v>
      </c>
      <c r="AG769" s="456">
        <f>((_xll.xSPRDOPT($L769,$J769,$I769,$M769,$O769,$N769,$P769,$Q769-$C$3,$R769,6)*$H769)/100)</f>
        <v>353.42076371577639</v>
      </c>
      <c r="AH769" s="456">
        <f>((_xll.xSPRDOPT($L769,$J769,$I769,$M769,$O769,$N769,$P769,$Q769-$C$3,$R769,5)*$H769)/100)</f>
        <v>1784.4278925193607</v>
      </c>
      <c r="AI769" s="456">
        <f>(((_xll.xSPRDOPT($L769,$J769,$I769,$M769,$O769,$N769,$P769,$Q769-$C$3,$R769,4)*$H769)/10000)/100)-AB769</f>
        <v>-9.0553912837354478E-6</v>
      </c>
      <c r="AJ769" s="456"/>
      <c r="CC769" s="141">
        <f t="shared" si="967"/>
        <v>36892</v>
      </c>
      <c r="CD769" s="234">
        <f>_xll.xSPRDOPT((VLOOKUP(G767,NGPrices,2,FALSE)+HLOOKUP(D767,Prices,VLOOKUP(G767,move_down,2,FALSE),FALSE)),VLOOKUP(G767,NGPrices,2,FALSE),I767,VLOOKUP(G767,NGPREVPRICES,4,FALSE),HLOOKUP(D767,PREVVOLS,VLOOKUP(G767,MOVE_DOWN2,2,FALSE),FALSE),VLOOKUP(G767,NGPREVPRICES,3,FALSE),HLOOKUP(D767,Correllate,VLOOKUP(G767,CorMove,2,FALSE),FALSE),Q767-$CD$3,R767,$CD$5)*H767-CJ769</f>
        <v>0</v>
      </c>
      <c r="CE769" s="234">
        <f>_xll.xSPRDOPT((VLOOKUP(G767,NGPREVPRICES,2,FALSE)+HLOOKUP(D767,PREVCURVES,VLOOKUP(G767,MOVE_DOWN2,2,FALSE),FALSE)),VLOOKUP(G767,NGPREVPRICES,2,FALSE),CK769,VLOOKUP(G767,NGPrices,4,FALSE),HLOOKUP(D767,PREVVOLS,VLOOKUP(G767,MOVE_DOWN2,2,FALSE),FALSE),VLOOKUP(G767,NGPREVPRICES,3,FALSE),HLOOKUP(D767,Correllate,VLOOKUP(G767,CorMove,2,FALSE),FALSE),Q767-$CD$3,R767,$CJ$5)*H767-CJ769</f>
        <v>0</v>
      </c>
      <c r="CF769" s="10">
        <f t="shared" si="968"/>
        <v>-27.365239347855095</v>
      </c>
      <c r="CG769" s="234">
        <f>_xll.xSPRDOPT((VLOOKUP(G767,NGPREVPRICES,2,FALSE)+HLOOKUP(D767,PREVCURVES,VLOOKUP(G767,MOVE_DOWN2,2,FALSE),FALSE)),VLOOKUP(G767,NGPREVPRICES,2,FALSE),CK769,VLOOKUP(G767,NGPREVPRICES,4,FALSE),HLOOKUP(D767,VOLS,VLOOKUP(G767,move_down,2,FALSE),FALSE),VLOOKUP(G767,NGPrices,3,FALSE),HLOOKUP(D767,Correllate,VLOOKUP(G767,CorMove,2,FALSE),FALSE),Q767-$CD$3,R767,$CJ$5)*H767-CJ769</f>
        <v>0</v>
      </c>
      <c r="CH769" s="234">
        <f>_xll.xSPRDOPT((VLOOKUP(G767,NGPREVPRICES,2,FALSE)+HLOOKUP(D767,PREVCURVES,VLOOKUP(G767,MOVE_DOWN2,2,FALSE),FALSE)),VLOOKUP(G767,NGPREVPRICES,2,FALSE),CK769,VLOOKUP(G767,NGPREVPRICES,4,FALSE),HLOOKUP(D767,PREVVOLS,VLOOKUP(G767,MOVE_DOWN2,2,FALSE),FALSE),VLOOKUP(G767,NGPREVPRICES,3,FALSE),HLOOKUP(D767,Correllate,VLOOKUP(G767,CorMove,2,FALSE),FALSE),Q767-$C$3,R767,$CJ$5)*H767-CJ769</f>
        <v>-450.62651583901607</v>
      </c>
      <c r="CI769" s="234">
        <f t="shared" si="969"/>
        <v>-477.99175518687116</v>
      </c>
      <c r="CJ769" s="234">
        <f>_xll.xSPRDOPT((VLOOKUP(G767,NGPREVPRICES,2,FALSE)+HLOOKUP(D767,PREVCURVES,VLOOKUP(G767,MOVE_DOWN2,2,FALSE),FALSE)),VLOOKUP(G767,NGPREVPRICES,2,FALSE),CK769,VLOOKUP(G767,NGPREVPRICES,4,FALSE),HLOOKUP(D767,PREVVOLS,VLOOKUP(G767,MOVE_DOWN2,2,FALSE),FALSE),VLOOKUP(G767,NGPREVPRICES,3,FALSE),HLOOKUP(D767,Correllate,VLOOKUP(G767,CorMove,2,FALSE),FALSE),Q767-$CD$3,R767,$CJ$5)*H767</f>
        <v>145219.01023012589</v>
      </c>
      <c r="CK769" s="235">
        <f t="shared" si="970"/>
        <v>0.6</v>
      </c>
      <c r="CM769" t="str">
        <f t="shared" si="971"/>
        <v>36892Curve Shift/Gamma</v>
      </c>
      <c r="CN769" t="str">
        <f t="shared" si="949"/>
        <v>36892Rho</v>
      </c>
      <c r="CO769" t="str">
        <f t="shared" si="950"/>
        <v>36892Drift</v>
      </c>
      <c r="CP769" t="str">
        <f t="shared" si="951"/>
        <v>36892Vega</v>
      </c>
      <c r="CQ769" t="str">
        <f t="shared" si="952"/>
        <v>36892Theta</v>
      </c>
    </row>
    <row r="770" spans="1:95" x14ac:dyDescent="0.25">
      <c r="A770" s="140" t="s">
        <v>383</v>
      </c>
      <c r="B770" t="s">
        <v>250</v>
      </c>
      <c r="C770" t="s">
        <v>608</v>
      </c>
      <c r="D770" s="4" t="s">
        <v>74</v>
      </c>
      <c r="E770" t="s">
        <v>20</v>
      </c>
      <c r="F770" t="s">
        <v>21</v>
      </c>
      <c r="G770" s="5">
        <v>36831</v>
      </c>
      <c r="H770" s="130">
        <v>-300000</v>
      </c>
      <c r="I770" s="235">
        <v>0.15</v>
      </c>
      <c r="J770" s="53">
        <f t="shared" si="953"/>
        <v>4.7359999999999998</v>
      </c>
      <c r="K770" s="7">
        <f t="shared" si="954"/>
        <v>8.7499999999999994E-2</v>
      </c>
      <c r="L770" s="53">
        <f t="shared" si="955"/>
        <v>4.8235000000000001</v>
      </c>
      <c r="M770" s="157">
        <f t="shared" si="956"/>
        <v>6.810675983792E-2</v>
      </c>
      <c r="N770" s="4">
        <f t="shared" si="957"/>
        <v>0.59499999999999997</v>
      </c>
      <c r="O770" s="4">
        <f t="shared" si="958"/>
        <v>0.59499999999999997</v>
      </c>
      <c r="P770" s="9">
        <f t="shared" si="959"/>
        <v>0.997</v>
      </c>
      <c r="Q770" s="5">
        <f t="shared" si="875"/>
        <v>36829</v>
      </c>
      <c r="R770" s="4">
        <f t="shared" si="960"/>
        <v>1</v>
      </c>
      <c r="S770" s="158">
        <f>_xll.xSPRDOPT($L770,$J770,$I770,$M770,$O770,$N770,$P770,$Q770-$C$3,$R770,0)</f>
        <v>1.5250320595656583E-2</v>
      </c>
      <c r="T770" s="159">
        <f>_xll.xSPRDOPT($L770,$J770,$I770,$M770,$O770,$N770,$P770,$Q770-$C$3,$R770,1)*H770</f>
        <v>-78849.76466463189</v>
      </c>
      <c r="U770" s="160">
        <f t="shared" si="961"/>
        <v>-4575.0961786969747</v>
      </c>
      <c r="V770" s="159">
        <f>_xll.xSPRDOPT($L770,$J770,$I770,$M770,$O770,$N770,$P770,$Q770-$C$3,$R770,2)*H770</f>
        <v>77133.889443530643</v>
      </c>
      <c r="W770" s="159">
        <f t="shared" si="962"/>
        <v>-1715.875221101247</v>
      </c>
      <c r="X770" s="51" t="str">
        <f t="shared" si="963"/>
        <v>36831NGI/CHI. GATE</v>
      </c>
      <c r="Y770" s="418">
        <f t="shared" si="964"/>
        <v>-30</v>
      </c>
      <c r="Z770" s="456">
        <f t="shared" si="965"/>
        <v>0.26283254888210628</v>
      </c>
      <c r="AA770" s="456">
        <f>_xll.xSPRDOPT($L770,$J770,$I770,$M770,$O770,$N770,$P770,$Q770-$C$3,$R770,3)</f>
        <v>3.3553439431036649</v>
      </c>
      <c r="AB770" s="456">
        <f>((_xll.xSPRDOPT($L770+AB$5,$J770,$I770,$M770,$O770,$N770,$P770,$Q770-$C$3,$R770,3)*$H770)/10000)/100</f>
        <v>-1.0066031829310993</v>
      </c>
      <c r="AC770" s="456">
        <f>((_xll.xSPRDOPT($L770+$AB$5,$J770,$I770,$M770,$O770,$N770,$P770,$Q770-$C$3,$R770,7)*$H770)/100)</f>
        <v>13666.47341596898</v>
      </c>
      <c r="AD770" s="456">
        <f>(_xll.xSPRDOPT($L770+$AB$5,$J770,$I770,$M770,$O770,$N770,$P770,$Q770-$C$3,$R770,9)/365)*$H770</f>
        <v>75.305118852392226</v>
      </c>
      <c r="AE770">
        <f t="shared" si="862"/>
        <v>0</v>
      </c>
      <c r="AF770" s="456">
        <f t="shared" si="966"/>
        <v>-158.60885072883264</v>
      </c>
      <c r="AG770" s="456">
        <f>((_xll.xSPRDOPT($L770,$J770,$I770,$M770,$O770,$N770,$P770,$Q770-$C$3,$R770,6)*$H770)/100)</f>
        <v>595.27151436878648</v>
      </c>
      <c r="AH770" s="456">
        <f>((_xll.xSPRDOPT($L770,$J770,$I770,$M770,$O770,$N770,$P770,$Q770-$C$3,$R770,5)*$H770)/100)</f>
        <v>-753.88036509761912</v>
      </c>
      <c r="AI770" s="456">
        <f>(((_xll.xSPRDOPT($L770,$J770,$I770,$M770,$O770,$N770,$P770,$Q770-$C$3,$R770,4)*$H770)/10000)/100)-AB770</f>
        <v>2.2016779360807148E-2</v>
      </c>
      <c r="AJ770" s="456"/>
      <c r="CC770" s="141">
        <f t="shared" si="967"/>
        <v>36923</v>
      </c>
      <c r="CD770" s="234">
        <f>_xll.xSPRDOPT((VLOOKUP(G768,NGPrices,2,FALSE)+HLOOKUP(D768,Prices,VLOOKUP(G768,move_down,2,FALSE),FALSE)),VLOOKUP(G768,NGPrices,2,FALSE),I768,VLOOKUP(G768,NGPREVPRICES,4,FALSE),HLOOKUP(D768,PREVVOLS,VLOOKUP(G768,MOVE_DOWN2,2,FALSE),FALSE),VLOOKUP(G768,NGPREVPRICES,3,FALSE),HLOOKUP(D768,Correllate,VLOOKUP(G768,CorMove,2,FALSE),FALSE),Q768-$CD$3,R768,$CD$5)*H768-CJ770</f>
        <v>0</v>
      </c>
      <c r="CE770" s="234">
        <f>_xll.xSPRDOPT((VLOOKUP(G768,NGPREVPRICES,2,FALSE)+HLOOKUP(D768,PREVCURVES,VLOOKUP(G768,MOVE_DOWN2,2,FALSE),FALSE)),VLOOKUP(G768,NGPREVPRICES,2,FALSE),CK770,VLOOKUP(G768,NGPrices,4,FALSE),HLOOKUP(D768,PREVVOLS,VLOOKUP(G768,MOVE_DOWN2,2,FALSE),FALSE),VLOOKUP(G768,NGPREVPRICES,3,FALSE),HLOOKUP(D768,Correllate,VLOOKUP(G768,CorMove,2,FALSE),FALSE),Q768-$CD$3,R768,$CJ$5)*H768-CJ770</f>
        <v>0</v>
      </c>
      <c r="CF770" s="10">
        <f t="shared" si="968"/>
        <v>-21.300454726006137</v>
      </c>
      <c r="CG770" s="234">
        <f>_xll.xSPRDOPT((VLOOKUP(G768,NGPREVPRICES,2,FALSE)+HLOOKUP(D768,PREVCURVES,VLOOKUP(G768,MOVE_DOWN2,2,FALSE),FALSE)),VLOOKUP(G768,NGPREVPRICES,2,FALSE),CK770,VLOOKUP(G768,NGPREVPRICES,4,FALSE),HLOOKUP(D768,VOLS,VLOOKUP(G768,move_down,2,FALSE),FALSE),VLOOKUP(G768,NGPrices,3,FALSE),HLOOKUP(D768,Correllate,VLOOKUP(G768,CorMove,2,FALSE),FALSE),Q768-$CD$3,R768,$CJ$5)*H768-CJ770</f>
        <v>0</v>
      </c>
      <c r="CH770" s="234">
        <f>_xll.xSPRDOPT((VLOOKUP(G768,NGPREVPRICES,2,FALSE)+HLOOKUP(D768,PREVCURVES,VLOOKUP(G768,MOVE_DOWN2,2,FALSE),FALSE)),VLOOKUP(G768,NGPREVPRICES,2,FALSE),CK770,VLOOKUP(G768,NGPREVPRICES,4,FALSE),HLOOKUP(D768,PREVVOLS,VLOOKUP(G768,MOVE_DOWN2,2,FALSE),FALSE),VLOOKUP(G768,NGPREVPRICES,3,FALSE),HLOOKUP(D768,Correllate,VLOOKUP(G768,CorMove,2,FALSE),FALSE),Q768-$C$3,R768,$CJ$5)*H768-CJ770</f>
        <v>-332.98607316553534</v>
      </c>
      <c r="CI770" s="234">
        <f t="shared" si="969"/>
        <v>-354.28652789154148</v>
      </c>
      <c r="CJ770" s="234">
        <f>_xll.xSPRDOPT((VLOOKUP(G768,NGPREVPRICES,2,FALSE)+HLOOKUP(D768,PREVCURVES,VLOOKUP(G768,MOVE_DOWN2,2,FALSE),FALSE)),VLOOKUP(G768,NGPREVPRICES,2,FALSE),CK770,VLOOKUP(G768,NGPREVPRICES,4,FALSE),HLOOKUP(D768,PREVVOLS,VLOOKUP(G768,MOVE_DOWN2,2,FALSE),FALSE),VLOOKUP(G768,NGPREVPRICES,3,FALSE),HLOOKUP(D768,Correllate,VLOOKUP(G768,CorMove,2,FALSE),FALSE),Q768-$CD$3,R768,$CJ$5)*H768</f>
        <v>111996.56415330633</v>
      </c>
      <c r="CK770" s="235">
        <f t="shared" si="970"/>
        <v>0.6</v>
      </c>
      <c r="CM770" t="str">
        <f t="shared" si="971"/>
        <v>36923Curve Shift/Gamma</v>
      </c>
      <c r="CN770" t="str">
        <f t="shared" si="949"/>
        <v>36923Rho</v>
      </c>
      <c r="CO770" t="str">
        <f t="shared" si="950"/>
        <v>36923Drift</v>
      </c>
      <c r="CP770" t="str">
        <f t="shared" si="951"/>
        <v>36923Vega</v>
      </c>
      <c r="CQ770" t="str">
        <f t="shared" si="952"/>
        <v>36923Theta</v>
      </c>
    </row>
    <row r="771" spans="1:95" x14ac:dyDescent="0.25">
      <c r="A771" s="140" t="s">
        <v>383</v>
      </c>
      <c r="B771" t="s">
        <v>250</v>
      </c>
      <c r="C771" t="s">
        <v>608</v>
      </c>
      <c r="D771" s="4" t="s">
        <v>74</v>
      </c>
      <c r="E771" t="s">
        <v>20</v>
      </c>
      <c r="F771" t="s">
        <v>21</v>
      </c>
      <c r="G771" s="5">
        <v>36861</v>
      </c>
      <c r="H771" s="130">
        <v>-310000</v>
      </c>
      <c r="I771" s="235">
        <v>0.15</v>
      </c>
      <c r="J771" s="53">
        <f t="shared" si="953"/>
        <v>4.8</v>
      </c>
      <c r="K771" s="7">
        <f t="shared" si="954"/>
        <v>0.1</v>
      </c>
      <c r="L771" s="53">
        <f t="shared" si="955"/>
        <v>4.8999999999999995</v>
      </c>
      <c r="M771" s="157">
        <f t="shared" si="956"/>
        <v>6.8314027999354002E-2</v>
      </c>
      <c r="N771" s="4">
        <f t="shared" si="957"/>
        <v>0.6</v>
      </c>
      <c r="O771" s="4">
        <f t="shared" si="958"/>
        <v>0.6</v>
      </c>
      <c r="P771" s="9">
        <f t="shared" si="959"/>
        <v>0.997</v>
      </c>
      <c r="Q771" s="5">
        <f t="shared" si="875"/>
        <v>36859</v>
      </c>
      <c r="R771" s="4">
        <f t="shared" si="960"/>
        <v>1</v>
      </c>
      <c r="S771" s="158">
        <f>_xll.xSPRDOPT($L771,$J771,$I771,$M771,$O771,$N771,$P771,$Q771-$C$3,$R771,0)</f>
        <v>2.7108270418358397E-2</v>
      </c>
      <c r="T771" s="159">
        <f>_xll.xSPRDOPT($L771,$J771,$I771,$M771,$O771,$N771,$P771,$Q771-$C$3,$R771,1)*H771</f>
        <v>-105794.98802275372</v>
      </c>
      <c r="U771" s="160">
        <f t="shared" si="961"/>
        <v>-8403.5638296911038</v>
      </c>
      <c r="V771" s="159">
        <f>_xll.xSPRDOPT($L771,$J771,$I771,$M771,$O771,$N771,$P771,$Q771-$C$3,$R771,2)*H771</f>
        <v>103353.42871952469</v>
      </c>
      <c r="W771" s="159">
        <f t="shared" si="962"/>
        <v>-2441.5593032290344</v>
      </c>
      <c r="X771" s="51" t="str">
        <f t="shared" si="963"/>
        <v>36861NGI/CHI. GATE</v>
      </c>
      <c r="Y771" s="418">
        <f t="shared" si="964"/>
        <v>-31</v>
      </c>
      <c r="Z771" s="456">
        <f t="shared" si="965"/>
        <v>0.34127415491210877</v>
      </c>
      <c r="AA771" s="456">
        <f>_xll.xSPRDOPT($L771,$J771,$I771,$M771,$O771,$N771,$P771,$Q771-$C$3,$R771,3)</f>
        <v>3.010063694198406</v>
      </c>
      <c r="AB771" s="456">
        <f>((_xll.xSPRDOPT($L771+AB$5,$J771,$I771,$M771,$O771,$N771,$P771,$Q771-$C$3,$R771,3)*$H771)/10000)/100</f>
        <v>-0.93311974520150587</v>
      </c>
      <c r="AC771" s="456">
        <f>((_xll.xSPRDOPT($L771+$AB$5,$J771,$I771,$M771,$O771,$N771,$P771,$Q771-$C$3,$R771,7)*$H771)/100)</f>
        <v>19731.633103810298</v>
      </c>
      <c r="AD771" s="456">
        <f>(_xll.xSPRDOPT($L771+$AB$5,$J771,$I771,$M771,$O771,$N771,$P771,$Q771-$C$3,$R771,9)/365)*$H771</f>
        <v>72.615984284794521</v>
      </c>
      <c r="AE771">
        <f t="shared" si="862"/>
        <v>0</v>
      </c>
      <c r="AF771" s="456">
        <f t="shared" si="966"/>
        <v>-227.35659346631019</v>
      </c>
      <c r="AG771" s="456">
        <f>((_xll.xSPRDOPT($L771,$J771,$I771,$M771,$O771,$N771,$P771,$Q771-$C$3,$R771,6)*$H771)/100)</f>
        <v>844.58159418175683</v>
      </c>
      <c r="AH771" s="456">
        <f>((_xll.xSPRDOPT($L771,$J771,$I771,$M771,$O771,$N771,$P771,$Q771-$C$3,$R771,5)*$H771)/100)</f>
        <v>-1071.938187648067</v>
      </c>
      <c r="AI771" s="456">
        <f>(((_xll.xSPRDOPT($L771,$J771,$I771,$M771,$O771,$N771,$P771,$Q771-$C$3,$R771,4)*$H771)/10000)/100)-AB771</f>
        <v>1.5754958133592734E-2</v>
      </c>
      <c r="AJ771" s="456"/>
      <c r="CC771" s="141">
        <f t="shared" si="967"/>
        <v>36951</v>
      </c>
      <c r="CD771" s="234">
        <f>_xll.xSPRDOPT((VLOOKUP(G769,NGPrices,2,FALSE)+HLOOKUP(D769,Prices,VLOOKUP(G769,move_down,2,FALSE),FALSE)),VLOOKUP(G769,NGPrices,2,FALSE),I769,VLOOKUP(G769,NGPREVPRICES,4,FALSE),HLOOKUP(D769,PREVVOLS,VLOOKUP(G769,MOVE_DOWN2,2,FALSE),FALSE),VLOOKUP(G769,NGPREVPRICES,3,FALSE),HLOOKUP(D769,Correllate,VLOOKUP(G769,CorMove,2,FALSE),FALSE),Q769-$CD$3,R769,$CD$5)*H769-CJ771</f>
        <v>0</v>
      </c>
      <c r="CE771" s="234">
        <f>_xll.xSPRDOPT((VLOOKUP(G769,NGPREVPRICES,2,FALSE)+HLOOKUP(D769,PREVCURVES,VLOOKUP(G769,MOVE_DOWN2,2,FALSE),FALSE)),VLOOKUP(G769,NGPREVPRICES,2,FALSE),CK771,VLOOKUP(G769,NGPrices,4,FALSE),HLOOKUP(D769,PREVVOLS,VLOOKUP(G769,MOVE_DOWN2,2,FALSE),FALSE),VLOOKUP(G769,NGPREVPRICES,3,FALSE),HLOOKUP(D769,Correllate,VLOOKUP(G769,CorMove,2,FALSE),FALSE),Q769-$CD$3,R769,$CJ$5)*H769-CJ771</f>
        <v>0</v>
      </c>
      <c r="CF771" s="10">
        <f t="shared" si="968"/>
        <v>-21.284540182008641</v>
      </c>
      <c r="CG771" s="234">
        <f>_xll.xSPRDOPT((VLOOKUP(G769,NGPREVPRICES,2,FALSE)+HLOOKUP(D769,PREVCURVES,VLOOKUP(G769,MOVE_DOWN2,2,FALSE),FALSE)),VLOOKUP(G769,NGPREVPRICES,2,FALSE),CK771,VLOOKUP(G769,NGPREVPRICES,4,FALSE),HLOOKUP(D769,VOLS,VLOOKUP(G769,move_down,2,FALSE),FALSE),VLOOKUP(G769,NGPrices,3,FALSE),HLOOKUP(D769,Correllate,VLOOKUP(G769,CorMove,2,FALSE),FALSE),Q769-$CD$3,R769,$CJ$5)*H769-CJ771</f>
        <v>0</v>
      </c>
      <c r="CH771" s="234">
        <f>_xll.xSPRDOPT((VLOOKUP(G769,NGPREVPRICES,2,FALSE)+HLOOKUP(D769,PREVCURVES,VLOOKUP(G769,MOVE_DOWN2,2,FALSE),FALSE)),VLOOKUP(G769,NGPREVPRICES,2,FALSE),CK771,VLOOKUP(G769,NGPREVPRICES,4,FALSE),HLOOKUP(D769,PREVVOLS,VLOOKUP(G769,MOVE_DOWN2,2,FALSE),FALSE),VLOOKUP(G769,NGPREVPRICES,3,FALSE),HLOOKUP(D769,Correllate,VLOOKUP(G769,CorMove,2,FALSE),FALSE),Q769-$C$3,R769,$CJ$5)*H769-CJ771</f>
        <v>-283.80090684528113</v>
      </c>
      <c r="CI771" s="234">
        <f t="shared" si="969"/>
        <v>-305.08544702728977</v>
      </c>
      <c r="CJ771" s="234">
        <f>_xll.xSPRDOPT((VLOOKUP(G769,NGPREVPRICES,2,FALSE)+HLOOKUP(D769,PREVCURVES,VLOOKUP(G769,MOVE_DOWN2,2,FALSE),FALSE)),VLOOKUP(G769,NGPREVPRICES,2,FALSE),CK771,VLOOKUP(G769,NGPREVPRICES,4,FALSE),HLOOKUP(D769,PREVVOLS,VLOOKUP(G769,MOVE_DOWN2,2,FALSE),FALSE),VLOOKUP(G769,NGPREVPRICES,3,FALSE),HLOOKUP(D769,Correllate,VLOOKUP(G769,CorMove,2,FALSE),FALSE),Q769-$CD$3,R769,$CJ$5)*H769</f>
        <v>110981.22367231153</v>
      </c>
      <c r="CK771" s="235">
        <f t="shared" si="970"/>
        <v>0.6</v>
      </c>
      <c r="CM771" t="str">
        <f t="shared" si="971"/>
        <v>36951Curve Shift/Gamma</v>
      </c>
      <c r="CN771" t="str">
        <f t="shared" si="949"/>
        <v>36951Rho</v>
      </c>
      <c r="CO771" t="str">
        <f t="shared" si="950"/>
        <v>36951Drift</v>
      </c>
      <c r="CP771" t="str">
        <f t="shared" si="951"/>
        <v>36951Vega</v>
      </c>
      <c r="CQ771" t="str">
        <f t="shared" si="952"/>
        <v>36951Theta</v>
      </c>
    </row>
    <row r="772" spans="1:95" x14ac:dyDescent="0.25">
      <c r="A772" s="140" t="s">
        <v>383</v>
      </c>
      <c r="B772" t="s">
        <v>250</v>
      </c>
      <c r="C772" t="s">
        <v>608</v>
      </c>
      <c r="D772" s="4" t="s">
        <v>74</v>
      </c>
      <c r="E772" t="s">
        <v>20</v>
      </c>
      <c r="F772" t="s">
        <v>21</v>
      </c>
      <c r="G772" s="5">
        <v>36892</v>
      </c>
      <c r="H772" s="130">
        <v>-310000</v>
      </c>
      <c r="I772" s="235">
        <v>0.15</v>
      </c>
      <c r="J772" s="53">
        <f t="shared" si="953"/>
        <v>4.7439999999999998</v>
      </c>
      <c r="K772" s="7">
        <f t="shared" si="954"/>
        <v>0.1275</v>
      </c>
      <c r="L772" s="53">
        <f t="shared" si="955"/>
        <v>4.8715000000000002</v>
      </c>
      <c r="M772" s="157">
        <f t="shared" si="956"/>
        <v>6.8374831148490994E-2</v>
      </c>
      <c r="N772" s="4">
        <f t="shared" si="957"/>
        <v>0.60499999999999998</v>
      </c>
      <c r="O772" s="4">
        <f t="shared" si="958"/>
        <v>0.60499999999999998</v>
      </c>
      <c r="P772" s="9">
        <f t="shared" si="959"/>
        <v>0.997</v>
      </c>
      <c r="Q772" s="5">
        <f t="shared" si="875"/>
        <v>36888</v>
      </c>
      <c r="R772" s="4">
        <f t="shared" si="960"/>
        <v>1</v>
      </c>
      <c r="S772" s="158">
        <f>_xll.xSPRDOPT($L772,$J772,$I772,$M772,$O772,$N772,$P772,$Q772-$C$3,$R772,0)</f>
        <v>4.428805516998615E-2</v>
      </c>
      <c r="T772" s="159">
        <f>_xll.xSPRDOPT($L772,$J772,$I772,$M772,$O772,$N772,$P772,$Q772-$C$3,$R772,1)*H772</f>
        <v>-134760.27019087761</v>
      </c>
      <c r="U772" s="160">
        <f t="shared" si="961"/>
        <v>-13729.297102695706</v>
      </c>
      <c r="V772" s="159">
        <f>_xll.xSPRDOPT($L772,$J772,$I772,$M772,$O772,$N772,$P772,$Q772-$C$3,$R772,2)*H772</f>
        <v>131760.94911566621</v>
      </c>
      <c r="W772" s="159">
        <f t="shared" si="962"/>
        <v>-2999.3210752113955</v>
      </c>
      <c r="X772" s="51" t="str">
        <f t="shared" si="963"/>
        <v>36892NGI/CHI. GATE</v>
      </c>
      <c r="Y772" s="418">
        <f t="shared" si="964"/>
        <v>-31</v>
      </c>
      <c r="Z772" s="456">
        <f t="shared" si="965"/>
        <v>0.43471054900283101</v>
      </c>
      <c r="AA772" s="456">
        <f>_xll.xSPRDOPT($L772,$J772,$I772,$M772,$O772,$N772,$P772,$Q772-$C$3,$R772,3)</f>
        <v>2.7753049195088875</v>
      </c>
      <c r="AB772" s="456">
        <f>((_xll.xSPRDOPT($L772+AB$5,$J772,$I772,$M772,$O772,$N772,$P772,$Q772-$C$3,$R772,3)*$H772)/10000)/100</f>
        <v>-0.86034452504775516</v>
      </c>
      <c r="AC772" s="456">
        <f>((_xll.xSPRDOPT($L772+$AB$5,$J772,$I772,$M772,$O772,$N772,$P772,$Q772-$C$3,$R772,7)*$H772)/100)</f>
        <v>24026.691153410487</v>
      </c>
      <c r="AD772" s="456">
        <f>(_xll.xSPRDOPT($L772+$AB$5,$J772,$I772,$M772,$O772,$N772,$P772,$Q772-$C$3,$R772,9)/365)*$H772</f>
        <v>66.841991814918686</v>
      </c>
      <c r="AE772">
        <f t="shared" si="862"/>
        <v>0</v>
      </c>
      <c r="AF772" s="456">
        <f t="shared" si="966"/>
        <v>-277.46542407503352</v>
      </c>
      <c r="AG772" s="456">
        <f>((_xll.xSPRDOPT($L772,$J772,$I772,$M772,$O772,$N772,$P772,$Q772-$C$3,$R772,6)*$H772)/100)</f>
        <v>1049.3219306858516</v>
      </c>
      <c r="AH772" s="456">
        <f>((_xll.xSPRDOPT($L772,$J772,$I772,$M772,$O772,$N772,$P772,$Q772-$C$3,$R772,5)*$H772)/100)</f>
        <v>-1326.7873547608851</v>
      </c>
      <c r="AI772" s="456">
        <f>(((_xll.xSPRDOPT($L772,$J772,$I772,$M772,$O772,$N772,$P772,$Q772-$C$3,$R772,4)*$H772)/10000)/100)-AB772</f>
        <v>5.8110401703533876E-3</v>
      </c>
      <c r="AJ772" s="456"/>
      <c r="CC772" s="141">
        <f t="shared" si="967"/>
        <v>36831</v>
      </c>
      <c r="CD772" s="234">
        <f>_xll.xSPRDOPT((VLOOKUP(G770,NGPrices,2,FALSE)+HLOOKUP(D770,Prices,VLOOKUP(G770,move_down,2,FALSE),FALSE)),VLOOKUP(G770,NGPrices,2,FALSE),I770,VLOOKUP(G770,NGPREVPRICES,4,FALSE),HLOOKUP(D770,PREVVOLS,VLOOKUP(G770,MOVE_DOWN2,2,FALSE),FALSE),VLOOKUP(G770,NGPREVPRICES,3,FALSE),HLOOKUP(D770,Correllate,VLOOKUP(G770,CorMove,2,FALSE),FALSE),Q770-$CD$3,R770,$CD$5)*H770-CJ772</f>
        <v>0</v>
      </c>
      <c r="CE772" s="234">
        <f>_xll.xSPRDOPT((VLOOKUP(G770,NGPREVPRICES,2,FALSE)+HLOOKUP(D770,PREVCURVES,VLOOKUP(G770,MOVE_DOWN2,2,FALSE),FALSE)),VLOOKUP(G770,NGPREVPRICES,2,FALSE),CK772,VLOOKUP(G770,NGPrices,4,FALSE),HLOOKUP(D770,PREVVOLS,VLOOKUP(G770,MOVE_DOWN2,2,FALSE),FALSE),VLOOKUP(G770,NGPREVPRICES,3,FALSE),HLOOKUP(D770,Correllate,VLOOKUP(G770,CorMove,2,FALSE),FALSE),Q770-$CD$3,R770,$CJ$5)*H770-CJ772</f>
        <v>0</v>
      </c>
      <c r="CF772" s="10">
        <f t="shared" si="968"/>
        <v>0.86358376220232458</v>
      </c>
      <c r="CG772" s="234">
        <f>_xll.xSPRDOPT((VLOOKUP(G770,NGPREVPRICES,2,FALSE)+HLOOKUP(D770,PREVCURVES,VLOOKUP(G770,MOVE_DOWN2,2,FALSE),FALSE)),VLOOKUP(G770,NGPREVPRICES,2,FALSE),CK772,VLOOKUP(G770,NGPREVPRICES,4,FALSE),HLOOKUP(D770,VOLS,VLOOKUP(G770,move_down,2,FALSE),FALSE),VLOOKUP(G770,NGPrices,3,FALSE),HLOOKUP(D770,Correllate,VLOOKUP(G770,CorMove,2,FALSE),FALSE),Q770-$CD$3,R770,$CJ$5)*H770-CJ772</f>
        <v>0</v>
      </c>
      <c r="CH772" s="234">
        <f>_xll.xSPRDOPT((VLOOKUP(G770,NGPREVPRICES,2,FALSE)+HLOOKUP(D770,PREVCURVES,VLOOKUP(G770,MOVE_DOWN2,2,FALSE),FALSE)),VLOOKUP(G770,NGPREVPRICES,2,FALSE),CK772,VLOOKUP(G770,NGPREVPRICES,4,FALSE),HLOOKUP(D770,PREVVOLS,VLOOKUP(G770,MOVE_DOWN2,2,FALSE),FALSE),VLOOKUP(G770,NGPREVPRICES,3,FALSE),HLOOKUP(D770,Correllate,VLOOKUP(G770,CorMove,2,FALSE),FALSE),Q770-$C$3,R770,$CJ$5)*H770-CJ772</f>
        <v>75.061380048358842</v>
      </c>
      <c r="CI772" s="234">
        <f t="shared" si="969"/>
        <v>75.924963810561167</v>
      </c>
      <c r="CJ772" s="234">
        <f>_xll.xSPRDOPT((VLOOKUP(G770,NGPREVPRICES,2,FALSE)+HLOOKUP(D770,PREVCURVES,VLOOKUP(G770,MOVE_DOWN2,2,FALSE),FALSE)),VLOOKUP(G770,NGPREVPRICES,2,FALSE),CK772,VLOOKUP(G770,NGPREVPRICES,4,FALSE),HLOOKUP(D770,PREVVOLS,VLOOKUP(G770,MOVE_DOWN2,2,FALSE),FALSE),VLOOKUP(G770,NGPREVPRICES,3,FALSE),HLOOKUP(D770,Correllate,VLOOKUP(G770,CorMove,2,FALSE),FALSE),Q770-$CD$3,R770,$CJ$5)*H770</f>
        <v>-4650.1575587453335</v>
      </c>
      <c r="CK772" s="235">
        <f t="shared" si="970"/>
        <v>0.15</v>
      </c>
      <c r="CM772" t="str">
        <f t="shared" si="971"/>
        <v>36831Curve Shift/Gamma</v>
      </c>
      <c r="CN772" t="str">
        <f t="shared" si="949"/>
        <v>36831Rho</v>
      </c>
      <c r="CO772" t="str">
        <f t="shared" si="950"/>
        <v>36831Drift</v>
      </c>
      <c r="CP772" t="str">
        <f t="shared" si="951"/>
        <v>36831Vega</v>
      </c>
      <c r="CQ772" t="str">
        <f t="shared" si="952"/>
        <v>36831Theta</v>
      </c>
    </row>
    <row r="773" spans="1:95" x14ac:dyDescent="0.25">
      <c r="A773" s="140" t="s">
        <v>383</v>
      </c>
      <c r="B773" t="s">
        <v>250</v>
      </c>
      <c r="C773" t="s">
        <v>608</v>
      </c>
      <c r="D773" s="4" t="s">
        <v>74</v>
      </c>
      <c r="E773" t="s">
        <v>20</v>
      </c>
      <c r="F773" t="s">
        <v>21</v>
      </c>
      <c r="G773" s="5">
        <v>36923</v>
      </c>
      <c r="H773" s="130">
        <v>-280000</v>
      </c>
      <c r="I773" s="235">
        <v>0.15</v>
      </c>
      <c r="J773" s="53">
        <f t="shared" si="953"/>
        <v>4.4800000000000004</v>
      </c>
      <c r="K773" s="7">
        <f t="shared" si="954"/>
        <v>0.13750000000000001</v>
      </c>
      <c r="L773" s="53">
        <f t="shared" si="955"/>
        <v>4.6175000000000006</v>
      </c>
      <c r="M773" s="157">
        <f t="shared" si="956"/>
        <v>6.8640161611372E-2</v>
      </c>
      <c r="N773" s="4">
        <f t="shared" si="957"/>
        <v>0.59250000000000003</v>
      </c>
      <c r="O773" s="4">
        <f t="shared" si="958"/>
        <v>0.59299999999999997</v>
      </c>
      <c r="P773" s="9">
        <f t="shared" si="959"/>
        <v>0.997</v>
      </c>
      <c r="Q773" s="5">
        <f t="shared" si="875"/>
        <v>36921</v>
      </c>
      <c r="R773" s="4">
        <f t="shared" si="960"/>
        <v>1</v>
      </c>
      <c r="S773" s="158">
        <f>_xll.xSPRDOPT($L773,$J773,$I773,$M773,$O773,$N773,$P773,$Q773-$C$3,$R773,0)</f>
        <v>5.1601903862221528E-2</v>
      </c>
      <c r="T773" s="159">
        <f>_xll.xSPRDOPT($L773,$J773,$I773,$M773,$O773,$N773,$P773,$Q773-$C$3,$R773,1)*H773</f>
        <v>-129684.97346307428</v>
      </c>
      <c r="U773" s="160">
        <f t="shared" si="961"/>
        <v>-14448.533081422027</v>
      </c>
      <c r="V773" s="159">
        <f>_xll.xSPRDOPT($L773,$J773,$I773,$M773,$O773,$N773,$P773,$Q773-$C$3,$R773,2)*H773</f>
        <v>126705.48503538528</v>
      </c>
      <c r="W773" s="159">
        <f t="shared" si="962"/>
        <v>-2979.4884276889934</v>
      </c>
      <c r="X773" s="51" t="str">
        <f t="shared" si="963"/>
        <v>36923NGI/CHI. GATE</v>
      </c>
      <c r="Y773" s="418">
        <f t="shared" si="964"/>
        <v>-28</v>
      </c>
      <c r="Z773" s="456">
        <f t="shared" si="965"/>
        <v>0.46316061951097953</v>
      </c>
      <c r="AA773" s="456">
        <f>_xll.xSPRDOPT($L773,$J773,$I773,$M773,$O773,$N773,$P773,$Q773-$C$3,$R773,3)</f>
        <v>2.6234575744327917</v>
      </c>
      <c r="AB773" s="456">
        <f>((_xll.xSPRDOPT($L773+AB$5,$J773,$I773,$M773,$O773,$N773,$P773,$Q773-$C$3,$R773,3)*$H773)/10000)/100</f>
        <v>-0.73456812084118173</v>
      </c>
      <c r="AC773" s="456">
        <f>((_xll.xSPRDOPT($L773+$AB$5,$J773,$I773,$M773,$O773,$N773,$P773,$Q773-$C$3,$R773,7)*$H773)/100)</f>
        <v>22478.122338744019</v>
      </c>
      <c r="AD773" s="456">
        <f>(_xll.xSPRDOPT($L773+$AB$5,$J773,$I773,$M773,$O773,$N773,$P773,$Q773-$C$3,$R773,9)/365)*$H773</f>
        <v>49.695761016680237</v>
      </c>
      <c r="AE773">
        <f t="shared" ref="AE773:AE831" si="972">CD775</f>
        <v>0</v>
      </c>
      <c r="AF773" s="456">
        <f t="shared" si="966"/>
        <v>-272.27200353757894</v>
      </c>
      <c r="AG773" s="456">
        <f>((_xll.xSPRDOPT($L773,$J773,$I773,$M773,$O773,$N773,$P773,$Q773-$C$3,$R773,6)*$H773)/100)</f>
        <v>1095.7600345254891</v>
      </c>
      <c r="AH773" s="456">
        <f>((_xll.xSPRDOPT($L773,$J773,$I773,$M773,$O773,$N773,$P773,$Q773-$C$3,$R773,5)*$H773)/100)</f>
        <v>-1366.8785540512106</v>
      </c>
      <c r="AI773" s="456">
        <f>(((_xll.xSPRDOPT($L773,$J773,$I773,$M773,$O773,$N773,$P773,$Q773-$C$3,$R773,4)*$H773)/10000)/100)-AB773</f>
        <v>2.038904812277198E-3</v>
      </c>
      <c r="AJ773" s="456"/>
      <c r="CC773" s="141">
        <f t="shared" si="967"/>
        <v>36861</v>
      </c>
      <c r="CD773" s="234">
        <f>_xll.xSPRDOPT((VLOOKUP(G771,NGPrices,2,FALSE)+HLOOKUP(D771,Prices,VLOOKUP(G771,move_down,2,FALSE),FALSE)),VLOOKUP(G771,NGPrices,2,FALSE),I771,VLOOKUP(G771,NGPREVPRICES,4,FALSE),HLOOKUP(D771,PREVVOLS,VLOOKUP(G771,MOVE_DOWN2,2,FALSE),FALSE),VLOOKUP(G771,NGPREVPRICES,3,FALSE),HLOOKUP(D771,Correllate,VLOOKUP(G771,CorMove,2,FALSE),FALSE),Q771-$CD$3,R771,$CD$5)*H771-CJ773</f>
        <v>0</v>
      </c>
      <c r="CE773" s="234">
        <f>_xll.xSPRDOPT((VLOOKUP(G771,NGPREVPRICES,2,FALSE)+HLOOKUP(D771,PREVCURVES,VLOOKUP(G771,MOVE_DOWN2,2,FALSE),FALSE)),VLOOKUP(G771,NGPREVPRICES,2,FALSE),CK773,VLOOKUP(G771,NGPrices,4,FALSE),HLOOKUP(D771,PREVVOLS,VLOOKUP(G771,MOVE_DOWN2,2,FALSE),FALSE),VLOOKUP(G771,NGPREVPRICES,3,FALSE),HLOOKUP(D771,Correllate,VLOOKUP(G771,CorMove,2,FALSE),FALSE),Q771-$CD$3,R771,$CJ$5)*H771-CJ773</f>
        <v>0</v>
      </c>
      <c r="CF773" s="10">
        <f t="shared" si="968"/>
        <v>1.5878673379502288</v>
      </c>
      <c r="CG773" s="234">
        <f>_xll.xSPRDOPT((VLOOKUP(G771,NGPREVPRICES,2,FALSE)+HLOOKUP(D771,PREVCURVES,VLOOKUP(G771,MOVE_DOWN2,2,FALSE),FALSE)),VLOOKUP(G771,NGPREVPRICES,2,FALSE),CK773,VLOOKUP(G771,NGPREVPRICES,4,FALSE),HLOOKUP(D771,VOLS,VLOOKUP(G771,move_down,2,FALSE),FALSE),VLOOKUP(G771,NGPrices,3,FALSE),HLOOKUP(D771,Correllate,VLOOKUP(G771,CorMove,2,FALSE),FALSE),Q771-$CD$3,R771,$CJ$5)*H771-CJ773</f>
        <v>0</v>
      </c>
      <c r="CH773" s="234">
        <f>_xll.xSPRDOPT((VLOOKUP(G771,NGPREVPRICES,2,FALSE)+HLOOKUP(D771,PREVCURVES,VLOOKUP(G771,MOVE_DOWN2,2,FALSE),FALSE)),VLOOKUP(G771,NGPREVPRICES,2,FALSE),CK773,VLOOKUP(G771,NGPREVPRICES,4,FALSE),HLOOKUP(D771,PREVVOLS,VLOOKUP(G771,MOVE_DOWN2,2,FALSE),FALSE),VLOOKUP(G771,NGPREVPRICES,3,FALSE),HLOOKUP(D771,Correllate,VLOOKUP(G771,CorMove,2,FALSE),FALSE),Q771-$C$3,R771,$CJ$5)*H771-CJ773</f>
        <v>72.388126485495377</v>
      </c>
      <c r="CI773" s="234">
        <f t="shared" si="969"/>
        <v>73.975993823445606</v>
      </c>
      <c r="CJ773" s="234">
        <f>_xll.xSPRDOPT((VLOOKUP(G771,NGPREVPRICES,2,FALSE)+HLOOKUP(D771,PREVCURVES,VLOOKUP(G771,MOVE_DOWN2,2,FALSE),FALSE)),VLOOKUP(G771,NGPREVPRICES,2,FALSE),CK773,VLOOKUP(G771,NGPREVPRICES,4,FALSE),HLOOKUP(D771,PREVVOLS,VLOOKUP(G771,MOVE_DOWN2,2,FALSE),FALSE),VLOOKUP(G771,NGPREVPRICES,3,FALSE),HLOOKUP(D771,Correllate,VLOOKUP(G771,CorMove,2,FALSE),FALSE),Q771-$CD$3,R771,$CJ$5)*H771</f>
        <v>-8475.9519561765992</v>
      </c>
      <c r="CK773" s="235">
        <f t="shared" si="970"/>
        <v>0.15</v>
      </c>
      <c r="CM773" t="str">
        <f t="shared" si="971"/>
        <v>36861Curve Shift/Gamma</v>
      </c>
      <c r="CN773" t="str">
        <f t="shared" si="949"/>
        <v>36861Rho</v>
      </c>
      <c r="CO773" t="str">
        <f t="shared" si="950"/>
        <v>36861Drift</v>
      </c>
      <c r="CP773" t="str">
        <f t="shared" si="951"/>
        <v>36861Vega</v>
      </c>
      <c r="CQ773" t="str">
        <f t="shared" si="952"/>
        <v>36861Theta</v>
      </c>
    </row>
    <row r="774" spans="1:95" x14ac:dyDescent="0.25">
      <c r="A774" s="140" t="s">
        <v>383</v>
      </c>
      <c r="B774" t="s">
        <v>250</v>
      </c>
      <c r="C774" t="s">
        <v>608</v>
      </c>
      <c r="D774" s="4" t="s">
        <v>74</v>
      </c>
      <c r="E774" t="s">
        <v>20</v>
      </c>
      <c r="F774" t="s">
        <v>21</v>
      </c>
      <c r="G774" s="5">
        <v>36951</v>
      </c>
      <c r="H774" s="130">
        <v>-310000</v>
      </c>
      <c r="I774" s="235">
        <v>0.15</v>
      </c>
      <c r="J774" s="53">
        <f t="shared" si="953"/>
        <v>4.2130000000000001</v>
      </c>
      <c r="K774" s="7">
        <f t="shared" si="954"/>
        <v>0.1225</v>
      </c>
      <c r="L774" s="53">
        <f t="shared" si="955"/>
        <v>4.3354999999999997</v>
      </c>
      <c r="M774" s="157">
        <f t="shared" si="956"/>
        <v>6.8879814952706994E-2</v>
      </c>
      <c r="N774" s="4">
        <f t="shared" si="957"/>
        <v>0.53249999999999997</v>
      </c>
      <c r="O774" s="4">
        <f t="shared" si="958"/>
        <v>0.53300000000000003</v>
      </c>
      <c r="P774" s="9">
        <f t="shared" si="959"/>
        <v>0.997</v>
      </c>
      <c r="Q774" s="5">
        <f t="shared" si="875"/>
        <v>36949</v>
      </c>
      <c r="R774" s="4">
        <f t="shared" si="960"/>
        <v>1</v>
      </c>
      <c r="S774" s="158">
        <f>_xll.xSPRDOPT($L774,$J774,$I774,$M774,$O774,$N774,$P774,$Q774-$C$3,$R774,0)</f>
        <v>4.0723005471356676E-2</v>
      </c>
      <c r="T774" s="159">
        <f>_xll.xSPRDOPT($L774,$J774,$I774,$M774,$O774,$N774,$P774,$Q774-$C$3,$R774,1)*H774</f>
        <v>-129142.3326287871</v>
      </c>
      <c r="U774" s="160">
        <f t="shared" si="961"/>
        <v>-12624.13169612057</v>
      </c>
      <c r="V774" s="159">
        <f>_xll.xSPRDOPT($L774,$J774,$I774,$M774,$O774,$N774,$P774,$Q774-$C$3,$R774,2)*H774</f>
        <v>126003.54028048414</v>
      </c>
      <c r="W774" s="159">
        <f t="shared" si="962"/>
        <v>-3138.792348302959</v>
      </c>
      <c r="X774" s="51" t="str">
        <f t="shared" si="963"/>
        <v>36951NGI/CHI. GATE</v>
      </c>
      <c r="Y774" s="418">
        <f t="shared" si="964"/>
        <v>-31</v>
      </c>
      <c r="Z774" s="456">
        <f t="shared" si="965"/>
        <v>0.41658816977028096</v>
      </c>
      <c r="AA774" s="456">
        <f>_xll.xSPRDOPT($L774,$J774,$I774,$M774,$O774,$N774,$P774,$Q774-$C$3,$R774,3)</f>
        <v>2.7889064827494936</v>
      </c>
      <c r="AB774" s="456">
        <f>((_xll.xSPRDOPT($L774+AB$5,$J774,$I774,$M774,$O774,$N774,$P774,$Q774-$C$3,$R774,3)*$H774)/10000)/100</f>
        <v>-0.86456100965234295</v>
      </c>
      <c r="AC774" s="456">
        <f>((_xll.xSPRDOPT($L774+$AB$5,$J774,$I774,$M774,$O774,$N774,$P774,$Q774-$C$3,$R774,7)*$H774)/100)</f>
        <v>22234.401221537912</v>
      </c>
      <c r="AD774" s="456">
        <f>(_xll.xSPRDOPT($L774+$AB$5,$J774,$I774,$M774,$O774,$N774,$P774,$Q774-$C$3,$R774,9)/365)*$H774</f>
        <v>42.11028502579304</v>
      </c>
      <c r="AE774">
        <f t="shared" si="972"/>
        <v>0</v>
      </c>
      <c r="AF774" s="456">
        <f t="shared" si="966"/>
        <v>-303.92905502284043</v>
      </c>
      <c r="AG774" s="456">
        <f>((_xll.xSPRDOPT($L774,$J774,$I774,$M774,$O774,$N774,$P774,$Q774-$C$3,$R774,6)*$H774)/100)</f>
        <v>1267.2249174562569</v>
      </c>
      <c r="AH774" s="456">
        <f>((_xll.xSPRDOPT($L774,$J774,$I774,$M774,$O774,$N774,$P774,$Q774-$C$3,$R774,5)*$H774)/100)</f>
        <v>-1569.6800944561335</v>
      </c>
      <c r="AI774" s="456">
        <f>(((_xll.xSPRDOPT($L774,$J774,$I774,$M774,$O774,$N774,$P774,$Q774-$C$3,$R774,4)*$H774)/10000)/100)-AB774</f>
        <v>7.5381765969205761E-3</v>
      </c>
      <c r="AJ774" s="456"/>
      <c r="CC774" s="141">
        <f t="shared" si="967"/>
        <v>36892</v>
      </c>
      <c r="CD774" s="234">
        <f>_xll.xSPRDOPT((VLOOKUP(G772,NGPrices,2,FALSE)+HLOOKUP(D772,Prices,VLOOKUP(G772,move_down,2,FALSE),FALSE)),VLOOKUP(G772,NGPrices,2,FALSE),I772,VLOOKUP(G772,NGPREVPRICES,4,FALSE),HLOOKUP(D772,PREVVOLS,VLOOKUP(G772,MOVE_DOWN2,2,FALSE),FALSE),VLOOKUP(G772,NGPREVPRICES,3,FALSE),HLOOKUP(D772,Correllate,VLOOKUP(G772,CorMove,2,FALSE),FALSE),Q772-$CD$3,R772,$CD$5)*H772-CJ774</f>
        <v>0</v>
      </c>
      <c r="CE774" s="234">
        <f>_xll.xSPRDOPT((VLOOKUP(G772,NGPREVPRICES,2,FALSE)+HLOOKUP(D772,PREVCURVES,VLOOKUP(G772,MOVE_DOWN2,2,FALSE),FALSE)),VLOOKUP(G772,NGPREVPRICES,2,FALSE),CK774,VLOOKUP(G772,NGPrices,4,FALSE),HLOOKUP(D772,PREVVOLS,VLOOKUP(G772,MOVE_DOWN2,2,FALSE),FALSE),VLOOKUP(G772,NGPREVPRICES,3,FALSE),HLOOKUP(D772,Correllate,VLOOKUP(G772,CorMove,2,FALSE),FALSE),Q772-$CD$3,R772,$CJ$5)*H772-CJ774</f>
        <v>0</v>
      </c>
      <c r="CF774" s="10">
        <f t="shared" si="968"/>
        <v>2.5997236788643932</v>
      </c>
      <c r="CG774" s="234">
        <f>_xll.xSPRDOPT((VLOOKUP(G772,NGPREVPRICES,2,FALSE)+HLOOKUP(D772,PREVCURVES,VLOOKUP(G772,MOVE_DOWN2,2,FALSE),FALSE)),VLOOKUP(G772,NGPREVPRICES,2,FALSE),CK774,VLOOKUP(G772,NGPREVPRICES,4,FALSE),HLOOKUP(D772,VOLS,VLOOKUP(G772,move_down,2,FALSE),FALSE),VLOOKUP(G772,NGPrices,3,FALSE),HLOOKUP(D772,Correllate,VLOOKUP(G772,CorMove,2,FALSE),FALSE),Q772-$CD$3,R772,$CJ$5)*H772-CJ774</f>
        <v>0</v>
      </c>
      <c r="CH774" s="234">
        <f>_xll.xSPRDOPT((VLOOKUP(G772,NGPREVPRICES,2,FALSE)+HLOOKUP(D772,PREVCURVES,VLOOKUP(G772,MOVE_DOWN2,2,FALSE),FALSE)),VLOOKUP(G772,NGPREVPRICES,2,FALSE),CK774,VLOOKUP(G772,NGPREVPRICES,4,FALSE),HLOOKUP(D772,PREVVOLS,VLOOKUP(G772,MOVE_DOWN2,2,FALSE),FALSE),VLOOKUP(G772,NGPREVPRICES,3,FALSE),HLOOKUP(D772,Correllate,VLOOKUP(G772,CorMove,2,FALSE),FALSE),Q772-$C$3,R772,$CJ$5)*H772-CJ774</f>
        <v>66.6465292064604</v>
      </c>
      <c r="CI774" s="234">
        <f t="shared" si="969"/>
        <v>69.246252885324793</v>
      </c>
      <c r="CJ774" s="234">
        <f>_xll.xSPRDOPT((VLOOKUP(G772,NGPREVPRICES,2,FALSE)+HLOOKUP(D772,PREVCURVES,VLOOKUP(G772,MOVE_DOWN2,2,FALSE),FALSE)),VLOOKUP(G772,NGPREVPRICES,2,FALSE),CK774,VLOOKUP(G772,NGPREVPRICES,4,FALSE),HLOOKUP(D772,PREVVOLS,VLOOKUP(G772,MOVE_DOWN2,2,FALSE),FALSE),VLOOKUP(G772,NGPREVPRICES,3,FALSE),HLOOKUP(D772,Correllate,VLOOKUP(G772,CorMove,2,FALSE),FALSE),Q772-$CD$3,R772,$CJ$5)*H772</f>
        <v>-13795.943631902166</v>
      </c>
      <c r="CK774" s="235">
        <f t="shared" si="970"/>
        <v>0.15</v>
      </c>
      <c r="CM774" t="str">
        <f t="shared" si="971"/>
        <v>36892Curve Shift/Gamma</v>
      </c>
      <c r="CN774" t="str">
        <f t="shared" si="949"/>
        <v>36892Rho</v>
      </c>
      <c r="CO774" t="str">
        <f t="shared" si="950"/>
        <v>36892Drift</v>
      </c>
      <c r="CP774" t="str">
        <f t="shared" si="951"/>
        <v>36892Vega</v>
      </c>
      <c r="CQ774" t="str">
        <f t="shared" si="952"/>
        <v>36892Theta</v>
      </c>
    </row>
    <row r="775" spans="1:95" x14ac:dyDescent="0.25">
      <c r="A775" s="140" t="s">
        <v>348</v>
      </c>
      <c r="B775" t="s">
        <v>250</v>
      </c>
      <c r="C775" t="s">
        <v>609</v>
      </c>
      <c r="D775" s="4" t="s">
        <v>74</v>
      </c>
      <c r="E775" t="s">
        <v>20</v>
      </c>
      <c r="F775" t="s">
        <v>21</v>
      </c>
      <c r="G775" s="5">
        <v>36831</v>
      </c>
      <c r="H775" s="130">
        <v>-300000</v>
      </c>
      <c r="I775" s="235">
        <v>0.15</v>
      </c>
      <c r="J775" s="53">
        <f t="shared" ref="J775:J804" si="973">VLOOKUP(G775,NGPrices,2,FALSE)</f>
        <v>4.7359999999999998</v>
      </c>
      <c r="K775" s="7">
        <f t="shared" ref="K775:K804" si="974">HLOOKUP(D775,Prices,VLOOKUP(G775,move_down,2,FALSE),FALSE)+VLOOKUP(G775,CHANGE,HLOOKUP(D775,CHANGE,2,FALSE),FALSE)</f>
        <v>8.7499999999999994E-2</v>
      </c>
      <c r="L775" s="53">
        <f t="shared" ref="L775:L804" si="975">K775+J775</f>
        <v>4.8235000000000001</v>
      </c>
      <c r="M775" s="157">
        <f t="shared" ref="M775:M804" si="976">VLOOKUP(G775,NGPrices,4,FALSE)</f>
        <v>6.810675983792E-2</v>
      </c>
      <c r="N775" s="4">
        <f t="shared" ref="N775:N804" si="977">VLOOKUP(G775,NGPrices,3,FALSE)</f>
        <v>0.59499999999999997</v>
      </c>
      <c r="O775" s="4">
        <f t="shared" ref="O775:O804" si="978">HLOOKUP(D775,VOLS,VLOOKUP(G775,move_down,2,FALSE),FALSE)</f>
        <v>0.59499999999999997</v>
      </c>
      <c r="P775" s="9">
        <f t="shared" ref="P775:P804" si="979">HLOOKUP(D775,Correllate,VLOOKUP(G775,CorMove,2,FALSE),FALSE)</f>
        <v>0.997</v>
      </c>
      <c r="Q775" s="5">
        <f t="shared" ref="Q775:Q838" si="980">WORKDAY(G775,-2)</f>
        <v>36829</v>
      </c>
      <c r="R775" s="4">
        <f t="shared" ref="R775:R804" si="981">IF(F775="P",0,1)</f>
        <v>1</v>
      </c>
      <c r="S775" s="158">
        <f>_xll.xSPRDOPT($L775,$J775,$I775,$M775,$O775,$N775,$P775,$Q775-$C$3,$R775,0)</f>
        <v>1.5250320595656583E-2</v>
      </c>
      <c r="T775" s="159">
        <f>_xll.xSPRDOPT($L775,$J775,$I775,$M775,$O775,$N775,$P775,$Q775-$C$3,$R775,1)*H775</f>
        <v>-78849.76466463189</v>
      </c>
      <c r="U775" s="160">
        <f t="shared" ref="U775:U804" si="982">S775*H775</f>
        <v>-4575.0961786969747</v>
      </c>
      <c r="V775" s="159">
        <f>_xll.xSPRDOPT($L775,$J775,$I775,$M775,$O775,$N775,$P775,$Q775-$C$3,$R775,2)*H775</f>
        <v>77133.889443530643</v>
      </c>
      <c r="W775" s="159">
        <f t="shared" ref="W775:W804" si="983">+V775+T775</f>
        <v>-1715.875221101247</v>
      </c>
      <c r="X775" s="51" t="str">
        <f t="shared" ref="X775:X804" si="984">CONCATENATE(G775,D775)</f>
        <v>36831NGI/CHI. GATE</v>
      </c>
      <c r="Y775" s="418">
        <f t="shared" ref="Y775:Y804" si="985">H775/10000</f>
        <v>-30</v>
      </c>
      <c r="Z775" s="456">
        <f t="shared" ref="Z775:Z804" si="986">T775/H775</f>
        <v>0.26283254888210628</v>
      </c>
      <c r="AA775" s="456">
        <f>_xll.xSPRDOPT($L775,$J775,$I775,$M775,$O775,$N775,$P775,$Q775-$C$3,$R775,3)</f>
        <v>3.3553439431036649</v>
      </c>
      <c r="AB775" s="456">
        <f>((_xll.xSPRDOPT($L775+AB$5,$J775,$I775,$M775,$O775,$N775,$P775,$Q775-$C$3,$R775,3)*$H775)/10000)/100</f>
        <v>-1.0066031829310993</v>
      </c>
      <c r="AC775" s="456">
        <f>((_xll.xSPRDOPT($L775+$AB$5,$J775,$I775,$M775,$O775,$N775,$P775,$Q775-$C$3,$R775,7)*$H775)/100)</f>
        <v>13666.47341596898</v>
      </c>
      <c r="AD775" s="456">
        <f>(_xll.xSPRDOPT($L775+$AB$5,$J775,$I775,$M775,$O775,$N775,$P775,$Q775-$C$3,$R775,9)/365)*$H775</f>
        <v>75.305118852392226</v>
      </c>
      <c r="AE775">
        <f t="shared" si="972"/>
        <v>0</v>
      </c>
      <c r="AF775" s="456">
        <f t="shared" ref="AF775:AF804" si="987">((O775/N775)*AH775)+AG775</f>
        <v>-158.60885072883264</v>
      </c>
      <c r="AG775" s="456">
        <f>((_xll.xSPRDOPT($L775,$J775,$I775,$M775,$O775,$N775,$P775,$Q775-$C$3,$R775,6)*$H775)/100)</f>
        <v>595.27151436878648</v>
      </c>
      <c r="AH775" s="456">
        <f>((_xll.xSPRDOPT($L775,$J775,$I775,$M775,$O775,$N775,$P775,$Q775-$C$3,$R775,5)*$H775)/100)</f>
        <v>-753.88036509761912</v>
      </c>
      <c r="AI775" s="456">
        <f>(((_xll.xSPRDOPT($L775,$J775,$I775,$M775,$O775,$N775,$P775,$Q775-$C$3,$R775,4)*$H775)/10000)/100)-AB775</f>
        <v>2.2016779360807148E-2</v>
      </c>
      <c r="AJ775" s="456"/>
      <c r="CC775" s="141">
        <f t="shared" si="967"/>
        <v>36923</v>
      </c>
      <c r="CD775" s="234">
        <f>_xll.xSPRDOPT((VLOOKUP(G773,NGPrices,2,FALSE)+HLOOKUP(D773,Prices,VLOOKUP(G773,move_down,2,FALSE),FALSE)),VLOOKUP(G773,NGPrices,2,FALSE),I773,VLOOKUP(G773,NGPREVPRICES,4,FALSE),HLOOKUP(D773,PREVVOLS,VLOOKUP(G773,MOVE_DOWN2,2,FALSE),FALSE),VLOOKUP(G773,NGPREVPRICES,3,FALSE),HLOOKUP(D773,Correllate,VLOOKUP(G773,CorMove,2,FALSE),FALSE),Q773-$CD$3,R773,$CD$5)*H773-CJ775</f>
        <v>0</v>
      </c>
      <c r="CE775" s="234">
        <f>_xll.xSPRDOPT((VLOOKUP(G773,NGPREVPRICES,2,FALSE)+HLOOKUP(D773,PREVCURVES,VLOOKUP(G773,MOVE_DOWN2,2,FALSE),FALSE)),VLOOKUP(G773,NGPREVPRICES,2,FALSE),CK775,VLOOKUP(G773,NGPrices,4,FALSE),HLOOKUP(D773,PREVVOLS,VLOOKUP(G773,MOVE_DOWN2,2,FALSE),FALSE),VLOOKUP(G773,NGPREVPRICES,3,FALSE),HLOOKUP(D773,Correllate,VLOOKUP(G773,CorMove,2,FALSE),FALSE),Q773-$CD$3,R773,$CJ$5)*H773-CJ775</f>
        <v>0</v>
      </c>
      <c r="CF775" s="10">
        <f t="shared" si="968"/>
        <v>2.7573718849689612</v>
      </c>
      <c r="CG775" s="234">
        <f>_xll.xSPRDOPT((VLOOKUP(G773,NGPREVPRICES,2,FALSE)+HLOOKUP(D773,PREVCURVES,VLOOKUP(G773,MOVE_DOWN2,2,FALSE),FALSE)),VLOOKUP(G773,NGPREVPRICES,2,FALSE),CK775,VLOOKUP(G773,NGPREVPRICES,4,FALSE),HLOOKUP(D773,VOLS,VLOOKUP(G773,move_down,2,FALSE),FALSE),VLOOKUP(G773,NGPrices,3,FALSE),HLOOKUP(D773,Correllate,VLOOKUP(G773,CorMove,2,FALSE),FALSE),Q773-$CD$3,R773,$CJ$5)*H773-CJ775</f>
        <v>0</v>
      </c>
      <c r="CH775" s="234">
        <f>_xll.xSPRDOPT((VLOOKUP(G773,NGPREVPRICES,2,FALSE)+HLOOKUP(D773,PREVCURVES,VLOOKUP(G773,MOVE_DOWN2,2,FALSE),FALSE)),VLOOKUP(G773,NGPREVPRICES,2,FALSE),CK775,VLOOKUP(G773,NGPREVPRICES,4,FALSE),HLOOKUP(D773,PREVVOLS,VLOOKUP(G773,MOVE_DOWN2,2,FALSE),FALSE),VLOOKUP(G773,NGPREVPRICES,3,FALSE),HLOOKUP(D773,Correllate,VLOOKUP(G773,CorMove,2,FALSE),FALSE),Q773-$C$3,R773,$CJ$5)*H773-CJ775</f>
        <v>49.569479386060266</v>
      </c>
      <c r="CI775" s="234">
        <f t="shared" si="969"/>
        <v>52.326851271029227</v>
      </c>
      <c r="CJ775" s="234">
        <f>_xll.xSPRDOPT((VLOOKUP(G773,NGPREVPRICES,2,FALSE)+HLOOKUP(D773,PREVCURVES,VLOOKUP(G773,MOVE_DOWN2,2,FALSE),FALSE)),VLOOKUP(G773,NGPREVPRICES,2,FALSE),CK775,VLOOKUP(G773,NGPREVPRICES,4,FALSE),HLOOKUP(D773,PREVVOLS,VLOOKUP(G773,MOVE_DOWN2,2,FALSE),FALSE),VLOOKUP(G773,NGPREVPRICES,3,FALSE),HLOOKUP(D773,Correllate,VLOOKUP(G773,CorMove,2,FALSE),FALSE),Q773-$CD$3,R773,$CJ$5)*H773</f>
        <v>-14498.102560808087</v>
      </c>
      <c r="CK775" s="235">
        <f t="shared" si="970"/>
        <v>0.15</v>
      </c>
      <c r="CM775" t="str">
        <f t="shared" si="971"/>
        <v>36923Curve Shift/Gamma</v>
      </c>
      <c r="CN775" t="str">
        <f t="shared" si="949"/>
        <v>36923Rho</v>
      </c>
      <c r="CO775" t="str">
        <f t="shared" si="950"/>
        <v>36923Drift</v>
      </c>
      <c r="CP775" t="str">
        <f t="shared" si="951"/>
        <v>36923Vega</v>
      </c>
      <c r="CQ775" t="str">
        <f t="shared" si="952"/>
        <v>36923Theta</v>
      </c>
    </row>
    <row r="776" spans="1:95" x14ac:dyDescent="0.25">
      <c r="A776" s="140" t="s">
        <v>348</v>
      </c>
      <c r="B776" t="s">
        <v>250</v>
      </c>
      <c r="C776" t="s">
        <v>609</v>
      </c>
      <c r="D776" s="4" t="s">
        <v>74</v>
      </c>
      <c r="E776" t="s">
        <v>20</v>
      </c>
      <c r="F776" t="s">
        <v>21</v>
      </c>
      <c r="G776" s="5">
        <v>36861</v>
      </c>
      <c r="H776" s="130">
        <v>-310000</v>
      </c>
      <c r="I776" s="235">
        <v>0.15</v>
      </c>
      <c r="J776" s="53">
        <f t="shared" si="973"/>
        <v>4.8</v>
      </c>
      <c r="K776" s="7">
        <f t="shared" si="974"/>
        <v>0.1</v>
      </c>
      <c r="L776" s="53">
        <f t="shared" si="975"/>
        <v>4.8999999999999995</v>
      </c>
      <c r="M776" s="157">
        <f t="shared" si="976"/>
        <v>6.8314027999354002E-2</v>
      </c>
      <c r="N776" s="4">
        <f t="shared" si="977"/>
        <v>0.6</v>
      </c>
      <c r="O776" s="4">
        <f t="shared" si="978"/>
        <v>0.6</v>
      </c>
      <c r="P776" s="9">
        <f t="shared" si="979"/>
        <v>0.997</v>
      </c>
      <c r="Q776" s="5">
        <f t="shared" si="980"/>
        <v>36859</v>
      </c>
      <c r="R776" s="4">
        <f t="shared" si="981"/>
        <v>1</v>
      </c>
      <c r="S776" s="158">
        <f>_xll.xSPRDOPT($L776,$J776,$I776,$M776,$O776,$N776,$P776,$Q776-$C$3,$R776,0)</f>
        <v>2.7108270418358397E-2</v>
      </c>
      <c r="T776" s="159">
        <f>_xll.xSPRDOPT($L776,$J776,$I776,$M776,$O776,$N776,$P776,$Q776-$C$3,$R776,1)*H776</f>
        <v>-105794.98802275372</v>
      </c>
      <c r="U776" s="160">
        <f t="shared" si="982"/>
        <v>-8403.5638296911038</v>
      </c>
      <c r="V776" s="159">
        <f>_xll.xSPRDOPT($L776,$J776,$I776,$M776,$O776,$N776,$P776,$Q776-$C$3,$R776,2)*H776</f>
        <v>103353.42871952469</v>
      </c>
      <c r="W776" s="159">
        <f t="shared" si="983"/>
        <v>-2441.5593032290344</v>
      </c>
      <c r="X776" s="51" t="str">
        <f t="shared" si="984"/>
        <v>36861NGI/CHI. GATE</v>
      </c>
      <c r="Y776" s="418">
        <f t="shared" si="985"/>
        <v>-31</v>
      </c>
      <c r="Z776" s="456">
        <f t="shared" si="986"/>
        <v>0.34127415491210877</v>
      </c>
      <c r="AA776" s="456">
        <f>_xll.xSPRDOPT($L776,$J776,$I776,$M776,$O776,$N776,$P776,$Q776-$C$3,$R776,3)</f>
        <v>3.010063694198406</v>
      </c>
      <c r="AB776" s="456">
        <f>((_xll.xSPRDOPT($L776+AB$5,$J776,$I776,$M776,$O776,$N776,$P776,$Q776-$C$3,$R776,3)*$H776)/10000)/100</f>
        <v>-0.93311974520150587</v>
      </c>
      <c r="AC776" s="456">
        <f>((_xll.xSPRDOPT($L776+$AB$5,$J776,$I776,$M776,$O776,$N776,$P776,$Q776-$C$3,$R776,7)*$H776)/100)</f>
        <v>19731.633103810298</v>
      </c>
      <c r="AD776" s="456">
        <f>(_xll.xSPRDOPT($L776+$AB$5,$J776,$I776,$M776,$O776,$N776,$P776,$Q776-$C$3,$R776,9)/365)*$H776</f>
        <v>72.615984284794521</v>
      </c>
      <c r="AE776">
        <f t="shared" si="972"/>
        <v>0</v>
      </c>
      <c r="AF776" s="456">
        <f t="shared" si="987"/>
        <v>-227.35659346631019</v>
      </c>
      <c r="AG776" s="456">
        <f>((_xll.xSPRDOPT($L776,$J776,$I776,$M776,$O776,$N776,$P776,$Q776-$C$3,$R776,6)*$H776)/100)</f>
        <v>844.58159418175683</v>
      </c>
      <c r="AH776" s="456">
        <f>((_xll.xSPRDOPT($L776,$J776,$I776,$M776,$O776,$N776,$P776,$Q776-$C$3,$R776,5)*$H776)/100)</f>
        <v>-1071.938187648067</v>
      </c>
      <c r="AI776" s="456">
        <f>(((_xll.xSPRDOPT($L776,$J776,$I776,$M776,$O776,$N776,$P776,$Q776-$C$3,$R776,4)*$H776)/10000)/100)-AB776</f>
        <v>1.5754958133592734E-2</v>
      </c>
      <c r="AJ776" s="456"/>
      <c r="CC776" s="141">
        <f t="shared" si="967"/>
        <v>36951</v>
      </c>
      <c r="CD776" s="234">
        <f>_xll.xSPRDOPT((VLOOKUP(G774,NGPrices,2,FALSE)+HLOOKUP(D774,Prices,VLOOKUP(G774,move_down,2,FALSE),FALSE)),VLOOKUP(G774,NGPrices,2,FALSE),I774,VLOOKUP(G774,NGPREVPRICES,4,FALSE),HLOOKUP(D774,PREVVOLS,VLOOKUP(G774,MOVE_DOWN2,2,FALSE),FALSE),VLOOKUP(G774,NGPREVPRICES,3,FALSE),HLOOKUP(D774,Correllate,VLOOKUP(G774,CorMove,2,FALSE),FALSE),Q774-$CD$3,R774,$CD$5)*H774-CJ776</f>
        <v>0</v>
      </c>
      <c r="CE776" s="234">
        <f>_xll.xSPRDOPT((VLOOKUP(G774,NGPREVPRICES,2,FALSE)+HLOOKUP(D774,PREVCURVES,VLOOKUP(G774,MOVE_DOWN2,2,FALSE),FALSE)),VLOOKUP(G774,NGPREVPRICES,2,FALSE),CK776,VLOOKUP(G774,NGPrices,4,FALSE),HLOOKUP(D774,PREVVOLS,VLOOKUP(G774,MOVE_DOWN2,2,FALSE),FALSE),VLOOKUP(G774,NGPREVPRICES,3,FALSE),HLOOKUP(D774,Correllate,VLOOKUP(G774,CorMove,2,FALSE),FALSE),Q774-$CD$3,R774,$CJ$5)*H774-CJ776</f>
        <v>0</v>
      </c>
      <c r="CF776" s="10">
        <f t="shared" si="968"/>
        <v>2.4291778175029322</v>
      </c>
      <c r="CG776" s="234">
        <f>_xll.xSPRDOPT((VLOOKUP(G774,NGPREVPRICES,2,FALSE)+HLOOKUP(D774,PREVCURVES,VLOOKUP(G774,MOVE_DOWN2,2,FALSE),FALSE)),VLOOKUP(G774,NGPREVPRICES,2,FALSE),CK776,VLOOKUP(G774,NGPREVPRICES,4,FALSE),HLOOKUP(D774,VOLS,VLOOKUP(G774,move_down,2,FALSE),FALSE),VLOOKUP(G774,NGPrices,3,FALSE),HLOOKUP(D774,Correllate,VLOOKUP(G774,CorMove,2,FALSE),FALSE),Q774-$CD$3,R774,$CJ$5)*H774-CJ776</f>
        <v>0</v>
      </c>
      <c r="CH776" s="234">
        <f>_xll.xSPRDOPT((VLOOKUP(G774,NGPREVPRICES,2,FALSE)+HLOOKUP(D774,PREVCURVES,VLOOKUP(G774,MOVE_DOWN2,2,FALSE),FALSE)),VLOOKUP(G774,NGPREVPRICES,2,FALSE),CK776,VLOOKUP(G774,NGPREVPRICES,4,FALSE),HLOOKUP(D774,PREVVOLS,VLOOKUP(G774,MOVE_DOWN2,2,FALSE),FALSE),VLOOKUP(G774,NGPREVPRICES,3,FALSE),HLOOKUP(D774,Correllate,VLOOKUP(G774,CorMove,2,FALSE),FALSE),Q774-$C$3,R774,$CJ$5)*H774-CJ776</f>
        <v>42.015864445211264</v>
      </c>
      <c r="CI776" s="234">
        <f t="shared" si="969"/>
        <v>44.445042262714196</v>
      </c>
      <c r="CJ776" s="234">
        <f>_xll.xSPRDOPT((VLOOKUP(G774,NGPREVPRICES,2,FALSE)+HLOOKUP(D774,PREVCURVES,VLOOKUP(G774,MOVE_DOWN2,2,FALSE),FALSE)),VLOOKUP(G774,NGPREVPRICES,2,FALSE),CK776,VLOOKUP(G774,NGPREVPRICES,4,FALSE),HLOOKUP(D774,PREVVOLS,VLOOKUP(G774,MOVE_DOWN2,2,FALSE),FALSE),VLOOKUP(G774,NGPREVPRICES,3,FALSE),HLOOKUP(D774,Correllate,VLOOKUP(G774,CorMove,2,FALSE),FALSE),Q774-$CD$3,R774,$CJ$5)*H774</f>
        <v>-12666.147560565782</v>
      </c>
      <c r="CK776" s="235">
        <f t="shared" si="970"/>
        <v>0.15</v>
      </c>
      <c r="CM776" t="str">
        <f t="shared" si="971"/>
        <v>36951Curve Shift/Gamma</v>
      </c>
      <c r="CN776" t="str">
        <f t="shared" si="949"/>
        <v>36951Rho</v>
      </c>
      <c r="CO776" t="str">
        <f t="shared" si="950"/>
        <v>36951Drift</v>
      </c>
      <c r="CP776" t="str">
        <f t="shared" si="951"/>
        <v>36951Vega</v>
      </c>
      <c r="CQ776" t="str">
        <f t="shared" si="952"/>
        <v>36951Theta</v>
      </c>
    </row>
    <row r="777" spans="1:95" x14ac:dyDescent="0.25">
      <c r="A777" s="140" t="s">
        <v>348</v>
      </c>
      <c r="B777" t="s">
        <v>250</v>
      </c>
      <c r="C777" t="s">
        <v>609</v>
      </c>
      <c r="D777" s="4" t="s">
        <v>74</v>
      </c>
      <c r="E777" t="s">
        <v>20</v>
      </c>
      <c r="F777" t="s">
        <v>21</v>
      </c>
      <c r="G777" s="5">
        <v>36892</v>
      </c>
      <c r="H777" s="130">
        <v>-310000</v>
      </c>
      <c r="I777" s="235">
        <v>0.15</v>
      </c>
      <c r="J777" s="53">
        <f t="shared" si="973"/>
        <v>4.7439999999999998</v>
      </c>
      <c r="K777" s="7">
        <f t="shared" si="974"/>
        <v>0.1275</v>
      </c>
      <c r="L777" s="53">
        <f t="shared" si="975"/>
        <v>4.8715000000000002</v>
      </c>
      <c r="M777" s="157">
        <f t="shared" si="976"/>
        <v>6.8374831148490994E-2</v>
      </c>
      <c r="N777" s="4">
        <f t="shared" si="977"/>
        <v>0.60499999999999998</v>
      </c>
      <c r="O777" s="4">
        <f t="shared" si="978"/>
        <v>0.60499999999999998</v>
      </c>
      <c r="P777" s="9">
        <f t="shared" si="979"/>
        <v>0.997</v>
      </c>
      <c r="Q777" s="5">
        <f t="shared" si="980"/>
        <v>36888</v>
      </c>
      <c r="R777" s="4">
        <f t="shared" si="981"/>
        <v>1</v>
      </c>
      <c r="S777" s="158">
        <f>_xll.xSPRDOPT($L777,$J777,$I777,$M777,$O777,$N777,$P777,$Q777-$C$3,$R777,0)</f>
        <v>4.428805516998615E-2</v>
      </c>
      <c r="T777" s="159">
        <f>_xll.xSPRDOPT($L777,$J777,$I777,$M777,$O777,$N777,$P777,$Q777-$C$3,$R777,1)*H777</f>
        <v>-134760.27019087761</v>
      </c>
      <c r="U777" s="160">
        <f t="shared" si="982"/>
        <v>-13729.297102695706</v>
      </c>
      <c r="V777" s="159">
        <f>_xll.xSPRDOPT($L777,$J777,$I777,$M777,$O777,$N777,$P777,$Q777-$C$3,$R777,2)*H777</f>
        <v>131760.94911566621</v>
      </c>
      <c r="W777" s="159">
        <f t="shared" si="983"/>
        <v>-2999.3210752113955</v>
      </c>
      <c r="X777" s="51" t="str">
        <f t="shared" si="984"/>
        <v>36892NGI/CHI. GATE</v>
      </c>
      <c r="Y777" s="418">
        <f t="shared" si="985"/>
        <v>-31</v>
      </c>
      <c r="Z777" s="456">
        <f t="shared" si="986"/>
        <v>0.43471054900283101</v>
      </c>
      <c r="AA777" s="456">
        <f>_xll.xSPRDOPT($L777,$J777,$I777,$M777,$O777,$N777,$P777,$Q777-$C$3,$R777,3)</f>
        <v>2.7753049195088875</v>
      </c>
      <c r="AB777" s="456">
        <f>((_xll.xSPRDOPT($L777+AB$5,$J777,$I777,$M777,$O777,$N777,$P777,$Q777-$C$3,$R777,3)*$H777)/10000)/100</f>
        <v>-0.86034452504775516</v>
      </c>
      <c r="AC777" s="456">
        <f>((_xll.xSPRDOPT($L777+$AB$5,$J777,$I777,$M777,$O777,$N777,$P777,$Q777-$C$3,$R777,7)*$H777)/100)</f>
        <v>24026.691153410487</v>
      </c>
      <c r="AD777" s="456">
        <f>(_xll.xSPRDOPT($L777+$AB$5,$J777,$I777,$M777,$O777,$N777,$P777,$Q777-$C$3,$R777,9)/365)*$H777</f>
        <v>66.841991814918686</v>
      </c>
      <c r="AE777">
        <f t="shared" si="972"/>
        <v>0</v>
      </c>
      <c r="AF777" s="456">
        <f t="shared" si="987"/>
        <v>-277.46542407503352</v>
      </c>
      <c r="AG777" s="456">
        <f>((_xll.xSPRDOPT($L777,$J777,$I777,$M777,$O777,$N777,$P777,$Q777-$C$3,$R777,6)*$H777)/100)</f>
        <v>1049.3219306858516</v>
      </c>
      <c r="AH777" s="456">
        <f>((_xll.xSPRDOPT($L777,$J777,$I777,$M777,$O777,$N777,$P777,$Q777-$C$3,$R777,5)*$H777)/100)</f>
        <v>-1326.7873547608851</v>
      </c>
      <c r="AI777" s="456">
        <f>(((_xll.xSPRDOPT($L777,$J777,$I777,$M777,$O777,$N777,$P777,$Q777-$C$3,$R777,4)*$H777)/10000)/100)-AB777</f>
        <v>5.8110401703533876E-3</v>
      </c>
      <c r="AJ777" s="456"/>
      <c r="CC777" s="141">
        <f t="shared" ref="CC777:CC806" si="988">G775</f>
        <v>36831</v>
      </c>
      <c r="CD777" s="234">
        <f>_xll.xSPRDOPT((VLOOKUP(G775,NGPrices,2,FALSE)+HLOOKUP(D775,Prices,VLOOKUP(G775,move_down,2,FALSE),FALSE)),VLOOKUP(G775,NGPrices,2,FALSE),I775,VLOOKUP(G775,NGPREVPRICES,4,FALSE),HLOOKUP(D775,PREVVOLS,VLOOKUP(G775,MOVE_DOWN2,2,FALSE),FALSE),VLOOKUP(G775,NGPREVPRICES,3,FALSE),HLOOKUP(D775,Correllate,VLOOKUP(G775,CorMove,2,FALSE),FALSE),Q775-$CD$3,R775,$CD$5)*H775-CJ777</f>
        <v>0</v>
      </c>
      <c r="CE777" s="234">
        <f>_xll.xSPRDOPT((VLOOKUP(G775,NGPREVPRICES,2,FALSE)+HLOOKUP(D775,PREVCURVES,VLOOKUP(G775,MOVE_DOWN2,2,FALSE),FALSE)),VLOOKUP(G775,NGPREVPRICES,2,FALSE),CK777,VLOOKUP(G775,NGPrices,4,FALSE),HLOOKUP(D775,PREVVOLS,VLOOKUP(G775,MOVE_DOWN2,2,FALSE),FALSE),VLOOKUP(G775,NGPREVPRICES,3,FALSE),HLOOKUP(D775,Correllate,VLOOKUP(G775,CorMove,2,FALSE),FALSE),Q775-$CD$3,R775,$CJ$5)*H775-CJ777</f>
        <v>0</v>
      </c>
      <c r="CF777" s="10">
        <f t="shared" ref="CF777:CF806" si="989">(CJ777/VLOOKUP(CC777,discount,3,FALSE))-(CJ777/VLOOKUP(CC777,discount,2,FALSE))</f>
        <v>0.86358376220232458</v>
      </c>
      <c r="CG777" s="234">
        <f>_xll.xSPRDOPT((VLOOKUP(G775,NGPREVPRICES,2,FALSE)+HLOOKUP(D775,PREVCURVES,VLOOKUP(G775,MOVE_DOWN2,2,FALSE),FALSE)),VLOOKUP(G775,NGPREVPRICES,2,FALSE),CK777,VLOOKUP(G775,NGPREVPRICES,4,FALSE),HLOOKUP(D775,VOLS,VLOOKUP(G775,move_down,2,FALSE),FALSE),VLOOKUP(G775,NGPrices,3,FALSE),HLOOKUP(D775,Correllate,VLOOKUP(G775,CorMove,2,FALSE),FALSE),Q775-$CD$3,R775,$CJ$5)*H775-CJ777</f>
        <v>0</v>
      </c>
      <c r="CH777" s="234">
        <f>_xll.xSPRDOPT((VLOOKUP(G775,NGPREVPRICES,2,FALSE)+HLOOKUP(D775,PREVCURVES,VLOOKUP(G775,MOVE_DOWN2,2,FALSE),FALSE)),VLOOKUP(G775,NGPREVPRICES,2,FALSE),CK777,VLOOKUP(G775,NGPREVPRICES,4,FALSE),HLOOKUP(D775,PREVVOLS,VLOOKUP(G775,MOVE_DOWN2,2,FALSE),FALSE),VLOOKUP(G775,NGPREVPRICES,3,FALSE),HLOOKUP(D775,Correllate,VLOOKUP(G775,CorMove,2,FALSE),FALSE),Q775-$C$3,R775,$CJ$5)*H775-CJ777</f>
        <v>75.061380048358842</v>
      </c>
      <c r="CI777" s="234">
        <f t="shared" ref="CI777:CI806" si="990">SUM(CD777:CH777)</f>
        <v>75.924963810561167</v>
      </c>
      <c r="CJ777" s="234">
        <f>_xll.xSPRDOPT((VLOOKUP(G775,NGPREVPRICES,2,FALSE)+HLOOKUP(D775,PREVCURVES,VLOOKUP(G775,MOVE_DOWN2,2,FALSE),FALSE)),VLOOKUP(G775,NGPREVPRICES,2,FALSE),CK777,VLOOKUP(G775,NGPREVPRICES,4,FALSE),HLOOKUP(D775,PREVVOLS,VLOOKUP(G775,MOVE_DOWN2,2,FALSE),FALSE),VLOOKUP(G775,NGPREVPRICES,3,FALSE),HLOOKUP(D775,Correllate,VLOOKUP(G775,CorMove,2,FALSE),FALSE),Q775-$CD$3,R775,$CJ$5)*H775</f>
        <v>-4650.1575587453335</v>
      </c>
      <c r="CK777" s="235">
        <f t="shared" ref="CK777:CK806" si="991">I775</f>
        <v>0.15</v>
      </c>
      <c r="CM777" t="str">
        <f t="shared" ref="CM777:CM806" si="992">CONCATENATE(CC777,$CD$6)</f>
        <v>36831Curve Shift/Gamma</v>
      </c>
      <c r="CN777" t="str">
        <f t="shared" si="949"/>
        <v>36831Rho</v>
      </c>
      <c r="CO777" t="str">
        <f t="shared" si="950"/>
        <v>36831Drift</v>
      </c>
      <c r="CP777" t="str">
        <f t="shared" si="951"/>
        <v>36831Vega</v>
      </c>
      <c r="CQ777" t="str">
        <f t="shared" si="952"/>
        <v>36831Theta</v>
      </c>
    </row>
    <row r="778" spans="1:95" x14ac:dyDescent="0.25">
      <c r="A778" s="140" t="s">
        <v>348</v>
      </c>
      <c r="B778" t="s">
        <v>250</v>
      </c>
      <c r="C778" t="s">
        <v>609</v>
      </c>
      <c r="D778" s="4" t="s">
        <v>74</v>
      </c>
      <c r="E778" t="s">
        <v>20</v>
      </c>
      <c r="F778" t="s">
        <v>21</v>
      </c>
      <c r="G778" s="5">
        <v>36923</v>
      </c>
      <c r="H778" s="130">
        <v>-280000</v>
      </c>
      <c r="I778" s="235">
        <v>0.15</v>
      </c>
      <c r="J778" s="53">
        <f t="shared" si="973"/>
        <v>4.4800000000000004</v>
      </c>
      <c r="K778" s="7">
        <f t="shared" si="974"/>
        <v>0.13750000000000001</v>
      </c>
      <c r="L778" s="53">
        <f t="shared" si="975"/>
        <v>4.6175000000000006</v>
      </c>
      <c r="M778" s="157">
        <f t="shared" si="976"/>
        <v>6.8640161611372E-2</v>
      </c>
      <c r="N778" s="4">
        <f t="shared" si="977"/>
        <v>0.59250000000000003</v>
      </c>
      <c r="O778" s="4">
        <f t="shared" si="978"/>
        <v>0.59299999999999997</v>
      </c>
      <c r="P778" s="9">
        <f t="shared" si="979"/>
        <v>0.997</v>
      </c>
      <c r="Q778" s="5">
        <f t="shared" si="980"/>
        <v>36921</v>
      </c>
      <c r="R778" s="4">
        <f t="shared" si="981"/>
        <v>1</v>
      </c>
      <c r="S778" s="158">
        <f>_xll.xSPRDOPT($L778,$J778,$I778,$M778,$O778,$N778,$P778,$Q778-$C$3,$R778,0)</f>
        <v>5.1601903862221528E-2</v>
      </c>
      <c r="T778" s="159">
        <f>_xll.xSPRDOPT($L778,$J778,$I778,$M778,$O778,$N778,$P778,$Q778-$C$3,$R778,1)*H778</f>
        <v>-129684.97346307428</v>
      </c>
      <c r="U778" s="160">
        <f t="shared" si="982"/>
        <v>-14448.533081422027</v>
      </c>
      <c r="V778" s="159">
        <f>_xll.xSPRDOPT($L778,$J778,$I778,$M778,$O778,$N778,$P778,$Q778-$C$3,$R778,2)*H778</f>
        <v>126705.48503538528</v>
      </c>
      <c r="W778" s="159">
        <f t="shared" si="983"/>
        <v>-2979.4884276889934</v>
      </c>
      <c r="X778" s="51" t="str">
        <f t="shared" si="984"/>
        <v>36923NGI/CHI. GATE</v>
      </c>
      <c r="Y778" s="418">
        <f t="shared" si="985"/>
        <v>-28</v>
      </c>
      <c r="Z778" s="456">
        <f t="shared" si="986"/>
        <v>0.46316061951097953</v>
      </c>
      <c r="AA778" s="456">
        <f>_xll.xSPRDOPT($L778,$J778,$I778,$M778,$O778,$N778,$P778,$Q778-$C$3,$R778,3)</f>
        <v>2.6234575744327917</v>
      </c>
      <c r="AB778" s="456">
        <f>((_xll.xSPRDOPT($L778+AB$5,$J778,$I778,$M778,$O778,$N778,$P778,$Q778-$C$3,$R778,3)*$H778)/10000)/100</f>
        <v>-0.73456812084118173</v>
      </c>
      <c r="AC778" s="456">
        <f>((_xll.xSPRDOPT($L778+$AB$5,$J778,$I778,$M778,$O778,$N778,$P778,$Q778-$C$3,$R778,7)*$H778)/100)</f>
        <v>22478.122338744019</v>
      </c>
      <c r="AD778" s="456">
        <f>(_xll.xSPRDOPT($L778+$AB$5,$J778,$I778,$M778,$O778,$N778,$P778,$Q778-$C$3,$R778,9)/365)*$H778</f>
        <v>49.695761016680237</v>
      </c>
      <c r="AE778">
        <f t="shared" si="972"/>
        <v>0</v>
      </c>
      <c r="AF778" s="456">
        <f t="shared" si="987"/>
        <v>-272.27200353757894</v>
      </c>
      <c r="AG778" s="456">
        <f>((_xll.xSPRDOPT($L778,$J778,$I778,$M778,$O778,$N778,$P778,$Q778-$C$3,$R778,6)*$H778)/100)</f>
        <v>1095.7600345254891</v>
      </c>
      <c r="AH778" s="456">
        <f>((_xll.xSPRDOPT($L778,$J778,$I778,$M778,$O778,$N778,$P778,$Q778-$C$3,$R778,5)*$H778)/100)</f>
        <v>-1366.8785540512106</v>
      </c>
      <c r="AI778" s="456">
        <f>(((_xll.xSPRDOPT($L778,$J778,$I778,$M778,$O778,$N778,$P778,$Q778-$C$3,$R778,4)*$H778)/10000)/100)-AB778</f>
        <v>2.038904812277198E-3</v>
      </c>
      <c r="AJ778" s="456"/>
      <c r="CC778" s="141">
        <f t="shared" si="988"/>
        <v>36861</v>
      </c>
      <c r="CD778" s="234">
        <f>_xll.xSPRDOPT((VLOOKUP(G776,NGPrices,2,FALSE)+HLOOKUP(D776,Prices,VLOOKUP(G776,move_down,2,FALSE),FALSE)),VLOOKUP(G776,NGPrices,2,FALSE),I776,VLOOKUP(G776,NGPREVPRICES,4,FALSE),HLOOKUP(D776,PREVVOLS,VLOOKUP(G776,MOVE_DOWN2,2,FALSE),FALSE),VLOOKUP(G776,NGPREVPRICES,3,FALSE),HLOOKUP(D776,Correllate,VLOOKUP(G776,CorMove,2,FALSE),FALSE),Q776-$CD$3,R776,$CD$5)*H776-CJ778</f>
        <v>0</v>
      </c>
      <c r="CE778" s="234">
        <f>_xll.xSPRDOPT((VLOOKUP(G776,NGPREVPRICES,2,FALSE)+HLOOKUP(D776,PREVCURVES,VLOOKUP(G776,MOVE_DOWN2,2,FALSE),FALSE)),VLOOKUP(G776,NGPREVPRICES,2,FALSE),CK778,VLOOKUP(G776,NGPrices,4,FALSE),HLOOKUP(D776,PREVVOLS,VLOOKUP(G776,MOVE_DOWN2,2,FALSE),FALSE),VLOOKUP(G776,NGPREVPRICES,3,FALSE),HLOOKUP(D776,Correllate,VLOOKUP(G776,CorMove,2,FALSE),FALSE),Q776-$CD$3,R776,$CJ$5)*H776-CJ778</f>
        <v>0</v>
      </c>
      <c r="CF778" s="10">
        <f t="shared" si="989"/>
        <v>1.5878673379502288</v>
      </c>
      <c r="CG778" s="234">
        <f>_xll.xSPRDOPT((VLOOKUP(G776,NGPREVPRICES,2,FALSE)+HLOOKUP(D776,PREVCURVES,VLOOKUP(G776,MOVE_DOWN2,2,FALSE),FALSE)),VLOOKUP(G776,NGPREVPRICES,2,FALSE),CK778,VLOOKUP(G776,NGPREVPRICES,4,FALSE),HLOOKUP(D776,VOLS,VLOOKUP(G776,move_down,2,FALSE),FALSE),VLOOKUP(G776,NGPrices,3,FALSE),HLOOKUP(D776,Correllate,VLOOKUP(G776,CorMove,2,FALSE),FALSE),Q776-$CD$3,R776,$CJ$5)*H776-CJ778</f>
        <v>0</v>
      </c>
      <c r="CH778" s="234">
        <f>_xll.xSPRDOPT((VLOOKUP(G776,NGPREVPRICES,2,FALSE)+HLOOKUP(D776,PREVCURVES,VLOOKUP(G776,MOVE_DOWN2,2,FALSE),FALSE)),VLOOKUP(G776,NGPREVPRICES,2,FALSE),CK778,VLOOKUP(G776,NGPREVPRICES,4,FALSE),HLOOKUP(D776,PREVVOLS,VLOOKUP(G776,MOVE_DOWN2,2,FALSE),FALSE),VLOOKUP(G776,NGPREVPRICES,3,FALSE),HLOOKUP(D776,Correllate,VLOOKUP(G776,CorMove,2,FALSE),FALSE),Q776-$C$3,R776,$CJ$5)*H776-CJ778</f>
        <v>72.388126485495377</v>
      </c>
      <c r="CI778" s="234">
        <f t="shared" si="990"/>
        <v>73.975993823445606</v>
      </c>
      <c r="CJ778" s="234">
        <f>_xll.xSPRDOPT((VLOOKUP(G776,NGPREVPRICES,2,FALSE)+HLOOKUP(D776,PREVCURVES,VLOOKUP(G776,MOVE_DOWN2,2,FALSE),FALSE)),VLOOKUP(G776,NGPREVPRICES,2,FALSE),CK778,VLOOKUP(G776,NGPREVPRICES,4,FALSE),HLOOKUP(D776,PREVVOLS,VLOOKUP(G776,MOVE_DOWN2,2,FALSE),FALSE),VLOOKUP(G776,NGPREVPRICES,3,FALSE),HLOOKUP(D776,Correllate,VLOOKUP(G776,CorMove,2,FALSE),FALSE),Q776-$CD$3,R776,$CJ$5)*H776</f>
        <v>-8475.9519561765992</v>
      </c>
      <c r="CK778" s="235">
        <f t="shared" si="991"/>
        <v>0.15</v>
      </c>
      <c r="CM778" t="str">
        <f t="shared" si="992"/>
        <v>36861Curve Shift/Gamma</v>
      </c>
      <c r="CN778" t="str">
        <f t="shared" si="949"/>
        <v>36861Rho</v>
      </c>
      <c r="CO778" t="str">
        <f t="shared" si="950"/>
        <v>36861Drift</v>
      </c>
      <c r="CP778" t="str">
        <f t="shared" si="951"/>
        <v>36861Vega</v>
      </c>
      <c r="CQ778" t="str">
        <f t="shared" si="952"/>
        <v>36861Theta</v>
      </c>
    </row>
    <row r="779" spans="1:95" x14ac:dyDescent="0.25">
      <c r="A779" s="140" t="s">
        <v>348</v>
      </c>
      <c r="B779" t="s">
        <v>250</v>
      </c>
      <c r="C779" t="s">
        <v>609</v>
      </c>
      <c r="D779" s="4" t="s">
        <v>74</v>
      </c>
      <c r="E779" t="s">
        <v>20</v>
      </c>
      <c r="F779" t="s">
        <v>21</v>
      </c>
      <c r="G779" s="5">
        <v>36951</v>
      </c>
      <c r="H779" s="130">
        <v>-310000</v>
      </c>
      <c r="I779" s="235">
        <v>0.15</v>
      </c>
      <c r="J779" s="53">
        <f t="shared" si="973"/>
        <v>4.2130000000000001</v>
      </c>
      <c r="K779" s="7">
        <f t="shared" si="974"/>
        <v>0.1225</v>
      </c>
      <c r="L779" s="53">
        <f t="shared" si="975"/>
        <v>4.3354999999999997</v>
      </c>
      <c r="M779" s="157">
        <f t="shared" si="976"/>
        <v>6.8879814952706994E-2</v>
      </c>
      <c r="N779" s="4">
        <f t="shared" si="977"/>
        <v>0.53249999999999997</v>
      </c>
      <c r="O779" s="4">
        <f t="shared" si="978"/>
        <v>0.53300000000000003</v>
      </c>
      <c r="P779" s="9">
        <f t="shared" si="979"/>
        <v>0.997</v>
      </c>
      <c r="Q779" s="5">
        <f t="shared" si="980"/>
        <v>36949</v>
      </c>
      <c r="R779" s="4">
        <f t="shared" si="981"/>
        <v>1</v>
      </c>
      <c r="S779" s="158">
        <f>_xll.xSPRDOPT($L779,$J779,$I779,$M779,$O779,$N779,$P779,$Q779-$C$3,$R779,0)</f>
        <v>4.0723005471356676E-2</v>
      </c>
      <c r="T779" s="159">
        <f>_xll.xSPRDOPT($L779,$J779,$I779,$M779,$O779,$N779,$P779,$Q779-$C$3,$R779,1)*H779</f>
        <v>-129142.3326287871</v>
      </c>
      <c r="U779" s="160">
        <f t="shared" si="982"/>
        <v>-12624.13169612057</v>
      </c>
      <c r="V779" s="159">
        <f>_xll.xSPRDOPT($L779,$J779,$I779,$M779,$O779,$N779,$P779,$Q779-$C$3,$R779,2)*H779</f>
        <v>126003.54028048414</v>
      </c>
      <c r="W779" s="159">
        <f t="shared" si="983"/>
        <v>-3138.792348302959</v>
      </c>
      <c r="X779" s="51" t="str">
        <f t="shared" si="984"/>
        <v>36951NGI/CHI. GATE</v>
      </c>
      <c r="Y779" s="418">
        <f t="shared" si="985"/>
        <v>-31</v>
      </c>
      <c r="Z779" s="456">
        <f t="shared" si="986"/>
        <v>0.41658816977028096</v>
      </c>
      <c r="AA779" s="456">
        <f>_xll.xSPRDOPT($L779,$J779,$I779,$M779,$O779,$N779,$P779,$Q779-$C$3,$R779,3)</f>
        <v>2.7889064827494936</v>
      </c>
      <c r="AB779" s="456">
        <f>((_xll.xSPRDOPT($L779+AB$5,$J779,$I779,$M779,$O779,$N779,$P779,$Q779-$C$3,$R779,3)*$H779)/10000)/100</f>
        <v>-0.86456100965234295</v>
      </c>
      <c r="AC779" s="456">
        <f>((_xll.xSPRDOPT($L779+$AB$5,$J779,$I779,$M779,$O779,$N779,$P779,$Q779-$C$3,$R779,7)*$H779)/100)</f>
        <v>22234.401221537912</v>
      </c>
      <c r="AD779" s="456">
        <f>(_xll.xSPRDOPT($L779+$AB$5,$J779,$I779,$M779,$O779,$N779,$P779,$Q779-$C$3,$R779,9)/365)*$H779</f>
        <v>42.11028502579304</v>
      </c>
      <c r="AE779">
        <f t="shared" si="972"/>
        <v>0</v>
      </c>
      <c r="AF779" s="456">
        <f t="shared" si="987"/>
        <v>-303.92905502284043</v>
      </c>
      <c r="AG779" s="456">
        <f>((_xll.xSPRDOPT($L779,$J779,$I779,$M779,$O779,$N779,$P779,$Q779-$C$3,$R779,6)*$H779)/100)</f>
        <v>1267.2249174562569</v>
      </c>
      <c r="AH779" s="456">
        <f>((_xll.xSPRDOPT($L779,$J779,$I779,$M779,$O779,$N779,$P779,$Q779-$C$3,$R779,5)*$H779)/100)</f>
        <v>-1569.6800944561335</v>
      </c>
      <c r="AI779" s="456">
        <f>(((_xll.xSPRDOPT($L779,$J779,$I779,$M779,$O779,$N779,$P779,$Q779-$C$3,$R779,4)*$H779)/10000)/100)-AB779</f>
        <v>7.5381765969205761E-3</v>
      </c>
      <c r="AJ779" s="456"/>
      <c r="CC779" s="141">
        <f t="shared" si="988"/>
        <v>36892</v>
      </c>
      <c r="CD779" s="234">
        <f>_xll.xSPRDOPT((VLOOKUP(G777,NGPrices,2,FALSE)+HLOOKUP(D777,Prices,VLOOKUP(G777,move_down,2,FALSE),FALSE)),VLOOKUP(G777,NGPrices,2,FALSE),I777,VLOOKUP(G777,NGPREVPRICES,4,FALSE),HLOOKUP(D777,PREVVOLS,VLOOKUP(G777,MOVE_DOWN2,2,FALSE),FALSE),VLOOKUP(G777,NGPREVPRICES,3,FALSE),HLOOKUP(D777,Correllate,VLOOKUP(G777,CorMove,2,FALSE),FALSE),Q777-$CD$3,R777,$CD$5)*H777-CJ779</f>
        <v>0</v>
      </c>
      <c r="CE779" s="234">
        <f>_xll.xSPRDOPT((VLOOKUP(G777,NGPREVPRICES,2,FALSE)+HLOOKUP(D777,PREVCURVES,VLOOKUP(G777,MOVE_DOWN2,2,FALSE),FALSE)),VLOOKUP(G777,NGPREVPRICES,2,FALSE),CK779,VLOOKUP(G777,NGPrices,4,FALSE),HLOOKUP(D777,PREVVOLS,VLOOKUP(G777,MOVE_DOWN2,2,FALSE),FALSE),VLOOKUP(G777,NGPREVPRICES,3,FALSE),HLOOKUP(D777,Correllate,VLOOKUP(G777,CorMove,2,FALSE),FALSE),Q777-$CD$3,R777,$CJ$5)*H777-CJ779</f>
        <v>0</v>
      </c>
      <c r="CF779" s="10">
        <f t="shared" si="989"/>
        <v>2.5997236788643932</v>
      </c>
      <c r="CG779" s="234">
        <f>_xll.xSPRDOPT((VLOOKUP(G777,NGPREVPRICES,2,FALSE)+HLOOKUP(D777,PREVCURVES,VLOOKUP(G777,MOVE_DOWN2,2,FALSE),FALSE)),VLOOKUP(G777,NGPREVPRICES,2,FALSE),CK779,VLOOKUP(G777,NGPREVPRICES,4,FALSE),HLOOKUP(D777,VOLS,VLOOKUP(G777,move_down,2,FALSE),FALSE),VLOOKUP(G777,NGPrices,3,FALSE),HLOOKUP(D777,Correllate,VLOOKUP(G777,CorMove,2,FALSE),FALSE),Q777-$CD$3,R777,$CJ$5)*H777-CJ779</f>
        <v>0</v>
      </c>
      <c r="CH779" s="234">
        <f>_xll.xSPRDOPT((VLOOKUP(G777,NGPREVPRICES,2,FALSE)+HLOOKUP(D777,PREVCURVES,VLOOKUP(G777,MOVE_DOWN2,2,FALSE),FALSE)),VLOOKUP(G777,NGPREVPRICES,2,FALSE),CK779,VLOOKUP(G777,NGPREVPRICES,4,FALSE),HLOOKUP(D777,PREVVOLS,VLOOKUP(G777,MOVE_DOWN2,2,FALSE),FALSE),VLOOKUP(G777,NGPREVPRICES,3,FALSE),HLOOKUP(D777,Correllate,VLOOKUP(G777,CorMove,2,FALSE),FALSE),Q777-$C$3,R777,$CJ$5)*H777-CJ779</f>
        <v>66.6465292064604</v>
      </c>
      <c r="CI779" s="234">
        <f t="shared" si="990"/>
        <v>69.246252885324793</v>
      </c>
      <c r="CJ779" s="234">
        <f>_xll.xSPRDOPT((VLOOKUP(G777,NGPREVPRICES,2,FALSE)+HLOOKUP(D777,PREVCURVES,VLOOKUP(G777,MOVE_DOWN2,2,FALSE),FALSE)),VLOOKUP(G777,NGPREVPRICES,2,FALSE),CK779,VLOOKUP(G777,NGPREVPRICES,4,FALSE),HLOOKUP(D777,PREVVOLS,VLOOKUP(G777,MOVE_DOWN2,2,FALSE),FALSE),VLOOKUP(G777,NGPREVPRICES,3,FALSE),HLOOKUP(D777,Correllate,VLOOKUP(G777,CorMove,2,FALSE),FALSE),Q777-$CD$3,R777,$CJ$5)*H777</f>
        <v>-13795.943631902166</v>
      </c>
      <c r="CK779" s="235">
        <f t="shared" si="991"/>
        <v>0.15</v>
      </c>
      <c r="CM779" t="str">
        <f t="shared" si="992"/>
        <v>36892Curve Shift/Gamma</v>
      </c>
      <c r="CN779" t="str">
        <f t="shared" si="949"/>
        <v>36892Rho</v>
      </c>
      <c r="CO779" t="str">
        <f t="shared" si="950"/>
        <v>36892Drift</v>
      </c>
      <c r="CP779" t="str">
        <f t="shared" si="951"/>
        <v>36892Vega</v>
      </c>
      <c r="CQ779" t="str">
        <f t="shared" si="952"/>
        <v>36892Theta</v>
      </c>
    </row>
    <row r="780" spans="1:95" x14ac:dyDescent="0.25">
      <c r="A780" s="140" t="s">
        <v>363</v>
      </c>
      <c r="B780" t="s">
        <v>250</v>
      </c>
      <c r="C780" t="s">
        <v>610</v>
      </c>
      <c r="D780" s="4" t="s">
        <v>74</v>
      </c>
      <c r="E780" t="s">
        <v>20</v>
      </c>
      <c r="F780" t="s">
        <v>21</v>
      </c>
      <c r="G780" s="5">
        <v>36831</v>
      </c>
      <c r="H780" s="130">
        <v>-300000</v>
      </c>
      <c r="I780" s="235">
        <v>0.15</v>
      </c>
      <c r="J780" s="53">
        <f t="shared" si="973"/>
        <v>4.7359999999999998</v>
      </c>
      <c r="K780" s="7">
        <f t="shared" si="974"/>
        <v>8.7499999999999994E-2</v>
      </c>
      <c r="L780" s="53">
        <f t="shared" si="975"/>
        <v>4.8235000000000001</v>
      </c>
      <c r="M780" s="157">
        <f t="shared" si="976"/>
        <v>6.810675983792E-2</v>
      </c>
      <c r="N780" s="4">
        <f t="shared" si="977"/>
        <v>0.59499999999999997</v>
      </c>
      <c r="O780" s="4">
        <f t="shared" si="978"/>
        <v>0.59499999999999997</v>
      </c>
      <c r="P780" s="9">
        <f t="shared" si="979"/>
        <v>0.997</v>
      </c>
      <c r="Q780" s="5">
        <f t="shared" si="980"/>
        <v>36829</v>
      </c>
      <c r="R780" s="4">
        <f t="shared" si="981"/>
        <v>1</v>
      </c>
      <c r="S780" s="158">
        <f>_xll.xSPRDOPT($L780,$J780,$I780,$M780,$O780,$N780,$P780,$Q780-$C$3,$R780,0)</f>
        <v>1.5250320595656583E-2</v>
      </c>
      <c r="T780" s="159">
        <f>_xll.xSPRDOPT($L780,$J780,$I780,$M780,$O780,$N780,$P780,$Q780-$C$3,$R780,1)*H780</f>
        <v>-78849.76466463189</v>
      </c>
      <c r="U780" s="160">
        <f t="shared" si="982"/>
        <v>-4575.0961786969747</v>
      </c>
      <c r="V780" s="159">
        <f>_xll.xSPRDOPT($L780,$J780,$I780,$M780,$O780,$N780,$P780,$Q780-$C$3,$R780,2)*H780</f>
        <v>77133.889443530643</v>
      </c>
      <c r="W780" s="159">
        <f t="shared" si="983"/>
        <v>-1715.875221101247</v>
      </c>
      <c r="X780" s="51" t="str">
        <f t="shared" si="984"/>
        <v>36831NGI/CHI. GATE</v>
      </c>
      <c r="Y780" s="418">
        <f t="shared" si="985"/>
        <v>-30</v>
      </c>
      <c r="Z780" s="456">
        <f t="shared" si="986"/>
        <v>0.26283254888210628</v>
      </c>
      <c r="AA780" s="456">
        <f>_xll.xSPRDOPT($L780,$J780,$I780,$M780,$O780,$N780,$P780,$Q780-$C$3,$R780,3)</f>
        <v>3.3553439431036649</v>
      </c>
      <c r="AB780" s="456">
        <f>((_xll.xSPRDOPT($L780+AB$5,$J780,$I780,$M780,$O780,$N780,$P780,$Q780-$C$3,$R780,3)*$H780)/10000)/100</f>
        <v>-1.0066031829310993</v>
      </c>
      <c r="AC780" s="456">
        <f>((_xll.xSPRDOPT($L780+$AB$5,$J780,$I780,$M780,$O780,$N780,$P780,$Q780-$C$3,$R780,7)*$H780)/100)</f>
        <v>13666.47341596898</v>
      </c>
      <c r="AD780" s="456">
        <f>(_xll.xSPRDOPT($L780+$AB$5,$J780,$I780,$M780,$O780,$N780,$P780,$Q780-$C$3,$R780,9)/365)*$H780</f>
        <v>75.305118852392226</v>
      </c>
      <c r="AE780">
        <f t="shared" si="972"/>
        <v>0</v>
      </c>
      <c r="AF780" s="456">
        <f t="shared" si="987"/>
        <v>-158.60885072883264</v>
      </c>
      <c r="AG780" s="456">
        <f>((_xll.xSPRDOPT($L780,$J780,$I780,$M780,$O780,$N780,$P780,$Q780-$C$3,$R780,6)*$H780)/100)</f>
        <v>595.27151436878648</v>
      </c>
      <c r="AH780" s="456">
        <f>((_xll.xSPRDOPT($L780,$J780,$I780,$M780,$O780,$N780,$P780,$Q780-$C$3,$R780,5)*$H780)/100)</f>
        <v>-753.88036509761912</v>
      </c>
      <c r="AI780" s="456">
        <f>(((_xll.xSPRDOPT($L780,$J780,$I780,$M780,$O780,$N780,$P780,$Q780-$C$3,$R780,4)*$H780)/10000)/100)-AB780</f>
        <v>2.2016779360807148E-2</v>
      </c>
      <c r="AJ780" s="456"/>
      <c r="CC780" s="141">
        <f t="shared" si="988"/>
        <v>36923</v>
      </c>
      <c r="CD780" s="234">
        <f>_xll.xSPRDOPT((VLOOKUP(G778,NGPrices,2,FALSE)+HLOOKUP(D778,Prices,VLOOKUP(G778,move_down,2,FALSE),FALSE)),VLOOKUP(G778,NGPrices,2,FALSE),I778,VLOOKUP(G778,NGPREVPRICES,4,FALSE),HLOOKUP(D778,PREVVOLS,VLOOKUP(G778,MOVE_DOWN2,2,FALSE),FALSE),VLOOKUP(G778,NGPREVPRICES,3,FALSE),HLOOKUP(D778,Correllate,VLOOKUP(G778,CorMove,2,FALSE),FALSE),Q778-$CD$3,R778,$CD$5)*H778-CJ780</f>
        <v>0</v>
      </c>
      <c r="CE780" s="234">
        <f>_xll.xSPRDOPT((VLOOKUP(G778,NGPREVPRICES,2,FALSE)+HLOOKUP(D778,PREVCURVES,VLOOKUP(G778,MOVE_DOWN2,2,FALSE),FALSE)),VLOOKUP(G778,NGPREVPRICES,2,FALSE),CK780,VLOOKUP(G778,NGPrices,4,FALSE),HLOOKUP(D778,PREVVOLS,VLOOKUP(G778,MOVE_DOWN2,2,FALSE),FALSE),VLOOKUP(G778,NGPREVPRICES,3,FALSE),HLOOKUP(D778,Correllate,VLOOKUP(G778,CorMove,2,FALSE),FALSE),Q778-$CD$3,R778,$CJ$5)*H778-CJ780</f>
        <v>0</v>
      </c>
      <c r="CF780" s="10">
        <f t="shared" si="989"/>
        <v>2.7573718849689612</v>
      </c>
      <c r="CG780" s="234">
        <f>_xll.xSPRDOPT((VLOOKUP(G778,NGPREVPRICES,2,FALSE)+HLOOKUP(D778,PREVCURVES,VLOOKUP(G778,MOVE_DOWN2,2,FALSE),FALSE)),VLOOKUP(G778,NGPREVPRICES,2,FALSE),CK780,VLOOKUP(G778,NGPREVPRICES,4,FALSE),HLOOKUP(D778,VOLS,VLOOKUP(G778,move_down,2,FALSE),FALSE),VLOOKUP(G778,NGPrices,3,FALSE),HLOOKUP(D778,Correllate,VLOOKUP(G778,CorMove,2,FALSE),FALSE),Q778-$CD$3,R778,$CJ$5)*H778-CJ780</f>
        <v>0</v>
      </c>
      <c r="CH780" s="234">
        <f>_xll.xSPRDOPT((VLOOKUP(G778,NGPREVPRICES,2,FALSE)+HLOOKUP(D778,PREVCURVES,VLOOKUP(G778,MOVE_DOWN2,2,FALSE),FALSE)),VLOOKUP(G778,NGPREVPRICES,2,FALSE),CK780,VLOOKUP(G778,NGPREVPRICES,4,FALSE),HLOOKUP(D778,PREVVOLS,VLOOKUP(G778,MOVE_DOWN2,2,FALSE),FALSE),VLOOKUP(G778,NGPREVPRICES,3,FALSE),HLOOKUP(D778,Correllate,VLOOKUP(G778,CorMove,2,FALSE),FALSE),Q778-$C$3,R778,$CJ$5)*H778-CJ780</f>
        <v>49.569479386060266</v>
      </c>
      <c r="CI780" s="234">
        <f t="shared" si="990"/>
        <v>52.326851271029227</v>
      </c>
      <c r="CJ780" s="234">
        <f>_xll.xSPRDOPT((VLOOKUP(G778,NGPREVPRICES,2,FALSE)+HLOOKUP(D778,PREVCURVES,VLOOKUP(G778,MOVE_DOWN2,2,FALSE),FALSE)),VLOOKUP(G778,NGPREVPRICES,2,FALSE),CK780,VLOOKUP(G778,NGPREVPRICES,4,FALSE),HLOOKUP(D778,PREVVOLS,VLOOKUP(G778,MOVE_DOWN2,2,FALSE),FALSE),VLOOKUP(G778,NGPREVPRICES,3,FALSE),HLOOKUP(D778,Correllate,VLOOKUP(G778,CorMove,2,FALSE),FALSE),Q778-$CD$3,R778,$CJ$5)*H778</f>
        <v>-14498.102560808087</v>
      </c>
      <c r="CK780" s="235">
        <f t="shared" si="991"/>
        <v>0.15</v>
      </c>
      <c r="CM780" t="str">
        <f t="shared" si="992"/>
        <v>36923Curve Shift/Gamma</v>
      </c>
      <c r="CN780" t="str">
        <f t="shared" si="949"/>
        <v>36923Rho</v>
      </c>
      <c r="CO780" t="str">
        <f t="shared" si="950"/>
        <v>36923Drift</v>
      </c>
      <c r="CP780" t="str">
        <f t="shared" si="951"/>
        <v>36923Vega</v>
      </c>
      <c r="CQ780" t="str">
        <f t="shared" si="952"/>
        <v>36923Theta</v>
      </c>
    </row>
    <row r="781" spans="1:95" x14ac:dyDescent="0.25">
      <c r="A781" s="140" t="s">
        <v>363</v>
      </c>
      <c r="B781" t="s">
        <v>250</v>
      </c>
      <c r="C781" t="s">
        <v>610</v>
      </c>
      <c r="D781" s="4" t="s">
        <v>74</v>
      </c>
      <c r="E781" t="s">
        <v>20</v>
      </c>
      <c r="F781" t="s">
        <v>21</v>
      </c>
      <c r="G781" s="5">
        <v>36861</v>
      </c>
      <c r="H781" s="130">
        <v>-310000</v>
      </c>
      <c r="I781" s="235">
        <v>0.15</v>
      </c>
      <c r="J781" s="53">
        <f t="shared" si="973"/>
        <v>4.8</v>
      </c>
      <c r="K781" s="7">
        <f t="shared" si="974"/>
        <v>0.1</v>
      </c>
      <c r="L781" s="53">
        <f t="shared" si="975"/>
        <v>4.8999999999999995</v>
      </c>
      <c r="M781" s="157">
        <f t="shared" si="976"/>
        <v>6.8314027999354002E-2</v>
      </c>
      <c r="N781" s="4">
        <f t="shared" si="977"/>
        <v>0.6</v>
      </c>
      <c r="O781" s="4">
        <f t="shared" si="978"/>
        <v>0.6</v>
      </c>
      <c r="P781" s="9">
        <f t="shared" si="979"/>
        <v>0.997</v>
      </c>
      <c r="Q781" s="5">
        <f t="shared" si="980"/>
        <v>36859</v>
      </c>
      <c r="R781" s="4">
        <f t="shared" si="981"/>
        <v>1</v>
      </c>
      <c r="S781" s="158">
        <f>_xll.xSPRDOPT($L781,$J781,$I781,$M781,$O781,$N781,$P781,$Q781-$C$3,$R781,0)</f>
        <v>2.7108270418358397E-2</v>
      </c>
      <c r="T781" s="159">
        <f>_xll.xSPRDOPT($L781,$J781,$I781,$M781,$O781,$N781,$P781,$Q781-$C$3,$R781,1)*H781</f>
        <v>-105794.98802275372</v>
      </c>
      <c r="U781" s="160">
        <f t="shared" si="982"/>
        <v>-8403.5638296911038</v>
      </c>
      <c r="V781" s="159">
        <f>_xll.xSPRDOPT($L781,$J781,$I781,$M781,$O781,$N781,$P781,$Q781-$C$3,$R781,2)*H781</f>
        <v>103353.42871952469</v>
      </c>
      <c r="W781" s="159">
        <f t="shared" si="983"/>
        <v>-2441.5593032290344</v>
      </c>
      <c r="X781" s="51" t="str">
        <f t="shared" si="984"/>
        <v>36861NGI/CHI. GATE</v>
      </c>
      <c r="Y781" s="418">
        <f t="shared" si="985"/>
        <v>-31</v>
      </c>
      <c r="Z781" s="456">
        <f t="shared" si="986"/>
        <v>0.34127415491210877</v>
      </c>
      <c r="AA781" s="456">
        <f>_xll.xSPRDOPT($L781,$J781,$I781,$M781,$O781,$N781,$P781,$Q781-$C$3,$R781,3)</f>
        <v>3.010063694198406</v>
      </c>
      <c r="AB781" s="456">
        <f>((_xll.xSPRDOPT($L781+AB$5,$J781,$I781,$M781,$O781,$N781,$P781,$Q781-$C$3,$R781,3)*$H781)/10000)/100</f>
        <v>-0.93311974520150587</v>
      </c>
      <c r="AC781" s="456">
        <f>((_xll.xSPRDOPT($L781+$AB$5,$J781,$I781,$M781,$O781,$N781,$P781,$Q781-$C$3,$R781,7)*$H781)/100)</f>
        <v>19731.633103810298</v>
      </c>
      <c r="AD781" s="456">
        <f>(_xll.xSPRDOPT($L781+$AB$5,$J781,$I781,$M781,$O781,$N781,$P781,$Q781-$C$3,$R781,9)/365)*$H781</f>
        <v>72.615984284794521</v>
      </c>
      <c r="AE781">
        <f t="shared" si="972"/>
        <v>0</v>
      </c>
      <c r="AF781" s="456">
        <f t="shared" si="987"/>
        <v>-227.35659346631019</v>
      </c>
      <c r="AG781" s="456">
        <f>((_xll.xSPRDOPT($L781,$J781,$I781,$M781,$O781,$N781,$P781,$Q781-$C$3,$R781,6)*$H781)/100)</f>
        <v>844.58159418175683</v>
      </c>
      <c r="AH781" s="456">
        <f>((_xll.xSPRDOPT($L781,$J781,$I781,$M781,$O781,$N781,$P781,$Q781-$C$3,$R781,5)*$H781)/100)</f>
        <v>-1071.938187648067</v>
      </c>
      <c r="AI781" s="456">
        <f>(((_xll.xSPRDOPT($L781,$J781,$I781,$M781,$O781,$N781,$P781,$Q781-$C$3,$R781,4)*$H781)/10000)/100)-AB781</f>
        <v>1.5754958133592734E-2</v>
      </c>
      <c r="AJ781" s="456"/>
      <c r="CC781" s="141">
        <f t="shared" si="988"/>
        <v>36951</v>
      </c>
      <c r="CD781" s="234">
        <f>_xll.xSPRDOPT((VLOOKUP(G779,NGPrices,2,FALSE)+HLOOKUP(D779,Prices,VLOOKUP(G779,move_down,2,FALSE),FALSE)),VLOOKUP(G779,NGPrices,2,FALSE),I779,VLOOKUP(G779,NGPREVPRICES,4,FALSE),HLOOKUP(D779,PREVVOLS,VLOOKUP(G779,MOVE_DOWN2,2,FALSE),FALSE),VLOOKUP(G779,NGPREVPRICES,3,FALSE),HLOOKUP(D779,Correllate,VLOOKUP(G779,CorMove,2,FALSE),FALSE),Q779-$CD$3,R779,$CD$5)*H779-CJ781</f>
        <v>0</v>
      </c>
      <c r="CE781" s="234">
        <f>_xll.xSPRDOPT((VLOOKUP(G779,NGPREVPRICES,2,FALSE)+HLOOKUP(D779,PREVCURVES,VLOOKUP(G779,MOVE_DOWN2,2,FALSE),FALSE)),VLOOKUP(G779,NGPREVPRICES,2,FALSE),CK781,VLOOKUP(G779,NGPrices,4,FALSE),HLOOKUP(D779,PREVVOLS,VLOOKUP(G779,MOVE_DOWN2,2,FALSE),FALSE),VLOOKUP(G779,NGPREVPRICES,3,FALSE),HLOOKUP(D779,Correllate,VLOOKUP(G779,CorMove,2,FALSE),FALSE),Q779-$CD$3,R779,$CJ$5)*H779-CJ781</f>
        <v>0</v>
      </c>
      <c r="CF781" s="10">
        <f t="shared" si="989"/>
        <v>2.4291778175029322</v>
      </c>
      <c r="CG781" s="234">
        <f>_xll.xSPRDOPT((VLOOKUP(G779,NGPREVPRICES,2,FALSE)+HLOOKUP(D779,PREVCURVES,VLOOKUP(G779,MOVE_DOWN2,2,FALSE),FALSE)),VLOOKUP(G779,NGPREVPRICES,2,FALSE),CK781,VLOOKUP(G779,NGPREVPRICES,4,FALSE),HLOOKUP(D779,VOLS,VLOOKUP(G779,move_down,2,FALSE),FALSE),VLOOKUP(G779,NGPrices,3,FALSE),HLOOKUP(D779,Correllate,VLOOKUP(G779,CorMove,2,FALSE),FALSE),Q779-$CD$3,R779,$CJ$5)*H779-CJ781</f>
        <v>0</v>
      </c>
      <c r="CH781" s="234">
        <f>_xll.xSPRDOPT((VLOOKUP(G779,NGPREVPRICES,2,FALSE)+HLOOKUP(D779,PREVCURVES,VLOOKUP(G779,MOVE_DOWN2,2,FALSE),FALSE)),VLOOKUP(G779,NGPREVPRICES,2,FALSE),CK781,VLOOKUP(G779,NGPREVPRICES,4,FALSE),HLOOKUP(D779,PREVVOLS,VLOOKUP(G779,MOVE_DOWN2,2,FALSE),FALSE),VLOOKUP(G779,NGPREVPRICES,3,FALSE),HLOOKUP(D779,Correllate,VLOOKUP(G779,CorMove,2,FALSE),FALSE),Q779-$C$3,R779,$CJ$5)*H779-CJ781</f>
        <v>42.015864445211264</v>
      </c>
      <c r="CI781" s="234">
        <f t="shared" si="990"/>
        <v>44.445042262714196</v>
      </c>
      <c r="CJ781" s="234">
        <f>_xll.xSPRDOPT((VLOOKUP(G779,NGPREVPRICES,2,FALSE)+HLOOKUP(D779,PREVCURVES,VLOOKUP(G779,MOVE_DOWN2,2,FALSE),FALSE)),VLOOKUP(G779,NGPREVPRICES,2,FALSE),CK781,VLOOKUP(G779,NGPREVPRICES,4,FALSE),HLOOKUP(D779,PREVVOLS,VLOOKUP(G779,MOVE_DOWN2,2,FALSE),FALSE),VLOOKUP(G779,NGPREVPRICES,3,FALSE),HLOOKUP(D779,Correllate,VLOOKUP(G779,CorMove,2,FALSE),FALSE),Q779-$CD$3,R779,$CJ$5)*H779</f>
        <v>-12666.147560565782</v>
      </c>
      <c r="CK781" s="235">
        <f t="shared" si="991"/>
        <v>0.15</v>
      </c>
      <c r="CM781" t="str">
        <f t="shared" si="992"/>
        <v>36951Curve Shift/Gamma</v>
      </c>
      <c r="CN781" t="str">
        <f t="shared" si="949"/>
        <v>36951Rho</v>
      </c>
      <c r="CO781" t="str">
        <f t="shared" si="950"/>
        <v>36951Drift</v>
      </c>
      <c r="CP781" t="str">
        <f t="shared" si="951"/>
        <v>36951Vega</v>
      </c>
      <c r="CQ781" t="str">
        <f t="shared" si="952"/>
        <v>36951Theta</v>
      </c>
    </row>
    <row r="782" spans="1:95" x14ac:dyDescent="0.25">
      <c r="A782" s="140" t="s">
        <v>363</v>
      </c>
      <c r="B782" t="s">
        <v>250</v>
      </c>
      <c r="C782" t="s">
        <v>610</v>
      </c>
      <c r="D782" s="4" t="s">
        <v>74</v>
      </c>
      <c r="E782" t="s">
        <v>20</v>
      </c>
      <c r="F782" t="s">
        <v>21</v>
      </c>
      <c r="G782" s="5">
        <v>36892</v>
      </c>
      <c r="H782" s="130">
        <v>-310000</v>
      </c>
      <c r="I782" s="235">
        <v>0.15</v>
      </c>
      <c r="J782" s="53">
        <f t="shared" si="973"/>
        <v>4.7439999999999998</v>
      </c>
      <c r="K782" s="7">
        <f t="shared" si="974"/>
        <v>0.1275</v>
      </c>
      <c r="L782" s="53">
        <f t="shared" si="975"/>
        <v>4.8715000000000002</v>
      </c>
      <c r="M782" s="157">
        <f t="shared" si="976"/>
        <v>6.8374831148490994E-2</v>
      </c>
      <c r="N782" s="4">
        <f t="shared" si="977"/>
        <v>0.60499999999999998</v>
      </c>
      <c r="O782" s="4">
        <f t="shared" si="978"/>
        <v>0.60499999999999998</v>
      </c>
      <c r="P782" s="9">
        <f t="shared" si="979"/>
        <v>0.997</v>
      </c>
      <c r="Q782" s="5">
        <f t="shared" si="980"/>
        <v>36888</v>
      </c>
      <c r="R782" s="4">
        <f t="shared" si="981"/>
        <v>1</v>
      </c>
      <c r="S782" s="158">
        <f>_xll.xSPRDOPT($L782,$J782,$I782,$M782,$O782,$N782,$P782,$Q782-$C$3,$R782,0)</f>
        <v>4.428805516998615E-2</v>
      </c>
      <c r="T782" s="159">
        <f>_xll.xSPRDOPT($L782,$J782,$I782,$M782,$O782,$N782,$P782,$Q782-$C$3,$R782,1)*H782</f>
        <v>-134760.27019087761</v>
      </c>
      <c r="U782" s="160">
        <f t="shared" si="982"/>
        <v>-13729.297102695706</v>
      </c>
      <c r="V782" s="159">
        <f>_xll.xSPRDOPT($L782,$J782,$I782,$M782,$O782,$N782,$P782,$Q782-$C$3,$R782,2)*H782</f>
        <v>131760.94911566621</v>
      </c>
      <c r="W782" s="159">
        <f t="shared" si="983"/>
        <v>-2999.3210752113955</v>
      </c>
      <c r="X782" s="51" t="str">
        <f t="shared" si="984"/>
        <v>36892NGI/CHI. GATE</v>
      </c>
      <c r="Y782" s="418">
        <f t="shared" si="985"/>
        <v>-31</v>
      </c>
      <c r="Z782" s="456">
        <f t="shared" si="986"/>
        <v>0.43471054900283101</v>
      </c>
      <c r="AA782" s="456">
        <f>_xll.xSPRDOPT($L782,$J782,$I782,$M782,$O782,$N782,$P782,$Q782-$C$3,$R782,3)</f>
        <v>2.7753049195088875</v>
      </c>
      <c r="AB782" s="456">
        <f>((_xll.xSPRDOPT($L782+AB$5,$J782,$I782,$M782,$O782,$N782,$P782,$Q782-$C$3,$R782,3)*$H782)/10000)/100</f>
        <v>-0.86034452504775516</v>
      </c>
      <c r="AC782" s="456">
        <f>((_xll.xSPRDOPT($L782+$AB$5,$J782,$I782,$M782,$O782,$N782,$P782,$Q782-$C$3,$R782,7)*$H782)/100)</f>
        <v>24026.691153410487</v>
      </c>
      <c r="AD782" s="456">
        <f>(_xll.xSPRDOPT($L782+$AB$5,$J782,$I782,$M782,$O782,$N782,$P782,$Q782-$C$3,$R782,9)/365)*$H782</f>
        <v>66.841991814918686</v>
      </c>
      <c r="AE782">
        <f t="shared" si="972"/>
        <v>0</v>
      </c>
      <c r="AF782" s="456">
        <f t="shared" si="987"/>
        <v>-277.46542407503352</v>
      </c>
      <c r="AG782" s="456">
        <f>((_xll.xSPRDOPT($L782,$J782,$I782,$M782,$O782,$N782,$P782,$Q782-$C$3,$R782,6)*$H782)/100)</f>
        <v>1049.3219306858516</v>
      </c>
      <c r="AH782" s="456">
        <f>((_xll.xSPRDOPT($L782,$J782,$I782,$M782,$O782,$N782,$P782,$Q782-$C$3,$R782,5)*$H782)/100)</f>
        <v>-1326.7873547608851</v>
      </c>
      <c r="AI782" s="456">
        <f>(((_xll.xSPRDOPT($L782,$J782,$I782,$M782,$O782,$N782,$P782,$Q782-$C$3,$R782,4)*$H782)/10000)/100)-AB782</f>
        <v>5.8110401703533876E-3</v>
      </c>
      <c r="AJ782" s="456"/>
      <c r="CC782" s="141">
        <f t="shared" si="988"/>
        <v>36831</v>
      </c>
      <c r="CD782" s="234">
        <f>_xll.xSPRDOPT((VLOOKUP(G780,NGPrices,2,FALSE)+HLOOKUP(D780,Prices,VLOOKUP(G780,move_down,2,FALSE),FALSE)),VLOOKUP(G780,NGPrices,2,FALSE),I780,VLOOKUP(G780,NGPREVPRICES,4,FALSE),HLOOKUP(D780,PREVVOLS,VLOOKUP(G780,MOVE_DOWN2,2,FALSE),FALSE),VLOOKUP(G780,NGPREVPRICES,3,FALSE),HLOOKUP(D780,Correllate,VLOOKUP(G780,CorMove,2,FALSE),FALSE),Q780-$CD$3,R780,$CD$5)*H780-CJ782</f>
        <v>0</v>
      </c>
      <c r="CE782" s="234">
        <f>_xll.xSPRDOPT((VLOOKUP(G780,NGPREVPRICES,2,FALSE)+HLOOKUP(D780,PREVCURVES,VLOOKUP(G780,MOVE_DOWN2,2,FALSE),FALSE)),VLOOKUP(G780,NGPREVPRICES,2,FALSE),CK782,VLOOKUP(G780,NGPrices,4,FALSE),HLOOKUP(D780,PREVVOLS,VLOOKUP(G780,MOVE_DOWN2,2,FALSE),FALSE),VLOOKUP(G780,NGPREVPRICES,3,FALSE),HLOOKUP(D780,Correllate,VLOOKUP(G780,CorMove,2,FALSE),FALSE),Q780-$CD$3,R780,$CJ$5)*H780-CJ782</f>
        <v>0</v>
      </c>
      <c r="CF782" s="10">
        <f t="shared" si="989"/>
        <v>0.86358376220232458</v>
      </c>
      <c r="CG782" s="234">
        <f>_xll.xSPRDOPT((VLOOKUP(G780,NGPREVPRICES,2,FALSE)+HLOOKUP(D780,PREVCURVES,VLOOKUP(G780,MOVE_DOWN2,2,FALSE),FALSE)),VLOOKUP(G780,NGPREVPRICES,2,FALSE),CK782,VLOOKUP(G780,NGPREVPRICES,4,FALSE),HLOOKUP(D780,VOLS,VLOOKUP(G780,move_down,2,FALSE),FALSE),VLOOKUP(G780,NGPrices,3,FALSE),HLOOKUP(D780,Correllate,VLOOKUP(G780,CorMove,2,FALSE),FALSE),Q780-$CD$3,R780,$CJ$5)*H780-CJ782</f>
        <v>0</v>
      </c>
      <c r="CH782" s="234">
        <f>_xll.xSPRDOPT((VLOOKUP(G780,NGPREVPRICES,2,FALSE)+HLOOKUP(D780,PREVCURVES,VLOOKUP(G780,MOVE_DOWN2,2,FALSE),FALSE)),VLOOKUP(G780,NGPREVPRICES,2,FALSE),CK782,VLOOKUP(G780,NGPREVPRICES,4,FALSE),HLOOKUP(D780,PREVVOLS,VLOOKUP(G780,MOVE_DOWN2,2,FALSE),FALSE),VLOOKUP(G780,NGPREVPRICES,3,FALSE),HLOOKUP(D780,Correllate,VLOOKUP(G780,CorMove,2,FALSE),FALSE),Q780-$C$3,R780,$CJ$5)*H780-CJ782</f>
        <v>75.061380048358842</v>
      </c>
      <c r="CI782" s="234">
        <f t="shared" si="990"/>
        <v>75.924963810561167</v>
      </c>
      <c r="CJ782" s="234">
        <f>_xll.xSPRDOPT((VLOOKUP(G780,NGPREVPRICES,2,FALSE)+HLOOKUP(D780,PREVCURVES,VLOOKUP(G780,MOVE_DOWN2,2,FALSE),FALSE)),VLOOKUP(G780,NGPREVPRICES,2,FALSE),CK782,VLOOKUP(G780,NGPREVPRICES,4,FALSE),HLOOKUP(D780,PREVVOLS,VLOOKUP(G780,MOVE_DOWN2,2,FALSE),FALSE),VLOOKUP(G780,NGPREVPRICES,3,FALSE),HLOOKUP(D780,Correllate,VLOOKUP(G780,CorMove,2,FALSE),FALSE),Q780-$CD$3,R780,$CJ$5)*H780</f>
        <v>-4650.1575587453335</v>
      </c>
      <c r="CK782" s="235">
        <f t="shared" si="991"/>
        <v>0.15</v>
      </c>
      <c r="CM782" t="str">
        <f t="shared" si="992"/>
        <v>36831Curve Shift/Gamma</v>
      </c>
      <c r="CN782" t="str">
        <f t="shared" si="949"/>
        <v>36831Rho</v>
      </c>
      <c r="CO782" t="str">
        <f t="shared" si="950"/>
        <v>36831Drift</v>
      </c>
      <c r="CP782" t="str">
        <f t="shared" si="951"/>
        <v>36831Vega</v>
      </c>
      <c r="CQ782" t="str">
        <f t="shared" si="952"/>
        <v>36831Theta</v>
      </c>
    </row>
    <row r="783" spans="1:95" x14ac:dyDescent="0.25">
      <c r="A783" s="140" t="s">
        <v>363</v>
      </c>
      <c r="B783" t="s">
        <v>250</v>
      </c>
      <c r="C783" t="s">
        <v>610</v>
      </c>
      <c r="D783" s="4" t="s">
        <v>74</v>
      </c>
      <c r="E783" t="s">
        <v>20</v>
      </c>
      <c r="F783" t="s">
        <v>21</v>
      </c>
      <c r="G783" s="5">
        <v>36923</v>
      </c>
      <c r="H783" s="130">
        <v>-280000</v>
      </c>
      <c r="I783" s="235">
        <v>0.15</v>
      </c>
      <c r="J783" s="53">
        <f t="shared" si="973"/>
        <v>4.4800000000000004</v>
      </c>
      <c r="K783" s="7">
        <f t="shared" si="974"/>
        <v>0.13750000000000001</v>
      </c>
      <c r="L783" s="53">
        <f t="shared" si="975"/>
        <v>4.6175000000000006</v>
      </c>
      <c r="M783" s="157">
        <f t="shared" si="976"/>
        <v>6.8640161611372E-2</v>
      </c>
      <c r="N783" s="4">
        <f t="shared" si="977"/>
        <v>0.59250000000000003</v>
      </c>
      <c r="O783" s="4">
        <f t="shared" si="978"/>
        <v>0.59299999999999997</v>
      </c>
      <c r="P783" s="9">
        <f t="shared" si="979"/>
        <v>0.997</v>
      </c>
      <c r="Q783" s="5">
        <f t="shared" si="980"/>
        <v>36921</v>
      </c>
      <c r="R783" s="4">
        <f t="shared" si="981"/>
        <v>1</v>
      </c>
      <c r="S783" s="158">
        <f>_xll.xSPRDOPT($L783,$J783,$I783,$M783,$O783,$N783,$P783,$Q783-$C$3,$R783,0)</f>
        <v>5.1601903862221528E-2</v>
      </c>
      <c r="T783" s="159">
        <f>_xll.xSPRDOPT($L783,$J783,$I783,$M783,$O783,$N783,$P783,$Q783-$C$3,$R783,1)*H783</f>
        <v>-129684.97346307428</v>
      </c>
      <c r="U783" s="160">
        <f t="shared" si="982"/>
        <v>-14448.533081422027</v>
      </c>
      <c r="V783" s="159">
        <f>_xll.xSPRDOPT($L783,$J783,$I783,$M783,$O783,$N783,$P783,$Q783-$C$3,$R783,2)*H783</f>
        <v>126705.48503538528</v>
      </c>
      <c r="W783" s="159">
        <f t="shared" si="983"/>
        <v>-2979.4884276889934</v>
      </c>
      <c r="X783" s="51" t="str">
        <f t="shared" si="984"/>
        <v>36923NGI/CHI. GATE</v>
      </c>
      <c r="Y783" s="418">
        <f t="shared" si="985"/>
        <v>-28</v>
      </c>
      <c r="Z783" s="456">
        <f t="shared" si="986"/>
        <v>0.46316061951097953</v>
      </c>
      <c r="AA783" s="456">
        <f>_xll.xSPRDOPT($L783,$J783,$I783,$M783,$O783,$N783,$P783,$Q783-$C$3,$R783,3)</f>
        <v>2.6234575744327917</v>
      </c>
      <c r="AB783" s="456">
        <f>((_xll.xSPRDOPT($L783+AB$5,$J783,$I783,$M783,$O783,$N783,$P783,$Q783-$C$3,$R783,3)*$H783)/10000)/100</f>
        <v>-0.73456812084118173</v>
      </c>
      <c r="AC783" s="456">
        <f>((_xll.xSPRDOPT($L783+$AB$5,$J783,$I783,$M783,$O783,$N783,$P783,$Q783-$C$3,$R783,7)*$H783)/100)</f>
        <v>22478.122338744019</v>
      </c>
      <c r="AD783" s="456">
        <f>(_xll.xSPRDOPT($L783+$AB$5,$J783,$I783,$M783,$O783,$N783,$P783,$Q783-$C$3,$R783,9)/365)*$H783</f>
        <v>49.695761016680237</v>
      </c>
      <c r="AE783">
        <f t="shared" si="972"/>
        <v>0</v>
      </c>
      <c r="AF783" s="456">
        <f t="shared" si="987"/>
        <v>-272.27200353757894</v>
      </c>
      <c r="AG783" s="456">
        <f>((_xll.xSPRDOPT($L783,$J783,$I783,$M783,$O783,$N783,$P783,$Q783-$C$3,$R783,6)*$H783)/100)</f>
        <v>1095.7600345254891</v>
      </c>
      <c r="AH783" s="456">
        <f>((_xll.xSPRDOPT($L783,$J783,$I783,$M783,$O783,$N783,$P783,$Q783-$C$3,$R783,5)*$H783)/100)</f>
        <v>-1366.8785540512106</v>
      </c>
      <c r="AI783" s="456">
        <f>(((_xll.xSPRDOPT($L783,$J783,$I783,$M783,$O783,$N783,$P783,$Q783-$C$3,$R783,4)*$H783)/10000)/100)-AB783</f>
        <v>2.038904812277198E-3</v>
      </c>
      <c r="AJ783" s="456"/>
      <c r="CC783" s="141">
        <f t="shared" si="988"/>
        <v>36861</v>
      </c>
      <c r="CD783" s="234">
        <f>_xll.xSPRDOPT((VLOOKUP(G781,NGPrices,2,FALSE)+HLOOKUP(D781,Prices,VLOOKUP(G781,move_down,2,FALSE),FALSE)),VLOOKUP(G781,NGPrices,2,FALSE),I781,VLOOKUP(G781,NGPREVPRICES,4,FALSE),HLOOKUP(D781,PREVVOLS,VLOOKUP(G781,MOVE_DOWN2,2,FALSE),FALSE),VLOOKUP(G781,NGPREVPRICES,3,FALSE),HLOOKUP(D781,Correllate,VLOOKUP(G781,CorMove,2,FALSE),FALSE),Q781-$CD$3,R781,$CD$5)*H781-CJ783</f>
        <v>0</v>
      </c>
      <c r="CE783" s="234">
        <f>_xll.xSPRDOPT((VLOOKUP(G781,NGPREVPRICES,2,FALSE)+HLOOKUP(D781,PREVCURVES,VLOOKUP(G781,MOVE_DOWN2,2,FALSE),FALSE)),VLOOKUP(G781,NGPREVPRICES,2,FALSE),CK783,VLOOKUP(G781,NGPrices,4,FALSE),HLOOKUP(D781,PREVVOLS,VLOOKUP(G781,MOVE_DOWN2,2,FALSE),FALSE),VLOOKUP(G781,NGPREVPRICES,3,FALSE),HLOOKUP(D781,Correllate,VLOOKUP(G781,CorMove,2,FALSE),FALSE),Q781-$CD$3,R781,$CJ$5)*H781-CJ783</f>
        <v>0</v>
      </c>
      <c r="CF783" s="10">
        <f t="shared" si="989"/>
        <v>1.5878673379502288</v>
      </c>
      <c r="CG783" s="234">
        <f>_xll.xSPRDOPT((VLOOKUP(G781,NGPREVPRICES,2,FALSE)+HLOOKUP(D781,PREVCURVES,VLOOKUP(G781,MOVE_DOWN2,2,FALSE),FALSE)),VLOOKUP(G781,NGPREVPRICES,2,FALSE),CK783,VLOOKUP(G781,NGPREVPRICES,4,FALSE),HLOOKUP(D781,VOLS,VLOOKUP(G781,move_down,2,FALSE),FALSE),VLOOKUP(G781,NGPrices,3,FALSE),HLOOKUP(D781,Correllate,VLOOKUP(G781,CorMove,2,FALSE),FALSE),Q781-$CD$3,R781,$CJ$5)*H781-CJ783</f>
        <v>0</v>
      </c>
      <c r="CH783" s="234">
        <f>_xll.xSPRDOPT((VLOOKUP(G781,NGPREVPRICES,2,FALSE)+HLOOKUP(D781,PREVCURVES,VLOOKUP(G781,MOVE_DOWN2,2,FALSE),FALSE)),VLOOKUP(G781,NGPREVPRICES,2,FALSE),CK783,VLOOKUP(G781,NGPREVPRICES,4,FALSE),HLOOKUP(D781,PREVVOLS,VLOOKUP(G781,MOVE_DOWN2,2,FALSE),FALSE),VLOOKUP(G781,NGPREVPRICES,3,FALSE),HLOOKUP(D781,Correllate,VLOOKUP(G781,CorMove,2,FALSE),FALSE),Q781-$C$3,R781,$CJ$5)*H781-CJ783</f>
        <v>72.388126485495377</v>
      </c>
      <c r="CI783" s="234">
        <f t="shared" si="990"/>
        <v>73.975993823445606</v>
      </c>
      <c r="CJ783" s="234">
        <f>_xll.xSPRDOPT((VLOOKUP(G781,NGPREVPRICES,2,FALSE)+HLOOKUP(D781,PREVCURVES,VLOOKUP(G781,MOVE_DOWN2,2,FALSE),FALSE)),VLOOKUP(G781,NGPREVPRICES,2,FALSE),CK783,VLOOKUP(G781,NGPREVPRICES,4,FALSE),HLOOKUP(D781,PREVVOLS,VLOOKUP(G781,MOVE_DOWN2,2,FALSE),FALSE),VLOOKUP(G781,NGPREVPRICES,3,FALSE),HLOOKUP(D781,Correllate,VLOOKUP(G781,CorMove,2,FALSE),FALSE),Q781-$CD$3,R781,$CJ$5)*H781</f>
        <v>-8475.9519561765992</v>
      </c>
      <c r="CK783" s="235">
        <f t="shared" si="991"/>
        <v>0.15</v>
      </c>
      <c r="CM783" t="str">
        <f t="shared" si="992"/>
        <v>36861Curve Shift/Gamma</v>
      </c>
      <c r="CN783" t="str">
        <f t="shared" si="949"/>
        <v>36861Rho</v>
      </c>
      <c r="CO783" t="str">
        <f t="shared" si="950"/>
        <v>36861Drift</v>
      </c>
      <c r="CP783" t="str">
        <f t="shared" si="951"/>
        <v>36861Vega</v>
      </c>
      <c r="CQ783" t="str">
        <f t="shared" si="952"/>
        <v>36861Theta</v>
      </c>
    </row>
    <row r="784" spans="1:95" x14ac:dyDescent="0.25">
      <c r="A784" s="140" t="s">
        <v>363</v>
      </c>
      <c r="B784" t="s">
        <v>250</v>
      </c>
      <c r="C784" t="s">
        <v>610</v>
      </c>
      <c r="D784" s="4" t="s">
        <v>74</v>
      </c>
      <c r="E784" t="s">
        <v>20</v>
      </c>
      <c r="F784" t="s">
        <v>21</v>
      </c>
      <c r="G784" s="5">
        <v>36951</v>
      </c>
      <c r="H784" s="130">
        <v>-310000</v>
      </c>
      <c r="I784" s="235">
        <v>0.15</v>
      </c>
      <c r="J784" s="53">
        <f t="shared" si="973"/>
        <v>4.2130000000000001</v>
      </c>
      <c r="K784" s="7">
        <f t="shared" si="974"/>
        <v>0.1225</v>
      </c>
      <c r="L784" s="53">
        <f t="shared" si="975"/>
        <v>4.3354999999999997</v>
      </c>
      <c r="M784" s="157">
        <f t="shared" si="976"/>
        <v>6.8879814952706994E-2</v>
      </c>
      <c r="N784" s="4">
        <f t="shared" si="977"/>
        <v>0.53249999999999997</v>
      </c>
      <c r="O784" s="4">
        <f t="shared" si="978"/>
        <v>0.53300000000000003</v>
      </c>
      <c r="P784" s="9">
        <f t="shared" si="979"/>
        <v>0.997</v>
      </c>
      <c r="Q784" s="5">
        <f t="shared" si="980"/>
        <v>36949</v>
      </c>
      <c r="R784" s="4">
        <f t="shared" si="981"/>
        <v>1</v>
      </c>
      <c r="S784" s="158">
        <f>_xll.xSPRDOPT($L784,$J784,$I784,$M784,$O784,$N784,$P784,$Q784-$C$3,$R784,0)</f>
        <v>4.0723005471356676E-2</v>
      </c>
      <c r="T784" s="159">
        <f>_xll.xSPRDOPT($L784,$J784,$I784,$M784,$O784,$N784,$P784,$Q784-$C$3,$R784,1)*H784</f>
        <v>-129142.3326287871</v>
      </c>
      <c r="U784" s="160">
        <f t="shared" si="982"/>
        <v>-12624.13169612057</v>
      </c>
      <c r="V784" s="159">
        <f>_xll.xSPRDOPT($L784,$J784,$I784,$M784,$O784,$N784,$P784,$Q784-$C$3,$R784,2)*H784</f>
        <v>126003.54028048414</v>
      </c>
      <c r="W784" s="159">
        <f t="shared" si="983"/>
        <v>-3138.792348302959</v>
      </c>
      <c r="X784" s="51" t="str">
        <f t="shared" si="984"/>
        <v>36951NGI/CHI. GATE</v>
      </c>
      <c r="Y784" s="418">
        <f t="shared" si="985"/>
        <v>-31</v>
      </c>
      <c r="Z784" s="456">
        <f t="shared" si="986"/>
        <v>0.41658816977028096</v>
      </c>
      <c r="AA784" s="456">
        <f>_xll.xSPRDOPT($L784,$J784,$I784,$M784,$O784,$N784,$P784,$Q784-$C$3,$R784,3)</f>
        <v>2.7889064827494936</v>
      </c>
      <c r="AB784" s="456">
        <f>((_xll.xSPRDOPT($L784+AB$5,$J784,$I784,$M784,$O784,$N784,$P784,$Q784-$C$3,$R784,3)*$H784)/10000)/100</f>
        <v>-0.86456100965234295</v>
      </c>
      <c r="AC784" s="456">
        <f>((_xll.xSPRDOPT($L784+$AB$5,$J784,$I784,$M784,$O784,$N784,$P784,$Q784-$C$3,$R784,7)*$H784)/100)</f>
        <v>22234.401221537912</v>
      </c>
      <c r="AD784" s="456">
        <f>(_xll.xSPRDOPT($L784+$AB$5,$J784,$I784,$M784,$O784,$N784,$P784,$Q784-$C$3,$R784,9)/365)*$H784</f>
        <v>42.11028502579304</v>
      </c>
      <c r="AE784">
        <f t="shared" si="972"/>
        <v>0</v>
      </c>
      <c r="AF784" s="456">
        <f t="shared" si="987"/>
        <v>-303.92905502284043</v>
      </c>
      <c r="AG784" s="456">
        <f>((_xll.xSPRDOPT($L784,$J784,$I784,$M784,$O784,$N784,$P784,$Q784-$C$3,$R784,6)*$H784)/100)</f>
        <v>1267.2249174562569</v>
      </c>
      <c r="AH784" s="456">
        <f>((_xll.xSPRDOPT($L784,$J784,$I784,$M784,$O784,$N784,$P784,$Q784-$C$3,$R784,5)*$H784)/100)</f>
        <v>-1569.6800944561335</v>
      </c>
      <c r="AI784" s="456">
        <f>(((_xll.xSPRDOPT($L784,$J784,$I784,$M784,$O784,$N784,$P784,$Q784-$C$3,$R784,4)*$H784)/10000)/100)-AB784</f>
        <v>7.5381765969205761E-3</v>
      </c>
      <c r="AJ784" s="456"/>
      <c r="CC784" s="141">
        <f t="shared" si="988"/>
        <v>36892</v>
      </c>
      <c r="CD784" s="234">
        <f>_xll.xSPRDOPT((VLOOKUP(G782,NGPrices,2,FALSE)+HLOOKUP(D782,Prices,VLOOKUP(G782,move_down,2,FALSE),FALSE)),VLOOKUP(G782,NGPrices,2,FALSE),I782,VLOOKUP(G782,NGPREVPRICES,4,FALSE),HLOOKUP(D782,PREVVOLS,VLOOKUP(G782,MOVE_DOWN2,2,FALSE),FALSE),VLOOKUP(G782,NGPREVPRICES,3,FALSE),HLOOKUP(D782,Correllate,VLOOKUP(G782,CorMove,2,FALSE),FALSE),Q782-$CD$3,R782,$CD$5)*H782-CJ784</f>
        <v>0</v>
      </c>
      <c r="CE784" s="234">
        <f>_xll.xSPRDOPT((VLOOKUP(G782,NGPREVPRICES,2,FALSE)+HLOOKUP(D782,PREVCURVES,VLOOKUP(G782,MOVE_DOWN2,2,FALSE),FALSE)),VLOOKUP(G782,NGPREVPRICES,2,FALSE),CK784,VLOOKUP(G782,NGPrices,4,FALSE),HLOOKUP(D782,PREVVOLS,VLOOKUP(G782,MOVE_DOWN2,2,FALSE),FALSE),VLOOKUP(G782,NGPREVPRICES,3,FALSE),HLOOKUP(D782,Correllate,VLOOKUP(G782,CorMove,2,FALSE),FALSE),Q782-$CD$3,R782,$CJ$5)*H782-CJ784</f>
        <v>0</v>
      </c>
      <c r="CF784" s="10">
        <f t="shared" si="989"/>
        <v>2.5997236788643932</v>
      </c>
      <c r="CG784" s="234">
        <f>_xll.xSPRDOPT((VLOOKUP(G782,NGPREVPRICES,2,FALSE)+HLOOKUP(D782,PREVCURVES,VLOOKUP(G782,MOVE_DOWN2,2,FALSE),FALSE)),VLOOKUP(G782,NGPREVPRICES,2,FALSE),CK784,VLOOKUP(G782,NGPREVPRICES,4,FALSE),HLOOKUP(D782,VOLS,VLOOKUP(G782,move_down,2,FALSE),FALSE),VLOOKUP(G782,NGPrices,3,FALSE),HLOOKUP(D782,Correllate,VLOOKUP(G782,CorMove,2,FALSE),FALSE),Q782-$CD$3,R782,$CJ$5)*H782-CJ784</f>
        <v>0</v>
      </c>
      <c r="CH784" s="234">
        <f>_xll.xSPRDOPT((VLOOKUP(G782,NGPREVPRICES,2,FALSE)+HLOOKUP(D782,PREVCURVES,VLOOKUP(G782,MOVE_DOWN2,2,FALSE),FALSE)),VLOOKUP(G782,NGPREVPRICES,2,FALSE),CK784,VLOOKUP(G782,NGPREVPRICES,4,FALSE),HLOOKUP(D782,PREVVOLS,VLOOKUP(G782,MOVE_DOWN2,2,FALSE),FALSE),VLOOKUP(G782,NGPREVPRICES,3,FALSE),HLOOKUP(D782,Correllate,VLOOKUP(G782,CorMove,2,FALSE),FALSE),Q782-$C$3,R782,$CJ$5)*H782-CJ784</f>
        <v>66.6465292064604</v>
      </c>
      <c r="CI784" s="234">
        <f t="shared" si="990"/>
        <v>69.246252885324793</v>
      </c>
      <c r="CJ784" s="234">
        <f>_xll.xSPRDOPT((VLOOKUP(G782,NGPREVPRICES,2,FALSE)+HLOOKUP(D782,PREVCURVES,VLOOKUP(G782,MOVE_DOWN2,2,FALSE),FALSE)),VLOOKUP(G782,NGPREVPRICES,2,FALSE),CK784,VLOOKUP(G782,NGPREVPRICES,4,FALSE),HLOOKUP(D782,PREVVOLS,VLOOKUP(G782,MOVE_DOWN2,2,FALSE),FALSE),VLOOKUP(G782,NGPREVPRICES,3,FALSE),HLOOKUP(D782,Correllate,VLOOKUP(G782,CorMove,2,FALSE),FALSE),Q782-$CD$3,R782,$CJ$5)*H782</f>
        <v>-13795.943631902166</v>
      </c>
      <c r="CK784" s="235">
        <f t="shared" si="991"/>
        <v>0.15</v>
      </c>
      <c r="CM784" t="str">
        <f t="shared" si="992"/>
        <v>36892Curve Shift/Gamma</v>
      </c>
      <c r="CN784" t="str">
        <f t="shared" si="949"/>
        <v>36892Rho</v>
      </c>
      <c r="CO784" t="str">
        <f t="shared" si="950"/>
        <v>36892Drift</v>
      </c>
      <c r="CP784" t="str">
        <f t="shared" si="951"/>
        <v>36892Vega</v>
      </c>
      <c r="CQ784" t="str">
        <f t="shared" si="952"/>
        <v>36892Theta</v>
      </c>
    </row>
    <row r="785" spans="1:95" x14ac:dyDescent="0.25">
      <c r="A785" s="140" t="s">
        <v>279</v>
      </c>
      <c r="B785" t="s">
        <v>250</v>
      </c>
      <c r="C785" t="s">
        <v>611</v>
      </c>
      <c r="D785" s="4" t="s">
        <v>190</v>
      </c>
      <c r="E785" t="s">
        <v>20</v>
      </c>
      <c r="F785" t="s">
        <v>21</v>
      </c>
      <c r="G785" s="5">
        <v>36831</v>
      </c>
      <c r="H785" s="130">
        <v>-1000000</v>
      </c>
      <c r="I785" s="235">
        <v>1</v>
      </c>
      <c r="J785" s="53">
        <f t="shared" si="973"/>
        <v>4.7359999999999998</v>
      </c>
      <c r="K785" s="7">
        <f t="shared" si="974"/>
        <v>1.5449999999999999</v>
      </c>
      <c r="L785" s="53">
        <f t="shared" si="975"/>
        <v>6.2809999999999997</v>
      </c>
      <c r="M785" s="157">
        <f t="shared" si="976"/>
        <v>6.810675983792E-2</v>
      </c>
      <c r="N785" s="4">
        <f t="shared" si="977"/>
        <v>0.59499999999999997</v>
      </c>
      <c r="O785" s="4">
        <f t="shared" si="978"/>
        <v>0.57699999999999996</v>
      </c>
      <c r="P785" s="9">
        <f t="shared" si="979"/>
        <v>0.85</v>
      </c>
      <c r="Q785" s="5">
        <f t="shared" si="980"/>
        <v>36829</v>
      </c>
      <c r="R785" s="4">
        <f t="shared" si="981"/>
        <v>1</v>
      </c>
      <c r="S785" s="158">
        <f>_xll.xSPRDOPT($L785,$J785,$I785,$M785,$O785,$N785,$P785,$Q785-$C$3,$R785,0)</f>
        <v>0.64067775018337225</v>
      </c>
      <c r="T785" s="159">
        <f>_xll.xSPRDOPT($L785,$J785,$I785,$M785,$O785,$N785,$P785,$Q785-$C$3,$R785,1)*H785</f>
        <v>-775245.8560785572</v>
      </c>
      <c r="U785" s="160">
        <f t="shared" si="982"/>
        <v>-640677.75018337229</v>
      </c>
      <c r="V785" s="159">
        <f>_xll.xSPRDOPT($L785,$J785,$I785,$M785,$O785,$N785,$P785,$Q785-$C$3,$R785,2)*H785</f>
        <v>737253.02250953135</v>
      </c>
      <c r="W785" s="159">
        <f t="shared" si="983"/>
        <v>-37992.833569025854</v>
      </c>
      <c r="X785" s="51" t="str">
        <f t="shared" si="984"/>
        <v>36831NGI-SOCAL</v>
      </c>
      <c r="Y785" s="418">
        <f t="shared" si="985"/>
        <v>-100</v>
      </c>
      <c r="Z785" s="456">
        <f t="shared" si="986"/>
        <v>0.77524585607855723</v>
      </c>
      <c r="AA785" s="456">
        <f>_xll.xSPRDOPT($L785,$J785,$I785,$M785,$O785,$N785,$P785,$Q785-$C$3,$R785,3)</f>
        <v>0.3674716764564091</v>
      </c>
      <c r="AB785" s="456">
        <f>((_xll.xSPRDOPT($L785+AB$5,$J785,$I785,$M785,$O785,$N785,$P785,$Q785-$C$3,$R785,3)*$H785)/10000)/100</f>
        <v>-0.36747167645640905</v>
      </c>
      <c r="AC785" s="456">
        <f>((_xll.xSPRDOPT($L785+$AB$5,$J785,$I785,$M785,$O785,$N785,$P785,$Q785-$C$3,$R785,7)*$H785)/100)</f>
        <v>6975.1708184816262</v>
      </c>
      <c r="AD785" s="456">
        <f>(_xll.xSPRDOPT($L785+$AB$5,$J785,$I785,$M785,$O785,$N785,$P785,$Q785-$C$3,$R785,9)/365)*$H785</f>
        <v>1724.3804223398863</v>
      </c>
      <c r="AE785">
        <f t="shared" si="972"/>
        <v>0</v>
      </c>
      <c r="AF785" s="456">
        <f t="shared" si="987"/>
        <v>-3840.1754944597947</v>
      </c>
      <c r="AG785" s="456">
        <f>((_xll.xSPRDOPT($L785,$J785,$I785,$M785,$O785,$N785,$P785,$Q785-$C$3,$R785,6)*$H785)/100)</f>
        <v>-35.134622135337651</v>
      </c>
      <c r="AH785" s="456">
        <f>((_xll.xSPRDOPT($L785,$J785,$I785,$M785,$O785,$N785,$P785,$Q785-$C$3,$R785,5)*$H785)/100)</f>
        <v>-3923.7423206811991</v>
      </c>
      <c r="AI785" s="456">
        <f>(((_xll.xSPRDOPT($L785,$J785,$I785,$M785,$O785,$N785,$P785,$Q785-$C$3,$R785,4)*$H785)/10000)/100)-AB785</f>
        <v>-7.3936912425314916E-2</v>
      </c>
      <c r="AJ785" s="456"/>
      <c r="CC785" s="141">
        <f t="shared" si="988"/>
        <v>36923</v>
      </c>
      <c r="CD785" s="234">
        <f>_xll.xSPRDOPT((VLOOKUP(G783,NGPrices,2,FALSE)+HLOOKUP(D783,Prices,VLOOKUP(G783,move_down,2,FALSE),FALSE)),VLOOKUP(G783,NGPrices,2,FALSE),I783,VLOOKUP(G783,NGPREVPRICES,4,FALSE),HLOOKUP(D783,PREVVOLS,VLOOKUP(G783,MOVE_DOWN2,2,FALSE),FALSE),VLOOKUP(G783,NGPREVPRICES,3,FALSE),HLOOKUP(D783,Correllate,VLOOKUP(G783,CorMove,2,FALSE),FALSE),Q783-$CD$3,R783,$CD$5)*H783-CJ785</f>
        <v>0</v>
      </c>
      <c r="CE785" s="234">
        <f>_xll.xSPRDOPT((VLOOKUP(G783,NGPREVPRICES,2,FALSE)+HLOOKUP(D783,PREVCURVES,VLOOKUP(G783,MOVE_DOWN2,2,FALSE),FALSE)),VLOOKUP(G783,NGPREVPRICES,2,FALSE),CK785,VLOOKUP(G783,NGPrices,4,FALSE),HLOOKUP(D783,PREVVOLS,VLOOKUP(G783,MOVE_DOWN2,2,FALSE),FALSE),VLOOKUP(G783,NGPREVPRICES,3,FALSE),HLOOKUP(D783,Correllate,VLOOKUP(G783,CorMove,2,FALSE),FALSE),Q783-$CD$3,R783,$CJ$5)*H783-CJ785</f>
        <v>0</v>
      </c>
      <c r="CF785" s="10">
        <f t="shared" si="989"/>
        <v>2.7573718849689612</v>
      </c>
      <c r="CG785" s="234">
        <f>_xll.xSPRDOPT((VLOOKUP(G783,NGPREVPRICES,2,FALSE)+HLOOKUP(D783,PREVCURVES,VLOOKUP(G783,MOVE_DOWN2,2,FALSE),FALSE)),VLOOKUP(G783,NGPREVPRICES,2,FALSE),CK785,VLOOKUP(G783,NGPREVPRICES,4,FALSE),HLOOKUP(D783,VOLS,VLOOKUP(G783,move_down,2,FALSE),FALSE),VLOOKUP(G783,NGPrices,3,FALSE),HLOOKUP(D783,Correllate,VLOOKUP(G783,CorMove,2,FALSE),FALSE),Q783-$CD$3,R783,$CJ$5)*H783-CJ785</f>
        <v>0</v>
      </c>
      <c r="CH785" s="234">
        <f>_xll.xSPRDOPT((VLOOKUP(G783,NGPREVPRICES,2,FALSE)+HLOOKUP(D783,PREVCURVES,VLOOKUP(G783,MOVE_DOWN2,2,FALSE),FALSE)),VLOOKUP(G783,NGPREVPRICES,2,FALSE),CK785,VLOOKUP(G783,NGPREVPRICES,4,FALSE),HLOOKUP(D783,PREVVOLS,VLOOKUP(G783,MOVE_DOWN2,2,FALSE),FALSE),VLOOKUP(G783,NGPREVPRICES,3,FALSE),HLOOKUP(D783,Correllate,VLOOKUP(G783,CorMove,2,FALSE),FALSE),Q783-$C$3,R783,$CJ$5)*H783-CJ785</f>
        <v>49.569479386060266</v>
      </c>
      <c r="CI785" s="234">
        <f t="shared" si="990"/>
        <v>52.326851271029227</v>
      </c>
      <c r="CJ785" s="234">
        <f>_xll.xSPRDOPT((VLOOKUP(G783,NGPREVPRICES,2,FALSE)+HLOOKUP(D783,PREVCURVES,VLOOKUP(G783,MOVE_DOWN2,2,FALSE),FALSE)),VLOOKUP(G783,NGPREVPRICES,2,FALSE),CK785,VLOOKUP(G783,NGPREVPRICES,4,FALSE),HLOOKUP(D783,PREVVOLS,VLOOKUP(G783,MOVE_DOWN2,2,FALSE),FALSE),VLOOKUP(G783,NGPREVPRICES,3,FALSE),HLOOKUP(D783,Correllate,VLOOKUP(G783,CorMove,2,FALSE),FALSE),Q783-$CD$3,R783,$CJ$5)*H783</f>
        <v>-14498.102560808087</v>
      </c>
      <c r="CK785" s="235">
        <f t="shared" si="991"/>
        <v>0.15</v>
      </c>
      <c r="CM785" t="str">
        <f t="shared" si="992"/>
        <v>36923Curve Shift/Gamma</v>
      </c>
      <c r="CN785" t="str">
        <f t="shared" si="949"/>
        <v>36923Rho</v>
      </c>
      <c r="CO785" t="str">
        <f t="shared" si="950"/>
        <v>36923Drift</v>
      </c>
      <c r="CP785" t="str">
        <f t="shared" si="951"/>
        <v>36923Vega</v>
      </c>
      <c r="CQ785" t="str">
        <f t="shared" si="952"/>
        <v>36923Theta</v>
      </c>
    </row>
    <row r="786" spans="1:95" x14ac:dyDescent="0.25">
      <c r="A786" s="140" t="s">
        <v>279</v>
      </c>
      <c r="B786" t="s">
        <v>250</v>
      </c>
      <c r="C786" t="s">
        <v>611</v>
      </c>
      <c r="D786" s="4" t="s">
        <v>190</v>
      </c>
      <c r="E786" t="s">
        <v>20</v>
      </c>
      <c r="F786" t="s">
        <v>21</v>
      </c>
      <c r="G786" s="5">
        <v>36861</v>
      </c>
      <c r="H786" s="130">
        <v>-1000000</v>
      </c>
      <c r="I786" s="235">
        <v>1</v>
      </c>
      <c r="J786" s="53">
        <f t="shared" si="973"/>
        <v>4.8</v>
      </c>
      <c r="K786" s="7">
        <f t="shared" si="974"/>
        <v>1.0049999999999999</v>
      </c>
      <c r="L786" s="53">
        <f t="shared" si="975"/>
        <v>5.8049999999999997</v>
      </c>
      <c r="M786" s="157">
        <f t="shared" si="976"/>
        <v>6.8314027999354002E-2</v>
      </c>
      <c r="N786" s="4">
        <f t="shared" si="977"/>
        <v>0.6</v>
      </c>
      <c r="O786" s="4">
        <f t="shared" si="978"/>
        <v>0.58199999999999996</v>
      </c>
      <c r="P786" s="9">
        <f t="shared" si="979"/>
        <v>0.85</v>
      </c>
      <c r="Q786" s="5">
        <f t="shared" si="980"/>
        <v>36859</v>
      </c>
      <c r="R786" s="4">
        <f t="shared" si="981"/>
        <v>1</v>
      </c>
      <c r="S786" s="158">
        <f>_xll.xSPRDOPT($L786,$J786,$I786,$M786,$O786,$N786,$P786,$Q786-$C$3,$R786,0)</f>
        <v>0.35284963754925941</v>
      </c>
      <c r="T786" s="159">
        <f>_xll.xSPRDOPT($L786,$J786,$I786,$M786,$O786,$N786,$P786,$Q786-$C$3,$R786,1)*H786</f>
        <v>-523886.66300093179</v>
      </c>
      <c r="U786" s="160">
        <f t="shared" si="982"/>
        <v>-352849.63754925941</v>
      </c>
      <c r="V786" s="159">
        <f>_xll.xSPRDOPT($L786,$J786,$I786,$M786,$O786,$N786,$P786,$Q786-$C$3,$R786,2)*H786</f>
        <v>463542.61160102446</v>
      </c>
      <c r="W786" s="159">
        <f t="shared" si="983"/>
        <v>-60344.05139990733</v>
      </c>
      <c r="X786" s="51" t="str">
        <f t="shared" si="984"/>
        <v>36861NGI-SOCAL</v>
      </c>
      <c r="Y786" s="418">
        <f t="shared" si="985"/>
        <v>-100</v>
      </c>
      <c r="Z786" s="456">
        <f t="shared" si="986"/>
        <v>0.52388666300093178</v>
      </c>
      <c r="AA786" s="456">
        <f>_xll.xSPRDOPT($L786,$J786,$I786,$M786,$O786,$N786,$P786,$Q786-$C$3,$R786,3)</f>
        <v>0.43674887122532752</v>
      </c>
      <c r="AB786" s="456">
        <f>((_xll.xSPRDOPT($L786+AB$5,$J786,$I786,$M786,$O786,$N786,$P786,$Q786-$C$3,$R786,3)*$H786)/10000)/100</f>
        <v>-0.43674887122532752</v>
      </c>
      <c r="AC786" s="456">
        <f>((_xll.xSPRDOPT($L786+$AB$5,$J786,$I786,$M786,$O786,$N786,$P786,$Q786-$C$3,$R786,7)*$H786)/100)</f>
        <v>10713.766650859114</v>
      </c>
      <c r="AD786" s="456">
        <f>(_xll.xSPRDOPT($L786+$AB$5,$J786,$I786,$M786,$O786,$N786,$P786,$Q786-$C$3,$R786,9)/365)*$H786</f>
        <v>1842.3753979552323</v>
      </c>
      <c r="AE786">
        <f t="shared" si="972"/>
        <v>0</v>
      </c>
      <c r="AF786" s="456">
        <f t="shared" si="987"/>
        <v>-5848.4678874124156</v>
      </c>
      <c r="AG786" s="456">
        <f>((_xll.xSPRDOPT($L786,$J786,$I786,$M786,$O786,$N786,$P786,$Q786-$C$3,$R786,6)*$H786)/100)</f>
        <v>-98.242541731803868</v>
      </c>
      <c r="AH786" s="456">
        <f>((_xll.xSPRDOPT($L786,$J786,$I786,$M786,$O786,$N786,$P786,$Q786-$C$3,$R786,5)*$H786)/100)</f>
        <v>-5928.0673666810435</v>
      </c>
      <c r="AI786" s="456">
        <f>(((_xll.xSPRDOPT($L786,$J786,$I786,$M786,$O786,$N786,$P786,$Q786-$C$3,$R786,4)*$H786)/10000)/100)-AB786</f>
        <v>-1.9659111265016849E-3</v>
      </c>
      <c r="AJ786" s="456"/>
      <c r="CC786" s="141">
        <f t="shared" si="988"/>
        <v>36951</v>
      </c>
      <c r="CD786" s="234">
        <f>_xll.xSPRDOPT((VLOOKUP(G784,NGPrices,2,FALSE)+HLOOKUP(D784,Prices,VLOOKUP(G784,move_down,2,FALSE),FALSE)),VLOOKUP(G784,NGPrices,2,FALSE),I784,VLOOKUP(G784,NGPREVPRICES,4,FALSE),HLOOKUP(D784,PREVVOLS,VLOOKUP(G784,MOVE_DOWN2,2,FALSE),FALSE),VLOOKUP(G784,NGPREVPRICES,3,FALSE),HLOOKUP(D784,Correllate,VLOOKUP(G784,CorMove,2,FALSE),FALSE),Q784-$CD$3,R784,$CD$5)*H784-CJ786</f>
        <v>0</v>
      </c>
      <c r="CE786" s="234">
        <f>_xll.xSPRDOPT((VLOOKUP(G784,NGPREVPRICES,2,FALSE)+HLOOKUP(D784,PREVCURVES,VLOOKUP(G784,MOVE_DOWN2,2,FALSE),FALSE)),VLOOKUP(G784,NGPREVPRICES,2,FALSE),CK786,VLOOKUP(G784,NGPrices,4,FALSE),HLOOKUP(D784,PREVVOLS,VLOOKUP(G784,MOVE_DOWN2,2,FALSE),FALSE),VLOOKUP(G784,NGPREVPRICES,3,FALSE),HLOOKUP(D784,Correllate,VLOOKUP(G784,CorMove,2,FALSE),FALSE),Q784-$CD$3,R784,$CJ$5)*H784-CJ786</f>
        <v>0</v>
      </c>
      <c r="CF786" s="10">
        <f t="shared" si="989"/>
        <v>2.4291778175029322</v>
      </c>
      <c r="CG786" s="234">
        <f>_xll.xSPRDOPT((VLOOKUP(G784,NGPREVPRICES,2,FALSE)+HLOOKUP(D784,PREVCURVES,VLOOKUP(G784,MOVE_DOWN2,2,FALSE),FALSE)),VLOOKUP(G784,NGPREVPRICES,2,FALSE),CK786,VLOOKUP(G784,NGPREVPRICES,4,FALSE),HLOOKUP(D784,VOLS,VLOOKUP(G784,move_down,2,FALSE),FALSE),VLOOKUP(G784,NGPrices,3,FALSE),HLOOKUP(D784,Correllate,VLOOKUP(G784,CorMove,2,FALSE),FALSE),Q784-$CD$3,R784,$CJ$5)*H784-CJ786</f>
        <v>0</v>
      </c>
      <c r="CH786" s="234">
        <f>_xll.xSPRDOPT((VLOOKUP(G784,NGPREVPRICES,2,FALSE)+HLOOKUP(D784,PREVCURVES,VLOOKUP(G784,MOVE_DOWN2,2,FALSE),FALSE)),VLOOKUP(G784,NGPREVPRICES,2,FALSE),CK786,VLOOKUP(G784,NGPREVPRICES,4,FALSE),HLOOKUP(D784,PREVVOLS,VLOOKUP(G784,MOVE_DOWN2,2,FALSE),FALSE),VLOOKUP(G784,NGPREVPRICES,3,FALSE),HLOOKUP(D784,Correllate,VLOOKUP(G784,CorMove,2,FALSE),FALSE),Q784-$C$3,R784,$CJ$5)*H784-CJ786</f>
        <v>42.015864445211264</v>
      </c>
      <c r="CI786" s="234">
        <f t="shared" si="990"/>
        <v>44.445042262714196</v>
      </c>
      <c r="CJ786" s="234">
        <f>_xll.xSPRDOPT((VLOOKUP(G784,NGPREVPRICES,2,FALSE)+HLOOKUP(D784,PREVCURVES,VLOOKUP(G784,MOVE_DOWN2,2,FALSE),FALSE)),VLOOKUP(G784,NGPREVPRICES,2,FALSE),CK786,VLOOKUP(G784,NGPREVPRICES,4,FALSE),HLOOKUP(D784,PREVVOLS,VLOOKUP(G784,MOVE_DOWN2,2,FALSE),FALSE),VLOOKUP(G784,NGPREVPRICES,3,FALSE),HLOOKUP(D784,Correllate,VLOOKUP(G784,CorMove,2,FALSE),FALSE),Q784-$CD$3,R784,$CJ$5)*H784</f>
        <v>-12666.147560565782</v>
      </c>
      <c r="CK786" s="235">
        <f t="shared" si="991"/>
        <v>0.15</v>
      </c>
      <c r="CM786" t="str">
        <f t="shared" si="992"/>
        <v>36951Curve Shift/Gamma</v>
      </c>
      <c r="CN786" t="str">
        <f t="shared" si="949"/>
        <v>36951Rho</v>
      </c>
      <c r="CO786" t="str">
        <f t="shared" si="950"/>
        <v>36951Drift</v>
      </c>
      <c r="CP786" t="str">
        <f t="shared" si="951"/>
        <v>36951Vega</v>
      </c>
      <c r="CQ786" t="str">
        <f t="shared" si="952"/>
        <v>36951Theta</v>
      </c>
    </row>
    <row r="787" spans="1:95" x14ac:dyDescent="0.25">
      <c r="A787" s="140" t="s">
        <v>279</v>
      </c>
      <c r="B787" t="s">
        <v>250</v>
      </c>
      <c r="C787" t="s">
        <v>611</v>
      </c>
      <c r="D787" s="4" t="s">
        <v>190</v>
      </c>
      <c r="E787" t="s">
        <v>20</v>
      </c>
      <c r="F787" t="s">
        <v>21</v>
      </c>
      <c r="G787" s="5">
        <v>36892</v>
      </c>
      <c r="H787" s="130">
        <v>-1000000</v>
      </c>
      <c r="I787" s="235">
        <v>1</v>
      </c>
      <c r="J787" s="53">
        <f t="shared" si="973"/>
        <v>4.7439999999999998</v>
      </c>
      <c r="K787" s="7">
        <f t="shared" si="974"/>
        <v>0.76749999999999996</v>
      </c>
      <c r="L787" s="53">
        <f t="shared" si="975"/>
        <v>5.5114999999999998</v>
      </c>
      <c r="M787" s="157">
        <f t="shared" si="976"/>
        <v>6.8374831148490994E-2</v>
      </c>
      <c r="N787" s="4">
        <f t="shared" si="977"/>
        <v>0.60499999999999998</v>
      </c>
      <c r="O787" s="4">
        <f t="shared" si="978"/>
        <v>0.58699999999999997</v>
      </c>
      <c r="P787" s="9">
        <f t="shared" si="979"/>
        <v>0.85</v>
      </c>
      <c r="Q787" s="5">
        <f t="shared" si="980"/>
        <v>36888</v>
      </c>
      <c r="R787" s="4">
        <f t="shared" si="981"/>
        <v>1</v>
      </c>
      <c r="S787" s="158">
        <f>_xll.xSPRDOPT($L787,$J787,$I787,$M787,$O787,$N787,$P787,$Q787-$C$3,$R787,0)</f>
        <v>0.28780197476520863</v>
      </c>
      <c r="T787" s="159">
        <f>_xll.xSPRDOPT($L787,$J787,$I787,$M787,$O787,$N787,$P787,$Q787-$C$3,$R787,1)*H787</f>
        <v>-433504.53908961167</v>
      </c>
      <c r="U787" s="160">
        <f t="shared" si="982"/>
        <v>-287801.97476520861</v>
      </c>
      <c r="V787" s="159">
        <f>_xll.xSPRDOPT($L787,$J787,$I787,$M787,$O787,$N787,$P787,$Q787-$C$3,$R787,2)*H787</f>
        <v>366027.58055952936</v>
      </c>
      <c r="W787" s="159">
        <f t="shared" si="983"/>
        <v>-67476.958530082309</v>
      </c>
      <c r="X787" s="51" t="str">
        <f t="shared" si="984"/>
        <v>36892NGI-SOCAL</v>
      </c>
      <c r="Y787" s="418">
        <f t="shared" si="985"/>
        <v>-100</v>
      </c>
      <c r="Z787" s="456">
        <f t="shared" si="986"/>
        <v>0.43350453908961167</v>
      </c>
      <c r="AA787" s="456">
        <f>_xll.xSPRDOPT($L787,$J787,$I787,$M787,$O787,$N787,$P787,$Q787-$C$3,$R787,3)</f>
        <v>0.39269428205676016</v>
      </c>
      <c r="AB787" s="456">
        <f>((_xll.xSPRDOPT($L787+AB$5,$J787,$I787,$M787,$O787,$N787,$P787,$Q787-$C$3,$R787,3)*$H787)/10000)/100</f>
        <v>-0.39269428205676016</v>
      </c>
      <c r="AC787" s="456">
        <f>((_xll.xSPRDOPT($L787+$AB$5,$J787,$I787,$M787,$O787,$N787,$P787,$Q787-$C$3,$R787,7)*$H787)/100)</f>
        <v>11593.668929625885</v>
      </c>
      <c r="AD787" s="456">
        <f>(_xll.xSPRDOPT($L787+$AB$5,$J787,$I787,$M787,$O787,$N787,$P787,$Q787-$C$3,$R787,9)/365)*$H787</f>
        <v>1523.0115462691172</v>
      </c>
      <c r="AE787">
        <f t="shared" si="972"/>
        <v>0</v>
      </c>
      <c r="AF787" s="456">
        <f t="shared" si="987"/>
        <v>-6303.3825964106036</v>
      </c>
      <c r="AG787" s="456">
        <f>((_xll.xSPRDOPT($L787,$J787,$I787,$M787,$O787,$N787,$P787,$Q787-$C$3,$R787,6)*$H787)/100)</f>
        <v>-85.460436599725909</v>
      </c>
      <c r="AH787" s="456">
        <f>((_xll.xSPRDOPT($L787,$J787,$I787,$M787,$O787,$N787,$P787,$Q787-$C$3,$R787,5)*$H787)/100)</f>
        <v>-6408.5909824285882</v>
      </c>
      <c r="AI787" s="456">
        <f>(((_xll.xSPRDOPT($L787,$J787,$I787,$M787,$O787,$N787,$P787,$Q787-$C$3,$R787,4)*$H787)/10000)/100)-AB787</f>
        <v>2.9684559842694691E-2</v>
      </c>
      <c r="AJ787" s="456"/>
      <c r="CC787" s="141">
        <f t="shared" si="988"/>
        <v>36831</v>
      </c>
      <c r="CD787" s="234">
        <f>_xll.xSPRDOPT((VLOOKUP(G785,NGPrices,2,FALSE)+HLOOKUP(D785,Prices,VLOOKUP(G785,move_down,2,FALSE),FALSE)),VLOOKUP(G785,NGPrices,2,FALSE),I785,VLOOKUP(G785,NGPREVPRICES,4,FALSE),HLOOKUP(D785,PREVVOLS,VLOOKUP(G785,MOVE_DOWN2,2,FALSE),FALSE),VLOOKUP(G785,NGPREVPRICES,3,FALSE),HLOOKUP(D785,Correllate,VLOOKUP(G785,CorMove,2,FALSE),FALSE),Q785-$CD$3,R785,$CD$5)*H785-CJ787</f>
        <v>0</v>
      </c>
      <c r="CE787" s="234">
        <f>_xll.xSPRDOPT((VLOOKUP(G785,NGPREVPRICES,2,FALSE)+HLOOKUP(D785,PREVCURVES,VLOOKUP(G785,MOVE_DOWN2,2,FALSE),FALSE)),VLOOKUP(G785,NGPREVPRICES,2,FALSE),CK787,VLOOKUP(G785,NGPrices,4,FALSE),HLOOKUP(D785,PREVVOLS,VLOOKUP(G785,MOVE_DOWN2,2,FALSE),FALSE),VLOOKUP(G785,NGPREVPRICES,3,FALSE),HLOOKUP(D785,Correllate,VLOOKUP(G785,CorMove,2,FALSE),FALSE),Q785-$CD$3,R785,$CJ$5)*H785-CJ787</f>
        <v>0</v>
      </c>
      <c r="CF787" s="10">
        <f t="shared" si="989"/>
        <v>119.29998371237889</v>
      </c>
      <c r="CG787" s="234">
        <f>_xll.xSPRDOPT((VLOOKUP(G785,NGPREVPRICES,2,FALSE)+HLOOKUP(D785,PREVCURVES,VLOOKUP(G785,MOVE_DOWN2,2,FALSE),FALSE)),VLOOKUP(G785,NGPREVPRICES,2,FALSE),CK787,VLOOKUP(G785,NGPREVPRICES,4,FALSE),HLOOKUP(D785,VOLS,VLOOKUP(G785,move_down,2,FALSE),FALSE),VLOOKUP(G785,NGPrices,3,FALSE),HLOOKUP(D785,Correllate,VLOOKUP(G785,CorMove,2,FALSE),FALSE),Q785-$CD$3,R785,$CJ$5)*H785-CJ787</f>
        <v>0</v>
      </c>
      <c r="CH787" s="234">
        <f>_xll.xSPRDOPT((VLOOKUP(G785,NGPREVPRICES,2,FALSE)+HLOOKUP(D785,PREVCURVES,VLOOKUP(G785,MOVE_DOWN2,2,FALSE),FALSE)),VLOOKUP(G785,NGPREVPRICES,2,FALSE),CK787,VLOOKUP(G785,NGPREVPRICES,4,FALSE),HLOOKUP(D785,PREVVOLS,VLOOKUP(G785,MOVE_DOWN2,2,FALSE),FALSE),VLOOKUP(G785,NGPREVPRICES,3,FALSE),HLOOKUP(D785,Correllate,VLOOKUP(G785,CorMove,2,FALSE),FALSE),Q785-$C$3,R785,$CJ$5)*H785-CJ787</f>
        <v>1719.3690068465658</v>
      </c>
      <c r="CI787" s="234">
        <f t="shared" si="990"/>
        <v>1838.6689905589446</v>
      </c>
      <c r="CJ787" s="234">
        <f>_xll.xSPRDOPT((VLOOKUP(G785,NGPREVPRICES,2,FALSE)+HLOOKUP(D785,PREVCURVES,VLOOKUP(G785,MOVE_DOWN2,2,FALSE),FALSE)),VLOOKUP(G785,NGPREVPRICES,2,FALSE),CK787,VLOOKUP(G785,NGPREVPRICES,4,FALSE),HLOOKUP(D785,PREVVOLS,VLOOKUP(G785,MOVE_DOWN2,2,FALSE),FALSE),VLOOKUP(G785,NGPREVPRICES,3,FALSE),HLOOKUP(D785,Correllate,VLOOKUP(G785,CorMove,2,FALSE),FALSE),Q785-$CD$3,R785,$CJ$5)*H785</f>
        <v>-642397.11919021886</v>
      </c>
      <c r="CK787" s="235">
        <f t="shared" si="991"/>
        <v>1</v>
      </c>
      <c r="CM787" t="str">
        <f t="shared" si="992"/>
        <v>36831Curve Shift/Gamma</v>
      </c>
      <c r="CN787" t="str">
        <f t="shared" si="949"/>
        <v>36831Rho</v>
      </c>
      <c r="CO787" t="str">
        <f t="shared" si="950"/>
        <v>36831Drift</v>
      </c>
      <c r="CP787" t="str">
        <f t="shared" si="951"/>
        <v>36831Vega</v>
      </c>
      <c r="CQ787" t="str">
        <f t="shared" si="952"/>
        <v>36831Theta</v>
      </c>
    </row>
    <row r="788" spans="1:95" x14ac:dyDescent="0.25">
      <c r="A788" s="140" t="s">
        <v>279</v>
      </c>
      <c r="B788" t="s">
        <v>250</v>
      </c>
      <c r="C788" t="s">
        <v>611</v>
      </c>
      <c r="D788" s="4" t="s">
        <v>190</v>
      </c>
      <c r="E788" t="s">
        <v>20</v>
      </c>
      <c r="F788" t="s">
        <v>21</v>
      </c>
      <c r="G788" s="5">
        <v>36923</v>
      </c>
      <c r="H788" s="130">
        <v>-1000000</v>
      </c>
      <c r="I788" s="235">
        <v>1</v>
      </c>
      <c r="J788" s="53">
        <f t="shared" si="973"/>
        <v>4.4800000000000004</v>
      </c>
      <c r="K788" s="7">
        <f t="shared" si="974"/>
        <v>0.61750000000000005</v>
      </c>
      <c r="L788" s="53">
        <f t="shared" si="975"/>
        <v>5.0975000000000001</v>
      </c>
      <c r="M788" s="157">
        <f t="shared" si="976"/>
        <v>6.8640161611372E-2</v>
      </c>
      <c r="N788" s="4">
        <f t="shared" si="977"/>
        <v>0.59250000000000003</v>
      </c>
      <c r="O788" s="4">
        <f t="shared" si="978"/>
        <v>0.57499999999999996</v>
      </c>
      <c r="P788" s="9">
        <f t="shared" si="979"/>
        <v>0.85</v>
      </c>
      <c r="Q788" s="5">
        <f t="shared" si="980"/>
        <v>36921</v>
      </c>
      <c r="R788" s="4">
        <f t="shared" si="981"/>
        <v>1</v>
      </c>
      <c r="S788" s="158">
        <f>_xll.xSPRDOPT($L788,$J788,$I788,$M788,$O788,$N788,$P788,$Q788-$C$3,$R788,0)</f>
        <v>0.2446968757834925</v>
      </c>
      <c r="T788" s="159">
        <f>_xll.xSPRDOPT($L788,$J788,$I788,$M788,$O788,$N788,$P788,$Q788-$C$3,$R788,1)*H788</f>
        <v>-383160.32462064089</v>
      </c>
      <c r="U788" s="160">
        <f t="shared" si="982"/>
        <v>-244696.87578349249</v>
      </c>
      <c r="V788" s="159">
        <f>_xll.xSPRDOPT($L788,$J788,$I788,$M788,$O788,$N788,$P788,$Q788-$C$3,$R788,2)*H788</f>
        <v>312378.92362816597</v>
      </c>
      <c r="W788" s="159">
        <f t="shared" si="983"/>
        <v>-70781.400992474926</v>
      </c>
      <c r="X788" s="51" t="str">
        <f t="shared" si="984"/>
        <v>36923NGI-SOCAL</v>
      </c>
      <c r="Y788" s="418">
        <f t="shared" si="985"/>
        <v>-100</v>
      </c>
      <c r="Z788" s="456">
        <f t="shared" si="986"/>
        <v>0.38316032462064087</v>
      </c>
      <c r="AA788" s="456">
        <f>_xll.xSPRDOPT($L788,$J788,$I788,$M788,$O788,$N788,$P788,$Q788-$C$3,$R788,3)</f>
        <v>0.37184679046363117</v>
      </c>
      <c r="AB788" s="456">
        <f>((_xll.xSPRDOPT($L788+AB$5,$J788,$I788,$M788,$O788,$N788,$P788,$Q788-$C$3,$R788,3)*$H788)/10000)/100</f>
        <v>-0.37184679046363117</v>
      </c>
      <c r="AC788" s="456">
        <f>((_xll.xSPRDOPT($L788+$AB$5,$J788,$I788,$M788,$O788,$N788,$P788,$Q788-$C$3,$R788,7)*$H788)/100)</f>
        <v>11358.8893248855</v>
      </c>
      <c r="AD788" s="456">
        <f>(_xll.xSPRDOPT($L788+$AB$5,$J788,$I788,$M788,$O788,$N788,$P788,$Q788-$C$3,$R788,9)/365)*$H788</f>
        <v>1182.8561138297853</v>
      </c>
      <c r="AE788">
        <f t="shared" si="972"/>
        <v>0</v>
      </c>
      <c r="AF788" s="456">
        <f t="shared" si="987"/>
        <v>-6383.6912812562005</v>
      </c>
      <c r="AG788" s="456">
        <f>((_xll.xSPRDOPT($L788,$J788,$I788,$M788,$O788,$N788,$P788,$Q788-$C$3,$R788,6)*$H788)/100)</f>
        <v>53.75273464150807</v>
      </c>
      <c r="AH788" s="456">
        <f>((_xll.xSPRDOPT($L788,$J788,$I788,$M788,$O788,$N788,$P788,$Q788-$C$3,$R788,5)*$H788)/100)</f>
        <v>-6633.3662250772049</v>
      </c>
      <c r="AI788" s="456">
        <f>(((_xll.xSPRDOPT($L788,$J788,$I788,$M788,$O788,$N788,$P788,$Q788-$C$3,$R788,4)*$H788)/10000)/100)-AB788</f>
        <v>4.7911690262380457E-2</v>
      </c>
      <c r="AJ788" s="456"/>
      <c r="CC788" s="141">
        <f t="shared" si="988"/>
        <v>36861</v>
      </c>
      <c r="CD788" s="234">
        <f>_xll.xSPRDOPT((VLOOKUP(G786,NGPrices,2,FALSE)+HLOOKUP(D786,Prices,VLOOKUP(G786,move_down,2,FALSE),FALSE)),VLOOKUP(G786,NGPrices,2,FALSE),I786,VLOOKUP(G786,NGPREVPRICES,4,FALSE),HLOOKUP(D786,PREVVOLS,VLOOKUP(G786,MOVE_DOWN2,2,FALSE),FALSE),VLOOKUP(G786,NGPREVPRICES,3,FALSE),HLOOKUP(D786,Correllate,VLOOKUP(G786,CorMove,2,FALSE),FALSE),Q786-$CD$3,R786,$CD$5)*H786-CJ788</f>
        <v>0</v>
      </c>
      <c r="CE788" s="234">
        <f>_xll.xSPRDOPT((VLOOKUP(G786,NGPREVPRICES,2,FALSE)+HLOOKUP(D786,PREVCURVES,VLOOKUP(G786,MOVE_DOWN2,2,FALSE),FALSE)),VLOOKUP(G786,NGPREVPRICES,2,FALSE),CK788,VLOOKUP(G786,NGPrices,4,FALSE),HLOOKUP(D786,PREVVOLS,VLOOKUP(G786,MOVE_DOWN2,2,FALSE),FALSE),VLOOKUP(G786,NGPREVPRICES,3,FALSE),HLOOKUP(D786,Correllate,VLOOKUP(G786,CorMove,2,FALSE),FALSE),Q786-$CD$3,R786,$CJ$5)*H786-CJ788</f>
        <v>0</v>
      </c>
      <c r="CF788" s="10">
        <f t="shared" si="989"/>
        <v>66.446006252372172</v>
      </c>
      <c r="CG788" s="234">
        <f>_xll.xSPRDOPT((VLOOKUP(G786,NGPREVPRICES,2,FALSE)+HLOOKUP(D786,PREVCURVES,VLOOKUP(G786,MOVE_DOWN2,2,FALSE),FALSE)),VLOOKUP(G786,NGPREVPRICES,2,FALSE),CK788,VLOOKUP(G786,NGPREVPRICES,4,FALSE),HLOOKUP(D786,VOLS,VLOOKUP(G786,move_down,2,FALSE),FALSE),VLOOKUP(G786,NGPrices,3,FALSE),HLOOKUP(D786,Correllate,VLOOKUP(G786,CorMove,2,FALSE),FALSE),Q786-$CD$3,R786,$CJ$5)*H786-CJ788</f>
        <v>0</v>
      </c>
      <c r="CH788" s="234">
        <f>_xll.xSPRDOPT((VLOOKUP(G786,NGPREVPRICES,2,FALSE)+HLOOKUP(D786,PREVCURVES,VLOOKUP(G786,MOVE_DOWN2,2,FALSE),FALSE)),VLOOKUP(G786,NGPREVPRICES,2,FALSE),CK788,VLOOKUP(G786,NGPREVPRICES,4,FALSE),HLOOKUP(D786,PREVVOLS,VLOOKUP(G786,MOVE_DOWN2,2,FALSE),FALSE),VLOOKUP(G786,NGPREVPRICES,3,FALSE),HLOOKUP(D786,Correllate,VLOOKUP(G786,CorMove,2,FALSE),FALSE),Q786-$C$3,R786,$CJ$5)*H786-CJ788</f>
        <v>1835.6331998623791</v>
      </c>
      <c r="CI788" s="234">
        <f t="shared" si="990"/>
        <v>1902.0792061147513</v>
      </c>
      <c r="CJ788" s="234">
        <f>_xll.xSPRDOPT((VLOOKUP(G786,NGPREVPRICES,2,FALSE)+HLOOKUP(D786,PREVCURVES,VLOOKUP(G786,MOVE_DOWN2,2,FALSE),FALSE)),VLOOKUP(G786,NGPREVPRICES,2,FALSE),CK788,VLOOKUP(G786,NGPREVPRICES,4,FALSE),HLOOKUP(D786,PREVVOLS,VLOOKUP(G786,MOVE_DOWN2,2,FALSE),FALSE),VLOOKUP(G786,NGPREVPRICES,3,FALSE),HLOOKUP(D786,Correllate,VLOOKUP(G786,CorMove,2,FALSE),FALSE),Q786-$CD$3,R786,$CJ$5)*H786</f>
        <v>-354685.27074912179</v>
      </c>
      <c r="CK788" s="235">
        <f t="shared" si="991"/>
        <v>1</v>
      </c>
      <c r="CM788" t="str">
        <f t="shared" si="992"/>
        <v>36861Curve Shift/Gamma</v>
      </c>
      <c r="CN788" t="str">
        <f t="shared" si="949"/>
        <v>36861Rho</v>
      </c>
      <c r="CO788" t="str">
        <f t="shared" si="950"/>
        <v>36861Drift</v>
      </c>
      <c r="CP788" t="str">
        <f t="shared" si="951"/>
        <v>36861Vega</v>
      </c>
      <c r="CQ788" t="str">
        <f t="shared" si="952"/>
        <v>36861Theta</v>
      </c>
    </row>
    <row r="789" spans="1:95" x14ac:dyDescent="0.25">
      <c r="A789" s="140" t="s">
        <v>279</v>
      </c>
      <c r="B789" t="s">
        <v>250</v>
      </c>
      <c r="C789" t="s">
        <v>611</v>
      </c>
      <c r="D789" s="4" t="s">
        <v>190</v>
      </c>
      <c r="E789" t="s">
        <v>20</v>
      </c>
      <c r="F789" t="s">
        <v>21</v>
      </c>
      <c r="G789" s="5">
        <v>36951</v>
      </c>
      <c r="H789" s="130">
        <v>-1000000</v>
      </c>
      <c r="I789" s="235">
        <v>1</v>
      </c>
      <c r="J789" s="53">
        <f t="shared" si="973"/>
        <v>4.2130000000000001</v>
      </c>
      <c r="K789" s="7">
        <f t="shared" si="974"/>
        <v>0.59750000000000003</v>
      </c>
      <c r="L789" s="53">
        <f t="shared" si="975"/>
        <v>4.8105000000000002</v>
      </c>
      <c r="M789" s="157">
        <f t="shared" si="976"/>
        <v>6.8879814952706994E-2</v>
      </c>
      <c r="N789" s="4">
        <f t="shared" si="977"/>
        <v>0.53249999999999997</v>
      </c>
      <c r="O789" s="4">
        <f t="shared" si="978"/>
        <v>0.51700000000000002</v>
      </c>
      <c r="P789" s="9">
        <f t="shared" si="979"/>
        <v>0.85</v>
      </c>
      <c r="Q789" s="5">
        <f t="shared" si="980"/>
        <v>36949</v>
      </c>
      <c r="R789" s="4">
        <f t="shared" si="981"/>
        <v>1</v>
      </c>
      <c r="S789" s="158">
        <f>_xll.xSPRDOPT($L789,$J789,$I789,$M789,$O789,$N789,$P789,$Q789-$C$3,$R789,0)</f>
        <v>0.20940690098716122</v>
      </c>
      <c r="T789" s="159">
        <f>_xll.xSPRDOPT($L789,$J789,$I789,$M789,$O789,$N789,$P789,$Q789-$C$3,$R789,1)*H789</f>
        <v>-361962.62143958535</v>
      </c>
      <c r="U789" s="160">
        <f t="shared" si="982"/>
        <v>-209406.90098716121</v>
      </c>
      <c r="V789" s="159">
        <f>_xll.xSPRDOPT($L789,$J789,$I789,$M789,$O789,$N789,$P789,$Q789-$C$3,$R789,2)*H789</f>
        <v>294871.26935341599</v>
      </c>
      <c r="W789" s="159">
        <f t="shared" si="983"/>
        <v>-67091.352086169354</v>
      </c>
      <c r="X789" s="51" t="str">
        <f t="shared" si="984"/>
        <v>36951NGI-SOCAL</v>
      </c>
      <c r="Y789" s="418">
        <f t="shared" si="985"/>
        <v>-100</v>
      </c>
      <c r="Z789" s="456">
        <f t="shared" si="986"/>
        <v>0.36196262143958535</v>
      </c>
      <c r="AA789" s="456">
        <f>_xll.xSPRDOPT($L789,$J789,$I789,$M789,$O789,$N789,$P789,$Q789-$C$3,$R789,3)</f>
        <v>0.39473175120673981</v>
      </c>
      <c r="AB789" s="456">
        <f>((_xll.xSPRDOPT($L789+AB$5,$J789,$I789,$M789,$O789,$N789,$P789,$Q789-$C$3,$R789,3)*$H789)/10000)/100</f>
        <v>-0.39473175120673981</v>
      </c>
      <c r="AC789" s="456">
        <f>((_xll.xSPRDOPT($L789+$AB$5,$J789,$I789,$M789,$O789,$N789,$P789,$Q789-$C$3,$R789,7)*$H789)/100)</f>
        <v>10146.804694936432</v>
      </c>
      <c r="AD789" s="456">
        <f>(_xll.xSPRDOPT($L789+$AB$5,$J789,$I789,$M789,$O789,$N789,$P789,$Q789-$C$3,$R789,9)/365)*$H789</f>
        <v>900.54568494372813</v>
      </c>
      <c r="AE789">
        <f t="shared" si="972"/>
        <v>0</v>
      </c>
      <c r="AF789" s="456">
        <f t="shared" si="987"/>
        <v>-6421.5738485930851</v>
      </c>
      <c r="AG789" s="456">
        <f>((_xll.xSPRDOPT($L789,$J789,$I789,$M789,$O789,$N789,$P789,$Q789-$C$3,$R789,6)*$H789)/100)</f>
        <v>228.38466223798835</v>
      </c>
      <c r="AH789" s="456">
        <f>((_xll.xSPRDOPT($L789,$J789,$I789,$M789,$O789,$N789,$P789,$Q789-$C$3,$R789,5)*$H789)/100)</f>
        <v>-6849.3286402660469</v>
      </c>
      <c r="AI789" s="456">
        <f>(((_xll.xSPRDOPT($L789,$J789,$I789,$M789,$O789,$N789,$P789,$Q789-$C$3,$R789,4)*$H789)/10000)/100)-AB789</f>
        <v>5.5670871043335679E-2</v>
      </c>
      <c r="AJ789" s="456"/>
      <c r="CC789" s="141">
        <f t="shared" si="988"/>
        <v>36892</v>
      </c>
      <c r="CD789" s="234">
        <f>_xll.xSPRDOPT((VLOOKUP(G787,NGPrices,2,FALSE)+HLOOKUP(D787,Prices,VLOOKUP(G787,move_down,2,FALSE),FALSE)),VLOOKUP(G787,NGPrices,2,FALSE),I787,VLOOKUP(G787,NGPREVPRICES,4,FALSE),HLOOKUP(D787,PREVVOLS,VLOOKUP(G787,MOVE_DOWN2,2,FALSE),FALSE),VLOOKUP(G787,NGPREVPRICES,3,FALSE),HLOOKUP(D787,Correllate,VLOOKUP(G787,CorMove,2,FALSE),FALSE),Q787-$CD$3,R787,$CD$5)*H787-CJ789</f>
        <v>0</v>
      </c>
      <c r="CE789" s="234">
        <f>_xll.xSPRDOPT((VLOOKUP(G787,NGPREVPRICES,2,FALSE)+HLOOKUP(D787,PREVCURVES,VLOOKUP(G787,MOVE_DOWN2,2,FALSE),FALSE)),VLOOKUP(G787,NGPREVPRICES,2,FALSE),CK789,VLOOKUP(G787,NGPrices,4,FALSE),HLOOKUP(D787,PREVVOLS,VLOOKUP(G787,MOVE_DOWN2,2,FALSE),FALSE),VLOOKUP(G787,NGPREVPRICES,3,FALSE),HLOOKUP(D787,Correllate,VLOOKUP(G787,CorMove,2,FALSE),FALSE),Q787-$CD$3,R787,$CJ$5)*H787-CJ789</f>
        <v>0</v>
      </c>
      <c r="CF789" s="10">
        <f t="shared" si="989"/>
        <v>54.519911511044484</v>
      </c>
      <c r="CG789" s="234">
        <f>_xll.xSPRDOPT((VLOOKUP(G787,NGPREVPRICES,2,FALSE)+HLOOKUP(D787,PREVCURVES,VLOOKUP(G787,MOVE_DOWN2,2,FALSE),FALSE)),VLOOKUP(G787,NGPREVPRICES,2,FALSE),CK789,VLOOKUP(G787,NGPREVPRICES,4,FALSE),HLOOKUP(D787,VOLS,VLOOKUP(G787,move_down,2,FALSE),FALSE),VLOOKUP(G787,NGPrices,3,FALSE),HLOOKUP(D787,Correllate,VLOOKUP(G787,CorMove,2,FALSE),FALSE),Q787-$CD$3,R787,$CJ$5)*H787-CJ789</f>
        <v>0</v>
      </c>
      <c r="CH789" s="234">
        <f>_xll.xSPRDOPT((VLOOKUP(G787,NGPREVPRICES,2,FALSE)+HLOOKUP(D787,PREVCURVES,VLOOKUP(G787,MOVE_DOWN2,2,FALSE),FALSE)),VLOOKUP(G787,NGPREVPRICES,2,FALSE),CK789,VLOOKUP(G787,NGPREVPRICES,4,FALSE),HLOOKUP(D787,PREVVOLS,VLOOKUP(G787,MOVE_DOWN2,2,FALSE),FALSE),VLOOKUP(G787,NGPREVPRICES,3,FALSE),HLOOKUP(D787,Correllate,VLOOKUP(G787,CorMove,2,FALSE),FALSE),Q787-$C$3,R787,$CJ$5)*H787-CJ789</f>
        <v>1518.6296272351174</v>
      </c>
      <c r="CI789" s="234">
        <f t="shared" si="990"/>
        <v>1573.1495387461619</v>
      </c>
      <c r="CJ789" s="234">
        <f>_xll.xSPRDOPT((VLOOKUP(G787,NGPREVPRICES,2,FALSE)+HLOOKUP(D787,PREVCURVES,VLOOKUP(G787,MOVE_DOWN2,2,FALSE),FALSE)),VLOOKUP(G787,NGPREVPRICES,2,FALSE),CK789,VLOOKUP(G787,NGPREVPRICES,4,FALSE),HLOOKUP(D787,PREVVOLS,VLOOKUP(G787,MOVE_DOWN2,2,FALSE),FALSE),VLOOKUP(G787,NGPREVPRICES,3,FALSE),HLOOKUP(D787,Correllate,VLOOKUP(G787,CorMove,2,FALSE),FALSE),Q787-$CD$3,R787,$CJ$5)*H787</f>
        <v>-289320.60439244373</v>
      </c>
      <c r="CK789" s="235">
        <f t="shared" si="991"/>
        <v>1</v>
      </c>
      <c r="CM789" t="str">
        <f t="shared" si="992"/>
        <v>36892Curve Shift/Gamma</v>
      </c>
      <c r="CN789" t="str">
        <f t="shared" si="949"/>
        <v>36892Rho</v>
      </c>
      <c r="CO789" t="str">
        <f t="shared" si="950"/>
        <v>36892Drift</v>
      </c>
      <c r="CP789" t="str">
        <f t="shared" si="951"/>
        <v>36892Vega</v>
      </c>
      <c r="CQ789" t="str">
        <f t="shared" si="952"/>
        <v>36892Theta</v>
      </c>
    </row>
    <row r="790" spans="1:95" x14ac:dyDescent="0.25">
      <c r="A790" s="140" t="s">
        <v>383</v>
      </c>
      <c r="B790" t="s">
        <v>250</v>
      </c>
      <c r="C790" t="s">
        <v>612</v>
      </c>
      <c r="D790" s="4" t="s">
        <v>9</v>
      </c>
      <c r="E790" t="s">
        <v>20</v>
      </c>
      <c r="F790" t="s">
        <v>21</v>
      </c>
      <c r="G790" s="5">
        <v>36831</v>
      </c>
      <c r="H790" s="130">
        <v>-600000</v>
      </c>
      <c r="I790" s="235">
        <v>-0.2</v>
      </c>
      <c r="J790" s="53">
        <f t="shared" si="973"/>
        <v>4.7359999999999998</v>
      </c>
      <c r="K790" s="7">
        <f t="shared" si="974"/>
        <v>-0.46750000000000003</v>
      </c>
      <c r="L790" s="53">
        <f t="shared" si="975"/>
        <v>4.2684999999999995</v>
      </c>
      <c r="M790" s="157">
        <f t="shared" si="976"/>
        <v>6.810675983792E-2</v>
      </c>
      <c r="N790" s="4">
        <f t="shared" si="977"/>
        <v>0.59499999999999997</v>
      </c>
      <c r="O790" s="4">
        <f t="shared" si="978"/>
        <v>0.57099999999999995</v>
      </c>
      <c r="P790" s="9">
        <f t="shared" si="979"/>
        <v>0.93</v>
      </c>
      <c r="Q790" s="5">
        <f t="shared" si="980"/>
        <v>36829</v>
      </c>
      <c r="R790" s="4">
        <f t="shared" si="981"/>
        <v>1</v>
      </c>
      <c r="S790" s="158">
        <f>_xll.xSPRDOPT($L790,$J790,$I790,$M790,$O790,$N790,$P790,$Q790-$C$3,$R790,0)</f>
        <v>6.4241525495115498E-2</v>
      </c>
      <c r="T790" s="159">
        <f>_xll.xSPRDOPT($L790,$J790,$I790,$M790,$O790,$N790,$P790,$Q790-$C$3,$R790,1)*H790</f>
        <v>-162647.83005974619</v>
      </c>
      <c r="U790" s="160">
        <f t="shared" si="982"/>
        <v>-38544.915297069296</v>
      </c>
      <c r="V790" s="159">
        <f>_xll.xSPRDOPT($L790,$J790,$I790,$M790,$O790,$N790,$P790,$Q790-$C$3,$R790,2)*H790</f>
        <v>145400.40366178937</v>
      </c>
      <c r="W790" s="159">
        <f t="shared" si="983"/>
        <v>-17247.42639795682</v>
      </c>
      <c r="X790" s="51" t="str">
        <f t="shared" si="984"/>
        <v>36831IF-NWPL_ROCKY_M</v>
      </c>
      <c r="Y790" s="418">
        <f t="shared" si="985"/>
        <v>-60</v>
      </c>
      <c r="Z790" s="456">
        <f t="shared" si="986"/>
        <v>0.27107971676624365</v>
      </c>
      <c r="AA790" s="456">
        <f>_xll.xSPRDOPT($L790,$J790,$I790,$M790,$O790,$N790,$P790,$Q790-$C$3,$R790,3)</f>
        <v>0.81728704727729518</v>
      </c>
      <c r="AB790" s="456">
        <f>((_xll.xSPRDOPT($L790+AB$5,$J790,$I790,$M790,$O790,$N790,$P790,$Q790-$C$3,$R790,3)*$H790)/10000)/100</f>
        <v>-0.49037222836637712</v>
      </c>
      <c r="AC790" s="456">
        <f>((_xll.xSPRDOPT($L790+$AB$5,$J790,$I790,$M790,$O790,$N790,$P790,$Q790-$C$3,$R790,7)*$H790)/100)</f>
        <v>5394.7694621138189</v>
      </c>
      <c r="AD790" s="456">
        <f>(_xll.xSPRDOPT($L790+$AB$5,$J790,$I790,$M790,$O790,$N790,$P790,$Q790-$C$3,$R790,9)/365)*$H790</f>
        <v>635.89810489404317</v>
      </c>
      <c r="AE790">
        <f t="shared" si="972"/>
        <v>0</v>
      </c>
      <c r="AF790" s="456">
        <f t="shared" si="987"/>
        <v>-1339.3045644224669</v>
      </c>
      <c r="AG790" s="456">
        <f>((_xll.xSPRDOPT($L790,$J790,$I790,$M790,$O790,$N790,$P790,$Q790-$C$3,$R790,6)*$H790)/100)</f>
        <v>-1460.7881713771101</v>
      </c>
      <c r="AH790" s="456">
        <f>((_xll.xSPRDOPT($L790,$J790,$I790,$M790,$O790,$N790,$P790,$Q790-$C$3,$R790,5)*$H790)/100)</f>
        <v>126.5897480525616</v>
      </c>
      <c r="AI790" s="456">
        <f>(((_xll.xSPRDOPT($L790,$J790,$I790,$M790,$O790,$N790,$P790,$Q790-$C$3,$R790,4)*$H790)/10000)/100)-AB790</f>
        <v>5.367421365807018E-2</v>
      </c>
      <c r="AJ790" s="456"/>
      <c r="CC790" s="141">
        <f t="shared" si="988"/>
        <v>36923</v>
      </c>
      <c r="CD790" s="234">
        <f>_xll.xSPRDOPT((VLOOKUP(G788,NGPrices,2,FALSE)+HLOOKUP(D788,Prices,VLOOKUP(G788,move_down,2,FALSE),FALSE)),VLOOKUP(G788,NGPrices,2,FALSE),I788,VLOOKUP(G788,NGPREVPRICES,4,FALSE),HLOOKUP(D788,PREVVOLS,VLOOKUP(G788,MOVE_DOWN2,2,FALSE),FALSE),VLOOKUP(G788,NGPREVPRICES,3,FALSE),HLOOKUP(D788,Correllate,VLOOKUP(G788,CorMove,2,FALSE),FALSE),Q788-$CD$3,R788,$CD$5)*H788-CJ790</f>
        <v>0</v>
      </c>
      <c r="CE790" s="234">
        <f>_xll.xSPRDOPT((VLOOKUP(G788,NGPREVPRICES,2,FALSE)+HLOOKUP(D788,PREVCURVES,VLOOKUP(G788,MOVE_DOWN2,2,FALSE),FALSE)),VLOOKUP(G788,NGPREVPRICES,2,FALSE),CK790,VLOOKUP(G788,NGPrices,4,FALSE),HLOOKUP(D788,PREVVOLS,VLOOKUP(G788,MOVE_DOWN2,2,FALSE),FALSE),VLOOKUP(G788,NGPREVPRICES,3,FALSE),HLOOKUP(D788,Correllate,VLOOKUP(G788,CorMove,2,FALSE),FALSE),Q788-$CD$3,R788,$CJ$5)*H788-CJ790</f>
        <v>0</v>
      </c>
      <c r="CF790" s="10">
        <f t="shared" si="989"/>
        <v>46.762967869755812</v>
      </c>
      <c r="CG790" s="234">
        <f>_xll.xSPRDOPT((VLOOKUP(G788,NGPREVPRICES,2,FALSE)+HLOOKUP(D788,PREVCURVES,VLOOKUP(G788,MOVE_DOWN2,2,FALSE),FALSE)),VLOOKUP(G788,NGPREVPRICES,2,FALSE),CK790,VLOOKUP(G788,NGPREVPRICES,4,FALSE),HLOOKUP(D788,VOLS,VLOOKUP(G788,move_down,2,FALSE),FALSE),VLOOKUP(G788,NGPrices,3,FALSE),HLOOKUP(D788,Correllate,VLOOKUP(G788,CorMove,2,FALSE),FALSE),Q788-$CD$3,R788,$CJ$5)*H788-CJ790</f>
        <v>0</v>
      </c>
      <c r="CH790" s="234">
        <f>_xll.xSPRDOPT((VLOOKUP(G788,NGPREVPRICES,2,FALSE)+HLOOKUP(D788,PREVCURVES,VLOOKUP(G788,MOVE_DOWN2,2,FALSE),FALSE)),VLOOKUP(G788,NGPREVPRICES,2,FALSE),CK790,VLOOKUP(G788,NGPREVPRICES,4,FALSE),HLOOKUP(D788,PREVVOLS,VLOOKUP(G788,MOVE_DOWN2,2,FALSE),FALSE),VLOOKUP(G788,NGPREVPRICES,3,FALSE),HLOOKUP(D788,Correllate,VLOOKUP(G788,CorMove,2,FALSE),FALSE),Q788-$C$3,R788,$CJ$5)*H788-CJ790</f>
        <v>1180.1159703803132</v>
      </c>
      <c r="CI790" s="234">
        <f t="shared" si="990"/>
        <v>1226.878938250069</v>
      </c>
      <c r="CJ790" s="234">
        <f>_xll.xSPRDOPT((VLOOKUP(G788,NGPREVPRICES,2,FALSE)+HLOOKUP(D788,PREVCURVES,VLOOKUP(G788,MOVE_DOWN2,2,FALSE),FALSE)),VLOOKUP(G788,NGPREVPRICES,2,FALSE),CK790,VLOOKUP(G788,NGPREVPRICES,4,FALSE),HLOOKUP(D788,PREVVOLS,VLOOKUP(G788,MOVE_DOWN2,2,FALSE),FALSE),VLOOKUP(G788,NGPREVPRICES,3,FALSE),HLOOKUP(D788,Correllate,VLOOKUP(G788,CorMove,2,FALSE),FALSE),Q788-$CD$3,R788,$CJ$5)*H788</f>
        <v>-245876.9917538728</v>
      </c>
      <c r="CK790" s="235">
        <f t="shared" si="991"/>
        <v>1</v>
      </c>
      <c r="CM790" t="str">
        <f t="shared" si="992"/>
        <v>36923Curve Shift/Gamma</v>
      </c>
      <c r="CN790" t="str">
        <f t="shared" si="949"/>
        <v>36923Rho</v>
      </c>
      <c r="CO790" t="str">
        <f t="shared" si="950"/>
        <v>36923Drift</v>
      </c>
      <c r="CP790" t="str">
        <f t="shared" si="951"/>
        <v>36923Vega</v>
      </c>
      <c r="CQ790" t="str">
        <f t="shared" si="952"/>
        <v>36923Theta</v>
      </c>
    </row>
    <row r="791" spans="1:95" x14ac:dyDescent="0.25">
      <c r="A791" s="140" t="s">
        <v>383</v>
      </c>
      <c r="B791" t="s">
        <v>250</v>
      </c>
      <c r="C791" t="s">
        <v>612</v>
      </c>
      <c r="D791" s="4" t="s">
        <v>9</v>
      </c>
      <c r="E791" t="s">
        <v>20</v>
      </c>
      <c r="F791" t="s">
        <v>21</v>
      </c>
      <c r="G791" s="5">
        <v>36861</v>
      </c>
      <c r="H791" s="130">
        <v>-620000</v>
      </c>
      <c r="I791" s="235">
        <v>-0.2</v>
      </c>
      <c r="J791" s="53">
        <f t="shared" si="973"/>
        <v>4.8</v>
      </c>
      <c r="K791" s="7">
        <f t="shared" si="974"/>
        <v>-0.35749999999999998</v>
      </c>
      <c r="L791" s="53">
        <f t="shared" si="975"/>
        <v>4.4424999999999999</v>
      </c>
      <c r="M791" s="157">
        <f t="shared" si="976"/>
        <v>6.8314027999354002E-2</v>
      </c>
      <c r="N791" s="4">
        <f t="shared" si="977"/>
        <v>0.6</v>
      </c>
      <c r="O791" s="4">
        <f t="shared" si="978"/>
        <v>0.57599999999999996</v>
      </c>
      <c r="P791" s="9">
        <f t="shared" si="979"/>
        <v>0.93</v>
      </c>
      <c r="Q791" s="5">
        <f t="shared" si="980"/>
        <v>36859</v>
      </c>
      <c r="R791" s="4">
        <f t="shared" si="981"/>
        <v>1</v>
      </c>
      <c r="S791" s="158">
        <f>_xll.xSPRDOPT($L791,$J791,$I791,$M791,$O791,$N791,$P791,$Q791-$C$3,$R791,0)</f>
        <v>0.13676980069315733</v>
      </c>
      <c r="T791" s="159">
        <f>_xll.xSPRDOPT($L791,$J791,$I791,$M791,$O791,$N791,$P791,$Q791-$C$3,$R791,1)*H791</f>
        <v>-245431.32459114882</v>
      </c>
      <c r="U791" s="160">
        <f t="shared" si="982"/>
        <v>-84797.276429757549</v>
      </c>
      <c r="V791" s="159">
        <f>_xll.xSPRDOPT($L791,$J791,$I791,$M791,$O791,$N791,$P791,$Q791-$C$3,$R791,2)*H791</f>
        <v>219812.39885401534</v>
      </c>
      <c r="W791" s="159">
        <f t="shared" si="983"/>
        <v>-25618.925737133482</v>
      </c>
      <c r="X791" s="51" t="str">
        <f t="shared" si="984"/>
        <v>36861IF-NWPL_ROCKY_M</v>
      </c>
      <c r="Y791" s="418">
        <f t="shared" si="985"/>
        <v>-62</v>
      </c>
      <c r="Z791" s="456">
        <f t="shared" si="986"/>
        <v>0.39585697514701423</v>
      </c>
      <c r="AA791" s="456">
        <f>_xll.xSPRDOPT($L791,$J791,$I791,$M791,$O791,$N791,$P791,$Q791-$C$3,$R791,3)</f>
        <v>0.73986816217145457</v>
      </c>
      <c r="AB791" s="456">
        <f>((_xll.xSPRDOPT($L791+AB$5,$J791,$I791,$M791,$O791,$N791,$P791,$Q791-$C$3,$R791,3)*$H791)/10000)/100</f>
        <v>-0.45871826054630183</v>
      </c>
      <c r="AC791" s="456">
        <f>((_xll.xSPRDOPT($L791+$AB$5,$J791,$I791,$M791,$O791,$N791,$P791,$Q791-$C$3,$R791,7)*$H791)/100)</f>
        <v>8234.9968032490069</v>
      </c>
      <c r="AD791" s="456">
        <f>(_xll.xSPRDOPT($L791+$AB$5,$J791,$I791,$M791,$O791,$N791,$P791,$Q791-$C$3,$R791,9)/365)*$H791</f>
        <v>644.13644734399395</v>
      </c>
      <c r="AE791">
        <f t="shared" si="972"/>
        <v>0</v>
      </c>
      <c r="AF791" s="456">
        <f t="shared" si="987"/>
        <v>-2022.6368518461154</v>
      </c>
      <c r="AG791" s="456">
        <f>((_xll.xSPRDOPT($L791,$J791,$I791,$M791,$O791,$N791,$P791,$Q791-$C$3,$R791,6)*$H791)/100)</f>
        <v>-2177.618959636749</v>
      </c>
      <c r="AH791" s="456">
        <f>((_xll.xSPRDOPT($L791,$J791,$I791,$M791,$O791,$N791,$P791,$Q791-$C$3,$R791,5)*$H791)/100)</f>
        <v>161.43969561524324</v>
      </c>
      <c r="AI791" s="456">
        <f>(((_xll.xSPRDOPT($L791,$J791,$I791,$M791,$O791,$N791,$P791,$Q791-$C$3,$R791,4)*$H791)/10000)/100)-AB791</f>
        <v>2.960135901277916E-2</v>
      </c>
      <c r="AJ791" s="456"/>
      <c r="CC791" s="141">
        <f t="shared" si="988"/>
        <v>36951</v>
      </c>
      <c r="CD791" s="234">
        <f>_xll.xSPRDOPT((VLOOKUP(G789,NGPrices,2,FALSE)+HLOOKUP(D789,Prices,VLOOKUP(G789,move_down,2,FALSE),FALSE)),VLOOKUP(G789,NGPrices,2,FALSE),I789,VLOOKUP(G789,NGPREVPRICES,4,FALSE),HLOOKUP(D789,PREVVOLS,VLOOKUP(G789,MOVE_DOWN2,2,FALSE),FALSE),VLOOKUP(G789,NGPREVPRICES,3,FALSE),HLOOKUP(D789,Correllate,VLOOKUP(G789,CorMove,2,FALSE),FALSE),Q789-$CD$3,R789,$CD$5)*H789-CJ791</f>
        <v>0</v>
      </c>
      <c r="CE791" s="234">
        <f>_xll.xSPRDOPT((VLOOKUP(G789,NGPREVPRICES,2,FALSE)+HLOOKUP(D789,PREVCURVES,VLOOKUP(G789,MOVE_DOWN2,2,FALSE),FALSE)),VLOOKUP(G789,NGPREVPRICES,2,FALSE),CK791,VLOOKUP(G789,NGPrices,4,FALSE),HLOOKUP(D789,PREVVOLS,VLOOKUP(G789,MOVE_DOWN2,2,FALSE),FALSE),VLOOKUP(G789,NGPREVPRICES,3,FALSE),HLOOKUP(D789,Correllate,VLOOKUP(G789,CorMove,2,FALSE),FALSE),Q789-$CD$3,R789,$CJ$5)*H789-CJ791</f>
        <v>0</v>
      </c>
      <c r="CF791" s="10">
        <f t="shared" si="989"/>
        <v>40.333472086756956</v>
      </c>
      <c r="CG791" s="234">
        <f>_xll.xSPRDOPT((VLOOKUP(G789,NGPREVPRICES,2,FALSE)+HLOOKUP(D789,PREVCURVES,VLOOKUP(G789,MOVE_DOWN2,2,FALSE),FALSE)),VLOOKUP(G789,NGPREVPRICES,2,FALSE),CK791,VLOOKUP(G789,NGPREVPRICES,4,FALSE),HLOOKUP(D789,VOLS,VLOOKUP(G789,move_down,2,FALSE),FALSE),VLOOKUP(G789,NGPrices,3,FALSE),HLOOKUP(D789,Correllate,VLOOKUP(G789,CorMove,2,FALSE),FALSE),Q789-$CD$3,R789,$CJ$5)*H789-CJ791</f>
        <v>0</v>
      </c>
      <c r="CH791" s="234">
        <f>_xll.xSPRDOPT((VLOOKUP(G789,NGPREVPRICES,2,FALSE)+HLOOKUP(D789,PREVCURVES,VLOOKUP(G789,MOVE_DOWN2,2,FALSE),FALSE)),VLOOKUP(G789,NGPREVPRICES,2,FALSE),CK791,VLOOKUP(G789,NGPREVPRICES,4,FALSE),HLOOKUP(D789,PREVVOLS,VLOOKUP(G789,MOVE_DOWN2,2,FALSE),FALSE),VLOOKUP(G789,NGPREVPRICES,3,FALSE),HLOOKUP(D789,Correllate,VLOOKUP(G789,CorMove,2,FALSE),FALSE),Q789-$C$3,R789,$CJ$5)*H789-CJ791</f>
        <v>898.70340271724854</v>
      </c>
      <c r="CI791" s="234">
        <f t="shared" si="990"/>
        <v>939.03687480400549</v>
      </c>
      <c r="CJ791" s="234">
        <f>_xll.xSPRDOPT((VLOOKUP(G789,NGPREVPRICES,2,FALSE)+HLOOKUP(D789,PREVCURVES,VLOOKUP(G789,MOVE_DOWN2,2,FALSE),FALSE)),VLOOKUP(G789,NGPREVPRICES,2,FALSE),CK791,VLOOKUP(G789,NGPREVPRICES,4,FALSE),HLOOKUP(D789,PREVVOLS,VLOOKUP(G789,MOVE_DOWN2,2,FALSE),FALSE),VLOOKUP(G789,NGPREVPRICES,3,FALSE),HLOOKUP(D789,Correllate,VLOOKUP(G789,CorMove,2,FALSE),FALSE),Q789-$CD$3,R789,$CJ$5)*H789</f>
        <v>-210305.60438987846</v>
      </c>
      <c r="CK791" s="235">
        <f t="shared" si="991"/>
        <v>1</v>
      </c>
      <c r="CM791" t="str">
        <f t="shared" si="992"/>
        <v>36951Curve Shift/Gamma</v>
      </c>
      <c r="CN791" t="str">
        <f t="shared" si="949"/>
        <v>36951Rho</v>
      </c>
      <c r="CO791" t="str">
        <f t="shared" si="950"/>
        <v>36951Drift</v>
      </c>
      <c r="CP791" t="str">
        <f t="shared" si="951"/>
        <v>36951Vega</v>
      </c>
      <c r="CQ791" t="str">
        <f t="shared" si="952"/>
        <v>36951Theta</v>
      </c>
    </row>
    <row r="792" spans="1:95" x14ac:dyDescent="0.25">
      <c r="A792" s="140" t="s">
        <v>383</v>
      </c>
      <c r="B792" t="s">
        <v>250</v>
      </c>
      <c r="C792" t="s">
        <v>612</v>
      </c>
      <c r="D792" s="4" t="s">
        <v>9</v>
      </c>
      <c r="E792" t="s">
        <v>20</v>
      </c>
      <c r="F792" t="s">
        <v>21</v>
      </c>
      <c r="G792" s="5">
        <v>36892</v>
      </c>
      <c r="H792" s="130">
        <v>-620000</v>
      </c>
      <c r="I792" s="235">
        <v>-0.2</v>
      </c>
      <c r="J792" s="53">
        <f t="shared" si="973"/>
        <v>4.7439999999999998</v>
      </c>
      <c r="K792" s="7">
        <f t="shared" si="974"/>
        <v>-0.36749999999999999</v>
      </c>
      <c r="L792" s="53">
        <f t="shared" si="975"/>
        <v>4.3765000000000001</v>
      </c>
      <c r="M792" s="157">
        <f t="shared" si="976"/>
        <v>6.8374831148490994E-2</v>
      </c>
      <c r="N792" s="4">
        <f t="shared" si="977"/>
        <v>0.60499999999999998</v>
      </c>
      <c r="O792" s="4">
        <f t="shared" si="978"/>
        <v>0.58099999999999996</v>
      </c>
      <c r="P792" s="9">
        <f t="shared" si="979"/>
        <v>0.93</v>
      </c>
      <c r="Q792" s="5">
        <f t="shared" si="980"/>
        <v>36888</v>
      </c>
      <c r="R792" s="4">
        <f t="shared" si="981"/>
        <v>1</v>
      </c>
      <c r="S792" s="158">
        <f>_xll.xSPRDOPT($L792,$J792,$I792,$M792,$O792,$N792,$P792,$Q792-$C$3,$R792,0)</f>
        <v>0.15987947987930848</v>
      </c>
      <c r="T792" s="159">
        <f>_xll.xSPRDOPT($L792,$J792,$I792,$M792,$O792,$N792,$P792,$Q792-$C$3,$R792,1)*H792</f>
        <v>-250960.16312045502</v>
      </c>
      <c r="U792" s="160">
        <f t="shared" si="982"/>
        <v>-99125.277525171259</v>
      </c>
      <c r="V792" s="159">
        <f>_xll.xSPRDOPT($L792,$J792,$I792,$M792,$O792,$N792,$P792,$Q792-$C$3,$R792,2)*H792</f>
        <v>221329.72868917769</v>
      </c>
      <c r="W792" s="159">
        <f t="shared" si="983"/>
        <v>-29630.434431277332</v>
      </c>
      <c r="X792" s="51" t="str">
        <f t="shared" si="984"/>
        <v>36892IF-NWPL_ROCKY_M</v>
      </c>
      <c r="Y792" s="418">
        <f t="shared" si="985"/>
        <v>-62</v>
      </c>
      <c r="Z792" s="456">
        <f t="shared" si="986"/>
        <v>0.40477445664589518</v>
      </c>
      <c r="AA792" s="456">
        <f>_xll.xSPRDOPT($L792,$J792,$I792,$M792,$O792,$N792,$P792,$Q792-$C$3,$R792,3)</f>
        <v>0.64985584596487589</v>
      </c>
      <c r="AB792" s="456">
        <f>((_xll.xSPRDOPT($L792+AB$5,$J792,$I792,$M792,$O792,$N792,$P792,$Q792-$C$3,$R792,3)*$H792)/10000)/100</f>
        <v>-0.40291062449822307</v>
      </c>
      <c r="AC792" s="456">
        <f>((_xll.xSPRDOPT($L792+$AB$5,$J792,$I792,$M792,$O792,$N792,$P792,$Q792-$C$3,$R792,7)*$H792)/100)</f>
        <v>9395.8379178525047</v>
      </c>
      <c r="AD792" s="456">
        <f>(_xll.xSPRDOPT($L792+$AB$5,$J792,$I792,$M792,$O792,$N792,$P792,$Q792-$C$3,$R792,9)/365)*$H792</f>
        <v>554.42183567727136</v>
      </c>
      <c r="AE792">
        <f t="shared" si="972"/>
        <v>0</v>
      </c>
      <c r="AF792" s="456">
        <f t="shared" si="987"/>
        <v>-2290.3944407952695</v>
      </c>
      <c r="AG792" s="456">
        <f>((_xll.xSPRDOPT($L792,$J792,$I792,$M792,$O792,$N792,$P792,$Q792-$C$3,$R792,6)*$H792)/100)</f>
        <v>-2469.2467451897055</v>
      </c>
      <c r="AH792" s="456">
        <f>((_xll.xSPRDOPT($L792,$J792,$I792,$M792,$O792,$N792,$P792,$Q792-$C$3,$R792,5)*$H792)/100)</f>
        <v>186.24035139179648</v>
      </c>
      <c r="AI792" s="456">
        <f>(((_xll.xSPRDOPT($L792,$J792,$I792,$M792,$O792,$N792,$P792,$Q792-$C$3,$R792,4)*$H792)/10000)/100)-AB792</f>
        <v>2.7964908973679981E-2</v>
      </c>
      <c r="AJ792" s="456"/>
      <c r="CC792" s="141">
        <f t="shared" si="988"/>
        <v>36831</v>
      </c>
      <c r="CD792" s="234">
        <f>_xll.xSPRDOPT((VLOOKUP(G790,NGPrices,2,FALSE)+HLOOKUP(D790,Prices,VLOOKUP(G790,move_down,2,FALSE),FALSE)),VLOOKUP(G790,NGPrices,2,FALSE),I790,VLOOKUP(G790,NGPREVPRICES,4,FALSE),HLOOKUP(D790,PREVVOLS,VLOOKUP(G790,MOVE_DOWN2,2,FALSE),FALSE),VLOOKUP(G790,NGPREVPRICES,3,FALSE),HLOOKUP(D790,Correllate,VLOOKUP(G790,CorMove,2,FALSE),FALSE),Q790-$CD$3,R790,$CD$5)*H790-CJ792</f>
        <v>0</v>
      </c>
      <c r="CE792" s="234">
        <f>_xll.xSPRDOPT((VLOOKUP(G790,NGPREVPRICES,2,FALSE)+HLOOKUP(D790,PREVCURVES,VLOOKUP(G790,MOVE_DOWN2,2,FALSE),FALSE)),VLOOKUP(G790,NGPREVPRICES,2,FALSE),CK792,VLOOKUP(G790,NGPrices,4,FALSE),HLOOKUP(D790,PREVVOLS,VLOOKUP(G790,MOVE_DOWN2,2,FALSE),FALSE),VLOOKUP(G790,NGPREVPRICES,3,FALSE),HLOOKUP(D790,Correllate,VLOOKUP(G790,CorMove,2,FALSE),FALSE),Q790-$CD$3,R790,$CJ$5)*H790-CJ792</f>
        <v>0</v>
      </c>
      <c r="CF792" s="10">
        <f t="shared" si="989"/>
        <v>7.2759105267541599</v>
      </c>
      <c r="CG792" s="234">
        <f>_xll.xSPRDOPT((VLOOKUP(G790,NGPREVPRICES,2,FALSE)+HLOOKUP(D790,PREVCURVES,VLOOKUP(G790,MOVE_DOWN2,2,FALSE),FALSE)),VLOOKUP(G790,NGPREVPRICES,2,FALSE),CK792,VLOOKUP(G790,NGPREVPRICES,4,FALSE),HLOOKUP(D790,VOLS,VLOOKUP(G790,move_down,2,FALSE),FALSE),VLOOKUP(G790,NGPrices,3,FALSE),HLOOKUP(D790,Correllate,VLOOKUP(G790,CorMove,2,FALSE),FALSE),Q790-$CD$3,R790,$CJ$5)*H790-CJ792</f>
        <v>0</v>
      </c>
      <c r="CH792" s="234">
        <f>_xll.xSPRDOPT((VLOOKUP(G790,NGPREVPRICES,2,FALSE)+HLOOKUP(D790,PREVCURVES,VLOOKUP(G790,MOVE_DOWN2,2,FALSE),FALSE)),VLOOKUP(G790,NGPREVPRICES,2,FALSE),CK792,VLOOKUP(G790,NGPREVPRICES,4,FALSE),HLOOKUP(D790,PREVVOLS,VLOOKUP(G790,MOVE_DOWN2,2,FALSE),FALSE),VLOOKUP(G790,NGPREVPRICES,3,FALSE),HLOOKUP(D790,Correllate,VLOOKUP(G790,CorMove,2,FALSE),FALSE),Q790-$C$3,R790,$CJ$5)*H790-CJ792</f>
        <v>633.83239783942554</v>
      </c>
      <c r="CI792" s="234">
        <f t="shared" si="990"/>
        <v>641.1083083661797</v>
      </c>
      <c r="CJ792" s="234">
        <f>_xll.xSPRDOPT((VLOOKUP(G790,NGPREVPRICES,2,FALSE)+HLOOKUP(D790,PREVCURVES,VLOOKUP(G790,MOVE_DOWN2,2,FALSE),FALSE)),VLOOKUP(G790,NGPREVPRICES,2,FALSE),CK792,VLOOKUP(G790,NGPREVPRICES,4,FALSE),HLOOKUP(D790,PREVVOLS,VLOOKUP(G790,MOVE_DOWN2,2,FALSE),FALSE),VLOOKUP(G790,NGPREVPRICES,3,FALSE),HLOOKUP(D790,Correllate,VLOOKUP(G790,CorMove,2,FALSE),FALSE),Q790-$CD$3,R790,$CJ$5)*H790</f>
        <v>-39178.747694908721</v>
      </c>
      <c r="CK792" s="235">
        <f t="shared" si="991"/>
        <v>-0.2</v>
      </c>
      <c r="CM792" t="str">
        <f t="shared" si="992"/>
        <v>36831Curve Shift/Gamma</v>
      </c>
      <c r="CN792" t="str">
        <f t="shared" si="949"/>
        <v>36831Rho</v>
      </c>
      <c r="CO792" t="str">
        <f t="shared" si="950"/>
        <v>36831Drift</v>
      </c>
      <c r="CP792" t="str">
        <f t="shared" si="951"/>
        <v>36831Vega</v>
      </c>
      <c r="CQ792" t="str">
        <f t="shared" si="952"/>
        <v>36831Theta</v>
      </c>
    </row>
    <row r="793" spans="1:95" x14ac:dyDescent="0.25">
      <c r="A793" s="140" t="s">
        <v>383</v>
      </c>
      <c r="B793" t="s">
        <v>250</v>
      </c>
      <c r="C793" t="s">
        <v>612</v>
      </c>
      <c r="D793" s="4" t="s">
        <v>9</v>
      </c>
      <c r="E793" t="s">
        <v>20</v>
      </c>
      <c r="F793" t="s">
        <v>21</v>
      </c>
      <c r="G793" s="5">
        <v>36923</v>
      </c>
      <c r="H793" s="130">
        <v>-560000</v>
      </c>
      <c r="I793" s="235">
        <v>-0.2</v>
      </c>
      <c r="J793" s="53">
        <f t="shared" si="973"/>
        <v>4.4800000000000004</v>
      </c>
      <c r="K793" s="7">
        <f t="shared" si="974"/>
        <v>-0.38750000000000001</v>
      </c>
      <c r="L793" s="53">
        <f t="shared" si="975"/>
        <v>4.0925000000000002</v>
      </c>
      <c r="M793" s="157">
        <f t="shared" si="976"/>
        <v>6.8640161611372E-2</v>
      </c>
      <c r="N793" s="4">
        <f t="shared" si="977"/>
        <v>0.59250000000000003</v>
      </c>
      <c r="O793" s="4">
        <f t="shared" si="978"/>
        <v>0.56899999999999995</v>
      </c>
      <c r="P793" s="9">
        <f t="shared" si="979"/>
        <v>0.93</v>
      </c>
      <c r="Q793" s="5">
        <f t="shared" si="980"/>
        <v>36921</v>
      </c>
      <c r="R793" s="4">
        <f t="shared" si="981"/>
        <v>1</v>
      </c>
      <c r="S793" s="158">
        <f>_xll.xSPRDOPT($L793,$J793,$I793,$M793,$O793,$N793,$P793,$Q793-$C$3,$R793,0)</f>
        <v>0.16027552697135308</v>
      </c>
      <c r="T793" s="159">
        <f>_xll.xSPRDOPT($L793,$J793,$I793,$M793,$O793,$N793,$P793,$Q793-$C$3,$R793,1)*H793</f>
        <v>-222100.93569325728</v>
      </c>
      <c r="U793" s="160">
        <f t="shared" si="982"/>
        <v>-89754.295103957731</v>
      </c>
      <c r="V793" s="159">
        <f>_xll.xSPRDOPT($L793,$J793,$I793,$M793,$O793,$N793,$P793,$Q793-$C$3,$R793,2)*H793</f>
        <v>192934.66961997325</v>
      </c>
      <c r="W793" s="159">
        <f t="shared" si="983"/>
        <v>-29166.26607328403</v>
      </c>
      <c r="X793" s="51" t="str">
        <f t="shared" si="984"/>
        <v>36923IF-NWPL_ROCKY_M</v>
      </c>
      <c r="Y793" s="418">
        <f t="shared" si="985"/>
        <v>-56</v>
      </c>
      <c r="Z793" s="456">
        <f t="shared" si="986"/>
        <v>0.39660881373795942</v>
      </c>
      <c r="AA793" s="456">
        <f>_xll.xSPRDOPT($L793,$J793,$I793,$M793,$O793,$N793,$P793,$Q793-$C$3,$R793,3)</f>
        <v>0.6208767839316911</v>
      </c>
      <c r="AB793" s="456">
        <f>((_xll.xSPRDOPT($L793+AB$5,$J793,$I793,$M793,$O793,$N793,$P793,$Q793-$C$3,$R793,3)*$H793)/10000)/100</f>
        <v>-0.34769099900174699</v>
      </c>
      <c r="AC793" s="456">
        <f>((_xll.xSPRDOPT($L793+$AB$5,$J793,$I793,$M793,$O793,$N793,$P793,$Q793-$C$3,$R793,7)*$H793)/100)</f>
        <v>8680.4978461843912</v>
      </c>
      <c r="AD793" s="456">
        <f>(_xll.xSPRDOPT($L793+$AB$5,$J793,$I793,$M793,$O793,$N793,$P793,$Q793-$C$3,$R793,9)/365)*$H793</f>
        <v>400.78598323521783</v>
      </c>
      <c r="AE793">
        <f t="shared" si="972"/>
        <v>0</v>
      </c>
      <c r="AF793" s="456">
        <f t="shared" si="987"/>
        <v>-2169.6656824956563</v>
      </c>
      <c r="AG793" s="456">
        <f>((_xll.xSPRDOPT($L793,$J793,$I793,$M793,$O793,$N793,$P793,$Q793-$C$3,$R793,6)*$H793)/100)</f>
        <v>-2378.3891850188784</v>
      </c>
      <c r="AH793" s="456">
        <f>((_xll.xSPRDOPT($L793,$J793,$I793,$M793,$O793,$N793,$P793,$Q793-$C$3,$R793,5)*$H793)/100)</f>
        <v>217.34389322497231</v>
      </c>
      <c r="AI793" s="456">
        <f>(((_xll.xSPRDOPT($L793,$J793,$I793,$M793,$O793,$N793,$P793,$Q793-$C$3,$R793,4)*$H793)/10000)/100)-AB793</f>
        <v>2.8506779265632332E-2</v>
      </c>
      <c r="AJ793" s="456"/>
      <c r="CC793" s="141">
        <f t="shared" si="988"/>
        <v>36861</v>
      </c>
      <c r="CD793" s="234">
        <f>_xll.xSPRDOPT((VLOOKUP(G791,NGPrices,2,FALSE)+HLOOKUP(D791,Prices,VLOOKUP(G791,move_down,2,FALSE),FALSE)),VLOOKUP(G791,NGPrices,2,FALSE),I791,VLOOKUP(G791,NGPREVPRICES,4,FALSE),HLOOKUP(D791,PREVVOLS,VLOOKUP(G791,MOVE_DOWN2,2,FALSE),FALSE),VLOOKUP(G791,NGPREVPRICES,3,FALSE),HLOOKUP(D791,Correllate,VLOOKUP(G791,CorMove,2,FALSE),FALSE),Q791-$CD$3,R791,$CD$5)*H791-CJ793</f>
        <v>0</v>
      </c>
      <c r="CE793" s="234">
        <f>_xll.xSPRDOPT((VLOOKUP(G791,NGPREVPRICES,2,FALSE)+HLOOKUP(D791,PREVCURVES,VLOOKUP(G791,MOVE_DOWN2,2,FALSE),FALSE)),VLOOKUP(G791,NGPREVPRICES,2,FALSE),CK793,VLOOKUP(G791,NGPrices,4,FALSE),HLOOKUP(D791,PREVVOLS,VLOOKUP(G791,MOVE_DOWN2,2,FALSE),FALSE),VLOOKUP(G791,NGPREVPRICES,3,FALSE),HLOOKUP(D791,Correllate,VLOOKUP(G791,CorMove,2,FALSE),FALSE),Q791-$CD$3,R791,$CJ$5)*H791-CJ793</f>
        <v>0</v>
      </c>
      <c r="CF793" s="10">
        <f t="shared" si="989"/>
        <v>16.006008193304297</v>
      </c>
      <c r="CG793" s="234">
        <f>_xll.xSPRDOPT((VLOOKUP(G791,NGPREVPRICES,2,FALSE)+HLOOKUP(D791,PREVCURVES,VLOOKUP(G791,MOVE_DOWN2,2,FALSE),FALSE)),VLOOKUP(G791,NGPREVPRICES,2,FALSE),CK793,VLOOKUP(G791,NGPREVPRICES,4,FALSE),HLOOKUP(D791,VOLS,VLOOKUP(G791,move_down,2,FALSE),FALSE),VLOOKUP(G791,NGPrices,3,FALSE),HLOOKUP(D791,Correllate,VLOOKUP(G791,CorMove,2,FALSE),FALSE),Q791-$CD$3,R791,$CJ$5)*H791-CJ793</f>
        <v>0</v>
      </c>
      <c r="CH793" s="234">
        <f>_xll.xSPRDOPT((VLOOKUP(G791,NGPREVPRICES,2,FALSE)+HLOOKUP(D791,PREVCURVES,VLOOKUP(G791,MOVE_DOWN2,2,FALSE),FALSE)),VLOOKUP(G791,NGPREVPRICES,2,FALSE),CK793,VLOOKUP(G791,NGPREVPRICES,4,FALSE),HLOOKUP(D791,PREVVOLS,VLOOKUP(G791,MOVE_DOWN2,2,FALSE),FALSE),VLOOKUP(G791,NGPREVPRICES,3,FALSE),HLOOKUP(D791,Correllate,VLOOKUP(G791,CorMove,2,FALSE),FALSE),Q791-$C$3,R791,$CJ$5)*H791-CJ793</f>
        <v>641.94964037879254</v>
      </c>
      <c r="CI793" s="234">
        <f t="shared" si="990"/>
        <v>657.95564857209683</v>
      </c>
      <c r="CJ793" s="234">
        <f>_xll.xSPRDOPT((VLOOKUP(G791,NGPREVPRICES,2,FALSE)+HLOOKUP(D791,PREVCURVES,VLOOKUP(G791,MOVE_DOWN2,2,FALSE),FALSE)),VLOOKUP(G791,NGPREVPRICES,2,FALSE),CK793,VLOOKUP(G791,NGPREVPRICES,4,FALSE),HLOOKUP(D791,PREVVOLS,VLOOKUP(G791,MOVE_DOWN2,2,FALSE),FALSE),VLOOKUP(G791,NGPREVPRICES,3,FALSE),HLOOKUP(D791,Correllate,VLOOKUP(G791,CorMove,2,FALSE),FALSE),Q791-$CD$3,R791,$CJ$5)*H791</f>
        <v>-85439.226070136341</v>
      </c>
      <c r="CK793" s="235">
        <f t="shared" si="991"/>
        <v>-0.2</v>
      </c>
      <c r="CM793" t="str">
        <f t="shared" si="992"/>
        <v>36861Curve Shift/Gamma</v>
      </c>
      <c r="CN793" t="str">
        <f t="shared" si="949"/>
        <v>36861Rho</v>
      </c>
      <c r="CO793" t="str">
        <f t="shared" si="950"/>
        <v>36861Drift</v>
      </c>
      <c r="CP793" t="str">
        <f t="shared" si="951"/>
        <v>36861Vega</v>
      </c>
      <c r="CQ793" t="str">
        <f t="shared" si="952"/>
        <v>36861Theta</v>
      </c>
    </row>
    <row r="794" spans="1:95" x14ac:dyDescent="0.25">
      <c r="A794" s="140" t="s">
        <v>383</v>
      </c>
      <c r="B794" t="s">
        <v>250</v>
      </c>
      <c r="C794" t="s">
        <v>612</v>
      </c>
      <c r="D794" s="4" t="s">
        <v>9</v>
      </c>
      <c r="E794" t="s">
        <v>20</v>
      </c>
      <c r="F794" t="s">
        <v>21</v>
      </c>
      <c r="G794" s="5">
        <v>36951</v>
      </c>
      <c r="H794" s="130">
        <v>-620000</v>
      </c>
      <c r="I794" s="235">
        <v>-0.2</v>
      </c>
      <c r="J794" s="53">
        <f t="shared" si="973"/>
        <v>4.2130000000000001</v>
      </c>
      <c r="K794" s="7">
        <f t="shared" si="974"/>
        <v>-0.39750000000000002</v>
      </c>
      <c r="L794" s="53">
        <f t="shared" si="975"/>
        <v>3.8155000000000001</v>
      </c>
      <c r="M794" s="157">
        <f t="shared" si="976"/>
        <v>6.8879814952706994E-2</v>
      </c>
      <c r="N794" s="4">
        <f t="shared" si="977"/>
        <v>0.53249999999999997</v>
      </c>
      <c r="O794" s="4">
        <f t="shared" si="978"/>
        <v>0.51100000000000001</v>
      </c>
      <c r="P794" s="9">
        <f t="shared" si="979"/>
        <v>0.93</v>
      </c>
      <c r="Q794" s="5">
        <f t="shared" si="980"/>
        <v>36949</v>
      </c>
      <c r="R794" s="4">
        <f t="shared" si="981"/>
        <v>1</v>
      </c>
      <c r="S794" s="158">
        <f>_xll.xSPRDOPT($L794,$J794,$I794,$M794,$O794,$N794,$P794,$Q794-$C$3,$R794,0)</f>
        <v>0.13695381884444394</v>
      </c>
      <c r="T794" s="159">
        <f>_xll.xSPRDOPT($L794,$J794,$I794,$M794,$O794,$N794,$P794,$Q794-$C$3,$R794,1)*H794</f>
        <v>-233754.77094962227</v>
      </c>
      <c r="U794" s="160">
        <f t="shared" si="982"/>
        <v>-84911.367683555247</v>
      </c>
      <c r="V794" s="159">
        <f>_xll.xSPRDOPT($L794,$J794,$I794,$M794,$O794,$N794,$P794,$Q794-$C$3,$R794,2)*H794</f>
        <v>202868.36517051861</v>
      </c>
      <c r="W794" s="159">
        <f t="shared" si="983"/>
        <v>-30886.405779103661</v>
      </c>
      <c r="X794" s="51" t="str">
        <f t="shared" si="984"/>
        <v>36951IF-NWPL_ROCKY_M</v>
      </c>
      <c r="Y794" s="418">
        <f t="shared" si="985"/>
        <v>-62</v>
      </c>
      <c r="Z794" s="456">
        <f t="shared" si="986"/>
        <v>0.37702382411229396</v>
      </c>
      <c r="AA794" s="456">
        <f>_xll.xSPRDOPT($L794,$J794,$I794,$M794,$O794,$N794,$P794,$Q794-$C$3,$R794,3)</f>
        <v>0.66727274518628554</v>
      </c>
      <c r="AB794" s="456">
        <f>((_xll.xSPRDOPT($L794+AB$5,$J794,$I794,$M794,$O794,$N794,$P794,$Q794-$C$3,$R794,3)*$H794)/10000)/100</f>
        <v>-0.41370910201549704</v>
      </c>
      <c r="AC794" s="456">
        <f>((_xll.xSPRDOPT($L794+$AB$5,$J794,$I794,$M794,$O794,$N794,$P794,$Q794-$C$3,$R794,7)*$H794)/100)</f>
        <v>8593.184028256992</v>
      </c>
      <c r="AD794" s="456">
        <f>(_xll.xSPRDOPT($L794+$AB$5,$J794,$I794,$M794,$O794,$N794,$P794,$Q794-$C$3,$R794,9)/365)*$H794</f>
        <v>335.68591155262504</v>
      </c>
      <c r="AE794">
        <f t="shared" si="972"/>
        <v>0</v>
      </c>
      <c r="AF794" s="456">
        <f t="shared" si="987"/>
        <v>-2402.5295698322116</v>
      </c>
      <c r="AG794" s="456">
        <f>((_xll.xSPRDOPT($L794,$J794,$I794,$M794,$O794,$N794,$P794,$Q794-$C$3,$R794,6)*$H794)/100)</f>
        <v>-2694.0023898402019</v>
      </c>
      <c r="AH794" s="456">
        <f>((_xll.xSPRDOPT($L794,$J794,$I794,$M794,$O794,$N794,$P794,$Q794-$C$3,$R794,5)*$H794)/100)</f>
        <v>303.73635353083159</v>
      </c>
      <c r="AI794" s="456">
        <f>(((_xll.xSPRDOPT($L794,$J794,$I794,$M794,$O794,$N794,$P794,$Q794-$C$3,$R794,4)*$H794)/10000)/100)-AB794</f>
        <v>3.7840733546500804E-2</v>
      </c>
      <c r="AJ794" s="456"/>
      <c r="CC794" s="141">
        <f t="shared" si="988"/>
        <v>36892</v>
      </c>
      <c r="CD794" s="234">
        <f>_xll.xSPRDOPT((VLOOKUP(G792,NGPrices,2,FALSE)+HLOOKUP(D792,Prices,VLOOKUP(G792,move_down,2,FALSE),FALSE)),VLOOKUP(G792,NGPrices,2,FALSE),I792,VLOOKUP(G792,NGPREVPRICES,4,FALSE),HLOOKUP(D792,PREVVOLS,VLOOKUP(G792,MOVE_DOWN2,2,FALSE),FALSE),VLOOKUP(G792,NGPREVPRICES,3,FALSE),HLOOKUP(D792,Correllate,VLOOKUP(G792,CorMove,2,FALSE),FALSE),Q792-$CD$3,R792,$CD$5)*H792-CJ794</f>
        <v>0</v>
      </c>
      <c r="CE794" s="234">
        <f>_xll.xSPRDOPT((VLOOKUP(G792,NGPREVPRICES,2,FALSE)+HLOOKUP(D792,PREVCURVES,VLOOKUP(G792,MOVE_DOWN2,2,FALSE),FALSE)),VLOOKUP(G792,NGPREVPRICES,2,FALSE),CK794,VLOOKUP(G792,NGPrices,4,FALSE),HLOOKUP(D792,PREVVOLS,VLOOKUP(G792,MOVE_DOWN2,2,FALSE),FALSE),VLOOKUP(G792,NGPREVPRICES,3,FALSE),HLOOKUP(D792,Correllate,VLOOKUP(G792,CorMove,2,FALSE),FALSE),Q792-$CD$3,R792,$CJ$5)*H792-CJ794</f>
        <v>0</v>
      </c>
      <c r="CF794" s="10">
        <f t="shared" si="989"/>
        <v>18.783462222650996</v>
      </c>
      <c r="CG794" s="234">
        <f>_xll.xSPRDOPT((VLOOKUP(G792,NGPREVPRICES,2,FALSE)+HLOOKUP(D792,PREVCURVES,VLOOKUP(G792,MOVE_DOWN2,2,FALSE),FALSE)),VLOOKUP(G792,NGPREVPRICES,2,FALSE),CK794,VLOOKUP(G792,NGPREVPRICES,4,FALSE),HLOOKUP(D792,VOLS,VLOOKUP(G792,move_down,2,FALSE),FALSE),VLOOKUP(G792,NGPrices,3,FALSE),HLOOKUP(D792,Correllate,VLOOKUP(G792,CorMove,2,FALSE),FALSE),Q792-$CD$3,R792,$CJ$5)*H792-CJ794</f>
        <v>0</v>
      </c>
      <c r="CH794" s="234">
        <f>_xll.xSPRDOPT((VLOOKUP(G792,NGPREVPRICES,2,FALSE)+HLOOKUP(D792,PREVCURVES,VLOOKUP(G792,MOVE_DOWN2,2,FALSE),FALSE)),VLOOKUP(G792,NGPREVPRICES,2,FALSE),CK794,VLOOKUP(G792,NGPREVPRICES,4,FALSE),HLOOKUP(D792,PREVVOLS,VLOOKUP(G792,MOVE_DOWN2,2,FALSE),FALSE),VLOOKUP(G792,NGPREVPRICES,3,FALSE),HLOOKUP(D792,Correllate,VLOOKUP(G792,CorMove,2,FALSE),FALSE),Q792-$C$3,R792,$CJ$5)*H792-CJ794</f>
        <v>552.8490935923619</v>
      </c>
      <c r="CI794" s="234">
        <f t="shared" si="990"/>
        <v>571.63255581501289</v>
      </c>
      <c r="CJ794" s="234">
        <f>_xll.xSPRDOPT((VLOOKUP(G792,NGPREVPRICES,2,FALSE)+HLOOKUP(D792,PREVCURVES,VLOOKUP(G792,MOVE_DOWN2,2,FALSE),FALSE)),VLOOKUP(G792,NGPREVPRICES,2,FALSE),CK794,VLOOKUP(G792,NGPREVPRICES,4,FALSE),HLOOKUP(D792,PREVVOLS,VLOOKUP(G792,MOVE_DOWN2,2,FALSE),FALSE),VLOOKUP(G792,NGPREVPRICES,3,FALSE),HLOOKUP(D792,Correllate,VLOOKUP(G792,CorMove,2,FALSE),FALSE),Q792-$CD$3,R792,$CJ$5)*H792</f>
        <v>-99678.126618763621</v>
      </c>
      <c r="CK794" s="235">
        <f t="shared" si="991"/>
        <v>-0.2</v>
      </c>
      <c r="CM794" t="str">
        <f t="shared" si="992"/>
        <v>36892Curve Shift/Gamma</v>
      </c>
      <c r="CN794" t="str">
        <f t="shared" si="949"/>
        <v>36892Rho</v>
      </c>
      <c r="CO794" t="str">
        <f t="shared" si="950"/>
        <v>36892Drift</v>
      </c>
      <c r="CP794" t="str">
        <f t="shared" si="951"/>
        <v>36892Vega</v>
      </c>
      <c r="CQ794" t="str">
        <f t="shared" si="952"/>
        <v>36892Theta</v>
      </c>
    </row>
    <row r="795" spans="1:95" x14ac:dyDescent="0.25">
      <c r="A795" s="140" t="s">
        <v>383</v>
      </c>
      <c r="B795" t="s">
        <v>250</v>
      </c>
      <c r="C795" t="s">
        <v>613</v>
      </c>
      <c r="D795" s="4" t="s">
        <v>9</v>
      </c>
      <c r="E795" t="s">
        <v>20</v>
      </c>
      <c r="F795" t="s">
        <v>1</v>
      </c>
      <c r="G795" s="5">
        <v>36831</v>
      </c>
      <c r="H795" s="130">
        <v>-600000</v>
      </c>
      <c r="I795" s="235">
        <v>-0.5</v>
      </c>
      <c r="J795" s="53">
        <f t="shared" si="973"/>
        <v>4.7359999999999998</v>
      </c>
      <c r="K795" s="7">
        <f t="shared" si="974"/>
        <v>-0.46750000000000003</v>
      </c>
      <c r="L795" s="53">
        <f t="shared" si="975"/>
        <v>4.2684999999999995</v>
      </c>
      <c r="M795" s="157">
        <f t="shared" si="976"/>
        <v>6.810675983792E-2</v>
      </c>
      <c r="N795" s="4">
        <f t="shared" si="977"/>
        <v>0.59499999999999997</v>
      </c>
      <c r="O795" s="4">
        <f t="shared" si="978"/>
        <v>0.57099999999999995</v>
      </c>
      <c r="P795" s="9">
        <f t="shared" si="979"/>
        <v>0.93</v>
      </c>
      <c r="Q795" s="5">
        <f t="shared" si="980"/>
        <v>36829</v>
      </c>
      <c r="R795" s="4">
        <f t="shared" si="981"/>
        <v>0</v>
      </c>
      <c r="S795" s="158">
        <f>_xll.xSPRDOPT($L795,$J795,$I795,$M795,$O795,$N795,$P795,$Q795-$C$3,$R795,0)</f>
        <v>0.15643732650531653</v>
      </c>
      <c r="T795" s="159">
        <f>_xll.xSPRDOPT($L795,$J795,$I795,$M795,$O795,$N795,$P795,$Q795-$C$3,$R795,1)*H795</f>
        <v>269496.62456581404</v>
      </c>
      <c r="U795" s="160">
        <f t="shared" si="982"/>
        <v>-93862.395903189914</v>
      </c>
      <c r="V795" s="159">
        <f>_xll.xSPRDOPT($L795,$J795,$I795,$M795,$O795,$N795,$P795,$Q795-$C$3,$R795,2)*H795</f>
        <v>-290045.97243119351</v>
      </c>
      <c r="W795" s="159">
        <f t="shared" si="983"/>
        <v>-20549.347865379474</v>
      </c>
      <c r="X795" s="51" t="str">
        <f t="shared" si="984"/>
        <v>36831IF-NWPL_ROCKY_M</v>
      </c>
      <c r="Y795" s="418">
        <f t="shared" si="985"/>
        <v>-60</v>
      </c>
      <c r="Z795" s="456">
        <f t="shared" si="986"/>
        <v>-0.44916104094302339</v>
      </c>
      <c r="AA795" s="456">
        <f>_xll.xSPRDOPT($L795,$J795,$I795,$M795,$O795,$N795,$P795,$Q795-$C$3,$R795,3)</f>
        <v>0.8965524333711723</v>
      </c>
      <c r="AB795" s="456">
        <f>((_xll.xSPRDOPT($L795+AB$5,$J795,$I795,$M795,$O795,$N795,$P795,$Q795-$C$3,$R795,3)*$H795)/10000)/100</f>
        <v>-0.53793146002270342</v>
      </c>
      <c r="AC795" s="456">
        <f>((_xll.xSPRDOPT($L795+$AB$5,$J795,$I795,$M795,$O795,$N795,$P795,$Q795-$C$3,$R795,7)*$H795)/100)</f>
        <v>6305.1558576915941</v>
      </c>
      <c r="AD795" s="456">
        <f>(_xll.xSPRDOPT($L795+$AB$5,$J795,$I795,$M795,$O795,$N795,$P795,$Q795-$C$3,$R795,9)/365)*$H795</f>
        <v>813.64979972621688</v>
      </c>
      <c r="AE795">
        <f t="shared" si="972"/>
        <v>0</v>
      </c>
      <c r="AF795" s="456">
        <f t="shared" si="987"/>
        <v>-1730.9879769373297</v>
      </c>
      <c r="AG795" s="456">
        <f>((_xll.xSPRDOPT($L795,$J795,$I795,$M795,$O795,$N795,$P795,$Q795-$C$3,$R795,6)*$H795)/100)</f>
        <v>-2469.4362719062215</v>
      </c>
      <c r="AH795" s="456">
        <f>((_xll.xSPRDOPT($L795,$J795,$I795,$M795,$O795,$N795,$P795,$Q795-$C$3,$R795,5)*$H795)/100)</f>
        <v>769.48640193781205</v>
      </c>
      <c r="AI795" s="456">
        <f>(((_xll.xSPRDOPT($L795,$J795,$I795,$M795,$O795,$N795,$P795,$Q795-$C$3,$R795,4)*$H795)/10000)/100)-AB795</f>
        <v>-6.1063883843838207E-3</v>
      </c>
      <c r="AJ795" s="456"/>
      <c r="CC795" s="141">
        <f t="shared" si="988"/>
        <v>36923</v>
      </c>
      <c r="CD795" s="234">
        <f>_xll.xSPRDOPT((VLOOKUP(G793,NGPrices,2,FALSE)+HLOOKUP(D793,Prices,VLOOKUP(G793,move_down,2,FALSE),FALSE)),VLOOKUP(G793,NGPrices,2,FALSE),I793,VLOOKUP(G793,NGPREVPRICES,4,FALSE),HLOOKUP(D793,PREVVOLS,VLOOKUP(G793,MOVE_DOWN2,2,FALSE),FALSE),VLOOKUP(G793,NGPREVPRICES,3,FALSE),HLOOKUP(D793,Correllate,VLOOKUP(G793,CorMove,2,FALSE),FALSE),Q793-$CD$3,R793,$CD$5)*H793-CJ795</f>
        <v>0</v>
      </c>
      <c r="CE795" s="234">
        <f>_xll.xSPRDOPT((VLOOKUP(G793,NGPREVPRICES,2,FALSE)+HLOOKUP(D793,PREVCURVES,VLOOKUP(G793,MOVE_DOWN2,2,FALSE),FALSE)),VLOOKUP(G793,NGPREVPRICES,2,FALSE),CK795,VLOOKUP(G793,NGPrices,4,FALSE),HLOOKUP(D793,PREVVOLS,VLOOKUP(G793,MOVE_DOWN2,2,FALSE),FALSE),VLOOKUP(G793,NGPREVPRICES,3,FALSE),HLOOKUP(D793,Correllate,VLOOKUP(G793,CorMove,2,FALSE),FALSE),Q793-$CD$3,R793,$CJ$5)*H793-CJ795</f>
        <v>0</v>
      </c>
      <c r="CF795" s="10">
        <f t="shared" si="989"/>
        <v>17.146272781232256</v>
      </c>
      <c r="CG795" s="234">
        <f>_xll.xSPRDOPT((VLOOKUP(G793,NGPREVPRICES,2,FALSE)+HLOOKUP(D793,PREVCURVES,VLOOKUP(G793,MOVE_DOWN2,2,FALSE),FALSE)),VLOOKUP(G793,NGPREVPRICES,2,FALSE),CK795,VLOOKUP(G793,NGPREVPRICES,4,FALSE),HLOOKUP(D793,VOLS,VLOOKUP(G793,move_down,2,FALSE),FALSE),VLOOKUP(G793,NGPrices,3,FALSE),HLOOKUP(D793,Correllate,VLOOKUP(G793,CorMove,2,FALSE),FALSE),Q793-$CD$3,R793,$CJ$5)*H793-CJ795</f>
        <v>0</v>
      </c>
      <c r="CH795" s="234">
        <f>_xll.xSPRDOPT((VLOOKUP(G793,NGPREVPRICES,2,FALSE)+HLOOKUP(D793,PREVCURVES,VLOOKUP(G793,MOVE_DOWN2,2,FALSE),FALSE)),VLOOKUP(G793,NGPREVPRICES,2,FALSE),CK795,VLOOKUP(G793,NGPREVPRICES,4,FALSE),HLOOKUP(D793,PREVVOLS,VLOOKUP(G793,MOVE_DOWN2,2,FALSE),FALSE),VLOOKUP(G793,NGPREVPRICES,3,FALSE),HLOOKUP(D793,Correllate,VLOOKUP(G793,CorMove,2,FALSE),FALSE),Q793-$C$3,R793,$CJ$5)*H793-CJ795</f>
        <v>399.81964313141361</v>
      </c>
      <c r="CI795" s="234">
        <f t="shared" si="990"/>
        <v>416.96591591264587</v>
      </c>
      <c r="CJ795" s="234">
        <f>_xll.xSPRDOPT((VLOOKUP(G793,NGPREVPRICES,2,FALSE)+HLOOKUP(D793,PREVCURVES,VLOOKUP(G793,MOVE_DOWN2,2,FALSE),FALSE)),VLOOKUP(G793,NGPREVPRICES,2,FALSE),CK795,VLOOKUP(G793,NGPREVPRICES,4,FALSE),HLOOKUP(D793,PREVVOLS,VLOOKUP(G793,MOVE_DOWN2,2,FALSE),FALSE),VLOOKUP(G793,NGPREVPRICES,3,FALSE),HLOOKUP(D793,Correllate,VLOOKUP(G793,CorMove,2,FALSE),FALSE),Q793-$CD$3,R793,$CJ$5)*H793</f>
        <v>-90154.114747089145</v>
      </c>
      <c r="CK795" s="235">
        <f t="shared" si="991"/>
        <v>-0.2</v>
      </c>
      <c r="CM795" t="str">
        <f t="shared" si="992"/>
        <v>36923Curve Shift/Gamma</v>
      </c>
      <c r="CN795" t="str">
        <f t="shared" si="949"/>
        <v>36923Rho</v>
      </c>
      <c r="CO795" t="str">
        <f t="shared" si="950"/>
        <v>36923Drift</v>
      </c>
      <c r="CP795" t="str">
        <f t="shared" si="951"/>
        <v>36923Vega</v>
      </c>
      <c r="CQ795" t="str">
        <f t="shared" si="952"/>
        <v>36923Theta</v>
      </c>
    </row>
    <row r="796" spans="1:95" x14ac:dyDescent="0.25">
      <c r="A796" s="140" t="s">
        <v>383</v>
      </c>
      <c r="B796" t="s">
        <v>250</v>
      </c>
      <c r="C796" t="s">
        <v>613</v>
      </c>
      <c r="D796" s="4" t="s">
        <v>9</v>
      </c>
      <c r="E796" t="s">
        <v>20</v>
      </c>
      <c r="F796" t="s">
        <v>1</v>
      </c>
      <c r="G796" s="5">
        <v>36861</v>
      </c>
      <c r="H796" s="130">
        <v>-620000</v>
      </c>
      <c r="I796" s="235">
        <v>-0.5</v>
      </c>
      <c r="J796" s="53">
        <f t="shared" si="973"/>
        <v>4.8</v>
      </c>
      <c r="K796" s="7">
        <f t="shared" si="974"/>
        <v>-0.35749999999999998</v>
      </c>
      <c r="L796" s="53">
        <f t="shared" si="975"/>
        <v>4.4424999999999999</v>
      </c>
      <c r="M796" s="157">
        <f t="shared" si="976"/>
        <v>6.8314027999354002E-2</v>
      </c>
      <c r="N796" s="4">
        <f t="shared" si="977"/>
        <v>0.6</v>
      </c>
      <c r="O796" s="4">
        <f t="shared" si="978"/>
        <v>0.57599999999999996</v>
      </c>
      <c r="P796" s="9">
        <f t="shared" si="979"/>
        <v>0.93</v>
      </c>
      <c r="Q796" s="5">
        <f t="shared" si="980"/>
        <v>36859</v>
      </c>
      <c r="R796" s="4">
        <f t="shared" si="981"/>
        <v>0</v>
      </c>
      <c r="S796" s="158">
        <f>_xll.xSPRDOPT($L796,$J796,$I796,$M796,$O796,$N796,$P796,$Q796-$C$3,$R796,0)</f>
        <v>0.15212588056155538</v>
      </c>
      <c r="T796" s="159">
        <f>_xll.xSPRDOPT($L796,$J796,$I796,$M796,$O796,$N796,$P796,$Q796-$C$3,$R796,1)*H796</f>
        <v>230598.76960313451</v>
      </c>
      <c r="U796" s="160">
        <f t="shared" si="982"/>
        <v>-94318.045948164334</v>
      </c>
      <c r="V796" s="159">
        <f>_xll.xSPRDOPT($L796,$J796,$I796,$M796,$O796,$N796,$P796,$Q796-$C$3,$R796,2)*H796</f>
        <v>-255836.91121715913</v>
      </c>
      <c r="W796" s="159">
        <f t="shared" si="983"/>
        <v>-25238.141614024615</v>
      </c>
      <c r="X796" s="51" t="str">
        <f t="shared" si="984"/>
        <v>36861IF-NWPL_ROCKY_M</v>
      </c>
      <c r="Y796" s="418">
        <f t="shared" si="985"/>
        <v>-62</v>
      </c>
      <c r="Z796" s="456">
        <f t="shared" si="986"/>
        <v>-0.37193349935989439</v>
      </c>
      <c r="AA796" s="456">
        <f>_xll.xSPRDOPT($L796,$J796,$I796,$M796,$O796,$N796,$P796,$Q796-$C$3,$R796,3)</f>
        <v>0.67422738818343919</v>
      </c>
      <c r="AB796" s="456">
        <f>((_xll.xSPRDOPT($L796+AB$5,$J796,$I796,$M796,$O796,$N796,$P796,$Q796-$C$3,$R796,3)*$H796)/10000)/100</f>
        <v>-0.41802098067373228</v>
      </c>
      <c r="AC796" s="456">
        <f>((_xll.xSPRDOPT($L796+$AB$5,$J796,$I796,$M796,$O796,$N796,$P796,$Q796-$C$3,$R796,7)*$H796)/100)</f>
        <v>7966.7872381904954</v>
      </c>
      <c r="AD796" s="456">
        <f>(_xll.xSPRDOPT($L796+$AB$5,$J796,$I796,$M796,$O796,$N796,$P796,$Q796-$C$3,$R796,9)/365)*$H796</f>
        <v>683.59001264979315</v>
      </c>
      <c r="AE796">
        <f t="shared" si="972"/>
        <v>0</v>
      </c>
      <c r="AF796" s="456">
        <f t="shared" si="987"/>
        <v>-2149.0057984816731</v>
      </c>
      <c r="AG796" s="456">
        <f>((_xll.xSPRDOPT($L796,$J796,$I796,$M796,$O796,$N796,$P796,$Q796-$C$3,$R796,6)*$H796)/100)</f>
        <v>-3007.002908325981</v>
      </c>
      <c r="AH796" s="456">
        <f>((_xll.xSPRDOPT($L796,$J796,$I796,$M796,$O796,$N796,$P796,$Q796-$C$3,$R796,5)*$H796)/100)</f>
        <v>893.74698942115424</v>
      </c>
      <c r="AI796" s="456">
        <f>(((_xll.xSPRDOPT($L796,$J796,$I796,$M796,$O796,$N796,$P796,$Q796-$C$3,$R796,4)*$H796)/10000)/100)-AB796</f>
        <v>-2.2974058609379511E-2</v>
      </c>
      <c r="AJ796" s="456"/>
      <c r="CC796" s="141">
        <f t="shared" si="988"/>
        <v>36951</v>
      </c>
      <c r="CD796" s="234">
        <f>_xll.xSPRDOPT((VLOOKUP(G794,NGPrices,2,FALSE)+HLOOKUP(D794,Prices,VLOOKUP(G794,move_down,2,FALSE),FALSE)),VLOOKUP(G794,NGPrices,2,FALSE),I794,VLOOKUP(G794,NGPREVPRICES,4,FALSE),HLOOKUP(D794,PREVVOLS,VLOOKUP(G794,MOVE_DOWN2,2,FALSE),FALSE),VLOOKUP(G794,NGPREVPRICES,3,FALSE),HLOOKUP(D794,Correllate,VLOOKUP(G794,CorMove,2,FALSE),FALSE),Q794-$CD$3,R794,$CD$5)*H794-CJ796</f>
        <v>0</v>
      </c>
      <c r="CE796" s="234">
        <f>_xll.xSPRDOPT((VLOOKUP(G794,NGPREVPRICES,2,FALSE)+HLOOKUP(D794,PREVCURVES,VLOOKUP(G794,MOVE_DOWN2,2,FALSE),FALSE)),VLOOKUP(G794,NGPREVPRICES,2,FALSE),CK796,VLOOKUP(G794,NGPrices,4,FALSE),HLOOKUP(D794,PREVVOLS,VLOOKUP(G794,MOVE_DOWN2,2,FALSE),FALSE),VLOOKUP(G794,NGPREVPRICES,3,FALSE),HLOOKUP(D794,Correllate,VLOOKUP(G794,CorMove,2,FALSE),FALSE),Q794-$CD$3,R794,$CJ$5)*H794-CJ796</f>
        <v>0</v>
      </c>
      <c r="CF796" s="10">
        <f t="shared" si="989"/>
        <v>16.348973074389505</v>
      </c>
      <c r="CG796" s="234">
        <f>_xll.xSPRDOPT((VLOOKUP(G794,NGPREVPRICES,2,FALSE)+HLOOKUP(D794,PREVCURVES,VLOOKUP(G794,MOVE_DOWN2,2,FALSE),FALSE)),VLOOKUP(G794,NGPREVPRICES,2,FALSE),CK796,VLOOKUP(G794,NGPREVPRICES,4,FALSE),HLOOKUP(D794,VOLS,VLOOKUP(G794,move_down,2,FALSE),FALSE),VLOOKUP(G794,NGPrices,3,FALSE),HLOOKUP(D794,Correllate,VLOOKUP(G794,CorMove,2,FALSE),FALSE),Q794-$CD$3,R794,$CJ$5)*H794-CJ796</f>
        <v>0</v>
      </c>
      <c r="CH796" s="234">
        <f>_xll.xSPRDOPT((VLOOKUP(G794,NGPREVPRICES,2,FALSE)+HLOOKUP(D794,PREVCURVES,VLOOKUP(G794,MOVE_DOWN2,2,FALSE),FALSE)),VLOOKUP(G794,NGPREVPRICES,2,FALSE),CK796,VLOOKUP(G794,NGPREVPRICES,4,FALSE),HLOOKUP(D794,PREVVOLS,VLOOKUP(G794,MOVE_DOWN2,2,FALSE),FALSE),VLOOKUP(G794,NGPREVPRICES,3,FALSE),HLOOKUP(D794,Correllate,VLOOKUP(G794,CorMove,2,FALSE),FALSE),Q794-$C$3,R794,$CJ$5)*H794-CJ796</f>
        <v>334.96707711646741</v>
      </c>
      <c r="CI796" s="234">
        <f t="shared" si="990"/>
        <v>351.31605019085691</v>
      </c>
      <c r="CJ796" s="234">
        <f>_xll.xSPRDOPT((VLOOKUP(G794,NGPREVPRICES,2,FALSE)+HLOOKUP(D794,PREVCURVES,VLOOKUP(G794,MOVE_DOWN2,2,FALSE),FALSE)),VLOOKUP(G794,NGPREVPRICES,2,FALSE),CK796,VLOOKUP(G794,NGPREVPRICES,4,FALSE),HLOOKUP(D794,PREVVOLS,VLOOKUP(G794,MOVE_DOWN2,2,FALSE),FALSE),VLOOKUP(G794,NGPREVPRICES,3,FALSE),HLOOKUP(D794,Correllate,VLOOKUP(G794,CorMove,2,FALSE),FALSE),Q794-$CD$3,R794,$CJ$5)*H794</f>
        <v>-85246.334760671714</v>
      </c>
      <c r="CK796" s="235">
        <f t="shared" si="991"/>
        <v>-0.2</v>
      </c>
      <c r="CM796" t="str">
        <f t="shared" si="992"/>
        <v>36951Curve Shift/Gamma</v>
      </c>
      <c r="CN796" t="str">
        <f t="shared" si="949"/>
        <v>36951Rho</v>
      </c>
      <c r="CO796" t="str">
        <f t="shared" si="950"/>
        <v>36951Drift</v>
      </c>
      <c r="CP796" t="str">
        <f t="shared" si="951"/>
        <v>36951Vega</v>
      </c>
      <c r="CQ796" t="str">
        <f t="shared" si="952"/>
        <v>36951Theta</v>
      </c>
    </row>
    <row r="797" spans="1:95" x14ac:dyDescent="0.25">
      <c r="A797" s="140" t="s">
        <v>383</v>
      </c>
      <c r="B797" t="s">
        <v>250</v>
      </c>
      <c r="C797" t="s">
        <v>613</v>
      </c>
      <c r="D797" s="4" t="s">
        <v>9</v>
      </c>
      <c r="E797" t="s">
        <v>20</v>
      </c>
      <c r="F797" t="s">
        <v>1</v>
      </c>
      <c r="G797" s="5">
        <v>36892</v>
      </c>
      <c r="H797" s="130">
        <v>-620000</v>
      </c>
      <c r="I797" s="235">
        <v>-0.5</v>
      </c>
      <c r="J797" s="53">
        <f t="shared" si="973"/>
        <v>4.7439999999999998</v>
      </c>
      <c r="K797" s="7">
        <f t="shared" si="974"/>
        <v>-0.36749999999999999</v>
      </c>
      <c r="L797" s="53">
        <f t="shared" si="975"/>
        <v>4.3765000000000001</v>
      </c>
      <c r="M797" s="157">
        <f t="shared" si="976"/>
        <v>6.8374831148490994E-2</v>
      </c>
      <c r="N797" s="4">
        <f t="shared" si="977"/>
        <v>0.60499999999999998</v>
      </c>
      <c r="O797" s="4">
        <f t="shared" si="978"/>
        <v>0.58099999999999996</v>
      </c>
      <c r="P797" s="9">
        <f t="shared" si="979"/>
        <v>0.93</v>
      </c>
      <c r="Q797" s="5">
        <f t="shared" si="980"/>
        <v>36888</v>
      </c>
      <c r="R797" s="4">
        <f t="shared" si="981"/>
        <v>0</v>
      </c>
      <c r="S797" s="158">
        <f>_xll.xSPRDOPT($L797,$J797,$I797,$M797,$O797,$N797,$P797,$Q797-$C$3,$R797,0)</f>
        <v>0.18494916605457465</v>
      </c>
      <c r="T797" s="159">
        <f>_xll.xSPRDOPT($L797,$J797,$I797,$M797,$O797,$N797,$P797,$Q797-$C$3,$R797,1)*H797</f>
        <v>238833.55637273507</v>
      </c>
      <c r="U797" s="160">
        <f t="shared" si="982"/>
        <v>-114668.48295383628</v>
      </c>
      <c r="V797" s="159">
        <f>_xll.xSPRDOPT($L797,$J797,$I797,$M797,$O797,$N797,$P797,$Q797-$C$3,$R797,2)*H797</f>
        <v>-268159.49984209437</v>
      </c>
      <c r="W797" s="159">
        <f t="shared" si="983"/>
        <v>-29325.943469359307</v>
      </c>
      <c r="X797" s="51" t="str">
        <f t="shared" si="984"/>
        <v>36892IF-NWPL_ROCKY_M</v>
      </c>
      <c r="Y797" s="418">
        <f t="shared" si="985"/>
        <v>-62</v>
      </c>
      <c r="Z797" s="456">
        <f t="shared" si="986"/>
        <v>-0.38521541350441141</v>
      </c>
      <c r="AA797" s="456">
        <f>_xll.xSPRDOPT($L797,$J797,$I797,$M797,$O797,$N797,$P797,$Q797-$C$3,$R797,3)</f>
        <v>0.59470255073638989</v>
      </c>
      <c r="AB797" s="456">
        <f>((_xll.xSPRDOPT($L797+AB$5,$J797,$I797,$M797,$O797,$N797,$P797,$Q797-$C$3,$R797,3)*$H797)/10000)/100</f>
        <v>-0.36871558145656175</v>
      </c>
      <c r="AC797" s="456">
        <f>((_xll.xSPRDOPT($L797+$AB$5,$J797,$I797,$M797,$O797,$N797,$P797,$Q797-$C$3,$R797,7)*$H797)/100)</f>
        <v>9131.7460335469004</v>
      </c>
      <c r="AD797" s="456">
        <f>(_xll.xSPRDOPT($L797+$AB$5,$J797,$I797,$M797,$O797,$N797,$P797,$Q797-$C$3,$R797,9)/365)*$H797</f>
        <v>591.60723867203114</v>
      </c>
      <c r="AE797">
        <f t="shared" si="972"/>
        <v>0</v>
      </c>
      <c r="AF797" s="456">
        <f t="shared" si="987"/>
        <v>-2450.6730038311025</v>
      </c>
      <c r="AG797" s="456">
        <f>((_xll.xSPRDOPT($L797,$J797,$I797,$M797,$O797,$N797,$P797,$Q797-$C$3,$R797,6)*$H797)/100)</f>
        <v>-3434.1520594041185</v>
      </c>
      <c r="AH797" s="456">
        <f>((_xll.xSPRDOPT($L797,$J797,$I797,$M797,$O797,$N797,$P797,$Q797-$C$3,$R797,5)*$H797)/100)</f>
        <v>1024.1046964228478</v>
      </c>
      <c r="AI797" s="456">
        <f>(((_xll.xSPRDOPT($L797,$J797,$I797,$M797,$O797,$N797,$P797,$Q797-$C$3,$R797,4)*$H797)/10000)/100)-AB797</f>
        <v>-1.8620069084025637E-2</v>
      </c>
      <c r="AJ797" s="456"/>
      <c r="CC797" s="141">
        <f t="shared" si="988"/>
        <v>36831</v>
      </c>
      <c r="CD797" s="234">
        <f>_xll.xSPRDOPT((VLOOKUP(G795,NGPrices,2,FALSE)+HLOOKUP(D795,Prices,VLOOKUP(G795,move_down,2,FALSE),FALSE)),VLOOKUP(G795,NGPrices,2,FALSE),I795,VLOOKUP(G795,NGPREVPRICES,4,FALSE),HLOOKUP(D795,PREVVOLS,VLOOKUP(G795,MOVE_DOWN2,2,FALSE),FALSE),VLOOKUP(G795,NGPREVPRICES,3,FALSE),HLOOKUP(D795,Correllate,VLOOKUP(G795,CorMove,2,FALSE),FALSE),Q795-$CD$3,R795,$CD$5)*H795-CJ797</f>
        <v>0</v>
      </c>
      <c r="CE797" s="234">
        <f>_xll.xSPRDOPT((VLOOKUP(G795,NGPREVPRICES,2,FALSE)+HLOOKUP(D795,PREVCURVES,VLOOKUP(G795,MOVE_DOWN2,2,FALSE),FALSE)),VLOOKUP(G795,NGPREVPRICES,2,FALSE),CK797,VLOOKUP(G795,NGPrices,4,FALSE),HLOOKUP(D795,PREVVOLS,VLOOKUP(G795,MOVE_DOWN2,2,FALSE),FALSE),VLOOKUP(G795,NGPREVPRICES,3,FALSE),HLOOKUP(D795,Correllate,VLOOKUP(G795,CorMove,2,FALSE),FALSE),Q795-$CD$3,R795,$CJ$5)*H795-CJ797</f>
        <v>0</v>
      </c>
      <c r="CF797" s="10">
        <f t="shared" si="989"/>
        <v>17.581605344748823</v>
      </c>
      <c r="CG797" s="234">
        <f>_xll.xSPRDOPT((VLOOKUP(G795,NGPREVPRICES,2,FALSE)+HLOOKUP(D795,PREVCURVES,VLOOKUP(G795,MOVE_DOWN2,2,FALSE),FALSE)),VLOOKUP(G795,NGPREVPRICES,2,FALSE),CK797,VLOOKUP(G795,NGPREVPRICES,4,FALSE),HLOOKUP(D795,VOLS,VLOOKUP(G795,move_down,2,FALSE),FALSE),VLOOKUP(G795,NGPrices,3,FALSE),HLOOKUP(D795,Correllate,VLOOKUP(G795,CorMove,2,FALSE),FALSE),Q795-$CD$3,R795,$CJ$5)*H795-CJ797</f>
        <v>0</v>
      </c>
      <c r="CH797" s="234">
        <f>_xll.xSPRDOPT((VLOOKUP(G795,NGPREVPRICES,2,FALSE)+HLOOKUP(D795,PREVCURVES,VLOOKUP(G795,MOVE_DOWN2,2,FALSE),FALSE)),VLOOKUP(G795,NGPREVPRICES,2,FALSE),CK797,VLOOKUP(G795,NGPREVPRICES,4,FALSE),HLOOKUP(D795,PREVVOLS,VLOOKUP(G795,MOVE_DOWN2,2,FALSE),FALSE),VLOOKUP(G795,NGPREVPRICES,3,FALSE),HLOOKUP(D795,Correllate,VLOOKUP(G795,CorMove,2,FALSE),FALSE),Q795-$C$3,R795,$CJ$5)*H795-CJ797</f>
        <v>809.64237164174847</v>
      </c>
      <c r="CI797" s="234">
        <f t="shared" si="990"/>
        <v>827.22397698649729</v>
      </c>
      <c r="CJ797" s="234">
        <f>_xll.xSPRDOPT((VLOOKUP(G795,NGPREVPRICES,2,FALSE)+HLOOKUP(D795,PREVCURVES,VLOOKUP(G795,MOVE_DOWN2,2,FALSE),FALSE)),VLOOKUP(G795,NGPREVPRICES,2,FALSE),CK797,VLOOKUP(G795,NGPREVPRICES,4,FALSE),HLOOKUP(D795,PREVVOLS,VLOOKUP(G795,MOVE_DOWN2,2,FALSE),FALSE),VLOOKUP(G795,NGPREVPRICES,3,FALSE),HLOOKUP(D795,Correllate,VLOOKUP(G795,CorMove,2,FALSE),FALSE),Q795-$CD$3,R795,$CJ$5)*H795</f>
        <v>-94672.038274831662</v>
      </c>
      <c r="CK797" s="235">
        <f t="shared" si="991"/>
        <v>-0.5</v>
      </c>
      <c r="CM797" t="str">
        <f t="shared" si="992"/>
        <v>36831Curve Shift/Gamma</v>
      </c>
      <c r="CN797" t="str">
        <f t="shared" si="949"/>
        <v>36831Rho</v>
      </c>
      <c r="CO797" t="str">
        <f t="shared" si="950"/>
        <v>36831Drift</v>
      </c>
      <c r="CP797" t="str">
        <f t="shared" si="951"/>
        <v>36831Vega</v>
      </c>
      <c r="CQ797" t="str">
        <f t="shared" si="952"/>
        <v>36831Theta</v>
      </c>
    </row>
    <row r="798" spans="1:95" x14ac:dyDescent="0.25">
      <c r="A798" s="140" t="s">
        <v>383</v>
      </c>
      <c r="B798" t="s">
        <v>250</v>
      </c>
      <c r="C798" t="s">
        <v>613</v>
      </c>
      <c r="D798" s="4" t="s">
        <v>9</v>
      </c>
      <c r="E798" t="s">
        <v>20</v>
      </c>
      <c r="F798" t="s">
        <v>1</v>
      </c>
      <c r="G798" s="5">
        <v>36923</v>
      </c>
      <c r="H798" s="130">
        <v>-560000</v>
      </c>
      <c r="I798" s="235">
        <v>-0.5</v>
      </c>
      <c r="J798" s="53">
        <f t="shared" si="973"/>
        <v>4.4800000000000004</v>
      </c>
      <c r="K798" s="7">
        <f t="shared" si="974"/>
        <v>-0.38750000000000001</v>
      </c>
      <c r="L798" s="53">
        <f t="shared" si="975"/>
        <v>4.0925000000000002</v>
      </c>
      <c r="M798" s="157">
        <f t="shared" si="976"/>
        <v>6.8640161611372E-2</v>
      </c>
      <c r="N798" s="4">
        <f t="shared" si="977"/>
        <v>0.59250000000000003</v>
      </c>
      <c r="O798" s="4">
        <f t="shared" si="978"/>
        <v>0.56899999999999995</v>
      </c>
      <c r="P798" s="9">
        <f t="shared" si="979"/>
        <v>0.93</v>
      </c>
      <c r="Q798" s="5">
        <f t="shared" si="980"/>
        <v>36921</v>
      </c>
      <c r="R798" s="4">
        <f t="shared" si="981"/>
        <v>0</v>
      </c>
      <c r="S798" s="158">
        <f>_xll.xSPRDOPT($L798,$J798,$I798,$M798,$O798,$N798,$P798,$Q798-$C$3,$R798,0)</f>
        <v>0.20284081923297009</v>
      </c>
      <c r="T798" s="159">
        <f>_xll.xSPRDOPT($L798,$J798,$I798,$M798,$O798,$N798,$P798,$Q798-$C$3,$R798,1)*H798</f>
        <v>221717.96669313594</v>
      </c>
      <c r="U798" s="160">
        <f t="shared" si="982"/>
        <v>-113590.85877046325</v>
      </c>
      <c r="V798" s="159">
        <f>_xll.xSPRDOPT($L798,$J798,$I798,$M798,$O798,$N798,$P798,$Q798-$C$3,$R798,2)*H798</f>
        <v>-250891.67719879292</v>
      </c>
      <c r="W798" s="159">
        <f t="shared" si="983"/>
        <v>-29173.710505656985</v>
      </c>
      <c r="X798" s="51" t="str">
        <f t="shared" si="984"/>
        <v>36923IF-NWPL_ROCKY_M</v>
      </c>
      <c r="Y798" s="418">
        <f t="shared" si="985"/>
        <v>-56</v>
      </c>
      <c r="Z798" s="456">
        <f t="shared" si="986"/>
        <v>-0.39592494052345706</v>
      </c>
      <c r="AA798" s="456">
        <f>_xll.xSPRDOPT($L798,$J798,$I798,$M798,$O798,$N798,$P798,$Q798-$C$3,$R798,3)</f>
        <v>0.57178361993024096</v>
      </c>
      <c r="AB798" s="456">
        <f>((_xll.xSPRDOPT($L798+AB$5,$J798,$I798,$M798,$O798,$N798,$P798,$Q798-$C$3,$R798,3)*$H798)/10000)/100</f>
        <v>-0.3201988271609349</v>
      </c>
      <c r="AC798" s="456">
        <f>((_xll.xSPRDOPT($L798+$AB$5,$J798,$I798,$M798,$O798,$N798,$P798,$Q798-$C$3,$R798,7)*$H798)/100)</f>
        <v>8517.2617509266856</v>
      </c>
      <c r="AD798" s="456">
        <f>(_xll.xSPRDOPT($L798+$AB$5,$J798,$I798,$M798,$O798,$N798,$P798,$Q798-$C$3,$R798,9)/365)*$H798</f>
        <v>434.27418310666178</v>
      </c>
      <c r="AE798">
        <f t="shared" si="972"/>
        <v>0</v>
      </c>
      <c r="AF798" s="456">
        <f t="shared" si="987"/>
        <v>-2366.914606812953</v>
      </c>
      <c r="AG798" s="456">
        <f>((_xll.xSPRDOPT($L798,$J798,$I798,$M798,$O798,$N798,$P798,$Q798-$C$3,$R798,6)*$H798)/100)</f>
        <v>-3380.1295313807959</v>
      </c>
      <c r="AH798" s="456">
        <f>((_xll.xSPRDOPT($L798,$J798,$I798,$M798,$O798,$N798,$P798,$Q798-$C$3,$R798,5)*$H798)/100)</f>
        <v>1055.0612351607151</v>
      </c>
      <c r="AI798" s="456">
        <f>(((_xll.xSPRDOPT($L798,$J798,$I798,$M798,$O798,$N798,$P798,$Q798-$C$3,$R798,4)*$H798)/10000)/100)-AB798</f>
        <v>-1.3852893993851978E-2</v>
      </c>
      <c r="AJ798" s="456"/>
      <c r="CC798" s="141">
        <f t="shared" si="988"/>
        <v>36861</v>
      </c>
      <c r="CD798" s="234">
        <f>_xll.xSPRDOPT((VLOOKUP(G796,NGPrices,2,FALSE)+HLOOKUP(D796,Prices,VLOOKUP(G796,move_down,2,FALSE),FALSE)),VLOOKUP(G796,NGPrices,2,FALSE),I796,VLOOKUP(G796,NGPREVPRICES,4,FALSE),HLOOKUP(D796,PREVVOLS,VLOOKUP(G796,MOVE_DOWN2,2,FALSE),FALSE),VLOOKUP(G796,NGPREVPRICES,3,FALSE),HLOOKUP(D796,Correllate,VLOOKUP(G796,CorMove,2,FALSE),FALSE),Q796-$CD$3,R796,$CD$5)*H796-CJ798</f>
        <v>0</v>
      </c>
      <c r="CE798" s="234">
        <f>_xll.xSPRDOPT((VLOOKUP(G796,NGPREVPRICES,2,FALSE)+HLOOKUP(D796,PREVCURVES,VLOOKUP(G796,MOVE_DOWN2,2,FALSE),FALSE)),VLOOKUP(G796,NGPREVPRICES,2,FALSE),CK798,VLOOKUP(G796,NGPrices,4,FALSE),HLOOKUP(D796,PREVVOLS,VLOOKUP(G796,MOVE_DOWN2,2,FALSE),FALSE),VLOOKUP(G796,NGPREVPRICES,3,FALSE),HLOOKUP(D796,Correllate,VLOOKUP(G796,CorMove,2,FALSE),FALSE),Q796-$CD$3,R796,$CJ$5)*H796-CJ798</f>
        <v>0</v>
      </c>
      <c r="CF798" s="10">
        <f t="shared" si="989"/>
        <v>17.796968405687949</v>
      </c>
      <c r="CG798" s="234">
        <f>_xll.xSPRDOPT((VLOOKUP(G796,NGPREVPRICES,2,FALSE)+HLOOKUP(D796,PREVCURVES,VLOOKUP(G796,MOVE_DOWN2,2,FALSE),FALSE)),VLOOKUP(G796,NGPREVPRICES,2,FALSE),CK798,VLOOKUP(G796,NGPREVPRICES,4,FALSE),HLOOKUP(D796,VOLS,VLOOKUP(G796,move_down,2,FALSE),FALSE),VLOOKUP(G796,NGPrices,3,FALSE),HLOOKUP(D796,Correllate,VLOOKUP(G796,CorMove,2,FALSE),FALSE),Q796-$CD$3,R796,$CJ$5)*H796-CJ798</f>
        <v>0</v>
      </c>
      <c r="CH798" s="234">
        <f>_xll.xSPRDOPT((VLOOKUP(G796,NGPREVPRICES,2,FALSE)+HLOOKUP(D796,PREVCURVES,VLOOKUP(G796,MOVE_DOWN2,2,FALSE),FALSE)),VLOOKUP(G796,NGPREVPRICES,2,FALSE),CK798,VLOOKUP(G796,NGPREVPRICES,4,FALSE),HLOOKUP(D796,PREVVOLS,VLOOKUP(G796,MOVE_DOWN2,2,FALSE),FALSE),VLOOKUP(G796,NGPREVPRICES,3,FALSE),HLOOKUP(D796,Correllate,VLOOKUP(G796,CorMove,2,FALSE),FALSE),Q796-$C$3,R796,$CJ$5)*H796-CJ798</f>
        <v>681.23111164994771</v>
      </c>
      <c r="CI798" s="234">
        <f t="shared" si="990"/>
        <v>699.02808005563566</v>
      </c>
      <c r="CJ798" s="234">
        <f>_xll.xSPRDOPT((VLOOKUP(G796,NGPREVPRICES,2,FALSE)+HLOOKUP(D796,PREVCURVES,VLOOKUP(G796,MOVE_DOWN2,2,FALSE),FALSE)),VLOOKUP(G796,NGPREVPRICES,2,FALSE),CK798,VLOOKUP(G796,NGPREVPRICES,4,FALSE),HLOOKUP(D796,PREVVOLS,VLOOKUP(G796,MOVE_DOWN2,2,FALSE),FALSE),VLOOKUP(G796,NGPREVPRICES,3,FALSE),HLOOKUP(D796,Correllate,VLOOKUP(G796,CorMove,2,FALSE),FALSE),Q796-$CD$3,R796,$CJ$5)*H796</f>
        <v>-94999.277059814282</v>
      </c>
      <c r="CK798" s="235">
        <f t="shared" si="991"/>
        <v>-0.5</v>
      </c>
      <c r="CM798" t="str">
        <f t="shared" si="992"/>
        <v>36861Curve Shift/Gamma</v>
      </c>
      <c r="CN798" t="str">
        <f t="shared" si="949"/>
        <v>36861Rho</v>
      </c>
      <c r="CO798" t="str">
        <f t="shared" si="950"/>
        <v>36861Drift</v>
      </c>
      <c r="CP798" t="str">
        <f t="shared" si="951"/>
        <v>36861Vega</v>
      </c>
      <c r="CQ798" t="str">
        <f t="shared" si="952"/>
        <v>36861Theta</v>
      </c>
    </row>
    <row r="799" spans="1:95" x14ac:dyDescent="0.25">
      <c r="A799" s="140" t="s">
        <v>383</v>
      </c>
      <c r="B799" t="s">
        <v>250</v>
      </c>
      <c r="C799" t="s">
        <v>613</v>
      </c>
      <c r="D799" s="4" t="s">
        <v>9</v>
      </c>
      <c r="E799" t="s">
        <v>20</v>
      </c>
      <c r="F799" t="s">
        <v>1</v>
      </c>
      <c r="G799" s="5">
        <v>36951</v>
      </c>
      <c r="H799" s="130">
        <v>-620000</v>
      </c>
      <c r="I799" s="235">
        <v>-0.5</v>
      </c>
      <c r="J799" s="53">
        <f t="shared" si="973"/>
        <v>4.2130000000000001</v>
      </c>
      <c r="K799" s="7">
        <f t="shared" si="974"/>
        <v>-0.39750000000000002</v>
      </c>
      <c r="L799" s="53">
        <f t="shared" si="975"/>
        <v>3.8155000000000001</v>
      </c>
      <c r="M799" s="157">
        <f t="shared" si="976"/>
        <v>6.8879814952706994E-2</v>
      </c>
      <c r="N799" s="4">
        <f t="shared" si="977"/>
        <v>0.53249999999999997</v>
      </c>
      <c r="O799" s="4">
        <f t="shared" si="978"/>
        <v>0.51100000000000001</v>
      </c>
      <c r="P799" s="9">
        <f t="shared" si="979"/>
        <v>0.93</v>
      </c>
      <c r="Q799" s="5">
        <f t="shared" si="980"/>
        <v>36949</v>
      </c>
      <c r="R799" s="4">
        <f t="shared" si="981"/>
        <v>0</v>
      </c>
      <c r="S799" s="158">
        <f>_xll.xSPRDOPT($L799,$J799,$I799,$M799,$O799,$N799,$P799,$Q799-$C$3,$R799,0)</f>
        <v>0.18656892141988232</v>
      </c>
      <c r="T799" s="159">
        <f>_xll.xSPRDOPT($L799,$J799,$I799,$M799,$O799,$N799,$P799,$Q799-$C$3,$R799,1)*H799</f>
        <v>245289.28310354514</v>
      </c>
      <c r="U799" s="160">
        <f t="shared" si="982"/>
        <v>-115672.73128032703</v>
      </c>
      <c r="V799" s="159">
        <f>_xll.xSPRDOPT($L799,$J799,$I799,$M799,$O799,$N799,$P799,$Q799-$C$3,$R799,2)*H799</f>
        <v>-276538.27638602781</v>
      </c>
      <c r="W799" s="159">
        <f t="shared" si="983"/>
        <v>-31248.993282482668</v>
      </c>
      <c r="X799" s="51" t="str">
        <f t="shared" si="984"/>
        <v>36951IF-NWPL_ROCKY_M</v>
      </c>
      <c r="Y799" s="418">
        <f t="shared" si="985"/>
        <v>-62</v>
      </c>
      <c r="Z799" s="456">
        <f t="shared" si="986"/>
        <v>-0.39562787597345989</v>
      </c>
      <c r="AA799" s="456">
        <f>_xll.xSPRDOPT($L799,$J799,$I799,$M799,$O799,$N799,$P799,$Q799-$C$3,$R799,3)</f>
        <v>0.61811280373473521</v>
      </c>
      <c r="AB799" s="456">
        <f>((_xll.xSPRDOPT($L799+AB$5,$J799,$I799,$M799,$O799,$N799,$P799,$Q799-$C$3,$R799,3)*$H799)/10000)/100</f>
        <v>-0.38322993831553581</v>
      </c>
      <c r="AC799" s="456">
        <f>((_xll.xSPRDOPT($L799+$AB$5,$J799,$I799,$M799,$O799,$N799,$P799,$Q799-$C$3,$R799,7)*$H799)/100)</f>
        <v>8514.9088217257813</v>
      </c>
      <c r="AD799" s="456">
        <f>(_xll.xSPRDOPT($L799+$AB$5,$J799,$I799,$M799,$O799,$N799,$P799,$Q799-$C$3,$R799,9)/365)*$H799</f>
        <v>369.8613328860614</v>
      </c>
      <c r="AE799">
        <f t="shared" si="972"/>
        <v>0</v>
      </c>
      <c r="AF799" s="456">
        <f t="shared" si="987"/>
        <v>-2675.6361340837707</v>
      </c>
      <c r="AG799" s="456">
        <f>((_xll.xSPRDOPT($L799,$J799,$I799,$M799,$O799,$N799,$P799,$Q799-$C$3,$R799,6)*$H799)/100)</f>
        <v>-3914.4872173381973</v>
      </c>
      <c r="AH799" s="456">
        <f>((_xll.xSPRDOPT($L799,$J799,$I799,$M799,$O799,$N799,$P799,$Q799-$C$3,$R799,5)*$H799)/100)</f>
        <v>1290.9749546633702</v>
      </c>
      <c r="AI799" s="456">
        <f>(((_xll.xSPRDOPT($L799,$J799,$I799,$M799,$O799,$N799,$P799,$Q799-$C$3,$R799,4)*$H799)/10000)/100)-AB799</f>
        <v>-1.5649006371714957E-2</v>
      </c>
      <c r="AJ799" s="456"/>
      <c r="CC799" s="141">
        <f t="shared" si="988"/>
        <v>36892</v>
      </c>
      <c r="CD799" s="234">
        <f>_xll.xSPRDOPT((VLOOKUP(G797,NGPrices,2,FALSE)+HLOOKUP(D797,Prices,VLOOKUP(G797,move_down,2,FALSE),FALSE)),VLOOKUP(G797,NGPrices,2,FALSE),I797,VLOOKUP(G797,NGPREVPRICES,4,FALSE),HLOOKUP(D797,PREVVOLS,VLOOKUP(G797,MOVE_DOWN2,2,FALSE),FALSE),VLOOKUP(G797,NGPREVPRICES,3,FALSE),HLOOKUP(D797,Correllate,VLOOKUP(G797,CorMove,2,FALSE),FALSE),Q797-$CD$3,R797,$CD$5)*H797-CJ799</f>
        <v>0</v>
      </c>
      <c r="CE799" s="234">
        <f>_xll.xSPRDOPT((VLOOKUP(G797,NGPREVPRICES,2,FALSE)+HLOOKUP(D797,PREVCURVES,VLOOKUP(G797,MOVE_DOWN2,2,FALSE),FALSE)),VLOOKUP(G797,NGPREVPRICES,2,FALSE),CK799,VLOOKUP(G797,NGPrices,4,FALSE),HLOOKUP(D797,PREVVOLS,VLOOKUP(G797,MOVE_DOWN2,2,FALSE),FALSE),VLOOKUP(G797,NGPREVPRICES,3,FALSE),HLOOKUP(D797,Correllate,VLOOKUP(G797,CorMove,2,FALSE),FALSE),Q797-$CD$3,R797,$CJ$5)*H797-CJ799</f>
        <v>0</v>
      </c>
      <c r="CF799" s="10">
        <f t="shared" si="989"/>
        <v>21.719421903864713</v>
      </c>
      <c r="CG799" s="234">
        <f>_xll.xSPRDOPT((VLOOKUP(G797,NGPREVPRICES,2,FALSE)+HLOOKUP(D797,PREVCURVES,VLOOKUP(G797,MOVE_DOWN2,2,FALSE),FALSE)),VLOOKUP(G797,NGPREVPRICES,2,FALSE),CK799,VLOOKUP(G797,NGPREVPRICES,4,FALSE),HLOOKUP(D797,VOLS,VLOOKUP(G797,move_down,2,FALSE),FALSE),VLOOKUP(G797,NGPrices,3,FALSE),HLOOKUP(D797,Correllate,VLOOKUP(G797,CorMove,2,FALSE),FALSE),Q797-$CD$3,R797,$CJ$5)*H797-CJ799</f>
        <v>0</v>
      </c>
      <c r="CH799" s="234">
        <f>_xll.xSPRDOPT((VLOOKUP(G797,NGPREVPRICES,2,FALSE)+HLOOKUP(D797,PREVCURVES,VLOOKUP(G797,MOVE_DOWN2,2,FALSE),FALSE)),VLOOKUP(G797,NGPREVPRICES,2,FALSE),CK799,VLOOKUP(G797,NGPREVPRICES,4,FALSE),HLOOKUP(D797,PREVVOLS,VLOOKUP(G797,MOVE_DOWN2,2,FALSE),FALSE),VLOOKUP(G797,NGPREVPRICES,3,FALSE),HLOOKUP(D797,Correllate,VLOOKUP(G797,CorMove,2,FALSE),FALSE),Q797-$C$3,R797,$CJ$5)*H797-CJ799</f>
        <v>589.88959522939695</v>
      </c>
      <c r="CI799" s="234">
        <f t="shared" si="990"/>
        <v>611.60901713326166</v>
      </c>
      <c r="CJ799" s="234">
        <f>_xll.xSPRDOPT((VLOOKUP(G797,NGPREVPRICES,2,FALSE)+HLOOKUP(D797,PREVCURVES,VLOOKUP(G797,MOVE_DOWN2,2,FALSE),FALSE)),VLOOKUP(G797,NGPREVPRICES,2,FALSE),CK799,VLOOKUP(G797,NGPREVPRICES,4,FALSE),HLOOKUP(D797,PREVVOLS,VLOOKUP(G797,MOVE_DOWN2,2,FALSE),FALSE),VLOOKUP(G797,NGPREVPRICES,3,FALSE),HLOOKUP(D797,Correllate,VLOOKUP(G797,CorMove,2,FALSE),FALSE),Q797-$CD$3,R797,$CJ$5)*H797</f>
        <v>-115258.37254906568</v>
      </c>
      <c r="CK799" s="235">
        <f t="shared" si="991"/>
        <v>-0.5</v>
      </c>
      <c r="CM799" t="str">
        <f t="shared" si="992"/>
        <v>36892Curve Shift/Gamma</v>
      </c>
      <c r="CN799" t="str">
        <f t="shared" si="949"/>
        <v>36892Rho</v>
      </c>
      <c r="CO799" t="str">
        <f t="shared" si="950"/>
        <v>36892Drift</v>
      </c>
      <c r="CP799" t="str">
        <f t="shared" si="951"/>
        <v>36892Vega</v>
      </c>
      <c r="CQ799" t="str">
        <f t="shared" si="952"/>
        <v>36892Theta</v>
      </c>
    </row>
    <row r="800" spans="1:95" x14ac:dyDescent="0.25">
      <c r="A800" s="140" t="s">
        <v>348</v>
      </c>
      <c r="B800" t="s">
        <v>250</v>
      </c>
      <c r="C800" t="s">
        <v>614</v>
      </c>
      <c r="D800" s="4" t="s">
        <v>74</v>
      </c>
      <c r="E800" t="s">
        <v>20</v>
      </c>
      <c r="F800" t="s">
        <v>21</v>
      </c>
      <c r="G800" s="5">
        <v>36831</v>
      </c>
      <c r="H800" s="130">
        <v>-1000000</v>
      </c>
      <c r="I800" s="235">
        <v>0.2</v>
      </c>
      <c r="J800" s="53">
        <f t="shared" si="973"/>
        <v>4.7359999999999998</v>
      </c>
      <c r="K800" s="7">
        <f t="shared" si="974"/>
        <v>8.7499999999999994E-2</v>
      </c>
      <c r="L800" s="53">
        <f t="shared" si="975"/>
        <v>4.8235000000000001</v>
      </c>
      <c r="M800" s="157">
        <f t="shared" si="976"/>
        <v>6.810675983792E-2</v>
      </c>
      <c r="N800" s="4">
        <f t="shared" si="977"/>
        <v>0.59499999999999997</v>
      </c>
      <c r="O800" s="4">
        <f t="shared" si="978"/>
        <v>0.59499999999999997</v>
      </c>
      <c r="P800" s="9">
        <f t="shared" si="979"/>
        <v>0.997</v>
      </c>
      <c r="Q800" s="5">
        <f t="shared" si="980"/>
        <v>36829</v>
      </c>
      <c r="R800" s="4">
        <f t="shared" si="981"/>
        <v>1</v>
      </c>
      <c r="S800" s="158">
        <f>_xll.xSPRDOPT($L800,$J800,$I800,$M800,$O800,$N800,$P800,$Q800-$C$3,$R800,0)</f>
        <v>6.8734439083729592E-3</v>
      </c>
      <c r="T800" s="159">
        <f>_xll.xSPRDOPT($L800,$J800,$I800,$M800,$O800,$N800,$P800,$Q800-$C$3,$R800,1)*H800</f>
        <v>-137525.87197753676</v>
      </c>
      <c r="U800" s="160">
        <f t="shared" si="982"/>
        <v>-6873.4439083729594</v>
      </c>
      <c r="V800" s="159">
        <f>_xll.xSPRDOPT($L800,$J800,$I800,$M800,$O800,$N800,$P800,$Q800-$C$3,$R800,2)*H800</f>
        <v>133807.08775700766</v>
      </c>
      <c r="W800" s="159">
        <f t="shared" si="983"/>
        <v>-3718.784220529109</v>
      </c>
      <c r="X800" s="51" t="str">
        <f t="shared" si="984"/>
        <v>36831NGI/CHI. GATE</v>
      </c>
      <c r="Y800" s="418">
        <f t="shared" si="985"/>
        <v>-100</v>
      </c>
      <c r="Z800" s="456">
        <f t="shared" si="986"/>
        <v>0.13752587197753677</v>
      </c>
      <c r="AA800" s="456">
        <f>_xll.xSPRDOPT($L800,$J800,$I800,$M800,$O800,$N800,$P800,$Q800-$C$3,$R800,3)</f>
        <v>2.197574196345375</v>
      </c>
      <c r="AB800" s="456">
        <f>((_xll.xSPRDOPT($L800+AB$5,$J800,$I800,$M800,$O800,$N800,$P800,$Q800-$C$3,$R800,3)*$H800)/10000)/100</f>
        <v>-2.197574196345375</v>
      </c>
      <c r="AC800" s="456">
        <f>((_xll.xSPRDOPT($L800+$AB$5,$J800,$I800,$M800,$O800,$N800,$P800,$Q800-$C$3,$R800,7)*$H800)/100)</f>
        <v>29616.930831213718</v>
      </c>
      <c r="AD800" s="456">
        <f>(_xll.xSPRDOPT($L800+$AB$5,$J800,$I800,$M800,$O800,$N800,$P800,$Q800-$C$3,$R800,9)/365)*$H800</f>
        <v>175.79731242405026</v>
      </c>
      <c r="AE800">
        <f t="shared" si="972"/>
        <v>0</v>
      </c>
      <c r="AF800" s="456">
        <f t="shared" si="987"/>
        <v>-368.78775981219997</v>
      </c>
      <c r="AG800" s="456">
        <f>((_xll.xSPRDOPT($L800,$J800,$I800,$M800,$O800,$N800,$P800,$Q800-$C$3,$R800,6)*$H800)/100)</f>
        <v>1644.199454233446</v>
      </c>
      <c r="AH800" s="456">
        <f>((_xll.xSPRDOPT($L800,$J800,$I800,$M800,$O800,$N800,$P800,$Q800-$C$3,$R800,5)*$H800)/100)</f>
        <v>-2012.9872140456459</v>
      </c>
      <c r="AI800" s="456">
        <f>(((_xll.xSPRDOPT($L800,$J800,$I800,$M800,$O800,$N800,$P800,$Q800-$C$3,$R800,4)*$H800)/10000)/100)-AB800</f>
        <v>7.9484540299665785E-2</v>
      </c>
      <c r="AJ800" s="456"/>
      <c r="CC800" s="141">
        <f t="shared" si="988"/>
        <v>36923</v>
      </c>
      <c r="CD800" s="234">
        <f>_xll.xSPRDOPT((VLOOKUP(G798,NGPrices,2,FALSE)+HLOOKUP(D798,Prices,VLOOKUP(G798,move_down,2,FALSE),FALSE)),VLOOKUP(G798,NGPrices,2,FALSE),I798,VLOOKUP(G798,NGPREVPRICES,4,FALSE),HLOOKUP(D798,PREVVOLS,VLOOKUP(G798,MOVE_DOWN2,2,FALSE),FALSE),VLOOKUP(G798,NGPREVPRICES,3,FALSE),HLOOKUP(D798,Correllate,VLOOKUP(G798,CorMove,2,FALSE),FALSE),Q798-$CD$3,R798,$CD$5)*H798-CJ800</f>
        <v>0</v>
      </c>
      <c r="CE800" s="234">
        <f>_xll.xSPRDOPT((VLOOKUP(G798,NGPREVPRICES,2,FALSE)+HLOOKUP(D798,PREVCURVES,VLOOKUP(G798,MOVE_DOWN2,2,FALSE),FALSE)),VLOOKUP(G798,NGPREVPRICES,2,FALSE),CK800,VLOOKUP(G798,NGPrices,4,FALSE),HLOOKUP(D798,PREVVOLS,VLOOKUP(G798,MOVE_DOWN2,2,FALSE),FALSE),VLOOKUP(G798,NGPREVPRICES,3,FALSE),HLOOKUP(D798,Correllate,VLOOKUP(G798,CorMove,2,FALSE),FALSE),Q798-$CD$3,R798,$CJ$5)*H798-CJ800</f>
        <v>0</v>
      </c>
      <c r="CF800" s="10">
        <f t="shared" si="989"/>
        <v>21.68605734060111</v>
      </c>
      <c r="CG800" s="234">
        <f>_xll.xSPRDOPT((VLOOKUP(G798,NGPREVPRICES,2,FALSE)+HLOOKUP(D798,PREVCURVES,VLOOKUP(G798,MOVE_DOWN2,2,FALSE),FALSE)),VLOOKUP(G798,NGPREVPRICES,2,FALSE),CK800,VLOOKUP(G798,NGPREVPRICES,4,FALSE),HLOOKUP(D798,VOLS,VLOOKUP(G798,move_down,2,FALSE),FALSE),VLOOKUP(G798,NGPrices,3,FALSE),HLOOKUP(D798,Correllate,VLOOKUP(G798,CorMove,2,FALSE),FALSE),Q798-$CD$3,R798,$CJ$5)*H798-CJ800</f>
        <v>0</v>
      </c>
      <c r="CH800" s="234">
        <f>_xll.xSPRDOPT((VLOOKUP(G798,NGPREVPRICES,2,FALSE)+HLOOKUP(D798,PREVCURVES,VLOOKUP(G798,MOVE_DOWN2,2,FALSE),FALSE)),VLOOKUP(G798,NGPREVPRICES,2,FALSE),CK800,VLOOKUP(G798,NGPREVPRICES,4,FALSE),HLOOKUP(D798,PREVVOLS,VLOOKUP(G798,MOVE_DOWN2,2,FALSE),FALSE),VLOOKUP(G798,NGPREVPRICES,3,FALSE),HLOOKUP(D798,Correllate,VLOOKUP(G798,CorMove,2,FALSE),FALSE),Q798-$C$3,R798,$CJ$5)*H798-CJ800</f>
        <v>433.1817216638301</v>
      </c>
      <c r="CI800" s="234">
        <f t="shared" si="990"/>
        <v>454.86777900443121</v>
      </c>
      <c r="CJ800" s="234">
        <f>_xll.xSPRDOPT((VLOOKUP(G798,NGPREVPRICES,2,FALSE)+HLOOKUP(D798,PREVCURVES,VLOOKUP(G798,MOVE_DOWN2,2,FALSE),FALSE)),VLOOKUP(G798,NGPREVPRICES,2,FALSE),CK800,VLOOKUP(G798,NGPREVPRICES,4,FALSE),HLOOKUP(D798,PREVVOLS,VLOOKUP(G798,MOVE_DOWN2,2,FALSE),FALSE),VLOOKUP(G798,NGPREVPRICES,3,FALSE),HLOOKUP(D798,Correllate,VLOOKUP(G798,CorMove,2,FALSE),FALSE),Q798-$CD$3,R798,$CJ$5)*H798</f>
        <v>-114024.04049212708</v>
      </c>
      <c r="CK800" s="235">
        <f t="shared" si="991"/>
        <v>-0.5</v>
      </c>
      <c r="CM800" t="str">
        <f t="shared" si="992"/>
        <v>36923Curve Shift/Gamma</v>
      </c>
      <c r="CN800" t="str">
        <f t="shared" si="949"/>
        <v>36923Rho</v>
      </c>
      <c r="CO800" t="str">
        <f t="shared" si="950"/>
        <v>36923Drift</v>
      </c>
      <c r="CP800" t="str">
        <f t="shared" si="951"/>
        <v>36923Vega</v>
      </c>
      <c r="CQ800" t="str">
        <f t="shared" si="952"/>
        <v>36923Theta</v>
      </c>
    </row>
    <row r="801" spans="1:95" x14ac:dyDescent="0.25">
      <c r="A801" s="140" t="s">
        <v>348</v>
      </c>
      <c r="B801" t="s">
        <v>250</v>
      </c>
      <c r="C801" t="s">
        <v>614</v>
      </c>
      <c r="D801" s="4" t="s">
        <v>74</v>
      </c>
      <c r="E801" t="s">
        <v>20</v>
      </c>
      <c r="F801" t="s">
        <v>21</v>
      </c>
      <c r="G801" s="5">
        <v>36861</v>
      </c>
      <c r="H801" s="130">
        <v>-1000000</v>
      </c>
      <c r="I801" s="235">
        <v>0.2</v>
      </c>
      <c r="J801" s="53">
        <f t="shared" si="973"/>
        <v>4.8</v>
      </c>
      <c r="K801" s="7">
        <f t="shared" si="974"/>
        <v>0.1</v>
      </c>
      <c r="L801" s="53">
        <f t="shared" si="975"/>
        <v>4.8999999999999995</v>
      </c>
      <c r="M801" s="157">
        <f t="shared" si="976"/>
        <v>6.8314027999354002E-2</v>
      </c>
      <c r="N801" s="4">
        <f t="shared" si="977"/>
        <v>0.6</v>
      </c>
      <c r="O801" s="4">
        <f t="shared" si="978"/>
        <v>0.6</v>
      </c>
      <c r="P801" s="9">
        <f t="shared" si="979"/>
        <v>0.997</v>
      </c>
      <c r="Q801" s="5">
        <f t="shared" si="980"/>
        <v>36859</v>
      </c>
      <c r="R801" s="4">
        <f t="shared" si="981"/>
        <v>1</v>
      </c>
      <c r="S801" s="158">
        <f>_xll.xSPRDOPT($L801,$J801,$I801,$M801,$O801,$N801,$P801,$Q801-$C$3,$R801,0)</f>
        <v>1.5344278605256716E-2</v>
      </c>
      <c r="T801" s="159">
        <f>_xll.xSPRDOPT($L801,$J801,$I801,$M801,$O801,$N801,$P801,$Q801-$C$3,$R801,1)*H801</f>
        <v>-218627.33662010182</v>
      </c>
      <c r="U801" s="160">
        <f t="shared" si="982"/>
        <v>-15344.278605256715</v>
      </c>
      <c r="V801" s="159">
        <f>_xll.xSPRDOPT($L801,$J801,$I801,$M801,$O801,$N801,$P801,$Q801-$C$3,$R801,2)*H801</f>
        <v>212510.29047236478</v>
      </c>
      <c r="W801" s="159">
        <f t="shared" si="983"/>
        <v>-6117.0461477370409</v>
      </c>
      <c r="X801" s="51" t="str">
        <f t="shared" si="984"/>
        <v>36861NGI/CHI. GATE</v>
      </c>
      <c r="Y801" s="418">
        <f t="shared" si="985"/>
        <v>-100</v>
      </c>
      <c r="Z801" s="456">
        <f t="shared" si="986"/>
        <v>0.21862733662010181</v>
      </c>
      <c r="AA801" s="456">
        <f>_xll.xSPRDOPT($L801,$J801,$I801,$M801,$O801,$N801,$P801,$Q801-$C$3,$R801,3)</f>
        <v>2.3548999608819607</v>
      </c>
      <c r="AB801" s="456">
        <f>((_xll.xSPRDOPT($L801+AB$5,$J801,$I801,$M801,$O801,$N801,$P801,$Q801-$C$3,$R801,3)*$H801)/10000)/100</f>
        <v>-2.3548999608819603</v>
      </c>
      <c r="AC801" s="456">
        <f>((_xll.xSPRDOPT($L801+$AB$5,$J801,$I801,$M801,$O801,$N801,$P801,$Q801-$C$3,$R801,7)*$H801)/100)</f>
        <v>49431.782498504544</v>
      </c>
      <c r="AD801" s="456">
        <f>(_xll.xSPRDOPT($L801+$AB$5,$J801,$I801,$M801,$O801,$N801,$P801,$Q801-$C$3,$R801,9)/365)*$H801</f>
        <v>196.60879094709065</v>
      </c>
      <c r="AE801">
        <f t="shared" si="972"/>
        <v>0</v>
      </c>
      <c r="AF801" s="456">
        <f t="shared" si="987"/>
        <v>-611.3218943180641</v>
      </c>
      <c r="AG801" s="456">
        <f>((_xll.xSPRDOPT($L801,$J801,$I801,$M801,$O801,$N801,$P801,$Q801-$C$3,$R801,6)*$H801)/100)</f>
        <v>2699.8336183173114</v>
      </c>
      <c r="AH801" s="456">
        <f>((_xll.xSPRDOPT($L801,$J801,$I801,$M801,$O801,$N801,$P801,$Q801-$C$3,$R801,5)*$H801)/100)</f>
        <v>-3311.1555126353755</v>
      </c>
      <c r="AI801" s="456">
        <f>(((_xll.xSPRDOPT($L801,$J801,$I801,$M801,$O801,$N801,$P801,$Q801-$C$3,$R801,4)*$H801)/10000)/100)-AB801</f>
        <v>7.3486624484929486E-2</v>
      </c>
      <c r="AJ801" s="456"/>
      <c r="CC801" s="141">
        <f t="shared" si="988"/>
        <v>36951</v>
      </c>
      <c r="CD801" s="234">
        <f>_xll.xSPRDOPT((VLOOKUP(G799,NGPrices,2,FALSE)+HLOOKUP(D799,Prices,VLOOKUP(G799,move_down,2,FALSE),FALSE)),VLOOKUP(G799,NGPrices,2,FALSE),I799,VLOOKUP(G799,NGPREVPRICES,4,FALSE),HLOOKUP(D799,PREVVOLS,VLOOKUP(G799,MOVE_DOWN2,2,FALSE),FALSE),VLOOKUP(G799,NGPREVPRICES,3,FALSE),HLOOKUP(D799,Correllate,VLOOKUP(G799,CorMove,2,FALSE),FALSE),Q799-$CD$3,R799,$CD$5)*H799-CJ801</f>
        <v>0</v>
      </c>
      <c r="CE801" s="234">
        <f>_xll.xSPRDOPT((VLOOKUP(G799,NGPREVPRICES,2,FALSE)+HLOOKUP(D799,PREVCURVES,VLOOKUP(G799,MOVE_DOWN2,2,FALSE),FALSE)),VLOOKUP(G799,NGPREVPRICES,2,FALSE),CK801,VLOOKUP(G799,NGPrices,4,FALSE),HLOOKUP(D799,PREVVOLS,VLOOKUP(G799,MOVE_DOWN2,2,FALSE),FALSE),VLOOKUP(G799,NGPREVPRICES,3,FALSE),HLOOKUP(D799,Correllate,VLOOKUP(G799,CorMove,2,FALSE),FALSE),Q799-$CD$3,R799,$CJ$5)*H799-CJ801</f>
        <v>0</v>
      </c>
      <c r="CF801" s="10">
        <f t="shared" si="989"/>
        <v>22.255073423424619</v>
      </c>
      <c r="CG801" s="234">
        <f>_xll.xSPRDOPT((VLOOKUP(G799,NGPREVPRICES,2,FALSE)+HLOOKUP(D799,PREVCURVES,VLOOKUP(G799,MOVE_DOWN2,2,FALSE),FALSE)),VLOOKUP(G799,NGPREVPRICES,2,FALSE),CK801,VLOOKUP(G799,NGPREVPRICES,4,FALSE),HLOOKUP(D799,VOLS,VLOOKUP(G799,move_down,2,FALSE),FALSE),VLOOKUP(G799,NGPrices,3,FALSE),HLOOKUP(D799,Correllate,VLOOKUP(G799,CorMove,2,FALSE),FALSE),Q799-$CD$3,R799,$CJ$5)*H799-CJ801</f>
        <v>0</v>
      </c>
      <c r="CH801" s="234">
        <f>_xll.xSPRDOPT((VLOOKUP(G799,NGPREVPRICES,2,FALSE)+HLOOKUP(D799,PREVCURVES,VLOOKUP(G799,MOVE_DOWN2,2,FALSE),FALSE)),VLOOKUP(G799,NGPREVPRICES,2,FALSE),CK801,VLOOKUP(G799,NGPREVPRICES,4,FALSE),HLOOKUP(D799,PREVVOLS,VLOOKUP(G799,MOVE_DOWN2,2,FALSE),FALSE),VLOOKUP(G799,NGPREVPRICES,3,FALSE),HLOOKUP(D799,Correllate,VLOOKUP(G799,CorMove,2,FALSE),FALSE),Q799-$C$3,R799,$CJ$5)*H799-CJ801</f>
        <v>369.01828662253683</v>
      </c>
      <c r="CI801" s="234">
        <f t="shared" si="990"/>
        <v>391.27336004596145</v>
      </c>
      <c r="CJ801" s="234">
        <f>_xll.xSPRDOPT((VLOOKUP(G799,NGPREVPRICES,2,FALSE)+HLOOKUP(D799,PREVCURVES,VLOOKUP(G799,MOVE_DOWN2,2,FALSE),FALSE)),VLOOKUP(G799,NGPREVPRICES,2,FALSE),CK801,VLOOKUP(G799,NGPREVPRICES,4,FALSE),HLOOKUP(D799,PREVVOLS,VLOOKUP(G799,MOVE_DOWN2,2,FALSE),FALSE),VLOOKUP(G799,NGPREVPRICES,3,FALSE),HLOOKUP(D799,Correllate,VLOOKUP(G799,CorMove,2,FALSE),FALSE),Q799-$CD$3,R799,$CJ$5)*H799</f>
        <v>-116041.74956694957</v>
      </c>
      <c r="CK801" s="235">
        <f t="shared" si="991"/>
        <v>-0.5</v>
      </c>
      <c r="CM801" t="str">
        <f t="shared" si="992"/>
        <v>36951Curve Shift/Gamma</v>
      </c>
      <c r="CN801" t="str">
        <f t="shared" si="949"/>
        <v>36951Rho</v>
      </c>
      <c r="CO801" t="str">
        <f t="shared" si="950"/>
        <v>36951Drift</v>
      </c>
      <c r="CP801" t="str">
        <f t="shared" si="951"/>
        <v>36951Vega</v>
      </c>
      <c r="CQ801" t="str">
        <f t="shared" si="952"/>
        <v>36951Theta</v>
      </c>
    </row>
    <row r="802" spans="1:95" x14ac:dyDescent="0.25">
      <c r="A802" s="140" t="s">
        <v>348</v>
      </c>
      <c r="B802" t="s">
        <v>250</v>
      </c>
      <c r="C802" t="s">
        <v>614</v>
      </c>
      <c r="D802" s="4" t="s">
        <v>74</v>
      </c>
      <c r="E802" t="s">
        <v>20</v>
      </c>
      <c r="F802" t="s">
        <v>21</v>
      </c>
      <c r="G802" s="5">
        <v>36892</v>
      </c>
      <c r="H802" s="130">
        <v>-1000000</v>
      </c>
      <c r="I802" s="235">
        <v>0.2</v>
      </c>
      <c r="J802" s="53">
        <f t="shared" si="973"/>
        <v>4.7439999999999998</v>
      </c>
      <c r="K802" s="7">
        <f t="shared" si="974"/>
        <v>0.1275</v>
      </c>
      <c r="L802" s="53">
        <f t="shared" si="975"/>
        <v>4.8715000000000002</v>
      </c>
      <c r="M802" s="157">
        <f t="shared" si="976"/>
        <v>6.8374831148490994E-2</v>
      </c>
      <c r="N802" s="4">
        <f t="shared" si="977"/>
        <v>0.60499999999999998</v>
      </c>
      <c r="O802" s="4">
        <f t="shared" si="978"/>
        <v>0.60499999999999998</v>
      </c>
      <c r="P802" s="9">
        <f t="shared" si="979"/>
        <v>0.997</v>
      </c>
      <c r="Q802" s="5">
        <f t="shared" si="980"/>
        <v>36888</v>
      </c>
      <c r="R802" s="4">
        <f t="shared" si="981"/>
        <v>1</v>
      </c>
      <c r="S802" s="158">
        <f>_xll.xSPRDOPT($L802,$J802,$I802,$M802,$O802,$N802,$P802,$Q802-$C$3,$R802,0)</f>
        <v>2.850780495246838E-2</v>
      </c>
      <c r="T802" s="159">
        <f>_xll.xSPRDOPT($L802,$J802,$I802,$M802,$O802,$N802,$P802,$Q802-$C$3,$R802,1)*H802</f>
        <v>-313002.39050403784</v>
      </c>
      <c r="U802" s="160">
        <f t="shared" si="982"/>
        <v>-28507.804952468381</v>
      </c>
      <c r="V802" s="159">
        <f>_xll.xSPRDOPT($L802,$J802,$I802,$M802,$O802,$N802,$P802,$Q802-$C$3,$R802,2)*H802</f>
        <v>304586.12962010992</v>
      </c>
      <c r="W802" s="159">
        <f t="shared" si="983"/>
        <v>-8416.2608839279274</v>
      </c>
      <c r="X802" s="51" t="str">
        <f t="shared" si="984"/>
        <v>36892NGI/CHI. GATE</v>
      </c>
      <c r="Y802" s="418">
        <f t="shared" si="985"/>
        <v>-100</v>
      </c>
      <c r="Z802" s="456">
        <f t="shared" si="986"/>
        <v>0.31300239050403783</v>
      </c>
      <c r="AA802" s="456">
        <f>_xll.xSPRDOPT($L802,$J802,$I802,$M802,$O802,$N802,$P802,$Q802-$C$3,$R802,3)</f>
        <v>2.4323325694587097</v>
      </c>
      <c r="AB802" s="456">
        <f>((_xll.xSPRDOPT($L802+AB$5,$J802,$I802,$M802,$O802,$N802,$P802,$Q802-$C$3,$R802,3)*$H802)/10000)/100</f>
        <v>-2.4323325694587097</v>
      </c>
      <c r="AC802" s="456">
        <f>((_xll.xSPRDOPT($L802+$AB$5,$J802,$I802,$M802,$O802,$N802,$P802,$Q802-$C$3,$R802,7)*$H802)/100)</f>
        <v>67415.262983596243</v>
      </c>
      <c r="AD802" s="456">
        <f>(_xll.xSPRDOPT($L802+$AB$5,$J802,$I802,$M802,$O802,$N802,$P802,$Q802-$C$3,$R802,9)/365)*$H802</f>
        <v>204.59164064208642</v>
      </c>
      <c r="AE802">
        <f t="shared" si="972"/>
        <v>0</v>
      </c>
      <c r="AF802" s="456">
        <f t="shared" si="987"/>
        <v>-839.15297655011318</v>
      </c>
      <c r="AG802" s="456">
        <f>((_xll.xSPRDOPT($L802,$J802,$I802,$M802,$O802,$N802,$P802,$Q802-$C$3,$R802,6)*$H802)/100)</f>
        <v>3755.7877828056476</v>
      </c>
      <c r="AH802" s="456">
        <f>((_xll.xSPRDOPT($L802,$J802,$I802,$M802,$O802,$N802,$P802,$Q802-$C$3,$R802,5)*$H802)/100)</f>
        <v>-4594.9407593557607</v>
      </c>
      <c r="AI802" s="456">
        <f>(((_xll.xSPRDOPT($L802,$J802,$I802,$M802,$O802,$N802,$P802,$Q802-$C$3,$R802,4)*$H802)/10000)/100)-AB802</f>
        <v>5.2635754474930962E-2</v>
      </c>
      <c r="AJ802" s="456"/>
      <c r="CC802" s="141">
        <f t="shared" si="988"/>
        <v>36831</v>
      </c>
      <c r="CD802" s="234">
        <f>_xll.xSPRDOPT((VLOOKUP(G800,NGPrices,2,FALSE)+HLOOKUP(D800,Prices,VLOOKUP(G800,move_down,2,FALSE),FALSE)),VLOOKUP(G800,NGPrices,2,FALSE),I800,VLOOKUP(G800,NGPREVPRICES,4,FALSE),HLOOKUP(D800,PREVVOLS,VLOOKUP(G800,MOVE_DOWN2,2,FALSE),FALSE),VLOOKUP(G800,NGPREVPRICES,3,FALSE),HLOOKUP(D800,Correllate,VLOOKUP(G800,CorMove,2,FALSE),FALSE),Q800-$CD$3,R800,$CD$5)*H800-CJ802</f>
        <v>0</v>
      </c>
      <c r="CE802" s="234">
        <f>_xll.xSPRDOPT((VLOOKUP(G800,NGPREVPRICES,2,FALSE)+HLOOKUP(D800,PREVCURVES,VLOOKUP(G800,MOVE_DOWN2,2,FALSE),FALSE)),VLOOKUP(G800,NGPREVPRICES,2,FALSE),CK802,VLOOKUP(G800,NGPrices,4,FALSE),HLOOKUP(D800,PREVVOLS,VLOOKUP(G800,MOVE_DOWN2,2,FALSE),FALSE),VLOOKUP(G800,NGPREVPRICES,3,FALSE),HLOOKUP(D800,Correllate,VLOOKUP(G800,CorMove,2,FALSE),FALSE),Q800-$CD$3,R800,$CJ$5)*H800-CJ802</f>
        <v>0</v>
      </c>
      <c r="CF802" s="10">
        <f t="shared" si="989"/>
        <v>1.3091199460977805</v>
      </c>
      <c r="CG802" s="234">
        <f>_xll.xSPRDOPT((VLOOKUP(G800,NGPREVPRICES,2,FALSE)+HLOOKUP(D800,PREVCURVES,VLOOKUP(G800,MOVE_DOWN2,2,FALSE),FALSE)),VLOOKUP(G800,NGPREVPRICES,2,FALSE),CK802,VLOOKUP(G800,NGPREVPRICES,4,FALSE),HLOOKUP(D800,VOLS,VLOOKUP(G800,move_down,2,FALSE),FALSE),VLOOKUP(G800,NGPrices,3,FALSE),HLOOKUP(D800,Correllate,VLOOKUP(G800,CorMove,2,FALSE),FALSE),Q800-$CD$3,R800,$CJ$5)*H800-CJ802</f>
        <v>0</v>
      </c>
      <c r="CH802" s="234">
        <f>_xll.xSPRDOPT((VLOOKUP(G800,NGPREVPRICES,2,FALSE)+HLOOKUP(D800,PREVCURVES,VLOOKUP(G800,MOVE_DOWN2,2,FALSE),FALSE)),VLOOKUP(G800,NGPREVPRICES,2,FALSE),CK802,VLOOKUP(G800,NGPREVPRICES,4,FALSE),HLOOKUP(D800,PREVVOLS,VLOOKUP(G800,MOVE_DOWN2,2,FALSE),FALSE),VLOOKUP(G800,NGPREVPRICES,3,FALSE),HLOOKUP(D800,Correllate,VLOOKUP(G800,CorMove,2,FALSE),FALSE),Q800-$C$3,R800,$CJ$5)*H800-CJ802</f>
        <v>175.80166465891489</v>
      </c>
      <c r="CI802" s="234">
        <f t="shared" si="990"/>
        <v>177.11078460501267</v>
      </c>
      <c r="CJ802" s="234">
        <f>_xll.xSPRDOPT((VLOOKUP(G800,NGPREVPRICES,2,FALSE)+HLOOKUP(D800,PREVCURVES,VLOOKUP(G800,MOVE_DOWN2,2,FALSE),FALSE)),VLOOKUP(G800,NGPREVPRICES,2,FALSE),CK802,VLOOKUP(G800,NGPREVPRICES,4,FALSE),HLOOKUP(D800,PREVVOLS,VLOOKUP(G800,MOVE_DOWN2,2,FALSE),FALSE),VLOOKUP(G800,NGPREVPRICES,3,FALSE),HLOOKUP(D800,Correllate,VLOOKUP(G800,CorMove,2,FALSE),FALSE),Q800-$CD$3,R800,$CJ$5)*H800</f>
        <v>-7049.2455730318743</v>
      </c>
      <c r="CK802" s="235">
        <f t="shared" si="991"/>
        <v>0.2</v>
      </c>
      <c r="CM802" t="str">
        <f t="shared" si="992"/>
        <v>36831Curve Shift/Gamma</v>
      </c>
      <c r="CN802" t="str">
        <f t="shared" si="949"/>
        <v>36831Rho</v>
      </c>
      <c r="CO802" t="str">
        <f t="shared" si="950"/>
        <v>36831Drift</v>
      </c>
      <c r="CP802" t="str">
        <f t="shared" si="951"/>
        <v>36831Vega</v>
      </c>
      <c r="CQ802" t="str">
        <f t="shared" si="952"/>
        <v>36831Theta</v>
      </c>
    </row>
    <row r="803" spans="1:95" x14ac:dyDescent="0.25">
      <c r="A803" s="140" t="s">
        <v>348</v>
      </c>
      <c r="B803" t="s">
        <v>250</v>
      </c>
      <c r="C803" t="s">
        <v>614</v>
      </c>
      <c r="D803" s="4" t="s">
        <v>74</v>
      </c>
      <c r="E803" t="s">
        <v>20</v>
      </c>
      <c r="F803" t="s">
        <v>21</v>
      </c>
      <c r="G803" s="5">
        <v>36923</v>
      </c>
      <c r="H803" s="130">
        <v>-1000000</v>
      </c>
      <c r="I803" s="235">
        <v>0.2</v>
      </c>
      <c r="J803" s="53">
        <f t="shared" si="973"/>
        <v>4.4800000000000004</v>
      </c>
      <c r="K803" s="7">
        <f t="shared" si="974"/>
        <v>0.13750000000000001</v>
      </c>
      <c r="L803" s="53">
        <f t="shared" si="975"/>
        <v>4.6175000000000006</v>
      </c>
      <c r="M803" s="157">
        <f t="shared" si="976"/>
        <v>6.8640161611372E-2</v>
      </c>
      <c r="N803" s="4">
        <f t="shared" si="977"/>
        <v>0.59250000000000003</v>
      </c>
      <c r="O803" s="4">
        <f t="shared" si="978"/>
        <v>0.59299999999999997</v>
      </c>
      <c r="P803" s="9">
        <f t="shared" si="979"/>
        <v>0.997</v>
      </c>
      <c r="Q803" s="5">
        <f t="shared" si="980"/>
        <v>36921</v>
      </c>
      <c r="R803" s="4">
        <f t="shared" si="981"/>
        <v>1</v>
      </c>
      <c r="S803" s="158">
        <f>_xll.xSPRDOPT($L803,$J803,$I803,$M803,$O803,$N803,$P803,$Q803-$C$3,$R803,0)</f>
        <v>3.4815997437787051E-2</v>
      </c>
      <c r="T803" s="159">
        <f>_xll.xSPRDOPT($L803,$J803,$I803,$M803,$O803,$N803,$P803,$Q803-$C$3,$R803,1)*H803</f>
        <v>-346597.01251359016</v>
      </c>
      <c r="U803" s="160">
        <f t="shared" si="982"/>
        <v>-34815.997437787053</v>
      </c>
      <c r="V803" s="159">
        <f>_xll.xSPRDOPT($L803,$J803,$I803,$M803,$O803,$N803,$P803,$Q803-$C$3,$R803,2)*H803</f>
        <v>337042.28790476633</v>
      </c>
      <c r="W803" s="159">
        <f t="shared" si="983"/>
        <v>-9554.7246088238317</v>
      </c>
      <c r="X803" s="51" t="str">
        <f t="shared" si="984"/>
        <v>36923NGI/CHI. GATE</v>
      </c>
      <c r="Y803" s="418">
        <f t="shared" si="985"/>
        <v>-100</v>
      </c>
      <c r="Z803" s="456">
        <f t="shared" si="986"/>
        <v>0.34659701251359015</v>
      </c>
      <c r="AA803" s="456">
        <f>_xll.xSPRDOPT($L803,$J803,$I803,$M803,$O803,$N803,$P803,$Q803-$C$3,$R803,3)</f>
        <v>2.3713202005982938</v>
      </c>
      <c r="AB803" s="456">
        <f>((_xll.xSPRDOPT($L803+AB$5,$J803,$I803,$M803,$O803,$N803,$P803,$Q803-$C$3,$R803,3)*$H803)/10000)/100</f>
        <v>-2.3713202005982938</v>
      </c>
      <c r="AC803" s="456">
        <f>((_xll.xSPRDOPT($L803+$AB$5,$J803,$I803,$M803,$O803,$N803,$P803,$Q803-$C$3,$R803,7)*$H803)/100)</f>
        <v>71999.485544706607</v>
      </c>
      <c r="AD803" s="456">
        <f>(_xll.xSPRDOPT($L803+$AB$5,$J803,$I803,$M803,$O803,$N803,$P803,$Q803-$C$3,$R803,9)/365)*$H803</f>
        <v>175.605817200638</v>
      </c>
      <c r="AE803">
        <f t="shared" si="972"/>
        <v>0</v>
      </c>
      <c r="AF803" s="456">
        <f t="shared" si="987"/>
        <v>-946.24072563817026</v>
      </c>
      <c r="AG803" s="456">
        <f>((_xll.xSPRDOPT($L803,$J803,$I803,$M803,$O803,$N803,$P803,$Q803-$C$3,$R803,6)*$H803)/100)</f>
        <v>4419.1895661905091</v>
      </c>
      <c r="AH803" s="456">
        <f>((_xll.xSPRDOPT($L803,$J803,$I803,$M803,$O803,$N803,$P803,$Q803-$C$3,$R803,5)*$H803)/100)</f>
        <v>-5360.9063202504094</v>
      </c>
      <c r="AI803" s="456">
        <f>(((_xll.xSPRDOPT($L803,$J803,$I803,$M803,$O803,$N803,$P803,$Q803-$C$3,$R803,4)*$H803)/10000)/100)-AB803</f>
        <v>4.3097264498453747E-2</v>
      </c>
      <c r="AJ803" s="456"/>
      <c r="CC803" s="141">
        <f t="shared" si="988"/>
        <v>36861</v>
      </c>
      <c r="CD803" s="234">
        <f>_xll.xSPRDOPT((VLOOKUP(G801,NGPrices,2,FALSE)+HLOOKUP(D801,Prices,VLOOKUP(G801,move_down,2,FALSE),FALSE)),VLOOKUP(G801,NGPrices,2,FALSE),I801,VLOOKUP(G801,NGPREVPRICES,4,FALSE),HLOOKUP(D801,PREVVOLS,VLOOKUP(G801,MOVE_DOWN2,2,FALSE),FALSE),VLOOKUP(G801,NGPREVPRICES,3,FALSE),HLOOKUP(D801,Correllate,VLOOKUP(G801,CorMove,2,FALSE),FALSE),Q801-$CD$3,R801,$CD$5)*H801-CJ803</f>
        <v>0</v>
      </c>
      <c r="CE803" s="234">
        <f>_xll.xSPRDOPT((VLOOKUP(G801,NGPREVPRICES,2,FALSE)+HLOOKUP(D801,PREVCURVES,VLOOKUP(G801,MOVE_DOWN2,2,FALSE),FALSE)),VLOOKUP(G801,NGPREVPRICES,2,FALSE),CK803,VLOOKUP(G801,NGPrices,4,FALSE),HLOOKUP(D801,PREVVOLS,VLOOKUP(G801,MOVE_DOWN2,2,FALSE),FALSE),VLOOKUP(G801,NGPREVPRICES,3,FALSE),HLOOKUP(D801,Correllate,VLOOKUP(G801,CorMove,2,FALSE),FALSE),Q801-$CD$3,R801,$CJ$5)*H801-CJ803</f>
        <v>0</v>
      </c>
      <c r="CF803" s="10">
        <f t="shared" si="989"/>
        <v>2.91132842598563</v>
      </c>
      <c r="CG803" s="234">
        <f>_xll.xSPRDOPT((VLOOKUP(G801,NGPREVPRICES,2,FALSE)+HLOOKUP(D801,PREVCURVES,VLOOKUP(G801,MOVE_DOWN2,2,FALSE),FALSE)),VLOOKUP(G801,NGPREVPRICES,2,FALSE),CK803,VLOOKUP(G801,NGPREVPRICES,4,FALSE),HLOOKUP(D801,VOLS,VLOOKUP(G801,move_down,2,FALSE),FALSE),VLOOKUP(G801,NGPrices,3,FALSE),HLOOKUP(D801,Correllate,VLOOKUP(G801,CorMove,2,FALSE),FALSE),Q801-$CD$3,R801,$CJ$5)*H801-CJ803</f>
        <v>0</v>
      </c>
      <c r="CH803" s="234">
        <f>_xll.xSPRDOPT((VLOOKUP(G801,NGPREVPRICES,2,FALSE)+HLOOKUP(D801,PREVCURVES,VLOOKUP(G801,MOVE_DOWN2,2,FALSE),FALSE)),VLOOKUP(G801,NGPREVPRICES,2,FALSE),CK803,VLOOKUP(G801,NGPREVPRICES,4,FALSE),HLOOKUP(D801,PREVVOLS,VLOOKUP(G801,MOVE_DOWN2,2,FALSE),FALSE),VLOOKUP(G801,NGPREVPRICES,3,FALSE),HLOOKUP(D801,Correllate,VLOOKUP(G801,CorMove,2,FALSE),FALSE),Q801-$C$3,R801,$CJ$5)*H801-CJ803</f>
        <v>196.23871474989028</v>
      </c>
      <c r="CI803" s="234">
        <f t="shared" si="990"/>
        <v>199.15004317587591</v>
      </c>
      <c r="CJ803" s="234">
        <f>_xll.xSPRDOPT((VLOOKUP(G801,NGPREVPRICES,2,FALSE)+HLOOKUP(D801,PREVCURVES,VLOOKUP(G801,MOVE_DOWN2,2,FALSE),FALSE)),VLOOKUP(G801,NGPREVPRICES,2,FALSE),CK803,VLOOKUP(G801,NGPREVPRICES,4,FALSE),HLOOKUP(D801,PREVVOLS,VLOOKUP(G801,MOVE_DOWN2,2,FALSE),FALSE),VLOOKUP(G801,NGPREVPRICES,3,FALSE),HLOOKUP(D801,Correllate,VLOOKUP(G801,CorMove,2,FALSE),FALSE),Q801-$CD$3,R801,$CJ$5)*H801</f>
        <v>-15540.517320006606</v>
      </c>
      <c r="CK803" s="235">
        <f t="shared" si="991"/>
        <v>0.2</v>
      </c>
      <c r="CM803" t="str">
        <f t="shared" si="992"/>
        <v>36861Curve Shift/Gamma</v>
      </c>
      <c r="CN803" t="str">
        <f t="shared" si="949"/>
        <v>36861Rho</v>
      </c>
      <c r="CO803" t="str">
        <f t="shared" si="950"/>
        <v>36861Drift</v>
      </c>
      <c r="CP803" t="str">
        <f t="shared" si="951"/>
        <v>36861Vega</v>
      </c>
      <c r="CQ803" t="str">
        <f t="shared" si="952"/>
        <v>36861Theta</v>
      </c>
    </row>
    <row r="804" spans="1:95" x14ac:dyDescent="0.25">
      <c r="A804" s="140" t="s">
        <v>348</v>
      </c>
      <c r="B804" t="s">
        <v>250</v>
      </c>
      <c r="C804" t="s">
        <v>614</v>
      </c>
      <c r="D804" s="4" t="s">
        <v>74</v>
      </c>
      <c r="E804" t="s">
        <v>20</v>
      </c>
      <c r="F804" t="s">
        <v>21</v>
      </c>
      <c r="G804" s="5">
        <v>36951</v>
      </c>
      <c r="H804" s="130">
        <v>-1000000</v>
      </c>
      <c r="I804" s="235">
        <v>0.2</v>
      </c>
      <c r="J804" s="53">
        <f t="shared" si="973"/>
        <v>4.2130000000000001</v>
      </c>
      <c r="K804" s="7">
        <f t="shared" si="974"/>
        <v>0.1225</v>
      </c>
      <c r="L804" s="53">
        <f t="shared" si="975"/>
        <v>4.3354999999999997</v>
      </c>
      <c r="M804" s="157">
        <f t="shared" si="976"/>
        <v>6.8879814952706994E-2</v>
      </c>
      <c r="N804" s="4">
        <f t="shared" si="977"/>
        <v>0.53249999999999997</v>
      </c>
      <c r="O804" s="4">
        <f t="shared" si="978"/>
        <v>0.53300000000000003</v>
      </c>
      <c r="P804" s="9">
        <f t="shared" si="979"/>
        <v>0.997</v>
      </c>
      <c r="Q804" s="5">
        <f t="shared" si="980"/>
        <v>36949</v>
      </c>
      <c r="R804" s="4">
        <f t="shared" si="981"/>
        <v>1</v>
      </c>
      <c r="S804" s="158">
        <f>_xll.xSPRDOPT($L804,$J804,$I804,$M804,$O804,$N804,$P804,$Q804-$C$3,$R804,0)</f>
        <v>2.6185472823568891E-2</v>
      </c>
      <c r="T804" s="159">
        <f>_xll.xSPRDOPT($L804,$J804,$I804,$M804,$O804,$N804,$P804,$Q804-$C$3,$R804,1)*H804</f>
        <v>-298082.01194515015</v>
      </c>
      <c r="U804" s="160">
        <f t="shared" si="982"/>
        <v>-26185.472823568893</v>
      </c>
      <c r="V804" s="159">
        <f>_xll.xSPRDOPT($L804,$J804,$I804,$M804,$O804,$N804,$P804,$Q804-$C$3,$R804,2)*H804</f>
        <v>289396.63974285749</v>
      </c>
      <c r="W804" s="159">
        <f t="shared" si="983"/>
        <v>-8685.3722022926668</v>
      </c>
      <c r="X804" s="51" t="str">
        <f t="shared" si="984"/>
        <v>36951NGI/CHI. GATE</v>
      </c>
      <c r="Y804" s="418">
        <f t="shared" si="985"/>
        <v>-100</v>
      </c>
      <c r="Z804" s="456">
        <f t="shared" si="986"/>
        <v>0.29808201194515016</v>
      </c>
      <c r="AA804" s="456">
        <f>_xll.xSPRDOPT($L804,$J804,$I804,$M804,$O804,$N804,$P804,$Q804-$C$3,$R804,3)</f>
        <v>2.408157401711319</v>
      </c>
      <c r="AB804" s="456">
        <f>((_xll.xSPRDOPT($L804+AB$5,$J804,$I804,$M804,$O804,$N804,$P804,$Q804-$C$3,$R804,3)*$H804)/10000)/100</f>
        <v>-2.4081574017113194</v>
      </c>
      <c r="AC804" s="456">
        <f>((_xll.xSPRDOPT($L804+$AB$5,$J804,$I804,$M804,$O804,$N804,$P804,$Q804-$C$3,$R804,7)*$H804)/100)</f>
        <v>61444.4210629238</v>
      </c>
      <c r="AD804" s="456">
        <f>(_xll.xSPRDOPT($L804+$AB$5,$J804,$I804,$M804,$O804,$N804,$P804,$Q804-$C$3,$R804,9)/365)*$H804</f>
        <v>128.82482106274094</v>
      </c>
      <c r="AE804">
        <f t="shared" si="972"/>
        <v>0</v>
      </c>
      <c r="AF804" s="456">
        <f t="shared" si="987"/>
        <v>-913.75792878662105</v>
      </c>
      <c r="AG804" s="456">
        <f>((_xll.xSPRDOPT($L804,$J804,$I804,$M804,$O804,$N804,$P804,$Q804-$C$3,$R804,6)*$H804)/100)</f>
        <v>4375.3071110060419</v>
      </c>
      <c r="AH804" s="456">
        <f>((_xll.xSPRDOPT($L804,$J804,$I804,$M804,$O804,$N804,$P804,$Q804-$C$3,$R804,5)*$H804)/100)</f>
        <v>-5284.1034403181848</v>
      </c>
      <c r="AI804" s="456">
        <f>(((_xll.xSPRDOPT($L804,$J804,$I804,$M804,$O804,$N804,$P804,$Q804-$C$3,$R804,4)*$H804)/10000)/100)-AB804</f>
        <v>5.8337645949622097E-2</v>
      </c>
      <c r="AJ804" s="456"/>
      <c r="CC804" s="141">
        <f t="shared" si="988"/>
        <v>36892</v>
      </c>
      <c r="CD804" s="234">
        <f>_xll.xSPRDOPT((VLOOKUP(G802,NGPrices,2,FALSE)+HLOOKUP(D802,Prices,VLOOKUP(G802,move_down,2,FALSE),FALSE)),VLOOKUP(G802,NGPrices,2,FALSE),I802,VLOOKUP(G802,NGPREVPRICES,4,FALSE),HLOOKUP(D802,PREVVOLS,VLOOKUP(G802,MOVE_DOWN2,2,FALSE),FALSE),VLOOKUP(G802,NGPREVPRICES,3,FALSE),HLOOKUP(D802,Correllate,VLOOKUP(G802,CorMove,2,FALSE),FALSE),Q802-$CD$3,R802,$CD$5)*H802-CJ804</f>
        <v>0</v>
      </c>
      <c r="CE804" s="234">
        <f>_xll.xSPRDOPT((VLOOKUP(G802,NGPREVPRICES,2,FALSE)+HLOOKUP(D802,PREVCURVES,VLOOKUP(G802,MOVE_DOWN2,2,FALSE),FALSE)),VLOOKUP(G802,NGPREVPRICES,2,FALSE),CK804,VLOOKUP(G802,NGPrices,4,FALSE),HLOOKUP(D802,PREVVOLS,VLOOKUP(G802,MOVE_DOWN2,2,FALSE),FALSE),VLOOKUP(G802,NGPREVPRICES,3,FALSE),HLOOKUP(D802,Correllate,VLOOKUP(G802,CorMove,2,FALSE),FALSE),Q802-$CD$3,R802,$CJ$5)*H802-CJ804</f>
        <v>0</v>
      </c>
      <c r="CF804" s="10">
        <f t="shared" si="989"/>
        <v>5.4105036199944152</v>
      </c>
      <c r="CG804" s="234">
        <f>_xll.xSPRDOPT((VLOOKUP(G802,NGPREVPRICES,2,FALSE)+HLOOKUP(D802,PREVCURVES,VLOOKUP(G802,MOVE_DOWN2,2,FALSE),FALSE)),VLOOKUP(G802,NGPREVPRICES,2,FALSE),CK804,VLOOKUP(G802,NGPREVPRICES,4,FALSE),HLOOKUP(D802,VOLS,VLOOKUP(G802,move_down,2,FALSE),FALSE),VLOOKUP(G802,NGPrices,3,FALSE),HLOOKUP(D802,Correllate,VLOOKUP(G802,CorMove,2,FALSE),FALSE),Q802-$CD$3,R802,$CJ$5)*H802-CJ804</f>
        <v>0</v>
      </c>
      <c r="CH804" s="234">
        <f>_xll.xSPRDOPT((VLOOKUP(G802,NGPREVPRICES,2,FALSE)+HLOOKUP(D802,PREVCURVES,VLOOKUP(G802,MOVE_DOWN2,2,FALSE),FALSE)),VLOOKUP(G802,NGPREVPRICES,2,FALSE),CK804,VLOOKUP(G802,NGPREVPRICES,4,FALSE),HLOOKUP(D802,PREVVOLS,VLOOKUP(G802,MOVE_DOWN2,2,FALSE),FALSE),VLOOKUP(G802,NGPREVPRICES,3,FALSE),HLOOKUP(D802,Correllate,VLOOKUP(G802,CorMove,2,FALSE),FALSE),Q802-$C$3,R802,$CJ$5)*H802-CJ804</f>
        <v>204.093765266829</v>
      </c>
      <c r="CI804" s="234">
        <f t="shared" si="990"/>
        <v>209.50426888682341</v>
      </c>
      <c r="CJ804" s="234">
        <f>_xll.xSPRDOPT((VLOOKUP(G802,NGPREVPRICES,2,FALSE)+HLOOKUP(D802,PREVCURVES,VLOOKUP(G802,MOVE_DOWN2,2,FALSE),FALSE)),VLOOKUP(G802,NGPREVPRICES,2,FALSE),CK804,VLOOKUP(G802,NGPREVPRICES,4,FALSE),HLOOKUP(D802,PREVVOLS,VLOOKUP(G802,MOVE_DOWN2,2,FALSE),FALSE),VLOOKUP(G802,NGPREVPRICES,3,FALSE),HLOOKUP(D802,Correllate,VLOOKUP(G802,CorMove,2,FALSE),FALSE),Q802-$CD$3,R802,$CJ$5)*H802</f>
        <v>-28711.89871773521</v>
      </c>
      <c r="CK804" s="235">
        <f t="shared" si="991"/>
        <v>0.2</v>
      </c>
      <c r="CM804" t="str">
        <f t="shared" si="992"/>
        <v>36892Curve Shift/Gamma</v>
      </c>
      <c r="CN804" t="str">
        <f t="shared" si="949"/>
        <v>36892Rho</v>
      </c>
      <c r="CO804" t="str">
        <f t="shared" si="950"/>
        <v>36892Drift</v>
      </c>
      <c r="CP804" t="str">
        <f t="shared" si="951"/>
        <v>36892Vega</v>
      </c>
      <c r="CQ804" t="str">
        <f t="shared" si="952"/>
        <v>36892Theta</v>
      </c>
    </row>
    <row r="805" spans="1:95" x14ac:dyDescent="0.25">
      <c r="A805" s="140" t="s">
        <v>399</v>
      </c>
      <c r="B805" t="s">
        <v>250</v>
      </c>
      <c r="C805" t="s">
        <v>615</v>
      </c>
      <c r="D805" s="4" t="s">
        <v>74</v>
      </c>
      <c r="E805" t="s">
        <v>20</v>
      </c>
      <c r="F805" t="s">
        <v>1</v>
      </c>
      <c r="G805" s="5">
        <v>36831</v>
      </c>
      <c r="H805" s="130">
        <v>300000</v>
      </c>
      <c r="I805" s="235">
        <v>0.11</v>
      </c>
      <c r="J805" s="53">
        <f t="shared" ref="J805:J814" si="993">VLOOKUP(G805,NGPrices,2,FALSE)</f>
        <v>4.7359999999999998</v>
      </c>
      <c r="K805" s="7">
        <f t="shared" ref="K805:K814" si="994">HLOOKUP(D805,Prices,VLOOKUP(G805,move_down,2,FALSE),FALSE)+VLOOKUP(G805,CHANGE,HLOOKUP(D805,CHANGE,2,FALSE),FALSE)</f>
        <v>8.7499999999999994E-2</v>
      </c>
      <c r="L805" s="53">
        <f t="shared" ref="L805:L814" si="995">K805+J805</f>
        <v>4.8235000000000001</v>
      </c>
      <c r="M805" s="157">
        <f t="shared" ref="M805:M814" si="996">VLOOKUP(G805,NGPrices,4,FALSE)</f>
        <v>6.810675983792E-2</v>
      </c>
      <c r="N805" s="4">
        <f t="shared" ref="N805:N814" si="997">VLOOKUP(G805,NGPrices,3,FALSE)</f>
        <v>0.59499999999999997</v>
      </c>
      <c r="O805" s="4">
        <f t="shared" ref="O805:O814" si="998">HLOOKUP(D805,VOLS,VLOOKUP(G805,move_down,2,FALSE),FALSE)</f>
        <v>0.59499999999999997</v>
      </c>
      <c r="P805" s="9">
        <f t="shared" ref="P805:P814" si="999">HLOOKUP(D805,Correllate,VLOOKUP(G805,CorMove,2,FALSE),FALSE)</f>
        <v>0.997</v>
      </c>
      <c r="Q805" s="5">
        <f t="shared" si="980"/>
        <v>36829</v>
      </c>
      <c r="R805" s="4">
        <f t="shared" ref="R805:R814" si="1000">IF(F805="P",0,1)</f>
        <v>0</v>
      </c>
      <c r="S805" s="158">
        <f>_xll.xSPRDOPT($L805,$J805,$I805,$M805,$O805,$N805,$P805,$Q805-$C$3,$R805,0)</f>
        <v>4.9516012861151024E-2</v>
      </c>
      <c r="T805" s="159">
        <f>_xll.xSPRDOPT($L805,$J805,$I805,$M805,$O805,$N805,$P805,$Q805-$C$3,$R805,1)*H805</f>
        <v>-174750.3365431985</v>
      </c>
      <c r="U805" s="160">
        <f t="shared" ref="U805:U814" si="1001">S805*H805</f>
        <v>14854.803858345307</v>
      </c>
      <c r="V805" s="159">
        <f>_xll.xSPRDOPT($L805,$J805,$I805,$M805,$O805,$N805,$P805,$Q805-$C$3,$R805,2)*H805</f>
        <v>176847.19790645791</v>
      </c>
      <c r="W805" s="159">
        <f t="shared" ref="W805:W814" si="1002">+V805+T805</f>
        <v>2096.8613632594061</v>
      </c>
      <c r="X805" s="51" t="str">
        <f t="shared" ref="X805:X814" si="1003">CONCATENATE(G805,D805)</f>
        <v>36831NGI/CHI. GATE</v>
      </c>
      <c r="Y805" s="418">
        <f t="shared" ref="Y805:Y814" si="1004">H805/10000</f>
        <v>30</v>
      </c>
      <c r="Z805" s="456">
        <f t="shared" ref="Z805:Z814" si="1005">T805/H805</f>
        <v>-0.58250112181066172</v>
      </c>
      <c r="AA805" s="456">
        <f>_xll.xSPRDOPT($L805,$J805,$I805,$M805,$O805,$N805,$P805,$Q805-$C$3,$R805,3)</f>
        <v>4.0724244134464431</v>
      </c>
      <c r="AB805" s="456">
        <f>((_xll.xSPRDOPT($L805+AB$5,$J805,$I805,$M805,$O805,$N805,$P805,$Q805-$C$3,$R805,3)*$H805)/10000)/100</f>
        <v>1.221727324033933</v>
      </c>
      <c r="AC805" s="456">
        <f>((_xll.xSPRDOPT($L805+$AB$5,$J805,$I805,$M805,$O805,$N805,$P805,$Q805-$C$3,$R805,7)*$H805)/100)</f>
        <v>-16701.78182587041</v>
      </c>
      <c r="AD805" s="456">
        <f>(_xll.xSPRDOPT($L805+$AB$5,$J805,$I805,$M805,$O805,$N805,$P805,$Q805-$C$3,$R805,9)/365)*$H805</f>
        <v>-85.287794496666322</v>
      </c>
      <c r="AE805">
        <f t="shared" si="972"/>
        <v>0</v>
      </c>
      <c r="AF805" s="456">
        <f t="shared" ref="AF805:AF814" si="1006">((O805/N805)*AH805)+AG805</f>
        <v>183.39354091903442</v>
      </c>
      <c r="AG805" s="456">
        <f>((_xll.xSPRDOPT($L805,$J805,$I805,$M805,$O805,$N805,$P805,$Q805-$C$3,$R805,6)*$H805)/100)</f>
        <v>-539.54446939149636</v>
      </c>
      <c r="AH805" s="456">
        <f>((_xll.xSPRDOPT($L805,$J805,$I805,$M805,$O805,$N805,$P805,$Q805-$C$3,$R805,5)*$H805)/100)</f>
        <v>722.93801031053079</v>
      </c>
      <c r="AI805" s="456">
        <f>(((_xll.xSPRDOPT($L805,$J805,$I805,$M805,$O805,$N805,$P805,$Q805-$C$3,$R805,4)*$H805)/10000)/100)-AB805</f>
        <v>-1.0167636651070566E-2</v>
      </c>
      <c r="AJ805" s="456"/>
      <c r="CC805" s="141">
        <f t="shared" si="988"/>
        <v>36923</v>
      </c>
      <c r="CD805" s="234">
        <f>_xll.xSPRDOPT((VLOOKUP(G803,NGPrices,2,FALSE)+HLOOKUP(D803,Prices,VLOOKUP(G803,move_down,2,FALSE),FALSE)),VLOOKUP(G803,NGPrices,2,FALSE),I803,VLOOKUP(G803,NGPREVPRICES,4,FALSE),HLOOKUP(D803,PREVVOLS,VLOOKUP(G803,MOVE_DOWN2,2,FALSE),FALSE),VLOOKUP(G803,NGPREVPRICES,3,FALSE),HLOOKUP(D803,Correllate,VLOOKUP(G803,CorMove,2,FALSE),FALSE),Q803-$CD$3,R803,$CD$5)*H803-CJ805</f>
        <v>0</v>
      </c>
      <c r="CE805" s="234">
        <f>_xll.xSPRDOPT((VLOOKUP(G803,NGPREVPRICES,2,FALSE)+HLOOKUP(D803,PREVCURVES,VLOOKUP(G803,MOVE_DOWN2,2,FALSE),FALSE)),VLOOKUP(G803,NGPREVPRICES,2,FALSE),CK805,VLOOKUP(G803,NGPrices,4,FALSE),HLOOKUP(D803,PREVVOLS,VLOOKUP(G803,MOVE_DOWN2,2,FALSE),FALSE),VLOOKUP(G803,NGPREVPRICES,3,FALSE),HLOOKUP(D803,Correllate,VLOOKUP(G803,CorMove,2,FALSE),FALSE),Q803-$CD$3,R803,$CJ$5)*H803-CJ805</f>
        <v>0</v>
      </c>
      <c r="CF805" s="10">
        <f t="shared" si="989"/>
        <v>6.6549241097454797</v>
      </c>
      <c r="CG805" s="234">
        <f>_xll.xSPRDOPT((VLOOKUP(G803,NGPREVPRICES,2,FALSE)+HLOOKUP(D803,PREVCURVES,VLOOKUP(G803,MOVE_DOWN2,2,FALSE),FALSE)),VLOOKUP(G803,NGPREVPRICES,2,FALSE),CK805,VLOOKUP(G803,NGPREVPRICES,4,FALSE),HLOOKUP(D803,VOLS,VLOOKUP(G803,move_down,2,FALSE),FALSE),VLOOKUP(G803,NGPrices,3,FALSE),HLOOKUP(D803,Correllate,VLOOKUP(G803,CorMove,2,FALSE),FALSE),Q803-$CD$3,R803,$CJ$5)*H803-CJ805</f>
        <v>0</v>
      </c>
      <c r="CH805" s="234">
        <f>_xll.xSPRDOPT((VLOOKUP(G803,NGPREVPRICES,2,FALSE)+HLOOKUP(D803,PREVCURVES,VLOOKUP(G803,MOVE_DOWN2,2,FALSE),FALSE)),VLOOKUP(G803,NGPREVPRICES,2,FALSE),CK805,VLOOKUP(G803,NGPREVPRICES,4,FALSE),HLOOKUP(D803,PREVVOLS,VLOOKUP(G803,MOVE_DOWN2,2,FALSE),FALSE),VLOOKUP(G803,NGPREVPRICES,3,FALSE),HLOOKUP(D803,Correllate,VLOOKUP(G803,CorMove,2,FALSE),FALSE),Q803-$C$3,R803,$CJ$5)*H803-CJ805</f>
        <v>175.2102420378942</v>
      </c>
      <c r="CI805" s="234">
        <f t="shared" si="990"/>
        <v>181.86516614763968</v>
      </c>
      <c r="CJ805" s="234">
        <f>_xll.xSPRDOPT((VLOOKUP(G803,NGPREVPRICES,2,FALSE)+HLOOKUP(D803,PREVCURVES,VLOOKUP(G803,MOVE_DOWN2,2,FALSE),FALSE)),VLOOKUP(G803,NGPREVPRICES,2,FALSE),CK805,VLOOKUP(G803,NGPREVPRICES,4,FALSE),HLOOKUP(D803,PREVVOLS,VLOOKUP(G803,MOVE_DOWN2,2,FALSE),FALSE),VLOOKUP(G803,NGPREVPRICES,3,FALSE),HLOOKUP(D803,Correllate,VLOOKUP(G803,CorMove,2,FALSE),FALSE),Q803-$CD$3,R803,$CJ$5)*H803</f>
        <v>-34991.207679824947</v>
      </c>
      <c r="CK805" s="235">
        <f t="shared" si="991"/>
        <v>0.2</v>
      </c>
      <c r="CM805" t="str">
        <f t="shared" si="992"/>
        <v>36923Curve Shift/Gamma</v>
      </c>
      <c r="CN805" t="str">
        <f t="shared" si="949"/>
        <v>36923Rho</v>
      </c>
      <c r="CO805" t="str">
        <f t="shared" si="950"/>
        <v>36923Drift</v>
      </c>
      <c r="CP805" t="str">
        <f t="shared" si="951"/>
        <v>36923Vega</v>
      </c>
      <c r="CQ805" t="str">
        <f t="shared" si="952"/>
        <v>36923Theta</v>
      </c>
    </row>
    <row r="806" spans="1:95" x14ac:dyDescent="0.25">
      <c r="A806" s="140" t="s">
        <v>399</v>
      </c>
      <c r="B806" t="s">
        <v>250</v>
      </c>
      <c r="C806" t="s">
        <v>615</v>
      </c>
      <c r="D806" s="4" t="s">
        <v>74</v>
      </c>
      <c r="E806" t="s">
        <v>20</v>
      </c>
      <c r="F806" t="s">
        <v>1</v>
      </c>
      <c r="G806" s="5">
        <v>36861</v>
      </c>
      <c r="H806" s="130">
        <v>310000</v>
      </c>
      <c r="I806" s="235">
        <v>0.11</v>
      </c>
      <c r="J806" s="53">
        <f t="shared" si="993"/>
        <v>4.8</v>
      </c>
      <c r="K806" s="7">
        <f t="shared" si="994"/>
        <v>0.1</v>
      </c>
      <c r="L806" s="53">
        <f t="shared" si="995"/>
        <v>4.8999999999999995</v>
      </c>
      <c r="M806" s="157">
        <f t="shared" si="996"/>
        <v>6.8314027999354002E-2</v>
      </c>
      <c r="N806" s="4">
        <f t="shared" si="997"/>
        <v>0.6</v>
      </c>
      <c r="O806" s="4">
        <f t="shared" si="998"/>
        <v>0.6</v>
      </c>
      <c r="P806" s="9">
        <f t="shared" si="999"/>
        <v>0.997</v>
      </c>
      <c r="Q806" s="5">
        <f t="shared" si="980"/>
        <v>36859</v>
      </c>
      <c r="R806" s="4">
        <f t="shared" si="1000"/>
        <v>0</v>
      </c>
      <c r="S806" s="158">
        <f>_xll.xSPRDOPT($L806,$J806,$I806,$M806,$O806,$N806,$P806,$Q806-$C$3,$R806,0)</f>
        <v>5.135280792842653E-2</v>
      </c>
      <c r="T806" s="159">
        <f>_xll.xSPRDOPT($L806,$J806,$I806,$M806,$O806,$N806,$P806,$Q806-$C$3,$R806,1)*H806</f>
        <v>-160869.32157700448</v>
      </c>
      <c r="U806" s="160">
        <f t="shared" si="1001"/>
        <v>15919.370457812225</v>
      </c>
      <c r="V806" s="159">
        <f>_xll.xSPRDOPT($L806,$J806,$I806,$M806,$O806,$N806,$P806,$Q806-$C$3,$R806,2)*H806</f>
        <v>163581.44674950937</v>
      </c>
      <c r="W806" s="159">
        <f t="shared" si="1002"/>
        <v>2712.1251725048933</v>
      </c>
      <c r="X806" s="51" t="str">
        <f t="shared" si="1003"/>
        <v>36861NGI/CHI. GATE</v>
      </c>
      <c r="Y806" s="418">
        <f t="shared" si="1004"/>
        <v>31</v>
      </c>
      <c r="Z806" s="456">
        <f t="shared" si="1005"/>
        <v>-0.51893329540969191</v>
      </c>
      <c r="AA806" s="456">
        <f>_xll.xSPRDOPT($L806,$J806,$I806,$M806,$O806,$N806,$P806,$Q806-$C$3,$R806,3)</f>
        <v>3.3209544748118445</v>
      </c>
      <c r="AB806" s="456">
        <f>((_xll.xSPRDOPT($L806+AB$5,$J806,$I806,$M806,$O806,$N806,$P806,$Q806-$C$3,$R806,3)*$H806)/10000)/100</f>
        <v>1.0294958871916717</v>
      </c>
      <c r="AC806" s="456">
        <f>((_xll.xSPRDOPT($L806+$AB$5,$J806,$I806,$M806,$O806,$N806,$P806,$Q806-$C$3,$R806,7)*$H806)/100)</f>
        <v>-21919.365376627076</v>
      </c>
      <c r="AD806" s="456">
        <f>(_xll.xSPRDOPT($L806+$AB$5,$J806,$I806,$M806,$O806,$N806,$P806,$Q806-$C$3,$R806,9)/365)*$H806</f>
        <v>-74.965061486020218</v>
      </c>
      <c r="AE806">
        <f t="shared" si="972"/>
        <v>0</v>
      </c>
      <c r="AF806" s="456">
        <f t="shared" si="1006"/>
        <v>238.86632788039969</v>
      </c>
      <c r="AG806" s="456">
        <f>((_xll.xSPRDOPT($L806,$J806,$I806,$M806,$O806,$N806,$P806,$Q806-$C$3,$R806,6)*$H806)/100)</f>
        <v>-694.90368789374179</v>
      </c>
      <c r="AH806" s="456">
        <f>((_xll.xSPRDOPT($L806,$J806,$I806,$M806,$O806,$N806,$P806,$Q806-$C$3,$R806,5)*$H806)/100)</f>
        <v>933.77001577414148</v>
      </c>
      <c r="AI806" s="456">
        <f>(((_xll.xSPRDOPT($L806,$J806,$I806,$M806,$O806,$N806,$P806,$Q806-$C$3,$R806,4)*$H806)/10000)/100)-AB806</f>
        <v>-3.4312829518325927E-3</v>
      </c>
      <c r="AJ806" s="456"/>
      <c r="CC806" s="141">
        <f t="shared" si="988"/>
        <v>36951</v>
      </c>
      <c r="CD806" s="234">
        <f>_xll.xSPRDOPT((VLOOKUP(G804,NGPrices,2,FALSE)+HLOOKUP(D804,Prices,VLOOKUP(G804,move_down,2,FALSE),FALSE)),VLOOKUP(G804,NGPrices,2,FALSE),I804,VLOOKUP(G804,NGPREVPRICES,4,FALSE),HLOOKUP(D804,PREVVOLS,VLOOKUP(G804,MOVE_DOWN2,2,FALSE),FALSE),VLOOKUP(G804,NGPREVPRICES,3,FALSE),HLOOKUP(D804,Correllate,VLOOKUP(G804,CorMove,2,FALSE),FALSE),Q804-$CD$3,R804,$CD$5)*H804-CJ806</f>
        <v>0</v>
      </c>
      <c r="CE806" s="234">
        <f>_xll.xSPRDOPT((VLOOKUP(G804,NGPREVPRICES,2,FALSE)+HLOOKUP(D804,PREVCURVES,VLOOKUP(G804,MOVE_DOWN2,2,FALSE),FALSE)),VLOOKUP(G804,NGPREVPRICES,2,FALSE),CK806,VLOOKUP(G804,NGPrices,4,FALSE),HLOOKUP(D804,PREVVOLS,VLOOKUP(G804,MOVE_DOWN2,2,FALSE),FALSE),VLOOKUP(G804,NGPREVPRICES,3,FALSE),HLOOKUP(D804,Correllate,VLOOKUP(G804,CorMove,2,FALSE),FALSE),Q804-$CD$3,R804,$CJ$5)*H804-CJ806</f>
        <v>0</v>
      </c>
      <c r="CF806" s="10">
        <f t="shared" si="989"/>
        <v>5.0466429478365171</v>
      </c>
      <c r="CG806" s="234">
        <f>_xll.xSPRDOPT((VLOOKUP(G804,NGPREVPRICES,2,FALSE)+HLOOKUP(D804,PREVCURVES,VLOOKUP(G804,MOVE_DOWN2,2,FALSE),FALSE)),VLOOKUP(G804,NGPREVPRICES,2,FALSE),CK806,VLOOKUP(G804,NGPREVPRICES,4,FALSE),HLOOKUP(D804,VOLS,VLOOKUP(G804,move_down,2,FALSE),FALSE),VLOOKUP(G804,NGPrices,3,FALSE),HLOOKUP(D804,Correllate,VLOOKUP(G804,CorMove,2,FALSE),FALSE),Q804-$CD$3,R804,$CJ$5)*H804-CJ806</f>
        <v>0</v>
      </c>
      <c r="CH806" s="234">
        <f>_xll.xSPRDOPT((VLOOKUP(G804,NGPREVPRICES,2,FALSE)+HLOOKUP(D804,PREVCURVES,VLOOKUP(G804,MOVE_DOWN2,2,FALSE),FALSE)),VLOOKUP(G804,NGPREVPRICES,2,FALSE),CK806,VLOOKUP(G804,NGPREVPRICES,4,FALSE),HLOOKUP(D804,PREVVOLS,VLOOKUP(G804,MOVE_DOWN2,2,FALSE),FALSE),VLOOKUP(G804,NGPREVPRICES,3,FALSE),HLOOKUP(D804,Correllate,VLOOKUP(G804,CorMove,2,FALSE),FALSE),Q804-$C$3,R804,$CJ$5)*H804-CJ806</f>
        <v>128.58446866778831</v>
      </c>
      <c r="CI806" s="234">
        <f t="shared" si="990"/>
        <v>133.63111161562483</v>
      </c>
      <c r="CJ806" s="234">
        <f>_xll.xSPRDOPT((VLOOKUP(G804,NGPREVPRICES,2,FALSE)+HLOOKUP(D804,PREVCURVES,VLOOKUP(G804,MOVE_DOWN2,2,FALSE),FALSE)),VLOOKUP(G804,NGPREVPRICES,2,FALSE),CK806,VLOOKUP(G804,NGPREVPRICES,4,FALSE),HLOOKUP(D804,PREVVOLS,VLOOKUP(G804,MOVE_DOWN2,2,FALSE),FALSE),VLOOKUP(G804,NGPREVPRICES,3,FALSE),HLOOKUP(D804,Correllate,VLOOKUP(G804,CorMove,2,FALSE),FALSE),Q804-$CD$3,R804,$CJ$5)*H804</f>
        <v>-26314.057292236681</v>
      </c>
      <c r="CK806" s="235">
        <f t="shared" si="991"/>
        <v>0.2</v>
      </c>
      <c r="CM806" t="str">
        <f t="shared" si="992"/>
        <v>36951Curve Shift/Gamma</v>
      </c>
      <c r="CN806" t="str">
        <f t="shared" si="949"/>
        <v>36951Rho</v>
      </c>
      <c r="CO806" t="str">
        <f t="shared" si="950"/>
        <v>36951Drift</v>
      </c>
      <c r="CP806" t="str">
        <f t="shared" si="951"/>
        <v>36951Vega</v>
      </c>
      <c r="CQ806" t="str">
        <f t="shared" si="952"/>
        <v>36951Theta</v>
      </c>
    </row>
    <row r="807" spans="1:95" x14ac:dyDescent="0.25">
      <c r="A807" s="140" t="s">
        <v>399</v>
      </c>
      <c r="B807" t="s">
        <v>250</v>
      </c>
      <c r="C807" t="s">
        <v>615</v>
      </c>
      <c r="D807" s="4" t="s">
        <v>74</v>
      </c>
      <c r="E807" t="s">
        <v>20</v>
      </c>
      <c r="F807" t="s">
        <v>1</v>
      </c>
      <c r="G807" s="5">
        <v>36892</v>
      </c>
      <c r="H807" s="130">
        <v>310000</v>
      </c>
      <c r="I807" s="235">
        <v>0.11</v>
      </c>
      <c r="J807" s="53">
        <f t="shared" si="993"/>
        <v>4.7439999999999998</v>
      </c>
      <c r="K807" s="7">
        <f t="shared" si="994"/>
        <v>0.1275</v>
      </c>
      <c r="L807" s="53">
        <f t="shared" si="995"/>
        <v>4.8715000000000002</v>
      </c>
      <c r="M807" s="157">
        <f t="shared" si="996"/>
        <v>6.8374831148490994E-2</v>
      </c>
      <c r="N807" s="4">
        <f t="shared" si="997"/>
        <v>0.60499999999999998</v>
      </c>
      <c r="O807" s="4">
        <f t="shared" si="998"/>
        <v>0.60499999999999998</v>
      </c>
      <c r="P807" s="9">
        <f t="shared" si="999"/>
        <v>0.997</v>
      </c>
      <c r="Q807" s="5">
        <f t="shared" si="980"/>
        <v>36888</v>
      </c>
      <c r="R807" s="4">
        <f t="shared" si="1000"/>
        <v>0</v>
      </c>
      <c r="S807" s="158">
        <f>_xll.xSPRDOPT($L807,$J807,$I807,$M807,$O807,$N807,$P807,$Q807-$C$3,$R807,0)</f>
        <v>4.4747893130298852E-2</v>
      </c>
      <c r="T807" s="159">
        <f>_xll.xSPRDOPT($L807,$J807,$I807,$M807,$O807,$N807,$P807,$Q807-$C$3,$R807,1)*H807</f>
        <v>-133887.82380916769</v>
      </c>
      <c r="U807" s="160">
        <f t="shared" si="1001"/>
        <v>13871.846870392645</v>
      </c>
      <c r="V807" s="159">
        <f>_xll.xSPRDOPT($L807,$J807,$I807,$M807,$O807,$N807,$P807,$Q807-$C$3,$R807,2)*H807</f>
        <v>136981.73457546788</v>
      </c>
      <c r="W807" s="159">
        <f t="shared" si="1002"/>
        <v>3093.9107663001923</v>
      </c>
      <c r="X807" s="51" t="str">
        <f t="shared" si="1003"/>
        <v>36892NGI/CHI. GATE</v>
      </c>
      <c r="Y807" s="418">
        <f t="shared" si="1004"/>
        <v>31</v>
      </c>
      <c r="Z807" s="456">
        <f t="shared" si="1005"/>
        <v>-0.43189620583602478</v>
      </c>
      <c r="AA807" s="456">
        <f>_xll.xSPRDOPT($L807,$J807,$I807,$M807,$O807,$N807,$P807,$Q807-$C$3,$R807,3)</f>
        <v>2.8427910827133451</v>
      </c>
      <c r="AB807" s="456">
        <f>((_xll.xSPRDOPT($L807+AB$5,$J807,$I807,$M807,$O807,$N807,$P807,$Q807-$C$3,$R807,3)*$H807)/10000)/100</f>
        <v>0.88126523564113701</v>
      </c>
      <c r="AC807" s="456">
        <f>((_xll.xSPRDOPT($L807+$AB$5,$J807,$I807,$M807,$O807,$N807,$P807,$Q807-$C$3,$R807,7)*$H807)/100)</f>
        <v>-24785.641701239489</v>
      </c>
      <c r="AD807" s="456">
        <f>(_xll.xSPRDOPT($L807+$AB$5,$J807,$I807,$M807,$O807,$N807,$P807,$Q807-$C$3,$R807,9)/365)*$H807</f>
        <v>-64.85804537360805</v>
      </c>
      <c r="AE807">
        <f t="shared" si="972"/>
        <v>0</v>
      </c>
      <c r="AF807" s="456">
        <f t="shared" si="1006"/>
        <v>269.64180594701372</v>
      </c>
      <c r="AG807" s="456">
        <f>((_xll.xSPRDOPT($L807,$J807,$I807,$M807,$O807,$N807,$P807,$Q807-$C$3,$R807,6)*$H807)/100)</f>
        <v>-801.47146472975885</v>
      </c>
      <c r="AH807" s="456">
        <f>((_xll.xSPRDOPT($L807,$J807,$I807,$M807,$O807,$N807,$P807,$Q807-$C$3,$R807,5)*$H807)/100)</f>
        <v>1071.1132706767726</v>
      </c>
      <c r="AI807" s="456">
        <f>(((_xll.xSPRDOPT($L807,$J807,$I807,$M807,$O807,$N807,$P807,$Q807-$C$3,$R807,4)*$H807)/10000)/100)-AB807</f>
        <v>6.4925278824758959E-3</v>
      </c>
      <c r="AJ807" s="456"/>
      <c r="CC807" s="141">
        <f t="shared" ref="CC807:CC815" si="1007">G805</f>
        <v>36831</v>
      </c>
      <c r="CD807" s="234">
        <f>_xll.xSPRDOPT((VLOOKUP(G805,NGPrices,2,FALSE)+HLOOKUP(D805,Prices,VLOOKUP(G805,move_down,2,FALSE),FALSE)),VLOOKUP(G805,NGPrices,2,FALSE),I805,VLOOKUP(G805,NGPREVPRICES,4,FALSE),HLOOKUP(D805,PREVVOLS,VLOOKUP(G805,MOVE_DOWN2,2,FALSE),FALSE),VLOOKUP(G805,NGPREVPRICES,3,FALSE),HLOOKUP(D805,Correllate,VLOOKUP(G805,CorMove,2,FALSE),FALSE),Q805-$CD$3,R805,$CD$5)*H805-CJ807</f>
        <v>0</v>
      </c>
      <c r="CE807" s="234">
        <f>_xll.xSPRDOPT((VLOOKUP(G805,NGPREVPRICES,2,FALSE)+HLOOKUP(D805,PREVCURVES,VLOOKUP(G805,MOVE_DOWN2,2,FALSE),FALSE)),VLOOKUP(G805,NGPREVPRICES,2,FALSE),CK807,VLOOKUP(G805,NGPrices,4,FALSE),HLOOKUP(D805,PREVVOLS,VLOOKUP(G805,MOVE_DOWN2,2,FALSE),FALSE),VLOOKUP(G805,NGPREVPRICES,3,FALSE),HLOOKUP(D805,Correllate,VLOOKUP(G805,CorMove,2,FALSE),FALSE),Q805-$CD$3,R805,$CJ$5)*H805-CJ807</f>
        <v>0</v>
      </c>
      <c r="CF807" s="10">
        <f t="shared" ref="CF807:CF815" si="1008">(CJ807/VLOOKUP(CC807,discount,3,FALSE))-(CJ807/VLOOKUP(CC807,discount,2,FALSE))</f>
        <v>-2.7744588880996162</v>
      </c>
      <c r="CG807" s="234">
        <f>_xll.xSPRDOPT((VLOOKUP(G805,NGPREVPRICES,2,FALSE)+HLOOKUP(D805,PREVCURVES,VLOOKUP(G805,MOVE_DOWN2,2,FALSE),FALSE)),VLOOKUP(G805,NGPREVPRICES,2,FALSE),CK807,VLOOKUP(G805,NGPREVPRICES,4,FALSE),HLOOKUP(D805,VOLS,VLOOKUP(G805,move_down,2,FALSE),FALSE),VLOOKUP(G805,NGPrices,3,FALSE),HLOOKUP(D805,Correllate,VLOOKUP(G805,CorMove,2,FALSE),FALSE),Q805-$CD$3,R805,$CJ$5)*H805-CJ807</f>
        <v>0</v>
      </c>
      <c r="CH807" s="234">
        <f>_xll.xSPRDOPT((VLOOKUP(G805,NGPREVPRICES,2,FALSE)+HLOOKUP(D805,PREVCURVES,VLOOKUP(G805,MOVE_DOWN2,2,FALSE),FALSE)),VLOOKUP(G805,NGPREVPRICES,2,FALSE),CK807,VLOOKUP(G805,NGPREVPRICES,4,FALSE),HLOOKUP(D805,PREVVOLS,VLOOKUP(G805,MOVE_DOWN2,2,FALSE),FALSE),VLOOKUP(G805,NGPREVPRICES,3,FALSE),HLOOKUP(D805,Correllate,VLOOKUP(G805,CorMove,2,FALSE),FALSE),Q805-$C$3,R805,$CJ$5)*H805-CJ807</f>
        <v>-84.882984556934389</v>
      </c>
      <c r="CI807" s="234">
        <f t="shared" ref="CI807:CI815" si="1009">SUM(CD807:CH807)</f>
        <v>-87.657443445034005</v>
      </c>
      <c r="CJ807" s="234">
        <f>_xll.xSPRDOPT((VLOOKUP(G805,NGPREVPRICES,2,FALSE)+HLOOKUP(D805,PREVCURVES,VLOOKUP(G805,MOVE_DOWN2,2,FALSE),FALSE)),VLOOKUP(G805,NGPREVPRICES,2,FALSE),CK807,VLOOKUP(G805,NGPREVPRICES,4,FALSE),HLOOKUP(D805,PREVVOLS,VLOOKUP(G805,MOVE_DOWN2,2,FALSE),FALSE),VLOOKUP(G805,NGPREVPRICES,3,FALSE),HLOOKUP(D805,Correllate,VLOOKUP(G805,CorMove,2,FALSE),FALSE),Q805-$CD$3,R805,$CJ$5)*H805</f>
        <v>14939.686842902242</v>
      </c>
      <c r="CK807" s="235">
        <f t="shared" ref="CK807:CK815" si="1010">I805</f>
        <v>0.11</v>
      </c>
      <c r="CM807" t="str">
        <f t="shared" ref="CM807:CM815" si="1011">CONCATENATE(CC807,$CD$6)</f>
        <v>36831Curve Shift/Gamma</v>
      </c>
      <c r="CN807" t="str">
        <f t="shared" si="949"/>
        <v>36831Rho</v>
      </c>
      <c r="CO807" t="str">
        <f t="shared" si="950"/>
        <v>36831Drift</v>
      </c>
      <c r="CP807" t="str">
        <f t="shared" si="951"/>
        <v>36831Vega</v>
      </c>
      <c r="CQ807" t="str">
        <f t="shared" si="952"/>
        <v>36831Theta</v>
      </c>
    </row>
    <row r="808" spans="1:95" x14ac:dyDescent="0.25">
      <c r="A808" s="140" t="s">
        <v>399</v>
      </c>
      <c r="B808" t="s">
        <v>250</v>
      </c>
      <c r="C808" t="s">
        <v>615</v>
      </c>
      <c r="D808" s="4" t="s">
        <v>74</v>
      </c>
      <c r="E808" t="s">
        <v>20</v>
      </c>
      <c r="F808" t="s">
        <v>1</v>
      </c>
      <c r="G808" s="5">
        <v>36923</v>
      </c>
      <c r="H808" s="130">
        <v>280000</v>
      </c>
      <c r="I808" s="235">
        <v>0.11</v>
      </c>
      <c r="J808" s="53">
        <f t="shared" si="993"/>
        <v>4.4800000000000004</v>
      </c>
      <c r="K808" s="7">
        <f t="shared" si="994"/>
        <v>0.13750000000000001</v>
      </c>
      <c r="L808" s="53">
        <f t="shared" si="995"/>
        <v>4.6175000000000006</v>
      </c>
      <c r="M808" s="157">
        <f t="shared" si="996"/>
        <v>6.8640161611372E-2</v>
      </c>
      <c r="N808" s="4">
        <f t="shared" si="997"/>
        <v>0.59250000000000003</v>
      </c>
      <c r="O808" s="4">
        <f t="shared" si="998"/>
        <v>0.59299999999999997</v>
      </c>
      <c r="P808" s="9">
        <f t="shared" si="999"/>
        <v>0.997</v>
      </c>
      <c r="Q808" s="5">
        <f t="shared" si="980"/>
        <v>36921</v>
      </c>
      <c r="R808" s="4">
        <f t="shared" si="1000"/>
        <v>0</v>
      </c>
      <c r="S808" s="158">
        <f>_xll.xSPRDOPT($L808,$J808,$I808,$M808,$O808,$N808,$P808,$Q808-$C$3,$R808,0)</f>
        <v>4.3090822037555113E-2</v>
      </c>
      <c r="T808" s="159">
        <f>_xll.xSPRDOPT($L808,$J808,$I808,$M808,$O808,$N808,$P808,$Q808-$C$3,$R808,1)*H808</f>
        <v>-113099.22363014199</v>
      </c>
      <c r="U808" s="160">
        <f t="shared" si="1001"/>
        <v>12065.430170515432</v>
      </c>
      <c r="V808" s="159">
        <f>_xll.xSPRDOPT($L808,$J808,$I808,$M808,$O808,$N808,$P808,$Q808-$C$3,$R808,2)*H808</f>
        <v>116119.56758461833</v>
      </c>
      <c r="W808" s="159">
        <f t="shared" si="1002"/>
        <v>3020.3439544763387</v>
      </c>
      <c r="X808" s="51" t="str">
        <f t="shared" si="1003"/>
        <v>36923NGI/CHI. GATE</v>
      </c>
      <c r="Y808" s="418">
        <f t="shared" si="1004"/>
        <v>28</v>
      </c>
      <c r="Z808" s="456">
        <f t="shared" si="1005"/>
        <v>-0.40392579867907852</v>
      </c>
      <c r="AA808" s="456">
        <f>_xll.xSPRDOPT($L808,$J808,$I808,$M808,$O808,$N808,$P808,$Q808-$C$3,$R808,3)</f>
        <v>2.6427570220869923</v>
      </c>
      <c r="AB808" s="456">
        <f>((_xll.xSPRDOPT($L808+AB$5,$J808,$I808,$M808,$O808,$N808,$P808,$Q808-$C$3,$R808,3)*$H808)/10000)/100</f>
        <v>0.7399719661843579</v>
      </c>
      <c r="AC808" s="456">
        <f>((_xll.xSPRDOPT($L808+$AB$5,$J808,$I808,$M808,$O808,$N808,$P808,$Q808-$C$3,$R808,7)*$H808)/100)</f>
        <v>-22811.086007095142</v>
      </c>
      <c r="AD808" s="456">
        <f>(_xll.xSPRDOPT($L808+$AB$5,$J808,$I808,$M808,$O808,$N808,$P808,$Q808-$C$3,$R808,9)/365)*$H808</f>
        <v>-47.472613529878465</v>
      </c>
      <c r="AE808">
        <f t="shared" si="972"/>
        <v>0</v>
      </c>
      <c r="AF808" s="456">
        <f t="shared" si="1006"/>
        <v>258.39523984349501</v>
      </c>
      <c r="AG808" s="456">
        <f>((_xll.xSPRDOPT($L808,$J808,$I808,$M808,$O808,$N808,$P808,$Q808-$C$3,$R808,6)*$H808)/100)</f>
        <v>-837.65791383306384</v>
      </c>
      <c r="AH808" s="456">
        <f>((_xll.xSPRDOPT($L808,$J808,$I808,$M808,$O808,$N808,$P808,$Q808-$C$3,$R808,5)*$H808)/100)</f>
        <v>1095.1289941877928</v>
      </c>
      <c r="AI808" s="456">
        <f>(((_xll.xSPRDOPT($L808,$J808,$I808,$M808,$O808,$N808,$P808,$Q808-$C$3,$R808,4)*$H808)/10000)/100)-AB808</f>
        <v>8.8793600932373096E-3</v>
      </c>
      <c r="AJ808" s="456"/>
      <c r="CC808" s="141">
        <f t="shared" si="1007"/>
        <v>36861</v>
      </c>
      <c r="CD808" s="234">
        <f>_xll.xSPRDOPT((VLOOKUP(G806,NGPrices,2,FALSE)+HLOOKUP(D806,Prices,VLOOKUP(G806,move_down,2,FALSE),FALSE)),VLOOKUP(G806,NGPrices,2,FALSE),I806,VLOOKUP(G806,NGPREVPRICES,4,FALSE),HLOOKUP(D806,PREVVOLS,VLOOKUP(G806,MOVE_DOWN2,2,FALSE),FALSE),VLOOKUP(G806,NGPREVPRICES,3,FALSE),HLOOKUP(D806,Correllate,VLOOKUP(G806,CorMove,2,FALSE),FALSE),Q806-$CD$3,R806,$CD$5)*H806-CJ808</f>
        <v>0</v>
      </c>
      <c r="CE808" s="234">
        <f>_xll.xSPRDOPT((VLOOKUP(G806,NGPREVPRICES,2,FALSE)+HLOOKUP(D806,PREVCURVES,VLOOKUP(G806,MOVE_DOWN2,2,FALSE),FALSE)),VLOOKUP(G806,NGPREVPRICES,2,FALSE),CK808,VLOOKUP(G806,NGPrices,4,FALSE),HLOOKUP(D806,PREVVOLS,VLOOKUP(G806,MOVE_DOWN2,2,FALSE),FALSE),VLOOKUP(G806,NGPREVPRICES,3,FALSE),HLOOKUP(D806,Correllate,VLOOKUP(G806,CorMove,2,FALSE),FALSE),Q806-$CD$3,R806,$CJ$5)*H806-CJ808</f>
        <v>0</v>
      </c>
      <c r="CF808" s="10">
        <f t="shared" si="1008"/>
        <v>-2.9962946723753703</v>
      </c>
      <c r="CG808" s="234">
        <f>_xll.xSPRDOPT((VLOOKUP(G806,NGPREVPRICES,2,FALSE)+HLOOKUP(D806,PREVCURVES,VLOOKUP(G806,MOVE_DOWN2,2,FALSE),FALSE)),VLOOKUP(G806,NGPREVPRICES,2,FALSE),CK808,VLOOKUP(G806,NGPREVPRICES,4,FALSE),HLOOKUP(D806,VOLS,VLOOKUP(G806,move_down,2,FALSE),FALSE),VLOOKUP(G806,NGPrices,3,FALSE),HLOOKUP(D806,Correllate,VLOOKUP(G806,CorMove,2,FALSE),FALSE),Q806-$CD$3,R806,$CJ$5)*H806-CJ808</f>
        <v>0</v>
      </c>
      <c r="CH808" s="234">
        <f>_xll.xSPRDOPT((VLOOKUP(G806,NGPREVPRICES,2,FALSE)+HLOOKUP(D806,PREVCURVES,VLOOKUP(G806,MOVE_DOWN2,2,FALSE),FALSE)),VLOOKUP(G806,NGPREVPRICES,2,FALSE),CK808,VLOOKUP(G806,NGPREVPRICES,4,FALSE),HLOOKUP(D806,PREVVOLS,VLOOKUP(G806,MOVE_DOWN2,2,FALSE),FALSE),VLOOKUP(G806,NGPREVPRICES,3,FALSE),HLOOKUP(D806,Correllate,VLOOKUP(G806,CorMove,2,FALSE),FALSE),Q806-$C$3,R806,$CJ$5)*H806-CJ808</f>
        <v>-74.692196301219155</v>
      </c>
      <c r="CI808" s="234">
        <f t="shared" si="1009"/>
        <v>-77.688490973594526</v>
      </c>
      <c r="CJ808" s="234">
        <f>_xll.xSPRDOPT((VLOOKUP(G806,NGPREVPRICES,2,FALSE)+HLOOKUP(D806,PREVCURVES,VLOOKUP(G806,MOVE_DOWN2,2,FALSE),FALSE)),VLOOKUP(G806,NGPREVPRICES,2,FALSE),CK808,VLOOKUP(G806,NGPREVPRICES,4,FALSE),HLOOKUP(D806,PREVVOLS,VLOOKUP(G806,MOVE_DOWN2,2,FALSE),FALSE),VLOOKUP(G806,NGPREVPRICES,3,FALSE),HLOOKUP(D806,Correllate,VLOOKUP(G806,CorMove,2,FALSE),FALSE),Q806-$CD$3,R806,$CJ$5)*H806</f>
        <v>15994.062654113444</v>
      </c>
      <c r="CK808" s="235">
        <f t="shared" si="1010"/>
        <v>0.11</v>
      </c>
      <c r="CM808" t="str">
        <f t="shared" si="1011"/>
        <v>36861Curve Shift/Gamma</v>
      </c>
      <c r="CN808" t="str">
        <f t="shared" si="949"/>
        <v>36861Rho</v>
      </c>
      <c r="CO808" t="str">
        <f t="shared" si="950"/>
        <v>36861Drift</v>
      </c>
      <c r="CP808" t="str">
        <f t="shared" si="951"/>
        <v>36861Vega</v>
      </c>
      <c r="CQ808" t="str">
        <f t="shared" si="952"/>
        <v>36861Theta</v>
      </c>
    </row>
    <row r="809" spans="1:95" x14ac:dyDescent="0.25">
      <c r="A809" s="140" t="s">
        <v>399</v>
      </c>
      <c r="B809" t="s">
        <v>250</v>
      </c>
      <c r="C809" t="s">
        <v>615</v>
      </c>
      <c r="D809" s="4" t="s">
        <v>74</v>
      </c>
      <c r="E809" t="s">
        <v>20</v>
      </c>
      <c r="F809" t="s">
        <v>1</v>
      </c>
      <c r="G809" s="5">
        <v>36951</v>
      </c>
      <c r="H809" s="130">
        <v>310000</v>
      </c>
      <c r="I809" s="235">
        <v>0.11</v>
      </c>
      <c r="J809" s="53">
        <f t="shared" si="993"/>
        <v>4.2130000000000001</v>
      </c>
      <c r="K809" s="7">
        <f t="shared" si="994"/>
        <v>0.1225</v>
      </c>
      <c r="L809" s="53">
        <f t="shared" si="995"/>
        <v>4.3354999999999997</v>
      </c>
      <c r="M809" s="157">
        <f t="shared" si="996"/>
        <v>6.8879814952706994E-2</v>
      </c>
      <c r="N809" s="4">
        <f t="shared" si="997"/>
        <v>0.53249999999999997</v>
      </c>
      <c r="O809" s="4">
        <f t="shared" si="998"/>
        <v>0.53300000000000003</v>
      </c>
      <c r="P809" s="9">
        <f t="shared" si="999"/>
        <v>0.997</v>
      </c>
      <c r="Q809" s="5">
        <f t="shared" si="980"/>
        <v>36949</v>
      </c>
      <c r="R809" s="4">
        <f t="shared" si="1000"/>
        <v>0</v>
      </c>
      <c r="S809" s="158">
        <f>_xll.xSPRDOPT($L809,$J809,$I809,$M809,$O809,$N809,$P809,$Q809-$C$3,$R809,0)</f>
        <v>4.5104677972599705E-2</v>
      </c>
      <c r="T809" s="159">
        <f>_xll.xSPRDOPT($L809,$J809,$I809,$M809,$O809,$N809,$P809,$Q809-$C$3,$R809,1)*H809</f>
        <v>-136015.93710805857</v>
      </c>
      <c r="U809" s="160">
        <f t="shared" si="1001"/>
        <v>13982.450171505909</v>
      </c>
      <c r="V809" s="159">
        <f>_xll.xSPRDOPT($L809,$J809,$I809,$M809,$O809,$N809,$P809,$Q809-$C$3,$R809,2)*H809</f>
        <v>139298.25428866924</v>
      </c>
      <c r="W809" s="159">
        <f t="shared" si="1002"/>
        <v>3282.3171806106693</v>
      </c>
      <c r="X809" s="51" t="str">
        <f t="shared" si="1003"/>
        <v>36951NGI/CHI. GATE</v>
      </c>
      <c r="Y809" s="418">
        <f t="shared" si="1004"/>
        <v>31</v>
      </c>
      <c r="Z809" s="456">
        <f t="shared" si="1005"/>
        <v>-0.43876108744535025</v>
      </c>
      <c r="AA809" s="456">
        <f>_xll.xSPRDOPT($L809,$J809,$I809,$M809,$O809,$N809,$P809,$Q809-$C$3,$R809,3)</f>
        <v>2.8980598406969893</v>
      </c>
      <c r="AB809" s="456">
        <f>((_xll.xSPRDOPT($L809+AB$5,$J809,$I809,$M809,$O809,$N809,$P809,$Q809-$C$3,$R809,3)*$H809)/10000)/100</f>
        <v>0.89839855061606666</v>
      </c>
      <c r="AC809" s="456">
        <f>((_xll.xSPRDOPT($L809+$AB$5,$J809,$I809,$M809,$O809,$N809,$P809,$Q809-$C$3,$R809,7)*$H809)/100)</f>
        <v>-23279.790771113348</v>
      </c>
      <c r="AD809" s="456">
        <f>(_xll.xSPRDOPT($L809+$AB$5,$J809,$I809,$M809,$O809,$N809,$P809,$Q809-$C$3,$R809,9)/365)*$H809</f>
        <v>-40.771105629229254</v>
      </c>
      <c r="AE809">
        <f t="shared" si="972"/>
        <v>0</v>
      </c>
      <c r="AF809" s="456">
        <f t="shared" si="1006"/>
        <v>296.53208692843236</v>
      </c>
      <c r="AG809" s="456">
        <f>((_xll.xSPRDOPT($L809,$J809,$I809,$M809,$O809,$N809,$P809,$Q809-$C$3,$R809,6)*$H809)/100)</f>
        <v>-1008.0868835195536</v>
      </c>
      <c r="AH809" s="456">
        <f>((_xll.xSPRDOPT($L809,$J809,$I809,$M809,$O809,$N809,$P809,$Q809-$C$3,$R809,5)*$H809)/100)</f>
        <v>1303.3951252599481</v>
      </c>
      <c r="AI809" s="456">
        <f>(((_xll.xSPRDOPT($L809,$J809,$I809,$M809,$O809,$N809,$P809,$Q809-$C$3,$R809,4)*$H809)/10000)/100)-AB809</f>
        <v>5.6859146087229195E-3</v>
      </c>
      <c r="AJ809" s="456"/>
      <c r="CC809" s="141">
        <f t="shared" si="1007"/>
        <v>36892</v>
      </c>
      <c r="CD809" s="234">
        <f>_xll.xSPRDOPT((VLOOKUP(G807,NGPrices,2,FALSE)+HLOOKUP(D807,Prices,VLOOKUP(G807,move_down,2,FALSE),FALSE)),VLOOKUP(G807,NGPrices,2,FALSE),I807,VLOOKUP(G807,NGPREVPRICES,4,FALSE),HLOOKUP(D807,PREVVOLS,VLOOKUP(G807,MOVE_DOWN2,2,FALSE),FALSE),VLOOKUP(G807,NGPREVPRICES,3,FALSE),HLOOKUP(D807,Correllate,VLOOKUP(G807,CorMove,2,FALSE),FALSE),Q807-$CD$3,R807,$CD$5)*H807-CJ809</f>
        <v>0</v>
      </c>
      <c r="CE809" s="234">
        <f>_xll.xSPRDOPT((VLOOKUP(G807,NGPREVPRICES,2,FALSE)+HLOOKUP(D807,PREVCURVES,VLOOKUP(G807,MOVE_DOWN2,2,FALSE),FALSE)),VLOOKUP(G807,NGPREVPRICES,2,FALSE),CK809,VLOOKUP(G807,NGPrices,4,FALSE),HLOOKUP(D807,PREVVOLS,VLOOKUP(G807,MOVE_DOWN2,2,FALSE),FALSE),VLOOKUP(G807,NGPREVPRICES,3,FALSE),HLOOKUP(D807,Correllate,VLOOKUP(G807,CorMove,2,FALSE),FALSE),Q807-$CD$3,R807,$CJ$5)*H807-CJ809</f>
        <v>0</v>
      </c>
      <c r="CF809" s="10">
        <f t="shared" si="1008"/>
        <v>-2.6262127983827668</v>
      </c>
      <c r="CG809" s="234">
        <f>_xll.xSPRDOPT((VLOOKUP(G807,NGPREVPRICES,2,FALSE)+HLOOKUP(D807,PREVCURVES,VLOOKUP(G807,MOVE_DOWN2,2,FALSE),FALSE)),VLOOKUP(G807,NGPREVPRICES,2,FALSE),CK809,VLOOKUP(G807,NGPREVPRICES,4,FALSE),HLOOKUP(D807,VOLS,VLOOKUP(G807,move_down,2,FALSE),FALSE),VLOOKUP(G807,NGPrices,3,FALSE),HLOOKUP(D807,Correllate,VLOOKUP(G807,CorMove,2,FALSE),FALSE),Q807-$CD$3,R807,$CJ$5)*H807-CJ809</f>
        <v>0</v>
      </c>
      <c r="CH809" s="234">
        <f>_xll.xSPRDOPT((VLOOKUP(G807,NGPREVPRICES,2,FALSE)+HLOOKUP(D807,PREVCURVES,VLOOKUP(G807,MOVE_DOWN2,2,FALSE),FALSE)),VLOOKUP(G807,NGPREVPRICES,2,FALSE),CK809,VLOOKUP(G807,NGPREVPRICES,4,FALSE),HLOOKUP(D807,PREVVOLS,VLOOKUP(G807,MOVE_DOWN2,2,FALSE),FALSE),VLOOKUP(G807,NGPREVPRICES,3,FALSE),HLOOKUP(D807,Correllate,VLOOKUP(G807,CorMove,2,FALSE),FALSE),Q807-$C$3,R807,$CJ$5)*H807-CJ809</f>
        <v>-64.666470013400613</v>
      </c>
      <c r="CI809" s="234">
        <f t="shared" si="1009"/>
        <v>-67.292682811783379</v>
      </c>
      <c r="CJ809" s="234">
        <f>_xll.xSPRDOPT((VLOOKUP(G807,NGPREVPRICES,2,FALSE)+HLOOKUP(D807,PREVCURVES,VLOOKUP(G807,MOVE_DOWN2,2,FALSE),FALSE)),VLOOKUP(G807,NGPREVPRICES,2,FALSE),CK809,VLOOKUP(G807,NGPREVPRICES,4,FALSE),HLOOKUP(D807,PREVVOLS,VLOOKUP(G807,MOVE_DOWN2,2,FALSE),FALSE),VLOOKUP(G807,NGPREVPRICES,3,FALSE),HLOOKUP(D807,Correllate,VLOOKUP(G807,CorMove,2,FALSE),FALSE),Q807-$CD$3,R807,$CJ$5)*H807</f>
        <v>13936.513340406045</v>
      </c>
      <c r="CK809" s="235">
        <f t="shared" si="1010"/>
        <v>0.11</v>
      </c>
      <c r="CM809" t="str">
        <f t="shared" si="1011"/>
        <v>36892Curve Shift/Gamma</v>
      </c>
      <c r="CN809" t="str">
        <f t="shared" si="949"/>
        <v>36892Rho</v>
      </c>
      <c r="CO809" t="str">
        <f t="shared" si="950"/>
        <v>36892Drift</v>
      </c>
      <c r="CP809" t="str">
        <f t="shared" si="951"/>
        <v>36892Vega</v>
      </c>
      <c r="CQ809" t="str">
        <f t="shared" si="952"/>
        <v>36892Theta</v>
      </c>
    </row>
    <row r="810" spans="1:95" x14ac:dyDescent="0.25">
      <c r="A810" s="140" t="s">
        <v>399</v>
      </c>
      <c r="B810" t="s">
        <v>250</v>
      </c>
      <c r="C810" t="s">
        <v>616</v>
      </c>
      <c r="D810" s="4" t="s">
        <v>74</v>
      </c>
      <c r="E810" t="s">
        <v>20</v>
      </c>
      <c r="F810" t="s">
        <v>1</v>
      </c>
      <c r="G810" s="5">
        <v>36831</v>
      </c>
      <c r="H810" s="130">
        <v>300000</v>
      </c>
      <c r="I810" s="235">
        <v>0.11</v>
      </c>
      <c r="J810" s="53">
        <f t="shared" si="993"/>
        <v>4.7359999999999998</v>
      </c>
      <c r="K810" s="7">
        <f t="shared" si="994"/>
        <v>8.7499999999999994E-2</v>
      </c>
      <c r="L810" s="53">
        <f t="shared" si="995"/>
        <v>4.8235000000000001</v>
      </c>
      <c r="M810" s="157">
        <f t="shared" si="996"/>
        <v>6.810675983792E-2</v>
      </c>
      <c r="N810" s="4">
        <f t="shared" si="997"/>
        <v>0.59499999999999997</v>
      </c>
      <c r="O810" s="4">
        <f t="shared" si="998"/>
        <v>0.59499999999999997</v>
      </c>
      <c r="P810" s="9">
        <f t="shared" si="999"/>
        <v>0.997</v>
      </c>
      <c r="Q810" s="5">
        <f t="shared" si="980"/>
        <v>36829</v>
      </c>
      <c r="R810" s="4">
        <f t="shared" si="1000"/>
        <v>0</v>
      </c>
      <c r="S810" s="158">
        <f>_xll.xSPRDOPT($L810,$J810,$I810,$M810,$O810,$N810,$P810,$Q810-$C$3,$R810,0)</f>
        <v>4.9516012861151024E-2</v>
      </c>
      <c r="T810" s="159">
        <f>_xll.xSPRDOPT($L810,$J810,$I810,$M810,$O810,$N810,$P810,$Q810-$C$3,$R810,1)*H810</f>
        <v>-174750.3365431985</v>
      </c>
      <c r="U810" s="160">
        <f t="shared" si="1001"/>
        <v>14854.803858345307</v>
      </c>
      <c r="V810" s="159">
        <f>_xll.xSPRDOPT($L810,$J810,$I810,$M810,$O810,$N810,$P810,$Q810-$C$3,$R810,2)*H810</f>
        <v>176847.19790645791</v>
      </c>
      <c r="W810" s="159">
        <f t="shared" si="1002"/>
        <v>2096.8613632594061</v>
      </c>
      <c r="X810" s="51" t="str">
        <f t="shared" si="1003"/>
        <v>36831NGI/CHI. GATE</v>
      </c>
      <c r="Y810" s="418">
        <f t="shared" si="1004"/>
        <v>30</v>
      </c>
      <c r="Z810" s="456">
        <f t="shared" si="1005"/>
        <v>-0.58250112181066172</v>
      </c>
      <c r="AA810" s="456">
        <f>_xll.xSPRDOPT($L810,$J810,$I810,$M810,$O810,$N810,$P810,$Q810-$C$3,$R810,3)</f>
        <v>4.0724244134464431</v>
      </c>
      <c r="AB810" s="456">
        <f>((_xll.xSPRDOPT($L810+AB$5,$J810,$I810,$M810,$O810,$N810,$P810,$Q810-$C$3,$R810,3)*$H810)/10000)/100</f>
        <v>1.221727324033933</v>
      </c>
      <c r="AC810" s="456">
        <f>((_xll.xSPRDOPT($L810+$AB$5,$J810,$I810,$M810,$O810,$N810,$P810,$Q810-$C$3,$R810,7)*$H810)/100)</f>
        <v>-16701.78182587041</v>
      </c>
      <c r="AD810" s="456">
        <f>(_xll.xSPRDOPT($L810+$AB$5,$J810,$I810,$M810,$O810,$N810,$P810,$Q810-$C$3,$R810,9)/365)*$H810</f>
        <v>-85.287794496666322</v>
      </c>
      <c r="AE810">
        <f t="shared" si="972"/>
        <v>0</v>
      </c>
      <c r="AF810" s="456">
        <f t="shared" si="1006"/>
        <v>183.39354091903442</v>
      </c>
      <c r="AG810" s="456">
        <f>((_xll.xSPRDOPT($L810,$J810,$I810,$M810,$O810,$N810,$P810,$Q810-$C$3,$R810,6)*$H810)/100)</f>
        <v>-539.54446939149636</v>
      </c>
      <c r="AH810" s="456">
        <f>((_xll.xSPRDOPT($L810,$J810,$I810,$M810,$O810,$N810,$P810,$Q810-$C$3,$R810,5)*$H810)/100)</f>
        <v>722.93801031053079</v>
      </c>
      <c r="AI810" s="456">
        <f>(((_xll.xSPRDOPT($L810,$J810,$I810,$M810,$O810,$N810,$P810,$Q810-$C$3,$R810,4)*$H810)/10000)/100)-AB810</f>
        <v>-1.0167636651070566E-2</v>
      </c>
      <c r="AJ810" s="456"/>
      <c r="CC810" s="141">
        <f t="shared" si="1007"/>
        <v>36923</v>
      </c>
      <c r="CD810" s="234">
        <f>_xll.xSPRDOPT((VLOOKUP(G808,NGPrices,2,FALSE)+HLOOKUP(D808,Prices,VLOOKUP(G808,move_down,2,FALSE),FALSE)),VLOOKUP(G808,NGPrices,2,FALSE),I808,VLOOKUP(G808,NGPREVPRICES,4,FALSE),HLOOKUP(D808,PREVVOLS,VLOOKUP(G808,MOVE_DOWN2,2,FALSE),FALSE),VLOOKUP(G808,NGPREVPRICES,3,FALSE),HLOOKUP(D808,Correllate,VLOOKUP(G808,CorMove,2,FALSE),FALSE),Q808-$CD$3,R808,$CD$5)*H808-CJ810</f>
        <v>0</v>
      </c>
      <c r="CE810" s="234">
        <f>_xll.xSPRDOPT((VLOOKUP(G808,NGPREVPRICES,2,FALSE)+HLOOKUP(D808,PREVCURVES,VLOOKUP(G808,MOVE_DOWN2,2,FALSE),FALSE)),VLOOKUP(G808,NGPREVPRICES,2,FALSE),CK810,VLOOKUP(G808,NGPrices,4,FALSE),HLOOKUP(D808,PREVVOLS,VLOOKUP(G808,MOVE_DOWN2,2,FALSE),FALSE),VLOOKUP(G808,NGPREVPRICES,3,FALSE),HLOOKUP(D808,Correllate,VLOOKUP(G808,CorMove,2,FALSE),FALSE),Q808-$CD$3,R808,$CJ$5)*H808-CJ810</f>
        <v>0</v>
      </c>
      <c r="CF810" s="10">
        <f t="shared" si="1008"/>
        <v>-2.3037119710770639</v>
      </c>
      <c r="CG810" s="234">
        <f>_xll.xSPRDOPT((VLOOKUP(G808,NGPREVPRICES,2,FALSE)+HLOOKUP(D808,PREVCURVES,VLOOKUP(G808,MOVE_DOWN2,2,FALSE),FALSE)),VLOOKUP(G808,NGPREVPRICES,2,FALSE),CK810,VLOOKUP(G808,NGPREVPRICES,4,FALSE),HLOOKUP(D808,VOLS,VLOOKUP(G808,move_down,2,FALSE),FALSE),VLOOKUP(G808,NGPrices,3,FALSE),HLOOKUP(D808,Correllate,VLOOKUP(G808,CorMove,2,FALSE),FALSE),Q808-$CD$3,R808,$CJ$5)*H808-CJ810</f>
        <v>0</v>
      </c>
      <c r="CH810" s="234">
        <f>_xll.xSPRDOPT((VLOOKUP(G808,NGPREVPRICES,2,FALSE)+HLOOKUP(D808,PREVCURVES,VLOOKUP(G808,MOVE_DOWN2,2,FALSE),FALSE)),VLOOKUP(G808,NGPREVPRICES,2,FALSE),CK810,VLOOKUP(G808,NGPREVPRICES,4,FALSE),HLOOKUP(D808,PREVVOLS,VLOOKUP(G808,MOVE_DOWN2,2,FALSE),FALSE),VLOOKUP(G808,NGPREVPRICES,3,FALSE),HLOOKUP(D808,Correllate,VLOOKUP(G808,CorMove,2,FALSE),FALSE),Q808-$C$3,R808,$CJ$5)*H808-CJ810</f>
        <v>-47.354691514618025</v>
      </c>
      <c r="CI810" s="234">
        <f t="shared" si="1009"/>
        <v>-49.658403485695089</v>
      </c>
      <c r="CJ810" s="234">
        <f>_xll.xSPRDOPT((VLOOKUP(G808,NGPREVPRICES,2,FALSE)+HLOOKUP(D808,PREVCURVES,VLOOKUP(G808,MOVE_DOWN2,2,FALSE),FALSE)),VLOOKUP(G808,NGPREVPRICES,2,FALSE),CK810,VLOOKUP(G808,NGPREVPRICES,4,FALSE),HLOOKUP(D808,PREVVOLS,VLOOKUP(G808,MOVE_DOWN2,2,FALSE),FALSE),VLOOKUP(G808,NGPREVPRICES,3,FALSE),HLOOKUP(D808,Correllate,VLOOKUP(G808,CorMove,2,FALSE),FALSE),Q808-$CD$3,R808,$CJ$5)*H808</f>
        <v>12112.78486203005</v>
      </c>
      <c r="CK810" s="235">
        <f t="shared" si="1010"/>
        <v>0.11</v>
      </c>
      <c r="CM810" t="str">
        <f t="shared" si="1011"/>
        <v>36923Curve Shift/Gamma</v>
      </c>
      <c r="CN810" t="str">
        <f t="shared" si="949"/>
        <v>36923Rho</v>
      </c>
      <c r="CO810" t="str">
        <f t="shared" si="950"/>
        <v>36923Drift</v>
      </c>
      <c r="CP810" t="str">
        <f t="shared" si="951"/>
        <v>36923Vega</v>
      </c>
      <c r="CQ810" t="str">
        <f t="shared" si="952"/>
        <v>36923Theta</v>
      </c>
    </row>
    <row r="811" spans="1:95" x14ac:dyDescent="0.25">
      <c r="A811" s="140" t="s">
        <v>399</v>
      </c>
      <c r="B811" t="s">
        <v>250</v>
      </c>
      <c r="C811" t="s">
        <v>616</v>
      </c>
      <c r="D811" s="4" t="s">
        <v>74</v>
      </c>
      <c r="E811" t="s">
        <v>20</v>
      </c>
      <c r="F811" t="s">
        <v>1</v>
      </c>
      <c r="G811" s="5">
        <v>36861</v>
      </c>
      <c r="H811" s="130">
        <v>310000</v>
      </c>
      <c r="I811" s="235">
        <v>0.11</v>
      </c>
      <c r="J811" s="53">
        <f t="shared" si="993"/>
        <v>4.8</v>
      </c>
      <c r="K811" s="7">
        <f t="shared" si="994"/>
        <v>0.1</v>
      </c>
      <c r="L811" s="53">
        <f t="shared" si="995"/>
        <v>4.8999999999999995</v>
      </c>
      <c r="M811" s="157">
        <f t="shared" si="996"/>
        <v>6.8314027999354002E-2</v>
      </c>
      <c r="N811" s="4">
        <f t="shared" si="997"/>
        <v>0.6</v>
      </c>
      <c r="O811" s="4">
        <f t="shared" si="998"/>
        <v>0.6</v>
      </c>
      <c r="P811" s="9">
        <f t="shared" si="999"/>
        <v>0.997</v>
      </c>
      <c r="Q811" s="5">
        <f t="shared" si="980"/>
        <v>36859</v>
      </c>
      <c r="R811" s="4">
        <f t="shared" si="1000"/>
        <v>0</v>
      </c>
      <c r="S811" s="158">
        <f>_xll.xSPRDOPT($L811,$J811,$I811,$M811,$O811,$N811,$P811,$Q811-$C$3,$R811,0)</f>
        <v>5.135280792842653E-2</v>
      </c>
      <c r="T811" s="159">
        <f>_xll.xSPRDOPT($L811,$J811,$I811,$M811,$O811,$N811,$P811,$Q811-$C$3,$R811,1)*H811</f>
        <v>-160869.32157700448</v>
      </c>
      <c r="U811" s="160">
        <f t="shared" si="1001"/>
        <v>15919.370457812225</v>
      </c>
      <c r="V811" s="159">
        <f>_xll.xSPRDOPT($L811,$J811,$I811,$M811,$O811,$N811,$P811,$Q811-$C$3,$R811,2)*H811</f>
        <v>163581.44674950937</v>
      </c>
      <c r="W811" s="159">
        <f t="shared" si="1002"/>
        <v>2712.1251725048933</v>
      </c>
      <c r="X811" s="51" t="str">
        <f t="shared" si="1003"/>
        <v>36861NGI/CHI. GATE</v>
      </c>
      <c r="Y811" s="418">
        <f t="shared" si="1004"/>
        <v>31</v>
      </c>
      <c r="Z811" s="456">
        <f t="shared" si="1005"/>
        <v>-0.51893329540969191</v>
      </c>
      <c r="AA811" s="456">
        <f>_xll.xSPRDOPT($L811,$J811,$I811,$M811,$O811,$N811,$P811,$Q811-$C$3,$R811,3)</f>
        <v>3.3209544748118445</v>
      </c>
      <c r="AB811" s="456">
        <f>((_xll.xSPRDOPT($L811+AB$5,$J811,$I811,$M811,$O811,$N811,$P811,$Q811-$C$3,$R811,3)*$H811)/10000)/100</f>
        <v>1.0294958871916717</v>
      </c>
      <c r="AC811" s="456">
        <f>((_xll.xSPRDOPT($L811+$AB$5,$J811,$I811,$M811,$O811,$N811,$P811,$Q811-$C$3,$R811,7)*$H811)/100)</f>
        <v>-21919.365376627076</v>
      </c>
      <c r="AD811" s="456">
        <f>(_xll.xSPRDOPT($L811+$AB$5,$J811,$I811,$M811,$O811,$N811,$P811,$Q811-$C$3,$R811,9)/365)*$H811</f>
        <v>-74.965061486020218</v>
      </c>
      <c r="AE811">
        <f t="shared" si="972"/>
        <v>0</v>
      </c>
      <c r="AF811" s="456">
        <f t="shared" si="1006"/>
        <v>238.86632788039969</v>
      </c>
      <c r="AG811" s="456">
        <f>((_xll.xSPRDOPT($L811,$J811,$I811,$M811,$O811,$N811,$P811,$Q811-$C$3,$R811,6)*$H811)/100)</f>
        <v>-694.90368789374179</v>
      </c>
      <c r="AH811" s="456">
        <f>((_xll.xSPRDOPT($L811,$J811,$I811,$M811,$O811,$N811,$P811,$Q811-$C$3,$R811,5)*$H811)/100)</f>
        <v>933.77001577414148</v>
      </c>
      <c r="AI811" s="456">
        <f>(((_xll.xSPRDOPT($L811,$J811,$I811,$M811,$O811,$N811,$P811,$Q811-$C$3,$R811,4)*$H811)/10000)/100)-AB811</f>
        <v>-3.4312829518325927E-3</v>
      </c>
      <c r="AJ811" s="456"/>
      <c r="CC811" s="141">
        <f t="shared" si="1007"/>
        <v>36951</v>
      </c>
      <c r="CD811" s="234">
        <f>_xll.xSPRDOPT((VLOOKUP(G809,NGPrices,2,FALSE)+HLOOKUP(D809,Prices,VLOOKUP(G809,move_down,2,FALSE),FALSE)),VLOOKUP(G809,NGPrices,2,FALSE),I809,VLOOKUP(G809,NGPREVPRICES,4,FALSE),HLOOKUP(D809,PREVVOLS,VLOOKUP(G809,MOVE_DOWN2,2,FALSE),FALSE),VLOOKUP(G809,NGPREVPRICES,3,FALSE),HLOOKUP(D809,Correllate,VLOOKUP(G809,CorMove,2,FALSE),FALSE),Q809-$CD$3,R809,$CD$5)*H809-CJ811</f>
        <v>0</v>
      </c>
      <c r="CE811" s="234">
        <f>_xll.xSPRDOPT((VLOOKUP(G809,NGPREVPRICES,2,FALSE)+HLOOKUP(D809,PREVCURVES,VLOOKUP(G809,MOVE_DOWN2,2,FALSE),FALSE)),VLOOKUP(G809,NGPREVPRICES,2,FALSE),CK811,VLOOKUP(G809,NGPrices,4,FALSE),HLOOKUP(D809,PREVVOLS,VLOOKUP(G809,MOVE_DOWN2,2,FALSE),FALSE),VLOOKUP(G809,NGPREVPRICES,3,FALSE),HLOOKUP(D809,Correllate,VLOOKUP(G809,CorMove,2,FALSE),FALSE),Q809-$CD$3,R809,$CJ$5)*H809-CJ811</f>
        <v>0</v>
      </c>
      <c r="CF811" s="10">
        <f t="shared" si="1008"/>
        <v>-2.6894262714777142</v>
      </c>
      <c r="CG811" s="234">
        <f>_xll.xSPRDOPT((VLOOKUP(G809,NGPREVPRICES,2,FALSE)+HLOOKUP(D809,PREVCURVES,VLOOKUP(G809,MOVE_DOWN2,2,FALSE),FALSE)),VLOOKUP(G809,NGPREVPRICES,2,FALSE),CK811,VLOOKUP(G809,NGPREVPRICES,4,FALSE),HLOOKUP(D809,VOLS,VLOOKUP(G809,move_down,2,FALSE),FALSE),VLOOKUP(G809,NGPrices,3,FALSE),HLOOKUP(D809,Correllate,VLOOKUP(G809,CorMove,2,FALSE),FALSE),Q809-$CD$3,R809,$CJ$5)*H809-CJ811</f>
        <v>0</v>
      </c>
      <c r="CH811" s="234">
        <f>_xll.xSPRDOPT((VLOOKUP(G809,NGPREVPRICES,2,FALSE)+HLOOKUP(D809,PREVCURVES,VLOOKUP(G809,MOVE_DOWN2,2,FALSE),FALSE)),VLOOKUP(G809,NGPREVPRICES,2,FALSE),CK811,VLOOKUP(G809,NGPREVPRICES,4,FALSE),HLOOKUP(D809,PREVVOLS,VLOOKUP(G809,MOVE_DOWN2,2,FALSE),FALSE),VLOOKUP(G809,NGPREVPRICES,3,FALSE),HLOOKUP(D809,Correllate,VLOOKUP(G809,CorMove,2,FALSE),FALSE),Q809-$C$3,R809,$CJ$5)*H809-CJ811</f>
        <v>-40.677226717127269</v>
      </c>
      <c r="CI811" s="234">
        <f t="shared" si="1009"/>
        <v>-43.366652988604983</v>
      </c>
      <c r="CJ811" s="234">
        <f>_xll.xSPRDOPT((VLOOKUP(G809,NGPREVPRICES,2,FALSE)+HLOOKUP(D809,PREVCURVES,VLOOKUP(G809,MOVE_DOWN2,2,FALSE),FALSE)),VLOOKUP(G809,NGPREVPRICES,2,FALSE),CK811,VLOOKUP(G809,NGPREVPRICES,4,FALSE),HLOOKUP(D809,PREVVOLS,VLOOKUP(G809,MOVE_DOWN2,2,FALSE),FALSE),VLOOKUP(G809,NGPREVPRICES,3,FALSE),HLOOKUP(D809,Correllate,VLOOKUP(G809,CorMove,2,FALSE),FALSE),Q809-$CD$3,R809,$CJ$5)*H809</f>
        <v>14023.127398223036</v>
      </c>
      <c r="CK811" s="235">
        <f t="shared" si="1010"/>
        <v>0.11</v>
      </c>
      <c r="CM811" t="str">
        <f t="shared" si="1011"/>
        <v>36951Curve Shift/Gamma</v>
      </c>
      <c r="CN811" t="str">
        <f t="shared" si="949"/>
        <v>36951Rho</v>
      </c>
      <c r="CO811" t="str">
        <f t="shared" si="950"/>
        <v>36951Drift</v>
      </c>
      <c r="CP811" t="str">
        <f t="shared" si="951"/>
        <v>36951Vega</v>
      </c>
      <c r="CQ811" t="str">
        <f t="shared" si="952"/>
        <v>36951Theta</v>
      </c>
    </row>
    <row r="812" spans="1:95" x14ac:dyDescent="0.25">
      <c r="A812" s="140" t="s">
        <v>399</v>
      </c>
      <c r="B812" t="s">
        <v>250</v>
      </c>
      <c r="C812" t="s">
        <v>616</v>
      </c>
      <c r="D812" s="4" t="s">
        <v>74</v>
      </c>
      <c r="E812" t="s">
        <v>20</v>
      </c>
      <c r="F812" t="s">
        <v>1</v>
      </c>
      <c r="G812" s="5">
        <v>36892</v>
      </c>
      <c r="H812" s="130">
        <v>310000</v>
      </c>
      <c r="I812" s="235">
        <v>0.11</v>
      </c>
      <c r="J812" s="53">
        <f t="shared" si="993"/>
        <v>4.7439999999999998</v>
      </c>
      <c r="K812" s="7">
        <f t="shared" si="994"/>
        <v>0.1275</v>
      </c>
      <c r="L812" s="53">
        <f t="shared" si="995"/>
        <v>4.8715000000000002</v>
      </c>
      <c r="M812" s="157">
        <f t="shared" si="996"/>
        <v>6.8374831148490994E-2</v>
      </c>
      <c r="N812" s="4">
        <f t="shared" si="997"/>
        <v>0.60499999999999998</v>
      </c>
      <c r="O812" s="4">
        <f t="shared" si="998"/>
        <v>0.60499999999999998</v>
      </c>
      <c r="P812" s="9">
        <f t="shared" si="999"/>
        <v>0.997</v>
      </c>
      <c r="Q812" s="5">
        <f t="shared" si="980"/>
        <v>36888</v>
      </c>
      <c r="R812" s="4">
        <f t="shared" si="1000"/>
        <v>0</v>
      </c>
      <c r="S812" s="158">
        <f>_xll.xSPRDOPT($L812,$J812,$I812,$M812,$O812,$N812,$P812,$Q812-$C$3,$R812,0)</f>
        <v>4.4747893130298852E-2</v>
      </c>
      <c r="T812" s="159">
        <f>_xll.xSPRDOPT($L812,$J812,$I812,$M812,$O812,$N812,$P812,$Q812-$C$3,$R812,1)*H812</f>
        <v>-133887.82380916769</v>
      </c>
      <c r="U812" s="160">
        <f t="shared" si="1001"/>
        <v>13871.846870392645</v>
      </c>
      <c r="V812" s="159">
        <f>_xll.xSPRDOPT($L812,$J812,$I812,$M812,$O812,$N812,$P812,$Q812-$C$3,$R812,2)*H812</f>
        <v>136981.73457546788</v>
      </c>
      <c r="W812" s="159">
        <f t="shared" si="1002"/>
        <v>3093.9107663001923</v>
      </c>
      <c r="X812" s="51" t="str">
        <f t="shared" si="1003"/>
        <v>36892NGI/CHI. GATE</v>
      </c>
      <c r="Y812" s="418">
        <f t="shared" si="1004"/>
        <v>31</v>
      </c>
      <c r="Z812" s="456">
        <f t="shared" si="1005"/>
        <v>-0.43189620583602478</v>
      </c>
      <c r="AA812" s="456">
        <f>_xll.xSPRDOPT($L812,$J812,$I812,$M812,$O812,$N812,$P812,$Q812-$C$3,$R812,3)</f>
        <v>2.8427910827133451</v>
      </c>
      <c r="AB812" s="456">
        <f>((_xll.xSPRDOPT($L812+AB$5,$J812,$I812,$M812,$O812,$N812,$P812,$Q812-$C$3,$R812,3)*$H812)/10000)/100</f>
        <v>0.88126523564113701</v>
      </c>
      <c r="AC812" s="456">
        <f>((_xll.xSPRDOPT($L812+$AB$5,$J812,$I812,$M812,$O812,$N812,$P812,$Q812-$C$3,$R812,7)*$H812)/100)</f>
        <v>-24785.641701239489</v>
      </c>
      <c r="AD812" s="456">
        <f>(_xll.xSPRDOPT($L812+$AB$5,$J812,$I812,$M812,$O812,$N812,$P812,$Q812-$C$3,$R812,9)/365)*$H812</f>
        <v>-64.85804537360805</v>
      </c>
      <c r="AE812">
        <f t="shared" si="972"/>
        <v>0</v>
      </c>
      <c r="AF812" s="456">
        <f t="shared" si="1006"/>
        <v>269.64180594701372</v>
      </c>
      <c r="AG812" s="456">
        <f>((_xll.xSPRDOPT($L812,$J812,$I812,$M812,$O812,$N812,$P812,$Q812-$C$3,$R812,6)*$H812)/100)</f>
        <v>-801.47146472975885</v>
      </c>
      <c r="AH812" s="456">
        <f>((_xll.xSPRDOPT($L812,$J812,$I812,$M812,$O812,$N812,$P812,$Q812-$C$3,$R812,5)*$H812)/100)</f>
        <v>1071.1132706767726</v>
      </c>
      <c r="AI812" s="456">
        <f>(((_xll.xSPRDOPT($L812,$J812,$I812,$M812,$O812,$N812,$P812,$Q812-$C$3,$R812,4)*$H812)/10000)/100)-AB812</f>
        <v>6.4925278824758959E-3</v>
      </c>
      <c r="AJ812" s="456"/>
      <c r="CC812" s="141">
        <f t="shared" si="1007"/>
        <v>36831</v>
      </c>
      <c r="CD812" s="234">
        <f>_xll.xSPRDOPT((VLOOKUP(G810,NGPrices,2,FALSE)+HLOOKUP(D810,Prices,VLOOKUP(G810,move_down,2,FALSE),FALSE)),VLOOKUP(G810,NGPrices,2,FALSE),I810,VLOOKUP(G810,NGPREVPRICES,4,FALSE),HLOOKUP(D810,PREVVOLS,VLOOKUP(G810,MOVE_DOWN2,2,FALSE),FALSE),VLOOKUP(G810,NGPREVPRICES,3,FALSE),HLOOKUP(D810,Correllate,VLOOKUP(G810,CorMove,2,FALSE),FALSE),Q810-$CD$3,R810,$CD$5)*H810-CJ812</f>
        <v>0</v>
      </c>
      <c r="CE812" s="234">
        <f>_xll.xSPRDOPT((VLOOKUP(G810,NGPREVPRICES,2,FALSE)+HLOOKUP(D810,PREVCURVES,VLOOKUP(G810,MOVE_DOWN2,2,FALSE),FALSE)),VLOOKUP(G810,NGPREVPRICES,2,FALSE),CK812,VLOOKUP(G810,NGPrices,4,FALSE),HLOOKUP(D810,PREVVOLS,VLOOKUP(G810,MOVE_DOWN2,2,FALSE),FALSE),VLOOKUP(G810,NGPREVPRICES,3,FALSE),HLOOKUP(D810,Correllate,VLOOKUP(G810,CorMove,2,FALSE),FALSE),Q810-$CD$3,R810,$CJ$5)*H810-CJ812</f>
        <v>0</v>
      </c>
      <c r="CF812" s="10">
        <f t="shared" si="1008"/>
        <v>-2.7744588880996162</v>
      </c>
      <c r="CG812" s="234">
        <f>_xll.xSPRDOPT((VLOOKUP(G810,NGPREVPRICES,2,FALSE)+HLOOKUP(D810,PREVCURVES,VLOOKUP(G810,MOVE_DOWN2,2,FALSE),FALSE)),VLOOKUP(G810,NGPREVPRICES,2,FALSE),CK812,VLOOKUP(G810,NGPREVPRICES,4,FALSE),HLOOKUP(D810,VOLS,VLOOKUP(G810,move_down,2,FALSE),FALSE),VLOOKUP(G810,NGPrices,3,FALSE),HLOOKUP(D810,Correllate,VLOOKUP(G810,CorMove,2,FALSE),FALSE),Q810-$CD$3,R810,$CJ$5)*H810-CJ812</f>
        <v>0</v>
      </c>
      <c r="CH812" s="234">
        <f>_xll.xSPRDOPT((VLOOKUP(G810,NGPREVPRICES,2,FALSE)+HLOOKUP(D810,PREVCURVES,VLOOKUP(G810,MOVE_DOWN2,2,FALSE),FALSE)),VLOOKUP(G810,NGPREVPRICES,2,FALSE),CK812,VLOOKUP(G810,NGPREVPRICES,4,FALSE),HLOOKUP(D810,PREVVOLS,VLOOKUP(G810,MOVE_DOWN2,2,FALSE),FALSE),VLOOKUP(G810,NGPREVPRICES,3,FALSE),HLOOKUP(D810,Correllate,VLOOKUP(G810,CorMove,2,FALSE),FALSE),Q810-$C$3,R810,$CJ$5)*H810-CJ812</f>
        <v>-84.882984556934389</v>
      </c>
      <c r="CI812" s="234">
        <f t="shared" si="1009"/>
        <v>-87.657443445034005</v>
      </c>
      <c r="CJ812" s="234">
        <f>_xll.xSPRDOPT((VLOOKUP(G810,NGPREVPRICES,2,FALSE)+HLOOKUP(D810,PREVCURVES,VLOOKUP(G810,MOVE_DOWN2,2,FALSE),FALSE)),VLOOKUP(G810,NGPREVPRICES,2,FALSE),CK812,VLOOKUP(G810,NGPREVPRICES,4,FALSE),HLOOKUP(D810,PREVVOLS,VLOOKUP(G810,MOVE_DOWN2,2,FALSE),FALSE),VLOOKUP(G810,NGPREVPRICES,3,FALSE),HLOOKUP(D810,Correllate,VLOOKUP(G810,CorMove,2,FALSE),FALSE),Q810-$CD$3,R810,$CJ$5)*H810</f>
        <v>14939.686842902242</v>
      </c>
      <c r="CK812" s="235">
        <f t="shared" si="1010"/>
        <v>0.11</v>
      </c>
      <c r="CM812" t="str">
        <f t="shared" si="1011"/>
        <v>36831Curve Shift/Gamma</v>
      </c>
      <c r="CN812" t="str">
        <f t="shared" si="949"/>
        <v>36831Rho</v>
      </c>
      <c r="CO812" t="str">
        <f t="shared" si="950"/>
        <v>36831Drift</v>
      </c>
      <c r="CP812" t="str">
        <f t="shared" si="951"/>
        <v>36831Vega</v>
      </c>
      <c r="CQ812" t="str">
        <f t="shared" si="952"/>
        <v>36831Theta</v>
      </c>
    </row>
    <row r="813" spans="1:95" x14ac:dyDescent="0.25">
      <c r="A813" s="140" t="s">
        <v>399</v>
      </c>
      <c r="B813" t="s">
        <v>250</v>
      </c>
      <c r="C813" t="s">
        <v>616</v>
      </c>
      <c r="D813" s="4" t="s">
        <v>74</v>
      </c>
      <c r="E813" t="s">
        <v>20</v>
      </c>
      <c r="F813" t="s">
        <v>1</v>
      </c>
      <c r="G813" s="5">
        <v>36923</v>
      </c>
      <c r="H813" s="130">
        <v>280000</v>
      </c>
      <c r="I813" s="235">
        <v>0.11</v>
      </c>
      <c r="J813" s="53">
        <f t="shared" si="993"/>
        <v>4.4800000000000004</v>
      </c>
      <c r="K813" s="7">
        <f t="shared" si="994"/>
        <v>0.13750000000000001</v>
      </c>
      <c r="L813" s="53">
        <f t="shared" si="995"/>
        <v>4.6175000000000006</v>
      </c>
      <c r="M813" s="157">
        <f t="shared" si="996"/>
        <v>6.8640161611372E-2</v>
      </c>
      <c r="N813" s="4">
        <f t="shared" si="997"/>
        <v>0.59250000000000003</v>
      </c>
      <c r="O813" s="4">
        <f t="shared" si="998"/>
        <v>0.59299999999999997</v>
      </c>
      <c r="P813" s="9">
        <f t="shared" si="999"/>
        <v>0.997</v>
      </c>
      <c r="Q813" s="5">
        <f t="shared" si="980"/>
        <v>36921</v>
      </c>
      <c r="R813" s="4">
        <f t="shared" si="1000"/>
        <v>0</v>
      </c>
      <c r="S813" s="158">
        <f>_xll.xSPRDOPT($L813,$J813,$I813,$M813,$O813,$N813,$P813,$Q813-$C$3,$R813,0)</f>
        <v>4.3090822037555113E-2</v>
      </c>
      <c r="T813" s="159">
        <f>_xll.xSPRDOPT($L813,$J813,$I813,$M813,$O813,$N813,$P813,$Q813-$C$3,$R813,1)*H813</f>
        <v>-113099.22363014199</v>
      </c>
      <c r="U813" s="160">
        <f t="shared" si="1001"/>
        <v>12065.430170515432</v>
      </c>
      <c r="V813" s="159">
        <f>_xll.xSPRDOPT($L813,$J813,$I813,$M813,$O813,$N813,$P813,$Q813-$C$3,$R813,2)*H813</f>
        <v>116119.56758461833</v>
      </c>
      <c r="W813" s="159">
        <f t="shared" si="1002"/>
        <v>3020.3439544763387</v>
      </c>
      <c r="X813" s="51" t="str">
        <f t="shared" si="1003"/>
        <v>36923NGI/CHI. GATE</v>
      </c>
      <c r="Y813" s="418">
        <f t="shared" si="1004"/>
        <v>28</v>
      </c>
      <c r="Z813" s="456">
        <f t="shared" si="1005"/>
        <v>-0.40392579867907852</v>
      </c>
      <c r="AA813" s="456">
        <f>_xll.xSPRDOPT($L813,$J813,$I813,$M813,$O813,$N813,$P813,$Q813-$C$3,$R813,3)</f>
        <v>2.6427570220869923</v>
      </c>
      <c r="AB813" s="456">
        <f>((_xll.xSPRDOPT($L813+AB$5,$J813,$I813,$M813,$O813,$N813,$P813,$Q813-$C$3,$R813,3)*$H813)/10000)/100</f>
        <v>0.7399719661843579</v>
      </c>
      <c r="AC813" s="456">
        <f>((_xll.xSPRDOPT($L813+$AB$5,$J813,$I813,$M813,$O813,$N813,$P813,$Q813-$C$3,$R813,7)*$H813)/100)</f>
        <v>-22811.086007095142</v>
      </c>
      <c r="AD813" s="456">
        <f>(_xll.xSPRDOPT($L813+$AB$5,$J813,$I813,$M813,$O813,$N813,$P813,$Q813-$C$3,$R813,9)/365)*$H813</f>
        <v>-47.472613529878465</v>
      </c>
      <c r="AE813">
        <f t="shared" si="972"/>
        <v>0</v>
      </c>
      <c r="AF813" s="456">
        <f t="shared" si="1006"/>
        <v>258.39523984349501</v>
      </c>
      <c r="AG813" s="456">
        <f>((_xll.xSPRDOPT($L813,$J813,$I813,$M813,$O813,$N813,$P813,$Q813-$C$3,$R813,6)*$H813)/100)</f>
        <v>-837.65791383306384</v>
      </c>
      <c r="AH813" s="456">
        <f>((_xll.xSPRDOPT($L813,$J813,$I813,$M813,$O813,$N813,$P813,$Q813-$C$3,$R813,5)*$H813)/100)</f>
        <v>1095.1289941877928</v>
      </c>
      <c r="AI813" s="456">
        <f>(((_xll.xSPRDOPT($L813,$J813,$I813,$M813,$O813,$N813,$P813,$Q813-$C$3,$R813,4)*$H813)/10000)/100)-AB813</f>
        <v>8.8793600932373096E-3</v>
      </c>
      <c r="AJ813" s="456"/>
      <c r="CC813" s="141">
        <f t="shared" si="1007"/>
        <v>36861</v>
      </c>
      <c r="CD813" s="234">
        <f>_xll.xSPRDOPT((VLOOKUP(G811,NGPrices,2,FALSE)+HLOOKUP(D811,Prices,VLOOKUP(G811,move_down,2,FALSE),FALSE)),VLOOKUP(G811,NGPrices,2,FALSE),I811,VLOOKUP(G811,NGPREVPRICES,4,FALSE),HLOOKUP(D811,PREVVOLS,VLOOKUP(G811,MOVE_DOWN2,2,FALSE),FALSE),VLOOKUP(G811,NGPREVPRICES,3,FALSE),HLOOKUP(D811,Correllate,VLOOKUP(G811,CorMove,2,FALSE),FALSE),Q811-$CD$3,R811,$CD$5)*H811-CJ813</f>
        <v>0</v>
      </c>
      <c r="CE813" s="234">
        <f>_xll.xSPRDOPT((VLOOKUP(G811,NGPREVPRICES,2,FALSE)+HLOOKUP(D811,PREVCURVES,VLOOKUP(G811,MOVE_DOWN2,2,FALSE),FALSE)),VLOOKUP(G811,NGPREVPRICES,2,FALSE),CK813,VLOOKUP(G811,NGPrices,4,FALSE),HLOOKUP(D811,PREVVOLS,VLOOKUP(G811,MOVE_DOWN2,2,FALSE),FALSE),VLOOKUP(G811,NGPREVPRICES,3,FALSE),HLOOKUP(D811,Correllate,VLOOKUP(G811,CorMove,2,FALSE),FALSE),Q811-$CD$3,R811,$CJ$5)*H811-CJ813</f>
        <v>0</v>
      </c>
      <c r="CF813" s="10">
        <f t="shared" si="1008"/>
        <v>-2.9962946723753703</v>
      </c>
      <c r="CG813" s="234">
        <f>_xll.xSPRDOPT((VLOOKUP(G811,NGPREVPRICES,2,FALSE)+HLOOKUP(D811,PREVCURVES,VLOOKUP(G811,MOVE_DOWN2,2,FALSE),FALSE)),VLOOKUP(G811,NGPREVPRICES,2,FALSE),CK813,VLOOKUP(G811,NGPREVPRICES,4,FALSE),HLOOKUP(D811,VOLS,VLOOKUP(G811,move_down,2,FALSE),FALSE),VLOOKUP(G811,NGPrices,3,FALSE),HLOOKUP(D811,Correllate,VLOOKUP(G811,CorMove,2,FALSE),FALSE),Q811-$CD$3,R811,$CJ$5)*H811-CJ813</f>
        <v>0</v>
      </c>
      <c r="CH813" s="234">
        <f>_xll.xSPRDOPT((VLOOKUP(G811,NGPREVPRICES,2,FALSE)+HLOOKUP(D811,PREVCURVES,VLOOKUP(G811,MOVE_DOWN2,2,FALSE),FALSE)),VLOOKUP(G811,NGPREVPRICES,2,FALSE),CK813,VLOOKUP(G811,NGPREVPRICES,4,FALSE),HLOOKUP(D811,PREVVOLS,VLOOKUP(G811,MOVE_DOWN2,2,FALSE),FALSE),VLOOKUP(G811,NGPREVPRICES,3,FALSE),HLOOKUP(D811,Correllate,VLOOKUP(G811,CorMove,2,FALSE),FALSE),Q811-$C$3,R811,$CJ$5)*H811-CJ813</f>
        <v>-74.692196301219155</v>
      </c>
      <c r="CI813" s="234">
        <f t="shared" si="1009"/>
        <v>-77.688490973594526</v>
      </c>
      <c r="CJ813" s="234">
        <f>_xll.xSPRDOPT((VLOOKUP(G811,NGPREVPRICES,2,FALSE)+HLOOKUP(D811,PREVCURVES,VLOOKUP(G811,MOVE_DOWN2,2,FALSE),FALSE)),VLOOKUP(G811,NGPREVPRICES,2,FALSE),CK813,VLOOKUP(G811,NGPREVPRICES,4,FALSE),HLOOKUP(D811,PREVVOLS,VLOOKUP(G811,MOVE_DOWN2,2,FALSE),FALSE),VLOOKUP(G811,NGPREVPRICES,3,FALSE),HLOOKUP(D811,Correllate,VLOOKUP(G811,CorMove,2,FALSE),FALSE),Q811-$CD$3,R811,$CJ$5)*H811</f>
        <v>15994.062654113444</v>
      </c>
      <c r="CK813" s="235">
        <f t="shared" si="1010"/>
        <v>0.11</v>
      </c>
      <c r="CM813" t="str">
        <f t="shared" si="1011"/>
        <v>36861Curve Shift/Gamma</v>
      </c>
      <c r="CN813" t="str">
        <f t="shared" si="949"/>
        <v>36861Rho</v>
      </c>
      <c r="CO813" t="str">
        <f t="shared" si="950"/>
        <v>36861Drift</v>
      </c>
      <c r="CP813" t="str">
        <f t="shared" si="951"/>
        <v>36861Vega</v>
      </c>
      <c r="CQ813" t="str">
        <f t="shared" si="952"/>
        <v>36861Theta</v>
      </c>
    </row>
    <row r="814" spans="1:95" x14ac:dyDescent="0.25">
      <c r="A814" s="140" t="s">
        <v>320</v>
      </c>
      <c r="B814" t="s">
        <v>250</v>
      </c>
      <c r="C814" t="s">
        <v>618</v>
      </c>
      <c r="D814" s="4" t="s">
        <v>7</v>
      </c>
      <c r="E814" t="s">
        <v>20</v>
      </c>
      <c r="F814" t="s">
        <v>21</v>
      </c>
      <c r="G814" s="5">
        <v>36831</v>
      </c>
      <c r="H814" s="130">
        <v>500000</v>
      </c>
      <c r="I814" s="235">
        <v>1</v>
      </c>
      <c r="J814" s="53">
        <f t="shared" si="993"/>
        <v>4.7359999999999998</v>
      </c>
      <c r="K814" s="7">
        <f t="shared" si="994"/>
        <v>0.77</v>
      </c>
      <c r="L814" s="53">
        <f t="shared" si="995"/>
        <v>5.5060000000000002</v>
      </c>
      <c r="M814" s="157">
        <f t="shared" si="996"/>
        <v>6.810675983792E-2</v>
      </c>
      <c r="N814" s="4">
        <f t="shared" si="997"/>
        <v>0.59499999999999997</v>
      </c>
      <c r="O814" s="4">
        <f t="shared" si="998"/>
        <v>0.625</v>
      </c>
      <c r="P814" s="9">
        <f t="shared" si="999"/>
        <v>0.89</v>
      </c>
      <c r="Q814" s="5">
        <f t="shared" si="980"/>
        <v>36829</v>
      </c>
      <c r="R814" s="4">
        <f t="shared" si="1000"/>
        <v>1</v>
      </c>
      <c r="S814" s="158">
        <f>_xll.xSPRDOPT($L814,$J814,$I814,$M814,$O814,$N814,$P814,$Q814-$C$3,$R814,0)</f>
        <v>0.16844177648588188</v>
      </c>
      <c r="T814" s="159">
        <f>_xll.xSPRDOPT($L814,$J814,$I814,$M814,$O814,$N814,$P814,$Q814-$C$3,$R814,1)*H814</f>
        <v>193068.22787332302</v>
      </c>
      <c r="U814" s="160">
        <f t="shared" si="1001"/>
        <v>84220.888242940942</v>
      </c>
      <c r="V814" s="159">
        <f>_xll.xSPRDOPT($L814,$J814,$I814,$M814,$O814,$N814,$P814,$Q814-$C$3,$R814,2)*H814</f>
        <v>-172342.94683143005</v>
      </c>
      <c r="W814" s="159">
        <f t="shared" si="1002"/>
        <v>20725.281041892973</v>
      </c>
      <c r="X814" s="51" t="str">
        <f t="shared" si="1003"/>
        <v>36831IF-TRANSCO/Z6</v>
      </c>
      <c r="Y814" s="418">
        <f t="shared" si="1004"/>
        <v>50</v>
      </c>
      <c r="Z814" s="456">
        <f t="shared" si="1005"/>
        <v>0.38613645574664601</v>
      </c>
      <c r="AA814" s="456">
        <f>_xll.xSPRDOPT($L814,$J814,$I814,$M814,$O814,$N814,$P814,$Q814-$C$3,$R814,3)</f>
        <v>0.57258794695311976</v>
      </c>
      <c r="AB814" s="456">
        <f>((_xll.xSPRDOPT($L814+AB$5,$J814,$I814,$M814,$O814,$N814,$P814,$Q814-$C$3,$R814,3)*$H814)/10000)/100</f>
        <v>0.28629397347655983</v>
      </c>
      <c r="AC814" s="456">
        <f>((_xll.xSPRDOPT($L814+$AB$5,$J814,$I814,$M814,$O814,$N814,$P814,$Q814-$C$3,$R814,7)*$H814)/100)</f>
        <v>-4543.9063832175589</v>
      </c>
      <c r="AD814" s="456">
        <f>(_xll.xSPRDOPT($L814+$AB$5,$J814,$I814,$M814,$O814,$N814,$P814,$Q814-$C$3,$R814,9)/365)*$H814</f>
        <v>-1001.3570156297025</v>
      </c>
      <c r="AE814">
        <f t="shared" si="972"/>
        <v>0</v>
      </c>
      <c r="AF814" s="456">
        <f t="shared" si="1006"/>
        <v>2118.1616693694514</v>
      </c>
      <c r="AG814" s="456">
        <f>((_xll.xSPRDOPT($L814,$J814,$I814,$M814,$O814,$N814,$P814,$Q814-$C$3,$R814,6)*$H814)/100)</f>
        <v>-757.35086150108123</v>
      </c>
      <c r="AH814" s="456">
        <f>((_xll.xSPRDOPT($L814,$J814,$I814,$M814,$O814,$N814,$P814,$Q814-$C$3,$R814,5)*$H814)/100)</f>
        <v>2737.487929388747</v>
      </c>
      <c r="AI814" s="456">
        <f>(((_xll.xSPRDOPT($L814,$J814,$I814,$M814,$O814,$N814,$P814,$Q814-$C$3,$R814,4)*$H814)/10000)/100)-AB814</f>
        <v>-1.9696460585435782E-2</v>
      </c>
      <c r="AJ814" s="456"/>
      <c r="CC814" s="141">
        <f t="shared" si="1007"/>
        <v>36892</v>
      </c>
      <c r="CD814" s="234">
        <f>_xll.xSPRDOPT((VLOOKUP(G812,NGPrices,2,FALSE)+HLOOKUP(D812,Prices,VLOOKUP(G812,move_down,2,FALSE),FALSE)),VLOOKUP(G812,NGPrices,2,FALSE),I812,VLOOKUP(G812,NGPREVPRICES,4,FALSE),HLOOKUP(D812,PREVVOLS,VLOOKUP(G812,MOVE_DOWN2,2,FALSE),FALSE),VLOOKUP(G812,NGPREVPRICES,3,FALSE),HLOOKUP(D812,Correllate,VLOOKUP(G812,CorMove,2,FALSE),FALSE),Q812-$CD$3,R812,$CD$5)*H812-CJ814</f>
        <v>0</v>
      </c>
      <c r="CE814" s="234">
        <f>_xll.xSPRDOPT((VLOOKUP(G812,NGPREVPRICES,2,FALSE)+HLOOKUP(D812,PREVCURVES,VLOOKUP(G812,MOVE_DOWN2,2,FALSE),FALSE)),VLOOKUP(G812,NGPREVPRICES,2,FALSE),CK814,VLOOKUP(G812,NGPrices,4,FALSE),HLOOKUP(D812,PREVVOLS,VLOOKUP(G812,MOVE_DOWN2,2,FALSE),FALSE),VLOOKUP(G812,NGPREVPRICES,3,FALSE),HLOOKUP(D812,Correllate,VLOOKUP(G812,CorMove,2,FALSE),FALSE),Q812-$CD$3,R812,$CJ$5)*H812-CJ814</f>
        <v>0</v>
      </c>
      <c r="CF814" s="10">
        <f t="shared" si="1008"/>
        <v>-2.6262127983827668</v>
      </c>
      <c r="CG814" s="234">
        <f>_xll.xSPRDOPT((VLOOKUP(G812,NGPREVPRICES,2,FALSE)+HLOOKUP(D812,PREVCURVES,VLOOKUP(G812,MOVE_DOWN2,2,FALSE),FALSE)),VLOOKUP(G812,NGPREVPRICES,2,FALSE),CK814,VLOOKUP(G812,NGPREVPRICES,4,FALSE),HLOOKUP(D812,VOLS,VLOOKUP(G812,move_down,2,FALSE),FALSE),VLOOKUP(G812,NGPrices,3,FALSE),HLOOKUP(D812,Correllate,VLOOKUP(G812,CorMove,2,FALSE),FALSE),Q812-$CD$3,R812,$CJ$5)*H812-CJ814</f>
        <v>0</v>
      </c>
      <c r="CH814" s="234">
        <f>_xll.xSPRDOPT((VLOOKUP(G812,NGPREVPRICES,2,FALSE)+HLOOKUP(D812,PREVCURVES,VLOOKUP(G812,MOVE_DOWN2,2,FALSE),FALSE)),VLOOKUP(G812,NGPREVPRICES,2,FALSE),CK814,VLOOKUP(G812,NGPREVPRICES,4,FALSE),HLOOKUP(D812,PREVVOLS,VLOOKUP(G812,MOVE_DOWN2,2,FALSE),FALSE),VLOOKUP(G812,NGPREVPRICES,3,FALSE),HLOOKUP(D812,Correllate,VLOOKUP(G812,CorMove,2,FALSE),FALSE),Q812-$C$3,R812,$CJ$5)*H812-CJ814</f>
        <v>-64.666470013400613</v>
      </c>
      <c r="CI814" s="234">
        <f t="shared" si="1009"/>
        <v>-67.292682811783379</v>
      </c>
      <c r="CJ814" s="234">
        <f>_xll.xSPRDOPT((VLOOKUP(G812,NGPREVPRICES,2,FALSE)+HLOOKUP(D812,PREVCURVES,VLOOKUP(G812,MOVE_DOWN2,2,FALSE),FALSE)),VLOOKUP(G812,NGPREVPRICES,2,FALSE),CK814,VLOOKUP(G812,NGPREVPRICES,4,FALSE),HLOOKUP(D812,PREVVOLS,VLOOKUP(G812,MOVE_DOWN2,2,FALSE),FALSE),VLOOKUP(G812,NGPREVPRICES,3,FALSE),HLOOKUP(D812,Correllate,VLOOKUP(G812,CorMove,2,FALSE),FALSE),Q812-$CD$3,R812,$CJ$5)*H812</f>
        <v>13936.513340406045</v>
      </c>
      <c r="CK814" s="235">
        <f t="shared" si="1010"/>
        <v>0.11</v>
      </c>
      <c r="CM814" t="str">
        <f t="shared" si="1011"/>
        <v>36892Curve Shift/Gamma</v>
      </c>
      <c r="CN814" t="str">
        <f t="shared" si="949"/>
        <v>36892Rho</v>
      </c>
      <c r="CO814" t="str">
        <f t="shared" si="950"/>
        <v>36892Drift</v>
      </c>
      <c r="CP814" t="str">
        <f t="shared" si="951"/>
        <v>36892Vega</v>
      </c>
      <c r="CQ814" t="str">
        <f t="shared" si="952"/>
        <v>36892Theta</v>
      </c>
    </row>
    <row r="815" spans="1:95" x14ac:dyDescent="0.25">
      <c r="A815" s="140" t="s">
        <v>509</v>
      </c>
      <c r="B815" t="s">
        <v>250</v>
      </c>
      <c r="C815" t="s">
        <v>619</v>
      </c>
      <c r="D815" s="4" t="s">
        <v>7</v>
      </c>
      <c r="E815" t="s">
        <v>20</v>
      </c>
      <c r="F815" t="s">
        <v>1</v>
      </c>
      <c r="G815" s="5">
        <v>36831</v>
      </c>
      <c r="H815" s="130">
        <v>1000000</v>
      </c>
      <c r="I815" s="235">
        <v>0.5</v>
      </c>
      <c r="J815" s="53">
        <f t="shared" ref="J815:J831" si="1012">VLOOKUP(G815,NGPrices,2,FALSE)</f>
        <v>4.7359999999999998</v>
      </c>
      <c r="K815" s="7">
        <f t="shared" ref="K815:K831" si="1013">HLOOKUP(D815,Prices,VLOOKUP(G815,move_down,2,FALSE),FALSE)+VLOOKUP(G815,CHANGE,HLOOKUP(D815,CHANGE,2,FALSE),FALSE)</f>
        <v>0.77</v>
      </c>
      <c r="L815" s="53">
        <f t="shared" ref="L815:L831" si="1014">K815+J815</f>
        <v>5.5060000000000002</v>
      </c>
      <c r="M815" s="157">
        <f t="shared" ref="M815:M831" si="1015">VLOOKUP(G815,NGPrices,4,FALSE)</f>
        <v>6.810675983792E-2</v>
      </c>
      <c r="N815" s="4">
        <f t="shared" ref="N815:N831" si="1016">VLOOKUP(G815,NGPrices,3,FALSE)</f>
        <v>0.59499999999999997</v>
      </c>
      <c r="O815" s="4">
        <f t="shared" ref="O815:O831" si="1017">HLOOKUP(D815,VOLS,VLOOKUP(G815,move_down,2,FALSE),FALSE)</f>
        <v>0.625</v>
      </c>
      <c r="P815" s="9">
        <f t="shared" ref="P815:P831" si="1018">HLOOKUP(D815,Correllate,VLOOKUP(G815,CorMove,2,FALSE),FALSE)</f>
        <v>0.89</v>
      </c>
      <c r="Q815" s="5">
        <f t="shared" si="980"/>
        <v>36829</v>
      </c>
      <c r="R815" s="4">
        <f t="shared" ref="R815:R831" si="1019">IF(F815="P",0,1)</f>
        <v>0</v>
      </c>
      <c r="S815" s="158">
        <f>_xll.xSPRDOPT($L815,$J815,$I815,$M815,$O815,$N815,$P815,$Q815-$C$3,$R815,0)</f>
        <v>0.13808749969965145</v>
      </c>
      <c r="T815" s="159">
        <f>_xll.xSPRDOPT($L815,$J815,$I815,$M815,$O815,$N815,$P815,$Q815-$C$3,$R815,1)*H815</f>
        <v>-309833.02976362157</v>
      </c>
      <c r="U815" s="160">
        <f t="shared" ref="U815:U831" si="1020">S815*H815</f>
        <v>138087.49969965144</v>
      </c>
      <c r="V815" s="159">
        <f>_xll.xSPRDOPT($L815,$J815,$I815,$M815,$O815,$N815,$P815,$Q815-$C$3,$R815,2)*H815</f>
        <v>351589.40011671401</v>
      </c>
      <c r="W815" s="159">
        <f t="shared" ref="W815:W831" si="1021">+V815+T815</f>
        <v>41756.370353092439</v>
      </c>
      <c r="X815" s="51" t="str">
        <f t="shared" ref="X815:X831" si="1022">CONCATENATE(G815,D815)</f>
        <v>36831IF-TRANSCO/Z6</v>
      </c>
      <c r="Y815" s="418">
        <f t="shared" ref="Y815:Y831" si="1023">H815/10000</f>
        <v>100</v>
      </c>
      <c r="Z815" s="456">
        <f t="shared" ref="Z815:Z831" si="1024">T815/H815</f>
        <v>-0.30983302976362159</v>
      </c>
      <c r="AA815" s="456">
        <f>_xll.xSPRDOPT($L815,$J815,$I815,$M815,$O815,$N815,$P815,$Q815-$C$3,$R815,3)</f>
        <v>0.54064628469182052</v>
      </c>
      <c r="AB815" s="456">
        <f>((_xll.xSPRDOPT($L815+AB$5,$J815,$I815,$M815,$O815,$N815,$P815,$Q815-$C$3,$R815,3)*$H815)/10000)/100</f>
        <v>0.54064628469182052</v>
      </c>
      <c r="AC815" s="456">
        <f>((_xll.xSPRDOPT($L815+$AB$5,$J815,$I815,$M815,$O815,$N815,$P815,$Q815-$C$3,$R815,7)*$H815)/100)</f>
        <v>-9353.5698563842307</v>
      </c>
      <c r="AD815" s="456">
        <f>(_xll.xSPRDOPT($L815+$AB$5,$J815,$I815,$M815,$O815,$N815,$P815,$Q815-$C$3,$R815,9)/365)*$H815</f>
        <v>-1808.838923039523</v>
      </c>
      <c r="AE815">
        <f t="shared" si="972"/>
        <v>0</v>
      </c>
      <c r="AF815" s="456">
        <f t="shared" ref="AF815:AF831" si="1025">((O815/N815)*AH815)+AG815</f>
        <v>3820.7619260209476</v>
      </c>
      <c r="AG815" s="456">
        <f>((_xll.xSPRDOPT($L815,$J815,$I815,$M815,$O815,$N815,$P815,$Q815-$C$3,$R815,6)*$H815)/100)</f>
        <v>-453.6063142730319</v>
      </c>
      <c r="AH815" s="456">
        <f>((_xll.xSPRDOPT($L815,$J815,$I815,$M815,$O815,$N815,$P815,$Q815-$C$3,$R815,5)*$H815)/100)</f>
        <v>4069.1985647598685</v>
      </c>
      <c r="AI815" s="456">
        <f>(((_xll.xSPRDOPT($L815,$J815,$I815,$M815,$O815,$N815,$P815,$Q815-$C$3,$R815,4)*$H815)/10000)/100)-AB815</f>
        <v>5.6930159862035534E-2</v>
      </c>
      <c r="AJ815" s="456"/>
      <c r="CC815" s="141">
        <f t="shared" si="1007"/>
        <v>36923</v>
      </c>
      <c r="CD815" s="234">
        <f>_xll.xSPRDOPT((VLOOKUP(G813,NGPrices,2,FALSE)+HLOOKUP(D813,Prices,VLOOKUP(G813,move_down,2,FALSE),FALSE)),VLOOKUP(G813,NGPrices,2,FALSE),I813,VLOOKUP(G813,NGPREVPRICES,4,FALSE),HLOOKUP(D813,PREVVOLS,VLOOKUP(G813,MOVE_DOWN2,2,FALSE),FALSE),VLOOKUP(G813,NGPREVPRICES,3,FALSE),HLOOKUP(D813,Correllate,VLOOKUP(G813,CorMove,2,FALSE),FALSE),Q813-$CD$3,R813,$CD$5)*H813-CJ815</f>
        <v>0</v>
      </c>
      <c r="CE815" s="234">
        <f>_xll.xSPRDOPT((VLOOKUP(G813,NGPREVPRICES,2,FALSE)+HLOOKUP(D813,PREVCURVES,VLOOKUP(G813,MOVE_DOWN2,2,FALSE),FALSE)),VLOOKUP(G813,NGPREVPRICES,2,FALSE),CK815,VLOOKUP(G813,NGPrices,4,FALSE),HLOOKUP(D813,PREVVOLS,VLOOKUP(G813,MOVE_DOWN2,2,FALSE),FALSE),VLOOKUP(G813,NGPREVPRICES,3,FALSE),HLOOKUP(D813,Correllate,VLOOKUP(G813,CorMove,2,FALSE),FALSE),Q813-$CD$3,R813,$CJ$5)*H813-CJ815</f>
        <v>0</v>
      </c>
      <c r="CF815" s="10">
        <f t="shared" si="1008"/>
        <v>-2.3037119710770639</v>
      </c>
      <c r="CG815" s="234">
        <f>_xll.xSPRDOPT((VLOOKUP(G813,NGPREVPRICES,2,FALSE)+HLOOKUP(D813,PREVCURVES,VLOOKUP(G813,MOVE_DOWN2,2,FALSE),FALSE)),VLOOKUP(G813,NGPREVPRICES,2,FALSE),CK815,VLOOKUP(G813,NGPREVPRICES,4,FALSE),HLOOKUP(D813,VOLS,VLOOKUP(G813,move_down,2,FALSE),FALSE),VLOOKUP(G813,NGPrices,3,FALSE),HLOOKUP(D813,Correllate,VLOOKUP(G813,CorMove,2,FALSE),FALSE),Q813-$CD$3,R813,$CJ$5)*H813-CJ815</f>
        <v>0</v>
      </c>
      <c r="CH815" s="234">
        <f>_xll.xSPRDOPT((VLOOKUP(G813,NGPREVPRICES,2,FALSE)+HLOOKUP(D813,PREVCURVES,VLOOKUP(G813,MOVE_DOWN2,2,FALSE),FALSE)),VLOOKUP(G813,NGPREVPRICES,2,FALSE),CK815,VLOOKUP(G813,NGPREVPRICES,4,FALSE),HLOOKUP(D813,PREVVOLS,VLOOKUP(G813,MOVE_DOWN2,2,FALSE),FALSE),VLOOKUP(G813,NGPREVPRICES,3,FALSE),HLOOKUP(D813,Correllate,VLOOKUP(G813,CorMove,2,FALSE),FALSE),Q813-$C$3,R813,$CJ$5)*H813-CJ815</f>
        <v>-47.354691514618025</v>
      </c>
      <c r="CI815" s="234">
        <f t="shared" si="1009"/>
        <v>-49.658403485695089</v>
      </c>
      <c r="CJ815" s="234">
        <f>_xll.xSPRDOPT((VLOOKUP(G813,NGPREVPRICES,2,FALSE)+HLOOKUP(D813,PREVCURVES,VLOOKUP(G813,MOVE_DOWN2,2,FALSE),FALSE)),VLOOKUP(G813,NGPREVPRICES,2,FALSE),CK815,VLOOKUP(G813,NGPREVPRICES,4,FALSE),HLOOKUP(D813,PREVVOLS,VLOOKUP(G813,MOVE_DOWN2,2,FALSE),FALSE),VLOOKUP(G813,NGPREVPRICES,3,FALSE),HLOOKUP(D813,Correllate,VLOOKUP(G813,CorMove,2,FALSE),FALSE),Q813-$CD$3,R813,$CJ$5)*H813</f>
        <v>12112.78486203005</v>
      </c>
      <c r="CK815" s="235">
        <f t="shared" si="1010"/>
        <v>0.11</v>
      </c>
      <c r="CM815" t="str">
        <f t="shared" si="1011"/>
        <v>36923Curve Shift/Gamma</v>
      </c>
      <c r="CN815" t="str">
        <f t="shared" si="949"/>
        <v>36923Rho</v>
      </c>
      <c r="CO815" t="str">
        <f t="shared" si="950"/>
        <v>36923Drift</v>
      </c>
      <c r="CP815" t="str">
        <f t="shared" si="951"/>
        <v>36923Vega</v>
      </c>
      <c r="CQ815" t="str">
        <f t="shared" si="952"/>
        <v>36923Theta</v>
      </c>
    </row>
    <row r="816" spans="1:95" x14ac:dyDescent="0.25">
      <c r="A816" s="140" t="s">
        <v>620</v>
      </c>
      <c r="B816" t="s">
        <v>250</v>
      </c>
      <c r="C816" t="s">
        <v>621</v>
      </c>
      <c r="D816" s="4" t="s">
        <v>7</v>
      </c>
      <c r="E816" t="s">
        <v>20</v>
      </c>
      <c r="F816" t="s">
        <v>21</v>
      </c>
      <c r="G816" s="5">
        <v>36831</v>
      </c>
      <c r="H816" s="130">
        <v>300000</v>
      </c>
      <c r="I816" s="235">
        <v>1</v>
      </c>
      <c r="J816" s="53">
        <f t="shared" si="1012"/>
        <v>4.7359999999999998</v>
      </c>
      <c r="K816" s="7">
        <f t="shared" si="1013"/>
        <v>0.77</v>
      </c>
      <c r="L816" s="53">
        <f t="shared" si="1014"/>
        <v>5.5060000000000002</v>
      </c>
      <c r="M816" s="157">
        <f t="shared" si="1015"/>
        <v>6.810675983792E-2</v>
      </c>
      <c r="N816" s="4">
        <f t="shared" si="1016"/>
        <v>0.59499999999999997</v>
      </c>
      <c r="O816" s="4">
        <f t="shared" si="1017"/>
        <v>0.625</v>
      </c>
      <c r="P816" s="9">
        <f t="shared" si="1018"/>
        <v>0.89</v>
      </c>
      <c r="Q816" s="5">
        <f t="shared" si="980"/>
        <v>36829</v>
      </c>
      <c r="R816" s="4">
        <f t="shared" si="1019"/>
        <v>1</v>
      </c>
      <c r="S816" s="158">
        <f>_xll.xSPRDOPT($L816,$J816,$I816,$M816,$O816,$N816,$P816,$Q816-$C$3,$R816,0)</f>
        <v>0.16844177648588188</v>
      </c>
      <c r="T816" s="159">
        <f>_xll.xSPRDOPT($L816,$J816,$I816,$M816,$O816,$N816,$P816,$Q816-$C$3,$R816,1)*H816</f>
        <v>115840.93672399381</v>
      </c>
      <c r="U816" s="160">
        <f t="shared" si="1020"/>
        <v>50532.532945764564</v>
      </c>
      <c r="V816" s="159">
        <f>_xll.xSPRDOPT($L816,$J816,$I816,$M816,$O816,$N816,$P816,$Q816-$C$3,$R816,2)*H816</f>
        <v>-103405.76809885803</v>
      </c>
      <c r="W816" s="159">
        <f t="shared" si="1021"/>
        <v>12435.16862513579</v>
      </c>
      <c r="X816" s="51" t="str">
        <f t="shared" si="1022"/>
        <v>36831IF-TRANSCO/Z6</v>
      </c>
      <c r="Y816" s="418">
        <f t="shared" si="1023"/>
        <v>30</v>
      </c>
      <c r="Z816" s="456">
        <f t="shared" si="1024"/>
        <v>0.38613645574664607</v>
      </c>
      <c r="AA816" s="456">
        <f>_xll.xSPRDOPT($L816,$J816,$I816,$M816,$O816,$N816,$P816,$Q816-$C$3,$R816,3)</f>
        <v>0.57258794695311976</v>
      </c>
      <c r="AB816" s="456">
        <f>((_xll.xSPRDOPT($L816+AB$5,$J816,$I816,$M816,$O816,$N816,$P816,$Q816-$C$3,$R816,3)*$H816)/10000)/100</f>
        <v>0.1717763840859359</v>
      </c>
      <c r="AC816" s="456">
        <f>((_xll.xSPRDOPT($L816+$AB$5,$J816,$I816,$M816,$O816,$N816,$P816,$Q816-$C$3,$R816,7)*$H816)/100)</f>
        <v>-2726.3438299305353</v>
      </c>
      <c r="AD816" s="456">
        <f>(_xll.xSPRDOPT($L816+$AB$5,$J816,$I816,$M816,$O816,$N816,$P816,$Q816-$C$3,$R816,9)/365)*$H816</f>
        <v>-600.8142093778215</v>
      </c>
      <c r="AE816">
        <f t="shared" si="972"/>
        <v>0</v>
      </c>
      <c r="AF816" s="456">
        <f t="shared" si="1025"/>
        <v>1270.8970016216706</v>
      </c>
      <c r="AG816" s="456">
        <f>((_xll.xSPRDOPT($L816,$J816,$I816,$M816,$O816,$N816,$P816,$Q816-$C$3,$R816,6)*$H816)/100)</f>
        <v>-454.41051690064882</v>
      </c>
      <c r="AH816" s="456">
        <f>((_xll.xSPRDOPT($L816,$J816,$I816,$M816,$O816,$N816,$P816,$Q816-$C$3,$R816,5)*$H816)/100)</f>
        <v>1642.4927576332482</v>
      </c>
      <c r="AI816" s="456">
        <f>(((_xll.xSPRDOPT($L816,$J816,$I816,$M816,$O816,$N816,$P816,$Q816-$C$3,$R816,4)*$H816)/10000)/100)-AB816</f>
        <v>-1.1817876351261469E-2</v>
      </c>
      <c r="AJ816" s="456"/>
      <c r="CC816" s="141">
        <f t="shared" ref="CC816:CC833" si="1026">G814</f>
        <v>36831</v>
      </c>
      <c r="CD816" s="234">
        <f>_xll.xSPRDOPT((VLOOKUP(G814,NGPrices,2,FALSE)+HLOOKUP(D814,Prices,VLOOKUP(G814,move_down,2,FALSE),FALSE)),VLOOKUP(G814,NGPrices,2,FALSE),I814,VLOOKUP(G814,NGPREVPRICES,4,FALSE),HLOOKUP(D814,PREVVOLS,VLOOKUP(G814,MOVE_DOWN2,2,FALSE),FALSE),VLOOKUP(G814,NGPREVPRICES,3,FALSE),HLOOKUP(D814,Correllate,VLOOKUP(G814,CorMove,2,FALSE),FALSE),Q814-$CD$3,R814,$CD$5)*H814-CJ816</f>
        <v>0</v>
      </c>
      <c r="CE816" s="234">
        <f>_xll.xSPRDOPT((VLOOKUP(G814,NGPREVPRICES,2,FALSE)+HLOOKUP(D814,PREVCURVES,VLOOKUP(G814,MOVE_DOWN2,2,FALSE),FALSE)),VLOOKUP(G814,NGPREVPRICES,2,FALSE),CK816,VLOOKUP(G814,NGPrices,4,FALSE),HLOOKUP(D814,PREVVOLS,VLOOKUP(G814,MOVE_DOWN2,2,FALSE),FALSE),VLOOKUP(G814,NGPREVPRICES,3,FALSE),HLOOKUP(D814,Correllate,VLOOKUP(G814,CorMove,2,FALSE),FALSE),Q814-$CD$3,R814,$CJ$5)*H814-CJ816</f>
        <v>0</v>
      </c>
      <c r="CF816" s="10">
        <f t="shared" ref="CF816:CF833" si="1027">(CJ816/VLOOKUP(CC816,discount,3,FALSE))-(CJ816/VLOOKUP(CC816,discount,2,FALSE))</f>
        <v>-15.825849295753869</v>
      </c>
      <c r="CG816" s="234">
        <f>_xll.xSPRDOPT((VLOOKUP(G814,NGPREVPRICES,2,FALSE)+HLOOKUP(D814,PREVCURVES,VLOOKUP(G814,MOVE_DOWN2,2,FALSE),FALSE)),VLOOKUP(G814,NGPREVPRICES,2,FALSE),CK816,VLOOKUP(G814,NGPREVPRICES,4,FALSE),HLOOKUP(D814,VOLS,VLOOKUP(G814,move_down,2,FALSE),FALSE),VLOOKUP(G814,NGPrices,3,FALSE),HLOOKUP(D814,Correllate,VLOOKUP(G814,CorMove,2,FALSE),FALSE),Q814-$CD$3,R814,$CJ$5)*H814-CJ816</f>
        <v>0</v>
      </c>
      <c r="CH816" s="234">
        <f>_xll.xSPRDOPT((VLOOKUP(G814,NGPREVPRICES,2,FALSE)+HLOOKUP(D814,PREVCURVES,VLOOKUP(G814,MOVE_DOWN2,2,FALSE),FALSE)),VLOOKUP(G814,NGPREVPRICES,2,FALSE),CK816,VLOOKUP(G814,NGPREVPRICES,4,FALSE),HLOOKUP(D814,PREVVOLS,VLOOKUP(G814,MOVE_DOWN2,2,FALSE),FALSE),VLOOKUP(G814,NGPREVPRICES,3,FALSE),HLOOKUP(D814,Correllate,VLOOKUP(G814,CorMove,2,FALSE),FALSE),Q814-$C$3,R814,$CJ$5)*H814-CJ816</f>
        <v>-996.8936876445805</v>
      </c>
      <c r="CI816" s="234">
        <f t="shared" ref="CI816:CI833" si="1028">SUM(CD816:CH816)</f>
        <v>-1012.7195369403344</v>
      </c>
      <c r="CJ816" s="234">
        <f>_xll.xSPRDOPT((VLOOKUP(G814,NGPREVPRICES,2,FALSE)+HLOOKUP(D814,PREVCURVES,VLOOKUP(G814,MOVE_DOWN2,2,FALSE),FALSE)),VLOOKUP(G814,NGPREVPRICES,2,FALSE),CK816,VLOOKUP(G814,NGPREVPRICES,4,FALSE),HLOOKUP(D814,PREVVOLS,VLOOKUP(G814,MOVE_DOWN2,2,FALSE),FALSE),VLOOKUP(G814,NGPREVPRICES,3,FALSE),HLOOKUP(D814,Correllate,VLOOKUP(G814,CorMove,2,FALSE),FALSE),Q814-$CD$3,R814,$CJ$5)*H814</f>
        <v>85217.781930585523</v>
      </c>
      <c r="CK816" s="235">
        <f t="shared" ref="CK816:CK833" si="1029">I814</f>
        <v>1</v>
      </c>
      <c r="CM816" t="str">
        <f t="shared" ref="CM816:CM833" si="1030">CONCATENATE(CC816,$CD$6)</f>
        <v>36831Curve Shift/Gamma</v>
      </c>
      <c r="CN816" t="str">
        <f t="shared" si="949"/>
        <v>36831Rho</v>
      </c>
      <c r="CO816" t="str">
        <f t="shared" si="950"/>
        <v>36831Drift</v>
      </c>
      <c r="CP816" t="str">
        <f t="shared" si="951"/>
        <v>36831Vega</v>
      </c>
      <c r="CQ816" t="str">
        <f t="shared" si="952"/>
        <v>36831Theta</v>
      </c>
    </row>
    <row r="817" spans="1:95" x14ac:dyDescent="0.25">
      <c r="A817" s="140" t="s">
        <v>268</v>
      </c>
      <c r="B817" t="s">
        <v>250</v>
      </c>
      <c r="C817" t="s">
        <v>622</v>
      </c>
      <c r="D817" s="4" t="s">
        <v>190</v>
      </c>
      <c r="E817" t="s">
        <v>20</v>
      </c>
      <c r="F817" t="s">
        <v>1</v>
      </c>
      <c r="G817" s="5">
        <v>36831</v>
      </c>
      <c r="H817" s="130">
        <v>-150000</v>
      </c>
      <c r="I817" s="235">
        <v>0.5</v>
      </c>
      <c r="J817" s="53">
        <f t="shared" si="1012"/>
        <v>4.7359999999999998</v>
      </c>
      <c r="K817" s="7">
        <f t="shared" si="1013"/>
        <v>1.5449999999999999</v>
      </c>
      <c r="L817" s="53">
        <f t="shared" si="1014"/>
        <v>6.2809999999999997</v>
      </c>
      <c r="M817" s="157">
        <f t="shared" si="1015"/>
        <v>6.810675983792E-2</v>
      </c>
      <c r="N817" s="4">
        <f t="shared" si="1016"/>
        <v>0.59499999999999997</v>
      </c>
      <c r="O817" s="4">
        <f t="shared" si="1017"/>
        <v>0.57699999999999996</v>
      </c>
      <c r="P817" s="9">
        <f t="shared" si="1018"/>
        <v>0.85</v>
      </c>
      <c r="Q817" s="5">
        <f t="shared" si="980"/>
        <v>36829</v>
      </c>
      <c r="R817" s="4">
        <f t="shared" si="1019"/>
        <v>0</v>
      </c>
      <c r="S817" s="158">
        <f>_xll.xSPRDOPT($L817,$J817,$I817,$M817,$O817,$N817,$P817,$Q817-$C$3,$R817,0)</f>
        <v>2.4433062099999459E-2</v>
      </c>
      <c r="T817" s="159">
        <f>_xll.xSPRDOPT($L817,$J817,$I817,$M817,$O817,$N817,$P817,$Q817-$C$3,$R817,1)*H817</f>
        <v>9946.0957670344633</v>
      </c>
      <c r="U817" s="160">
        <f t="shared" si="1020"/>
        <v>-3664.9593149999187</v>
      </c>
      <c r="V817" s="159">
        <f>_xll.xSPRDOPT($L817,$J817,$I817,$M817,$O817,$N817,$P817,$Q817-$C$3,$R817,2)*H817</f>
        <v>-12715.4888628712</v>
      </c>
      <c r="W817" s="159">
        <f t="shared" si="1021"/>
        <v>-2769.3930958367364</v>
      </c>
      <c r="X817" s="51" t="str">
        <f t="shared" si="1022"/>
        <v>36831NGI-SOCAL</v>
      </c>
      <c r="Y817" s="418">
        <f t="shared" si="1023"/>
        <v>-15</v>
      </c>
      <c r="Z817" s="456">
        <f t="shared" si="1024"/>
        <v>-6.6307305113563086E-2</v>
      </c>
      <c r="AA817" s="456">
        <f>_xll.xSPRDOPT($L817,$J817,$I817,$M817,$O817,$N817,$P817,$Q817-$C$3,$R817,3)</f>
        <v>0.1610178939377151</v>
      </c>
      <c r="AB817" s="456">
        <f>((_xll.xSPRDOPT($L817+AB$5,$J817,$I817,$M817,$O817,$N817,$P817,$Q817-$C$3,$R817,3)*$H817)/10000)/100</f>
        <v>-2.4152684090657264E-2</v>
      </c>
      <c r="AC817" s="456">
        <f>((_xll.xSPRDOPT($L817+$AB$5,$J817,$I817,$M817,$O817,$N817,$P817,$Q817-$C$3,$R817,7)*$H817)/100)</f>
        <v>504.72895900395565</v>
      </c>
      <c r="AD817" s="456">
        <f>(_xll.xSPRDOPT($L817+$AB$5,$J817,$I817,$M817,$O817,$N817,$P817,$Q817-$C$3,$R817,9)/365)*$H817</f>
        <v>123.41872443623527</v>
      </c>
      <c r="AE817">
        <f t="shared" si="972"/>
        <v>0</v>
      </c>
      <c r="AF817" s="456">
        <f t="shared" si="1025"/>
        <v>-258.45693280487694</v>
      </c>
      <c r="AG817" s="456">
        <f>((_xll.xSPRDOPT($L817,$J817,$I817,$M817,$O817,$N817,$P817,$Q817-$C$3,$R817,6)*$H817)/100)</f>
        <v>-74.483637603646898</v>
      </c>
      <c r="AH817" s="456">
        <f>((_xll.xSPRDOPT($L817,$J817,$I817,$M817,$O817,$N817,$P817,$Q817-$C$3,$R817,5)*$H817)/100)</f>
        <v>-189.71249678463062</v>
      </c>
      <c r="AI817" s="456">
        <f>(((_xll.xSPRDOPT($L817,$J817,$I817,$M817,$O817,$N817,$P817,$Q817-$C$3,$R817,4)*$H817)/10000)/100)-AB817</f>
        <v>-1.0964200305312363E-2</v>
      </c>
      <c r="AJ817" s="456"/>
      <c r="CC817" s="141">
        <f t="shared" si="1026"/>
        <v>36831</v>
      </c>
      <c r="CD817" s="234">
        <f>_xll.xSPRDOPT((VLOOKUP(G815,NGPrices,2,FALSE)+HLOOKUP(D815,Prices,VLOOKUP(G815,move_down,2,FALSE),FALSE)),VLOOKUP(G815,NGPrices,2,FALSE),I815,VLOOKUP(G815,NGPREVPRICES,4,FALSE),HLOOKUP(D815,PREVVOLS,VLOOKUP(G815,MOVE_DOWN2,2,FALSE),FALSE),VLOOKUP(G815,NGPREVPRICES,3,FALSE),HLOOKUP(D815,Correllate,VLOOKUP(G815,CorMove,2,FALSE),FALSE),Q815-$CD$3,R815,$CD$5)*H815-CJ817</f>
        <v>0</v>
      </c>
      <c r="CE817" s="234">
        <f>_xll.xSPRDOPT((VLOOKUP(G815,NGPREVPRICES,2,FALSE)+HLOOKUP(D815,PREVCURVES,VLOOKUP(G815,MOVE_DOWN2,2,FALSE),FALSE)),VLOOKUP(G815,NGPREVPRICES,2,FALSE),CK817,VLOOKUP(G815,NGPrices,4,FALSE),HLOOKUP(D815,PREVVOLS,VLOOKUP(G815,MOVE_DOWN2,2,FALSE),FALSE),VLOOKUP(G815,NGPREVPRICES,3,FALSE),HLOOKUP(D815,Correllate,VLOOKUP(G815,CorMove,2,FALSE),FALSE),Q815-$CD$3,R815,$CJ$5)*H815-CJ817</f>
        <v>0</v>
      </c>
      <c r="CF817" s="10">
        <f t="shared" si="1027"/>
        <v>-25.978830851236125</v>
      </c>
      <c r="CG817" s="234">
        <f>_xll.xSPRDOPT((VLOOKUP(G815,NGPREVPRICES,2,FALSE)+HLOOKUP(D815,PREVCURVES,VLOOKUP(G815,MOVE_DOWN2,2,FALSE),FALSE)),VLOOKUP(G815,NGPREVPRICES,2,FALSE),CK817,VLOOKUP(G815,NGPREVPRICES,4,FALSE),HLOOKUP(D815,VOLS,VLOOKUP(G815,move_down,2,FALSE),FALSE),VLOOKUP(G815,NGPrices,3,FALSE),HLOOKUP(D815,Correllate,VLOOKUP(G815,CorMove,2,FALSE),FALSE),Q815-$CD$3,R815,$CJ$5)*H815-CJ817</f>
        <v>0</v>
      </c>
      <c r="CH817" s="234">
        <f>_xll.xSPRDOPT((VLOOKUP(G815,NGPREVPRICES,2,FALSE)+HLOOKUP(D815,PREVCURVES,VLOOKUP(G815,MOVE_DOWN2,2,FALSE),FALSE)),VLOOKUP(G815,NGPREVPRICES,2,FALSE),CK817,VLOOKUP(G815,NGPREVPRICES,4,FALSE),HLOOKUP(D815,PREVVOLS,VLOOKUP(G815,MOVE_DOWN2,2,FALSE),FALSE),VLOOKUP(G815,NGPREVPRICES,3,FALSE),HLOOKUP(D815,Correllate,VLOOKUP(G815,CorMove,2,FALSE),FALSE),Q815-$C$3,R815,$CJ$5)*H815-CJ817</f>
        <v>-1801.2545100640855</v>
      </c>
      <c r="CI817" s="234">
        <f t="shared" si="1028"/>
        <v>-1827.2333409153216</v>
      </c>
      <c r="CJ817" s="234">
        <f>_xll.xSPRDOPT((VLOOKUP(G815,NGPREVPRICES,2,FALSE)+HLOOKUP(D815,PREVCURVES,VLOOKUP(G815,MOVE_DOWN2,2,FALSE),FALSE)),VLOOKUP(G815,NGPREVPRICES,2,FALSE),CK817,VLOOKUP(G815,NGPREVPRICES,4,FALSE),HLOOKUP(D815,PREVVOLS,VLOOKUP(G815,MOVE_DOWN2,2,FALSE),FALSE),VLOOKUP(G815,NGPREVPRICES,3,FALSE),HLOOKUP(D815,Correllate,VLOOKUP(G815,CorMove,2,FALSE),FALSE),Q815-$CD$3,R815,$CJ$5)*H815</f>
        <v>139888.75420971552</v>
      </c>
      <c r="CK817" s="235">
        <f t="shared" si="1029"/>
        <v>0.5</v>
      </c>
      <c r="CM817" t="str">
        <f t="shared" si="1030"/>
        <v>36831Curve Shift/Gamma</v>
      </c>
      <c r="CN817" t="str">
        <f t="shared" ref="CN817:CN833" si="1031">CONCATENATE($CC817,$CE$6)</f>
        <v>36831Rho</v>
      </c>
      <c r="CO817" t="str">
        <f t="shared" ref="CO817:CO833" si="1032">CONCATENATE($CC817,$CF$6)</f>
        <v>36831Drift</v>
      </c>
      <c r="CP817" t="str">
        <f t="shared" ref="CP817:CP833" si="1033">CONCATENATE($CC817,$CG$6)</f>
        <v>36831Vega</v>
      </c>
      <c r="CQ817" t="str">
        <f t="shared" ref="CQ817:CQ833" si="1034">CONCATENATE($CC817,$CH$6)</f>
        <v>36831Theta</v>
      </c>
    </row>
    <row r="818" spans="1:95" x14ac:dyDescent="0.25">
      <c r="A818" s="140" t="s">
        <v>268</v>
      </c>
      <c r="B818" t="s">
        <v>250</v>
      </c>
      <c r="C818" t="s">
        <v>622</v>
      </c>
      <c r="D818" s="4" t="s">
        <v>190</v>
      </c>
      <c r="E818" t="s">
        <v>20</v>
      </c>
      <c r="F818" t="s">
        <v>1</v>
      </c>
      <c r="G818" s="5">
        <v>36861</v>
      </c>
      <c r="H818" s="130">
        <v>-155000</v>
      </c>
      <c r="I818" s="235">
        <v>0.5</v>
      </c>
      <c r="J818" s="53">
        <f t="shared" si="1012"/>
        <v>4.8</v>
      </c>
      <c r="K818" s="7">
        <f t="shared" si="1013"/>
        <v>1.0049999999999999</v>
      </c>
      <c r="L818" s="53">
        <f t="shared" si="1014"/>
        <v>5.8049999999999997</v>
      </c>
      <c r="M818" s="157">
        <f t="shared" si="1015"/>
        <v>6.8314027999354002E-2</v>
      </c>
      <c r="N818" s="4">
        <f t="shared" si="1016"/>
        <v>0.6</v>
      </c>
      <c r="O818" s="4">
        <f t="shared" si="1017"/>
        <v>0.58199999999999996</v>
      </c>
      <c r="P818" s="9">
        <f t="shared" si="1018"/>
        <v>0.85</v>
      </c>
      <c r="Q818" s="5">
        <f t="shared" si="980"/>
        <v>36859</v>
      </c>
      <c r="R818" s="4">
        <f t="shared" si="1019"/>
        <v>0</v>
      </c>
      <c r="S818" s="158">
        <f>_xll.xSPRDOPT($L818,$J818,$I818,$M818,$O818,$N818,$P818,$Q818-$C$3,$R818,0)</f>
        <v>0.14702075037146284</v>
      </c>
      <c r="T818" s="159">
        <f>_xll.xSPRDOPT($L818,$J818,$I818,$M818,$O818,$N818,$P818,$Q818-$C$3,$R818,1)*H818</f>
        <v>38685.674043525876</v>
      </c>
      <c r="U818" s="160">
        <f t="shared" si="1020"/>
        <v>-22788.216307576738</v>
      </c>
      <c r="V818" s="159">
        <f>_xll.xSPRDOPT($L818,$J818,$I818,$M818,$O818,$N818,$P818,$Q818-$C$3,$R818,2)*H818</f>
        <v>-46903.675237572963</v>
      </c>
      <c r="W818" s="159">
        <f t="shared" si="1021"/>
        <v>-8218.0011940470868</v>
      </c>
      <c r="X818" s="51" t="str">
        <f t="shared" si="1022"/>
        <v>36861NGI-SOCAL</v>
      </c>
      <c r="Y818" s="418">
        <f t="shared" si="1023"/>
        <v>-15.5</v>
      </c>
      <c r="Z818" s="456">
        <f t="shared" si="1024"/>
        <v>-0.24958499382919921</v>
      </c>
      <c r="AA818" s="456">
        <f>_xll.xSPRDOPT($L818,$J818,$I818,$M818,$O818,$N818,$P818,$Q818-$C$3,$R818,3)</f>
        <v>0.34780555227441412</v>
      </c>
      <c r="AB818" s="456">
        <f>((_xll.xSPRDOPT($L818+AB$5,$J818,$I818,$M818,$O818,$N818,$P818,$Q818-$C$3,$R818,3)*$H818)/10000)/100</f>
        <v>-5.3909860602534193E-2</v>
      </c>
      <c r="AC818" s="456">
        <f>((_xll.xSPRDOPT($L818+$AB$5,$J818,$I818,$M818,$O818,$N818,$P818,$Q818-$C$3,$R818,7)*$H818)/100)</f>
        <v>1450.1402145053426</v>
      </c>
      <c r="AD818" s="456">
        <f>(_xll.xSPRDOPT($L818+$AB$5,$J818,$I818,$M818,$O818,$N818,$P818,$Q818-$C$3,$R818,9)/365)*$H818</f>
        <v>236.41587635802642</v>
      </c>
      <c r="AE818">
        <f t="shared" si="972"/>
        <v>0</v>
      </c>
      <c r="AF818" s="456">
        <f t="shared" si="1025"/>
        <v>-737.58307504077084</v>
      </c>
      <c r="AG818" s="456">
        <f>((_xll.xSPRDOPT($L818,$J818,$I818,$M818,$O818,$N818,$P818,$Q818-$C$3,$R818,6)*$H818)/100)</f>
        <v>-208.69832256847613</v>
      </c>
      <c r="AH818" s="456">
        <f>((_xll.xSPRDOPT($L818,$J818,$I818,$M818,$O818,$N818,$P818,$Q818-$C$3,$R818,5)*$H818)/100)</f>
        <v>-545.24201285803588</v>
      </c>
      <c r="AI818" s="456">
        <f>(((_xll.xSPRDOPT($L818,$J818,$I818,$M818,$O818,$N818,$P818,$Q818-$C$3,$R818,4)*$H818)/10000)/100)-AB818</f>
        <v>-1.1083122001360871E-2</v>
      </c>
      <c r="AJ818" s="456"/>
      <c r="CC818" s="141">
        <f t="shared" si="1026"/>
        <v>36831</v>
      </c>
      <c r="CD818" s="234">
        <f>_xll.xSPRDOPT((VLOOKUP(G816,NGPrices,2,FALSE)+HLOOKUP(D816,Prices,VLOOKUP(G816,move_down,2,FALSE),FALSE)),VLOOKUP(G816,NGPrices,2,FALSE),I816,VLOOKUP(G816,NGPREVPRICES,4,FALSE),HLOOKUP(D816,PREVVOLS,VLOOKUP(G816,MOVE_DOWN2,2,FALSE),FALSE),VLOOKUP(G816,NGPREVPRICES,3,FALSE),HLOOKUP(D816,Correllate,VLOOKUP(G816,CorMove,2,FALSE),FALSE),Q816-$CD$3,R816,$CD$5)*H816-CJ818</f>
        <v>0</v>
      </c>
      <c r="CE818" s="234">
        <f>_xll.xSPRDOPT((VLOOKUP(G816,NGPREVPRICES,2,FALSE)+HLOOKUP(D816,PREVCURVES,VLOOKUP(G816,MOVE_DOWN2,2,FALSE),FALSE)),VLOOKUP(G816,NGPREVPRICES,2,FALSE),CK818,VLOOKUP(G816,NGPrices,4,FALSE),HLOOKUP(D816,PREVVOLS,VLOOKUP(G816,MOVE_DOWN2,2,FALSE),FALSE),VLOOKUP(G816,NGPREVPRICES,3,FALSE),HLOOKUP(D816,Correllate,VLOOKUP(G816,CorMove,2,FALSE),FALSE),Q816-$CD$3,R816,$CJ$5)*H816-CJ818</f>
        <v>0</v>
      </c>
      <c r="CF818" s="10">
        <f t="shared" si="1027"/>
        <v>-9.4955095774494112</v>
      </c>
      <c r="CG818" s="234">
        <f>_xll.xSPRDOPT((VLOOKUP(G816,NGPREVPRICES,2,FALSE)+HLOOKUP(D816,PREVCURVES,VLOOKUP(G816,MOVE_DOWN2,2,FALSE),FALSE)),VLOOKUP(G816,NGPREVPRICES,2,FALSE),CK818,VLOOKUP(G816,NGPREVPRICES,4,FALSE),HLOOKUP(D816,VOLS,VLOOKUP(G816,move_down,2,FALSE),FALSE),VLOOKUP(G816,NGPrices,3,FALSE),HLOOKUP(D816,Correllate,VLOOKUP(G816,CorMove,2,FALSE),FALSE),Q816-$CD$3,R816,$CJ$5)*H816-CJ818</f>
        <v>0</v>
      </c>
      <c r="CH818" s="234">
        <f>_xll.xSPRDOPT((VLOOKUP(G816,NGPREVPRICES,2,FALSE)+HLOOKUP(D816,PREVCURVES,VLOOKUP(G816,MOVE_DOWN2,2,FALSE),FALSE)),VLOOKUP(G816,NGPREVPRICES,2,FALSE),CK818,VLOOKUP(G816,NGPREVPRICES,4,FALSE),HLOOKUP(D816,PREVVOLS,VLOOKUP(G816,MOVE_DOWN2,2,FALSE),FALSE),VLOOKUP(G816,NGPREVPRICES,3,FALSE),HLOOKUP(D816,Correllate,VLOOKUP(G816,CorMove,2,FALSE),FALSE),Q816-$C$3,R816,$CJ$5)*H816-CJ818</f>
        <v>-598.13621258674539</v>
      </c>
      <c r="CI818" s="234">
        <f t="shared" si="1028"/>
        <v>-607.6317221641948</v>
      </c>
      <c r="CJ818" s="234">
        <f>_xll.xSPRDOPT((VLOOKUP(G816,NGPREVPRICES,2,FALSE)+HLOOKUP(D816,PREVCURVES,VLOOKUP(G816,MOVE_DOWN2,2,FALSE),FALSE)),VLOOKUP(G816,NGPREVPRICES,2,FALSE),CK818,VLOOKUP(G816,NGPREVPRICES,4,FALSE),HLOOKUP(D816,PREVVOLS,VLOOKUP(G816,MOVE_DOWN2,2,FALSE),FALSE),VLOOKUP(G816,NGPREVPRICES,3,FALSE),HLOOKUP(D816,Correllate,VLOOKUP(G816,CorMove,2,FALSE),FALSE),Q816-$CD$3,R816,$CJ$5)*H816</f>
        <v>51130.669158351309</v>
      </c>
      <c r="CK818" s="235">
        <f t="shared" si="1029"/>
        <v>1</v>
      </c>
      <c r="CM818" t="str">
        <f t="shared" si="1030"/>
        <v>36831Curve Shift/Gamma</v>
      </c>
      <c r="CN818" t="str">
        <f t="shared" si="1031"/>
        <v>36831Rho</v>
      </c>
      <c r="CO818" t="str">
        <f t="shared" si="1032"/>
        <v>36831Drift</v>
      </c>
      <c r="CP818" t="str">
        <f t="shared" si="1033"/>
        <v>36831Vega</v>
      </c>
      <c r="CQ818" t="str">
        <f t="shared" si="1034"/>
        <v>36831Theta</v>
      </c>
    </row>
    <row r="819" spans="1:95" x14ac:dyDescent="0.25">
      <c r="A819" s="140" t="s">
        <v>268</v>
      </c>
      <c r="B819" t="s">
        <v>250</v>
      </c>
      <c r="C819" t="s">
        <v>622</v>
      </c>
      <c r="D819" s="4" t="s">
        <v>190</v>
      </c>
      <c r="E819" t="s">
        <v>20</v>
      </c>
      <c r="F819" t="s">
        <v>1</v>
      </c>
      <c r="G819" s="5">
        <v>36892</v>
      </c>
      <c r="H819" s="130">
        <v>-155000</v>
      </c>
      <c r="I819" s="235">
        <v>0.5</v>
      </c>
      <c r="J819" s="53">
        <f t="shared" si="1012"/>
        <v>4.7439999999999998</v>
      </c>
      <c r="K819" s="7">
        <f t="shared" si="1013"/>
        <v>0.76749999999999996</v>
      </c>
      <c r="L819" s="53">
        <f t="shared" si="1014"/>
        <v>5.5114999999999998</v>
      </c>
      <c r="M819" s="157">
        <f t="shared" si="1015"/>
        <v>6.8374831148490994E-2</v>
      </c>
      <c r="N819" s="4">
        <f t="shared" si="1016"/>
        <v>0.60499999999999998</v>
      </c>
      <c r="O819" s="4">
        <f t="shared" si="1017"/>
        <v>0.58699999999999997</v>
      </c>
      <c r="P819" s="9">
        <f t="shared" si="1018"/>
        <v>0.85</v>
      </c>
      <c r="Q819" s="5">
        <f t="shared" si="980"/>
        <v>36888</v>
      </c>
      <c r="R819" s="4">
        <f t="shared" si="1019"/>
        <v>0</v>
      </c>
      <c r="S819" s="158">
        <f>_xll.xSPRDOPT($L819,$J819,$I819,$M819,$O819,$N819,$P819,$Q819-$C$3,$R819,0)</f>
        <v>0.26116186485696063</v>
      </c>
      <c r="T819" s="159">
        <f>_xll.xSPRDOPT($L819,$J819,$I819,$M819,$O819,$N819,$P819,$Q819-$C$3,$R819,1)*H819</f>
        <v>54081.519887886432</v>
      </c>
      <c r="U819" s="160">
        <f t="shared" si="1020"/>
        <v>-40480.089052828902</v>
      </c>
      <c r="V819" s="159">
        <f>_xll.xSPRDOPT($L819,$J819,$I819,$M819,$O819,$N819,$P819,$Q819-$C$3,$R819,2)*H819</f>
        <v>-64849.681069581937</v>
      </c>
      <c r="W819" s="159">
        <f t="shared" si="1021"/>
        <v>-10768.161181695505</v>
      </c>
      <c r="X819" s="51" t="str">
        <f t="shared" si="1022"/>
        <v>36892NGI-SOCAL</v>
      </c>
      <c r="Y819" s="418">
        <f t="shared" si="1023"/>
        <v>-15.5</v>
      </c>
      <c r="Z819" s="456">
        <f t="shared" si="1024"/>
        <v>-0.34891303153475117</v>
      </c>
      <c r="AA819" s="456">
        <f>_xll.xSPRDOPT($L819,$J819,$I819,$M819,$O819,$N819,$P819,$Q819-$C$3,$R819,3)</f>
        <v>0.36688953918599432</v>
      </c>
      <c r="AB819" s="456">
        <f>((_xll.xSPRDOPT($L819+AB$5,$J819,$I819,$M819,$O819,$N819,$P819,$Q819-$C$3,$R819,3)*$H819)/10000)/100</f>
        <v>-5.686787857382912E-2</v>
      </c>
      <c r="AC819" s="456">
        <f>((_xll.xSPRDOPT($L819+$AB$5,$J819,$I819,$M819,$O819,$N819,$P819,$Q819-$C$3,$R819,7)*$H819)/100)</f>
        <v>1839.9238579153905</v>
      </c>
      <c r="AD819" s="456">
        <f>(_xll.xSPRDOPT($L819+$AB$5,$J819,$I819,$M819,$O819,$N819,$P819,$Q819-$C$3,$R819,9)/365)*$H819</f>
        <v>225.10108213009903</v>
      </c>
      <c r="AE819">
        <f t="shared" si="972"/>
        <v>0</v>
      </c>
      <c r="AF819" s="456">
        <f t="shared" si="1025"/>
        <v>-930.09953543283666</v>
      </c>
      <c r="AG819" s="456">
        <f>((_xll.xSPRDOPT($L819,$J819,$I819,$M819,$O819,$N819,$P819,$Q819-$C$3,$R819,6)*$H819)/100)</f>
        <v>-255.83529499003581</v>
      </c>
      <c r="AH819" s="456">
        <f>((_xll.xSPRDOPT($L819,$J819,$I819,$M819,$O819,$N819,$P819,$Q819-$C$3,$R819,5)*$H819)/100)</f>
        <v>-694.94014560118319</v>
      </c>
      <c r="AI819" s="456">
        <f>(((_xll.xSPRDOPT($L819,$J819,$I819,$M819,$O819,$N819,$P819,$Q819-$C$3,$R819,4)*$H819)/10000)/100)-AB819</f>
        <v>-6.1128712103712401E-3</v>
      </c>
      <c r="AJ819" s="456"/>
      <c r="CC819" s="141">
        <f t="shared" si="1026"/>
        <v>36831</v>
      </c>
      <c r="CD819" s="234">
        <f>_xll.xSPRDOPT((VLOOKUP(G817,NGPrices,2,FALSE)+HLOOKUP(D817,Prices,VLOOKUP(G817,move_down,2,FALSE),FALSE)),VLOOKUP(G817,NGPrices,2,FALSE),I817,VLOOKUP(G817,NGPREVPRICES,4,FALSE),HLOOKUP(D817,PREVVOLS,VLOOKUP(G817,MOVE_DOWN2,2,FALSE),FALSE),VLOOKUP(G817,NGPREVPRICES,3,FALSE),HLOOKUP(D817,Correllate,VLOOKUP(G817,CorMove,2,FALSE),FALSE),Q817-$CD$3,R817,$CD$5)*H817-CJ819</f>
        <v>0</v>
      </c>
      <c r="CE819" s="234">
        <f>_xll.xSPRDOPT((VLOOKUP(G817,NGPREVPRICES,2,FALSE)+HLOOKUP(D817,PREVCURVES,VLOOKUP(G817,MOVE_DOWN2,2,FALSE),FALSE)),VLOOKUP(G817,NGPREVPRICES,2,FALSE),CK819,VLOOKUP(G817,NGPrices,4,FALSE),HLOOKUP(D817,PREVVOLS,VLOOKUP(G817,MOVE_DOWN2,2,FALSE),FALSE),VLOOKUP(G817,NGPREVPRICES,3,FALSE),HLOOKUP(D817,Correllate,VLOOKUP(G817,CorMove,2,FALSE),FALSE),Q817-$CD$3,R817,$CJ$5)*H817-CJ819</f>
        <v>0</v>
      </c>
      <c r="CF819" s="10">
        <f t="shared" si="1027"/>
        <v>0.7036189305777043</v>
      </c>
      <c r="CG819" s="234">
        <f>_xll.xSPRDOPT((VLOOKUP(G817,NGPREVPRICES,2,FALSE)+HLOOKUP(D817,PREVCURVES,VLOOKUP(G817,MOVE_DOWN2,2,FALSE),FALSE)),VLOOKUP(G817,NGPREVPRICES,2,FALSE),CK819,VLOOKUP(G817,NGPREVPRICES,4,FALSE),HLOOKUP(D817,VOLS,VLOOKUP(G817,move_down,2,FALSE),FALSE),VLOOKUP(G817,NGPrices,3,FALSE),HLOOKUP(D817,Correllate,VLOOKUP(G817,CorMove,2,FALSE),FALSE),Q817-$CD$3,R817,$CJ$5)*H817-CJ819</f>
        <v>0</v>
      </c>
      <c r="CH819" s="234">
        <f>_xll.xSPRDOPT((VLOOKUP(G817,NGPREVPRICES,2,FALSE)+HLOOKUP(D817,PREVCURVES,VLOOKUP(G817,MOVE_DOWN2,2,FALSE),FALSE)),VLOOKUP(G817,NGPREVPRICES,2,FALSE),CK819,VLOOKUP(G817,NGPREVPRICES,4,FALSE),HLOOKUP(D817,PREVVOLS,VLOOKUP(G817,MOVE_DOWN2,2,FALSE),FALSE),VLOOKUP(G817,NGPREVPRICES,3,FALSE),HLOOKUP(D817,Correllate,VLOOKUP(G817,CorMove,2,FALSE),FALSE),Q817-$C$3,R817,$CJ$5)*H817-CJ819</f>
        <v>123.83226690180209</v>
      </c>
      <c r="CI819" s="234">
        <f t="shared" si="1028"/>
        <v>124.53588583237979</v>
      </c>
      <c r="CJ819" s="234">
        <f>_xll.xSPRDOPT((VLOOKUP(G817,NGPREVPRICES,2,FALSE)+HLOOKUP(D817,PREVCURVES,VLOOKUP(G817,MOVE_DOWN2,2,FALSE),FALSE)),VLOOKUP(G817,NGPREVPRICES,2,FALSE),CK819,VLOOKUP(G817,NGPREVPRICES,4,FALSE),HLOOKUP(D817,PREVVOLS,VLOOKUP(G817,MOVE_DOWN2,2,FALSE),FALSE),VLOOKUP(G817,NGPREVPRICES,3,FALSE),HLOOKUP(D817,Correllate,VLOOKUP(G817,CorMove,2,FALSE),FALSE),Q817-$CD$3,R817,$CJ$5)*H817</f>
        <v>-3788.7915819017207</v>
      </c>
      <c r="CK819" s="235">
        <f t="shared" si="1029"/>
        <v>0.5</v>
      </c>
      <c r="CM819" t="str">
        <f t="shared" si="1030"/>
        <v>36831Curve Shift/Gamma</v>
      </c>
      <c r="CN819" t="str">
        <f t="shared" si="1031"/>
        <v>36831Rho</v>
      </c>
      <c r="CO819" t="str">
        <f t="shared" si="1032"/>
        <v>36831Drift</v>
      </c>
      <c r="CP819" t="str">
        <f t="shared" si="1033"/>
        <v>36831Vega</v>
      </c>
      <c r="CQ819" t="str">
        <f t="shared" si="1034"/>
        <v>36831Theta</v>
      </c>
    </row>
    <row r="820" spans="1:95" x14ac:dyDescent="0.25">
      <c r="A820" s="140" t="s">
        <v>268</v>
      </c>
      <c r="B820" t="s">
        <v>250</v>
      </c>
      <c r="C820" t="s">
        <v>622</v>
      </c>
      <c r="D820" s="4" t="s">
        <v>190</v>
      </c>
      <c r="E820" t="s">
        <v>20</v>
      </c>
      <c r="F820" t="s">
        <v>1</v>
      </c>
      <c r="G820" s="5">
        <v>36923</v>
      </c>
      <c r="H820" s="130">
        <v>-140000</v>
      </c>
      <c r="I820" s="235">
        <v>0.5</v>
      </c>
      <c r="J820" s="53">
        <f t="shared" si="1012"/>
        <v>4.4800000000000004</v>
      </c>
      <c r="K820" s="7">
        <f t="shared" si="1013"/>
        <v>0.61750000000000005</v>
      </c>
      <c r="L820" s="53">
        <f t="shared" si="1014"/>
        <v>5.0975000000000001</v>
      </c>
      <c r="M820" s="157">
        <f t="shared" si="1015"/>
        <v>6.8640161611372E-2</v>
      </c>
      <c r="N820" s="4">
        <f t="shared" si="1016"/>
        <v>0.59250000000000003</v>
      </c>
      <c r="O820" s="4">
        <f t="shared" si="1017"/>
        <v>0.57499999999999996</v>
      </c>
      <c r="P820" s="9">
        <f t="shared" si="1018"/>
        <v>0.85</v>
      </c>
      <c r="Q820" s="5">
        <f t="shared" si="980"/>
        <v>36921</v>
      </c>
      <c r="R820" s="4">
        <f t="shared" si="1019"/>
        <v>0</v>
      </c>
      <c r="S820" s="158">
        <f>_xll.xSPRDOPT($L820,$J820,$I820,$M820,$O820,$N820,$P820,$Q820-$C$3,$R820,0)</f>
        <v>0.3335441703551727</v>
      </c>
      <c r="T820" s="159">
        <f>_xll.xSPRDOPT($L820,$J820,$I820,$M820,$O820,$N820,$P820,$Q820-$C$3,$R820,1)*H820</f>
        <v>56302.477000386491</v>
      </c>
      <c r="U820" s="160">
        <f t="shared" si="1020"/>
        <v>-46696.183849724177</v>
      </c>
      <c r="V820" s="159">
        <f>_xll.xSPRDOPT($L820,$J820,$I820,$M820,$O820,$N820,$P820,$Q820-$C$3,$R820,2)*H820</f>
        <v>-67288.541131226884</v>
      </c>
      <c r="W820" s="159">
        <f t="shared" si="1021"/>
        <v>-10986.064130840394</v>
      </c>
      <c r="X820" s="51" t="str">
        <f t="shared" si="1022"/>
        <v>36923NGI-SOCAL</v>
      </c>
      <c r="Y820" s="418">
        <f t="shared" si="1023"/>
        <v>-14</v>
      </c>
      <c r="Z820" s="456">
        <f t="shared" si="1024"/>
        <v>-0.40216055000276063</v>
      </c>
      <c r="AA820" s="456">
        <f>_xll.xSPRDOPT($L820,$J820,$I820,$M820,$O820,$N820,$P820,$Q820-$C$3,$R820,3)</f>
        <v>0.37316463574058012</v>
      </c>
      <c r="AB820" s="456">
        <f>((_xll.xSPRDOPT($L820+AB$5,$J820,$I820,$M820,$O820,$N820,$P820,$Q820-$C$3,$R820,3)*$H820)/10000)/100</f>
        <v>-5.2243049003681215E-2</v>
      </c>
      <c r="AC820" s="456">
        <f>((_xll.xSPRDOPT($L820+$AB$5,$J820,$I820,$M820,$O820,$N820,$P820,$Q820-$C$3,$R820,7)*$H820)/100)</f>
        <v>1753.9839742474971</v>
      </c>
      <c r="AD820" s="456">
        <f>(_xll.xSPRDOPT($L820+$AB$5,$J820,$I820,$M820,$O820,$N820,$P820,$Q820-$C$3,$R820,9)/365)*$H820</f>
        <v>166.27002181305286</v>
      </c>
      <c r="AE820">
        <f t="shared" si="972"/>
        <v>0</v>
      </c>
      <c r="AF820" s="456">
        <f t="shared" si="1025"/>
        <v>-909.34942348771347</v>
      </c>
      <c r="AG820" s="456">
        <f>((_xll.xSPRDOPT($L820,$J820,$I820,$M820,$O820,$N820,$P820,$Q820-$C$3,$R820,6)*$H820)/100)</f>
        <v>-231.7197797724007</v>
      </c>
      <c r="AH820" s="456">
        <f>((_xll.xSPRDOPT($L820,$J820,$I820,$M820,$O820,$N820,$P820,$Q820-$C$3,$R820,5)*$H820)/100)</f>
        <v>-698.25315461099626</v>
      </c>
      <c r="AI820" s="456">
        <f>(((_xll.xSPRDOPT($L820,$J820,$I820,$M820,$O820,$N820,$P820,$Q820-$C$3,$R820,4)*$H820)/10000)/100)-AB820</f>
        <v>-2.5641004761204136E-3</v>
      </c>
      <c r="AJ820" s="456"/>
      <c r="CC820" s="141">
        <f t="shared" si="1026"/>
        <v>36861</v>
      </c>
      <c r="CD820" s="234">
        <f>_xll.xSPRDOPT((VLOOKUP(G818,NGPrices,2,FALSE)+HLOOKUP(D818,Prices,VLOOKUP(G818,move_down,2,FALSE),FALSE)),VLOOKUP(G818,NGPrices,2,FALSE),I818,VLOOKUP(G818,NGPREVPRICES,4,FALSE),HLOOKUP(D818,PREVVOLS,VLOOKUP(G818,MOVE_DOWN2,2,FALSE),FALSE),VLOOKUP(G818,NGPREVPRICES,3,FALSE),HLOOKUP(D818,Correllate,VLOOKUP(G818,CorMove,2,FALSE),FALSE),Q818-$CD$3,R818,$CD$5)*H818-CJ820</f>
        <v>0</v>
      </c>
      <c r="CE820" s="234">
        <f>_xll.xSPRDOPT((VLOOKUP(G818,NGPREVPRICES,2,FALSE)+HLOOKUP(D818,PREVCURVES,VLOOKUP(G818,MOVE_DOWN2,2,FALSE),FALSE)),VLOOKUP(G818,NGPREVPRICES,2,FALSE),CK820,VLOOKUP(G818,NGPrices,4,FALSE),HLOOKUP(D818,PREVVOLS,VLOOKUP(G818,MOVE_DOWN2,2,FALSE),FALSE),VLOOKUP(G818,NGPREVPRICES,3,FALSE),HLOOKUP(D818,Correllate,VLOOKUP(G818,CorMove,2,FALSE),FALSE),Q818-$CD$3,R818,$CJ$5)*H818-CJ820</f>
        <v>0</v>
      </c>
      <c r="CF820" s="10">
        <f t="shared" si="1027"/>
        <v>4.3132676274763071</v>
      </c>
      <c r="CG820" s="234">
        <f>_xll.xSPRDOPT((VLOOKUP(G818,NGPREVPRICES,2,FALSE)+HLOOKUP(D818,PREVCURVES,VLOOKUP(G818,MOVE_DOWN2,2,FALSE),FALSE)),VLOOKUP(G818,NGPREVPRICES,2,FALSE),CK820,VLOOKUP(G818,NGPREVPRICES,4,FALSE),HLOOKUP(D818,VOLS,VLOOKUP(G818,move_down,2,FALSE),FALSE),VLOOKUP(G818,NGPrices,3,FALSE),HLOOKUP(D818,Correllate,VLOOKUP(G818,CorMove,2,FALSE),FALSE),Q818-$CD$3,R818,$CJ$5)*H818-CJ820</f>
        <v>0</v>
      </c>
      <c r="CH820" s="234">
        <f>_xll.xSPRDOPT((VLOOKUP(G818,NGPREVPRICES,2,FALSE)+HLOOKUP(D818,PREVCURVES,VLOOKUP(G818,MOVE_DOWN2,2,FALSE),FALSE)),VLOOKUP(G818,NGPREVPRICES,2,FALSE),CK820,VLOOKUP(G818,NGPREVPRICES,4,FALSE),HLOOKUP(D818,PREVVOLS,VLOOKUP(G818,MOVE_DOWN2,2,FALSE),FALSE),VLOOKUP(G818,NGPREVPRICES,3,FALSE),HLOOKUP(D818,Correllate,VLOOKUP(G818,CorMove,2,FALSE),FALSE),Q818-$C$3,R818,$CJ$5)*H818-CJ820</f>
        <v>235.77839956273965</v>
      </c>
      <c r="CI820" s="234">
        <f t="shared" si="1028"/>
        <v>240.09166719021596</v>
      </c>
      <c r="CJ820" s="234">
        <f>_xll.xSPRDOPT((VLOOKUP(G818,NGPREVPRICES,2,FALSE)+HLOOKUP(D818,PREVCURVES,VLOOKUP(G818,MOVE_DOWN2,2,FALSE),FALSE)),VLOOKUP(G818,NGPREVPRICES,2,FALSE),CK820,VLOOKUP(G818,NGPREVPRICES,4,FALSE),HLOOKUP(D818,PREVVOLS,VLOOKUP(G818,MOVE_DOWN2,2,FALSE),FALSE),VLOOKUP(G818,NGPREVPRICES,3,FALSE),HLOOKUP(D818,Correllate,VLOOKUP(G818,CorMove,2,FALSE),FALSE),Q818-$CD$3,R818,$CJ$5)*H818</f>
        <v>-23023.994707139478</v>
      </c>
      <c r="CK820" s="235">
        <f t="shared" si="1029"/>
        <v>0.5</v>
      </c>
      <c r="CM820" t="str">
        <f t="shared" si="1030"/>
        <v>36861Curve Shift/Gamma</v>
      </c>
      <c r="CN820" t="str">
        <f t="shared" si="1031"/>
        <v>36861Rho</v>
      </c>
      <c r="CO820" t="str">
        <f t="shared" si="1032"/>
        <v>36861Drift</v>
      </c>
      <c r="CP820" t="str">
        <f t="shared" si="1033"/>
        <v>36861Vega</v>
      </c>
      <c r="CQ820" t="str">
        <f t="shared" si="1034"/>
        <v>36861Theta</v>
      </c>
    </row>
    <row r="821" spans="1:95" x14ac:dyDescent="0.25">
      <c r="A821" s="140" t="s">
        <v>268</v>
      </c>
      <c r="B821" t="s">
        <v>250</v>
      </c>
      <c r="C821" t="s">
        <v>622</v>
      </c>
      <c r="D821" s="4" t="s">
        <v>190</v>
      </c>
      <c r="E821" t="s">
        <v>20</v>
      </c>
      <c r="F821" t="s">
        <v>1</v>
      </c>
      <c r="G821" s="5">
        <v>36951</v>
      </c>
      <c r="H821" s="130">
        <v>-155000</v>
      </c>
      <c r="I821" s="235">
        <v>0.5</v>
      </c>
      <c r="J821" s="53">
        <f t="shared" si="1012"/>
        <v>4.2130000000000001</v>
      </c>
      <c r="K821" s="7">
        <f t="shared" si="1013"/>
        <v>0.59750000000000003</v>
      </c>
      <c r="L821" s="53">
        <f t="shared" si="1014"/>
        <v>4.8105000000000002</v>
      </c>
      <c r="M821" s="157">
        <f t="shared" si="1015"/>
        <v>6.8879814952706994E-2</v>
      </c>
      <c r="N821" s="4">
        <f t="shared" si="1016"/>
        <v>0.53249999999999997</v>
      </c>
      <c r="O821" s="4">
        <f t="shared" si="1017"/>
        <v>0.51700000000000002</v>
      </c>
      <c r="P821" s="9">
        <f t="shared" si="1018"/>
        <v>0.85</v>
      </c>
      <c r="Q821" s="5">
        <f t="shared" si="980"/>
        <v>36949</v>
      </c>
      <c r="R821" s="4">
        <f t="shared" si="1019"/>
        <v>0</v>
      </c>
      <c r="S821" s="158">
        <f>_xll.xSPRDOPT($L821,$J821,$I821,$M821,$O821,$N821,$P821,$Q821-$C$3,$R821,0)</f>
        <v>0.31078036407641868</v>
      </c>
      <c r="T821" s="159">
        <f>_xll.xSPRDOPT($L821,$J821,$I821,$M821,$O821,$N821,$P821,$Q821-$C$3,$R821,1)*H821</f>
        <v>62831.98176275476</v>
      </c>
      <c r="U821" s="160">
        <f t="shared" si="1020"/>
        <v>-48170.956431844897</v>
      </c>
      <c r="V821" s="159">
        <f>_xll.xSPRDOPT($L821,$J821,$I821,$M821,$O821,$N821,$P821,$Q821-$C$3,$R821,2)*H821</f>
        <v>-74644.631161239318</v>
      </c>
      <c r="W821" s="159">
        <f t="shared" si="1021"/>
        <v>-11812.649398484558</v>
      </c>
      <c r="X821" s="51" t="str">
        <f t="shared" si="1022"/>
        <v>36951NGI-SOCAL</v>
      </c>
      <c r="Y821" s="418">
        <f t="shared" si="1023"/>
        <v>-15.5</v>
      </c>
      <c r="Z821" s="456">
        <f t="shared" si="1024"/>
        <v>-0.40536762427583717</v>
      </c>
      <c r="AA821" s="456">
        <f>_xll.xSPRDOPT($L821,$J821,$I821,$M821,$O821,$N821,$P821,$Q821-$C$3,$R821,3)</f>
        <v>0.40422075409892444</v>
      </c>
      <c r="AB821" s="456">
        <f>((_xll.xSPRDOPT($L821+AB$5,$J821,$I821,$M821,$O821,$N821,$P821,$Q821-$C$3,$R821,3)*$H821)/10000)/100</f>
        <v>-6.2654216885333291E-2</v>
      </c>
      <c r="AC821" s="456">
        <f>((_xll.xSPRDOPT($L821+$AB$5,$J821,$I821,$M821,$O821,$N821,$P821,$Q821-$C$3,$R821,7)*$H821)/100)</f>
        <v>1777.6184326392563</v>
      </c>
      <c r="AD821" s="456">
        <f>(_xll.xSPRDOPT($L821+$AB$5,$J821,$I821,$M821,$O821,$N821,$P821,$Q821-$C$3,$R821,9)/365)*$H821</f>
        <v>141.59669908740227</v>
      </c>
      <c r="AE821">
        <f t="shared" si="972"/>
        <v>0</v>
      </c>
      <c r="AF821" s="456">
        <f t="shared" si="1025"/>
        <v>-1029.3440646377924</v>
      </c>
      <c r="AG821" s="456">
        <f>((_xll.xSPRDOPT($L821,$J821,$I821,$M821,$O821,$N821,$P821,$Q821-$C$3,$R821,6)*$H821)/100)</f>
        <v>-240.47847885047014</v>
      </c>
      <c r="AH821" s="456">
        <f>((_xll.xSPRDOPT($L821,$J821,$I821,$M821,$O821,$N821,$P821,$Q821-$C$3,$R821,5)*$H821)/100)</f>
        <v>-812.51629483897307</v>
      </c>
      <c r="AI821" s="456">
        <f>(((_xll.xSPRDOPT($L821,$J821,$I821,$M821,$O821,$N821,$P821,$Q821-$C$3,$R821,4)*$H821)/10000)/100)-AB821</f>
        <v>-2.7012491705946107E-3</v>
      </c>
      <c r="AJ821" s="456"/>
      <c r="CC821" s="141">
        <f t="shared" si="1026"/>
        <v>36892</v>
      </c>
      <c r="CD821" s="234">
        <f>_xll.xSPRDOPT((VLOOKUP(G819,NGPrices,2,FALSE)+HLOOKUP(D819,Prices,VLOOKUP(G819,move_down,2,FALSE),FALSE)),VLOOKUP(G819,NGPrices,2,FALSE),I819,VLOOKUP(G819,NGPREVPRICES,4,FALSE),HLOOKUP(D819,PREVVOLS,VLOOKUP(G819,MOVE_DOWN2,2,FALSE),FALSE),VLOOKUP(G819,NGPREVPRICES,3,FALSE),HLOOKUP(D819,Correllate,VLOOKUP(G819,CorMove,2,FALSE),FALSE),Q819-$CD$3,R819,$CD$5)*H819-CJ821</f>
        <v>0</v>
      </c>
      <c r="CE821" s="234">
        <f>_xll.xSPRDOPT((VLOOKUP(G819,NGPREVPRICES,2,FALSE)+HLOOKUP(D819,PREVCURVES,VLOOKUP(G819,MOVE_DOWN2,2,FALSE),FALSE)),VLOOKUP(G819,NGPREVPRICES,2,FALSE),CK821,VLOOKUP(G819,NGPrices,4,FALSE),HLOOKUP(D819,PREVVOLS,VLOOKUP(G819,MOVE_DOWN2,2,FALSE),FALSE),VLOOKUP(G819,NGPREVPRICES,3,FALSE),HLOOKUP(D819,Correllate,VLOOKUP(G819,CorMove,2,FALSE),FALSE),Q819-$CD$3,R819,$CJ$5)*H819-CJ821</f>
        <v>0</v>
      </c>
      <c r="CF821" s="10">
        <f t="shared" si="1027"/>
        <v>7.6704127244811389</v>
      </c>
      <c r="CG821" s="234">
        <f>_xll.xSPRDOPT((VLOOKUP(G819,NGPREVPRICES,2,FALSE)+HLOOKUP(D819,PREVCURVES,VLOOKUP(G819,MOVE_DOWN2,2,FALSE),FALSE)),VLOOKUP(G819,NGPREVPRICES,2,FALSE),CK821,VLOOKUP(G819,NGPREVPRICES,4,FALSE),HLOOKUP(D819,VOLS,VLOOKUP(G819,move_down,2,FALSE),FALSE),VLOOKUP(G819,NGPrices,3,FALSE),HLOOKUP(D819,Correllate,VLOOKUP(G819,CorMove,2,FALSE),FALSE),Q819-$CD$3,R819,$CJ$5)*H819-CJ821</f>
        <v>0</v>
      </c>
      <c r="CH821" s="234">
        <f>_xll.xSPRDOPT((VLOOKUP(G819,NGPREVPRICES,2,FALSE)+HLOOKUP(D819,PREVCURVES,VLOOKUP(G819,MOVE_DOWN2,2,FALSE),FALSE)),VLOOKUP(G819,NGPREVPRICES,2,FALSE),CK821,VLOOKUP(G819,NGPREVPRICES,4,FALSE),HLOOKUP(D819,PREVVOLS,VLOOKUP(G819,MOVE_DOWN2,2,FALSE),FALSE),VLOOKUP(G819,NGPREVPRICES,3,FALSE),HLOOKUP(D819,Correllate,VLOOKUP(G819,CorMove,2,FALSE),FALSE),Q819-$C$3,R819,$CJ$5)*H819-CJ821</f>
        <v>224.46060400641727</v>
      </c>
      <c r="CI821" s="234">
        <f t="shared" si="1028"/>
        <v>232.13101673089841</v>
      </c>
      <c r="CJ821" s="234">
        <f>_xll.xSPRDOPT((VLOOKUP(G819,NGPREVPRICES,2,FALSE)+HLOOKUP(D819,PREVCURVES,VLOOKUP(G819,MOVE_DOWN2,2,FALSE),FALSE)),VLOOKUP(G819,NGPREVPRICES,2,FALSE),CK821,VLOOKUP(G819,NGPREVPRICES,4,FALSE),HLOOKUP(D819,PREVVOLS,VLOOKUP(G819,MOVE_DOWN2,2,FALSE),FALSE),VLOOKUP(G819,NGPREVPRICES,3,FALSE),HLOOKUP(D819,Correllate,VLOOKUP(G819,CorMove,2,FALSE),FALSE),Q819-$CD$3,R819,$CJ$5)*H819</f>
        <v>-40704.549656835319</v>
      </c>
      <c r="CK821" s="235">
        <f t="shared" si="1029"/>
        <v>0.5</v>
      </c>
      <c r="CM821" t="str">
        <f t="shared" si="1030"/>
        <v>36892Curve Shift/Gamma</v>
      </c>
      <c r="CN821" t="str">
        <f t="shared" si="1031"/>
        <v>36892Rho</v>
      </c>
      <c r="CO821" t="str">
        <f t="shared" si="1032"/>
        <v>36892Drift</v>
      </c>
      <c r="CP821" t="str">
        <f t="shared" si="1033"/>
        <v>36892Vega</v>
      </c>
      <c r="CQ821" t="str">
        <f t="shared" si="1034"/>
        <v>36892Theta</v>
      </c>
    </row>
    <row r="822" spans="1:95" x14ac:dyDescent="0.25">
      <c r="A822" s="140" t="s">
        <v>320</v>
      </c>
      <c r="B822" t="s">
        <v>250</v>
      </c>
      <c r="C822" t="s">
        <v>623</v>
      </c>
      <c r="D822" s="4" t="s">
        <v>190</v>
      </c>
      <c r="E822" t="s">
        <v>20</v>
      </c>
      <c r="F822" t="s">
        <v>1</v>
      </c>
      <c r="G822" s="5">
        <v>36831</v>
      </c>
      <c r="H822" s="130">
        <v>-1000000</v>
      </c>
      <c r="I822" s="235">
        <v>0.5</v>
      </c>
      <c r="J822" s="53">
        <f t="shared" si="1012"/>
        <v>4.7359999999999998</v>
      </c>
      <c r="K822" s="7">
        <f t="shared" si="1013"/>
        <v>1.5449999999999999</v>
      </c>
      <c r="L822" s="53">
        <f t="shared" si="1014"/>
        <v>6.2809999999999997</v>
      </c>
      <c r="M822" s="157">
        <f t="shared" si="1015"/>
        <v>6.810675983792E-2</v>
      </c>
      <c r="N822" s="4">
        <f t="shared" si="1016"/>
        <v>0.59499999999999997</v>
      </c>
      <c r="O822" s="4">
        <f t="shared" si="1017"/>
        <v>0.57699999999999996</v>
      </c>
      <c r="P822" s="9">
        <f t="shared" si="1018"/>
        <v>0.85</v>
      </c>
      <c r="Q822" s="5">
        <f t="shared" si="980"/>
        <v>36829</v>
      </c>
      <c r="R822" s="4">
        <f t="shared" si="1019"/>
        <v>0</v>
      </c>
      <c r="S822" s="158">
        <f>_xll.xSPRDOPT($L822,$J822,$I822,$M822,$O822,$N822,$P822,$Q822-$C$3,$R822,0)</f>
        <v>2.4433062099999459E-2</v>
      </c>
      <c r="T822" s="159">
        <f>_xll.xSPRDOPT($L822,$J822,$I822,$M822,$O822,$N822,$P822,$Q822-$C$3,$R822,1)*H822</f>
        <v>66307.305113563081</v>
      </c>
      <c r="U822" s="160">
        <f t="shared" si="1020"/>
        <v>-24433.062099999457</v>
      </c>
      <c r="V822" s="159">
        <f>_xll.xSPRDOPT($L822,$J822,$I822,$M822,$O822,$N822,$P822,$Q822-$C$3,$R822,2)*H822</f>
        <v>-84769.925752474664</v>
      </c>
      <c r="W822" s="159">
        <f t="shared" si="1021"/>
        <v>-18462.620638911583</v>
      </c>
      <c r="X822" s="51" t="str">
        <f t="shared" si="1022"/>
        <v>36831NGI-SOCAL</v>
      </c>
      <c r="Y822" s="418">
        <f t="shared" si="1023"/>
        <v>-100</v>
      </c>
      <c r="Z822" s="456">
        <f t="shared" si="1024"/>
        <v>-6.6307305113563086E-2</v>
      </c>
      <c r="AA822" s="456">
        <f>_xll.xSPRDOPT($L822,$J822,$I822,$M822,$O822,$N822,$P822,$Q822-$C$3,$R822,3)</f>
        <v>0.1610178939377151</v>
      </c>
      <c r="AB822" s="456">
        <f>((_xll.xSPRDOPT($L822+AB$5,$J822,$I822,$M822,$O822,$N822,$P822,$Q822-$C$3,$R822,3)*$H822)/10000)/100</f>
        <v>-0.16101789393771507</v>
      </c>
      <c r="AC822" s="456">
        <f>((_xll.xSPRDOPT($L822+$AB$5,$J822,$I822,$M822,$O822,$N822,$P822,$Q822-$C$3,$R822,7)*$H822)/100)</f>
        <v>3364.8597266930383</v>
      </c>
      <c r="AD822" s="456">
        <f>(_xll.xSPRDOPT($L822+$AB$5,$J822,$I822,$M822,$O822,$N822,$P822,$Q822-$C$3,$R822,9)/365)*$H822</f>
        <v>822.79149624156844</v>
      </c>
      <c r="AE822">
        <f t="shared" si="972"/>
        <v>0</v>
      </c>
      <c r="AF822" s="456">
        <f t="shared" si="1025"/>
        <v>-1723.0462186991792</v>
      </c>
      <c r="AG822" s="456">
        <f>((_xll.xSPRDOPT($L822,$J822,$I822,$M822,$O822,$N822,$P822,$Q822-$C$3,$R822,6)*$H822)/100)</f>
        <v>-496.55758402431258</v>
      </c>
      <c r="AH822" s="456">
        <f>((_xll.xSPRDOPT($L822,$J822,$I822,$M822,$O822,$N822,$P822,$Q822-$C$3,$R822,5)*$H822)/100)</f>
        <v>-1264.749978564204</v>
      </c>
      <c r="AI822" s="456">
        <f>(((_xll.xSPRDOPT($L822,$J822,$I822,$M822,$O822,$N822,$P822,$Q822-$C$3,$R822,4)*$H822)/10000)/100)-AB822</f>
        <v>-7.3094668702082449E-2</v>
      </c>
      <c r="AJ822" s="456"/>
      <c r="CC822" s="141">
        <f t="shared" si="1026"/>
        <v>36923</v>
      </c>
      <c r="CD822" s="234">
        <f>_xll.xSPRDOPT((VLOOKUP(G820,NGPrices,2,FALSE)+HLOOKUP(D820,Prices,VLOOKUP(G820,move_down,2,FALSE),FALSE)),VLOOKUP(G820,NGPrices,2,FALSE),I820,VLOOKUP(G820,NGPREVPRICES,4,FALSE),HLOOKUP(D820,PREVVOLS,VLOOKUP(G820,MOVE_DOWN2,2,FALSE),FALSE),VLOOKUP(G820,NGPREVPRICES,3,FALSE),HLOOKUP(D820,Correllate,VLOOKUP(G820,CorMove,2,FALSE),FALSE),Q820-$CD$3,R820,$CD$5)*H820-CJ822</f>
        <v>0</v>
      </c>
      <c r="CE822" s="234">
        <f>_xll.xSPRDOPT((VLOOKUP(G820,NGPREVPRICES,2,FALSE)+HLOOKUP(D820,PREVCURVES,VLOOKUP(G820,MOVE_DOWN2,2,FALSE),FALSE)),VLOOKUP(G820,NGPREVPRICES,2,FALSE),CK822,VLOOKUP(G820,NGPrices,4,FALSE),HLOOKUP(D820,PREVVOLS,VLOOKUP(G820,MOVE_DOWN2,2,FALSE),FALSE),VLOOKUP(G820,NGPREVPRICES,3,FALSE),HLOOKUP(D820,Correllate,VLOOKUP(G820,CorMove,2,FALSE),FALSE),Q820-$CD$3,R820,$CJ$5)*H820-CJ822</f>
        <v>0</v>
      </c>
      <c r="CF822" s="10">
        <f t="shared" si="1027"/>
        <v>8.912617214868078</v>
      </c>
      <c r="CG822" s="234">
        <f>_xll.xSPRDOPT((VLOOKUP(G820,NGPREVPRICES,2,FALSE)+HLOOKUP(D820,PREVCURVES,VLOOKUP(G820,MOVE_DOWN2,2,FALSE),FALSE)),VLOOKUP(G820,NGPREVPRICES,2,FALSE),CK822,VLOOKUP(G820,NGPREVPRICES,4,FALSE),HLOOKUP(D820,VOLS,VLOOKUP(G820,move_down,2,FALSE),FALSE),VLOOKUP(G820,NGPrices,3,FALSE),HLOOKUP(D820,Correllate,VLOOKUP(G820,CorMove,2,FALSE),FALSE),Q820-$CD$3,R820,$CJ$5)*H820-CJ822</f>
        <v>0</v>
      </c>
      <c r="CH822" s="234">
        <f>_xll.xSPRDOPT((VLOOKUP(G820,NGPREVPRICES,2,FALSE)+HLOOKUP(D820,PREVCURVES,VLOOKUP(G820,MOVE_DOWN2,2,FALSE),FALSE)),VLOOKUP(G820,NGPREVPRICES,2,FALSE),CK822,VLOOKUP(G820,NGPREVPRICES,4,FALSE),HLOOKUP(D820,PREVVOLS,VLOOKUP(G820,MOVE_DOWN2,2,FALSE),FALSE),VLOOKUP(G820,NGPREVPRICES,3,FALSE),HLOOKUP(D820,Correllate,VLOOKUP(G820,CorMove,2,FALSE),FALSE),Q820-$C$3,R820,$CJ$5)*H820-CJ822</f>
        <v>165.84414538958663</v>
      </c>
      <c r="CI822" s="234">
        <f t="shared" si="1028"/>
        <v>174.75676260445471</v>
      </c>
      <c r="CJ822" s="234">
        <f>_xll.xSPRDOPT((VLOOKUP(G820,NGPREVPRICES,2,FALSE)+HLOOKUP(D820,PREVCURVES,VLOOKUP(G820,MOVE_DOWN2,2,FALSE),FALSE)),VLOOKUP(G820,NGPREVPRICES,2,FALSE),CK822,VLOOKUP(G820,NGPREVPRICES,4,FALSE),HLOOKUP(D820,PREVVOLS,VLOOKUP(G820,MOVE_DOWN2,2,FALSE),FALSE),VLOOKUP(G820,NGPREVPRICES,3,FALSE),HLOOKUP(D820,Correllate,VLOOKUP(G820,CorMove,2,FALSE),FALSE),Q820-$CD$3,R820,$CJ$5)*H820</f>
        <v>-46862.027995113764</v>
      </c>
      <c r="CK822" s="235">
        <f t="shared" si="1029"/>
        <v>0.5</v>
      </c>
      <c r="CM822" t="str">
        <f t="shared" si="1030"/>
        <v>36923Curve Shift/Gamma</v>
      </c>
      <c r="CN822" t="str">
        <f t="shared" si="1031"/>
        <v>36923Rho</v>
      </c>
      <c r="CO822" t="str">
        <f t="shared" si="1032"/>
        <v>36923Drift</v>
      </c>
      <c r="CP822" t="str">
        <f t="shared" si="1033"/>
        <v>36923Vega</v>
      </c>
      <c r="CQ822" t="str">
        <f t="shared" si="1034"/>
        <v>36923Theta</v>
      </c>
    </row>
    <row r="823" spans="1:95" x14ac:dyDescent="0.25">
      <c r="A823" s="140" t="s">
        <v>320</v>
      </c>
      <c r="B823" t="s">
        <v>250</v>
      </c>
      <c r="C823" t="s">
        <v>623</v>
      </c>
      <c r="D823" s="4" t="s">
        <v>190</v>
      </c>
      <c r="E823" t="s">
        <v>20</v>
      </c>
      <c r="F823" t="s">
        <v>1</v>
      </c>
      <c r="G823" s="5">
        <v>36861</v>
      </c>
      <c r="H823" s="130">
        <v>-1000000</v>
      </c>
      <c r="I823" s="235">
        <v>0.5</v>
      </c>
      <c r="J823" s="53">
        <f t="shared" si="1012"/>
        <v>4.8</v>
      </c>
      <c r="K823" s="7">
        <f t="shared" si="1013"/>
        <v>1.0049999999999999</v>
      </c>
      <c r="L823" s="53">
        <f t="shared" si="1014"/>
        <v>5.8049999999999997</v>
      </c>
      <c r="M823" s="157">
        <f t="shared" si="1015"/>
        <v>6.8314027999354002E-2</v>
      </c>
      <c r="N823" s="4">
        <f t="shared" si="1016"/>
        <v>0.6</v>
      </c>
      <c r="O823" s="4">
        <f t="shared" si="1017"/>
        <v>0.58199999999999996</v>
      </c>
      <c r="P823" s="9">
        <f t="shared" si="1018"/>
        <v>0.85</v>
      </c>
      <c r="Q823" s="5">
        <f t="shared" si="980"/>
        <v>36859</v>
      </c>
      <c r="R823" s="4">
        <f t="shared" si="1019"/>
        <v>0</v>
      </c>
      <c r="S823" s="158">
        <f>_xll.xSPRDOPT($L823,$J823,$I823,$M823,$O823,$N823,$P823,$Q823-$C$3,$R823,0)</f>
        <v>0.14702075037146284</v>
      </c>
      <c r="T823" s="159">
        <f>_xll.xSPRDOPT($L823,$J823,$I823,$M823,$O823,$N823,$P823,$Q823-$C$3,$R823,1)*H823</f>
        <v>249584.9938291992</v>
      </c>
      <c r="U823" s="160">
        <f t="shared" si="1020"/>
        <v>-147020.75037146284</v>
      </c>
      <c r="V823" s="159">
        <f>_xll.xSPRDOPT($L823,$J823,$I823,$M823,$O823,$N823,$P823,$Q823-$C$3,$R823,2)*H823</f>
        <v>-302604.35637143848</v>
      </c>
      <c r="W823" s="159">
        <f t="shared" si="1021"/>
        <v>-53019.36254223928</v>
      </c>
      <c r="X823" s="51" t="str">
        <f t="shared" si="1022"/>
        <v>36861NGI-SOCAL</v>
      </c>
      <c r="Y823" s="418">
        <f t="shared" si="1023"/>
        <v>-100</v>
      </c>
      <c r="Z823" s="456">
        <f t="shared" si="1024"/>
        <v>-0.24958499382919919</v>
      </c>
      <c r="AA823" s="456">
        <f>_xll.xSPRDOPT($L823,$J823,$I823,$M823,$O823,$N823,$P823,$Q823-$C$3,$R823,3)</f>
        <v>0.34780555227441412</v>
      </c>
      <c r="AB823" s="456">
        <f>((_xll.xSPRDOPT($L823+AB$5,$J823,$I823,$M823,$O823,$N823,$P823,$Q823-$C$3,$R823,3)*$H823)/10000)/100</f>
        <v>-0.34780555227441412</v>
      </c>
      <c r="AC823" s="456">
        <f>((_xll.xSPRDOPT($L823+$AB$5,$J823,$I823,$M823,$O823,$N823,$P823,$Q823-$C$3,$R823,7)*$H823)/100)</f>
        <v>9355.7433193893066</v>
      </c>
      <c r="AD823" s="456">
        <f>(_xll.xSPRDOPT($L823+$AB$5,$J823,$I823,$M823,$O823,$N823,$P823,$Q823-$C$3,$R823,9)/365)*$H823</f>
        <v>1525.2637184388802</v>
      </c>
      <c r="AE823">
        <f t="shared" si="972"/>
        <v>0</v>
      </c>
      <c r="AF823" s="456">
        <f t="shared" si="1025"/>
        <v>-4758.6004841340064</v>
      </c>
      <c r="AG823" s="456">
        <f>((_xll.xSPRDOPT($L823,$J823,$I823,$M823,$O823,$N823,$P823,$Q823-$C$3,$R823,6)*$H823)/100)</f>
        <v>-1346.4407907643624</v>
      </c>
      <c r="AH823" s="456">
        <f>((_xll.xSPRDOPT($L823,$J823,$I823,$M823,$O823,$N823,$P823,$Q823-$C$3,$R823,5)*$H823)/100)</f>
        <v>-3517.6904055357154</v>
      </c>
      <c r="AI823" s="456">
        <f>(((_xll.xSPRDOPT($L823,$J823,$I823,$M823,$O823,$N823,$P823,$Q823-$C$3,$R823,4)*$H823)/10000)/100)-AB823</f>
        <v>-7.1504012912005699E-2</v>
      </c>
      <c r="AJ823" s="456"/>
      <c r="CC823" s="141">
        <f t="shared" si="1026"/>
        <v>36951</v>
      </c>
      <c r="CD823" s="234">
        <f>_xll.xSPRDOPT((VLOOKUP(G821,NGPrices,2,FALSE)+HLOOKUP(D821,Prices,VLOOKUP(G821,move_down,2,FALSE),FALSE)),VLOOKUP(G821,NGPrices,2,FALSE),I821,VLOOKUP(G821,NGPREVPRICES,4,FALSE),HLOOKUP(D821,PREVVOLS,VLOOKUP(G821,MOVE_DOWN2,2,FALSE),FALSE),VLOOKUP(G821,NGPREVPRICES,3,FALSE),HLOOKUP(D821,Correllate,VLOOKUP(G821,CorMove,2,FALSE),FALSE),Q821-$CD$3,R821,$CD$5)*H821-CJ823</f>
        <v>0</v>
      </c>
      <c r="CE823" s="234">
        <f>_xll.xSPRDOPT((VLOOKUP(G821,NGPREVPRICES,2,FALSE)+HLOOKUP(D821,PREVCURVES,VLOOKUP(G821,MOVE_DOWN2,2,FALSE),FALSE)),VLOOKUP(G821,NGPREVPRICES,2,FALSE),CK823,VLOOKUP(G821,NGPrices,4,FALSE),HLOOKUP(D821,PREVVOLS,VLOOKUP(G821,MOVE_DOWN2,2,FALSE),FALSE),VLOOKUP(G821,NGPREVPRICES,3,FALSE),HLOOKUP(D821,Correllate,VLOOKUP(G821,CorMove,2,FALSE),FALSE),Q821-$CD$3,R821,$CJ$5)*H821-CJ823</f>
        <v>0</v>
      </c>
      <c r="CF823" s="10">
        <f t="shared" si="1027"/>
        <v>9.2655626268897322</v>
      </c>
      <c r="CG823" s="234">
        <f>_xll.xSPRDOPT((VLOOKUP(G821,NGPREVPRICES,2,FALSE)+HLOOKUP(D821,PREVCURVES,VLOOKUP(G821,MOVE_DOWN2,2,FALSE),FALSE)),VLOOKUP(G821,NGPREVPRICES,2,FALSE),CK823,VLOOKUP(G821,NGPREVPRICES,4,FALSE),HLOOKUP(D821,VOLS,VLOOKUP(G821,move_down,2,FALSE),FALSE),VLOOKUP(G821,NGPrices,3,FALSE),HLOOKUP(D821,Correllate,VLOOKUP(G821,CorMove,2,FALSE),FALSE),Q821-$CD$3,R821,$CJ$5)*H821-CJ823</f>
        <v>0</v>
      </c>
      <c r="CH823" s="234">
        <f>_xll.xSPRDOPT((VLOOKUP(G821,NGPREVPRICES,2,FALSE)+HLOOKUP(D821,PREVCURVES,VLOOKUP(G821,MOVE_DOWN2,2,FALSE),FALSE)),VLOOKUP(G821,NGPREVPRICES,2,FALSE),CK823,VLOOKUP(G821,NGPREVPRICES,4,FALSE),HLOOKUP(D821,PREVVOLS,VLOOKUP(G821,MOVE_DOWN2,2,FALSE),FALSE),VLOOKUP(G821,NGPREVPRICES,3,FALSE),HLOOKUP(D821,Correllate,VLOOKUP(G821,CorMove,2,FALSE),FALSE),Q821-$C$3,R821,$CJ$5)*H821-CJ823</f>
        <v>141.26781877210306</v>
      </c>
      <c r="CI823" s="234">
        <f t="shared" si="1028"/>
        <v>150.53338139899279</v>
      </c>
      <c r="CJ823" s="234">
        <f>_xll.xSPRDOPT((VLOOKUP(G821,NGPREVPRICES,2,FALSE)+HLOOKUP(D821,PREVCURVES,VLOOKUP(G821,MOVE_DOWN2,2,FALSE),FALSE)),VLOOKUP(G821,NGPREVPRICES,2,FALSE),CK823,VLOOKUP(G821,NGPREVPRICES,4,FALSE),HLOOKUP(D821,PREVVOLS,VLOOKUP(G821,MOVE_DOWN2,2,FALSE),FALSE),VLOOKUP(G821,NGPREVPRICES,3,FALSE),HLOOKUP(D821,Correllate,VLOOKUP(G821,CorMove,2,FALSE),FALSE),Q821-$CD$3,R821,$CJ$5)*H821</f>
        <v>-48312.224250617001</v>
      </c>
      <c r="CK823" s="235">
        <f t="shared" si="1029"/>
        <v>0.5</v>
      </c>
      <c r="CM823" t="str">
        <f t="shared" si="1030"/>
        <v>36951Curve Shift/Gamma</v>
      </c>
      <c r="CN823" t="str">
        <f t="shared" si="1031"/>
        <v>36951Rho</v>
      </c>
      <c r="CO823" t="str">
        <f t="shared" si="1032"/>
        <v>36951Drift</v>
      </c>
      <c r="CP823" t="str">
        <f t="shared" si="1033"/>
        <v>36951Vega</v>
      </c>
      <c r="CQ823" t="str">
        <f t="shared" si="1034"/>
        <v>36951Theta</v>
      </c>
    </row>
    <row r="824" spans="1:95" x14ac:dyDescent="0.25">
      <c r="A824" s="140" t="s">
        <v>320</v>
      </c>
      <c r="B824" t="s">
        <v>250</v>
      </c>
      <c r="C824" t="s">
        <v>623</v>
      </c>
      <c r="D824" s="4" t="s">
        <v>190</v>
      </c>
      <c r="E824" t="s">
        <v>20</v>
      </c>
      <c r="F824" t="s">
        <v>1</v>
      </c>
      <c r="G824" s="5">
        <v>36892</v>
      </c>
      <c r="H824" s="130">
        <v>-1000000</v>
      </c>
      <c r="I824" s="235">
        <v>0.5</v>
      </c>
      <c r="J824" s="53">
        <f t="shared" si="1012"/>
        <v>4.7439999999999998</v>
      </c>
      <c r="K824" s="7">
        <f t="shared" si="1013"/>
        <v>0.76749999999999996</v>
      </c>
      <c r="L824" s="53">
        <f t="shared" si="1014"/>
        <v>5.5114999999999998</v>
      </c>
      <c r="M824" s="157">
        <f t="shared" si="1015"/>
        <v>6.8374831148490994E-2</v>
      </c>
      <c r="N824" s="4">
        <f t="shared" si="1016"/>
        <v>0.60499999999999998</v>
      </c>
      <c r="O824" s="4">
        <f t="shared" si="1017"/>
        <v>0.58699999999999997</v>
      </c>
      <c r="P824" s="9">
        <f t="shared" si="1018"/>
        <v>0.85</v>
      </c>
      <c r="Q824" s="5">
        <f t="shared" si="980"/>
        <v>36888</v>
      </c>
      <c r="R824" s="4">
        <f t="shared" si="1019"/>
        <v>0</v>
      </c>
      <c r="S824" s="158">
        <f>_xll.xSPRDOPT($L824,$J824,$I824,$M824,$O824,$N824,$P824,$Q824-$C$3,$R824,0)</f>
        <v>0.26116186485696063</v>
      </c>
      <c r="T824" s="159">
        <f>_xll.xSPRDOPT($L824,$J824,$I824,$M824,$O824,$N824,$P824,$Q824-$C$3,$R824,1)*H824</f>
        <v>348913.03153475118</v>
      </c>
      <c r="U824" s="160">
        <f t="shared" si="1020"/>
        <v>-261161.86485696063</v>
      </c>
      <c r="V824" s="159">
        <f>_xll.xSPRDOPT($L824,$J824,$I824,$M824,$O824,$N824,$P824,$Q824-$C$3,$R824,2)*H824</f>
        <v>-418385.03915859316</v>
      </c>
      <c r="W824" s="159">
        <f t="shared" si="1021"/>
        <v>-69472.007623841986</v>
      </c>
      <c r="X824" s="51" t="str">
        <f t="shared" si="1022"/>
        <v>36892NGI-SOCAL</v>
      </c>
      <c r="Y824" s="418">
        <f t="shared" si="1023"/>
        <v>-100</v>
      </c>
      <c r="Z824" s="456">
        <f t="shared" si="1024"/>
        <v>-0.34891303153475117</v>
      </c>
      <c r="AA824" s="456">
        <f>_xll.xSPRDOPT($L824,$J824,$I824,$M824,$O824,$N824,$P824,$Q824-$C$3,$R824,3)</f>
        <v>0.36688953918599432</v>
      </c>
      <c r="AB824" s="456">
        <f>((_xll.xSPRDOPT($L824+AB$5,$J824,$I824,$M824,$O824,$N824,$P824,$Q824-$C$3,$R824,3)*$H824)/10000)/100</f>
        <v>-0.36688953918599432</v>
      </c>
      <c r="AC824" s="456">
        <f>((_xll.xSPRDOPT($L824+$AB$5,$J824,$I824,$M824,$O824,$N824,$P824,$Q824-$C$3,$R824,7)*$H824)/100)</f>
        <v>11870.476502679938</v>
      </c>
      <c r="AD824" s="456">
        <f>(_xll.xSPRDOPT($L824+$AB$5,$J824,$I824,$M824,$O824,$N824,$P824,$Q824-$C$3,$R824,9)/365)*$H824</f>
        <v>1452.2650460006389</v>
      </c>
      <c r="AE824">
        <f t="shared" si="972"/>
        <v>0</v>
      </c>
      <c r="AF824" s="456">
        <f t="shared" si="1025"/>
        <v>-6000.6421640828175</v>
      </c>
      <c r="AG824" s="456">
        <f>((_xll.xSPRDOPT($L824,$J824,$I824,$M824,$O824,$N824,$P824,$Q824-$C$3,$R824,6)*$H824)/100)</f>
        <v>-1650.5502902582955</v>
      </c>
      <c r="AH824" s="456">
        <f>((_xll.xSPRDOPT($L824,$J824,$I824,$M824,$O824,$N824,$P824,$Q824-$C$3,$R824,5)*$H824)/100)</f>
        <v>-4483.4848103302138</v>
      </c>
      <c r="AI824" s="456">
        <f>(((_xll.xSPRDOPT($L824,$J824,$I824,$M824,$O824,$N824,$P824,$Q824-$C$3,$R824,4)*$H824)/10000)/100)-AB824</f>
        <v>-3.9437878776588553E-2</v>
      </c>
      <c r="AJ824" s="456"/>
      <c r="CC824" s="141">
        <f t="shared" si="1026"/>
        <v>36831</v>
      </c>
      <c r="CD824" s="234">
        <f>_xll.xSPRDOPT((VLOOKUP(G822,NGPrices,2,FALSE)+HLOOKUP(D822,Prices,VLOOKUP(G822,move_down,2,FALSE),FALSE)),VLOOKUP(G822,NGPrices,2,FALSE),I822,VLOOKUP(G822,NGPREVPRICES,4,FALSE),HLOOKUP(D822,PREVVOLS,VLOOKUP(G822,MOVE_DOWN2,2,FALSE),FALSE),VLOOKUP(G822,NGPREVPRICES,3,FALSE),HLOOKUP(D822,Correllate,VLOOKUP(G822,CorMove,2,FALSE),FALSE),Q822-$CD$3,R822,$CD$5)*H822-CJ824</f>
        <v>0</v>
      </c>
      <c r="CE824" s="234">
        <f>_xll.xSPRDOPT((VLOOKUP(G822,NGPREVPRICES,2,FALSE)+HLOOKUP(D822,PREVCURVES,VLOOKUP(G822,MOVE_DOWN2,2,FALSE),FALSE)),VLOOKUP(G822,NGPREVPRICES,2,FALSE),CK824,VLOOKUP(G822,NGPrices,4,FALSE),HLOOKUP(D822,PREVVOLS,VLOOKUP(G822,MOVE_DOWN2,2,FALSE),FALSE),VLOOKUP(G822,NGPREVPRICES,3,FALSE),HLOOKUP(D822,Correllate,VLOOKUP(G822,CorMove,2,FALSE),FALSE),Q822-$CD$3,R822,$CJ$5)*H822-CJ824</f>
        <v>0</v>
      </c>
      <c r="CF824" s="10">
        <f t="shared" si="1027"/>
        <v>4.690792870514997</v>
      </c>
      <c r="CG824" s="234">
        <f>_xll.xSPRDOPT((VLOOKUP(G822,NGPREVPRICES,2,FALSE)+HLOOKUP(D822,PREVCURVES,VLOOKUP(G822,MOVE_DOWN2,2,FALSE),FALSE)),VLOOKUP(G822,NGPREVPRICES,2,FALSE),CK824,VLOOKUP(G822,NGPREVPRICES,4,FALSE),HLOOKUP(D822,VOLS,VLOOKUP(G822,move_down,2,FALSE),FALSE),VLOOKUP(G822,NGPrices,3,FALSE),HLOOKUP(D822,Correllate,VLOOKUP(G822,CorMove,2,FALSE),FALSE),Q822-$CD$3,R822,$CJ$5)*H822-CJ824</f>
        <v>0</v>
      </c>
      <c r="CH824" s="234">
        <f>_xll.xSPRDOPT((VLOOKUP(G822,NGPREVPRICES,2,FALSE)+HLOOKUP(D822,PREVCURVES,VLOOKUP(G822,MOVE_DOWN2,2,FALSE),FALSE)),VLOOKUP(G822,NGPREVPRICES,2,FALSE),CK824,VLOOKUP(G822,NGPREVPRICES,4,FALSE),HLOOKUP(D822,PREVVOLS,VLOOKUP(G822,MOVE_DOWN2,2,FALSE),FALSE),VLOOKUP(G822,NGPREVPRICES,3,FALSE),HLOOKUP(D822,Correllate,VLOOKUP(G822,CorMove,2,FALSE),FALSE),Q822-$C$3,R822,$CJ$5)*H822-CJ824</f>
        <v>825.54844601201694</v>
      </c>
      <c r="CI824" s="234">
        <f t="shared" si="1028"/>
        <v>830.23923888253194</v>
      </c>
      <c r="CJ824" s="234">
        <f>_xll.xSPRDOPT((VLOOKUP(G822,NGPREVPRICES,2,FALSE)+HLOOKUP(D822,PREVCURVES,VLOOKUP(G822,MOVE_DOWN2,2,FALSE),FALSE)),VLOOKUP(G822,NGPREVPRICES,2,FALSE),CK824,VLOOKUP(G822,NGPREVPRICES,4,FALSE),HLOOKUP(D822,PREVVOLS,VLOOKUP(G822,MOVE_DOWN2,2,FALSE),FALSE),VLOOKUP(G822,NGPREVPRICES,3,FALSE),HLOOKUP(D822,Correllate,VLOOKUP(G822,CorMove,2,FALSE),FALSE),Q822-$CD$3,R822,$CJ$5)*H822</f>
        <v>-25258.610546011474</v>
      </c>
      <c r="CK824" s="235">
        <f t="shared" si="1029"/>
        <v>0.5</v>
      </c>
      <c r="CM824" t="str">
        <f t="shared" si="1030"/>
        <v>36831Curve Shift/Gamma</v>
      </c>
      <c r="CN824" t="str">
        <f t="shared" si="1031"/>
        <v>36831Rho</v>
      </c>
      <c r="CO824" t="str">
        <f t="shared" si="1032"/>
        <v>36831Drift</v>
      </c>
      <c r="CP824" t="str">
        <f t="shared" si="1033"/>
        <v>36831Vega</v>
      </c>
      <c r="CQ824" t="str">
        <f t="shared" si="1034"/>
        <v>36831Theta</v>
      </c>
    </row>
    <row r="825" spans="1:95" x14ac:dyDescent="0.25">
      <c r="A825" s="140" t="s">
        <v>320</v>
      </c>
      <c r="B825" t="s">
        <v>250</v>
      </c>
      <c r="C825" t="s">
        <v>623</v>
      </c>
      <c r="D825" s="4" t="s">
        <v>190</v>
      </c>
      <c r="E825" t="s">
        <v>20</v>
      </c>
      <c r="F825" t="s">
        <v>1</v>
      </c>
      <c r="G825" s="5">
        <v>36923</v>
      </c>
      <c r="H825" s="130">
        <v>-1000000</v>
      </c>
      <c r="I825" s="235">
        <v>0.5</v>
      </c>
      <c r="J825" s="53">
        <f t="shared" si="1012"/>
        <v>4.4800000000000004</v>
      </c>
      <c r="K825" s="7">
        <f t="shared" si="1013"/>
        <v>0.61750000000000005</v>
      </c>
      <c r="L825" s="53">
        <f t="shared" si="1014"/>
        <v>5.0975000000000001</v>
      </c>
      <c r="M825" s="157">
        <f t="shared" si="1015"/>
        <v>6.8640161611372E-2</v>
      </c>
      <c r="N825" s="4">
        <f t="shared" si="1016"/>
        <v>0.59250000000000003</v>
      </c>
      <c r="O825" s="4">
        <f t="shared" si="1017"/>
        <v>0.57499999999999996</v>
      </c>
      <c r="P825" s="9">
        <f t="shared" si="1018"/>
        <v>0.85</v>
      </c>
      <c r="Q825" s="5">
        <f t="shared" si="980"/>
        <v>36921</v>
      </c>
      <c r="R825" s="4">
        <f t="shared" si="1019"/>
        <v>0</v>
      </c>
      <c r="S825" s="158">
        <f>_xll.xSPRDOPT($L825,$J825,$I825,$M825,$O825,$N825,$P825,$Q825-$C$3,$R825,0)</f>
        <v>0.3335441703551727</v>
      </c>
      <c r="T825" s="159">
        <f>_xll.xSPRDOPT($L825,$J825,$I825,$M825,$O825,$N825,$P825,$Q825-$C$3,$R825,1)*H825</f>
        <v>402160.5500027606</v>
      </c>
      <c r="U825" s="160">
        <f t="shared" si="1020"/>
        <v>-333544.17035517271</v>
      </c>
      <c r="V825" s="159">
        <f>_xll.xSPRDOPT($L825,$J825,$I825,$M825,$O825,$N825,$P825,$Q825-$C$3,$R825,2)*H825</f>
        <v>-480632.43665162061</v>
      </c>
      <c r="W825" s="159">
        <f t="shared" si="1021"/>
        <v>-78471.886648860003</v>
      </c>
      <c r="X825" s="51" t="str">
        <f t="shared" si="1022"/>
        <v>36923NGI-SOCAL</v>
      </c>
      <c r="Y825" s="418">
        <f t="shared" si="1023"/>
        <v>-100</v>
      </c>
      <c r="Z825" s="456">
        <f t="shared" si="1024"/>
        <v>-0.40216055000276063</v>
      </c>
      <c r="AA825" s="456">
        <f>_xll.xSPRDOPT($L825,$J825,$I825,$M825,$O825,$N825,$P825,$Q825-$C$3,$R825,3)</f>
        <v>0.37316463574058012</v>
      </c>
      <c r="AB825" s="456">
        <f>((_xll.xSPRDOPT($L825+AB$5,$J825,$I825,$M825,$O825,$N825,$P825,$Q825-$C$3,$R825,3)*$H825)/10000)/100</f>
        <v>-0.37316463574058012</v>
      </c>
      <c r="AC825" s="456">
        <f>((_xll.xSPRDOPT($L825+$AB$5,$J825,$I825,$M825,$O825,$N825,$P825,$Q825-$C$3,$R825,7)*$H825)/100)</f>
        <v>12528.456958910694</v>
      </c>
      <c r="AD825" s="456">
        <f>(_xll.xSPRDOPT($L825+$AB$5,$J825,$I825,$M825,$O825,$N825,$P825,$Q825-$C$3,$R825,9)/365)*$H825</f>
        <v>1187.6430129503776</v>
      </c>
      <c r="AE825">
        <f t="shared" si="972"/>
        <v>0</v>
      </c>
      <c r="AF825" s="456">
        <f t="shared" si="1025"/>
        <v>-6495.3530249122387</v>
      </c>
      <c r="AG825" s="456">
        <f>((_xll.xSPRDOPT($L825,$J825,$I825,$M825,$O825,$N825,$P825,$Q825-$C$3,$R825,6)*$H825)/100)</f>
        <v>-1655.1412840885762</v>
      </c>
      <c r="AH825" s="456">
        <f>((_xll.xSPRDOPT($L825,$J825,$I825,$M825,$O825,$N825,$P825,$Q825-$C$3,$R825,5)*$H825)/100)</f>
        <v>-4987.5225329356881</v>
      </c>
      <c r="AI825" s="456">
        <f>(((_xll.xSPRDOPT($L825,$J825,$I825,$M825,$O825,$N825,$P825,$Q825-$C$3,$R825,4)*$H825)/10000)/100)-AB825</f>
        <v>-1.8315003400860008E-2</v>
      </c>
      <c r="AJ825" s="456"/>
      <c r="CC825" s="141">
        <f t="shared" si="1026"/>
        <v>36861</v>
      </c>
      <c r="CD825" s="234">
        <f>_xll.xSPRDOPT((VLOOKUP(G823,NGPrices,2,FALSE)+HLOOKUP(D823,Prices,VLOOKUP(G823,move_down,2,FALSE),FALSE)),VLOOKUP(G823,NGPrices,2,FALSE),I823,VLOOKUP(G823,NGPREVPRICES,4,FALSE),HLOOKUP(D823,PREVVOLS,VLOOKUP(G823,MOVE_DOWN2,2,FALSE),FALSE),VLOOKUP(G823,NGPREVPRICES,3,FALSE),HLOOKUP(D823,Correllate,VLOOKUP(G823,CorMove,2,FALSE),FALSE),Q823-$CD$3,R823,$CD$5)*H823-CJ825</f>
        <v>0</v>
      </c>
      <c r="CE825" s="234">
        <f>_xll.xSPRDOPT((VLOOKUP(G823,NGPREVPRICES,2,FALSE)+HLOOKUP(D823,PREVCURVES,VLOOKUP(G823,MOVE_DOWN2,2,FALSE),FALSE)),VLOOKUP(G823,NGPREVPRICES,2,FALSE),CK825,VLOOKUP(G823,NGPrices,4,FALSE),HLOOKUP(D823,PREVVOLS,VLOOKUP(G823,MOVE_DOWN2,2,FALSE),FALSE),VLOOKUP(G823,NGPREVPRICES,3,FALSE),HLOOKUP(D823,Correllate,VLOOKUP(G823,CorMove,2,FALSE),FALSE),Q823-$CD$3,R823,$CJ$5)*H823-CJ825</f>
        <v>0</v>
      </c>
      <c r="CF825" s="10">
        <f t="shared" si="1027"/>
        <v>27.827533080504509</v>
      </c>
      <c r="CG825" s="234">
        <f>_xll.xSPRDOPT((VLOOKUP(G823,NGPREVPRICES,2,FALSE)+HLOOKUP(D823,PREVCURVES,VLOOKUP(G823,MOVE_DOWN2,2,FALSE),FALSE)),VLOOKUP(G823,NGPREVPRICES,2,FALSE),CK825,VLOOKUP(G823,NGPREVPRICES,4,FALSE),HLOOKUP(D823,VOLS,VLOOKUP(G823,move_down,2,FALSE),FALSE),VLOOKUP(G823,NGPrices,3,FALSE),HLOOKUP(D823,Correllate,VLOOKUP(G823,CorMove,2,FALSE),FALSE),Q823-$CD$3,R823,$CJ$5)*H823-CJ825</f>
        <v>0</v>
      </c>
      <c r="CH825" s="234">
        <f>_xll.xSPRDOPT((VLOOKUP(G823,NGPREVPRICES,2,FALSE)+HLOOKUP(D823,PREVCURVES,VLOOKUP(G823,MOVE_DOWN2,2,FALSE),FALSE)),VLOOKUP(G823,NGPREVPRICES,2,FALSE),CK825,VLOOKUP(G823,NGPREVPRICES,4,FALSE),HLOOKUP(D823,PREVVOLS,VLOOKUP(G823,MOVE_DOWN2,2,FALSE),FALSE),VLOOKUP(G823,NGPREVPRICES,3,FALSE),HLOOKUP(D823,Correllate,VLOOKUP(G823,CorMove,2,FALSE),FALSE),Q823-$C$3,R823,$CJ$5)*H823-CJ825</f>
        <v>1521.1509649209038</v>
      </c>
      <c r="CI825" s="234">
        <f t="shared" si="1028"/>
        <v>1548.9784980014083</v>
      </c>
      <c r="CJ825" s="234">
        <f>_xll.xSPRDOPT((VLOOKUP(G823,NGPREVPRICES,2,FALSE)+HLOOKUP(D823,PREVCURVES,VLOOKUP(G823,MOVE_DOWN2,2,FALSE),FALSE)),VLOOKUP(G823,NGPREVPRICES,2,FALSE),CK825,VLOOKUP(G823,NGPREVPRICES,4,FALSE),HLOOKUP(D823,PREVVOLS,VLOOKUP(G823,MOVE_DOWN2,2,FALSE),FALSE),VLOOKUP(G823,NGPREVPRICES,3,FALSE),HLOOKUP(D823,Correllate,VLOOKUP(G823,CorMove,2,FALSE),FALSE),Q823-$CD$3,R823,$CJ$5)*H823</f>
        <v>-148541.90133638374</v>
      </c>
      <c r="CK825" s="235">
        <f t="shared" si="1029"/>
        <v>0.5</v>
      </c>
      <c r="CM825" t="str">
        <f t="shared" si="1030"/>
        <v>36861Curve Shift/Gamma</v>
      </c>
      <c r="CN825" t="str">
        <f t="shared" si="1031"/>
        <v>36861Rho</v>
      </c>
      <c r="CO825" t="str">
        <f t="shared" si="1032"/>
        <v>36861Drift</v>
      </c>
      <c r="CP825" t="str">
        <f t="shared" si="1033"/>
        <v>36861Vega</v>
      </c>
      <c r="CQ825" t="str">
        <f t="shared" si="1034"/>
        <v>36861Theta</v>
      </c>
    </row>
    <row r="826" spans="1:95" x14ac:dyDescent="0.25">
      <c r="A826" s="140" t="s">
        <v>320</v>
      </c>
      <c r="B826" t="s">
        <v>250</v>
      </c>
      <c r="C826" t="s">
        <v>623</v>
      </c>
      <c r="D826" s="4" t="s">
        <v>190</v>
      </c>
      <c r="E826" t="s">
        <v>20</v>
      </c>
      <c r="F826" t="s">
        <v>1</v>
      </c>
      <c r="G826" s="5">
        <v>36951</v>
      </c>
      <c r="H826" s="130">
        <v>-1000000</v>
      </c>
      <c r="I826" s="235">
        <v>0.5</v>
      </c>
      <c r="J826" s="53">
        <f t="shared" si="1012"/>
        <v>4.2130000000000001</v>
      </c>
      <c r="K826" s="7">
        <f t="shared" si="1013"/>
        <v>0.59750000000000003</v>
      </c>
      <c r="L826" s="53">
        <f t="shared" si="1014"/>
        <v>4.8105000000000002</v>
      </c>
      <c r="M826" s="157">
        <f t="shared" si="1015"/>
        <v>6.8879814952706994E-2</v>
      </c>
      <c r="N826" s="4">
        <f t="shared" si="1016"/>
        <v>0.53249999999999997</v>
      </c>
      <c r="O826" s="4">
        <f t="shared" si="1017"/>
        <v>0.51700000000000002</v>
      </c>
      <c r="P826" s="9">
        <f t="shared" si="1018"/>
        <v>0.85</v>
      </c>
      <c r="Q826" s="5">
        <f t="shared" si="980"/>
        <v>36949</v>
      </c>
      <c r="R826" s="4">
        <f t="shared" si="1019"/>
        <v>0</v>
      </c>
      <c r="S826" s="158">
        <f>_xll.xSPRDOPT($L826,$J826,$I826,$M826,$O826,$N826,$P826,$Q826-$C$3,$R826,0)</f>
        <v>0.31078036407641868</v>
      </c>
      <c r="T826" s="159">
        <f>_xll.xSPRDOPT($L826,$J826,$I826,$M826,$O826,$N826,$P826,$Q826-$C$3,$R826,1)*H826</f>
        <v>405367.62427583715</v>
      </c>
      <c r="U826" s="160">
        <f t="shared" si="1020"/>
        <v>-310780.36407641869</v>
      </c>
      <c r="V826" s="159">
        <f>_xll.xSPRDOPT($L826,$J826,$I826,$M826,$O826,$N826,$P826,$Q826-$C$3,$R826,2)*H826</f>
        <v>-481578.26555638271</v>
      </c>
      <c r="W826" s="159">
        <f t="shared" si="1021"/>
        <v>-76210.641280545562</v>
      </c>
      <c r="X826" s="51" t="str">
        <f t="shared" si="1022"/>
        <v>36951NGI-SOCAL</v>
      </c>
      <c r="Y826" s="418">
        <f t="shared" si="1023"/>
        <v>-100</v>
      </c>
      <c r="Z826" s="456">
        <f t="shared" si="1024"/>
        <v>-0.40536762427583717</v>
      </c>
      <c r="AA826" s="456">
        <f>_xll.xSPRDOPT($L826,$J826,$I826,$M826,$O826,$N826,$P826,$Q826-$C$3,$R826,3)</f>
        <v>0.40422075409892444</v>
      </c>
      <c r="AB826" s="456">
        <f>((_xll.xSPRDOPT($L826+AB$5,$J826,$I826,$M826,$O826,$N826,$P826,$Q826-$C$3,$R826,3)*$H826)/10000)/100</f>
        <v>-0.40422075409892444</v>
      </c>
      <c r="AC826" s="456">
        <f>((_xll.xSPRDOPT($L826+$AB$5,$J826,$I826,$M826,$O826,$N826,$P826,$Q826-$C$3,$R826,7)*$H826)/100)</f>
        <v>11468.506017027459</v>
      </c>
      <c r="AD826" s="456">
        <f>(_xll.xSPRDOPT($L826+$AB$5,$J826,$I826,$M826,$O826,$N826,$P826,$Q826-$C$3,$R826,9)/365)*$H826</f>
        <v>913.52709088646623</v>
      </c>
      <c r="AE826">
        <f t="shared" si="972"/>
        <v>0</v>
      </c>
      <c r="AF826" s="456">
        <f t="shared" si="1025"/>
        <v>-6640.92944927608</v>
      </c>
      <c r="AG826" s="456">
        <f>((_xll.xSPRDOPT($L826,$J826,$I826,$M826,$O826,$N826,$P826,$Q826-$C$3,$R826,6)*$H826)/100)</f>
        <v>-1551.4740570998072</v>
      </c>
      <c r="AH826" s="456">
        <f>((_xll.xSPRDOPT($L826,$J826,$I826,$M826,$O826,$N826,$P826,$Q826-$C$3,$R826,5)*$H826)/100)</f>
        <v>-5242.0406118643423</v>
      </c>
      <c r="AI826" s="456">
        <f>(((_xll.xSPRDOPT($L826,$J826,$I826,$M826,$O826,$N826,$P826,$Q826-$C$3,$R826,4)*$H826)/10000)/100)-AB826</f>
        <v>-1.7427414003836184E-2</v>
      </c>
      <c r="AJ826" s="456"/>
      <c r="CC826" s="141">
        <f t="shared" si="1026"/>
        <v>36892</v>
      </c>
      <c r="CD826" s="234">
        <f>_xll.xSPRDOPT((VLOOKUP(G824,NGPrices,2,FALSE)+HLOOKUP(D824,Prices,VLOOKUP(G824,move_down,2,FALSE),FALSE)),VLOOKUP(G824,NGPrices,2,FALSE),I824,VLOOKUP(G824,NGPREVPRICES,4,FALSE),HLOOKUP(D824,PREVVOLS,VLOOKUP(G824,MOVE_DOWN2,2,FALSE),FALSE),VLOOKUP(G824,NGPREVPRICES,3,FALSE),HLOOKUP(D824,Correllate,VLOOKUP(G824,CorMove,2,FALSE),FALSE),Q824-$CD$3,R824,$CD$5)*H824-CJ826</f>
        <v>0</v>
      </c>
      <c r="CE826" s="234">
        <f>_xll.xSPRDOPT((VLOOKUP(G824,NGPREVPRICES,2,FALSE)+HLOOKUP(D824,PREVCURVES,VLOOKUP(G824,MOVE_DOWN2,2,FALSE),FALSE)),VLOOKUP(G824,NGPREVPRICES,2,FALSE),CK826,VLOOKUP(G824,NGPrices,4,FALSE),HLOOKUP(D824,PREVVOLS,VLOOKUP(G824,MOVE_DOWN2,2,FALSE),FALSE),VLOOKUP(G824,NGPREVPRICES,3,FALSE),HLOOKUP(D824,Correllate,VLOOKUP(G824,CorMove,2,FALSE),FALSE),Q824-$CD$3,R824,$CJ$5)*H824-CJ826</f>
        <v>0</v>
      </c>
      <c r="CF826" s="10">
        <f t="shared" si="1027"/>
        <v>49.486533706309274</v>
      </c>
      <c r="CG826" s="234">
        <f>_xll.xSPRDOPT((VLOOKUP(G824,NGPREVPRICES,2,FALSE)+HLOOKUP(D824,PREVCURVES,VLOOKUP(G824,MOVE_DOWN2,2,FALSE),FALSE)),VLOOKUP(G824,NGPREVPRICES,2,FALSE),CK826,VLOOKUP(G824,NGPREVPRICES,4,FALSE),HLOOKUP(D824,VOLS,VLOOKUP(G824,move_down,2,FALSE),FALSE),VLOOKUP(G824,NGPrices,3,FALSE),HLOOKUP(D824,Correllate,VLOOKUP(G824,CorMove,2,FALSE),FALSE),Q824-$CD$3,R824,$CJ$5)*H824-CJ826</f>
        <v>0</v>
      </c>
      <c r="CH826" s="234">
        <f>_xll.xSPRDOPT((VLOOKUP(G824,NGPREVPRICES,2,FALSE)+HLOOKUP(D824,PREVCURVES,VLOOKUP(G824,MOVE_DOWN2,2,FALSE),FALSE)),VLOOKUP(G824,NGPREVPRICES,2,FALSE),CK826,VLOOKUP(G824,NGPREVPRICES,4,FALSE),HLOOKUP(D824,PREVVOLS,VLOOKUP(G824,MOVE_DOWN2,2,FALSE),FALSE),VLOOKUP(G824,NGPREVPRICES,3,FALSE),HLOOKUP(D824,Correllate,VLOOKUP(G824,CorMove,2,FALSE),FALSE),Q824-$C$3,R824,$CJ$5)*H824-CJ826</f>
        <v>1448.1329290736758</v>
      </c>
      <c r="CI826" s="234">
        <f t="shared" si="1028"/>
        <v>1497.619462779985</v>
      </c>
      <c r="CJ826" s="234">
        <f>_xll.xSPRDOPT((VLOOKUP(G824,NGPREVPRICES,2,FALSE)+HLOOKUP(D824,PREVCURVES,VLOOKUP(G824,MOVE_DOWN2,2,FALSE),FALSE)),VLOOKUP(G824,NGPREVPRICES,2,FALSE),CK826,VLOOKUP(G824,NGPREVPRICES,4,FALSE),HLOOKUP(D824,PREVVOLS,VLOOKUP(G824,MOVE_DOWN2,2,FALSE),FALSE),VLOOKUP(G824,NGPREVPRICES,3,FALSE),HLOOKUP(D824,Correllate,VLOOKUP(G824,CorMove,2,FALSE),FALSE),Q824-$CD$3,R824,$CJ$5)*H824</f>
        <v>-262609.99778603431</v>
      </c>
      <c r="CK826" s="235">
        <f t="shared" si="1029"/>
        <v>0.5</v>
      </c>
      <c r="CM826" t="str">
        <f t="shared" si="1030"/>
        <v>36892Curve Shift/Gamma</v>
      </c>
      <c r="CN826" t="str">
        <f t="shared" si="1031"/>
        <v>36892Rho</v>
      </c>
      <c r="CO826" t="str">
        <f t="shared" si="1032"/>
        <v>36892Drift</v>
      </c>
      <c r="CP826" t="str">
        <f t="shared" si="1033"/>
        <v>36892Vega</v>
      </c>
      <c r="CQ826" t="str">
        <f t="shared" si="1034"/>
        <v>36892Theta</v>
      </c>
    </row>
    <row r="827" spans="1:95" x14ac:dyDescent="0.25">
      <c r="A827" s="140" t="s">
        <v>624</v>
      </c>
      <c r="B827" t="s">
        <v>250</v>
      </c>
      <c r="C827" t="s">
        <v>633</v>
      </c>
      <c r="D827" s="4" t="s">
        <v>617</v>
      </c>
      <c r="E827" t="s">
        <v>20</v>
      </c>
      <c r="F827" t="s">
        <v>21</v>
      </c>
      <c r="G827" s="5">
        <v>36831</v>
      </c>
      <c r="H827" s="130">
        <v>2500000</v>
      </c>
      <c r="I827" s="235">
        <v>0.15</v>
      </c>
      <c r="J827" s="53">
        <f t="shared" si="1012"/>
        <v>4.7359999999999998</v>
      </c>
      <c r="K827" s="7">
        <f t="shared" si="1013"/>
        <v>-0.17499999999999999</v>
      </c>
      <c r="L827" s="53">
        <f t="shared" si="1014"/>
        <v>4.5609999999999999</v>
      </c>
      <c r="M827" s="157">
        <f t="shared" si="1015"/>
        <v>6.810675983792E-2</v>
      </c>
      <c r="N827" s="4">
        <f t="shared" si="1016"/>
        <v>0.59499999999999997</v>
      </c>
      <c r="O827" s="4">
        <f t="shared" si="1017"/>
        <v>0.60699999999999998</v>
      </c>
      <c r="P827" s="9">
        <f t="shared" si="1018"/>
        <v>0.93</v>
      </c>
      <c r="Q827" s="5">
        <f t="shared" si="980"/>
        <v>36829</v>
      </c>
      <c r="R827" s="4">
        <f t="shared" si="1019"/>
        <v>1</v>
      </c>
      <c r="S827" s="158">
        <f>_xll.xSPRDOPT($L827,$J827,$I827,$M827,$O827,$N827,$P827,$Q827-$C$3,$R827,0)</f>
        <v>5.6547899036197474E-2</v>
      </c>
      <c r="T827" s="159">
        <f>_xll.xSPRDOPT($L827,$J827,$I827,$M827,$O827,$N827,$P827,$Q827-$C$3,$R827,1)*H827</f>
        <v>596739.80997400987</v>
      </c>
      <c r="U827" s="160">
        <f t="shared" si="1020"/>
        <v>141369.74759049367</v>
      </c>
      <c r="V827" s="159">
        <f>_xll.xSPRDOPT($L827,$J827,$I827,$M827,$O827,$N827,$P827,$Q827-$C$3,$R827,2)*H827</f>
        <v>-527832.20813887706</v>
      </c>
      <c r="W827" s="159">
        <f t="shared" si="1021"/>
        <v>68907.601835132809</v>
      </c>
      <c r="X827" s="51" t="str">
        <f t="shared" si="1022"/>
        <v>36831IF-NTHWST/CANBR</v>
      </c>
      <c r="Y827" s="418">
        <f t="shared" si="1023"/>
        <v>250</v>
      </c>
      <c r="Z827" s="456">
        <f t="shared" si="1024"/>
        <v>0.23869592398960396</v>
      </c>
      <c r="AA827" s="456">
        <f>_xll.xSPRDOPT($L827,$J827,$I827,$M827,$O827,$N827,$P827,$Q827-$C$3,$R827,3)</f>
        <v>0.73427214009958863</v>
      </c>
      <c r="AB827" s="456">
        <f>((_xll.xSPRDOPT($L827+AB$5,$J827,$I827,$M827,$O827,$N827,$P827,$Q827-$C$3,$R827,3)*$H827)/10000)/100</f>
        <v>1.8356803502489714</v>
      </c>
      <c r="AC827" s="456">
        <f>((_xll.xSPRDOPT($L827+$AB$5,$J827,$I827,$M827,$O827,$N827,$P827,$Q827-$C$3,$R827,7)*$H827)/100)</f>
        <v>-22685.518206992452</v>
      </c>
      <c r="AD827" s="456">
        <f>(_xll.xSPRDOPT($L827+$AB$5,$J827,$I827,$M827,$O827,$N827,$P827,$Q827-$C$3,$R827,9)/365)*$H827</f>
        <v>-2586.1503040811303</v>
      </c>
      <c r="AE827">
        <f t="shared" si="972"/>
        <v>0</v>
      </c>
      <c r="AF827" s="456">
        <f t="shared" si="1025"/>
        <v>5440.8716702253714</v>
      </c>
      <c r="AG827" s="456">
        <f>((_xll.xSPRDOPT($L827,$J827,$I827,$M827,$O827,$N827,$P827,$Q827-$C$3,$R827,6)*$H827)/100)</f>
        <v>758.48950610297629</v>
      </c>
      <c r="AH827" s="456">
        <f>((_xll.xSPRDOPT($L827,$J827,$I827,$M827,$O827,$N827,$P827,$Q827-$C$3,$R827,5)*$H827)/100)</f>
        <v>4589.8144771875204</v>
      </c>
      <c r="AI827" s="456">
        <f>(((_xll.xSPRDOPT($L827,$J827,$I827,$M827,$O827,$N827,$P827,$Q827-$C$3,$R827,4)*$H827)/10000)/100)-AB827</f>
        <v>-0.23699929525498642</v>
      </c>
      <c r="AJ827" s="456"/>
      <c r="CC827" s="141">
        <f t="shared" si="1026"/>
        <v>36923</v>
      </c>
      <c r="CD827" s="234">
        <f>_xll.xSPRDOPT((VLOOKUP(G825,NGPrices,2,FALSE)+HLOOKUP(D825,Prices,VLOOKUP(G825,move_down,2,FALSE),FALSE)),VLOOKUP(G825,NGPrices,2,FALSE),I825,VLOOKUP(G825,NGPREVPRICES,4,FALSE),HLOOKUP(D825,PREVVOLS,VLOOKUP(G825,MOVE_DOWN2,2,FALSE),FALSE),VLOOKUP(G825,NGPREVPRICES,3,FALSE),HLOOKUP(D825,Correllate,VLOOKUP(G825,CorMove,2,FALSE),FALSE),Q825-$CD$3,R825,$CD$5)*H825-CJ827</f>
        <v>0</v>
      </c>
      <c r="CE827" s="234">
        <f>_xll.xSPRDOPT((VLOOKUP(G825,NGPREVPRICES,2,FALSE)+HLOOKUP(D825,PREVCURVES,VLOOKUP(G825,MOVE_DOWN2,2,FALSE),FALSE)),VLOOKUP(G825,NGPREVPRICES,2,FALSE),CK827,VLOOKUP(G825,NGPrices,4,FALSE),HLOOKUP(D825,PREVVOLS,VLOOKUP(G825,MOVE_DOWN2,2,FALSE),FALSE),VLOOKUP(G825,NGPREVPRICES,3,FALSE),HLOOKUP(D825,Correllate,VLOOKUP(G825,CorMove,2,FALSE),FALSE),Q825-$CD$3,R825,$CJ$5)*H825-CJ827</f>
        <v>0</v>
      </c>
      <c r="CF827" s="10">
        <f t="shared" si="1027"/>
        <v>63.661551534780301</v>
      </c>
      <c r="CG827" s="234">
        <f>_xll.xSPRDOPT((VLOOKUP(G825,NGPREVPRICES,2,FALSE)+HLOOKUP(D825,PREVCURVES,VLOOKUP(G825,MOVE_DOWN2,2,FALSE),FALSE)),VLOOKUP(G825,NGPREVPRICES,2,FALSE),CK827,VLOOKUP(G825,NGPREVPRICES,4,FALSE),HLOOKUP(D825,VOLS,VLOOKUP(G825,move_down,2,FALSE),FALSE),VLOOKUP(G825,NGPrices,3,FALSE),HLOOKUP(D825,Correllate,VLOOKUP(G825,CorMove,2,FALSE),FALSE),Q825-$CD$3,R825,$CJ$5)*H825-CJ827</f>
        <v>0</v>
      </c>
      <c r="CH827" s="234">
        <f>_xll.xSPRDOPT((VLOOKUP(G825,NGPREVPRICES,2,FALSE)+HLOOKUP(D825,PREVCURVES,VLOOKUP(G825,MOVE_DOWN2,2,FALSE),FALSE)),VLOOKUP(G825,NGPREVPRICES,2,FALSE),CK827,VLOOKUP(G825,NGPREVPRICES,4,FALSE),HLOOKUP(D825,PREVVOLS,VLOOKUP(G825,MOVE_DOWN2,2,FALSE),FALSE),VLOOKUP(G825,NGPREVPRICES,3,FALSE),HLOOKUP(D825,Correllate,VLOOKUP(G825,CorMove,2,FALSE),FALSE),Q825-$C$3,R825,$CJ$5)*H825-CJ827</f>
        <v>1184.6010384970577</v>
      </c>
      <c r="CI827" s="234">
        <f t="shared" si="1028"/>
        <v>1248.262590031838</v>
      </c>
      <c r="CJ827" s="234">
        <f>_xll.xSPRDOPT((VLOOKUP(G825,NGPREVPRICES,2,FALSE)+HLOOKUP(D825,PREVCURVES,VLOOKUP(G825,MOVE_DOWN2,2,FALSE),FALSE)),VLOOKUP(G825,NGPREVPRICES,2,FALSE),CK827,VLOOKUP(G825,NGPREVPRICES,4,FALSE),HLOOKUP(D825,PREVVOLS,VLOOKUP(G825,MOVE_DOWN2,2,FALSE),FALSE),VLOOKUP(G825,NGPREVPRICES,3,FALSE),HLOOKUP(D825,Correllate,VLOOKUP(G825,CorMove,2,FALSE),FALSE),Q825-$CD$3,R825,$CJ$5)*H825</f>
        <v>-334728.77139366977</v>
      </c>
      <c r="CK827" s="235">
        <f t="shared" si="1029"/>
        <v>0.5</v>
      </c>
      <c r="CM827" t="str">
        <f t="shared" si="1030"/>
        <v>36923Curve Shift/Gamma</v>
      </c>
      <c r="CN827" t="str">
        <f t="shared" si="1031"/>
        <v>36923Rho</v>
      </c>
      <c r="CO827" t="str">
        <f t="shared" si="1032"/>
        <v>36923Drift</v>
      </c>
      <c r="CP827" t="str">
        <f t="shared" si="1033"/>
        <v>36923Vega</v>
      </c>
      <c r="CQ827" t="str">
        <f t="shared" si="1034"/>
        <v>36923Theta</v>
      </c>
    </row>
    <row r="828" spans="1:95" x14ac:dyDescent="0.25">
      <c r="A828" s="140" t="s">
        <v>624</v>
      </c>
      <c r="B828" t="s">
        <v>250</v>
      </c>
      <c r="C828" t="s">
        <v>633</v>
      </c>
      <c r="D828" s="4" t="s">
        <v>617</v>
      </c>
      <c r="E828" t="s">
        <v>20</v>
      </c>
      <c r="F828" t="s">
        <v>21</v>
      </c>
      <c r="G828" s="5">
        <v>36861</v>
      </c>
      <c r="H828" s="130">
        <v>2500000</v>
      </c>
      <c r="I828" s="235">
        <v>0.15</v>
      </c>
      <c r="J828" s="53">
        <f t="shared" si="1012"/>
        <v>4.8</v>
      </c>
      <c r="K828" s="7">
        <f t="shared" si="1013"/>
        <v>0.53</v>
      </c>
      <c r="L828" s="53">
        <f t="shared" si="1014"/>
        <v>5.33</v>
      </c>
      <c r="M828" s="157">
        <f t="shared" si="1015"/>
        <v>6.8314027999354002E-2</v>
      </c>
      <c r="N828" s="4">
        <f t="shared" si="1016"/>
        <v>0.6</v>
      </c>
      <c r="O828" s="4">
        <f t="shared" si="1017"/>
        <v>0.61199999999999999</v>
      </c>
      <c r="P828" s="9">
        <f t="shared" si="1018"/>
        <v>0.93</v>
      </c>
      <c r="Q828" s="5">
        <f t="shared" si="980"/>
        <v>36859</v>
      </c>
      <c r="R828" s="4">
        <f t="shared" si="1019"/>
        <v>1</v>
      </c>
      <c r="S828" s="158">
        <f>_xll.xSPRDOPT($L828,$J828,$I828,$M828,$O828,$N828,$P828,$Q828-$C$3,$R828,0)</f>
        <v>0.46156696068504077</v>
      </c>
      <c r="T828" s="159">
        <f>_xll.xSPRDOPT($L828,$J828,$I828,$M828,$O828,$N828,$P828,$Q828-$C$3,$R828,1)*H828</f>
        <v>1870857.35876759</v>
      </c>
      <c r="U828" s="160">
        <f t="shared" si="1020"/>
        <v>1153917.401712602</v>
      </c>
      <c r="V828" s="159">
        <f>_xll.xSPRDOPT($L828,$J828,$I828,$M828,$O828,$N828,$P828,$Q828-$C$3,$R828,2)*H828</f>
        <v>-1780965.5391917652</v>
      </c>
      <c r="W828" s="159">
        <f t="shared" si="1021"/>
        <v>89891.819575824775</v>
      </c>
      <c r="X828" s="51" t="str">
        <f t="shared" si="1022"/>
        <v>36861IF-NTHWST/CANBR</v>
      </c>
      <c r="Y828" s="418">
        <f t="shared" si="1023"/>
        <v>250</v>
      </c>
      <c r="Z828" s="456">
        <f t="shared" si="1024"/>
        <v>0.74834294350703601</v>
      </c>
      <c r="AA828" s="456">
        <f>_xll.xSPRDOPT($L828,$J828,$I828,$M828,$O828,$N828,$P828,$Q828-$C$3,$R828,3)</f>
        <v>0.50538210278571072</v>
      </c>
      <c r="AB828" s="456">
        <f>((_xll.xSPRDOPT($L828+AB$5,$J828,$I828,$M828,$O828,$N828,$P828,$Q828-$C$3,$R828,3)*$H828)/10000)/100</f>
        <v>1.2634552569642767</v>
      </c>
      <c r="AC828" s="456">
        <f>((_xll.xSPRDOPT($L828+$AB$5,$J828,$I828,$M828,$O828,$N828,$P828,$Q828-$C$3,$R828,7)*$H828)/100)</f>
        <v>-32201.479083643317</v>
      </c>
      <c r="AD828" s="456">
        <f>(_xll.xSPRDOPT($L828+$AB$5,$J828,$I828,$M828,$O828,$N828,$P828,$Q828-$C$3,$R828,9)/365)*$H828</f>
        <v>-2281.5579583944441</v>
      </c>
      <c r="AE828">
        <f t="shared" si="972"/>
        <v>0</v>
      </c>
      <c r="AF828" s="456">
        <f t="shared" si="1025"/>
        <v>7653.8407838216617</v>
      </c>
      <c r="AG828" s="456">
        <f>((_xll.xSPRDOPT($L828,$J828,$I828,$M828,$O828,$N828,$P828,$Q828-$C$3,$R828,6)*$H828)/100)</f>
        <v>1128.8462842161707</v>
      </c>
      <c r="AH828" s="456">
        <f>((_xll.xSPRDOPT($L828,$J828,$I828,$M828,$O828,$N828,$P828,$Q828-$C$3,$R828,5)*$H828)/100)</f>
        <v>6397.0534309857758</v>
      </c>
      <c r="AI828" s="456">
        <f>(((_xll.xSPRDOPT($L828,$J828,$I828,$M828,$O828,$N828,$P828,$Q828-$C$3,$R828,4)*$H828)/10000)/100)-AB828</f>
        <v>0.20238609234720517</v>
      </c>
      <c r="AJ828" s="456"/>
      <c r="CC828" s="141">
        <f t="shared" si="1026"/>
        <v>36951</v>
      </c>
      <c r="CD828" s="234">
        <f>_xll.xSPRDOPT((VLOOKUP(G826,NGPrices,2,FALSE)+HLOOKUP(D826,Prices,VLOOKUP(G826,move_down,2,FALSE),FALSE)),VLOOKUP(G826,NGPrices,2,FALSE),I826,VLOOKUP(G826,NGPREVPRICES,4,FALSE),HLOOKUP(D826,PREVVOLS,VLOOKUP(G826,MOVE_DOWN2,2,FALSE),FALSE),VLOOKUP(G826,NGPREVPRICES,3,FALSE),HLOOKUP(D826,Correllate,VLOOKUP(G826,CorMove,2,FALSE),FALSE),Q826-$CD$3,R826,$CD$5)*H826-CJ828</f>
        <v>0</v>
      </c>
      <c r="CE828" s="234">
        <f>_xll.xSPRDOPT((VLOOKUP(G826,NGPREVPRICES,2,FALSE)+HLOOKUP(D826,PREVCURVES,VLOOKUP(G826,MOVE_DOWN2,2,FALSE),FALSE)),VLOOKUP(G826,NGPREVPRICES,2,FALSE),CK828,VLOOKUP(G826,NGPrices,4,FALSE),HLOOKUP(D826,PREVVOLS,VLOOKUP(G826,MOVE_DOWN2,2,FALSE),FALSE),VLOOKUP(G826,NGPREVPRICES,3,FALSE),HLOOKUP(D826,Correllate,VLOOKUP(G826,CorMove,2,FALSE),FALSE),Q826-$CD$3,R826,$CJ$5)*H826-CJ828</f>
        <v>0</v>
      </c>
      <c r="CF828" s="10">
        <f t="shared" si="1027"/>
        <v>59.777823399286717</v>
      </c>
      <c r="CG828" s="234">
        <f>_xll.xSPRDOPT((VLOOKUP(G826,NGPREVPRICES,2,FALSE)+HLOOKUP(D826,PREVCURVES,VLOOKUP(G826,MOVE_DOWN2,2,FALSE),FALSE)),VLOOKUP(G826,NGPREVPRICES,2,FALSE),CK828,VLOOKUP(G826,NGPREVPRICES,4,FALSE),HLOOKUP(D826,VOLS,VLOOKUP(G826,move_down,2,FALSE),FALSE),VLOOKUP(G826,NGPrices,3,FALSE),HLOOKUP(D826,Correllate,VLOOKUP(G826,CorMove,2,FALSE),FALSE),Q826-$CD$3,R826,$CJ$5)*H826-CJ828</f>
        <v>0</v>
      </c>
      <c r="CH828" s="234">
        <f>_xll.xSPRDOPT((VLOOKUP(G826,NGPREVPRICES,2,FALSE)+HLOOKUP(D826,PREVCURVES,VLOOKUP(G826,MOVE_DOWN2,2,FALSE),FALSE)),VLOOKUP(G826,NGPREVPRICES,2,FALSE),CK828,VLOOKUP(G826,NGPREVPRICES,4,FALSE),HLOOKUP(D826,PREVVOLS,VLOOKUP(G826,MOVE_DOWN2,2,FALSE),FALSE),VLOOKUP(G826,NGPREVPRICES,3,FALSE),HLOOKUP(D826,Correllate,VLOOKUP(G826,CorMove,2,FALSE),FALSE),Q826-$C$3,R826,$CJ$5)*H826-CJ828</f>
        <v>911.40528240066487</v>
      </c>
      <c r="CI828" s="234">
        <f t="shared" si="1028"/>
        <v>971.18310579995159</v>
      </c>
      <c r="CJ828" s="234">
        <f>_xll.xSPRDOPT((VLOOKUP(G826,NGPREVPRICES,2,FALSE)+HLOOKUP(D826,PREVCURVES,VLOOKUP(G826,MOVE_DOWN2,2,FALSE),FALSE)),VLOOKUP(G826,NGPREVPRICES,2,FALSE),CK828,VLOOKUP(G826,NGPREVPRICES,4,FALSE),HLOOKUP(D826,PREVVOLS,VLOOKUP(G826,MOVE_DOWN2,2,FALSE),FALSE),VLOOKUP(G826,NGPREVPRICES,3,FALSE),HLOOKUP(D826,Correllate,VLOOKUP(G826,CorMove,2,FALSE),FALSE),Q826-$CD$3,R826,$CJ$5)*H826</f>
        <v>-311691.76935881935</v>
      </c>
      <c r="CK828" s="235">
        <f t="shared" si="1029"/>
        <v>0.5</v>
      </c>
      <c r="CM828" t="str">
        <f t="shared" si="1030"/>
        <v>36951Curve Shift/Gamma</v>
      </c>
      <c r="CN828" t="str">
        <f t="shared" si="1031"/>
        <v>36951Rho</v>
      </c>
      <c r="CO828" t="str">
        <f t="shared" si="1032"/>
        <v>36951Drift</v>
      </c>
      <c r="CP828" t="str">
        <f t="shared" si="1033"/>
        <v>36951Vega</v>
      </c>
      <c r="CQ828" t="str">
        <f t="shared" si="1034"/>
        <v>36951Theta</v>
      </c>
    </row>
    <row r="829" spans="1:95" x14ac:dyDescent="0.25">
      <c r="A829" s="140" t="s">
        <v>624</v>
      </c>
      <c r="B829" t="s">
        <v>250</v>
      </c>
      <c r="C829" t="s">
        <v>633</v>
      </c>
      <c r="D829" s="4" t="s">
        <v>617</v>
      </c>
      <c r="E829" t="s">
        <v>20</v>
      </c>
      <c r="F829" t="s">
        <v>21</v>
      </c>
      <c r="G829" s="5">
        <v>36892</v>
      </c>
      <c r="H829" s="130">
        <v>2500000</v>
      </c>
      <c r="I829" s="235">
        <v>0.15</v>
      </c>
      <c r="J829" s="53">
        <f t="shared" si="1012"/>
        <v>4.7439999999999998</v>
      </c>
      <c r="K829" s="7">
        <f t="shared" si="1013"/>
        <v>0.53</v>
      </c>
      <c r="L829" s="53">
        <f t="shared" si="1014"/>
        <v>5.274</v>
      </c>
      <c r="M829" s="157">
        <f t="shared" si="1015"/>
        <v>6.8374831148490994E-2</v>
      </c>
      <c r="N829" s="4">
        <f t="shared" si="1016"/>
        <v>0.60499999999999998</v>
      </c>
      <c r="O829" s="4">
        <f t="shared" si="1017"/>
        <v>0.61699999999999999</v>
      </c>
      <c r="P829" s="9">
        <f t="shared" si="1018"/>
        <v>0.93</v>
      </c>
      <c r="Q829" s="5">
        <f t="shared" si="980"/>
        <v>36888</v>
      </c>
      <c r="R829" s="4">
        <f t="shared" si="1019"/>
        <v>1</v>
      </c>
      <c r="S829" s="158">
        <f>_xll.xSPRDOPT($L829,$J829,$I829,$M829,$O829,$N829,$P829,$Q829-$C$3,$R829,0)</f>
        <v>0.48599881448581844</v>
      </c>
      <c r="T829" s="159">
        <f>_xll.xSPRDOPT($L829,$J829,$I829,$M829,$O829,$N829,$P829,$Q829-$C$3,$R829,1)*H829</f>
        <v>1803762.7110812385</v>
      </c>
      <c r="U829" s="160">
        <f t="shared" si="1020"/>
        <v>1214997.0362145461</v>
      </c>
      <c r="V829" s="159">
        <f>_xll.xSPRDOPT($L829,$J829,$I829,$M829,$O829,$N829,$P829,$Q829-$C$3,$R829,2)*H829</f>
        <v>-1695083.9781472173</v>
      </c>
      <c r="W829" s="159">
        <f t="shared" si="1021"/>
        <v>108678.73293402116</v>
      </c>
      <c r="X829" s="51" t="str">
        <f t="shared" si="1022"/>
        <v>36892IF-NTHWST/CANBR</v>
      </c>
      <c r="Y829" s="418">
        <f t="shared" si="1023"/>
        <v>250</v>
      </c>
      <c r="Z829" s="456">
        <f t="shared" si="1024"/>
        <v>0.72150508443249539</v>
      </c>
      <c r="AA829" s="456">
        <f>_xll.xSPRDOPT($L829,$J829,$I829,$M829,$O829,$N829,$P829,$Q829-$C$3,$R829,3)</f>
        <v>0.46158545690021913</v>
      </c>
      <c r="AB829" s="456">
        <f>((_xll.xSPRDOPT($L829+AB$5,$J829,$I829,$M829,$O829,$N829,$P829,$Q829-$C$3,$R829,3)*$H829)/10000)/100</f>
        <v>1.1539636422505479</v>
      </c>
      <c r="AC829" s="456">
        <f>((_xll.xSPRDOPT($L829+$AB$5,$J829,$I829,$M829,$O829,$N829,$P829,$Q829-$C$3,$R829,7)*$H829)/100)</f>
        <v>-38486.341697028445</v>
      </c>
      <c r="AD829" s="456">
        <f>(_xll.xSPRDOPT($L829+$AB$5,$J829,$I829,$M829,$O829,$N829,$P829,$Q829-$C$3,$R829,9)/365)*$H829</f>
        <v>-2042.8081208164499</v>
      </c>
      <c r="AE829">
        <f t="shared" si="972"/>
        <v>0</v>
      </c>
      <c r="AF829" s="456">
        <f t="shared" si="1025"/>
        <v>9075.4297175691245</v>
      </c>
      <c r="AG829" s="456">
        <f>((_xll.xSPRDOPT($L829,$J829,$I829,$M829,$O829,$N829,$P829,$Q829-$C$3,$R829,6)*$H829)/100)</f>
        <v>1327.2920184624852</v>
      </c>
      <c r="AH829" s="456">
        <f>((_xll.xSPRDOPT($L829,$J829,$I829,$M829,$O829,$N829,$P829,$Q829-$C$3,$R829,5)*$H829)/100)</f>
        <v>7597.4445834027829</v>
      </c>
      <c r="AI829" s="456">
        <f>(((_xll.xSPRDOPT($L829,$J829,$I829,$M829,$O829,$N829,$P829,$Q829-$C$3,$R829,4)*$H829)/10000)/100)-AB829</f>
        <v>0.18703882430966878</v>
      </c>
      <c r="AJ829" s="456"/>
      <c r="CC829" s="141">
        <f t="shared" si="1026"/>
        <v>36831</v>
      </c>
      <c r="CD829" s="234">
        <f>_xll.xSPRDOPT((VLOOKUP(G827,NGPrices,2,FALSE)+HLOOKUP(D827,Prices,VLOOKUP(G827,move_down,2,FALSE),FALSE)),VLOOKUP(G827,NGPrices,2,FALSE),I827,VLOOKUP(G827,NGPREVPRICES,4,FALSE),HLOOKUP(D827,PREVVOLS,VLOOKUP(G827,MOVE_DOWN2,2,FALSE),FALSE),VLOOKUP(G827,NGPREVPRICES,3,FALSE),HLOOKUP(D827,Correllate,VLOOKUP(G827,CorMove,2,FALSE),FALSE),Q827-$CD$3,R827,$CD$5)*H827-CJ829</f>
        <v>0</v>
      </c>
      <c r="CE829" s="234">
        <f>_xll.xSPRDOPT((VLOOKUP(G827,NGPREVPRICES,2,FALSE)+HLOOKUP(D827,PREVCURVES,VLOOKUP(G827,MOVE_DOWN2,2,FALSE),FALSE)),VLOOKUP(G827,NGPREVPRICES,2,FALSE),CK829,VLOOKUP(G827,NGPrices,4,FALSE),HLOOKUP(D827,PREVVOLS,VLOOKUP(G827,MOVE_DOWN2,2,FALSE),FALSE),VLOOKUP(G827,NGPREVPRICES,3,FALSE),HLOOKUP(D827,Correllate,VLOOKUP(G827,CorMove,2,FALSE),FALSE),Q827-$CD$3,R827,$CJ$5)*H827-CJ829</f>
        <v>0</v>
      </c>
      <c r="CF829" s="10">
        <f t="shared" si="1027"/>
        <v>-26.732859066862147</v>
      </c>
      <c r="CG829" s="234">
        <f>_xll.xSPRDOPT((VLOOKUP(G827,NGPREVPRICES,2,FALSE)+HLOOKUP(D827,PREVCURVES,VLOOKUP(G827,MOVE_DOWN2,2,FALSE),FALSE)),VLOOKUP(G827,NGPREVPRICES,2,FALSE),CK829,VLOOKUP(G827,NGPREVPRICES,4,FALSE),HLOOKUP(D827,VOLS,VLOOKUP(G827,move_down,2,FALSE),FALSE),VLOOKUP(G827,NGPrices,3,FALSE),HLOOKUP(D827,Correllate,VLOOKUP(G827,CorMove,2,FALSE),FALSE),Q827-$CD$3,R827,$CJ$5)*H827-CJ829</f>
        <v>0</v>
      </c>
      <c r="CH829" s="234">
        <f>_xll.xSPRDOPT((VLOOKUP(G827,NGPREVPRICES,2,FALSE)+HLOOKUP(D827,PREVCURVES,VLOOKUP(G827,MOVE_DOWN2,2,FALSE),FALSE)),VLOOKUP(G827,NGPREVPRICES,2,FALSE),CK829,VLOOKUP(G827,NGPREVPRICES,4,FALSE),HLOOKUP(D827,PREVVOLS,VLOOKUP(G827,MOVE_DOWN2,2,FALSE),FALSE),VLOOKUP(G827,NGPREVPRICES,3,FALSE),HLOOKUP(D827,Correllate,VLOOKUP(G827,CorMove,2,FALSE),FALSE),Q827-$C$3,R827,$CJ$5)*H827-CJ829</f>
        <v>-2579.238133245206</v>
      </c>
      <c r="CI829" s="234">
        <f t="shared" si="1028"/>
        <v>-2605.9709923120681</v>
      </c>
      <c r="CJ829" s="234">
        <f>_xll.xSPRDOPT((VLOOKUP(G827,NGPREVPRICES,2,FALSE)+HLOOKUP(D827,PREVCURVES,VLOOKUP(G827,MOVE_DOWN2,2,FALSE),FALSE)),VLOOKUP(G827,NGPREVPRICES,2,FALSE),CK829,VLOOKUP(G827,NGPREVPRICES,4,FALSE),HLOOKUP(D827,PREVVOLS,VLOOKUP(G827,MOVE_DOWN2,2,FALSE),FALSE),VLOOKUP(G827,NGPREVPRICES,3,FALSE),HLOOKUP(D827,Correllate,VLOOKUP(G827,CorMove,2,FALSE),FALSE),Q827-$CD$3,R827,$CJ$5)*H827</f>
        <v>143948.98572373888</v>
      </c>
      <c r="CK829" s="235">
        <f t="shared" si="1029"/>
        <v>0.15</v>
      </c>
      <c r="CM829" t="str">
        <f t="shared" si="1030"/>
        <v>36831Curve Shift/Gamma</v>
      </c>
      <c r="CN829" t="str">
        <f t="shared" si="1031"/>
        <v>36831Rho</v>
      </c>
      <c r="CO829" t="str">
        <f t="shared" si="1032"/>
        <v>36831Drift</v>
      </c>
      <c r="CP829" t="str">
        <f t="shared" si="1033"/>
        <v>36831Vega</v>
      </c>
      <c r="CQ829" t="str">
        <f t="shared" si="1034"/>
        <v>36831Theta</v>
      </c>
    </row>
    <row r="830" spans="1:95" x14ac:dyDescent="0.25">
      <c r="A830" s="140" t="s">
        <v>624</v>
      </c>
      <c r="B830" t="s">
        <v>250</v>
      </c>
      <c r="C830" t="s">
        <v>633</v>
      </c>
      <c r="D830" s="4" t="s">
        <v>617</v>
      </c>
      <c r="E830" t="s">
        <v>20</v>
      </c>
      <c r="F830" t="s">
        <v>21</v>
      </c>
      <c r="G830" s="5">
        <v>36923</v>
      </c>
      <c r="H830" s="130">
        <v>2500000</v>
      </c>
      <c r="I830" s="235">
        <v>0.15</v>
      </c>
      <c r="J830" s="53">
        <f t="shared" si="1012"/>
        <v>4.4800000000000004</v>
      </c>
      <c r="K830" s="7">
        <f t="shared" si="1013"/>
        <v>0.34499999999999997</v>
      </c>
      <c r="L830" s="53">
        <f t="shared" si="1014"/>
        <v>4.8250000000000002</v>
      </c>
      <c r="M830" s="157">
        <f t="shared" si="1015"/>
        <v>6.8640161611372E-2</v>
      </c>
      <c r="N830" s="4">
        <f t="shared" si="1016"/>
        <v>0.59250000000000003</v>
      </c>
      <c r="O830" s="4">
        <f t="shared" si="1017"/>
        <v>0.60399999999999998</v>
      </c>
      <c r="P830" s="9">
        <f t="shared" si="1018"/>
        <v>0.93</v>
      </c>
      <c r="Q830" s="5">
        <f t="shared" si="980"/>
        <v>36921</v>
      </c>
      <c r="R830" s="4">
        <f t="shared" si="1019"/>
        <v>1</v>
      </c>
      <c r="S830" s="158">
        <f>_xll.xSPRDOPT($L830,$J830,$I830,$M830,$O830,$N830,$P830,$Q830-$C$3,$R830,0)</f>
        <v>0.36973742145746968</v>
      </c>
      <c r="T830" s="159">
        <f>_xll.xSPRDOPT($L830,$J830,$I830,$M830,$O830,$N830,$P830,$Q830-$C$3,$R830,1)*H830</f>
        <v>1553892.5070675716</v>
      </c>
      <c r="U830" s="160">
        <f t="shared" si="1020"/>
        <v>924343.55364367424</v>
      </c>
      <c r="V830" s="159">
        <f>_xll.xSPRDOPT($L830,$J830,$I830,$M830,$O830,$N830,$P830,$Q830-$C$3,$R830,2)*H830</f>
        <v>-1419148.621856852</v>
      </c>
      <c r="W830" s="159">
        <f t="shared" si="1021"/>
        <v>134743.88521071966</v>
      </c>
      <c r="X830" s="51" t="str">
        <f t="shared" si="1022"/>
        <v>36923IF-NTHWST/CANBR</v>
      </c>
      <c r="Y830" s="418">
        <f t="shared" si="1023"/>
        <v>250</v>
      </c>
      <c r="Z830" s="456">
        <f t="shared" si="1024"/>
        <v>0.62155700282702864</v>
      </c>
      <c r="AA830" s="456">
        <f>_xll.xSPRDOPT($L830,$J830,$I830,$M830,$O830,$N830,$P830,$Q830-$C$3,$R830,3)</f>
        <v>0.52176923312718182</v>
      </c>
      <c r="AB830" s="456">
        <f>((_xll.xSPRDOPT($L830+AB$5,$J830,$I830,$M830,$O830,$N830,$P830,$Q830-$C$3,$R830,3)*$H830)/10000)/100</f>
        <v>1.3044230828179544</v>
      </c>
      <c r="AC830" s="456">
        <f>((_xll.xSPRDOPT($L830+$AB$5,$J830,$I830,$M830,$O830,$N830,$P830,$Q830-$C$3,$R830,7)*$H830)/100)</f>
        <v>-44341.755574902454</v>
      </c>
      <c r="AD830" s="456">
        <f>(_xll.xSPRDOPT($L830+$AB$5,$J830,$I830,$M830,$O830,$N830,$P830,$Q830-$C$3,$R830,9)/365)*$H830</f>
        <v>-1884.3716181357972</v>
      </c>
      <c r="AE830">
        <f t="shared" si="972"/>
        <v>0</v>
      </c>
      <c r="AF830" s="456">
        <f t="shared" si="1025"/>
        <v>10691.839150791697</v>
      </c>
      <c r="AG830" s="456">
        <f>((_xll.xSPRDOPT($L830,$J830,$I830,$M830,$O830,$N830,$P830,$Q830-$C$3,$R830,6)*$H830)/100)</f>
        <v>1455.083105526985</v>
      </c>
      <c r="AH830" s="456">
        <f>((_xll.xSPRDOPT($L830,$J830,$I830,$M830,$O830,$N830,$P830,$Q830-$C$3,$R830,5)*$H830)/100)</f>
        <v>9060.8906569856645</v>
      </c>
      <c r="AI830" s="456">
        <f>(((_xll.xSPRDOPT($L830,$J830,$I830,$M830,$O830,$N830,$P830,$Q830-$C$3,$R830,4)*$H830)/10000)/100)-AB830</f>
        <v>0.11273802431123969</v>
      </c>
      <c r="AJ830" s="456"/>
      <c r="CC830" s="141">
        <f t="shared" si="1026"/>
        <v>36861</v>
      </c>
      <c r="CD830" s="234">
        <f>_xll.xSPRDOPT((VLOOKUP(G828,NGPrices,2,FALSE)+HLOOKUP(D828,Prices,VLOOKUP(G828,move_down,2,FALSE),FALSE)),VLOOKUP(G828,NGPrices,2,FALSE),I828,VLOOKUP(G828,NGPREVPRICES,4,FALSE),HLOOKUP(D828,PREVVOLS,VLOOKUP(G828,MOVE_DOWN2,2,FALSE),FALSE),VLOOKUP(G828,NGPREVPRICES,3,FALSE),HLOOKUP(D828,Correllate,VLOOKUP(G828,CorMove,2,FALSE),FALSE),Q828-$CD$3,R828,$CD$5)*H828-CJ830</f>
        <v>0</v>
      </c>
      <c r="CE830" s="234">
        <f>_xll.xSPRDOPT((VLOOKUP(G828,NGPREVPRICES,2,FALSE)+HLOOKUP(D828,PREVCURVES,VLOOKUP(G828,MOVE_DOWN2,2,FALSE),FALSE)),VLOOKUP(G828,NGPREVPRICES,2,FALSE),CK830,VLOOKUP(G828,NGPrices,4,FALSE),HLOOKUP(D828,PREVVOLS,VLOOKUP(G828,MOVE_DOWN2,2,FALSE),FALSE),VLOOKUP(G828,NGPREVPRICES,3,FALSE),HLOOKUP(D828,Correllate,VLOOKUP(G828,CorMove,2,FALSE),FALSE),Q828-$CD$3,R828,$CJ$5)*H828-CJ830</f>
        <v>0</v>
      </c>
      <c r="CF830" s="10">
        <f t="shared" si="1027"/>
        <v>-216.59882118552923</v>
      </c>
      <c r="CG830" s="234">
        <f>_xll.xSPRDOPT((VLOOKUP(G828,NGPREVPRICES,2,FALSE)+HLOOKUP(D828,PREVCURVES,VLOOKUP(G828,MOVE_DOWN2,2,FALSE),FALSE)),VLOOKUP(G828,NGPREVPRICES,2,FALSE),CK830,VLOOKUP(G828,NGPREVPRICES,4,FALSE),HLOOKUP(D828,VOLS,VLOOKUP(G828,move_down,2,FALSE),FALSE),VLOOKUP(G828,NGPrices,3,FALSE),HLOOKUP(D828,Correllate,VLOOKUP(G828,CorMove,2,FALSE),FALSE),Q828-$CD$3,R828,$CJ$5)*H828-CJ830</f>
        <v>0</v>
      </c>
      <c r="CH830" s="234">
        <f>_xll.xSPRDOPT((VLOOKUP(G828,NGPREVPRICES,2,FALSE)+HLOOKUP(D828,PREVCURVES,VLOOKUP(G828,MOVE_DOWN2,2,FALSE),FALSE)),VLOOKUP(G828,NGPREVPRICES,2,FALSE),CK830,VLOOKUP(G828,NGPREVPRICES,4,FALSE),HLOOKUP(D828,PREVVOLS,VLOOKUP(G828,MOVE_DOWN2,2,FALSE),FALSE),VLOOKUP(G828,NGPREVPRICES,3,FALSE),HLOOKUP(D828,Correllate,VLOOKUP(G828,CorMove,2,FALSE),FALSE),Q828-$C$3,R828,$CJ$5)*H828-CJ830</f>
        <v>-2275.6619357576128</v>
      </c>
      <c r="CI830" s="234">
        <f t="shared" si="1028"/>
        <v>-2492.260756943142</v>
      </c>
      <c r="CJ830" s="234">
        <f>_xll.xSPRDOPT((VLOOKUP(G828,NGPREVPRICES,2,FALSE)+HLOOKUP(D828,PREVCURVES,VLOOKUP(G828,MOVE_DOWN2,2,FALSE),FALSE)),VLOOKUP(G828,NGPREVPRICES,2,FALSE),CK830,VLOOKUP(G828,NGPREVPRICES,4,FALSE),HLOOKUP(D828,PREVVOLS,VLOOKUP(G828,MOVE_DOWN2,2,FALSE),FALSE),VLOOKUP(G828,NGPREVPRICES,3,FALSE),HLOOKUP(D828,Correllate,VLOOKUP(G828,CorMove,2,FALSE),FALSE),Q828-$CD$3,R828,$CJ$5)*H828</f>
        <v>1156193.0636483596</v>
      </c>
      <c r="CK830" s="235">
        <f t="shared" si="1029"/>
        <v>0.15</v>
      </c>
      <c r="CM830" t="str">
        <f t="shared" si="1030"/>
        <v>36861Curve Shift/Gamma</v>
      </c>
      <c r="CN830" t="str">
        <f t="shared" si="1031"/>
        <v>36861Rho</v>
      </c>
      <c r="CO830" t="str">
        <f t="shared" si="1032"/>
        <v>36861Drift</v>
      </c>
      <c r="CP830" t="str">
        <f t="shared" si="1033"/>
        <v>36861Vega</v>
      </c>
      <c r="CQ830" t="str">
        <f t="shared" si="1034"/>
        <v>36861Theta</v>
      </c>
    </row>
    <row r="831" spans="1:95" x14ac:dyDescent="0.25">
      <c r="A831" s="140" t="s">
        <v>624</v>
      </c>
      <c r="B831" t="s">
        <v>250</v>
      </c>
      <c r="C831" t="s">
        <v>633</v>
      </c>
      <c r="D831" s="4" t="s">
        <v>617</v>
      </c>
      <c r="E831" t="s">
        <v>20</v>
      </c>
      <c r="F831" t="s">
        <v>21</v>
      </c>
      <c r="G831" s="5">
        <v>36951</v>
      </c>
      <c r="H831" s="130">
        <v>2500000</v>
      </c>
      <c r="I831" s="235">
        <v>0.15</v>
      </c>
      <c r="J831" s="53">
        <f t="shared" si="1012"/>
        <v>4.2130000000000001</v>
      </c>
      <c r="K831" s="7">
        <f t="shared" si="1013"/>
        <v>-0.03</v>
      </c>
      <c r="L831" s="53">
        <f t="shared" si="1014"/>
        <v>4.1829999999999998</v>
      </c>
      <c r="M831" s="157">
        <f t="shared" si="1015"/>
        <v>6.8879814952706994E-2</v>
      </c>
      <c r="N831" s="4">
        <f t="shared" si="1016"/>
        <v>0.53249999999999997</v>
      </c>
      <c r="O831" s="4">
        <f t="shared" si="1017"/>
        <v>0.54300000000000004</v>
      </c>
      <c r="P831" s="9">
        <f t="shared" si="1018"/>
        <v>0.93</v>
      </c>
      <c r="Q831" s="5">
        <f t="shared" si="980"/>
        <v>36949</v>
      </c>
      <c r="R831" s="4">
        <f t="shared" si="1019"/>
        <v>1</v>
      </c>
      <c r="S831" s="158">
        <f>_xll.xSPRDOPT($L831,$J831,$I831,$M831,$O831,$N831,$P831,$Q831-$C$3,$R831,0)</f>
        <v>0.15547550931620019</v>
      </c>
      <c r="T831" s="159">
        <f>_xll.xSPRDOPT($L831,$J831,$I831,$M831,$O831,$N831,$P831,$Q831-$C$3,$R831,1)*H831</f>
        <v>989919.51127763197</v>
      </c>
      <c r="U831" s="160">
        <f t="shared" si="1020"/>
        <v>388688.77329050045</v>
      </c>
      <c r="V831" s="159">
        <f>_xll.xSPRDOPT($L831,$J831,$I831,$M831,$O831,$N831,$P831,$Q831-$C$3,$R831,2)*H831</f>
        <v>-859529.88962392963</v>
      </c>
      <c r="W831" s="159">
        <f t="shared" si="1021"/>
        <v>130389.62165370234</v>
      </c>
      <c r="X831" s="51" t="str">
        <f t="shared" si="1022"/>
        <v>36951IF-NTHWST/CANBR</v>
      </c>
      <c r="Y831" s="418">
        <f t="shared" si="1023"/>
        <v>250</v>
      </c>
      <c r="Z831" s="456">
        <f t="shared" si="1024"/>
        <v>0.39596780451105279</v>
      </c>
      <c r="AA831" s="456">
        <f>_xll.xSPRDOPT($L831,$J831,$I831,$M831,$O831,$N831,$P831,$Q831-$C$3,$R831,3)</f>
        <v>0.63647093892149997</v>
      </c>
      <c r="AB831" s="456">
        <f>((_xll.xSPRDOPT($L831+AB$5,$J831,$I831,$M831,$O831,$N831,$P831,$Q831-$C$3,$R831,3)*$H831)/10000)/100</f>
        <v>1.5911773473037498</v>
      </c>
      <c r="AC831" s="456">
        <f>((_xll.xSPRDOPT($L831+$AB$5,$J831,$I831,$M831,$O831,$N831,$P831,$Q831-$C$3,$R831,7)*$H831)/100)</f>
        <v>-38726.796897114233</v>
      </c>
      <c r="AD831" s="456">
        <f>(_xll.xSPRDOPT($L831+$AB$5,$J831,$I831,$M831,$O831,$N831,$P831,$Q831-$C$3,$R831,9)/365)*$H831</f>
        <v>-1450.8116197342301</v>
      </c>
      <c r="AE831">
        <f t="shared" si="972"/>
        <v>0</v>
      </c>
      <c r="AF831" s="456">
        <f t="shared" si="1025"/>
        <v>10411.552078953366</v>
      </c>
      <c r="AG831" s="456">
        <f>((_xll.xSPRDOPT($L831,$J831,$I831,$M831,$O831,$N831,$P831,$Q831-$C$3,$R831,6)*$H831)/100)</f>
        <v>1230.7675586966113</v>
      </c>
      <c r="AH831" s="456">
        <f>((_xll.xSPRDOPT($L831,$J831,$I831,$M831,$O831,$N831,$P831,$Q831-$C$3,$R831,5)*$H831)/100)</f>
        <v>9003.255537820849</v>
      </c>
      <c r="AI831" s="456">
        <f>(((_xll.xSPRDOPT($L831,$J831,$I831,$M831,$O831,$N831,$P831,$Q831-$C$3,$R831,4)*$H831)/10000)/100)-AB831</f>
        <v>-0.12891346389542857</v>
      </c>
      <c r="AJ831" s="456"/>
      <c r="CC831" s="141">
        <f t="shared" si="1026"/>
        <v>36892</v>
      </c>
      <c r="CD831" s="234">
        <f>_xll.xSPRDOPT((VLOOKUP(G829,NGPrices,2,FALSE)+HLOOKUP(D829,Prices,VLOOKUP(G829,move_down,2,FALSE),FALSE)),VLOOKUP(G829,NGPrices,2,FALSE),I829,VLOOKUP(G829,NGPREVPRICES,4,FALSE),HLOOKUP(D829,PREVVOLS,VLOOKUP(G829,MOVE_DOWN2,2,FALSE),FALSE),VLOOKUP(G829,NGPREVPRICES,3,FALSE),HLOOKUP(D829,Correllate,VLOOKUP(G829,CorMove,2,FALSE),FALSE),Q829-$CD$3,R829,$CD$5)*H829-CJ831</f>
        <v>0</v>
      </c>
      <c r="CE831" s="234">
        <f>_xll.xSPRDOPT((VLOOKUP(G829,NGPREVPRICES,2,FALSE)+HLOOKUP(D829,PREVCURVES,VLOOKUP(G829,MOVE_DOWN2,2,FALSE),FALSE)),VLOOKUP(G829,NGPREVPRICES,2,FALSE),CK831,VLOOKUP(G829,NGPrices,4,FALSE),HLOOKUP(D829,PREVVOLS,VLOOKUP(G829,MOVE_DOWN2,2,FALSE),FALSE),VLOOKUP(G829,NGPREVPRICES,3,FALSE),HLOOKUP(D829,Correllate,VLOOKUP(G829,CorMove,2,FALSE),FALSE),Q829-$CD$3,R829,$CJ$5)*H829-CJ831</f>
        <v>0</v>
      </c>
      <c r="CF831" s="10">
        <f t="shared" si="1027"/>
        <v>-229.33947007451206</v>
      </c>
      <c r="CG831" s="234">
        <f>_xll.xSPRDOPT((VLOOKUP(G829,NGPREVPRICES,2,FALSE)+HLOOKUP(D829,PREVCURVES,VLOOKUP(G829,MOVE_DOWN2,2,FALSE),FALSE)),VLOOKUP(G829,NGPREVPRICES,2,FALSE),CK831,VLOOKUP(G829,NGPREVPRICES,4,FALSE),HLOOKUP(D829,VOLS,VLOOKUP(G829,move_down,2,FALSE),FALSE),VLOOKUP(G829,NGPrices,3,FALSE),HLOOKUP(D829,Correllate,VLOOKUP(G829,CorMove,2,FALSE),FALSE),Q829-$CD$3,R829,$CJ$5)*H829-CJ831</f>
        <v>0</v>
      </c>
      <c r="CH831" s="234">
        <f>_xll.xSPRDOPT((VLOOKUP(G829,NGPREVPRICES,2,FALSE)+HLOOKUP(D829,PREVCURVES,VLOOKUP(G829,MOVE_DOWN2,2,FALSE),FALSE)),VLOOKUP(G829,NGPREVPRICES,2,FALSE),CK831,VLOOKUP(G829,NGPREVPRICES,4,FALSE),HLOOKUP(D829,PREVVOLS,VLOOKUP(G829,MOVE_DOWN2,2,FALSE),FALSE),VLOOKUP(G829,NGPREVPRICES,3,FALSE),HLOOKUP(D829,Correllate,VLOOKUP(G829,CorMove,2,FALSE),FALSE),Q829-$C$3,R829,$CJ$5)*H829-CJ831</f>
        <v>-2037.8461624402553</v>
      </c>
      <c r="CI831" s="234">
        <f t="shared" si="1028"/>
        <v>-2267.1856325147673</v>
      </c>
      <c r="CJ831" s="234">
        <f>_xll.xSPRDOPT((VLOOKUP(G829,NGPREVPRICES,2,FALSE)+HLOOKUP(D829,PREVCURVES,VLOOKUP(G829,MOVE_DOWN2,2,FALSE),FALSE)),VLOOKUP(G829,NGPREVPRICES,2,FALSE),CK831,VLOOKUP(G829,NGPREVPRICES,4,FALSE),HLOOKUP(D829,PREVVOLS,VLOOKUP(G829,MOVE_DOWN2,2,FALSE),FALSE),VLOOKUP(G829,NGPREVPRICES,3,FALSE),HLOOKUP(D829,Correllate,VLOOKUP(G829,CorMove,2,FALSE),FALSE),Q829-$CD$3,R829,$CJ$5)*H829</f>
        <v>1217034.8823769863</v>
      </c>
      <c r="CK831" s="235">
        <f t="shared" si="1029"/>
        <v>0.15</v>
      </c>
      <c r="CM831" t="str">
        <f t="shared" si="1030"/>
        <v>36892Curve Shift/Gamma</v>
      </c>
      <c r="CN831" t="str">
        <f t="shared" si="1031"/>
        <v>36892Rho</v>
      </c>
      <c r="CO831" t="str">
        <f t="shared" si="1032"/>
        <v>36892Drift</v>
      </c>
      <c r="CP831" t="str">
        <f t="shared" si="1033"/>
        <v>36892Vega</v>
      </c>
      <c r="CQ831" t="str">
        <f t="shared" si="1034"/>
        <v>36892Theta</v>
      </c>
    </row>
    <row r="832" spans="1:95" x14ac:dyDescent="0.25">
      <c r="A832" s="140" t="s">
        <v>279</v>
      </c>
      <c r="B832" t="s">
        <v>250</v>
      </c>
      <c r="C832" t="s">
        <v>626</v>
      </c>
      <c r="D832" s="4" t="s">
        <v>190</v>
      </c>
      <c r="E832" t="s">
        <v>20</v>
      </c>
      <c r="F832" t="s">
        <v>21</v>
      </c>
      <c r="G832" s="5">
        <v>36831</v>
      </c>
      <c r="H832" s="130">
        <v>-300000</v>
      </c>
      <c r="I832" s="235">
        <v>1.5</v>
      </c>
      <c r="J832" s="53">
        <f t="shared" ref="J832:J849" si="1035">VLOOKUP(G832,NGPrices,2,FALSE)</f>
        <v>4.7359999999999998</v>
      </c>
      <c r="K832" s="7">
        <f t="shared" ref="K832:K849" si="1036">HLOOKUP(D832,Prices,VLOOKUP(G832,move_down,2,FALSE),FALSE)+VLOOKUP(G832,CHANGE,HLOOKUP(D832,CHANGE,2,FALSE),FALSE)</f>
        <v>1.5449999999999999</v>
      </c>
      <c r="L832" s="53">
        <f t="shared" ref="L832:L849" si="1037">K832+J832</f>
        <v>6.2809999999999997</v>
      </c>
      <c r="M832" s="157">
        <f t="shared" ref="M832:M849" si="1038">VLOOKUP(G832,NGPrices,4,FALSE)</f>
        <v>6.810675983792E-2</v>
      </c>
      <c r="N832" s="4">
        <f t="shared" ref="N832:N849" si="1039">VLOOKUP(G832,NGPrices,3,FALSE)</f>
        <v>0.59499999999999997</v>
      </c>
      <c r="O832" s="4">
        <f t="shared" ref="O832:O849" si="1040">HLOOKUP(D832,VOLS,VLOOKUP(G832,move_down,2,FALSE),FALSE)</f>
        <v>0.57699999999999996</v>
      </c>
      <c r="P832" s="9">
        <f t="shared" ref="P832:P849" si="1041">HLOOKUP(D832,Correllate,VLOOKUP(G832,CorMove,2,FALSE),FALSE)</f>
        <v>0.85</v>
      </c>
      <c r="Q832" s="5">
        <f t="shared" si="980"/>
        <v>36829</v>
      </c>
      <c r="R832" s="4">
        <f t="shared" ref="R832:R849" si="1042">IF(F832="P",0,1)</f>
        <v>1</v>
      </c>
      <c r="S832" s="158">
        <f>_xll.xSPRDOPT($L832,$J832,$I832,$M832,$O832,$N832,$P832,$Q832-$C$3,$R832,0)</f>
        <v>0.33465428969466648</v>
      </c>
      <c r="T832" s="159">
        <f>_xll.xSPRDOPT($L832,$J832,$I832,$M832,$O832,$N832,$P832,$Q832-$C$3,$R832,1)*H832</f>
        <v>-162546.71312339726</v>
      </c>
      <c r="U832" s="160">
        <f t="shared" ref="U832:U849" si="1043">S832*H832</f>
        <v>-100396.28690839994</v>
      </c>
      <c r="V832" s="159">
        <f>_xll.xSPRDOPT($L832,$J832,$I832,$M832,$O832,$N832,$P832,$Q832-$C$3,$R832,2)*H832</f>
        <v>148525.50909979569</v>
      </c>
      <c r="W832" s="159">
        <f t="shared" ref="W832:W849" si="1044">+V832+T832</f>
        <v>-14021.204023601575</v>
      </c>
      <c r="X832" s="51" t="str">
        <f t="shared" ref="X832:X849" si="1045">CONCATENATE(G832,D832)</f>
        <v>36831NGI-SOCAL</v>
      </c>
      <c r="Y832" s="418">
        <f t="shared" ref="Y832:Y849" si="1046">H832/10000</f>
        <v>-30</v>
      </c>
      <c r="Z832" s="456">
        <f t="shared" ref="Z832:Z849" si="1047">T832/H832</f>
        <v>0.54182237707799086</v>
      </c>
      <c r="AA832" s="456">
        <f>_xll.xSPRDOPT($L832,$J832,$I832,$M832,$O832,$N832,$P832,$Q832-$C$3,$R832,3)</f>
        <v>0.49293981270393239</v>
      </c>
      <c r="AB832" s="456">
        <f>((_xll.xSPRDOPT($L832+AB$5,$J832,$I832,$M832,$O832,$N832,$P832,$Q832-$C$3,$R832,3)*$H832)/10000)/100</f>
        <v>-0.14788194381117972</v>
      </c>
      <c r="AC832" s="456">
        <f>((_xll.xSPRDOPT($L832+$AB$5,$J832,$I832,$M832,$O832,$N832,$P832,$Q832-$C$3,$R832,7)*$H832)/100)</f>
        <v>2584.0771825375905</v>
      </c>
      <c r="AD832" s="456">
        <f>(_xll.xSPRDOPT($L832+$AB$5,$J832,$I832,$M832,$O832,$N832,$P832,$Q832-$C$3,$R832,9)/365)*$H832</f>
        <v>736.77999752978189</v>
      </c>
      <c r="AE832">
        <f t="shared" ref="AE832:AE849" si="1048">CD834</f>
        <v>0</v>
      </c>
      <c r="AF832" s="456">
        <f t="shared" ref="AF832:AF849" si="1049">((O832/N832)*AH832)+AG832</f>
        <v>-1573.4374640188623</v>
      </c>
      <c r="AG832" s="456">
        <f>((_xll.xSPRDOPT($L832,$J832,$I832,$M832,$O832,$N832,$P832,$Q832-$C$3,$R832,6)*$H832)/100)</f>
        <v>276.29025811697187</v>
      </c>
      <c r="AH832" s="456">
        <f>((_xll.xSPRDOPT($L832,$J832,$I832,$M832,$O832,$N832,$P832,$Q832-$C$3,$R832,5)*$H832)/100)</f>
        <v>-1907.4315332249937</v>
      </c>
      <c r="AI832" s="456">
        <f>(((_xll.xSPRDOPT($L832,$J832,$I832,$M832,$O832,$N832,$P832,$Q832-$C$3,$R832,4)*$H832)/10000)/100)-AB832</f>
        <v>-2.8760261995042502E-3</v>
      </c>
      <c r="AJ832" s="456"/>
      <c r="CC832" s="141">
        <f t="shared" si="1026"/>
        <v>36923</v>
      </c>
      <c r="CD832" s="234">
        <f>_xll.xSPRDOPT((VLOOKUP(G830,NGPrices,2,FALSE)+HLOOKUP(D830,Prices,VLOOKUP(G830,move_down,2,FALSE),FALSE)),VLOOKUP(G830,NGPrices,2,FALSE),I830,VLOOKUP(G830,NGPREVPRICES,4,FALSE),HLOOKUP(D830,PREVVOLS,VLOOKUP(G830,MOVE_DOWN2,2,FALSE),FALSE),VLOOKUP(G830,NGPREVPRICES,3,FALSE),HLOOKUP(D830,Correllate,VLOOKUP(G830,CorMove,2,FALSE),FALSE),Q830-$CD$3,R830,$CD$5)*H830-CJ832</f>
        <v>0</v>
      </c>
      <c r="CE832" s="234">
        <f>_xll.xSPRDOPT((VLOOKUP(G830,NGPREVPRICES,2,FALSE)+HLOOKUP(D830,PREVCURVES,VLOOKUP(G830,MOVE_DOWN2,2,FALSE),FALSE)),VLOOKUP(G830,NGPREVPRICES,2,FALSE),CK832,VLOOKUP(G830,NGPrices,4,FALSE),HLOOKUP(D830,PREVVOLS,VLOOKUP(G830,MOVE_DOWN2,2,FALSE),FALSE),VLOOKUP(G830,NGPREVPRICES,3,FALSE),HLOOKUP(D830,Correllate,VLOOKUP(G830,CorMove,2,FALSE),FALSE),Q830-$CD$3,R830,$CJ$5)*H830-CJ832</f>
        <v>0</v>
      </c>
      <c r="CF832" s="10">
        <f t="shared" si="1027"/>
        <v>-176.15696897648741</v>
      </c>
      <c r="CG832" s="234">
        <f>_xll.xSPRDOPT((VLOOKUP(G830,NGPREVPRICES,2,FALSE)+HLOOKUP(D830,PREVCURVES,VLOOKUP(G830,MOVE_DOWN2,2,FALSE),FALSE)),VLOOKUP(G830,NGPREVPRICES,2,FALSE),CK832,VLOOKUP(G830,NGPREVPRICES,4,FALSE),HLOOKUP(D830,VOLS,VLOOKUP(G830,move_down,2,FALSE),FALSE),VLOOKUP(G830,NGPrices,3,FALSE),HLOOKUP(D830,Correllate,VLOOKUP(G830,CorMove,2,FALSE),FALSE),Q830-$CD$3,R830,$CJ$5)*H830-CJ832</f>
        <v>0</v>
      </c>
      <c r="CH832" s="234">
        <f>_xll.xSPRDOPT((VLOOKUP(G830,NGPREVPRICES,2,FALSE)+HLOOKUP(D830,PREVCURVES,VLOOKUP(G830,MOVE_DOWN2,2,FALSE),FALSE)),VLOOKUP(G830,NGPREVPRICES,2,FALSE),CK832,VLOOKUP(G830,NGPREVPRICES,4,FALSE),HLOOKUP(D830,PREVVOLS,VLOOKUP(G830,MOVE_DOWN2,2,FALSE),FALSE),VLOOKUP(G830,NGPREVPRICES,3,FALSE),HLOOKUP(D830,Correllate,VLOOKUP(G830,CorMove,2,FALSE),FALSE),Q830-$C$3,R830,$CJ$5)*H830-CJ832</f>
        <v>-1879.6435038516065</v>
      </c>
      <c r="CI832" s="234">
        <f t="shared" si="1028"/>
        <v>-2055.8004728280939</v>
      </c>
      <c r="CJ832" s="234">
        <f>_xll.xSPRDOPT((VLOOKUP(G830,NGPREVPRICES,2,FALSE)+HLOOKUP(D830,PREVCURVES,VLOOKUP(G830,MOVE_DOWN2,2,FALSE),FALSE)),VLOOKUP(G830,NGPREVPRICES,2,FALSE),CK832,VLOOKUP(G830,NGPREVPRICES,4,FALSE),HLOOKUP(D830,PREVVOLS,VLOOKUP(G830,MOVE_DOWN2,2,FALSE),FALSE),VLOOKUP(G830,NGPREVPRICES,3,FALSE),HLOOKUP(D830,Correllate,VLOOKUP(G830,CorMove,2,FALSE),FALSE),Q830-$CD$3,R830,$CJ$5)*H830</f>
        <v>926223.19714752585</v>
      </c>
      <c r="CK832" s="235">
        <f t="shared" si="1029"/>
        <v>0.15</v>
      </c>
      <c r="CM832" t="str">
        <f t="shared" si="1030"/>
        <v>36923Curve Shift/Gamma</v>
      </c>
      <c r="CN832" t="str">
        <f t="shared" si="1031"/>
        <v>36923Rho</v>
      </c>
      <c r="CO832" t="str">
        <f t="shared" si="1032"/>
        <v>36923Drift</v>
      </c>
      <c r="CP832" t="str">
        <f t="shared" si="1033"/>
        <v>36923Vega</v>
      </c>
      <c r="CQ832" t="str">
        <f t="shared" si="1034"/>
        <v>36923Theta</v>
      </c>
    </row>
    <row r="833" spans="1:95" x14ac:dyDescent="0.25">
      <c r="A833" s="140" t="s">
        <v>279</v>
      </c>
      <c r="B833" t="s">
        <v>250</v>
      </c>
      <c r="C833" t="s">
        <v>626</v>
      </c>
      <c r="D833" s="4" t="s">
        <v>190</v>
      </c>
      <c r="E833" t="s">
        <v>20</v>
      </c>
      <c r="F833" t="s">
        <v>21</v>
      </c>
      <c r="G833" s="5">
        <v>36861</v>
      </c>
      <c r="H833" s="130">
        <v>-310000</v>
      </c>
      <c r="I833" s="235">
        <v>1.5</v>
      </c>
      <c r="J833" s="53">
        <f t="shared" si="1035"/>
        <v>4.8</v>
      </c>
      <c r="K833" s="7">
        <f t="shared" si="1036"/>
        <v>1.0049999999999999</v>
      </c>
      <c r="L833" s="53">
        <f t="shared" si="1037"/>
        <v>5.8049999999999997</v>
      </c>
      <c r="M833" s="157">
        <f t="shared" si="1038"/>
        <v>6.8314027999354002E-2</v>
      </c>
      <c r="N833" s="4">
        <f t="shared" si="1039"/>
        <v>0.6</v>
      </c>
      <c r="O833" s="4">
        <f t="shared" si="1040"/>
        <v>0.58199999999999996</v>
      </c>
      <c r="P833" s="9">
        <f t="shared" si="1041"/>
        <v>0.85</v>
      </c>
      <c r="Q833" s="5">
        <f t="shared" si="980"/>
        <v>36859</v>
      </c>
      <c r="R833" s="4">
        <f t="shared" si="1042"/>
        <v>1</v>
      </c>
      <c r="S833" s="158">
        <f>_xll.xSPRDOPT($L833,$J833,$I833,$M833,$O833,$N833,$P833,$Q833-$C$3,$R833,0)</f>
        <v>0.17486384317717762</v>
      </c>
      <c r="T833" s="159">
        <f>_xll.xSPRDOPT($L833,$J833,$I833,$M833,$O833,$N833,$P833,$Q833-$C$3,$R833,1)*H833</f>
        <v>-99644.503318521849</v>
      </c>
      <c r="U833" s="160">
        <f t="shared" si="1043"/>
        <v>-54207.791384925062</v>
      </c>
      <c r="V833" s="159">
        <f>_xll.xSPRDOPT($L833,$J833,$I833,$M833,$O833,$N833,$P833,$Q833-$C$3,$R833,2)*H833</f>
        <v>84076.830856675952</v>
      </c>
      <c r="W833" s="159">
        <f t="shared" si="1044"/>
        <v>-15567.672461845897</v>
      </c>
      <c r="X833" s="51" t="str">
        <f t="shared" si="1045"/>
        <v>36861NGI-SOCAL</v>
      </c>
      <c r="Y833" s="418">
        <f t="shared" si="1046"/>
        <v>-31</v>
      </c>
      <c r="Z833" s="456">
        <f t="shared" si="1047"/>
        <v>0.32143388167265113</v>
      </c>
      <c r="AA833" s="456">
        <f>_xll.xSPRDOPT($L833,$J833,$I833,$M833,$O833,$N833,$P833,$Q833-$C$3,$R833,3)</f>
        <v>0.39359108806003712</v>
      </c>
      <c r="AB833" s="456">
        <f>((_xll.xSPRDOPT($L833+AB$5,$J833,$I833,$M833,$O833,$N833,$P833,$Q833-$C$3,$R833,3)*$H833)/10000)/100</f>
        <v>-0.12201323729861152</v>
      </c>
      <c r="AC833" s="456">
        <f>((_xll.xSPRDOPT($L833+$AB$5,$J833,$I833,$M833,$O833,$N833,$P833,$Q833-$C$3,$R833,7)*$H833)/100)</f>
        <v>2772.1692143782939</v>
      </c>
      <c r="AD833" s="456">
        <f>(_xll.xSPRDOPT($L833+$AB$5,$J833,$I833,$M833,$O833,$N833,$P833,$Q833-$C$3,$R833,9)/365)*$H833</f>
        <v>531.45442685438024</v>
      </c>
      <c r="AE833">
        <f t="shared" si="1048"/>
        <v>0</v>
      </c>
      <c r="AF833" s="456">
        <f t="shared" si="1049"/>
        <v>-1659.7699865875134</v>
      </c>
      <c r="AG833" s="456">
        <f>((_xll.xSPRDOPT($L833,$J833,$I833,$M833,$O833,$N833,$P833,$Q833-$C$3,$R833,6)*$H833)/100)</f>
        <v>259.60181764980314</v>
      </c>
      <c r="AH833" s="456">
        <f>((_xll.xSPRDOPT($L833,$J833,$I833,$M833,$O833,$N833,$P833,$Q833-$C$3,$R833,5)*$H833)/100)</f>
        <v>-1978.7338188013573</v>
      </c>
      <c r="AI833" s="456">
        <f>(((_xll.xSPRDOPT($L833,$J833,$I833,$M833,$O833,$N833,$P833,$Q833-$C$3,$R833,4)*$H833)/10000)/100)-AB833</f>
        <v>1.668333359459559E-2</v>
      </c>
      <c r="AJ833" s="456"/>
      <c r="CC833" s="141">
        <f t="shared" si="1026"/>
        <v>36951</v>
      </c>
      <c r="CD833" s="234">
        <f>_xll.xSPRDOPT((VLOOKUP(G831,NGPrices,2,FALSE)+HLOOKUP(D831,Prices,VLOOKUP(G831,move_down,2,FALSE),FALSE)),VLOOKUP(G831,NGPrices,2,FALSE),I831,VLOOKUP(G831,NGPREVPRICES,4,FALSE),HLOOKUP(D831,PREVVOLS,VLOOKUP(G831,MOVE_DOWN2,2,FALSE),FALSE),VLOOKUP(G831,NGPREVPRICES,3,FALSE),HLOOKUP(D831,Correllate,VLOOKUP(G831,CorMove,2,FALSE),FALSE),Q831-$CD$3,R831,$CD$5)*H831-CJ833</f>
        <v>0</v>
      </c>
      <c r="CE833" s="234">
        <f>_xll.xSPRDOPT((VLOOKUP(G831,NGPREVPRICES,2,FALSE)+HLOOKUP(D831,PREVCURVES,VLOOKUP(G831,MOVE_DOWN2,2,FALSE),FALSE)),VLOOKUP(G831,NGPREVPRICES,2,FALSE),CK833,VLOOKUP(G831,NGPrices,4,FALSE),HLOOKUP(D831,PREVVOLS,VLOOKUP(G831,MOVE_DOWN2,2,FALSE),FALSE),VLOOKUP(G831,NGPREVPRICES,3,FALSE),HLOOKUP(D831,Correllate,VLOOKUP(G831,CorMove,2,FALSE),FALSE),Q831-$CD$3,R831,$CJ$5)*H831-CJ833</f>
        <v>0</v>
      </c>
      <c r="CF833" s="10">
        <f t="shared" si="1027"/>
        <v>-74.82233216043096</v>
      </c>
      <c r="CG833" s="234">
        <f>_xll.xSPRDOPT((VLOOKUP(G831,NGPREVPRICES,2,FALSE)+HLOOKUP(D831,PREVCURVES,VLOOKUP(G831,MOVE_DOWN2,2,FALSE),FALSE)),VLOOKUP(G831,NGPREVPRICES,2,FALSE),CK833,VLOOKUP(G831,NGPREVPRICES,4,FALSE),HLOOKUP(D831,VOLS,VLOOKUP(G831,move_down,2,FALSE),FALSE),VLOOKUP(G831,NGPrices,3,FALSE),HLOOKUP(D831,Correllate,VLOOKUP(G831,CorMove,2,FALSE),FALSE),Q831-$CD$3,R831,$CJ$5)*H831-CJ833</f>
        <v>0</v>
      </c>
      <c r="CH833" s="234">
        <f>_xll.xSPRDOPT((VLOOKUP(G831,NGPREVPRICES,2,FALSE)+HLOOKUP(D831,PREVCURVES,VLOOKUP(G831,MOVE_DOWN2,2,FALSE),FALSE)),VLOOKUP(G831,NGPREVPRICES,2,FALSE),CK833,VLOOKUP(G831,NGPREVPRICES,4,FALSE),HLOOKUP(D831,PREVVOLS,VLOOKUP(G831,MOVE_DOWN2,2,FALSE),FALSE),VLOOKUP(G831,NGPREVPRICES,3,FALSE),HLOOKUP(D831,Correllate,VLOOKUP(G831,CorMove,2,FALSE),FALSE),Q831-$C$3,R831,$CJ$5)*H831-CJ833</f>
        <v>-1447.6313569137128</v>
      </c>
      <c r="CI833" s="234">
        <f t="shared" si="1028"/>
        <v>-1522.4536890741438</v>
      </c>
      <c r="CJ833" s="234">
        <f>_xll.xSPRDOPT((VLOOKUP(G831,NGPREVPRICES,2,FALSE)+HLOOKUP(D831,PREVCURVES,VLOOKUP(G831,MOVE_DOWN2,2,FALSE),FALSE)),VLOOKUP(G831,NGPREVPRICES,2,FALSE),CK833,VLOOKUP(G831,NGPREVPRICES,4,FALSE),HLOOKUP(D831,PREVVOLS,VLOOKUP(G831,MOVE_DOWN2,2,FALSE),FALSE),VLOOKUP(G831,NGPREVPRICES,3,FALSE),HLOOKUP(D831,Correllate,VLOOKUP(G831,CorMove,2,FALSE),FALSE),Q831-$CD$3,R831,$CJ$5)*H831</f>
        <v>390136.40464741417</v>
      </c>
      <c r="CK833" s="235">
        <f t="shared" si="1029"/>
        <v>0.15</v>
      </c>
      <c r="CM833" t="str">
        <f t="shared" si="1030"/>
        <v>36951Curve Shift/Gamma</v>
      </c>
      <c r="CN833" t="str">
        <f t="shared" si="1031"/>
        <v>36951Rho</v>
      </c>
      <c r="CO833" t="str">
        <f t="shared" si="1032"/>
        <v>36951Drift</v>
      </c>
      <c r="CP833" t="str">
        <f t="shared" si="1033"/>
        <v>36951Vega</v>
      </c>
      <c r="CQ833" t="str">
        <f t="shared" si="1034"/>
        <v>36951Theta</v>
      </c>
    </row>
    <row r="834" spans="1:95" x14ac:dyDescent="0.25">
      <c r="A834" s="140" t="s">
        <v>279</v>
      </c>
      <c r="B834" t="s">
        <v>250</v>
      </c>
      <c r="C834" t="s">
        <v>626</v>
      </c>
      <c r="D834" s="4" t="s">
        <v>190</v>
      </c>
      <c r="E834" t="s">
        <v>20</v>
      </c>
      <c r="F834" t="s">
        <v>21</v>
      </c>
      <c r="G834" s="5">
        <v>36892</v>
      </c>
      <c r="H834" s="130">
        <v>-310000</v>
      </c>
      <c r="I834" s="235">
        <v>1.5</v>
      </c>
      <c r="J834" s="53">
        <f t="shared" si="1035"/>
        <v>4.7439999999999998</v>
      </c>
      <c r="K834" s="7">
        <f t="shared" si="1036"/>
        <v>0.76749999999999996</v>
      </c>
      <c r="L834" s="53">
        <f t="shared" si="1037"/>
        <v>5.5114999999999998</v>
      </c>
      <c r="M834" s="157">
        <f t="shared" si="1038"/>
        <v>6.8374831148490994E-2</v>
      </c>
      <c r="N834" s="4">
        <f t="shared" si="1039"/>
        <v>0.60499999999999998</v>
      </c>
      <c r="O834" s="4">
        <f t="shared" si="1040"/>
        <v>0.58699999999999997</v>
      </c>
      <c r="P834" s="9">
        <f t="shared" si="1041"/>
        <v>0.85</v>
      </c>
      <c r="Q834" s="5">
        <f t="shared" si="980"/>
        <v>36888</v>
      </c>
      <c r="R834" s="4">
        <f t="shared" si="1042"/>
        <v>1</v>
      </c>
      <c r="S834" s="158">
        <f>_xll.xSPRDOPT($L834,$J834,$I834,$M834,$O834,$N834,$P834,$Q834-$C$3,$R834,0)</f>
        <v>0.1486282793423401</v>
      </c>
      <c r="T834" s="159">
        <f>_xll.xSPRDOPT($L834,$J834,$I834,$M834,$O834,$N834,$P834,$Q834-$C$3,$R834,1)*H834</f>
        <v>-82848.203071473996</v>
      </c>
      <c r="U834" s="160">
        <f t="shared" si="1043"/>
        <v>-46074.766596125432</v>
      </c>
      <c r="V834" s="159">
        <f>_xll.xSPRDOPT($L834,$J834,$I834,$M834,$O834,$N834,$P834,$Q834-$C$3,$R834,2)*H834</f>
        <v>66650.516110237004</v>
      </c>
      <c r="W834" s="159">
        <f t="shared" si="1044"/>
        <v>-16197.686961236992</v>
      </c>
      <c r="X834" s="51" t="str">
        <f t="shared" si="1045"/>
        <v>36892NGI-SOCAL</v>
      </c>
      <c r="Y834" s="418">
        <f t="shared" si="1046"/>
        <v>-31</v>
      </c>
      <c r="Z834" s="456">
        <f t="shared" si="1047"/>
        <v>0.26725226797249674</v>
      </c>
      <c r="AA834" s="456">
        <f>_xll.xSPRDOPT($L834,$J834,$I834,$M834,$O834,$N834,$P834,$Q834-$C$3,$R834,3)</f>
        <v>0.3284469649688801</v>
      </c>
      <c r="AB834" s="456">
        <f>((_xll.xSPRDOPT($L834+AB$5,$J834,$I834,$M834,$O834,$N834,$P834,$Q834-$C$3,$R834,3)*$H834)/10000)/100</f>
        <v>-0.10181855914035282</v>
      </c>
      <c r="AC834" s="456">
        <f>((_xll.xSPRDOPT($L834+$AB$5,$J834,$I834,$M834,$O834,$N834,$P834,$Q834-$C$3,$R834,7)*$H834)/100)</f>
        <v>2789.9375762015579</v>
      </c>
      <c r="AD834" s="456">
        <f>(_xll.xSPRDOPT($L834+$AB$5,$J834,$I834,$M834,$O834,$N834,$P834,$Q834-$C$3,$R834,9)/365)*$H834</f>
        <v>407.01147686320138</v>
      </c>
      <c r="AE834">
        <f t="shared" si="1048"/>
        <v>0</v>
      </c>
      <c r="AF834" s="456">
        <f t="shared" si="1049"/>
        <v>-1661.4323677346015</v>
      </c>
      <c r="AG834" s="456">
        <f>((_xll.xSPRDOPT($L834,$J834,$I834,$M834,$O834,$N834,$P834,$Q834-$C$3,$R834,6)*$H834)/100)</f>
        <v>254.40932822384309</v>
      </c>
      <c r="AH834" s="456">
        <f>((_xll.xSPRDOPT($L834,$J834,$I834,$M834,$O834,$N834,$P834,$Q834-$C$3,$R834,5)*$H834)/100)</f>
        <v>-1974.5898229213954</v>
      </c>
      <c r="AI834" s="456">
        <f>(((_xll.xSPRDOPT($L834,$J834,$I834,$M834,$O834,$N834,$P834,$Q834-$C$3,$R834,4)*$H834)/10000)/100)-AB834</f>
        <v>2.0559390305094988E-2</v>
      </c>
      <c r="AJ834" s="456"/>
    </row>
    <row r="835" spans="1:95" x14ac:dyDescent="0.25">
      <c r="A835" s="140" t="s">
        <v>279</v>
      </c>
      <c r="B835" t="s">
        <v>250</v>
      </c>
      <c r="C835" t="s">
        <v>626</v>
      </c>
      <c r="D835" s="4" t="s">
        <v>190</v>
      </c>
      <c r="E835" t="s">
        <v>20</v>
      </c>
      <c r="F835" t="s">
        <v>21</v>
      </c>
      <c r="G835" s="5">
        <v>36923</v>
      </c>
      <c r="H835" s="130">
        <v>-280000</v>
      </c>
      <c r="I835" s="235">
        <v>1.5</v>
      </c>
      <c r="J835" s="53">
        <f t="shared" si="1035"/>
        <v>4.4800000000000004</v>
      </c>
      <c r="K835" s="7">
        <f t="shared" si="1036"/>
        <v>0.61750000000000005</v>
      </c>
      <c r="L835" s="53">
        <f t="shared" si="1037"/>
        <v>5.0975000000000001</v>
      </c>
      <c r="M835" s="157">
        <f t="shared" si="1038"/>
        <v>6.8640161611372E-2</v>
      </c>
      <c r="N835" s="4">
        <f t="shared" si="1039"/>
        <v>0.59250000000000003</v>
      </c>
      <c r="O835" s="4">
        <f t="shared" si="1040"/>
        <v>0.57499999999999996</v>
      </c>
      <c r="P835" s="9">
        <f t="shared" si="1041"/>
        <v>0.85</v>
      </c>
      <c r="Q835" s="5">
        <f t="shared" si="980"/>
        <v>36921</v>
      </c>
      <c r="R835" s="4">
        <f t="shared" si="1042"/>
        <v>1</v>
      </c>
      <c r="S835" s="158">
        <f>_xll.xSPRDOPT($L835,$J835,$I835,$M835,$O835,$N835,$P835,$Q835-$C$3,$R835,0)</f>
        <v>0.12801849911069918</v>
      </c>
      <c r="T835" s="159">
        <f>_xll.xSPRDOPT($L835,$J835,$I835,$M835,$O835,$N835,$P835,$Q835-$C$3,$R835,1)*H835</f>
        <v>-65866.016140315769</v>
      </c>
      <c r="U835" s="160">
        <f t="shared" si="1043"/>
        <v>-35845.179750995769</v>
      </c>
      <c r="V835" s="159">
        <f>_xll.xSPRDOPT($L835,$J835,$I835,$M835,$O835,$N835,$P835,$Q835-$C$3,$R835,2)*H835</f>
        <v>51104.294072353092</v>
      </c>
      <c r="W835" s="159">
        <f t="shared" si="1044"/>
        <v>-14761.722067962677</v>
      </c>
      <c r="X835" s="51" t="str">
        <f t="shared" si="1045"/>
        <v>36923NGI-SOCAL</v>
      </c>
      <c r="Y835" s="418">
        <f t="shared" si="1046"/>
        <v>-28</v>
      </c>
      <c r="Z835" s="456">
        <f t="shared" si="1047"/>
        <v>0.23523577192969916</v>
      </c>
      <c r="AA835" s="456">
        <f>_xll.xSPRDOPT($L835,$J835,$I835,$M835,$O835,$N835,$P835,$Q835-$C$3,$R835,3)</f>
        <v>0.29911435439858436</v>
      </c>
      <c r="AB835" s="456">
        <f>((_xll.xSPRDOPT($L835+AB$5,$J835,$I835,$M835,$O835,$N835,$P835,$Q835-$C$3,$R835,3)*$H835)/10000)/100</f>
        <v>-8.3752019231603636E-2</v>
      </c>
      <c r="AC835" s="456">
        <f>((_xll.xSPRDOPT($L835+$AB$5,$J835,$I835,$M835,$O835,$N835,$P835,$Q835-$C$3,$R835,7)*$H835)/100)</f>
        <v>2373.7102880289381</v>
      </c>
      <c r="AD835" s="456">
        <f>(_xll.xSPRDOPT($L835+$AB$5,$J835,$I835,$M835,$O835,$N835,$P835,$Q835-$C$3,$R835,9)/365)*$H835</f>
        <v>275.6888398630424</v>
      </c>
      <c r="AE835">
        <f t="shared" si="1048"/>
        <v>0</v>
      </c>
      <c r="AF835" s="456">
        <f t="shared" si="1049"/>
        <v>-1467.1529340245113</v>
      </c>
      <c r="AG835" s="456">
        <f>((_xll.xSPRDOPT($L835,$J835,$I835,$M835,$O835,$N835,$P835,$Q835-$C$3,$R835,6)*$H835)/100)</f>
        <v>247.75588669946725</v>
      </c>
      <c r="AH835" s="456">
        <f>((_xll.xSPRDOPT($L835,$J835,$I835,$M835,$O835,$N835,$P835,$Q835-$C$3,$R835,5)*$H835)/100)</f>
        <v>-1767.1016978764476</v>
      </c>
      <c r="AI835" s="456">
        <f>(((_xll.xSPRDOPT($L835,$J835,$I835,$M835,$O835,$N835,$P835,$Q835-$C$3,$R835,4)*$H835)/10000)/100)-AB835</f>
        <v>2.0775673725674057E-2</v>
      </c>
      <c r="AJ835" s="456"/>
    </row>
    <row r="836" spans="1:95" x14ac:dyDescent="0.25">
      <c r="A836" s="140" t="s">
        <v>279</v>
      </c>
      <c r="B836" t="s">
        <v>250</v>
      </c>
      <c r="C836" t="s">
        <v>626</v>
      </c>
      <c r="D836" s="4" t="s">
        <v>190</v>
      </c>
      <c r="E836" t="s">
        <v>20</v>
      </c>
      <c r="F836" t="s">
        <v>21</v>
      </c>
      <c r="G836" s="5">
        <v>36951</v>
      </c>
      <c r="H836" s="130">
        <v>-310000</v>
      </c>
      <c r="I836" s="235">
        <v>1.5</v>
      </c>
      <c r="J836" s="53">
        <f t="shared" si="1035"/>
        <v>4.2130000000000001</v>
      </c>
      <c r="K836" s="7">
        <f t="shared" si="1036"/>
        <v>0.59750000000000003</v>
      </c>
      <c r="L836" s="53">
        <f t="shared" si="1037"/>
        <v>4.8105000000000002</v>
      </c>
      <c r="M836" s="157">
        <f t="shared" si="1038"/>
        <v>6.8879814952706994E-2</v>
      </c>
      <c r="N836" s="4">
        <f t="shared" si="1039"/>
        <v>0.53249999999999997</v>
      </c>
      <c r="O836" s="4">
        <f t="shared" si="1040"/>
        <v>0.51700000000000002</v>
      </c>
      <c r="P836" s="9">
        <f t="shared" si="1041"/>
        <v>0.85</v>
      </c>
      <c r="Q836" s="5">
        <f t="shared" si="980"/>
        <v>36949</v>
      </c>
      <c r="R836" s="4">
        <f t="shared" si="1042"/>
        <v>1</v>
      </c>
      <c r="S836" s="158">
        <f>_xll.xSPRDOPT($L836,$J836,$I836,$M836,$O836,$N836,$P836,$Q836-$C$3,$R836,0)</f>
        <v>0.10295825264593923</v>
      </c>
      <c r="T836" s="159">
        <f>_xll.xSPRDOPT($L836,$J836,$I836,$M836,$O836,$N836,$P836,$Q836-$C$3,$R836,1)*H836</f>
        <v>-65230.955181407917</v>
      </c>
      <c r="U836" s="160">
        <f t="shared" si="1043"/>
        <v>-31917.058320241162</v>
      </c>
      <c r="V836" s="159">
        <f>_xll.xSPRDOPT($L836,$J836,$I836,$M836,$O836,$N836,$P836,$Q836-$C$3,$R836,2)*H836</f>
        <v>50465.368163877851</v>
      </c>
      <c r="W836" s="159">
        <f t="shared" si="1044"/>
        <v>-14765.587017530066</v>
      </c>
      <c r="X836" s="51" t="str">
        <f t="shared" si="1045"/>
        <v>36951NGI-SOCAL</v>
      </c>
      <c r="Y836" s="418">
        <f t="shared" si="1046"/>
        <v>-31</v>
      </c>
      <c r="Z836" s="456">
        <f t="shared" si="1047"/>
        <v>0.21042243606905781</v>
      </c>
      <c r="AA836" s="456">
        <f>_xll.xSPRDOPT($L836,$J836,$I836,$M836,$O836,$N836,$P836,$Q836-$C$3,$R836,3)</f>
        <v>0.30316007270249062</v>
      </c>
      <c r="AB836" s="456">
        <f>((_xll.xSPRDOPT($L836+AB$5,$J836,$I836,$M836,$O836,$N836,$P836,$Q836-$C$3,$R836,3)*$H836)/10000)/100</f>
        <v>-9.3979622537772103E-2</v>
      </c>
      <c r="AC836" s="456">
        <f>((_xll.xSPRDOPT($L836+$AB$5,$J836,$I836,$M836,$O836,$N836,$P836,$Q836-$C$3,$R836,7)*$H836)/100)</f>
        <v>2236.9351588732775</v>
      </c>
      <c r="AD836" s="456">
        <f>(_xll.xSPRDOPT($L836+$AB$5,$J836,$I836,$M836,$O836,$N836,$P836,$Q836-$C$3,$R836,9)/365)*$H836</f>
        <v>223.2894215161121</v>
      </c>
      <c r="AE836">
        <f t="shared" si="1048"/>
        <v>0</v>
      </c>
      <c r="AF836" s="456">
        <f t="shared" si="1049"/>
        <v>-1566.4344646789505</v>
      </c>
      <c r="AG836" s="456">
        <f>((_xll.xSPRDOPT($L836,$J836,$I836,$M836,$O836,$N836,$P836,$Q836-$C$3,$R836,6)*$H836)/100)</f>
        <v>302.36089065578801</v>
      </c>
      <c r="AH836" s="456">
        <f>((_xll.xSPRDOPT($L836,$J836,$I836,$M836,$O836,$N836,$P836,$Q836-$C$3,$R836,5)*$H836)/100)</f>
        <v>-1924.8230690826852</v>
      </c>
      <c r="AI836" s="456">
        <f>(((_xll.xSPRDOPT($L836,$J836,$I836,$M836,$O836,$N836,$P836,$Q836-$C$3,$R836,4)*$H836)/10000)/100)-AB836</f>
        <v>2.45821096844515E-2</v>
      </c>
      <c r="AJ836" s="456"/>
    </row>
    <row r="837" spans="1:95" x14ac:dyDescent="0.25">
      <c r="A837" s="140" t="s">
        <v>279</v>
      </c>
      <c r="B837" t="s">
        <v>250</v>
      </c>
      <c r="C837" t="s">
        <v>627</v>
      </c>
      <c r="D837" s="4" t="s">
        <v>190</v>
      </c>
      <c r="E837" t="s">
        <v>20</v>
      </c>
      <c r="F837" t="s">
        <v>21</v>
      </c>
      <c r="G837" s="5">
        <v>36831</v>
      </c>
      <c r="H837" s="130">
        <v>1000000</v>
      </c>
      <c r="I837" s="235">
        <v>1.5</v>
      </c>
      <c r="J837" s="53">
        <f t="shared" si="1035"/>
        <v>4.7359999999999998</v>
      </c>
      <c r="K837" s="7">
        <f t="shared" si="1036"/>
        <v>1.5449999999999999</v>
      </c>
      <c r="L837" s="53">
        <f t="shared" si="1037"/>
        <v>6.2809999999999997</v>
      </c>
      <c r="M837" s="157">
        <f t="shared" si="1038"/>
        <v>6.810675983792E-2</v>
      </c>
      <c r="N837" s="4">
        <f t="shared" si="1039"/>
        <v>0.59499999999999997</v>
      </c>
      <c r="O837" s="4">
        <f t="shared" si="1040"/>
        <v>0.57699999999999996</v>
      </c>
      <c r="P837" s="9">
        <f t="shared" si="1041"/>
        <v>0.85</v>
      </c>
      <c r="Q837" s="5">
        <f t="shared" si="980"/>
        <v>36829</v>
      </c>
      <c r="R837" s="4">
        <f t="shared" si="1042"/>
        <v>1</v>
      </c>
      <c r="S837" s="158">
        <f>_xll.xSPRDOPT($L837,$J837,$I837,$M837,$O837,$N837,$P837,$Q837-$C$3,$R837,0)</f>
        <v>0.33465428969466648</v>
      </c>
      <c r="T837" s="159">
        <f>_xll.xSPRDOPT($L837,$J837,$I837,$M837,$O837,$N837,$P837,$Q837-$C$3,$R837,1)*H837</f>
        <v>541822.37707799091</v>
      </c>
      <c r="U837" s="160">
        <f t="shared" si="1043"/>
        <v>334654.28969466651</v>
      </c>
      <c r="V837" s="159">
        <f>_xll.xSPRDOPT($L837,$J837,$I837,$M837,$O837,$N837,$P837,$Q837-$C$3,$R837,2)*H837</f>
        <v>-495085.03033265227</v>
      </c>
      <c r="W837" s="159">
        <f t="shared" si="1044"/>
        <v>46737.34674533864</v>
      </c>
      <c r="X837" s="51" t="str">
        <f t="shared" si="1045"/>
        <v>36831NGI-SOCAL</v>
      </c>
      <c r="Y837" s="418">
        <f t="shared" si="1046"/>
        <v>100</v>
      </c>
      <c r="Z837" s="456">
        <f t="shared" si="1047"/>
        <v>0.54182237707799086</v>
      </c>
      <c r="AA837" s="456">
        <f>_xll.xSPRDOPT($L837,$J837,$I837,$M837,$O837,$N837,$P837,$Q837-$C$3,$R837,3)</f>
        <v>0.49293981270393239</v>
      </c>
      <c r="AB837" s="456">
        <f>((_xll.xSPRDOPT($L837+AB$5,$J837,$I837,$M837,$O837,$N837,$P837,$Q837-$C$3,$R837,3)*$H837)/10000)/100</f>
        <v>0.49293981270393239</v>
      </c>
      <c r="AC837" s="456">
        <f>((_xll.xSPRDOPT($L837+$AB$5,$J837,$I837,$M837,$O837,$N837,$P837,$Q837-$C$3,$R837,7)*$H837)/100)</f>
        <v>-8613.590608458635</v>
      </c>
      <c r="AD837" s="456">
        <f>(_xll.xSPRDOPT($L837+$AB$5,$J837,$I837,$M837,$O837,$N837,$P837,$Q837-$C$3,$R837,9)/365)*$H837</f>
        <v>-2455.9333250992731</v>
      </c>
      <c r="AE837">
        <f t="shared" si="1048"/>
        <v>0</v>
      </c>
      <c r="AF837" s="456">
        <f t="shared" si="1049"/>
        <v>5244.7915467295397</v>
      </c>
      <c r="AG837" s="456">
        <f>((_xll.xSPRDOPT($L837,$J837,$I837,$M837,$O837,$N837,$P837,$Q837-$C$3,$R837,6)*$H837)/100)</f>
        <v>-920.96752705657298</v>
      </c>
      <c r="AH837" s="456">
        <f>((_xll.xSPRDOPT($L837,$J837,$I837,$M837,$O837,$N837,$P837,$Q837-$C$3,$R837,5)*$H837)/100)</f>
        <v>6358.1051107499779</v>
      </c>
      <c r="AI837" s="456">
        <f>(((_xll.xSPRDOPT($L837,$J837,$I837,$M837,$O837,$N837,$P837,$Q837-$C$3,$R837,4)*$H837)/10000)/100)-AB837</f>
        <v>9.5867539983475192E-3</v>
      </c>
      <c r="AJ837" s="456"/>
    </row>
    <row r="838" spans="1:95" x14ac:dyDescent="0.25">
      <c r="A838" s="140" t="s">
        <v>279</v>
      </c>
      <c r="B838" t="s">
        <v>250</v>
      </c>
      <c r="C838" t="s">
        <v>627</v>
      </c>
      <c r="D838" s="4" t="s">
        <v>190</v>
      </c>
      <c r="E838" t="s">
        <v>20</v>
      </c>
      <c r="F838" t="s">
        <v>21</v>
      </c>
      <c r="G838" s="5">
        <v>36861</v>
      </c>
      <c r="H838" s="130">
        <v>1000000</v>
      </c>
      <c r="I838" s="235">
        <v>1.5</v>
      </c>
      <c r="J838" s="53">
        <f t="shared" si="1035"/>
        <v>4.8</v>
      </c>
      <c r="K838" s="7">
        <f t="shared" si="1036"/>
        <v>1.0049999999999999</v>
      </c>
      <c r="L838" s="53">
        <f t="shared" si="1037"/>
        <v>5.8049999999999997</v>
      </c>
      <c r="M838" s="157">
        <f t="shared" si="1038"/>
        <v>6.8314027999354002E-2</v>
      </c>
      <c r="N838" s="4">
        <f t="shared" si="1039"/>
        <v>0.6</v>
      </c>
      <c r="O838" s="4">
        <f t="shared" si="1040"/>
        <v>0.58199999999999996</v>
      </c>
      <c r="P838" s="9">
        <f t="shared" si="1041"/>
        <v>0.85</v>
      </c>
      <c r="Q838" s="5">
        <f t="shared" si="980"/>
        <v>36859</v>
      </c>
      <c r="R838" s="4">
        <f t="shared" si="1042"/>
        <v>1</v>
      </c>
      <c r="S838" s="158">
        <f>_xll.xSPRDOPT($L838,$J838,$I838,$M838,$O838,$N838,$P838,$Q838-$C$3,$R838,0)</f>
        <v>0.17486384317717762</v>
      </c>
      <c r="T838" s="159">
        <f>_xll.xSPRDOPT($L838,$J838,$I838,$M838,$O838,$N838,$P838,$Q838-$C$3,$R838,1)*H838</f>
        <v>321433.88167265116</v>
      </c>
      <c r="U838" s="160">
        <f t="shared" si="1043"/>
        <v>174863.84317717762</v>
      </c>
      <c r="V838" s="159">
        <f>_xll.xSPRDOPT($L838,$J838,$I838,$M838,$O838,$N838,$P838,$Q838-$C$3,$R838,2)*H838</f>
        <v>-271215.58340863208</v>
      </c>
      <c r="W838" s="159">
        <f t="shared" si="1044"/>
        <v>50218.298264019075</v>
      </c>
      <c r="X838" s="51" t="str">
        <f t="shared" si="1045"/>
        <v>36861NGI-SOCAL</v>
      </c>
      <c r="Y838" s="418">
        <f t="shared" si="1046"/>
        <v>100</v>
      </c>
      <c r="Z838" s="456">
        <f t="shared" si="1047"/>
        <v>0.32143388167265113</v>
      </c>
      <c r="AA838" s="456">
        <f>_xll.xSPRDOPT($L838,$J838,$I838,$M838,$O838,$N838,$P838,$Q838-$C$3,$R838,3)</f>
        <v>0.39359108806003712</v>
      </c>
      <c r="AB838" s="456">
        <f>((_xll.xSPRDOPT($L838+AB$5,$J838,$I838,$M838,$O838,$N838,$P838,$Q838-$C$3,$R838,3)*$H838)/10000)/100</f>
        <v>0.39359108806003712</v>
      </c>
      <c r="AC838" s="456">
        <f>((_xll.xSPRDOPT($L838+$AB$5,$J838,$I838,$M838,$O838,$N838,$P838,$Q838-$C$3,$R838,7)*$H838)/100)</f>
        <v>-8942.4813367041752</v>
      </c>
      <c r="AD838" s="456">
        <f>(_xll.xSPRDOPT($L838+$AB$5,$J838,$I838,$M838,$O838,$N838,$P838,$Q838-$C$3,$R838,9)/365)*$H838</f>
        <v>-1714.3691188850976</v>
      </c>
      <c r="AE838">
        <f t="shared" si="1048"/>
        <v>0</v>
      </c>
      <c r="AF838" s="456">
        <f t="shared" si="1049"/>
        <v>5354.0967309274629</v>
      </c>
      <c r="AG838" s="456">
        <f>((_xll.xSPRDOPT($L838,$J838,$I838,$M838,$O838,$N838,$P838,$Q838-$C$3,$R838,6)*$H838)/100)</f>
        <v>-837.42521822517153</v>
      </c>
      <c r="AH838" s="456">
        <f>((_xll.xSPRDOPT($L838,$J838,$I838,$M838,$O838,$N838,$P838,$Q838-$C$3,$R838,5)*$H838)/100)</f>
        <v>6383.0123187140562</v>
      </c>
      <c r="AI838" s="456">
        <f>(((_xll.xSPRDOPT($L838,$J838,$I838,$M838,$O838,$N838,$P838,$Q838-$C$3,$R838,4)*$H838)/10000)/100)-AB838</f>
        <v>-5.3817205143856628E-2</v>
      </c>
      <c r="AJ838" s="456"/>
    </row>
    <row r="839" spans="1:95" x14ac:dyDescent="0.25">
      <c r="A839" s="140" t="s">
        <v>279</v>
      </c>
      <c r="B839" t="s">
        <v>250</v>
      </c>
      <c r="C839" t="s">
        <v>627</v>
      </c>
      <c r="D839" s="4" t="s">
        <v>190</v>
      </c>
      <c r="E839" t="s">
        <v>20</v>
      </c>
      <c r="F839" t="s">
        <v>21</v>
      </c>
      <c r="G839" s="5">
        <v>36892</v>
      </c>
      <c r="H839" s="130">
        <v>1000000</v>
      </c>
      <c r="I839" s="235">
        <v>1.5</v>
      </c>
      <c r="J839" s="53">
        <f t="shared" si="1035"/>
        <v>4.7439999999999998</v>
      </c>
      <c r="K839" s="7">
        <f t="shared" si="1036"/>
        <v>0.76749999999999996</v>
      </c>
      <c r="L839" s="53">
        <f t="shared" si="1037"/>
        <v>5.5114999999999998</v>
      </c>
      <c r="M839" s="157">
        <f t="shared" si="1038"/>
        <v>6.8374831148490994E-2</v>
      </c>
      <c r="N839" s="4">
        <f t="shared" si="1039"/>
        <v>0.60499999999999998</v>
      </c>
      <c r="O839" s="4">
        <f t="shared" si="1040"/>
        <v>0.58699999999999997</v>
      </c>
      <c r="P839" s="9">
        <f t="shared" si="1041"/>
        <v>0.85</v>
      </c>
      <c r="Q839" s="5">
        <f t="shared" ref="Q839:Q868" si="1050">WORKDAY(G839,-2)</f>
        <v>36888</v>
      </c>
      <c r="R839" s="4">
        <f t="shared" si="1042"/>
        <v>1</v>
      </c>
      <c r="S839" s="158">
        <f>_xll.xSPRDOPT($L839,$J839,$I839,$M839,$O839,$N839,$P839,$Q839-$C$3,$R839,0)</f>
        <v>0.1486282793423401</v>
      </c>
      <c r="T839" s="159">
        <f>_xll.xSPRDOPT($L839,$J839,$I839,$M839,$O839,$N839,$P839,$Q839-$C$3,$R839,1)*H839</f>
        <v>267252.26797249675</v>
      </c>
      <c r="U839" s="160">
        <f t="shared" si="1043"/>
        <v>148628.2793423401</v>
      </c>
      <c r="V839" s="159">
        <f>_xll.xSPRDOPT($L839,$J839,$I839,$M839,$O839,$N839,$P839,$Q839-$C$3,$R839,2)*H839</f>
        <v>-215001.66487173224</v>
      </c>
      <c r="W839" s="159">
        <f t="shared" si="1044"/>
        <v>52250.603100764507</v>
      </c>
      <c r="X839" s="51" t="str">
        <f t="shared" si="1045"/>
        <v>36892NGI-SOCAL</v>
      </c>
      <c r="Y839" s="418">
        <f t="shared" si="1046"/>
        <v>100</v>
      </c>
      <c r="Z839" s="456">
        <f t="shared" si="1047"/>
        <v>0.26725226797249674</v>
      </c>
      <c r="AA839" s="456">
        <f>_xll.xSPRDOPT($L839,$J839,$I839,$M839,$O839,$N839,$P839,$Q839-$C$3,$R839,3)</f>
        <v>0.3284469649688801</v>
      </c>
      <c r="AB839" s="456">
        <f>((_xll.xSPRDOPT($L839+AB$5,$J839,$I839,$M839,$O839,$N839,$P839,$Q839-$C$3,$R839,3)*$H839)/10000)/100</f>
        <v>0.32844696496888015</v>
      </c>
      <c r="AC839" s="456">
        <f>((_xll.xSPRDOPT($L839+$AB$5,$J839,$I839,$M839,$O839,$N839,$P839,$Q839-$C$3,$R839,7)*$H839)/100)</f>
        <v>-8999.7986329082523</v>
      </c>
      <c r="AD839" s="456">
        <f>(_xll.xSPRDOPT($L839+$AB$5,$J839,$I839,$M839,$O839,$N839,$P839,$Q839-$C$3,$R839,9)/365)*$H839</f>
        <v>-1312.9402479458108</v>
      </c>
      <c r="AE839">
        <f t="shared" si="1048"/>
        <v>0</v>
      </c>
      <c r="AF839" s="456">
        <f t="shared" si="1049"/>
        <v>5359.4592507567795</v>
      </c>
      <c r="AG839" s="456">
        <f>((_xll.xSPRDOPT($L839,$J839,$I839,$M839,$O839,$N839,$P839,$Q839-$C$3,$R839,6)*$H839)/100)</f>
        <v>-820.6752523349777</v>
      </c>
      <c r="AH839" s="456">
        <f>((_xll.xSPRDOPT($L839,$J839,$I839,$M839,$O839,$N839,$P839,$Q839-$C$3,$R839,5)*$H839)/100)</f>
        <v>6369.6445900690169</v>
      </c>
      <c r="AI839" s="456">
        <f>(((_xll.xSPRDOPT($L839,$J839,$I839,$M839,$O839,$N839,$P839,$Q839-$C$3,$R839,4)*$H839)/10000)/100)-AB839</f>
        <v>-6.632061388740329E-2</v>
      </c>
      <c r="AJ839" s="456"/>
    </row>
    <row r="840" spans="1:95" x14ac:dyDescent="0.25">
      <c r="A840" s="140" t="s">
        <v>279</v>
      </c>
      <c r="B840" t="s">
        <v>250</v>
      </c>
      <c r="C840" t="s">
        <v>627</v>
      </c>
      <c r="D840" s="4" t="s">
        <v>190</v>
      </c>
      <c r="E840" t="s">
        <v>20</v>
      </c>
      <c r="F840" t="s">
        <v>21</v>
      </c>
      <c r="G840" s="5">
        <v>36923</v>
      </c>
      <c r="H840" s="130">
        <v>1000000</v>
      </c>
      <c r="I840" s="235">
        <v>1.5</v>
      </c>
      <c r="J840" s="53">
        <f t="shared" si="1035"/>
        <v>4.4800000000000004</v>
      </c>
      <c r="K840" s="7">
        <f t="shared" si="1036"/>
        <v>0.61750000000000005</v>
      </c>
      <c r="L840" s="53">
        <f t="shared" si="1037"/>
        <v>5.0975000000000001</v>
      </c>
      <c r="M840" s="157">
        <f t="shared" si="1038"/>
        <v>6.8640161611372E-2</v>
      </c>
      <c r="N840" s="4">
        <f t="shared" si="1039"/>
        <v>0.59250000000000003</v>
      </c>
      <c r="O840" s="4">
        <f t="shared" si="1040"/>
        <v>0.57499999999999996</v>
      </c>
      <c r="P840" s="9">
        <f t="shared" si="1041"/>
        <v>0.85</v>
      </c>
      <c r="Q840" s="5">
        <f t="shared" si="1050"/>
        <v>36921</v>
      </c>
      <c r="R840" s="4">
        <f t="shared" si="1042"/>
        <v>1</v>
      </c>
      <c r="S840" s="158">
        <f>_xll.xSPRDOPT($L840,$J840,$I840,$M840,$O840,$N840,$P840,$Q840-$C$3,$R840,0)</f>
        <v>0.12801849911069918</v>
      </c>
      <c r="T840" s="159">
        <f>_xll.xSPRDOPT($L840,$J840,$I840,$M840,$O840,$N840,$P840,$Q840-$C$3,$R840,1)*H840</f>
        <v>235235.7719296992</v>
      </c>
      <c r="U840" s="160">
        <f t="shared" si="1043"/>
        <v>128018.49911069918</v>
      </c>
      <c r="V840" s="159">
        <f>_xll.xSPRDOPT($L840,$J840,$I840,$M840,$O840,$N840,$P840,$Q840-$C$3,$R840,2)*H840</f>
        <v>-182515.33597268962</v>
      </c>
      <c r="W840" s="159">
        <f t="shared" si="1044"/>
        <v>52720.435957009584</v>
      </c>
      <c r="X840" s="51" t="str">
        <f t="shared" si="1045"/>
        <v>36923NGI-SOCAL</v>
      </c>
      <c r="Y840" s="418">
        <f t="shared" si="1046"/>
        <v>100</v>
      </c>
      <c r="Z840" s="456">
        <f t="shared" si="1047"/>
        <v>0.23523577192969919</v>
      </c>
      <c r="AA840" s="456">
        <f>_xll.xSPRDOPT($L840,$J840,$I840,$M840,$O840,$N840,$P840,$Q840-$C$3,$R840,3)</f>
        <v>0.29911435439858436</v>
      </c>
      <c r="AB840" s="456">
        <f>((_xll.xSPRDOPT($L840+AB$5,$J840,$I840,$M840,$O840,$N840,$P840,$Q840-$C$3,$R840,3)*$H840)/10000)/100</f>
        <v>0.29911435439858436</v>
      </c>
      <c r="AC840" s="456">
        <f>((_xll.xSPRDOPT($L840+$AB$5,$J840,$I840,$M840,$O840,$N840,$P840,$Q840-$C$3,$R840,7)*$H840)/100)</f>
        <v>-8477.5367429604939</v>
      </c>
      <c r="AD840" s="456">
        <f>(_xll.xSPRDOPT($L840+$AB$5,$J840,$I840,$M840,$O840,$N840,$P840,$Q840-$C$3,$R840,9)/365)*$H840</f>
        <v>-984.60299951086574</v>
      </c>
      <c r="AE840">
        <f t="shared" si="1048"/>
        <v>0</v>
      </c>
      <c r="AF840" s="456">
        <f t="shared" si="1049"/>
        <v>5239.8319072303975</v>
      </c>
      <c r="AG840" s="456">
        <f>((_xll.xSPRDOPT($L840,$J840,$I840,$M840,$O840,$N840,$P840,$Q840-$C$3,$R840,6)*$H840)/100)</f>
        <v>-884.84245249809726</v>
      </c>
      <c r="AH840" s="456">
        <f>((_xll.xSPRDOPT($L840,$J840,$I840,$M840,$O840,$N840,$P840,$Q840-$C$3,$R840,5)*$H840)/100)</f>
        <v>6311.0774924158841</v>
      </c>
      <c r="AI840" s="456">
        <f>(((_xll.xSPRDOPT($L840,$J840,$I840,$M840,$O840,$N840,$P840,$Q840-$C$3,$R840,4)*$H840)/10000)/100)-AB840</f>
        <v>-7.4198834734550162E-2</v>
      </c>
      <c r="AJ840" s="456"/>
    </row>
    <row r="841" spans="1:95" x14ac:dyDescent="0.25">
      <c r="A841" s="140" t="s">
        <v>279</v>
      </c>
      <c r="B841" t="s">
        <v>250</v>
      </c>
      <c r="C841" t="s">
        <v>627</v>
      </c>
      <c r="D841" s="4" t="s">
        <v>190</v>
      </c>
      <c r="E841" t="s">
        <v>20</v>
      </c>
      <c r="F841" t="s">
        <v>21</v>
      </c>
      <c r="G841" s="5">
        <v>36951</v>
      </c>
      <c r="H841" s="130">
        <v>1000000</v>
      </c>
      <c r="I841" s="235">
        <v>1.5</v>
      </c>
      <c r="J841" s="53">
        <f t="shared" si="1035"/>
        <v>4.2130000000000001</v>
      </c>
      <c r="K841" s="7">
        <f t="shared" si="1036"/>
        <v>0.59750000000000003</v>
      </c>
      <c r="L841" s="53">
        <f t="shared" si="1037"/>
        <v>4.8105000000000002</v>
      </c>
      <c r="M841" s="157">
        <f t="shared" si="1038"/>
        <v>6.8879814952706994E-2</v>
      </c>
      <c r="N841" s="4">
        <f t="shared" si="1039"/>
        <v>0.53249999999999997</v>
      </c>
      <c r="O841" s="4">
        <f t="shared" si="1040"/>
        <v>0.51700000000000002</v>
      </c>
      <c r="P841" s="9">
        <f t="shared" si="1041"/>
        <v>0.85</v>
      </c>
      <c r="Q841" s="5">
        <f t="shared" si="1050"/>
        <v>36949</v>
      </c>
      <c r="R841" s="4">
        <f t="shared" si="1042"/>
        <v>1</v>
      </c>
      <c r="S841" s="158">
        <f>_xll.xSPRDOPT($L841,$J841,$I841,$M841,$O841,$N841,$P841,$Q841-$C$3,$R841,0)</f>
        <v>0.10295825264593923</v>
      </c>
      <c r="T841" s="159">
        <f>_xll.xSPRDOPT($L841,$J841,$I841,$M841,$O841,$N841,$P841,$Q841-$C$3,$R841,1)*H841</f>
        <v>210422.43606905782</v>
      </c>
      <c r="U841" s="160">
        <f t="shared" si="1043"/>
        <v>102958.25264593924</v>
      </c>
      <c r="V841" s="159">
        <f>_xll.xSPRDOPT($L841,$J841,$I841,$M841,$O841,$N841,$P841,$Q841-$C$3,$R841,2)*H841</f>
        <v>-162791.51020605757</v>
      </c>
      <c r="W841" s="159">
        <f t="shared" si="1044"/>
        <v>47630.925863000244</v>
      </c>
      <c r="X841" s="51" t="str">
        <f t="shared" si="1045"/>
        <v>36951NGI-SOCAL</v>
      </c>
      <c r="Y841" s="418">
        <f t="shared" si="1046"/>
        <v>100</v>
      </c>
      <c r="Z841" s="456">
        <f t="shared" si="1047"/>
        <v>0.21042243606905781</v>
      </c>
      <c r="AA841" s="456">
        <f>_xll.xSPRDOPT($L841,$J841,$I841,$M841,$O841,$N841,$P841,$Q841-$C$3,$R841,3)</f>
        <v>0.30316007270249062</v>
      </c>
      <c r="AB841" s="456">
        <f>((_xll.xSPRDOPT($L841+AB$5,$J841,$I841,$M841,$O841,$N841,$P841,$Q841-$C$3,$R841,3)*$H841)/10000)/100</f>
        <v>0.30316007270249057</v>
      </c>
      <c r="AC841" s="456">
        <f>((_xll.xSPRDOPT($L841+$AB$5,$J841,$I841,$M841,$O841,$N841,$P841,$Q841-$C$3,$R841,7)*$H841)/100)</f>
        <v>-7215.9198673331539</v>
      </c>
      <c r="AD841" s="456">
        <f>(_xll.xSPRDOPT($L841+$AB$5,$J841,$I841,$M841,$O841,$N841,$P841,$Q841-$C$3,$R841,9)/365)*$H841</f>
        <v>-720.28845650358744</v>
      </c>
      <c r="AE841">
        <f t="shared" si="1048"/>
        <v>0</v>
      </c>
      <c r="AF841" s="456">
        <f t="shared" si="1049"/>
        <v>5053.0144021901633</v>
      </c>
      <c r="AG841" s="456">
        <f>((_xll.xSPRDOPT($L841,$J841,$I841,$M841,$O841,$N841,$P841,$Q841-$C$3,$R841,6)*$H841)/100)</f>
        <v>-975.35771179286462</v>
      </c>
      <c r="AH841" s="456">
        <f>((_xll.xSPRDOPT($L841,$J841,$I841,$M841,$O841,$N841,$P841,$Q841-$C$3,$R841,5)*$H841)/100)</f>
        <v>6209.106674460274</v>
      </c>
      <c r="AI841" s="456">
        <f>(((_xll.xSPRDOPT($L841,$J841,$I841,$M841,$O841,$N841,$P841,$Q841-$C$3,$R841,4)*$H841)/10000)/100)-AB841</f>
        <v>-7.9297128014359591E-2</v>
      </c>
      <c r="AJ841" s="456"/>
    </row>
    <row r="842" spans="1:95" x14ac:dyDescent="0.25">
      <c r="A842" s="140" t="s">
        <v>279</v>
      </c>
      <c r="B842" t="s">
        <v>250</v>
      </c>
      <c r="C842" t="s">
        <v>628</v>
      </c>
      <c r="D842" s="4" t="s">
        <v>190</v>
      </c>
      <c r="E842" t="s">
        <v>20</v>
      </c>
      <c r="F842" t="s">
        <v>21</v>
      </c>
      <c r="G842" s="5">
        <v>36982</v>
      </c>
      <c r="H842" s="130">
        <v>-500000</v>
      </c>
      <c r="I842" s="235">
        <v>1.5</v>
      </c>
      <c r="J842" s="53">
        <f t="shared" si="1035"/>
        <v>3.9380000000000002</v>
      </c>
      <c r="K842" s="7">
        <f t="shared" si="1036"/>
        <v>0.59</v>
      </c>
      <c r="L842" s="53">
        <f t="shared" si="1037"/>
        <v>4.5280000000000005</v>
      </c>
      <c r="M842" s="157">
        <f t="shared" si="1038"/>
        <v>6.9061726541120999E-2</v>
      </c>
      <c r="N842" s="4">
        <f t="shared" si="1039"/>
        <v>0.4425</v>
      </c>
      <c r="O842" s="4">
        <f t="shared" si="1040"/>
        <v>0.443</v>
      </c>
      <c r="P842" s="9">
        <f t="shared" si="1041"/>
        <v>0.88</v>
      </c>
      <c r="Q842" s="5">
        <f t="shared" si="1050"/>
        <v>36979</v>
      </c>
      <c r="R842" s="4">
        <f t="shared" si="1042"/>
        <v>1</v>
      </c>
      <c r="S842" s="158">
        <f>_xll.xSPRDOPT($L842,$J842,$I842,$M842,$O842,$N842,$P842,$Q842-$C$3,$R842,0)</f>
        <v>5.6122349484612109E-2</v>
      </c>
      <c r="T842" s="159">
        <f>_xll.xSPRDOPT($L842,$J842,$I842,$M842,$O842,$N842,$P842,$Q842-$C$3,$R842,1)*H842</f>
        <v>-76274.733956480268</v>
      </c>
      <c r="U842" s="160">
        <f t="shared" si="1043"/>
        <v>-28061.174742306055</v>
      </c>
      <c r="V842" s="159">
        <f>_xll.xSPRDOPT($L842,$J842,$I842,$M842,$O842,$N842,$P842,$Q842-$C$3,$R842,2)*H842</f>
        <v>60784.561834095264</v>
      </c>
      <c r="W842" s="159">
        <f t="shared" si="1044"/>
        <v>-15490.172122385004</v>
      </c>
      <c r="X842" s="51" t="str">
        <f t="shared" si="1045"/>
        <v>36982NGI-SOCAL</v>
      </c>
      <c r="Y842" s="418">
        <f t="shared" si="1046"/>
        <v>-50</v>
      </c>
      <c r="Z842" s="456">
        <f t="shared" si="1047"/>
        <v>0.15254946791296053</v>
      </c>
      <c r="AA842" s="456">
        <f>_xll.xSPRDOPT($L842,$J842,$I842,$M842,$O842,$N842,$P842,$Q842-$C$3,$R842,3)</f>
        <v>0.30763838051775455</v>
      </c>
      <c r="AB842" s="456">
        <f>((_xll.xSPRDOPT($L842+AB$5,$J842,$I842,$M842,$O842,$N842,$P842,$Q842-$C$3,$R842,3)*$H842)/10000)/100</f>
        <v>-0.15381919025887725</v>
      </c>
      <c r="AC842" s="456">
        <f>((_xll.xSPRDOPT($L842+$AB$5,$J842,$I842,$M842,$O842,$N842,$P842,$Q842-$C$3,$R842,7)*$H842)/100)</f>
        <v>2682.6184747182392</v>
      </c>
      <c r="AD842" s="456">
        <f>(_xll.xSPRDOPT($L842+$AB$5,$J842,$I842,$M842,$O842,$N842,$P842,$Q842-$C$3,$R842,9)/365)*$H842</f>
        <v>203.72096423641577</v>
      </c>
      <c r="AE842">
        <f t="shared" si="1048"/>
        <v>0</v>
      </c>
      <c r="AF842" s="456">
        <f t="shared" si="1049"/>
        <v>-2001.542072557135</v>
      </c>
      <c r="AG842" s="456">
        <f>((_xll.xSPRDOPT($L842,$J842,$I842,$M842,$O842,$N842,$P842,$Q842-$C$3,$R842,6)*$H842)/100)</f>
        <v>781.78777354177942</v>
      </c>
      <c r="AH842" s="456">
        <f>((_xll.xSPRDOPT($L842,$J842,$I842,$M842,$O842,$N842,$P842,$Q842-$C$3,$R842,5)*$H842)/100)</f>
        <v>-2780.1883902906761</v>
      </c>
      <c r="AI842" s="456">
        <f>(((_xll.xSPRDOPT($L842,$J842,$I842,$M842,$O842,$N842,$P842,$Q842-$C$3,$R842,4)*$H842)/10000)/100)-AB842</f>
        <v>3.9503928569048788E-2</v>
      </c>
      <c r="AJ842" s="456"/>
    </row>
    <row r="843" spans="1:95" x14ac:dyDescent="0.25">
      <c r="A843" s="140" t="s">
        <v>279</v>
      </c>
      <c r="B843" t="s">
        <v>250</v>
      </c>
      <c r="C843" t="s">
        <v>628</v>
      </c>
      <c r="D843" s="4" t="s">
        <v>190</v>
      </c>
      <c r="E843" t="s">
        <v>20</v>
      </c>
      <c r="F843" t="s">
        <v>21</v>
      </c>
      <c r="G843" s="5">
        <v>37012</v>
      </c>
      <c r="H843" s="130">
        <v>-500000</v>
      </c>
      <c r="I843" s="235">
        <v>1.5</v>
      </c>
      <c r="J843" s="53">
        <f t="shared" si="1035"/>
        <v>3.8380000000000001</v>
      </c>
      <c r="K843" s="7">
        <f t="shared" si="1036"/>
        <v>0.6</v>
      </c>
      <c r="L843" s="53">
        <f t="shared" si="1037"/>
        <v>4.4379999999999997</v>
      </c>
      <c r="M843" s="157">
        <f t="shared" si="1038"/>
        <v>6.9101151218999998E-2</v>
      </c>
      <c r="N843" s="4">
        <f t="shared" si="1039"/>
        <v>0.40500000000000003</v>
      </c>
      <c r="O843" s="4">
        <f t="shared" si="1040"/>
        <v>0.40500000000000003</v>
      </c>
      <c r="P843" s="9">
        <f t="shared" si="1041"/>
        <v>0.88</v>
      </c>
      <c r="Q843" s="5">
        <f t="shared" si="1050"/>
        <v>37008</v>
      </c>
      <c r="R843" s="4">
        <f t="shared" si="1042"/>
        <v>1</v>
      </c>
      <c r="S843" s="158">
        <f>_xll.xSPRDOPT($L843,$J843,$I843,$M843,$O843,$N843,$P843,$Q843-$C$3,$R843,0)</f>
        <v>4.9906210084551615E-2</v>
      </c>
      <c r="T843" s="159">
        <f>_xll.xSPRDOPT($L843,$J843,$I843,$M843,$O843,$N843,$P843,$Q843-$C$3,$R843,1)*H843</f>
        <v>-71682.068924161576</v>
      </c>
      <c r="U843" s="160">
        <f t="shared" si="1043"/>
        <v>-24953.105042275809</v>
      </c>
      <c r="V843" s="159">
        <f>_xll.xSPRDOPT($L843,$J843,$I843,$M843,$O843,$N843,$P843,$Q843-$C$3,$R843,2)*H843</f>
        <v>57287.617976357091</v>
      </c>
      <c r="W843" s="159">
        <f t="shared" si="1044"/>
        <v>-14394.450947804486</v>
      </c>
      <c r="X843" s="51" t="str">
        <f t="shared" si="1045"/>
        <v>37012NGI-SOCAL</v>
      </c>
      <c r="Y843" s="418">
        <f t="shared" si="1046"/>
        <v>-50</v>
      </c>
      <c r="Z843" s="456">
        <f t="shared" si="1047"/>
        <v>0.14336413784832316</v>
      </c>
      <c r="AA843" s="456">
        <f>_xll.xSPRDOPT($L843,$J843,$I843,$M843,$O843,$N843,$P843,$Q843-$C$3,$R843,3)</f>
        <v>0.30790359838914788</v>
      </c>
      <c r="AB843" s="456">
        <f>((_xll.xSPRDOPT($L843+AB$5,$J843,$I843,$M843,$O843,$N843,$P843,$Q843-$C$3,$R843,3)*$H843)/10000)/100</f>
        <v>-0.15395179919457394</v>
      </c>
      <c r="AC843" s="456">
        <f>((_xll.xSPRDOPT($L843+$AB$5,$J843,$I843,$M843,$O843,$N843,$P843,$Q843-$C$3,$R843,7)*$H843)/100)</f>
        <v>2438.9728564834381</v>
      </c>
      <c r="AD843" s="456">
        <f>(_xll.xSPRDOPT($L843+$AB$5,$J843,$I843,$M843,$O843,$N843,$P843,$Q843-$C$3,$R843,9)/365)*$H843</f>
        <v>163.84531098919115</v>
      </c>
      <c r="AE843">
        <f t="shared" si="1048"/>
        <v>0</v>
      </c>
      <c r="AF843" s="456">
        <f t="shared" si="1049"/>
        <v>-2004.8106673753105</v>
      </c>
      <c r="AG843" s="456">
        <f>((_xll.xSPRDOPT($L843,$J843,$I843,$M843,$O843,$N843,$P843,$Q843-$C$3,$R843,6)*$H843)/100)</f>
        <v>798.59260966061674</v>
      </c>
      <c r="AH843" s="456">
        <f>((_xll.xSPRDOPT($L843,$J843,$I843,$M843,$O843,$N843,$P843,$Q843-$C$3,$R843,5)*$H843)/100)</f>
        <v>-2803.4032770359272</v>
      </c>
      <c r="AI843" s="456">
        <f>(((_xll.xSPRDOPT($L843,$J843,$I843,$M843,$O843,$N843,$P843,$Q843-$C$3,$R843,4)*$H843)/10000)/100)-AB843</f>
        <v>3.9608208657287772E-2</v>
      </c>
      <c r="AJ843" s="456"/>
    </row>
    <row r="844" spans="1:95" x14ac:dyDescent="0.25">
      <c r="A844" s="140" t="s">
        <v>279</v>
      </c>
      <c r="B844" t="s">
        <v>250</v>
      </c>
      <c r="C844" t="s">
        <v>628</v>
      </c>
      <c r="D844" s="4" t="s">
        <v>190</v>
      </c>
      <c r="E844" t="s">
        <v>20</v>
      </c>
      <c r="F844" t="s">
        <v>21</v>
      </c>
      <c r="G844" s="5">
        <v>37043</v>
      </c>
      <c r="H844" s="130">
        <v>-500000</v>
      </c>
      <c r="I844" s="235">
        <v>1.5</v>
      </c>
      <c r="J844" s="53">
        <f t="shared" si="1035"/>
        <v>3.8180000000000001</v>
      </c>
      <c r="K844" s="7">
        <f t="shared" si="1036"/>
        <v>0.62</v>
      </c>
      <c r="L844" s="53">
        <f t="shared" si="1037"/>
        <v>4.4379999999999997</v>
      </c>
      <c r="M844" s="157">
        <f t="shared" si="1038"/>
        <v>6.9141890053328006E-2</v>
      </c>
      <c r="N844" s="4">
        <f t="shared" si="1039"/>
        <v>0.4</v>
      </c>
      <c r="O844" s="4">
        <f t="shared" si="1040"/>
        <v>0.4</v>
      </c>
      <c r="P844" s="9">
        <f t="shared" si="1041"/>
        <v>0.88</v>
      </c>
      <c r="Q844" s="5">
        <f t="shared" si="1050"/>
        <v>37041</v>
      </c>
      <c r="R844" s="4">
        <f t="shared" si="1042"/>
        <v>1</v>
      </c>
      <c r="S844" s="158">
        <f>_xll.xSPRDOPT($L844,$J844,$I844,$M844,$O844,$N844,$P844,$Q844-$C$3,$R844,0)</f>
        <v>6.0981782458567356E-2</v>
      </c>
      <c r="T844" s="159">
        <f>_xll.xSPRDOPT($L844,$J844,$I844,$M844,$O844,$N844,$P844,$Q844-$C$3,$R844,1)*H844</f>
        <v>-80968.132105969824</v>
      </c>
      <c r="U844" s="160">
        <f t="shared" si="1043"/>
        <v>-30490.891229283679</v>
      </c>
      <c r="V844" s="159">
        <f>_xll.xSPRDOPT($L844,$J844,$I844,$M844,$O844,$N844,$P844,$Q844-$C$3,$R844,2)*H844</f>
        <v>64571.219000511759</v>
      </c>
      <c r="W844" s="159">
        <f t="shared" si="1044"/>
        <v>-16396.913105458065</v>
      </c>
      <c r="X844" s="51" t="str">
        <f t="shared" si="1045"/>
        <v>37043NGI-SOCAL</v>
      </c>
      <c r="Y844" s="418">
        <f t="shared" si="1046"/>
        <v>-50</v>
      </c>
      <c r="Z844" s="456">
        <f t="shared" si="1047"/>
        <v>0.16193626421193966</v>
      </c>
      <c r="AA844" s="456">
        <f>_xll.xSPRDOPT($L844,$J844,$I844,$M844,$O844,$N844,$P844,$Q844-$C$3,$R844,3)</f>
        <v>0.31568193721000809</v>
      </c>
      <c r="AB844" s="456">
        <f>((_xll.xSPRDOPT($L844+AB$5,$J844,$I844,$M844,$O844,$N844,$P844,$Q844-$C$3,$R844,3)*$H844)/10000)/100</f>
        <v>-0.15784096860500405</v>
      </c>
      <c r="AC844" s="456">
        <f>((_xll.xSPRDOPT($L844+$AB$5,$J844,$I844,$M844,$O844,$N844,$P844,$Q844-$C$3,$R844,7)*$H844)/100)</f>
        <v>2770.0496770455143</v>
      </c>
      <c r="AD844" s="456">
        <f>(_xll.xSPRDOPT($L844+$AB$5,$J844,$I844,$M844,$O844,$N844,$P844,$Q844-$C$3,$R844,9)/365)*$H844</f>
        <v>163.20628030889941</v>
      </c>
      <c r="AE844">
        <f t="shared" si="1048"/>
        <v>0</v>
      </c>
      <c r="AF844" s="456">
        <f t="shared" si="1049"/>
        <v>-2313.4710776516445</v>
      </c>
      <c r="AG844" s="456">
        <f>((_xll.xSPRDOPT($L844,$J844,$I844,$M844,$O844,$N844,$P844,$Q844-$C$3,$R844,6)*$H844)/100)</f>
        <v>920.98018155655825</v>
      </c>
      <c r="AH844" s="456">
        <f>((_xll.xSPRDOPT($L844,$J844,$I844,$M844,$O844,$N844,$P844,$Q844-$C$3,$R844,5)*$H844)/100)</f>
        <v>-3234.4512592082028</v>
      </c>
      <c r="AI844" s="456">
        <f>(((_xll.xSPRDOPT($L844,$J844,$I844,$M844,$O844,$N844,$P844,$Q844-$C$3,$R844,4)*$H844)/10000)/100)-AB844</f>
        <v>3.9573706311056972E-2</v>
      </c>
      <c r="AJ844" s="456"/>
    </row>
    <row r="845" spans="1:95" x14ac:dyDescent="0.25">
      <c r="A845" s="140" t="s">
        <v>279</v>
      </c>
      <c r="B845" t="s">
        <v>250</v>
      </c>
      <c r="C845" t="s">
        <v>628</v>
      </c>
      <c r="D845" s="4" t="s">
        <v>190</v>
      </c>
      <c r="E845" t="s">
        <v>20</v>
      </c>
      <c r="F845" t="s">
        <v>21</v>
      </c>
      <c r="G845" s="5">
        <v>37073</v>
      </c>
      <c r="H845" s="130">
        <v>-500000</v>
      </c>
      <c r="I845" s="235">
        <v>1.5</v>
      </c>
      <c r="J845" s="53">
        <f t="shared" si="1035"/>
        <v>3.8029999999999999</v>
      </c>
      <c r="K845" s="7">
        <f t="shared" si="1036"/>
        <v>1.2250000000000001</v>
      </c>
      <c r="L845" s="53">
        <f t="shared" si="1037"/>
        <v>5.0280000000000005</v>
      </c>
      <c r="M845" s="157">
        <f t="shared" si="1038"/>
        <v>6.9181571268567998E-2</v>
      </c>
      <c r="N845" s="4">
        <f t="shared" si="1039"/>
        <v>0.4</v>
      </c>
      <c r="O845" s="4">
        <f t="shared" si="1040"/>
        <v>0.4</v>
      </c>
      <c r="P845" s="9">
        <f t="shared" si="1041"/>
        <v>0.88</v>
      </c>
      <c r="Q845" s="5">
        <f t="shared" si="1050"/>
        <v>37070</v>
      </c>
      <c r="R845" s="4">
        <f t="shared" si="1042"/>
        <v>1</v>
      </c>
      <c r="S845" s="158">
        <f>_xll.xSPRDOPT($L845,$J845,$I845,$M845,$O845,$N845,$P845,$Q845-$C$3,$R845,0)</f>
        <v>0.24091842414541884</v>
      </c>
      <c r="T845" s="159">
        <f>_xll.xSPRDOPT($L845,$J845,$I845,$M845,$O845,$N845,$P845,$Q845-$C$3,$R845,1)*H845</f>
        <v>-200141.894476986</v>
      </c>
      <c r="U845" s="160">
        <f t="shared" si="1043"/>
        <v>-120459.21207270942</v>
      </c>
      <c r="V845" s="159">
        <f>_xll.xSPRDOPT($L845,$J845,$I845,$M845,$O845,$N845,$P845,$Q845-$C$3,$R845,2)*H845</f>
        <v>172615.16931862797</v>
      </c>
      <c r="W845" s="159">
        <f t="shared" si="1044"/>
        <v>-27526.725158358022</v>
      </c>
      <c r="X845" s="51" t="str">
        <f t="shared" si="1045"/>
        <v>37073NGI-SOCAL</v>
      </c>
      <c r="Y845" s="418">
        <f t="shared" si="1046"/>
        <v>-50</v>
      </c>
      <c r="Z845" s="456">
        <f t="shared" si="1047"/>
        <v>0.40028378895397199</v>
      </c>
      <c r="AA845" s="456">
        <f>_xll.xSPRDOPT($L845,$J845,$I845,$M845,$O845,$N845,$P845,$Q845-$C$3,$R845,3)</f>
        <v>0.40350971039939076</v>
      </c>
      <c r="AB845" s="456">
        <f>((_xll.xSPRDOPT($L845+AB$5,$J845,$I845,$M845,$O845,$N845,$P845,$Q845-$C$3,$R845,3)*$H845)/10000)/100</f>
        <v>-0.20175485519969538</v>
      </c>
      <c r="AC845" s="456">
        <f>((_xll.xSPRDOPT($L845+$AB$5,$J845,$I845,$M845,$O845,$N845,$P845,$Q845-$C$3,$R845,7)*$H845)/100)</f>
        <v>4934.9286025419906</v>
      </c>
      <c r="AD845" s="456">
        <f>(_xll.xSPRDOPT($L845+$AB$5,$J845,$I845,$M845,$O845,$N845,$P845,$Q845-$C$3,$R845,9)/365)*$H845</f>
        <v>259.70269233692477</v>
      </c>
      <c r="AE845">
        <f t="shared" si="1048"/>
        <v>0</v>
      </c>
      <c r="AF845" s="456">
        <f t="shared" si="1049"/>
        <v>-4277.4657116735798</v>
      </c>
      <c r="AG845" s="456">
        <f>((_xll.xSPRDOPT($L845,$J845,$I845,$M845,$O845,$N845,$P845,$Q845-$C$3,$R845,6)*$H845)/100)</f>
        <v>1790.6289308724704</v>
      </c>
      <c r="AH845" s="456">
        <f>((_xll.xSPRDOPT($L845,$J845,$I845,$M845,$O845,$N845,$P845,$Q845-$C$3,$R845,5)*$H845)/100)</f>
        <v>-6068.0946425460497</v>
      </c>
      <c r="AI845" s="456">
        <f>(((_xll.xSPRDOPT($L845,$J845,$I845,$M845,$O845,$N845,$P845,$Q845-$C$3,$R845,4)*$H845)/10000)/100)-AB845</f>
        <v>1.2843390949925315E-2</v>
      </c>
      <c r="AJ845" s="456"/>
    </row>
    <row r="846" spans="1:95" x14ac:dyDescent="0.25">
      <c r="A846" s="140" t="s">
        <v>279</v>
      </c>
      <c r="B846" t="s">
        <v>250</v>
      </c>
      <c r="C846" t="s">
        <v>628</v>
      </c>
      <c r="D846" s="4" t="s">
        <v>190</v>
      </c>
      <c r="E846" t="s">
        <v>20</v>
      </c>
      <c r="F846" t="s">
        <v>21</v>
      </c>
      <c r="G846" s="5">
        <v>37104</v>
      </c>
      <c r="H846" s="130">
        <v>-500000</v>
      </c>
      <c r="I846" s="235">
        <v>1.5</v>
      </c>
      <c r="J846" s="53">
        <f t="shared" si="1035"/>
        <v>3.8079999999999998</v>
      </c>
      <c r="K846" s="7">
        <f t="shared" si="1036"/>
        <v>1.2749999999999999</v>
      </c>
      <c r="L846" s="53">
        <f t="shared" si="1037"/>
        <v>5.0830000000000002</v>
      </c>
      <c r="M846" s="157">
        <f t="shared" si="1038"/>
        <v>6.9223060737754999E-2</v>
      </c>
      <c r="N846" s="4">
        <f t="shared" si="1039"/>
        <v>0.4</v>
      </c>
      <c r="O846" s="4">
        <f t="shared" si="1040"/>
        <v>0.4</v>
      </c>
      <c r="P846" s="9">
        <f t="shared" si="1041"/>
        <v>0.88</v>
      </c>
      <c r="Q846" s="5">
        <f t="shared" si="1050"/>
        <v>37102</v>
      </c>
      <c r="R846" s="4">
        <f t="shared" si="1042"/>
        <v>1</v>
      </c>
      <c r="S846" s="158">
        <f>_xll.xSPRDOPT($L846,$J846,$I846,$M846,$O846,$N846,$P846,$Q846-$C$3,$R846,0)</f>
        <v>0.27802450935159645</v>
      </c>
      <c r="T846" s="159">
        <f>_xll.xSPRDOPT($L846,$J846,$I846,$M846,$O846,$N846,$P846,$Q846-$C$3,$R846,1)*H846</f>
        <v>-212092.19099880074</v>
      </c>
      <c r="U846" s="160">
        <f t="shared" si="1043"/>
        <v>-139012.25467579823</v>
      </c>
      <c r="V846" s="159">
        <f>_xll.xSPRDOPT($L846,$J846,$I846,$M846,$O846,$N846,$P846,$Q846-$C$3,$R846,2)*H846</f>
        <v>182884.02408651466</v>
      </c>
      <c r="W846" s="159">
        <f t="shared" si="1044"/>
        <v>-29208.166912286077</v>
      </c>
      <c r="X846" s="51" t="str">
        <f t="shared" si="1045"/>
        <v>37104NGI-SOCAL</v>
      </c>
      <c r="Y846" s="418">
        <f t="shared" si="1046"/>
        <v>-50</v>
      </c>
      <c r="Z846" s="456">
        <f t="shared" si="1047"/>
        <v>0.4241843819976015</v>
      </c>
      <c r="AA846" s="456">
        <f>_xll.xSPRDOPT($L846,$J846,$I846,$M846,$O846,$N846,$P846,$Q846-$C$3,$R846,3)</f>
        <v>0.38127337865033523</v>
      </c>
      <c r="AB846" s="456">
        <f>((_xll.xSPRDOPT($L846+AB$5,$J846,$I846,$M846,$O846,$N846,$P846,$Q846-$C$3,$R846,3)*$H846)/10000)/100</f>
        <v>-0.19063668932516761</v>
      </c>
      <c r="AC846" s="456">
        <f>((_xll.xSPRDOPT($L846+$AB$5,$J846,$I846,$M846,$O846,$N846,$P846,$Q846-$C$3,$R846,7)*$H846)/100)</f>
        <v>5266.2440646316754</v>
      </c>
      <c r="AD846" s="456">
        <f>(_xll.xSPRDOPT($L846+$AB$5,$J846,$I846,$M846,$O846,$N846,$P846,$Q846-$C$3,$R846,9)/365)*$H846</f>
        <v>247.09547412831691</v>
      </c>
      <c r="AE846">
        <f t="shared" si="1048"/>
        <v>0</v>
      </c>
      <c r="AF846" s="456">
        <f t="shared" si="1049"/>
        <v>-4577.3107342824833</v>
      </c>
      <c r="AG846" s="456">
        <f>((_xll.xSPRDOPT($L846,$J846,$I846,$M846,$O846,$N846,$P846,$Q846-$C$3,$R846,6)*$H846)/100)</f>
        <v>1907.0863227398493</v>
      </c>
      <c r="AH846" s="456">
        <f>((_xll.xSPRDOPT($L846,$J846,$I846,$M846,$O846,$N846,$P846,$Q846-$C$3,$R846,5)*$H846)/100)</f>
        <v>-6484.3970570223328</v>
      </c>
      <c r="AI846" s="456">
        <f>(((_xll.xSPRDOPT($L846,$J846,$I846,$M846,$O846,$N846,$P846,$Q846-$C$3,$R846,4)*$H846)/10000)/100)-AB846</f>
        <v>8.7065203785540723E-3</v>
      </c>
      <c r="AJ846" s="456"/>
    </row>
    <row r="847" spans="1:95" x14ac:dyDescent="0.25">
      <c r="A847" s="140" t="s">
        <v>279</v>
      </c>
      <c r="B847" t="s">
        <v>250</v>
      </c>
      <c r="C847" t="s">
        <v>628</v>
      </c>
      <c r="D847" s="4" t="s">
        <v>190</v>
      </c>
      <c r="E847" t="s">
        <v>20</v>
      </c>
      <c r="F847" t="s">
        <v>21</v>
      </c>
      <c r="G847" s="5">
        <v>37135</v>
      </c>
      <c r="H847" s="130">
        <v>-500000</v>
      </c>
      <c r="I847" s="235">
        <v>1.5</v>
      </c>
      <c r="J847" s="53">
        <f t="shared" si="1035"/>
        <v>3.7879999999999998</v>
      </c>
      <c r="K847" s="7">
        <f t="shared" si="1036"/>
        <v>1.2524999999999999</v>
      </c>
      <c r="L847" s="53">
        <f t="shared" si="1037"/>
        <v>5.0404999999999998</v>
      </c>
      <c r="M847" s="157">
        <f t="shared" si="1038"/>
        <v>6.9264550207512002E-2</v>
      </c>
      <c r="N847" s="4">
        <f t="shared" si="1039"/>
        <v>0.4</v>
      </c>
      <c r="O847" s="4">
        <f t="shared" si="1040"/>
        <v>0.4</v>
      </c>
      <c r="P847" s="9">
        <f t="shared" si="1041"/>
        <v>0.88</v>
      </c>
      <c r="Q847" s="5">
        <f t="shared" si="1050"/>
        <v>37133</v>
      </c>
      <c r="R847" s="4">
        <f t="shared" si="1042"/>
        <v>1</v>
      </c>
      <c r="S847" s="158">
        <f>_xll.xSPRDOPT($L847,$J847,$I847,$M847,$O847,$N847,$P847,$Q847-$C$3,$R847,0)</f>
        <v>0.28214784351330519</v>
      </c>
      <c r="T847" s="159">
        <f>_xll.xSPRDOPT($L847,$J847,$I847,$M847,$O847,$N847,$P847,$Q847-$C$3,$R847,1)*H847</f>
        <v>-209332.05203997128</v>
      </c>
      <c r="U847" s="160">
        <f t="shared" si="1043"/>
        <v>-141073.92175665259</v>
      </c>
      <c r="V847" s="159">
        <f>_xll.xSPRDOPT($L847,$J847,$I847,$M847,$O847,$N847,$P847,$Q847-$C$3,$R847,2)*H847</f>
        <v>179057.20914057369</v>
      </c>
      <c r="W847" s="159">
        <f t="shared" si="1044"/>
        <v>-30274.842899397598</v>
      </c>
      <c r="X847" s="51" t="str">
        <f t="shared" si="1045"/>
        <v>37135NGI-SOCAL</v>
      </c>
      <c r="Y847" s="418">
        <f t="shared" si="1046"/>
        <v>-50</v>
      </c>
      <c r="Z847" s="456">
        <f t="shared" si="1047"/>
        <v>0.41866410407994259</v>
      </c>
      <c r="AA847" s="456">
        <f>_xll.xSPRDOPT($L847,$J847,$I847,$M847,$O847,$N847,$P847,$Q847-$C$3,$R847,3)</f>
        <v>0.36518648573936979</v>
      </c>
      <c r="AB847" s="456">
        <f>((_xll.xSPRDOPT($L847+AB$5,$J847,$I847,$M847,$O847,$N847,$P847,$Q847-$C$3,$R847,3)*$H847)/10000)/100</f>
        <v>-0.1825932428696849</v>
      </c>
      <c r="AC847" s="456">
        <f>((_xll.xSPRDOPT($L847+$AB$5,$J847,$I847,$M847,$O847,$N847,$P847,$Q847-$C$3,$R847,7)*$H847)/100)</f>
        <v>5419.4161122929081</v>
      </c>
      <c r="AD847" s="456">
        <f>(_xll.xSPRDOPT($L847+$AB$5,$J847,$I847,$M847,$O847,$N847,$P847,$Q847-$C$3,$R847,9)/365)*$H847</f>
        <v>231.1828352803621</v>
      </c>
      <c r="AE847">
        <f t="shared" si="1048"/>
        <v>0</v>
      </c>
      <c r="AF847" s="456">
        <f t="shared" si="1049"/>
        <v>-4717.3244532949457</v>
      </c>
      <c r="AG847" s="456">
        <f>((_xll.xSPRDOPT($L847,$J847,$I847,$M847,$O847,$N847,$P847,$Q847-$C$3,$R847,6)*$H847)/100)</f>
        <v>1954.393017922662</v>
      </c>
      <c r="AH847" s="456">
        <f>((_xll.xSPRDOPT($L847,$J847,$I847,$M847,$O847,$N847,$P847,$Q847-$C$3,$R847,5)*$H847)/100)</f>
        <v>-6671.7174712176075</v>
      </c>
      <c r="AI847" s="456">
        <f>(((_xll.xSPRDOPT($L847,$J847,$I847,$M847,$O847,$N847,$P847,$Q847-$C$3,$R847,4)*$H847)/10000)/100)-AB847</f>
        <v>9.2732362093206067E-3</v>
      </c>
      <c r="AJ847" s="456"/>
    </row>
    <row r="848" spans="1:95" x14ac:dyDescent="0.25">
      <c r="A848" s="140" t="s">
        <v>279</v>
      </c>
      <c r="B848" t="s">
        <v>250</v>
      </c>
      <c r="C848" t="s">
        <v>628</v>
      </c>
      <c r="D848" s="4" t="s">
        <v>190</v>
      </c>
      <c r="E848" t="s">
        <v>20</v>
      </c>
      <c r="F848" t="s">
        <v>21</v>
      </c>
      <c r="G848" s="5">
        <v>37165</v>
      </c>
      <c r="H848" s="130">
        <v>-500000</v>
      </c>
      <c r="I848" s="235">
        <v>1.5</v>
      </c>
      <c r="J848" s="53">
        <f t="shared" si="1035"/>
        <v>3.7730000000000001</v>
      </c>
      <c r="K848" s="7">
        <f t="shared" si="1036"/>
        <v>0.74750000000000005</v>
      </c>
      <c r="L848" s="53">
        <f t="shared" si="1037"/>
        <v>4.5205000000000002</v>
      </c>
      <c r="M848" s="157">
        <f t="shared" si="1038"/>
        <v>6.9300944538363995E-2</v>
      </c>
      <c r="N848" s="4">
        <f t="shared" si="1039"/>
        <v>0.40250000000000002</v>
      </c>
      <c r="O848" s="4">
        <f t="shared" si="1040"/>
        <v>0.40300000000000002</v>
      </c>
      <c r="P848" s="9">
        <f t="shared" si="1041"/>
        <v>0.88</v>
      </c>
      <c r="Q848" s="5">
        <f t="shared" si="1050"/>
        <v>37161</v>
      </c>
      <c r="R848" s="4">
        <f t="shared" si="1042"/>
        <v>1</v>
      </c>
      <c r="S848" s="158">
        <f>_xll.xSPRDOPT($L848,$J848,$I848,$M848,$O848,$N848,$P848,$Q848-$C$3,$R848,0)</f>
        <v>0.12820225606202509</v>
      </c>
      <c r="T848" s="159">
        <f>_xll.xSPRDOPT($L848,$J848,$I848,$M848,$O848,$N848,$P848,$Q848-$C$3,$R848,1)*H848</f>
        <v>-124147.24985969964</v>
      </c>
      <c r="U848" s="160">
        <f t="shared" si="1043"/>
        <v>-64101.128031012544</v>
      </c>
      <c r="V848" s="159">
        <f>_xll.xSPRDOPT($L848,$J848,$I848,$M848,$O848,$N848,$P848,$Q848-$C$3,$R848,2)*H848</f>
        <v>98770.77723479188</v>
      </c>
      <c r="W848" s="159">
        <f t="shared" si="1044"/>
        <v>-25376.472624907765</v>
      </c>
      <c r="X848" s="51" t="str">
        <f t="shared" si="1045"/>
        <v>37165NGI-SOCAL</v>
      </c>
      <c r="Y848" s="418">
        <f t="shared" si="1046"/>
        <v>-50</v>
      </c>
      <c r="Z848" s="456">
        <f t="shared" si="1047"/>
        <v>0.24829449971939929</v>
      </c>
      <c r="AA848" s="456">
        <f>_xll.xSPRDOPT($L848,$J848,$I848,$M848,$O848,$N848,$P848,$Q848-$C$3,$R848,3)</f>
        <v>0.32430090849669674</v>
      </c>
      <c r="AB848" s="456">
        <f>((_xll.xSPRDOPT($L848+AB$5,$J848,$I848,$M848,$O848,$N848,$P848,$Q848-$C$3,$R848,3)*$H848)/10000)/100</f>
        <v>-0.16215045424834837</v>
      </c>
      <c r="AC848" s="456">
        <f>((_xll.xSPRDOPT($L848+$AB$5,$J848,$I848,$M848,$O848,$N848,$P848,$Q848-$C$3,$R848,7)*$H848)/100)</f>
        <v>4288.3260715240294</v>
      </c>
      <c r="AD848" s="456">
        <f>(_xll.xSPRDOPT($L848+$AB$5,$J848,$I848,$M848,$O848,$N848,$P848,$Q848-$C$3,$R848,9)/365)*$H848</f>
        <v>172.58636280476549</v>
      </c>
      <c r="AE848">
        <f t="shared" si="1048"/>
        <v>0</v>
      </c>
      <c r="AF848" s="456">
        <f t="shared" si="1049"/>
        <v>-3614.6294491126691</v>
      </c>
      <c r="AG848" s="456">
        <f>((_xll.xSPRDOPT($L848,$J848,$I848,$M848,$O848,$N848,$P848,$Q848-$C$3,$R848,6)*$H848)/100)</f>
        <v>1432.1916030891118</v>
      </c>
      <c r="AH848" s="456">
        <f>((_xll.xSPRDOPT($L848,$J848,$I848,$M848,$O848,$N848,$P848,$Q848-$C$3,$R848,5)*$H848)/100)</f>
        <v>-5040.5594876208852</v>
      </c>
      <c r="AI848" s="456">
        <f>(((_xll.xSPRDOPT($L848,$J848,$I848,$M848,$O848,$N848,$P848,$Q848-$C$3,$R848,4)*$H848)/10000)/100)-AB848</f>
        <v>3.363204384945287E-2</v>
      </c>
      <c r="AJ848" s="456"/>
    </row>
    <row r="849" spans="1:36" x14ac:dyDescent="0.25">
      <c r="A849" s="140" t="s">
        <v>279</v>
      </c>
      <c r="B849" t="s">
        <v>250</v>
      </c>
      <c r="C849" t="s">
        <v>629</v>
      </c>
      <c r="D849" s="4" t="s">
        <v>190</v>
      </c>
      <c r="E849" t="s">
        <v>20</v>
      </c>
      <c r="F849" t="s">
        <v>21</v>
      </c>
      <c r="G849" s="5">
        <v>36982</v>
      </c>
      <c r="H849" s="130">
        <v>-500000</v>
      </c>
      <c r="I849" s="235">
        <v>1.5</v>
      </c>
      <c r="J849" s="53">
        <f t="shared" si="1035"/>
        <v>3.9380000000000002</v>
      </c>
      <c r="K849" s="7">
        <f t="shared" si="1036"/>
        <v>0.59</v>
      </c>
      <c r="L849" s="53">
        <f t="shared" si="1037"/>
        <v>4.5280000000000005</v>
      </c>
      <c r="M849" s="157">
        <f t="shared" si="1038"/>
        <v>6.9061726541120999E-2</v>
      </c>
      <c r="N849" s="4">
        <f t="shared" si="1039"/>
        <v>0.4425</v>
      </c>
      <c r="O849" s="4">
        <f t="shared" si="1040"/>
        <v>0.443</v>
      </c>
      <c r="P849" s="9">
        <f t="shared" si="1041"/>
        <v>0.88</v>
      </c>
      <c r="Q849" s="5">
        <f t="shared" si="1050"/>
        <v>36979</v>
      </c>
      <c r="R849" s="4">
        <f t="shared" si="1042"/>
        <v>1</v>
      </c>
      <c r="S849" s="158">
        <f>_xll.xSPRDOPT($L849,$J849,$I849,$M849,$O849,$N849,$P849,$Q849-$C$3,$R849,0)</f>
        <v>5.6122349484612109E-2</v>
      </c>
      <c r="T849" s="159">
        <f>_xll.xSPRDOPT($L849,$J849,$I849,$M849,$O849,$N849,$P849,$Q849-$C$3,$R849,1)*H849</f>
        <v>-76274.733956480268</v>
      </c>
      <c r="U849" s="160">
        <f t="shared" si="1043"/>
        <v>-28061.174742306055</v>
      </c>
      <c r="V849" s="159">
        <f>_xll.xSPRDOPT($L849,$J849,$I849,$M849,$O849,$N849,$P849,$Q849-$C$3,$R849,2)*H849</f>
        <v>60784.561834095264</v>
      </c>
      <c r="W849" s="159">
        <f t="shared" si="1044"/>
        <v>-15490.172122385004</v>
      </c>
      <c r="X849" s="51" t="str">
        <f t="shared" si="1045"/>
        <v>36982NGI-SOCAL</v>
      </c>
      <c r="Y849" s="418">
        <f t="shared" si="1046"/>
        <v>-50</v>
      </c>
      <c r="Z849" s="456">
        <f t="shared" si="1047"/>
        <v>0.15254946791296053</v>
      </c>
      <c r="AA849" s="456">
        <f>_xll.xSPRDOPT($L849,$J849,$I849,$M849,$O849,$N849,$P849,$Q849-$C$3,$R849,3)</f>
        <v>0.30763838051775455</v>
      </c>
      <c r="AB849" s="456">
        <f>((_xll.xSPRDOPT($L849+AB$5,$J849,$I849,$M849,$O849,$N849,$P849,$Q849-$C$3,$R849,3)*$H849)/10000)/100</f>
        <v>-0.15381919025887725</v>
      </c>
      <c r="AC849" s="456">
        <f>((_xll.xSPRDOPT($L849+$AB$5,$J849,$I849,$M849,$O849,$N849,$P849,$Q849-$C$3,$R849,7)*$H849)/100)</f>
        <v>2682.6184747182392</v>
      </c>
      <c r="AD849" s="456">
        <f>(_xll.xSPRDOPT($L849+$AB$5,$J849,$I849,$M849,$O849,$N849,$P849,$Q849-$C$3,$R849,9)/365)*$H849</f>
        <v>203.72096423641577</v>
      </c>
      <c r="AE849">
        <f t="shared" si="1048"/>
        <v>0</v>
      </c>
      <c r="AF849" s="456">
        <f t="shared" si="1049"/>
        <v>-2001.542072557135</v>
      </c>
      <c r="AG849" s="456">
        <f>((_xll.xSPRDOPT($L849,$J849,$I849,$M849,$O849,$N849,$P849,$Q849-$C$3,$R849,6)*$H849)/100)</f>
        <v>781.78777354177942</v>
      </c>
      <c r="AH849" s="456">
        <f>((_xll.xSPRDOPT($L849,$J849,$I849,$M849,$O849,$N849,$P849,$Q849-$C$3,$R849,5)*$H849)/100)</f>
        <v>-2780.1883902906761</v>
      </c>
      <c r="AI849" s="456">
        <f>(((_xll.xSPRDOPT($L849,$J849,$I849,$M849,$O849,$N849,$P849,$Q849-$C$3,$R849,4)*$H849)/10000)/100)-AB849</f>
        <v>3.9503928569048788E-2</v>
      </c>
      <c r="AJ849" s="456"/>
    </row>
    <row r="850" spans="1:36" x14ac:dyDescent="0.25">
      <c r="A850" s="140" t="s">
        <v>279</v>
      </c>
      <c r="B850" t="s">
        <v>250</v>
      </c>
      <c r="C850" t="s">
        <v>629</v>
      </c>
      <c r="D850" s="4" t="s">
        <v>190</v>
      </c>
      <c r="E850" t="s">
        <v>20</v>
      </c>
      <c r="F850" t="s">
        <v>21</v>
      </c>
      <c r="G850" s="5">
        <v>37012</v>
      </c>
      <c r="H850" s="130">
        <v>-500000</v>
      </c>
      <c r="I850" s="235">
        <v>1.5</v>
      </c>
      <c r="J850" s="53">
        <f t="shared" ref="J850:J855" si="1051">VLOOKUP(G850,NGPrices,2,FALSE)</f>
        <v>3.8380000000000001</v>
      </c>
      <c r="K850" s="7">
        <f t="shared" ref="K850:K855" si="1052">HLOOKUP(D850,Prices,VLOOKUP(G850,move_down,2,FALSE),FALSE)+VLOOKUP(G850,CHANGE,HLOOKUP(D850,CHANGE,2,FALSE),FALSE)</f>
        <v>0.6</v>
      </c>
      <c r="L850" s="53">
        <f t="shared" ref="L850:L855" si="1053">K850+J850</f>
        <v>4.4379999999999997</v>
      </c>
      <c r="M850" s="157">
        <f t="shared" ref="M850:M855" si="1054">VLOOKUP(G850,NGPrices,4,FALSE)</f>
        <v>6.9101151218999998E-2</v>
      </c>
      <c r="N850" s="4">
        <f t="shared" ref="N850:N855" si="1055">VLOOKUP(G850,NGPrices,3,FALSE)</f>
        <v>0.40500000000000003</v>
      </c>
      <c r="O850" s="4">
        <f t="shared" ref="O850:O855" si="1056">HLOOKUP(D850,VOLS,VLOOKUP(G850,move_down,2,FALSE),FALSE)</f>
        <v>0.40500000000000003</v>
      </c>
      <c r="P850" s="9">
        <f t="shared" ref="P850:P855" si="1057">HLOOKUP(D850,Correllate,VLOOKUP(G850,CorMove,2,FALSE),FALSE)</f>
        <v>0.88</v>
      </c>
      <c r="Q850" s="5">
        <f t="shared" si="1050"/>
        <v>37008</v>
      </c>
      <c r="R850" s="4">
        <f t="shared" ref="R850:R855" si="1058">IF(F850="P",0,1)</f>
        <v>1</v>
      </c>
      <c r="S850" s="158">
        <f>_xll.xSPRDOPT($L850,$J850,$I850,$M850,$O850,$N850,$P850,$Q850-$C$3,$R850,0)</f>
        <v>4.9906210084551615E-2</v>
      </c>
      <c r="T850" s="159">
        <f>_xll.xSPRDOPT($L850,$J850,$I850,$M850,$O850,$N850,$P850,$Q850-$C$3,$R850,1)*H850</f>
        <v>-71682.068924161576</v>
      </c>
      <c r="U850" s="160">
        <f t="shared" ref="U850:U855" si="1059">S850*H850</f>
        <v>-24953.105042275809</v>
      </c>
      <c r="V850" s="159">
        <f>_xll.xSPRDOPT($L850,$J850,$I850,$M850,$O850,$N850,$P850,$Q850-$C$3,$R850,2)*H850</f>
        <v>57287.617976357091</v>
      </c>
      <c r="W850" s="159">
        <f t="shared" ref="W850:W855" si="1060">+V850+T850</f>
        <v>-14394.450947804486</v>
      </c>
      <c r="X850" s="51" t="str">
        <f t="shared" ref="X850:X855" si="1061">CONCATENATE(G850,D850)</f>
        <v>37012NGI-SOCAL</v>
      </c>
      <c r="Y850" s="418">
        <f t="shared" ref="Y850:Y855" si="1062">H850/10000</f>
        <v>-50</v>
      </c>
      <c r="Z850" s="456">
        <f t="shared" ref="Z850:Z855" si="1063">T850/H850</f>
        <v>0.14336413784832316</v>
      </c>
      <c r="AA850" s="456">
        <f>_xll.xSPRDOPT($L850,$J850,$I850,$M850,$O850,$N850,$P850,$Q850-$C$3,$R850,3)</f>
        <v>0.30790359838914788</v>
      </c>
      <c r="AB850" s="456">
        <f>((_xll.xSPRDOPT($L850+AB$5,$J850,$I850,$M850,$O850,$N850,$P850,$Q850-$C$3,$R850,3)*$H850)/10000)/100</f>
        <v>-0.15395179919457394</v>
      </c>
      <c r="AC850" s="456">
        <f>((_xll.xSPRDOPT($L850+$AB$5,$J850,$I850,$M850,$O850,$N850,$P850,$Q850-$C$3,$R850,7)*$H850)/100)</f>
        <v>2438.9728564834381</v>
      </c>
      <c r="AD850" s="456">
        <f>(_xll.xSPRDOPT($L850+$AB$5,$J850,$I850,$M850,$O850,$N850,$P850,$Q850-$C$3,$R850,9)/365)*$H850</f>
        <v>163.84531098919115</v>
      </c>
      <c r="AE850">
        <f t="shared" ref="AE850:AE855" si="1064">CD852</f>
        <v>0</v>
      </c>
      <c r="AF850" s="456">
        <f t="shared" ref="AF850:AF855" si="1065">((O850/N850)*AH850)+AG850</f>
        <v>-2004.8106673753105</v>
      </c>
      <c r="AG850" s="456">
        <f>((_xll.xSPRDOPT($L850,$J850,$I850,$M850,$O850,$N850,$P850,$Q850-$C$3,$R850,6)*$H850)/100)</f>
        <v>798.59260966061674</v>
      </c>
      <c r="AH850" s="456">
        <f>((_xll.xSPRDOPT($L850,$J850,$I850,$M850,$O850,$N850,$P850,$Q850-$C$3,$R850,5)*$H850)/100)</f>
        <v>-2803.4032770359272</v>
      </c>
      <c r="AI850" s="456">
        <f>(((_xll.xSPRDOPT($L850,$J850,$I850,$M850,$O850,$N850,$P850,$Q850-$C$3,$R850,4)*$H850)/10000)/100)-AB850</f>
        <v>3.9608208657287772E-2</v>
      </c>
      <c r="AJ850" s="456"/>
    </row>
    <row r="851" spans="1:36" x14ac:dyDescent="0.25">
      <c r="A851" s="140" t="s">
        <v>279</v>
      </c>
      <c r="B851" t="s">
        <v>250</v>
      </c>
      <c r="C851" t="s">
        <v>629</v>
      </c>
      <c r="D851" s="4" t="s">
        <v>190</v>
      </c>
      <c r="E851" t="s">
        <v>20</v>
      </c>
      <c r="F851" t="s">
        <v>21</v>
      </c>
      <c r="G851" s="5">
        <v>37043</v>
      </c>
      <c r="H851" s="130">
        <v>-500000</v>
      </c>
      <c r="I851" s="235">
        <v>1.5</v>
      </c>
      <c r="J851" s="53">
        <f t="shared" si="1051"/>
        <v>3.8180000000000001</v>
      </c>
      <c r="K851" s="7">
        <f t="shared" si="1052"/>
        <v>0.62</v>
      </c>
      <c r="L851" s="53">
        <f t="shared" si="1053"/>
        <v>4.4379999999999997</v>
      </c>
      <c r="M851" s="157">
        <f t="shared" si="1054"/>
        <v>6.9141890053328006E-2</v>
      </c>
      <c r="N851" s="4">
        <f t="shared" si="1055"/>
        <v>0.4</v>
      </c>
      <c r="O851" s="4">
        <f t="shared" si="1056"/>
        <v>0.4</v>
      </c>
      <c r="P851" s="9">
        <f t="shared" si="1057"/>
        <v>0.88</v>
      </c>
      <c r="Q851" s="5">
        <f t="shared" si="1050"/>
        <v>37041</v>
      </c>
      <c r="R851" s="4">
        <f t="shared" si="1058"/>
        <v>1</v>
      </c>
      <c r="S851" s="158">
        <f>_xll.xSPRDOPT($L851,$J851,$I851,$M851,$O851,$N851,$P851,$Q851-$C$3,$R851,0)</f>
        <v>6.0981782458567356E-2</v>
      </c>
      <c r="T851" s="159">
        <f>_xll.xSPRDOPT($L851,$J851,$I851,$M851,$O851,$N851,$P851,$Q851-$C$3,$R851,1)*H851</f>
        <v>-80968.132105969824</v>
      </c>
      <c r="U851" s="160">
        <f t="shared" si="1059"/>
        <v>-30490.891229283679</v>
      </c>
      <c r="V851" s="159">
        <f>_xll.xSPRDOPT($L851,$J851,$I851,$M851,$O851,$N851,$P851,$Q851-$C$3,$R851,2)*H851</f>
        <v>64571.219000511759</v>
      </c>
      <c r="W851" s="159">
        <f t="shared" si="1060"/>
        <v>-16396.913105458065</v>
      </c>
      <c r="X851" s="51" t="str">
        <f t="shared" si="1061"/>
        <v>37043NGI-SOCAL</v>
      </c>
      <c r="Y851" s="418">
        <f t="shared" si="1062"/>
        <v>-50</v>
      </c>
      <c r="Z851" s="456">
        <f t="shared" si="1063"/>
        <v>0.16193626421193966</v>
      </c>
      <c r="AA851" s="456">
        <f>_xll.xSPRDOPT($L851,$J851,$I851,$M851,$O851,$N851,$P851,$Q851-$C$3,$R851,3)</f>
        <v>0.31568193721000809</v>
      </c>
      <c r="AB851" s="456">
        <f>((_xll.xSPRDOPT($L851+AB$5,$J851,$I851,$M851,$O851,$N851,$P851,$Q851-$C$3,$R851,3)*$H851)/10000)/100</f>
        <v>-0.15784096860500405</v>
      </c>
      <c r="AC851" s="456">
        <f>((_xll.xSPRDOPT($L851+$AB$5,$J851,$I851,$M851,$O851,$N851,$P851,$Q851-$C$3,$R851,7)*$H851)/100)</f>
        <v>2770.0496770455143</v>
      </c>
      <c r="AD851" s="456">
        <f>(_xll.xSPRDOPT($L851+$AB$5,$J851,$I851,$M851,$O851,$N851,$P851,$Q851-$C$3,$R851,9)/365)*$H851</f>
        <v>163.20628030889941</v>
      </c>
      <c r="AE851">
        <f t="shared" si="1064"/>
        <v>0</v>
      </c>
      <c r="AF851" s="456">
        <f t="shared" si="1065"/>
        <v>-2313.4710776516445</v>
      </c>
      <c r="AG851" s="456">
        <f>((_xll.xSPRDOPT($L851,$J851,$I851,$M851,$O851,$N851,$P851,$Q851-$C$3,$R851,6)*$H851)/100)</f>
        <v>920.98018155655825</v>
      </c>
      <c r="AH851" s="456">
        <f>((_xll.xSPRDOPT($L851,$J851,$I851,$M851,$O851,$N851,$P851,$Q851-$C$3,$R851,5)*$H851)/100)</f>
        <v>-3234.4512592082028</v>
      </c>
      <c r="AI851" s="456">
        <f>(((_xll.xSPRDOPT($L851,$J851,$I851,$M851,$O851,$N851,$P851,$Q851-$C$3,$R851,4)*$H851)/10000)/100)-AB851</f>
        <v>3.9573706311056972E-2</v>
      </c>
      <c r="AJ851" s="456"/>
    </row>
    <row r="852" spans="1:36" x14ac:dyDescent="0.25">
      <c r="A852" s="140" t="s">
        <v>279</v>
      </c>
      <c r="B852" t="s">
        <v>250</v>
      </c>
      <c r="C852" t="s">
        <v>629</v>
      </c>
      <c r="D852" s="4" t="s">
        <v>190</v>
      </c>
      <c r="E852" t="s">
        <v>20</v>
      </c>
      <c r="F852" t="s">
        <v>21</v>
      </c>
      <c r="G852" s="5">
        <v>37073</v>
      </c>
      <c r="H852" s="130">
        <v>-500000</v>
      </c>
      <c r="I852" s="235">
        <v>1.5</v>
      </c>
      <c r="J852" s="53">
        <f t="shared" si="1051"/>
        <v>3.8029999999999999</v>
      </c>
      <c r="K852" s="7">
        <f t="shared" si="1052"/>
        <v>1.2250000000000001</v>
      </c>
      <c r="L852" s="53">
        <f t="shared" si="1053"/>
        <v>5.0280000000000005</v>
      </c>
      <c r="M852" s="157">
        <f t="shared" si="1054"/>
        <v>6.9181571268567998E-2</v>
      </c>
      <c r="N852" s="4">
        <f t="shared" si="1055"/>
        <v>0.4</v>
      </c>
      <c r="O852" s="4">
        <f t="shared" si="1056"/>
        <v>0.4</v>
      </c>
      <c r="P852" s="9">
        <f t="shared" si="1057"/>
        <v>0.88</v>
      </c>
      <c r="Q852" s="5">
        <f t="shared" si="1050"/>
        <v>37070</v>
      </c>
      <c r="R852" s="4">
        <f t="shared" si="1058"/>
        <v>1</v>
      </c>
      <c r="S852" s="158">
        <f>_xll.xSPRDOPT($L852,$J852,$I852,$M852,$O852,$N852,$P852,$Q852-$C$3,$R852,0)</f>
        <v>0.24091842414541884</v>
      </c>
      <c r="T852" s="159">
        <f>_xll.xSPRDOPT($L852,$J852,$I852,$M852,$O852,$N852,$P852,$Q852-$C$3,$R852,1)*H852</f>
        <v>-200141.894476986</v>
      </c>
      <c r="U852" s="160">
        <f t="shared" si="1059"/>
        <v>-120459.21207270942</v>
      </c>
      <c r="V852" s="159">
        <f>_xll.xSPRDOPT($L852,$J852,$I852,$M852,$O852,$N852,$P852,$Q852-$C$3,$R852,2)*H852</f>
        <v>172615.16931862797</v>
      </c>
      <c r="W852" s="159">
        <f t="shared" si="1060"/>
        <v>-27526.725158358022</v>
      </c>
      <c r="X852" s="51" t="str">
        <f t="shared" si="1061"/>
        <v>37073NGI-SOCAL</v>
      </c>
      <c r="Y852" s="418">
        <f t="shared" si="1062"/>
        <v>-50</v>
      </c>
      <c r="Z852" s="456">
        <f t="shared" si="1063"/>
        <v>0.40028378895397199</v>
      </c>
      <c r="AA852" s="456">
        <f>_xll.xSPRDOPT($L852,$J852,$I852,$M852,$O852,$N852,$P852,$Q852-$C$3,$R852,3)</f>
        <v>0.40350971039939076</v>
      </c>
      <c r="AB852" s="456">
        <f>((_xll.xSPRDOPT($L852+AB$5,$J852,$I852,$M852,$O852,$N852,$P852,$Q852-$C$3,$R852,3)*$H852)/10000)/100</f>
        <v>-0.20175485519969538</v>
      </c>
      <c r="AC852" s="456">
        <f>((_xll.xSPRDOPT($L852+$AB$5,$J852,$I852,$M852,$O852,$N852,$P852,$Q852-$C$3,$R852,7)*$H852)/100)</f>
        <v>4934.9286025419906</v>
      </c>
      <c r="AD852" s="456">
        <f>(_xll.xSPRDOPT($L852+$AB$5,$J852,$I852,$M852,$O852,$N852,$P852,$Q852-$C$3,$R852,9)/365)*$H852</f>
        <v>259.70269233692477</v>
      </c>
      <c r="AE852">
        <f t="shared" si="1064"/>
        <v>0</v>
      </c>
      <c r="AF852" s="456">
        <f t="shared" si="1065"/>
        <v>-4277.4657116735798</v>
      </c>
      <c r="AG852" s="456">
        <f>((_xll.xSPRDOPT($L852,$J852,$I852,$M852,$O852,$N852,$P852,$Q852-$C$3,$R852,6)*$H852)/100)</f>
        <v>1790.6289308724704</v>
      </c>
      <c r="AH852" s="456">
        <f>((_xll.xSPRDOPT($L852,$J852,$I852,$M852,$O852,$N852,$P852,$Q852-$C$3,$R852,5)*$H852)/100)</f>
        <v>-6068.0946425460497</v>
      </c>
      <c r="AI852" s="456">
        <f>(((_xll.xSPRDOPT($L852,$J852,$I852,$M852,$O852,$N852,$P852,$Q852-$C$3,$R852,4)*$H852)/10000)/100)-AB852</f>
        <v>1.2843390949925315E-2</v>
      </c>
      <c r="AJ852" s="456"/>
    </row>
    <row r="853" spans="1:36" x14ac:dyDescent="0.25">
      <c r="A853" s="140" t="s">
        <v>279</v>
      </c>
      <c r="B853" t="s">
        <v>250</v>
      </c>
      <c r="C853" t="s">
        <v>629</v>
      </c>
      <c r="D853" s="4" t="s">
        <v>190</v>
      </c>
      <c r="E853" t="s">
        <v>20</v>
      </c>
      <c r="F853" t="s">
        <v>21</v>
      </c>
      <c r="G853" s="5">
        <v>37104</v>
      </c>
      <c r="H853" s="130">
        <v>-500000</v>
      </c>
      <c r="I853" s="235">
        <v>1.5</v>
      </c>
      <c r="J853" s="53">
        <f t="shared" si="1051"/>
        <v>3.8079999999999998</v>
      </c>
      <c r="K853" s="7">
        <f t="shared" si="1052"/>
        <v>1.2749999999999999</v>
      </c>
      <c r="L853" s="53">
        <f t="shared" si="1053"/>
        <v>5.0830000000000002</v>
      </c>
      <c r="M853" s="157">
        <f t="shared" si="1054"/>
        <v>6.9223060737754999E-2</v>
      </c>
      <c r="N853" s="4">
        <f t="shared" si="1055"/>
        <v>0.4</v>
      </c>
      <c r="O853" s="4">
        <f t="shared" si="1056"/>
        <v>0.4</v>
      </c>
      <c r="P853" s="9">
        <f t="shared" si="1057"/>
        <v>0.88</v>
      </c>
      <c r="Q853" s="5">
        <f t="shared" si="1050"/>
        <v>37102</v>
      </c>
      <c r="R853" s="4">
        <f t="shared" si="1058"/>
        <v>1</v>
      </c>
      <c r="S853" s="158">
        <f>_xll.xSPRDOPT($L853,$J853,$I853,$M853,$O853,$N853,$P853,$Q853-$C$3,$R853,0)</f>
        <v>0.27802450935159645</v>
      </c>
      <c r="T853" s="159">
        <f>_xll.xSPRDOPT($L853,$J853,$I853,$M853,$O853,$N853,$P853,$Q853-$C$3,$R853,1)*H853</f>
        <v>-212092.19099880074</v>
      </c>
      <c r="U853" s="160">
        <f t="shared" si="1059"/>
        <v>-139012.25467579823</v>
      </c>
      <c r="V853" s="159">
        <f>_xll.xSPRDOPT($L853,$J853,$I853,$M853,$O853,$N853,$P853,$Q853-$C$3,$R853,2)*H853</f>
        <v>182884.02408651466</v>
      </c>
      <c r="W853" s="159">
        <f t="shared" si="1060"/>
        <v>-29208.166912286077</v>
      </c>
      <c r="X853" s="51" t="str">
        <f t="shared" si="1061"/>
        <v>37104NGI-SOCAL</v>
      </c>
      <c r="Y853" s="418">
        <f t="shared" si="1062"/>
        <v>-50</v>
      </c>
      <c r="Z853" s="456">
        <f t="shared" si="1063"/>
        <v>0.4241843819976015</v>
      </c>
      <c r="AA853" s="456">
        <f>_xll.xSPRDOPT($L853,$J853,$I853,$M853,$O853,$N853,$P853,$Q853-$C$3,$R853,3)</f>
        <v>0.38127337865033523</v>
      </c>
      <c r="AB853" s="456">
        <f>((_xll.xSPRDOPT($L853+AB$5,$J853,$I853,$M853,$O853,$N853,$P853,$Q853-$C$3,$R853,3)*$H853)/10000)/100</f>
        <v>-0.19063668932516761</v>
      </c>
      <c r="AC853" s="456">
        <f>((_xll.xSPRDOPT($L853+$AB$5,$J853,$I853,$M853,$O853,$N853,$P853,$Q853-$C$3,$R853,7)*$H853)/100)</f>
        <v>5266.2440646316754</v>
      </c>
      <c r="AD853" s="456">
        <f>(_xll.xSPRDOPT($L853+$AB$5,$J853,$I853,$M853,$O853,$N853,$P853,$Q853-$C$3,$R853,9)/365)*$H853</f>
        <v>247.09547412831691</v>
      </c>
      <c r="AE853">
        <f t="shared" si="1064"/>
        <v>0</v>
      </c>
      <c r="AF853" s="456">
        <f t="shared" si="1065"/>
        <v>-4577.3107342824833</v>
      </c>
      <c r="AG853" s="456">
        <f>((_xll.xSPRDOPT($L853,$J853,$I853,$M853,$O853,$N853,$P853,$Q853-$C$3,$R853,6)*$H853)/100)</f>
        <v>1907.0863227398493</v>
      </c>
      <c r="AH853" s="456">
        <f>((_xll.xSPRDOPT($L853,$J853,$I853,$M853,$O853,$N853,$P853,$Q853-$C$3,$R853,5)*$H853)/100)</f>
        <v>-6484.3970570223328</v>
      </c>
      <c r="AI853" s="456">
        <f>(((_xll.xSPRDOPT($L853,$J853,$I853,$M853,$O853,$N853,$P853,$Q853-$C$3,$R853,4)*$H853)/10000)/100)-AB853</f>
        <v>8.7065203785540723E-3</v>
      </c>
      <c r="AJ853" s="456"/>
    </row>
    <row r="854" spans="1:36" x14ac:dyDescent="0.25">
      <c r="A854" s="140" t="s">
        <v>279</v>
      </c>
      <c r="B854" t="s">
        <v>250</v>
      </c>
      <c r="C854" t="s">
        <v>629</v>
      </c>
      <c r="D854" s="4" t="s">
        <v>190</v>
      </c>
      <c r="E854" t="s">
        <v>20</v>
      </c>
      <c r="F854" t="s">
        <v>21</v>
      </c>
      <c r="G854" s="5">
        <v>37135</v>
      </c>
      <c r="H854" s="130">
        <v>-500000</v>
      </c>
      <c r="I854" s="235">
        <v>1.5</v>
      </c>
      <c r="J854" s="53">
        <f t="shared" si="1051"/>
        <v>3.7879999999999998</v>
      </c>
      <c r="K854" s="7">
        <f t="shared" si="1052"/>
        <v>1.2524999999999999</v>
      </c>
      <c r="L854" s="53">
        <f t="shared" si="1053"/>
        <v>5.0404999999999998</v>
      </c>
      <c r="M854" s="157">
        <f t="shared" si="1054"/>
        <v>6.9264550207512002E-2</v>
      </c>
      <c r="N854" s="4">
        <f t="shared" si="1055"/>
        <v>0.4</v>
      </c>
      <c r="O854" s="4">
        <f t="shared" si="1056"/>
        <v>0.4</v>
      </c>
      <c r="P854" s="9">
        <f t="shared" si="1057"/>
        <v>0.88</v>
      </c>
      <c r="Q854" s="5">
        <f t="shared" si="1050"/>
        <v>37133</v>
      </c>
      <c r="R854" s="4">
        <f t="shared" si="1058"/>
        <v>1</v>
      </c>
      <c r="S854" s="158">
        <f>_xll.xSPRDOPT($L854,$J854,$I854,$M854,$O854,$N854,$P854,$Q854-$C$3,$R854,0)</f>
        <v>0.28214784351330519</v>
      </c>
      <c r="T854" s="159">
        <f>_xll.xSPRDOPT($L854,$J854,$I854,$M854,$O854,$N854,$P854,$Q854-$C$3,$R854,1)*H854</f>
        <v>-209332.05203997128</v>
      </c>
      <c r="U854" s="160">
        <f t="shared" si="1059"/>
        <v>-141073.92175665259</v>
      </c>
      <c r="V854" s="159">
        <f>_xll.xSPRDOPT($L854,$J854,$I854,$M854,$O854,$N854,$P854,$Q854-$C$3,$R854,2)*H854</f>
        <v>179057.20914057369</v>
      </c>
      <c r="W854" s="159">
        <f t="shared" si="1060"/>
        <v>-30274.842899397598</v>
      </c>
      <c r="X854" s="51" t="str">
        <f t="shared" si="1061"/>
        <v>37135NGI-SOCAL</v>
      </c>
      <c r="Y854" s="418">
        <f t="shared" si="1062"/>
        <v>-50</v>
      </c>
      <c r="Z854" s="456">
        <f t="shared" si="1063"/>
        <v>0.41866410407994259</v>
      </c>
      <c r="AA854" s="456">
        <f>_xll.xSPRDOPT($L854,$J854,$I854,$M854,$O854,$N854,$P854,$Q854-$C$3,$R854,3)</f>
        <v>0.36518648573936979</v>
      </c>
      <c r="AB854" s="456">
        <f>((_xll.xSPRDOPT($L854+AB$5,$J854,$I854,$M854,$O854,$N854,$P854,$Q854-$C$3,$R854,3)*$H854)/10000)/100</f>
        <v>-0.1825932428696849</v>
      </c>
      <c r="AC854" s="456">
        <f>((_xll.xSPRDOPT($L854+$AB$5,$J854,$I854,$M854,$O854,$N854,$P854,$Q854-$C$3,$R854,7)*$H854)/100)</f>
        <v>5419.4161122929081</v>
      </c>
      <c r="AD854" s="456">
        <f>(_xll.xSPRDOPT($L854+$AB$5,$J854,$I854,$M854,$O854,$N854,$P854,$Q854-$C$3,$R854,9)/365)*$H854</f>
        <v>231.1828352803621</v>
      </c>
      <c r="AE854">
        <f t="shared" si="1064"/>
        <v>0</v>
      </c>
      <c r="AF854" s="456">
        <f t="shared" si="1065"/>
        <v>-4717.3244532949457</v>
      </c>
      <c r="AG854" s="456">
        <f>((_xll.xSPRDOPT($L854,$J854,$I854,$M854,$O854,$N854,$P854,$Q854-$C$3,$R854,6)*$H854)/100)</f>
        <v>1954.393017922662</v>
      </c>
      <c r="AH854" s="456">
        <f>((_xll.xSPRDOPT($L854,$J854,$I854,$M854,$O854,$N854,$P854,$Q854-$C$3,$R854,5)*$H854)/100)</f>
        <v>-6671.7174712176075</v>
      </c>
      <c r="AI854" s="456">
        <f>(((_xll.xSPRDOPT($L854,$J854,$I854,$M854,$O854,$N854,$P854,$Q854-$C$3,$R854,4)*$H854)/10000)/100)-AB854</f>
        <v>9.2732362093206067E-3</v>
      </c>
      <c r="AJ854" s="456"/>
    </row>
    <row r="855" spans="1:36" x14ac:dyDescent="0.25">
      <c r="A855" s="140" t="s">
        <v>279</v>
      </c>
      <c r="B855" t="s">
        <v>250</v>
      </c>
      <c r="C855" t="s">
        <v>629</v>
      </c>
      <c r="D855" s="4" t="s">
        <v>190</v>
      </c>
      <c r="E855" t="s">
        <v>20</v>
      </c>
      <c r="F855" t="s">
        <v>21</v>
      </c>
      <c r="G855" s="5">
        <v>37165</v>
      </c>
      <c r="H855" s="130">
        <v>-500000</v>
      </c>
      <c r="I855" s="235">
        <v>1.5</v>
      </c>
      <c r="J855" s="53">
        <f t="shared" si="1051"/>
        <v>3.7730000000000001</v>
      </c>
      <c r="K855" s="7">
        <f t="shared" si="1052"/>
        <v>0.74750000000000005</v>
      </c>
      <c r="L855" s="53">
        <f t="shared" si="1053"/>
        <v>4.5205000000000002</v>
      </c>
      <c r="M855" s="157">
        <f t="shared" si="1054"/>
        <v>6.9300944538363995E-2</v>
      </c>
      <c r="N855" s="4">
        <f t="shared" si="1055"/>
        <v>0.40250000000000002</v>
      </c>
      <c r="O855" s="4">
        <f t="shared" si="1056"/>
        <v>0.40300000000000002</v>
      </c>
      <c r="P855" s="9">
        <f t="shared" si="1057"/>
        <v>0.88</v>
      </c>
      <c r="Q855" s="5">
        <f t="shared" si="1050"/>
        <v>37161</v>
      </c>
      <c r="R855" s="4">
        <f t="shared" si="1058"/>
        <v>1</v>
      </c>
      <c r="S855" s="158">
        <f>_xll.xSPRDOPT($L855,$J855,$I855,$M855,$O855,$N855,$P855,$Q855-$C$3,$R855,0)</f>
        <v>0.12820225606202509</v>
      </c>
      <c r="T855" s="159">
        <f>_xll.xSPRDOPT($L855,$J855,$I855,$M855,$O855,$N855,$P855,$Q855-$C$3,$R855,1)*H855</f>
        <v>-124147.24985969964</v>
      </c>
      <c r="U855" s="160">
        <f t="shared" si="1059"/>
        <v>-64101.128031012544</v>
      </c>
      <c r="V855" s="159">
        <f>_xll.xSPRDOPT($L855,$J855,$I855,$M855,$O855,$N855,$P855,$Q855-$C$3,$R855,2)*H855</f>
        <v>98770.77723479188</v>
      </c>
      <c r="W855" s="159">
        <f t="shared" si="1060"/>
        <v>-25376.472624907765</v>
      </c>
      <c r="X855" s="51" t="str">
        <f t="shared" si="1061"/>
        <v>37165NGI-SOCAL</v>
      </c>
      <c r="Y855" s="418">
        <f t="shared" si="1062"/>
        <v>-50</v>
      </c>
      <c r="Z855" s="456">
        <f t="shared" si="1063"/>
        <v>0.24829449971939929</v>
      </c>
      <c r="AA855" s="456">
        <f>_xll.xSPRDOPT($L855,$J855,$I855,$M855,$O855,$N855,$P855,$Q855-$C$3,$R855,3)</f>
        <v>0.32430090849669674</v>
      </c>
      <c r="AB855" s="456">
        <f>((_xll.xSPRDOPT($L855+AB$5,$J855,$I855,$M855,$O855,$N855,$P855,$Q855-$C$3,$R855,3)*$H855)/10000)/100</f>
        <v>-0.16215045424834837</v>
      </c>
      <c r="AC855" s="456">
        <f>((_xll.xSPRDOPT($L855+$AB$5,$J855,$I855,$M855,$O855,$N855,$P855,$Q855-$C$3,$R855,7)*$H855)/100)</f>
        <v>4288.3260715240294</v>
      </c>
      <c r="AD855" s="456">
        <f>(_xll.xSPRDOPT($L855+$AB$5,$J855,$I855,$M855,$O855,$N855,$P855,$Q855-$C$3,$R855,9)/365)*$H855</f>
        <v>172.58636280476549</v>
      </c>
      <c r="AE855">
        <f t="shared" si="1064"/>
        <v>0</v>
      </c>
      <c r="AF855" s="456">
        <f t="shared" si="1065"/>
        <v>-3614.6294491126691</v>
      </c>
      <c r="AG855" s="456">
        <f>((_xll.xSPRDOPT($L855,$J855,$I855,$M855,$O855,$N855,$P855,$Q855-$C$3,$R855,6)*$H855)/100)</f>
        <v>1432.1916030891118</v>
      </c>
      <c r="AH855" s="456">
        <f>((_xll.xSPRDOPT($L855,$J855,$I855,$M855,$O855,$N855,$P855,$Q855-$C$3,$R855,5)*$H855)/100)</f>
        <v>-5040.5594876208852</v>
      </c>
      <c r="AI855" s="456">
        <f>(((_xll.xSPRDOPT($L855,$J855,$I855,$M855,$O855,$N855,$P855,$Q855-$C$3,$R855,4)*$H855)/10000)/100)-AB855</f>
        <v>3.363204384945287E-2</v>
      </c>
      <c r="AJ855" s="456"/>
    </row>
    <row r="856" spans="1:36" x14ac:dyDescent="0.25">
      <c r="A856" s="140" t="s">
        <v>279</v>
      </c>
      <c r="B856" t="s">
        <v>250</v>
      </c>
      <c r="C856" t="s">
        <v>630</v>
      </c>
      <c r="D856" s="4" t="s">
        <v>190</v>
      </c>
      <c r="E856" t="s">
        <v>20</v>
      </c>
      <c r="F856" t="s">
        <v>21</v>
      </c>
      <c r="G856" s="5">
        <v>36982</v>
      </c>
      <c r="H856" s="130">
        <v>-500000</v>
      </c>
      <c r="I856" s="235">
        <v>1.5</v>
      </c>
      <c r="J856" s="53">
        <f>VLOOKUP(G856,NGPrices,2,FALSE)</f>
        <v>3.9380000000000002</v>
      </c>
      <c r="K856" s="7">
        <f>HLOOKUP(D856,Prices,VLOOKUP(G856,move_down,2,FALSE),FALSE)+VLOOKUP(G856,CHANGE,HLOOKUP(D856,CHANGE,2,FALSE),FALSE)</f>
        <v>0.59</v>
      </c>
      <c r="L856" s="53">
        <f>K856+J856</f>
        <v>4.5280000000000005</v>
      </c>
      <c r="M856" s="157">
        <f>VLOOKUP(G856,NGPrices,4,FALSE)</f>
        <v>6.9061726541120999E-2</v>
      </c>
      <c r="N856" s="4">
        <f>VLOOKUP(G856,NGPrices,3,FALSE)</f>
        <v>0.4425</v>
      </c>
      <c r="O856" s="4">
        <f>HLOOKUP(D856,VOLS,VLOOKUP(G856,move_down,2,FALSE),FALSE)</f>
        <v>0.443</v>
      </c>
      <c r="P856" s="9">
        <f>HLOOKUP(D856,Correllate,VLOOKUP(G856,CorMove,2,FALSE),FALSE)</f>
        <v>0.88</v>
      </c>
      <c r="Q856" s="5">
        <f t="shared" si="1050"/>
        <v>36979</v>
      </c>
      <c r="R856" s="4">
        <f>IF(F856="P",0,1)</f>
        <v>1</v>
      </c>
      <c r="S856" s="158">
        <f>_xll.xSPRDOPT($L856,$J856,$I856,$M856,$O856,$N856,$P856,$Q856-$C$3,$R856,0)</f>
        <v>5.6122349484612109E-2</v>
      </c>
      <c r="T856" s="159">
        <f>_xll.xSPRDOPT($L856,$J856,$I856,$M856,$O856,$N856,$P856,$Q856-$C$3,$R856,1)*H856</f>
        <v>-76274.733956480268</v>
      </c>
      <c r="U856" s="160">
        <f>S856*H856</f>
        <v>-28061.174742306055</v>
      </c>
      <c r="V856" s="159">
        <f>_xll.xSPRDOPT($L856,$J856,$I856,$M856,$O856,$N856,$P856,$Q856-$C$3,$R856,2)*H856</f>
        <v>60784.561834095264</v>
      </c>
      <c r="W856" s="159">
        <f>+V856+T856</f>
        <v>-15490.172122385004</v>
      </c>
      <c r="X856" s="51" t="str">
        <f>CONCATENATE(G856,D856)</f>
        <v>36982NGI-SOCAL</v>
      </c>
      <c r="Y856" s="418">
        <f>H856/10000</f>
        <v>-50</v>
      </c>
      <c r="Z856" s="456">
        <f>T856/H856</f>
        <v>0.15254946791296053</v>
      </c>
      <c r="AA856" s="456">
        <f>_xll.xSPRDOPT($L856,$J856,$I856,$M856,$O856,$N856,$P856,$Q856-$C$3,$R856,3)</f>
        <v>0.30763838051775455</v>
      </c>
      <c r="AB856" s="456">
        <f>((_xll.xSPRDOPT($L856+AB$5,$J856,$I856,$M856,$O856,$N856,$P856,$Q856-$C$3,$R856,3)*$H856)/10000)/100</f>
        <v>-0.15381919025887725</v>
      </c>
      <c r="AC856" s="456">
        <f>((_xll.xSPRDOPT($L856+$AB$5,$J856,$I856,$M856,$O856,$N856,$P856,$Q856-$C$3,$R856,7)*$H856)/100)</f>
        <v>2682.6184747182392</v>
      </c>
      <c r="AD856" s="456">
        <f>(_xll.xSPRDOPT($L856+$AB$5,$J856,$I856,$M856,$O856,$N856,$P856,$Q856-$C$3,$R856,9)/365)*$H856</f>
        <v>203.72096423641577</v>
      </c>
      <c r="AE856">
        <f>CD858</f>
        <v>0</v>
      </c>
      <c r="AF856" s="456">
        <f>((O856/N856)*AH856)+AG856</f>
        <v>-2001.542072557135</v>
      </c>
      <c r="AG856" s="456">
        <f>((_xll.xSPRDOPT($L856,$J856,$I856,$M856,$O856,$N856,$P856,$Q856-$C$3,$R856,6)*$H856)/100)</f>
        <v>781.78777354177942</v>
      </c>
      <c r="AH856" s="456">
        <f>((_xll.xSPRDOPT($L856,$J856,$I856,$M856,$O856,$N856,$P856,$Q856-$C$3,$R856,5)*$H856)/100)</f>
        <v>-2780.1883902906761</v>
      </c>
      <c r="AI856" s="456">
        <f>(((_xll.xSPRDOPT($L856,$J856,$I856,$M856,$O856,$N856,$P856,$Q856-$C$3,$R856,4)*$H856)/10000)/100)-AB856</f>
        <v>3.9503928569048788E-2</v>
      </c>
      <c r="AJ856" s="456"/>
    </row>
    <row r="857" spans="1:36" x14ac:dyDescent="0.25">
      <c r="A857" s="140" t="s">
        <v>279</v>
      </c>
      <c r="B857" t="s">
        <v>250</v>
      </c>
      <c r="C857" t="s">
        <v>630</v>
      </c>
      <c r="D857" s="4" t="s">
        <v>190</v>
      </c>
      <c r="E857" t="s">
        <v>20</v>
      </c>
      <c r="F857" t="s">
        <v>21</v>
      </c>
      <c r="G857" s="5">
        <v>37012</v>
      </c>
      <c r="H857" s="130">
        <v>-500000</v>
      </c>
      <c r="I857" s="235">
        <v>1.5</v>
      </c>
      <c r="J857" s="53">
        <f t="shared" ref="J857:J862" si="1066">VLOOKUP(G857,NGPrices,2,FALSE)</f>
        <v>3.8380000000000001</v>
      </c>
      <c r="K857" s="7">
        <f t="shared" ref="K857:K862" si="1067">HLOOKUP(D857,Prices,VLOOKUP(G857,move_down,2,FALSE),FALSE)+VLOOKUP(G857,CHANGE,HLOOKUP(D857,CHANGE,2,FALSE),FALSE)</f>
        <v>0.6</v>
      </c>
      <c r="L857" s="53">
        <f t="shared" ref="L857:L862" si="1068">K857+J857</f>
        <v>4.4379999999999997</v>
      </c>
      <c r="M857" s="157">
        <f t="shared" ref="M857:M862" si="1069">VLOOKUP(G857,NGPrices,4,FALSE)</f>
        <v>6.9101151218999998E-2</v>
      </c>
      <c r="N857" s="4">
        <f t="shared" ref="N857:N862" si="1070">VLOOKUP(G857,NGPrices,3,FALSE)</f>
        <v>0.40500000000000003</v>
      </c>
      <c r="O857" s="4">
        <f t="shared" ref="O857:O862" si="1071">HLOOKUP(D857,VOLS,VLOOKUP(G857,move_down,2,FALSE),FALSE)</f>
        <v>0.40500000000000003</v>
      </c>
      <c r="P857" s="9">
        <f t="shared" ref="P857:P862" si="1072">HLOOKUP(D857,Correllate,VLOOKUP(G857,CorMove,2,FALSE),FALSE)</f>
        <v>0.88</v>
      </c>
      <c r="Q857" s="5">
        <f t="shared" si="1050"/>
        <v>37008</v>
      </c>
      <c r="R857" s="4">
        <f t="shared" ref="R857:R862" si="1073">IF(F857="P",0,1)</f>
        <v>1</v>
      </c>
      <c r="S857" s="158">
        <f>_xll.xSPRDOPT($L857,$J857,$I857,$M857,$O857,$N857,$P857,$Q857-$C$3,$R857,0)</f>
        <v>4.9906210084551615E-2</v>
      </c>
      <c r="T857" s="159">
        <f>_xll.xSPRDOPT($L857,$J857,$I857,$M857,$O857,$N857,$P857,$Q857-$C$3,$R857,1)*H857</f>
        <v>-71682.068924161576</v>
      </c>
      <c r="U857" s="160">
        <f t="shared" ref="U857:U862" si="1074">S857*H857</f>
        <v>-24953.105042275809</v>
      </c>
      <c r="V857" s="159">
        <f>_xll.xSPRDOPT($L857,$J857,$I857,$M857,$O857,$N857,$P857,$Q857-$C$3,$R857,2)*H857</f>
        <v>57287.617976357091</v>
      </c>
      <c r="W857" s="159">
        <f t="shared" ref="W857:W862" si="1075">+V857+T857</f>
        <v>-14394.450947804486</v>
      </c>
      <c r="X857" s="51" t="str">
        <f t="shared" ref="X857:X862" si="1076">CONCATENATE(G857,D857)</f>
        <v>37012NGI-SOCAL</v>
      </c>
      <c r="Y857" s="418">
        <f t="shared" ref="Y857:Y862" si="1077">H857/10000</f>
        <v>-50</v>
      </c>
      <c r="Z857" s="456">
        <f t="shared" ref="Z857:Z862" si="1078">T857/H857</f>
        <v>0.14336413784832316</v>
      </c>
      <c r="AA857" s="456">
        <f>_xll.xSPRDOPT($L857,$J857,$I857,$M857,$O857,$N857,$P857,$Q857-$C$3,$R857,3)</f>
        <v>0.30790359838914788</v>
      </c>
      <c r="AB857" s="456">
        <f>((_xll.xSPRDOPT($L857+AB$5,$J857,$I857,$M857,$O857,$N857,$P857,$Q857-$C$3,$R857,3)*$H857)/10000)/100</f>
        <v>-0.15395179919457394</v>
      </c>
      <c r="AC857" s="456">
        <f>((_xll.xSPRDOPT($L857+$AB$5,$J857,$I857,$M857,$O857,$N857,$P857,$Q857-$C$3,$R857,7)*$H857)/100)</f>
        <v>2438.9728564834381</v>
      </c>
      <c r="AD857" s="456">
        <f>(_xll.xSPRDOPT($L857+$AB$5,$J857,$I857,$M857,$O857,$N857,$P857,$Q857-$C$3,$R857,9)/365)*$H857</f>
        <v>163.84531098919115</v>
      </c>
      <c r="AE857">
        <f t="shared" ref="AE857:AE862" si="1079">CD859</f>
        <v>0</v>
      </c>
      <c r="AF857" s="456">
        <f t="shared" ref="AF857:AF862" si="1080">((O857/N857)*AH857)+AG857</f>
        <v>-2004.8106673753105</v>
      </c>
      <c r="AG857" s="456">
        <f>((_xll.xSPRDOPT($L857,$J857,$I857,$M857,$O857,$N857,$P857,$Q857-$C$3,$R857,6)*$H857)/100)</f>
        <v>798.59260966061674</v>
      </c>
      <c r="AH857" s="456">
        <f>((_xll.xSPRDOPT($L857,$J857,$I857,$M857,$O857,$N857,$P857,$Q857-$C$3,$R857,5)*$H857)/100)</f>
        <v>-2803.4032770359272</v>
      </c>
      <c r="AI857" s="456">
        <f>(((_xll.xSPRDOPT($L857,$J857,$I857,$M857,$O857,$N857,$P857,$Q857-$C$3,$R857,4)*$H857)/10000)/100)-AB857</f>
        <v>3.9608208657287772E-2</v>
      </c>
      <c r="AJ857" s="456"/>
    </row>
    <row r="858" spans="1:36" x14ac:dyDescent="0.25">
      <c r="A858" s="140" t="s">
        <v>279</v>
      </c>
      <c r="B858" t="s">
        <v>250</v>
      </c>
      <c r="C858" t="s">
        <v>630</v>
      </c>
      <c r="D858" s="4" t="s">
        <v>190</v>
      </c>
      <c r="E858" t="s">
        <v>20</v>
      </c>
      <c r="F858" t="s">
        <v>21</v>
      </c>
      <c r="G858" s="5">
        <v>37043</v>
      </c>
      <c r="H858" s="130">
        <v>-500000</v>
      </c>
      <c r="I858" s="235">
        <v>1.5</v>
      </c>
      <c r="J858" s="53">
        <f t="shared" si="1066"/>
        <v>3.8180000000000001</v>
      </c>
      <c r="K858" s="7">
        <f t="shared" si="1067"/>
        <v>0.62</v>
      </c>
      <c r="L858" s="53">
        <f t="shared" si="1068"/>
        <v>4.4379999999999997</v>
      </c>
      <c r="M858" s="157">
        <f t="shared" si="1069"/>
        <v>6.9141890053328006E-2</v>
      </c>
      <c r="N858" s="4">
        <f t="shared" si="1070"/>
        <v>0.4</v>
      </c>
      <c r="O858" s="4">
        <f t="shared" si="1071"/>
        <v>0.4</v>
      </c>
      <c r="P858" s="9">
        <f t="shared" si="1072"/>
        <v>0.88</v>
      </c>
      <c r="Q858" s="5">
        <f t="shared" si="1050"/>
        <v>37041</v>
      </c>
      <c r="R858" s="4">
        <f t="shared" si="1073"/>
        <v>1</v>
      </c>
      <c r="S858" s="158">
        <f>_xll.xSPRDOPT($L858,$J858,$I858,$M858,$O858,$N858,$P858,$Q858-$C$3,$R858,0)</f>
        <v>6.0981782458567356E-2</v>
      </c>
      <c r="T858" s="159">
        <f>_xll.xSPRDOPT($L858,$J858,$I858,$M858,$O858,$N858,$P858,$Q858-$C$3,$R858,1)*H858</f>
        <v>-80968.132105969824</v>
      </c>
      <c r="U858" s="160">
        <f t="shared" si="1074"/>
        <v>-30490.891229283679</v>
      </c>
      <c r="V858" s="159">
        <f>_xll.xSPRDOPT($L858,$J858,$I858,$M858,$O858,$N858,$P858,$Q858-$C$3,$R858,2)*H858</f>
        <v>64571.219000511759</v>
      </c>
      <c r="W858" s="159">
        <f t="shared" si="1075"/>
        <v>-16396.913105458065</v>
      </c>
      <c r="X858" s="51" t="str">
        <f t="shared" si="1076"/>
        <v>37043NGI-SOCAL</v>
      </c>
      <c r="Y858" s="418">
        <f t="shared" si="1077"/>
        <v>-50</v>
      </c>
      <c r="Z858" s="456">
        <f t="shared" si="1078"/>
        <v>0.16193626421193966</v>
      </c>
      <c r="AA858" s="456">
        <f>_xll.xSPRDOPT($L858,$J858,$I858,$M858,$O858,$N858,$P858,$Q858-$C$3,$R858,3)</f>
        <v>0.31568193721000809</v>
      </c>
      <c r="AB858" s="456">
        <f>((_xll.xSPRDOPT($L858+AB$5,$J858,$I858,$M858,$O858,$N858,$P858,$Q858-$C$3,$R858,3)*$H858)/10000)/100</f>
        <v>-0.15784096860500405</v>
      </c>
      <c r="AC858" s="456">
        <f>((_xll.xSPRDOPT($L858+$AB$5,$J858,$I858,$M858,$O858,$N858,$P858,$Q858-$C$3,$R858,7)*$H858)/100)</f>
        <v>2770.0496770455143</v>
      </c>
      <c r="AD858" s="456">
        <f>(_xll.xSPRDOPT($L858+$AB$5,$J858,$I858,$M858,$O858,$N858,$P858,$Q858-$C$3,$R858,9)/365)*$H858</f>
        <v>163.20628030889941</v>
      </c>
      <c r="AE858">
        <f t="shared" si="1079"/>
        <v>0</v>
      </c>
      <c r="AF858" s="456">
        <f t="shared" si="1080"/>
        <v>-2313.4710776516445</v>
      </c>
      <c r="AG858" s="456">
        <f>((_xll.xSPRDOPT($L858,$J858,$I858,$M858,$O858,$N858,$P858,$Q858-$C$3,$R858,6)*$H858)/100)</f>
        <v>920.98018155655825</v>
      </c>
      <c r="AH858" s="456">
        <f>((_xll.xSPRDOPT($L858,$J858,$I858,$M858,$O858,$N858,$P858,$Q858-$C$3,$R858,5)*$H858)/100)</f>
        <v>-3234.4512592082028</v>
      </c>
      <c r="AI858" s="456">
        <f>(((_xll.xSPRDOPT($L858,$J858,$I858,$M858,$O858,$N858,$P858,$Q858-$C$3,$R858,4)*$H858)/10000)/100)-AB858</f>
        <v>3.9573706311056972E-2</v>
      </c>
      <c r="AJ858" s="456"/>
    </row>
    <row r="859" spans="1:36" x14ac:dyDescent="0.25">
      <c r="A859" s="140" t="s">
        <v>279</v>
      </c>
      <c r="B859" t="s">
        <v>250</v>
      </c>
      <c r="C859" t="s">
        <v>630</v>
      </c>
      <c r="D859" s="4" t="s">
        <v>190</v>
      </c>
      <c r="E859" t="s">
        <v>20</v>
      </c>
      <c r="F859" t="s">
        <v>21</v>
      </c>
      <c r="G859" s="5">
        <v>37073</v>
      </c>
      <c r="H859" s="130">
        <v>-500000</v>
      </c>
      <c r="I859" s="235">
        <v>1.5</v>
      </c>
      <c r="J859" s="53">
        <f t="shared" si="1066"/>
        <v>3.8029999999999999</v>
      </c>
      <c r="K859" s="7">
        <f t="shared" si="1067"/>
        <v>1.2250000000000001</v>
      </c>
      <c r="L859" s="53">
        <f t="shared" si="1068"/>
        <v>5.0280000000000005</v>
      </c>
      <c r="M859" s="157">
        <f t="shared" si="1069"/>
        <v>6.9181571268567998E-2</v>
      </c>
      <c r="N859" s="4">
        <f t="shared" si="1070"/>
        <v>0.4</v>
      </c>
      <c r="O859" s="4">
        <f t="shared" si="1071"/>
        <v>0.4</v>
      </c>
      <c r="P859" s="9">
        <f t="shared" si="1072"/>
        <v>0.88</v>
      </c>
      <c r="Q859" s="5">
        <f t="shared" si="1050"/>
        <v>37070</v>
      </c>
      <c r="R859" s="4">
        <f t="shared" si="1073"/>
        <v>1</v>
      </c>
      <c r="S859" s="158">
        <f>_xll.xSPRDOPT($L859,$J859,$I859,$M859,$O859,$N859,$P859,$Q859-$C$3,$R859,0)</f>
        <v>0.24091842414541884</v>
      </c>
      <c r="T859" s="159">
        <f>_xll.xSPRDOPT($L859,$J859,$I859,$M859,$O859,$N859,$P859,$Q859-$C$3,$R859,1)*H859</f>
        <v>-200141.894476986</v>
      </c>
      <c r="U859" s="160">
        <f t="shared" si="1074"/>
        <v>-120459.21207270942</v>
      </c>
      <c r="V859" s="159">
        <f>_xll.xSPRDOPT($L859,$J859,$I859,$M859,$O859,$N859,$P859,$Q859-$C$3,$R859,2)*H859</f>
        <v>172615.16931862797</v>
      </c>
      <c r="W859" s="159">
        <f t="shared" si="1075"/>
        <v>-27526.725158358022</v>
      </c>
      <c r="X859" s="51" t="str">
        <f t="shared" si="1076"/>
        <v>37073NGI-SOCAL</v>
      </c>
      <c r="Y859" s="418">
        <f t="shared" si="1077"/>
        <v>-50</v>
      </c>
      <c r="Z859" s="456">
        <f t="shared" si="1078"/>
        <v>0.40028378895397199</v>
      </c>
      <c r="AA859" s="456">
        <f>_xll.xSPRDOPT($L859,$J859,$I859,$M859,$O859,$N859,$P859,$Q859-$C$3,$R859,3)</f>
        <v>0.40350971039939076</v>
      </c>
      <c r="AB859" s="456">
        <f>((_xll.xSPRDOPT($L859+AB$5,$J859,$I859,$M859,$O859,$N859,$P859,$Q859-$C$3,$R859,3)*$H859)/10000)/100</f>
        <v>-0.20175485519969538</v>
      </c>
      <c r="AC859" s="456">
        <f>((_xll.xSPRDOPT($L859+$AB$5,$J859,$I859,$M859,$O859,$N859,$P859,$Q859-$C$3,$R859,7)*$H859)/100)</f>
        <v>4934.9286025419906</v>
      </c>
      <c r="AD859" s="456">
        <f>(_xll.xSPRDOPT($L859+$AB$5,$J859,$I859,$M859,$O859,$N859,$P859,$Q859-$C$3,$R859,9)/365)*$H859</f>
        <v>259.70269233692477</v>
      </c>
      <c r="AE859">
        <f t="shared" si="1079"/>
        <v>0</v>
      </c>
      <c r="AF859" s="456">
        <f t="shared" si="1080"/>
        <v>-4277.4657116735798</v>
      </c>
      <c r="AG859" s="456">
        <f>((_xll.xSPRDOPT($L859,$J859,$I859,$M859,$O859,$N859,$P859,$Q859-$C$3,$R859,6)*$H859)/100)</f>
        <v>1790.6289308724704</v>
      </c>
      <c r="AH859" s="456">
        <f>((_xll.xSPRDOPT($L859,$J859,$I859,$M859,$O859,$N859,$P859,$Q859-$C$3,$R859,5)*$H859)/100)</f>
        <v>-6068.0946425460497</v>
      </c>
      <c r="AI859" s="456">
        <f>(((_xll.xSPRDOPT($L859,$J859,$I859,$M859,$O859,$N859,$P859,$Q859-$C$3,$R859,4)*$H859)/10000)/100)-AB859</f>
        <v>1.2843390949925315E-2</v>
      </c>
      <c r="AJ859" s="456"/>
    </row>
    <row r="860" spans="1:36" x14ac:dyDescent="0.25">
      <c r="A860" s="140" t="s">
        <v>279</v>
      </c>
      <c r="B860" t="s">
        <v>250</v>
      </c>
      <c r="C860" t="s">
        <v>630</v>
      </c>
      <c r="D860" s="4" t="s">
        <v>190</v>
      </c>
      <c r="E860" t="s">
        <v>20</v>
      </c>
      <c r="F860" t="s">
        <v>21</v>
      </c>
      <c r="G860" s="5">
        <v>37104</v>
      </c>
      <c r="H860" s="130">
        <v>-500000</v>
      </c>
      <c r="I860" s="235">
        <v>1.5</v>
      </c>
      <c r="J860" s="53">
        <f t="shared" si="1066"/>
        <v>3.8079999999999998</v>
      </c>
      <c r="K860" s="7">
        <f t="shared" si="1067"/>
        <v>1.2749999999999999</v>
      </c>
      <c r="L860" s="53">
        <f t="shared" si="1068"/>
        <v>5.0830000000000002</v>
      </c>
      <c r="M860" s="157">
        <f t="shared" si="1069"/>
        <v>6.9223060737754999E-2</v>
      </c>
      <c r="N860" s="4">
        <f t="shared" si="1070"/>
        <v>0.4</v>
      </c>
      <c r="O860" s="4">
        <f t="shared" si="1071"/>
        <v>0.4</v>
      </c>
      <c r="P860" s="9">
        <f t="shared" si="1072"/>
        <v>0.88</v>
      </c>
      <c r="Q860" s="5">
        <f t="shared" si="1050"/>
        <v>37102</v>
      </c>
      <c r="R860" s="4">
        <f t="shared" si="1073"/>
        <v>1</v>
      </c>
      <c r="S860" s="158">
        <f>_xll.xSPRDOPT($L860,$J860,$I860,$M860,$O860,$N860,$P860,$Q860-$C$3,$R860,0)</f>
        <v>0.27802450935159645</v>
      </c>
      <c r="T860" s="159">
        <f>_xll.xSPRDOPT($L860,$J860,$I860,$M860,$O860,$N860,$P860,$Q860-$C$3,$R860,1)*H860</f>
        <v>-212092.19099880074</v>
      </c>
      <c r="U860" s="160">
        <f t="shared" si="1074"/>
        <v>-139012.25467579823</v>
      </c>
      <c r="V860" s="159">
        <f>_xll.xSPRDOPT($L860,$J860,$I860,$M860,$O860,$N860,$P860,$Q860-$C$3,$R860,2)*H860</f>
        <v>182884.02408651466</v>
      </c>
      <c r="W860" s="159">
        <f t="shared" si="1075"/>
        <v>-29208.166912286077</v>
      </c>
      <c r="X860" s="51" t="str">
        <f t="shared" si="1076"/>
        <v>37104NGI-SOCAL</v>
      </c>
      <c r="Y860" s="418">
        <f t="shared" si="1077"/>
        <v>-50</v>
      </c>
      <c r="Z860" s="456">
        <f t="shared" si="1078"/>
        <v>0.4241843819976015</v>
      </c>
      <c r="AA860" s="456">
        <f>_xll.xSPRDOPT($L860,$J860,$I860,$M860,$O860,$N860,$P860,$Q860-$C$3,$R860,3)</f>
        <v>0.38127337865033523</v>
      </c>
      <c r="AB860" s="456">
        <f>((_xll.xSPRDOPT($L860+AB$5,$J860,$I860,$M860,$O860,$N860,$P860,$Q860-$C$3,$R860,3)*$H860)/10000)/100</f>
        <v>-0.19063668932516761</v>
      </c>
      <c r="AC860" s="456">
        <f>((_xll.xSPRDOPT($L860+$AB$5,$J860,$I860,$M860,$O860,$N860,$P860,$Q860-$C$3,$R860,7)*$H860)/100)</f>
        <v>5266.2440646316754</v>
      </c>
      <c r="AD860" s="456">
        <f>(_xll.xSPRDOPT($L860+$AB$5,$J860,$I860,$M860,$O860,$N860,$P860,$Q860-$C$3,$R860,9)/365)*$H860</f>
        <v>247.09547412831691</v>
      </c>
      <c r="AE860">
        <f t="shared" si="1079"/>
        <v>0</v>
      </c>
      <c r="AF860" s="456">
        <f t="shared" si="1080"/>
        <v>-4577.3107342824833</v>
      </c>
      <c r="AG860" s="456">
        <f>((_xll.xSPRDOPT($L860,$J860,$I860,$M860,$O860,$N860,$P860,$Q860-$C$3,$R860,6)*$H860)/100)</f>
        <v>1907.0863227398493</v>
      </c>
      <c r="AH860" s="456">
        <f>((_xll.xSPRDOPT($L860,$J860,$I860,$M860,$O860,$N860,$P860,$Q860-$C$3,$R860,5)*$H860)/100)</f>
        <v>-6484.3970570223328</v>
      </c>
      <c r="AI860" s="456">
        <f>(((_xll.xSPRDOPT($L860,$J860,$I860,$M860,$O860,$N860,$P860,$Q860-$C$3,$R860,4)*$H860)/10000)/100)-AB860</f>
        <v>8.7065203785540723E-3</v>
      </c>
      <c r="AJ860" s="456"/>
    </row>
    <row r="861" spans="1:36" x14ac:dyDescent="0.25">
      <c r="A861" s="140" t="s">
        <v>279</v>
      </c>
      <c r="B861" t="s">
        <v>250</v>
      </c>
      <c r="C861" t="s">
        <v>630</v>
      </c>
      <c r="D861" s="4" t="s">
        <v>190</v>
      </c>
      <c r="E861" t="s">
        <v>20</v>
      </c>
      <c r="F861" t="s">
        <v>21</v>
      </c>
      <c r="G861" s="5">
        <v>37135</v>
      </c>
      <c r="H861" s="130">
        <v>-500000</v>
      </c>
      <c r="I861" s="235">
        <v>1.5</v>
      </c>
      <c r="J861" s="53">
        <f t="shared" si="1066"/>
        <v>3.7879999999999998</v>
      </c>
      <c r="K861" s="7">
        <f t="shared" si="1067"/>
        <v>1.2524999999999999</v>
      </c>
      <c r="L861" s="53">
        <f t="shared" si="1068"/>
        <v>5.0404999999999998</v>
      </c>
      <c r="M861" s="157">
        <f t="shared" si="1069"/>
        <v>6.9264550207512002E-2</v>
      </c>
      <c r="N861" s="4">
        <f t="shared" si="1070"/>
        <v>0.4</v>
      </c>
      <c r="O861" s="4">
        <f t="shared" si="1071"/>
        <v>0.4</v>
      </c>
      <c r="P861" s="9">
        <f t="shared" si="1072"/>
        <v>0.88</v>
      </c>
      <c r="Q861" s="5">
        <f t="shared" si="1050"/>
        <v>37133</v>
      </c>
      <c r="R861" s="4">
        <f t="shared" si="1073"/>
        <v>1</v>
      </c>
      <c r="S861" s="158">
        <f>_xll.xSPRDOPT($L861,$J861,$I861,$M861,$O861,$N861,$P861,$Q861-$C$3,$R861,0)</f>
        <v>0.28214784351330519</v>
      </c>
      <c r="T861" s="159">
        <f>_xll.xSPRDOPT($L861,$J861,$I861,$M861,$O861,$N861,$P861,$Q861-$C$3,$R861,1)*H861</f>
        <v>-209332.05203997128</v>
      </c>
      <c r="U861" s="160">
        <f t="shared" si="1074"/>
        <v>-141073.92175665259</v>
      </c>
      <c r="V861" s="159">
        <f>_xll.xSPRDOPT($L861,$J861,$I861,$M861,$O861,$N861,$P861,$Q861-$C$3,$R861,2)*H861</f>
        <v>179057.20914057369</v>
      </c>
      <c r="W861" s="159">
        <f t="shared" si="1075"/>
        <v>-30274.842899397598</v>
      </c>
      <c r="X861" s="51" t="str">
        <f t="shared" si="1076"/>
        <v>37135NGI-SOCAL</v>
      </c>
      <c r="Y861" s="418">
        <f t="shared" si="1077"/>
        <v>-50</v>
      </c>
      <c r="Z861" s="456">
        <f t="shared" si="1078"/>
        <v>0.41866410407994259</v>
      </c>
      <c r="AA861" s="456">
        <f>_xll.xSPRDOPT($L861,$J861,$I861,$M861,$O861,$N861,$P861,$Q861-$C$3,$R861,3)</f>
        <v>0.36518648573936979</v>
      </c>
      <c r="AB861" s="456">
        <f>((_xll.xSPRDOPT($L861+AB$5,$J861,$I861,$M861,$O861,$N861,$P861,$Q861-$C$3,$R861,3)*$H861)/10000)/100</f>
        <v>-0.1825932428696849</v>
      </c>
      <c r="AC861" s="456">
        <f>((_xll.xSPRDOPT($L861+$AB$5,$J861,$I861,$M861,$O861,$N861,$P861,$Q861-$C$3,$R861,7)*$H861)/100)</f>
        <v>5419.4161122929081</v>
      </c>
      <c r="AD861" s="456">
        <f>(_xll.xSPRDOPT($L861+$AB$5,$J861,$I861,$M861,$O861,$N861,$P861,$Q861-$C$3,$R861,9)/365)*$H861</f>
        <v>231.1828352803621</v>
      </c>
      <c r="AE861">
        <f t="shared" si="1079"/>
        <v>0</v>
      </c>
      <c r="AF861" s="456">
        <f t="shared" si="1080"/>
        <v>-4717.3244532949457</v>
      </c>
      <c r="AG861" s="456">
        <f>((_xll.xSPRDOPT($L861,$J861,$I861,$M861,$O861,$N861,$P861,$Q861-$C$3,$R861,6)*$H861)/100)</f>
        <v>1954.393017922662</v>
      </c>
      <c r="AH861" s="456">
        <f>((_xll.xSPRDOPT($L861,$J861,$I861,$M861,$O861,$N861,$P861,$Q861-$C$3,$R861,5)*$H861)/100)</f>
        <v>-6671.7174712176075</v>
      </c>
      <c r="AI861" s="456">
        <f>(((_xll.xSPRDOPT($L861,$J861,$I861,$M861,$O861,$N861,$P861,$Q861-$C$3,$R861,4)*$H861)/10000)/100)-AB861</f>
        <v>9.2732362093206067E-3</v>
      </c>
      <c r="AJ861" s="456"/>
    </row>
    <row r="862" spans="1:36" x14ac:dyDescent="0.25">
      <c r="A862" s="140" t="s">
        <v>279</v>
      </c>
      <c r="B862" t="s">
        <v>250</v>
      </c>
      <c r="C862" t="s">
        <v>630</v>
      </c>
      <c r="D862" s="4" t="s">
        <v>190</v>
      </c>
      <c r="E862" t="s">
        <v>20</v>
      </c>
      <c r="F862" t="s">
        <v>21</v>
      </c>
      <c r="G862" s="5">
        <v>37165</v>
      </c>
      <c r="H862" s="130">
        <v>-500000</v>
      </c>
      <c r="I862" s="235">
        <v>1.5</v>
      </c>
      <c r="J862" s="53">
        <f t="shared" si="1066"/>
        <v>3.7730000000000001</v>
      </c>
      <c r="K862" s="7">
        <f t="shared" si="1067"/>
        <v>0.74750000000000005</v>
      </c>
      <c r="L862" s="53">
        <f t="shared" si="1068"/>
        <v>4.5205000000000002</v>
      </c>
      <c r="M862" s="157">
        <f t="shared" si="1069"/>
        <v>6.9300944538363995E-2</v>
      </c>
      <c r="N862" s="4">
        <f t="shared" si="1070"/>
        <v>0.40250000000000002</v>
      </c>
      <c r="O862" s="4">
        <f t="shared" si="1071"/>
        <v>0.40300000000000002</v>
      </c>
      <c r="P862" s="9">
        <f t="shared" si="1072"/>
        <v>0.88</v>
      </c>
      <c r="Q862" s="5">
        <f t="shared" si="1050"/>
        <v>37161</v>
      </c>
      <c r="R862" s="4">
        <f t="shared" si="1073"/>
        <v>1</v>
      </c>
      <c r="S862" s="158">
        <f>_xll.xSPRDOPT($L862,$J862,$I862,$M862,$O862,$N862,$P862,$Q862-$C$3,$R862,0)</f>
        <v>0.12820225606202509</v>
      </c>
      <c r="T862" s="159">
        <f>_xll.xSPRDOPT($L862,$J862,$I862,$M862,$O862,$N862,$P862,$Q862-$C$3,$R862,1)*H862</f>
        <v>-124147.24985969964</v>
      </c>
      <c r="U862" s="160">
        <f t="shared" si="1074"/>
        <v>-64101.128031012544</v>
      </c>
      <c r="V862" s="159">
        <f>_xll.xSPRDOPT($L862,$J862,$I862,$M862,$O862,$N862,$P862,$Q862-$C$3,$R862,2)*H862</f>
        <v>98770.77723479188</v>
      </c>
      <c r="W862" s="159">
        <f t="shared" si="1075"/>
        <v>-25376.472624907765</v>
      </c>
      <c r="X862" s="51" t="str">
        <f t="shared" si="1076"/>
        <v>37165NGI-SOCAL</v>
      </c>
      <c r="Y862" s="418">
        <f t="shared" si="1077"/>
        <v>-50</v>
      </c>
      <c r="Z862" s="456">
        <f t="shared" si="1078"/>
        <v>0.24829449971939929</v>
      </c>
      <c r="AA862" s="456">
        <f>_xll.xSPRDOPT($L862,$J862,$I862,$M862,$O862,$N862,$P862,$Q862-$C$3,$R862,3)</f>
        <v>0.32430090849669674</v>
      </c>
      <c r="AB862" s="456">
        <f>((_xll.xSPRDOPT($L862+AB$5,$J862,$I862,$M862,$O862,$N862,$P862,$Q862-$C$3,$R862,3)*$H862)/10000)/100</f>
        <v>-0.16215045424834837</v>
      </c>
      <c r="AC862" s="456">
        <f>((_xll.xSPRDOPT($L862+$AB$5,$J862,$I862,$M862,$O862,$N862,$P862,$Q862-$C$3,$R862,7)*$H862)/100)</f>
        <v>4288.3260715240294</v>
      </c>
      <c r="AD862" s="456">
        <f>(_xll.xSPRDOPT($L862+$AB$5,$J862,$I862,$M862,$O862,$N862,$P862,$Q862-$C$3,$R862,9)/365)*$H862</f>
        <v>172.58636280476549</v>
      </c>
      <c r="AE862">
        <f t="shared" si="1079"/>
        <v>0</v>
      </c>
      <c r="AF862" s="456">
        <f t="shared" si="1080"/>
        <v>-3614.6294491126691</v>
      </c>
      <c r="AG862" s="456">
        <f>((_xll.xSPRDOPT($L862,$J862,$I862,$M862,$O862,$N862,$P862,$Q862-$C$3,$R862,6)*$H862)/100)</f>
        <v>1432.1916030891118</v>
      </c>
      <c r="AH862" s="456">
        <f>((_xll.xSPRDOPT($L862,$J862,$I862,$M862,$O862,$N862,$P862,$Q862-$C$3,$R862,5)*$H862)/100)</f>
        <v>-5040.5594876208852</v>
      </c>
      <c r="AI862" s="456">
        <f>(((_xll.xSPRDOPT($L862,$J862,$I862,$M862,$O862,$N862,$P862,$Q862-$C$3,$R862,4)*$H862)/10000)/100)-AB862</f>
        <v>3.363204384945287E-2</v>
      </c>
      <c r="AJ862" s="456"/>
    </row>
    <row r="863" spans="1:36" x14ac:dyDescent="0.25">
      <c r="A863" s="140" t="s">
        <v>281</v>
      </c>
      <c r="B863" t="s">
        <v>250</v>
      </c>
      <c r="C863" t="s">
        <v>631</v>
      </c>
      <c r="D863" s="4" t="s">
        <v>7</v>
      </c>
      <c r="E863" t="s">
        <v>20</v>
      </c>
      <c r="F863" t="s">
        <v>1</v>
      </c>
      <c r="G863" s="5">
        <v>36770</v>
      </c>
      <c r="H863" s="130">
        <v>-2500000</v>
      </c>
      <c r="I863" s="235">
        <v>0.3</v>
      </c>
      <c r="J863" s="53">
        <f t="shared" ref="J863:J868" si="1081">VLOOKUP(G863,NGPrices,2,FALSE)</f>
        <v>4.6849999999999996</v>
      </c>
      <c r="K863" s="7">
        <f t="shared" ref="K863:K868" si="1082">HLOOKUP(D863,Prices,VLOOKUP(G863,move_down,2,FALSE),FALSE)+VLOOKUP(G863,CHANGE,HLOOKUP(D863,CHANGE,2,FALSE),FALSE)</f>
        <v>0.315</v>
      </c>
      <c r="L863" s="53">
        <f t="shared" ref="L863:L868" si="1083">K863+J863</f>
        <v>5</v>
      </c>
      <c r="M863" s="157">
        <f t="shared" ref="M863:M868" si="1084">VLOOKUP(G863,NGPrices,4,FALSE)</f>
        <v>6.7216196212184998E-2</v>
      </c>
      <c r="N863" s="4">
        <f t="shared" ref="N863:N868" si="1085">VLOOKUP(G863,NGPrices,3,FALSE)</f>
        <v>0.4</v>
      </c>
      <c r="O863" s="4">
        <f t="shared" ref="O863:O868" si="1086">HLOOKUP(D863,VOLS,VLOOKUP(G863,move_down,2,FALSE),FALSE)</f>
        <v>0.39200000000000002</v>
      </c>
      <c r="P863" s="9">
        <f t="shared" ref="P863:P868" si="1087">HLOOKUP(D863,Correllate,VLOOKUP(G863,CorMove,2,FALSE),FALSE)</f>
        <v>0.99250000000000005</v>
      </c>
      <c r="Q863" s="5">
        <f t="shared" si="1050"/>
        <v>36768</v>
      </c>
      <c r="R863" s="4">
        <f t="shared" ref="R863:R868" si="1088">IF(F863="P",0,1)</f>
        <v>0</v>
      </c>
      <c r="S863" s="158">
        <f>_xll.xSPRDOPT($L863,$J863,$I863,$M863,$O863,$N863,$P863,$Q863-$C$3,$R863,0)</f>
        <v>7.9788269410402402E-4</v>
      </c>
      <c r="T863" s="159">
        <f>_xll.xSPRDOPT($L863,$J863,$I863,$M863,$O863,$N863,$P863,$Q863-$C$3,$R863,1)*H863</f>
        <v>309122.7436907168</v>
      </c>
      <c r="U863" s="160">
        <f t="shared" ref="U863:U868" si="1089">S863*H863</f>
        <v>-1994.70673526006</v>
      </c>
      <c r="V863" s="159">
        <f>_xll.xSPRDOPT($L863,$J863,$I863,$M863,$O863,$N863,$P863,$Q863-$C$3,$R863,2)*H863</f>
        <v>-310280.26191603969</v>
      </c>
      <c r="W863" s="159">
        <f t="shared" ref="W863:W868" si="1090">+V863+T863</f>
        <v>-1157.518225322885</v>
      </c>
      <c r="X863" s="51" t="str">
        <f t="shared" ref="X863:X868" si="1091">CONCATENATE(G863,D863)</f>
        <v>36770IF-TRANSCO/Z6</v>
      </c>
      <c r="Y863" s="418">
        <f t="shared" ref="Y863:Y868" si="1092">H863/10000</f>
        <v>-250</v>
      </c>
      <c r="Z863" s="456">
        <f t="shared" ref="Z863:Z868" si="1093">T863/H863</f>
        <v>-0.12364909747628672</v>
      </c>
      <c r="AA863" s="456">
        <f>_xll.xSPRDOPT($L863,$J863,$I863,$M863,$O863,$N863,$P863,$Q863-$C$3,$R863,3)</f>
        <v>15.702680426473698</v>
      </c>
      <c r="AB863" s="456">
        <f>((_xll.xSPRDOPT($L863+AB$5,$J863,$I863,$M863,$O863,$N863,$P863,$Q863-$C$3,$R863,3)*$H863)/10000)/100</f>
        <v>-39.256701066184249</v>
      </c>
      <c r="AC863" s="456">
        <f>((_xll.xSPRDOPT($L863+$AB$5,$J863,$I863,$M863,$O863,$N863,$P863,$Q863-$C$3,$R863,7)*$H863)/100)</f>
        <v>3958.100359287514</v>
      </c>
      <c r="AD863" s="456">
        <f>(_xll.xSPRDOPT($L863+$AB$5,$J863,$I863,$M863,$O863,$N863,$P863,$Q863-$C$3,$R863,9)/365)*$H863</f>
        <v>3324.0324850795623</v>
      </c>
      <c r="AE863">
        <f t="shared" ref="AE863:AE868" si="1094">CD865</f>
        <v>0</v>
      </c>
      <c r="AF863" s="456">
        <f t="shared" ref="AF863:AF868" si="1095">((O863/N863)*AH863)+AG863</f>
        <v>-166.1089665361319</v>
      </c>
      <c r="AG863" s="456">
        <f>((_xll.xSPRDOPT($L863,$J863,$I863,$M863,$O863,$N863,$P863,$Q863-$C$3,$R863,6)*$H863)/100)</f>
        <v>335.14430456933917</v>
      </c>
      <c r="AH863" s="456">
        <f>((_xll.xSPRDOPT($L863,$J863,$I863,$M863,$O863,$N863,$P863,$Q863-$C$3,$R863,5)*$H863)/100)</f>
        <v>-511.48292969946027</v>
      </c>
      <c r="AI863" s="456">
        <f>(((_xll.xSPRDOPT($L863,$J863,$I863,$M863,$O863,$N863,$P863,$Q863-$C$3,$R863,4)*$H863)/10000)/100)-AB863</f>
        <v>-0.20622005142626421</v>
      </c>
      <c r="AJ863" s="456"/>
    </row>
    <row r="864" spans="1:36" x14ac:dyDescent="0.25">
      <c r="A864" s="140" t="s">
        <v>624</v>
      </c>
      <c r="B864" t="s">
        <v>250</v>
      </c>
      <c r="C864" t="s">
        <v>632</v>
      </c>
      <c r="D864" s="4" t="s">
        <v>617</v>
      </c>
      <c r="E864" t="s">
        <v>20</v>
      </c>
      <c r="F864" t="s">
        <v>1</v>
      </c>
      <c r="G864" s="5">
        <v>36831</v>
      </c>
      <c r="H864" s="130">
        <v>500000</v>
      </c>
      <c r="I864" s="235">
        <v>0.15</v>
      </c>
      <c r="J864" s="53">
        <f t="shared" si="1081"/>
        <v>4.7359999999999998</v>
      </c>
      <c r="K864" s="7">
        <f t="shared" si="1082"/>
        <v>-0.17499999999999999</v>
      </c>
      <c r="L864" s="53">
        <f t="shared" si="1083"/>
        <v>4.5609999999999999</v>
      </c>
      <c r="M864" s="157">
        <f t="shared" si="1084"/>
        <v>6.810675983792E-2</v>
      </c>
      <c r="N864" s="4">
        <f t="shared" si="1085"/>
        <v>0.59499999999999997</v>
      </c>
      <c r="O864" s="4">
        <f t="shared" si="1086"/>
        <v>0.60699999999999998</v>
      </c>
      <c r="P864" s="9">
        <f t="shared" si="1087"/>
        <v>0.93</v>
      </c>
      <c r="Q864" s="5">
        <f t="shared" si="1050"/>
        <v>36829</v>
      </c>
      <c r="R864" s="4">
        <f t="shared" si="1088"/>
        <v>0</v>
      </c>
      <c r="S864" s="158">
        <f>_xll.xSPRDOPT($L864,$J864,$I864,$M864,$O864,$N864,$P864,$Q864-$C$3,$R864,0)</f>
        <v>0.37781224158392795</v>
      </c>
      <c r="T864" s="159">
        <f>_xll.xSPRDOPT($L864,$J864,$I864,$M864,$O864,$N864,$P864,$Q864-$C$3,$R864,1)*H864</f>
        <v>-374904.87269401463</v>
      </c>
      <c r="U864" s="160">
        <f t="shared" si="1089"/>
        <v>188906.12079196397</v>
      </c>
      <c r="V864" s="159">
        <f>_xll.xSPRDOPT($L864,$J864,$I864,$M864,$O864,$N864,$P864,$Q864-$C$3,$R864,2)*H864</f>
        <v>388686.39306104119</v>
      </c>
      <c r="W864" s="159">
        <f t="shared" si="1090"/>
        <v>13781.520367026562</v>
      </c>
      <c r="X864" s="51" t="str">
        <f t="shared" si="1091"/>
        <v>36831IF-NTHWST/CANBR</v>
      </c>
      <c r="Y864" s="418">
        <f t="shared" si="1092"/>
        <v>50</v>
      </c>
      <c r="Z864" s="456">
        <f t="shared" si="1093"/>
        <v>-0.74980974538802925</v>
      </c>
      <c r="AA864" s="456">
        <f>_xll.xSPRDOPT($L864,$J864,$I864,$M864,$O864,$N864,$P864,$Q864-$C$3,$R864,3)</f>
        <v>0.73427214009958863</v>
      </c>
      <c r="AB864" s="456">
        <f>((_xll.xSPRDOPT($L864+AB$5,$J864,$I864,$M864,$O864,$N864,$P864,$Q864-$C$3,$R864,3)*$H864)/10000)/100</f>
        <v>0.36713607004979432</v>
      </c>
      <c r="AC864" s="456">
        <f>((_xll.xSPRDOPT($L864+$AB$5,$J864,$I864,$M864,$O864,$N864,$P864,$Q864-$C$3,$R864,7)*$H864)/100)</f>
        <v>-4537.1036413984903</v>
      </c>
      <c r="AD864" s="456">
        <f>(_xll.xSPRDOPT($L864+$AB$5,$J864,$I864,$M864,$O864,$N864,$P864,$Q864-$C$3,$R864,9)/365)*$H864</f>
        <v>-487.25708352528704</v>
      </c>
      <c r="AE864">
        <f t="shared" si="1094"/>
        <v>0</v>
      </c>
      <c r="AF864" s="456">
        <f t="shared" si="1095"/>
        <v>1088.1743340450741</v>
      </c>
      <c r="AG864" s="456">
        <f>((_xll.xSPRDOPT($L864,$J864,$I864,$M864,$O864,$N864,$P864,$Q864-$C$3,$R864,6)*$H864)/100)</f>
        <v>151.69790122059527</v>
      </c>
      <c r="AH864" s="456">
        <f>((_xll.xSPRDOPT($L864,$J864,$I864,$M864,$O864,$N864,$P864,$Q864-$C$3,$R864,5)*$H864)/100)</f>
        <v>917.96289543750402</v>
      </c>
      <c r="AI864" s="456">
        <f>(((_xll.xSPRDOPT($L864,$J864,$I864,$M864,$O864,$N864,$P864,$Q864-$C$3,$R864,4)*$H864)/10000)/100)-AB864</f>
        <v>-4.7399859050997251E-2</v>
      </c>
      <c r="AJ864" s="456"/>
    </row>
    <row r="865" spans="1:36" x14ac:dyDescent="0.25">
      <c r="A865" s="140" t="s">
        <v>624</v>
      </c>
      <c r="B865" t="s">
        <v>250</v>
      </c>
      <c r="C865" t="s">
        <v>632</v>
      </c>
      <c r="D865" s="4" t="s">
        <v>617</v>
      </c>
      <c r="E865" t="s">
        <v>20</v>
      </c>
      <c r="F865" t="s">
        <v>1</v>
      </c>
      <c r="G865" s="5">
        <v>36861</v>
      </c>
      <c r="H865" s="130">
        <v>500000</v>
      </c>
      <c r="I865" s="235">
        <v>0.15</v>
      </c>
      <c r="J865" s="53">
        <f t="shared" si="1081"/>
        <v>4.8</v>
      </c>
      <c r="K865" s="7">
        <f t="shared" si="1082"/>
        <v>0.53</v>
      </c>
      <c r="L865" s="53">
        <f t="shared" si="1083"/>
        <v>5.33</v>
      </c>
      <c r="M865" s="157">
        <f t="shared" si="1084"/>
        <v>6.8314027999354002E-2</v>
      </c>
      <c r="N865" s="4">
        <f t="shared" si="1085"/>
        <v>0.6</v>
      </c>
      <c r="O865" s="4">
        <f t="shared" si="1086"/>
        <v>0.61199999999999999</v>
      </c>
      <c r="P865" s="9">
        <f t="shared" si="1087"/>
        <v>0.93</v>
      </c>
      <c r="Q865" s="5">
        <f t="shared" si="1050"/>
        <v>36859</v>
      </c>
      <c r="R865" s="4">
        <f t="shared" si="1088"/>
        <v>0</v>
      </c>
      <c r="S865" s="158">
        <f>_xll.xSPRDOPT($L865,$J865,$I865,$M865,$O865,$N865,$P865,$Q865-$C$3,$R865,0)</f>
        <v>8.8049721194057018E-2</v>
      </c>
      <c r="T865" s="159">
        <f>_xll.xSPRDOPT($L865,$J865,$I865,$M865,$O865,$N865,$P865,$Q865-$C$3,$R865,1)*H865</f>
        <v>-117298.58020830197</v>
      </c>
      <c r="U865" s="160">
        <f t="shared" si="1089"/>
        <v>44024.860597028506</v>
      </c>
      <c r="V865" s="159">
        <f>_xll.xSPRDOPT($L865,$J865,$I865,$M865,$O865,$N865,$P865,$Q865-$C$3,$R865,2)*H865</f>
        <v>135276.94412346691</v>
      </c>
      <c r="W865" s="159">
        <f t="shared" si="1090"/>
        <v>17978.36391516494</v>
      </c>
      <c r="X865" s="51" t="str">
        <f t="shared" si="1091"/>
        <v>36861IF-NTHWST/CANBR</v>
      </c>
      <c r="Y865" s="418">
        <f t="shared" si="1092"/>
        <v>50</v>
      </c>
      <c r="Z865" s="456">
        <f t="shared" si="1093"/>
        <v>-0.23459716041660394</v>
      </c>
      <c r="AA865" s="456">
        <f>_xll.xSPRDOPT($L865,$J865,$I865,$M865,$O865,$N865,$P865,$Q865-$C$3,$R865,3)</f>
        <v>0.50538210278571072</v>
      </c>
      <c r="AB865" s="456">
        <f>((_xll.xSPRDOPT($L865+AB$5,$J865,$I865,$M865,$O865,$N865,$P865,$Q865-$C$3,$R865,3)*$H865)/10000)/100</f>
        <v>0.25269105139285536</v>
      </c>
      <c r="AC865" s="456">
        <f>((_xll.xSPRDOPT($L865+$AB$5,$J865,$I865,$M865,$O865,$N865,$P865,$Q865-$C$3,$R865,7)*$H865)/100)</f>
        <v>-6440.2958167286633</v>
      </c>
      <c r="AD865" s="456">
        <f>(_xll.xSPRDOPT($L865+$AB$5,$J865,$I865,$M865,$O865,$N865,$P865,$Q865-$C$3,$R865,9)/365)*$H865</f>
        <v>-491.26565627728388</v>
      </c>
      <c r="AE865">
        <f t="shared" si="1094"/>
        <v>0</v>
      </c>
      <c r="AF865" s="456">
        <f t="shared" si="1095"/>
        <v>1530.7681567643326</v>
      </c>
      <c r="AG865" s="456">
        <f>((_xll.xSPRDOPT($L865,$J865,$I865,$M865,$O865,$N865,$P865,$Q865-$C$3,$R865,6)*$H865)/100)</f>
        <v>225.76925684323413</v>
      </c>
      <c r="AH865" s="456">
        <f>((_xll.xSPRDOPT($L865,$J865,$I865,$M865,$O865,$N865,$P865,$Q865-$C$3,$R865,5)*$H865)/100)</f>
        <v>1279.4106861971552</v>
      </c>
      <c r="AI865" s="456">
        <f>(((_xll.xSPRDOPT($L865,$J865,$I865,$M865,$O865,$N865,$P865,$Q865-$C$3,$R865,4)*$H865)/10000)/100)-AB865</f>
        <v>4.0477218469441079E-2</v>
      </c>
      <c r="AJ865" s="456"/>
    </row>
    <row r="866" spans="1:36" x14ac:dyDescent="0.25">
      <c r="A866" s="140" t="s">
        <v>624</v>
      </c>
      <c r="B866" t="s">
        <v>250</v>
      </c>
      <c r="C866" t="s">
        <v>632</v>
      </c>
      <c r="D866" s="4" t="s">
        <v>617</v>
      </c>
      <c r="E866" t="s">
        <v>20</v>
      </c>
      <c r="F866" t="s">
        <v>1</v>
      </c>
      <c r="G866" s="5">
        <v>36892</v>
      </c>
      <c r="H866" s="130">
        <v>500000</v>
      </c>
      <c r="I866" s="235">
        <v>0.15</v>
      </c>
      <c r="J866" s="53">
        <f t="shared" si="1081"/>
        <v>4.7439999999999998</v>
      </c>
      <c r="K866" s="7">
        <f t="shared" si="1082"/>
        <v>0.53</v>
      </c>
      <c r="L866" s="53">
        <f t="shared" si="1083"/>
        <v>5.274</v>
      </c>
      <c r="M866" s="157">
        <f t="shared" si="1084"/>
        <v>6.8374831148490994E-2</v>
      </c>
      <c r="N866" s="4">
        <f t="shared" si="1085"/>
        <v>0.60499999999999998</v>
      </c>
      <c r="O866" s="4">
        <f t="shared" si="1086"/>
        <v>0.61699999999999999</v>
      </c>
      <c r="P866" s="9">
        <f t="shared" si="1087"/>
        <v>0.93</v>
      </c>
      <c r="Q866" s="5">
        <f t="shared" si="1050"/>
        <v>36888</v>
      </c>
      <c r="R866" s="4">
        <f t="shared" si="1088"/>
        <v>0</v>
      </c>
      <c r="S866" s="158">
        <f>_xll.xSPRDOPT($L866,$J866,$I866,$M866,$O866,$N866,$P866,$Q866-$C$3,$R866,0)</f>
        <v>0.11450952161396594</v>
      </c>
      <c r="T866" s="159">
        <f>_xll.xSPRDOPT($L866,$J866,$I866,$M866,$O866,$N866,$P866,$Q866-$C$3,$R866,1)*H866</f>
        <v>-128049.15893092594</v>
      </c>
      <c r="U866" s="160">
        <f t="shared" si="1089"/>
        <v>57254.760806982966</v>
      </c>
      <c r="V866" s="159">
        <f>_xll.xSPRDOPT($L866,$J866,$I866,$M866,$O866,$N866,$P866,$Q866-$C$3,$R866,2)*H866</f>
        <v>149784.90551773016</v>
      </c>
      <c r="W866" s="159">
        <f t="shared" si="1090"/>
        <v>21735.74658680422</v>
      </c>
      <c r="X866" s="51" t="str">
        <f t="shared" si="1091"/>
        <v>36892IF-NTHWST/CANBR</v>
      </c>
      <c r="Y866" s="418">
        <f t="shared" si="1092"/>
        <v>50</v>
      </c>
      <c r="Z866" s="456">
        <f t="shared" si="1093"/>
        <v>-0.25609831786185189</v>
      </c>
      <c r="AA866" s="456">
        <f>_xll.xSPRDOPT($L866,$J866,$I866,$M866,$O866,$N866,$P866,$Q866-$C$3,$R866,3)</f>
        <v>0.46158545690021913</v>
      </c>
      <c r="AB866" s="456">
        <f>((_xll.xSPRDOPT($L866+AB$5,$J866,$I866,$M866,$O866,$N866,$P866,$Q866-$C$3,$R866,3)*$H866)/10000)/100</f>
        <v>0.23079272845010959</v>
      </c>
      <c r="AC866" s="456">
        <f>((_xll.xSPRDOPT($L866+$AB$5,$J866,$I866,$M866,$O866,$N866,$P866,$Q866-$C$3,$R866,7)*$H866)/100)</f>
        <v>-7697.2683394056894</v>
      </c>
      <c r="AD866" s="456">
        <f>(_xll.xSPRDOPT($L866+$AB$5,$J866,$I866,$M866,$O866,$N866,$P866,$Q866-$C$3,$R866,9)/365)*$H866</f>
        <v>-443.3568538531328</v>
      </c>
      <c r="AE866">
        <f t="shared" si="1094"/>
        <v>0</v>
      </c>
      <c r="AF866" s="456">
        <f t="shared" si="1095"/>
        <v>1815.085943513825</v>
      </c>
      <c r="AG866" s="456">
        <f>((_xll.xSPRDOPT($L866,$J866,$I866,$M866,$O866,$N866,$P866,$Q866-$C$3,$R866,6)*$H866)/100)</f>
        <v>265.45840369249709</v>
      </c>
      <c r="AH866" s="456">
        <f>((_xll.xSPRDOPT($L866,$J866,$I866,$M866,$O866,$N866,$P866,$Q866-$C$3,$R866,5)*$H866)/100)</f>
        <v>1519.4889166805565</v>
      </c>
      <c r="AI866" s="456">
        <f>(((_xll.xSPRDOPT($L866,$J866,$I866,$M866,$O866,$N866,$P866,$Q866-$C$3,$R866,4)*$H866)/10000)/100)-AB866</f>
        <v>3.7407764861933784E-2</v>
      </c>
      <c r="AJ866" s="456"/>
    </row>
    <row r="867" spans="1:36" x14ac:dyDescent="0.25">
      <c r="A867" s="140" t="s">
        <v>624</v>
      </c>
      <c r="B867" t="s">
        <v>250</v>
      </c>
      <c r="C867" t="s">
        <v>632</v>
      </c>
      <c r="D867" s="4" t="s">
        <v>617</v>
      </c>
      <c r="E867" t="s">
        <v>20</v>
      </c>
      <c r="F867" t="s">
        <v>1</v>
      </c>
      <c r="G867" s="5">
        <v>36923</v>
      </c>
      <c r="H867" s="130">
        <v>500000</v>
      </c>
      <c r="I867" s="235">
        <v>0.15</v>
      </c>
      <c r="J867" s="53">
        <f t="shared" si="1081"/>
        <v>4.4800000000000004</v>
      </c>
      <c r="K867" s="7">
        <f t="shared" si="1082"/>
        <v>0.34499999999999997</v>
      </c>
      <c r="L867" s="53">
        <f t="shared" si="1083"/>
        <v>4.8250000000000002</v>
      </c>
      <c r="M867" s="157">
        <f t="shared" si="1084"/>
        <v>6.8640161611372E-2</v>
      </c>
      <c r="N867" s="4">
        <f t="shared" si="1085"/>
        <v>0.59250000000000003</v>
      </c>
      <c r="O867" s="4">
        <f t="shared" si="1086"/>
        <v>0.60399999999999998</v>
      </c>
      <c r="P867" s="9">
        <f t="shared" si="1087"/>
        <v>0.93</v>
      </c>
      <c r="Q867" s="5">
        <f t="shared" si="1050"/>
        <v>36921</v>
      </c>
      <c r="R867" s="4">
        <f t="shared" si="1088"/>
        <v>0</v>
      </c>
      <c r="S867" s="158">
        <f>_xll.xSPRDOPT($L867,$J867,$I867,$M867,$O867,$N867,$P867,$Q867-$C$3,$R867,0)</f>
        <v>0.18029997457777305</v>
      </c>
      <c r="T867" s="159">
        <f>_xll.xSPRDOPT($L867,$J867,$I867,$M867,$O867,$N867,$P867,$Q867-$C$3,$R867,1)*H867</f>
        <v>-174958.54186775899</v>
      </c>
      <c r="U867" s="160">
        <f t="shared" si="1089"/>
        <v>90149.987288886521</v>
      </c>
      <c r="V867" s="159">
        <f>_xll.xSPRDOPT($L867,$J867,$I867,$M867,$O867,$N867,$P867,$Q867-$C$3,$R867,2)*H867</f>
        <v>201907.31890990294</v>
      </c>
      <c r="W867" s="159">
        <f t="shared" si="1090"/>
        <v>26948.777042143949</v>
      </c>
      <c r="X867" s="51" t="str">
        <f t="shared" si="1091"/>
        <v>36923IF-NTHWST/CANBR</v>
      </c>
      <c r="Y867" s="418">
        <f t="shared" si="1092"/>
        <v>50</v>
      </c>
      <c r="Z867" s="456">
        <f t="shared" si="1093"/>
        <v>-0.349917083735518</v>
      </c>
      <c r="AA867" s="456">
        <f>_xll.xSPRDOPT($L867,$J867,$I867,$M867,$O867,$N867,$P867,$Q867-$C$3,$R867,3)</f>
        <v>0.52176923312718182</v>
      </c>
      <c r="AB867" s="456">
        <f>((_xll.xSPRDOPT($L867+AB$5,$J867,$I867,$M867,$O867,$N867,$P867,$Q867-$C$3,$R867,3)*$H867)/10000)/100</f>
        <v>0.26088461656359091</v>
      </c>
      <c r="AC867" s="456">
        <f>((_xll.xSPRDOPT($L867+$AB$5,$J867,$I867,$M867,$O867,$N867,$P867,$Q867-$C$3,$R867,7)*$H867)/100)</f>
        <v>-8868.3511149804908</v>
      </c>
      <c r="AD867" s="456">
        <f>(_xll.xSPRDOPT($L867+$AB$5,$J867,$I867,$M867,$O867,$N867,$P867,$Q867-$C$3,$R867,9)/365)*$H867</f>
        <v>-394.68667563958144</v>
      </c>
      <c r="AE867">
        <f t="shared" si="1094"/>
        <v>0</v>
      </c>
      <c r="AF867" s="456">
        <f t="shared" si="1095"/>
        <v>2138.3678301583395</v>
      </c>
      <c r="AG867" s="456">
        <f>((_xll.xSPRDOPT($L867,$J867,$I867,$M867,$O867,$N867,$P867,$Q867-$C$3,$R867,6)*$H867)/100)</f>
        <v>291.01662110539701</v>
      </c>
      <c r="AH867" s="456">
        <f>((_xll.xSPRDOPT($L867,$J867,$I867,$M867,$O867,$N867,$P867,$Q867-$C$3,$R867,5)*$H867)/100)</f>
        <v>1812.1781313971328</v>
      </c>
      <c r="AI867" s="456">
        <f>(((_xll.xSPRDOPT($L867,$J867,$I867,$M867,$O867,$N867,$P867,$Q867-$C$3,$R867,4)*$H867)/10000)/100)-AB867</f>
        <v>2.2547604862247828E-2</v>
      </c>
      <c r="AJ867" s="456"/>
    </row>
    <row r="868" spans="1:36" x14ac:dyDescent="0.25">
      <c r="A868" s="140" t="s">
        <v>624</v>
      </c>
      <c r="B868" t="s">
        <v>250</v>
      </c>
      <c r="C868" t="s">
        <v>632</v>
      </c>
      <c r="D868" s="4" t="s">
        <v>617</v>
      </c>
      <c r="E868" t="s">
        <v>20</v>
      </c>
      <c r="F868" t="s">
        <v>1</v>
      </c>
      <c r="G868" s="5">
        <v>36951</v>
      </c>
      <c r="H868" s="130">
        <v>500000</v>
      </c>
      <c r="I868" s="235">
        <v>0.15</v>
      </c>
      <c r="J868" s="53">
        <f t="shared" si="1081"/>
        <v>4.2130000000000001</v>
      </c>
      <c r="K868" s="7">
        <f t="shared" si="1082"/>
        <v>-0.03</v>
      </c>
      <c r="L868" s="53">
        <f t="shared" si="1083"/>
        <v>4.1829999999999998</v>
      </c>
      <c r="M868" s="157">
        <f t="shared" si="1084"/>
        <v>6.8879814952706994E-2</v>
      </c>
      <c r="N868" s="4">
        <f t="shared" si="1085"/>
        <v>0.53249999999999997</v>
      </c>
      <c r="O868" s="4">
        <f t="shared" si="1086"/>
        <v>0.54300000000000004</v>
      </c>
      <c r="P868" s="9">
        <f t="shared" si="1087"/>
        <v>0.93</v>
      </c>
      <c r="Q868" s="5">
        <f t="shared" si="1050"/>
        <v>36949</v>
      </c>
      <c r="R868" s="4">
        <f t="shared" si="1088"/>
        <v>0</v>
      </c>
      <c r="S868" s="158">
        <f>_xll.xSPRDOPT($L868,$J868,$I868,$M868,$O868,$N868,$P868,$Q868-$C$3,$R868,0)</f>
        <v>0.32940235915127247</v>
      </c>
      <c r="T868" s="159">
        <f>_xll.xSPRDOPT($L868,$J868,$I868,$M868,$O868,$N868,$P868,$Q868-$C$3,$R868,1)*H868</f>
        <v>-285146.23617522995</v>
      </c>
      <c r="U868" s="160">
        <f t="shared" si="1089"/>
        <v>164701.17957563623</v>
      </c>
      <c r="V868" s="159">
        <f>_xll.xSPRDOPT($L868,$J868,$I868,$M868,$O868,$N868,$P868,$Q868-$C$3,$R868,2)*H868</f>
        <v>311224.16050597036</v>
      </c>
      <c r="W868" s="159">
        <f t="shared" si="1090"/>
        <v>26077.92433074041</v>
      </c>
      <c r="X868" s="51" t="str">
        <f t="shared" si="1091"/>
        <v>36951IF-NTHWST/CANBR</v>
      </c>
      <c r="Y868" s="418">
        <f t="shared" si="1092"/>
        <v>50</v>
      </c>
      <c r="Z868" s="456">
        <f t="shared" si="1093"/>
        <v>-0.57029247235045988</v>
      </c>
      <c r="AA868" s="456">
        <f>_xll.xSPRDOPT($L868,$J868,$I868,$M868,$O868,$N868,$P868,$Q868-$C$3,$R868,3)</f>
        <v>0.63647093892149997</v>
      </c>
      <c r="AB868" s="456">
        <f>((_xll.xSPRDOPT($L868+AB$5,$J868,$I868,$M868,$O868,$N868,$P868,$Q868-$C$3,$R868,3)*$H868)/10000)/100</f>
        <v>0.31823546946074999</v>
      </c>
      <c r="AC868" s="456">
        <f>((_xll.xSPRDOPT($L868+$AB$5,$J868,$I868,$M868,$O868,$N868,$P868,$Q868-$C$3,$R868,7)*$H868)/100)</f>
        <v>-7745.3593794228473</v>
      </c>
      <c r="AD868" s="456">
        <f>(_xll.xSPRDOPT($L868+$AB$5,$J868,$I868,$M868,$O868,$N868,$P868,$Q868-$C$3,$R868,9)/365)*$H868</f>
        <v>-273.75129760171313</v>
      </c>
      <c r="AE868">
        <f t="shared" si="1094"/>
        <v>0</v>
      </c>
      <c r="AF868" s="456">
        <f t="shared" si="1095"/>
        <v>2082.3104157906728</v>
      </c>
      <c r="AG868" s="456">
        <f>((_xll.xSPRDOPT($L868,$J868,$I868,$M868,$O868,$N868,$P868,$Q868-$C$3,$R868,6)*$H868)/100)</f>
        <v>246.15351173932228</v>
      </c>
      <c r="AH868" s="456">
        <f>((_xll.xSPRDOPT($L868,$J868,$I868,$M868,$O868,$N868,$P868,$Q868-$C$3,$R868,5)*$H868)/100)</f>
        <v>1800.6511075641695</v>
      </c>
      <c r="AI868" s="456">
        <f>(((_xll.xSPRDOPT($L868,$J868,$I868,$M868,$O868,$N868,$P868,$Q868-$C$3,$R868,4)*$H868)/10000)/100)-AB868</f>
        <v>-2.5782692779085736E-2</v>
      </c>
      <c r="AJ868" s="456"/>
    </row>
  </sheetData>
  <sheetCalcPr fullCalcOnLoad="1"/>
  <mergeCells count="1">
    <mergeCell ref="A4:I4"/>
  </mergeCells>
  <pageMargins left="0.2" right="0.33" top="0.84" bottom="1" header="0.5" footer="0.5"/>
  <pageSetup paperSize="5" scale="1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2:N49"/>
  <sheetViews>
    <sheetView workbookViewId="0">
      <selection activeCell="A4" sqref="A4"/>
    </sheetView>
  </sheetViews>
  <sheetFormatPr defaultRowHeight="13.2" x14ac:dyDescent="0.25"/>
  <cols>
    <col min="2" max="2" width="14.5546875" customWidth="1"/>
    <col min="3" max="3" width="16.109375" customWidth="1"/>
    <col min="4" max="4" width="18.6640625" customWidth="1"/>
    <col min="5" max="5" width="13.88671875" customWidth="1"/>
    <col min="6" max="6" width="16.33203125" customWidth="1"/>
    <col min="7" max="7" width="11" customWidth="1"/>
    <col min="8" max="8" width="12.5546875" customWidth="1"/>
    <col min="9" max="9" width="9.5546875" customWidth="1"/>
    <col min="10" max="10" width="12.33203125" customWidth="1"/>
  </cols>
  <sheetData>
    <row r="2" spans="1:14" x14ac:dyDescent="0.25">
      <c r="B2" t="s">
        <v>7</v>
      </c>
      <c r="C2" t="s">
        <v>10</v>
      </c>
      <c r="D2" t="s">
        <v>9</v>
      </c>
      <c r="E2" t="s">
        <v>74</v>
      </c>
      <c r="F2" t="s">
        <v>0</v>
      </c>
      <c r="G2" t="s">
        <v>190</v>
      </c>
      <c r="H2" t="s">
        <v>325</v>
      </c>
      <c r="I2" t="s">
        <v>119</v>
      </c>
      <c r="J2" t="s">
        <v>384</v>
      </c>
      <c r="K2" t="s">
        <v>6</v>
      </c>
      <c r="L2" t="s">
        <v>487</v>
      </c>
      <c r="M2" t="s">
        <v>526</v>
      </c>
      <c r="N2" t="s">
        <v>617</v>
      </c>
    </row>
    <row r="3" spans="1:14" x14ac:dyDescent="0.25">
      <c r="B3">
        <v>2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  <c r="K3">
        <v>11</v>
      </c>
      <c r="L3">
        <v>12</v>
      </c>
      <c r="M3">
        <v>13</v>
      </c>
      <c r="N3">
        <v>14</v>
      </c>
    </row>
    <row r="4" spans="1:14" x14ac:dyDescent="0.25">
      <c r="A4" s="142">
        <v>36678</v>
      </c>
    </row>
    <row r="5" spans="1:14" x14ac:dyDescent="0.25">
      <c r="A5" s="142">
        <v>36708</v>
      </c>
    </row>
    <row r="6" spans="1:14" x14ac:dyDescent="0.25">
      <c r="A6" s="142">
        <v>36739</v>
      </c>
    </row>
    <row r="7" spans="1:14" x14ac:dyDescent="0.25">
      <c r="A7" s="142">
        <v>36770</v>
      </c>
    </row>
    <row r="8" spans="1:14" x14ac:dyDescent="0.25">
      <c r="A8" s="142">
        <v>36800</v>
      </c>
    </row>
    <row r="9" spans="1:14" x14ac:dyDescent="0.25">
      <c r="A9" s="142">
        <v>36831</v>
      </c>
    </row>
    <row r="10" spans="1:14" x14ac:dyDescent="0.25">
      <c r="A10" s="142">
        <v>36861</v>
      </c>
    </row>
    <row r="11" spans="1:14" x14ac:dyDescent="0.25">
      <c r="A11" s="142">
        <v>36892</v>
      </c>
    </row>
    <row r="12" spans="1:14" x14ac:dyDescent="0.25">
      <c r="A12" s="142">
        <v>36923</v>
      </c>
    </row>
    <row r="13" spans="1:14" x14ac:dyDescent="0.25">
      <c r="A13" s="142">
        <v>36951</v>
      </c>
    </row>
    <row r="14" spans="1:14" x14ac:dyDescent="0.25">
      <c r="A14" s="142">
        <v>36982</v>
      </c>
    </row>
    <row r="15" spans="1:14" x14ac:dyDescent="0.25">
      <c r="A15" s="142">
        <v>37012</v>
      </c>
    </row>
    <row r="16" spans="1:14" x14ac:dyDescent="0.25">
      <c r="A16" s="142">
        <v>37043</v>
      </c>
    </row>
    <row r="17" spans="1:1" x14ac:dyDescent="0.25">
      <c r="A17" s="142">
        <v>37073</v>
      </c>
    </row>
    <row r="18" spans="1:1" x14ac:dyDescent="0.25">
      <c r="A18" s="142">
        <v>37104</v>
      </c>
    </row>
    <row r="19" spans="1:1" x14ac:dyDescent="0.25">
      <c r="A19" s="142">
        <v>37135</v>
      </c>
    </row>
    <row r="20" spans="1:1" x14ac:dyDescent="0.25">
      <c r="A20" s="142">
        <v>37165</v>
      </c>
    </row>
    <row r="21" spans="1:1" x14ac:dyDescent="0.25">
      <c r="A21" s="142">
        <v>37196</v>
      </c>
    </row>
    <row r="22" spans="1:1" x14ac:dyDescent="0.25">
      <c r="A22" s="142">
        <v>37226</v>
      </c>
    </row>
    <row r="23" spans="1:1" x14ac:dyDescent="0.25">
      <c r="A23" s="142">
        <v>37257</v>
      </c>
    </row>
    <row r="24" spans="1:1" x14ac:dyDescent="0.25">
      <c r="A24" s="142">
        <v>37288</v>
      </c>
    </row>
    <row r="25" spans="1:1" x14ac:dyDescent="0.25">
      <c r="A25" s="142">
        <v>37316</v>
      </c>
    </row>
    <row r="26" spans="1:1" x14ac:dyDescent="0.25">
      <c r="A26" s="142">
        <v>37347</v>
      </c>
    </row>
    <row r="27" spans="1:1" x14ac:dyDescent="0.25">
      <c r="A27" s="142">
        <v>37377</v>
      </c>
    </row>
    <row r="28" spans="1:1" x14ac:dyDescent="0.25">
      <c r="A28" s="142">
        <v>37408</v>
      </c>
    </row>
    <row r="29" spans="1:1" x14ac:dyDescent="0.25">
      <c r="A29" s="142">
        <v>37438</v>
      </c>
    </row>
    <row r="30" spans="1:1" x14ac:dyDescent="0.25">
      <c r="A30" s="142">
        <v>37469</v>
      </c>
    </row>
    <row r="31" spans="1:1" x14ac:dyDescent="0.25">
      <c r="A31" s="142">
        <v>37500</v>
      </c>
    </row>
    <row r="32" spans="1:1" x14ac:dyDescent="0.25">
      <c r="A32" s="142">
        <v>37530</v>
      </c>
    </row>
    <row r="33" spans="1:10" x14ac:dyDescent="0.25">
      <c r="A33" s="142">
        <v>37561</v>
      </c>
    </row>
    <row r="34" spans="1:10" x14ac:dyDescent="0.25">
      <c r="A34" s="142">
        <v>37591</v>
      </c>
    </row>
    <row r="35" spans="1:10" x14ac:dyDescent="0.25">
      <c r="A35" s="142">
        <v>37622</v>
      </c>
    </row>
    <row r="36" spans="1:10" x14ac:dyDescent="0.25">
      <c r="A36" s="142">
        <v>37653</v>
      </c>
    </row>
    <row r="37" spans="1:10" x14ac:dyDescent="0.25">
      <c r="A37" s="142">
        <v>37681</v>
      </c>
    </row>
    <row r="38" spans="1:10" x14ac:dyDescent="0.25">
      <c r="A38" s="142">
        <v>37712</v>
      </c>
    </row>
    <row r="39" spans="1:10" x14ac:dyDescent="0.25">
      <c r="A39" s="142">
        <v>37742</v>
      </c>
    </row>
    <row r="40" spans="1:10" x14ac:dyDescent="0.25">
      <c r="B40">
        <v>1.4999999999999999E-2</v>
      </c>
      <c r="C40">
        <v>0.01</v>
      </c>
      <c r="J40">
        <v>1.4999999999999999E-2</v>
      </c>
    </row>
    <row r="41" spans="1:10" x14ac:dyDescent="0.25">
      <c r="B41">
        <v>0.11</v>
      </c>
      <c r="C41">
        <v>0.01</v>
      </c>
      <c r="J41">
        <v>0.11</v>
      </c>
    </row>
    <row r="42" spans="1:10" x14ac:dyDescent="0.25">
      <c r="B42">
        <v>0.11</v>
      </c>
      <c r="C42">
        <v>0.01</v>
      </c>
      <c r="J42">
        <v>0.11</v>
      </c>
    </row>
    <row r="43" spans="1:10" x14ac:dyDescent="0.25">
      <c r="B43">
        <v>0.11</v>
      </c>
      <c r="C43">
        <v>0.01</v>
      </c>
      <c r="J43">
        <v>0.11</v>
      </c>
    </row>
    <row r="44" spans="1:10" x14ac:dyDescent="0.25">
      <c r="B44">
        <v>0.11</v>
      </c>
      <c r="C44">
        <v>0.01</v>
      </c>
      <c r="J44">
        <v>0.11</v>
      </c>
    </row>
    <row r="45" spans="1:10" x14ac:dyDescent="0.25">
      <c r="B45">
        <v>0.13</v>
      </c>
    </row>
    <row r="46" spans="1:10" x14ac:dyDescent="0.25">
      <c r="B46">
        <v>0.13</v>
      </c>
    </row>
    <row r="47" spans="1:10" x14ac:dyDescent="0.25">
      <c r="B47">
        <v>0.13</v>
      </c>
    </row>
    <row r="48" spans="1:10" x14ac:dyDescent="0.25">
      <c r="B48">
        <v>0.13</v>
      </c>
    </row>
    <row r="49" spans="2:2" x14ac:dyDescent="0.25">
      <c r="B49">
        <v>0.13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K417"/>
  <sheetViews>
    <sheetView showGridLines="0" topLeftCell="L1" workbookViewId="0">
      <pane ySplit="6" topLeftCell="A215" activePane="bottomLeft" state="frozen"/>
      <selection pane="bottomLeft" activeCell="U221" sqref="U217:U221"/>
    </sheetView>
  </sheetViews>
  <sheetFormatPr defaultRowHeight="13.2" x14ac:dyDescent="0.25"/>
  <cols>
    <col min="1" max="1" width="15.5546875" bestFit="1" customWidth="1"/>
    <col min="2" max="2" width="8.109375" customWidth="1"/>
    <col min="3" max="3" width="12" customWidth="1"/>
    <col min="4" max="4" width="13.33203125" customWidth="1"/>
    <col min="5" max="5" width="18" bestFit="1" customWidth="1"/>
    <col min="6" max="6" width="6.33203125" customWidth="1"/>
    <col min="7" max="7" width="6" bestFit="1" customWidth="1"/>
    <col min="8" max="8" width="12.6640625" customWidth="1"/>
    <col min="9" max="9" width="13.44140625" bestFit="1" customWidth="1"/>
    <col min="10" max="10" width="10.6640625" bestFit="1" customWidth="1"/>
    <col min="13" max="16" width="10.44140625" customWidth="1"/>
    <col min="17" max="17" width="11.109375" customWidth="1"/>
    <col min="18" max="18" width="8.88671875" customWidth="1"/>
    <col min="19" max="19" width="12.109375" customWidth="1"/>
    <col min="20" max="20" width="13" customWidth="1"/>
    <col min="21" max="21" width="13.33203125" customWidth="1"/>
    <col min="22" max="22" width="15.33203125" customWidth="1"/>
    <col min="23" max="23" width="13.33203125" customWidth="1"/>
    <col min="24" max="24" width="3.88671875" customWidth="1"/>
    <col min="29" max="29" width="14.109375" customWidth="1"/>
    <col min="30" max="30" width="10.5546875" customWidth="1"/>
    <col min="31" max="31" width="10.33203125" customWidth="1"/>
    <col min="32" max="33" width="12" customWidth="1"/>
    <col min="34" max="34" width="13.33203125" customWidth="1"/>
    <col min="35" max="35" width="13.6640625" customWidth="1"/>
    <col min="37" max="37" width="17.33203125" customWidth="1"/>
    <col min="38" max="38" width="12.109375" customWidth="1"/>
    <col min="43" max="43" width="12.44140625" customWidth="1"/>
    <col min="44" max="44" width="16.44140625" customWidth="1"/>
    <col min="45" max="45" width="11.33203125" customWidth="1"/>
    <col min="46" max="46" width="9.6640625" bestFit="1" customWidth="1"/>
    <col min="47" max="47" width="12.109375" customWidth="1"/>
    <col min="48" max="48" width="14.109375" customWidth="1"/>
    <col min="49" max="49" width="13.88671875" customWidth="1"/>
    <col min="52" max="52" width="13.5546875" bestFit="1" customWidth="1"/>
    <col min="53" max="53" width="11.44140625" customWidth="1"/>
  </cols>
  <sheetData>
    <row r="1" spans="1:63" ht="20.399999999999999" x14ac:dyDescent="0.35">
      <c r="A1" s="90" t="s">
        <v>341</v>
      </c>
      <c r="B1" s="90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143" t="s">
        <v>134</v>
      </c>
      <c r="AC1" s="143" t="s">
        <v>135</v>
      </c>
      <c r="AD1" s="143" t="s">
        <v>136</v>
      </c>
      <c r="AE1" s="143" t="s">
        <v>146</v>
      </c>
      <c r="AF1" s="143" t="s">
        <v>137</v>
      </c>
      <c r="AG1" s="143" t="s">
        <v>138</v>
      </c>
      <c r="AH1" s="143" t="s">
        <v>139</v>
      </c>
      <c r="AR1" s="210" t="s">
        <v>140</v>
      </c>
      <c r="AS1" s="211"/>
      <c r="AT1" s="212"/>
      <c r="AU1" s="212"/>
      <c r="AV1" s="244">
        <f>U3</f>
        <v>275000</v>
      </c>
    </row>
    <row r="2" spans="1:63" ht="13.8" x14ac:dyDescent="0.2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4" t="s">
        <v>43</v>
      </c>
      <c r="T2" s="59" t="s">
        <v>41</v>
      </c>
      <c r="U2" s="58" t="s">
        <v>24</v>
      </c>
      <c r="V2" s="58"/>
      <c r="W2" s="58" t="s">
        <v>42</v>
      </c>
      <c r="X2" s="51"/>
      <c r="Y2" s="51"/>
      <c r="Z2" s="51"/>
      <c r="AA2" s="51"/>
      <c r="AC2" s="213" t="e">
        <f t="shared" ref="AC2:AI2" si="0">SUM(AC7:AC654)</f>
        <v>#N/A</v>
      </c>
      <c r="AD2" s="213" t="e">
        <f t="shared" si="0"/>
        <v>#N/A</v>
      </c>
      <c r="AE2" s="213" t="e">
        <f t="shared" si="0"/>
        <v>#N/A</v>
      </c>
      <c r="AF2" s="213" t="e">
        <f t="shared" si="0"/>
        <v>#N/A</v>
      </c>
      <c r="AG2" s="213" t="e">
        <f t="shared" si="0"/>
        <v>#N/A</v>
      </c>
      <c r="AH2" s="213" t="e">
        <f t="shared" si="0"/>
        <v>#N/A</v>
      </c>
      <c r="AI2" s="214" t="e">
        <f t="shared" si="0"/>
        <v>#N/A</v>
      </c>
      <c r="AK2" s="215" t="e">
        <f>U3-AI2</f>
        <v>#N/A</v>
      </c>
      <c r="AR2" s="216" t="s">
        <v>141</v>
      </c>
      <c r="AS2" s="217"/>
      <c r="AT2" s="218"/>
      <c r="AU2" s="218"/>
      <c r="AV2" s="219" t="e">
        <f>AI2</f>
        <v>#N/A</v>
      </c>
    </row>
    <row r="3" spans="1:63" ht="14.4" thickBot="1" x14ac:dyDescent="0.3">
      <c r="A3" s="11" t="s">
        <v>35</v>
      </c>
      <c r="B3" s="11"/>
      <c r="C3" s="12">
        <f>Summary!P1</f>
        <v>36767</v>
      </c>
      <c r="D3" s="454" t="s">
        <v>392</v>
      </c>
      <c r="E3" s="51" t="s">
        <v>393</v>
      </c>
      <c r="F3" s="51"/>
      <c r="G3" s="51"/>
      <c r="H3" s="51" t="s">
        <v>394</v>
      </c>
      <c r="I3" s="51"/>
      <c r="J3" s="51"/>
      <c r="K3" s="51"/>
      <c r="L3" s="51"/>
      <c r="M3" s="51"/>
      <c r="N3" s="51"/>
      <c r="O3" s="51"/>
      <c r="P3" s="51"/>
      <c r="Q3" s="51"/>
      <c r="R3" s="51"/>
      <c r="S3" s="56"/>
      <c r="T3" s="60">
        <f>SUM(T217:T500)</f>
        <v>-240754.15829573129</v>
      </c>
      <c r="U3" s="57">
        <f>SUM(U217:U500)</f>
        <v>275000</v>
      </c>
      <c r="V3" s="57"/>
      <c r="W3" s="60">
        <f>SUM(W217:W500)</f>
        <v>37127.912860886237</v>
      </c>
      <c r="X3" s="51"/>
      <c r="Y3" s="51"/>
      <c r="Z3" s="51"/>
      <c r="AA3" s="51"/>
      <c r="AC3" s="220">
        <f>WORKDAY(C3,-1)</f>
        <v>36766</v>
      </c>
      <c r="AR3" s="221" t="s">
        <v>142</v>
      </c>
      <c r="AS3" s="222"/>
      <c r="AT3" s="223"/>
      <c r="AU3" s="223"/>
      <c r="AV3" s="224" t="e">
        <f>AV1-AV2</f>
        <v>#N/A</v>
      </c>
    </row>
    <row r="4" spans="1:63" ht="14.4" thickBot="1" x14ac:dyDescent="0.3">
      <c r="A4" s="13" t="s">
        <v>36</v>
      </c>
      <c r="B4" s="351"/>
      <c r="C4" s="14"/>
      <c r="D4" s="14"/>
      <c r="E4" s="113"/>
      <c r="F4" s="113"/>
      <c r="G4" s="113"/>
      <c r="H4" s="113"/>
      <c r="I4" s="114"/>
      <c r="J4" s="440"/>
      <c r="K4" s="47" t="s">
        <v>37</v>
      </c>
      <c r="L4" s="47"/>
      <c r="M4" s="115"/>
      <c r="N4" s="115"/>
      <c r="O4" s="115"/>
      <c r="P4" s="115"/>
      <c r="Q4" s="115"/>
      <c r="R4" s="115"/>
      <c r="S4" s="116"/>
      <c r="T4" s="116"/>
      <c r="U4" s="117"/>
      <c r="V4" s="51"/>
      <c r="W4" s="51"/>
      <c r="X4" s="51"/>
      <c r="Y4" s="51"/>
      <c r="Z4" s="51"/>
      <c r="AA4" s="51"/>
      <c r="AR4" s="225"/>
      <c r="AS4" s="226" t="s">
        <v>143</v>
      </c>
      <c r="AT4" s="225"/>
      <c r="AU4" s="225"/>
      <c r="AV4" s="225"/>
      <c r="BG4" s="441"/>
      <c r="BH4" t="s">
        <v>190</v>
      </c>
    </row>
    <row r="5" spans="1:63" ht="15.75" customHeight="1" x14ac:dyDescent="0.3">
      <c r="A5" s="1"/>
      <c r="B5" s="1" t="s">
        <v>251</v>
      </c>
      <c r="C5" s="1"/>
      <c r="D5" s="1"/>
      <c r="E5" s="1"/>
      <c r="F5" s="1" t="s">
        <v>11</v>
      </c>
      <c r="G5" s="1" t="s">
        <v>12</v>
      </c>
      <c r="H5" s="1"/>
      <c r="I5" s="1" t="s">
        <v>13</v>
      </c>
      <c r="J5" s="2" t="s">
        <v>14</v>
      </c>
      <c r="K5" s="48" t="s">
        <v>390</v>
      </c>
      <c r="L5" s="8" t="s">
        <v>391</v>
      </c>
      <c r="M5" s="8" t="s">
        <v>28</v>
      </c>
      <c r="N5" s="8" t="s">
        <v>368</v>
      </c>
      <c r="O5" s="8" t="s">
        <v>369</v>
      </c>
      <c r="P5" s="2"/>
      <c r="Q5" s="1"/>
      <c r="R5" s="8" t="s">
        <v>33</v>
      </c>
      <c r="S5" s="8"/>
      <c r="T5" s="8" t="s">
        <v>368</v>
      </c>
      <c r="U5" s="8"/>
      <c r="V5" s="8" t="s">
        <v>369</v>
      </c>
      <c r="W5" s="8" t="s">
        <v>412</v>
      </c>
      <c r="X5" s="51"/>
      <c r="Y5" s="51"/>
      <c r="Z5" s="51"/>
      <c r="AA5" s="51"/>
      <c r="AC5">
        <v>0</v>
      </c>
      <c r="AI5">
        <v>0</v>
      </c>
      <c r="AQ5" s="227"/>
      <c r="AR5" s="228"/>
      <c r="AS5" s="228"/>
      <c r="AT5" s="228"/>
      <c r="AU5" s="228"/>
      <c r="AV5" s="228"/>
      <c r="AW5" s="229"/>
      <c r="AZ5" s="35" t="s">
        <v>73</v>
      </c>
      <c r="BA5" s="37"/>
      <c r="BG5" s="441"/>
      <c r="BH5" t="s">
        <v>237</v>
      </c>
    </row>
    <row r="6" spans="1:63" ht="18" customHeight="1" thickBot="1" x14ac:dyDescent="0.35">
      <c r="A6" s="3" t="s">
        <v>15</v>
      </c>
      <c r="B6" s="3" t="s">
        <v>252</v>
      </c>
      <c r="C6" s="3" t="s">
        <v>16</v>
      </c>
      <c r="D6" s="3" t="s">
        <v>342</v>
      </c>
      <c r="E6" s="3" t="s">
        <v>343</v>
      </c>
      <c r="F6" s="3" t="s">
        <v>17</v>
      </c>
      <c r="G6" s="3" t="s">
        <v>18</v>
      </c>
      <c r="H6" s="3" t="s">
        <v>3</v>
      </c>
      <c r="I6" s="3" t="s">
        <v>19</v>
      </c>
      <c r="J6" s="3" t="s">
        <v>5</v>
      </c>
      <c r="K6" s="3" t="s">
        <v>366</v>
      </c>
      <c r="L6" s="3" t="s">
        <v>367</v>
      </c>
      <c r="M6" s="3" t="s">
        <v>29</v>
      </c>
      <c r="N6" s="3" t="s">
        <v>30</v>
      </c>
      <c r="O6" s="3" t="s">
        <v>30</v>
      </c>
      <c r="P6" s="3" t="s">
        <v>8</v>
      </c>
      <c r="Q6" s="3" t="s">
        <v>32</v>
      </c>
      <c r="R6" s="3" t="s">
        <v>34</v>
      </c>
      <c r="S6" s="3" t="s">
        <v>23</v>
      </c>
      <c r="T6" s="3" t="s">
        <v>22</v>
      </c>
      <c r="U6" s="3" t="s">
        <v>24</v>
      </c>
      <c r="V6" s="3" t="s">
        <v>22</v>
      </c>
      <c r="W6" s="3" t="s">
        <v>87</v>
      </c>
      <c r="X6" s="51" t="s">
        <v>291</v>
      </c>
      <c r="Y6" s="51" t="s">
        <v>292</v>
      </c>
      <c r="Z6" s="51"/>
      <c r="AA6" s="51"/>
      <c r="AB6" t="s">
        <v>144</v>
      </c>
      <c r="AC6" s="230" t="s">
        <v>145</v>
      </c>
      <c r="AD6" s="230" t="s">
        <v>136</v>
      </c>
      <c r="AE6" s="230" t="s">
        <v>146</v>
      </c>
      <c r="AF6" s="230" t="s">
        <v>137</v>
      </c>
      <c r="AG6" s="230" t="s">
        <v>138</v>
      </c>
      <c r="AH6" s="230" t="s">
        <v>139</v>
      </c>
      <c r="AI6" s="230" t="s">
        <v>147</v>
      </c>
      <c r="AJ6" t="s">
        <v>148</v>
      </c>
      <c r="AQ6" s="231"/>
      <c r="AR6" s="245" t="s">
        <v>145</v>
      </c>
      <c r="AS6" s="245" t="s">
        <v>136</v>
      </c>
      <c r="AT6" s="245" t="s">
        <v>146</v>
      </c>
      <c r="AU6" s="245" t="s">
        <v>137</v>
      </c>
      <c r="AV6" s="245" t="s">
        <v>138</v>
      </c>
      <c r="AW6" s="233" t="s">
        <v>139</v>
      </c>
      <c r="AZ6" s="38" t="s">
        <v>3</v>
      </c>
      <c r="BA6" s="121"/>
      <c r="BG6" s="441">
        <v>36465</v>
      </c>
      <c r="BH6">
        <v>0.47499999999999998</v>
      </c>
      <c r="BJ6" s="441">
        <v>36465</v>
      </c>
      <c r="BK6">
        <v>3</v>
      </c>
    </row>
    <row r="7" spans="1:63" ht="12" customHeight="1" x14ac:dyDescent="0.25">
      <c r="A7" s="382" t="s">
        <v>279</v>
      </c>
      <c r="B7" s="155" t="s">
        <v>250</v>
      </c>
      <c r="C7" s="155" t="s">
        <v>360</v>
      </c>
      <c r="D7" s="155" t="s">
        <v>190</v>
      </c>
      <c r="E7" s="4" t="s">
        <v>237</v>
      </c>
      <c r="F7" s="155" t="s">
        <v>20</v>
      </c>
      <c r="G7" s="155" t="s">
        <v>21</v>
      </c>
      <c r="H7" s="354">
        <v>36678</v>
      </c>
      <c r="I7" s="156">
        <v>-50000</v>
      </c>
      <c r="J7" s="7">
        <v>0.46</v>
      </c>
      <c r="K7" s="53">
        <f>HLOOKUP($D$3,GDPRICES,VLOOKUP(Q7,GDmove_down,2,FALSE),FALSE)</f>
        <v>4.6150000000000002</v>
      </c>
      <c r="L7" s="53">
        <f>HLOOKUP($E$3,GDPRICES,VLOOKUP(Q7,GDmove_down,2,FALSE),FALSE)</f>
        <v>3.5150000000000001</v>
      </c>
      <c r="M7" s="157">
        <v>1</v>
      </c>
      <c r="N7" s="4">
        <v>0.51500000000000001</v>
      </c>
      <c r="O7" s="4">
        <v>0.51500000000000001</v>
      </c>
      <c r="P7" s="9" t="e">
        <f>HLOOKUP(E7,GDcorr,VLOOKUP(H7,GDCorMove,2,FALSE),FALSE)</f>
        <v>#N/A</v>
      </c>
      <c r="Q7" s="5">
        <v>36678</v>
      </c>
      <c r="R7" s="4">
        <f t="shared" ref="R7:R37" si="1">IF(G7="P",0,1)</f>
        <v>1</v>
      </c>
      <c r="S7" s="158" t="e">
        <f>_xll.xSPRDOPT($K7,$L7,$J7,$M7,$N7,$O7,$P7,$Q7-$C$3,$R7,0)</f>
        <v>#N/A</v>
      </c>
      <c r="T7" s="159" t="e">
        <f>_xll.xSPRDOPT($K7,$L7,$J7,$M7,$N7,$O7,$P7,$Q7-$C$3,$R7,1)*I7</f>
        <v>#N/A</v>
      </c>
      <c r="U7" s="160">
        <v>-6250</v>
      </c>
      <c r="V7" s="159" t="e">
        <f>_xll.xSPRDOPT($K7,$L7,$J7,$M7,$N7,$O7,$P7,$Q7-$C$3,$R7,2)*I7</f>
        <v>#N/A</v>
      </c>
      <c r="W7" s="159" t="e">
        <f t="shared" ref="W7:W37" si="2">+V7+T7</f>
        <v>#N/A</v>
      </c>
      <c r="X7" s="51" t="str">
        <f t="shared" ref="X7:X37" si="3">CONCATENATE(H7,E7)</f>
        <v>36678IF-ELPO/SJ</v>
      </c>
      <c r="Y7" s="418">
        <f t="shared" ref="Y7:Y37" si="4">I7/10000</f>
        <v>-5</v>
      </c>
      <c r="Z7" s="51"/>
      <c r="AA7" s="51"/>
      <c r="AB7" s="141">
        <f>H7</f>
        <v>36678</v>
      </c>
      <c r="AC7" s="234">
        <v>0</v>
      </c>
      <c r="AD7" s="234">
        <v>0</v>
      </c>
      <c r="AE7" s="234">
        <v>0</v>
      </c>
      <c r="AF7" s="234">
        <v>0</v>
      </c>
      <c r="AG7" s="234">
        <v>0</v>
      </c>
      <c r="AH7" s="234">
        <v>0</v>
      </c>
      <c r="AI7" s="160">
        <v>-6250</v>
      </c>
      <c r="AJ7" s="235" t="e">
        <f>HLOOKUP(D7,PREVCURVES,VLOOKUP(H7,MOVE_DOWN2,2,FALSE),FALSE)-HLOOKUP(E7,PREVCURVES,VLOOKUP(H7,MOVE_DOWN2,2,FALSE),FALSE)</f>
        <v>#N/A</v>
      </c>
      <c r="AK7" s="234"/>
      <c r="AL7" t="str">
        <f>CONCATENATE(AB7,$AC$6)</f>
        <v>36678Curve Shift/Gamma</v>
      </c>
      <c r="AM7" t="str">
        <f>CONCATENATE($AB7,$AD$6)</f>
        <v>36678Rho</v>
      </c>
      <c r="AN7" t="str">
        <f>CONCATENATE($AB7,$AE$6)</f>
        <v>36678Drift</v>
      </c>
      <c r="AO7" t="str">
        <f>CONCATENATE($AB7,$AF$6)</f>
        <v>36678Vega</v>
      </c>
      <c r="AP7" t="str">
        <f>CONCATENATE($AB7,$AG$6)</f>
        <v>36678Theta</v>
      </c>
      <c r="AQ7" s="385">
        <v>36557</v>
      </c>
      <c r="AR7" s="236">
        <f t="shared" ref="AR7:AR47" si="5">SUMIF($AL$7:$AL$654,CONCATENATE($AQ7,$AR$6),$AC$7:$AC$654)</f>
        <v>0</v>
      </c>
      <c r="AS7" s="237">
        <f t="shared" ref="AS7:AS47" si="6">SUMIF($AM$7:$AM$659,CONCATENATE($AQ7,$AS$6),$AD$7:$AD$654)</f>
        <v>0</v>
      </c>
      <c r="AT7" s="237">
        <f t="shared" ref="AT7:AT47" si="7">SUMIF($AN$7:$AN$659,CONCATENATE($AQ7,$AT$6),$AE$7:$AE$654)</f>
        <v>0</v>
      </c>
      <c r="AU7" s="237">
        <f t="shared" ref="AU7:AU47" si="8">SUMIF($AO$7:$AO$659,CONCATENATE($AQ7,$AU$6),$AF$7:$AF$654)</f>
        <v>0</v>
      </c>
      <c r="AV7" s="248">
        <f t="shared" ref="AV7:AV47" si="9">SUMIF($AP$7:$AP$659,CONCATENATE($AQ7,$AV$6),$AG$7:$AG$654)</f>
        <v>0</v>
      </c>
      <c r="AW7" s="238">
        <f t="shared" ref="AW7:AW47" si="10">SUM(AR7:AV7)</f>
        <v>0</v>
      </c>
      <c r="AZ7" s="39"/>
      <c r="BA7" s="150" t="s">
        <v>104</v>
      </c>
      <c r="BG7" s="441">
        <v>36495</v>
      </c>
      <c r="BH7">
        <v>0.47499999999999998</v>
      </c>
      <c r="BJ7" s="441">
        <v>36495</v>
      </c>
      <c r="BK7">
        <v>4</v>
      </c>
    </row>
    <row r="8" spans="1:63" ht="12" customHeight="1" x14ac:dyDescent="0.25">
      <c r="A8" s="382" t="s">
        <v>279</v>
      </c>
      <c r="B8" s="155" t="s">
        <v>250</v>
      </c>
      <c r="C8" s="155" t="s">
        <v>361</v>
      </c>
      <c r="D8" s="155" t="s">
        <v>190</v>
      </c>
      <c r="E8" s="4" t="s">
        <v>237</v>
      </c>
      <c r="F8" s="155" t="s">
        <v>20</v>
      </c>
      <c r="G8" s="155" t="s">
        <v>21</v>
      </c>
      <c r="H8" s="354">
        <v>36678</v>
      </c>
      <c r="I8" s="156">
        <v>10000</v>
      </c>
      <c r="J8" s="7">
        <v>0.46</v>
      </c>
      <c r="K8" s="53">
        <f t="shared" ref="K8:K71" si="11">HLOOKUP($D$3,GDPRICES,VLOOKUP(Q8,GDmove_down,2,FALSE),FALSE)</f>
        <v>4.6150000000000002</v>
      </c>
      <c r="L8" s="53">
        <f t="shared" ref="L8:L71" si="12">HLOOKUP($E$3,GDPRICES,VLOOKUP(Q8,GDmove_down,2,FALSE),FALSE)</f>
        <v>3.5150000000000001</v>
      </c>
      <c r="M8" s="157">
        <v>1</v>
      </c>
      <c r="N8" s="4">
        <v>0.51500000000000001</v>
      </c>
      <c r="O8" s="4">
        <v>0.51500000000000001</v>
      </c>
      <c r="P8" s="9" t="e">
        <f t="shared" ref="P8:P71" si="13">HLOOKUP(E8,GDcorr,VLOOKUP(H8,GDCorMove,2,FALSE),FALSE)</f>
        <v>#N/A</v>
      </c>
      <c r="Q8" s="5">
        <v>36678</v>
      </c>
      <c r="R8" s="4">
        <f t="shared" si="1"/>
        <v>1</v>
      </c>
      <c r="S8" s="158" t="e">
        <f>_xll.xSPRDOPT($K8,$L8,$J8,$M8,$N8,$O8,$P8,$Q8-$C$3,$R8,0)</f>
        <v>#N/A</v>
      </c>
      <c r="T8" s="159" t="e">
        <f>_xll.xSPRDOPT($K8,$L8,$J8,$M8,$N8,$O8,$P8,$Q8-$C$3,$R8,1)*I8</f>
        <v>#N/A</v>
      </c>
      <c r="U8" s="160">
        <v>1250</v>
      </c>
      <c r="V8" s="159" t="e">
        <f>_xll.xSPRDOPT($K8,$L8,$J8,$M8,$N8,$O8,$P8,$Q8-$C$3,$R8,2)*I8</f>
        <v>#N/A</v>
      </c>
      <c r="W8" s="159" t="e">
        <f t="shared" si="2"/>
        <v>#N/A</v>
      </c>
      <c r="X8" s="51" t="str">
        <f t="shared" si="3"/>
        <v>36678IF-ELPO/SJ</v>
      </c>
      <c r="Y8" s="418">
        <f t="shared" si="4"/>
        <v>1</v>
      </c>
      <c r="Z8" s="51"/>
      <c r="AA8" s="51"/>
      <c r="AB8" s="141">
        <f t="shared" ref="AB8:AB71" si="14">H8</f>
        <v>36678</v>
      </c>
      <c r="AC8" s="234">
        <v>0</v>
      </c>
      <c r="AD8" s="234">
        <v>0</v>
      </c>
      <c r="AE8" s="234">
        <v>0</v>
      </c>
      <c r="AF8" s="234">
        <v>0</v>
      </c>
      <c r="AG8" s="234">
        <v>0</v>
      </c>
      <c r="AH8" s="234">
        <v>0</v>
      </c>
      <c r="AI8" s="160">
        <v>1250</v>
      </c>
      <c r="AJ8" s="235" t="e">
        <f t="shared" ref="AJ8:AJ71" si="15">HLOOKUP(D8,PREVCURVES,VLOOKUP(H8,MOVE_DOWN2,2,FALSE),FALSE)-HLOOKUP(E8,PREVCURVES,VLOOKUP(H8,MOVE_DOWN2,2,FALSE),FALSE)</f>
        <v>#N/A</v>
      </c>
      <c r="AK8" s="234"/>
      <c r="AL8" t="str">
        <f t="shared" ref="AL8:AL71" si="16">CONCATENATE(AB8,$AC$6)</f>
        <v>36678Curve Shift/Gamma</v>
      </c>
      <c r="AM8" t="str">
        <f t="shared" ref="AM8:AM71" si="17">CONCATENATE($AB8,$AD$6)</f>
        <v>36678Rho</v>
      </c>
      <c r="AN8" t="str">
        <f t="shared" ref="AN8:AN71" si="18">CONCATENATE($AB8,$AE$6)</f>
        <v>36678Drift</v>
      </c>
      <c r="AO8" t="str">
        <f t="shared" ref="AO8:AO71" si="19">CONCATENATE($AB8,$AF$6)</f>
        <v>36678Vega</v>
      </c>
      <c r="AP8" t="str">
        <f t="shared" ref="AP8:AP71" si="20">CONCATENATE($AB8,$AG$6)</f>
        <v>36678Theta</v>
      </c>
      <c r="AQ8" s="385">
        <f t="shared" ref="AQ8:AQ47" si="21">EOMONTH(AQ7,0)+1</f>
        <v>36586</v>
      </c>
      <c r="AR8" s="386">
        <f t="shared" si="5"/>
        <v>0</v>
      </c>
      <c r="AS8" s="239">
        <f t="shared" si="6"/>
        <v>0</v>
      </c>
      <c r="AT8" s="239">
        <f t="shared" si="7"/>
        <v>0</v>
      </c>
      <c r="AU8" s="239">
        <f t="shared" si="8"/>
        <v>0</v>
      </c>
      <c r="AV8" s="249">
        <f t="shared" si="9"/>
        <v>0</v>
      </c>
      <c r="AW8" s="240">
        <f t="shared" si="10"/>
        <v>0</v>
      </c>
      <c r="AZ8" s="40">
        <v>36192</v>
      </c>
      <c r="BA8" s="44"/>
      <c r="BG8" s="441">
        <v>36526</v>
      </c>
      <c r="BH8">
        <v>0.505</v>
      </c>
      <c r="BJ8" s="441">
        <v>36526</v>
      </c>
      <c r="BK8">
        <v>5</v>
      </c>
    </row>
    <row r="9" spans="1:63" ht="12" customHeight="1" x14ac:dyDescent="0.25">
      <c r="A9" s="382" t="s">
        <v>279</v>
      </c>
      <c r="B9" s="155" t="s">
        <v>250</v>
      </c>
      <c r="C9" s="155" t="s">
        <v>364</v>
      </c>
      <c r="D9" s="155" t="s">
        <v>190</v>
      </c>
      <c r="E9" s="4" t="s">
        <v>237</v>
      </c>
      <c r="F9" s="155" t="s">
        <v>20</v>
      </c>
      <c r="G9" s="155" t="s">
        <v>21</v>
      </c>
      <c r="H9" s="354">
        <v>36678</v>
      </c>
      <c r="I9" s="156">
        <v>-333333</v>
      </c>
      <c r="J9" s="7">
        <v>0.46</v>
      </c>
      <c r="K9" s="53">
        <f t="shared" si="11"/>
        <v>4.6150000000000002</v>
      </c>
      <c r="L9" s="53">
        <f t="shared" si="12"/>
        <v>3.5150000000000001</v>
      </c>
      <c r="M9" s="157">
        <v>1</v>
      </c>
      <c r="N9" s="4">
        <v>0.51500000000000001</v>
      </c>
      <c r="O9" s="4">
        <v>0.51500000000000001</v>
      </c>
      <c r="P9" s="9" t="e">
        <f t="shared" si="13"/>
        <v>#N/A</v>
      </c>
      <c r="Q9" s="5">
        <v>36678</v>
      </c>
      <c r="R9" s="4">
        <f t="shared" si="1"/>
        <v>1</v>
      </c>
      <c r="S9" s="158" t="e">
        <f>_xll.xSPRDOPT($K9,$L9,$J9,$M9,$N9,$O9,$P9,$Q9-$C$3,$R9,0)</f>
        <v>#N/A</v>
      </c>
      <c r="T9" s="159" t="e">
        <f>_xll.xSPRDOPT($K9,$L9,$J9,$M9,$N9,$O9,$P9,$Q9-$C$3,$R9,1)*I9</f>
        <v>#N/A</v>
      </c>
      <c r="U9" s="160">
        <v>-41666.629999999997</v>
      </c>
      <c r="V9" s="159" t="e">
        <f>_xll.xSPRDOPT($K9,$L9,$J9,$M9,$N9,$O9,$P9,$Q9-$C$3,$R9,2)*I9</f>
        <v>#N/A</v>
      </c>
      <c r="W9" s="159" t="e">
        <f t="shared" si="2"/>
        <v>#N/A</v>
      </c>
      <c r="X9" s="51" t="str">
        <f t="shared" si="3"/>
        <v>36678IF-ELPO/SJ</v>
      </c>
      <c r="Y9" s="418">
        <f t="shared" si="4"/>
        <v>-33.333300000000001</v>
      </c>
      <c r="Z9" s="51"/>
      <c r="AA9" s="51"/>
      <c r="AB9" s="141">
        <f t="shared" si="14"/>
        <v>36678</v>
      </c>
      <c r="AC9" s="234">
        <v>0</v>
      </c>
      <c r="AD9" s="234">
        <v>0</v>
      </c>
      <c r="AE9" s="234">
        <v>0</v>
      </c>
      <c r="AF9" s="234">
        <v>0</v>
      </c>
      <c r="AG9" s="234">
        <v>0</v>
      </c>
      <c r="AH9" s="234">
        <v>0</v>
      </c>
      <c r="AI9" s="160">
        <v>-41666.629999999997</v>
      </c>
      <c r="AJ9" s="235" t="e">
        <f t="shared" si="15"/>
        <v>#N/A</v>
      </c>
      <c r="AK9" s="234"/>
      <c r="AL9" t="str">
        <f t="shared" si="16"/>
        <v>36678Curve Shift/Gamma</v>
      </c>
      <c r="AM9" t="str">
        <f t="shared" si="17"/>
        <v>36678Rho</v>
      </c>
      <c r="AN9" t="str">
        <f t="shared" si="18"/>
        <v>36678Drift</v>
      </c>
      <c r="AO9" t="str">
        <f t="shared" si="19"/>
        <v>36678Vega</v>
      </c>
      <c r="AP9" t="str">
        <f t="shared" si="20"/>
        <v>36678Theta</v>
      </c>
      <c r="AQ9" s="385">
        <f t="shared" si="21"/>
        <v>36617</v>
      </c>
      <c r="AR9" s="386">
        <f t="shared" si="5"/>
        <v>0</v>
      </c>
      <c r="AS9" s="239">
        <f t="shared" si="6"/>
        <v>0</v>
      </c>
      <c r="AT9" s="239">
        <f t="shared" si="7"/>
        <v>0</v>
      </c>
      <c r="AU9" s="239">
        <f t="shared" si="8"/>
        <v>0</v>
      </c>
      <c r="AV9" s="249">
        <f t="shared" si="9"/>
        <v>0</v>
      </c>
      <c r="AW9" s="240">
        <f t="shared" si="10"/>
        <v>0</v>
      </c>
      <c r="AZ9" s="41">
        <f t="shared" ref="AZ9:AZ40" si="22">EOMONTH(AZ8,0)+1</f>
        <v>36220</v>
      </c>
      <c r="BA9" s="44"/>
      <c r="BG9" s="441">
        <v>36557</v>
      </c>
      <c r="BH9">
        <v>0.505</v>
      </c>
      <c r="BJ9" s="441">
        <v>36557</v>
      </c>
      <c r="BK9">
        <v>6</v>
      </c>
    </row>
    <row r="10" spans="1:63" ht="12" customHeight="1" x14ac:dyDescent="0.25">
      <c r="A10" s="384" t="s">
        <v>268</v>
      </c>
      <c r="B10" s="155" t="s">
        <v>250</v>
      </c>
      <c r="C10" s="155" t="s">
        <v>387</v>
      </c>
      <c r="D10" s="155" t="s">
        <v>190</v>
      </c>
      <c r="E10" s="4" t="s">
        <v>237</v>
      </c>
      <c r="F10" s="155" t="s">
        <v>20</v>
      </c>
      <c r="G10" s="155" t="s">
        <v>21</v>
      </c>
      <c r="H10" s="354">
        <v>36678</v>
      </c>
      <c r="I10" s="156">
        <v>-10000</v>
      </c>
      <c r="J10" s="7">
        <v>0.46</v>
      </c>
      <c r="K10" s="53">
        <f t="shared" si="11"/>
        <v>4.6150000000000002</v>
      </c>
      <c r="L10" s="53">
        <f t="shared" si="12"/>
        <v>3.5150000000000001</v>
      </c>
      <c r="M10" s="157">
        <v>1</v>
      </c>
      <c r="N10" s="4">
        <v>0.51500000000000001</v>
      </c>
      <c r="O10" s="4">
        <v>0.51500000000000001</v>
      </c>
      <c r="P10" s="9" t="e">
        <f t="shared" si="13"/>
        <v>#N/A</v>
      </c>
      <c r="Q10" s="5">
        <v>36678</v>
      </c>
      <c r="R10" s="4">
        <f t="shared" si="1"/>
        <v>1</v>
      </c>
      <c r="S10" s="158" t="e">
        <f>_xll.xSPRDOPT($K10,$L10,$J10,$M10,$N10,$O10,$P10,$Q10-$C$3,$R10,0)</f>
        <v>#N/A</v>
      </c>
      <c r="T10" s="159" t="e">
        <f>_xll.xSPRDOPT($K10,$L10,$J10,$M10,$N10,$O10,$P10,$Q10-$C$3,$R10,1)*I10</f>
        <v>#N/A</v>
      </c>
      <c r="U10" s="160">
        <v>-1250</v>
      </c>
      <c r="V10" s="159" t="e">
        <f>_xll.xSPRDOPT($K10,$L10,$J10,$M10,$N10,$O10,$P10,$Q10-$C$3,$R10,2)*I10</f>
        <v>#N/A</v>
      </c>
      <c r="W10" s="159" t="e">
        <f t="shared" si="2"/>
        <v>#N/A</v>
      </c>
      <c r="X10" s="51" t="str">
        <f t="shared" si="3"/>
        <v>36678IF-ELPO/SJ</v>
      </c>
      <c r="Y10" s="418">
        <f t="shared" si="4"/>
        <v>-1</v>
      </c>
      <c r="Z10" s="51"/>
      <c r="AA10" s="51"/>
      <c r="AB10" s="141">
        <f t="shared" si="14"/>
        <v>36678</v>
      </c>
      <c r="AC10" s="234">
        <v>0</v>
      </c>
      <c r="AD10" s="234">
        <v>0</v>
      </c>
      <c r="AE10" s="234">
        <v>0</v>
      </c>
      <c r="AF10" s="234">
        <v>0</v>
      </c>
      <c r="AG10" s="234">
        <v>0</v>
      </c>
      <c r="AH10" s="234">
        <v>0</v>
      </c>
      <c r="AI10" s="160">
        <v>-1250</v>
      </c>
      <c r="AJ10" s="235" t="e">
        <f t="shared" si="15"/>
        <v>#N/A</v>
      </c>
      <c r="AK10" s="234"/>
      <c r="AL10" t="str">
        <f t="shared" si="16"/>
        <v>36678Curve Shift/Gamma</v>
      </c>
      <c r="AM10" t="str">
        <f t="shared" si="17"/>
        <v>36678Rho</v>
      </c>
      <c r="AN10" t="str">
        <f t="shared" si="18"/>
        <v>36678Drift</v>
      </c>
      <c r="AO10" t="str">
        <f t="shared" si="19"/>
        <v>36678Vega</v>
      </c>
      <c r="AP10" t="str">
        <f t="shared" si="20"/>
        <v>36678Theta</v>
      </c>
      <c r="AQ10" s="385">
        <f t="shared" si="21"/>
        <v>36647</v>
      </c>
      <c r="AR10" s="386">
        <f t="shared" si="5"/>
        <v>0</v>
      </c>
      <c r="AS10" s="239">
        <f t="shared" si="6"/>
        <v>0</v>
      </c>
      <c r="AT10" s="239">
        <f t="shared" si="7"/>
        <v>0</v>
      </c>
      <c r="AU10" s="239">
        <f t="shared" si="8"/>
        <v>0</v>
      </c>
      <c r="AV10" s="249">
        <f t="shared" si="9"/>
        <v>0</v>
      </c>
      <c r="AW10" s="240">
        <f t="shared" si="10"/>
        <v>0</v>
      </c>
      <c r="AZ10" s="41">
        <f t="shared" si="22"/>
        <v>36251</v>
      </c>
      <c r="BA10" s="44"/>
      <c r="BG10" s="441">
        <v>36586</v>
      </c>
      <c r="BH10">
        <v>0.98499999999999999</v>
      </c>
      <c r="BJ10" s="441">
        <v>36586</v>
      </c>
      <c r="BK10">
        <v>7</v>
      </c>
    </row>
    <row r="11" spans="1:63" ht="12" customHeight="1" x14ac:dyDescent="0.25">
      <c r="A11" s="384" t="s">
        <v>279</v>
      </c>
      <c r="B11" s="155" t="s">
        <v>250</v>
      </c>
      <c r="C11" s="155" t="s">
        <v>388</v>
      </c>
      <c r="D11" s="155" t="s">
        <v>190</v>
      </c>
      <c r="E11" s="4" t="s">
        <v>237</v>
      </c>
      <c r="F11" s="155" t="s">
        <v>20</v>
      </c>
      <c r="G11" s="155" t="s">
        <v>21</v>
      </c>
      <c r="H11" s="354">
        <v>36678</v>
      </c>
      <c r="I11" s="156">
        <v>50000</v>
      </c>
      <c r="J11" s="7">
        <v>0.46</v>
      </c>
      <c r="K11" s="53">
        <f t="shared" si="11"/>
        <v>4.6150000000000002</v>
      </c>
      <c r="L11" s="53">
        <f t="shared" si="12"/>
        <v>3.5150000000000001</v>
      </c>
      <c r="M11" s="157">
        <v>1</v>
      </c>
      <c r="N11" s="4">
        <v>0.51500000000000001</v>
      </c>
      <c r="O11" s="4">
        <v>0.51500000000000001</v>
      </c>
      <c r="P11" s="9" t="e">
        <f t="shared" si="13"/>
        <v>#N/A</v>
      </c>
      <c r="Q11" s="5">
        <v>36678</v>
      </c>
      <c r="R11" s="4">
        <f t="shared" si="1"/>
        <v>1</v>
      </c>
      <c r="S11" s="158" t="e">
        <f>_xll.xSPRDOPT($K11,$L11,$J11,$M11,$N11,$O11,$P11,$Q11-$C$3,$R11,0)</f>
        <v>#N/A</v>
      </c>
      <c r="T11" s="159" t="e">
        <f>_xll.xSPRDOPT($K11,$L11,$J11,$M11,$N11,$O11,$P11,$Q11-$C$3,$R11,1)*I11</f>
        <v>#N/A</v>
      </c>
      <c r="U11" s="160">
        <v>6250</v>
      </c>
      <c r="V11" s="159" t="e">
        <f>_xll.xSPRDOPT($K11,$L11,$J11,$M11,$N11,$O11,$P11,$Q11-$C$3,$R11,2)*I11</f>
        <v>#N/A</v>
      </c>
      <c r="W11" s="159" t="e">
        <f t="shared" si="2"/>
        <v>#N/A</v>
      </c>
      <c r="X11" s="51" t="str">
        <f t="shared" si="3"/>
        <v>36678IF-ELPO/SJ</v>
      </c>
      <c r="Y11" s="418">
        <f t="shared" si="4"/>
        <v>5</v>
      </c>
      <c r="Z11" s="51"/>
      <c r="AA11" s="51"/>
      <c r="AB11" s="141">
        <f t="shared" si="14"/>
        <v>36678</v>
      </c>
      <c r="AC11" s="234">
        <v>0</v>
      </c>
      <c r="AD11" s="234">
        <v>0</v>
      </c>
      <c r="AE11" s="234">
        <v>0</v>
      </c>
      <c r="AF11" s="234">
        <v>0</v>
      </c>
      <c r="AG11" s="234">
        <v>0</v>
      </c>
      <c r="AH11" s="234">
        <v>0</v>
      </c>
      <c r="AI11" s="160">
        <v>6250</v>
      </c>
      <c r="AJ11" s="235" t="e">
        <f t="shared" si="15"/>
        <v>#N/A</v>
      </c>
      <c r="AK11" s="234"/>
      <c r="AL11" t="str">
        <f t="shared" si="16"/>
        <v>36678Curve Shift/Gamma</v>
      </c>
      <c r="AM11" t="str">
        <f t="shared" si="17"/>
        <v>36678Rho</v>
      </c>
      <c r="AN11" t="str">
        <f t="shared" si="18"/>
        <v>36678Drift</v>
      </c>
      <c r="AO11" t="str">
        <f t="shared" si="19"/>
        <v>36678Vega</v>
      </c>
      <c r="AP11" t="str">
        <f t="shared" si="20"/>
        <v>36678Theta</v>
      </c>
      <c r="AQ11" s="385">
        <f t="shared" si="21"/>
        <v>36678</v>
      </c>
      <c r="AR11" s="386" t="e">
        <f t="shared" si="5"/>
        <v>#N/A</v>
      </c>
      <c r="AS11" s="239" t="e">
        <f t="shared" si="6"/>
        <v>#N/A</v>
      </c>
      <c r="AT11" s="239" t="e">
        <f t="shared" si="7"/>
        <v>#N/A</v>
      </c>
      <c r="AU11" s="239" t="e">
        <f t="shared" si="8"/>
        <v>#N/A</v>
      </c>
      <c r="AV11" s="249" t="e">
        <f t="shared" si="9"/>
        <v>#N/A</v>
      </c>
      <c r="AW11" s="240" t="e">
        <f t="shared" si="10"/>
        <v>#N/A</v>
      </c>
      <c r="AZ11" s="41">
        <f t="shared" si="22"/>
        <v>36281</v>
      </c>
      <c r="BA11" s="44"/>
      <c r="BG11" s="441">
        <v>36617</v>
      </c>
      <c r="BH11">
        <v>0.98499999999999999</v>
      </c>
      <c r="BJ11" s="441">
        <v>36617</v>
      </c>
      <c r="BK11">
        <v>8</v>
      </c>
    </row>
    <row r="12" spans="1:63" ht="12" customHeight="1" x14ac:dyDescent="0.25">
      <c r="A12" s="384" t="s">
        <v>279</v>
      </c>
      <c r="B12" s="155" t="s">
        <v>250</v>
      </c>
      <c r="C12" s="155" t="s">
        <v>389</v>
      </c>
      <c r="D12" s="155" t="s">
        <v>190</v>
      </c>
      <c r="E12" s="4" t="s">
        <v>237</v>
      </c>
      <c r="F12" s="155" t="s">
        <v>20</v>
      </c>
      <c r="G12" s="155" t="s">
        <v>21</v>
      </c>
      <c r="H12" s="354">
        <v>36678</v>
      </c>
      <c r="I12" s="156">
        <v>50000</v>
      </c>
      <c r="J12" s="7">
        <v>0.46</v>
      </c>
      <c r="K12" s="53">
        <f t="shared" si="11"/>
        <v>4.6150000000000002</v>
      </c>
      <c r="L12" s="53">
        <f t="shared" si="12"/>
        <v>3.5150000000000001</v>
      </c>
      <c r="M12" s="157">
        <v>1</v>
      </c>
      <c r="N12" s="4">
        <v>0.51500000000000001</v>
      </c>
      <c r="O12" s="4">
        <v>0.51500000000000001</v>
      </c>
      <c r="P12" s="9" t="e">
        <f t="shared" si="13"/>
        <v>#N/A</v>
      </c>
      <c r="Q12" s="5">
        <v>36678</v>
      </c>
      <c r="R12" s="4">
        <f t="shared" si="1"/>
        <v>1</v>
      </c>
      <c r="S12" s="158" t="e">
        <f>_xll.xSPRDOPT($K12,$L12,$J12,$M12,$N12,$O12,$P12,$Q12-$C$3,$R12,0)</f>
        <v>#N/A</v>
      </c>
      <c r="T12" s="159" t="e">
        <f>_xll.xSPRDOPT($K12,$L12,$J12,$M12,$N12,$O12,$P12,$Q12-$C$3,$R12,1)*I12</f>
        <v>#N/A</v>
      </c>
      <c r="U12" s="160">
        <v>6250</v>
      </c>
      <c r="V12" s="159" t="e">
        <f>_xll.xSPRDOPT($K12,$L12,$J12,$M12,$N12,$O12,$P12,$Q12-$C$3,$R12,2)*I12</f>
        <v>#N/A</v>
      </c>
      <c r="W12" s="159" t="e">
        <f t="shared" si="2"/>
        <v>#N/A</v>
      </c>
      <c r="X12" s="51" t="str">
        <f t="shared" si="3"/>
        <v>36678IF-ELPO/SJ</v>
      </c>
      <c r="Y12" s="418">
        <f t="shared" si="4"/>
        <v>5</v>
      </c>
      <c r="Z12" s="51"/>
      <c r="AA12" s="51"/>
      <c r="AB12" s="141">
        <f t="shared" si="14"/>
        <v>36678</v>
      </c>
      <c r="AC12" s="234">
        <v>0</v>
      </c>
      <c r="AD12" s="234">
        <v>0</v>
      </c>
      <c r="AE12" s="234">
        <v>0</v>
      </c>
      <c r="AF12" s="234">
        <v>0</v>
      </c>
      <c r="AG12" s="234">
        <v>0</v>
      </c>
      <c r="AH12" s="234">
        <v>0</v>
      </c>
      <c r="AI12" s="160">
        <v>6250</v>
      </c>
      <c r="AJ12" s="235" t="e">
        <f t="shared" si="15"/>
        <v>#N/A</v>
      </c>
      <c r="AK12" s="234"/>
      <c r="AL12" t="str">
        <f t="shared" si="16"/>
        <v>36678Curve Shift/Gamma</v>
      </c>
      <c r="AM12" t="str">
        <f t="shared" si="17"/>
        <v>36678Rho</v>
      </c>
      <c r="AN12" t="str">
        <f t="shared" si="18"/>
        <v>36678Drift</v>
      </c>
      <c r="AO12" t="str">
        <f t="shared" si="19"/>
        <v>36678Vega</v>
      </c>
      <c r="AP12" t="str">
        <f t="shared" si="20"/>
        <v>36678Theta</v>
      </c>
      <c r="AQ12" s="385">
        <f t="shared" si="21"/>
        <v>36708</v>
      </c>
      <c r="AR12" s="386">
        <f t="shared" si="5"/>
        <v>0</v>
      </c>
      <c r="AS12" s="239">
        <f t="shared" si="6"/>
        <v>0</v>
      </c>
      <c r="AT12" s="239">
        <f t="shared" si="7"/>
        <v>0</v>
      </c>
      <c r="AU12" s="239">
        <f t="shared" si="8"/>
        <v>0</v>
      </c>
      <c r="AV12" s="249">
        <f t="shared" si="9"/>
        <v>0</v>
      </c>
      <c r="AW12" s="240">
        <f t="shared" si="10"/>
        <v>0</v>
      </c>
      <c r="AZ12" s="41">
        <f t="shared" si="22"/>
        <v>36312</v>
      </c>
      <c r="BA12" s="44"/>
      <c r="BG12" s="441">
        <v>36647</v>
      </c>
      <c r="BH12">
        <v>0.98499999999999999</v>
      </c>
      <c r="BJ12" s="441">
        <v>36647</v>
      </c>
      <c r="BK12">
        <v>9</v>
      </c>
    </row>
    <row r="13" spans="1:63" ht="12" customHeight="1" x14ac:dyDescent="0.25">
      <c r="A13" s="384" t="s">
        <v>279</v>
      </c>
      <c r="B13" s="155" t="s">
        <v>250</v>
      </c>
      <c r="C13" s="155" t="s">
        <v>398</v>
      </c>
      <c r="D13" s="155" t="s">
        <v>190</v>
      </c>
      <c r="E13" s="4" t="s">
        <v>237</v>
      </c>
      <c r="F13" s="155" t="s">
        <v>20</v>
      </c>
      <c r="G13" s="155" t="s">
        <v>21</v>
      </c>
      <c r="H13" s="354">
        <v>36678</v>
      </c>
      <c r="I13" s="156">
        <v>-10000</v>
      </c>
      <c r="J13" s="7">
        <v>0.46</v>
      </c>
      <c r="K13" s="53">
        <f t="shared" si="11"/>
        <v>4.6150000000000002</v>
      </c>
      <c r="L13" s="53">
        <f t="shared" si="12"/>
        <v>3.5150000000000001</v>
      </c>
      <c r="M13" s="157">
        <v>1</v>
      </c>
      <c r="N13" s="4">
        <v>0.51500000000000001</v>
      </c>
      <c r="O13" s="4">
        <v>0.51500000000000001</v>
      </c>
      <c r="P13" s="9" t="e">
        <f t="shared" si="13"/>
        <v>#N/A</v>
      </c>
      <c r="Q13" s="5">
        <v>36678</v>
      </c>
      <c r="R13" s="4">
        <f t="shared" si="1"/>
        <v>1</v>
      </c>
      <c r="S13" s="158" t="e">
        <f>_xll.xSPRDOPT($K13,$L13,$J13,$M13,$N13,$O13,$P13,$Q13-$C$3,$R13,0)</f>
        <v>#N/A</v>
      </c>
      <c r="T13" s="159" t="e">
        <f>_xll.xSPRDOPT($K13,$L13,$J13,$M13,$N13,$O13,$P13,$Q13-$C$3,$R13,1)*I13</f>
        <v>#N/A</v>
      </c>
      <c r="U13" s="160">
        <v>-1250</v>
      </c>
      <c r="V13" s="159" t="e">
        <f>_xll.xSPRDOPT($K13,$L13,$J13,$M13,$N13,$O13,$P13,$Q13-$C$3,$R13,2)*I13</f>
        <v>#N/A</v>
      </c>
      <c r="W13" s="159" t="e">
        <f t="shared" si="2"/>
        <v>#N/A</v>
      </c>
      <c r="X13" s="51" t="str">
        <f t="shared" si="3"/>
        <v>36678IF-ELPO/SJ</v>
      </c>
      <c r="Y13" s="418">
        <f t="shared" si="4"/>
        <v>-1</v>
      </c>
      <c r="Z13" s="51"/>
      <c r="AA13" s="51"/>
      <c r="AB13" s="141">
        <f t="shared" si="14"/>
        <v>36678</v>
      </c>
      <c r="AC13" s="234">
        <v>0</v>
      </c>
      <c r="AD13" s="234">
        <v>0</v>
      </c>
      <c r="AE13" s="234">
        <v>0</v>
      </c>
      <c r="AF13" s="234">
        <v>0</v>
      </c>
      <c r="AG13" s="234">
        <v>0</v>
      </c>
      <c r="AH13" s="234">
        <v>0</v>
      </c>
      <c r="AI13" s="160">
        <v>-1250</v>
      </c>
      <c r="AJ13" s="235" t="e">
        <f t="shared" si="15"/>
        <v>#N/A</v>
      </c>
      <c r="AK13" s="234"/>
      <c r="AL13" t="str">
        <f t="shared" si="16"/>
        <v>36678Curve Shift/Gamma</v>
      </c>
      <c r="AM13" t="str">
        <f t="shared" si="17"/>
        <v>36678Rho</v>
      </c>
      <c r="AN13" t="str">
        <f t="shared" si="18"/>
        <v>36678Drift</v>
      </c>
      <c r="AO13" t="str">
        <f t="shared" si="19"/>
        <v>36678Vega</v>
      </c>
      <c r="AP13" t="str">
        <f t="shared" si="20"/>
        <v>36678Theta</v>
      </c>
      <c r="AQ13" s="385">
        <f t="shared" si="21"/>
        <v>36739</v>
      </c>
      <c r="AR13" s="386">
        <f t="shared" si="5"/>
        <v>0</v>
      </c>
      <c r="AS13" s="239">
        <f t="shared" si="6"/>
        <v>0</v>
      </c>
      <c r="AT13" s="239">
        <f t="shared" si="7"/>
        <v>0</v>
      </c>
      <c r="AU13" s="239">
        <f t="shared" si="8"/>
        <v>0</v>
      </c>
      <c r="AV13" s="249">
        <f t="shared" si="9"/>
        <v>0</v>
      </c>
      <c r="AW13" s="240">
        <f t="shared" si="10"/>
        <v>0</v>
      </c>
      <c r="AZ13" s="41">
        <f t="shared" si="22"/>
        <v>36342</v>
      </c>
      <c r="BA13" s="44"/>
      <c r="BG13" s="441">
        <v>36678</v>
      </c>
      <c r="BH13">
        <v>0.99</v>
      </c>
      <c r="BJ13" s="441">
        <v>36678</v>
      </c>
      <c r="BK13">
        <v>10</v>
      </c>
    </row>
    <row r="14" spans="1:63" ht="12" customHeight="1" x14ac:dyDescent="0.25">
      <c r="A14" s="382" t="s">
        <v>279</v>
      </c>
      <c r="B14" s="155" t="s">
        <v>250</v>
      </c>
      <c r="C14" s="155" t="s">
        <v>360</v>
      </c>
      <c r="D14" s="155" t="s">
        <v>190</v>
      </c>
      <c r="E14" s="4" t="s">
        <v>237</v>
      </c>
      <c r="F14" s="155" t="s">
        <v>20</v>
      </c>
      <c r="G14" s="155" t="s">
        <v>21</v>
      </c>
      <c r="H14" s="354">
        <v>36678</v>
      </c>
      <c r="I14" s="156">
        <v>-50000</v>
      </c>
      <c r="J14" s="7">
        <v>0.46</v>
      </c>
      <c r="K14" s="53">
        <f t="shared" si="11"/>
        <v>4.5350000000000001</v>
      </c>
      <c r="L14" s="53">
        <f t="shared" si="12"/>
        <v>3.4950000000000001</v>
      </c>
      <c r="M14" s="157">
        <v>1</v>
      </c>
      <c r="N14" s="4">
        <v>0.51500000000000001</v>
      </c>
      <c r="O14" s="4">
        <v>0.51500000000000001</v>
      </c>
      <c r="P14" s="9" t="e">
        <f t="shared" si="13"/>
        <v>#N/A</v>
      </c>
      <c r="Q14" s="5">
        <v>36679</v>
      </c>
      <c r="R14" s="4">
        <f t="shared" si="1"/>
        <v>1</v>
      </c>
      <c r="S14" s="158" t="e">
        <f>_xll.xSPRDOPT($K14,$L14,$J14,$M14,$N14,$O14,$P14,$Q14-$C$3,$R14,0)</f>
        <v>#N/A</v>
      </c>
      <c r="T14" s="159" t="e">
        <f>_xll.xSPRDOPT($K14,$L14,$J14,$M14,$N14,$O14,$P14,$Q14-$C$3,$R14,1)*I14</f>
        <v>#N/A</v>
      </c>
      <c r="U14" s="160">
        <v>-4750</v>
      </c>
      <c r="V14" s="159" t="e">
        <f>_xll.xSPRDOPT($K14,$L14,$J14,$M14,$N14,$O14,$P14,$Q14-$C$3,$R14,2)*I14</f>
        <v>#N/A</v>
      </c>
      <c r="W14" s="159" t="e">
        <f t="shared" si="2"/>
        <v>#N/A</v>
      </c>
      <c r="X14" s="51" t="str">
        <f t="shared" si="3"/>
        <v>36678IF-ELPO/SJ</v>
      </c>
      <c r="Y14" s="418">
        <f t="shared" si="4"/>
        <v>-5</v>
      </c>
      <c r="AA14" s="51"/>
      <c r="AB14" s="141">
        <f t="shared" si="14"/>
        <v>36678</v>
      </c>
      <c r="AC14" s="234">
        <v>0</v>
      </c>
      <c r="AD14" s="234">
        <v>0</v>
      </c>
      <c r="AE14" s="234">
        <v>0</v>
      </c>
      <c r="AF14" s="234">
        <v>0</v>
      </c>
      <c r="AG14" s="234">
        <v>0</v>
      </c>
      <c r="AH14" s="234">
        <v>0</v>
      </c>
      <c r="AI14" s="160">
        <v>-4750</v>
      </c>
      <c r="AJ14" s="235" t="e">
        <f t="shared" si="15"/>
        <v>#N/A</v>
      </c>
      <c r="AK14" s="234"/>
      <c r="AL14" t="str">
        <f t="shared" si="16"/>
        <v>36678Curve Shift/Gamma</v>
      </c>
      <c r="AM14" t="str">
        <f t="shared" si="17"/>
        <v>36678Rho</v>
      </c>
      <c r="AN14" t="str">
        <f t="shared" si="18"/>
        <v>36678Drift</v>
      </c>
      <c r="AO14" t="str">
        <f t="shared" si="19"/>
        <v>36678Vega</v>
      </c>
      <c r="AP14" t="str">
        <f t="shared" si="20"/>
        <v>36678Theta</v>
      </c>
      <c r="AQ14" s="385">
        <f t="shared" si="21"/>
        <v>36770</v>
      </c>
      <c r="AR14" s="386">
        <f t="shared" si="5"/>
        <v>0</v>
      </c>
      <c r="AS14" s="239">
        <f t="shared" si="6"/>
        <v>0</v>
      </c>
      <c r="AT14" s="239">
        <f t="shared" si="7"/>
        <v>0</v>
      </c>
      <c r="AU14" s="239">
        <f t="shared" si="8"/>
        <v>0</v>
      </c>
      <c r="AV14" s="249">
        <f t="shared" si="9"/>
        <v>0</v>
      </c>
      <c r="AW14" s="240">
        <f t="shared" si="10"/>
        <v>0</v>
      </c>
      <c r="AZ14" s="41">
        <f t="shared" si="22"/>
        <v>36373</v>
      </c>
      <c r="BA14" s="44"/>
      <c r="BG14" s="441">
        <v>36708</v>
      </c>
      <c r="BH14">
        <v>0.98499999999999999</v>
      </c>
      <c r="BJ14" s="441">
        <v>36708</v>
      </c>
      <c r="BK14">
        <v>11</v>
      </c>
    </row>
    <row r="15" spans="1:63" ht="12" customHeight="1" x14ac:dyDescent="0.25">
      <c r="A15" s="382" t="s">
        <v>279</v>
      </c>
      <c r="B15" s="155" t="s">
        <v>250</v>
      </c>
      <c r="C15" s="155" t="s">
        <v>361</v>
      </c>
      <c r="D15" s="155" t="s">
        <v>190</v>
      </c>
      <c r="E15" s="4" t="s">
        <v>237</v>
      </c>
      <c r="F15" s="155" t="s">
        <v>20</v>
      </c>
      <c r="G15" s="155" t="s">
        <v>21</v>
      </c>
      <c r="H15" s="354">
        <v>36678</v>
      </c>
      <c r="I15" s="156">
        <v>10000</v>
      </c>
      <c r="J15" s="7">
        <v>0.46</v>
      </c>
      <c r="K15" s="53">
        <f t="shared" si="11"/>
        <v>4.5350000000000001</v>
      </c>
      <c r="L15" s="53">
        <f t="shared" si="12"/>
        <v>3.4950000000000001</v>
      </c>
      <c r="M15" s="157">
        <v>1</v>
      </c>
      <c r="N15" s="4">
        <v>0.51500000000000001</v>
      </c>
      <c r="O15" s="4">
        <v>0.51500000000000001</v>
      </c>
      <c r="P15" s="9" t="e">
        <f t="shared" si="13"/>
        <v>#N/A</v>
      </c>
      <c r="Q15" s="5">
        <v>36679</v>
      </c>
      <c r="R15" s="4">
        <f t="shared" si="1"/>
        <v>1</v>
      </c>
      <c r="S15" s="158" t="e">
        <f>_xll.xSPRDOPT($K15,$L15,$J15,$M15,$N15,$O15,$P15,$Q15-$C$3,$R15,0)</f>
        <v>#N/A</v>
      </c>
      <c r="T15" s="159" t="e">
        <f>_xll.xSPRDOPT($K15,$L15,$J15,$M15,$N15,$O15,$P15,$Q15-$C$3,$R15,1)*I15</f>
        <v>#N/A</v>
      </c>
      <c r="U15" s="160">
        <v>950</v>
      </c>
      <c r="V15" s="159" t="e">
        <f>_xll.xSPRDOPT($K15,$L15,$J15,$M15,$N15,$O15,$P15,$Q15-$C$3,$R15,2)*I15</f>
        <v>#N/A</v>
      </c>
      <c r="W15" s="159" t="e">
        <f t="shared" si="2"/>
        <v>#N/A</v>
      </c>
      <c r="X15" s="51" t="str">
        <f t="shared" si="3"/>
        <v>36678IF-ELPO/SJ</v>
      </c>
      <c r="Y15" s="418">
        <f t="shared" si="4"/>
        <v>1</v>
      </c>
      <c r="AA15" s="51"/>
      <c r="AB15" s="141">
        <f t="shared" si="14"/>
        <v>36678</v>
      </c>
      <c r="AC15" s="234">
        <v>0</v>
      </c>
      <c r="AD15" s="234">
        <v>0</v>
      </c>
      <c r="AE15" s="234">
        <v>0</v>
      </c>
      <c r="AF15" s="234">
        <v>0</v>
      </c>
      <c r="AG15" s="234">
        <v>0</v>
      </c>
      <c r="AH15" s="234">
        <v>0</v>
      </c>
      <c r="AI15" s="160">
        <v>950</v>
      </c>
      <c r="AJ15" s="235" t="e">
        <f t="shared" si="15"/>
        <v>#N/A</v>
      </c>
      <c r="AK15" s="234"/>
      <c r="AL15" t="str">
        <f t="shared" si="16"/>
        <v>36678Curve Shift/Gamma</v>
      </c>
      <c r="AM15" t="str">
        <f t="shared" si="17"/>
        <v>36678Rho</v>
      </c>
      <c r="AN15" t="str">
        <f t="shared" si="18"/>
        <v>36678Drift</v>
      </c>
      <c r="AO15" t="str">
        <f t="shared" si="19"/>
        <v>36678Vega</v>
      </c>
      <c r="AP15" t="str">
        <f t="shared" si="20"/>
        <v>36678Theta</v>
      </c>
      <c r="AQ15" s="385">
        <f t="shared" si="21"/>
        <v>36800</v>
      </c>
      <c r="AR15" s="386">
        <f t="shared" si="5"/>
        <v>0</v>
      </c>
      <c r="AS15" s="239">
        <f t="shared" si="6"/>
        <v>0</v>
      </c>
      <c r="AT15" s="239">
        <f t="shared" si="7"/>
        <v>0</v>
      </c>
      <c r="AU15" s="239">
        <f t="shared" si="8"/>
        <v>0</v>
      </c>
      <c r="AV15" s="249">
        <f t="shared" si="9"/>
        <v>0</v>
      </c>
      <c r="AW15" s="240">
        <f t="shared" si="10"/>
        <v>0</v>
      </c>
      <c r="AZ15" s="41">
        <f t="shared" si="22"/>
        <v>36404</v>
      </c>
      <c r="BA15" s="44"/>
      <c r="BG15" s="441">
        <v>36739</v>
      </c>
      <c r="BH15">
        <v>0.98499999999999999</v>
      </c>
      <c r="BJ15" s="441">
        <v>36739</v>
      </c>
      <c r="BK15">
        <v>12</v>
      </c>
    </row>
    <row r="16" spans="1:63" ht="12" customHeight="1" x14ac:dyDescent="0.25">
      <c r="A16" s="382" t="s">
        <v>279</v>
      </c>
      <c r="B16" s="155" t="s">
        <v>250</v>
      </c>
      <c r="C16" s="155" t="s">
        <v>364</v>
      </c>
      <c r="D16" s="155" t="s">
        <v>190</v>
      </c>
      <c r="E16" s="4" t="s">
        <v>237</v>
      </c>
      <c r="F16" s="155" t="s">
        <v>20</v>
      </c>
      <c r="G16" s="155" t="s">
        <v>21</v>
      </c>
      <c r="H16" s="354">
        <v>36678</v>
      </c>
      <c r="I16" s="156">
        <v>-333333</v>
      </c>
      <c r="J16" s="7">
        <v>0.46</v>
      </c>
      <c r="K16" s="53">
        <f t="shared" si="11"/>
        <v>4.5350000000000001</v>
      </c>
      <c r="L16" s="53">
        <f t="shared" si="12"/>
        <v>3.4950000000000001</v>
      </c>
      <c r="M16" s="157">
        <v>1</v>
      </c>
      <c r="N16" s="4">
        <v>0.51500000000000001</v>
      </c>
      <c r="O16" s="4">
        <v>0.51500000000000001</v>
      </c>
      <c r="P16" s="9" t="e">
        <f t="shared" si="13"/>
        <v>#N/A</v>
      </c>
      <c r="Q16" s="5">
        <v>36679</v>
      </c>
      <c r="R16" s="4">
        <f t="shared" si="1"/>
        <v>1</v>
      </c>
      <c r="S16" s="158" t="e">
        <f>_xll.xSPRDOPT($K16,$L16,$J16,$M16,$N16,$O16,$P16,$Q16-$C$3,$R16,0)</f>
        <v>#N/A</v>
      </c>
      <c r="T16" s="159" t="e">
        <f>_xll.xSPRDOPT($K16,$L16,$J16,$M16,$N16,$O16,$P16,$Q16-$C$3,$R16,1)*I16</f>
        <v>#N/A</v>
      </c>
      <c r="U16" s="160">
        <v>-31666.639999999999</v>
      </c>
      <c r="V16" s="159" t="e">
        <f>_xll.xSPRDOPT($K16,$L16,$J16,$M16,$N16,$O16,$P16,$Q16-$C$3,$R16,2)*I16</f>
        <v>#N/A</v>
      </c>
      <c r="W16" s="159" t="e">
        <f t="shared" si="2"/>
        <v>#N/A</v>
      </c>
      <c r="X16" s="51" t="str">
        <f t="shared" si="3"/>
        <v>36678IF-ELPO/SJ</v>
      </c>
      <c r="Y16" s="418">
        <f t="shared" si="4"/>
        <v>-33.333300000000001</v>
      </c>
      <c r="Z16" s="51"/>
      <c r="AA16" s="51"/>
      <c r="AB16" s="141">
        <f t="shared" si="14"/>
        <v>36678</v>
      </c>
      <c r="AC16" s="234">
        <v>0</v>
      </c>
      <c r="AD16" s="234">
        <v>0</v>
      </c>
      <c r="AE16" s="234">
        <v>0</v>
      </c>
      <c r="AF16" s="234">
        <v>0</v>
      </c>
      <c r="AG16" s="234">
        <v>0</v>
      </c>
      <c r="AH16" s="234">
        <v>0</v>
      </c>
      <c r="AI16" s="160">
        <v>-31666.639999999999</v>
      </c>
      <c r="AJ16" s="235" t="e">
        <f t="shared" si="15"/>
        <v>#N/A</v>
      </c>
      <c r="AK16" s="234"/>
      <c r="AL16" t="str">
        <f t="shared" si="16"/>
        <v>36678Curve Shift/Gamma</v>
      </c>
      <c r="AM16" t="str">
        <f t="shared" si="17"/>
        <v>36678Rho</v>
      </c>
      <c r="AN16" t="str">
        <f t="shared" si="18"/>
        <v>36678Drift</v>
      </c>
      <c r="AO16" t="str">
        <f t="shared" si="19"/>
        <v>36678Vega</v>
      </c>
      <c r="AP16" t="str">
        <f t="shared" si="20"/>
        <v>36678Theta</v>
      </c>
      <c r="AQ16" s="385">
        <f t="shared" si="21"/>
        <v>36831</v>
      </c>
      <c r="AR16" s="386">
        <f t="shared" si="5"/>
        <v>0</v>
      </c>
      <c r="AS16" s="239">
        <f t="shared" si="6"/>
        <v>0</v>
      </c>
      <c r="AT16" s="239">
        <f t="shared" si="7"/>
        <v>0</v>
      </c>
      <c r="AU16" s="239">
        <f t="shared" si="8"/>
        <v>0</v>
      </c>
      <c r="AV16" s="249">
        <f t="shared" si="9"/>
        <v>0</v>
      </c>
      <c r="AW16" s="240">
        <f t="shared" si="10"/>
        <v>0</v>
      </c>
      <c r="AZ16" s="41">
        <f t="shared" si="22"/>
        <v>36434</v>
      </c>
      <c r="BA16" s="44"/>
      <c r="BG16" s="441">
        <v>36770</v>
      </c>
      <c r="BH16">
        <v>0.98499999999999999</v>
      </c>
      <c r="BJ16" s="441">
        <v>36770</v>
      </c>
      <c r="BK16">
        <v>13</v>
      </c>
    </row>
    <row r="17" spans="1:63" ht="12" customHeight="1" x14ac:dyDescent="0.25">
      <c r="A17" s="384" t="s">
        <v>268</v>
      </c>
      <c r="B17" s="155" t="s">
        <v>250</v>
      </c>
      <c r="C17" s="155" t="s">
        <v>387</v>
      </c>
      <c r="D17" s="155" t="s">
        <v>190</v>
      </c>
      <c r="E17" s="4" t="s">
        <v>237</v>
      </c>
      <c r="F17" s="155" t="s">
        <v>20</v>
      </c>
      <c r="G17" s="155" t="s">
        <v>21</v>
      </c>
      <c r="H17" s="354">
        <v>36678</v>
      </c>
      <c r="I17" s="156">
        <v>-10000</v>
      </c>
      <c r="J17" s="7">
        <v>0.46</v>
      </c>
      <c r="K17" s="53">
        <f t="shared" si="11"/>
        <v>4.5350000000000001</v>
      </c>
      <c r="L17" s="53">
        <f t="shared" si="12"/>
        <v>3.4950000000000001</v>
      </c>
      <c r="M17" s="157">
        <v>1</v>
      </c>
      <c r="N17" s="4">
        <v>0.51500000000000001</v>
      </c>
      <c r="O17" s="4">
        <v>0.51500000000000001</v>
      </c>
      <c r="P17" s="9" t="e">
        <f t="shared" si="13"/>
        <v>#N/A</v>
      </c>
      <c r="Q17" s="5">
        <v>36679</v>
      </c>
      <c r="R17" s="4">
        <f t="shared" si="1"/>
        <v>1</v>
      </c>
      <c r="S17" s="158" t="e">
        <f>_xll.xSPRDOPT($K17,$L17,$J17,$M17,$N17,$O17,$P17,$Q17-$C$3,$R17,0)</f>
        <v>#N/A</v>
      </c>
      <c r="T17" s="159" t="e">
        <f>_xll.xSPRDOPT($K17,$L17,$J17,$M17,$N17,$O17,$P17,$Q17-$C$3,$R17,1)*I17</f>
        <v>#N/A</v>
      </c>
      <c r="U17" s="160">
        <v>-950</v>
      </c>
      <c r="V17" s="159" t="e">
        <f>_xll.xSPRDOPT($K17,$L17,$J17,$M17,$N17,$O17,$P17,$Q17-$C$3,$R17,2)*I17</f>
        <v>#N/A</v>
      </c>
      <c r="W17" s="159" t="e">
        <f t="shared" si="2"/>
        <v>#N/A</v>
      </c>
      <c r="X17" s="51" t="str">
        <f t="shared" si="3"/>
        <v>36678IF-ELPO/SJ</v>
      </c>
      <c r="Y17" s="418">
        <f t="shared" si="4"/>
        <v>-1</v>
      </c>
      <c r="Z17" s="51"/>
      <c r="AA17" s="51"/>
      <c r="AB17" s="141">
        <f t="shared" si="14"/>
        <v>36678</v>
      </c>
      <c r="AC17" s="234">
        <v>0</v>
      </c>
      <c r="AD17" s="234">
        <v>0</v>
      </c>
      <c r="AE17" s="234">
        <v>0</v>
      </c>
      <c r="AF17" s="234">
        <v>0</v>
      </c>
      <c r="AG17" s="234">
        <v>0</v>
      </c>
      <c r="AH17" s="234">
        <v>0</v>
      </c>
      <c r="AI17" s="160">
        <v>-950</v>
      </c>
      <c r="AJ17" s="235" t="e">
        <f t="shared" si="15"/>
        <v>#N/A</v>
      </c>
      <c r="AK17" s="234"/>
      <c r="AL17" t="str">
        <f t="shared" si="16"/>
        <v>36678Curve Shift/Gamma</v>
      </c>
      <c r="AM17" t="str">
        <f t="shared" si="17"/>
        <v>36678Rho</v>
      </c>
      <c r="AN17" t="str">
        <f t="shared" si="18"/>
        <v>36678Drift</v>
      </c>
      <c r="AO17" t="str">
        <f t="shared" si="19"/>
        <v>36678Vega</v>
      </c>
      <c r="AP17" t="str">
        <f t="shared" si="20"/>
        <v>36678Theta</v>
      </c>
      <c r="AQ17" s="385">
        <f t="shared" si="21"/>
        <v>36861</v>
      </c>
      <c r="AR17" s="386">
        <f t="shared" si="5"/>
        <v>0</v>
      </c>
      <c r="AS17" s="239">
        <f t="shared" si="6"/>
        <v>0</v>
      </c>
      <c r="AT17" s="239">
        <f t="shared" si="7"/>
        <v>0</v>
      </c>
      <c r="AU17" s="239">
        <f t="shared" si="8"/>
        <v>0</v>
      </c>
      <c r="AV17" s="249">
        <f t="shared" si="9"/>
        <v>0</v>
      </c>
      <c r="AW17" s="240">
        <f t="shared" si="10"/>
        <v>0</v>
      </c>
      <c r="AZ17" s="41">
        <f t="shared" si="22"/>
        <v>36465</v>
      </c>
      <c r="BA17" s="44"/>
      <c r="BG17" s="441">
        <v>36800</v>
      </c>
      <c r="BH17">
        <v>0.98499999999999999</v>
      </c>
      <c r="BJ17" s="441">
        <v>36800</v>
      </c>
      <c r="BK17">
        <v>14</v>
      </c>
    </row>
    <row r="18" spans="1:63" ht="12" customHeight="1" x14ac:dyDescent="0.25">
      <c r="A18" s="384" t="s">
        <v>279</v>
      </c>
      <c r="B18" s="155" t="s">
        <v>250</v>
      </c>
      <c r="C18" s="155" t="s">
        <v>388</v>
      </c>
      <c r="D18" s="155" t="s">
        <v>190</v>
      </c>
      <c r="E18" s="4" t="s">
        <v>237</v>
      </c>
      <c r="F18" s="155" t="s">
        <v>20</v>
      </c>
      <c r="G18" s="155" t="s">
        <v>21</v>
      </c>
      <c r="H18" s="354">
        <v>36678</v>
      </c>
      <c r="I18" s="156">
        <v>50000</v>
      </c>
      <c r="J18" s="7">
        <v>0.46</v>
      </c>
      <c r="K18" s="53">
        <f t="shared" si="11"/>
        <v>4.5350000000000001</v>
      </c>
      <c r="L18" s="53">
        <f t="shared" si="12"/>
        <v>3.4950000000000001</v>
      </c>
      <c r="M18" s="157">
        <v>1</v>
      </c>
      <c r="N18" s="4">
        <v>0.51500000000000001</v>
      </c>
      <c r="O18" s="4">
        <v>0.51500000000000001</v>
      </c>
      <c r="P18" s="9" t="e">
        <f t="shared" si="13"/>
        <v>#N/A</v>
      </c>
      <c r="Q18" s="5">
        <v>36679</v>
      </c>
      <c r="R18" s="4">
        <f t="shared" si="1"/>
        <v>1</v>
      </c>
      <c r="S18" s="158" t="e">
        <f>_xll.xSPRDOPT($K18,$L18,$J18,$M18,$N18,$O18,$P18,$Q18-$C$3,$R18,0)</f>
        <v>#N/A</v>
      </c>
      <c r="T18" s="159" t="e">
        <f>_xll.xSPRDOPT($K18,$L18,$J18,$M18,$N18,$O18,$P18,$Q18-$C$3,$R18,1)*I18</f>
        <v>#N/A</v>
      </c>
      <c r="U18" s="160">
        <v>4750</v>
      </c>
      <c r="V18" s="159" t="e">
        <f>_xll.xSPRDOPT($K18,$L18,$J18,$M18,$N18,$O18,$P18,$Q18-$C$3,$R18,2)*I18</f>
        <v>#N/A</v>
      </c>
      <c r="W18" s="159" t="e">
        <f t="shared" si="2"/>
        <v>#N/A</v>
      </c>
      <c r="X18" s="51" t="str">
        <f t="shared" si="3"/>
        <v>36678IF-ELPO/SJ</v>
      </c>
      <c r="Y18" s="418">
        <f t="shared" si="4"/>
        <v>5</v>
      </c>
      <c r="Z18" s="51"/>
      <c r="AA18" s="51"/>
      <c r="AB18" s="141">
        <f t="shared" si="14"/>
        <v>36678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160">
        <v>4750</v>
      </c>
      <c r="AJ18" s="235" t="e">
        <f t="shared" si="15"/>
        <v>#N/A</v>
      </c>
      <c r="AK18" s="234"/>
      <c r="AL18" t="str">
        <f t="shared" si="16"/>
        <v>36678Curve Shift/Gamma</v>
      </c>
      <c r="AM18" t="str">
        <f t="shared" si="17"/>
        <v>36678Rho</v>
      </c>
      <c r="AN18" t="str">
        <f t="shared" si="18"/>
        <v>36678Drift</v>
      </c>
      <c r="AO18" t="str">
        <f t="shared" si="19"/>
        <v>36678Vega</v>
      </c>
      <c r="AP18" t="str">
        <f t="shared" si="20"/>
        <v>36678Theta</v>
      </c>
      <c r="AQ18" s="385">
        <f t="shared" si="21"/>
        <v>36892</v>
      </c>
      <c r="AR18" s="386">
        <f t="shared" si="5"/>
        <v>0</v>
      </c>
      <c r="AS18" s="239">
        <f t="shared" si="6"/>
        <v>0</v>
      </c>
      <c r="AT18" s="239">
        <f t="shared" si="7"/>
        <v>0</v>
      </c>
      <c r="AU18" s="239">
        <f t="shared" si="8"/>
        <v>0</v>
      </c>
      <c r="AV18" s="249">
        <f t="shared" si="9"/>
        <v>0</v>
      </c>
      <c r="AW18" s="240">
        <f t="shared" si="10"/>
        <v>0</v>
      </c>
      <c r="AZ18" s="41">
        <f t="shared" si="22"/>
        <v>36495</v>
      </c>
      <c r="BA18" s="44"/>
      <c r="BG18" s="441">
        <v>36831</v>
      </c>
      <c r="BH18">
        <v>0.9661200000000002</v>
      </c>
      <c r="BJ18" s="441">
        <v>36831</v>
      </c>
      <c r="BK18">
        <v>15</v>
      </c>
    </row>
    <row r="19" spans="1:63" ht="12" customHeight="1" x14ac:dyDescent="0.25">
      <c r="A19" s="384" t="s">
        <v>279</v>
      </c>
      <c r="B19" s="155" t="s">
        <v>250</v>
      </c>
      <c r="C19" s="155" t="s">
        <v>389</v>
      </c>
      <c r="D19" s="155" t="s">
        <v>190</v>
      </c>
      <c r="E19" s="4" t="s">
        <v>237</v>
      </c>
      <c r="F19" s="155" t="s">
        <v>20</v>
      </c>
      <c r="G19" s="155" t="s">
        <v>21</v>
      </c>
      <c r="H19" s="354">
        <v>36678</v>
      </c>
      <c r="I19" s="156">
        <v>50000</v>
      </c>
      <c r="J19" s="7">
        <v>0.46</v>
      </c>
      <c r="K19" s="53">
        <f t="shared" si="11"/>
        <v>4.5350000000000001</v>
      </c>
      <c r="L19" s="53">
        <f t="shared" si="12"/>
        <v>3.4950000000000001</v>
      </c>
      <c r="M19" s="157">
        <v>1</v>
      </c>
      <c r="N19" s="4">
        <v>0.51500000000000001</v>
      </c>
      <c r="O19" s="4">
        <v>0.51500000000000001</v>
      </c>
      <c r="P19" s="9" t="e">
        <f t="shared" si="13"/>
        <v>#N/A</v>
      </c>
      <c r="Q19" s="5">
        <v>36679</v>
      </c>
      <c r="R19" s="4">
        <f t="shared" si="1"/>
        <v>1</v>
      </c>
      <c r="S19" s="158" t="e">
        <f>_xll.xSPRDOPT($K19,$L19,$J19,$M19,$N19,$O19,$P19,$Q19-$C$3,$R19,0)</f>
        <v>#N/A</v>
      </c>
      <c r="T19" s="159" t="e">
        <f>_xll.xSPRDOPT($K19,$L19,$J19,$M19,$N19,$O19,$P19,$Q19-$C$3,$R19,1)*I19</f>
        <v>#N/A</v>
      </c>
      <c r="U19" s="160">
        <v>4750</v>
      </c>
      <c r="V19" s="159" t="e">
        <f>_xll.xSPRDOPT($K19,$L19,$J19,$M19,$N19,$O19,$P19,$Q19-$C$3,$R19,2)*I19</f>
        <v>#N/A</v>
      </c>
      <c r="W19" s="159" t="e">
        <f t="shared" si="2"/>
        <v>#N/A</v>
      </c>
      <c r="X19" s="51" t="str">
        <f t="shared" si="3"/>
        <v>36678IF-ELPO/SJ</v>
      </c>
      <c r="Y19" s="418">
        <f t="shared" si="4"/>
        <v>5</v>
      </c>
      <c r="AA19" s="51"/>
      <c r="AB19" s="141">
        <f t="shared" si="14"/>
        <v>36678</v>
      </c>
      <c r="AC19" s="234">
        <v>0</v>
      </c>
      <c r="AD19" s="234">
        <v>0</v>
      </c>
      <c r="AE19" s="234">
        <v>0</v>
      </c>
      <c r="AF19" s="234">
        <v>0</v>
      </c>
      <c r="AG19" s="234">
        <v>0</v>
      </c>
      <c r="AH19" s="234">
        <v>0</v>
      </c>
      <c r="AI19" s="160">
        <v>4750</v>
      </c>
      <c r="AJ19" s="235" t="e">
        <f t="shared" si="15"/>
        <v>#N/A</v>
      </c>
      <c r="AK19" s="234"/>
      <c r="AL19" t="str">
        <f t="shared" si="16"/>
        <v>36678Curve Shift/Gamma</v>
      </c>
      <c r="AM19" t="str">
        <f t="shared" si="17"/>
        <v>36678Rho</v>
      </c>
      <c r="AN19" t="str">
        <f t="shared" si="18"/>
        <v>36678Drift</v>
      </c>
      <c r="AO19" t="str">
        <f t="shared" si="19"/>
        <v>36678Vega</v>
      </c>
      <c r="AP19" t="str">
        <f t="shared" si="20"/>
        <v>36678Theta</v>
      </c>
      <c r="AQ19" s="385">
        <f t="shared" si="21"/>
        <v>36923</v>
      </c>
      <c r="AR19" s="386">
        <f t="shared" si="5"/>
        <v>0</v>
      </c>
      <c r="AS19" s="239">
        <f t="shared" si="6"/>
        <v>0</v>
      </c>
      <c r="AT19" s="239">
        <f t="shared" si="7"/>
        <v>0</v>
      </c>
      <c r="AU19" s="239">
        <f t="shared" si="8"/>
        <v>0</v>
      </c>
      <c r="AV19" s="249">
        <f t="shared" si="9"/>
        <v>0</v>
      </c>
      <c r="AW19" s="240">
        <f t="shared" si="10"/>
        <v>0</v>
      </c>
      <c r="AZ19" s="41">
        <f t="shared" si="22"/>
        <v>36526</v>
      </c>
      <c r="BA19" s="44"/>
      <c r="BG19" s="441">
        <v>36861</v>
      </c>
      <c r="BH19">
        <v>0.96684750000000019</v>
      </c>
      <c r="BJ19" s="441">
        <v>36861</v>
      </c>
      <c r="BK19">
        <v>16</v>
      </c>
    </row>
    <row r="20" spans="1:63" ht="12" customHeight="1" x14ac:dyDescent="0.25">
      <c r="A20" s="384" t="s">
        <v>279</v>
      </c>
      <c r="B20" s="155" t="s">
        <v>250</v>
      </c>
      <c r="C20" s="155" t="s">
        <v>398</v>
      </c>
      <c r="D20" s="155" t="s">
        <v>190</v>
      </c>
      <c r="E20" s="4" t="s">
        <v>237</v>
      </c>
      <c r="F20" s="155" t="s">
        <v>20</v>
      </c>
      <c r="G20" s="155" t="s">
        <v>21</v>
      </c>
      <c r="H20" s="354">
        <v>36678</v>
      </c>
      <c r="I20" s="156">
        <v>-10000</v>
      </c>
      <c r="J20" s="7">
        <v>0.46</v>
      </c>
      <c r="K20" s="53">
        <f t="shared" si="11"/>
        <v>4.5350000000000001</v>
      </c>
      <c r="L20" s="53">
        <f t="shared" si="12"/>
        <v>3.4950000000000001</v>
      </c>
      <c r="M20" s="157">
        <v>1</v>
      </c>
      <c r="N20" s="4">
        <v>0.51500000000000001</v>
      </c>
      <c r="O20" s="4">
        <v>0.51500000000000001</v>
      </c>
      <c r="P20" s="9" t="e">
        <f t="shared" si="13"/>
        <v>#N/A</v>
      </c>
      <c r="Q20" s="5">
        <v>36679</v>
      </c>
      <c r="R20" s="4">
        <f t="shared" si="1"/>
        <v>1</v>
      </c>
      <c r="S20" s="158" t="e">
        <f>_xll.xSPRDOPT($K20,$L20,$J20,$M20,$N20,$O20,$P20,$Q20-$C$3,$R20,0)</f>
        <v>#N/A</v>
      </c>
      <c r="T20" s="159" t="e">
        <f>_xll.xSPRDOPT($K20,$L20,$J20,$M20,$N20,$O20,$P20,$Q20-$C$3,$R20,1)*I20</f>
        <v>#N/A</v>
      </c>
      <c r="U20" s="160">
        <v>-950</v>
      </c>
      <c r="V20" s="159" t="e">
        <f>_xll.xSPRDOPT($K20,$L20,$J20,$M20,$N20,$O20,$P20,$Q20-$C$3,$R20,2)*I20</f>
        <v>#N/A</v>
      </c>
      <c r="W20" s="159" t="e">
        <f t="shared" si="2"/>
        <v>#N/A</v>
      </c>
      <c r="X20" s="51" t="str">
        <f t="shared" si="3"/>
        <v>36678IF-ELPO/SJ</v>
      </c>
      <c r="Y20" s="418">
        <f t="shared" si="4"/>
        <v>-1</v>
      </c>
      <c r="Z20" s="51"/>
      <c r="AA20" s="51"/>
      <c r="AB20" s="141">
        <f t="shared" si="14"/>
        <v>36678</v>
      </c>
      <c r="AC20" s="234">
        <v>0</v>
      </c>
      <c r="AD20" s="234">
        <v>0</v>
      </c>
      <c r="AE20" s="234">
        <v>0</v>
      </c>
      <c r="AF20" s="234">
        <v>0</v>
      </c>
      <c r="AG20" s="234">
        <v>0</v>
      </c>
      <c r="AH20" s="234">
        <v>0</v>
      </c>
      <c r="AI20" s="160">
        <v>-950</v>
      </c>
      <c r="AJ20" s="235" t="e">
        <f t="shared" si="15"/>
        <v>#N/A</v>
      </c>
      <c r="AK20" s="234"/>
      <c r="AL20" t="str">
        <f t="shared" si="16"/>
        <v>36678Curve Shift/Gamma</v>
      </c>
      <c r="AM20" t="str">
        <f t="shared" si="17"/>
        <v>36678Rho</v>
      </c>
      <c r="AN20" t="str">
        <f t="shared" si="18"/>
        <v>36678Drift</v>
      </c>
      <c r="AO20" t="str">
        <f t="shared" si="19"/>
        <v>36678Vega</v>
      </c>
      <c r="AP20" t="str">
        <f t="shared" si="20"/>
        <v>36678Theta</v>
      </c>
      <c r="AQ20" s="385">
        <f t="shared" si="21"/>
        <v>36951</v>
      </c>
      <c r="AR20" s="386">
        <f t="shared" si="5"/>
        <v>0</v>
      </c>
      <c r="AS20" s="239">
        <f t="shared" si="6"/>
        <v>0</v>
      </c>
      <c r="AT20" s="239">
        <f t="shared" si="7"/>
        <v>0</v>
      </c>
      <c r="AU20" s="239">
        <f t="shared" si="8"/>
        <v>0</v>
      </c>
      <c r="AV20" s="249">
        <f t="shared" si="9"/>
        <v>0</v>
      </c>
      <c r="AW20" s="240">
        <f t="shared" si="10"/>
        <v>0</v>
      </c>
      <c r="AZ20" s="41">
        <f t="shared" si="22"/>
        <v>36557</v>
      </c>
      <c r="BA20" s="44"/>
      <c r="BG20" s="441">
        <v>36892</v>
      </c>
      <c r="BH20">
        <v>0.98499999999999999</v>
      </c>
      <c r="BJ20" s="441">
        <v>36892</v>
      </c>
      <c r="BK20">
        <v>17</v>
      </c>
    </row>
    <row r="21" spans="1:63" ht="12" customHeight="1" x14ac:dyDescent="0.25">
      <c r="A21" s="382" t="s">
        <v>279</v>
      </c>
      <c r="B21" s="155" t="s">
        <v>250</v>
      </c>
      <c r="C21" s="155" t="s">
        <v>360</v>
      </c>
      <c r="D21" s="155" t="s">
        <v>190</v>
      </c>
      <c r="E21" s="4" t="s">
        <v>237</v>
      </c>
      <c r="F21" s="155" t="s">
        <v>20</v>
      </c>
      <c r="G21" s="155" t="s">
        <v>21</v>
      </c>
      <c r="H21" s="354">
        <v>36678</v>
      </c>
      <c r="I21" s="156">
        <v>-50000</v>
      </c>
      <c r="J21" s="7">
        <v>0.46</v>
      </c>
      <c r="K21" s="53">
        <f t="shared" si="11"/>
        <v>4.6449999999999996</v>
      </c>
      <c r="L21" s="53">
        <f t="shared" si="12"/>
        <v>3.625</v>
      </c>
      <c r="M21" s="157">
        <v>1</v>
      </c>
      <c r="N21" s="4">
        <v>0.51500000000000001</v>
      </c>
      <c r="O21" s="4">
        <v>0.51500000000000001</v>
      </c>
      <c r="P21" s="9" t="e">
        <f t="shared" si="13"/>
        <v>#N/A</v>
      </c>
      <c r="Q21" s="5">
        <v>36680</v>
      </c>
      <c r="R21" s="4">
        <f t="shared" si="1"/>
        <v>1</v>
      </c>
      <c r="S21" s="158" t="e">
        <f>_xll.xSPRDOPT($K21,$L21,$J21,$M21,$N21,$O21,$P21,$Q21-$C$3,$R21,0)</f>
        <v>#N/A</v>
      </c>
      <c r="T21" s="159" t="e">
        <f>_xll.xSPRDOPT($K21,$L21,$J21,$M21,$N21,$O21,$P21,$Q21-$C$3,$R21,1)*I21</f>
        <v>#N/A</v>
      </c>
      <c r="U21" s="160">
        <v>0</v>
      </c>
      <c r="V21" s="159" t="e">
        <f>_xll.xSPRDOPT($K21,$L21,$J21,$M21,$N21,$O21,$P21,$Q21-$C$3,$R21,2)*I21</f>
        <v>#N/A</v>
      </c>
      <c r="W21" s="159" t="e">
        <f t="shared" si="2"/>
        <v>#N/A</v>
      </c>
      <c r="X21" s="51" t="str">
        <f t="shared" si="3"/>
        <v>36678IF-ELPO/SJ</v>
      </c>
      <c r="Y21" s="418">
        <f t="shared" si="4"/>
        <v>-5</v>
      </c>
      <c r="Z21" s="51"/>
      <c r="AA21" s="51"/>
      <c r="AB21" s="141">
        <f t="shared" si="14"/>
        <v>36678</v>
      </c>
      <c r="AC21" s="234">
        <v>0</v>
      </c>
      <c r="AD21" s="234">
        <v>0</v>
      </c>
      <c r="AE21" s="234">
        <v>0</v>
      </c>
      <c r="AF21" s="234">
        <v>0</v>
      </c>
      <c r="AG21" s="234">
        <v>0</v>
      </c>
      <c r="AH21" s="234">
        <v>0</v>
      </c>
      <c r="AI21" s="234">
        <v>0</v>
      </c>
      <c r="AJ21" s="235" t="e">
        <f t="shared" si="15"/>
        <v>#N/A</v>
      </c>
      <c r="AK21" s="234"/>
      <c r="AL21" t="str">
        <f t="shared" si="16"/>
        <v>36678Curve Shift/Gamma</v>
      </c>
      <c r="AM21" t="str">
        <f t="shared" si="17"/>
        <v>36678Rho</v>
      </c>
      <c r="AN21" t="str">
        <f t="shared" si="18"/>
        <v>36678Drift</v>
      </c>
      <c r="AO21" t="str">
        <f t="shared" si="19"/>
        <v>36678Vega</v>
      </c>
      <c r="AP21" t="str">
        <f t="shared" si="20"/>
        <v>36678Theta</v>
      </c>
      <c r="AQ21" s="385">
        <f t="shared" si="21"/>
        <v>36982</v>
      </c>
      <c r="AR21" s="386">
        <f t="shared" si="5"/>
        <v>0</v>
      </c>
      <c r="AS21" s="239">
        <f t="shared" si="6"/>
        <v>0</v>
      </c>
      <c r="AT21" s="239">
        <f t="shared" si="7"/>
        <v>0</v>
      </c>
      <c r="AU21" s="239">
        <f t="shared" si="8"/>
        <v>0</v>
      </c>
      <c r="AV21" s="249">
        <f t="shared" si="9"/>
        <v>0</v>
      </c>
      <c r="AW21" s="240">
        <f t="shared" si="10"/>
        <v>0</v>
      </c>
      <c r="AZ21" s="41">
        <f t="shared" si="22"/>
        <v>36586</v>
      </c>
      <c r="BA21" s="44"/>
      <c r="BG21" s="441">
        <v>36923</v>
      </c>
      <c r="BH21">
        <v>0.98499999999999999</v>
      </c>
      <c r="BJ21" s="441">
        <v>36923</v>
      </c>
      <c r="BK21">
        <v>18</v>
      </c>
    </row>
    <row r="22" spans="1:63" ht="12" customHeight="1" x14ac:dyDescent="0.25">
      <c r="A22" s="382" t="s">
        <v>279</v>
      </c>
      <c r="B22" s="155" t="s">
        <v>250</v>
      </c>
      <c r="C22" s="155" t="s">
        <v>361</v>
      </c>
      <c r="D22" s="155" t="s">
        <v>190</v>
      </c>
      <c r="E22" s="4" t="s">
        <v>237</v>
      </c>
      <c r="F22" s="155" t="s">
        <v>20</v>
      </c>
      <c r="G22" s="155" t="s">
        <v>21</v>
      </c>
      <c r="H22" s="354">
        <v>36678</v>
      </c>
      <c r="I22" s="156">
        <v>10000</v>
      </c>
      <c r="J22" s="7">
        <v>0.46</v>
      </c>
      <c r="K22" s="53">
        <f t="shared" si="11"/>
        <v>4.6449999999999996</v>
      </c>
      <c r="L22" s="53">
        <f t="shared" si="12"/>
        <v>3.625</v>
      </c>
      <c r="M22" s="157">
        <v>1</v>
      </c>
      <c r="N22" s="4">
        <v>0.51500000000000001</v>
      </c>
      <c r="O22" s="4">
        <v>0.51500000000000001</v>
      </c>
      <c r="P22" s="9" t="e">
        <f t="shared" si="13"/>
        <v>#N/A</v>
      </c>
      <c r="Q22" s="5">
        <v>36680</v>
      </c>
      <c r="R22" s="4">
        <f t="shared" si="1"/>
        <v>1</v>
      </c>
      <c r="S22" s="158" t="e">
        <f>_xll.xSPRDOPT($K22,$L22,$J22,$M22,$N22,$O22,$P22,$Q22-$C$3,$R22,0)</f>
        <v>#N/A</v>
      </c>
      <c r="T22" s="159" t="e">
        <f>_xll.xSPRDOPT($K22,$L22,$J22,$M22,$N22,$O22,$P22,$Q22-$C$3,$R22,1)*I22</f>
        <v>#N/A</v>
      </c>
      <c r="U22" s="160">
        <v>0</v>
      </c>
      <c r="V22" s="159" t="e">
        <f>_xll.xSPRDOPT($K22,$L22,$J22,$M22,$N22,$O22,$P22,$Q22-$C$3,$R22,2)*I22</f>
        <v>#N/A</v>
      </c>
      <c r="W22" s="159" t="e">
        <f t="shared" si="2"/>
        <v>#N/A</v>
      </c>
      <c r="X22" s="51" t="str">
        <f t="shared" si="3"/>
        <v>36678IF-ELPO/SJ</v>
      </c>
      <c r="Y22" s="418">
        <f t="shared" si="4"/>
        <v>1</v>
      </c>
      <c r="Z22" s="51"/>
      <c r="AA22" s="51"/>
      <c r="AB22" s="141">
        <f t="shared" si="14"/>
        <v>36678</v>
      </c>
      <c r="AC22" s="234">
        <v>0</v>
      </c>
      <c r="AD22" s="234">
        <v>0</v>
      </c>
      <c r="AE22" s="234">
        <v>0</v>
      </c>
      <c r="AF22" s="234">
        <v>0</v>
      </c>
      <c r="AG22" s="234">
        <v>0</v>
      </c>
      <c r="AH22" s="234">
        <v>0</v>
      </c>
      <c r="AI22" s="234">
        <v>0</v>
      </c>
      <c r="AJ22" s="235" t="e">
        <f t="shared" si="15"/>
        <v>#N/A</v>
      </c>
      <c r="AK22" s="234"/>
      <c r="AL22" t="str">
        <f t="shared" si="16"/>
        <v>36678Curve Shift/Gamma</v>
      </c>
      <c r="AM22" t="str">
        <f t="shared" si="17"/>
        <v>36678Rho</v>
      </c>
      <c r="AN22" t="str">
        <f t="shared" si="18"/>
        <v>36678Drift</v>
      </c>
      <c r="AO22" t="str">
        <f t="shared" si="19"/>
        <v>36678Vega</v>
      </c>
      <c r="AP22" t="str">
        <f t="shared" si="20"/>
        <v>36678Theta</v>
      </c>
      <c r="AQ22" s="385">
        <f t="shared" si="21"/>
        <v>37012</v>
      </c>
      <c r="AR22" s="386">
        <f t="shared" si="5"/>
        <v>0</v>
      </c>
      <c r="AS22" s="239">
        <f t="shared" si="6"/>
        <v>0</v>
      </c>
      <c r="AT22" s="239">
        <f t="shared" si="7"/>
        <v>0</v>
      </c>
      <c r="AU22" s="239">
        <f t="shared" si="8"/>
        <v>0</v>
      </c>
      <c r="AV22" s="249">
        <f t="shared" si="9"/>
        <v>0</v>
      </c>
      <c r="AW22" s="240">
        <f t="shared" si="10"/>
        <v>0</v>
      </c>
      <c r="AZ22" s="41">
        <f t="shared" si="22"/>
        <v>36617</v>
      </c>
      <c r="BA22" s="44"/>
      <c r="BG22" s="441">
        <v>36951</v>
      </c>
      <c r="BH22">
        <v>0.98499999999999999</v>
      </c>
      <c r="BJ22" s="441">
        <v>36951</v>
      </c>
      <c r="BK22">
        <v>19</v>
      </c>
    </row>
    <row r="23" spans="1:63" ht="12" customHeight="1" x14ac:dyDescent="0.25">
      <c r="A23" s="382" t="s">
        <v>279</v>
      </c>
      <c r="B23" s="155" t="s">
        <v>250</v>
      </c>
      <c r="C23" s="155" t="s">
        <v>364</v>
      </c>
      <c r="D23" s="155" t="s">
        <v>190</v>
      </c>
      <c r="E23" s="4" t="s">
        <v>237</v>
      </c>
      <c r="F23" s="155" t="s">
        <v>20</v>
      </c>
      <c r="G23" s="155" t="s">
        <v>21</v>
      </c>
      <c r="H23" s="354">
        <v>36678</v>
      </c>
      <c r="I23" s="156">
        <v>-333333</v>
      </c>
      <c r="J23" s="7">
        <v>0.46</v>
      </c>
      <c r="K23" s="53">
        <f t="shared" si="11"/>
        <v>4.6449999999999996</v>
      </c>
      <c r="L23" s="53">
        <f t="shared" si="12"/>
        <v>3.625</v>
      </c>
      <c r="M23" s="157">
        <v>1</v>
      </c>
      <c r="N23" s="4">
        <v>0.51500000000000001</v>
      </c>
      <c r="O23" s="4">
        <v>0.51500000000000001</v>
      </c>
      <c r="P23" s="9" t="e">
        <f t="shared" si="13"/>
        <v>#N/A</v>
      </c>
      <c r="Q23" s="5">
        <v>36680</v>
      </c>
      <c r="R23" s="4">
        <f t="shared" si="1"/>
        <v>1</v>
      </c>
      <c r="S23" s="158" t="e">
        <f>_xll.xSPRDOPT($K23,$L23,$J23,$M23,$N23,$O23,$P23,$Q23-$C$3,$R23,0)</f>
        <v>#N/A</v>
      </c>
      <c r="T23" s="159" t="e">
        <f>_xll.xSPRDOPT($K23,$L23,$J23,$M23,$N23,$O23,$P23,$Q23-$C$3,$R23,1)*I23</f>
        <v>#N/A</v>
      </c>
      <c r="U23" s="160">
        <v>0</v>
      </c>
      <c r="V23" s="159" t="e">
        <f>_xll.xSPRDOPT($K23,$L23,$J23,$M23,$N23,$O23,$P23,$Q23-$C$3,$R23,2)*I23</f>
        <v>#N/A</v>
      </c>
      <c r="W23" s="159" t="e">
        <f t="shared" si="2"/>
        <v>#N/A</v>
      </c>
      <c r="X23" s="51" t="str">
        <f t="shared" si="3"/>
        <v>36678IF-ELPO/SJ</v>
      </c>
      <c r="Y23" s="418">
        <f t="shared" si="4"/>
        <v>-33.333300000000001</v>
      </c>
      <c r="AA23" s="51"/>
      <c r="AB23" s="141">
        <f t="shared" si="14"/>
        <v>36678</v>
      </c>
      <c r="AC23" s="234">
        <v>0</v>
      </c>
      <c r="AD23" s="234">
        <v>0</v>
      </c>
      <c r="AE23" s="234">
        <v>0</v>
      </c>
      <c r="AF23" s="234">
        <v>0</v>
      </c>
      <c r="AG23" s="234">
        <v>0</v>
      </c>
      <c r="AH23" s="234">
        <v>0</v>
      </c>
      <c r="AI23" s="234">
        <v>0</v>
      </c>
      <c r="AJ23" s="235" t="e">
        <f t="shared" si="15"/>
        <v>#N/A</v>
      </c>
      <c r="AK23" s="234"/>
      <c r="AL23" t="str">
        <f t="shared" si="16"/>
        <v>36678Curve Shift/Gamma</v>
      </c>
      <c r="AM23" t="str">
        <f t="shared" si="17"/>
        <v>36678Rho</v>
      </c>
      <c r="AN23" t="str">
        <f t="shared" si="18"/>
        <v>36678Drift</v>
      </c>
      <c r="AO23" t="str">
        <f t="shared" si="19"/>
        <v>36678Vega</v>
      </c>
      <c r="AP23" t="str">
        <f t="shared" si="20"/>
        <v>36678Theta</v>
      </c>
      <c r="AQ23" s="385">
        <f t="shared" si="21"/>
        <v>37043</v>
      </c>
      <c r="AR23" s="386">
        <f t="shared" si="5"/>
        <v>0</v>
      </c>
      <c r="AS23" s="239">
        <f t="shared" si="6"/>
        <v>0</v>
      </c>
      <c r="AT23" s="239">
        <f t="shared" si="7"/>
        <v>0</v>
      </c>
      <c r="AU23" s="239">
        <f t="shared" si="8"/>
        <v>0</v>
      </c>
      <c r="AV23" s="249">
        <f t="shared" si="9"/>
        <v>0</v>
      </c>
      <c r="AW23" s="240">
        <f t="shared" si="10"/>
        <v>0</v>
      </c>
      <c r="AZ23" s="41">
        <f t="shared" si="22"/>
        <v>36647</v>
      </c>
      <c r="BA23" s="44"/>
      <c r="BG23" s="441">
        <v>36982</v>
      </c>
      <c r="BH23">
        <v>0.98499999999999999</v>
      </c>
      <c r="BJ23" s="441">
        <v>36982</v>
      </c>
      <c r="BK23">
        <v>20</v>
      </c>
    </row>
    <row r="24" spans="1:63" ht="12" customHeight="1" x14ac:dyDescent="0.25">
      <c r="A24" s="384" t="s">
        <v>268</v>
      </c>
      <c r="B24" s="155" t="s">
        <v>250</v>
      </c>
      <c r="C24" s="155" t="s">
        <v>387</v>
      </c>
      <c r="D24" s="155" t="s">
        <v>190</v>
      </c>
      <c r="E24" s="4" t="s">
        <v>237</v>
      </c>
      <c r="F24" s="155" t="s">
        <v>20</v>
      </c>
      <c r="G24" s="155" t="s">
        <v>21</v>
      </c>
      <c r="H24" s="354">
        <v>36678</v>
      </c>
      <c r="I24" s="156">
        <v>-10000</v>
      </c>
      <c r="J24" s="7">
        <v>0.46</v>
      </c>
      <c r="K24" s="53">
        <f t="shared" si="11"/>
        <v>4.6449999999999996</v>
      </c>
      <c r="L24" s="53">
        <f t="shared" si="12"/>
        <v>3.625</v>
      </c>
      <c r="M24" s="157">
        <v>1</v>
      </c>
      <c r="N24" s="4">
        <v>0.51500000000000001</v>
      </c>
      <c r="O24" s="4">
        <v>0.51500000000000001</v>
      </c>
      <c r="P24" s="9" t="e">
        <f t="shared" si="13"/>
        <v>#N/A</v>
      </c>
      <c r="Q24" s="5">
        <v>36680</v>
      </c>
      <c r="R24" s="4">
        <f t="shared" si="1"/>
        <v>1</v>
      </c>
      <c r="S24" s="158" t="e">
        <f>_xll.xSPRDOPT($K24,$L24,$J24,$M24,$N24,$O24,$P24,$Q24-$C$3,$R24,0)</f>
        <v>#N/A</v>
      </c>
      <c r="T24" s="159" t="e">
        <f>_xll.xSPRDOPT($K24,$L24,$J24,$M24,$N24,$O24,$P24,$Q24-$C$3,$R24,1)*I24</f>
        <v>#N/A</v>
      </c>
      <c r="U24" s="160">
        <v>0</v>
      </c>
      <c r="V24" s="159" t="e">
        <f>_xll.xSPRDOPT($K24,$L24,$J24,$M24,$N24,$O24,$P24,$Q24-$C$3,$R24,2)*I24</f>
        <v>#N/A</v>
      </c>
      <c r="W24" s="159" t="e">
        <f t="shared" si="2"/>
        <v>#N/A</v>
      </c>
      <c r="X24" s="51" t="str">
        <f t="shared" si="3"/>
        <v>36678IF-ELPO/SJ</v>
      </c>
      <c r="Y24" s="418">
        <f t="shared" si="4"/>
        <v>-1</v>
      </c>
      <c r="Z24" s="51"/>
      <c r="AA24" s="51"/>
      <c r="AB24" s="141">
        <f t="shared" si="14"/>
        <v>36678</v>
      </c>
      <c r="AC24" s="234">
        <v>0</v>
      </c>
      <c r="AD24" s="234">
        <v>0</v>
      </c>
      <c r="AE24" s="234">
        <v>0</v>
      </c>
      <c r="AF24" s="234">
        <v>0</v>
      </c>
      <c r="AG24" s="234">
        <v>0</v>
      </c>
      <c r="AH24" s="234">
        <v>0</v>
      </c>
      <c r="AI24" s="234">
        <v>0</v>
      </c>
      <c r="AJ24" s="235" t="e">
        <f t="shared" si="15"/>
        <v>#N/A</v>
      </c>
      <c r="AK24" s="234"/>
      <c r="AL24" t="str">
        <f t="shared" si="16"/>
        <v>36678Curve Shift/Gamma</v>
      </c>
      <c r="AM24" t="str">
        <f t="shared" si="17"/>
        <v>36678Rho</v>
      </c>
      <c r="AN24" t="str">
        <f t="shared" si="18"/>
        <v>36678Drift</v>
      </c>
      <c r="AO24" t="str">
        <f t="shared" si="19"/>
        <v>36678Vega</v>
      </c>
      <c r="AP24" t="str">
        <f t="shared" si="20"/>
        <v>36678Theta</v>
      </c>
      <c r="AQ24" s="385">
        <f t="shared" si="21"/>
        <v>37073</v>
      </c>
      <c r="AR24" s="386">
        <f t="shared" si="5"/>
        <v>0</v>
      </c>
      <c r="AS24" s="239">
        <f t="shared" si="6"/>
        <v>0</v>
      </c>
      <c r="AT24" s="239">
        <f t="shared" si="7"/>
        <v>0</v>
      </c>
      <c r="AU24" s="239">
        <f t="shared" si="8"/>
        <v>0</v>
      </c>
      <c r="AV24" s="249">
        <f t="shared" si="9"/>
        <v>0</v>
      </c>
      <c r="AW24" s="240">
        <f t="shared" si="10"/>
        <v>0</v>
      </c>
      <c r="AZ24" s="41">
        <f t="shared" si="22"/>
        <v>36678</v>
      </c>
      <c r="BA24" s="44">
        <f>W3</f>
        <v>37127.912860886237</v>
      </c>
      <c r="BG24" s="441">
        <v>37012</v>
      </c>
      <c r="BH24">
        <v>0.98499999999999999</v>
      </c>
      <c r="BJ24" s="441">
        <v>37012</v>
      </c>
      <c r="BK24">
        <v>21</v>
      </c>
    </row>
    <row r="25" spans="1:63" ht="12" customHeight="1" x14ac:dyDescent="0.25">
      <c r="A25" s="384" t="s">
        <v>279</v>
      </c>
      <c r="B25" s="155" t="s">
        <v>250</v>
      </c>
      <c r="C25" s="155" t="s">
        <v>388</v>
      </c>
      <c r="D25" s="155" t="s">
        <v>190</v>
      </c>
      <c r="E25" s="4" t="s">
        <v>237</v>
      </c>
      <c r="F25" s="155" t="s">
        <v>20</v>
      </c>
      <c r="G25" s="155" t="s">
        <v>21</v>
      </c>
      <c r="H25" s="354">
        <v>36678</v>
      </c>
      <c r="I25" s="156">
        <v>50000</v>
      </c>
      <c r="J25" s="7">
        <v>0.46</v>
      </c>
      <c r="K25" s="53">
        <f t="shared" si="11"/>
        <v>4.6449999999999996</v>
      </c>
      <c r="L25" s="53">
        <f t="shared" si="12"/>
        <v>3.625</v>
      </c>
      <c r="M25" s="157">
        <v>1</v>
      </c>
      <c r="N25" s="4">
        <v>0.51500000000000001</v>
      </c>
      <c r="O25" s="4">
        <v>0.51500000000000001</v>
      </c>
      <c r="P25" s="9" t="e">
        <f t="shared" si="13"/>
        <v>#N/A</v>
      </c>
      <c r="Q25" s="5">
        <v>36680</v>
      </c>
      <c r="R25" s="4">
        <f t="shared" si="1"/>
        <v>1</v>
      </c>
      <c r="S25" s="158" t="e">
        <f>_xll.xSPRDOPT($K25,$L25,$J25,$M25,$N25,$O25,$P25,$Q25-$C$3,$R25,0)</f>
        <v>#N/A</v>
      </c>
      <c r="T25" s="159" t="e">
        <f>_xll.xSPRDOPT($K25,$L25,$J25,$M25,$N25,$O25,$P25,$Q25-$C$3,$R25,1)*I25</f>
        <v>#N/A</v>
      </c>
      <c r="U25" s="160">
        <v>0</v>
      </c>
      <c r="V25" s="159" t="e">
        <f>_xll.xSPRDOPT($K25,$L25,$J25,$M25,$N25,$O25,$P25,$Q25-$C$3,$R25,2)*I25</f>
        <v>#N/A</v>
      </c>
      <c r="W25" s="159" t="e">
        <f t="shared" si="2"/>
        <v>#N/A</v>
      </c>
      <c r="X25" s="51" t="str">
        <f t="shared" si="3"/>
        <v>36678IF-ELPO/SJ</v>
      </c>
      <c r="Y25" s="418">
        <f t="shared" si="4"/>
        <v>5</v>
      </c>
      <c r="Z25" s="51"/>
      <c r="AA25" s="51"/>
      <c r="AB25" s="141">
        <f t="shared" si="14"/>
        <v>36678</v>
      </c>
      <c r="AC25" s="234">
        <v>0</v>
      </c>
      <c r="AD25" s="234">
        <v>0</v>
      </c>
      <c r="AE25" s="234">
        <v>0</v>
      </c>
      <c r="AF25" s="234">
        <v>0</v>
      </c>
      <c r="AG25" s="234">
        <v>0</v>
      </c>
      <c r="AH25" s="234">
        <v>0</v>
      </c>
      <c r="AI25" s="234">
        <v>0</v>
      </c>
      <c r="AJ25" s="235" t="e">
        <f t="shared" si="15"/>
        <v>#N/A</v>
      </c>
      <c r="AK25" s="234"/>
      <c r="AL25" t="str">
        <f t="shared" si="16"/>
        <v>36678Curve Shift/Gamma</v>
      </c>
      <c r="AM25" t="str">
        <f t="shared" si="17"/>
        <v>36678Rho</v>
      </c>
      <c r="AN25" t="str">
        <f t="shared" si="18"/>
        <v>36678Drift</v>
      </c>
      <c r="AO25" t="str">
        <f t="shared" si="19"/>
        <v>36678Vega</v>
      </c>
      <c r="AP25" t="str">
        <f t="shared" si="20"/>
        <v>36678Theta</v>
      </c>
      <c r="AQ25" s="385">
        <f t="shared" si="21"/>
        <v>37104</v>
      </c>
      <c r="AR25" s="386">
        <f t="shared" si="5"/>
        <v>0</v>
      </c>
      <c r="AS25" s="239">
        <f t="shared" si="6"/>
        <v>0</v>
      </c>
      <c r="AT25" s="239">
        <f t="shared" si="7"/>
        <v>0</v>
      </c>
      <c r="AU25" s="239">
        <f t="shared" si="8"/>
        <v>0</v>
      </c>
      <c r="AV25" s="249">
        <f t="shared" si="9"/>
        <v>0</v>
      </c>
      <c r="AW25" s="240">
        <f t="shared" si="10"/>
        <v>0</v>
      </c>
      <c r="AZ25" s="41">
        <f t="shared" si="22"/>
        <v>36708</v>
      </c>
      <c r="BA25" s="44"/>
      <c r="BG25" s="441">
        <v>37043</v>
      </c>
      <c r="BH25">
        <v>0.98499999999999999</v>
      </c>
      <c r="BJ25" s="441">
        <v>37043</v>
      </c>
      <c r="BK25">
        <v>22</v>
      </c>
    </row>
    <row r="26" spans="1:63" ht="12" customHeight="1" x14ac:dyDescent="0.25">
      <c r="A26" s="384" t="s">
        <v>279</v>
      </c>
      <c r="B26" s="155" t="s">
        <v>250</v>
      </c>
      <c r="C26" s="155" t="s">
        <v>389</v>
      </c>
      <c r="D26" s="155" t="s">
        <v>190</v>
      </c>
      <c r="E26" s="4" t="s">
        <v>237</v>
      </c>
      <c r="F26" s="155" t="s">
        <v>20</v>
      </c>
      <c r="G26" s="155" t="s">
        <v>21</v>
      </c>
      <c r="H26" s="354">
        <v>36678</v>
      </c>
      <c r="I26" s="156">
        <v>50000</v>
      </c>
      <c r="J26" s="7">
        <v>0.46</v>
      </c>
      <c r="K26" s="53">
        <f t="shared" si="11"/>
        <v>4.6449999999999996</v>
      </c>
      <c r="L26" s="53">
        <f t="shared" si="12"/>
        <v>3.625</v>
      </c>
      <c r="M26" s="157">
        <v>1</v>
      </c>
      <c r="N26" s="4">
        <v>0.51500000000000001</v>
      </c>
      <c r="O26" s="4">
        <v>0.51500000000000001</v>
      </c>
      <c r="P26" s="9" t="e">
        <f t="shared" si="13"/>
        <v>#N/A</v>
      </c>
      <c r="Q26" s="5">
        <v>36680</v>
      </c>
      <c r="R26" s="4">
        <f t="shared" si="1"/>
        <v>1</v>
      </c>
      <c r="S26" s="158" t="e">
        <f>_xll.xSPRDOPT($K26,$L26,$J26,$M26,$N26,$O26,$P26,$Q26-$C$3,$R26,0)</f>
        <v>#N/A</v>
      </c>
      <c r="T26" s="159" t="e">
        <f>_xll.xSPRDOPT($K26,$L26,$J26,$M26,$N26,$O26,$P26,$Q26-$C$3,$R26,1)*I26</f>
        <v>#N/A</v>
      </c>
      <c r="U26" s="160">
        <v>0</v>
      </c>
      <c r="V26" s="159" t="e">
        <f>_xll.xSPRDOPT($K26,$L26,$J26,$M26,$N26,$O26,$P26,$Q26-$C$3,$R26,2)*I26</f>
        <v>#N/A</v>
      </c>
      <c r="W26" s="159" t="e">
        <f t="shared" si="2"/>
        <v>#N/A</v>
      </c>
      <c r="X26" s="51" t="str">
        <f t="shared" si="3"/>
        <v>36678IF-ELPO/SJ</v>
      </c>
      <c r="Y26" s="418">
        <f t="shared" si="4"/>
        <v>5</v>
      </c>
      <c r="Z26" s="51"/>
      <c r="AA26" s="51"/>
      <c r="AB26" s="141">
        <f t="shared" si="14"/>
        <v>36678</v>
      </c>
      <c r="AC26" s="234">
        <v>0</v>
      </c>
      <c r="AD26" s="234">
        <v>0</v>
      </c>
      <c r="AE26" s="234">
        <v>0</v>
      </c>
      <c r="AF26" s="234">
        <v>0</v>
      </c>
      <c r="AG26" s="234">
        <v>0</v>
      </c>
      <c r="AH26" s="234">
        <v>0</v>
      </c>
      <c r="AI26" s="234">
        <v>0</v>
      </c>
      <c r="AJ26" s="235" t="e">
        <f t="shared" si="15"/>
        <v>#N/A</v>
      </c>
      <c r="AK26" s="234"/>
      <c r="AL26" t="str">
        <f t="shared" si="16"/>
        <v>36678Curve Shift/Gamma</v>
      </c>
      <c r="AM26" t="str">
        <f t="shared" si="17"/>
        <v>36678Rho</v>
      </c>
      <c r="AN26" t="str">
        <f t="shared" si="18"/>
        <v>36678Drift</v>
      </c>
      <c r="AO26" t="str">
        <f t="shared" si="19"/>
        <v>36678Vega</v>
      </c>
      <c r="AP26" t="str">
        <f t="shared" si="20"/>
        <v>36678Theta</v>
      </c>
      <c r="AQ26" s="385">
        <f t="shared" si="21"/>
        <v>37135</v>
      </c>
      <c r="AR26" s="386">
        <f t="shared" si="5"/>
        <v>0</v>
      </c>
      <c r="AS26" s="239">
        <f t="shared" si="6"/>
        <v>0</v>
      </c>
      <c r="AT26" s="239">
        <f t="shared" si="7"/>
        <v>0</v>
      </c>
      <c r="AU26" s="239">
        <f t="shared" si="8"/>
        <v>0</v>
      </c>
      <c r="AV26" s="249">
        <f t="shared" si="9"/>
        <v>0</v>
      </c>
      <c r="AW26" s="240">
        <f t="shared" si="10"/>
        <v>0</v>
      </c>
      <c r="AZ26" s="41">
        <f t="shared" si="22"/>
        <v>36739</v>
      </c>
      <c r="BA26" s="44"/>
      <c r="BG26" s="441">
        <v>37073</v>
      </c>
      <c r="BH26">
        <v>0.98499999999999999</v>
      </c>
      <c r="BJ26" s="441">
        <v>37073</v>
      </c>
      <c r="BK26">
        <v>23</v>
      </c>
    </row>
    <row r="27" spans="1:63" ht="12" customHeight="1" x14ac:dyDescent="0.25">
      <c r="A27" s="384" t="s">
        <v>279</v>
      </c>
      <c r="B27" s="155" t="s">
        <v>250</v>
      </c>
      <c r="C27" s="155" t="s">
        <v>398</v>
      </c>
      <c r="D27" s="155" t="s">
        <v>190</v>
      </c>
      <c r="E27" s="4" t="s">
        <v>237</v>
      </c>
      <c r="F27" s="155" t="s">
        <v>20</v>
      </c>
      <c r="G27" s="155" t="s">
        <v>21</v>
      </c>
      <c r="H27" s="354">
        <v>36678</v>
      </c>
      <c r="I27" s="156">
        <v>-10000</v>
      </c>
      <c r="J27" s="7">
        <v>0.46</v>
      </c>
      <c r="K27" s="53">
        <f t="shared" si="11"/>
        <v>4.6449999999999996</v>
      </c>
      <c r="L27" s="53">
        <f t="shared" si="12"/>
        <v>3.625</v>
      </c>
      <c r="M27" s="157">
        <v>1</v>
      </c>
      <c r="N27" s="4">
        <v>0.51500000000000001</v>
      </c>
      <c r="O27" s="4">
        <v>0.51500000000000001</v>
      </c>
      <c r="P27" s="9" t="e">
        <f t="shared" si="13"/>
        <v>#N/A</v>
      </c>
      <c r="Q27" s="5">
        <v>36680</v>
      </c>
      <c r="R27" s="4">
        <f t="shared" si="1"/>
        <v>1</v>
      </c>
      <c r="S27" s="158" t="e">
        <f>_xll.xSPRDOPT($K27,$L27,$J27,$M27,$N27,$O27,$P27,$Q27-$C$3,$R27,0)</f>
        <v>#N/A</v>
      </c>
      <c r="T27" s="159" t="e">
        <f>_xll.xSPRDOPT($K27,$L27,$J27,$M27,$N27,$O27,$P27,$Q27-$C$3,$R27,1)*I27</f>
        <v>#N/A</v>
      </c>
      <c r="U27" s="160">
        <v>0</v>
      </c>
      <c r="V27" s="159" t="e">
        <f>_xll.xSPRDOPT($K27,$L27,$J27,$M27,$N27,$O27,$P27,$Q27-$C$3,$R27,2)*I27</f>
        <v>#N/A</v>
      </c>
      <c r="W27" s="159" t="e">
        <f t="shared" si="2"/>
        <v>#N/A</v>
      </c>
      <c r="X27" s="51" t="str">
        <f t="shared" si="3"/>
        <v>36678IF-ELPO/SJ</v>
      </c>
      <c r="Y27" s="418">
        <f t="shared" si="4"/>
        <v>-1</v>
      </c>
      <c r="Z27" s="51"/>
      <c r="AA27" s="51"/>
      <c r="AB27" s="141">
        <f t="shared" si="14"/>
        <v>36678</v>
      </c>
      <c r="AC27" s="234">
        <v>0</v>
      </c>
      <c r="AD27" s="234">
        <v>0</v>
      </c>
      <c r="AE27" s="234">
        <v>0</v>
      </c>
      <c r="AF27" s="234">
        <v>0</v>
      </c>
      <c r="AG27" s="234">
        <v>0</v>
      </c>
      <c r="AH27" s="234">
        <v>0</v>
      </c>
      <c r="AI27" s="234">
        <v>0</v>
      </c>
      <c r="AJ27" s="235" t="e">
        <f t="shared" si="15"/>
        <v>#N/A</v>
      </c>
      <c r="AK27" s="234"/>
      <c r="AL27" t="str">
        <f t="shared" si="16"/>
        <v>36678Curve Shift/Gamma</v>
      </c>
      <c r="AM27" t="str">
        <f t="shared" si="17"/>
        <v>36678Rho</v>
      </c>
      <c r="AN27" t="str">
        <f t="shared" si="18"/>
        <v>36678Drift</v>
      </c>
      <c r="AO27" t="str">
        <f t="shared" si="19"/>
        <v>36678Vega</v>
      </c>
      <c r="AP27" t="str">
        <f t="shared" si="20"/>
        <v>36678Theta</v>
      </c>
      <c r="AQ27" s="385">
        <f t="shared" si="21"/>
        <v>37165</v>
      </c>
      <c r="AR27" s="386">
        <f t="shared" si="5"/>
        <v>0</v>
      </c>
      <c r="AS27" s="239">
        <f t="shared" si="6"/>
        <v>0</v>
      </c>
      <c r="AT27" s="239">
        <f t="shared" si="7"/>
        <v>0</v>
      </c>
      <c r="AU27" s="239">
        <f t="shared" si="8"/>
        <v>0</v>
      </c>
      <c r="AV27" s="249">
        <f t="shared" si="9"/>
        <v>0</v>
      </c>
      <c r="AW27" s="240">
        <f t="shared" si="10"/>
        <v>0</v>
      </c>
      <c r="AZ27" s="41">
        <f t="shared" si="22"/>
        <v>36770</v>
      </c>
      <c r="BA27" s="44"/>
      <c r="BG27" s="441">
        <v>37104</v>
      </c>
      <c r="BH27">
        <v>0.98499999999999999</v>
      </c>
      <c r="BJ27" s="441">
        <v>37104</v>
      </c>
      <c r="BK27">
        <v>24</v>
      </c>
    </row>
    <row r="28" spans="1:63" ht="12" customHeight="1" x14ac:dyDescent="0.25">
      <c r="A28" s="382" t="s">
        <v>279</v>
      </c>
      <c r="B28" s="155" t="s">
        <v>250</v>
      </c>
      <c r="C28" s="155" t="s">
        <v>360</v>
      </c>
      <c r="D28" s="155" t="s">
        <v>190</v>
      </c>
      <c r="E28" s="4" t="s">
        <v>237</v>
      </c>
      <c r="F28" s="155" t="s">
        <v>20</v>
      </c>
      <c r="G28" s="155" t="s">
        <v>21</v>
      </c>
      <c r="H28" s="354">
        <v>36678</v>
      </c>
      <c r="I28" s="156">
        <v>-50000</v>
      </c>
      <c r="J28" s="7">
        <v>0.46</v>
      </c>
      <c r="K28" s="53">
        <f t="shared" si="11"/>
        <v>4.7549999999999999</v>
      </c>
      <c r="L28" s="53">
        <f t="shared" si="12"/>
        <v>3.4750000000000001</v>
      </c>
      <c r="M28" s="157">
        <v>1</v>
      </c>
      <c r="N28" s="4">
        <v>0.51500000000000001</v>
      </c>
      <c r="O28" s="4">
        <v>0.51500000000000001</v>
      </c>
      <c r="P28" s="9" t="e">
        <f t="shared" si="13"/>
        <v>#N/A</v>
      </c>
      <c r="Q28" s="5">
        <v>36681</v>
      </c>
      <c r="R28" s="4">
        <f t="shared" si="1"/>
        <v>1</v>
      </c>
      <c r="S28" s="158" t="e">
        <f>_xll.xSPRDOPT($K28,$L28,$J28,$M28,$N28,$O28,$P28,$Q28-$C$3,$R28,0)</f>
        <v>#N/A</v>
      </c>
      <c r="T28" s="159" t="e">
        <f>_xll.xSPRDOPT($K28,$L28,$J28,$M28,$N28,$O28,$P28,$Q28-$C$3,$R28,1)*I28</f>
        <v>#N/A</v>
      </c>
      <c r="U28" s="160">
        <v>0</v>
      </c>
      <c r="V28" s="159" t="e">
        <f>_xll.xSPRDOPT($K28,$L28,$J28,$M28,$N28,$O28,$P28,$Q28-$C$3,$R28,2)*I28</f>
        <v>#N/A</v>
      </c>
      <c r="W28" s="159" t="e">
        <f t="shared" si="2"/>
        <v>#N/A</v>
      </c>
      <c r="X28" s="51" t="str">
        <f t="shared" si="3"/>
        <v>36678IF-ELPO/SJ</v>
      </c>
      <c r="Y28" s="418">
        <f t="shared" si="4"/>
        <v>-5</v>
      </c>
      <c r="Z28" s="51"/>
      <c r="AA28" s="51"/>
      <c r="AB28" s="141">
        <f t="shared" si="14"/>
        <v>36678</v>
      </c>
      <c r="AC28" s="234">
        <v>0</v>
      </c>
      <c r="AD28" s="234">
        <v>0</v>
      </c>
      <c r="AE28" s="234">
        <v>0</v>
      </c>
      <c r="AF28" s="234">
        <v>0</v>
      </c>
      <c r="AG28" s="234">
        <v>0</v>
      </c>
      <c r="AH28" s="234">
        <v>0</v>
      </c>
      <c r="AI28" s="234">
        <v>0</v>
      </c>
      <c r="AJ28" s="235" t="e">
        <f t="shared" si="15"/>
        <v>#N/A</v>
      </c>
      <c r="AK28" s="234"/>
      <c r="AL28" t="str">
        <f t="shared" si="16"/>
        <v>36678Curve Shift/Gamma</v>
      </c>
      <c r="AM28" t="str">
        <f t="shared" si="17"/>
        <v>36678Rho</v>
      </c>
      <c r="AN28" t="str">
        <f t="shared" si="18"/>
        <v>36678Drift</v>
      </c>
      <c r="AO28" t="str">
        <f t="shared" si="19"/>
        <v>36678Vega</v>
      </c>
      <c r="AP28" t="str">
        <f t="shared" si="20"/>
        <v>36678Theta</v>
      </c>
      <c r="AQ28" s="385">
        <f t="shared" si="21"/>
        <v>37196</v>
      </c>
      <c r="AR28" s="386">
        <f t="shared" si="5"/>
        <v>0</v>
      </c>
      <c r="AS28" s="239">
        <f t="shared" si="6"/>
        <v>0</v>
      </c>
      <c r="AT28" s="239">
        <f t="shared" si="7"/>
        <v>0</v>
      </c>
      <c r="AU28" s="239">
        <f t="shared" si="8"/>
        <v>0</v>
      </c>
      <c r="AV28" s="249">
        <f t="shared" si="9"/>
        <v>0</v>
      </c>
      <c r="AW28" s="240">
        <f t="shared" si="10"/>
        <v>0</v>
      </c>
      <c r="AZ28" s="41">
        <f t="shared" si="22"/>
        <v>36800</v>
      </c>
      <c r="BA28" s="44"/>
      <c r="BG28" s="441">
        <v>37135</v>
      </c>
      <c r="BH28">
        <v>0.98499999999999999</v>
      </c>
      <c r="BJ28" s="441">
        <v>37135</v>
      </c>
      <c r="BK28">
        <v>25</v>
      </c>
    </row>
    <row r="29" spans="1:63" ht="12" customHeight="1" x14ac:dyDescent="0.25">
      <c r="A29" s="382" t="s">
        <v>279</v>
      </c>
      <c r="B29" s="155" t="s">
        <v>250</v>
      </c>
      <c r="C29" s="155" t="s">
        <v>361</v>
      </c>
      <c r="D29" s="155" t="s">
        <v>190</v>
      </c>
      <c r="E29" s="4" t="s">
        <v>237</v>
      </c>
      <c r="F29" s="155" t="s">
        <v>20</v>
      </c>
      <c r="G29" s="155" t="s">
        <v>21</v>
      </c>
      <c r="H29" s="354">
        <v>36678</v>
      </c>
      <c r="I29" s="156">
        <v>10000</v>
      </c>
      <c r="J29" s="7">
        <v>0.46</v>
      </c>
      <c r="K29" s="53">
        <f t="shared" si="11"/>
        <v>4.7549999999999999</v>
      </c>
      <c r="L29" s="53">
        <f t="shared" si="12"/>
        <v>3.4750000000000001</v>
      </c>
      <c r="M29" s="157">
        <v>1</v>
      </c>
      <c r="N29" s="4">
        <v>0.51500000000000001</v>
      </c>
      <c r="O29" s="4">
        <v>0.51500000000000001</v>
      </c>
      <c r="P29" s="9" t="e">
        <f t="shared" si="13"/>
        <v>#N/A</v>
      </c>
      <c r="Q29" s="5">
        <v>36681</v>
      </c>
      <c r="R29" s="4">
        <f t="shared" si="1"/>
        <v>1</v>
      </c>
      <c r="S29" s="158" t="e">
        <f>_xll.xSPRDOPT($K29,$L29,$J29,$M29,$N29,$O29,$P29,$Q29-$C$3,$R29,0)</f>
        <v>#N/A</v>
      </c>
      <c r="T29" s="159" t="e">
        <f>_xll.xSPRDOPT($K29,$L29,$J29,$M29,$N29,$O29,$P29,$Q29-$C$3,$R29,1)*I29</f>
        <v>#N/A</v>
      </c>
      <c r="U29" s="160">
        <v>0</v>
      </c>
      <c r="V29" s="159" t="e">
        <f>_xll.xSPRDOPT($K29,$L29,$J29,$M29,$N29,$O29,$P29,$Q29-$C$3,$R29,2)*I29</f>
        <v>#N/A</v>
      </c>
      <c r="W29" s="159" t="e">
        <f t="shared" si="2"/>
        <v>#N/A</v>
      </c>
      <c r="X29" s="51" t="str">
        <f t="shared" si="3"/>
        <v>36678IF-ELPO/SJ</v>
      </c>
      <c r="Y29" s="418">
        <f t="shared" si="4"/>
        <v>1</v>
      </c>
      <c r="Z29" s="51"/>
      <c r="AA29" s="51"/>
      <c r="AB29" s="141">
        <f t="shared" si="14"/>
        <v>36678</v>
      </c>
      <c r="AC29" s="234">
        <v>0</v>
      </c>
      <c r="AD29" s="234">
        <v>0</v>
      </c>
      <c r="AE29" s="234">
        <v>0</v>
      </c>
      <c r="AF29" s="234">
        <v>0</v>
      </c>
      <c r="AG29" s="234">
        <v>0</v>
      </c>
      <c r="AH29" s="234">
        <v>0</v>
      </c>
      <c r="AI29" s="234">
        <v>0</v>
      </c>
      <c r="AJ29" s="235" t="e">
        <f t="shared" si="15"/>
        <v>#N/A</v>
      </c>
      <c r="AK29" s="234"/>
      <c r="AL29" t="str">
        <f t="shared" si="16"/>
        <v>36678Curve Shift/Gamma</v>
      </c>
      <c r="AM29" t="str">
        <f t="shared" si="17"/>
        <v>36678Rho</v>
      </c>
      <c r="AN29" t="str">
        <f t="shared" si="18"/>
        <v>36678Drift</v>
      </c>
      <c r="AO29" t="str">
        <f t="shared" si="19"/>
        <v>36678Vega</v>
      </c>
      <c r="AP29" t="str">
        <f t="shared" si="20"/>
        <v>36678Theta</v>
      </c>
      <c r="AQ29" s="385">
        <f t="shared" si="21"/>
        <v>37226</v>
      </c>
      <c r="AR29" s="386">
        <f t="shared" si="5"/>
        <v>0</v>
      </c>
      <c r="AS29" s="239">
        <f t="shared" si="6"/>
        <v>0</v>
      </c>
      <c r="AT29" s="239">
        <f t="shared" si="7"/>
        <v>0</v>
      </c>
      <c r="AU29" s="239">
        <f t="shared" si="8"/>
        <v>0</v>
      </c>
      <c r="AV29" s="249">
        <f t="shared" si="9"/>
        <v>0</v>
      </c>
      <c r="AW29" s="240">
        <f t="shared" si="10"/>
        <v>0</v>
      </c>
      <c r="AZ29" s="41">
        <f t="shared" si="22"/>
        <v>36831</v>
      </c>
      <c r="BA29" s="44"/>
      <c r="BG29" s="441">
        <v>37165</v>
      </c>
      <c r="BH29">
        <v>0.98499999999999999</v>
      </c>
      <c r="BJ29" s="441">
        <v>37165</v>
      </c>
      <c r="BK29">
        <v>26</v>
      </c>
    </row>
    <row r="30" spans="1:63" ht="12" customHeight="1" x14ac:dyDescent="0.25">
      <c r="A30" s="382" t="s">
        <v>279</v>
      </c>
      <c r="B30" s="155" t="s">
        <v>250</v>
      </c>
      <c r="C30" s="155" t="s">
        <v>364</v>
      </c>
      <c r="D30" s="155" t="s">
        <v>190</v>
      </c>
      <c r="E30" s="4" t="s">
        <v>237</v>
      </c>
      <c r="F30" s="155" t="s">
        <v>20</v>
      </c>
      <c r="G30" s="155" t="s">
        <v>21</v>
      </c>
      <c r="H30" s="354">
        <v>36678</v>
      </c>
      <c r="I30" s="156">
        <v>-333333</v>
      </c>
      <c r="J30" s="7">
        <v>0.46</v>
      </c>
      <c r="K30" s="53">
        <f t="shared" si="11"/>
        <v>4.7549999999999999</v>
      </c>
      <c r="L30" s="53">
        <f t="shared" si="12"/>
        <v>3.4750000000000001</v>
      </c>
      <c r="M30" s="157">
        <v>1</v>
      </c>
      <c r="N30" s="4">
        <v>0.51500000000000001</v>
      </c>
      <c r="O30" s="4">
        <v>0.51500000000000001</v>
      </c>
      <c r="P30" s="9" t="e">
        <f t="shared" si="13"/>
        <v>#N/A</v>
      </c>
      <c r="Q30" s="5">
        <v>36681</v>
      </c>
      <c r="R30" s="4">
        <f t="shared" si="1"/>
        <v>1</v>
      </c>
      <c r="S30" s="158" t="e">
        <f>_xll.xSPRDOPT($K30,$L30,$J30,$M30,$N30,$O30,$P30,$Q30-$C$3,$R30,0)</f>
        <v>#N/A</v>
      </c>
      <c r="T30" s="159" t="e">
        <f>_xll.xSPRDOPT($K30,$L30,$J30,$M30,$N30,$O30,$P30,$Q30-$C$3,$R30,1)*I30</f>
        <v>#N/A</v>
      </c>
      <c r="U30" s="160">
        <v>0</v>
      </c>
      <c r="V30" s="159" t="e">
        <f>_xll.xSPRDOPT($K30,$L30,$J30,$M30,$N30,$O30,$P30,$Q30-$C$3,$R30,2)*I30</f>
        <v>#N/A</v>
      </c>
      <c r="W30" s="159" t="e">
        <f t="shared" si="2"/>
        <v>#N/A</v>
      </c>
      <c r="X30" s="51" t="str">
        <f t="shared" si="3"/>
        <v>36678IF-ELPO/SJ</v>
      </c>
      <c r="Y30" s="418">
        <f t="shared" si="4"/>
        <v>-33.333300000000001</v>
      </c>
      <c r="Z30" s="51"/>
      <c r="AA30" s="51"/>
      <c r="AB30" s="141">
        <f t="shared" si="14"/>
        <v>36678</v>
      </c>
      <c r="AC30" s="234">
        <v>0</v>
      </c>
      <c r="AD30" s="234">
        <v>0</v>
      </c>
      <c r="AE30" s="234">
        <v>0</v>
      </c>
      <c r="AF30" s="234">
        <v>0</v>
      </c>
      <c r="AG30" s="234">
        <v>0</v>
      </c>
      <c r="AH30" s="234">
        <v>0</v>
      </c>
      <c r="AI30" s="234">
        <v>0</v>
      </c>
      <c r="AJ30" s="235" t="e">
        <f t="shared" si="15"/>
        <v>#N/A</v>
      </c>
      <c r="AK30" s="234"/>
      <c r="AL30" t="str">
        <f t="shared" si="16"/>
        <v>36678Curve Shift/Gamma</v>
      </c>
      <c r="AM30" t="str">
        <f t="shared" si="17"/>
        <v>36678Rho</v>
      </c>
      <c r="AN30" t="str">
        <f t="shared" si="18"/>
        <v>36678Drift</v>
      </c>
      <c r="AO30" t="str">
        <f t="shared" si="19"/>
        <v>36678Vega</v>
      </c>
      <c r="AP30" t="str">
        <f t="shared" si="20"/>
        <v>36678Theta</v>
      </c>
      <c r="AQ30" s="385">
        <f t="shared" si="21"/>
        <v>37257</v>
      </c>
      <c r="AR30" s="386">
        <f t="shared" si="5"/>
        <v>0</v>
      </c>
      <c r="AS30" s="239">
        <f t="shared" si="6"/>
        <v>0</v>
      </c>
      <c r="AT30" s="239">
        <f t="shared" si="7"/>
        <v>0</v>
      </c>
      <c r="AU30" s="239">
        <f t="shared" si="8"/>
        <v>0</v>
      </c>
      <c r="AV30" s="249">
        <f t="shared" si="9"/>
        <v>0</v>
      </c>
      <c r="AW30" s="240">
        <f t="shared" si="10"/>
        <v>0</v>
      </c>
      <c r="AZ30" s="41">
        <f t="shared" si="22"/>
        <v>36861</v>
      </c>
      <c r="BA30" s="44"/>
      <c r="BG30" s="441">
        <v>37196</v>
      </c>
      <c r="BH30">
        <v>0.97048500000000038</v>
      </c>
      <c r="BJ30" s="441">
        <v>37196</v>
      </c>
      <c r="BK30">
        <v>27</v>
      </c>
    </row>
    <row r="31" spans="1:63" ht="12" customHeight="1" x14ac:dyDescent="0.25">
      <c r="A31" s="384" t="s">
        <v>268</v>
      </c>
      <c r="B31" s="155" t="s">
        <v>250</v>
      </c>
      <c r="C31" s="155" t="s">
        <v>387</v>
      </c>
      <c r="D31" s="155" t="s">
        <v>190</v>
      </c>
      <c r="E31" s="4" t="s">
        <v>237</v>
      </c>
      <c r="F31" s="155" t="s">
        <v>20</v>
      </c>
      <c r="G31" s="155" t="s">
        <v>21</v>
      </c>
      <c r="H31" s="354">
        <v>36678</v>
      </c>
      <c r="I31" s="156">
        <v>-10000</v>
      </c>
      <c r="J31" s="7">
        <v>0.46</v>
      </c>
      <c r="K31" s="53">
        <f t="shared" si="11"/>
        <v>4.7549999999999999</v>
      </c>
      <c r="L31" s="53">
        <f t="shared" si="12"/>
        <v>3.4750000000000001</v>
      </c>
      <c r="M31" s="157">
        <v>1</v>
      </c>
      <c r="N31" s="4">
        <v>0.51500000000000001</v>
      </c>
      <c r="O31" s="4">
        <v>0.51500000000000001</v>
      </c>
      <c r="P31" s="9" t="e">
        <f t="shared" si="13"/>
        <v>#N/A</v>
      </c>
      <c r="Q31" s="5">
        <v>36681</v>
      </c>
      <c r="R31" s="4">
        <f t="shared" si="1"/>
        <v>1</v>
      </c>
      <c r="S31" s="158" t="e">
        <f>_xll.xSPRDOPT($K31,$L31,$J31,$M31,$N31,$O31,$P31,$Q31-$C$3,$R31,0)</f>
        <v>#N/A</v>
      </c>
      <c r="T31" s="159" t="e">
        <f>_xll.xSPRDOPT($K31,$L31,$J31,$M31,$N31,$O31,$P31,$Q31-$C$3,$R31,1)*I31</f>
        <v>#N/A</v>
      </c>
      <c r="U31" s="160">
        <v>0</v>
      </c>
      <c r="V31" s="159" t="e">
        <f>_xll.xSPRDOPT($K31,$L31,$J31,$M31,$N31,$O31,$P31,$Q31-$C$3,$R31,2)*I31</f>
        <v>#N/A</v>
      </c>
      <c r="W31" s="159" t="e">
        <f t="shared" si="2"/>
        <v>#N/A</v>
      </c>
      <c r="X31" s="51" t="str">
        <f t="shared" si="3"/>
        <v>36678IF-ELPO/SJ</v>
      </c>
      <c r="Y31" s="418">
        <f t="shared" si="4"/>
        <v>-1</v>
      </c>
      <c r="Z31" s="51"/>
      <c r="AA31" s="51"/>
      <c r="AB31" s="141">
        <f t="shared" si="14"/>
        <v>36678</v>
      </c>
      <c r="AC31" s="234">
        <v>0</v>
      </c>
      <c r="AD31" s="234">
        <v>0</v>
      </c>
      <c r="AE31" s="234">
        <v>0</v>
      </c>
      <c r="AF31" s="234">
        <v>0</v>
      </c>
      <c r="AG31" s="234">
        <v>0</v>
      </c>
      <c r="AH31" s="234">
        <v>0</v>
      </c>
      <c r="AI31" s="234">
        <v>0</v>
      </c>
      <c r="AJ31" s="235" t="e">
        <f t="shared" si="15"/>
        <v>#N/A</v>
      </c>
      <c r="AK31" s="234"/>
      <c r="AL31" t="str">
        <f t="shared" si="16"/>
        <v>36678Curve Shift/Gamma</v>
      </c>
      <c r="AM31" t="str">
        <f t="shared" si="17"/>
        <v>36678Rho</v>
      </c>
      <c r="AN31" t="str">
        <f t="shared" si="18"/>
        <v>36678Drift</v>
      </c>
      <c r="AO31" t="str">
        <f t="shared" si="19"/>
        <v>36678Vega</v>
      </c>
      <c r="AP31" t="str">
        <f t="shared" si="20"/>
        <v>36678Theta</v>
      </c>
      <c r="AQ31" s="385">
        <f t="shared" si="21"/>
        <v>37288</v>
      </c>
      <c r="AR31" s="386">
        <f t="shared" si="5"/>
        <v>0</v>
      </c>
      <c r="AS31" s="239">
        <f t="shared" si="6"/>
        <v>0</v>
      </c>
      <c r="AT31" s="239">
        <f t="shared" si="7"/>
        <v>0</v>
      </c>
      <c r="AU31" s="239">
        <f t="shared" si="8"/>
        <v>0</v>
      </c>
      <c r="AV31" s="249">
        <f t="shared" si="9"/>
        <v>0</v>
      </c>
      <c r="AW31" s="240">
        <f t="shared" si="10"/>
        <v>0</v>
      </c>
      <c r="AZ31" s="41">
        <f t="shared" si="22"/>
        <v>36892</v>
      </c>
      <c r="BA31" s="44"/>
      <c r="BG31" s="441">
        <v>37226</v>
      </c>
      <c r="BH31">
        <v>0.97048500000000038</v>
      </c>
      <c r="BJ31" s="441">
        <v>37226</v>
      </c>
      <c r="BK31">
        <v>28</v>
      </c>
    </row>
    <row r="32" spans="1:63" ht="12" customHeight="1" x14ac:dyDescent="0.25">
      <c r="A32" s="384" t="s">
        <v>279</v>
      </c>
      <c r="B32" s="155" t="s">
        <v>250</v>
      </c>
      <c r="C32" s="155" t="s">
        <v>388</v>
      </c>
      <c r="D32" s="155" t="s">
        <v>190</v>
      </c>
      <c r="E32" s="4" t="s">
        <v>237</v>
      </c>
      <c r="F32" s="155" t="s">
        <v>20</v>
      </c>
      <c r="G32" s="155" t="s">
        <v>21</v>
      </c>
      <c r="H32" s="354">
        <v>36678</v>
      </c>
      <c r="I32" s="156">
        <v>50000</v>
      </c>
      <c r="J32" s="7">
        <v>0.46</v>
      </c>
      <c r="K32" s="53">
        <f t="shared" si="11"/>
        <v>4.7549999999999999</v>
      </c>
      <c r="L32" s="53">
        <f t="shared" si="12"/>
        <v>3.4750000000000001</v>
      </c>
      <c r="M32" s="157">
        <v>1</v>
      </c>
      <c r="N32" s="4">
        <v>0.51500000000000001</v>
      </c>
      <c r="O32" s="4">
        <v>0.51500000000000001</v>
      </c>
      <c r="P32" s="9" t="e">
        <f t="shared" si="13"/>
        <v>#N/A</v>
      </c>
      <c r="Q32" s="5">
        <v>36681</v>
      </c>
      <c r="R32" s="4">
        <f t="shared" si="1"/>
        <v>1</v>
      </c>
      <c r="S32" s="158" t="e">
        <f>_xll.xSPRDOPT($K32,$L32,$J32,$M32,$N32,$O32,$P32,$Q32-$C$3,$R32,0)</f>
        <v>#N/A</v>
      </c>
      <c r="T32" s="159" t="e">
        <f>_xll.xSPRDOPT($K32,$L32,$J32,$M32,$N32,$O32,$P32,$Q32-$C$3,$R32,1)*I32</f>
        <v>#N/A</v>
      </c>
      <c r="U32" s="160">
        <v>0</v>
      </c>
      <c r="V32" s="159" t="e">
        <f>_xll.xSPRDOPT($K32,$L32,$J32,$M32,$N32,$O32,$P32,$Q32-$C$3,$R32,2)*I32</f>
        <v>#N/A</v>
      </c>
      <c r="W32" s="159" t="e">
        <f t="shared" si="2"/>
        <v>#N/A</v>
      </c>
      <c r="X32" s="51" t="str">
        <f t="shared" si="3"/>
        <v>36678IF-ELPO/SJ</v>
      </c>
      <c r="Y32" s="418">
        <f t="shared" si="4"/>
        <v>5</v>
      </c>
      <c r="AA32" s="51"/>
      <c r="AB32" s="141">
        <f t="shared" si="14"/>
        <v>36678</v>
      </c>
      <c r="AC32" s="234">
        <v>0</v>
      </c>
      <c r="AD32" s="234">
        <v>0</v>
      </c>
      <c r="AE32" s="234">
        <v>0</v>
      </c>
      <c r="AF32" s="234">
        <v>0</v>
      </c>
      <c r="AG32" s="234">
        <v>0</v>
      </c>
      <c r="AH32" s="234">
        <v>0</v>
      </c>
      <c r="AI32" s="234">
        <v>0</v>
      </c>
      <c r="AJ32" s="235" t="e">
        <f t="shared" si="15"/>
        <v>#N/A</v>
      </c>
      <c r="AK32" s="234"/>
      <c r="AL32" t="str">
        <f t="shared" si="16"/>
        <v>36678Curve Shift/Gamma</v>
      </c>
      <c r="AM32" t="str">
        <f t="shared" si="17"/>
        <v>36678Rho</v>
      </c>
      <c r="AN32" t="str">
        <f t="shared" si="18"/>
        <v>36678Drift</v>
      </c>
      <c r="AO32" t="str">
        <f t="shared" si="19"/>
        <v>36678Vega</v>
      </c>
      <c r="AP32" t="str">
        <f t="shared" si="20"/>
        <v>36678Theta</v>
      </c>
      <c r="AQ32" s="385">
        <f t="shared" si="21"/>
        <v>37316</v>
      </c>
      <c r="AR32" s="386">
        <f t="shared" si="5"/>
        <v>0</v>
      </c>
      <c r="AS32" s="239">
        <f t="shared" si="6"/>
        <v>0</v>
      </c>
      <c r="AT32" s="239">
        <f t="shared" si="7"/>
        <v>0</v>
      </c>
      <c r="AU32" s="239">
        <f t="shared" si="8"/>
        <v>0</v>
      </c>
      <c r="AV32" s="249">
        <f t="shared" si="9"/>
        <v>0</v>
      </c>
      <c r="AW32" s="240">
        <f t="shared" si="10"/>
        <v>0</v>
      </c>
      <c r="AZ32" s="41">
        <f t="shared" si="22"/>
        <v>36923</v>
      </c>
      <c r="BA32" s="44"/>
      <c r="BG32" s="441">
        <v>37257</v>
      </c>
      <c r="BH32">
        <v>0.98499999999999999</v>
      </c>
      <c r="BJ32" s="441">
        <v>37257</v>
      </c>
      <c r="BK32">
        <v>29</v>
      </c>
    </row>
    <row r="33" spans="1:63" ht="12" customHeight="1" x14ac:dyDescent="0.25">
      <c r="A33" s="384" t="s">
        <v>279</v>
      </c>
      <c r="B33" s="155" t="s">
        <v>250</v>
      </c>
      <c r="C33" s="155" t="s">
        <v>389</v>
      </c>
      <c r="D33" s="155" t="s">
        <v>190</v>
      </c>
      <c r="E33" s="4" t="s">
        <v>237</v>
      </c>
      <c r="F33" s="155" t="s">
        <v>20</v>
      </c>
      <c r="G33" s="155" t="s">
        <v>21</v>
      </c>
      <c r="H33" s="354">
        <v>36678</v>
      </c>
      <c r="I33" s="156">
        <v>50000</v>
      </c>
      <c r="J33" s="7">
        <v>0.46</v>
      </c>
      <c r="K33" s="53">
        <f t="shared" si="11"/>
        <v>4.7549999999999999</v>
      </c>
      <c r="L33" s="53">
        <f t="shared" si="12"/>
        <v>3.4750000000000001</v>
      </c>
      <c r="M33" s="157">
        <v>1</v>
      </c>
      <c r="N33" s="4">
        <v>0.51500000000000001</v>
      </c>
      <c r="O33" s="4">
        <v>0.51500000000000001</v>
      </c>
      <c r="P33" s="9" t="e">
        <f t="shared" si="13"/>
        <v>#N/A</v>
      </c>
      <c r="Q33" s="5">
        <v>36681</v>
      </c>
      <c r="R33" s="4">
        <f t="shared" si="1"/>
        <v>1</v>
      </c>
      <c r="S33" s="158" t="e">
        <f>_xll.xSPRDOPT($K33,$L33,$J33,$M33,$N33,$O33,$P33,$Q33-$C$3,$R33,0)</f>
        <v>#N/A</v>
      </c>
      <c r="T33" s="159" t="e">
        <f>_xll.xSPRDOPT($K33,$L33,$J33,$M33,$N33,$O33,$P33,$Q33-$C$3,$R33,1)*I33</f>
        <v>#N/A</v>
      </c>
      <c r="U33" s="160">
        <v>0</v>
      </c>
      <c r="V33" s="159" t="e">
        <f>_xll.xSPRDOPT($K33,$L33,$J33,$M33,$N33,$O33,$P33,$Q33-$C$3,$R33,2)*I33</f>
        <v>#N/A</v>
      </c>
      <c r="W33" s="159" t="e">
        <f t="shared" si="2"/>
        <v>#N/A</v>
      </c>
      <c r="X33" s="51" t="str">
        <f t="shared" si="3"/>
        <v>36678IF-ELPO/SJ</v>
      </c>
      <c r="Y33" s="418">
        <f t="shared" si="4"/>
        <v>5</v>
      </c>
      <c r="AA33" s="51"/>
      <c r="AB33" s="141">
        <f t="shared" si="14"/>
        <v>36678</v>
      </c>
      <c r="AC33" s="234">
        <v>0</v>
      </c>
      <c r="AD33" s="234">
        <v>0</v>
      </c>
      <c r="AE33" s="234">
        <v>0</v>
      </c>
      <c r="AF33" s="234">
        <v>0</v>
      </c>
      <c r="AG33" s="234">
        <v>0</v>
      </c>
      <c r="AH33" s="234">
        <v>0</v>
      </c>
      <c r="AI33" s="234">
        <v>0</v>
      </c>
      <c r="AJ33" s="235" t="e">
        <f t="shared" si="15"/>
        <v>#N/A</v>
      </c>
      <c r="AK33" s="234"/>
      <c r="AL33" t="str">
        <f t="shared" si="16"/>
        <v>36678Curve Shift/Gamma</v>
      </c>
      <c r="AM33" t="str">
        <f t="shared" si="17"/>
        <v>36678Rho</v>
      </c>
      <c r="AN33" t="str">
        <f t="shared" si="18"/>
        <v>36678Drift</v>
      </c>
      <c r="AO33" t="str">
        <f t="shared" si="19"/>
        <v>36678Vega</v>
      </c>
      <c r="AP33" t="str">
        <f t="shared" si="20"/>
        <v>36678Theta</v>
      </c>
      <c r="AQ33" s="385">
        <f t="shared" si="21"/>
        <v>37347</v>
      </c>
      <c r="AR33" s="386">
        <f t="shared" si="5"/>
        <v>0</v>
      </c>
      <c r="AS33" s="239">
        <f t="shared" si="6"/>
        <v>0</v>
      </c>
      <c r="AT33" s="239">
        <f t="shared" si="7"/>
        <v>0</v>
      </c>
      <c r="AU33" s="239">
        <f t="shared" si="8"/>
        <v>0</v>
      </c>
      <c r="AV33" s="249">
        <f t="shared" si="9"/>
        <v>0</v>
      </c>
      <c r="AW33" s="240">
        <f t="shared" si="10"/>
        <v>0</v>
      </c>
      <c r="AZ33" s="41">
        <f t="shared" si="22"/>
        <v>36951</v>
      </c>
      <c r="BA33" s="44"/>
      <c r="BG33" s="441">
        <v>37288</v>
      </c>
      <c r="BH33">
        <v>0.98499999999999999</v>
      </c>
      <c r="BJ33" s="441">
        <v>37288</v>
      </c>
      <c r="BK33">
        <v>30</v>
      </c>
    </row>
    <row r="34" spans="1:63" ht="12" customHeight="1" x14ac:dyDescent="0.25">
      <c r="A34" s="384" t="s">
        <v>279</v>
      </c>
      <c r="B34" s="155" t="s">
        <v>250</v>
      </c>
      <c r="C34" s="155" t="s">
        <v>398</v>
      </c>
      <c r="D34" s="155" t="s">
        <v>190</v>
      </c>
      <c r="E34" s="4" t="s">
        <v>237</v>
      </c>
      <c r="F34" s="155" t="s">
        <v>20</v>
      </c>
      <c r="G34" s="155" t="s">
        <v>21</v>
      </c>
      <c r="H34" s="354">
        <v>36678</v>
      </c>
      <c r="I34" s="156">
        <v>-10000</v>
      </c>
      <c r="J34" s="7">
        <v>0.46</v>
      </c>
      <c r="K34" s="53">
        <f t="shared" si="11"/>
        <v>4.7549999999999999</v>
      </c>
      <c r="L34" s="53">
        <f t="shared" si="12"/>
        <v>3.4750000000000001</v>
      </c>
      <c r="M34" s="157">
        <v>1</v>
      </c>
      <c r="N34" s="4">
        <v>0.51500000000000001</v>
      </c>
      <c r="O34" s="4">
        <v>0.51500000000000001</v>
      </c>
      <c r="P34" s="9" t="e">
        <f t="shared" si="13"/>
        <v>#N/A</v>
      </c>
      <c r="Q34" s="5">
        <v>36681</v>
      </c>
      <c r="R34" s="4">
        <f t="shared" si="1"/>
        <v>1</v>
      </c>
      <c r="S34" s="158" t="e">
        <f>_xll.xSPRDOPT($K34,$L34,$J34,$M34,$N34,$O34,$P34,$Q34-$C$3,$R34,0)</f>
        <v>#N/A</v>
      </c>
      <c r="T34" s="159" t="e">
        <f>_xll.xSPRDOPT($K34,$L34,$J34,$M34,$N34,$O34,$P34,$Q34-$C$3,$R34,1)*I34</f>
        <v>#N/A</v>
      </c>
      <c r="U34" s="160">
        <v>0</v>
      </c>
      <c r="V34" s="159" t="e">
        <f>_xll.xSPRDOPT($K34,$L34,$J34,$M34,$N34,$O34,$P34,$Q34-$C$3,$R34,2)*I34</f>
        <v>#N/A</v>
      </c>
      <c r="W34" s="159" t="e">
        <f t="shared" si="2"/>
        <v>#N/A</v>
      </c>
      <c r="X34" s="51" t="str">
        <f t="shared" si="3"/>
        <v>36678IF-ELPO/SJ</v>
      </c>
      <c r="Y34" s="418">
        <f t="shared" si="4"/>
        <v>-1</v>
      </c>
      <c r="AA34" s="51"/>
      <c r="AB34" s="141">
        <f t="shared" si="14"/>
        <v>36678</v>
      </c>
      <c r="AC34" s="234">
        <v>0</v>
      </c>
      <c r="AD34" s="234">
        <v>0</v>
      </c>
      <c r="AE34" s="234">
        <v>0</v>
      </c>
      <c r="AF34" s="234">
        <v>0</v>
      </c>
      <c r="AG34" s="234">
        <v>0</v>
      </c>
      <c r="AH34" s="234">
        <v>0</v>
      </c>
      <c r="AI34" s="234">
        <v>0</v>
      </c>
      <c r="AJ34" s="235" t="e">
        <f t="shared" si="15"/>
        <v>#N/A</v>
      </c>
      <c r="AK34" s="234"/>
      <c r="AL34" t="str">
        <f t="shared" si="16"/>
        <v>36678Curve Shift/Gamma</v>
      </c>
      <c r="AM34" t="str">
        <f t="shared" si="17"/>
        <v>36678Rho</v>
      </c>
      <c r="AN34" t="str">
        <f t="shared" si="18"/>
        <v>36678Drift</v>
      </c>
      <c r="AO34" t="str">
        <f t="shared" si="19"/>
        <v>36678Vega</v>
      </c>
      <c r="AP34" t="str">
        <f t="shared" si="20"/>
        <v>36678Theta</v>
      </c>
      <c r="AQ34" s="385">
        <f t="shared" si="21"/>
        <v>37377</v>
      </c>
      <c r="AR34" s="386">
        <f t="shared" si="5"/>
        <v>0</v>
      </c>
      <c r="AS34" s="239">
        <f t="shared" si="6"/>
        <v>0</v>
      </c>
      <c r="AT34" s="239">
        <f t="shared" si="7"/>
        <v>0</v>
      </c>
      <c r="AU34" s="239">
        <f t="shared" si="8"/>
        <v>0</v>
      </c>
      <c r="AV34" s="249">
        <f t="shared" si="9"/>
        <v>0</v>
      </c>
      <c r="AW34" s="240">
        <f t="shared" si="10"/>
        <v>0</v>
      </c>
      <c r="AZ34" s="41">
        <f t="shared" si="22"/>
        <v>36982</v>
      </c>
      <c r="BA34" s="44"/>
      <c r="BG34" s="441">
        <v>37316</v>
      </c>
      <c r="BH34">
        <v>0.98499999999999999</v>
      </c>
      <c r="BJ34" s="441">
        <v>37316</v>
      </c>
      <c r="BK34">
        <v>31</v>
      </c>
    </row>
    <row r="35" spans="1:63" ht="12" customHeight="1" x14ac:dyDescent="0.25">
      <c r="A35" s="382" t="s">
        <v>279</v>
      </c>
      <c r="B35" s="155" t="s">
        <v>250</v>
      </c>
      <c r="C35" s="155" t="s">
        <v>360</v>
      </c>
      <c r="D35" s="155" t="s">
        <v>190</v>
      </c>
      <c r="E35" s="4" t="s">
        <v>237</v>
      </c>
      <c r="F35" s="155" t="s">
        <v>20</v>
      </c>
      <c r="G35" s="155" t="s">
        <v>21</v>
      </c>
      <c r="H35" s="354">
        <v>36678</v>
      </c>
      <c r="I35" s="156">
        <v>-50000</v>
      </c>
      <c r="J35" s="7">
        <v>0.46</v>
      </c>
      <c r="K35" s="53">
        <f t="shared" si="11"/>
        <v>4.75</v>
      </c>
      <c r="L35" s="53">
        <f t="shared" si="12"/>
        <v>3.29</v>
      </c>
      <c r="M35" s="157">
        <v>1</v>
      </c>
      <c r="N35" s="4">
        <v>0.51500000000000001</v>
      </c>
      <c r="O35" s="4">
        <v>0.51500000000000001</v>
      </c>
      <c r="P35" s="9" t="e">
        <f t="shared" si="13"/>
        <v>#N/A</v>
      </c>
      <c r="Q35" s="5">
        <v>36682</v>
      </c>
      <c r="R35" s="4">
        <f t="shared" si="1"/>
        <v>1</v>
      </c>
      <c r="S35" s="158" t="e">
        <f>_xll.xSPRDOPT($K35,$L35,$J35,$M35,$N35,$O35,$P35,$Q35-$C$3,$R35,0)</f>
        <v>#N/A</v>
      </c>
      <c r="T35" s="159" t="e">
        <f>_xll.xSPRDOPT($K35,$L35,$J35,$M35,$N35,$O35,$P35,$Q35-$C$3,$R35,1)*I35</f>
        <v>#N/A</v>
      </c>
      <c r="U35" s="160">
        <v>0</v>
      </c>
      <c r="V35" s="159" t="e">
        <f>_xll.xSPRDOPT($K35,$L35,$J35,$M35,$N35,$O35,$P35,$Q35-$C$3,$R35,2)*I35</f>
        <v>#N/A</v>
      </c>
      <c r="W35" s="159" t="e">
        <f t="shared" si="2"/>
        <v>#N/A</v>
      </c>
      <c r="X35" s="51" t="str">
        <f t="shared" si="3"/>
        <v>36678IF-ELPO/SJ</v>
      </c>
      <c r="Y35" s="418">
        <f t="shared" si="4"/>
        <v>-5</v>
      </c>
      <c r="AA35" s="51"/>
      <c r="AB35" s="141">
        <f t="shared" si="14"/>
        <v>36678</v>
      </c>
      <c r="AC35" s="234">
        <v>0</v>
      </c>
      <c r="AD35" s="234">
        <v>0</v>
      </c>
      <c r="AE35" s="234">
        <v>0</v>
      </c>
      <c r="AF35" s="234">
        <v>0</v>
      </c>
      <c r="AG35" s="234">
        <v>0</v>
      </c>
      <c r="AH35" s="234">
        <v>0</v>
      </c>
      <c r="AI35" s="234">
        <v>0</v>
      </c>
      <c r="AJ35" s="235" t="e">
        <f t="shared" si="15"/>
        <v>#N/A</v>
      </c>
      <c r="AK35" s="234"/>
      <c r="AL35" t="str">
        <f t="shared" si="16"/>
        <v>36678Curve Shift/Gamma</v>
      </c>
      <c r="AM35" t="str">
        <f t="shared" si="17"/>
        <v>36678Rho</v>
      </c>
      <c r="AN35" t="str">
        <f t="shared" si="18"/>
        <v>36678Drift</v>
      </c>
      <c r="AO35" t="str">
        <f t="shared" si="19"/>
        <v>36678Vega</v>
      </c>
      <c r="AP35" t="str">
        <f t="shared" si="20"/>
        <v>36678Theta</v>
      </c>
      <c r="AQ35" s="385">
        <f t="shared" si="21"/>
        <v>37408</v>
      </c>
      <c r="AR35" s="386">
        <f t="shared" si="5"/>
        <v>0</v>
      </c>
      <c r="AS35" s="239">
        <f t="shared" si="6"/>
        <v>0</v>
      </c>
      <c r="AT35" s="239">
        <f t="shared" si="7"/>
        <v>0</v>
      </c>
      <c r="AU35" s="239">
        <f t="shared" si="8"/>
        <v>0</v>
      </c>
      <c r="AV35" s="249">
        <f t="shared" si="9"/>
        <v>0</v>
      </c>
      <c r="AW35" s="240">
        <f t="shared" si="10"/>
        <v>0</v>
      </c>
      <c r="AZ35" s="41">
        <f t="shared" si="22"/>
        <v>37012</v>
      </c>
      <c r="BA35" s="44"/>
      <c r="BG35" s="441">
        <v>37347</v>
      </c>
      <c r="BH35">
        <v>0.98499999999999999</v>
      </c>
      <c r="BJ35" s="441">
        <v>37347</v>
      </c>
      <c r="BK35">
        <v>32</v>
      </c>
    </row>
    <row r="36" spans="1:63" ht="12" customHeight="1" x14ac:dyDescent="0.25">
      <c r="A36" s="382" t="s">
        <v>279</v>
      </c>
      <c r="B36" s="155" t="s">
        <v>250</v>
      </c>
      <c r="C36" s="155" t="s">
        <v>361</v>
      </c>
      <c r="D36" s="155" t="s">
        <v>190</v>
      </c>
      <c r="E36" s="4" t="s">
        <v>237</v>
      </c>
      <c r="F36" s="155" t="s">
        <v>20</v>
      </c>
      <c r="G36" s="155" t="s">
        <v>21</v>
      </c>
      <c r="H36" s="354">
        <v>36678</v>
      </c>
      <c r="I36" s="156">
        <v>10000</v>
      </c>
      <c r="J36" s="7">
        <v>0.46</v>
      </c>
      <c r="K36" s="53">
        <f t="shared" si="11"/>
        <v>4.75</v>
      </c>
      <c r="L36" s="53">
        <f t="shared" si="12"/>
        <v>3.29</v>
      </c>
      <c r="M36" s="157">
        <v>1</v>
      </c>
      <c r="N36" s="4">
        <v>0.51500000000000001</v>
      </c>
      <c r="O36" s="4">
        <v>0.51500000000000001</v>
      </c>
      <c r="P36" s="9" t="e">
        <f t="shared" si="13"/>
        <v>#N/A</v>
      </c>
      <c r="Q36" s="5">
        <v>36682</v>
      </c>
      <c r="R36" s="4">
        <f t="shared" si="1"/>
        <v>1</v>
      </c>
      <c r="S36" s="158" t="e">
        <f>_xll.xSPRDOPT($K36,$L36,$J36,$M36,$N36,$O36,$P36,$Q36-$C$3,$R36,0)</f>
        <v>#N/A</v>
      </c>
      <c r="T36" s="159" t="e">
        <f>_xll.xSPRDOPT($K36,$L36,$J36,$M36,$N36,$O36,$P36,$Q36-$C$3,$R36,1)*I36</f>
        <v>#N/A</v>
      </c>
      <c r="U36" s="160">
        <v>0</v>
      </c>
      <c r="V36" s="159" t="e">
        <f>_xll.xSPRDOPT($K36,$L36,$J36,$M36,$N36,$O36,$P36,$Q36-$C$3,$R36,2)*I36</f>
        <v>#N/A</v>
      </c>
      <c r="W36" s="159" t="e">
        <f t="shared" si="2"/>
        <v>#N/A</v>
      </c>
      <c r="X36" s="51" t="str">
        <f t="shared" si="3"/>
        <v>36678IF-ELPO/SJ</v>
      </c>
      <c r="Y36" s="418">
        <f t="shared" si="4"/>
        <v>1</v>
      </c>
      <c r="Z36" s="51"/>
      <c r="AA36" s="51"/>
      <c r="AB36" s="141">
        <f t="shared" si="14"/>
        <v>36678</v>
      </c>
      <c r="AC36" s="234">
        <v>0</v>
      </c>
      <c r="AD36" s="234">
        <v>0</v>
      </c>
      <c r="AE36" s="234">
        <v>0</v>
      </c>
      <c r="AF36" s="234">
        <v>0</v>
      </c>
      <c r="AG36" s="234">
        <v>0</v>
      </c>
      <c r="AH36" s="234">
        <v>0</v>
      </c>
      <c r="AI36" s="234">
        <v>0</v>
      </c>
      <c r="AJ36" s="235" t="e">
        <f t="shared" si="15"/>
        <v>#N/A</v>
      </c>
      <c r="AK36" s="234"/>
      <c r="AL36" t="str">
        <f t="shared" si="16"/>
        <v>36678Curve Shift/Gamma</v>
      </c>
      <c r="AM36" t="str">
        <f t="shared" si="17"/>
        <v>36678Rho</v>
      </c>
      <c r="AN36" t="str">
        <f t="shared" si="18"/>
        <v>36678Drift</v>
      </c>
      <c r="AO36" t="str">
        <f t="shared" si="19"/>
        <v>36678Vega</v>
      </c>
      <c r="AP36" t="str">
        <f t="shared" si="20"/>
        <v>36678Theta</v>
      </c>
      <c r="AQ36" s="385">
        <f t="shared" si="21"/>
        <v>37438</v>
      </c>
      <c r="AR36" s="386">
        <f t="shared" si="5"/>
        <v>0</v>
      </c>
      <c r="AS36" s="239">
        <f t="shared" si="6"/>
        <v>0</v>
      </c>
      <c r="AT36" s="239">
        <f t="shared" si="7"/>
        <v>0</v>
      </c>
      <c r="AU36" s="239">
        <f t="shared" si="8"/>
        <v>0</v>
      </c>
      <c r="AV36" s="249">
        <f t="shared" si="9"/>
        <v>0</v>
      </c>
      <c r="AW36" s="240">
        <f t="shared" si="10"/>
        <v>0</v>
      </c>
      <c r="AZ36" s="41">
        <f t="shared" si="22"/>
        <v>37043</v>
      </c>
      <c r="BA36" s="44"/>
      <c r="BG36" s="441">
        <v>37377</v>
      </c>
      <c r="BH36">
        <v>0.98499999999999999</v>
      </c>
      <c r="BJ36" s="441">
        <v>37377</v>
      </c>
      <c r="BK36">
        <v>33</v>
      </c>
    </row>
    <row r="37" spans="1:63" ht="12" customHeight="1" x14ac:dyDescent="0.25">
      <c r="A37" s="382" t="s">
        <v>279</v>
      </c>
      <c r="B37" s="155" t="s">
        <v>250</v>
      </c>
      <c r="C37" s="155" t="s">
        <v>364</v>
      </c>
      <c r="D37" s="155" t="s">
        <v>190</v>
      </c>
      <c r="E37" s="4" t="s">
        <v>237</v>
      </c>
      <c r="F37" s="155" t="s">
        <v>20</v>
      </c>
      <c r="G37" s="155" t="s">
        <v>21</v>
      </c>
      <c r="H37" s="354">
        <v>36678</v>
      </c>
      <c r="I37" s="156">
        <v>-333333</v>
      </c>
      <c r="J37" s="7">
        <v>0.46</v>
      </c>
      <c r="K37" s="53">
        <f t="shared" si="11"/>
        <v>4.75</v>
      </c>
      <c r="L37" s="53">
        <f t="shared" si="12"/>
        <v>3.29</v>
      </c>
      <c r="M37" s="157">
        <v>1</v>
      </c>
      <c r="N37" s="4">
        <v>0.51500000000000001</v>
      </c>
      <c r="O37" s="4">
        <v>0.51500000000000001</v>
      </c>
      <c r="P37" s="9" t="e">
        <f t="shared" si="13"/>
        <v>#N/A</v>
      </c>
      <c r="Q37" s="5">
        <v>36682</v>
      </c>
      <c r="R37" s="4">
        <f t="shared" si="1"/>
        <v>1</v>
      </c>
      <c r="S37" s="158" t="e">
        <f>_xll.xSPRDOPT($K37,$L37,$J37,$M37,$N37,$O37,$P37,$Q37-$C$3,$R37,0)</f>
        <v>#N/A</v>
      </c>
      <c r="T37" s="159" t="e">
        <f>_xll.xSPRDOPT($K37,$L37,$J37,$M37,$N37,$O37,$P37,$Q37-$C$3,$R37,1)*I37</f>
        <v>#N/A</v>
      </c>
      <c r="U37" s="160">
        <v>0</v>
      </c>
      <c r="V37" s="159" t="e">
        <f>_xll.xSPRDOPT($K37,$L37,$J37,$M37,$N37,$O37,$P37,$Q37-$C$3,$R37,2)*I37</f>
        <v>#N/A</v>
      </c>
      <c r="W37" s="159" t="e">
        <f t="shared" si="2"/>
        <v>#N/A</v>
      </c>
      <c r="X37" s="51" t="str">
        <f t="shared" si="3"/>
        <v>36678IF-ELPO/SJ</v>
      </c>
      <c r="Y37" s="418">
        <f t="shared" si="4"/>
        <v>-33.333300000000001</v>
      </c>
      <c r="Z37" s="51"/>
      <c r="AA37" s="51"/>
      <c r="AB37" s="141">
        <f t="shared" si="14"/>
        <v>36678</v>
      </c>
      <c r="AC37" s="234">
        <v>0</v>
      </c>
      <c r="AD37" s="234">
        <v>0</v>
      </c>
      <c r="AE37" s="234">
        <v>0</v>
      </c>
      <c r="AF37" s="234">
        <v>0</v>
      </c>
      <c r="AG37" s="234">
        <v>0</v>
      </c>
      <c r="AH37" s="234">
        <v>0</v>
      </c>
      <c r="AI37" s="234">
        <v>0</v>
      </c>
      <c r="AJ37" s="235" t="e">
        <f t="shared" si="15"/>
        <v>#N/A</v>
      </c>
      <c r="AK37" s="234"/>
      <c r="AL37" t="str">
        <f t="shared" si="16"/>
        <v>36678Curve Shift/Gamma</v>
      </c>
      <c r="AM37" t="str">
        <f t="shared" si="17"/>
        <v>36678Rho</v>
      </c>
      <c r="AN37" t="str">
        <f t="shared" si="18"/>
        <v>36678Drift</v>
      </c>
      <c r="AO37" t="str">
        <f t="shared" si="19"/>
        <v>36678Vega</v>
      </c>
      <c r="AP37" t="str">
        <f t="shared" si="20"/>
        <v>36678Theta</v>
      </c>
      <c r="AQ37" s="385">
        <f t="shared" si="21"/>
        <v>37469</v>
      </c>
      <c r="AR37" s="386">
        <f t="shared" si="5"/>
        <v>0</v>
      </c>
      <c r="AS37" s="239">
        <f t="shared" si="6"/>
        <v>0</v>
      </c>
      <c r="AT37" s="239">
        <f t="shared" si="7"/>
        <v>0</v>
      </c>
      <c r="AU37" s="239">
        <f t="shared" si="8"/>
        <v>0</v>
      </c>
      <c r="AV37" s="249">
        <f t="shared" si="9"/>
        <v>0</v>
      </c>
      <c r="AW37" s="240">
        <f t="shared" si="10"/>
        <v>0</v>
      </c>
      <c r="AZ37" s="41">
        <f t="shared" si="22"/>
        <v>37073</v>
      </c>
      <c r="BA37" s="44"/>
      <c r="BG37" s="441">
        <v>37408</v>
      </c>
      <c r="BH37">
        <v>0.98499999999999999</v>
      </c>
      <c r="BJ37" s="441">
        <v>37408</v>
      </c>
      <c r="BK37">
        <v>34</v>
      </c>
    </row>
    <row r="38" spans="1:63" ht="12" customHeight="1" x14ac:dyDescent="0.25">
      <c r="A38" s="384" t="s">
        <v>268</v>
      </c>
      <c r="B38" s="155" t="s">
        <v>250</v>
      </c>
      <c r="C38" s="155" t="s">
        <v>387</v>
      </c>
      <c r="D38" s="155" t="s">
        <v>190</v>
      </c>
      <c r="E38" s="4" t="s">
        <v>237</v>
      </c>
      <c r="F38" s="155" t="s">
        <v>20</v>
      </c>
      <c r="G38" s="155" t="s">
        <v>21</v>
      </c>
      <c r="H38" s="354">
        <v>36678</v>
      </c>
      <c r="I38" s="156">
        <v>-10000</v>
      </c>
      <c r="J38" s="7">
        <v>0.46</v>
      </c>
      <c r="K38" s="53">
        <f t="shared" si="11"/>
        <v>4.75</v>
      </c>
      <c r="L38" s="53">
        <f t="shared" si="12"/>
        <v>3.29</v>
      </c>
      <c r="M38" s="157">
        <v>1</v>
      </c>
      <c r="N38" s="4">
        <v>0.51500000000000001</v>
      </c>
      <c r="O38" s="4">
        <v>0.51500000000000001</v>
      </c>
      <c r="P38" s="9" t="e">
        <f t="shared" si="13"/>
        <v>#N/A</v>
      </c>
      <c r="Q38" s="5">
        <v>36682</v>
      </c>
      <c r="R38" s="4">
        <f t="shared" ref="R38:R66" si="23">IF(G38="P",0,1)</f>
        <v>1</v>
      </c>
      <c r="S38" s="158" t="e">
        <f>_xll.xSPRDOPT($K38,$L38,$J38,$M38,$N38,$O38,$P38,$Q38-$C$3,$R38,0)</f>
        <v>#N/A</v>
      </c>
      <c r="T38" s="159" t="e">
        <f>_xll.xSPRDOPT($K38,$L38,$J38,$M38,$N38,$O38,$P38,$Q38-$C$3,$R38,1)*I38</f>
        <v>#N/A</v>
      </c>
      <c r="U38" s="160">
        <v>0</v>
      </c>
      <c r="V38" s="159" t="e">
        <f>_xll.xSPRDOPT($K38,$L38,$J38,$M38,$N38,$O38,$P38,$Q38-$C$3,$R38,2)*I38</f>
        <v>#N/A</v>
      </c>
      <c r="W38" s="159" t="e">
        <f t="shared" ref="W38:W66" si="24">+V38+T38</f>
        <v>#N/A</v>
      </c>
      <c r="X38" s="51" t="str">
        <f t="shared" ref="X38:X66" si="25">CONCATENATE(H38,E38)</f>
        <v>36678IF-ELPO/SJ</v>
      </c>
      <c r="Y38" s="418">
        <f t="shared" ref="Y38:Y66" si="26">I38/10000</f>
        <v>-1</v>
      </c>
      <c r="Z38" s="51"/>
      <c r="AA38" s="51"/>
      <c r="AB38" s="141">
        <f t="shared" si="14"/>
        <v>36678</v>
      </c>
      <c r="AC38" s="234">
        <v>0</v>
      </c>
      <c r="AD38" s="234">
        <v>0</v>
      </c>
      <c r="AE38" s="234">
        <v>0</v>
      </c>
      <c r="AF38" s="234">
        <v>0</v>
      </c>
      <c r="AG38" s="234">
        <v>0</v>
      </c>
      <c r="AH38" s="234">
        <v>0</v>
      </c>
      <c r="AI38" s="234">
        <v>0</v>
      </c>
      <c r="AJ38" s="235" t="e">
        <f t="shared" si="15"/>
        <v>#N/A</v>
      </c>
      <c r="AK38" s="234"/>
      <c r="AL38" t="str">
        <f t="shared" si="16"/>
        <v>36678Curve Shift/Gamma</v>
      </c>
      <c r="AM38" t="str">
        <f t="shared" si="17"/>
        <v>36678Rho</v>
      </c>
      <c r="AN38" t="str">
        <f t="shared" si="18"/>
        <v>36678Drift</v>
      </c>
      <c r="AO38" t="str">
        <f t="shared" si="19"/>
        <v>36678Vega</v>
      </c>
      <c r="AP38" t="str">
        <f t="shared" si="20"/>
        <v>36678Theta</v>
      </c>
      <c r="AQ38" s="385">
        <f t="shared" si="21"/>
        <v>37500</v>
      </c>
      <c r="AR38" s="386">
        <f t="shared" si="5"/>
        <v>0</v>
      </c>
      <c r="AS38" s="239">
        <f t="shared" si="6"/>
        <v>0</v>
      </c>
      <c r="AT38" s="239">
        <f t="shared" si="7"/>
        <v>0</v>
      </c>
      <c r="AU38" s="239">
        <f t="shared" si="8"/>
        <v>0</v>
      </c>
      <c r="AV38" s="249">
        <f t="shared" si="9"/>
        <v>0</v>
      </c>
      <c r="AW38" s="240">
        <f t="shared" si="10"/>
        <v>0</v>
      </c>
      <c r="AZ38" s="41">
        <f t="shared" si="22"/>
        <v>37104</v>
      </c>
      <c r="BA38" s="44"/>
      <c r="BG38" s="441">
        <v>37438</v>
      </c>
      <c r="BH38">
        <v>0.98499999999999999</v>
      </c>
      <c r="BJ38" s="441">
        <v>37438</v>
      </c>
      <c r="BK38">
        <v>35</v>
      </c>
    </row>
    <row r="39" spans="1:63" ht="12" customHeight="1" x14ac:dyDescent="0.25">
      <c r="A39" s="384" t="s">
        <v>279</v>
      </c>
      <c r="B39" s="155" t="s">
        <v>250</v>
      </c>
      <c r="C39" s="155" t="s">
        <v>388</v>
      </c>
      <c r="D39" s="155" t="s">
        <v>190</v>
      </c>
      <c r="E39" s="4" t="s">
        <v>237</v>
      </c>
      <c r="F39" s="155" t="s">
        <v>20</v>
      </c>
      <c r="G39" s="155" t="s">
        <v>21</v>
      </c>
      <c r="H39" s="354">
        <v>36678</v>
      </c>
      <c r="I39" s="156">
        <v>50000</v>
      </c>
      <c r="J39" s="7">
        <v>0.46</v>
      </c>
      <c r="K39" s="53">
        <f t="shared" si="11"/>
        <v>4.75</v>
      </c>
      <c r="L39" s="53">
        <f t="shared" si="12"/>
        <v>3.29</v>
      </c>
      <c r="M39" s="157">
        <v>1</v>
      </c>
      <c r="N39" s="4">
        <v>0.51500000000000001</v>
      </c>
      <c r="O39" s="4">
        <v>0.51500000000000001</v>
      </c>
      <c r="P39" s="9" t="e">
        <f t="shared" si="13"/>
        <v>#N/A</v>
      </c>
      <c r="Q39" s="5">
        <v>36682</v>
      </c>
      <c r="R39" s="4">
        <f t="shared" si="23"/>
        <v>1</v>
      </c>
      <c r="S39" s="158" t="e">
        <f>_xll.xSPRDOPT($K39,$L39,$J39,$M39,$N39,$O39,$P39,$Q39-$C$3,$R39,0)</f>
        <v>#N/A</v>
      </c>
      <c r="T39" s="159" t="e">
        <f>_xll.xSPRDOPT($K39,$L39,$J39,$M39,$N39,$O39,$P39,$Q39-$C$3,$R39,1)*I39</f>
        <v>#N/A</v>
      </c>
      <c r="U39" s="160">
        <v>0</v>
      </c>
      <c r="V39" s="159" t="e">
        <f>_xll.xSPRDOPT($K39,$L39,$J39,$M39,$N39,$O39,$P39,$Q39-$C$3,$R39,2)*I39</f>
        <v>#N/A</v>
      </c>
      <c r="W39" s="159" t="e">
        <f t="shared" si="24"/>
        <v>#N/A</v>
      </c>
      <c r="X39" s="51" t="str">
        <f t="shared" si="25"/>
        <v>36678IF-ELPO/SJ</v>
      </c>
      <c r="Y39" s="418">
        <f t="shared" si="26"/>
        <v>5</v>
      </c>
      <c r="Z39" s="51"/>
      <c r="AA39" s="51"/>
      <c r="AB39" s="141">
        <f t="shared" si="14"/>
        <v>36678</v>
      </c>
      <c r="AC39" s="234">
        <v>0</v>
      </c>
      <c r="AD39" s="234">
        <v>0</v>
      </c>
      <c r="AE39" s="234">
        <v>0</v>
      </c>
      <c r="AF39" s="234">
        <v>0</v>
      </c>
      <c r="AG39" s="234">
        <v>0</v>
      </c>
      <c r="AH39" s="234">
        <v>0</v>
      </c>
      <c r="AI39" s="234">
        <v>0</v>
      </c>
      <c r="AJ39" s="235" t="e">
        <f t="shared" si="15"/>
        <v>#N/A</v>
      </c>
      <c r="AK39" s="234"/>
      <c r="AL39" t="str">
        <f t="shared" si="16"/>
        <v>36678Curve Shift/Gamma</v>
      </c>
      <c r="AM39" t="str">
        <f t="shared" si="17"/>
        <v>36678Rho</v>
      </c>
      <c r="AN39" t="str">
        <f t="shared" si="18"/>
        <v>36678Drift</v>
      </c>
      <c r="AO39" t="str">
        <f t="shared" si="19"/>
        <v>36678Vega</v>
      </c>
      <c r="AP39" t="str">
        <f t="shared" si="20"/>
        <v>36678Theta</v>
      </c>
      <c r="AQ39" s="385">
        <f t="shared" si="21"/>
        <v>37530</v>
      </c>
      <c r="AR39" s="386">
        <f t="shared" si="5"/>
        <v>0</v>
      </c>
      <c r="AS39" s="239">
        <f t="shared" si="6"/>
        <v>0</v>
      </c>
      <c r="AT39" s="239">
        <f t="shared" si="7"/>
        <v>0</v>
      </c>
      <c r="AU39" s="239">
        <f t="shared" si="8"/>
        <v>0</v>
      </c>
      <c r="AV39" s="249">
        <f t="shared" si="9"/>
        <v>0</v>
      </c>
      <c r="AW39" s="240">
        <f t="shared" si="10"/>
        <v>0</v>
      </c>
      <c r="AZ39" s="41">
        <f t="shared" si="22"/>
        <v>37135</v>
      </c>
      <c r="BA39" s="44"/>
      <c r="BG39" s="441">
        <v>37469</v>
      </c>
      <c r="BH39">
        <v>0.98499999999999999</v>
      </c>
      <c r="BJ39" s="441">
        <v>37469</v>
      </c>
      <c r="BK39">
        <v>36</v>
      </c>
    </row>
    <row r="40" spans="1:63" ht="12" customHeight="1" x14ac:dyDescent="0.25">
      <c r="A40" s="384" t="s">
        <v>279</v>
      </c>
      <c r="B40" s="155" t="s">
        <v>250</v>
      </c>
      <c r="C40" s="155" t="s">
        <v>389</v>
      </c>
      <c r="D40" s="155" t="s">
        <v>190</v>
      </c>
      <c r="E40" s="4" t="s">
        <v>237</v>
      </c>
      <c r="F40" s="155" t="s">
        <v>20</v>
      </c>
      <c r="G40" s="155" t="s">
        <v>21</v>
      </c>
      <c r="H40" s="354">
        <v>36678</v>
      </c>
      <c r="I40" s="156">
        <v>50000</v>
      </c>
      <c r="J40" s="7">
        <v>0.46</v>
      </c>
      <c r="K40" s="53">
        <f t="shared" si="11"/>
        <v>4.75</v>
      </c>
      <c r="L40" s="53">
        <f t="shared" si="12"/>
        <v>3.29</v>
      </c>
      <c r="M40" s="157">
        <v>1</v>
      </c>
      <c r="N40" s="4">
        <v>0.51500000000000001</v>
      </c>
      <c r="O40" s="4">
        <v>0.51500000000000001</v>
      </c>
      <c r="P40" s="9" t="e">
        <f t="shared" si="13"/>
        <v>#N/A</v>
      </c>
      <c r="Q40" s="5">
        <v>36682</v>
      </c>
      <c r="R40" s="4">
        <f t="shared" si="23"/>
        <v>1</v>
      </c>
      <c r="S40" s="158" t="e">
        <f>_xll.xSPRDOPT($K40,$L40,$J40,$M40,$N40,$O40,$P40,$Q40-$C$3,$R40,0)</f>
        <v>#N/A</v>
      </c>
      <c r="T40" s="159" t="e">
        <f>_xll.xSPRDOPT($K40,$L40,$J40,$M40,$N40,$O40,$P40,$Q40-$C$3,$R40,1)*I40</f>
        <v>#N/A</v>
      </c>
      <c r="U40" s="160">
        <v>0</v>
      </c>
      <c r="V40" s="159" t="e">
        <f>_xll.xSPRDOPT($K40,$L40,$J40,$M40,$N40,$O40,$P40,$Q40-$C$3,$R40,2)*I40</f>
        <v>#N/A</v>
      </c>
      <c r="W40" s="159" t="e">
        <f t="shared" si="24"/>
        <v>#N/A</v>
      </c>
      <c r="X40" s="51" t="str">
        <f t="shared" si="25"/>
        <v>36678IF-ELPO/SJ</v>
      </c>
      <c r="Y40" s="418">
        <f t="shared" si="26"/>
        <v>5</v>
      </c>
      <c r="AA40" s="51"/>
      <c r="AB40" s="141">
        <f t="shared" si="14"/>
        <v>36678</v>
      </c>
      <c r="AC40" s="234">
        <v>0</v>
      </c>
      <c r="AD40" s="234">
        <v>0</v>
      </c>
      <c r="AE40" s="234">
        <v>0</v>
      </c>
      <c r="AF40" s="234">
        <v>0</v>
      </c>
      <c r="AG40" s="234">
        <v>0</v>
      </c>
      <c r="AH40" s="234">
        <v>0</v>
      </c>
      <c r="AI40" s="234">
        <v>0</v>
      </c>
      <c r="AJ40" s="235" t="e">
        <f t="shared" si="15"/>
        <v>#N/A</v>
      </c>
      <c r="AK40" s="234"/>
      <c r="AL40" t="str">
        <f t="shared" si="16"/>
        <v>36678Curve Shift/Gamma</v>
      </c>
      <c r="AM40" t="str">
        <f t="shared" si="17"/>
        <v>36678Rho</v>
      </c>
      <c r="AN40" t="str">
        <f t="shared" si="18"/>
        <v>36678Drift</v>
      </c>
      <c r="AO40" t="str">
        <f t="shared" si="19"/>
        <v>36678Vega</v>
      </c>
      <c r="AP40" t="str">
        <f t="shared" si="20"/>
        <v>36678Theta</v>
      </c>
      <c r="AQ40" s="385">
        <f t="shared" si="21"/>
        <v>37561</v>
      </c>
      <c r="AR40" s="386">
        <f t="shared" si="5"/>
        <v>0</v>
      </c>
      <c r="AS40" s="239">
        <f t="shared" si="6"/>
        <v>0</v>
      </c>
      <c r="AT40" s="239">
        <f t="shared" si="7"/>
        <v>0</v>
      </c>
      <c r="AU40" s="239">
        <f t="shared" si="8"/>
        <v>0</v>
      </c>
      <c r="AV40" s="249">
        <f t="shared" si="9"/>
        <v>0</v>
      </c>
      <c r="AW40" s="240">
        <f t="shared" si="10"/>
        <v>0</v>
      </c>
      <c r="AZ40" s="41">
        <f t="shared" si="22"/>
        <v>37165</v>
      </c>
      <c r="BA40" s="44"/>
      <c r="BG40" s="441">
        <v>37500</v>
      </c>
      <c r="BH40">
        <v>0.98499999999999999</v>
      </c>
      <c r="BJ40" s="441">
        <v>37500</v>
      </c>
      <c r="BK40">
        <v>37</v>
      </c>
    </row>
    <row r="41" spans="1:63" ht="12" customHeight="1" x14ac:dyDescent="0.25">
      <c r="A41" s="384" t="s">
        <v>279</v>
      </c>
      <c r="B41" s="155" t="s">
        <v>250</v>
      </c>
      <c r="C41" s="155" t="s">
        <v>398</v>
      </c>
      <c r="D41" s="155" t="s">
        <v>190</v>
      </c>
      <c r="E41" s="4" t="s">
        <v>237</v>
      </c>
      <c r="F41" s="155" t="s">
        <v>20</v>
      </c>
      <c r="G41" s="155" t="s">
        <v>21</v>
      </c>
      <c r="H41" s="354">
        <v>36678</v>
      </c>
      <c r="I41" s="156">
        <v>-10000</v>
      </c>
      <c r="J41" s="7">
        <v>0.46</v>
      </c>
      <c r="K41" s="53">
        <f t="shared" si="11"/>
        <v>4.75</v>
      </c>
      <c r="L41" s="53">
        <f t="shared" si="12"/>
        <v>3.29</v>
      </c>
      <c r="M41" s="157">
        <v>1</v>
      </c>
      <c r="N41" s="4">
        <v>0.51500000000000001</v>
      </c>
      <c r="O41" s="4">
        <v>0.51500000000000001</v>
      </c>
      <c r="P41" s="9" t="e">
        <f t="shared" si="13"/>
        <v>#N/A</v>
      </c>
      <c r="Q41" s="5">
        <v>36682</v>
      </c>
      <c r="R41" s="4">
        <f t="shared" si="23"/>
        <v>1</v>
      </c>
      <c r="S41" s="158" t="e">
        <f>_xll.xSPRDOPT($K41,$L41,$J41,$M41,$N41,$O41,$P41,$Q41-$C$3,$R41,0)</f>
        <v>#N/A</v>
      </c>
      <c r="T41" s="159" t="e">
        <f>_xll.xSPRDOPT($K41,$L41,$J41,$M41,$N41,$O41,$P41,$Q41-$C$3,$R41,1)*I41</f>
        <v>#N/A</v>
      </c>
      <c r="U41" s="160">
        <v>0</v>
      </c>
      <c r="V41" s="159" t="e">
        <f>_xll.xSPRDOPT($K41,$L41,$J41,$M41,$N41,$O41,$P41,$Q41-$C$3,$R41,2)*I41</f>
        <v>#N/A</v>
      </c>
      <c r="W41" s="159" t="e">
        <f t="shared" si="24"/>
        <v>#N/A</v>
      </c>
      <c r="X41" s="51" t="str">
        <f t="shared" si="25"/>
        <v>36678IF-ELPO/SJ</v>
      </c>
      <c r="Y41" s="418">
        <f t="shared" si="26"/>
        <v>-1</v>
      </c>
      <c r="AA41" s="51"/>
      <c r="AB41" s="141">
        <f t="shared" si="14"/>
        <v>36678</v>
      </c>
      <c r="AC41" s="234">
        <v>0</v>
      </c>
      <c r="AD41" s="234">
        <v>0</v>
      </c>
      <c r="AE41" s="234">
        <v>0</v>
      </c>
      <c r="AF41" s="234">
        <v>0</v>
      </c>
      <c r="AG41" s="234">
        <v>0</v>
      </c>
      <c r="AH41" s="234">
        <v>0</v>
      </c>
      <c r="AI41" s="234">
        <v>0</v>
      </c>
      <c r="AJ41" s="235" t="e">
        <f t="shared" si="15"/>
        <v>#N/A</v>
      </c>
      <c r="AK41" s="234"/>
      <c r="AL41" t="str">
        <f t="shared" si="16"/>
        <v>36678Curve Shift/Gamma</v>
      </c>
      <c r="AM41" t="str">
        <f t="shared" si="17"/>
        <v>36678Rho</v>
      </c>
      <c r="AN41" t="str">
        <f t="shared" si="18"/>
        <v>36678Drift</v>
      </c>
      <c r="AO41" t="str">
        <f t="shared" si="19"/>
        <v>36678Vega</v>
      </c>
      <c r="AP41" t="str">
        <f t="shared" si="20"/>
        <v>36678Theta</v>
      </c>
      <c r="AQ41" s="385">
        <f t="shared" si="21"/>
        <v>37591</v>
      </c>
      <c r="AR41" s="386">
        <f t="shared" si="5"/>
        <v>0</v>
      </c>
      <c r="AS41" s="239">
        <f t="shared" si="6"/>
        <v>0</v>
      </c>
      <c r="AT41" s="239">
        <f t="shared" si="7"/>
        <v>0</v>
      </c>
      <c r="AU41" s="239">
        <f t="shared" si="8"/>
        <v>0</v>
      </c>
      <c r="AV41" s="249">
        <f t="shared" si="9"/>
        <v>0</v>
      </c>
      <c r="AW41" s="240">
        <f t="shared" si="10"/>
        <v>0</v>
      </c>
      <c r="AZ41" s="41">
        <f t="shared" ref="AZ41:AZ72" si="27">EOMONTH(AZ40,0)+1</f>
        <v>37196</v>
      </c>
      <c r="BA41" s="44"/>
      <c r="BG41" s="441">
        <v>37530</v>
      </c>
      <c r="BH41">
        <v>0.98499999999999999</v>
      </c>
      <c r="BJ41" s="441">
        <v>37530</v>
      </c>
      <c r="BK41">
        <v>38</v>
      </c>
    </row>
    <row r="42" spans="1:63" ht="12" customHeight="1" x14ac:dyDescent="0.25">
      <c r="A42" s="382" t="s">
        <v>279</v>
      </c>
      <c r="B42" s="155" t="s">
        <v>250</v>
      </c>
      <c r="C42" s="155" t="s">
        <v>360</v>
      </c>
      <c r="D42" s="155" t="s">
        <v>190</v>
      </c>
      <c r="E42" s="4" t="s">
        <v>237</v>
      </c>
      <c r="F42" s="155" t="s">
        <v>20</v>
      </c>
      <c r="G42" s="155" t="s">
        <v>21</v>
      </c>
      <c r="H42" s="354">
        <v>36678</v>
      </c>
      <c r="I42" s="156">
        <v>-50000</v>
      </c>
      <c r="J42" s="7">
        <v>0.46</v>
      </c>
      <c r="K42" s="53">
        <f t="shared" si="11"/>
        <v>4.75</v>
      </c>
      <c r="L42" s="53">
        <f t="shared" si="12"/>
        <v>3.29</v>
      </c>
      <c r="M42" s="157">
        <v>1</v>
      </c>
      <c r="N42" s="4">
        <v>0.51500000000000001</v>
      </c>
      <c r="O42" s="4">
        <v>0.51500000000000001</v>
      </c>
      <c r="P42" s="9" t="e">
        <f t="shared" si="13"/>
        <v>#N/A</v>
      </c>
      <c r="Q42" s="5">
        <v>36683</v>
      </c>
      <c r="R42" s="4">
        <f t="shared" si="23"/>
        <v>1</v>
      </c>
      <c r="S42" s="158" t="e">
        <f>_xll.xSPRDOPT($K42,$L42,$J42,$M42,$N42,$O42,$P42,$Q42-$C$3,$R42,0)</f>
        <v>#N/A</v>
      </c>
      <c r="T42" s="159" t="e">
        <f>_xll.xSPRDOPT($K42,$L42,$J42,$M42,$N42,$O42,$P42,$Q42-$C$3,$R42,1)*I42</f>
        <v>#N/A</v>
      </c>
      <c r="U42" s="160">
        <v>-1250</v>
      </c>
      <c r="V42" s="159" t="e">
        <f>_xll.xSPRDOPT($K42,$L42,$J42,$M42,$N42,$O42,$P42,$Q42-$C$3,$R42,2)*I42</f>
        <v>#N/A</v>
      </c>
      <c r="W42" s="159" t="e">
        <f t="shared" si="24"/>
        <v>#N/A</v>
      </c>
      <c r="X42" s="51" t="str">
        <f t="shared" si="25"/>
        <v>36678IF-ELPO/SJ</v>
      </c>
      <c r="Y42" s="418">
        <f t="shared" si="26"/>
        <v>-5</v>
      </c>
      <c r="AA42" s="51"/>
      <c r="AB42" s="141">
        <f t="shared" si="14"/>
        <v>36678</v>
      </c>
      <c r="AC42" s="234">
        <v>0</v>
      </c>
      <c r="AD42" s="234">
        <v>0</v>
      </c>
      <c r="AE42" s="234">
        <v>0</v>
      </c>
      <c r="AF42" s="234">
        <v>0</v>
      </c>
      <c r="AG42" s="234">
        <v>0</v>
      </c>
      <c r="AH42" s="234">
        <v>0</v>
      </c>
      <c r="AI42" s="160">
        <v>-1250</v>
      </c>
      <c r="AJ42" s="235" t="e">
        <f t="shared" si="15"/>
        <v>#N/A</v>
      </c>
      <c r="AK42" s="234"/>
      <c r="AL42" t="str">
        <f t="shared" si="16"/>
        <v>36678Curve Shift/Gamma</v>
      </c>
      <c r="AM42" t="str">
        <f t="shared" si="17"/>
        <v>36678Rho</v>
      </c>
      <c r="AN42" t="str">
        <f t="shared" si="18"/>
        <v>36678Drift</v>
      </c>
      <c r="AO42" t="str">
        <f t="shared" si="19"/>
        <v>36678Vega</v>
      </c>
      <c r="AP42" t="str">
        <f t="shared" si="20"/>
        <v>36678Theta</v>
      </c>
      <c r="AQ42" s="385">
        <f t="shared" si="21"/>
        <v>37622</v>
      </c>
      <c r="AR42" s="386">
        <f t="shared" si="5"/>
        <v>0</v>
      </c>
      <c r="AS42" s="239">
        <f t="shared" si="6"/>
        <v>0</v>
      </c>
      <c r="AT42" s="239">
        <f t="shared" si="7"/>
        <v>0</v>
      </c>
      <c r="AU42" s="239">
        <f t="shared" si="8"/>
        <v>0</v>
      </c>
      <c r="AV42" s="249">
        <f t="shared" si="9"/>
        <v>0</v>
      </c>
      <c r="AW42" s="240">
        <f t="shared" si="10"/>
        <v>0</v>
      </c>
      <c r="AZ42" s="41">
        <f t="shared" si="27"/>
        <v>37226</v>
      </c>
      <c r="BA42" s="44"/>
      <c r="BG42" s="441">
        <v>37561</v>
      </c>
      <c r="BH42">
        <v>0.97048500000000038</v>
      </c>
      <c r="BJ42" s="441">
        <v>37561</v>
      </c>
      <c r="BK42">
        <v>39</v>
      </c>
    </row>
    <row r="43" spans="1:63" ht="12" customHeight="1" x14ac:dyDescent="0.25">
      <c r="A43" s="382" t="s">
        <v>279</v>
      </c>
      <c r="B43" s="155" t="s">
        <v>250</v>
      </c>
      <c r="C43" s="155" t="s">
        <v>361</v>
      </c>
      <c r="D43" s="155" t="s">
        <v>190</v>
      </c>
      <c r="E43" s="4" t="s">
        <v>237</v>
      </c>
      <c r="F43" s="155" t="s">
        <v>20</v>
      </c>
      <c r="G43" s="155" t="s">
        <v>21</v>
      </c>
      <c r="H43" s="354">
        <v>36678</v>
      </c>
      <c r="I43" s="156">
        <v>10000</v>
      </c>
      <c r="J43" s="7">
        <v>0.46</v>
      </c>
      <c r="K43" s="53">
        <f t="shared" si="11"/>
        <v>4.75</v>
      </c>
      <c r="L43" s="53">
        <f t="shared" si="12"/>
        <v>3.29</v>
      </c>
      <c r="M43" s="157">
        <v>1</v>
      </c>
      <c r="N43" s="4">
        <v>0.51500000000000001</v>
      </c>
      <c r="O43" s="4">
        <v>0.51500000000000001</v>
      </c>
      <c r="P43" s="9" t="e">
        <f t="shared" si="13"/>
        <v>#N/A</v>
      </c>
      <c r="Q43" s="5">
        <v>36683</v>
      </c>
      <c r="R43" s="4">
        <f t="shared" si="23"/>
        <v>1</v>
      </c>
      <c r="S43" s="158" t="e">
        <f>_xll.xSPRDOPT($K43,$L43,$J43,$M43,$N43,$O43,$P43,$Q43-$C$3,$R43,0)</f>
        <v>#N/A</v>
      </c>
      <c r="T43" s="159" t="e">
        <f>_xll.xSPRDOPT($K43,$L43,$J43,$M43,$N43,$O43,$P43,$Q43-$C$3,$R43,1)*I43</f>
        <v>#N/A</v>
      </c>
      <c r="U43" s="160">
        <v>250</v>
      </c>
      <c r="V43" s="159" t="e">
        <f>_xll.xSPRDOPT($K43,$L43,$J43,$M43,$N43,$O43,$P43,$Q43-$C$3,$R43,2)*I43</f>
        <v>#N/A</v>
      </c>
      <c r="W43" s="159" t="e">
        <f t="shared" si="24"/>
        <v>#N/A</v>
      </c>
      <c r="X43" s="51" t="str">
        <f t="shared" si="25"/>
        <v>36678IF-ELPO/SJ</v>
      </c>
      <c r="Y43" s="418">
        <f t="shared" si="26"/>
        <v>1</v>
      </c>
      <c r="AA43" s="51"/>
      <c r="AB43" s="141">
        <f t="shared" si="14"/>
        <v>36678</v>
      </c>
      <c r="AC43" s="234">
        <v>0</v>
      </c>
      <c r="AD43" s="234">
        <v>0</v>
      </c>
      <c r="AE43" s="234">
        <v>0</v>
      </c>
      <c r="AF43" s="234">
        <v>0</v>
      </c>
      <c r="AG43" s="234">
        <v>0</v>
      </c>
      <c r="AH43" s="234">
        <v>0</v>
      </c>
      <c r="AI43" s="160">
        <v>250</v>
      </c>
      <c r="AJ43" s="235" t="e">
        <f t="shared" si="15"/>
        <v>#N/A</v>
      </c>
      <c r="AK43" s="234"/>
      <c r="AL43" t="str">
        <f t="shared" si="16"/>
        <v>36678Curve Shift/Gamma</v>
      </c>
      <c r="AM43" t="str">
        <f t="shared" si="17"/>
        <v>36678Rho</v>
      </c>
      <c r="AN43" t="str">
        <f t="shared" si="18"/>
        <v>36678Drift</v>
      </c>
      <c r="AO43" t="str">
        <f t="shared" si="19"/>
        <v>36678Vega</v>
      </c>
      <c r="AP43" t="str">
        <f t="shared" si="20"/>
        <v>36678Theta</v>
      </c>
      <c r="AQ43" s="385">
        <f t="shared" si="21"/>
        <v>37653</v>
      </c>
      <c r="AR43" s="386">
        <f t="shared" si="5"/>
        <v>0</v>
      </c>
      <c r="AS43" s="239">
        <f t="shared" si="6"/>
        <v>0</v>
      </c>
      <c r="AT43" s="239">
        <f t="shared" si="7"/>
        <v>0</v>
      </c>
      <c r="AU43" s="239">
        <f t="shared" si="8"/>
        <v>0</v>
      </c>
      <c r="AV43" s="249">
        <f t="shared" si="9"/>
        <v>0</v>
      </c>
      <c r="AW43" s="240">
        <f t="shared" si="10"/>
        <v>0</v>
      </c>
      <c r="AZ43" s="41">
        <f t="shared" si="27"/>
        <v>37257</v>
      </c>
      <c r="BA43" s="44"/>
      <c r="BG43" s="441">
        <v>37591</v>
      </c>
      <c r="BH43">
        <v>0.97048500000000038</v>
      </c>
      <c r="BJ43" s="441">
        <v>37591</v>
      </c>
      <c r="BK43">
        <v>40</v>
      </c>
    </row>
    <row r="44" spans="1:63" ht="12" customHeight="1" x14ac:dyDescent="0.25">
      <c r="A44" s="382" t="s">
        <v>279</v>
      </c>
      <c r="B44" s="155" t="s">
        <v>250</v>
      </c>
      <c r="C44" s="155" t="s">
        <v>364</v>
      </c>
      <c r="D44" s="155" t="s">
        <v>190</v>
      </c>
      <c r="E44" s="4" t="s">
        <v>237</v>
      </c>
      <c r="F44" s="155" t="s">
        <v>20</v>
      </c>
      <c r="G44" s="155" t="s">
        <v>21</v>
      </c>
      <c r="H44" s="354">
        <v>36678</v>
      </c>
      <c r="I44" s="156">
        <v>-333333</v>
      </c>
      <c r="J44" s="7">
        <v>0.46</v>
      </c>
      <c r="K44" s="53">
        <f t="shared" si="11"/>
        <v>4.75</v>
      </c>
      <c r="L44" s="53">
        <f t="shared" si="12"/>
        <v>3.29</v>
      </c>
      <c r="M44" s="157">
        <v>1</v>
      </c>
      <c r="N44" s="4">
        <v>0.51500000000000001</v>
      </c>
      <c r="O44" s="4">
        <v>0.51500000000000001</v>
      </c>
      <c r="P44" s="9" t="e">
        <f t="shared" si="13"/>
        <v>#N/A</v>
      </c>
      <c r="Q44" s="5">
        <v>36683</v>
      </c>
      <c r="R44" s="4">
        <f t="shared" si="23"/>
        <v>1</v>
      </c>
      <c r="S44" s="158" t="e">
        <f>_xll.xSPRDOPT($K44,$L44,$J44,$M44,$N44,$O44,$P44,$Q44-$C$3,$R44,0)</f>
        <v>#N/A</v>
      </c>
      <c r="T44" s="159" t="e">
        <f>_xll.xSPRDOPT($K44,$L44,$J44,$M44,$N44,$O44,$P44,$Q44-$C$3,$R44,1)*I44</f>
        <v>#N/A</v>
      </c>
      <c r="U44" s="160">
        <v>-8333.33</v>
      </c>
      <c r="V44" s="159" t="e">
        <f>_xll.xSPRDOPT($K44,$L44,$J44,$M44,$N44,$O44,$P44,$Q44-$C$3,$R44,2)*I44</f>
        <v>#N/A</v>
      </c>
      <c r="W44" s="159" t="e">
        <f t="shared" si="24"/>
        <v>#N/A</v>
      </c>
      <c r="X44" s="51" t="str">
        <f t="shared" si="25"/>
        <v>36678IF-ELPO/SJ</v>
      </c>
      <c r="Y44" s="418">
        <f t="shared" si="26"/>
        <v>-33.333300000000001</v>
      </c>
      <c r="AA44" s="51"/>
      <c r="AB44" s="141">
        <f t="shared" si="14"/>
        <v>36678</v>
      </c>
      <c r="AC44" s="234">
        <v>0</v>
      </c>
      <c r="AD44" s="234">
        <v>0</v>
      </c>
      <c r="AE44" s="234">
        <v>0</v>
      </c>
      <c r="AF44" s="234">
        <v>0</v>
      </c>
      <c r="AG44" s="234">
        <v>0</v>
      </c>
      <c r="AH44" s="234">
        <v>0</v>
      </c>
      <c r="AI44" s="160">
        <v>-8333.33</v>
      </c>
      <c r="AJ44" s="235" t="e">
        <f t="shared" si="15"/>
        <v>#N/A</v>
      </c>
      <c r="AK44" s="234"/>
      <c r="AL44" t="str">
        <f t="shared" si="16"/>
        <v>36678Curve Shift/Gamma</v>
      </c>
      <c r="AM44" t="str">
        <f t="shared" si="17"/>
        <v>36678Rho</v>
      </c>
      <c r="AN44" t="str">
        <f t="shared" si="18"/>
        <v>36678Drift</v>
      </c>
      <c r="AO44" t="str">
        <f t="shared" si="19"/>
        <v>36678Vega</v>
      </c>
      <c r="AP44" t="str">
        <f t="shared" si="20"/>
        <v>36678Theta</v>
      </c>
      <c r="AQ44" s="385">
        <f t="shared" si="21"/>
        <v>37681</v>
      </c>
      <c r="AR44" s="386">
        <f t="shared" si="5"/>
        <v>0</v>
      </c>
      <c r="AS44" s="239">
        <f t="shared" si="6"/>
        <v>0</v>
      </c>
      <c r="AT44" s="239">
        <f t="shared" si="7"/>
        <v>0</v>
      </c>
      <c r="AU44" s="239">
        <f t="shared" si="8"/>
        <v>0</v>
      </c>
      <c r="AV44" s="249">
        <f t="shared" si="9"/>
        <v>0</v>
      </c>
      <c r="AW44" s="240">
        <f t="shared" si="10"/>
        <v>0</v>
      </c>
      <c r="AZ44" s="41">
        <f t="shared" si="27"/>
        <v>37288</v>
      </c>
      <c r="BA44" s="44"/>
      <c r="BG44" s="441">
        <v>37622</v>
      </c>
      <c r="BH44">
        <v>0.98499999999999999</v>
      </c>
      <c r="BJ44" s="441">
        <v>37622</v>
      </c>
      <c r="BK44">
        <v>41</v>
      </c>
    </row>
    <row r="45" spans="1:63" ht="12" customHeight="1" x14ac:dyDescent="0.25">
      <c r="A45" s="384" t="s">
        <v>268</v>
      </c>
      <c r="B45" s="155" t="s">
        <v>250</v>
      </c>
      <c r="C45" s="155" t="s">
        <v>387</v>
      </c>
      <c r="D45" s="155" t="s">
        <v>190</v>
      </c>
      <c r="E45" s="4" t="s">
        <v>237</v>
      </c>
      <c r="F45" s="155" t="s">
        <v>20</v>
      </c>
      <c r="G45" s="155" t="s">
        <v>21</v>
      </c>
      <c r="H45" s="354">
        <v>36678</v>
      </c>
      <c r="I45" s="156">
        <v>-10000</v>
      </c>
      <c r="J45" s="7">
        <v>0.46</v>
      </c>
      <c r="K45" s="53">
        <f t="shared" si="11"/>
        <v>4.75</v>
      </c>
      <c r="L45" s="53">
        <f t="shared" si="12"/>
        <v>3.29</v>
      </c>
      <c r="M45" s="157">
        <v>1</v>
      </c>
      <c r="N45" s="4">
        <v>0.51500000000000001</v>
      </c>
      <c r="O45" s="4">
        <v>0.51500000000000001</v>
      </c>
      <c r="P45" s="9" t="e">
        <f t="shared" si="13"/>
        <v>#N/A</v>
      </c>
      <c r="Q45" s="5">
        <v>36683</v>
      </c>
      <c r="R45" s="4">
        <f t="shared" si="23"/>
        <v>1</v>
      </c>
      <c r="S45" s="158" t="e">
        <f>_xll.xSPRDOPT($K45,$L45,$J45,$M45,$N45,$O45,$P45,$Q45-$C$3,$R45,0)</f>
        <v>#N/A</v>
      </c>
      <c r="T45" s="159" t="e">
        <f>_xll.xSPRDOPT($K45,$L45,$J45,$M45,$N45,$O45,$P45,$Q45-$C$3,$R45,1)*I45</f>
        <v>#N/A</v>
      </c>
      <c r="U45" s="160">
        <v>-250</v>
      </c>
      <c r="V45" s="159" t="e">
        <f>_xll.xSPRDOPT($K45,$L45,$J45,$M45,$N45,$O45,$P45,$Q45-$C$3,$R45,2)*I45</f>
        <v>#N/A</v>
      </c>
      <c r="W45" s="159" t="e">
        <f t="shared" si="24"/>
        <v>#N/A</v>
      </c>
      <c r="X45" s="51" t="str">
        <f t="shared" si="25"/>
        <v>36678IF-ELPO/SJ</v>
      </c>
      <c r="Y45" s="418">
        <f t="shared" si="26"/>
        <v>-1</v>
      </c>
      <c r="AA45" s="51"/>
      <c r="AB45" s="141">
        <f t="shared" si="14"/>
        <v>36678</v>
      </c>
      <c r="AC45" s="234">
        <v>0</v>
      </c>
      <c r="AD45" s="234">
        <v>0</v>
      </c>
      <c r="AE45" s="234">
        <v>0</v>
      </c>
      <c r="AF45" s="234">
        <v>0</v>
      </c>
      <c r="AG45" s="234">
        <v>0</v>
      </c>
      <c r="AH45" s="234">
        <v>0</v>
      </c>
      <c r="AI45" s="160">
        <v>-250</v>
      </c>
      <c r="AJ45" s="235" t="e">
        <f t="shared" si="15"/>
        <v>#N/A</v>
      </c>
      <c r="AK45" s="234"/>
      <c r="AL45" t="str">
        <f t="shared" si="16"/>
        <v>36678Curve Shift/Gamma</v>
      </c>
      <c r="AM45" t="str">
        <f t="shared" si="17"/>
        <v>36678Rho</v>
      </c>
      <c r="AN45" t="str">
        <f t="shared" si="18"/>
        <v>36678Drift</v>
      </c>
      <c r="AO45" t="str">
        <f t="shared" si="19"/>
        <v>36678Vega</v>
      </c>
      <c r="AP45" t="str">
        <f t="shared" si="20"/>
        <v>36678Theta</v>
      </c>
      <c r="AQ45" s="385">
        <f t="shared" si="21"/>
        <v>37712</v>
      </c>
      <c r="AR45" s="386">
        <f t="shared" si="5"/>
        <v>0</v>
      </c>
      <c r="AS45" s="239">
        <f t="shared" si="6"/>
        <v>0</v>
      </c>
      <c r="AT45" s="239">
        <f t="shared" si="7"/>
        <v>0</v>
      </c>
      <c r="AU45" s="239">
        <f t="shared" si="8"/>
        <v>0</v>
      </c>
      <c r="AV45" s="249">
        <f t="shared" si="9"/>
        <v>0</v>
      </c>
      <c r="AW45" s="240">
        <f t="shared" si="10"/>
        <v>0</v>
      </c>
      <c r="AZ45" s="41">
        <f t="shared" si="27"/>
        <v>37316</v>
      </c>
      <c r="BA45" s="44"/>
      <c r="BG45" s="441">
        <v>37653</v>
      </c>
      <c r="BH45">
        <v>0.98499999999999999</v>
      </c>
      <c r="BJ45" s="441">
        <v>37653</v>
      </c>
      <c r="BK45">
        <v>42</v>
      </c>
    </row>
    <row r="46" spans="1:63" ht="12" customHeight="1" x14ac:dyDescent="0.25">
      <c r="A46" s="384" t="s">
        <v>279</v>
      </c>
      <c r="B46" s="155" t="s">
        <v>250</v>
      </c>
      <c r="C46" s="155" t="s">
        <v>388</v>
      </c>
      <c r="D46" s="155" t="s">
        <v>190</v>
      </c>
      <c r="E46" s="4" t="s">
        <v>237</v>
      </c>
      <c r="F46" s="155" t="s">
        <v>20</v>
      </c>
      <c r="G46" s="155" t="s">
        <v>21</v>
      </c>
      <c r="H46" s="354">
        <v>36678</v>
      </c>
      <c r="I46" s="156">
        <v>50000</v>
      </c>
      <c r="J46" s="7">
        <v>0.46</v>
      </c>
      <c r="K46" s="53">
        <f t="shared" si="11"/>
        <v>4.75</v>
      </c>
      <c r="L46" s="53">
        <f t="shared" si="12"/>
        <v>3.29</v>
      </c>
      <c r="M46" s="157">
        <v>1</v>
      </c>
      <c r="N46" s="4">
        <v>0.51500000000000001</v>
      </c>
      <c r="O46" s="4">
        <v>0.51500000000000001</v>
      </c>
      <c r="P46" s="9" t="e">
        <f t="shared" si="13"/>
        <v>#N/A</v>
      </c>
      <c r="Q46" s="5">
        <v>36683</v>
      </c>
      <c r="R46" s="4">
        <f t="shared" si="23"/>
        <v>1</v>
      </c>
      <c r="S46" s="158" t="e">
        <f>_xll.xSPRDOPT($K46,$L46,$J46,$M46,$N46,$O46,$P46,$Q46-$C$3,$R46,0)</f>
        <v>#N/A</v>
      </c>
      <c r="T46" s="159" t="e">
        <f>_xll.xSPRDOPT($K46,$L46,$J46,$M46,$N46,$O46,$P46,$Q46-$C$3,$R46,1)*I46</f>
        <v>#N/A</v>
      </c>
      <c r="U46" s="160">
        <v>1250</v>
      </c>
      <c r="V46" s="159" t="e">
        <f>_xll.xSPRDOPT($K46,$L46,$J46,$M46,$N46,$O46,$P46,$Q46-$C$3,$R46,2)*I46</f>
        <v>#N/A</v>
      </c>
      <c r="W46" s="159" t="e">
        <f t="shared" si="24"/>
        <v>#N/A</v>
      </c>
      <c r="X46" s="51" t="str">
        <f t="shared" si="25"/>
        <v>36678IF-ELPO/SJ</v>
      </c>
      <c r="Y46" s="418">
        <f t="shared" si="26"/>
        <v>5</v>
      </c>
      <c r="Z46" s="51"/>
      <c r="AA46" s="51"/>
      <c r="AB46" s="141">
        <f t="shared" si="14"/>
        <v>36678</v>
      </c>
      <c r="AC46" s="234">
        <v>0</v>
      </c>
      <c r="AD46" s="234">
        <v>0</v>
      </c>
      <c r="AE46" s="234">
        <v>0</v>
      </c>
      <c r="AF46" s="234">
        <v>0</v>
      </c>
      <c r="AG46" s="234">
        <v>0</v>
      </c>
      <c r="AH46" s="234">
        <v>0</v>
      </c>
      <c r="AI46" s="160">
        <v>1250</v>
      </c>
      <c r="AJ46" s="235" t="e">
        <f t="shared" si="15"/>
        <v>#N/A</v>
      </c>
      <c r="AK46" s="234"/>
      <c r="AL46" t="str">
        <f t="shared" si="16"/>
        <v>36678Curve Shift/Gamma</v>
      </c>
      <c r="AM46" t="str">
        <f t="shared" si="17"/>
        <v>36678Rho</v>
      </c>
      <c r="AN46" t="str">
        <f t="shared" si="18"/>
        <v>36678Drift</v>
      </c>
      <c r="AO46" t="str">
        <f t="shared" si="19"/>
        <v>36678Vega</v>
      </c>
      <c r="AP46" t="str">
        <f t="shared" si="20"/>
        <v>36678Theta</v>
      </c>
      <c r="AQ46" s="385">
        <f t="shared" si="21"/>
        <v>37742</v>
      </c>
      <c r="AR46" s="386">
        <f t="shared" si="5"/>
        <v>0</v>
      </c>
      <c r="AS46" s="239">
        <f t="shared" si="6"/>
        <v>0</v>
      </c>
      <c r="AT46" s="239">
        <f t="shared" si="7"/>
        <v>0</v>
      </c>
      <c r="AU46" s="239">
        <f t="shared" si="8"/>
        <v>0</v>
      </c>
      <c r="AV46" s="249">
        <f t="shared" si="9"/>
        <v>0</v>
      </c>
      <c r="AW46" s="240">
        <f t="shared" si="10"/>
        <v>0</v>
      </c>
      <c r="AZ46" s="41">
        <f t="shared" si="27"/>
        <v>37347</v>
      </c>
      <c r="BA46" s="44"/>
      <c r="BG46" s="441">
        <v>37681</v>
      </c>
      <c r="BH46">
        <v>0.98499999999999999</v>
      </c>
      <c r="BJ46" s="441">
        <v>37681</v>
      </c>
      <c r="BK46">
        <v>43</v>
      </c>
    </row>
    <row r="47" spans="1:63" ht="12" customHeight="1" thickBot="1" x14ac:dyDescent="0.3">
      <c r="A47" s="384" t="s">
        <v>279</v>
      </c>
      <c r="B47" s="155" t="s">
        <v>250</v>
      </c>
      <c r="C47" s="155" t="s">
        <v>389</v>
      </c>
      <c r="D47" s="155" t="s">
        <v>190</v>
      </c>
      <c r="E47" s="4" t="s">
        <v>237</v>
      </c>
      <c r="F47" s="155" t="s">
        <v>20</v>
      </c>
      <c r="G47" s="155" t="s">
        <v>21</v>
      </c>
      <c r="H47" s="354">
        <v>36678</v>
      </c>
      <c r="I47" s="156">
        <v>50000</v>
      </c>
      <c r="J47" s="7">
        <v>0.46</v>
      </c>
      <c r="K47" s="53">
        <f t="shared" si="11"/>
        <v>4.75</v>
      </c>
      <c r="L47" s="53">
        <f t="shared" si="12"/>
        <v>3.29</v>
      </c>
      <c r="M47" s="157">
        <v>1</v>
      </c>
      <c r="N47" s="4">
        <v>0.51500000000000001</v>
      </c>
      <c r="O47" s="4">
        <v>0.51500000000000001</v>
      </c>
      <c r="P47" s="9" t="e">
        <f t="shared" si="13"/>
        <v>#N/A</v>
      </c>
      <c r="Q47" s="5">
        <v>36683</v>
      </c>
      <c r="R47" s="4">
        <f t="shared" si="23"/>
        <v>1</v>
      </c>
      <c r="S47" s="158" t="e">
        <f>_xll.xSPRDOPT($K47,$L47,$J47,$M47,$N47,$O47,$P47,$Q47-$C$3,$R47,0)</f>
        <v>#N/A</v>
      </c>
      <c r="T47" s="159" t="e">
        <f>_xll.xSPRDOPT($K47,$L47,$J47,$M47,$N47,$O47,$P47,$Q47-$C$3,$R47,1)*I47</f>
        <v>#N/A</v>
      </c>
      <c r="U47" s="160">
        <v>1250</v>
      </c>
      <c r="V47" s="159" t="e">
        <f>_xll.xSPRDOPT($K47,$L47,$J47,$M47,$N47,$O47,$P47,$Q47-$C$3,$R47,2)*I47</f>
        <v>#N/A</v>
      </c>
      <c r="W47" s="159" t="e">
        <f t="shared" si="24"/>
        <v>#N/A</v>
      </c>
      <c r="X47" s="51" t="str">
        <f t="shared" si="25"/>
        <v>36678IF-ELPO/SJ</v>
      </c>
      <c r="Y47" s="418">
        <f t="shared" si="26"/>
        <v>5</v>
      </c>
      <c r="Z47" s="51"/>
      <c r="AA47" s="51"/>
      <c r="AB47" s="141">
        <f t="shared" si="14"/>
        <v>36678</v>
      </c>
      <c r="AC47" s="234">
        <v>0</v>
      </c>
      <c r="AD47" s="234">
        <v>0</v>
      </c>
      <c r="AE47" s="234">
        <v>0</v>
      </c>
      <c r="AF47" s="234">
        <v>0</v>
      </c>
      <c r="AG47" s="234">
        <v>0</v>
      </c>
      <c r="AH47" s="234">
        <v>0</v>
      </c>
      <c r="AI47" s="160">
        <v>1250</v>
      </c>
      <c r="AJ47" s="235" t="e">
        <f t="shared" si="15"/>
        <v>#N/A</v>
      </c>
      <c r="AK47" s="234"/>
      <c r="AL47" t="str">
        <f t="shared" si="16"/>
        <v>36678Curve Shift/Gamma</v>
      </c>
      <c r="AM47" t="str">
        <f t="shared" si="17"/>
        <v>36678Rho</v>
      </c>
      <c r="AN47" t="str">
        <f t="shared" si="18"/>
        <v>36678Drift</v>
      </c>
      <c r="AO47" t="str">
        <f t="shared" si="19"/>
        <v>36678Vega</v>
      </c>
      <c r="AP47" t="str">
        <f t="shared" si="20"/>
        <v>36678Theta</v>
      </c>
      <c r="AQ47" s="385">
        <f t="shared" si="21"/>
        <v>37773</v>
      </c>
      <c r="AR47" s="387">
        <f t="shared" si="5"/>
        <v>0</v>
      </c>
      <c r="AS47" s="241">
        <f t="shared" si="6"/>
        <v>0</v>
      </c>
      <c r="AT47" s="241">
        <f t="shared" si="7"/>
        <v>0</v>
      </c>
      <c r="AU47" s="241">
        <f t="shared" si="8"/>
        <v>0</v>
      </c>
      <c r="AV47" s="250">
        <f t="shared" si="9"/>
        <v>0</v>
      </c>
      <c r="AW47" s="242">
        <f t="shared" si="10"/>
        <v>0</v>
      </c>
      <c r="AZ47" s="41">
        <f t="shared" si="27"/>
        <v>37377</v>
      </c>
      <c r="BA47" s="44"/>
      <c r="BG47" s="441">
        <v>37712</v>
      </c>
      <c r="BH47">
        <v>0.98499999999999999</v>
      </c>
      <c r="BJ47" s="441">
        <v>37712</v>
      </c>
      <c r="BK47">
        <v>44</v>
      </c>
    </row>
    <row r="48" spans="1:63" ht="12" customHeight="1" thickBot="1" x14ac:dyDescent="0.3">
      <c r="A48" s="384" t="s">
        <v>279</v>
      </c>
      <c r="B48" s="155" t="s">
        <v>250</v>
      </c>
      <c r="C48" s="155" t="s">
        <v>398</v>
      </c>
      <c r="D48" s="155" t="s">
        <v>190</v>
      </c>
      <c r="E48" s="4" t="s">
        <v>237</v>
      </c>
      <c r="F48" s="155" t="s">
        <v>20</v>
      </c>
      <c r="G48" s="155" t="s">
        <v>21</v>
      </c>
      <c r="H48" s="354">
        <v>36678</v>
      </c>
      <c r="I48" s="156">
        <v>-10000</v>
      </c>
      <c r="J48" s="7">
        <v>0.46</v>
      </c>
      <c r="K48" s="53">
        <f t="shared" si="11"/>
        <v>4.75</v>
      </c>
      <c r="L48" s="53">
        <f t="shared" si="12"/>
        <v>3.29</v>
      </c>
      <c r="M48" s="157">
        <v>1</v>
      </c>
      <c r="N48" s="4">
        <v>0.51500000000000001</v>
      </c>
      <c r="O48" s="4">
        <v>0.51500000000000001</v>
      </c>
      <c r="P48" s="9" t="e">
        <f t="shared" si="13"/>
        <v>#N/A</v>
      </c>
      <c r="Q48" s="5">
        <v>36683</v>
      </c>
      <c r="R48" s="4">
        <f t="shared" si="23"/>
        <v>1</v>
      </c>
      <c r="S48" s="158" t="e">
        <f>_xll.xSPRDOPT($K48,$L48,$J48,$M48,$N48,$O48,$P48,$Q48-$C$3,$R48,0)</f>
        <v>#N/A</v>
      </c>
      <c r="T48" s="159" t="e">
        <f>_xll.xSPRDOPT($K48,$L48,$J48,$M48,$N48,$O48,$P48,$Q48-$C$3,$R48,1)*I48</f>
        <v>#N/A</v>
      </c>
      <c r="U48" s="160">
        <v>-250</v>
      </c>
      <c r="V48" s="159" t="e">
        <f>_xll.xSPRDOPT($K48,$L48,$J48,$M48,$N48,$O48,$P48,$Q48-$C$3,$R48,2)*I48</f>
        <v>#N/A</v>
      </c>
      <c r="W48" s="159" t="e">
        <f t="shared" si="24"/>
        <v>#N/A</v>
      </c>
      <c r="X48" s="51" t="str">
        <f t="shared" si="25"/>
        <v>36678IF-ELPO/SJ</v>
      </c>
      <c r="Y48" s="418">
        <f t="shared" si="26"/>
        <v>-1</v>
      </c>
      <c r="AA48" s="51"/>
      <c r="AB48" s="141">
        <f t="shared" si="14"/>
        <v>36678</v>
      </c>
      <c r="AC48" s="234">
        <v>0</v>
      </c>
      <c r="AD48" s="234">
        <v>0</v>
      </c>
      <c r="AE48" s="234">
        <v>0</v>
      </c>
      <c r="AF48" s="234">
        <v>0</v>
      </c>
      <c r="AG48" s="234">
        <v>0</v>
      </c>
      <c r="AH48" s="234">
        <v>0</v>
      </c>
      <c r="AI48" s="160">
        <v>-250</v>
      </c>
      <c r="AJ48" s="235" t="e">
        <f t="shared" si="15"/>
        <v>#N/A</v>
      </c>
      <c r="AK48" s="234"/>
      <c r="AL48" t="str">
        <f t="shared" si="16"/>
        <v>36678Curve Shift/Gamma</v>
      </c>
      <c r="AM48" t="str">
        <f t="shared" si="17"/>
        <v>36678Rho</v>
      </c>
      <c r="AN48" t="str">
        <f t="shared" si="18"/>
        <v>36678Drift</v>
      </c>
      <c r="AO48" t="str">
        <f t="shared" si="19"/>
        <v>36678Vega</v>
      </c>
      <c r="AP48" t="str">
        <f t="shared" si="20"/>
        <v>36678Theta</v>
      </c>
      <c r="AQ48" s="143" t="s">
        <v>72</v>
      </c>
      <c r="AR48" s="246" t="e">
        <f t="shared" ref="AR48:AW48" si="28">SUM(AR7:AR47)</f>
        <v>#N/A</v>
      </c>
      <c r="AS48" s="247" t="e">
        <f t="shared" si="28"/>
        <v>#N/A</v>
      </c>
      <c r="AT48" s="247" t="e">
        <f t="shared" si="28"/>
        <v>#N/A</v>
      </c>
      <c r="AU48" s="247" t="e">
        <f t="shared" si="28"/>
        <v>#N/A</v>
      </c>
      <c r="AV48" s="247" t="e">
        <f t="shared" si="28"/>
        <v>#N/A</v>
      </c>
      <c r="AW48" s="243" t="e">
        <f t="shared" si="28"/>
        <v>#N/A</v>
      </c>
      <c r="AZ48" s="41">
        <f t="shared" si="27"/>
        <v>37408</v>
      </c>
      <c r="BA48" s="44"/>
      <c r="BG48" s="441">
        <v>37742</v>
      </c>
      <c r="BH48">
        <v>0.98499999999999999</v>
      </c>
      <c r="BJ48" s="441">
        <v>37742</v>
      </c>
      <c r="BK48">
        <v>45</v>
      </c>
    </row>
    <row r="49" spans="1:63" ht="12" customHeight="1" x14ac:dyDescent="0.25">
      <c r="A49" s="382" t="s">
        <v>279</v>
      </c>
      <c r="B49" s="155" t="s">
        <v>250</v>
      </c>
      <c r="C49" s="155" t="s">
        <v>360</v>
      </c>
      <c r="D49" s="155" t="s">
        <v>190</v>
      </c>
      <c r="E49" s="4" t="s">
        <v>237</v>
      </c>
      <c r="F49" s="155" t="s">
        <v>20</v>
      </c>
      <c r="G49" s="155" t="s">
        <v>21</v>
      </c>
      <c r="H49" s="354">
        <v>36678</v>
      </c>
      <c r="I49" s="156">
        <v>-50000</v>
      </c>
      <c r="J49" s="7">
        <v>0.46</v>
      </c>
      <c r="K49" s="53">
        <f t="shared" si="11"/>
        <v>4.75</v>
      </c>
      <c r="L49" s="53">
        <f t="shared" si="12"/>
        <v>3.29</v>
      </c>
      <c r="M49" s="157">
        <v>1</v>
      </c>
      <c r="N49" s="4">
        <v>0.51500000000000001</v>
      </c>
      <c r="O49" s="4">
        <v>0.51500000000000001</v>
      </c>
      <c r="P49" s="9" t="e">
        <f t="shared" si="13"/>
        <v>#N/A</v>
      </c>
      <c r="Q49" s="5">
        <v>36684</v>
      </c>
      <c r="R49" s="4">
        <f t="shared" si="23"/>
        <v>1</v>
      </c>
      <c r="S49" s="158" t="e">
        <f>_xll.xSPRDOPT($K49,$L49,$J49,$M49,$N49,$O49,$P49,$Q49-$C$3,$R49,0)</f>
        <v>#N/A</v>
      </c>
      <c r="T49" s="159" t="e">
        <f>_xll.xSPRDOPT($K49,$L49,$J49,$M49,$N49,$O49,$P49,$Q49-$C$3,$R49,1)*I49</f>
        <v>#N/A</v>
      </c>
      <c r="U49" s="160">
        <v>-1000</v>
      </c>
      <c r="V49" s="159" t="e">
        <f>_xll.xSPRDOPT($K49,$L49,$J49,$M49,$N49,$O49,$P49,$Q49-$C$3,$R49,2)*I49</f>
        <v>#N/A</v>
      </c>
      <c r="W49" s="159" t="e">
        <f t="shared" si="24"/>
        <v>#N/A</v>
      </c>
      <c r="X49" s="51" t="str">
        <f t="shared" si="25"/>
        <v>36678IF-ELPO/SJ</v>
      </c>
      <c r="Y49" s="418">
        <f t="shared" si="26"/>
        <v>-5</v>
      </c>
      <c r="AA49" s="51"/>
      <c r="AB49" s="141">
        <f t="shared" si="14"/>
        <v>36678</v>
      </c>
      <c r="AC49" s="234">
        <v>0</v>
      </c>
      <c r="AD49" s="234">
        <v>0</v>
      </c>
      <c r="AE49" s="234">
        <v>0</v>
      </c>
      <c r="AF49" s="234">
        <v>0</v>
      </c>
      <c r="AG49" s="234">
        <v>0</v>
      </c>
      <c r="AH49" s="234">
        <v>0</v>
      </c>
      <c r="AI49" s="234">
        <v>-1000</v>
      </c>
      <c r="AJ49" s="235" t="e">
        <f t="shared" si="15"/>
        <v>#N/A</v>
      </c>
      <c r="AK49" s="234"/>
      <c r="AL49" t="str">
        <f t="shared" si="16"/>
        <v>36678Curve Shift/Gamma</v>
      </c>
      <c r="AM49" t="str">
        <f t="shared" si="17"/>
        <v>36678Rho</v>
      </c>
      <c r="AN49" t="str">
        <f t="shared" si="18"/>
        <v>36678Drift</v>
      </c>
      <c r="AO49" t="str">
        <f t="shared" si="19"/>
        <v>36678Vega</v>
      </c>
      <c r="AP49" t="str">
        <f t="shared" si="20"/>
        <v>36678Theta</v>
      </c>
      <c r="AZ49" s="41">
        <f t="shared" si="27"/>
        <v>37438</v>
      </c>
      <c r="BA49" s="44"/>
      <c r="BG49" s="441">
        <v>37773</v>
      </c>
      <c r="BH49">
        <v>0.98499999999999999</v>
      </c>
      <c r="BJ49" s="441">
        <v>37773</v>
      </c>
      <c r="BK49">
        <v>46</v>
      </c>
    </row>
    <row r="50" spans="1:63" ht="12" customHeight="1" x14ac:dyDescent="0.25">
      <c r="A50" s="382" t="s">
        <v>279</v>
      </c>
      <c r="B50" s="155" t="s">
        <v>250</v>
      </c>
      <c r="C50" s="155" t="s">
        <v>361</v>
      </c>
      <c r="D50" s="155" t="s">
        <v>190</v>
      </c>
      <c r="E50" s="4" t="s">
        <v>237</v>
      </c>
      <c r="F50" s="155" t="s">
        <v>20</v>
      </c>
      <c r="G50" s="155" t="s">
        <v>21</v>
      </c>
      <c r="H50" s="354">
        <v>36678</v>
      </c>
      <c r="I50" s="156">
        <v>10000</v>
      </c>
      <c r="J50" s="7">
        <v>0.46</v>
      </c>
      <c r="K50" s="53">
        <f t="shared" si="11"/>
        <v>4.75</v>
      </c>
      <c r="L50" s="53">
        <f t="shared" si="12"/>
        <v>3.29</v>
      </c>
      <c r="M50" s="157">
        <v>1</v>
      </c>
      <c r="N50" s="4">
        <v>0.51500000000000001</v>
      </c>
      <c r="O50" s="4">
        <v>0.51500000000000001</v>
      </c>
      <c r="P50" s="9" t="e">
        <f t="shared" si="13"/>
        <v>#N/A</v>
      </c>
      <c r="Q50" s="5">
        <v>36684</v>
      </c>
      <c r="R50" s="4">
        <f t="shared" si="23"/>
        <v>1</v>
      </c>
      <c r="S50" s="158" t="e">
        <f>_xll.xSPRDOPT($K50,$L50,$J50,$M50,$N50,$O50,$P50,$Q50-$C$3,$R50,0)</f>
        <v>#N/A</v>
      </c>
      <c r="T50" s="159" t="e">
        <f>_xll.xSPRDOPT($K50,$L50,$J50,$M50,$N50,$O50,$P50,$Q50-$C$3,$R50,1)*I50</f>
        <v>#N/A</v>
      </c>
      <c r="U50" s="160">
        <v>200</v>
      </c>
      <c r="V50" s="159" t="e">
        <f>_xll.xSPRDOPT($K50,$L50,$J50,$M50,$N50,$O50,$P50,$Q50-$C$3,$R50,2)*I50</f>
        <v>#N/A</v>
      </c>
      <c r="W50" s="159" t="e">
        <f t="shared" si="24"/>
        <v>#N/A</v>
      </c>
      <c r="X50" s="51" t="str">
        <f t="shared" si="25"/>
        <v>36678IF-ELPO/SJ</v>
      </c>
      <c r="Y50" s="418">
        <f t="shared" si="26"/>
        <v>1</v>
      </c>
      <c r="AA50" s="51"/>
      <c r="AB50" s="141">
        <f t="shared" si="14"/>
        <v>36678</v>
      </c>
      <c r="AC50" s="234">
        <v>0</v>
      </c>
      <c r="AD50" s="234">
        <v>0</v>
      </c>
      <c r="AE50" s="234">
        <v>0</v>
      </c>
      <c r="AF50" s="234">
        <v>0</v>
      </c>
      <c r="AG50" s="234">
        <v>0</v>
      </c>
      <c r="AH50" s="234">
        <v>0</v>
      </c>
      <c r="AI50" s="234">
        <v>200</v>
      </c>
      <c r="AJ50" s="235" t="e">
        <f t="shared" si="15"/>
        <v>#N/A</v>
      </c>
      <c r="AK50" s="234"/>
      <c r="AL50" t="str">
        <f t="shared" si="16"/>
        <v>36678Curve Shift/Gamma</v>
      </c>
      <c r="AM50" t="str">
        <f t="shared" si="17"/>
        <v>36678Rho</v>
      </c>
      <c r="AN50" t="str">
        <f t="shared" si="18"/>
        <v>36678Drift</v>
      </c>
      <c r="AO50" t="str">
        <f t="shared" si="19"/>
        <v>36678Vega</v>
      </c>
      <c r="AP50" t="str">
        <f t="shared" si="20"/>
        <v>36678Theta</v>
      </c>
      <c r="AZ50" s="41">
        <f t="shared" si="27"/>
        <v>37469</v>
      </c>
      <c r="BA50" s="44"/>
      <c r="BG50" s="441">
        <v>37803</v>
      </c>
      <c r="BH50">
        <v>0.98499999999999999</v>
      </c>
      <c r="BJ50" s="441">
        <v>37803</v>
      </c>
      <c r="BK50">
        <v>47</v>
      </c>
    </row>
    <row r="51" spans="1:63" ht="12" customHeight="1" x14ac:dyDescent="0.25">
      <c r="A51" s="382" t="s">
        <v>279</v>
      </c>
      <c r="B51" s="155" t="s">
        <v>250</v>
      </c>
      <c r="C51" s="155" t="s">
        <v>364</v>
      </c>
      <c r="D51" s="155" t="s">
        <v>190</v>
      </c>
      <c r="E51" s="4" t="s">
        <v>237</v>
      </c>
      <c r="F51" s="155" t="s">
        <v>20</v>
      </c>
      <c r="G51" s="155" t="s">
        <v>21</v>
      </c>
      <c r="H51" s="354">
        <v>36678</v>
      </c>
      <c r="I51" s="156">
        <v>-333333</v>
      </c>
      <c r="J51" s="7">
        <v>0.46</v>
      </c>
      <c r="K51" s="53">
        <f t="shared" si="11"/>
        <v>4.75</v>
      </c>
      <c r="L51" s="53">
        <f t="shared" si="12"/>
        <v>3.29</v>
      </c>
      <c r="M51" s="157">
        <v>1</v>
      </c>
      <c r="N51" s="4">
        <v>0.51500000000000001</v>
      </c>
      <c r="O51" s="4">
        <v>0.51500000000000001</v>
      </c>
      <c r="P51" s="9" t="e">
        <f t="shared" si="13"/>
        <v>#N/A</v>
      </c>
      <c r="Q51" s="5">
        <v>36684</v>
      </c>
      <c r="R51" s="4">
        <f t="shared" si="23"/>
        <v>1</v>
      </c>
      <c r="S51" s="158" t="e">
        <f>_xll.xSPRDOPT($K51,$L51,$J51,$M51,$N51,$O51,$P51,$Q51-$C$3,$R51,0)</f>
        <v>#N/A</v>
      </c>
      <c r="T51" s="159" t="e">
        <f>_xll.xSPRDOPT($K51,$L51,$J51,$M51,$N51,$O51,$P51,$Q51-$C$3,$R51,1)*I51</f>
        <v>#N/A</v>
      </c>
      <c r="U51" s="160">
        <v>-6666.66</v>
      </c>
      <c r="V51" s="159" t="e">
        <f>_xll.xSPRDOPT($K51,$L51,$J51,$M51,$N51,$O51,$P51,$Q51-$C$3,$R51,2)*I51</f>
        <v>#N/A</v>
      </c>
      <c r="W51" s="159" t="e">
        <f t="shared" si="24"/>
        <v>#N/A</v>
      </c>
      <c r="X51" s="51" t="str">
        <f t="shared" si="25"/>
        <v>36678IF-ELPO/SJ</v>
      </c>
      <c r="Y51" s="418">
        <f t="shared" si="26"/>
        <v>-33.333300000000001</v>
      </c>
      <c r="Z51" s="51"/>
      <c r="AA51" s="51"/>
      <c r="AB51" s="141">
        <f t="shared" si="14"/>
        <v>36678</v>
      </c>
      <c r="AC51" s="234">
        <v>0</v>
      </c>
      <c r="AD51" s="234">
        <v>0</v>
      </c>
      <c r="AE51" s="234">
        <v>0</v>
      </c>
      <c r="AF51" s="234">
        <v>0</v>
      </c>
      <c r="AG51" s="234">
        <v>0</v>
      </c>
      <c r="AH51" s="234">
        <v>0</v>
      </c>
      <c r="AI51" s="234">
        <v>-6666.66</v>
      </c>
      <c r="AJ51" s="235" t="e">
        <f t="shared" si="15"/>
        <v>#N/A</v>
      </c>
      <c r="AK51" s="234"/>
      <c r="AL51" t="str">
        <f t="shared" si="16"/>
        <v>36678Curve Shift/Gamma</v>
      </c>
      <c r="AM51" t="str">
        <f t="shared" si="17"/>
        <v>36678Rho</v>
      </c>
      <c r="AN51" t="str">
        <f t="shared" si="18"/>
        <v>36678Drift</v>
      </c>
      <c r="AO51" t="str">
        <f t="shared" si="19"/>
        <v>36678Vega</v>
      </c>
      <c r="AP51" t="str">
        <f t="shared" si="20"/>
        <v>36678Theta</v>
      </c>
      <c r="AZ51" s="41">
        <f t="shared" si="27"/>
        <v>37500</v>
      </c>
      <c r="BA51" s="44"/>
      <c r="BG51" s="441">
        <v>37834</v>
      </c>
      <c r="BH51">
        <v>0.98499999999999999</v>
      </c>
      <c r="BJ51" s="441">
        <v>37834</v>
      </c>
      <c r="BK51">
        <v>48</v>
      </c>
    </row>
    <row r="52" spans="1:63" ht="12" customHeight="1" x14ac:dyDescent="0.25">
      <c r="A52" s="384" t="s">
        <v>268</v>
      </c>
      <c r="B52" s="155" t="s">
        <v>250</v>
      </c>
      <c r="C52" s="155" t="s">
        <v>387</v>
      </c>
      <c r="D52" s="155" t="s">
        <v>190</v>
      </c>
      <c r="E52" s="4" t="s">
        <v>237</v>
      </c>
      <c r="F52" s="155" t="s">
        <v>20</v>
      </c>
      <c r="G52" s="155" t="s">
        <v>21</v>
      </c>
      <c r="H52" s="354">
        <v>36678</v>
      </c>
      <c r="I52" s="156">
        <v>-10000</v>
      </c>
      <c r="J52" s="7">
        <v>0.46</v>
      </c>
      <c r="K52" s="53">
        <f t="shared" si="11"/>
        <v>4.75</v>
      </c>
      <c r="L52" s="53">
        <f t="shared" si="12"/>
        <v>3.29</v>
      </c>
      <c r="M52" s="157">
        <v>1</v>
      </c>
      <c r="N52" s="4">
        <v>0.51500000000000001</v>
      </c>
      <c r="O52" s="4">
        <v>0.51500000000000001</v>
      </c>
      <c r="P52" s="9" t="e">
        <f t="shared" si="13"/>
        <v>#N/A</v>
      </c>
      <c r="Q52" s="5">
        <v>36684</v>
      </c>
      <c r="R52" s="4">
        <f t="shared" si="23"/>
        <v>1</v>
      </c>
      <c r="S52" s="158" t="e">
        <f>_xll.xSPRDOPT($K52,$L52,$J52,$M52,$N52,$O52,$P52,$Q52-$C$3,$R52,0)</f>
        <v>#N/A</v>
      </c>
      <c r="T52" s="159" t="e">
        <f>_xll.xSPRDOPT($K52,$L52,$J52,$M52,$N52,$O52,$P52,$Q52-$C$3,$R52,1)*I52</f>
        <v>#N/A</v>
      </c>
      <c r="U52" s="160">
        <v>-200</v>
      </c>
      <c r="V52" s="159" t="e">
        <f>_xll.xSPRDOPT($K52,$L52,$J52,$M52,$N52,$O52,$P52,$Q52-$C$3,$R52,2)*I52</f>
        <v>#N/A</v>
      </c>
      <c r="W52" s="159" t="e">
        <f t="shared" si="24"/>
        <v>#N/A</v>
      </c>
      <c r="X52" s="51" t="str">
        <f t="shared" si="25"/>
        <v>36678IF-ELPO/SJ</v>
      </c>
      <c r="Y52" s="418">
        <f t="shared" si="26"/>
        <v>-1</v>
      </c>
      <c r="Z52" s="51"/>
      <c r="AA52" s="51"/>
      <c r="AB52" s="141">
        <f t="shared" si="14"/>
        <v>36678</v>
      </c>
      <c r="AC52" s="234">
        <v>0</v>
      </c>
      <c r="AD52" s="234">
        <v>0</v>
      </c>
      <c r="AE52" s="234">
        <v>0</v>
      </c>
      <c r="AF52" s="234">
        <v>0</v>
      </c>
      <c r="AG52" s="234">
        <v>0</v>
      </c>
      <c r="AH52" s="234">
        <v>0</v>
      </c>
      <c r="AI52" s="234">
        <v>-200</v>
      </c>
      <c r="AJ52" s="235" t="e">
        <f t="shared" si="15"/>
        <v>#N/A</v>
      </c>
      <c r="AK52" s="234"/>
      <c r="AL52" t="str">
        <f t="shared" si="16"/>
        <v>36678Curve Shift/Gamma</v>
      </c>
      <c r="AM52" t="str">
        <f t="shared" si="17"/>
        <v>36678Rho</v>
      </c>
      <c r="AN52" t="str">
        <f t="shared" si="18"/>
        <v>36678Drift</v>
      </c>
      <c r="AO52" t="str">
        <f t="shared" si="19"/>
        <v>36678Vega</v>
      </c>
      <c r="AP52" t="str">
        <f t="shared" si="20"/>
        <v>36678Theta</v>
      </c>
      <c r="AZ52" s="41">
        <f t="shared" si="27"/>
        <v>37530</v>
      </c>
      <c r="BA52" s="44"/>
      <c r="BG52" s="441">
        <v>37865</v>
      </c>
      <c r="BH52">
        <v>0.98499999999999999</v>
      </c>
      <c r="BJ52" s="441">
        <v>37865</v>
      </c>
      <c r="BK52">
        <v>49</v>
      </c>
    </row>
    <row r="53" spans="1:63" ht="12" customHeight="1" x14ac:dyDescent="0.25">
      <c r="A53" s="384" t="s">
        <v>279</v>
      </c>
      <c r="B53" s="155" t="s">
        <v>250</v>
      </c>
      <c r="C53" s="155" t="s">
        <v>388</v>
      </c>
      <c r="D53" s="155" t="s">
        <v>190</v>
      </c>
      <c r="E53" s="4" t="s">
        <v>237</v>
      </c>
      <c r="F53" s="155" t="s">
        <v>20</v>
      </c>
      <c r="G53" s="155" t="s">
        <v>21</v>
      </c>
      <c r="H53" s="354">
        <v>36678</v>
      </c>
      <c r="I53" s="156">
        <v>50000</v>
      </c>
      <c r="J53" s="7">
        <v>0.46</v>
      </c>
      <c r="K53" s="53">
        <f t="shared" si="11"/>
        <v>4.75</v>
      </c>
      <c r="L53" s="53">
        <f t="shared" si="12"/>
        <v>3.29</v>
      </c>
      <c r="M53" s="157">
        <v>1</v>
      </c>
      <c r="N53" s="4">
        <v>0.51500000000000001</v>
      </c>
      <c r="O53" s="4">
        <v>0.51500000000000001</v>
      </c>
      <c r="P53" s="9" t="e">
        <f t="shared" si="13"/>
        <v>#N/A</v>
      </c>
      <c r="Q53" s="5">
        <v>36684</v>
      </c>
      <c r="R53" s="4">
        <f t="shared" si="23"/>
        <v>1</v>
      </c>
      <c r="S53" s="158" t="e">
        <f>_xll.xSPRDOPT($K53,$L53,$J53,$M53,$N53,$O53,$P53,$Q53-$C$3,$R53,0)</f>
        <v>#N/A</v>
      </c>
      <c r="T53" s="159" t="e">
        <f>_xll.xSPRDOPT($K53,$L53,$J53,$M53,$N53,$O53,$P53,$Q53-$C$3,$R53,1)*I53</f>
        <v>#N/A</v>
      </c>
      <c r="U53" s="160">
        <v>1000</v>
      </c>
      <c r="V53" s="159" t="e">
        <f>_xll.xSPRDOPT($K53,$L53,$J53,$M53,$N53,$O53,$P53,$Q53-$C$3,$R53,2)*I53</f>
        <v>#N/A</v>
      </c>
      <c r="W53" s="159" t="e">
        <f t="shared" si="24"/>
        <v>#N/A</v>
      </c>
      <c r="X53" s="51" t="str">
        <f t="shared" si="25"/>
        <v>36678IF-ELPO/SJ</v>
      </c>
      <c r="Y53" s="418">
        <f t="shared" si="26"/>
        <v>5</v>
      </c>
      <c r="Z53" s="51"/>
      <c r="AA53" s="51"/>
      <c r="AB53" s="141">
        <f t="shared" si="14"/>
        <v>36678</v>
      </c>
      <c r="AC53" s="234">
        <v>0</v>
      </c>
      <c r="AD53" s="234">
        <v>0</v>
      </c>
      <c r="AE53" s="234">
        <v>0</v>
      </c>
      <c r="AF53" s="234">
        <v>0</v>
      </c>
      <c r="AG53" s="234">
        <v>0</v>
      </c>
      <c r="AH53" s="234">
        <v>0</v>
      </c>
      <c r="AI53" s="234">
        <v>1000</v>
      </c>
      <c r="AJ53" s="235" t="e">
        <f t="shared" si="15"/>
        <v>#N/A</v>
      </c>
      <c r="AK53" s="234"/>
      <c r="AL53" t="str">
        <f t="shared" si="16"/>
        <v>36678Curve Shift/Gamma</v>
      </c>
      <c r="AM53" t="str">
        <f t="shared" si="17"/>
        <v>36678Rho</v>
      </c>
      <c r="AN53" t="str">
        <f t="shared" si="18"/>
        <v>36678Drift</v>
      </c>
      <c r="AO53" t="str">
        <f t="shared" si="19"/>
        <v>36678Vega</v>
      </c>
      <c r="AP53" t="str">
        <f t="shared" si="20"/>
        <v>36678Theta</v>
      </c>
      <c r="AZ53" s="41">
        <f t="shared" si="27"/>
        <v>37561</v>
      </c>
      <c r="BA53" s="44"/>
      <c r="BG53" s="441">
        <v>37895</v>
      </c>
      <c r="BH53">
        <v>0.98499999999999999</v>
      </c>
      <c r="BJ53" s="441">
        <v>37895</v>
      </c>
      <c r="BK53">
        <v>50</v>
      </c>
    </row>
    <row r="54" spans="1:63" ht="12" customHeight="1" x14ac:dyDescent="0.25">
      <c r="A54" s="384" t="s">
        <v>279</v>
      </c>
      <c r="B54" s="155" t="s">
        <v>250</v>
      </c>
      <c r="C54" s="155" t="s">
        <v>389</v>
      </c>
      <c r="D54" s="155" t="s">
        <v>190</v>
      </c>
      <c r="E54" s="4" t="s">
        <v>237</v>
      </c>
      <c r="F54" s="155" t="s">
        <v>20</v>
      </c>
      <c r="G54" s="155" t="s">
        <v>21</v>
      </c>
      <c r="H54" s="354">
        <v>36678</v>
      </c>
      <c r="I54" s="156">
        <v>50000</v>
      </c>
      <c r="J54" s="7">
        <v>0.46</v>
      </c>
      <c r="K54" s="53">
        <f t="shared" si="11"/>
        <v>4.75</v>
      </c>
      <c r="L54" s="53">
        <f t="shared" si="12"/>
        <v>3.29</v>
      </c>
      <c r="M54" s="157">
        <v>1</v>
      </c>
      <c r="N54" s="4">
        <v>0.51500000000000001</v>
      </c>
      <c r="O54" s="4">
        <v>0.51500000000000001</v>
      </c>
      <c r="P54" s="9" t="e">
        <f t="shared" si="13"/>
        <v>#N/A</v>
      </c>
      <c r="Q54" s="5">
        <v>36684</v>
      </c>
      <c r="R54" s="4">
        <f t="shared" si="23"/>
        <v>1</v>
      </c>
      <c r="S54" s="158" t="e">
        <f>_xll.xSPRDOPT($K54,$L54,$J54,$M54,$N54,$O54,$P54,$Q54-$C$3,$R54,0)</f>
        <v>#N/A</v>
      </c>
      <c r="T54" s="159" t="e">
        <f>_xll.xSPRDOPT($K54,$L54,$J54,$M54,$N54,$O54,$P54,$Q54-$C$3,$R54,1)*I54</f>
        <v>#N/A</v>
      </c>
      <c r="U54" s="160">
        <v>1000</v>
      </c>
      <c r="V54" s="159" t="e">
        <f>_xll.xSPRDOPT($K54,$L54,$J54,$M54,$N54,$O54,$P54,$Q54-$C$3,$R54,2)*I54</f>
        <v>#N/A</v>
      </c>
      <c r="W54" s="159" t="e">
        <f t="shared" si="24"/>
        <v>#N/A</v>
      </c>
      <c r="X54" s="51" t="str">
        <f t="shared" si="25"/>
        <v>36678IF-ELPO/SJ</v>
      </c>
      <c r="Y54" s="418">
        <f t="shared" si="26"/>
        <v>5</v>
      </c>
      <c r="Z54" s="51"/>
      <c r="AA54" s="51"/>
      <c r="AB54" s="141">
        <f t="shared" si="14"/>
        <v>36678</v>
      </c>
      <c r="AC54" s="234">
        <v>0</v>
      </c>
      <c r="AD54" s="234">
        <v>0</v>
      </c>
      <c r="AE54" s="234">
        <v>0</v>
      </c>
      <c r="AF54" s="234">
        <v>0</v>
      </c>
      <c r="AG54" s="234">
        <v>0</v>
      </c>
      <c r="AH54" s="234">
        <v>0</v>
      </c>
      <c r="AI54" s="234">
        <v>1000</v>
      </c>
      <c r="AJ54" s="235" t="e">
        <f t="shared" si="15"/>
        <v>#N/A</v>
      </c>
      <c r="AK54" s="234"/>
      <c r="AL54" t="str">
        <f t="shared" si="16"/>
        <v>36678Curve Shift/Gamma</v>
      </c>
      <c r="AM54" t="str">
        <f t="shared" si="17"/>
        <v>36678Rho</v>
      </c>
      <c r="AN54" t="str">
        <f t="shared" si="18"/>
        <v>36678Drift</v>
      </c>
      <c r="AO54" t="str">
        <f t="shared" si="19"/>
        <v>36678Vega</v>
      </c>
      <c r="AP54" t="str">
        <f t="shared" si="20"/>
        <v>36678Theta</v>
      </c>
      <c r="AZ54" s="41">
        <f t="shared" si="27"/>
        <v>37591</v>
      </c>
      <c r="BA54" s="44"/>
      <c r="BG54" s="441">
        <v>37926</v>
      </c>
      <c r="BH54">
        <v>0.97048500000000038</v>
      </c>
      <c r="BJ54" s="441">
        <v>37926</v>
      </c>
      <c r="BK54">
        <v>51</v>
      </c>
    </row>
    <row r="55" spans="1:63" ht="12" customHeight="1" x14ac:dyDescent="0.25">
      <c r="A55" s="384" t="s">
        <v>279</v>
      </c>
      <c r="B55" s="155" t="s">
        <v>250</v>
      </c>
      <c r="C55" s="155" t="s">
        <v>398</v>
      </c>
      <c r="D55" s="155" t="s">
        <v>190</v>
      </c>
      <c r="E55" s="4" t="s">
        <v>237</v>
      </c>
      <c r="F55" s="155" t="s">
        <v>20</v>
      </c>
      <c r="G55" s="155" t="s">
        <v>21</v>
      </c>
      <c r="H55" s="354">
        <v>36678</v>
      </c>
      <c r="I55" s="156">
        <v>-10000</v>
      </c>
      <c r="J55" s="7">
        <v>0.46</v>
      </c>
      <c r="K55" s="53">
        <f t="shared" si="11"/>
        <v>4.75</v>
      </c>
      <c r="L55" s="53">
        <f t="shared" si="12"/>
        <v>3.29</v>
      </c>
      <c r="M55" s="157">
        <v>1</v>
      </c>
      <c r="N55" s="4">
        <v>0.51500000000000001</v>
      </c>
      <c r="O55" s="4">
        <v>0.51500000000000001</v>
      </c>
      <c r="P55" s="9" t="e">
        <f t="shared" si="13"/>
        <v>#N/A</v>
      </c>
      <c r="Q55" s="5">
        <v>36684</v>
      </c>
      <c r="R55" s="4">
        <f t="shared" si="23"/>
        <v>1</v>
      </c>
      <c r="S55" s="158" t="e">
        <f>_xll.xSPRDOPT($K55,$L55,$J55,$M55,$N55,$O55,$P55,$Q55-$C$3,$R55,0)</f>
        <v>#N/A</v>
      </c>
      <c r="T55" s="159" t="e">
        <f>_xll.xSPRDOPT($K55,$L55,$J55,$M55,$N55,$O55,$P55,$Q55-$C$3,$R55,1)*I55</f>
        <v>#N/A</v>
      </c>
      <c r="U55" s="160">
        <v>-200</v>
      </c>
      <c r="V55" s="159" t="e">
        <f>_xll.xSPRDOPT($K55,$L55,$J55,$M55,$N55,$O55,$P55,$Q55-$C$3,$R55,2)*I55</f>
        <v>#N/A</v>
      </c>
      <c r="W55" s="159" t="e">
        <f t="shared" si="24"/>
        <v>#N/A</v>
      </c>
      <c r="X55" s="51" t="str">
        <f t="shared" si="25"/>
        <v>36678IF-ELPO/SJ</v>
      </c>
      <c r="Y55" s="418">
        <f t="shared" si="26"/>
        <v>-1</v>
      </c>
      <c r="Z55" s="51"/>
      <c r="AA55" s="51"/>
      <c r="AB55" s="141">
        <f t="shared" si="14"/>
        <v>36678</v>
      </c>
      <c r="AC55" s="234">
        <v>0</v>
      </c>
      <c r="AD55" s="234">
        <v>0</v>
      </c>
      <c r="AE55" s="234">
        <v>0</v>
      </c>
      <c r="AF55" s="234">
        <v>0</v>
      </c>
      <c r="AG55" s="234">
        <v>0</v>
      </c>
      <c r="AH55" s="234">
        <v>0</v>
      </c>
      <c r="AI55" s="234">
        <v>-200</v>
      </c>
      <c r="AJ55" s="235" t="e">
        <f t="shared" si="15"/>
        <v>#N/A</v>
      </c>
      <c r="AK55" s="234"/>
      <c r="AL55" t="str">
        <f t="shared" si="16"/>
        <v>36678Curve Shift/Gamma</v>
      </c>
      <c r="AM55" t="str">
        <f t="shared" si="17"/>
        <v>36678Rho</v>
      </c>
      <c r="AN55" t="str">
        <f t="shared" si="18"/>
        <v>36678Drift</v>
      </c>
      <c r="AO55" t="str">
        <f t="shared" si="19"/>
        <v>36678Vega</v>
      </c>
      <c r="AP55" t="str">
        <f t="shared" si="20"/>
        <v>36678Theta</v>
      </c>
      <c r="AZ55" s="41">
        <f t="shared" si="27"/>
        <v>37622</v>
      </c>
      <c r="BA55" s="44"/>
      <c r="BG55" s="441">
        <v>37956</v>
      </c>
      <c r="BH55">
        <v>0.97048500000000038</v>
      </c>
      <c r="BJ55" s="441">
        <v>37956</v>
      </c>
      <c r="BK55">
        <v>52</v>
      </c>
    </row>
    <row r="56" spans="1:63" ht="12" customHeight="1" x14ac:dyDescent="0.25">
      <c r="A56" s="382" t="s">
        <v>279</v>
      </c>
      <c r="B56" s="155" t="s">
        <v>250</v>
      </c>
      <c r="C56" s="155" t="s">
        <v>360</v>
      </c>
      <c r="D56" s="155" t="s">
        <v>190</v>
      </c>
      <c r="E56" s="4" t="s">
        <v>237</v>
      </c>
      <c r="F56" s="155" t="s">
        <v>20</v>
      </c>
      <c r="G56" s="155" t="s">
        <v>21</v>
      </c>
      <c r="H56" s="354">
        <v>36678</v>
      </c>
      <c r="I56" s="156">
        <v>-50000</v>
      </c>
      <c r="J56" s="7">
        <v>0.46</v>
      </c>
      <c r="K56" s="53">
        <f t="shared" si="11"/>
        <v>4.87</v>
      </c>
      <c r="L56" s="53">
        <f t="shared" si="12"/>
        <v>3.4449999999999998</v>
      </c>
      <c r="M56" s="157">
        <v>1</v>
      </c>
      <c r="N56" s="4">
        <v>0.51500000000000001</v>
      </c>
      <c r="O56" s="4">
        <v>0.51500000000000001</v>
      </c>
      <c r="P56" s="9" t="e">
        <f t="shared" si="13"/>
        <v>#N/A</v>
      </c>
      <c r="Q56" s="5">
        <v>36685</v>
      </c>
      <c r="R56" s="4">
        <f t="shared" si="23"/>
        <v>1</v>
      </c>
      <c r="S56" s="158" t="e">
        <f>_xll.xSPRDOPT($K56,$L56,$J56,$M56,$N56,$O56,$P56,$Q56-$C$3,$R56,0)</f>
        <v>#N/A</v>
      </c>
      <c r="T56" s="159" t="e">
        <f>_xll.xSPRDOPT($K56,$L56,$J56,$M56,$N56,$O56,$P56,$Q56-$C$3,$R56,1)*I56</f>
        <v>#N/A</v>
      </c>
      <c r="U56" s="160">
        <v>-2500</v>
      </c>
      <c r="V56" s="159" t="e">
        <f>_xll.xSPRDOPT($K56,$L56,$J56,$M56,$N56,$O56,$P56,$Q56-$C$3,$R56,2)*I56</f>
        <v>#N/A</v>
      </c>
      <c r="W56" s="159" t="e">
        <f t="shared" si="24"/>
        <v>#N/A</v>
      </c>
      <c r="X56" s="51" t="str">
        <f t="shared" si="25"/>
        <v>36678IF-ELPO/SJ</v>
      </c>
      <c r="Y56" s="418">
        <f t="shared" si="26"/>
        <v>-5</v>
      </c>
      <c r="Z56" s="51"/>
      <c r="AA56" s="51"/>
      <c r="AB56" s="141">
        <f t="shared" si="14"/>
        <v>36678</v>
      </c>
      <c r="AC56" s="234" t="e">
        <f>_xll.xSPRDOPT(HLOOKUP($D$3,GDPRICES,VLOOKUP(Q56,GDmove_down,2,FALSE),FALSE),HLOOKUP($E$3,GDPRICES,VLOOKUP(Q56,GDmove_down,2,FALSE),FALSE),J56,VLOOKUP(H56,NGPREVPRICES,4,FALSE),HLOOKUP($H$3,GDPrevVols,VLOOKUP(Q56,GDmove_down2,2,FALSE),FALSE),HLOOKUP($H$3,GDPrevVols,VLOOKUP(Q56,GDmove_down2,2,FALSE),FALSE),HLOOKUP(E56,GDcorr,VLOOKUP(H56,CorMove,2,FALSE),FALSE),Q56-$AC$3,R56,$AC$5)*I56-AI56</f>
        <v>#N/A</v>
      </c>
      <c r="AD56" s="234" t="e">
        <f>_xll.xSPRDOPT(HLOOKUP($D$3,GDPrev,VLOOKUP(Q56,GDmove_down,2,FALSE),FALSE),HLOOKUP($E$3,GDPrev,VLOOKUP(Q56,GDmove_down,2,FALSE),FALSE),AJ56,VLOOKUP(H56,NGPrices,4,FALSE),HLOOKUP($H$3,GDPrevVols,VLOOKUP(Q56,GDmove_down2,2,FALSE),FALSE),HLOOKUP($H$3,GDPrevVols,VLOOKUP(Q56,GDmove_down2,2,FALSE),FALSE),HLOOKUP(E56,GDcorr,VLOOKUP(H56,CorMove,2,FALSE),FALSE),Q56-$AC$3,R56,$AI$5)*I56-AI56</f>
        <v>#N/A</v>
      </c>
      <c r="AE56" s="439" t="e">
        <f t="shared" ref="AE56:AE71" si="29">(AI56/VLOOKUP(AB56,discount,3,FALSE))-(AI56/VLOOKUP(AB56,discount,2,FALSE))</f>
        <v>#N/A</v>
      </c>
      <c r="AF56" s="234" t="e">
        <f>_xll.xSPRDOPT(HLOOKUP($D$3,GDPrev,VLOOKUP(Q56,GDmove_down,2,FALSE),FALSE),HLOOKUP($E$3,GDPrev,VLOOKUP(Q56,GDmove_down,2,FALSE),FALSE),AJ56,VLOOKUP(H56,NGPREVPRICES,4,FALSE),HLOOKUP($H$3,GDVol,VLOOKUP(H56,move_down,2,FALSE),FALSE),HLOOKUP($H$3,GDVol,VLOOKUP(H56,move_down,2,FALSE),FALSE),HLOOKUP(E56,GDcorr,VLOOKUP(H56,CorMove,2,FALSE),FALSE),Q56-$AC$3,R56,$AI$5)*I56-AI56</f>
        <v>#N/A</v>
      </c>
      <c r="AG56" s="234" t="e">
        <f>_xll.xSPRDOPT(HLOOKUP($D$3,GDPrev,VLOOKUP(Q56,GDmove_down,2,FALSE),FALSE),HLOOKUP($E$3,GDPrev,VLOOKUP(Q56,GDmove_down,2,FALSE),FALSE),AJ56,VLOOKUP(H56,NGPREVPRICES,4,FALSE),HLOOKUP($H$3,GDPrevVols,VLOOKUP(Q56,GDmove_down2,2,FALSE),FALSE),HLOOKUP($H$3,GDPrevVols,VLOOKUP(Q56,GDmove_down2,2,FALSE),FALSE),HLOOKUP(E56,GDcorr,VLOOKUP(H56,CorMove,2,FALSE),FALSE),Q56-$C$3,R56,$AI$5)*I56-AI56</f>
        <v>#N/A</v>
      </c>
      <c r="AH56" s="234" t="e">
        <f t="shared" ref="AH56:AH71" si="30">SUM(AC56:AG56)</f>
        <v>#N/A</v>
      </c>
      <c r="AI56" s="234" t="e">
        <f>_xll.xSPRDOPT(HLOOKUP($D$3,GDPrev,VLOOKUP(Q56,GDmove_down,2,FALSE),FALSE),HLOOKUP($E$3,GDPrev,VLOOKUP(Q56,GDmove_down,2,FALSE),FALSE),AJ56,VLOOKUP(H56,NGPREVPRICES,4,FALSE),HLOOKUP($H$3,GDPrevVols,VLOOKUP(Q56,GDmove_down2,2,FALSE),FALSE),HLOOKUP($H$3,GDPrevVols,VLOOKUP(Q56,GDmove_down2,2,FALSE),FALSE),HLOOKUP(E56,GDcorr,VLOOKUP(H56,CorMove,2,FALSE),FALSE),Q56-$AC$3,R56,$AI$5)*I56</f>
        <v>#N/A</v>
      </c>
      <c r="AJ56" s="235" t="e">
        <f t="shared" si="15"/>
        <v>#N/A</v>
      </c>
      <c r="AK56" s="234"/>
      <c r="AL56" t="str">
        <f t="shared" si="16"/>
        <v>36678Curve Shift/Gamma</v>
      </c>
      <c r="AM56" t="str">
        <f t="shared" si="17"/>
        <v>36678Rho</v>
      </c>
      <c r="AN56" t="str">
        <f t="shared" si="18"/>
        <v>36678Drift</v>
      </c>
      <c r="AO56" t="str">
        <f t="shared" si="19"/>
        <v>36678Vega</v>
      </c>
      <c r="AP56" t="str">
        <f t="shared" si="20"/>
        <v>36678Theta</v>
      </c>
      <c r="AZ56" s="41">
        <f t="shared" si="27"/>
        <v>37653</v>
      </c>
      <c r="BA56" s="44"/>
      <c r="BG56" s="441">
        <v>37987</v>
      </c>
      <c r="BH56">
        <v>0.98499999999999999</v>
      </c>
      <c r="BJ56" s="441">
        <v>37987</v>
      </c>
      <c r="BK56">
        <v>53</v>
      </c>
    </row>
    <row r="57" spans="1:63" ht="12" customHeight="1" x14ac:dyDescent="0.25">
      <c r="A57" s="382" t="s">
        <v>279</v>
      </c>
      <c r="B57" s="155" t="s">
        <v>250</v>
      </c>
      <c r="C57" s="155" t="s">
        <v>361</v>
      </c>
      <c r="D57" s="155" t="s">
        <v>190</v>
      </c>
      <c r="E57" s="4" t="s">
        <v>237</v>
      </c>
      <c r="F57" s="155" t="s">
        <v>20</v>
      </c>
      <c r="G57" s="155" t="s">
        <v>21</v>
      </c>
      <c r="H57" s="354">
        <v>36678</v>
      </c>
      <c r="I57" s="156">
        <v>10000</v>
      </c>
      <c r="J57" s="7">
        <v>0.46</v>
      </c>
      <c r="K57" s="53">
        <f t="shared" si="11"/>
        <v>4.87</v>
      </c>
      <c r="L57" s="53">
        <f t="shared" si="12"/>
        <v>3.4449999999999998</v>
      </c>
      <c r="M57" s="157">
        <v>1</v>
      </c>
      <c r="N57" s="4">
        <v>0.51500000000000001</v>
      </c>
      <c r="O57" s="4">
        <v>0.51500000000000001</v>
      </c>
      <c r="P57" s="9" t="e">
        <f t="shared" si="13"/>
        <v>#N/A</v>
      </c>
      <c r="Q57" s="5">
        <v>36685</v>
      </c>
      <c r="R57" s="4">
        <f t="shared" si="23"/>
        <v>1</v>
      </c>
      <c r="S57" s="158" t="e">
        <f>_xll.xSPRDOPT($K57,$L57,$J57,$M57,$N57,$O57,$P57,$Q57-$C$3,$R57,0)</f>
        <v>#N/A</v>
      </c>
      <c r="T57" s="159" t="e">
        <f>_xll.xSPRDOPT($K57,$L57,$J57,$M57,$N57,$O57,$P57,$Q57-$C$3,$R57,1)*I57</f>
        <v>#N/A</v>
      </c>
      <c r="U57" s="160">
        <v>500</v>
      </c>
      <c r="V57" s="159" t="e">
        <f>_xll.xSPRDOPT($K57,$L57,$J57,$M57,$N57,$O57,$P57,$Q57-$C$3,$R57,2)*I57</f>
        <v>#N/A</v>
      </c>
      <c r="W57" s="159" t="e">
        <f t="shared" si="24"/>
        <v>#N/A</v>
      </c>
      <c r="X57" s="51" t="str">
        <f t="shared" si="25"/>
        <v>36678IF-ELPO/SJ</v>
      </c>
      <c r="Y57" s="418">
        <f t="shared" si="26"/>
        <v>1</v>
      </c>
      <c r="Z57" s="51"/>
      <c r="AA57" s="51"/>
      <c r="AB57" s="141">
        <f t="shared" si="14"/>
        <v>36678</v>
      </c>
      <c r="AC57" s="234" t="e">
        <f>_xll.xSPRDOPT(HLOOKUP($D$3,GDPRICES,VLOOKUP(Q57,GDmove_down,2,FALSE),FALSE),HLOOKUP($E$3,GDPRICES,VLOOKUP(Q57,GDmove_down,2,FALSE),FALSE),J57,VLOOKUP(H57,NGPREVPRICES,4,FALSE),HLOOKUP($H$3,GDPrevVols,VLOOKUP(Q57,GDmove_down2,2,FALSE),FALSE),HLOOKUP($H$3,GDPrevVols,VLOOKUP(Q57,GDmove_down2,2,FALSE),FALSE),HLOOKUP(E57,GDcorr,VLOOKUP(H57,CorMove,2,FALSE),FALSE),Q57-$AC$3,R57,$AC$5)*I57-AI57</f>
        <v>#N/A</v>
      </c>
      <c r="AD57" s="234" t="e">
        <f>_xll.xSPRDOPT(HLOOKUP($D$3,GDPrev,VLOOKUP(Q57,GDmove_down,2,FALSE),FALSE),HLOOKUP($E$3,GDPrev,VLOOKUP(Q57,GDmove_down,2,FALSE),FALSE),AJ57,VLOOKUP(H57,NGPrices,4,FALSE),HLOOKUP($H$3,GDPrevVols,VLOOKUP(Q57,GDmove_down2,2,FALSE),FALSE),HLOOKUP($H$3,GDPrevVols,VLOOKUP(Q57,GDmove_down2,2,FALSE),FALSE),HLOOKUP(E57,GDcorr,VLOOKUP(H57,CorMove,2,FALSE),FALSE),Q57-$AC$3,R57,$AI$5)*I57-AI57</f>
        <v>#N/A</v>
      </c>
      <c r="AE57" s="439" t="e">
        <f t="shared" si="29"/>
        <v>#N/A</v>
      </c>
      <c r="AF57" s="234" t="e">
        <f>_xll.xSPRDOPT(HLOOKUP($D$3,GDPrev,VLOOKUP(Q57,GDmove_down,2,FALSE),FALSE),HLOOKUP($E$3,GDPrev,VLOOKUP(Q57,GDmove_down,2,FALSE),FALSE),AJ57,VLOOKUP(H57,NGPREVPRICES,4,FALSE),HLOOKUP($H$3,GDVol,VLOOKUP(H57,move_down,2,FALSE),FALSE),HLOOKUP($H$3,GDVol,VLOOKUP(H57,move_down,2,FALSE),FALSE),HLOOKUP(E57,GDcorr,VLOOKUP(H57,CorMove,2,FALSE),FALSE),Q57-$AC$3,R57,$AI$5)*I57-AI57</f>
        <v>#N/A</v>
      </c>
      <c r="AG57" s="234" t="e">
        <f>_xll.xSPRDOPT(HLOOKUP($D$3,GDPrev,VLOOKUP(Q57,GDmove_down,2,FALSE),FALSE),HLOOKUP($E$3,GDPrev,VLOOKUP(Q57,GDmove_down,2,FALSE),FALSE),AJ57,VLOOKUP(H57,NGPREVPRICES,4,FALSE),HLOOKUP($H$3,GDPrevVols,VLOOKUP(Q57,GDmove_down2,2,FALSE),FALSE),HLOOKUP($H$3,GDPrevVols,VLOOKUP(Q57,GDmove_down2,2,FALSE),FALSE),HLOOKUP(E57,GDcorr,VLOOKUP(H57,CorMove,2,FALSE),FALSE),Q57-$C$3,R57,$AI$5)*I57-AI57</f>
        <v>#N/A</v>
      </c>
      <c r="AH57" s="234" t="e">
        <f t="shared" si="30"/>
        <v>#N/A</v>
      </c>
      <c r="AI57" s="234" t="e">
        <f>_xll.xSPRDOPT(HLOOKUP($D$3,GDPrev,VLOOKUP(Q57,GDmove_down,2,FALSE),FALSE),HLOOKUP($E$3,GDPrev,VLOOKUP(Q57,GDmove_down,2,FALSE),FALSE),AJ57,VLOOKUP(H57,NGPREVPRICES,4,FALSE),HLOOKUP($H$3,GDPrevVols,VLOOKUP(Q57,GDmove_down2,2,FALSE),FALSE),HLOOKUP($H$3,GDPrevVols,VLOOKUP(Q57,GDmove_down2,2,FALSE),FALSE),HLOOKUP(E57,GDcorr,VLOOKUP(H57,CorMove,2,FALSE),FALSE),Q57-$AC$3,R57,$AI$5)*I57</f>
        <v>#N/A</v>
      </c>
      <c r="AJ57" s="235" t="e">
        <f t="shared" si="15"/>
        <v>#N/A</v>
      </c>
      <c r="AK57" s="234"/>
      <c r="AL57" t="str">
        <f t="shared" si="16"/>
        <v>36678Curve Shift/Gamma</v>
      </c>
      <c r="AM57" t="str">
        <f t="shared" si="17"/>
        <v>36678Rho</v>
      </c>
      <c r="AN57" t="str">
        <f t="shared" si="18"/>
        <v>36678Drift</v>
      </c>
      <c r="AO57" t="str">
        <f t="shared" si="19"/>
        <v>36678Vega</v>
      </c>
      <c r="AP57" t="str">
        <f t="shared" si="20"/>
        <v>36678Theta</v>
      </c>
      <c r="AZ57" s="41">
        <f t="shared" si="27"/>
        <v>37681</v>
      </c>
      <c r="BA57" s="44"/>
      <c r="BG57" s="441">
        <v>38018</v>
      </c>
      <c r="BH57">
        <v>0.98499999999999999</v>
      </c>
      <c r="BJ57" s="441">
        <v>38018</v>
      </c>
      <c r="BK57">
        <v>54</v>
      </c>
    </row>
    <row r="58" spans="1:63" ht="12" customHeight="1" x14ac:dyDescent="0.25">
      <c r="A58" s="382" t="s">
        <v>279</v>
      </c>
      <c r="B58" s="155" t="s">
        <v>250</v>
      </c>
      <c r="C58" s="155" t="s">
        <v>364</v>
      </c>
      <c r="D58" s="155" t="s">
        <v>190</v>
      </c>
      <c r="E58" s="4" t="s">
        <v>237</v>
      </c>
      <c r="F58" s="155" t="s">
        <v>20</v>
      </c>
      <c r="G58" s="155" t="s">
        <v>21</v>
      </c>
      <c r="H58" s="354">
        <v>36678</v>
      </c>
      <c r="I58" s="156">
        <v>-333333</v>
      </c>
      <c r="J58" s="7">
        <v>0.46</v>
      </c>
      <c r="K58" s="53">
        <f t="shared" si="11"/>
        <v>4.87</v>
      </c>
      <c r="L58" s="53">
        <f t="shared" si="12"/>
        <v>3.4449999999999998</v>
      </c>
      <c r="M58" s="157">
        <v>1</v>
      </c>
      <c r="N58" s="4">
        <v>0.51500000000000001</v>
      </c>
      <c r="O58" s="4">
        <v>0.51500000000000001</v>
      </c>
      <c r="P58" s="9" t="e">
        <f t="shared" si="13"/>
        <v>#N/A</v>
      </c>
      <c r="Q58" s="5">
        <v>36685</v>
      </c>
      <c r="R58" s="4">
        <f t="shared" si="23"/>
        <v>1</v>
      </c>
      <c r="S58" s="158" t="e">
        <f>_xll.xSPRDOPT($K58,$L58,$J58,$M58,$N58,$O58,$P58,$Q58-$C$3,$R58,0)</f>
        <v>#N/A</v>
      </c>
      <c r="T58" s="159" t="e">
        <f>_xll.xSPRDOPT($K58,$L58,$J58,$M58,$N58,$O58,$P58,$Q58-$C$3,$R58,1)*I58</f>
        <v>#N/A</v>
      </c>
      <c r="U58" s="160">
        <v>-16666.650000000001</v>
      </c>
      <c r="V58" s="159" t="e">
        <f>_xll.xSPRDOPT($K58,$L58,$J58,$M58,$N58,$O58,$P58,$Q58-$C$3,$R58,2)*I58</f>
        <v>#N/A</v>
      </c>
      <c r="W58" s="159" t="e">
        <f t="shared" si="24"/>
        <v>#N/A</v>
      </c>
      <c r="X58" s="51" t="str">
        <f t="shared" si="25"/>
        <v>36678IF-ELPO/SJ</v>
      </c>
      <c r="Y58" s="418">
        <f t="shared" si="26"/>
        <v>-33.333300000000001</v>
      </c>
      <c r="Z58" s="51"/>
      <c r="AA58" s="51"/>
      <c r="AB58" s="141">
        <f t="shared" si="14"/>
        <v>36678</v>
      </c>
      <c r="AC58" s="234" t="e">
        <f>_xll.xSPRDOPT(HLOOKUP($D$3,GDPRICES,VLOOKUP(Q58,GDmove_down,2,FALSE),FALSE),HLOOKUP($E$3,GDPRICES,VLOOKUP(Q58,GDmove_down,2,FALSE),FALSE),J58,VLOOKUP(H58,NGPREVPRICES,4,FALSE),HLOOKUP($H$3,GDPrevVols,VLOOKUP(Q58,GDmove_down2,2,FALSE),FALSE),HLOOKUP($H$3,GDPrevVols,VLOOKUP(Q58,GDmove_down2,2,FALSE),FALSE),HLOOKUP(E58,GDcorr,VLOOKUP(H58,CorMove,2,FALSE),FALSE),Q58-$AC$3,R58,$AC$5)*I58-AI58</f>
        <v>#N/A</v>
      </c>
      <c r="AD58" s="234" t="e">
        <f>_xll.xSPRDOPT(HLOOKUP($D$3,GDPrev,VLOOKUP(Q58,GDmove_down,2,FALSE),FALSE),HLOOKUP($E$3,GDPrev,VLOOKUP(Q58,GDmove_down,2,FALSE),FALSE),AJ58,VLOOKUP(H58,NGPrices,4,FALSE),HLOOKUP($H$3,GDPrevVols,VLOOKUP(Q58,GDmove_down2,2,FALSE),FALSE),HLOOKUP($H$3,GDPrevVols,VLOOKUP(Q58,GDmove_down2,2,FALSE),FALSE),HLOOKUP(E58,GDcorr,VLOOKUP(H58,CorMove,2,FALSE),FALSE),Q58-$AC$3,R58,$AI$5)*I58-AI58</f>
        <v>#N/A</v>
      </c>
      <c r="AE58" s="439" t="e">
        <f t="shared" si="29"/>
        <v>#N/A</v>
      </c>
      <c r="AF58" s="234" t="e">
        <f>_xll.xSPRDOPT(HLOOKUP($D$3,GDPrev,VLOOKUP(Q58,GDmove_down,2,FALSE),FALSE),HLOOKUP($E$3,GDPrev,VLOOKUP(Q58,GDmove_down,2,FALSE),FALSE),AJ58,VLOOKUP(H58,NGPREVPRICES,4,FALSE),HLOOKUP($H$3,GDVol,VLOOKUP(H58,move_down,2,FALSE),FALSE),HLOOKUP($H$3,GDVol,VLOOKUP(H58,move_down,2,FALSE),FALSE),HLOOKUP(E58,GDcorr,VLOOKUP(H58,CorMove,2,FALSE),FALSE),Q58-$AC$3,R58,$AI$5)*I58-AI58</f>
        <v>#N/A</v>
      </c>
      <c r="AG58" s="234" t="e">
        <f>_xll.xSPRDOPT(HLOOKUP($D$3,GDPrev,VLOOKUP(Q58,GDmove_down,2,FALSE),FALSE),HLOOKUP($E$3,GDPrev,VLOOKUP(Q58,GDmove_down,2,FALSE),FALSE),AJ58,VLOOKUP(H58,NGPREVPRICES,4,FALSE),HLOOKUP($H$3,GDPrevVols,VLOOKUP(Q58,GDmove_down2,2,FALSE),FALSE),HLOOKUP($H$3,GDPrevVols,VLOOKUP(Q58,GDmove_down2,2,FALSE),FALSE),HLOOKUP(E58,GDcorr,VLOOKUP(H58,CorMove,2,FALSE),FALSE),Q58-$C$3,R58,$AI$5)*I58-AI58</f>
        <v>#N/A</v>
      </c>
      <c r="AH58" s="234" t="e">
        <f t="shared" si="30"/>
        <v>#N/A</v>
      </c>
      <c r="AI58" s="234" t="e">
        <f>_xll.xSPRDOPT(HLOOKUP($D$3,GDPrev,VLOOKUP(Q58,GDmove_down,2,FALSE),FALSE),HLOOKUP($E$3,GDPrev,VLOOKUP(Q58,GDmove_down,2,FALSE),FALSE),AJ58,VLOOKUP(H58,NGPREVPRICES,4,FALSE),HLOOKUP($H$3,GDPrevVols,VLOOKUP(Q58,GDmove_down2,2,FALSE),FALSE),HLOOKUP($H$3,GDPrevVols,VLOOKUP(Q58,GDmove_down2,2,FALSE),FALSE),HLOOKUP(E58,GDcorr,VLOOKUP(H58,CorMove,2,FALSE),FALSE),Q58-$AC$3,R58,$AI$5)*I58</f>
        <v>#N/A</v>
      </c>
      <c r="AJ58" s="235" t="e">
        <f t="shared" si="15"/>
        <v>#N/A</v>
      </c>
      <c r="AK58" s="234"/>
      <c r="AL58" t="str">
        <f t="shared" si="16"/>
        <v>36678Curve Shift/Gamma</v>
      </c>
      <c r="AM58" t="str">
        <f t="shared" si="17"/>
        <v>36678Rho</v>
      </c>
      <c r="AN58" t="str">
        <f t="shared" si="18"/>
        <v>36678Drift</v>
      </c>
      <c r="AO58" t="str">
        <f t="shared" si="19"/>
        <v>36678Vega</v>
      </c>
      <c r="AP58" t="str">
        <f t="shared" si="20"/>
        <v>36678Theta</v>
      </c>
      <c r="AZ58" s="41">
        <f t="shared" si="27"/>
        <v>37712</v>
      </c>
      <c r="BA58" s="44"/>
      <c r="BG58" s="441">
        <v>38047</v>
      </c>
      <c r="BH58">
        <v>0.98499999999999999</v>
      </c>
      <c r="BJ58" s="441">
        <v>38047</v>
      </c>
      <c r="BK58">
        <v>55</v>
      </c>
    </row>
    <row r="59" spans="1:63" ht="12" customHeight="1" x14ac:dyDescent="0.25">
      <c r="A59" s="384" t="s">
        <v>268</v>
      </c>
      <c r="B59" s="155" t="s">
        <v>250</v>
      </c>
      <c r="C59" s="155" t="s">
        <v>387</v>
      </c>
      <c r="D59" s="155" t="s">
        <v>190</v>
      </c>
      <c r="E59" s="4" t="s">
        <v>237</v>
      </c>
      <c r="F59" s="155" t="s">
        <v>20</v>
      </c>
      <c r="G59" s="155" t="s">
        <v>21</v>
      </c>
      <c r="H59" s="354">
        <v>36678</v>
      </c>
      <c r="I59" s="156">
        <v>-10000</v>
      </c>
      <c r="J59" s="7">
        <v>0.46</v>
      </c>
      <c r="K59" s="53">
        <f t="shared" si="11"/>
        <v>4.87</v>
      </c>
      <c r="L59" s="53">
        <f t="shared" si="12"/>
        <v>3.4449999999999998</v>
      </c>
      <c r="M59" s="157">
        <v>1</v>
      </c>
      <c r="N59" s="4">
        <v>0.51500000000000001</v>
      </c>
      <c r="O59" s="4">
        <v>0.51500000000000001</v>
      </c>
      <c r="P59" s="9" t="e">
        <f t="shared" si="13"/>
        <v>#N/A</v>
      </c>
      <c r="Q59" s="5">
        <v>36685</v>
      </c>
      <c r="R59" s="4">
        <f t="shared" si="23"/>
        <v>1</v>
      </c>
      <c r="S59" s="158" t="e">
        <f>_xll.xSPRDOPT($K59,$L59,$J59,$M59,$N59,$O59,$P59,$Q59-$C$3,$R59,0)</f>
        <v>#N/A</v>
      </c>
      <c r="T59" s="159" t="e">
        <f>_xll.xSPRDOPT($K59,$L59,$J59,$M59,$N59,$O59,$P59,$Q59-$C$3,$R59,1)*I59</f>
        <v>#N/A</v>
      </c>
      <c r="U59" s="160">
        <v>-500</v>
      </c>
      <c r="V59" s="159" t="e">
        <f>_xll.xSPRDOPT($K59,$L59,$J59,$M59,$N59,$O59,$P59,$Q59-$C$3,$R59,2)*I59</f>
        <v>#N/A</v>
      </c>
      <c r="W59" s="159" t="e">
        <f t="shared" si="24"/>
        <v>#N/A</v>
      </c>
      <c r="X59" s="51" t="str">
        <f t="shared" si="25"/>
        <v>36678IF-ELPO/SJ</v>
      </c>
      <c r="Y59" s="418">
        <f t="shared" si="26"/>
        <v>-1</v>
      </c>
      <c r="Z59" s="51"/>
      <c r="AA59" s="51"/>
      <c r="AB59" s="141">
        <f t="shared" si="14"/>
        <v>36678</v>
      </c>
      <c r="AC59" s="234" t="e">
        <f>_xll.xSPRDOPT(HLOOKUP($D$3,GDPRICES,VLOOKUP(Q59,GDmove_down,2,FALSE),FALSE),HLOOKUP($E$3,GDPRICES,VLOOKUP(Q59,GDmove_down,2,FALSE),FALSE),J59,VLOOKUP(H59,NGPREVPRICES,4,FALSE),HLOOKUP($H$3,GDPrevVols,VLOOKUP(Q59,GDmove_down2,2,FALSE),FALSE),HLOOKUP($H$3,GDPrevVols,VLOOKUP(Q59,GDmove_down2,2,FALSE),FALSE),HLOOKUP(E59,GDcorr,VLOOKUP(H59,CorMove,2,FALSE),FALSE),Q59-$AC$3,R59,$AC$5)*I59-AI59</f>
        <v>#N/A</v>
      </c>
      <c r="AD59" s="234" t="e">
        <f>_xll.xSPRDOPT(HLOOKUP($D$3,GDPrev,VLOOKUP(Q59,GDmove_down,2,FALSE),FALSE),HLOOKUP($E$3,GDPrev,VLOOKUP(Q59,GDmove_down,2,FALSE),FALSE),AJ59,VLOOKUP(H59,NGPrices,4,FALSE),HLOOKUP($H$3,GDPrevVols,VLOOKUP(Q59,GDmove_down2,2,FALSE),FALSE),HLOOKUP($H$3,GDPrevVols,VLOOKUP(Q59,GDmove_down2,2,FALSE),FALSE),HLOOKUP(E59,GDcorr,VLOOKUP(H59,CorMove,2,FALSE),FALSE),Q59-$AC$3,R59,$AI$5)*I59-AI59</f>
        <v>#N/A</v>
      </c>
      <c r="AE59" s="439" t="e">
        <f t="shared" si="29"/>
        <v>#N/A</v>
      </c>
      <c r="AF59" s="234" t="e">
        <f>_xll.xSPRDOPT(HLOOKUP($D$3,GDPrev,VLOOKUP(Q59,GDmove_down,2,FALSE),FALSE),HLOOKUP($E$3,GDPrev,VLOOKUP(Q59,GDmove_down,2,FALSE),FALSE),AJ59,VLOOKUP(H59,NGPREVPRICES,4,FALSE),HLOOKUP($H$3,GDVol,VLOOKUP(H59,move_down,2,FALSE),FALSE),HLOOKUP($H$3,GDVol,VLOOKUP(H59,move_down,2,FALSE),FALSE),HLOOKUP(E59,GDcorr,VLOOKUP(H59,CorMove,2,FALSE),FALSE),Q59-$AC$3,R59,$AI$5)*I59-AI59</f>
        <v>#N/A</v>
      </c>
      <c r="AG59" s="234" t="e">
        <f>_xll.xSPRDOPT(HLOOKUP($D$3,GDPrev,VLOOKUP(Q59,GDmove_down,2,FALSE),FALSE),HLOOKUP($E$3,GDPrev,VLOOKUP(Q59,GDmove_down,2,FALSE),FALSE),AJ59,VLOOKUP(H59,NGPREVPRICES,4,FALSE),HLOOKUP($H$3,GDPrevVols,VLOOKUP(Q59,GDmove_down2,2,FALSE),FALSE),HLOOKUP($H$3,GDPrevVols,VLOOKUP(Q59,GDmove_down2,2,FALSE),FALSE),HLOOKUP(E59,GDcorr,VLOOKUP(H59,CorMove,2,FALSE),FALSE),Q59-$C$3,R59,$AI$5)*I59-AI59</f>
        <v>#N/A</v>
      </c>
      <c r="AH59" s="234" t="e">
        <f t="shared" si="30"/>
        <v>#N/A</v>
      </c>
      <c r="AI59" s="234" t="e">
        <f>_xll.xSPRDOPT(HLOOKUP($D$3,GDPrev,VLOOKUP(Q59,GDmove_down,2,FALSE),FALSE),HLOOKUP($E$3,GDPrev,VLOOKUP(Q59,GDmove_down,2,FALSE),FALSE),AJ59,VLOOKUP(H59,NGPREVPRICES,4,FALSE),HLOOKUP($H$3,GDPrevVols,VLOOKUP(Q59,GDmove_down2,2,FALSE),FALSE),HLOOKUP($H$3,GDPrevVols,VLOOKUP(Q59,GDmove_down2,2,FALSE),FALSE),HLOOKUP(E59,GDcorr,VLOOKUP(H59,CorMove,2,FALSE),FALSE),Q59-$AC$3,R59,$AI$5)*I59</f>
        <v>#N/A</v>
      </c>
      <c r="AJ59" s="235" t="e">
        <f t="shared" si="15"/>
        <v>#N/A</v>
      </c>
      <c r="AK59" s="234"/>
      <c r="AL59" t="str">
        <f t="shared" si="16"/>
        <v>36678Curve Shift/Gamma</v>
      </c>
      <c r="AM59" t="str">
        <f t="shared" si="17"/>
        <v>36678Rho</v>
      </c>
      <c r="AN59" t="str">
        <f t="shared" si="18"/>
        <v>36678Drift</v>
      </c>
      <c r="AO59" t="str">
        <f t="shared" si="19"/>
        <v>36678Vega</v>
      </c>
      <c r="AP59" t="str">
        <f t="shared" si="20"/>
        <v>36678Theta</v>
      </c>
      <c r="AZ59" s="41">
        <f t="shared" si="27"/>
        <v>37742</v>
      </c>
      <c r="BA59" s="44"/>
      <c r="BG59" s="441">
        <v>38078</v>
      </c>
      <c r="BH59">
        <v>0.98499999999999999</v>
      </c>
      <c r="BJ59" s="441">
        <v>38078</v>
      </c>
      <c r="BK59">
        <v>56</v>
      </c>
    </row>
    <row r="60" spans="1:63" ht="12" customHeight="1" x14ac:dyDescent="0.25">
      <c r="A60" s="384" t="s">
        <v>279</v>
      </c>
      <c r="B60" s="155" t="s">
        <v>250</v>
      </c>
      <c r="C60" s="155" t="s">
        <v>388</v>
      </c>
      <c r="D60" s="155" t="s">
        <v>190</v>
      </c>
      <c r="E60" s="4" t="s">
        <v>237</v>
      </c>
      <c r="F60" s="155" t="s">
        <v>20</v>
      </c>
      <c r="G60" s="155" t="s">
        <v>21</v>
      </c>
      <c r="H60" s="354">
        <v>36678</v>
      </c>
      <c r="I60" s="156">
        <v>50000</v>
      </c>
      <c r="J60" s="7">
        <v>0.46</v>
      </c>
      <c r="K60" s="53">
        <f t="shared" si="11"/>
        <v>4.87</v>
      </c>
      <c r="L60" s="53">
        <f t="shared" si="12"/>
        <v>3.4449999999999998</v>
      </c>
      <c r="M60" s="157">
        <v>1</v>
      </c>
      <c r="N60" s="4">
        <v>0.51500000000000001</v>
      </c>
      <c r="O60" s="4">
        <v>0.51500000000000001</v>
      </c>
      <c r="P60" s="9" t="e">
        <f t="shared" si="13"/>
        <v>#N/A</v>
      </c>
      <c r="Q60" s="5">
        <v>36685</v>
      </c>
      <c r="R60" s="4">
        <f t="shared" si="23"/>
        <v>1</v>
      </c>
      <c r="S60" s="158" t="e">
        <f>_xll.xSPRDOPT($K60,$L60,$J60,$M60,$N60,$O60,$P60,$Q60-$C$3,$R60,0)</f>
        <v>#N/A</v>
      </c>
      <c r="T60" s="159" t="e">
        <f>_xll.xSPRDOPT($K60,$L60,$J60,$M60,$N60,$O60,$P60,$Q60-$C$3,$R60,1)*I60</f>
        <v>#N/A</v>
      </c>
      <c r="U60" s="160">
        <v>2500</v>
      </c>
      <c r="V60" s="159" t="e">
        <f>_xll.xSPRDOPT($K60,$L60,$J60,$M60,$N60,$O60,$P60,$Q60-$C$3,$R60,2)*I60</f>
        <v>#N/A</v>
      </c>
      <c r="W60" s="159" t="e">
        <f t="shared" si="24"/>
        <v>#N/A</v>
      </c>
      <c r="X60" s="51" t="str">
        <f t="shared" si="25"/>
        <v>36678IF-ELPO/SJ</v>
      </c>
      <c r="Y60" s="418">
        <f t="shared" si="26"/>
        <v>5</v>
      </c>
      <c r="Z60" s="51"/>
      <c r="AA60" s="51"/>
      <c r="AB60" s="141">
        <f t="shared" si="14"/>
        <v>36678</v>
      </c>
      <c r="AC60" s="234" t="e">
        <f>_xll.xSPRDOPT(HLOOKUP($D$3,GDPRICES,VLOOKUP(Q60,GDmove_down,2,FALSE),FALSE),HLOOKUP($E$3,GDPRICES,VLOOKUP(Q60,GDmove_down,2,FALSE),FALSE),J60,VLOOKUP(H60,NGPREVPRICES,4,FALSE),HLOOKUP($H$3,GDPrevVols,VLOOKUP(Q60,GDmove_down2,2,FALSE),FALSE),HLOOKUP($H$3,GDPrevVols,VLOOKUP(Q60,GDmove_down2,2,FALSE),FALSE),HLOOKUP(E60,GDcorr,VLOOKUP(H60,CorMove,2,FALSE),FALSE),Q60-$AC$3,R60,$AC$5)*I60-AI60</f>
        <v>#N/A</v>
      </c>
      <c r="AD60" s="234" t="e">
        <f>_xll.xSPRDOPT(HLOOKUP($D$3,GDPrev,VLOOKUP(Q60,GDmove_down,2,FALSE),FALSE),HLOOKUP($E$3,GDPrev,VLOOKUP(Q60,GDmove_down,2,FALSE),FALSE),AJ60,VLOOKUP(H60,NGPrices,4,FALSE),HLOOKUP($H$3,GDPrevVols,VLOOKUP(Q60,GDmove_down2,2,FALSE),FALSE),HLOOKUP($H$3,GDPrevVols,VLOOKUP(Q60,GDmove_down2,2,FALSE),FALSE),HLOOKUP(E60,GDcorr,VLOOKUP(H60,CorMove,2,FALSE),FALSE),Q60-$AC$3,R60,$AI$5)*I60-AI60</f>
        <v>#N/A</v>
      </c>
      <c r="AE60" s="439" t="e">
        <f t="shared" si="29"/>
        <v>#N/A</v>
      </c>
      <c r="AF60" s="234" t="e">
        <f>_xll.xSPRDOPT(HLOOKUP($D$3,GDPrev,VLOOKUP(Q60,GDmove_down,2,FALSE),FALSE),HLOOKUP($E$3,GDPrev,VLOOKUP(Q60,GDmove_down,2,FALSE),FALSE),AJ60,VLOOKUP(H60,NGPREVPRICES,4,FALSE),HLOOKUP($H$3,GDVol,VLOOKUP(H60,move_down,2,FALSE),FALSE),HLOOKUP($H$3,GDVol,VLOOKUP(H60,move_down,2,FALSE),FALSE),HLOOKUP(E60,GDcorr,VLOOKUP(H60,CorMove,2,FALSE),FALSE),Q60-$AC$3,R60,$AI$5)*I60-AI60</f>
        <v>#N/A</v>
      </c>
      <c r="AG60" s="234" t="e">
        <f>_xll.xSPRDOPT(HLOOKUP($D$3,GDPrev,VLOOKUP(Q60,GDmove_down,2,FALSE),FALSE),HLOOKUP($E$3,GDPrev,VLOOKUP(Q60,GDmove_down,2,FALSE),FALSE),AJ60,VLOOKUP(H60,NGPREVPRICES,4,FALSE),HLOOKUP($H$3,GDPrevVols,VLOOKUP(Q60,GDmove_down2,2,FALSE),FALSE),HLOOKUP($H$3,GDPrevVols,VLOOKUP(Q60,GDmove_down2,2,FALSE),FALSE),HLOOKUP(E60,GDcorr,VLOOKUP(H60,CorMove,2,FALSE),FALSE),Q60-$C$3,R60,$AI$5)*I60-AI60</f>
        <v>#N/A</v>
      </c>
      <c r="AH60" s="234" t="e">
        <f t="shared" si="30"/>
        <v>#N/A</v>
      </c>
      <c r="AI60" s="234" t="e">
        <f>_xll.xSPRDOPT(HLOOKUP($D$3,GDPrev,VLOOKUP(Q60,GDmove_down,2,FALSE),FALSE),HLOOKUP($E$3,GDPrev,VLOOKUP(Q60,GDmove_down,2,FALSE),FALSE),AJ60,VLOOKUP(H60,NGPREVPRICES,4,FALSE),HLOOKUP($H$3,GDPrevVols,VLOOKUP(Q60,GDmove_down2,2,FALSE),FALSE),HLOOKUP($H$3,GDPrevVols,VLOOKUP(Q60,GDmove_down2,2,FALSE),FALSE),HLOOKUP(E60,GDcorr,VLOOKUP(H60,CorMove,2,FALSE),FALSE),Q60-$AC$3,R60,$AI$5)*I60</f>
        <v>#N/A</v>
      </c>
      <c r="AJ60" s="235" t="e">
        <f t="shared" si="15"/>
        <v>#N/A</v>
      </c>
      <c r="AK60" s="234"/>
      <c r="AL60" t="str">
        <f t="shared" si="16"/>
        <v>36678Curve Shift/Gamma</v>
      </c>
      <c r="AM60" t="str">
        <f t="shared" si="17"/>
        <v>36678Rho</v>
      </c>
      <c r="AN60" t="str">
        <f t="shared" si="18"/>
        <v>36678Drift</v>
      </c>
      <c r="AO60" t="str">
        <f t="shared" si="19"/>
        <v>36678Vega</v>
      </c>
      <c r="AP60" t="str">
        <f t="shared" si="20"/>
        <v>36678Theta</v>
      </c>
      <c r="AZ60" s="41">
        <f t="shared" si="27"/>
        <v>37773</v>
      </c>
      <c r="BA60" s="44"/>
      <c r="BG60" s="441">
        <v>38108</v>
      </c>
      <c r="BH60">
        <v>0.98499999999999999</v>
      </c>
      <c r="BJ60" s="441">
        <v>38108</v>
      </c>
      <c r="BK60">
        <v>57</v>
      </c>
    </row>
    <row r="61" spans="1:63" ht="12" customHeight="1" x14ac:dyDescent="0.25">
      <c r="A61" s="384" t="s">
        <v>279</v>
      </c>
      <c r="B61" s="155" t="s">
        <v>250</v>
      </c>
      <c r="C61" s="155" t="s">
        <v>389</v>
      </c>
      <c r="D61" s="155" t="s">
        <v>190</v>
      </c>
      <c r="E61" s="4" t="s">
        <v>237</v>
      </c>
      <c r="F61" s="155" t="s">
        <v>20</v>
      </c>
      <c r="G61" s="155" t="s">
        <v>21</v>
      </c>
      <c r="H61" s="354">
        <v>36678</v>
      </c>
      <c r="I61" s="156">
        <v>50000</v>
      </c>
      <c r="J61" s="7">
        <v>0.46</v>
      </c>
      <c r="K61" s="53">
        <f t="shared" si="11"/>
        <v>4.87</v>
      </c>
      <c r="L61" s="53">
        <f t="shared" si="12"/>
        <v>3.4449999999999998</v>
      </c>
      <c r="M61" s="157">
        <v>1</v>
      </c>
      <c r="N61" s="4">
        <v>0.51500000000000001</v>
      </c>
      <c r="O61" s="4">
        <v>0.51500000000000001</v>
      </c>
      <c r="P61" s="9" t="e">
        <f t="shared" si="13"/>
        <v>#N/A</v>
      </c>
      <c r="Q61" s="5">
        <v>36685</v>
      </c>
      <c r="R61" s="4">
        <f t="shared" si="23"/>
        <v>1</v>
      </c>
      <c r="S61" s="158" t="e">
        <f>_xll.xSPRDOPT($K61,$L61,$J61,$M61,$N61,$O61,$P61,$Q61-$C$3,$R61,0)</f>
        <v>#N/A</v>
      </c>
      <c r="T61" s="159" t="e">
        <f>_xll.xSPRDOPT($K61,$L61,$J61,$M61,$N61,$O61,$P61,$Q61-$C$3,$R61,1)*I61</f>
        <v>#N/A</v>
      </c>
      <c r="U61" s="160">
        <v>2500</v>
      </c>
      <c r="V61" s="159" t="e">
        <f>_xll.xSPRDOPT($K61,$L61,$J61,$M61,$N61,$O61,$P61,$Q61-$C$3,$R61,2)*I61</f>
        <v>#N/A</v>
      </c>
      <c r="W61" s="159" t="e">
        <f t="shared" si="24"/>
        <v>#N/A</v>
      </c>
      <c r="X61" s="51" t="str">
        <f t="shared" si="25"/>
        <v>36678IF-ELPO/SJ</v>
      </c>
      <c r="Y61" s="418">
        <f t="shared" si="26"/>
        <v>5</v>
      </c>
      <c r="Z61" s="51"/>
      <c r="AA61" s="51"/>
      <c r="AB61" s="141">
        <f t="shared" si="14"/>
        <v>36678</v>
      </c>
      <c r="AC61" s="234" t="e">
        <f>_xll.xSPRDOPT(HLOOKUP($D$3,GDPRICES,VLOOKUP(Q61,GDmove_down,2,FALSE),FALSE),HLOOKUP($E$3,GDPRICES,VLOOKUP(Q61,GDmove_down,2,FALSE),FALSE),J61,VLOOKUP(H61,NGPREVPRICES,4,FALSE),HLOOKUP($H$3,GDPrevVols,VLOOKUP(Q61,GDmove_down2,2,FALSE),FALSE),HLOOKUP($H$3,GDPrevVols,VLOOKUP(Q61,GDmove_down2,2,FALSE),FALSE),HLOOKUP(E61,GDcorr,VLOOKUP(H61,CorMove,2,FALSE),FALSE),Q61-$AC$3,R61,$AC$5)*I61-AI61</f>
        <v>#N/A</v>
      </c>
      <c r="AD61" s="234" t="e">
        <f>_xll.xSPRDOPT(HLOOKUP($D$3,GDPrev,VLOOKUP(Q61,GDmove_down,2,FALSE),FALSE),HLOOKUP($E$3,GDPrev,VLOOKUP(Q61,GDmove_down,2,FALSE),FALSE),AJ61,VLOOKUP(H61,NGPrices,4,FALSE),HLOOKUP($H$3,GDPrevVols,VLOOKUP(Q61,GDmove_down2,2,FALSE),FALSE),HLOOKUP($H$3,GDPrevVols,VLOOKUP(Q61,GDmove_down2,2,FALSE),FALSE),HLOOKUP(E61,GDcorr,VLOOKUP(H61,CorMove,2,FALSE),FALSE),Q61-$AC$3,R61,$AI$5)*I61-AI61</f>
        <v>#N/A</v>
      </c>
      <c r="AE61" s="439" t="e">
        <f t="shared" si="29"/>
        <v>#N/A</v>
      </c>
      <c r="AF61" s="234" t="e">
        <f>_xll.xSPRDOPT(HLOOKUP($D$3,GDPrev,VLOOKUP(Q61,GDmove_down,2,FALSE),FALSE),HLOOKUP($E$3,GDPrev,VLOOKUP(Q61,GDmove_down,2,FALSE),FALSE),AJ61,VLOOKUP(H61,NGPREVPRICES,4,FALSE),HLOOKUP($H$3,GDVol,VLOOKUP(H61,move_down,2,FALSE),FALSE),HLOOKUP($H$3,GDVol,VLOOKUP(H61,move_down,2,FALSE),FALSE),HLOOKUP(E61,GDcorr,VLOOKUP(H61,CorMove,2,FALSE),FALSE),Q61-$AC$3,R61,$AI$5)*I61-AI61</f>
        <v>#N/A</v>
      </c>
      <c r="AG61" s="234" t="e">
        <f>_xll.xSPRDOPT(HLOOKUP($D$3,GDPrev,VLOOKUP(Q61,GDmove_down,2,FALSE),FALSE),HLOOKUP($E$3,GDPrev,VLOOKUP(Q61,GDmove_down,2,FALSE),FALSE),AJ61,VLOOKUP(H61,NGPREVPRICES,4,FALSE),HLOOKUP($H$3,GDPrevVols,VLOOKUP(Q61,GDmove_down2,2,FALSE),FALSE),HLOOKUP($H$3,GDPrevVols,VLOOKUP(Q61,GDmove_down2,2,FALSE),FALSE),HLOOKUP(E61,GDcorr,VLOOKUP(H61,CorMove,2,FALSE),FALSE),Q61-$C$3,R61,$AI$5)*I61-AI61</f>
        <v>#N/A</v>
      </c>
      <c r="AH61" s="234" t="e">
        <f t="shared" si="30"/>
        <v>#N/A</v>
      </c>
      <c r="AI61" s="234" t="e">
        <f>_xll.xSPRDOPT(HLOOKUP($D$3,GDPrev,VLOOKUP(Q61,GDmove_down,2,FALSE),FALSE),HLOOKUP($E$3,GDPrev,VLOOKUP(Q61,GDmove_down,2,FALSE),FALSE),AJ61,VLOOKUP(H61,NGPREVPRICES,4,FALSE),HLOOKUP($H$3,GDPrevVols,VLOOKUP(Q61,GDmove_down2,2,FALSE),FALSE),HLOOKUP($H$3,GDPrevVols,VLOOKUP(Q61,GDmove_down2,2,FALSE),FALSE),HLOOKUP(E61,GDcorr,VLOOKUP(H61,CorMove,2,FALSE),FALSE),Q61-$AC$3,R61,$AI$5)*I61</f>
        <v>#N/A</v>
      </c>
      <c r="AJ61" s="235" t="e">
        <f t="shared" si="15"/>
        <v>#N/A</v>
      </c>
      <c r="AK61" s="234"/>
      <c r="AL61" t="str">
        <f t="shared" si="16"/>
        <v>36678Curve Shift/Gamma</v>
      </c>
      <c r="AM61" t="str">
        <f t="shared" si="17"/>
        <v>36678Rho</v>
      </c>
      <c r="AN61" t="str">
        <f t="shared" si="18"/>
        <v>36678Drift</v>
      </c>
      <c r="AO61" t="str">
        <f t="shared" si="19"/>
        <v>36678Vega</v>
      </c>
      <c r="AP61" t="str">
        <f t="shared" si="20"/>
        <v>36678Theta</v>
      </c>
      <c r="AZ61" s="41">
        <f t="shared" si="27"/>
        <v>37803</v>
      </c>
      <c r="BA61" s="44"/>
      <c r="BG61" s="441">
        <v>38139</v>
      </c>
      <c r="BH61">
        <v>0.98499999999999999</v>
      </c>
      <c r="BJ61" s="441">
        <v>38139</v>
      </c>
      <c r="BK61">
        <v>58</v>
      </c>
    </row>
    <row r="62" spans="1:63" ht="12" customHeight="1" x14ac:dyDescent="0.25">
      <c r="A62" s="384" t="s">
        <v>279</v>
      </c>
      <c r="B62" s="155" t="s">
        <v>250</v>
      </c>
      <c r="C62" s="155" t="s">
        <v>398</v>
      </c>
      <c r="D62" s="155" t="s">
        <v>190</v>
      </c>
      <c r="E62" s="4" t="s">
        <v>237</v>
      </c>
      <c r="F62" s="155" t="s">
        <v>20</v>
      </c>
      <c r="G62" s="155" t="s">
        <v>21</v>
      </c>
      <c r="H62" s="354">
        <v>36678</v>
      </c>
      <c r="I62" s="156">
        <v>-10000</v>
      </c>
      <c r="J62" s="7">
        <v>0.46</v>
      </c>
      <c r="K62" s="53">
        <f t="shared" si="11"/>
        <v>4.87</v>
      </c>
      <c r="L62" s="53">
        <f t="shared" si="12"/>
        <v>3.4449999999999998</v>
      </c>
      <c r="M62" s="157">
        <v>1</v>
      </c>
      <c r="N62" s="4">
        <v>0.51500000000000001</v>
      </c>
      <c r="O62" s="4">
        <v>0.51500000000000001</v>
      </c>
      <c r="P62" s="9" t="e">
        <f t="shared" si="13"/>
        <v>#N/A</v>
      </c>
      <c r="Q62" s="5">
        <v>36685</v>
      </c>
      <c r="R62" s="4">
        <f t="shared" si="23"/>
        <v>1</v>
      </c>
      <c r="S62" s="158" t="e">
        <f>_xll.xSPRDOPT($K62,$L62,$J62,$M62,$N62,$O62,$P62,$Q62-$C$3,$R62,0)</f>
        <v>#N/A</v>
      </c>
      <c r="T62" s="159" t="e">
        <f>_xll.xSPRDOPT($K62,$L62,$J62,$M62,$N62,$O62,$P62,$Q62-$C$3,$R62,1)*I62</f>
        <v>#N/A</v>
      </c>
      <c r="U62" s="160">
        <v>-500</v>
      </c>
      <c r="V62" s="159" t="e">
        <f>_xll.xSPRDOPT($K62,$L62,$J62,$M62,$N62,$O62,$P62,$Q62-$C$3,$R62,2)*I62</f>
        <v>#N/A</v>
      </c>
      <c r="W62" s="159" t="e">
        <f t="shared" si="24"/>
        <v>#N/A</v>
      </c>
      <c r="X62" s="51" t="str">
        <f t="shared" si="25"/>
        <v>36678IF-ELPO/SJ</v>
      </c>
      <c r="Y62" s="418">
        <f t="shared" si="26"/>
        <v>-1</v>
      </c>
      <c r="AA62" s="51"/>
      <c r="AB62" s="141">
        <f t="shared" si="14"/>
        <v>36678</v>
      </c>
      <c r="AC62" s="234" t="e">
        <f>_xll.xSPRDOPT(HLOOKUP($D$3,GDPRICES,VLOOKUP(Q62,GDmove_down,2,FALSE),FALSE),HLOOKUP($E$3,GDPRICES,VLOOKUP(Q62,GDmove_down,2,FALSE),FALSE),J62,VLOOKUP(H62,NGPREVPRICES,4,FALSE),HLOOKUP($H$3,GDPrevVols,VLOOKUP(Q62,GDmove_down2,2,FALSE),FALSE),HLOOKUP($H$3,GDPrevVols,VLOOKUP(Q62,GDmove_down2,2,FALSE),FALSE),HLOOKUP(E62,GDcorr,VLOOKUP(H62,CorMove,2,FALSE),FALSE),Q62-$AC$3,R62,$AC$5)*I62-AI62</f>
        <v>#N/A</v>
      </c>
      <c r="AD62" s="234" t="e">
        <f>_xll.xSPRDOPT(HLOOKUP($D$3,GDPrev,VLOOKUP(Q62,GDmove_down,2,FALSE),FALSE),HLOOKUP($E$3,GDPrev,VLOOKUP(Q62,GDmove_down,2,FALSE),FALSE),AJ62,VLOOKUP(H62,NGPrices,4,FALSE),HLOOKUP($H$3,GDPrevVols,VLOOKUP(Q62,GDmove_down2,2,FALSE),FALSE),HLOOKUP($H$3,GDPrevVols,VLOOKUP(Q62,GDmove_down2,2,FALSE),FALSE),HLOOKUP(E62,GDcorr,VLOOKUP(H62,CorMove,2,FALSE),FALSE),Q62-$AC$3,R62,$AI$5)*I62-AI62</f>
        <v>#N/A</v>
      </c>
      <c r="AE62" s="439" t="e">
        <f t="shared" si="29"/>
        <v>#N/A</v>
      </c>
      <c r="AF62" s="234" t="e">
        <f>_xll.xSPRDOPT(HLOOKUP($D$3,GDPrev,VLOOKUP(Q62,GDmove_down,2,FALSE),FALSE),HLOOKUP($E$3,GDPrev,VLOOKUP(Q62,GDmove_down,2,FALSE),FALSE),AJ62,VLOOKUP(H62,NGPREVPRICES,4,FALSE),HLOOKUP($H$3,GDVol,VLOOKUP(H62,move_down,2,FALSE),FALSE),HLOOKUP($H$3,GDVol,VLOOKUP(H62,move_down,2,FALSE),FALSE),HLOOKUP(E62,GDcorr,VLOOKUP(H62,CorMove,2,FALSE),FALSE),Q62-$AC$3,R62,$AI$5)*I62-AI62</f>
        <v>#N/A</v>
      </c>
      <c r="AG62" s="234" t="e">
        <f>_xll.xSPRDOPT(HLOOKUP($D$3,GDPrev,VLOOKUP(Q62,GDmove_down,2,FALSE),FALSE),HLOOKUP($E$3,GDPrev,VLOOKUP(Q62,GDmove_down,2,FALSE),FALSE),AJ62,VLOOKUP(H62,NGPREVPRICES,4,FALSE),HLOOKUP($H$3,GDPrevVols,VLOOKUP(Q62,GDmove_down2,2,FALSE),FALSE),HLOOKUP($H$3,GDPrevVols,VLOOKUP(Q62,GDmove_down2,2,FALSE),FALSE),HLOOKUP(E62,GDcorr,VLOOKUP(H62,CorMove,2,FALSE),FALSE),Q62-$C$3,R62,$AI$5)*I62-AI62</f>
        <v>#N/A</v>
      </c>
      <c r="AH62" s="234" t="e">
        <f t="shared" si="30"/>
        <v>#N/A</v>
      </c>
      <c r="AI62" s="234" t="e">
        <f>_xll.xSPRDOPT(HLOOKUP($D$3,GDPrev,VLOOKUP(Q62,GDmove_down,2,FALSE),FALSE),HLOOKUP($E$3,GDPrev,VLOOKUP(Q62,GDmove_down,2,FALSE),FALSE),AJ62,VLOOKUP(H62,NGPREVPRICES,4,FALSE),HLOOKUP($H$3,GDPrevVols,VLOOKUP(Q62,GDmove_down2,2,FALSE),FALSE),HLOOKUP($H$3,GDPrevVols,VLOOKUP(Q62,GDmove_down2,2,FALSE),FALSE),HLOOKUP(E62,GDcorr,VLOOKUP(H62,CorMove,2,FALSE),FALSE),Q62-$AC$3,R62,$AI$5)*I62</f>
        <v>#N/A</v>
      </c>
      <c r="AJ62" s="235" t="e">
        <f t="shared" si="15"/>
        <v>#N/A</v>
      </c>
      <c r="AK62" s="234"/>
      <c r="AL62" t="str">
        <f t="shared" si="16"/>
        <v>36678Curve Shift/Gamma</v>
      </c>
      <c r="AM62" t="str">
        <f t="shared" si="17"/>
        <v>36678Rho</v>
      </c>
      <c r="AN62" t="str">
        <f t="shared" si="18"/>
        <v>36678Drift</v>
      </c>
      <c r="AO62" t="str">
        <f t="shared" si="19"/>
        <v>36678Vega</v>
      </c>
      <c r="AP62" t="str">
        <f t="shared" si="20"/>
        <v>36678Theta</v>
      </c>
      <c r="AZ62" s="41">
        <f t="shared" si="27"/>
        <v>37834</v>
      </c>
      <c r="BA62" s="44"/>
      <c r="BG62" s="441">
        <v>38169</v>
      </c>
      <c r="BH62">
        <v>0.98499999999999999</v>
      </c>
      <c r="BJ62" s="441">
        <v>38169</v>
      </c>
      <c r="BK62">
        <v>59</v>
      </c>
    </row>
    <row r="63" spans="1:63" ht="12" customHeight="1" x14ac:dyDescent="0.25">
      <c r="A63" s="382" t="s">
        <v>279</v>
      </c>
      <c r="B63" s="155" t="s">
        <v>250</v>
      </c>
      <c r="C63" s="155" t="s">
        <v>360</v>
      </c>
      <c r="D63" s="155" t="s">
        <v>190</v>
      </c>
      <c r="E63" s="4" t="s">
        <v>237</v>
      </c>
      <c r="F63" s="155" t="s">
        <v>20</v>
      </c>
      <c r="G63" s="155" t="s">
        <v>21</v>
      </c>
      <c r="H63" s="354">
        <v>36678</v>
      </c>
      <c r="I63" s="156">
        <v>-50000</v>
      </c>
      <c r="J63" s="7">
        <v>0.46</v>
      </c>
      <c r="K63" s="53">
        <f t="shared" si="11"/>
        <v>4.875</v>
      </c>
      <c r="L63" s="53">
        <f t="shared" si="12"/>
        <v>3.45</v>
      </c>
      <c r="M63" s="157">
        <v>1</v>
      </c>
      <c r="N63" s="4">
        <v>0.51500000000000001</v>
      </c>
      <c r="O63" s="4">
        <v>0.51500000000000001</v>
      </c>
      <c r="P63" s="9" t="e">
        <f t="shared" si="13"/>
        <v>#N/A</v>
      </c>
      <c r="Q63" s="5">
        <v>36686</v>
      </c>
      <c r="R63" s="4">
        <f t="shared" si="23"/>
        <v>1</v>
      </c>
      <c r="S63" s="158" t="e">
        <f>_xll.xSPRDOPT($K63,$L63,$J63,$M63,$N63,$O63,$P63,$Q63-$C$3,$R63,0)</f>
        <v>#N/A</v>
      </c>
      <c r="T63" s="159" t="e">
        <f>_xll.xSPRDOPT($K63,$L63,$J63,$M63,$N63,$O63,$P63,$Q63-$C$3,$R63,1)*I63</f>
        <v>#N/A</v>
      </c>
      <c r="U63" s="160">
        <v>-9500</v>
      </c>
      <c r="V63" s="159" t="e">
        <f>_xll.xSPRDOPT($K63,$L63,$J63,$M63,$N63,$O63,$P63,$Q63-$C$3,$R63,2)*I63</f>
        <v>#N/A</v>
      </c>
      <c r="W63" s="159" t="e">
        <f t="shared" si="24"/>
        <v>#N/A</v>
      </c>
      <c r="X63" s="51" t="str">
        <f t="shared" si="25"/>
        <v>36678IF-ELPO/SJ</v>
      </c>
      <c r="Y63" s="418">
        <f t="shared" si="26"/>
        <v>-5</v>
      </c>
      <c r="AA63" s="51"/>
      <c r="AB63" s="141">
        <f t="shared" si="14"/>
        <v>36678</v>
      </c>
      <c r="AC63" s="234" t="e">
        <f>_xll.xSPRDOPT(HLOOKUP($D$3,GDPRICES,VLOOKUP(Q63,GDmove_down,2,FALSE),FALSE),HLOOKUP($E$3,GDPRICES,VLOOKUP(Q63,GDmove_down,2,FALSE),FALSE),J63,VLOOKUP(H63,NGPREVPRICES,4,FALSE),HLOOKUP($H$3,GDPrevVols,VLOOKUP(Q63,GDmove_down2,2,FALSE),FALSE),HLOOKUP($H$3,GDPrevVols,VLOOKUP(Q63,GDmove_down2,2,FALSE),FALSE),HLOOKUP(E63,GDcorr,VLOOKUP(H63,CorMove,2,FALSE),FALSE),Q63-$AC$3,R63,$AC$5)*I63-AI63</f>
        <v>#N/A</v>
      </c>
      <c r="AD63" s="234" t="e">
        <f>_xll.xSPRDOPT(HLOOKUP($D$3,GDPrev,VLOOKUP(Q63,GDmove_down,2,FALSE),FALSE),HLOOKUP($E$3,GDPrev,VLOOKUP(Q63,GDmove_down,2,FALSE),FALSE),AJ63,VLOOKUP(H63,NGPrices,4,FALSE),HLOOKUP($H$3,GDPrevVols,VLOOKUP(Q63,GDmove_down2,2,FALSE),FALSE),HLOOKUP($H$3,GDPrevVols,VLOOKUP(Q63,GDmove_down2,2,FALSE),FALSE),HLOOKUP(E63,GDcorr,VLOOKUP(H63,CorMove,2,FALSE),FALSE),Q63-$AC$3,R63,$AI$5)*I63-AI63</f>
        <v>#N/A</v>
      </c>
      <c r="AE63" s="439" t="e">
        <f t="shared" si="29"/>
        <v>#N/A</v>
      </c>
      <c r="AF63" s="234" t="e">
        <f>_xll.xSPRDOPT(HLOOKUP($D$3,GDPrev,VLOOKUP(Q63,GDmove_down,2,FALSE),FALSE),HLOOKUP($E$3,GDPrev,VLOOKUP(Q63,GDmove_down,2,FALSE),FALSE),AJ63,VLOOKUP(H63,NGPREVPRICES,4,FALSE),HLOOKUP($H$3,GDVol,VLOOKUP(H63,move_down,2,FALSE),FALSE),HLOOKUP($H$3,GDVol,VLOOKUP(H63,move_down,2,FALSE),FALSE),HLOOKUP(E63,GDcorr,VLOOKUP(H63,CorMove,2,FALSE),FALSE),Q63-$AC$3,R63,$AI$5)*I63-AI63</f>
        <v>#N/A</v>
      </c>
      <c r="AG63" s="234" t="e">
        <f>_xll.xSPRDOPT(HLOOKUP($D$3,GDPrev,VLOOKUP(Q63,GDmove_down,2,FALSE),FALSE),HLOOKUP($E$3,GDPrev,VLOOKUP(Q63,GDmove_down,2,FALSE),FALSE),AJ63,VLOOKUP(H63,NGPREVPRICES,4,FALSE),HLOOKUP($H$3,GDPrevVols,VLOOKUP(Q63,GDmove_down2,2,FALSE),FALSE),HLOOKUP($H$3,GDPrevVols,VLOOKUP(Q63,GDmove_down2,2,FALSE),FALSE),HLOOKUP(E63,GDcorr,VLOOKUP(H63,CorMove,2,FALSE),FALSE),Q63-$C$3,R63,$AI$5)*I63-AI63</f>
        <v>#N/A</v>
      </c>
      <c r="AH63" s="234" t="e">
        <f t="shared" si="30"/>
        <v>#N/A</v>
      </c>
      <c r="AI63" s="234" t="e">
        <f>_xll.xSPRDOPT(HLOOKUP($D$3,GDPrev,VLOOKUP(Q63,GDmove_down,2,FALSE),FALSE),HLOOKUP($E$3,GDPrev,VLOOKUP(Q63,GDmove_down,2,FALSE),FALSE),AJ63,VLOOKUP(H63,NGPREVPRICES,4,FALSE),HLOOKUP($H$3,GDPrevVols,VLOOKUP(Q63,GDmove_down2,2,FALSE),FALSE),HLOOKUP($H$3,GDPrevVols,VLOOKUP(Q63,GDmove_down2,2,FALSE),FALSE),HLOOKUP(E63,GDcorr,VLOOKUP(H63,CorMove,2,FALSE),FALSE),Q63-$AC$3,R63,$AI$5)*I63</f>
        <v>#N/A</v>
      </c>
      <c r="AJ63" s="235" t="e">
        <f t="shared" si="15"/>
        <v>#N/A</v>
      </c>
      <c r="AK63" s="234"/>
      <c r="AL63" t="str">
        <f t="shared" si="16"/>
        <v>36678Curve Shift/Gamma</v>
      </c>
      <c r="AM63" t="str">
        <f t="shared" si="17"/>
        <v>36678Rho</v>
      </c>
      <c r="AN63" t="str">
        <f t="shared" si="18"/>
        <v>36678Drift</v>
      </c>
      <c r="AO63" t="str">
        <f t="shared" si="19"/>
        <v>36678Vega</v>
      </c>
      <c r="AP63" t="str">
        <f t="shared" si="20"/>
        <v>36678Theta</v>
      </c>
      <c r="AZ63" s="41">
        <f t="shared" si="27"/>
        <v>37865</v>
      </c>
      <c r="BA63" s="44"/>
      <c r="BG63" s="441">
        <v>38200</v>
      </c>
      <c r="BH63">
        <v>0.98499999999999999</v>
      </c>
      <c r="BJ63" s="441">
        <v>38200</v>
      </c>
      <c r="BK63">
        <v>60</v>
      </c>
    </row>
    <row r="64" spans="1:63" ht="12" customHeight="1" x14ac:dyDescent="0.25">
      <c r="A64" s="382" t="s">
        <v>279</v>
      </c>
      <c r="B64" s="155" t="s">
        <v>250</v>
      </c>
      <c r="C64" s="155" t="s">
        <v>361</v>
      </c>
      <c r="D64" s="155" t="s">
        <v>190</v>
      </c>
      <c r="E64" s="4" t="s">
        <v>237</v>
      </c>
      <c r="F64" s="155" t="s">
        <v>20</v>
      </c>
      <c r="G64" s="155" t="s">
        <v>21</v>
      </c>
      <c r="H64" s="354">
        <v>36678</v>
      </c>
      <c r="I64" s="156">
        <v>10000</v>
      </c>
      <c r="J64" s="7">
        <v>0.46</v>
      </c>
      <c r="K64" s="53">
        <f t="shared" si="11"/>
        <v>4.875</v>
      </c>
      <c r="L64" s="53">
        <f t="shared" si="12"/>
        <v>3.45</v>
      </c>
      <c r="M64" s="157">
        <v>1</v>
      </c>
      <c r="N64" s="4">
        <v>0.51500000000000001</v>
      </c>
      <c r="O64" s="4">
        <v>0.51500000000000001</v>
      </c>
      <c r="P64" s="9" t="e">
        <f t="shared" si="13"/>
        <v>#N/A</v>
      </c>
      <c r="Q64" s="5">
        <v>36686</v>
      </c>
      <c r="R64" s="4">
        <f t="shared" si="23"/>
        <v>1</v>
      </c>
      <c r="S64" s="158" t="e">
        <f>_xll.xSPRDOPT($K64,$L64,$J64,$M64,$N64,$O64,$P64,$Q64-$C$3,$R64,0)</f>
        <v>#N/A</v>
      </c>
      <c r="T64" s="159" t="e">
        <f>_xll.xSPRDOPT($K64,$L64,$J64,$M64,$N64,$O64,$P64,$Q64-$C$3,$R64,1)*I64</f>
        <v>#N/A</v>
      </c>
      <c r="U64" s="160">
        <v>1900</v>
      </c>
      <c r="V64" s="159" t="e">
        <f>_xll.xSPRDOPT($K64,$L64,$J64,$M64,$N64,$O64,$P64,$Q64-$C$3,$R64,2)*I64</f>
        <v>#N/A</v>
      </c>
      <c r="W64" s="159" t="e">
        <f t="shared" si="24"/>
        <v>#N/A</v>
      </c>
      <c r="X64" s="51" t="str">
        <f t="shared" si="25"/>
        <v>36678IF-ELPO/SJ</v>
      </c>
      <c r="Y64" s="418">
        <f t="shared" si="26"/>
        <v>1</v>
      </c>
      <c r="AA64" s="51"/>
      <c r="AB64" s="141">
        <f t="shared" si="14"/>
        <v>36678</v>
      </c>
      <c r="AC64" s="234" t="e">
        <f>_xll.xSPRDOPT(HLOOKUP($D$3,GDPRICES,VLOOKUP(Q64,GDmove_down,2,FALSE),FALSE),HLOOKUP($E$3,GDPRICES,VLOOKUP(Q64,GDmove_down,2,FALSE),FALSE),J64,VLOOKUP(H64,NGPREVPRICES,4,FALSE),HLOOKUP($H$3,GDPrevVols,VLOOKUP(Q64,GDmove_down2,2,FALSE),FALSE),HLOOKUP($H$3,GDPrevVols,VLOOKUP(Q64,GDmove_down2,2,FALSE),FALSE),HLOOKUP(E64,GDcorr,VLOOKUP(H64,CorMove,2,FALSE),FALSE),Q64-$AC$3,R64,$AC$5)*I64-AI64</f>
        <v>#N/A</v>
      </c>
      <c r="AD64" s="234" t="e">
        <f>_xll.xSPRDOPT(HLOOKUP($D$3,GDPrev,VLOOKUP(Q64,GDmove_down,2,FALSE),FALSE),HLOOKUP($E$3,GDPrev,VLOOKUP(Q64,GDmove_down,2,FALSE),FALSE),AJ64,VLOOKUP(H64,NGPrices,4,FALSE),HLOOKUP($H$3,GDPrevVols,VLOOKUP(Q64,GDmove_down2,2,FALSE),FALSE),HLOOKUP($H$3,GDPrevVols,VLOOKUP(Q64,GDmove_down2,2,FALSE),FALSE),HLOOKUP(E64,GDcorr,VLOOKUP(H64,CorMove,2,FALSE),FALSE),Q64-$AC$3,R64,$AI$5)*I64-AI64</f>
        <v>#N/A</v>
      </c>
      <c r="AE64" s="439" t="e">
        <f t="shared" si="29"/>
        <v>#N/A</v>
      </c>
      <c r="AF64" s="234" t="e">
        <f>_xll.xSPRDOPT(HLOOKUP($D$3,GDPrev,VLOOKUP(Q64,GDmove_down,2,FALSE),FALSE),HLOOKUP($E$3,GDPrev,VLOOKUP(Q64,GDmove_down,2,FALSE),FALSE),AJ64,VLOOKUP(H64,NGPREVPRICES,4,FALSE),HLOOKUP($H$3,GDVol,VLOOKUP(H64,move_down,2,FALSE),FALSE),HLOOKUP($H$3,GDVol,VLOOKUP(H64,move_down,2,FALSE),FALSE),HLOOKUP(E64,GDcorr,VLOOKUP(H64,CorMove,2,FALSE),FALSE),Q64-$AC$3,R64,$AI$5)*I64-AI64</f>
        <v>#N/A</v>
      </c>
      <c r="AG64" s="234" t="e">
        <f>_xll.xSPRDOPT(HLOOKUP($D$3,GDPrev,VLOOKUP(Q64,GDmove_down,2,FALSE),FALSE),HLOOKUP($E$3,GDPrev,VLOOKUP(Q64,GDmove_down,2,FALSE),FALSE),AJ64,VLOOKUP(H64,NGPREVPRICES,4,FALSE),HLOOKUP($H$3,GDPrevVols,VLOOKUP(Q64,GDmove_down2,2,FALSE),FALSE),HLOOKUP($H$3,GDPrevVols,VLOOKUP(Q64,GDmove_down2,2,FALSE),FALSE),HLOOKUP(E64,GDcorr,VLOOKUP(H64,CorMove,2,FALSE),FALSE),Q64-$C$3,R64,$AI$5)*I64-AI64</f>
        <v>#N/A</v>
      </c>
      <c r="AH64" s="234" t="e">
        <f t="shared" si="30"/>
        <v>#N/A</v>
      </c>
      <c r="AI64" s="234" t="e">
        <f>_xll.xSPRDOPT(HLOOKUP($D$3,GDPrev,VLOOKUP(Q64,GDmove_down,2,FALSE),FALSE),HLOOKUP($E$3,GDPrev,VLOOKUP(Q64,GDmove_down,2,FALSE),FALSE),AJ64,VLOOKUP(H64,NGPREVPRICES,4,FALSE),HLOOKUP($H$3,GDPrevVols,VLOOKUP(Q64,GDmove_down2,2,FALSE),FALSE),HLOOKUP($H$3,GDPrevVols,VLOOKUP(Q64,GDmove_down2,2,FALSE),FALSE),HLOOKUP(E64,GDcorr,VLOOKUP(H64,CorMove,2,FALSE),FALSE),Q64-$AC$3,R64,$AI$5)*I64</f>
        <v>#N/A</v>
      </c>
      <c r="AJ64" s="235" t="e">
        <f t="shared" si="15"/>
        <v>#N/A</v>
      </c>
      <c r="AK64" s="234"/>
      <c r="AL64" t="str">
        <f t="shared" si="16"/>
        <v>36678Curve Shift/Gamma</v>
      </c>
      <c r="AM64" t="str">
        <f t="shared" si="17"/>
        <v>36678Rho</v>
      </c>
      <c r="AN64" t="str">
        <f t="shared" si="18"/>
        <v>36678Drift</v>
      </c>
      <c r="AO64" t="str">
        <f t="shared" si="19"/>
        <v>36678Vega</v>
      </c>
      <c r="AP64" t="str">
        <f t="shared" si="20"/>
        <v>36678Theta</v>
      </c>
      <c r="AZ64" s="41">
        <f t="shared" si="27"/>
        <v>37895</v>
      </c>
      <c r="BA64" s="44"/>
      <c r="BG64" s="441">
        <v>38231</v>
      </c>
      <c r="BH64">
        <v>0.98499999999999999</v>
      </c>
      <c r="BJ64" s="441">
        <v>38231</v>
      </c>
      <c r="BK64">
        <v>61</v>
      </c>
    </row>
    <row r="65" spans="1:63" ht="12" customHeight="1" x14ac:dyDescent="0.25">
      <c r="A65" s="382" t="s">
        <v>279</v>
      </c>
      <c r="B65" s="155" t="s">
        <v>250</v>
      </c>
      <c r="C65" s="155" t="s">
        <v>364</v>
      </c>
      <c r="D65" s="155" t="s">
        <v>190</v>
      </c>
      <c r="E65" s="4" t="s">
        <v>237</v>
      </c>
      <c r="F65" s="155" t="s">
        <v>20</v>
      </c>
      <c r="G65" s="155" t="s">
        <v>21</v>
      </c>
      <c r="H65" s="354">
        <v>36678</v>
      </c>
      <c r="I65" s="156">
        <v>-333333</v>
      </c>
      <c r="J65" s="7">
        <v>0.46</v>
      </c>
      <c r="K65" s="53">
        <f t="shared" si="11"/>
        <v>4.875</v>
      </c>
      <c r="L65" s="53">
        <f t="shared" si="12"/>
        <v>3.45</v>
      </c>
      <c r="M65" s="157">
        <v>1</v>
      </c>
      <c r="N65" s="4">
        <v>0.51500000000000001</v>
      </c>
      <c r="O65" s="4">
        <v>0.51500000000000001</v>
      </c>
      <c r="P65" s="9" t="e">
        <f t="shared" si="13"/>
        <v>#N/A</v>
      </c>
      <c r="Q65" s="5">
        <v>36686</v>
      </c>
      <c r="R65" s="4">
        <f t="shared" si="23"/>
        <v>1</v>
      </c>
      <c r="S65" s="158" t="e">
        <f>_xll.xSPRDOPT($K65,$L65,$J65,$M65,$N65,$O65,$P65,$Q65-$C$3,$R65,0)</f>
        <v>#N/A</v>
      </c>
      <c r="T65" s="159" t="e">
        <f>_xll.xSPRDOPT($K65,$L65,$J65,$M65,$N65,$O65,$P65,$Q65-$C$3,$R65,1)*I65</f>
        <v>#N/A</v>
      </c>
      <c r="U65" s="160">
        <v>-63333.27</v>
      </c>
      <c r="V65" s="159" t="e">
        <f>_xll.xSPRDOPT($K65,$L65,$J65,$M65,$N65,$O65,$P65,$Q65-$C$3,$R65,2)*I65</f>
        <v>#N/A</v>
      </c>
      <c r="W65" s="159" t="e">
        <f t="shared" si="24"/>
        <v>#N/A</v>
      </c>
      <c r="X65" s="51" t="str">
        <f t="shared" si="25"/>
        <v>36678IF-ELPO/SJ</v>
      </c>
      <c r="Y65" s="418">
        <f t="shared" si="26"/>
        <v>-33.333300000000001</v>
      </c>
      <c r="AA65" s="51"/>
      <c r="AB65" s="141">
        <f t="shared" si="14"/>
        <v>36678</v>
      </c>
      <c r="AC65" s="234" t="e">
        <f>_xll.xSPRDOPT(HLOOKUP($D$3,GDPRICES,VLOOKUP(Q65,GDmove_down,2,FALSE),FALSE),HLOOKUP($E$3,GDPRICES,VLOOKUP(Q65,GDmove_down,2,FALSE),FALSE),J65,VLOOKUP(H65,NGPREVPRICES,4,FALSE),HLOOKUP($H$3,GDPrevVols,VLOOKUP(Q65,GDmove_down2,2,FALSE),FALSE),HLOOKUP($H$3,GDPrevVols,VLOOKUP(Q65,GDmove_down2,2,FALSE),FALSE),HLOOKUP(E65,GDcorr,VLOOKUP(H65,CorMove,2,FALSE),FALSE),Q65-$AC$3,R65,$AC$5)*I65-AI65</f>
        <v>#N/A</v>
      </c>
      <c r="AD65" s="234" t="e">
        <f>_xll.xSPRDOPT(HLOOKUP($D$3,GDPrev,VLOOKUP(Q65,GDmove_down,2,FALSE),FALSE),HLOOKUP($E$3,GDPrev,VLOOKUP(Q65,GDmove_down,2,FALSE),FALSE),AJ65,VLOOKUP(H65,NGPrices,4,FALSE),HLOOKUP($H$3,GDPrevVols,VLOOKUP(Q65,GDmove_down2,2,FALSE),FALSE),HLOOKUP($H$3,GDPrevVols,VLOOKUP(Q65,GDmove_down2,2,FALSE),FALSE),HLOOKUP(E65,GDcorr,VLOOKUP(H65,CorMove,2,FALSE),FALSE),Q65-$AC$3,R65,$AI$5)*I65-AI65</f>
        <v>#N/A</v>
      </c>
      <c r="AE65" s="439" t="e">
        <f t="shared" si="29"/>
        <v>#N/A</v>
      </c>
      <c r="AF65" s="234" t="e">
        <f>_xll.xSPRDOPT(HLOOKUP($D$3,GDPrev,VLOOKUP(Q65,GDmove_down,2,FALSE),FALSE),HLOOKUP($E$3,GDPrev,VLOOKUP(Q65,GDmove_down,2,FALSE),FALSE),AJ65,VLOOKUP(H65,NGPREVPRICES,4,FALSE),HLOOKUP($H$3,GDVol,VLOOKUP(H65,move_down,2,FALSE),FALSE),HLOOKUP($H$3,GDVol,VLOOKUP(H65,move_down,2,FALSE),FALSE),HLOOKUP(E65,GDcorr,VLOOKUP(H65,CorMove,2,FALSE),FALSE),Q65-$AC$3,R65,$AI$5)*I65-AI65</f>
        <v>#N/A</v>
      </c>
      <c r="AG65" s="234" t="e">
        <f>_xll.xSPRDOPT(HLOOKUP($D$3,GDPrev,VLOOKUP(Q65,GDmove_down,2,FALSE),FALSE),HLOOKUP($E$3,GDPrev,VLOOKUP(Q65,GDmove_down,2,FALSE),FALSE),AJ65,VLOOKUP(H65,NGPREVPRICES,4,FALSE),HLOOKUP($H$3,GDPrevVols,VLOOKUP(Q65,GDmove_down2,2,FALSE),FALSE),HLOOKUP($H$3,GDPrevVols,VLOOKUP(Q65,GDmove_down2,2,FALSE),FALSE),HLOOKUP(E65,GDcorr,VLOOKUP(H65,CorMove,2,FALSE),FALSE),Q65-$C$3,R65,$AI$5)*I65-AI65</f>
        <v>#N/A</v>
      </c>
      <c r="AH65" s="234" t="e">
        <f t="shared" si="30"/>
        <v>#N/A</v>
      </c>
      <c r="AI65" s="234" t="e">
        <f>_xll.xSPRDOPT(HLOOKUP($D$3,GDPrev,VLOOKUP(Q65,GDmove_down,2,FALSE),FALSE),HLOOKUP($E$3,GDPrev,VLOOKUP(Q65,GDmove_down,2,FALSE),FALSE),AJ65,VLOOKUP(H65,NGPREVPRICES,4,FALSE),HLOOKUP($H$3,GDPrevVols,VLOOKUP(Q65,GDmove_down2,2,FALSE),FALSE),HLOOKUP($H$3,GDPrevVols,VLOOKUP(Q65,GDmove_down2,2,FALSE),FALSE),HLOOKUP(E65,GDcorr,VLOOKUP(H65,CorMove,2,FALSE),FALSE),Q65-$AC$3,R65,$AI$5)*I65</f>
        <v>#N/A</v>
      </c>
      <c r="AJ65" s="235" t="e">
        <f t="shared" si="15"/>
        <v>#N/A</v>
      </c>
      <c r="AK65" s="234"/>
      <c r="AL65" t="str">
        <f t="shared" si="16"/>
        <v>36678Curve Shift/Gamma</v>
      </c>
      <c r="AM65" t="str">
        <f t="shared" si="17"/>
        <v>36678Rho</v>
      </c>
      <c r="AN65" t="str">
        <f t="shared" si="18"/>
        <v>36678Drift</v>
      </c>
      <c r="AO65" t="str">
        <f t="shared" si="19"/>
        <v>36678Vega</v>
      </c>
      <c r="AP65" t="str">
        <f t="shared" si="20"/>
        <v>36678Theta</v>
      </c>
      <c r="AZ65" s="41">
        <f t="shared" si="27"/>
        <v>37926</v>
      </c>
      <c r="BA65" s="44"/>
      <c r="BG65" s="441">
        <v>38261</v>
      </c>
      <c r="BH65">
        <v>0.98499999999999999</v>
      </c>
      <c r="BJ65" s="441">
        <v>38261</v>
      </c>
      <c r="BK65">
        <v>62</v>
      </c>
    </row>
    <row r="66" spans="1:63" ht="12" customHeight="1" x14ac:dyDescent="0.25">
      <c r="A66" s="384" t="s">
        <v>268</v>
      </c>
      <c r="B66" s="155" t="s">
        <v>250</v>
      </c>
      <c r="C66" s="155" t="s">
        <v>387</v>
      </c>
      <c r="D66" s="155" t="s">
        <v>190</v>
      </c>
      <c r="E66" s="4" t="s">
        <v>237</v>
      </c>
      <c r="F66" s="155" t="s">
        <v>20</v>
      </c>
      <c r="G66" s="155" t="s">
        <v>21</v>
      </c>
      <c r="H66" s="354">
        <v>36678</v>
      </c>
      <c r="I66" s="156">
        <v>-10000</v>
      </c>
      <c r="J66" s="7">
        <v>0.46</v>
      </c>
      <c r="K66" s="53">
        <f t="shared" si="11"/>
        <v>4.875</v>
      </c>
      <c r="L66" s="53">
        <f t="shared" si="12"/>
        <v>3.45</v>
      </c>
      <c r="M66" s="157">
        <v>1</v>
      </c>
      <c r="N66" s="4">
        <v>0.51500000000000001</v>
      </c>
      <c r="O66" s="4">
        <v>0.51500000000000001</v>
      </c>
      <c r="P66" s="9" t="e">
        <f t="shared" si="13"/>
        <v>#N/A</v>
      </c>
      <c r="Q66" s="5">
        <v>36686</v>
      </c>
      <c r="R66" s="4">
        <f t="shared" si="23"/>
        <v>1</v>
      </c>
      <c r="S66" s="158" t="e">
        <f>_xll.xSPRDOPT($K66,$L66,$J66,$M66,$N66,$O66,$P66,$Q66-$C$3,$R66,0)</f>
        <v>#N/A</v>
      </c>
      <c r="T66" s="159" t="e">
        <f>_xll.xSPRDOPT($K66,$L66,$J66,$M66,$N66,$O66,$P66,$Q66-$C$3,$R66,1)*I66</f>
        <v>#N/A</v>
      </c>
      <c r="U66" s="160">
        <v>-1900</v>
      </c>
      <c r="V66" s="159" t="e">
        <f>_xll.xSPRDOPT($K66,$L66,$J66,$M66,$N66,$O66,$P66,$Q66-$C$3,$R66,2)*I66</f>
        <v>#N/A</v>
      </c>
      <c r="W66" s="159" t="e">
        <f t="shared" si="24"/>
        <v>#N/A</v>
      </c>
      <c r="X66" s="51" t="str">
        <f t="shared" si="25"/>
        <v>36678IF-ELPO/SJ</v>
      </c>
      <c r="Y66" s="418">
        <f t="shared" si="26"/>
        <v>-1</v>
      </c>
      <c r="AA66" s="51"/>
      <c r="AB66" s="141">
        <f t="shared" si="14"/>
        <v>36678</v>
      </c>
      <c r="AC66" s="234" t="e">
        <f>_xll.xSPRDOPT(HLOOKUP($D$3,GDPRICES,VLOOKUP(Q66,GDmove_down,2,FALSE),FALSE),HLOOKUP($E$3,GDPRICES,VLOOKUP(Q66,GDmove_down,2,FALSE),FALSE),J66,VLOOKUP(H66,NGPREVPRICES,4,FALSE),HLOOKUP($H$3,GDPrevVols,VLOOKUP(Q66,GDmove_down2,2,FALSE),FALSE),HLOOKUP($H$3,GDPrevVols,VLOOKUP(Q66,GDmove_down2,2,FALSE),FALSE),HLOOKUP(E66,GDcorr,VLOOKUP(H66,CorMove,2,FALSE),FALSE),Q66-$AC$3,R66,$AC$5)*I66-AI66</f>
        <v>#N/A</v>
      </c>
      <c r="AD66" s="234" t="e">
        <f>_xll.xSPRDOPT(HLOOKUP($D$3,GDPrev,VLOOKUP(Q66,GDmove_down,2,FALSE),FALSE),HLOOKUP($E$3,GDPrev,VLOOKUP(Q66,GDmove_down,2,FALSE),FALSE),AJ66,VLOOKUP(H66,NGPrices,4,FALSE),HLOOKUP($H$3,GDPrevVols,VLOOKUP(Q66,GDmove_down2,2,FALSE),FALSE),HLOOKUP($H$3,GDPrevVols,VLOOKUP(Q66,GDmove_down2,2,FALSE),FALSE),HLOOKUP(E66,GDcorr,VLOOKUP(H66,CorMove,2,FALSE),FALSE),Q66-$AC$3,R66,$AI$5)*I66-AI66</f>
        <v>#N/A</v>
      </c>
      <c r="AE66" s="439" t="e">
        <f t="shared" si="29"/>
        <v>#N/A</v>
      </c>
      <c r="AF66" s="234" t="e">
        <f>_xll.xSPRDOPT(HLOOKUP($D$3,GDPrev,VLOOKUP(Q66,GDmove_down,2,FALSE),FALSE),HLOOKUP($E$3,GDPrev,VLOOKUP(Q66,GDmove_down,2,FALSE),FALSE),AJ66,VLOOKUP(H66,NGPREVPRICES,4,FALSE),HLOOKUP($H$3,GDVol,VLOOKUP(H66,move_down,2,FALSE),FALSE),HLOOKUP($H$3,GDVol,VLOOKUP(H66,move_down,2,FALSE),FALSE),HLOOKUP(E66,GDcorr,VLOOKUP(H66,CorMove,2,FALSE),FALSE),Q66-$AC$3,R66,$AI$5)*I66-AI66</f>
        <v>#N/A</v>
      </c>
      <c r="AG66" s="234" t="e">
        <f>_xll.xSPRDOPT(HLOOKUP($D$3,GDPrev,VLOOKUP(Q66,GDmove_down,2,FALSE),FALSE),HLOOKUP($E$3,GDPrev,VLOOKUP(Q66,GDmove_down,2,FALSE),FALSE),AJ66,VLOOKUP(H66,NGPREVPRICES,4,FALSE),HLOOKUP($H$3,GDPrevVols,VLOOKUP(Q66,GDmove_down2,2,FALSE),FALSE),HLOOKUP($H$3,GDPrevVols,VLOOKUP(Q66,GDmove_down2,2,FALSE),FALSE),HLOOKUP(E66,GDcorr,VLOOKUP(H66,CorMove,2,FALSE),FALSE),Q66-$C$3,R66,$AI$5)*I66-AI66</f>
        <v>#N/A</v>
      </c>
      <c r="AH66" s="234" t="e">
        <f t="shared" si="30"/>
        <v>#N/A</v>
      </c>
      <c r="AI66" s="234" t="e">
        <f>_xll.xSPRDOPT(HLOOKUP($D$3,GDPrev,VLOOKUP(Q66,GDmove_down,2,FALSE),FALSE),HLOOKUP($E$3,GDPrev,VLOOKUP(Q66,GDmove_down,2,FALSE),FALSE),AJ66,VLOOKUP(H66,NGPREVPRICES,4,FALSE),HLOOKUP($H$3,GDPrevVols,VLOOKUP(Q66,GDmove_down2,2,FALSE),FALSE),HLOOKUP($H$3,GDPrevVols,VLOOKUP(Q66,GDmove_down2,2,FALSE),FALSE),HLOOKUP(E66,GDcorr,VLOOKUP(H66,CorMove,2,FALSE),FALSE),Q66-$AC$3,R66,$AI$5)*I66</f>
        <v>#N/A</v>
      </c>
      <c r="AJ66" s="235" t="e">
        <f t="shared" si="15"/>
        <v>#N/A</v>
      </c>
      <c r="AK66" s="234"/>
      <c r="AL66" t="str">
        <f t="shared" si="16"/>
        <v>36678Curve Shift/Gamma</v>
      </c>
      <c r="AM66" t="str">
        <f t="shared" si="17"/>
        <v>36678Rho</v>
      </c>
      <c r="AN66" t="str">
        <f t="shared" si="18"/>
        <v>36678Drift</v>
      </c>
      <c r="AO66" t="str">
        <f t="shared" si="19"/>
        <v>36678Vega</v>
      </c>
      <c r="AP66" t="str">
        <f t="shared" si="20"/>
        <v>36678Theta</v>
      </c>
      <c r="AZ66" s="41">
        <f t="shared" si="27"/>
        <v>37956</v>
      </c>
      <c r="BA66" s="44"/>
      <c r="BG66" s="441">
        <v>38292</v>
      </c>
      <c r="BH66">
        <v>0.97048500000000038</v>
      </c>
      <c r="BJ66" s="441">
        <v>38292</v>
      </c>
      <c r="BK66">
        <v>63</v>
      </c>
    </row>
    <row r="67" spans="1:63" ht="12" customHeight="1" x14ac:dyDescent="0.25">
      <c r="A67" s="384" t="s">
        <v>279</v>
      </c>
      <c r="B67" s="155" t="s">
        <v>250</v>
      </c>
      <c r="C67" s="155" t="s">
        <v>388</v>
      </c>
      <c r="D67" s="155" t="s">
        <v>190</v>
      </c>
      <c r="E67" s="4" t="s">
        <v>237</v>
      </c>
      <c r="F67" s="155" t="s">
        <v>20</v>
      </c>
      <c r="G67" s="155" t="s">
        <v>21</v>
      </c>
      <c r="H67" s="354">
        <v>36678</v>
      </c>
      <c r="I67" s="156">
        <v>50000</v>
      </c>
      <c r="J67" s="7">
        <v>0.46</v>
      </c>
      <c r="K67" s="53">
        <f t="shared" si="11"/>
        <v>4.875</v>
      </c>
      <c r="L67" s="53">
        <f t="shared" si="12"/>
        <v>3.45</v>
      </c>
      <c r="M67" s="157">
        <v>1</v>
      </c>
      <c r="N67" s="4">
        <v>0.51500000000000001</v>
      </c>
      <c r="O67" s="4">
        <v>0.51500000000000001</v>
      </c>
      <c r="P67" s="9" t="e">
        <f t="shared" si="13"/>
        <v>#N/A</v>
      </c>
      <c r="Q67" s="5">
        <v>36686</v>
      </c>
      <c r="R67" s="4">
        <f>IF(G67="P",0,1)</f>
        <v>1</v>
      </c>
      <c r="S67" s="158" t="e">
        <f>_xll.xSPRDOPT($K67,$L67,$J67,$M67,$N67,$O67,$P67,$Q67-$C$3,$R67,0)</f>
        <v>#N/A</v>
      </c>
      <c r="T67" s="159" t="e">
        <f>_xll.xSPRDOPT($K67,$L67,$J67,$M67,$N67,$O67,$P67,$Q67-$C$3,$R67,1)*I67</f>
        <v>#N/A</v>
      </c>
      <c r="U67" s="160">
        <v>9500</v>
      </c>
      <c r="V67" s="159" t="e">
        <f>_xll.xSPRDOPT($K67,$L67,$J67,$M67,$N67,$O67,$P67,$Q67-$C$3,$R67,2)*I67</f>
        <v>#N/A</v>
      </c>
      <c r="W67" s="159" t="e">
        <f>+V67+T67</f>
        <v>#N/A</v>
      </c>
      <c r="X67" s="51" t="str">
        <f>CONCATENATE(H67,E67)</f>
        <v>36678IF-ELPO/SJ</v>
      </c>
      <c r="Y67" s="418">
        <f>I67/10000</f>
        <v>5</v>
      </c>
      <c r="Z67" s="51"/>
      <c r="AA67" s="51"/>
      <c r="AB67" s="141">
        <f t="shared" si="14"/>
        <v>36678</v>
      </c>
      <c r="AC67" s="234" t="e">
        <f>_xll.xSPRDOPT(HLOOKUP($D$3,GDPRICES,VLOOKUP(Q67,GDmove_down,2,FALSE),FALSE),HLOOKUP($E$3,GDPRICES,VLOOKUP(Q67,GDmove_down,2,FALSE),FALSE),J67,VLOOKUP(H67,NGPREVPRICES,4,FALSE),HLOOKUP($H$3,GDPrevVols,VLOOKUP(Q67,GDmove_down2,2,FALSE),FALSE),HLOOKUP($H$3,GDPrevVols,VLOOKUP(Q67,GDmove_down2,2,FALSE),FALSE),HLOOKUP(E67,GDcorr,VLOOKUP(H67,CorMove,2,FALSE),FALSE),Q67-$AC$3,R67,$AC$5)*I67-AI67</f>
        <v>#N/A</v>
      </c>
      <c r="AD67" s="234" t="e">
        <f>_xll.xSPRDOPT(HLOOKUP($D$3,GDPrev,VLOOKUP(Q67,GDmove_down,2,FALSE),FALSE),HLOOKUP($E$3,GDPrev,VLOOKUP(Q67,GDmove_down,2,FALSE),FALSE),AJ67,VLOOKUP(H67,NGPrices,4,FALSE),HLOOKUP($H$3,GDPrevVols,VLOOKUP(Q67,GDmove_down2,2,FALSE),FALSE),HLOOKUP($H$3,GDPrevVols,VLOOKUP(Q67,GDmove_down2,2,FALSE),FALSE),HLOOKUP(E67,GDcorr,VLOOKUP(H67,CorMove,2,FALSE),FALSE),Q67-$AC$3,R67,$AI$5)*I67-AI67</f>
        <v>#N/A</v>
      </c>
      <c r="AE67" s="439" t="e">
        <f t="shared" si="29"/>
        <v>#N/A</v>
      </c>
      <c r="AF67" s="234" t="e">
        <f>_xll.xSPRDOPT(HLOOKUP($D$3,GDPrev,VLOOKUP(Q67,GDmove_down,2,FALSE),FALSE),HLOOKUP($E$3,GDPrev,VLOOKUP(Q67,GDmove_down,2,FALSE),FALSE),AJ67,VLOOKUP(H67,NGPREVPRICES,4,FALSE),HLOOKUP($H$3,GDVol,VLOOKUP(H67,move_down,2,FALSE),FALSE),HLOOKUP($H$3,GDVol,VLOOKUP(H67,move_down,2,FALSE),FALSE),HLOOKUP(E67,GDcorr,VLOOKUP(H67,CorMove,2,FALSE),FALSE),Q67-$AC$3,R67,$AI$5)*I67-AI67</f>
        <v>#N/A</v>
      </c>
      <c r="AG67" s="234" t="e">
        <f>_xll.xSPRDOPT(HLOOKUP($D$3,GDPrev,VLOOKUP(Q67,GDmove_down,2,FALSE),FALSE),HLOOKUP($E$3,GDPrev,VLOOKUP(Q67,GDmove_down,2,FALSE),FALSE),AJ67,VLOOKUP(H67,NGPREVPRICES,4,FALSE),HLOOKUP($H$3,GDPrevVols,VLOOKUP(Q67,GDmove_down2,2,FALSE),FALSE),HLOOKUP($H$3,GDPrevVols,VLOOKUP(Q67,GDmove_down2,2,FALSE),FALSE),HLOOKUP(E67,GDcorr,VLOOKUP(H67,CorMove,2,FALSE),FALSE),Q67-$C$3,R67,$AI$5)*I67-AI67</f>
        <v>#N/A</v>
      </c>
      <c r="AH67" s="234" t="e">
        <f t="shared" si="30"/>
        <v>#N/A</v>
      </c>
      <c r="AI67" s="234" t="e">
        <f>_xll.xSPRDOPT(HLOOKUP($D$3,GDPrev,VLOOKUP(Q67,GDmove_down,2,FALSE),FALSE),HLOOKUP($E$3,GDPrev,VLOOKUP(Q67,GDmove_down,2,FALSE),FALSE),AJ67,VLOOKUP(H67,NGPREVPRICES,4,FALSE),HLOOKUP($H$3,GDPrevVols,VLOOKUP(Q67,GDmove_down2,2,FALSE),FALSE),HLOOKUP($H$3,GDPrevVols,VLOOKUP(Q67,GDmove_down2,2,FALSE),FALSE),HLOOKUP(E67,GDcorr,VLOOKUP(H67,CorMove,2,FALSE),FALSE),Q67-$AC$3,R67,$AI$5)*I67</f>
        <v>#N/A</v>
      </c>
      <c r="AJ67" s="235" t="e">
        <f t="shared" si="15"/>
        <v>#N/A</v>
      </c>
      <c r="AK67" s="234"/>
      <c r="AL67" t="str">
        <f t="shared" si="16"/>
        <v>36678Curve Shift/Gamma</v>
      </c>
      <c r="AM67" t="str">
        <f t="shared" si="17"/>
        <v>36678Rho</v>
      </c>
      <c r="AN67" t="str">
        <f t="shared" si="18"/>
        <v>36678Drift</v>
      </c>
      <c r="AO67" t="str">
        <f t="shared" si="19"/>
        <v>36678Vega</v>
      </c>
      <c r="AP67" t="str">
        <f t="shared" si="20"/>
        <v>36678Theta</v>
      </c>
      <c r="AZ67" s="41">
        <f t="shared" si="27"/>
        <v>37987</v>
      </c>
      <c r="BA67" s="44"/>
      <c r="BG67" s="441">
        <v>38322</v>
      </c>
      <c r="BH67">
        <v>0.97048500000000038</v>
      </c>
      <c r="BJ67" s="441">
        <v>38322</v>
      </c>
      <c r="BK67">
        <v>64</v>
      </c>
    </row>
    <row r="68" spans="1:63" ht="12" customHeight="1" x14ac:dyDescent="0.25">
      <c r="A68" s="384" t="s">
        <v>279</v>
      </c>
      <c r="B68" s="155" t="s">
        <v>250</v>
      </c>
      <c r="C68" s="155" t="s">
        <v>389</v>
      </c>
      <c r="D68" s="155" t="s">
        <v>190</v>
      </c>
      <c r="E68" s="4" t="s">
        <v>237</v>
      </c>
      <c r="F68" s="155" t="s">
        <v>20</v>
      </c>
      <c r="G68" s="155" t="s">
        <v>21</v>
      </c>
      <c r="H68" s="354">
        <v>36678</v>
      </c>
      <c r="I68" s="156">
        <v>50000</v>
      </c>
      <c r="J68" s="7">
        <v>0.46</v>
      </c>
      <c r="K68" s="53">
        <f t="shared" si="11"/>
        <v>4.875</v>
      </c>
      <c r="L68" s="53">
        <f t="shared" si="12"/>
        <v>3.45</v>
      </c>
      <c r="M68" s="157">
        <v>1</v>
      </c>
      <c r="N68" s="4">
        <v>0.51500000000000001</v>
      </c>
      <c r="O68" s="4">
        <v>0.51500000000000001</v>
      </c>
      <c r="P68" s="9" t="e">
        <f t="shared" si="13"/>
        <v>#N/A</v>
      </c>
      <c r="Q68" s="5">
        <v>36686</v>
      </c>
      <c r="R68" s="4">
        <f t="shared" ref="R68:R96" si="31">IF(G68="P",0,1)</f>
        <v>1</v>
      </c>
      <c r="S68" s="158" t="e">
        <f>_xll.xSPRDOPT($K68,$L68,$J68,$M68,$N68,$O68,$P68,$Q68-$C$3,$R68,0)</f>
        <v>#N/A</v>
      </c>
      <c r="T68" s="159" t="e">
        <f>_xll.xSPRDOPT($K68,$L68,$J68,$M68,$N68,$O68,$P68,$Q68-$C$3,$R68,1)*I68</f>
        <v>#N/A</v>
      </c>
      <c r="U68" s="160">
        <v>9500</v>
      </c>
      <c r="V68" s="159" t="e">
        <f>_xll.xSPRDOPT($K68,$L68,$J68,$M68,$N68,$O68,$P68,$Q68-$C$3,$R68,2)*I68</f>
        <v>#N/A</v>
      </c>
      <c r="W68" s="159" t="e">
        <f t="shared" ref="W68:W96" si="32">+V68+T68</f>
        <v>#N/A</v>
      </c>
      <c r="X68" s="51" t="str">
        <f t="shared" ref="X68:X96" si="33">CONCATENATE(H68,E68)</f>
        <v>36678IF-ELPO/SJ</v>
      </c>
      <c r="Y68" s="418">
        <f t="shared" ref="Y68:Y96" si="34">I68/10000</f>
        <v>5</v>
      </c>
      <c r="Z68" s="51"/>
      <c r="AA68" s="51"/>
      <c r="AB68" s="141">
        <f t="shared" si="14"/>
        <v>36678</v>
      </c>
      <c r="AC68" s="234" t="e">
        <f>_xll.xSPRDOPT(HLOOKUP($D$3,GDPRICES,VLOOKUP(Q68,GDmove_down,2,FALSE),FALSE),HLOOKUP($E$3,GDPRICES,VLOOKUP(Q68,GDmove_down,2,FALSE),FALSE),J68,VLOOKUP(H68,NGPREVPRICES,4,FALSE),HLOOKUP($H$3,GDPrevVols,VLOOKUP(Q68,GDmove_down2,2,FALSE),FALSE),HLOOKUP($H$3,GDPrevVols,VLOOKUP(Q68,GDmove_down2,2,FALSE),FALSE),HLOOKUP(E68,GDcorr,VLOOKUP(H68,CorMove,2,FALSE),FALSE),Q68-$AC$3,R68,$AC$5)*I68-AI68</f>
        <v>#N/A</v>
      </c>
      <c r="AD68" s="234" t="e">
        <f>_xll.xSPRDOPT(HLOOKUP($D$3,GDPrev,VLOOKUP(Q68,GDmove_down,2,FALSE),FALSE),HLOOKUP($E$3,GDPrev,VLOOKUP(Q68,GDmove_down,2,FALSE),FALSE),AJ68,VLOOKUP(H68,NGPrices,4,FALSE),HLOOKUP($H$3,GDPrevVols,VLOOKUP(Q68,GDmove_down2,2,FALSE),FALSE),HLOOKUP($H$3,GDPrevVols,VLOOKUP(Q68,GDmove_down2,2,FALSE),FALSE),HLOOKUP(E68,GDcorr,VLOOKUP(H68,CorMove,2,FALSE),FALSE),Q68-$AC$3,R68,$AI$5)*I68-AI68</f>
        <v>#N/A</v>
      </c>
      <c r="AE68" s="439" t="e">
        <f t="shared" si="29"/>
        <v>#N/A</v>
      </c>
      <c r="AF68" s="234" t="e">
        <f>_xll.xSPRDOPT(HLOOKUP($D$3,GDPrev,VLOOKUP(Q68,GDmove_down,2,FALSE),FALSE),HLOOKUP($E$3,GDPrev,VLOOKUP(Q68,GDmove_down,2,FALSE),FALSE),AJ68,VLOOKUP(H68,NGPREVPRICES,4,FALSE),HLOOKUP($H$3,GDVol,VLOOKUP(H68,move_down,2,FALSE),FALSE),HLOOKUP($H$3,GDVol,VLOOKUP(H68,move_down,2,FALSE),FALSE),HLOOKUP(E68,GDcorr,VLOOKUP(H68,CorMove,2,FALSE),FALSE),Q68-$AC$3,R68,$AI$5)*I68-AI68</f>
        <v>#N/A</v>
      </c>
      <c r="AG68" s="234" t="e">
        <f>_xll.xSPRDOPT(HLOOKUP($D$3,GDPrev,VLOOKUP(Q68,GDmove_down,2,FALSE),FALSE),HLOOKUP($E$3,GDPrev,VLOOKUP(Q68,GDmove_down,2,FALSE),FALSE),AJ68,VLOOKUP(H68,NGPREVPRICES,4,FALSE),HLOOKUP($H$3,GDPrevVols,VLOOKUP(Q68,GDmove_down2,2,FALSE),FALSE),HLOOKUP($H$3,GDPrevVols,VLOOKUP(Q68,GDmove_down2,2,FALSE),FALSE),HLOOKUP(E68,GDcorr,VLOOKUP(H68,CorMove,2,FALSE),FALSE),Q68-$C$3,R68,$AI$5)*I68-AI68</f>
        <v>#N/A</v>
      </c>
      <c r="AH68" s="234" t="e">
        <f t="shared" si="30"/>
        <v>#N/A</v>
      </c>
      <c r="AI68" s="234" t="e">
        <f>_xll.xSPRDOPT(HLOOKUP($D$3,GDPrev,VLOOKUP(Q68,GDmove_down,2,FALSE),FALSE),HLOOKUP($E$3,GDPrev,VLOOKUP(Q68,GDmove_down,2,FALSE),FALSE),AJ68,VLOOKUP(H68,NGPREVPRICES,4,FALSE),HLOOKUP($H$3,GDPrevVols,VLOOKUP(Q68,GDmove_down2,2,FALSE),FALSE),HLOOKUP($H$3,GDPrevVols,VLOOKUP(Q68,GDmove_down2,2,FALSE),FALSE),HLOOKUP(E68,GDcorr,VLOOKUP(H68,CorMove,2,FALSE),FALSE),Q68-$AC$3,R68,$AI$5)*I68</f>
        <v>#N/A</v>
      </c>
      <c r="AJ68" s="235" t="e">
        <f t="shared" si="15"/>
        <v>#N/A</v>
      </c>
      <c r="AK68" s="234"/>
      <c r="AL68" t="str">
        <f t="shared" si="16"/>
        <v>36678Curve Shift/Gamma</v>
      </c>
      <c r="AM68" t="str">
        <f t="shared" si="17"/>
        <v>36678Rho</v>
      </c>
      <c r="AN68" t="str">
        <f t="shared" si="18"/>
        <v>36678Drift</v>
      </c>
      <c r="AO68" t="str">
        <f t="shared" si="19"/>
        <v>36678Vega</v>
      </c>
      <c r="AP68" t="str">
        <f t="shared" si="20"/>
        <v>36678Theta</v>
      </c>
      <c r="AZ68" s="41">
        <f t="shared" si="27"/>
        <v>38018</v>
      </c>
      <c r="BA68" s="44"/>
      <c r="BG68" s="441">
        <v>38353</v>
      </c>
      <c r="BH68">
        <v>0.98499999999999999</v>
      </c>
      <c r="BJ68" s="441">
        <v>38353</v>
      </c>
      <c r="BK68">
        <v>65</v>
      </c>
    </row>
    <row r="69" spans="1:63" ht="12" customHeight="1" x14ac:dyDescent="0.25">
      <c r="A69" s="384" t="s">
        <v>279</v>
      </c>
      <c r="B69" s="155" t="s">
        <v>250</v>
      </c>
      <c r="C69" s="155" t="s">
        <v>398</v>
      </c>
      <c r="D69" s="155" t="s">
        <v>190</v>
      </c>
      <c r="E69" s="4" t="s">
        <v>237</v>
      </c>
      <c r="F69" s="155" t="s">
        <v>20</v>
      </c>
      <c r="G69" s="155" t="s">
        <v>21</v>
      </c>
      <c r="H69" s="354">
        <v>36678</v>
      </c>
      <c r="I69" s="156">
        <v>-10000</v>
      </c>
      <c r="J69" s="7">
        <v>0.46</v>
      </c>
      <c r="K69" s="53">
        <f t="shared" si="11"/>
        <v>4.875</v>
      </c>
      <c r="L69" s="53">
        <f t="shared" si="12"/>
        <v>3.45</v>
      </c>
      <c r="M69" s="157">
        <v>1</v>
      </c>
      <c r="N69" s="4">
        <v>0.51500000000000001</v>
      </c>
      <c r="O69" s="4">
        <v>0.51500000000000001</v>
      </c>
      <c r="P69" s="9" t="e">
        <f t="shared" si="13"/>
        <v>#N/A</v>
      </c>
      <c r="Q69" s="5">
        <v>36686</v>
      </c>
      <c r="R69" s="4">
        <f t="shared" si="31"/>
        <v>1</v>
      </c>
      <c r="S69" s="158" t="e">
        <f>_xll.xSPRDOPT($K69,$L69,$J69,$M69,$N69,$O69,$P69,$Q69-$C$3,$R69,0)</f>
        <v>#N/A</v>
      </c>
      <c r="T69" s="159" t="e">
        <f>_xll.xSPRDOPT($K69,$L69,$J69,$M69,$N69,$O69,$P69,$Q69-$C$3,$R69,1)*I69</f>
        <v>#N/A</v>
      </c>
      <c r="U69" s="160">
        <v>-1900</v>
      </c>
      <c r="V69" s="159" t="e">
        <f>_xll.xSPRDOPT($K69,$L69,$J69,$M69,$N69,$O69,$P69,$Q69-$C$3,$R69,2)*I69</f>
        <v>#N/A</v>
      </c>
      <c r="W69" s="159" t="e">
        <f t="shared" si="32"/>
        <v>#N/A</v>
      </c>
      <c r="X69" s="51" t="str">
        <f t="shared" si="33"/>
        <v>36678IF-ELPO/SJ</v>
      </c>
      <c r="Y69" s="418">
        <f t="shared" si="34"/>
        <v>-1</v>
      </c>
      <c r="AA69" s="51"/>
      <c r="AB69" s="141">
        <f t="shared" si="14"/>
        <v>36678</v>
      </c>
      <c r="AC69" s="234" t="e">
        <f>_xll.xSPRDOPT(HLOOKUP($D$3,GDPRICES,VLOOKUP(Q69,GDmove_down,2,FALSE),FALSE),HLOOKUP($E$3,GDPRICES,VLOOKUP(Q69,GDmove_down,2,FALSE),FALSE),J69,VLOOKUP(H69,NGPREVPRICES,4,FALSE),HLOOKUP($H$3,GDPrevVols,VLOOKUP(Q69,GDmove_down2,2,FALSE),FALSE),HLOOKUP($H$3,GDPrevVols,VLOOKUP(Q69,GDmove_down2,2,FALSE),FALSE),HLOOKUP(E69,GDcorr,VLOOKUP(H69,CorMove,2,FALSE),FALSE),Q69-$AC$3,R69,$AC$5)*I69-AI69</f>
        <v>#N/A</v>
      </c>
      <c r="AD69" s="234" t="e">
        <f>_xll.xSPRDOPT(HLOOKUP($D$3,GDPrev,VLOOKUP(Q69,GDmove_down,2,FALSE),FALSE),HLOOKUP($E$3,GDPrev,VLOOKUP(Q69,GDmove_down,2,FALSE),FALSE),AJ69,VLOOKUP(H69,NGPrices,4,FALSE),HLOOKUP($H$3,GDPrevVols,VLOOKUP(Q69,GDmove_down2,2,FALSE),FALSE),HLOOKUP($H$3,GDPrevVols,VLOOKUP(Q69,GDmove_down2,2,FALSE),FALSE),HLOOKUP(E69,GDcorr,VLOOKUP(H69,CorMove,2,FALSE),FALSE),Q69-$AC$3,R69,$AI$5)*I69-AI69</f>
        <v>#N/A</v>
      </c>
      <c r="AE69" s="439" t="e">
        <f t="shared" si="29"/>
        <v>#N/A</v>
      </c>
      <c r="AF69" s="234" t="e">
        <f>_xll.xSPRDOPT(HLOOKUP($D$3,GDPrev,VLOOKUP(Q69,GDmove_down,2,FALSE),FALSE),HLOOKUP($E$3,GDPrev,VLOOKUP(Q69,GDmove_down,2,FALSE),FALSE),AJ69,VLOOKUP(H69,NGPREVPRICES,4,FALSE),HLOOKUP($H$3,GDVol,VLOOKUP(H69,move_down,2,FALSE),FALSE),HLOOKUP($H$3,GDVol,VLOOKUP(H69,move_down,2,FALSE),FALSE),HLOOKUP(E69,GDcorr,VLOOKUP(H69,CorMove,2,FALSE),FALSE),Q69-$AC$3,R69,$AI$5)*I69-AI69</f>
        <v>#N/A</v>
      </c>
      <c r="AG69" s="234" t="e">
        <f>_xll.xSPRDOPT(HLOOKUP($D$3,GDPrev,VLOOKUP(Q69,GDmove_down,2,FALSE),FALSE),HLOOKUP($E$3,GDPrev,VLOOKUP(Q69,GDmove_down,2,FALSE),FALSE),AJ69,VLOOKUP(H69,NGPREVPRICES,4,FALSE),HLOOKUP($H$3,GDPrevVols,VLOOKUP(Q69,GDmove_down2,2,FALSE),FALSE),HLOOKUP($H$3,GDPrevVols,VLOOKUP(Q69,GDmove_down2,2,FALSE),FALSE),HLOOKUP(E69,GDcorr,VLOOKUP(H69,CorMove,2,FALSE),FALSE),Q69-$C$3,R69,$AI$5)*I69-AI69</f>
        <v>#N/A</v>
      </c>
      <c r="AH69" s="234" t="e">
        <f t="shared" si="30"/>
        <v>#N/A</v>
      </c>
      <c r="AI69" s="234" t="e">
        <f>_xll.xSPRDOPT(HLOOKUP($D$3,GDPrev,VLOOKUP(Q69,GDmove_down,2,FALSE),FALSE),HLOOKUP($E$3,GDPrev,VLOOKUP(Q69,GDmove_down,2,FALSE),FALSE),AJ69,VLOOKUP(H69,NGPREVPRICES,4,FALSE),HLOOKUP($H$3,GDPrevVols,VLOOKUP(Q69,GDmove_down2,2,FALSE),FALSE),HLOOKUP($H$3,GDPrevVols,VLOOKUP(Q69,GDmove_down2,2,FALSE),FALSE),HLOOKUP(E69,GDcorr,VLOOKUP(H69,CorMove,2,FALSE),FALSE),Q69-$AC$3,R69,$AI$5)*I69</f>
        <v>#N/A</v>
      </c>
      <c r="AJ69" s="235" t="e">
        <f t="shared" si="15"/>
        <v>#N/A</v>
      </c>
      <c r="AK69" s="234"/>
      <c r="AL69" t="str">
        <f t="shared" si="16"/>
        <v>36678Curve Shift/Gamma</v>
      </c>
      <c r="AM69" t="str">
        <f t="shared" si="17"/>
        <v>36678Rho</v>
      </c>
      <c r="AN69" t="str">
        <f t="shared" si="18"/>
        <v>36678Drift</v>
      </c>
      <c r="AO69" t="str">
        <f t="shared" si="19"/>
        <v>36678Vega</v>
      </c>
      <c r="AP69" t="str">
        <f t="shared" si="20"/>
        <v>36678Theta</v>
      </c>
      <c r="AZ69" s="41">
        <f t="shared" si="27"/>
        <v>38047</v>
      </c>
      <c r="BA69" s="44"/>
      <c r="BG69" s="441">
        <v>38384</v>
      </c>
      <c r="BH69">
        <v>0.98499999999999999</v>
      </c>
      <c r="BJ69" s="441">
        <v>38384</v>
      </c>
      <c r="BK69">
        <v>66</v>
      </c>
    </row>
    <row r="70" spans="1:63" ht="12" customHeight="1" x14ac:dyDescent="0.25">
      <c r="A70" s="382" t="s">
        <v>279</v>
      </c>
      <c r="B70" s="155" t="s">
        <v>250</v>
      </c>
      <c r="C70" s="155" t="s">
        <v>360</v>
      </c>
      <c r="D70" s="155" t="s">
        <v>190</v>
      </c>
      <c r="E70" s="4" t="s">
        <v>237</v>
      </c>
      <c r="F70" s="155" t="s">
        <v>20</v>
      </c>
      <c r="G70" s="155" t="s">
        <v>21</v>
      </c>
      <c r="H70" s="354">
        <v>36678</v>
      </c>
      <c r="I70" s="156">
        <v>-50000</v>
      </c>
      <c r="J70" s="7">
        <v>0.46</v>
      </c>
      <c r="K70" s="53">
        <f t="shared" si="11"/>
        <v>4.7699999999999996</v>
      </c>
      <c r="L70" s="53">
        <f t="shared" si="12"/>
        <v>3.5049999999999999</v>
      </c>
      <c r="M70" s="157">
        <v>1</v>
      </c>
      <c r="N70" s="4">
        <v>0.51500000000000001</v>
      </c>
      <c r="O70" s="4">
        <v>0.51500000000000001</v>
      </c>
      <c r="P70" s="9" t="e">
        <f t="shared" si="13"/>
        <v>#N/A</v>
      </c>
      <c r="Q70" s="5">
        <v>36687</v>
      </c>
      <c r="R70" s="4">
        <f t="shared" si="31"/>
        <v>1</v>
      </c>
      <c r="S70" s="158" t="e">
        <f>_xll.xSPRDOPT($K70,$L70,$J70,$M70,$N70,$O70,$P70,$Q70-$C$3,$R70,0)</f>
        <v>#N/A</v>
      </c>
      <c r="T70" s="159" t="e">
        <f>_xll.xSPRDOPT($K70,$L70,$J70,$M70,$N70,$O70,$P70,$Q70-$C$3,$R70,1)*I70</f>
        <v>#N/A</v>
      </c>
      <c r="U70" s="160">
        <v>-5500</v>
      </c>
      <c r="V70" s="159" t="e">
        <f>_xll.xSPRDOPT($K70,$L70,$J70,$M70,$N70,$O70,$P70,$Q70-$C$3,$R70,2)*I70</f>
        <v>#N/A</v>
      </c>
      <c r="W70" s="159" t="e">
        <f t="shared" si="32"/>
        <v>#N/A</v>
      </c>
      <c r="X70" s="51" t="str">
        <f t="shared" si="33"/>
        <v>36678IF-ELPO/SJ</v>
      </c>
      <c r="Y70" s="418">
        <f t="shared" si="34"/>
        <v>-5</v>
      </c>
      <c r="Z70" s="51"/>
      <c r="AA70" s="51"/>
      <c r="AB70" s="141">
        <f t="shared" si="14"/>
        <v>36678</v>
      </c>
      <c r="AC70" s="234" t="e">
        <f>_xll.xSPRDOPT(HLOOKUP($D$3,GDPRICES,VLOOKUP(Q70,GDmove_down,2,FALSE),FALSE),HLOOKUP($E$3,GDPRICES,VLOOKUP(Q70,GDmove_down,2,FALSE),FALSE),J70,VLOOKUP(H70,NGPREVPRICES,4,FALSE),HLOOKUP($H$3,GDPrevVols,VLOOKUP(Q70,GDmove_down2,2,FALSE),FALSE),HLOOKUP($H$3,GDPrevVols,VLOOKUP(Q70,GDmove_down2,2,FALSE),FALSE),HLOOKUP(E70,GDcorr,VLOOKUP(H70,CorMove,2,FALSE),FALSE),Q70-$AC$3,R70,$AC$5)*I70-AI70</f>
        <v>#N/A</v>
      </c>
      <c r="AD70" s="234" t="e">
        <f>_xll.xSPRDOPT(HLOOKUP($D$3,GDPrev,VLOOKUP(Q70,GDmove_down,2,FALSE),FALSE),HLOOKUP($E$3,GDPrev,VLOOKUP(Q70,GDmove_down,2,FALSE),FALSE),AJ70,VLOOKUP(H70,NGPrices,4,FALSE),HLOOKUP($H$3,GDPrevVols,VLOOKUP(Q70,GDmove_down2,2,FALSE),FALSE),HLOOKUP($H$3,GDPrevVols,VLOOKUP(Q70,GDmove_down2,2,FALSE),FALSE),HLOOKUP(E70,GDcorr,VLOOKUP(H70,CorMove,2,FALSE),FALSE),Q70-$AC$3,R70,$AI$5)*I70-AI70</f>
        <v>#N/A</v>
      </c>
      <c r="AE70" s="439" t="e">
        <f t="shared" si="29"/>
        <v>#N/A</v>
      </c>
      <c r="AF70" s="234" t="e">
        <f>_xll.xSPRDOPT(HLOOKUP($D$3,GDPrev,VLOOKUP(Q70,GDmove_down,2,FALSE),FALSE),HLOOKUP($E$3,GDPrev,VLOOKUP(Q70,GDmove_down,2,FALSE),FALSE),AJ70,VLOOKUP(H70,NGPREVPRICES,4,FALSE),HLOOKUP($H$3,GDVol,VLOOKUP(H70,move_down,2,FALSE),FALSE),HLOOKUP($H$3,GDVol,VLOOKUP(H70,move_down,2,FALSE),FALSE),HLOOKUP(E70,GDcorr,VLOOKUP(H70,CorMove,2,FALSE),FALSE),Q70-$AC$3,R70,$AI$5)*I70-AI70</f>
        <v>#N/A</v>
      </c>
      <c r="AG70" s="234" t="e">
        <f>_xll.xSPRDOPT(HLOOKUP($D$3,GDPrev,VLOOKUP(Q70,GDmove_down,2,FALSE),FALSE),HLOOKUP($E$3,GDPrev,VLOOKUP(Q70,GDmove_down,2,FALSE),FALSE),AJ70,VLOOKUP(H70,NGPREVPRICES,4,FALSE),HLOOKUP($H$3,GDPrevVols,VLOOKUP(Q70,GDmove_down2,2,FALSE),FALSE),HLOOKUP($H$3,GDPrevVols,VLOOKUP(Q70,GDmove_down2,2,FALSE),FALSE),HLOOKUP(E70,GDcorr,VLOOKUP(H70,CorMove,2,FALSE),FALSE),Q70-$C$3,R70,$AI$5)*I70-AI70</f>
        <v>#N/A</v>
      </c>
      <c r="AH70" s="234" t="e">
        <f t="shared" si="30"/>
        <v>#N/A</v>
      </c>
      <c r="AI70" s="234" t="e">
        <f>_xll.xSPRDOPT(HLOOKUP($D$3,GDPrev,VLOOKUP(Q70,GDmove_down,2,FALSE),FALSE),HLOOKUP($E$3,GDPrev,VLOOKUP(Q70,GDmove_down,2,FALSE),FALSE),AJ70,VLOOKUP(H70,NGPREVPRICES,4,FALSE),HLOOKUP($H$3,GDPrevVols,VLOOKUP(Q70,GDmove_down2,2,FALSE),FALSE),HLOOKUP($H$3,GDPrevVols,VLOOKUP(Q70,GDmove_down2,2,FALSE),FALSE),HLOOKUP(E70,GDcorr,VLOOKUP(H70,CorMove,2,FALSE),FALSE),Q70-$AC$3,R70,$AI$5)*I70</f>
        <v>#N/A</v>
      </c>
      <c r="AJ70" s="235" t="e">
        <f t="shared" si="15"/>
        <v>#N/A</v>
      </c>
      <c r="AK70" s="234"/>
      <c r="AL70" t="str">
        <f t="shared" si="16"/>
        <v>36678Curve Shift/Gamma</v>
      </c>
      <c r="AM70" t="str">
        <f t="shared" si="17"/>
        <v>36678Rho</v>
      </c>
      <c r="AN70" t="str">
        <f t="shared" si="18"/>
        <v>36678Drift</v>
      </c>
      <c r="AO70" t="str">
        <f t="shared" si="19"/>
        <v>36678Vega</v>
      </c>
      <c r="AP70" t="str">
        <f t="shared" si="20"/>
        <v>36678Theta</v>
      </c>
      <c r="AZ70" s="41">
        <f t="shared" si="27"/>
        <v>38078</v>
      </c>
      <c r="BA70" s="44"/>
      <c r="BG70" s="441">
        <v>38412</v>
      </c>
      <c r="BH70">
        <v>0.98499999999999999</v>
      </c>
      <c r="BJ70" s="441">
        <v>38412</v>
      </c>
      <c r="BK70">
        <v>67</v>
      </c>
    </row>
    <row r="71" spans="1:63" ht="12" customHeight="1" x14ac:dyDescent="0.25">
      <c r="A71" s="382" t="s">
        <v>279</v>
      </c>
      <c r="B71" s="155" t="s">
        <v>250</v>
      </c>
      <c r="C71" s="155" t="s">
        <v>361</v>
      </c>
      <c r="D71" s="155" t="s">
        <v>190</v>
      </c>
      <c r="E71" s="4" t="s">
        <v>237</v>
      </c>
      <c r="F71" s="155" t="s">
        <v>20</v>
      </c>
      <c r="G71" s="155" t="s">
        <v>21</v>
      </c>
      <c r="H71" s="354">
        <v>36678</v>
      </c>
      <c r="I71" s="156">
        <v>10000</v>
      </c>
      <c r="J71" s="7">
        <v>0.46</v>
      </c>
      <c r="K71" s="53">
        <f t="shared" si="11"/>
        <v>4.7699999999999996</v>
      </c>
      <c r="L71" s="53">
        <f t="shared" si="12"/>
        <v>3.5049999999999999</v>
      </c>
      <c r="M71" s="157">
        <v>1</v>
      </c>
      <c r="N71" s="4">
        <v>0.51500000000000001</v>
      </c>
      <c r="O71" s="4">
        <v>0.51500000000000001</v>
      </c>
      <c r="P71" s="9" t="e">
        <f t="shared" si="13"/>
        <v>#N/A</v>
      </c>
      <c r="Q71" s="5">
        <v>36687</v>
      </c>
      <c r="R71" s="4">
        <f t="shared" si="31"/>
        <v>1</v>
      </c>
      <c r="S71" s="158" t="e">
        <f>_xll.xSPRDOPT($K71,$L71,$J71,$M71,$N71,$O71,$P71,$Q71-$C$3,$R71,0)</f>
        <v>#N/A</v>
      </c>
      <c r="T71" s="159" t="e">
        <f>_xll.xSPRDOPT($K71,$L71,$J71,$M71,$N71,$O71,$P71,$Q71-$C$3,$R71,1)*I71</f>
        <v>#N/A</v>
      </c>
      <c r="U71" s="160">
        <v>1100</v>
      </c>
      <c r="V71" s="159" t="e">
        <f>_xll.xSPRDOPT($K71,$L71,$J71,$M71,$N71,$O71,$P71,$Q71-$C$3,$R71,2)*I71</f>
        <v>#N/A</v>
      </c>
      <c r="W71" s="159" t="e">
        <f t="shared" si="32"/>
        <v>#N/A</v>
      </c>
      <c r="X71" s="51" t="str">
        <f t="shared" si="33"/>
        <v>36678IF-ELPO/SJ</v>
      </c>
      <c r="Y71" s="418">
        <f t="shared" si="34"/>
        <v>1</v>
      </c>
      <c r="Z71" s="51"/>
      <c r="AA71" s="51"/>
      <c r="AB71" s="141">
        <f t="shared" si="14"/>
        <v>36678</v>
      </c>
      <c r="AC71" s="234" t="e">
        <f>_xll.xSPRDOPT(HLOOKUP($D$3,GDPRICES,VLOOKUP(Q71,GDmove_down,2,FALSE),FALSE),HLOOKUP($E$3,GDPRICES,VLOOKUP(Q71,GDmove_down,2,FALSE),FALSE),J71,VLOOKUP(H71,NGPREVPRICES,4,FALSE),HLOOKUP($H$3,GDPrevVols,VLOOKUP(Q71,GDmove_down2,2,FALSE),FALSE),HLOOKUP($H$3,GDPrevVols,VLOOKUP(Q71,GDmove_down2,2,FALSE),FALSE),HLOOKUP(E71,GDcorr,VLOOKUP(H71,CorMove,2,FALSE),FALSE),Q71-$AC$3,R71,$AC$5)*I71-AI71</f>
        <v>#N/A</v>
      </c>
      <c r="AD71" s="234" t="e">
        <f>_xll.xSPRDOPT(HLOOKUP($D$3,GDPrev,VLOOKUP(Q71,GDmove_down,2,FALSE),FALSE),HLOOKUP($E$3,GDPrev,VLOOKUP(Q71,GDmove_down,2,FALSE),FALSE),AJ71,VLOOKUP(H71,NGPrices,4,FALSE),HLOOKUP($H$3,GDPrevVols,VLOOKUP(Q71,GDmove_down2,2,FALSE),FALSE),HLOOKUP($H$3,GDPrevVols,VLOOKUP(Q71,GDmove_down2,2,FALSE),FALSE),HLOOKUP(E71,GDcorr,VLOOKUP(H71,CorMove,2,FALSE),FALSE),Q71-$AC$3,R71,$AI$5)*I71-AI71</f>
        <v>#N/A</v>
      </c>
      <c r="AE71" s="439" t="e">
        <f t="shared" si="29"/>
        <v>#N/A</v>
      </c>
      <c r="AF71" s="234" t="e">
        <f>_xll.xSPRDOPT(HLOOKUP($D$3,GDPrev,VLOOKUP(Q71,GDmove_down,2,FALSE),FALSE),HLOOKUP($E$3,GDPrev,VLOOKUP(Q71,GDmove_down,2,FALSE),FALSE),AJ71,VLOOKUP(H71,NGPREVPRICES,4,FALSE),HLOOKUP($H$3,GDVol,VLOOKUP(H71,move_down,2,FALSE),FALSE),HLOOKUP($H$3,GDVol,VLOOKUP(H71,move_down,2,FALSE),FALSE),HLOOKUP(E71,GDcorr,VLOOKUP(H71,CorMove,2,FALSE),FALSE),Q71-$AC$3,R71,$AI$5)*I71-AI71</f>
        <v>#N/A</v>
      </c>
      <c r="AG71" s="234" t="e">
        <f>_xll.xSPRDOPT(HLOOKUP($D$3,GDPrev,VLOOKUP(Q71,GDmove_down,2,FALSE),FALSE),HLOOKUP($E$3,GDPrev,VLOOKUP(Q71,GDmove_down,2,FALSE),FALSE),AJ71,VLOOKUP(H71,NGPREVPRICES,4,FALSE),HLOOKUP($H$3,GDPrevVols,VLOOKUP(Q71,GDmove_down2,2,FALSE),FALSE),HLOOKUP($H$3,GDPrevVols,VLOOKUP(Q71,GDmove_down2,2,FALSE),FALSE),HLOOKUP(E71,GDcorr,VLOOKUP(H71,CorMove,2,FALSE),FALSE),Q71-$C$3,R71,$AI$5)*I71-AI71</f>
        <v>#N/A</v>
      </c>
      <c r="AH71" s="234" t="e">
        <f t="shared" si="30"/>
        <v>#N/A</v>
      </c>
      <c r="AI71" s="234" t="e">
        <f>_xll.xSPRDOPT(HLOOKUP($D$3,GDPrev,VLOOKUP(Q71,GDmove_down,2,FALSE),FALSE),HLOOKUP($E$3,GDPrev,VLOOKUP(Q71,GDmove_down,2,FALSE),FALSE),AJ71,VLOOKUP(H71,NGPREVPRICES,4,FALSE),HLOOKUP($H$3,GDPrevVols,VLOOKUP(Q71,GDmove_down2,2,FALSE),FALSE),HLOOKUP($H$3,GDPrevVols,VLOOKUP(Q71,GDmove_down2,2,FALSE),FALSE),HLOOKUP(E71,GDcorr,VLOOKUP(H71,CorMove,2,FALSE),FALSE),Q71-$AC$3,R71,$AI$5)*I71</f>
        <v>#N/A</v>
      </c>
      <c r="AJ71" s="235" t="e">
        <f t="shared" si="15"/>
        <v>#N/A</v>
      </c>
      <c r="AK71" s="234"/>
      <c r="AL71" t="str">
        <f t="shared" si="16"/>
        <v>36678Curve Shift/Gamma</v>
      </c>
      <c r="AM71" t="str">
        <f t="shared" si="17"/>
        <v>36678Rho</v>
      </c>
      <c r="AN71" t="str">
        <f t="shared" si="18"/>
        <v>36678Drift</v>
      </c>
      <c r="AO71" t="str">
        <f t="shared" si="19"/>
        <v>36678Vega</v>
      </c>
      <c r="AP71" t="str">
        <f t="shared" si="20"/>
        <v>36678Theta</v>
      </c>
      <c r="AZ71" s="41">
        <f t="shared" si="27"/>
        <v>38108</v>
      </c>
      <c r="BA71" s="44"/>
      <c r="BG71" s="441">
        <v>38443</v>
      </c>
      <c r="BH71">
        <v>0.98499999999999999</v>
      </c>
      <c r="BJ71" s="441">
        <v>38443</v>
      </c>
      <c r="BK71">
        <v>68</v>
      </c>
    </row>
    <row r="72" spans="1:63" ht="12" customHeight="1" x14ac:dyDescent="0.25">
      <c r="A72" s="382" t="s">
        <v>279</v>
      </c>
      <c r="B72" s="155" t="s">
        <v>250</v>
      </c>
      <c r="C72" s="155" t="s">
        <v>364</v>
      </c>
      <c r="D72" s="155" t="s">
        <v>190</v>
      </c>
      <c r="E72" s="4" t="s">
        <v>237</v>
      </c>
      <c r="F72" s="155" t="s">
        <v>20</v>
      </c>
      <c r="G72" s="155" t="s">
        <v>21</v>
      </c>
      <c r="H72" s="354">
        <v>36678</v>
      </c>
      <c r="I72" s="156">
        <v>-333333</v>
      </c>
      <c r="J72" s="7">
        <v>0.46</v>
      </c>
      <c r="K72" s="53">
        <f t="shared" ref="K72:K135" si="35">HLOOKUP($D$3,GDPRICES,VLOOKUP(Q72,GDmove_down,2,FALSE),FALSE)</f>
        <v>4.7699999999999996</v>
      </c>
      <c r="L72" s="53">
        <f t="shared" ref="L72:L135" si="36">HLOOKUP($E$3,GDPRICES,VLOOKUP(Q72,GDmove_down,2,FALSE),FALSE)</f>
        <v>3.5049999999999999</v>
      </c>
      <c r="M72" s="157">
        <v>1</v>
      </c>
      <c r="N72" s="4">
        <v>0.51500000000000001</v>
      </c>
      <c r="O72" s="4">
        <v>0.51500000000000001</v>
      </c>
      <c r="P72" s="9" t="e">
        <f t="shared" ref="P72:P135" si="37">HLOOKUP(E72,GDcorr,VLOOKUP(H72,GDCorMove,2,FALSE),FALSE)</f>
        <v>#N/A</v>
      </c>
      <c r="Q72" s="5">
        <v>36687</v>
      </c>
      <c r="R72" s="4">
        <f t="shared" si="31"/>
        <v>1</v>
      </c>
      <c r="S72" s="158" t="e">
        <f>_xll.xSPRDOPT($K72,$L72,$J72,$M72,$N72,$O72,$P72,$Q72-$C$3,$R72,0)</f>
        <v>#N/A</v>
      </c>
      <c r="T72" s="159" t="e">
        <f>_xll.xSPRDOPT($K72,$L72,$J72,$M72,$N72,$O72,$P72,$Q72-$C$3,$R72,1)*I72</f>
        <v>#N/A</v>
      </c>
      <c r="U72" s="160">
        <v>-36666.629999999997</v>
      </c>
      <c r="V72" s="159" t="e">
        <f>_xll.xSPRDOPT($K72,$L72,$J72,$M72,$N72,$O72,$P72,$Q72-$C$3,$R72,2)*I72</f>
        <v>#N/A</v>
      </c>
      <c r="W72" s="159" t="e">
        <f t="shared" si="32"/>
        <v>#N/A</v>
      </c>
      <c r="X72" s="51" t="str">
        <f t="shared" si="33"/>
        <v>36678IF-ELPO/SJ</v>
      </c>
      <c r="Y72" s="418">
        <f t="shared" si="34"/>
        <v>-33.333300000000001</v>
      </c>
      <c r="Z72" s="51"/>
      <c r="AA72" s="51"/>
      <c r="AB72" s="141">
        <f t="shared" ref="AB72:AB126" si="38">H72</f>
        <v>36678</v>
      </c>
      <c r="AC72" s="234" t="e">
        <f>_xll.xSPRDOPT(HLOOKUP($D$3,GDPRICES,VLOOKUP(Q72,GDmove_down,2,FALSE),FALSE),HLOOKUP($E$3,GDPRICES,VLOOKUP(Q72,GDmove_down,2,FALSE),FALSE),J72,VLOOKUP(H72,NGPREVPRICES,4,FALSE),HLOOKUP($H$3,GDPrevVols,VLOOKUP(Q72,GDmove_down2,2,FALSE),FALSE),HLOOKUP($H$3,GDPrevVols,VLOOKUP(Q72,GDmove_down2,2,FALSE),FALSE),HLOOKUP(E72,GDcorr,VLOOKUP(H72,CorMove,2,FALSE),FALSE),Q72-$AC$3,R72,$AC$5)*I72-AI72</f>
        <v>#N/A</v>
      </c>
      <c r="AD72" s="234" t="e">
        <f>_xll.xSPRDOPT(HLOOKUP($D$3,GDPrev,VLOOKUP(Q72,GDmove_down,2,FALSE),FALSE),HLOOKUP($E$3,GDPrev,VLOOKUP(Q72,GDmove_down,2,FALSE),FALSE),AJ72,VLOOKUP(H72,NGPrices,4,FALSE),HLOOKUP($H$3,GDPrevVols,VLOOKUP(Q72,GDmove_down2,2,FALSE),FALSE),HLOOKUP($H$3,GDPrevVols,VLOOKUP(Q72,GDmove_down2,2,FALSE),FALSE),HLOOKUP(E72,GDcorr,VLOOKUP(H72,CorMove,2,FALSE),FALSE),Q72-$AC$3,R72,$AI$5)*I72-AI72</f>
        <v>#N/A</v>
      </c>
      <c r="AE72" s="439" t="e">
        <f t="shared" ref="AE72:AE126" si="39">(AI72/VLOOKUP(AB72,discount,3,FALSE))-(AI72/VLOOKUP(AB72,discount,2,FALSE))</f>
        <v>#N/A</v>
      </c>
      <c r="AF72" s="234" t="e">
        <f>_xll.xSPRDOPT(HLOOKUP($D$3,GDPrev,VLOOKUP(Q72,GDmove_down,2,FALSE),FALSE),HLOOKUP($E$3,GDPrev,VLOOKUP(Q72,GDmove_down,2,FALSE),FALSE),AJ72,VLOOKUP(H72,NGPREVPRICES,4,FALSE),HLOOKUP($H$3,GDVol,VLOOKUP(H72,move_down,2,FALSE),FALSE),HLOOKUP($H$3,GDVol,VLOOKUP(H72,move_down,2,FALSE),FALSE),HLOOKUP(E72,GDcorr,VLOOKUP(H72,CorMove,2,FALSE),FALSE),Q72-$AC$3,R72,$AI$5)*I72-AI72</f>
        <v>#N/A</v>
      </c>
      <c r="AG72" s="234" t="e">
        <f>_xll.xSPRDOPT(HLOOKUP($D$3,GDPrev,VLOOKUP(Q72,GDmove_down,2,FALSE),FALSE),HLOOKUP($E$3,GDPrev,VLOOKUP(Q72,GDmove_down,2,FALSE),FALSE),AJ72,VLOOKUP(H72,NGPREVPRICES,4,FALSE),HLOOKUP($H$3,GDPrevVols,VLOOKUP(Q72,GDmove_down2,2,FALSE),FALSE),HLOOKUP($H$3,GDPrevVols,VLOOKUP(Q72,GDmove_down2,2,FALSE),FALSE),HLOOKUP(E72,GDcorr,VLOOKUP(H72,CorMove,2,FALSE),FALSE),Q72-$C$3,R72,$AI$5)*I72-AI72</f>
        <v>#N/A</v>
      </c>
      <c r="AH72" s="234" t="e">
        <f t="shared" ref="AH72:AH126" si="40">SUM(AC72:AG72)</f>
        <v>#N/A</v>
      </c>
      <c r="AI72" s="234" t="e">
        <f>_xll.xSPRDOPT(HLOOKUP($D$3,GDPrev,VLOOKUP(Q72,GDmove_down,2,FALSE),FALSE),HLOOKUP($E$3,GDPrev,VLOOKUP(Q72,GDmove_down,2,FALSE),FALSE),AJ72,VLOOKUP(H72,NGPREVPRICES,4,FALSE),HLOOKUP($H$3,GDPrevVols,VLOOKUP(Q72,GDmove_down2,2,FALSE),FALSE),HLOOKUP($H$3,GDPrevVols,VLOOKUP(Q72,GDmove_down2,2,FALSE),FALSE),HLOOKUP(E72,GDcorr,VLOOKUP(H72,CorMove,2,FALSE),FALSE),Q72-$AC$3,R72,$AI$5)*I72</f>
        <v>#N/A</v>
      </c>
      <c r="AJ72" s="235" t="e">
        <f t="shared" ref="AJ72:AJ126" si="41">HLOOKUP(D72,PREVCURVES,VLOOKUP(H72,MOVE_DOWN2,2,FALSE),FALSE)-HLOOKUP(E72,PREVCURVES,VLOOKUP(H72,MOVE_DOWN2,2,FALSE),FALSE)</f>
        <v>#N/A</v>
      </c>
      <c r="AK72" s="234"/>
      <c r="AL72" t="str">
        <f t="shared" ref="AL72:AL126" si="42">CONCATENATE(AB72,$AC$6)</f>
        <v>36678Curve Shift/Gamma</v>
      </c>
      <c r="AM72" t="str">
        <f t="shared" ref="AM72:AM135" si="43">CONCATENATE($AB72,$AD$6)</f>
        <v>36678Rho</v>
      </c>
      <c r="AN72" t="str">
        <f t="shared" ref="AN72:AN135" si="44">CONCATENATE($AB72,$AE$6)</f>
        <v>36678Drift</v>
      </c>
      <c r="AO72" t="str">
        <f t="shared" ref="AO72:AO135" si="45">CONCATENATE($AB72,$AF$6)</f>
        <v>36678Vega</v>
      </c>
      <c r="AP72" t="str">
        <f t="shared" ref="AP72:AP135" si="46">CONCATENATE($AB72,$AG$6)</f>
        <v>36678Theta</v>
      </c>
      <c r="AZ72" s="41">
        <f t="shared" si="27"/>
        <v>38139</v>
      </c>
      <c r="BA72" s="44"/>
      <c r="BG72" s="441">
        <v>38473</v>
      </c>
      <c r="BH72">
        <v>0.98499999999999999</v>
      </c>
      <c r="BJ72" s="441">
        <v>38473</v>
      </c>
      <c r="BK72">
        <v>69</v>
      </c>
    </row>
    <row r="73" spans="1:63" ht="12" customHeight="1" x14ac:dyDescent="0.25">
      <c r="A73" s="384" t="s">
        <v>268</v>
      </c>
      <c r="B73" s="155" t="s">
        <v>250</v>
      </c>
      <c r="C73" s="155" t="s">
        <v>387</v>
      </c>
      <c r="D73" s="155" t="s">
        <v>190</v>
      </c>
      <c r="E73" s="4" t="s">
        <v>237</v>
      </c>
      <c r="F73" s="155" t="s">
        <v>20</v>
      </c>
      <c r="G73" s="155" t="s">
        <v>21</v>
      </c>
      <c r="H73" s="354">
        <v>36678</v>
      </c>
      <c r="I73" s="156">
        <v>-10000</v>
      </c>
      <c r="J73" s="7">
        <v>0.46</v>
      </c>
      <c r="K73" s="53">
        <f t="shared" si="35"/>
        <v>4.7699999999999996</v>
      </c>
      <c r="L73" s="53">
        <f t="shared" si="36"/>
        <v>3.5049999999999999</v>
      </c>
      <c r="M73" s="157">
        <v>1</v>
      </c>
      <c r="N73" s="4">
        <v>0.51500000000000001</v>
      </c>
      <c r="O73" s="4">
        <v>0.51500000000000001</v>
      </c>
      <c r="P73" s="9" t="e">
        <f t="shared" si="37"/>
        <v>#N/A</v>
      </c>
      <c r="Q73" s="5">
        <v>36687</v>
      </c>
      <c r="R73" s="4">
        <f t="shared" si="31"/>
        <v>1</v>
      </c>
      <c r="S73" s="158" t="e">
        <f>_xll.xSPRDOPT($K73,$L73,$J73,$M73,$N73,$O73,$P73,$Q73-$C$3,$R73,0)</f>
        <v>#N/A</v>
      </c>
      <c r="T73" s="159" t="e">
        <f>_xll.xSPRDOPT($K73,$L73,$J73,$M73,$N73,$O73,$P73,$Q73-$C$3,$R73,1)*I73</f>
        <v>#N/A</v>
      </c>
      <c r="U73" s="160">
        <v>-1100</v>
      </c>
      <c r="V73" s="159" t="e">
        <f>_xll.xSPRDOPT($K73,$L73,$J73,$M73,$N73,$O73,$P73,$Q73-$C$3,$R73,2)*I73</f>
        <v>#N/A</v>
      </c>
      <c r="W73" s="159" t="e">
        <f t="shared" si="32"/>
        <v>#N/A</v>
      </c>
      <c r="X73" s="51" t="str">
        <f t="shared" si="33"/>
        <v>36678IF-ELPO/SJ</v>
      </c>
      <c r="Y73" s="418">
        <f t="shared" si="34"/>
        <v>-1</v>
      </c>
      <c r="Z73" s="51"/>
      <c r="AA73" s="51"/>
      <c r="AB73" s="141">
        <f t="shared" si="38"/>
        <v>36678</v>
      </c>
      <c r="AC73" s="234" t="e">
        <f>_xll.xSPRDOPT(HLOOKUP($D$3,GDPRICES,VLOOKUP(Q73,GDmove_down,2,FALSE),FALSE),HLOOKUP($E$3,GDPRICES,VLOOKUP(Q73,GDmove_down,2,FALSE),FALSE),J73,VLOOKUP(H73,NGPREVPRICES,4,FALSE),HLOOKUP($H$3,GDPrevVols,VLOOKUP(Q73,GDmove_down2,2,FALSE),FALSE),HLOOKUP($H$3,GDPrevVols,VLOOKUP(Q73,GDmove_down2,2,FALSE),FALSE),HLOOKUP(E73,GDcorr,VLOOKUP(H73,CorMove,2,FALSE),FALSE),Q73-$AC$3,R73,$AC$5)*I73-AI73</f>
        <v>#N/A</v>
      </c>
      <c r="AD73" s="234" t="e">
        <f>_xll.xSPRDOPT(HLOOKUP($D$3,GDPrev,VLOOKUP(Q73,GDmove_down,2,FALSE),FALSE),HLOOKUP($E$3,GDPrev,VLOOKUP(Q73,GDmove_down,2,FALSE),FALSE),AJ73,VLOOKUP(H73,NGPrices,4,FALSE),HLOOKUP($H$3,GDPrevVols,VLOOKUP(Q73,GDmove_down2,2,FALSE),FALSE),HLOOKUP($H$3,GDPrevVols,VLOOKUP(Q73,GDmove_down2,2,FALSE),FALSE),HLOOKUP(E73,GDcorr,VLOOKUP(H73,CorMove,2,FALSE),FALSE),Q73-$AC$3,R73,$AI$5)*I73-AI73</f>
        <v>#N/A</v>
      </c>
      <c r="AE73" s="439" t="e">
        <f t="shared" si="39"/>
        <v>#N/A</v>
      </c>
      <c r="AF73" s="234" t="e">
        <f>_xll.xSPRDOPT(HLOOKUP($D$3,GDPrev,VLOOKUP(Q73,GDmove_down,2,FALSE),FALSE),HLOOKUP($E$3,GDPrev,VLOOKUP(Q73,GDmove_down,2,FALSE),FALSE),AJ73,VLOOKUP(H73,NGPREVPRICES,4,FALSE),HLOOKUP($H$3,GDVol,VLOOKUP(H73,move_down,2,FALSE),FALSE),HLOOKUP($H$3,GDVol,VLOOKUP(H73,move_down,2,FALSE),FALSE),HLOOKUP(E73,GDcorr,VLOOKUP(H73,CorMove,2,FALSE),FALSE),Q73-$AC$3,R73,$AI$5)*I73-AI73</f>
        <v>#N/A</v>
      </c>
      <c r="AG73" s="234" t="e">
        <f>_xll.xSPRDOPT(HLOOKUP($D$3,GDPrev,VLOOKUP(Q73,GDmove_down,2,FALSE),FALSE),HLOOKUP($E$3,GDPrev,VLOOKUP(Q73,GDmove_down,2,FALSE),FALSE),AJ73,VLOOKUP(H73,NGPREVPRICES,4,FALSE),HLOOKUP($H$3,GDPrevVols,VLOOKUP(Q73,GDmove_down2,2,FALSE),FALSE),HLOOKUP($H$3,GDPrevVols,VLOOKUP(Q73,GDmove_down2,2,FALSE),FALSE),HLOOKUP(E73,GDcorr,VLOOKUP(H73,CorMove,2,FALSE),FALSE),Q73-$C$3,R73,$AI$5)*I73-AI73</f>
        <v>#N/A</v>
      </c>
      <c r="AH73" s="234" t="e">
        <f t="shared" si="40"/>
        <v>#N/A</v>
      </c>
      <c r="AI73" s="234" t="e">
        <f>_xll.xSPRDOPT(HLOOKUP($D$3,GDPrev,VLOOKUP(Q73,GDmove_down,2,FALSE),FALSE),HLOOKUP($E$3,GDPrev,VLOOKUP(Q73,GDmove_down,2,FALSE),FALSE),AJ73,VLOOKUP(H73,NGPREVPRICES,4,FALSE),HLOOKUP($H$3,GDPrevVols,VLOOKUP(Q73,GDmove_down2,2,FALSE),FALSE),HLOOKUP($H$3,GDPrevVols,VLOOKUP(Q73,GDmove_down2,2,FALSE),FALSE),HLOOKUP(E73,GDcorr,VLOOKUP(H73,CorMove,2,FALSE),FALSE),Q73-$AC$3,R73,$AI$5)*I73</f>
        <v>#N/A</v>
      </c>
      <c r="AJ73" s="235" t="e">
        <f t="shared" si="41"/>
        <v>#N/A</v>
      </c>
      <c r="AK73" s="234"/>
      <c r="AL73" t="str">
        <f t="shared" si="42"/>
        <v>36678Curve Shift/Gamma</v>
      </c>
      <c r="AM73" t="str">
        <f t="shared" si="43"/>
        <v>36678Rho</v>
      </c>
      <c r="AN73" t="str">
        <f t="shared" si="44"/>
        <v>36678Drift</v>
      </c>
      <c r="AO73" t="str">
        <f t="shared" si="45"/>
        <v>36678Vega</v>
      </c>
      <c r="AP73" t="str">
        <f t="shared" si="46"/>
        <v>36678Theta</v>
      </c>
      <c r="AZ73" s="41">
        <f t="shared" ref="AZ73:AZ104" si="47">EOMONTH(AZ72,0)+1</f>
        <v>38169</v>
      </c>
      <c r="BA73" s="44"/>
      <c r="BG73" s="441">
        <v>38504</v>
      </c>
      <c r="BH73">
        <v>0.98499999999999999</v>
      </c>
      <c r="BJ73" s="441">
        <v>38504</v>
      </c>
      <c r="BK73">
        <v>70</v>
      </c>
    </row>
    <row r="74" spans="1:63" ht="12" customHeight="1" x14ac:dyDescent="0.25">
      <c r="A74" s="384" t="s">
        <v>279</v>
      </c>
      <c r="B74" s="155" t="s">
        <v>250</v>
      </c>
      <c r="C74" s="155" t="s">
        <v>388</v>
      </c>
      <c r="D74" s="155" t="s">
        <v>190</v>
      </c>
      <c r="E74" s="4" t="s">
        <v>237</v>
      </c>
      <c r="F74" s="155" t="s">
        <v>20</v>
      </c>
      <c r="G74" s="155" t="s">
        <v>21</v>
      </c>
      <c r="H74" s="354">
        <v>36678</v>
      </c>
      <c r="I74" s="156">
        <v>50000</v>
      </c>
      <c r="J74" s="7">
        <v>0.46</v>
      </c>
      <c r="K74" s="53">
        <f t="shared" si="35"/>
        <v>4.7699999999999996</v>
      </c>
      <c r="L74" s="53">
        <f t="shared" si="36"/>
        <v>3.5049999999999999</v>
      </c>
      <c r="M74" s="157">
        <v>1</v>
      </c>
      <c r="N74" s="4">
        <v>0.51500000000000001</v>
      </c>
      <c r="O74" s="4">
        <v>0.51500000000000001</v>
      </c>
      <c r="P74" s="9" t="e">
        <f t="shared" si="37"/>
        <v>#N/A</v>
      </c>
      <c r="Q74" s="5">
        <v>36687</v>
      </c>
      <c r="R74" s="4">
        <f t="shared" si="31"/>
        <v>1</v>
      </c>
      <c r="S74" s="158" t="e">
        <f>_xll.xSPRDOPT($K74,$L74,$J74,$M74,$N74,$O74,$P74,$Q74-$C$3,$R74,0)</f>
        <v>#N/A</v>
      </c>
      <c r="T74" s="159" t="e">
        <f>_xll.xSPRDOPT($K74,$L74,$J74,$M74,$N74,$O74,$P74,$Q74-$C$3,$R74,1)*I74</f>
        <v>#N/A</v>
      </c>
      <c r="U74" s="160">
        <v>5500</v>
      </c>
      <c r="V74" s="159" t="e">
        <f>_xll.xSPRDOPT($K74,$L74,$J74,$M74,$N74,$O74,$P74,$Q74-$C$3,$R74,2)*I74</f>
        <v>#N/A</v>
      </c>
      <c r="W74" s="159" t="e">
        <f t="shared" si="32"/>
        <v>#N/A</v>
      </c>
      <c r="X74" s="51" t="str">
        <f t="shared" si="33"/>
        <v>36678IF-ELPO/SJ</v>
      </c>
      <c r="Y74" s="418">
        <f t="shared" si="34"/>
        <v>5</v>
      </c>
      <c r="AA74" s="51"/>
      <c r="AB74" s="141">
        <f t="shared" si="38"/>
        <v>36678</v>
      </c>
      <c r="AC74" s="234" t="e">
        <f>_xll.xSPRDOPT(HLOOKUP($D$3,GDPRICES,VLOOKUP(Q74,GDmove_down,2,FALSE),FALSE),HLOOKUP($E$3,GDPRICES,VLOOKUP(Q74,GDmove_down,2,FALSE),FALSE),J74,VLOOKUP(H74,NGPREVPRICES,4,FALSE),HLOOKUP($H$3,GDPrevVols,VLOOKUP(Q74,GDmove_down2,2,FALSE),FALSE),HLOOKUP($H$3,GDPrevVols,VLOOKUP(Q74,GDmove_down2,2,FALSE),FALSE),HLOOKUP(E74,GDcorr,VLOOKUP(H74,CorMove,2,FALSE),FALSE),Q74-$AC$3,R74,$AC$5)*I74-AI74</f>
        <v>#N/A</v>
      </c>
      <c r="AD74" s="234" t="e">
        <f>_xll.xSPRDOPT(HLOOKUP($D$3,GDPrev,VLOOKUP(Q74,GDmove_down,2,FALSE),FALSE),HLOOKUP($E$3,GDPrev,VLOOKUP(Q74,GDmove_down,2,FALSE),FALSE),AJ74,VLOOKUP(H74,NGPrices,4,FALSE),HLOOKUP($H$3,GDPrevVols,VLOOKUP(Q74,GDmove_down2,2,FALSE),FALSE),HLOOKUP($H$3,GDPrevVols,VLOOKUP(Q74,GDmove_down2,2,FALSE),FALSE),HLOOKUP(E74,GDcorr,VLOOKUP(H74,CorMove,2,FALSE),FALSE),Q74-$AC$3,R74,$AI$5)*I74-AI74</f>
        <v>#N/A</v>
      </c>
      <c r="AE74" s="439" t="e">
        <f t="shared" si="39"/>
        <v>#N/A</v>
      </c>
      <c r="AF74" s="234" t="e">
        <f>_xll.xSPRDOPT(HLOOKUP($D$3,GDPrev,VLOOKUP(Q74,GDmove_down,2,FALSE),FALSE),HLOOKUP($E$3,GDPrev,VLOOKUP(Q74,GDmove_down,2,FALSE),FALSE),AJ74,VLOOKUP(H74,NGPREVPRICES,4,FALSE),HLOOKUP($H$3,GDVol,VLOOKUP(H74,move_down,2,FALSE),FALSE),HLOOKUP($H$3,GDVol,VLOOKUP(H74,move_down,2,FALSE),FALSE),HLOOKUP(E74,GDcorr,VLOOKUP(H74,CorMove,2,FALSE),FALSE),Q74-$AC$3,R74,$AI$5)*I74-AI74</f>
        <v>#N/A</v>
      </c>
      <c r="AG74" s="234" t="e">
        <f>_xll.xSPRDOPT(HLOOKUP($D$3,GDPrev,VLOOKUP(Q74,GDmove_down,2,FALSE),FALSE),HLOOKUP($E$3,GDPrev,VLOOKUP(Q74,GDmove_down,2,FALSE),FALSE),AJ74,VLOOKUP(H74,NGPREVPRICES,4,FALSE),HLOOKUP($H$3,GDPrevVols,VLOOKUP(Q74,GDmove_down2,2,FALSE),FALSE),HLOOKUP($H$3,GDPrevVols,VLOOKUP(Q74,GDmove_down2,2,FALSE),FALSE),HLOOKUP(E74,GDcorr,VLOOKUP(H74,CorMove,2,FALSE),FALSE),Q74-$C$3,R74,$AI$5)*I74-AI74</f>
        <v>#N/A</v>
      </c>
      <c r="AH74" s="234" t="e">
        <f t="shared" si="40"/>
        <v>#N/A</v>
      </c>
      <c r="AI74" s="234" t="e">
        <f>_xll.xSPRDOPT(HLOOKUP($D$3,GDPrev,VLOOKUP(Q74,GDmove_down,2,FALSE),FALSE),HLOOKUP($E$3,GDPrev,VLOOKUP(Q74,GDmove_down,2,FALSE),FALSE),AJ74,VLOOKUP(H74,NGPREVPRICES,4,FALSE),HLOOKUP($H$3,GDPrevVols,VLOOKUP(Q74,GDmove_down2,2,FALSE),FALSE),HLOOKUP($H$3,GDPrevVols,VLOOKUP(Q74,GDmove_down2,2,FALSE),FALSE),HLOOKUP(E74,GDcorr,VLOOKUP(H74,CorMove,2,FALSE),FALSE),Q74-$AC$3,R74,$AI$5)*I74</f>
        <v>#N/A</v>
      </c>
      <c r="AJ74" s="235" t="e">
        <f t="shared" si="41"/>
        <v>#N/A</v>
      </c>
      <c r="AK74" s="234"/>
      <c r="AL74" t="str">
        <f t="shared" si="42"/>
        <v>36678Curve Shift/Gamma</v>
      </c>
      <c r="AM74" t="str">
        <f t="shared" si="43"/>
        <v>36678Rho</v>
      </c>
      <c r="AN74" t="str">
        <f t="shared" si="44"/>
        <v>36678Drift</v>
      </c>
      <c r="AO74" t="str">
        <f t="shared" si="45"/>
        <v>36678Vega</v>
      </c>
      <c r="AP74" t="str">
        <f t="shared" si="46"/>
        <v>36678Theta</v>
      </c>
      <c r="AZ74" s="41">
        <f t="shared" si="47"/>
        <v>38200</v>
      </c>
      <c r="BA74" s="44"/>
      <c r="BG74" s="441">
        <v>38534</v>
      </c>
      <c r="BH74">
        <v>0.98499999999999999</v>
      </c>
      <c r="BJ74" s="441">
        <v>38534</v>
      </c>
      <c r="BK74">
        <v>71</v>
      </c>
    </row>
    <row r="75" spans="1:63" ht="12" customHeight="1" x14ac:dyDescent="0.25">
      <c r="A75" s="384" t="s">
        <v>279</v>
      </c>
      <c r="B75" s="155" t="s">
        <v>250</v>
      </c>
      <c r="C75" s="155" t="s">
        <v>389</v>
      </c>
      <c r="D75" s="155" t="s">
        <v>190</v>
      </c>
      <c r="E75" s="4" t="s">
        <v>237</v>
      </c>
      <c r="F75" s="155" t="s">
        <v>20</v>
      </c>
      <c r="G75" s="155" t="s">
        <v>21</v>
      </c>
      <c r="H75" s="354">
        <v>36678</v>
      </c>
      <c r="I75" s="156">
        <v>50000</v>
      </c>
      <c r="J75" s="7">
        <v>0.46</v>
      </c>
      <c r="K75" s="53">
        <f t="shared" si="35"/>
        <v>4.7699999999999996</v>
      </c>
      <c r="L75" s="53">
        <f t="shared" si="36"/>
        <v>3.5049999999999999</v>
      </c>
      <c r="M75" s="157">
        <v>1</v>
      </c>
      <c r="N75" s="4">
        <v>0.51500000000000001</v>
      </c>
      <c r="O75" s="4">
        <v>0.51500000000000001</v>
      </c>
      <c r="P75" s="9" t="e">
        <f t="shared" si="37"/>
        <v>#N/A</v>
      </c>
      <c r="Q75" s="5">
        <v>36687</v>
      </c>
      <c r="R75" s="4">
        <f t="shared" si="31"/>
        <v>1</v>
      </c>
      <c r="S75" s="158" t="e">
        <f>_xll.xSPRDOPT($K75,$L75,$J75,$M75,$N75,$O75,$P75,$Q75-$C$3,$R75,0)</f>
        <v>#N/A</v>
      </c>
      <c r="T75" s="159" t="e">
        <f>_xll.xSPRDOPT($K75,$L75,$J75,$M75,$N75,$O75,$P75,$Q75-$C$3,$R75,1)*I75</f>
        <v>#N/A</v>
      </c>
      <c r="U75" s="160">
        <v>5500</v>
      </c>
      <c r="V75" s="159" t="e">
        <f>_xll.xSPRDOPT($K75,$L75,$J75,$M75,$N75,$O75,$P75,$Q75-$C$3,$R75,2)*I75</f>
        <v>#N/A</v>
      </c>
      <c r="W75" s="159" t="e">
        <f t="shared" si="32"/>
        <v>#N/A</v>
      </c>
      <c r="X75" s="51" t="str">
        <f t="shared" si="33"/>
        <v>36678IF-ELPO/SJ</v>
      </c>
      <c r="Y75" s="418">
        <f t="shared" si="34"/>
        <v>5</v>
      </c>
      <c r="AA75" s="51"/>
      <c r="AB75" s="141">
        <f t="shared" si="38"/>
        <v>36678</v>
      </c>
      <c r="AC75" s="234" t="e">
        <f>_xll.xSPRDOPT(HLOOKUP($D$3,GDPRICES,VLOOKUP(Q75,GDmove_down,2,FALSE),FALSE),HLOOKUP($E$3,GDPRICES,VLOOKUP(Q75,GDmove_down,2,FALSE),FALSE),J75,VLOOKUP(H75,NGPREVPRICES,4,FALSE),HLOOKUP($H$3,GDPrevVols,VLOOKUP(Q75,GDmove_down2,2,FALSE),FALSE),HLOOKUP($H$3,GDPrevVols,VLOOKUP(Q75,GDmove_down2,2,FALSE),FALSE),HLOOKUP(E75,GDcorr,VLOOKUP(H75,CorMove,2,FALSE),FALSE),Q75-$AC$3,R75,$AC$5)*I75-AI75</f>
        <v>#N/A</v>
      </c>
      <c r="AD75" s="234" t="e">
        <f>_xll.xSPRDOPT(HLOOKUP($D$3,GDPrev,VLOOKUP(Q75,GDmove_down,2,FALSE),FALSE),HLOOKUP($E$3,GDPrev,VLOOKUP(Q75,GDmove_down,2,FALSE),FALSE),AJ75,VLOOKUP(H75,NGPrices,4,FALSE),HLOOKUP($H$3,GDPrevVols,VLOOKUP(Q75,GDmove_down2,2,FALSE),FALSE),HLOOKUP($H$3,GDPrevVols,VLOOKUP(Q75,GDmove_down2,2,FALSE),FALSE),HLOOKUP(E75,GDcorr,VLOOKUP(H75,CorMove,2,FALSE),FALSE),Q75-$AC$3,R75,$AI$5)*I75-AI75</f>
        <v>#N/A</v>
      </c>
      <c r="AE75" s="439" t="e">
        <f t="shared" si="39"/>
        <v>#N/A</v>
      </c>
      <c r="AF75" s="234" t="e">
        <f>_xll.xSPRDOPT(HLOOKUP($D$3,GDPrev,VLOOKUP(Q75,GDmove_down,2,FALSE),FALSE),HLOOKUP($E$3,GDPrev,VLOOKUP(Q75,GDmove_down,2,FALSE),FALSE),AJ75,VLOOKUP(H75,NGPREVPRICES,4,FALSE),HLOOKUP($H$3,GDVol,VLOOKUP(H75,move_down,2,FALSE),FALSE),HLOOKUP($H$3,GDVol,VLOOKUP(H75,move_down,2,FALSE),FALSE),HLOOKUP(E75,GDcorr,VLOOKUP(H75,CorMove,2,FALSE),FALSE),Q75-$AC$3,R75,$AI$5)*I75-AI75</f>
        <v>#N/A</v>
      </c>
      <c r="AG75" s="234" t="e">
        <f>_xll.xSPRDOPT(HLOOKUP($D$3,GDPrev,VLOOKUP(Q75,GDmove_down,2,FALSE),FALSE),HLOOKUP($E$3,GDPrev,VLOOKUP(Q75,GDmove_down,2,FALSE),FALSE),AJ75,VLOOKUP(H75,NGPREVPRICES,4,FALSE),HLOOKUP($H$3,GDPrevVols,VLOOKUP(Q75,GDmove_down2,2,FALSE),FALSE),HLOOKUP($H$3,GDPrevVols,VLOOKUP(Q75,GDmove_down2,2,FALSE),FALSE),HLOOKUP(E75,GDcorr,VLOOKUP(H75,CorMove,2,FALSE),FALSE),Q75-$C$3,R75,$AI$5)*I75-AI75</f>
        <v>#N/A</v>
      </c>
      <c r="AH75" s="234" t="e">
        <f t="shared" si="40"/>
        <v>#N/A</v>
      </c>
      <c r="AI75" s="234" t="e">
        <f>_xll.xSPRDOPT(HLOOKUP($D$3,GDPrev,VLOOKUP(Q75,GDmove_down,2,FALSE),FALSE),HLOOKUP($E$3,GDPrev,VLOOKUP(Q75,GDmove_down,2,FALSE),FALSE),AJ75,VLOOKUP(H75,NGPREVPRICES,4,FALSE),HLOOKUP($H$3,GDPrevVols,VLOOKUP(Q75,GDmove_down2,2,FALSE),FALSE),HLOOKUP($H$3,GDPrevVols,VLOOKUP(Q75,GDmove_down2,2,FALSE),FALSE),HLOOKUP(E75,GDcorr,VLOOKUP(H75,CorMove,2,FALSE),FALSE),Q75-$AC$3,R75,$AI$5)*I75</f>
        <v>#N/A</v>
      </c>
      <c r="AJ75" s="235" t="e">
        <f t="shared" si="41"/>
        <v>#N/A</v>
      </c>
      <c r="AK75" s="234"/>
      <c r="AL75" t="str">
        <f t="shared" si="42"/>
        <v>36678Curve Shift/Gamma</v>
      </c>
      <c r="AM75" t="str">
        <f t="shared" si="43"/>
        <v>36678Rho</v>
      </c>
      <c r="AN75" t="str">
        <f t="shared" si="44"/>
        <v>36678Drift</v>
      </c>
      <c r="AO75" t="str">
        <f t="shared" si="45"/>
        <v>36678Vega</v>
      </c>
      <c r="AP75" t="str">
        <f t="shared" si="46"/>
        <v>36678Theta</v>
      </c>
      <c r="AZ75" s="41">
        <f t="shared" si="47"/>
        <v>38231</v>
      </c>
      <c r="BA75" s="44"/>
      <c r="BG75" s="441">
        <v>38565</v>
      </c>
      <c r="BH75">
        <v>0.98499999999999999</v>
      </c>
      <c r="BJ75" s="441">
        <v>38565</v>
      </c>
      <c r="BK75">
        <v>72</v>
      </c>
    </row>
    <row r="76" spans="1:63" ht="12" customHeight="1" x14ac:dyDescent="0.25">
      <c r="A76" s="384" t="s">
        <v>279</v>
      </c>
      <c r="B76" s="155" t="s">
        <v>250</v>
      </c>
      <c r="C76" s="155" t="s">
        <v>398</v>
      </c>
      <c r="D76" s="155" t="s">
        <v>190</v>
      </c>
      <c r="E76" s="4" t="s">
        <v>237</v>
      </c>
      <c r="F76" s="155" t="s">
        <v>20</v>
      </c>
      <c r="G76" s="155" t="s">
        <v>21</v>
      </c>
      <c r="H76" s="354">
        <v>36678</v>
      </c>
      <c r="I76" s="156">
        <v>-10000</v>
      </c>
      <c r="J76" s="7">
        <v>0.46</v>
      </c>
      <c r="K76" s="53">
        <f t="shared" si="35"/>
        <v>4.7699999999999996</v>
      </c>
      <c r="L76" s="53">
        <f t="shared" si="36"/>
        <v>3.5049999999999999</v>
      </c>
      <c r="M76" s="157">
        <v>1</v>
      </c>
      <c r="N76" s="4">
        <v>0.51500000000000001</v>
      </c>
      <c r="O76" s="4">
        <v>0.51500000000000001</v>
      </c>
      <c r="P76" s="9" t="e">
        <f t="shared" si="37"/>
        <v>#N/A</v>
      </c>
      <c r="Q76" s="5">
        <v>36687</v>
      </c>
      <c r="R76" s="4">
        <f t="shared" si="31"/>
        <v>1</v>
      </c>
      <c r="S76" s="158" t="e">
        <f>_xll.xSPRDOPT($K76,$L76,$J76,$M76,$N76,$O76,$P76,$Q76-$C$3,$R76,0)</f>
        <v>#N/A</v>
      </c>
      <c r="T76" s="159" t="e">
        <f>_xll.xSPRDOPT($K76,$L76,$J76,$M76,$N76,$O76,$P76,$Q76-$C$3,$R76,1)*I76</f>
        <v>#N/A</v>
      </c>
      <c r="U76" s="160">
        <v>-1100</v>
      </c>
      <c r="V76" s="159" t="e">
        <f>_xll.xSPRDOPT($K76,$L76,$J76,$M76,$N76,$O76,$P76,$Q76-$C$3,$R76,2)*I76</f>
        <v>#N/A</v>
      </c>
      <c r="W76" s="159" t="e">
        <f t="shared" si="32"/>
        <v>#N/A</v>
      </c>
      <c r="X76" s="51" t="str">
        <f t="shared" si="33"/>
        <v>36678IF-ELPO/SJ</v>
      </c>
      <c r="Y76" s="418">
        <f t="shared" si="34"/>
        <v>-1</v>
      </c>
      <c r="AA76" s="51"/>
      <c r="AB76" s="141">
        <f t="shared" si="38"/>
        <v>36678</v>
      </c>
      <c r="AC76" s="234" t="e">
        <f>_xll.xSPRDOPT(HLOOKUP($D$3,GDPRICES,VLOOKUP(Q76,GDmove_down,2,FALSE),FALSE),HLOOKUP($E$3,GDPRICES,VLOOKUP(Q76,GDmove_down,2,FALSE),FALSE),J76,VLOOKUP(H76,NGPREVPRICES,4,FALSE),HLOOKUP($H$3,GDPrevVols,VLOOKUP(Q76,GDmove_down2,2,FALSE),FALSE),HLOOKUP($H$3,GDPrevVols,VLOOKUP(Q76,GDmove_down2,2,FALSE),FALSE),HLOOKUP(E76,GDcorr,VLOOKUP(H76,CorMove,2,FALSE),FALSE),Q76-$AC$3,R76,$AC$5)*I76-AI76</f>
        <v>#N/A</v>
      </c>
      <c r="AD76" s="234" t="e">
        <f>_xll.xSPRDOPT(HLOOKUP($D$3,GDPrev,VLOOKUP(Q76,GDmove_down,2,FALSE),FALSE),HLOOKUP($E$3,GDPrev,VLOOKUP(Q76,GDmove_down,2,FALSE),FALSE),AJ76,VLOOKUP(H76,NGPrices,4,FALSE),HLOOKUP($H$3,GDPrevVols,VLOOKUP(Q76,GDmove_down2,2,FALSE),FALSE),HLOOKUP($H$3,GDPrevVols,VLOOKUP(Q76,GDmove_down2,2,FALSE),FALSE),HLOOKUP(E76,GDcorr,VLOOKUP(H76,CorMove,2,FALSE),FALSE),Q76-$AC$3,R76,$AI$5)*I76-AI76</f>
        <v>#N/A</v>
      </c>
      <c r="AE76" s="439" t="e">
        <f t="shared" si="39"/>
        <v>#N/A</v>
      </c>
      <c r="AF76" s="234" t="e">
        <f>_xll.xSPRDOPT(HLOOKUP($D$3,GDPrev,VLOOKUP(Q76,GDmove_down,2,FALSE),FALSE),HLOOKUP($E$3,GDPrev,VLOOKUP(Q76,GDmove_down,2,FALSE),FALSE),AJ76,VLOOKUP(H76,NGPREVPRICES,4,FALSE),HLOOKUP($H$3,GDVol,VLOOKUP(H76,move_down,2,FALSE),FALSE),HLOOKUP($H$3,GDVol,VLOOKUP(H76,move_down,2,FALSE),FALSE),HLOOKUP(E76,GDcorr,VLOOKUP(H76,CorMove,2,FALSE),FALSE),Q76-$AC$3,R76,$AI$5)*I76-AI76</f>
        <v>#N/A</v>
      </c>
      <c r="AG76" s="234" t="e">
        <f>_xll.xSPRDOPT(HLOOKUP($D$3,GDPrev,VLOOKUP(Q76,GDmove_down,2,FALSE),FALSE),HLOOKUP($E$3,GDPrev,VLOOKUP(Q76,GDmove_down,2,FALSE),FALSE),AJ76,VLOOKUP(H76,NGPREVPRICES,4,FALSE),HLOOKUP($H$3,GDPrevVols,VLOOKUP(Q76,GDmove_down2,2,FALSE),FALSE),HLOOKUP($H$3,GDPrevVols,VLOOKUP(Q76,GDmove_down2,2,FALSE),FALSE),HLOOKUP(E76,GDcorr,VLOOKUP(H76,CorMove,2,FALSE),FALSE),Q76-$C$3,R76,$AI$5)*I76-AI76</f>
        <v>#N/A</v>
      </c>
      <c r="AH76" s="234" t="e">
        <f t="shared" si="40"/>
        <v>#N/A</v>
      </c>
      <c r="AI76" s="234" t="e">
        <f>_xll.xSPRDOPT(HLOOKUP($D$3,GDPrev,VLOOKUP(Q76,GDmove_down,2,FALSE),FALSE),HLOOKUP($E$3,GDPrev,VLOOKUP(Q76,GDmove_down,2,FALSE),FALSE),AJ76,VLOOKUP(H76,NGPREVPRICES,4,FALSE),HLOOKUP($H$3,GDPrevVols,VLOOKUP(Q76,GDmove_down2,2,FALSE),FALSE),HLOOKUP($H$3,GDPrevVols,VLOOKUP(Q76,GDmove_down2,2,FALSE),FALSE),HLOOKUP(E76,GDcorr,VLOOKUP(H76,CorMove,2,FALSE),FALSE),Q76-$AC$3,R76,$AI$5)*I76</f>
        <v>#N/A</v>
      </c>
      <c r="AJ76" s="235" t="e">
        <f t="shared" si="41"/>
        <v>#N/A</v>
      </c>
      <c r="AK76" s="234"/>
      <c r="AL76" t="str">
        <f t="shared" si="42"/>
        <v>36678Curve Shift/Gamma</v>
      </c>
      <c r="AM76" t="str">
        <f t="shared" si="43"/>
        <v>36678Rho</v>
      </c>
      <c r="AN76" t="str">
        <f t="shared" si="44"/>
        <v>36678Drift</v>
      </c>
      <c r="AO76" t="str">
        <f t="shared" si="45"/>
        <v>36678Vega</v>
      </c>
      <c r="AP76" t="str">
        <f t="shared" si="46"/>
        <v>36678Theta</v>
      </c>
      <c r="AZ76" s="41">
        <f t="shared" si="47"/>
        <v>38261</v>
      </c>
      <c r="BA76" s="44"/>
      <c r="BG76" s="441">
        <v>38596</v>
      </c>
      <c r="BH76">
        <v>0.98499999999999999</v>
      </c>
      <c r="BJ76" s="441">
        <v>38596</v>
      </c>
      <c r="BK76">
        <v>73</v>
      </c>
    </row>
    <row r="77" spans="1:63" ht="12" customHeight="1" x14ac:dyDescent="0.25">
      <c r="A77" s="382" t="s">
        <v>279</v>
      </c>
      <c r="B77" s="155" t="s">
        <v>250</v>
      </c>
      <c r="C77" s="155" t="s">
        <v>360</v>
      </c>
      <c r="D77" s="155" t="s">
        <v>190</v>
      </c>
      <c r="E77" s="4" t="s">
        <v>237</v>
      </c>
      <c r="F77" s="155" t="s">
        <v>20</v>
      </c>
      <c r="G77" s="155" t="s">
        <v>21</v>
      </c>
      <c r="H77" s="354">
        <v>36678</v>
      </c>
      <c r="I77" s="156">
        <v>-50000</v>
      </c>
      <c r="J77" s="7">
        <v>0.46</v>
      </c>
      <c r="K77" s="53">
        <f t="shared" si="35"/>
        <v>4.7649999999999997</v>
      </c>
      <c r="L77" s="53">
        <f t="shared" si="36"/>
        <v>3.51</v>
      </c>
      <c r="M77" s="157">
        <v>1</v>
      </c>
      <c r="N77" s="4">
        <v>0.51500000000000001</v>
      </c>
      <c r="O77" s="4">
        <v>0.51500000000000001</v>
      </c>
      <c r="P77" s="9" t="e">
        <f t="shared" si="37"/>
        <v>#N/A</v>
      </c>
      <c r="Q77" s="5">
        <v>36688</v>
      </c>
      <c r="R77" s="4">
        <f t="shared" si="31"/>
        <v>1</v>
      </c>
      <c r="S77" s="158" t="e">
        <f>_xll.xSPRDOPT($K77,$L77,$J77,$M77,$N77,$O77,$P77,$Q77-$C$3,$R77,0)</f>
        <v>#N/A</v>
      </c>
      <c r="T77" s="159" t="e">
        <f>_xll.xSPRDOPT($K77,$L77,$J77,$M77,$N77,$O77,$P77,$Q77-$C$3,$R77,1)*I77</f>
        <v>#N/A</v>
      </c>
      <c r="U77" s="160">
        <v>-5500</v>
      </c>
      <c r="V77" s="159" t="e">
        <f>_xll.xSPRDOPT($K77,$L77,$J77,$M77,$N77,$O77,$P77,$Q77-$C$3,$R77,2)*I77</f>
        <v>#N/A</v>
      </c>
      <c r="W77" s="159" t="e">
        <f t="shared" si="32"/>
        <v>#N/A</v>
      </c>
      <c r="X77" s="51" t="str">
        <f t="shared" si="33"/>
        <v>36678IF-ELPO/SJ</v>
      </c>
      <c r="Y77" s="418">
        <f t="shared" si="34"/>
        <v>-5</v>
      </c>
      <c r="AA77" s="51"/>
      <c r="AB77" s="141">
        <f t="shared" si="38"/>
        <v>36678</v>
      </c>
      <c r="AC77" s="234" t="e">
        <f>_xll.xSPRDOPT(HLOOKUP($D$3,GDPRICES,VLOOKUP(Q77,GDmove_down,2,FALSE),FALSE),HLOOKUP($E$3,GDPRICES,VLOOKUP(Q77,GDmove_down,2,FALSE),FALSE),J77,VLOOKUP(H77,NGPREVPRICES,4,FALSE),HLOOKUP($H$3,GDPrevVols,VLOOKUP(Q77,GDmove_down2,2,FALSE),FALSE),HLOOKUP($H$3,GDPrevVols,VLOOKUP(Q77,GDmove_down2,2,FALSE),FALSE),HLOOKUP(E77,GDcorr,VLOOKUP(H77,CorMove,2,FALSE),FALSE),Q77-$AC$3,R77,$AC$5)*I77-AI77</f>
        <v>#N/A</v>
      </c>
      <c r="AD77" s="234" t="e">
        <f>_xll.xSPRDOPT(HLOOKUP($D$3,GDPrev,VLOOKUP(Q77,GDmove_down,2,FALSE),FALSE),HLOOKUP($E$3,GDPrev,VLOOKUP(Q77,GDmove_down,2,FALSE),FALSE),AJ77,VLOOKUP(H77,NGPrices,4,FALSE),HLOOKUP($H$3,GDPrevVols,VLOOKUP(Q77,GDmove_down2,2,FALSE),FALSE),HLOOKUP($H$3,GDPrevVols,VLOOKUP(Q77,GDmove_down2,2,FALSE),FALSE),HLOOKUP(E77,GDcorr,VLOOKUP(H77,CorMove,2,FALSE),FALSE),Q77-$AC$3,R77,$AI$5)*I77-AI77</f>
        <v>#N/A</v>
      </c>
      <c r="AE77" s="439" t="e">
        <f t="shared" si="39"/>
        <v>#N/A</v>
      </c>
      <c r="AF77" s="234" t="e">
        <f>_xll.xSPRDOPT(HLOOKUP($D$3,GDPrev,VLOOKUP(Q77,GDmove_down,2,FALSE),FALSE),HLOOKUP($E$3,GDPrev,VLOOKUP(Q77,GDmove_down,2,FALSE),FALSE),AJ77,VLOOKUP(H77,NGPREVPRICES,4,FALSE),HLOOKUP($H$3,GDVol,VLOOKUP(H77,move_down,2,FALSE),FALSE),HLOOKUP($H$3,GDVol,VLOOKUP(H77,move_down,2,FALSE),FALSE),HLOOKUP(E77,GDcorr,VLOOKUP(H77,CorMove,2,FALSE),FALSE),Q77-$AC$3,R77,$AI$5)*I77-AI77</f>
        <v>#N/A</v>
      </c>
      <c r="AG77" s="234" t="e">
        <f>_xll.xSPRDOPT(HLOOKUP($D$3,GDPrev,VLOOKUP(Q77,GDmove_down,2,FALSE),FALSE),HLOOKUP($E$3,GDPrev,VLOOKUP(Q77,GDmove_down,2,FALSE),FALSE),AJ77,VLOOKUP(H77,NGPREVPRICES,4,FALSE),HLOOKUP($H$3,GDPrevVols,VLOOKUP(Q77,GDmove_down2,2,FALSE),FALSE),HLOOKUP($H$3,GDPrevVols,VLOOKUP(Q77,GDmove_down2,2,FALSE),FALSE),HLOOKUP(E77,GDcorr,VLOOKUP(H77,CorMove,2,FALSE),FALSE),Q77-$C$3,R77,$AI$5)*I77-AI77</f>
        <v>#N/A</v>
      </c>
      <c r="AH77" s="234" t="e">
        <f t="shared" si="40"/>
        <v>#N/A</v>
      </c>
      <c r="AI77" s="234" t="e">
        <f>_xll.xSPRDOPT(HLOOKUP($D$3,GDPrev,VLOOKUP(Q77,GDmove_down,2,FALSE),FALSE),HLOOKUP($E$3,GDPrev,VLOOKUP(Q77,GDmove_down,2,FALSE),FALSE),AJ77,VLOOKUP(H77,NGPREVPRICES,4,FALSE),HLOOKUP($H$3,GDPrevVols,VLOOKUP(Q77,GDmove_down2,2,FALSE),FALSE),HLOOKUP($H$3,GDPrevVols,VLOOKUP(Q77,GDmove_down2,2,FALSE),FALSE),HLOOKUP(E77,GDcorr,VLOOKUP(H77,CorMove,2,FALSE),FALSE),Q77-$AC$3,R77,$AI$5)*I77</f>
        <v>#N/A</v>
      </c>
      <c r="AJ77" s="235" t="e">
        <f t="shared" si="41"/>
        <v>#N/A</v>
      </c>
      <c r="AK77" s="234"/>
      <c r="AL77" t="str">
        <f t="shared" si="42"/>
        <v>36678Curve Shift/Gamma</v>
      </c>
      <c r="AM77" t="str">
        <f t="shared" si="43"/>
        <v>36678Rho</v>
      </c>
      <c r="AN77" t="str">
        <f t="shared" si="44"/>
        <v>36678Drift</v>
      </c>
      <c r="AO77" t="str">
        <f t="shared" si="45"/>
        <v>36678Vega</v>
      </c>
      <c r="AP77" t="str">
        <f t="shared" si="46"/>
        <v>36678Theta</v>
      </c>
      <c r="AZ77" s="41">
        <f t="shared" si="47"/>
        <v>38292</v>
      </c>
      <c r="BA77" s="44"/>
      <c r="BG77" s="441">
        <v>38626</v>
      </c>
      <c r="BH77">
        <v>0.98499999999999999</v>
      </c>
      <c r="BJ77" s="441">
        <v>38626</v>
      </c>
      <c r="BK77">
        <v>74</v>
      </c>
    </row>
    <row r="78" spans="1:63" ht="12" customHeight="1" x14ac:dyDescent="0.25">
      <c r="A78" s="382" t="s">
        <v>279</v>
      </c>
      <c r="B78" s="155" t="s">
        <v>250</v>
      </c>
      <c r="C78" s="155" t="s">
        <v>361</v>
      </c>
      <c r="D78" s="155" t="s">
        <v>190</v>
      </c>
      <c r="E78" s="4" t="s">
        <v>237</v>
      </c>
      <c r="F78" s="155" t="s">
        <v>20</v>
      </c>
      <c r="G78" s="155" t="s">
        <v>21</v>
      </c>
      <c r="H78" s="354">
        <v>36678</v>
      </c>
      <c r="I78" s="156">
        <v>10000</v>
      </c>
      <c r="J78" s="7">
        <v>0.46</v>
      </c>
      <c r="K78" s="53">
        <f t="shared" si="35"/>
        <v>4.7649999999999997</v>
      </c>
      <c r="L78" s="53">
        <f t="shared" si="36"/>
        <v>3.51</v>
      </c>
      <c r="M78" s="157">
        <v>1</v>
      </c>
      <c r="N78" s="4">
        <v>0.51500000000000001</v>
      </c>
      <c r="O78" s="4">
        <v>0.51500000000000001</v>
      </c>
      <c r="P78" s="9" t="e">
        <f t="shared" si="37"/>
        <v>#N/A</v>
      </c>
      <c r="Q78" s="5">
        <v>36688</v>
      </c>
      <c r="R78" s="4">
        <f t="shared" si="31"/>
        <v>1</v>
      </c>
      <c r="S78" s="158" t="e">
        <f>_xll.xSPRDOPT($K78,$L78,$J78,$M78,$N78,$O78,$P78,$Q78-$C$3,$R78,0)</f>
        <v>#N/A</v>
      </c>
      <c r="T78" s="159" t="e">
        <f>_xll.xSPRDOPT($K78,$L78,$J78,$M78,$N78,$O78,$P78,$Q78-$C$3,$R78,1)*I78</f>
        <v>#N/A</v>
      </c>
      <c r="U78" s="160">
        <v>1100</v>
      </c>
      <c r="V78" s="159" t="e">
        <f>_xll.xSPRDOPT($K78,$L78,$J78,$M78,$N78,$O78,$P78,$Q78-$C$3,$R78,2)*I78</f>
        <v>#N/A</v>
      </c>
      <c r="W78" s="159" t="e">
        <f t="shared" si="32"/>
        <v>#N/A</v>
      </c>
      <c r="X78" s="51" t="str">
        <f t="shared" si="33"/>
        <v>36678IF-ELPO/SJ</v>
      </c>
      <c r="Y78" s="418">
        <f t="shared" si="34"/>
        <v>1</v>
      </c>
      <c r="Z78" s="51"/>
      <c r="AA78" s="51"/>
      <c r="AB78" s="141">
        <f t="shared" si="38"/>
        <v>36678</v>
      </c>
      <c r="AC78" s="234" t="e">
        <f>_xll.xSPRDOPT(HLOOKUP($D$3,GDPRICES,VLOOKUP(Q78,GDmove_down,2,FALSE),FALSE),HLOOKUP($E$3,GDPRICES,VLOOKUP(Q78,GDmove_down,2,FALSE),FALSE),J78,VLOOKUP(H78,NGPREVPRICES,4,FALSE),HLOOKUP($H$3,GDPrevVols,VLOOKUP(Q78,GDmove_down2,2,FALSE),FALSE),HLOOKUP($H$3,GDPrevVols,VLOOKUP(Q78,GDmove_down2,2,FALSE),FALSE),HLOOKUP(E78,GDcorr,VLOOKUP(H78,CorMove,2,FALSE),FALSE),Q78-$AC$3,R78,$AC$5)*I78-AI78</f>
        <v>#N/A</v>
      </c>
      <c r="AD78" s="234" t="e">
        <f>_xll.xSPRDOPT(HLOOKUP($D$3,GDPrev,VLOOKUP(Q78,GDmove_down,2,FALSE),FALSE),HLOOKUP($E$3,GDPrev,VLOOKUP(Q78,GDmove_down,2,FALSE),FALSE),AJ78,VLOOKUP(H78,NGPrices,4,FALSE),HLOOKUP($H$3,GDPrevVols,VLOOKUP(Q78,GDmove_down2,2,FALSE),FALSE),HLOOKUP($H$3,GDPrevVols,VLOOKUP(Q78,GDmove_down2,2,FALSE),FALSE),HLOOKUP(E78,GDcorr,VLOOKUP(H78,CorMove,2,FALSE),FALSE),Q78-$AC$3,R78,$AI$5)*I78-AI78</f>
        <v>#N/A</v>
      </c>
      <c r="AE78" s="439" t="e">
        <f t="shared" si="39"/>
        <v>#N/A</v>
      </c>
      <c r="AF78" s="234" t="e">
        <f>_xll.xSPRDOPT(HLOOKUP($D$3,GDPrev,VLOOKUP(Q78,GDmove_down,2,FALSE),FALSE),HLOOKUP($E$3,GDPrev,VLOOKUP(Q78,GDmove_down,2,FALSE),FALSE),AJ78,VLOOKUP(H78,NGPREVPRICES,4,FALSE),HLOOKUP($H$3,GDVol,VLOOKUP(H78,move_down,2,FALSE),FALSE),HLOOKUP($H$3,GDVol,VLOOKUP(H78,move_down,2,FALSE),FALSE),HLOOKUP(E78,GDcorr,VLOOKUP(H78,CorMove,2,FALSE),FALSE),Q78-$AC$3,R78,$AI$5)*I78-AI78</f>
        <v>#N/A</v>
      </c>
      <c r="AG78" s="234" t="e">
        <f>_xll.xSPRDOPT(HLOOKUP($D$3,GDPrev,VLOOKUP(Q78,GDmove_down,2,FALSE),FALSE),HLOOKUP($E$3,GDPrev,VLOOKUP(Q78,GDmove_down,2,FALSE),FALSE),AJ78,VLOOKUP(H78,NGPREVPRICES,4,FALSE),HLOOKUP($H$3,GDPrevVols,VLOOKUP(Q78,GDmove_down2,2,FALSE),FALSE),HLOOKUP($H$3,GDPrevVols,VLOOKUP(Q78,GDmove_down2,2,FALSE),FALSE),HLOOKUP(E78,GDcorr,VLOOKUP(H78,CorMove,2,FALSE),FALSE),Q78-$C$3,R78,$AI$5)*I78-AI78</f>
        <v>#N/A</v>
      </c>
      <c r="AH78" s="234" t="e">
        <f t="shared" si="40"/>
        <v>#N/A</v>
      </c>
      <c r="AI78" s="234" t="e">
        <f>_xll.xSPRDOPT(HLOOKUP($D$3,GDPrev,VLOOKUP(Q78,GDmove_down,2,FALSE),FALSE),HLOOKUP($E$3,GDPrev,VLOOKUP(Q78,GDmove_down,2,FALSE),FALSE),AJ78,VLOOKUP(H78,NGPREVPRICES,4,FALSE),HLOOKUP($H$3,GDPrevVols,VLOOKUP(Q78,GDmove_down2,2,FALSE),FALSE),HLOOKUP($H$3,GDPrevVols,VLOOKUP(Q78,GDmove_down2,2,FALSE),FALSE),HLOOKUP(E78,GDcorr,VLOOKUP(H78,CorMove,2,FALSE),FALSE),Q78-$AC$3,R78,$AI$5)*I78</f>
        <v>#N/A</v>
      </c>
      <c r="AJ78" s="235" t="e">
        <f t="shared" si="41"/>
        <v>#N/A</v>
      </c>
      <c r="AK78" s="234"/>
      <c r="AL78" t="str">
        <f t="shared" si="42"/>
        <v>36678Curve Shift/Gamma</v>
      </c>
      <c r="AM78" t="str">
        <f t="shared" si="43"/>
        <v>36678Rho</v>
      </c>
      <c r="AN78" t="str">
        <f t="shared" si="44"/>
        <v>36678Drift</v>
      </c>
      <c r="AO78" t="str">
        <f t="shared" si="45"/>
        <v>36678Vega</v>
      </c>
      <c r="AP78" t="str">
        <f t="shared" si="46"/>
        <v>36678Theta</v>
      </c>
      <c r="AZ78" s="41">
        <f t="shared" si="47"/>
        <v>38322</v>
      </c>
      <c r="BA78" s="44"/>
      <c r="BG78" s="441">
        <v>38657</v>
      </c>
      <c r="BH78">
        <v>0.97048500000000038</v>
      </c>
      <c r="BJ78" s="441">
        <v>38657</v>
      </c>
      <c r="BK78">
        <v>75</v>
      </c>
    </row>
    <row r="79" spans="1:63" ht="12" customHeight="1" x14ac:dyDescent="0.25">
      <c r="A79" s="382" t="s">
        <v>279</v>
      </c>
      <c r="B79" s="155" t="s">
        <v>250</v>
      </c>
      <c r="C79" s="155" t="s">
        <v>364</v>
      </c>
      <c r="D79" s="155" t="s">
        <v>190</v>
      </c>
      <c r="E79" s="4" t="s">
        <v>237</v>
      </c>
      <c r="F79" s="155" t="s">
        <v>20</v>
      </c>
      <c r="G79" s="155" t="s">
        <v>21</v>
      </c>
      <c r="H79" s="354">
        <v>36678</v>
      </c>
      <c r="I79" s="156">
        <v>-333333</v>
      </c>
      <c r="J79" s="7">
        <v>0.46</v>
      </c>
      <c r="K79" s="53">
        <f t="shared" si="35"/>
        <v>4.7649999999999997</v>
      </c>
      <c r="L79" s="53">
        <f t="shared" si="36"/>
        <v>3.51</v>
      </c>
      <c r="M79" s="157">
        <v>1</v>
      </c>
      <c r="N79" s="4">
        <v>0.51500000000000001</v>
      </c>
      <c r="O79" s="4">
        <v>0.51500000000000001</v>
      </c>
      <c r="P79" s="9" t="e">
        <f t="shared" si="37"/>
        <v>#N/A</v>
      </c>
      <c r="Q79" s="5">
        <v>36688</v>
      </c>
      <c r="R79" s="4">
        <f t="shared" si="31"/>
        <v>1</v>
      </c>
      <c r="S79" s="158" t="e">
        <f>_xll.xSPRDOPT($K79,$L79,$J79,$M79,$N79,$O79,$P79,$Q79-$C$3,$R79,0)</f>
        <v>#N/A</v>
      </c>
      <c r="T79" s="159" t="e">
        <f>_xll.xSPRDOPT($K79,$L79,$J79,$M79,$N79,$O79,$P79,$Q79-$C$3,$R79,1)*I79</f>
        <v>#N/A</v>
      </c>
      <c r="U79" s="160">
        <v>-36666.629999999997</v>
      </c>
      <c r="V79" s="159" t="e">
        <f>_xll.xSPRDOPT($K79,$L79,$J79,$M79,$N79,$O79,$P79,$Q79-$C$3,$R79,2)*I79</f>
        <v>#N/A</v>
      </c>
      <c r="W79" s="159" t="e">
        <f t="shared" si="32"/>
        <v>#N/A</v>
      </c>
      <c r="X79" s="51" t="str">
        <f t="shared" si="33"/>
        <v>36678IF-ELPO/SJ</v>
      </c>
      <c r="Y79" s="418">
        <f t="shared" si="34"/>
        <v>-33.333300000000001</v>
      </c>
      <c r="Z79" s="51"/>
      <c r="AA79" s="51"/>
      <c r="AB79" s="141">
        <f t="shared" si="38"/>
        <v>36678</v>
      </c>
      <c r="AC79" s="234" t="e">
        <f>_xll.xSPRDOPT(HLOOKUP($D$3,GDPRICES,VLOOKUP(Q79,GDmove_down,2,FALSE),FALSE),HLOOKUP($E$3,GDPRICES,VLOOKUP(Q79,GDmove_down,2,FALSE),FALSE),J79,VLOOKUP(H79,NGPREVPRICES,4,FALSE),HLOOKUP($H$3,GDPrevVols,VLOOKUP(Q79,GDmove_down2,2,FALSE),FALSE),HLOOKUP($H$3,GDPrevVols,VLOOKUP(Q79,GDmove_down2,2,FALSE),FALSE),HLOOKUP(E79,GDcorr,VLOOKUP(H79,CorMove,2,FALSE),FALSE),Q79-$AC$3,R79,$AC$5)*I79-AI79</f>
        <v>#N/A</v>
      </c>
      <c r="AD79" s="234" t="e">
        <f>_xll.xSPRDOPT(HLOOKUP($D$3,GDPrev,VLOOKUP(Q79,GDmove_down,2,FALSE),FALSE),HLOOKUP($E$3,GDPrev,VLOOKUP(Q79,GDmove_down,2,FALSE),FALSE),AJ79,VLOOKUP(H79,NGPrices,4,FALSE),HLOOKUP($H$3,GDPrevVols,VLOOKUP(Q79,GDmove_down2,2,FALSE),FALSE),HLOOKUP($H$3,GDPrevVols,VLOOKUP(Q79,GDmove_down2,2,FALSE),FALSE),HLOOKUP(E79,GDcorr,VLOOKUP(H79,CorMove,2,FALSE),FALSE),Q79-$AC$3,R79,$AI$5)*I79-AI79</f>
        <v>#N/A</v>
      </c>
      <c r="AE79" s="439" t="e">
        <f t="shared" si="39"/>
        <v>#N/A</v>
      </c>
      <c r="AF79" s="234" t="e">
        <f>_xll.xSPRDOPT(HLOOKUP($D$3,GDPrev,VLOOKUP(Q79,GDmove_down,2,FALSE),FALSE),HLOOKUP($E$3,GDPrev,VLOOKUP(Q79,GDmove_down,2,FALSE),FALSE),AJ79,VLOOKUP(H79,NGPREVPRICES,4,FALSE),HLOOKUP($H$3,GDVol,VLOOKUP(H79,move_down,2,FALSE),FALSE),HLOOKUP($H$3,GDVol,VLOOKUP(H79,move_down,2,FALSE),FALSE),HLOOKUP(E79,GDcorr,VLOOKUP(H79,CorMove,2,FALSE),FALSE),Q79-$AC$3,R79,$AI$5)*I79-AI79</f>
        <v>#N/A</v>
      </c>
      <c r="AG79" s="234" t="e">
        <f>_xll.xSPRDOPT(HLOOKUP($D$3,GDPrev,VLOOKUP(Q79,GDmove_down,2,FALSE),FALSE),HLOOKUP($E$3,GDPrev,VLOOKUP(Q79,GDmove_down,2,FALSE),FALSE),AJ79,VLOOKUP(H79,NGPREVPRICES,4,FALSE),HLOOKUP($H$3,GDPrevVols,VLOOKUP(Q79,GDmove_down2,2,FALSE),FALSE),HLOOKUP($H$3,GDPrevVols,VLOOKUP(Q79,GDmove_down2,2,FALSE),FALSE),HLOOKUP(E79,GDcorr,VLOOKUP(H79,CorMove,2,FALSE),FALSE),Q79-$C$3,R79,$AI$5)*I79-AI79</f>
        <v>#N/A</v>
      </c>
      <c r="AH79" s="234" t="e">
        <f t="shared" si="40"/>
        <v>#N/A</v>
      </c>
      <c r="AI79" s="234" t="e">
        <f>_xll.xSPRDOPT(HLOOKUP($D$3,GDPrev,VLOOKUP(Q79,GDmove_down,2,FALSE),FALSE),HLOOKUP($E$3,GDPrev,VLOOKUP(Q79,GDmove_down,2,FALSE),FALSE),AJ79,VLOOKUP(H79,NGPREVPRICES,4,FALSE),HLOOKUP($H$3,GDPrevVols,VLOOKUP(Q79,GDmove_down2,2,FALSE),FALSE),HLOOKUP($H$3,GDPrevVols,VLOOKUP(Q79,GDmove_down2,2,FALSE),FALSE),HLOOKUP(E79,GDcorr,VLOOKUP(H79,CorMove,2,FALSE),FALSE),Q79-$AC$3,R79,$AI$5)*I79</f>
        <v>#N/A</v>
      </c>
      <c r="AJ79" s="235" t="e">
        <f t="shared" si="41"/>
        <v>#N/A</v>
      </c>
      <c r="AK79" s="234"/>
      <c r="AL79" t="str">
        <f t="shared" si="42"/>
        <v>36678Curve Shift/Gamma</v>
      </c>
      <c r="AM79" t="str">
        <f t="shared" si="43"/>
        <v>36678Rho</v>
      </c>
      <c r="AN79" t="str">
        <f t="shared" si="44"/>
        <v>36678Drift</v>
      </c>
      <c r="AO79" t="str">
        <f t="shared" si="45"/>
        <v>36678Vega</v>
      </c>
      <c r="AP79" t="str">
        <f t="shared" si="46"/>
        <v>36678Theta</v>
      </c>
      <c r="AZ79" s="41">
        <f t="shared" si="47"/>
        <v>38353</v>
      </c>
      <c r="BA79" s="44"/>
      <c r="BG79" s="441">
        <v>38687</v>
      </c>
      <c r="BH79">
        <v>0.97048500000000038</v>
      </c>
      <c r="BJ79" s="441">
        <v>38687</v>
      </c>
      <c r="BK79">
        <v>76</v>
      </c>
    </row>
    <row r="80" spans="1:63" ht="12" customHeight="1" x14ac:dyDescent="0.25">
      <c r="A80" s="384" t="s">
        <v>268</v>
      </c>
      <c r="B80" s="155" t="s">
        <v>250</v>
      </c>
      <c r="C80" s="155" t="s">
        <v>387</v>
      </c>
      <c r="D80" s="155" t="s">
        <v>190</v>
      </c>
      <c r="E80" s="4" t="s">
        <v>237</v>
      </c>
      <c r="F80" s="155" t="s">
        <v>20</v>
      </c>
      <c r="G80" s="155" t="s">
        <v>21</v>
      </c>
      <c r="H80" s="354">
        <v>36678</v>
      </c>
      <c r="I80" s="156">
        <v>-10000</v>
      </c>
      <c r="J80" s="7">
        <v>0.46</v>
      </c>
      <c r="K80" s="53">
        <f t="shared" si="35"/>
        <v>4.7649999999999997</v>
      </c>
      <c r="L80" s="53">
        <f t="shared" si="36"/>
        <v>3.51</v>
      </c>
      <c r="M80" s="157">
        <v>1</v>
      </c>
      <c r="N80" s="4">
        <v>0.51500000000000001</v>
      </c>
      <c r="O80" s="4">
        <v>0.51500000000000001</v>
      </c>
      <c r="P80" s="9" t="e">
        <f t="shared" si="37"/>
        <v>#N/A</v>
      </c>
      <c r="Q80" s="5">
        <v>36688</v>
      </c>
      <c r="R80" s="4">
        <f t="shared" si="31"/>
        <v>1</v>
      </c>
      <c r="S80" s="158" t="e">
        <f>_xll.xSPRDOPT($K80,$L80,$J80,$M80,$N80,$O80,$P80,$Q80-$C$3,$R80,0)</f>
        <v>#N/A</v>
      </c>
      <c r="T80" s="159" t="e">
        <f>_xll.xSPRDOPT($K80,$L80,$J80,$M80,$N80,$O80,$P80,$Q80-$C$3,$R80,1)*I80</f>
        <v>#N/A</v>
      </c>
      <c r="U80" s="160">
        <v>-1100</v>
      </c>
      <c r="V80" s="159" t="e">
        <f>_xll.xSPRDOPT($K80,$L80,$J80,$M80,$N80,$O80,$P80,$Q80-$C$3,$R80,2)*I80</f>
        <v>#N/A</v>
      </c>
      <c r="W80" s="159" t="e">
        <f t="shared" si="32"/>
        <v>#N/A</v>
      </c>
      <c r="X80" s="51" t="str">
        <f t="shared" si="33"/>
        <v>36678IF-ELPO/SJ</v>
      </c>
      <c r="Y80" s="418">
        <f t="shared" si="34"/>
        <v>-1</v>
      </c>
      <c r="Z80" s="51"/>
      <c r="AA80" s="51"/>
      <c r="AB80" s="141">
        <f t="shared" si="38"/>
        <v>36678</v>
      </c>
      <c r="AC80" s="234" t="e">
        <f>_xll.xSPRDOPT(HLOOKUP($D$3,GDPRICES,VLOOKUP(Q80,GDmove_down,2,FALSE),FALSE),HLOOKUP($E$3,GDPRICES,VLOOKUP(Q80,GDmove_down,2,FALSE),FALSE),J80,VLOOKUP(H80,NGPREVPRICES,4,FALSE),HLOOKUP($H$3,GDPrevVols,VLOOKUP(Q80,GDmove_down2,2,FALSE),FALSE),HLOOKUP($H$3,GDPrevVols,VLOOKUP(Q80,GDmove_down2,2,FALSE),FALSE),HLOOKUP(E80,GDcorr,VLOOKUP(H80,CorMove,2,FALSE),FALSE),Q80-$AC$3,R80,$AC$5)*I80-AI80</f>
        <v>#N/A</v>
      </c>
      <c r="AD80" s="234" t="e">
        <f>_xll.xSPRDOPT(HLOOKUP($D$3,GDPrev,VLOOKUP(Q80,GDmove_down,2,FALSE),FALSE),HLOOKUP($E$3,GDPrev,VLOOKUP(Q80,GDmove_down,2,FALSE),FALSE),AJ80,VLOOKUP(H80,NGPrices,4,FALSE),HLOOKUP($H$3,GDPrevVols,VLOOKUP(Q80,GDmove_down2,2,FALSE),FALSE),HLOOKUP($H$3,GDPrevVols,VLOOKUP(Q80,GDmove_down2,2,FALSE),FALSE),HLOOKUP(E80,GDcorr,VLOOKUP(H80,CorMove,2,FALSE),FALSE),Q80-$AC$3,R80,$AI$5)*I80-AI80</f>
        <v>#N/A</v>
      </c>
      <c r="AE80" s="439" t="e">
        <f t="shared" si="39"/>
        <v>#N/A</v>
      </c>
      <c r="AF80" s="234" t="e">
        <f>_xll.xSPRDOPT(HLOOKUP($D$3,GDPrev,VLOOKUP(Q80,GDmove_down,2,FALSE),FALSE),HLOOKUP($E$3,GDPrev,VLOOKUP(Q80,GDmove_down,2,FALSE),FALSE),AJ80,VLOOKUP(H80,NGPREVPRICES,4,FALSE),HLOOKUP($H$3,GDVol,VLOOKUP(H80,move_down,2,FALSE),FALSE),HLOOKUP($H$3,GDVol,VLOOKUP(H80,move_down,2,FALSE),FALSE),HLOOKUP(E80,GDcorr,VLOOKUP(H80,CorMove,2,FALSE),FALSE),Q80-$AC$3,R80,$AI$5)*I80-AI80</f>
        <v>#N/A</v>
      </c>
      <c r="AG80" s="234" t="e">
        <f>_xll.xSPRDOPT(HLOOKUP($D$3,GDPrev,VLOOKUP(Q80,GDmove_down,2,FALSE),FALSE),HLOOKUP($E$3,GDPrev,VLOOKUP(Q80,GDmove_down,2,FALSE),FALSE),AJ80,VLOOKUP(H80,NGPREVPRICES,4,FALSE),HLOOKUP($H$3,GDPrevVols,VLOOKUP(Q80,GDmove_down2,2,FALSE),FALSE),HLOOKUP($H$3,GDPrevVols,VLOOKUP(Q80,GDmove_down2,2,FALSE),FALSE),HLOOKUP(E80,GDcorr,VLOOKUP(H80,CorMove,2,FALSE),FALSE),Q80-$C$3,R80,$AI$5)*I80-AI80</f>
        <v>#N/A</v>
      </c>
      <c r="AH80" s="234" t="e">
        <f t="shared" si="40"/>
        <v>#N/A</v>
      </c>
      <c r="AI80" s="234" t="e">
        <f>_xll.xSPRDOPT(HLOOKUP($D$3,GDPrev,VLOOKUP(Q80,GDmove_down,2,FALSE),FALSE),HLOOKUP($E$3,GDPrev,VLOOKUP(Q80,GDmove_down,2,FALSE),FALSE),AJ80,VLOOKUP(H80,NGPREVPRICES,4,FALSE),HLOOKUP($H$3,GDPrevVols,VLOOKUP(Q80,GDmove_down2,2,FALSE),FALSE),HLOOKUP($H$3,GDPrevVols,VLOOKUP(Q80,GDmove_down2,2,FALSE),FALSE),HLOOKUP(E80,GDcorr,VLOOKUP(H80,CorMove,2,FALSE),FALSE),Q80-$AC$3,R80,$AI$5)*I80</f>
        <v>#N/A</v>
      </c>
      <c r="AJ80" s="235" t="e">
        <f t="shared" si="41"/>
        <v>#N/A</v>
      </c>
      <c r="AK80" s="234"/>
      <c r="AL80" t="str">
        <f t="shared" si="42"/>
        <v>36678Curve Shift/Gamma</v>
      </c>
      <c r="AM80" t="str">
        <f t="shared" si="43"/>
        <v>36678Rho</v>
      </c>
      <c r="AN80" t="str">
        <f t="shared" si="44"/>
        <v>36678Drift</v>
      </c>
      <c r="AO80" t="str">
        <f t="shared" si="45"/>
        <v>36678Vega</v>
      </c>
      <c r="AP80" t="str">
        <f t="shared" si="46"/>
        <v>36678Theta</v>
      </c>
      <c r="AZ80" s="41">
        <f t="shared" si="47"/>
        <v>38384</v>
      </c>
      <c r="BA80" s="44"/>
      <c r="BG80" s="441">
        <v>38718</v>
      </c>
      <c r="BH80">
        <v>0.98499999999999999</v>
      </c>
      <c r="BJ80" s="441">
        <v>38718</v>
      </c>
      <c r="BK80">
        <v>77</v>
      </c>
    </row>
    <row r="81" spans="1:63" ht="12" customHeight="1" x14ac:dyDescent="0.25">
      <c r="A81" s="384" t="s">
        <v>279</v>
      </c>
      <c r="B81" s="155" t="s">
        <v>250</v>
      </c>
      <c r="C81" s="155" t="s">
        <v>388</v>
      </c>
      <c r="D81" s="155" t="s">
        <v>190</v>
      </c>
      <c r="E81" s="4" t="s">
        <v>237</v>
      </c>
      <c r="F81" s="155" t="s">
        <v>20</v>
      </c>
      <c r="G81" s="155" t="s">
        <v>21</v>
      </c>
      <c r="H81" s="354">
        <v>36678</v>
      </c>
      <c r="I81" s="156">
        <v>50000</v>
      </c>
      <c r="J81" s="7">
        <v>0.46</v>
      </c>
      <c r="K81" s="53">
        <f t="shared" si="35"/>
        <v>4.7649999999999997</v>
      </c>
      <c r="L81" s="53">
        <f t="shared" si="36"/>
        <v>3.51</v>
      </c>
      <c r="M81" s="157">
        <v>1</v>
      </c>
      <c r="N81" s="4">
        <v>0.51500000000000001</v>
      </c>
      <c r="O81" s="4">
        <v>0.51500000000000001</v>
      </c>
      <c r="P81" s="9" t="e">
        <f t="shared" si="37"/>
        <v>#N/A</v>
      </c>
      <c r="Q81" s="5">
        <v>36688</v>
      </c>
      <c r="R81" s="4">
        <f t="shared" si="31"/>
        <v>1</v>
      </c>
      <c r="S81" s="158" t="e">
        <f>_xll.xSPRDOPT($K81,$L81,$J81,$M81,$N81,$O81,$P81,$Q81-$C$3,$R81,0)</f>
        <v>#N/A</v>
      </c>
      <c r="T81" s="159" t="e">
        <f>_xll.xSPRDOPT($K81,$L81,$J81,$M81,$N81,$O81,$P81,$Q81-$C$3,$R81,1)*I81</f>
        <v>#N/A</v>
      </c>
      <c r="U81" s="160">
        <v>5500</v>
      </c>
      <c r="V81" s="159" t="e">
        <f>_xll.xSPRDOPT($K81,$L81,$J81,$M81,$N81,$O81,$P81,$Q81-$C$3,$R81,2)*I81</f>
        <v>#N/A</v>
      </c>
      <c r="W81" s="159" t="e">
        <f t="shared" si="32"/>
        <v>#N/A</v>
      </c>
      <c r="X81" s="51" t="str">
        <f t="shared" si="33"/>
        <v>36678IF-ELPO/SJ</v>
      </c>
      <c r="Y81" s="418">
        <f t="shared" si="34"/>
        <v>5</v>
      </c>
      <c r="AA81" s="51"/>
      <c r="AB81" s="141">
        <f t="shared" si="38"/>
        <v>36678</v>
      </c>
      <c r="AC81" s="234" t="e">
        <f>_xll.xSPRDOPT(HLOOKUP($D$3,GDPRICES,VLOOKUP(Q81,GDmove_down,2,FALSE),FALSE),HLOOKUP($E$3,GDPRICES,VLOOKUP(Q81,GDmove_down,2,FALSE),FALSE),J81,VLOOKUP(H81,NGPREVPRICES,4,FALSE),HLOOKUP($H$3,GDPrevVols,VLOOKUP(Q81,GDmove_down2,2,FALSE),FALSE),HLOOKUP($H$3,GDPrevVols,VLOOKUP(Q81,GDmove_down2,2,FALSE),FALSE),HLOOKUP(E81,GDcorr,VLOOKUP(H81,CorMove,2,FALSE),FALSE),Q81-$AC$3,R81,$AC$5)*I81-AI81</f>
        <v>#N/A</v>
      </c>
      <c r="AD81" s="234" t="e">
        <f>_xll.xSPRDOPT(HLOOKUP($D$3,GDPrev,VLOOKUP(Q81,GDmove_down,2,FALSE),FALSE),HLOOKUP($E$3,GDPrev,VLOOKUP(Q81,GDmove_down,2,FALSE),FALSE),AJ81,VLOOKUP(H81,NGPrices,4,FALSE),HLOOKUP($H$3,GDPrevVols,VLOOKUP(Q81,GDmove_down2,2,FALSE),FALSE),HLOOKUP($H$3,GDPrevVols,VLOOKUP(Q81,GDmove_down2,2,FALSE),FALSE),HLOOKUP(E81,GDcorr,VLOOKUP(H81,CorMove,2,FALSE),FALSE),Q81-$AC$3,R81,$AI$5)*I81-AI81</f>
        <v>#N/A</v>
      </c>
      <c r="AE81" s="439" t="e">
        <f t="shared" si="39"/>
        <v>#N/A</v>
      </c>
      <c r="AF81" s="234" t="e">
        <f>_xll.xSPRDOPT(HLOOKUP($D$3,GDPrev,VLOOKUP(Q81,GDmove_down,2,FALSE),FALSE),HLOOKUP($E$3,GDPrev,VLOOKUP(Q81,GDmove_down,2,FALSE),FALSE),AJ81,VLOOKUP(H81,NGPREVPRICES,4,FALSE),HLOOKUP($H$3,GDVol,VLOOKUP(H81,move_down,2,FALSE),FALSE),HLOOKUP($H$3,GDVol,VLOOKUP(H81,move_down,2,FALSE),FALSE),HLOOKUP(E81,GDcorr,VLOOKUP(H81,CorMove,2,FALSE),FALSE),Q81-$AC$3,R81,$AI$5)*I81-AI81</f>
        <v>#N/A</v>
      </c>
      <c r="AG81" s="234" t="e">
        <f>_xll.xSPRDOPT(HLOOKUP($D$3,GDPrev,VLOOKUP(Q81,GDmove_down,2,FALSE),FALSE),HLOOKUP($E$3,GDPrev,VLOOKUP(Q81,GDmove_down,2,FALSE),FALSE),AJ81,VLOOKUP(H81,NGPREVPRICES,4,FALSE),HLOOKUP($H$3,GDPrevVols,VLOOKUP(Q81,GDmove_down2,2,FALSE),FALSE),HLOOKUP($H$3,GDPrevVols,VLOOKUP(Q81,GDmove_down2,2,FALSE),FALSE),HLOOKUP(E81,GDcorr,VLOOKUP(H81,CorMove,2,FALSE),FALSE),Q81-$C$3,R81,$AI$5)*I81-AI81</f>
        <v>#N/A</v>
      </c>
      <c r="AH81" s="234" t="e">
        <f t="shared" si="40"/>
        <v>#N/A</v>
      </c>
      <c r="AI81" s="234" t="e">
        <f>_xll.xSPRDOPT(HLOOKUP($D$3,GDPrev,VLOOKUP(Q81,GDmove_down,2,FALSE),FALSE),HLOOKUP($E$3,GDPrev,VLOOKUP(Q81,GDmove_down,2,FALSE),FALSE),AJ81,VLOOKUP(H81,NGPREVPRICES,4,FALSE),HLOOKUP($H$3,GDPrevVols,VLOOKUP(Q81,GDmove_down2,2,FALSE),FALSE),HLOOKUP($H$3,GDPrevVols,VLOOKUP(Q81,GDmove_down2,2,FALSE),FALSE),HLOOKUP(E81,GDcorr,VLOOKUP(H81,CorMove,2,FALSE),FALSE),Q81-$AC$3,R81,$AI$5)*I81</f>
        <v>#N/A</v>
      </c>
      <c r="AJ81" s="235" t="e">
        <f t="shared" si="41"/>
        <v>#N/A</v>
      </c>
      <c r="AK81" s="234"/>
      <c r="AL81" t="str">
        <f t="shared" si="42"/>
        <v>36678Curve Shift/Gamma</v>
      </c>
      <c r="AM81" t="str">
        <f t="shared" si="43"/>
        <v>36678Rho</v>
      </c>
      <c r="AN81" t="str">
        <f t="shared" si="44"/>
        <v>36678Drift</v>
      </c>
      <c r="AO81" t="str">
        <f t="shared" si="45"/>
        <v>36678Vega</v>
      </c>
      <c r="AP81" t="str">
        <f t="shared" si="46"/>
        <v>36678Theta</v>
      </c>
      <c r="AZ81" s="41">
        <f t="shared" si="47"/>
        <v>38412</v>
      </c>
      <c r="BA81" s="44"/>
      <c r="BG81" s="441">
        <v>38749</v>
      </c>
      <c r="BH81">
        <v>0.98499999999999999</v>
      </c>
      <c r="BJ81" s="441">
        <v>38749</v>
      </c>
      <c r="BK81">
        <v>78</v>
      </c>
    </row>
    <row r="82" spans="1:63" ht="12" customHeight="1" x14ac:dyDescent="0.25">
      <c r="A82" s="384" t="s">
        <v>279</v>
      </c>
      <c r="B82" s="155" t="s">
        <v>250</v>
      </c>
      <c r="C82" s="155" t="s">
        <v>389</v>
      </c>
      <c r="D82" s="155" t="s">
        <v>190</v>
      </c>
      <c r="E82" s="4" t="s">
        <v>237</v>
      </c>
      <c r="F82" s="155" t="s">
        <v>20</v>
      </c>
      <c r="G82" s="155" t="s">
        <v>21</v>
      </c>
      <c r="H82" s="354">
        <v>36678</v>
      </c>
      <c r="I82" s="156">
        <v>50000</v>
      </c>
      <c r="J82" s="7">
        <v>0.46</v>
      </c>
      <c r="K82" s="53">
        <f t="shared" si="35"/>
        <v>4.7649999999999997</v>
      </c>
      <c r="L82" s="53">
        <f t="shared" si="36"/>
        <v>3.51</v>
      </c>
      <c r="M82" s="157">
        <v>1</v>
      </c>
      <c r="N82" s="4">
        <v>0.51500000000000001</v>
      </c>
      <c r="O82" s="4">
        <v>0.51500000000000001</v>
      </c>
      <c r="P82" s="9" t="e">
        <f t="shared" si="37"/>
        <v>#N/A</v>
      </c>
      <c r="Q82" s="5">
        <v>36688</v>
      </c>
      <c r="R82" s="4">
        <f t="shared" si="31"/>
        <v>1</v>
      </c>
      <c r="S82" s="158" t="e">
        <f>_xll.xSPRDOPT($K82,$L82,$J82,$M82,$N82,$O82,$P82,$Q82-$C$3,$R82,0)</f>
        <v>#N/A</v>
      </c>
      <c r="T82" s="159" t="e">
        <f>_xll.xSPRDOPT($K82,$L82,$J82,$M82,$N82,$O82,$P82,$Q82-$C$3,$R82,1)*I82</f>
        <v>#N/A</v>
      </c>
      <c r="U82" s="160">
        <v>5500</v>
      </c>
      <c r="V82" s="159" t="e">
        <f>_xll.xSPRDOPT($K82,$L82,$J82,$M82,$N82,$O82,$P82,$Q82-$C$3,$R82,2)*I82</f>
        <v>#N/A</v>
      </c>
      <c r="W82" s="159" t="e">
        <f t="shared" si="32"/>
        <v>#N/A</v>
      </c>
      <c r="X82" s="51" t="str">
        <f t="shared" si="33"/>
        <v>36678IF-ELPO/SJ</v>
      </c>
      <c r="Y82" s="418">
        <f t="shared" si="34"/>
        <v>5</v>
      </c>
      <c r="AA82" s="51"/>
      <c r="AB82" s="141">
        <f t="shared" si="38"/>
        <v>36678</v>
      </c>
      <c r="AC82" s="234" t="e">
        <f>_xll.xSPRDOPT(HLOOKUP($D$3,GDPRICES,VLOOKUP(Q82,GDmove_down,2,FALSE),FALSE),HLOOKUP($E$3,GDPRICES,VLOOKUP(Q82,GDmove_down,2,FALSE),FALSE),J82,VLOOKUP(H82,NGPREVPRICES,4,FALSE),HLOOKUP($H$3,GDPrevVols,VLOOKUP(Q82,GDmove_down2,2,FALSE),FALSE),HLOOKUP($H$3,GDPrevVols,VLOOKUP(Q82,GDmove_down2,2,FALSE),FALSE),HLOOKUP(E82,GDcorr,VLOOKUP(H82,CorMove,2,FALSE),FALSE),Q82-$AC$3,R82,$AC$5)*I82-AI82</f>
        <v>#N/A</v>
      </c>
      <c r="AD82" s="234" t="e">
        <f>_xll.xSPRDOPT(HLOOKUP($D$3,GDPrev,VLOOKUP(Q82,GDmove_down,2,FALSE),FALSE),HLOOKUP($E$3,GDPrev,VLOOKUP(Q82,GDmove_down,2,FALSE),FALSE),AJ82,VLOOKUP(H82,NGPrices,4,FALSE),HLOOKUP($H$3,GDPrevVols,VLOOKUP(Q82,GDmove_down2,2,FALSE),FALSE),HLOOKUP($H$3,GDPrevVols,VLOOKUP(Q82,GDmove_down2,2,FALSE),FALSE),HLOOKUP(E82,GDcorr,VLOOKUP(H82,CorMove,2,FALSE),FALSE),Q82-$AC$3,R82,$AI$5)*I82-AI82</f>
        <v>#N/A</v>
      </c>
      <c r="AE82" s="439" t="e">
        <f t="shared" si="39"/>
        <v>#N/A</v>
      </c>
      <c r="AF82" s="234" t="e">
        <f>_xll.xSPRDOPT(HLOOKUP($D$3,GDPrev,VLOOKUP(Q82,GDmove_down,2,FALSE),FALSE),HLOOKUP($E$3,GDPrev,VLOOKUP(Q82,GDmove_down,2,FALSE),FALSE),AJ82,VLOOKUP(H82,NGPREVPRICES,4,FALSE),HLOOKUP($H$3,GDVol,VLOOKUP(H82,move_down,2,FALSE),FALSE),HLOOKUP($H$3,GDVol,VLOOKUP(H82,move_down,2,FALSE),FALSE),HLOOKUP(E82,GDcorr,VLOOKUP(H82,CorMove,2,FALSE),FALSE),Q82-$AC$3,R82,$AI$5)*I82-AI82</f>
        <v>#N/A</v>
      </c>
      <c r="AG82" s="234" t="e">
        <f>_xll.xSPRDOPT(HLOOKUP($D$3,GDPrev,VLOOKUP(Q82,GDmove_down,2,FALSE),FALSE),HLOOKUP($E$3,GDPrev,VLOOKUP(Q82,GDmove_down,2,FALSE),FALSE),AJ82,VLOOKUP(H82,NGPREVPRICES,4,FALSE),HLOOKUP($H$3,GDPrevVols,VLOOKUP(Q82,GDmove_down2,2,FALSE),FALSE),HLOOKUP($H$3,GDPrevVols,VLOOKUP(Q82,GDmove_down2,2,FALSE),FALSE),HLOOKUP(E82,GDcorr,VLOOKUP(H82,CorMove,2,FALSE),FALSE),Q82-$C$3,R82,$AI$5)*I82-AI82</f>
        <v>#N/A</v>
      </c>
      <c r="AH82" s="234" t="e">
        <f t="shared" si="40"/>
        <v>#N/A</v>
      </c>
      <c r="AI82" s="234" t="e">
        <f>_xll.xSPRDOPT(HLOOKUP($D$3,GDPrev,VLOOKUP(Q82,GDmove_down,2,FALSE),FALSE),HLOOKUP($E$3,GDPrev,VLOOKUP(Q82,GDmove_down,2,FALSE),FALSE),AJ82,VLOOKUP(H82,NGPREVPRICES,4,FALSE),HLOOKUP($H$3,GDPrevVols,VLOOKUP(Q82,GDmove_down2,2,FALSE),FALSE),HLOOKUP($H$3,GDPrevVols,VLOOKUP(Q82,GDmove_down2,2,FALSE),FALSE),HLOOKUP(E82,GDcorr,VLOOKUP(H82,CorMove,2,FALSE),FALSE),Q82-$AC$3,R82,$AI$5)*I82</f>
        <v>#N/A</v>
      </c>
      <c r="AJ82" s="235" t="e">
        <f t="shared" si="41"/>
        <v>#N/A</v>
      </c>
      <c r="AK82" s="234"/>
      <c r="AL82" t="str">
        <f t="shared" si="42"/>
        <v>36678Curve Shift/Gamma</v>
      </c>
      <c r="AM82" t="str">
        <f t="shared" si="43"/>
        <v>36678Rho</v>
      </c>
      <c r="AN82" t="str">
        <f t="shared" si="44"/>
        <v>36678Drift</v>
      </c>
      <c r="AO82" t="str">
        <f t="shared" si="45"/>
        <v>36678Vega</v>
      </c>
      <c r="AP82" t="str">
        <f t="shared" si="46"/>
        <v>36678Theta</v>
      </c>
      <c r="AZ82" s="41">
        <f t="shared" si="47"/>
        <v>38443</v>
      </c>
      <c r="BA82" s="44"/>
      <c r="BG82" s="441">
        <v>38777</v>
      </c>
      <c r="BH82">
        <v>0.98499999999999999</v>
      </c>
      <c r="BJ82" s="441">
        <v>38777</v>
      </c>
      <c r="BK82">
        <v>79</v>
      </c>
    </row>
    <row r="83" spans="1:63" ht="12" customHeight="1" x14ac:dyDescent="0.25">
      <c r="A83" s="384" t="s">
        <v>279</v>
      </c>
      <c r="B83" s="155" t="s">
        <v>250</v>
      </c>
      <c r="C83" s="155" t="s">
        <v>398</v>
      </c>
      <c r="D83" s="155" t="s">
        <v>190</v>
      </c>
      <c r="E83" s="4" t="s">
        <v>237</v>
      </c>
      <c r="F83" s="155" t="s">
        <v>20</v>
      </c>
      <c r="G83" s="155" t="s">
        <v>21</v>
      </c>
      <c r="H83" s="354">
        <v>36678</v>
      </c>
      <c r="I83" s="156">
        <v>-10000</v>
      </c>
      <c r="J83" s="7">
        <v>0.46</v>
      </c>
      <c r="K83" s="53">
        <f t="shared" si="35"/>
        <v>4.7649999999999997</v>
      </c>
      <c r="L83" s="53">
        <f t="shared" si="36"/>
        <v>3.51</v>
      </c>
      <c r="M83" s="157">
        <v>1</v>
      </c>
      <c r="N83" s="4">
        <v>0.51500000000000001</v>
      </c>
      <c r="O83" s="4">
        <v>0.51500000000000001</v>
      </c>
      <c r="P83" s="9" t="e">
        <f t="shared" si="37"/>
        <v>#N/A</v>
      </c>
      <c r="Q83" s="5">
        <v>36688</v>
      </c>
      <c r="R83" s="4">
        <f t="shared" si="31"/>
        <v>1</v>
      </c>
      <c r="S83" s="158" t="e">
        <f>_xll.xSPRDOPT($K83,$L83,$J83,$M83,$N83,$O83,$P83,$Q83-$C$3,$R83,0)</f>
        <v>#N/A</v>
      </c>
      <c r="T83" s="159" t="e">
        <f>_xll.xSPRDOPT($K83,$L83,$J83,$M83,$N83,$O83,$P83,$Q83-$C$3,$R83,1)*I83</f>
        <v>#N/A</v>
      </c>
      <c r="U83" s="160">
        <v>-1100</v>
      </c>
      <c r="V83" s="159" t="e">
        <f>_xll.xSPRDOPT($K83,$L83,$J83,$M83,$N83,$O83,$P83,$Q83-$C$3,$R83,2)*I83</f>
        <v>#N/A</v>
      </c>
      <c r="W83" s="159" t="e">
        <f t="shared" si="32"/>
        <v>#N/A</v>
      </c>
      <c r="X83" s="51" t="str">
        <f t="shared" si="33"/>
        <v>36678IF-ELPO/SJ</v>
      </c>
      <c r="Y83" s="418">
        <f t="shared" si="34"/>
        <v>-1</v>
      </c>
      <c r="AA83" s="51"/>
      <c r="AB83" s="141">
        <f t="shared" si="38"/>
        <v>36678</v>
      </c>
      <c r="AC83" s="234" t="e">
        <f>_xll.xSPRDOPT(HLOOKUP($D$3,GDPRICES,VLOOKUP(Q83,GDmove_down,2,FALSE),FALSE),HLOOKUP($E$3,GDPRICES,VLOOKUP(Q83,GDmove_down,2,FALSE),FALSE),J83,VLOOKUP(H83,NGPREVPRICES,4,FALSE),HLOOKUP($H$3,GDPrevVols,VLOOKUP(Q83,GDmove_down2,2,FALSE),FALSE),HLOOKUP($H$3,GDPrevVols,VLOOKUP(Q83,GDmove_down2,2,FALSE),FALSE),HLOOKUP(E83,GDcorr,VLOOKUP(H83,CorMove,2,FALSE),FALSE),Q83-$AC$3,R83,$AC$5)*I83-AI83</f>
        <v>#N/A</v>
      </c>
      <c r="AD83" s="234" t="e">
        <f>_xll.xSPRDOPT(HLOOKUP($D$3,GDPrev,VLOOKUP(Q83,GDmove_down,2,FALSE),FALSE),HLOOKUP($E$3,GDPrev,VLOOKUP(Q83,GDmove_down,2,FALSE),FALSE),AJ83,VLOOKUP(H83,NGPrices,4,FALSE),HLOOKUP($H$3,GDPrevVols,VLOOKUP(Q83,GDmove_down2,2,FALSE),FALSE),HLOOKUP($H$3,GDPrevVols,VLOOKUP(Q83,GDmove_down2,2,FALSE),FALSE),HLOOKUP(E83,GDcorr,VLOOKUP(H83,CorMove,2,FALSE),FALSE),Q83-$AC$3,R83,$AI$5)*I83-AI83</f>
        <v>#N/A</v>
      </c>
      <c r="AE83" s="439" t="e">
        <f t="shared" si="39"/>
        <v>#N/A</v>
      </c>
      <c r="AF83" s="234" t="e">
        <f>_xll.xSPRDOPT(HLOOKUP($D$3,GDPrev,VLOOKUP(Q83,GDmove_down,2,FALSE),FALSE),HLOOKUP($E$3,GDPrev,VLOOKUP(Q83,GDmove_down,2,FALSE),FALSE),AJ83,VLOOKUP(H83,NGPREVPRICES,4,FALSE),HLOOKUP($H$3,GDVol,VLOOKUP(H83,move_down,2,FALSE),FALSE),HLOOKUP($H$3,GDVol,VLOOKUP(H83,move_down,2,FALSE),FALSE),HLOOKUP(E83,GDcorr,VLOOKUP(H83,CorMove,2,FALSE),FALSE),Q83-$AC$3,R83,$AI$5)*I83-AI83</f>
        <v>#N/A</v>
      </c>
      <c r="AG83" s="234" t="e">
        <f>_xll.xSPRDOPT(HLOOKUP($D$3,GDPrev,VLOOKUP(Q83,GDmove_down,2,FALSE),FALSE),HLOOKUP($E$3,GDPrev,VLOOKUP(Q83,GDmove_down,2,FALSE),FALSE),AJ83,VLOOKUP(H83,NGPREVPRICES,4,FALSE),HLOOKUP($H$3,GDPrevVols,VLOOKUP(Q83,GDmove_down2,2,FALSE),FALSE),HLOOKUP($H$3,GDPrevVols,VLOOKUP(Q83,GDmove_down2,2,FALSE),FALSE),HLOOKUP(E83,GDcorr,VLOOKUP(H83,CorMove,2,FALSE),FALSE),Q83-$C$3,R83,$AI$5)*I83-AI83</f>
        <v>#N/A</v>
      </c>
      <c r="AH83" s="234" t="e">
        <f t="shared" si="40"/>
        <v>#N/A</v>
      </c>
      <c r="AI83" s="234" t="e">
        <f>_xll.xSPRDOPT(HLOOKUP($D$3,GDPrev,VLOOKUP(Q83,GDmove_down,2,FALSE),FALSE),HLOOKUP($E$3,GDPrev,VLOOKUP(Q83,GDmove_down,2,FALSE),FALSE),AJ83,VLOOKUP(H83,NGPREVPRICES,4,FALSE),HLOOKUP($H$3,GDPrevVols,VLOOKUP(Q83,GDmove_down2,2,FALSE),FALSE),HLOOKUP($H$3,GDPrevVols,VLOOKUP(Q83,GDmove_down2,2,FALSE),FALSE),HLOOKUP(E83,GDcorr,VLOOKUP(H83,CorMove,2,FALSE),FALSE),Q83-$AC$3,R83,$AI$5)*I83</f>
        <v>#N/A</v>
      </c>
      <c r="AJ83" s="235" t="e">
        <f t="shared" si="41"/>
        <v>#N/A</v>
      </c>
      <c r="AK83" s="234"/>
      <c r="AL83" t="str">
        <f t="shared" si="42"/>
        <v>36678Curve Shift/Gamma</v>
      </c>
      <c r="AM83" t="str">
        <f t="shared" si="43"/>
        <v>36678Rho</v>
      </c>
      <c r="AN83" t="str">
        <f t="shared" si="44"/>
        <v>36678Drift</v>
      </c>
      <c r="AO83" t="str">
        <f t="shared" si="45"/>
        <v>36678Vega</v>
      </c>
      <c r="AP83" t="str">
        <f t="shared" si="46"/>
        <v>36678Theta</v>
      </c>
      <c r="AZ83" s="41">
        <f t="shared" si="47"/>
        <v>38473</v>
      </c>
      <c r="BA83" s="44"/>
      <c r="BG83" s="441">
        <v>38808</v>
      </c>
      <c r="BH83">
        <v>0.98499999999999999</v>
      </c>
      <c r="BJ83" s="441">
        <v>38808</v>
      </c>
      <c r="BK83">
        <v>80</v>
      </c>
    </row>
    <row r="84" spans="1:63" ht="12" customHeight="1" x14ac:dyDescent="0.25">
      <c r="A84" s="382" t="s">
        <v>279</v>
      </c>
      <c r="B84" s="155" t="s">
        <v>250</v>
      </c>
      <c r="C84" s="155" t="s">
        <v>360</v>
      </c>
      <c r="D84" s="155" t="s">
        <v>190</v>
      </c>
      <c r="E84" s="4" t="s">
        <v>237</v>
      </c>
      <c r="F84" s="155" t="s">
        <v>20</v>
      </c>
      <c r="G84" s="155" t="s">
        <v>21</v>
      </c>
      <c r="H84" s="354">
        <v>36678</v>
      </c>
      <c r="I84" s="156">
        <v>-50000</v>
      </c>
      <c r="J84" s="7">
        <v>0.46</v>
      </c>
      <c r="K84" s="53">
        <f t="shared" si="35"/>
        <v>4.74</v>
      </c>
      <c r="L84" s="53">
        <f t="shared" si="36"/>
        <v>3.3650000000000002</v>
      </c>
      <c r="M84" s="157">
        <v>1</v>
      </c>
      <c r="N84" s="4">
        <v>0.51500000000000001</v>
      </c>
      <c r="O84" s="4">
        <v>0.51500000000000001</v>
      </c>
      <c r="P84" s="9" t="e">
        <f t="shared" si="37"/>
        <v>#N/A</v>
      </c>
      <c r="Q84" s="5">
        <v>36689</v>
      </c>
      <c r="R84" s="4">
        <f t="shared" si="31"/>
        <v>1</v>
      </c>
      <c r="S84" s="158" t="e">
        <f>_xll.xSPRDOPT($K84,$L84,$J84,$M84,$N84,$O84,$P84,$Q84-$C$3,$R84,0)</f>
        <v>#N/A</v>
      </c>
      <c r="T84" s="159" t="e">
        <f>_xll.xSPRDOPT($K84,$L84,$J84,$M84,$N84,$O84,$P84,$Q84-$C$3,$R84,1)*I84</f>
        <v>#N/A</v>
      </c>
      <c r="U84" s="160">
        <v>-5500</v>
      </c>
      <c r="V84" s="159" t="e">
        <f>_xll.xSPRDOPT($K84,$L84,$J84,$M84,$N84,$O84,$P84,$Q84-$C$3,$R84,2)*I84</f>
        <v>#N/A</v>
      </c>
      <c r="W84" s="159" t="e">
        <f t="shared" si="32"/>
        <v>#N/A</v>
      </c>
      <c r="X84" s="51" t="str">
        <f t="shared" si="33"/>
        <v>36678IF-ELPO/SJ</v>
      </c>
      <c r="Y84" s="418">
        <f t="shared" si="34"/>
        <v>-5</v>
      </c>
      <c r="AA84" s="51"/>
      <c r="AB84" s="141">
        <f t="shared" si="38"/>
        <v>36678</v>
      </c>
      <c r="AC84" s="234" t="e">
        <f>_xll.xSPRDOPT(HLOOKUP($D$3,GDPRICES,VLOOKUP(Q84,GDmove_down,2,FALSE),FALSE),HLOOKUP($E$3,GDPRICES,VLOOKUP(Q84,GDmove_down,2,FALSE),FALSE),J84,VLOOKUP(H84,NGPREVPRICES,4,FALSE),HLOOKUP($H$3,GDPrevVols,VLOOKUP(Q84,GDmove_down2,2,FALSE),FALSE),HLOOKUP($H$3,GDPrevVols,VLOOKUP(Q84,GDmove_down2,2,FALSE),FALSE),HLOOKUP(E84,GDcorr,VLOOKUP(H84,CorMove,2,FALSE),FALSE),Q84-$AC$3,R84,$AC$5)*I84-AI84</f>
        <v>#N/A</v>
      </c>
      <c r="AD84" s="234" t="e">
        <f>_xll.xSPRDOPT(HLOOKUP($D$3,GDPrev,VLOOKUP(Q84,GDmove_down,2,FALSE),FALSE),HLOOKUP($E$3,GDPrev,VLOOKUP(Q84,GDmove_down,2,FALSE),FALSE),AJ84,VLOOKUP(H84,NGPrices,4,FALSE),HLOOKUP($H$3,GDPrevVols,VLOOKUP(Q84,GDmove_down2,2,FALSE),FALSE),HLOOKUP($H$3,GDPrevVols,VLOOKUP(Q84,GDmove_down2,2,FALSE),FALSE),HLOOKUP(E84,GDcorr,VLOOKUP(H84,CorMove,2,FALSE),FALSE),Q84-$AC$3,R84,$AI$5)*I84-AI84</f>
        <v>#N/A</v>
      </c>
      <c r="AE84" s="439" t="e">
        <f t="shared" si="39"/>
        <v>#N/A</v>
      </c>
      <c r="AF84" s="234" t="e">
        <f>_xll.xSPRDOPT(HLOOKUP($D$3,GDPrev,VLOOKUP(Q84,GDmove_down,2,FALSE),FALSE),HLOOKUP($E$3,GDPrev,VLOOKUP(Q84,GDmove_down,2,FALSE),FALSE),AJ84,VLOOKUP(H84,NGPREVPRICES,4,FALSE),HLOOKUP($H$3,GDVol,VLOOKUP(H84,move_down,2,FALSE),FALSE),HLOOKUP($H$3,GDVol,VLOOKUP(H84,move_down,2,FALSE),FALSE),HLOOKUP(E84,GDcorr,VLOOKUP(H84,CorMove,2,FALSE),FALSE),Q84-$AC$3,R84,$AI$5)*I84-AI84</f>
        <v>#N/A</v>
      </c>
      <c r="AG84" s="234" t="e">
        <f>_xll.xSPRDOPT(HLOOKUP($D$3,GDPrev,VLOOKUP(Q84,GDmove_down,2,FALSE),FALSE),HLOOKUP($E$3,GDPrev,VLOOKUP(Q84,GDmove_down,2,FALSE),FALSE),AJ84,VLOOKUP(H84,NGPREVPRICES,4,FALSE),HLOOKUP($H$3,GDPrevVols,VLOOKUP(Q84,GDmove_down2,2,FALSE),FALSE),HLOOKUP($H$3,GDPrevVols,VLOOKUP(Q84,GDmove_down2,2,FALSE),FALSE),HLOOKUP(E84,GDcorr,VLOOKUP(H84,CorMove,2,FALSE),FALSE),Q84-$C$3,R84,$AI$5)*I84-AI84</f>
        <v>#N/A</v>
      </c>
      <c r="AH84" s="234" t="e">
        <f t="shared" si="40"/>
        <v>#N/A</v>
      </c>
      <c r="AI84" s="234" t="e">
        <f>_xll.xSPRDOPT(HLOOKUP($D$3,GDPrev,VLOOKUP(Q84,GDmove_down,2,FALSE),FALSE),HLOOKUP($E$3,GDPrev,VLOOKUP(Q84,GDmove_down,2,FALSE),FALSE),AJ84,VLOOKUP(H84,NGPREVPRICES,4,FALSE),HLOOKUP($H$3,GDPrevVols,VLOOKUP(Q84,GDmove_down2,2,FALSE),FALSE),HLOOKUP($H$3,GDPrevVols,VLOOKUP(Q84,GDmove_down2,2,FALSE),FALSE),HLOOKUP(E84,GDcorr,VLOOKUP(H84,CorMove,2,FALSE),FALSE),Q84-$AC$3,R84,$AI$5)*I84</f>
        <v>#N/A</v>
      </c>
      <c r="AJ84" s="235" t="e">
        <f t="shared" si="41"/>
        <v>#N/A</v>
      </c>
      <c r="AK84" s="234"/>
      <c r="AL84" t="str">
        <f t="shared" si="42"/>
        <v>36678Curve Shift/Gamma</v>
      </c>
      <c r="AM84" t="str">
        <f t="shared" si="43"/>
        <v>36678Rho</v>
      </c>
      <c r="AN84" t="str">
        <f t="shared" si="44"/>
        <v>36678Drift</v>
      </c>
      <c r="AO84" t="str">
        <f t="shared" si="45"/>
        <v>36678Vega</v>
      </c>
      <c r="AP84" t="str">
        <f t="shared" si="46"/>
        <v>36678Theta</v>
      </c>
      <c r="AZ84" s="41">
        <f t="shared" si="47"/>
        <v>38504</v>
      </c>
      <c r="BA84" s="44"/>
      <c r="BG84" s="441">
        <v>38838</v>
      </c>
      <c r="BH84">
        <v>0.98499999999999999</v>
      </c>
      <c r="BJ84" s="441">
        <v>38838</v>
      </c>
      <c r="BK84">
        <v>81</v>
      </c>
    </row>
    <row r="85" spans="1:63" ht="12" customHeight="1" x14ac:dyDescent="0.25">
      <c r="A85" s="382" t="s">
        <v>279</v>
      </c>
      <c r="B85" s="155" t="s">
        <v>250</v>
      </c>
      <c r="C85" s="155" t="s">
        <v>361</v>
      </c>
      <c r="D85" s="155" t="s">
        <v>190</v>
      </c>
      <c r="E85" s="4" t="s">
        <v>237</v>
      </c>
      <c r="F85" s="155" t="s">
        <v>20</v>
      </c>
      <c r="G85" s="155" t="s">
        <v>21</v>
      </c>
      <c r="H85" s="354">
        <v>36678</v>
      </c>
      <c r="I85" s="156">
        <v>10000</v>
      </c>
      <c r="J85" s="7">
        <v>0.46</v>
      </c>
      <c r="K85" s="53">
        <f t="shared" si="35"/>
        <v>4.74</v>
      </c>
      <c r="L85" s="53">
        <f t="shared" si="36"/>
        <v>3.3650000000000002</v>
      </c>
      <c r="M85" s="157">
        <v>1</v>
      </c>
      <c r="N85" s="4">
        <v>0.51500000000000001</v>
      </c>
      <c r="O85" s="4">
        <v>0.51500000000000001</v>
      </c>
      <c r="P85" s="9" t="e">
        <f t="shared" si="37"/>
        <v>#N/A</v>
      </c>
      <c r="Q85" s="5">
        <v>36689</v>
      </c>
      <c r="R85" s="4">
        <f t="shared" si="31"/>
        <v>1</v>
      </c>
      <c r="S85" s="158" t="e">
        <f>_xll.xSPRDOPT($K85,$L85,$J85,$M85,$N85,$O85,$P85,$Q85-$C$3,$R85,0)</f>
        <v>#N/A</v>
      </c>
      <c r="T85" s="159" t="e">
        <f>_xll.xSPRDOPT($K85,$L85,$J85,$M85,$N85,$O85,$P85,$Q85-$C$3,$R85,1)*I85</f>
        <v>#N/A</v>
      </c>
      <c r="U85" s="160">
        <v>1100</v>
      </c>
      <c r="V85" s="159" t="e">
        <f>_xll.xSPRDOPT($K85,$L85,$J85,$M85,$N85,$O85,$P85,$Q85-$C$3,$R85,2)*I85</f>
        <v>#N/A</v>
      </c>
      <c r="W85" s="159" t="e">
        <f t="shared" si="32"/>
        <v>#N/A</v>
      </c>
      <c r="X85" s="51" t="str">
        <f t="shared" si="33"/>
        <v>36678IF-ELPO/SJ</v>
      </c>
      <c r="Y85" s="418">
        <f t="shared" si="34"/>
        <v>1</v>
      </c>
      <c r="AA85" s="51"/>
      <c r="AB85" s="141">
        <f t="shared" si="38"/>
        <v>36678</v>
      </c>
      <c r="AC85" s="234" t="e">
        <f>_xll.xSPRDOPT(HLOOKUP($D$3,GDPRICES,VLOOKUP(Q85,GDmove_down,2,FALSE),FALSE),HLOOKUP($E$3,GDPRICES,VLOOKUP(Q85,GDmove_down,2,FALSE),FALSE),J85,VLOOKUP(H85,NGPREVPRICES,4,FALSE),HLOOKUP($H$3,GDPrevVols,VLOOKUP(Q85,GDmove_down2,2,FALSE),FALSE),HLOOKUP($H$3,GDPrevVols,VLOOKUP(Q85,GDmove_down2,2,FALSE),FALSE),HLOOKUP(E85,GDcorr,VLOOKUP(H85,CorMove,2,FALSE),FALSE),Q85-$AC$3,R85,$AC$5)*I85-AI85</f>
        <v>#N/A</v>
      </c>
      <c r="AD85" s="234" t="e">
        <f>_xll.xSPRDOPT(HLOOKUP($D$3,GDPrev,VLOOKUP(Q85,GDmove_down,2,FALSE),FALSE),HLOOKUP($E$3,GDPrev,VLOOKUP(Q85,GDmove_down,2,FALSE),FALSE),AJ85,VLOOKUP(H85,NGPrices,4,FALSE),HLOOKUP($H$3,GDPrevVols,VLOOKUP(Q85,GDmove_down2,2,FALSE),FALSE),HLOOKUP($H$3,GDPrevVols,VLOOKUP(Q85,GDmove_down2,2,FALSE),FALSE),HLOOKUP(E85,GDcorr,VLOOKUP(H85,CorMove,2,FALSE),FALSE),Q85-$AC$3,R85,$AI$5)*I85-AI85</f>
        <v>#N/A</v>
      </c>
      <c r="AE85" s="439" t="e">
        <f t="shared" si="39"/>
        <v>#N/A</v>
      </c>
      <c r="AF85" s="234" t="e">
        <f>_xll.xSPRDOPT(HLOOKUP($D$3,GDPrev,VLOOKUP(Q85,GDmove_down,2,FALSE),FALSE),HLOOKUP($E$3,GDPrev,VLOOKUP(Q85,GDmove_down,2,FALSE),FALSE),AJ85,VLOOKUP(H85,NGPREVPRICES,4,FALSE),HLOOKUP($H$3,GDVol,VLOOKUP(H85,move_down,2,FALSE),FALSE),HLOOKUP($H$3,GDVol,VLOOKUP(H85,move_down,2,FALSE),FALSE),HLOOKUP(E85,GDcorr,VLOOKUP(H85,CorMove,2,FALSE),FALSE),Q85-$AC$3,R85,$AI$5)*I85-AI85</f>
        <v>#N/A</v>
      </c>
      <c r="AG85" s="234" t="e">
        <f>_xll.xSPRDOPT(HLOOKUP($D$3,GDPrev,VLOOKUP(Q85,GDmove_down,2,FALSE),FALSE),HLOOKUP($E$3,GDPrev,VLOOKUP(Q85,GDmove_down,2,FALSE),FALSE),AJ85,VLOOKUP(H85,NGPREVPRICES,4,FALSE),HLOOKUP($H$3,GDPrevVols,VLOOKUP(Q85,GDmove_down2,2,FALSE),FALSE),HLOOKUP($H$3,GDPrevVols,VLOOKUP(Q85,GDmove_down2,2,FALSE),FALSE),HLOOKUP(E85,GDcorr,VLOOKUP(H85,CorMove,2,FALSE),FALSE),Q85-$C$3,R85,$AI$5)*I85-AI85</f>
        <v>#N/A</v>
      </c>
      <c r="AH85" s="234" t="e">
        <f t="shared" si="40"/>
        <v>#N/A</v>
      </c>
      <c r="AI85" s="234" t="e">
        <f>_xll.xSPRDOPT(HLOOKUP($D$3,GDPrev,VLOOKUP(Q85,GDmove_down,2,FALSE),FALSE),HLOOKUP($E$3,GDPrev,VLOOKUP(Q85,GDmove_down,2,FALSE),FALSE),AJ85,VLOOKUP(H85,NGPREVPRICES,4,FALSE),HLOOKUP($H$3,GDPrevVols,VLOOKUP(Q85,GDmove_down2,2,FALSE),FALSE),HLOOKUP($H$3,GDPrevVols,VLOOKUP(Q85,GDmove_down2,2,FALSE),FALSE),HLOOKUP(E85,GDcorr,VLOOKUP(H85,CorMove,2,FALSE),FALSE),Q85-$AC$3,R85,$AI$5)*I85</f>
        <v>#N/A</v>
      </c>
      <c r="AJ85" s="235" t="e">
        <f t="shared" si="41"/>
        <v>#N/A</v>
      </c>
      <c r="AK85" s="234"/>
      <c r="AL85" t="str">
        <f t="shared" si="42"/>
        <v>36678Curve Shift/Gamma</v>
      </c>
      <c r="AM85" t="str">
        <f t="shared" si="43"/>
        <v>36678Rho</v>
      </c>
      <c r="AN85" t="str">
        <f t="shared" si="44"/>
        <v>36678Drift</v>
      </c>
      <c r="AO85" t="str">
        <f t="shared" si="45"/>
        <v>36678Vega</v>
      </c>
      <c r="AP85" t="str">
        <f t="shared" si="46"/>
        <v>36678Theta</v>
      </c>
      <c r="AZ85" s="41">
        <f t="shared" si="47"/>
        <v>38534</v>
      </c>
      <c r="BA85" s="44"/>
      <c r="BG85" s="441">
        <v>38869</v>
      </c>
      <c r="BH85">
        <v>0.98499999999999999</v>
      </c>
      <c r="BJ85" s="441">
        <v>38869</v>
      </c>
      <c r="BK85">
        <v>82</v>
      </c>
    </row>
    <row r="86" spans="1:63" ht="12" customHeight="1" x14ac:dyDescent="0.25">
      <c r="A86" s="382" t="s">
        <v>279</v>
      </c>
      <c r="B86" s="155" t="s">
        <v>250</v>
      </c>
      <c r="C86" s="155" t="s">
        <v>364</v>
      </c>
      <c r="D86" s="155" t="s">
        <v>190</v>
      </c>
      <c r="E86" s="4" t="s">
        <v>237</v>
      </c>
      <c r="F86" s="155" t="s">
        <v>20</v>
      </c>
      <c r="G86" s="155" t="s">
        <v>21</v>
      </c>
      <c r="H86" s="354">
        <v>36678</v>
      </c>
      <c r="I86" s="156">
        <v>-333333</v>
      </c>
      <c r="J86" s="7">
        <v>0.46</v>
      </c>
      <c r="K86" s="53">
        <f t="shared" si="35"/>
        <v>4.74</v>
      </c>
      <c r="L86" s="53">
        <f t="shared" si="36"/>
        <v>3.3650000000000002</v>
      </c>
      <c r="M86" s="157">
        <v>1</v>
      </c>
      <c r="N86" s="4">
        <v>0.51500000000000001</v>
      </c>
      <c r="O86" s="4">
        <v>0.51500000000000001</v>
      </c>
      <c r="P86" s="9" t="e">
        <f t="shared" si="37"/>
        <v>#N/A</v>
      </c>
      <c r="Q86" s="5">
        <v>36689</v>
      </c>
      <c r="R86" s="4">
        <f t="shared" si="31"/>
        <v>1</v>
      </c>
      <c r="S86" s="158" t="e">
        <f>_xll.xSPRDOPT($K86,$L86,$J86,$M86,$N86,$O86,$P86,$Q86-$C$3,$R86,0)</f>
        <v>#N/A</v>
      </c>
      <c r="T86" s="159" t="e">
        <f>_xll.xSPRDOPT($K86,$L86,$J86,$M86,$N86,$O86,$P86,$Q86-$C$3,$R86,1)*I86</f>
        <v>#N/A</v>
      </c>
      <c r="U86" s="160">
        <v>-36666.629999999997</v>
      </c>
      <c r="V86" s="159" t="e">
        <f>_xll.xSPRDOPT($K86,$L86,$J86,$M86,$N86,$O86,$P86,$Q86-$C$3,$R86,2)*I86</f>
        <v>#N/A</v>
      </c>
      <c r="W86" s="159" t="e">
        <f t="shared" si="32"/>
        <v>#N/A</v>
      </c>
      <c r="X86" s="51" t="str">
        <f t="shared" si="33"/>
        <v>36678IF-ELPO/SJ</v>
      </c>
      <c r="Y86" s="418">
        <f t="shared" si="34"/>
        <v>-33.333300000000001</v>
      </c>
      <c r="Z86" s="51"/>
      <c r="AA86" s="51"/>
      <c r="AB86" s="141">
        <f t="shared" si="38"/>
        <v>36678</v>
      </c>
      <c r="AC86" s="234" t="e">
        <f>_xll.xSPRDOPT(HLOOKUP($D$3,GDPRICES,VLOOKUP(Q86,GDmove_down,2,FALSE),FALSE),HLOOKUP($E$3,GDPRICES,VLOOKUP(Q86,GDmove_down,2,FALSE),FALSE),J86,VLOOKUP(H86,NGPREVPRICES,4,FALSE),HLOOKUP($H$3,GDPrevVols,VLOOKUP(Q86,GDmove_down2,2,FALSE),FALSE),HLOOKUP($H$3,GDPrevVols,VLOOKUP(Q86,GDmove_down2,2,FALSE),FALSE),HLOOKUP(E86,GDcorr,VLOOKUP(H86,CorMove,2,FALSE),FALSE),Q86-$AC$3,R86,$AC$5)*I86-AI86</f>
        <v>#N/A</v>
      </c>
      <c r="AD86" s="234" t="e">
        <f>_xll.xSPRDOPT(HLOOKUP($D$3,GDPrev,VLOOKUP(Q86,GDmove_down,2,FALSE),FALSE),HLOOKUP($E$3,GDPrev,VLOOKUP(Q86,GDmove_down,2,FALSE),FALSE),AJ86,VLOOKUP(H86,NGPrices,4,FALSE),HLOOKUP($H$3,GDPrevVols,VLOOKUP(Q86,GDmove_down2,2,FALSE),FALSE),HLOOKUP($H$3,GDPrevVols,VLOOKUP(Q86,GDmove_down2,2,FALSE),FALSE),HLOOKUP(E86,GDcorr,VLOOKUP(H86,CorMove,2,FALSE),FALSE),Q86-$AC$3,R86,$AI$5)*I86-AI86</f>
        <v>#N/A</v>
      </c>
      <c r="AE86" s="439" t="e">
        <f t="shared" si="39"/>
        <v>#N/A</v>
      </c>
      <c r="AF86" s="234" t="e">
        <f>_xll.xSPRDOPT(HLOOKUP($D$3,GDPrev,VLOOKUP(Q86,GDmove_down,2,FALSE),FALSE),HLOOKUP($E$3,GDPrev,VLOOKUP(Q86,GDmove_down,2,FALSE),FALSE),AJ86,VLOOKUP(H86,NGPREVPRICES,4,FALSE),HLOOKUP($H$3,GDVol,VLOOKUP(H86,move_down,2,FALSE),FALSE),HLOOKUP($H$3,GDVol,VLOOKUP(H86,move_down,2,FALSE),FALSE),HLOOKUP(E86,GDcorr,VLOOKUP(H86,CorMove,2,FALSE),FALSE),Q86-$AC$3,R86,$AI$5)*I86-AI86</f>
        <v>#N/A</v>
      </c>
      <c r="AG86" s="234" t="e">
        <f>_xll.xSPRDOPT(HLOOKUP($D$3,GDPrev,VLOOKUP(Q86,GDmove_down,2,FALSE),FALSE),HLOOKUP($E$3,GDPrev,VLOOKUP(Q86,GDmove_down,2,FALSE),FALSE),AJ86,VLOOKUP(H86,NGPREVPRICES,4,FALSE),HLOOKUP($H$3,GDPrevVols,VLOOKUP(Q86,GDmove_down2,2,FALSE),FALSE),HLOOKUP($H$3,GDPrevVols,VLOOKUP(Q86,GDmove_down2,2,FALSE),FALSE),HLOOKUP(E86,GDcorr,VLOOKUP(H86,CorMove,2,FALSE),FALSE),Q86-$C$3,R86,$AI$5)*I86-AI86</f>
        <v>#N/A</v>
      </c>
      <c r="AH86" s="234" t="e">
        <f t="shared" si="40"/>
        <v>#N/A</v>
      </c>
      <c r="AI86" s="234" t="e">
        <f>_xll.xSPRDOPT(HLOOKUP($D$3,GDPrev,VLOOKUP(Q86,GDmove_down,2,FALSE),FALSE),HLOOKUP($E$3,GDPrev,VLOOKUP(Q86,GDmove_down,2,FALSE),FALSE),AJ86,VLOOKUP(H86,NGPREVPRICES,4,FALSE),HLOOKUP($H$3,GDPrevVols,VLOOKUP(Q86,GDmove_down2,2,FALSE),FALSE),HLOOKUP($H$3,GDPrevVols,VLOOKUP(Q86,GDmove_down2,2,FALSE),FALSE),HLOOKUP(E86,GDcorr,VLOOKUP(H86,CorMove,2,FALSE),FALSE),Q86-$AC$3,R86,$AI$5)*I86</f>
        <v>#N/A</v>
      </c>
      <c r="AJ86" s="235" t="e">
        <f t="shared" si="41"/>
        <v>#N/A</v>
      </c>
      <c r="AK86" s="234"/>
      <c r="AL86" t="str">
        <f t="shared" si="42"/>
        <v>36678Curve Shift/Gamma</v>
      </c>
      <c r="AM86" t="str">
        <f t="shared" si="43"/>
        <v>36678Rho</v>
      </c>
      <c r="AN86" t="str">
        <f t="shared" si="44"/>
        <v>36678Drift</v>
      </c>
      <c r="AO86" t="str">
        <f t="shared" si="45"/>
        <v>36678Vega</v>
      </c>
      <c r="AP86" t="str">
        <f t="shared" si="46"/>
        <v>36678Theta</v>
      </c>
      <c r="AZ86" s="41">
        <f t="shared" si="47"/>
        <v>38565</v>
      </c>
      <c r="BA86" s="44"/>
      <c r="BG86" s="441">
        <v>38899</v>
      </c>
      <c r="BH86">
        <v>0.98499999999999999</v>
      </c>
      <c r="BJ86" s="441">
        <v>38899</v>
      </c>
      <c r="BK86">
        <v>83</v>
      </c>
    </row>
    <row r="87" spans="1:63" ht="12" customHeight="1" x14ac:dyDescent="0.25">
      <c r="A87" s="384" t="s">
        <v>268</v>
      </c>
      <c r="B87" s="155" t="s">
        <v>250</v>
      </c>
      <c r="C87" s="155" t="s">
        <v>387</v>
      </c>
      <c r="D87" s="155" t="s">
        <v>190</v>
      </c>
      <c r="E87" s="4" t="s">
        <v>237</v>
      </c>
      <c r="F87" s="155" t="s">
        <v>20</v>
      </c>
      <c r="G87" s="155" t="s">
        <v>21</v>
      </c>
      <c r="H87" s="354">
        <v>36678</v>
      </c>
      <c r="I87" s="156">
        <v>-10000</v>
      </c>
      <c r="J87" s="7">
        <v>0.46</v>
      </c>
      <c r="K87" s="53">
        <f t="shared" si="35"/>
        <v>4.74</v>
      </c>
      <c r="L87" s="53">
        <f t="shared" si="36"/>
        <v>3.3650000000000002</v>
      </c>
      <c r="M87" s="157">
        <v>1</v>
      </c>
      <c r="N87" s="4">
        <v>0.51500000000000001</v>
      </c>
      <c r="O87" s="4">
        <v>0.51500000000000001</v>
      </c>
      <c r="P87" s="9" t="e">
        <f t="shared" si="37"/>
        <v>#N/A</v>
      </c>
      <c r="Q87" s="5">
        <v>36689</v>
      </c>
      <c r="R87" s="4">
        <f t="shared" si="31"/>
        <v>1</v>
      </c>
      <c r="S87" s="158" t="e">
        <f>_xll.xSPRDOPT($K87,$L87,$J87,$M87,$N87,$O87,$P87,$Q87-$C$3,$R87,0)</f>
        <v>#N/A</v>
      </c>
      <c r="T87" s="159" t="e">
        <f>_xll.xSPRDOPT($K87,$L87,$J87,$M87,$N87,$O87,$P87,$Q87-$C$3,$R87,1)*I87</f>
        <v>#N/A</v>
      </c>
      <c r="U87" s="160">
        <v>-1100</v>
      </c>
      <c r="V87" s="159" t="e">
        <f>_xll.xSPRDOPT($K87,$L87,$J87,$M87,$N87,$O87,$P87,$Q87-$C$3,$R87,2)*I87</f>
        <v>#N/A</v>
      </c>
      <c r="W87" s="159" t="e">
        <f t="shared" si="32"/>
        <v>#N/A</v>
      </c>
      <c r="X87" s="51" t="str">
        <f t="shared" si="33"/>
        <v>36678IF-ELPO/SJ</v>
      </c>
      <c r="Y87" s="418">
        <f t="shared" si="34"/>
        <v>-1</v>
      </c>
      <c r="Z87" s="51"/>
      <c r="AA87" s="51"/>
      <c r="AB87" s="141">
        <f t="shared" si="38"/>
        <v>36678</v>
      </c>
      <c r="AC87" s="234" t="e">
        <f>_xll.xSPRDOPT(HLOOKUP($D$3,GDPRICES,VLOOKUP(Q87,GDmove_down,2,FALSE),FALSE),HLOOKUP($E$3,GDPRICES,VLOOKUP(Q87,GDmove_down,2,FALSE),FALSE),J87,VLOOKUP(H87,NGPREVPRICES,4,FALSE),HLOOKUP($H$3,GDPrevVols,VLOOKUP(Q87,GDmove_down2,2,FALSE),FALSE),HLOOKUP($H$3,GDPrevVols,VLOOKUP(Q87,GDmove_down2,2,FALSE),FALSE),HLOOKUP(E87,GDcorr,VLOOKUP(H87,CorMove,2,FALSE),FALSE),Q87-$AC$3,R87,$AC$5)*I87-AI87</f>
        <v>#N/A</v>
      </c>
      <c r="AD87" s="234" t="e">
        <f>_xll.xSPRDOPT(HLOOKUP($D$3,GDPrev,VLOOKUP(Q87,GDmove_down,2,FALSE),FALSE),HLOOKUP($E$3,GDPrev,VLOOKUP(Q87,GDmove_down,2,FALSE),FALSE),AJ87,VLOOKUP(H87,NGPrices,4,FALSE),HLOOKUP($H$3,GDPrevVols,VLOOKUP(Q87,GDmove_down2,2,FALSE),FALSE),HLOOKUP($H$3,GDPrevVols,VLOOKUP(Q87,GDmove_down2,2,FALSE),FALSE),HLOOKUP(E87,GDcorr,VLOOKUP(H87,CorMove,2,FALSE),FALSE),Q87-$AC$3,R87,$AI$5)*I87-AI87</f>
        <v>#N/A</v>
      </c>
      <c r="AE87" s="439" t="e">
        <f t="shared" si="39"/>
        <v>#N/A</v>
      </c>
      <c r="AF87" s="234" t="e">
        <f>_xll.xSPRDOPT(HLOOKUP($D$3,GDPrev,VLOOKUP(Q87,GDmove_down,2,FALSE),FALSE),HLOOKUP($E$3,GDPrev,VLOOKUP(Q87,GDmove_down,2,FALSE),FALSE),AJ87,VLOOKUP(H87,NGPREVPRICES,4,FALSE),HLOOKUP($H$3,GDVol,VLOOKUP(H87,move_down,2,FALSE),FALSE),HLOOKUP($H$3,GDVol,VLOOKUP(H87,move_down,2,FALSE),FALSE),HLOOKUP(E87,GDcorr,VLOOKUP(H87,CorMove,2,FALSE),FALSE),Q87-$AC$3,R87,$AI$5)*I87-AI87</f>
        <v>#N/A</v>
      </c>
      <c r="AG87" s="234" t="e">
        <f>_xll.xSPRDOPT(HLOOKUP($D$3,GDPrev,VLOOKUP(Q87,GDmove_down,2,FALSE),FALSE),HLOOKUP($E$3,GDPrev,VLOOKUP(Q87,GDmove_down,2,FALSE),FALSE),AJ87,VLOOKUP(H87,NGPREVPRICES,4,FALSE),HLOOKUP($H$3,GDPrevVols,VLOOKUP(Q87,GDmove_down2,2,FALSE),FALSE),HLOOKUP($H$3,GDPrevVols,VLOOKUP(Q87,GDmove_down2,2,FALSE),FALSE),HLOOKUP(E87,GDcorr,VLOOKUP(H87,CorMove,2,FALSE),FALSE),Q87-$C$3,R87,$AI$5)*I87-AI87</f>
        <v>#N/A</v>
      </c>
      <c r="AH87" s="234" t="e">
        <f t="shared" si="40"/>
        <v>#N/A</v>
      </c>
      <c r="AI87" s="234" t="e">
        <f>_xll.xSPRDOPT(HLOOKUP($D$3,GDPrev,VLOOKUP(Q87,GDmove_down,2,FALSE),FALSE),HLOOKUP($E$3,GDPrev,VLOOKUP(Q87,GDmove_down,2,FALSE),FALSE),AJ87,VLOOKUP(H87,NGPREVPRICES,4,FALSE),HLOOKUP($H$3,GDPrevVols,VLOOKUP(Q87,GDmove_down2,2,FALSE),FALSE),HLOOKUP($H$3,GDPrevVols,VLOOKUP(Q87,GDmove_down2,2,FALSE),FALSE),HLOOKUP(E87,GDcorr,VLOOKUP(H87,CorMove,2,FALSE),FALSE),Q87-$AC$3,R87,$AI$5)*I87</f>
        <v>#N/A</v>
      </c>
      <c r="AJ87" s="235" t="e">
        <f t="shared" si="41"/>
        <v>#N/A</v>
      </c>
      <c r="AK87" s="234"/>
      <c r="AL87" t="str">
        <f t="shared" si="42"/>
        <v>36678Curve Shift/Gamma</v>
      </c>
      <c r="AM87" t="str">
        <f t="shared" si="43"/>
        <v>36678Rho</v>
      </c>
      <c r="AN87" t="str">
        <f t="shared" si="44"/>
        <v>36678Drift</v>
      </c>
      <c r="AO87" t="str">
        <f t="shared" si="45"/>
        <v>36678Vega</v>
      </c>
      <c r="AP87" t="str">
        <f t="shared" si="46"/>
        <v>36678Theta</v>
      </c>
      <c r="AZ87" s="41">
        <f t="shared" si="47"/>
        <v>38596</v>
      </c>
      <c r="BA87" s="44"/>
      <c r="BG87" s="441">
        <v>38930</v>
      </c>
      <c r="BH87">
        <v>0.98499999999999999</v>
      </c>
      <c r="BJ87" s="441">
        <v>38930</v>
      </c>
      <c r="BK87">
        <v>84</v>
      </c>
    </row>
    <row r="88" spans="1:63" ht="12" customHeight="1" x14ac:dyDescent="0.25">
      <c r="A88" s="384" t="s">
        <v>279</v>
      </c>
      <c r="B88" s="155" t="s">
        <v>250</v>
      </c>
      <c r="C88" s="155" t="s">
        <v>388</v>
      </c>
      <c r="D88" s="155" t="s">
        <v>190</v>
      </c>
      <c r="E88" s="4" t="s">
        <v>237</v>
      </c>
      <c r="F88" s="155" t="s">
        <v>20</v>
      </c>
      <c r="G88" s="155" t="s">
        <v>21</v>
      </c>
      <c r="H88" s="354">
        <v>36678</v>
      </c>
      <c r="I88" s="156">
        <v>50000</v>
      </c>
      <c r="J88" s="7">
        <v>0.46</v>
      </c>
      <c r="K88" s="53">
        <f t="shared" si="35"/>
        <v>4.74</v>
      </c>
      <c r="L88" s="53">
        <f t="shared" si="36"/>
        <v>3.3650000000000002</v>
      </c>
      <c r="M88" s="157">
        <v>1</v>
      </c>
      <c r="N88" s="4">
        <v>0.51500000000000001</v>
      </c>
      <c r="O88" s="4">
        <v>0.51500000000000001</v>
      </c>
      <c r="P88" s="9" t="e">
        <f t="shared" si="37"/>
        <v>#N/A</v>
      </c>
      <c r="Q88" s="5">
        <v>36689</v>
      </c>
      <c r="R88" s="4">
        <f t="shared" si="31"/>
        <v>1</v>
      </c>
      <c r="S88" s="158" t="e">
        <f>_xll.xSPRDOPT($K88,$L88,$J88,$M88,$N88,$O88,$P88,$Q88-$C$3,$R88,0)</f>
        <v>#N/A</v>
      </c>
      <c r="T88" s="159" t="e">
        <f>_xll.xSPRDOPT($K88,$L88,$J88,$M88,$N88,$O88,$P88,$Q88-$C$3,$R88,1)*I88</f>
        <v>#N/A</v>
      </c>
      <c r="U88" s="160">
        <v>5500</v>
      </c>
      <c r="V88" s="159" t="e">
        <f>_xll.xSPRDOPT($K88,$L88,$J88,$M88,$N88,$O88,$P88,$Q88-$C$3,$R88,2)*I88</f>
        <v>#N/A</v>
      </c>
      <c r="W88" s="159" t="e">
        <f t="shared" si="32"/>
        <v>#N/A</v>
      </c>
      <c r="X88" s="51" t="str">
        <f t="shared" si="33"/>
        <v>36678IF-ELPO/SJ</v>
      </c>
      <c r="Y88" s="418">
        <f t="shared" si="34"/>
        <v>5</v>
      </c>
      <c r="Z88" s="51"/>
      <c r="AA88" s="51"/>
      <c r="AB88" s="141">
        <f t="shared" si="38"/>
        <v>36678</v>
      </c>
      <c r="AC88" s="234" t="e">
        <f>_xll.xSPRDOPT(HLOOKUP($D$3,GDPRICES,VLOOKUP(Q88,GDmove_down,2,FALSE),FALSE),HLOOKUP($E$3,GDPRICES,VLOOKUP(Q88,GDmove_down,2,FALSE),FALSE),J88,VLOOKUP(H88,NGPREVPRICES,4,FALSE),HLOOKUP($H$3,GDPrevVols,VLOOKUP(Q88,GDmove_down2,2,FALSE),FALSE),HLOOKUP($H$3,GDPrevVols,VLOOKUP(Q88,GDmove_down2,2,FALSE),FALSE),HLOOKUP(E88,GDcorr,VLOOKUP(H88,CorMove,2,FALSE),FALSE),Q88-$AC$3,R88,$AC$5)*I88-AI88</f>
        <v>#N/A</v>
      </c>
      <c r="AD88" s="234" t="e">
        <f>_xll.xSPRDOPT(HLOOKUP($D$3,GDPrev,VLOOKUP(Q88,GDmove_down,2,FALSE),FALSE),HLOOKUP($E$3,GDPrev,VLOOKUP(Q88,GDmove_down,2,FALSE),FALSE),AJ88,VLOOKUP(H88,NGPrices,4,FALSE),HLOOKUP($H$3,GDPrevVols,VLOOKUP(Q88,GDmove_down2,2,FALSE),FALSE),HLOOKUP($H$3,GDPrevVols,VLOOKUP(Q88,GDmove_down2,2,FALSE),FALSE),HLOOKUP(E88,GDcorr,VLOOKUP(H88,CorMove,2,FALSE),FALSE),Q88-$AC$3,R88,$AI$5)*I88-AI88</f>
        <v>#N/A</v>
      </c>
      <c r="AE88" s="439" t="e">
        <f t="shared" si="39"/>
        <v>#N/A</v>
      </c>
      <c r="AF88" s="234" t="e">
        <f>_xll.xSPRDOPT(HLOOKUP($D$3,GDPrev,VLOOKUP(Q88,GDmove_down,2,FALSE),FALSE),HLOOKUP($E$3,GDPrev,VLOOKUP(Q88,GDmove_down,2,FALSE),FALSE),AJ88,VLOOKUP(H88,NGPREVPRICES,4,FALSE),HLOOKUP($H$3,GDVol,VLOOKUP(H88,move_down,2,FALSE),FALSE),HLOOKUP($H$3,GDVol,VLOOKUP(H88,move_down,2,FALSE),FALSE),HLOOKUP(E88,GDcorr,VLOOKUP(H88,CorMove,2,FALSE),FALSE),Q88-$AC$3,R88,$AI$5)*I88-AI88</f>
        <v>#N/A</v>
      </c>
      <c r="AG88" s="234" t="e">
        <f>_xll.xSPRDOPT(HLOOKUP($D$3,GDPrev,VLOOKUP(Q88,GDmove_down,2,FALSE),FALSE),HLOOKUP($E$3,GDPrev,VLOOKUP(Q88,GDmove_down,2,FALSE),FALSE),AJ88,VLOOKUP(H88,NGPREVPRICES,4,FALSE),HLOOKUP($H$3,GDPrevVols,VLOOKUP(Q88,GDmove_down2,2,FALSE),FALSE),HLOOKUP($H$3,GDPrevVols,VLOOKUP(Q88,GDmove_down2,2,FALSE),FALSE),HLOOKUP(E88,GDcorr,VLOOKUP(H88,CorMove,2,FALSE),FALSE),Q88-$C$3,R88,$AI$5)*I88-AI88</f>
        <v>#N/A</v>
      </c>
      <c r="AH88" s="234" t="e">
        <f t="shared" si="40"/>
        <v>#N/A</v>
      </c>
      <c r="AI88" s="234" t="e">
        <f>_xll.xSPRDOPT(HLOOKUP($D$3,GDPrev,VLOOKUP(Q88,GDmove_down,2,FALSE),FALSE),HLOOKUP($E$3,GDPrev,VLOOKUP(Q88,GDmove_down,2,FALSE),FALSE),AJ88,VLOOKUP(H88,NGPREVPRICES,4,FALSE),HLOOKUP($H$3,GDPrevVols,VLOOKUP(Q88,GDmove_down2,2,FALSE),FALSE),HLOOKUP($H$3,GDPrevVols,VLOOKUP(Q88,GDmove_down2,2,FALSE),FALSE),HLOOKUP(E88,GDcorr,VLOOKUP(H88,CorMove,2,FALSE),FALSE),Q88-$AC$3,R88,$AI$5)*I88</f>
        <v>#N/A</v>
      </c>
      <c r="AJ88" s="235" t="e">
        <f t="shared" si="41"/>
        <v>#N/A</v>
      </c>
      <c r="AK88" s="234"/>
      <c r="AL88" t="str">
        <f t="shared" si="42"/>
        <v>36678Curve Shift/Gamma</v>
      </c>
      <c r="AM88" t="str">
        <f t="shared" si="43"/>
        <v>36678Rho</v>
      </c>
      <c r="AN88" t="str">
        <f t="shared" si="44"/>
        <v>36678Drift</v>
      </c>
      <c r="AO88" t="str">
        <f t="shared" si="45"/>
        <v>36678Vega</v>
      </c>
      <c r="AP88" t="str">
        <f t="shared" si="46"/>
        <v>36678Theta</v>
      </c>
      <c r="AZ88" s="41">
        <f t="shared" si="47"/>
        <v>38626</v>
      </c>
      <c r="BA88" s="44"/>
      <c r="BG88" s="441">
        <v>38961</v>
      </c>
      <c r="BH88">
        <v>0.98499999999999999</v>
      </c>
      <c r="BJ88" s="441">
        <v>38961</v>
      </c>
      <c r="BK88">
        <v>85</v>
      </c>
    </row>
    <row r="89" spans="1:63" ht="12" customHeight="1" x14ac:dyDescent="0.25">
      <c r="A89" s="384" t="s">
        <v>279</v>
      </c>
      <c r="B89" s="155" t="s">
        <v>250</v>
      </c>
      <c r="C89" s="155" t="s">
        <v>389</v>
      </c>
      <c r="D89" s="155" t="s">
        <v>190</v>
      </c>
      <c r="E89" s="4" t="s">
        <v>237</v>
      </c>
      <c r="F89" s="155" t="s">
        <v>20</v>
      </c>
      <c r="G89" s="155" t="s">
        <v>21</v>
      </c>
      <c r="H89" s="354">
        <v>36678</v>
      </c>
      <c r="I89" s="156">
        <v>50000</v>
      </c>
      <c r="J89" s="7">
        <v>0.46</v>
      </c>
      <c r="K89" s="53">
        <f t="shared" si="35"/>
        <v>4.74</v>
      </c>
      <c r="L89" s="53">
        <f t="shared" si="36"/>
        <v>3.3650000000000002</v>
      </c>
      <c r="M89" s="157">
        <v>1</v>
      </c>
      <c r="N89" s="4">
        <v>0.51500000000000001</v>
      </c>
      <c r="O89" s="4">
        <v>0.51500000000000001</v>
      </c>
      <c r="P89" s="9" t="e">
        <f t="shared" si="37"/>
        <v>#N/A</v>
      </c>
      <c r="Q89" s="5">
        <v>36689</v>
      </c>
      <c r="R89" s="4">
        <f t="shared" si="31"/>
        <v>1</v>
      </c>
      <c r="S89" s="158" t="e">
        <f>_xll.xSPRDOPT($K89,$L89,$J89,$M89,$N89,$O89,$P89,$Q89-$C$3,$R89,0)</f>
        <v>#N/A</v>
      </c>
      <c r="T89" s="159" t="e">
        <f>_xll.xSPRDOPT($K89,$L89,$J89,$M89,$N89,$O89,$P89,$Q89-$C$3,$R89,1)*I89</f>
        <v>#N/A</v>
      </c>
      <c r="U89" s="160">
        <v>5500</v>
      </c>
      <c r="V89" s="159" t="e">
        <f>_xll.xSPRDOPT($K89,$L89,$J89,$M89,$N89,$O89,$P89,$Q89-$C$3,$R89,2)*I89</f>
        <v>#N/A</v>
      </c>
      <c r="W89" s="159" t="e">
        <f t="shared" si="32"/>
        <v>#N/A</v>
      </c>
      <c r="X89" s="51" t="str">
        <f t="shared" si="33"/>
        <v>36678IF-ELPO/SJ</v>
      </c>
      <c r="Y89" s="418">
        <f t="shared" si="34"/>
        <v>5</v>
      </c>
      <c r="AA89" s="51"/>
      <c r="AB89" s="141">
        <f t="shared" si="38"/>
        <v>36678</v>
      </c>
      <c r="AC89" s="234" t="e">
        <f>_xll.xSPRDOPT(HLOOKUP($D$3,GDPRICES,VLOOKUP(Q89,GDmove_down,2,FALSE),FALSE),HLOOKUP($E$3,GDPRICES,VLOOKUP(Q89,GDmove_down,2,FALSE),FALSE),J89,VLOOKUP(H89,NGPREVPRICES,4,FALSE),HLOOKUP($H$3,GDPrevVols,VLOOKUP(Q89,GDmove_down2,2,FALSE),FALSE),HLOOKUP($H$3,GDPrevVols,VLOOKUP(Q89,GDmove_down2,2,FALSE),FALSE),HLOOKUP(E89,GDcorr,VLOOKUP(H89,CorMove,2,FALSE),FALSE),Q89-$AC$3,R89,$AC$5)*I89-AI89</f>
        <v>#N/A</v>
      </c>
      <c r="AD89" s="234" t="e">
        <f>_xll.xSPRDOPT(HLOOKUP($D$3,GDPrev,VLOOKUP(Q89,GDmove_down,2,FALSE),FALSE),HLOOKUP($E$3,GDPrev,VLOOKUP(Q89,GDmove_down,2,FALSE),FALSE),AJ89,VLOOKUP(H89,NGPrices,4,FALSE),HLOOKUP($H$3,GDPrevVols,VLOOKUP(Q89,GDmove_down2,2,FALSE),FALSE),HLOOKUP($H$3,GDPrevVols,VLOOKUP(Q89,GDmove_down2,2,FALSE),FALSE),HLOOKUP(E89,GDcorr,VLOOKUP(H89,CorMove,2,FALSE),FALSE),Q89-$AC$3,R89,$AI$5)*I89-AI89</f>
        <v>#N/A</v>
      </c>
      <c r="AE89" s="439" t="e">
        <f t="shared" si="39"/>
        <v>#N/A</v>
      </c>
      <c r="AF89" s="234" t="e">
        <f>_xll.xSPRDOPT(HLOOKUP($D$3,GDPrev,VLOOKUP(Q89,GDmove_down,2,FALSE),FALSE),HLOOKUP($E$3,GDPrev,VLOOKUP(Q89,GDmove_down,2,FALSE),FALSE),AJ89,VLOOKUP(H89,NGPREVPRICES,4,FALSE),HLOOKUP($H$3,GDVol,VLOOKUP(H89,move_down,2,FALSE),FALSE),HLOOKUP($H$3,GDVol,VLOOKUP(H89,move_down,2,FALSE),FALSE),HLOOKUP(E89,GDcorr,VLOOKUP(H89,CorMove,2,FALSE),FALSE),Q89-$AC$3,R89,$AI$5)*I89-AI89</f>
        <v>#N/A</v>
      </c>
      <c r="AG89" s="234" t="e">
        <f>_xll.xSPRDOPT(HLOOKUP($D$3,GDPrev,VLOOKUP(Q89,GDmove_down,2,FALSE),FALSE),HLOOKUP($E$3,GDPrev,VLOOKUP(Q89,GDmove_down,2,FALSE),FALSE),AJ89,VLOOKUP(H89,NGPREVPRICES,4,FALSE),HLOOKUP($H$3,GDPrevVols,VLOOKUP(Q89,GDmove_down2,2,FALSE),FALSE),HLOOKUP($H$3,GDPrevVols,VLOOKUP(Q89,GDmove_down2,2,FALSE),FALSE),HLOOKUP(E89,GDcorr,VLOOKUP(H89,CorMove,2,FALSE),FALSE),Q89-$C$3,R89,$AI$5)*I89-AI89</f>
        <v>#N/A</v>
      </c>
      <c r="AH89" s="234" t="e">
        <f t="shared" si="40"/>
        <v>#N/A</v>
      </c>
      <c r="AI89" s="234" t="e">
        <f>_xll.xSPRDOPT(HLOOKUP($D$3,GDPrev,VLOOKUP(Q89,GDmove_down,2,FALSE),FALSE),HLOOKUP($E$3,GDPrev,VLOOKUP(Q89,GDmove_down,2,FALSE),FALSE),AJ89,VLOOKUP(H89,NGPREVPRICES,4,FALSE),HLOOKUP($H$3,GDPrevVols,VLOOKUP(Q89,GDmove_down2,2,FALSE),FALSE),HLOOKUP($H$3,GDPrevVols,VLOOKUP(Q89,GDmove_down2,2,FALSE),FALSE),HLOOKUP(E89,GDcorr,VLOOKUP(H89,CorMove,2,FALSE),FALSE),Q89-$AC$3,R89,$AI$5)*I89</f>
        <v>#N/A</v>
      </c>
      <c r="AJ89" s="235" t="e">
        <f t="shared" si="41"/>
        <v>#N/A</v>
      </c>
      <c r="AK89" s="234"/>
      <c r="AL89" t="str">
        <f t="shared" si="42"/>
        <v>36678Curve Shift/Gamma</v>
      </c>
      <c r="AM89" t="str">
        <f t="shared" si="43"/>
        <v>36678Rho</v>
      </c>
      <c r="AN89" t="str">
        <f t="shared" si="44"/>
        <v>36678Drift</v>
      </c>
      <c r="AO89" t="str">
        <f t="shared" si="45"/>
        <v>36678Vega</v>
      </c>
      <c r="AP89" t="str">
        <f t="shared" si="46"/>
        <v>36678Theta</v>
      </c>
      <c r="AZ89" s="41">
        <f t="shared" si="47"/>
        <v>38657</v>
      </c>
      <c r="BA89" s="44"/>
      <c r="BG89" s="441">
        <v>38991</v>
      </c>
      <c r="BH89">
        <v>0.98499999999999999</v>
      </c>
      <c r="BJ89" s="441">
        <v>38991</v>
      </c>
      <c r="BK89">
        <v>86</v>
      </c>
    </row>
    <row r="90" spans="1:63" ht="12" customHeight="1" x14ac:dyDescent="0.25">
      <c r="A90" s="384" t="s">
        <v>279</v>
      </c>
      <c r="B90" s="155" t="s">
        <v>250</v>
      </c>
      <c r="C90" s="155" t="s">
        <v>398</v>
      </c>
      <c r="D90" s="155" t="s">
        <v>190</v>
      </c>
      <c r="E90" s="4" t="s">
        <v>237</v>
      </c>
      <c r="F90" s="155" t="s">
        <v>20</v>
      </c>
      <c r="G90" s="155" t="s">
        <v>21</v>
      </c>
      <c r="H90" s="354">
        <v>36678</v>
      </c>
      <c r="I90" s="156">
        <v>-10000</v>
      </c>
      <c r="J90" s="7">
        <v>0.46</v>
      </c>
      <c r="K90" s="53">
        <f t="shared" si="35"/>
        <v>4.74</v>
      </c>
      <c r="L90" s="53">
        <f t="shared" si="36"/>
        <v>3.3650000000000002</v>
      </c>
      <c r="M90" s="157">
        <v>1</v>
      </c>
      <c r="N90" s="4">
        <v>0.51500000000000001</v>
      </c>
      <c r="O90" s="4">
        <v>0.51500000000000001</v>
      </c>
      <c r="P90" s="9" t="e">
        <f t="shared" si="37"/>
        <v>#N/A</v>
      </c>
      <c r="Q90" s="5">
        <v>36689</v>
      </c>
      <c r="R90" s="4">
        <f t="shared" si="31"/>
        <v>1</v>
      </c>
      <c r="S90" s="158" t="e">
        <f>_xll.xSPRDOPT($K90,$L90,$J90,$M90,$N90,$O90,$P90,$Q90-$C$3,$R90,0)</f>
        <v>#N/A</v>
      </c>
      <c r="T90" s="159" t="e">
        <f>_xll.xSPRDOPT($K90,$L90,$J90,$M90,$N90,$O90,$P90,$Q90-$C$3,$R90,1)*I90</f>
        <v>#N/A</v>
      </c>
      <c r="U90" s="160">
        <v>-1100</v>
      </c>
      <c r="V90" s="159" t="e">
        <f>_xll.xSPRDOPT($K90,$L90,$J90,$M90,$N90,$O90,$P90,$Q90-$C$3,$R90,2)*I90</f>
        <v>#N/A</v>
      </c>
      <c r="W90" s="159" t="e">
        <f t="shared" si="32"/>
        <v>#N/A</v>
      </c>
      <c r="X90" s="51" t="str">
        <f t="shared" si="33"/>
        <v>36678IF-ELPO/SJ</v>
      </c>
      <c r="Y90" s="418">
        <f t="shared" si="34"/>
        <v>-1</v>
      </c>
      <c r="AA90" s="51"/>
      <c r="AB90" s="141">
        <f t="shared" si="38"/>
        <v>36678</v>
      </c>
      <c r="AC90" s="234" t="e">
        <f>_xll.xSPRDOPT(HLOOKUP($D$3,GDPRICES,VLOOKUP(Q90,GDmove_down,2,FALSE),FALSE),HLOOKUP($E$3,GDPRICES,VLOOKUP(Q90,GDmove_down,2,FALSE),FALSE),J90,VLOOKUP(H90,NGPREVPRICES,4,FALSE),HLOOKUP($H$3,GDPrevVols,VLOOKUP(Q90,GDmove_down2,2,FALSE),FALSE),HLOOKUP($H$3,GDPrevVols,VLOOKUP(Q90,GDmove_down2,2,FALSE),FALSE),HLOOKUP(E90,GDcorr,VLOOKUP(H90,CorMove,2,FALSE),FALSE),Q90-$AC$3,R90,$AC$5)*I90-AI90</f>
        <v>#N/A</v>
      </c>
      <c r="AD90" s="234" t="e">
        <f>_xll.xSPRDOPT(HLOOKUP($D$3,GDPrev,VLOOKUP(Q90,GDmove_down,2,FALSE),FALSE),HLOOKUP($E$3,GDPrev,VLOOKUP(Q90,GDmove_down,2,FALSE),FALSE),AJ90,VLOOKUP(H90,NGPrices,4,FALSE),HLOOKUP($H$3,GDPrevVols,VLOOKUP(Q90,GDmove_down2,2,FALSE),FALSE),HLOOKUP($H$3,GDPrevVols,VLOOKUP(Q90,GDmove_down2,2,FALSE),FALSE),HLOOKUP(E90,GDcorr,VLOOKUP(H90,CorMove,2,FALSE),FALSE),Q90-$AC$3,R90,$AI$5)*I90-AI90</f>
        <v>#N/A</v>
      </c>
      <c r="AE90" s="439" t="e">
        <f t="shared" si="39"/>
        <v>#N/A</v>
      </c>
      <c r="AF90" s="234" t="e">
        <f>_xll.xSPRDOPT(HLOOKUP($D$3,GDPrev,VLOOKUP(Q90,GDmove_down,2,FALSE),FALSE),HLOOKUP($E$3,GDPrev,VLOOKUP(Q90,GDmove_down,2,FALSE),FALSE),AJ90,VLOOKUP(H90,NGPREVPRICES,4,FALSE),HLOOKUP($H$3,GDVol,VLOOKUP(H90,move_down,2,FALSE),FALSE),HLOOKUP($H$3,GDVol,VLOOKUP(H90,move_down,2,FALSE),FALSE),HLOOKUP(E90,GDcorr,VLOOKUP(H90,CorMove,2,FALSE),FALSE),Q90-$AC$3,R90,$AI$5)*I90-AI90</f>
        <v>#N/A</v>
      </c>
      <c r="AG90" s="234" t="e">
        <f>_xll.xSPRDOPT(HLOOKUP($D$3,GDPrev,VLOOKUP(Q90,GDmove_down,2,FALSE),FALSE),HLOOKUP($E$3,GDPrev,VLOOKUP(Q90,GDmove_down,2,FALSE),FALSE),AJ90,VLOOKUP(H90,NGPREVPRICES,4,FALSE),HLOOKUP($H$3,GDPrevVols,VLOOKUP(Q90,GDmove_down2,2,FALSE),FALSE),HLOOKUP($H$3,GDPrevVols,VLOOKUP(Q90,GDmove_down2,2,FALSE),FALSE),HLOOKUP(E90,GDcorr,VLOOKUP(H90,CorMove,2,FALSE),FALSE),Q90-$C$3,R90,$AI$5)*I90-AI90</f>
        <v>#N/A</v>
      </c>
      <c r="AH90" s="234" t="e">
        <f t="shared" si="40"/>
        <v>#N/A</v>
      </c>
      <c r="AI90" s="234" t="e">
        <f>_xll.xSPRDOPT(HLOOKUP($D$3,GDPrev,VLOOKUP(Q90,GDmove_down,2,FALSE),FALSE),HLOOKUP($E$3,GDPrev,VLOOKUP(Q90,GDmove_down,2,FALSE),FALSE),AJ90,VLOOKUP(H90,NGPREVPRICES,4,FALSE),HLOOKUP($H$3,GDPrevVols,VLOOKUP(Q90,GDmove_down2,2,FALSE),FALSE),HLOOKUP($H$3,GDPrevVols,VLOOKUP(Q90,GDmove_down2,2,FALSE),FALSE),HLOOKUP(E90,GDcorr,VLOOKUP(H90,CorMove,2,FALSE),FALSE),Q90-$AC$3,R90,$AI$5)*I90</f>
        <v>#N/A</v>
      </c>
      <c r="AJ90" s="235" t="e">
        <f t="shared" si="41"/>
        <v>#N/A</v>
      </c>
      <c r="AK90" s="234"/>
      <c r="AL90" t="str">
        <f t="shared" si="42"/>
        <v>36678Curve Shift/Gamma</v>
      </c>
      <c r="AM90" t="str">
        <f t="shared" si="43"/>
        <v>36678Rho</v>
      </c>
      <c r="AN90" t="str">
        <f t="shared" si="44"/>
        <v>36678Drift</v>
      </c>
      <c r="AO90" t="str">
        <f t="shared" si="45"/>
        <v>36678Vega</v>
      </c>
      <c r="AP90" t="str">
        <f t="shared" si="46"/>
        <v>36678Theta</v>
      </c>
      <c r="AZ90" s="41">
        <f t="shared" si="47"/>
        <v>38687</v>
      </c>
      <c r="BA90" s="44"/>
      <c r="BG90" s="441">
        <v>39022</v>
      </c>
      <c r="BH90">
        <v>0.97048500000000038</v>
      </c>
      <c r="BJ90" s="441">
        <v>39022</v>
      </c>
      <c r="BK90">
        <v>87</v>
      </c>
    </row>
    <row r="91" spans="1:63" ht="12" customHeight="1" x14ac:dyDescent="0.25">
      <c r="A91" s="382" t="s">
        <v>279</v>
      </c>
      <c r="B91" s="155" t="s">
        <v>250</v>
      </c>
      <c r="C91" s="155" t="s">
        <v>360</v>
      </c>
      <c r="D91" s="155" t="s">
        <v>190</v>
      </c>
      <c r="E91" s="4" t="s">
        <v>237</v>
      </c>
      <c r="F91" s="155" t="s">
        <v>20</v>
      </c>
      <c r="G91" s="155" t="s">
        <v>21</v>
      </c>
      <c r="H91" s="354">
        <v>36678</v>
      </c>
      <c r="I91" s="156">
        <v>-50000</v>
      </c>
      <c r="J91" s="7">
        <v>0.46</v>
      </c>
      <c r="K91" s="53">
        <f t="shared" si="35"/>
        <v>4.74</v>
      </c>
      <c r="L91" s="53">
        <f t="shared" si="36"/>
        <v>3.3650000000000002</v>
      </c>
      <c r="M91" s="157">
        <v>1</v>
      </c>
      <c r="N91" s="4">
        <v>0.51500000000000001</v>
      </c>
      <c r="O91" s="4">
        <v>0.51500000000000001</v>
      </c>
      <c r="P91" s="9" t="e">
        <f t="shared" si="37"/>
        <v>#N/A</v>
      </c>
      <c r="Q91" s="5">
        <v>36690</v>
      </c>
      <c r="R91" s="4">
        <f t="shared" si="31"/>
        <v>1</v>
      </c>
      <c r="S91" s="158" t="e">
        <f>_xll.xSPRDOPT($K91,$L91,$J91,$M91,$N91,$O91,$P91,$Q91-$C$3,$R91,0)</f>
        <v>#N/A</v>
      </c>
      <c r="T91" s="159" t="e">
        <f>_xll.xSPRDOPT($K91,$L91,$J91,$M91,$N91,$O91,$P91,$Q91-$C$3,$R91,1)*I91</f>
        <v>#N/A</v>
      </c>
      <c r="U91" s="160">
        <v>-19500</v>
      </c>
      <c r="V91" s="159" t="e">
        <f>_xll.xSPRDOPT($K91,$L91,$J91,$M91,$N91,$O91,$P91,$Q91-$C$3,$R91,2)*I91</f>
        <v>#N/A</v>
      </c>
      <c r="W91" s="159" t="e">
        <f t="shared" si="32"/>
        <v>#N/A</v>
      </c>
      <c r="X91" s="51" t="str">
        <f t="shared" si="33"/>
        <v>36678IF-ELPO/SJ</v>
      </c>
      <c r="Y91" s="418">
        <f t="shared" si="34"/>
        <v>-5</v>
      </c>
      <c r="AA91" s="51"/>
      <c r="AB91" s="141">
        <f t="shared" si="38"/>
        <v>36678</v>
      </c>
      <c r="AC91" s="234" t="e">
        <f>_xll.xSPRDOPT(HLOOKUP($D$3,GDPRICES,VLOOKUP(Q91,GDmove_down,2,FALSE),FALSE),HLOOKUP($E$3,GDPRICES,VLOOKUP(Q91,GDmove_down,2,FALSE),FALSE),J91,VLOOKUP(H91,NGPREVPRICES,4,FALSE),HLOOKUP($H$3,GDPrevVols,VLOOKUP(Q91,GDmove_down2,2,FALSE),FALSE),HLOOKUP($H$3,GDPrevVols,VLOOKUP(Q91,GDmove_down2,2,FALSE),FALSE),HLOOKUP(E91,GDcorr,VLOOKUP(H91,CorMove,2,FALSE),FALSE),Q91-$AC$3,R91,$AC$5)*I91-AI91</f>
        <v>#N/A</v>
      </c>
      <c r="AD91" s="234" t="e">
        <f>_xll.xSPRDOPT(HLOOKUP($D$3,GDPrev,VLOOKUP(Q91,GDmove_down,2,FALSE),FALSE),HLOOKUP($E$3,GDPrev,VLOOKUP(Q91,GDmove_down,2,FALSE),FALSE),AJ91,VLOOKUP(H91,NGPrices,4,FALSE),HLOOKUP($H$3,GDPrevVols,VLOOKUP(Q91,GDmove_down2,2,FALSE),FALSE),HLOOKUP($H$3,GDPrevVols,VLOOKUP(Q91,GDmove_down2,2,FALSE),FALSE),HLOOKUP(E91,GDcorr,VLOOKUP(H91,CorMove,2,FALSE),FALSE),Q91-$AC$3,R91,$AI$5)*I91-AI91</f>
        <v>#N/A</v>
      </c>
      <c r="AE91" s="439" t="e">
        <f t="shared" si="39"/>
        <v>#N/A</v>
      </c>
      <c r="AF91" s="234" t="e">
        <f>_xll.xSPRDOPT(HLOOKUP($D$3,GDPrev,VLOOKUP(Q91,GDmove_down,2,FALSE),FALSE),HLOOKUP($E$3,GDPrev,VLOOKUP(Q91,GDmove_down,2,FALSE),FALSE),AJ91,VLOOKUP(H91,NGPREVPRICES,4,FALSE),HLOOKUP($H$3,GDVol,VLOOKUP(H91,move_down,2,FALSE),FALSE),HLOOKUP($H$3,GDVol,VLOOKUP(H91,move_down,2,FALSE),FALSE),HLOOKUP(E91,GDcorr,VLOOKUP(H91,CorMove,2,FALSE),FALSE),Q91-$AC$3,R91,$AI$5)*I91-AI91</f>
        <v>#N/A</v>
      </c>
      <c r="AG91" s="234" t="e">
        <f>_xll.xSPRDOPT(HLOOKUP($D$3,GDPrev,VLOOKUP(Q91,GDmove_down,2,FALSE),FALSE),HLOOKUP($E$3,GDPrev,VLOOKUP(Q91,GDmove_down,2,FALSE),FALSE),AJ91,VLOOKUP(H91,NGPREVPRICES,4,FALSE),HLOOKUP($H$3,GDPrevVols,VLOOKUP(Q91,GDmove_down2,2,FALSE),FALSE),HLOOKUP($H$3,GDPrevVols,VLOOKUP(Q91,GDmove_down2,2,FALSE),FALSE),HLOOKUP(E91,GDcorr,VLOOKUP(H91,CorMove,2,FALSE),FALSE),Q91-$C$3,R91,$AI$5)*I91-AI91</f>
        <v>#N/A</v>
      </c>
      <c r="AH91" s="234" t="e">
        <f t="shared" si="40"/>
        <v>#N/A</v>
      </c>
      <c r="AI91" s="234" t="e">
        <f>_xll.xSPRDOPT(HLOOKUP($D$3,GDPrev,VLOOKUP(Q91,GDmove_down,2,FALSE),FALSE),HLOOKUP($E$3,GDPrev,VLOOKUP(Q91,GDmove_down,2,FALSE),FALSE),AJ91,VLOOKUP(H91,NGPREVPRICES,4,FALSE),HLOOKUP($H$3,GDPrevVols,VLOOKUP(Q91,GDmove_down2,2,FALSE),FALSE),HLOOKUP($H$3,GDPrevVols,VLOOKUP(Q91,GDmove_down2,2,FALSE),FALSE),HLOOKUP(E91,GDcorr,VLOOKUP(H91,CorMove,2,FALSE),FALSE),Q91-$AC$3,R91,$AI$5)*I91</f>
        <v>#N/A</v>
      </c>
      <c r="AJ91" s="235" t="e">
        <f t="shared" si="41"/>
        <v>#N/A</v>
      </c>
      <c r="AK91" s="234"/>
      <c r="AL91" t="str">
        <f t="shared" si="42"/>
        <v>36678Curve Shift/Gamma</v>
      </c>
      <c r="AM91" t="str">
        <f t="shared" si="43"/>
        <v>36678Rho</v>
      </c>
      <c r="AN91" t="str">
        <f t="shared" si="44"/>
        <v>36678Drift</v>
      </c>
      <c r="AO91" t="str">
        <f t="shared" si="45"/>
        <v>36678Vega</v>
      </c>
      <c r="AP91" t="str">
        <f t="shared" si="46"/>
        <v>36678Theta</v>
      </c>
      <c r="AZ91" s="41">
        <f t="shared" si="47"/>
        <v>38718</v>
      </c>
      <c r="BA91" s="44"/>
      <c r="BG91" s="441">
        <v>39052</v>
      </c>
      <c r="BH91">
        <v>0.97048500000000038</v>
      </c>
      <c r="BJ91" s="441">
        <v>39052</v>
      </c>
      <c r="BK91">
        <v>88</v>
      </c>
    </row>
    <row r="92" spans="1:63" ht="12" customHeight="1" x14ac:dyDescent="0.25">
      <c r="A92" s="382" t="s">
        <v>279</v>
      </c>
      <c r="B92" s="155" t="s">
        <v>250</v>
      </c>
      <c r="C92" s="155" t="s">
        <v>361</v>
      </c>
      <c r="D92" s="155" t="s">
        <v>190</v>
      </c>
      <c r="E92" s="4" t="s">
        <v>237</v>
      </c>
      <c r="F92" s="155" t="s">
        <v>20</v>
      </c>
      <c r="G92" s="155" t="s">
        <v>21</v>
      </c>
      <c r="H92" s="354">
        <v>36678</v>
      </c>
      <c r="I92" s="156">
        <v>10000</v>
      </c>
      <c r="J92" s="7">
        <v>0.46</v>
      </c>
      <c r="K92" s="53">
        <f t="shared" si="35"/>
        <v>4.74</v>
      </c>
      <c r="L92" s="53">
        <f t="shared" si="36"/>
        <v>3.3650000000000002</v>
      </c>
      <c r="M92" s="157">
        <v>1</v>
      </c>
      <c r="N92" s="4">
        <v>0.51500000000000001</v>
      </c>
      <c r="O92" s="4">
        <v>0.51500000000000001</v>
      </c>
      <c r="P92" s="9" t="e">
        <f t="shared" si="37"/>
        <v>#N/A</v>
      </c>
      <c r="Q92" s="5">
        <v>36690</v>
      </c>
      <c r="R92" s="4">
        <f t="shared" si="31"/>
        <v>1</v>
      </c>
      <c r="S92" s="158" t="e">
        <f>_xll.xSPRDOPT($K92,$L92,$J92,$M92,$N92,$O92,$P92,$Q92-$C$3,$R92,0)</f>
        <v>#N/A</v>
      </c>
      <c r="T92" s="159" t="e">
        <f>_xll.xSPRDOPT($K92,$L92,$J92,$M92,$N92,$O92,$P92,$Q92-$C$3,$R92,1)*I92</f>
        <v>#N/A</v>
      </c>
      <c r="U92" s="160">
        <v>3900</v>
      </c>
      <c r="V92" s="159" t="e">
        <f>_xll.xSPRDOPT($K92,$L92,$J92,$M92,$N92,$O92,$P92,$Q92-$C$3,$R92,2)*I92</f>
        <v>#N/A</v>
      </c>
      <c r="W92" s="159" t="e">
        <f t="shared" si="32"/>
        <v>#N/A</v>
      </c>
      <c r="X92" s="51" t="str">
        <f t="shared" si="33"/>
        <v>36678IF-ELPO/SJ</v>
      </c>
      <c r="Y92" s="418">
        <f t="shared" si="34"/>
        <v>1</v>
      </c>
      <c r="AA92" s="51"/>
      <c r="AB92" s="141">
        <f t="shared" si="38"/>
        <v>36678</v>
      </c>
      <c r="AC92" s="234" t="e">
        <f>_xll.xSPRDOPT(HLOOKUP($D$3,GDPRICES,VLOOKUP(Q92,GDmove_down,2,FALSE),FALSE),HLOOKUP($E$3,GDPRICES,VLOOKUP(Q92,GDmove_down,2,FALSE),FALSE),J92,VLOOKUP(H92,NGPREVPRICES,4,FALSE),HLOOKUP($H$3,GDPrevVols,VLOOKUP(Q92,GDmove_down2,2,FALSE),FALSE),HLOOKUP($H$3,GDPrevVols,VLOOKUP(Q92,GDmove_down2,2,FALSE),FALSE),HLOOKUP(E92,GDcorr,VLOOKUP(H92,CorMove,2,FALSE),FALSE),Q92-$AC$3,R92,$AC$5)*I92-AI92</f>
        <v>#N/A</v>
      </c>
      <c r="AD92" s="234" t="e">
        <f>_xll.xSPRDOPT(HLOOKUP($D$3,GDPrev,VLOOKUP(Q92,GDmove_down,2,FALSE),FALSE),HLOOKUP($E$3,GDPrev,VLOOKUP(Q92,GDmove_down,2,FALSE),FALSE),AJ92,VLOOKUP(H92,NGPrices,4,FALSE),HLOOKUP($H$3,GDPrevVols,VLOOKUP(Q92,GDmove_down2,2,FALSE),FALSE),HLOOKUP($H$3,GDPrevVols,VLOOKUP(Q92,GDmove_down2,2,FALSE),FALSE),HLOOKUP(E92,GDcorr,VLOOKUP(H92,CorMove,2,FALSE),FALSE),Q92-$AC$3,R92,$AI$5)*I92-AI92</f>
        <v>#N/A</v>
      </c>
      <c r="AE92" s="439" t="e">
        <f t="shared" si="39"/>
        <v>#N/A</v>
      </c>
      <c r="AF92" s="234" t="e">
        <f>_xll.xSPRDOPT(HLOOKUP($D$3,GDPrev,VLOOKUP(Q92,GDmove_down,2,FALSE),FALSE),HLOOKUP($E$3,GDPrev,VLOOKUP(Q92,GDmove_down,2,FALSE),FALSE),AJ92,VLOOKUP(H92,NGPREVPRICES,4,FALSE),HLOOKUP($H$3,GDVol,VLOOKUP(H92,move_down,2,FALSE),FALSE),HLOOKUP($H$3,GDVol,VLOOKUP(H92,move_down,2,FALSE),FALSE),HLOOKUP(E92,GDcorr,VLOOKUP(H92,CorMove,2,FALSE),FALSE),Q92-$AC$3,R92,$AI$5)*I92-AI92</f>
        <v>#N/A</v>
      </c>
      <c r="AG92" s="234" t="e">
        <f>_xll.xSPRDOPT(HLOOKUP($D$3,GDPrev,VLOOKUP(Q92,GDmove_down,2,FALSE),FALSE),HLOOKUP($E$3,GDPrev,VLOOKUP(Q92,GDmove_down,2,FALSE),FALSE),AJ92,VLOOKUP(H92,NGPREVPRICES,4,FALSE),HLOOKUP($H$3,GDPrevVols,VLOOKUP(Q92,GDmove_down2,2,FALSE),FALSE),HLOOKUP($H$3,GDPrevVols,VLOOKUP(Q92,GDmove_down2,2,FALSE),FALSE),HLOOKUP(E92,GDcorr,VLOOKUP(H92,CorMove,2,FALSE),FALSE),Q92-$C$3,R92,$AI$5)*I92-AI92</f>
        <v>#N/A</v>
      </c>
      <c r="AH92" s="234" t="e">
        <f t="shared" si="40"/>
        <v>#N/A</v>
      </c>
      <c r="AI92" s="234" t="e">
        <f>_xll.xSPRDOPT(HLOOKUP($D$3,GDPrev,VLOOKUP(Q92,GDmove_down,2,FALSE),FALSE),HLOOKUP($E$3,GDPrev,VLOOKUP(Q92,GDmove_down,2,FALSE),FALSE),AJ92,VLOOKUP(H92,NGPREVPRICES,4,FALSE),HLOOKUP($H$3,GDPrevVols,VLOOKUP(Q92,GDmove_down2,2,FALSE),FALSE),HLOOKUP($H$3,GDPrevVols,VLOOKUP(Q92,GDmove_down2,2,FALSE),FALSE),HLOOKUP(E92,GDcorr,VLOOKUP(H92,CorMove,2,FALSE),FALSE),Q92-$AC$3,R92,$AI$5)*I92</f>
        <v>#N/A</v>
      </c>
      <c r="AJ92" s="235" t="e">
        <f t="shared" si="41"/>
        <v>#N/A</v>
      </c>
      <c r="AK92" s="234"/>
      <c r="AL92" t="str">
        <f t="shared" si="42"/>
        <v>36678Curve Shift/Gamma</v>
      </c>
      <c r="AM92" t="str">
        <f t="shared" si="43"/>
        <v>36678Rho</v>
      </c>
      <c r="AN92" t="str">
        <f t="shared" si="44"/>
        <v>36678Drift</v>
      </c>
      <c r="AO92" t="str">
        <f t="shared" si="45"/>
        <v>36678Vega</v>
      </c>
      <c r="AP92" t="str">
        <f t="shared" si="46"/>
        <v>36678Theta</v>
      </c>
      <c r="AZ92" s="41">
        <f t="shared" si="47"/>
        <v>38749</v>
      </c>
      <c r="BA92" s="44"/>
      <c r="BG92" s="441">
        <v>39083</v>
      </c>
      <c r="BH92">
        <v>0.98499999999999999</v>
      </c>
      <c r="BJ92" s="441">
        <v>39083</v>
      </c>
      <c r="BK92">
        <v>89</v>
      </c>
    </row>
    <row r="93" spans="1:63" ht="12" customHeight="1" x14ac:dyDescent="0.25">
      <c r="A93" s="382" t="s">
        <v>279</v>
      </c>
      <c r="B93" s="155" t="s">
        <v>250</v>
      </c>
      <c r="C93" s="155" t="s">
        <v>364</v>
      </c>
      <c r="D93" s="155" t="s">
        <v>190</v>
      </c>
      <c r="E93" s="4" t="s">
        <v>237</v>
      </c>
      <c r="F93" s="155" t="s">
        <v>20</v>
      </c>
      <c r="G93" s="155" t="s">
        <v>21</v>
      </c>
      <c r="H93" s="354">
        <v>36678</v>
      </c>
      <c r="I93" s="156">
        <v>-333333</v>
      </c>
      <c r="J93" s="7">
        <v>0.46</v>
      </c>
      <c r="K93" s="53">
        <f t="shared" si="35"/>
        <v>4.74</v>
      </c>
      <c r="L93" s="53">
        <f t="shared" si="36"/>
        <v>3.3650000000000002</v>
      </c>
      <c r="M93" s="157">
        <v>1</v>
      </c>
      <c r="N93" s="4">
        <v>0.51500000000000001</v>
      </c>
      <c r="O93" s="4">
        <v>0.51500000000000001</v>
      </c>
      <c r="P93" s="9" t="e">
        <f t="shared" si="37"/>
        <v>#N/A</v>
      </c>
      <c r="Q93" s="5">
        <v>36690</v>
      </c>
      <c r="R93" s="4">
        <f t="shared" si="31"/>
        <v>1</v>
      </c>
      <c r="S93" s="158" t="e">
        <f>_xll.xSPRDOPT($K93,$L93,$J93,$M93,$N93,$O93,$P93,$Q93-$C$3,$R93,0)</f>
        <v>#N/A</v>
      </c>
      <c r="T93" s="159" t="e">
        <f>_xll.xSPRDOPT($K93,$L93,$J93,$M93,$N93,$O93,$P93,$Q93-$C$3,$R93,1)*I93</f>
        <v>#N/A</v>
      </c>
      <c r="U93" s="160">
        <v>-129999.87</v>
      </c>
      <c r="V93" s="159" t="e">
        <f>_xll.xSPRDOPT($K93,$L93,$J93,$M93,$N93,$O93,$P93,$Q93-$C$3,$R93,2)*I93</f>
        <v>#N/A</v>
      </c>
      <c r="W93" s="159" t="e">
        <f t="shared" si="32"/>
        <v>#N/A</v>
      </c>
      <c r="X93" s="51" t="str">
        <f t="shared" si="33"/>
        <v>36678IF-ELPO/SJ</v>
      </c>
      <c r="Y93" s="418">
        <f t="shared" si="34"/>
        <v>-33.333300000000001</v>
      </c>
      <c r="Z93" s="51"/>
      <c r="AA93" s="51"/>
      <c r="AB93" s="141">
        <f t="shared" si="38"/>
        <v>36678</v>
      </c>
      <c r="AC93" s="234" t="e">
        <f>_xll.xSPRDOPT(HLOOKUP($D$3,GDPRICES,VLOOKUP(Q93,GDmove_down,2,FALSE),FALSE),HLOOKUP($E$3,GDPRICES,VLOOKUP(Q93,GDmove_down,2,FALSE),FALSE),J93,VLOOKUP(H93,NGPREVPRICES,4,FALSE),HLOOKUP($H$3,GDPrevVols,VLOOKUP(Q93,GDmove_down2,2,FALSE),FALSE),HLOOKUP($H$3,GDPrevVols,VLOOKUP(Q93,GDmove_down2,2,FALSE),FALSE),HLOOKUP(E93,GDcorr,VLOOKUP(H93,CorMove,2,FALSE),FALSE),Q93-$AC$3,R93,$AC$5)*I93-AI93</f>
        <v>#N/A</v>
      </c>
      <c r="AD93" s="234" t="e">
        <f>_xll.xSPRDOPT(HLOOKUP($D$3,GDPrev,VLOOKUP(Q93,GDmove_down,2,FALSE),FALSE),HLOOKUP($E$3,GDPrev,VLOOKUP(Q93,GDmove_down,2,FALSE),FALSE),AJ93,VLOOKUP(H93,NGPrices,4,FALSE),HLOOKUP($H$3,GDPrevVols,VLOOKUP(Q93,GDmove_down2,2,FALSE),FALSE),HLOOKUP($H$3,GDPrevVols,VLOOKUP(Q93,GDmove_down2,2,FALSE),FALSE),HLOOKUP(E93,GDcorr,VLOOKUP(H93,CorMove,2,FALSE),FALSE),Q93-$AC$3,R93,$AI$5)*I93-AI93</f>
        <v>#N/A</v>
      </c>
      <c r="AE93" s="439" t="e">
        <f t="shared" si="39"/>
        <v>#N/A</v>
      </c>
      <c r="AF93" s="234" t="e">
        <f>_xll.xSPRDOPT(HLOOKUP($D$3,GDPrev,VLOOKUP(Q93,GDmove_down,2,FALSE),FALSE),HLOOKUP($E$3,GDPrev,VLOOKUP(Q93,GDmove_down,2,FALSE),FALSE),AJ93,VLOOKUP(H93,NGPREVPRICES,4,FALSE),HLOOKUP($H$3,GDVol,VLOOKUP(H93,move_down,2,FALSE),FALSE),HLOOKUP($H$3,GDVol,VLOOKUP(H93,move_down,2,FALSE),FALSE),HLOOKUP(E93,GDcorr,VLOOKUP(H93,CorMove,2,FALSE),FALSE),Q93-$AC$3,R93,$AI$5)*I93-AI93</f>
        <v>#N/A</v>
      </c>
      <c r="AG93" s="234" t="e">
        <f>_xll.xSPRDOPT(HLOOKUP($D$3,GDPrev,VLOOKUP(Q93,GDmove_down,2,FALSE),FALSE),HLOOKUP($E$3,GDPrev,VLOOKUP(Q93,GDmove_down,2,FALSE),FALSE),AJ93,VLOOKUP(H93,NGPREVPRICES,4,FALSE),HLOOKUP($H$3,GDPrevVols,VLOOKUP(Q93,GDmove_down2,2,FALSE),FALSE),HLOOKUP($H$3,GDPrevVols,VLOOKUP(Q93,GDmove_down2,2,FALSE),FALSE),HLOOKUP(E93,GDcorr,VLOOKUP(H93,CorMove,2,FALSE),FALSE),Q93-$C$3,R93,$AI$5)*I93-AI93</f>
        <v>#N/A</v>
      </c>
      <c r="AH93" s="234" t="e">
        <f t="shared" si="40"/>
        <v>#N/A</v>
      </c>
      <c r="AI93" s="234" t="e">
        <f>_xll.xSPRDOPT(HLOOKUP($D$3,GDPrev,VLOOKUP(Q93,GDmove_down,2,FALSE),FALSE),HLOOKUP($E$3,GDPrev,VLOOKUP(Q93,GDmove_down,2,FALSE),FALSE),AJ93,VLOOKUP(H93,NGPREVPRICES,4,FALSE),HLOOKUP($H$3,GDPrevVols,VLOOKUP(Q93,GDmove_down2,2,FALSE),FALSE),HLOOKUP($H$3,GDPrevVols,VLOOKUP(Q93,GDmove_down2,2,FALSE),FALSE),HLOOKUP(E93,GDcorr,VLOOKUP(H93,CorMove,2,FALSE),FALSE),Q93-$AC$3,R93,$AI$5)*I93</f>
        <v>#N/A</v>
      </c>
      <c r="AJ93" s="235" t="e">
        <f t="shared" si="41"/>
        <v>#N/A</v>
      </c>
      <c r="AK93" s="234"/>
      <c r="AL93" t="str">
        <f t="shared" si="42"/>
        <v>36678Curve Shift/Gamma</v>
      </c>
      <c r="AM93" t="str">
        <f t="shared" si="43"/>
        <v>36678Rho</v>
      </c>
      <c r="AN93" t="str">
        <f t="shared" si="44"/>
        <v>36678Drift</v>
      </c>
      <c r="AO93" t="str">
        <f t="shared" si="45"/>
        <v>36678Vega</v>
      </c>
      <c r="AP93" t="str">
        <f t="shared" si="46"/>
        <v>36678Theta</v>
      </c>
      <c r="AZ93" s="41">
        <f t="shared" si="47"/>
        <v>38777</v>
      </c>
      <c r="BA93" s="44"/>
      <c r="BG93" s="441">
        <v>39114</v>
      </c>
      <c r="BH93">
        <v>0.98499999999999999</v>
      </c>
      <c r="BJ93" s="441">
        <v>39114</v>
      </c>
      <c r="BK93">
        <v>90</v>
      </c>
    </row>
    <row r="94" spans="1:63" ht="12" customHeight="1" x14ac:dyDescent="0.25">
      <c r="A94" s="384" t="s">
        <v>268</v>
      </c>
      <c r="B94" s="155" t="s">
        <v>250</v>
      </c>
      <c r="C94" s="155" t="s">
        <v>387</v>
      </c>
      <c r="D94" s="155" t="s">
        <v>190</v>
      </c>
      <c r="E94" s="4" t="s">
        <v>237</v>
      </c>
      <c r="F94" s="155" t="s">
        <v>20</v>
      </c>
      <c r="G94" s="155" t="s">
        <v>21</v>
      </c>
      <c r="H94" s="354">
        <v>36678</v>
      </c>
      <c r="I94" s="156">
        <v>-10000</v>
      </c>
      <c r="J94" s="7">
        <v>0.46</v>
      </c>
      <c r="K94" s="53">
        <f t="shared" si="35"/>
        <v>4.74</v>
      </c>
      <c r="L94" s="53">
        <f t="shared" si="36"/>
        <v>3.3650000000000002</v>
      </c>
      <c r="M94" s="157">
        <v>1</v>
      </c>
      <c r="N94" s="4">
        <v>0.51500000000000001</v>
      </c>
      <c r="O94" s="4">
        <v>0.51500000000000001</v>
      </c>
      <c r="P94" s="9" t="e">
        <f t="shared" si="37"/>
        <v>#N/A</v>
      </c>
      <c r="Q94" s="5">
        <v>36690</v>
      </c>
      <c r="R94" s="4">
        <f t="shared" si="31"/>
        <v>1</v>
      </c>
      <c r="S94" s="158" t="e">
        <f>_xll.xSPRDOPT($K94,$L94,$J94,$M94,$N94,$O94,$P94,$Q94-$C$3,$R94,0)</f>
        <v>#N/A</v>
      </c>
      <c r="T94" s="159" t="e">
        <f>_xll.xSPRDOPT($K94,$L94,$J94,$M94,$N94,$O94,$P94,$Q94-$C$3,$R94,1)*I94</f>
        <v>#N/A</v>
      </c>
      <c r="U94" s="160">
        <v>-3900</v>
      </c>
      <c r="V94" s="159" t="e">
        <f>_xll.xSPRDOPT($K94,$L94,$J94,$M94,$N94,$O94,$P94,$Q94-$C$3,$R94,2)*I94</f>
        <v>#N/A</v>
      </c>
      <c r="W94" s="159" t="e">
        <f t="shared" si="32"/>
        <v>#N/A</v>
      </c>
      <c r="X94" s="51" t="str">
        <f t="shared" si="33"/>
        <v>36678IF-ELPO/SJ</v>
      </c>
      <c r="Y94" s="418">
        <f t="shared" si="34"/>
        <v>-1</v>
      </c>
      <c r="Z94" s="51"/>
      <c r="AA94" s="51"/>
      <c r="AB94" s="141">
        <f t="shared" si="38"/>
        <v>36678</v>
      </c>
      <c r="AC94" s="234" t="e">
        <f>_xll.xSPRDOPT(HLOOKUP($D$3,GDPRICES,VLOOKUP(Q94,GDmove_down,2,FALSE),FALSE),HLOOKUP($E$3,GDPRICES,VLOOKUP(Q94,GDmove_down,2,FALSE),FALSE),J94,VLOOKUP(H94,NGPREVPRICES,4,FALSE),HLOOKUP($H$3,GDPrevVols,VLOOKUP(Q94,GDmove_down2,2,FALSE),FALSE),HLOOKUP($H$3,GDPrevVols,VLOOKUP(Q94,GDmove_down2,2,FALSE),FALSE),HLOOKUP(E94,GDcorr,VLOOKUP(H94,CorMove,2,FALSE),FALSE),Q94-$AC$3,R94,$AC$5)*I94-AI94</f>
        <v>#N/A</v>
      </c>
      <c r="AD94" s="234" t="e">
        <f>_xll.xSPRDOPT(HLOOKUP($D$3,GDPrev,VLOOKUP(Q94,GDmove_down,2,FALSE),FALSE),HLOOKUP($E$3,GDPrev,VLOOKUP(Q94,GDmove_down,2,FALSE),FALSE),AJ94,VLOOKUP(H94,NGPrices,4,FALSE),HLOOKUP($H$3,GDPrevVols,VLOOKUP(Q94,GDmove_down2,2,FALSE),FALSE),HLOOKUP($H$3,GDPrevVols,VLOOKUP(Q94,GDmove_down2,2,FALSE),FALSE),HLOOKUP(E94,GDcorr,VLOOKUP(H94,CorMove,2,FALSE),FALSE),Q94-$AC$3,R94,$AI$5)*I94-AI94</f>
        <v>#N/A</v>
      </c>
      <c r="AE94" s="439" t="e">
        <f t="shared" si="39"/>
        <v>#N/A</v>
      </c>
      <c r="AF94" s="234" t="e">
        <f>_xll.xSPRDOPT(HLOOKUP($D$3,GDPrev,VLOOKUP(Q94,GDmove_down,2,FALSE),FALSE),HLOOKUP($E$3,GDPrev,VLOOKUP(Q94,GDmove_down,2,FALSE),FALSE),AJ94,VLOOKUP(H94,NGPREVPRICES,4,FALSE),HLOOKUP($H$3,GDVol,VLOOKUP(H94,move_down,2,FALSE),FALSE),HLOOKUP($H$3,GDVol,VLOOKUP(H94,move_down,2,FALSE),FALSE),HLOOKUP(E94,GDcorr,VLOOKUP(H94,CorMove,2,FALSE),FALSE),Q94-$AC$3,R94,$AI$5)*I94-AI94</f>
        <v>#N/A</v>
      </c>
      <c r="AG94" s="234" t="e">
        <f>_xll.xSPRDOPT(HLOOKUP($D$3,GDPrev,VLOOKUP(Q94,GDmove_down,2,FALSE),FALSE),HLOOKUP($E$3,GDPrev,VLOOKUP(Q94,GDmove_down,2,FALSE),FALSE),AJ94,VLOOKUP(H94,NGPREVPRICES,4,FALSE),HLOOKUP($H$3,GDPrevVols,VLOOKUP(Q94,GDmove_down2,2,FALSE),FALSE),HLOOKUP($H$3,GDPrevVols,VLOOKUP(Q94,GDmove_down2,2,FALSE),FALSE),HLOOKUP(E94,GDcorr,VLOOKUP(H94,CorMove,2,FALSE),FALSE),Q94-$C$3,R94,$AI$5)*I94-AI94</f>
        <v>#N/A</v>
      </c>
      <c r="AH94" s="234" t="e">
        <f t="shared" si="40"/>
        <v>#N/A</v>
      </c>
      <c r="AI94" s="234" t="e">
        <f>_xll.xSPRDOPT(HLOOKUP($D$3,GDPrev,VLOOKUP(Q94,GDmove_down,2,FALSE),FALSE),HLOOKUP($E$3,GDPrev,VLOOKUP(Q94,GDmove_down,2,FALSE),FALSE),AJ94,VLOOKUP(H94,NGPREVPRICES,4,FALSE),HLOOKUP($H$3,GDPrevVols,VLOOKUP(Q94,GDmove_down2,2,FALSE),FALSE),HLOOKUP($H$3,GDPrevVols,VLOOKUP(Q94,GDmove_down2,2,FALSE),FALSE),HLOOKUP(E94,GDcorr,VLOOKUP(H94,CorMove,2,FALSE),FALSE),Q94-$AC$3,R94,$AI$5)*I94</f>
        <v>#N/A</v>
      </c>
      <c r="AJ94" s="235" t="e">
        <f t="shared" si="41"/>
        <v>#N/A</v>
      </c>
      <c r="AK94" s="234"/>
      <c r="AL94" t="str">
        <f t="shared" si="42"/>
        <v>36678Curve Shift/Gamma</v>
      </c>
      <c r="AM94" t="str">
        <f t="shared" si="43"/>
        <v>36678Rho</v>
      </c>
      <c r="AN94" t="str">
        <f t="shared" si="44"/>
        <v>36678Drift</v>
      </c>
      <c r="AO94" t="str">
        <f t="shared" si="45"/>
        <v>36678Vega</v>
      </c>
      <c r="AP94" t="str">
        <f t="shared" si="46"/>
        <v>36678Theta</v>
      </c>
      <c r="AZ94" s="41">
        <f t="shared" si="47"/>
        <v>38808</v>
      </c>
      <c r="BA94" s="44"/>
      <c r="BG94" s="441">
        <v>39142</v>
      </c>
      <c r="BH94">
        <v>0.98499999999999999</v>
      </c>
      <c r="BJ94" s="441">
        <v>39142</v>
      </c>
      <c r="BK94">
        <v>91</v>
      </c>
    </row>
    <row r="95" spans="1:63" ht="12" customHeight="1" x14ac:dyDescent="0.25">
      <c r="A95" s="384" t="s">
        <v>279</v>
      </c>
      <c r="B95" s="155" t="s">
        <v>250</v>
      </c>
      <c r="C95" s="155" t="s">
        <v>388</v>
      </c>
      <c r="D95" s="155" t="s">
        <v>190</v>
      </c>
      <c r="E95" s="4" t="s">
        <v>237</v>
      </c>
      <c r="F95" s="155" t="s">
        <v>20</v>
      </c>
      <c r="G95" s="155" t="s">
        <v>21</v>
      </c>
      <c r="H95" s="354">
        <v>36678</v>
      </c>
      <c r="I95" s="156">
        <v>50000</v>
      </c>
      <c r="J95" s="7">
        <v>0.46</v>
      </c>
      <c r="K95" s="53">
        <f t="shared" si="35"/>
        <v>4.74</v>
      </c>
      <c r="L95" s="53">
        <f t="shared" si="36"/>
        <v>3.3650000000000002</v>
      </c>
      <c r="M95" s="157">
        <v>1</v>
      </c>
      <c r="N95" s="4">
        <v>0.51500000000000001</v>
      </c>
      <c r="O95" s="4">
        <v>0.51500000000000001</v>
      </c>
      <c r="P95" s="9" t="e">
        <f t="shared" si="37"/>
        <v>#N/A</v>
      </c>
      <c r="Q95" s="5">
        <v>36690</v>
      </c>
      <c r="R95" s="4">
        <f t="shared" si="31"/>
        <v>1</v>
      </c>
      <c r="S95" s="158" t="e">
        <f>_xll.xSPRDOPT($K95,$L95,$J95,$M95,$N95,$O95,$P95,$Q95-$C$3,$R95,0)</f>
        <v>#N/A</v>
      </c>
      <c r="T95" s="159" t="e">
        <f>_xll.xSPRDOPT($K95,$L95,$J95,$M95,$N95,$O95,$P95,$Q95-$C$3,$R95,1)*I95</f>
        <v>#N/A</v>
      </c>
      <c r="U95" s="160">
        <v>19500</v>
      </c>
      <c r="V95" s="159" t="e">
        <f>_xll.xSPRDOPT($K95,$L95,$J95,$M95,$N95,$O95,$P95,$Q95-$C$3,$R95,2)*I95</f>
        <v>#N/A</v>
      </c>
      <c r="W95" s="159" t="e">
        <f t="shared" si="32"/>
        <v>#N/A</v>
      </c>
      <c r="X95" s="51" t="str">
        <f t="shared" si="33"/>
        <v>36678IF-ELPO/SJ</v>
      </c>
      <c r="Y95" s="418">
        <f t="shared" si="34"/>
        <v>5</v>
      </c>
      <c r="Z95" s="51"/>
      <c r="AA95" s="51"/>
      <c r="AB95" s="141">
        <f t="shared" si="38"/>
        <v>36678</v>
      </c>
      <c r="AC95" s="234" t="e">
        <f>_xll.xSPRDOPT(HLOOKUP($D$3,GDPRICES,VLOOKUP(Q95,GDmove_down,2,FALSE),FALSE),HLOOKUP($E$3,GDPRICES,VLOOKUP(Q95,GDmove_down,2,FALSE),FALSE),J95,VLOOKUP(H95,NGPREVPRICES,4,FALSE),HLOOKUP($H$3,GDPrevVols,VLOOKUP(Q95,GDmove_down2,2,FALSE),FALSE),HLOOKUP($H$3,GDPrevVols,VLOOKUP(Q95,GDmove_down2,2,FALSE),FALSE),HLOOKUP(E95,GDcorr,VLOOKUP(H95,CorMove,2,FALSE),FALSE),Q95-$AC$3,R95,$AC$5)*I95-AI95</f>
        <v>#N/A</v>
      </c>
      <c r="AD95" s="234" t="e">
        <f>_xll.xSPRDOPT(HLOOKUP($D$3,GDPrev,VLOOKUP(Q95,GDmove_down,2,FALSE),FALSE),HLOOKUP($E$3,GDPrev,VLOOKUP(Q95,GDmove_down,2,FALSE),FALSE),AJ95,VLOOKUP(H95,NGPrices,4,FALSE),HLOOKUP($H$3,GDPrevVols,VLOOKUP(Q95,GDmove_down2,2,FALSE),FALSE),HLOOKUP($H$3,GDPrevVols,VLOOKUP(Q95,GDmove_down2,2,FALSE),FALSE),HLOOKUP(E95,GDcorr,VLOOKUP(H95,CorMove,2,FALSE),FALSE),Q95-$AC$3,R95,$AI$5)*I95-AI95</f>
        <v>#N/A</v>
      </c>
      <c r="AE95" s="439" t="e">
        <f t="shared" si="39"/>
        <v>#N/A</v>
      </c>
      <c r="AF95" s="234" t="e">
        <f>_xll.xSPRDOPT(HLOOKUP($D$3,GDPrev,VLOOKUP(Q95,GDmove_down,2,FALSE),FALSE),HLOOKUP($E$3,GDPrev,VLOOKUP(Q95,GDmove_down,2,FALSE),FALSE),AJ95,VLOOKUP(H95,NGPREVPRICES,4,FALSE),HLOOKUP($H$3,GDVol,VLOOKUP(H95,move_down,2,FALSE),FALSE),HLOOKUP($H$3,GDVol,VLOOKUP(H95,move_down,2,FALSE),FALSE),HLOOKUP(E95,GDcorr,VLOOKUP(H95,CorMove,2,FALSE),FALSE),Q95-$AC$3,R95,$AI$5)*I95-AI95</f>
        <v>#N/A</v>
      </c>
      <c r="AG95" s="234" t="e">
        <f>_xll.xSPRDOPT(HLOOKUP($D$3,GDPrev,VLOOKUP(Q95,GDmove_down,2,FALSE),FALSE),HLOOKUP($E$3,GDPrev,VLOOKUP(Q95,GDmove_down,2,FALSE),FALSE),AJ95,VLOOKUP(H95,NGPREVPRICES,4,FALSE),HLOOKUP($H$3,GDPrevVols,VLOOKUP(Q95,GDmove_down2,2,FALSE),FALSE),HLOOKUP($H$3,GDPrevVols,VLOOKUP(Q95,GDmove_down2,2,FALSE),FALSE),HLOOKUP(E95,GDcorr,VLOOKUP(H95,CorMove,2,FALSE),FALSE),Q95-$C$3,R95,$AI$5)*I95-AI95</f>
        <v>#N/A</v>
      </c>
      <c r="AH95" s="234" t="e">
        <f t="shared" si="40"/>
        <v>#N/A</v>
      </c>
      <c r="AI95" s="234" t="e">
        <f>_xll.xSPRDOPT(HLOOKUP($D$3,GDPrev,VLOOKUP(Q95,GDmove_down,2,FALSE),FALSE),HLOOKUP($E$3,GDPrev,VLOOKUP(Q95,GDmove_down,2,FALSE),FALSE),AJ95,VLOOKUP(H95,NGPREVPRICES,4,FALSE),HLOOKUP($H$3,GDPrevVols,VLOOKUP(Q95,GDmove_down2,2,FALSE),FALSE),HLOOKUP($H$3,GDPrevVols,VLOOKUP(Q95,GDmove_down2,2,FALSE),FALSE),HLOOKUP(E95,GDcorr,VLOOKUP(H95,CorMove,2,FALSE),FALSE),Q95-$AC$3,R95,$AI$5)*I95</f>
        <v>#N/A</v>
      </c>
      <c r="AJ95" s="235" t="e">
        <f t="shared" si="41"/>
        <v>#N/A</v>
      </c>
      <c r="AK95" s="234"/>
      <c r="AL95" t="str">
        <f t="shared" si="42"/>
        <v>36678Curve Shift/Gamma</v>
      </c>
      <c r="AM95" t="str">
        <f t="shared" si="43"/>
        <v>36678Rho</v>
      </c>
      <c r="AN95" t="str">
        <f t="shared" si="44"/>
        <v>36678Drift</v>
      </c>
      <c r="AO95" t="str">
        <f t="shared" si="45"/>
        <v>36678Vega</v>
      </c>
      <c r="AP95" t="str">
        <f t="shared" si="46"/>
        <v>36678Theta</v>
      </c>
      <c r="AZ95" s="41">
        <f t="shared" si="47"/>
        <v>38838</v>
      </c>
      <c r="BA95" s="44"/>
      <c r="BG95" s="441">
        <v>39173</v>
      </c>
      <c r="BH95">
        <v>0.98499999999999999</v>
      </c>
      <c r="BJ95" s="441">
        <v>39173</v>
      </c>
      <c r="BK95">
        <v>92</v>
      </c>
    </row>
    <row r="96" spans="1:63" ht="12" customHeight="1" x14ac:dyDescent="0.25">
      <c r="A96" s="384" t="s">
        <v>279</v>
      </c>
      <c r="B96" s="155" t="s">
        <v>250</v>
      </c>
      <c r="C96" s="155" t="s">
        <v>389</v>
      </c>
      <c r="D96" s="155" t="s">
        <v>190</v>
      </c>
      <c r="E96" s="4" t="s">
        <v>237</v>
      </c>
      <c r="F96" s="155" t="s">
        <v>20</v>
      </c>
      <c r="G96" s="155" t="s">
        <v>21</v>
      </c>
      <c r="H96" s="354">
        <v>36678</v>
      </c>
      <c r="I96" s="156">
        <v>50000</v>
      </c>
      <c r="J96" s="7">
        <v>0.46</v>
      </c>
      <c r="K96" s="53">
        <f t="shared" si="35"/>
        <v>4.74</v>
      </c>
      <c r="L96" s="53">
        <f t="shared" si="36"/>
        <v>3.3650000000000002</v>
      </c>
      <c r="M96" s="157">
        <v>1</v>
      </c>
      <c r="N96" s="4">
        <v>0.51500000000000001</v>
      </c>
      <c r="O96" s="4">
        <v>0.51500000000000001</v>
      </c>
      <c r="P96" s="9" t="e">
        <f t="shared" si="37"/>
        <v>#N/A</v>
      </c>
      <c r="Q96" s="5">
        <v>36690</v>
      </c>
      <c r="R96" s="4">
        <f t="shared" si="31"/>
        <v>1</v>
      </c>
      <c r="S96" s="158" t="e">
        <f>_xll.xSPRDOPT($K96,$L96,$J96,$M96,$N96,$O96,$P96,$Q96-$C$3,$R96,0)</f>
        <v>#N/A</v>
      </c>
      <c r="T96" s="159" t="e">
        <f>_xll.xSPRDOPT($K96,$L96,$J96,$M96,$N96,$O96,$P96,$Q96-$C$3,$R96,1)*I96</f>
        <v>#N/A</v>
      </c>
      <c r="U96" s="160">
        <v>19500</v>
      </c>
      <c r="V96" s="159" t="e">
        <f>_xll.xSPRDOPT($K96,$L96,$J96,$M96,$N96,$O96,$P96,$Q96-$C$3,$R96,2)*I96</f>
        <v>#N/A</v>
      </c>
      <c r="W96" s="159" t="e">
        <f t="shared" si="32"/>
        <v>#N/A</v>
      </c>
      <c r="X96" s="51" t="str">
        <f t="shared" si="33"/>
        <v>36678IF-ELPO/SJ</v>
      </c>
      <c r="Y96" s="418">
        <f t="shared" si="34"/>
        <v>5</v>
      </c>
      <c r="Z96" s="51"/>
      <c r="AA96" s="51"/>
      <c r="AB96" s="141">
        <f t="shared" si="38"/>
        <v>36678</v>
      </c>
      <c r="AC96" s="234" t="e">
        <f>_xll.xSPRDOPT(HLOOKUP($D$3,GDPRICES,VLOOKUP(Q96,GDmove_down,2,FALSE),FALSE),HLOOKUP($E$3,GDPRICES,VLOOKUP(Q96,GDmove_down,2,FALSE),FALSE),J96,VLOOKUP(H96,NGPREVPRICES,4,FALSE),HLOOKUP($H$3,GDPrevVols,VLOOKUP(Q96,GDmove_down2,2,FALSE),FALSE),HLOOKUP($H$3,GDPrevVols,VLOOKUP(Q96,GDmove_down2,2,FALSE),FALSE),HLOOKUP(E96,GDcorr,VLOOKUP(H96,CorMove,2,FALSE),FALSE),Q96-$AC$3,R96,$AC$5)*I96-AI96</f>
        <v>#N/A</v>
      </c>
      <c r="AD96" s="234" t="e">
        <f>_xll.xSPRDOPT(HLOOKUP($D$3,GDPrev,VLOOKUP(Q96,GDmove_down,2,FALSE),FALSE),HLOOKUP($E$3,GDPrev,VLOOKUP(Q96,GDmove_down,2,FALSE),FALSE),AJ96,VLOOKUP(H96,NGPrices,4,FALSE),HLOOKUP($H$3,GDPrevVols,VLOOKUP(Q96,GDmove_down2,2,FALSE),FALSE),HLOOKUP($H$3,GDPrevVols,VLOOKUP(Q96,GDmove_down2,2,FALSE),FALSE),HLOOKUP(E96,GDcorr,VLOOKUP(H96,CorMove,2,FALSE),FALSE),Q96-$AC$3,R96,$AI$5)*I96-AI96</f>
        <v>#N/A</v>
      </c>
      <c r="AE96" s="439" t="e">
        <f t="shared" si="39"/>
        <v>#N/A</v>
      </c>
      <c r="AF96" s="234" t="e">
        <f>_xll.xSPRDOPT(HLOOKUP($D$3,GDPrev,VLOOKUP(Q96,GDmove_down,2,FALSE),FALSE),HLOOKUP($E$3,GDPrev,VLOOKUP(Q96,GDmove_down,2,FALSE),FALSE),AJ96,VLOOKUP(H96,NGPREVPRICES,4,FALSE),HLOOKUP($H$3,GDVol,VLOOKUP(H96,move_down,2,FALSE),FALSE),HLOOKUP($H$3,GDVol,VLOOKUP(H96,move_down,2,FALSE),FALSE),HLOOKUP(E96,GDcorr,VLOOKUP(H96,CorMove,2,FALSE),FALSE),Q96-$AC$3,R96,$AI$5)*I96-AI96</f>
        <v>#N/A</v>
      </c>
      <c r="AG96" s="234" t="e">
        <f>_xll.xSPRDOPT(HLOOKUP($D$3,GDPrev,VLOOKUP(Q96,GDmove_down,2,FALSE),FALSE),HLOOKUP($E$3,GDPrev,VLOOKUP(Q96,GDmove_down,2,FALSE),FALSE),AJ96,VLOOKUP(H96,NGPREVPRICES,4,FALSE),HLOOKUP($H$3,GDPrevVols,VLOOKUP(Q96,GDmove_down2,2,FALSE),FALSE),HLOOKUP($H$3,GDPrevVols,VLOOKUP(Q96,GDmove_down2,2,FALSE),FALSE),HLOOKUP(E96,GDcorr,VLOOKUP(H96,CorMove,2,FALSE),FALSE),Q96-$C$3,R96,$AI$5)*I96-AI96</f>
        <v>#N/A</v>
      </c>
      <c r="AH96" s="234" t="e">
        <f t="shared" si="40"/>
        <v>#N/A</v>
      </c>
      <c r="AI96" s="234" t="e">
        <f>_xll.xSPRDOPT(HLOOKUP($D$3,GDPrev,VLOOKUP(Q96,GDmove_down,2,FALSE),FALSE),HLOOKUP($E$3,GDPrev,VLOOKUP(Q96,GDmove_down,2,FALSE),FALSE),AJ96,VLOOKUP(H96,NGPREVPRICES,4,FALSE),HLOOKUP($H$3,GDPrevVols,VLOOKUP(Q96,GDmove_down2,2,FALSE),FALSE),HLOOKUP($H$3,GDPrevVols,VLOOKUP(Q96,GDmove_down2,2,FALSE),FALSE),HLOOKUP(E96,GDcorr,VLOOKUP(H96,CorMove,2,FALSE),FALSE),Q96-$AC$3,R96,$AI$5)*I96</f>
        <v>#N/A</v>
      </c>
      <c r="AJ96" s="235" t="e">
        <f t="shared" si="41"/>
        <v>#N/A</v>
      </c>
      <c r="AK96" s="234"/>
      <c r="AL96" t="str">
        <f t="shared" si="42"/>
        <v>36678Curve Shift/Gamma</v>
      </c>
      <c r="AM96" t="str">
        <f t="shared" si="43"/>
        <v>36678Rho</v>
      </c>
      <c r="AN96" t="str">
        <f t="shared" si="44"/>
        <v>36678Drift</v>
      </c>
      <c r="AO96" t="str">
        <f t="shared" si="45"/>
        <v>36678Vega</v>
      </c>
      <c r="AP96" t="str">
        <f t="shared" si="46"/>
        <v>36678Theta</v>
      </c>
      <c r="AZ96" s="41">
        <f t="shared" si="47"/>
        <v>38869</v>
      </c>
      <c r="BA96" s="44"/>
      <c r="BG96" s="441">
        <v>39203</v>
      </c>
      <c r="BH96">
        <v>0.98499999999999999</v>
      </c>
      <c r="BJ96" s="441">
        <v>39203</v>
      </c>
      <c r="BK96">
        <v>93</v>
      </c>
    </row>
    <row r="97" spans="1:63" ht="12" customHeight="1" x14ac:dyDescent="0.25">
      <c r="A97" s="384" t="s">
        <v>279</v>
      </c>
      <c r="B97" s="155" t="s">
        <v>250</v>
      </c>
      <c r="C97" s="155" t="s">
        <v>398</v>
      </c>
      <c r="D97" s="155" t="s">
        <v>190</v>
      </c>
      <c r="E97" s="4" t="s">
        <v>237</v>
      </c>
      <c r="F97" s="155" t="s">
        <v>20</v>
      </c>
      <c r="G97" s="155" t="s">
        <v>21</v>
      </c>
      <c r="H97" s="354">
        <v>36678</v>
      </c>
      <c r="I97" s="156">
        <v>-10000</v>
      </c>
      <c r="J97" s="7">
        <v>0.46</v>
      </c>
      <c r="K97" s="53">
        <f t="shared" si="35"/>
        <v>4.74</v>
      </c>
      <c r="L97" s="53">
        <f t="shared" si="36"/>
        <v>3.3650000000000002</v>
      </c>
      <c r="M97" s="157">
        <v>1</v>
      </c>
      <c r="N97" s="4">
        <v>0.51500000000000001</v>
      </c>
      <c r="O97" s="4">
        <v>0.51500000000000001</v>
      </c>
      <c r="P97" s="9" t="e">
        <f t="shared" si="37"/>
        <v>#N/A</v>
      </c>
      <c r="Q97" s="5">
        <v>36690</v>
      </c>
      <c r="R97" s="4">
        <f>IF(G97="P",0,1)</f>
        <v>1</v>
      </c>
      <c r="S97" s="158" t="e">
        <f>_xll.xSPRDOPT($K97,$L97,$J97,$M97,$N97,$O97,$P97,$Q97-$C$3,$R97,0)</f>
        <v>#N/A</v>
      </c>
      <c r="T97" s="159" t="e">
        <f>_xll.xSPRDOPT($K97,$L97,$J97,$M97,$N97,$O97,$P97,$Q97-$C$3,$R97,1)*I97</f>
        <v>#N/A</v>
      </c>
      <c r="U97" s="160">
        <v>-3900</v>
      </c>
      <c r="V97" s="159" t="e">
        <f>_xll.xSPRDOPT($K97,$L97,$J97,$M97,$N97,$O97,$P97,$Q97-$C$3,$R97,2)*I97</f>
        <v>#N/A</v>
      </c>
      <c r="W97" s="159" t="e">
        <f>+V97+T97</f>
        <v>#N/A</v>
      </c>
      <c r="X97" s="51" t="str">
        <f>CONCATENATE(H97,E97)</f>
        <v>36678IF-ELPO/SJ</v>
      </c>
      <c r="Y97" s="418">
        <f>I97/10000</f>
        <v>-1</v>
      </c>
      <c r="AA97" s="51"/>
      <c r="AB97" s="141">
        <f t="shared" si="38"/>
        <v>36678</v>
      </c>
      <c r="AC97" s="234" t="e">
        <f>_xll.xSPRDOPT(HLOOKUP($D$3,GDPRICES,VLOOKUP(Q97,GDmove_down,2,FALSE),FALSE),HLOOKUP($E$3,GDPRICES,VLOOKUP(Q97,GDmove_down,2,FALSE),FALSE),J97,VLOOKUP(H97,NGPREVPRICES,4,FALSE),HLOOKUP($H$3,GDPrevVols,VLOOKUP(Q97,GDmove_down2,2,FALSE),FALSE),HLOOKUP($H$3,GDPrevVols,VLOOKUP(Q97,GDmove_down2,2,FALSE),FALSE),HLOOKUP(E97,GDcorr,VLOOKUP(H97,CorMove,2,FALSE),FALSE),Q97-$AC$3,R97,$AC$5)*I97-AI97</f>
        <v>#N/A</v>
      </c>
      <c r="AD97" s="234" t="e">
        <f>_xll.xSPRDOPT(HLOOKUP($D$3,GDPrev,VLOOKUP(Q97,GDmove_down,2,FALSE),FALSE),HLOOKUP($E$3,GDPrev,VLOOKUP(Q97,GDmove_down,2,FALSE),FALSE),AJ97,VLOOKUP(H97,NGPrices,4,FALSE),HLOOKUP($H$3,GDPrevVols,VLOOKUP(Q97,GDmove_down2,2,FALSE),FALSE),HLOOKUP($H$3,GDPrevVols,VLOOKUP(Q97,GDmove_down2,2,FALSE),FALSE),HLOOKUP(E97,GDcorr,VLOOKUP(H97,CorMove,2,FALSE),FALSE),Q97-$AC$3,R97,$AI$5)*I97-AI97</f>
        <v>#N/A</v>
      </c>
      <c r="AE97" s="439" t="e">
        <f t="shared" si="39"/>
        <v>#N/A</v>
      </c>
      <c r="AF97" s="234" t="e">
        <f>_xll.xSPRDOPT(HLOOKUP($D$3,GDPrev,VLOOKUP(Q97,GDmove_down,2,FALSE),FALSE),HLOOKUP($E$3,GDPrev,VLOOKUP(Q97,GDmove_down,2,FALSE),FALSE),AJ97,VLOOKUP(H97,NGPREVPRICES,4,FALSE),HLOOKUP($H$3,GDVol,VLOOKUP(H97,move_down,2,FALSE),FALSE),HLOOKUP($H$3,GDVol,VLOOKUP(H97,move_down,2,FALSE),FALSE),HLOOKUP(E97,GDcorr,VLOOKUP(H97,CorMove,2,FALSE),FALSE),Q97-$AC$3,R97,$AI$5)*I97-AI97</f>
        <v>#N/A</v>
      </c>
      <c r="AG97" s="234" t="e">
        <f>_xll.xSPRDOPT(HLOOKUP($D$3,GDPrev,VLOOKUP(Q97,GDmove_down,2,FALSE),FALSE),HLOOKUP($E$3,GDPrev,VLOOKUP(Q97,GDmove_down,2,FALSE),FALSE),AJ97,VLOOKUP(H97,NGPREVPRICES,4,FALSE),HLOOKUP($H$3,GDPrevVols,VLOOKUP(Q97,GDmove_down2,2,FALSE),FALSE),HLOOKUP($H$3,GDPrevVols,VLOOKUP(Q97,GDmove_down2,2,FALSE),FALSE),HLOOKUP(E97,GDcorr,VLOOKUP(H97,CorMove,2,FALSE),FALSE),Q97-$C$3,R97,$AI$5)*I97-AI97</f>
        <v>#N/A</v>
      </c>
      <c r="AH97" s="234" t="e">
        <f t="shared" si="40"/>
        <v>#N/A</v>
      </c>
      <c r="AI97" s="234" t="e">
        <f>_xll.xSPRDOPT(HLOOKUP($D$3,GDPrev,VLOOKUP(Q97,GDmove_down,2,FALSE),FALSE),HLOOKUP($E$3,GDPrev,VLOOKUP(Q97,GDmove_down,2,FALSE),FALSE),AJ97,VLOOKUP(H97,NGPREVPRICES,4,FALSE),HLOOKUP($H$3,GDPrevVols,VLOOKUP(Q97,GDmove_down2,2,FALSE),FALSE),HLOOKUP($H$3,GDPrevVols,VLOOKUP(Q97,GDmove_down2,2,FALSE),FALSE),HLOOKUP(E97,GDcorr,VLOOKUP(H97,CorMove,2,FALSE),FALSE),Q97-$AC$3,R97,$AI$5)*I97</f>
        <v>#N/A</v>
      </c>
      <c r="AJ97" s="235" t="e">
        <f t="shared" si="41"/>
        <v>#N/A</v>
      </c>
      <c r="AK97" s="234"/>
      <c r="AL97" t="str">
        <f t="shared" si="42"/>
        <v>36678Curve Shift/Gamma</v>
      </c>
      <c r="AM97" t="str">
        <f t="shared" si="43"/>
        <v>36678Rho</v>
      </c>
      <c r="AN97" t="str">
        <f t="shared" si="44"/>
        <v>36678Drift</v>
      </c>
      <c r="AO97" t="str">
        <f t="shared" si="45"/>
        <v>36678Vega</v>
      </c>
      <c r="AP97" t="str">
        <f t="shared" si="46"/>
        <v>36678Theta</v>
      </c>
      <c r="AZ97" s="41">
        <f t="shared" si="47"/>
        <v>38899</v>
      </c>
      <c r="BA97" s="44"/>
      <c r="BG97" s="441">
        <v>39234</v>
      </c>
      <c r="BH97">
        <v>0.98499999999999999</v>
      </c>
      <c r="BJ97" s="441">
        <v>39234</v>
      </c>
      <c r="BK97">
        <v>94</v>
      </c>
    </row>
    <row r="98" spans="1:63" ht="12" customHeight="1" x14ac:dyDescent="0.25">
      <c r="A98" s="382" t="s">
        <v>279</v>
      </c>
      <c r="B98" s="155" t="s">
        <v>250</v>
      </c>
      <c r="C98" s="155" t="s">
        <v>360</v>
      </c>
      <c r="D98" s="155" t="s">
        <v>190</v>
      </c>
      <c r="E98" s="4" t="s">
        <v>237</v>
      </c>
      <c r="F98" s="155" t="s">
        <v>20</v>
      </c>
      <c r="G98" s="155" t="s">
        <v>21</v>
      </c>
      <c r="H98" s="354">
        <v>36678</v>
      </c>
      <c r="I98" s="156">
        <v>-50000</v>
      </c>
      <c r="J98" s="7">
        <v>0.46</v>
      </c>
      <c r="K98" s="53">
        <f t="shared" si="35"/>
        <v>4.74</v>
      </c>
      <c r="L98" s="53">
        <f t="shared" si="36"/>
        <v>3.3650000000000002</v>
      </c>
      <c r="M98" s="157">
        <v>1</v>
      </c>
      <c r="N98" s="4">
        <v>0.51500000000000001</v>
      </c>
      <c r="O98" s="4">
        <v>0.51500000000000001</v>
      </c>
      <c r="P98" s="9" t="e">
        <f t="shared" si="37"/>
        <v>#N/A</v>
      </c>
      <c r="Q98" s="5">
        <v>36691</v>
      </c>
      <c r="R98" s="4">
        <f t="shared" ref="R98:R126" si="48">IF(G98="P",0,1)</f>
        <v>1</v>
      </c>
      <c r="S98" s="158" t="e">
        <f>_xll.xSPRDOPT($K98,$L98,$J98,$M98,$N98,$O98,$P98,$Q98-$C$3,$R98,0)</f>
        <v>#N/A</v>
      </c>
      <c r="T98" s="159" t="e">
        <f>_xll.xSPRDOPT($K98,$L98,$J98,$M98,$N98,$O98,$P98,$Q98-$C$3,$R98,1)*I98</f>
        <v>#N/A</v>
      </c>
      <c r="U98" s="160">
        <v>-15250</v>
      </c>
      <c r="V98" s="159" t="e">
        <f>_xll.xSPRDOPT($K98,$L98,$J98,$M98,$N98,$O98,$P98,$Q98-$C$3,$R98,2)*I98</f>
        <v>#N/A</v>
      </c>
      <c r="W98" s="159" t="e">
        <f t="shared" ref="W98:W126" si="49">+V98+T98</f>
        <v>#N/A</v>
      </c>
      <c r="X98" s="51" t="str">
        <f t="shared" ref="X98:X126" si="50">CONCATENATE(H98,E98)</f>
        <v>36678IF-ELPO/SJ</v>
      </c>
      <c r="Y98" s="418">
        <f t="shared" ref="Y98:Y126" si="51">I98/10000</f>
        <v>-5</v>
      </c>
      <c r="AA98" s="51"/>
      <c r="AB98" s="141">
        <f t="shared" si="38"/>
        <v>36678</v>
      </c>
      <c r="AC98" s="234" t="e">
        <f>_xll.xSPRDOPT(HLOOKUP($D$3,GDPRICES,VLOOKUP(Q98,GDmove_down,2,FALSE),FALSE),HLOOKUP($E$3,GDPRICES,VLOOKUP(Q98,GDmove_down,2,FALSE),FALSE),J98,VLOOKUP(H98,NGPREVPRICES,4,FALSE),HLOOKUP($H$3,GDPrevVols,VLOOKUP(Q98,GDmove_down2,2,FALSE),FALSE),HLOOKUP($H$3,GDPrevVols,VLOOKUP(Q98,GDmove_down2,2,FALSE),FALSE),HLOOKUP(E98,GDcorr,VLOOKUP(H98,CorMove,2,FALSE),FALSE),Q98-$AC$3,R98,$AC$5)*I98-AI98</f>
        <v>#N/A</v>
      </c>
      <c r="AD98" s="234" t="e">
        <f>_xll.xSPRDOPT(HLOOKUP($D$3,GDPrev,VLOOKUP(Q98,GDmove_down,2,FALSE),FALSE),HLOOKUP($E$3,GDPrev,VLOOKUP(Q98,GDmove_down,2,FALSE),FALSE),AJ98,VLOOKUP(H98,NGPrices,4,FALSE),HLOOKUP($H$3,GDPrevVols,VLOOKUP(Q98,GDmove_down2,2,FALSE),FALSE),HLOOKUP($H$3,GDPrevVols,VLOOKUP(Q98,GDmove_down2,2,FALSE),FALSE),HLOOKUP(E98,GDcorr,VLOOKUP(H98,CorMove,2,FALSE),FALSE),Q98-$AC$3,R98,$AI$5)*I98-AI98</f>
        <v>#N/A</v>
      </c>
      <c r="AE98" s="439" t="e">
        <f t="shared" si="39"/>
        <v>#N/A</v>
      </c>
      <c r="AF98" s="234" t="e">
        <f>_xll.xSPRDOPT(HLOOKUP($D$3,GDPrev,VLOOKUP(Q98,GDmove_down,2,FALSE),FALSE),HLOOKUP($E$3,GDPrev,VLOOKUP(Q98,GDmove_down,2,FALSE),FALSE),AJ98,VLOOKUP(H98,NGPREVPRICES,4,FALSE),HLOOKUP($H$3,GDVol,VLOOKUP(H98,move_down,2,FALSE),FALSE),HLOOKUP($H$3,GDVol,VLOOKUP(H98,move_down,2,FALSE),FALSE),HLOOKUP(E98,GDcorr,VLOOKUP(H98,CorMove,2,FALSE),FALSE),Q98-$AC$3,R98,$AI$5)*I98-AI98</f>
        <v>#N/A</v>
      </c>
      <c r="AG98" s="234" t="e">
        <f>_xll.xSPRDOPT(HLOOKUP($D$3,GDPrev,VLOOKUP(Q98,GDmove_down,2,FALSE),FALSE),HLOOKUP($E$3,GDPrev,VLOOKUP(Q98,GDmove_down,2,FALSE),FALSE),AJ98,VLOOKUP(H98,NGPREVPRICES,4,FALSE),HLOOKUP($H$3,GDPrevVols,VLOOKUP(Q98,GDmove_down2,2,FALSE),FALSE),HLOOKUP($H$3,GDPrevVols,VLOOKUP(Q98,GDmove_down2,2,FALSE),FALSE),HLOOKUP(E98,GDcorr,VLOOKUP(H98,CorMove,2,FALSE),FALSE),Q98-$C$3,R98,$AI$5)*I98-AI98</f>
        <v>#N/A</v>
      </c>
      <c r="AH98" s="234" t="e">
        <f t="shared" si="40"/>
        <v>#N/A</v>
      </c>
      <c r="AI98" s="234" t="e">
        <f>_xll.xSPRDOPT(HLOOKUP($D$3,GDPrev,VLOOKUP(Q98,GDmove_down,2,FALSE),FALSE),HLOOKUP($E$3,GDPrev,VLOOKUP(Q98,GDmove_down,2,FALSE),FALSE),AJ98,VLOOKUP(H98,NGPREVPRICES,4,FALSE),HLOOKUP($H$3,GDPrevVols,VLOOKUP(Q98,GDmove_down2,2,FALSE),FALSE),HLOOKUP($H$3,GDPrevVols,VLOOKUP(Q98,GDmove_down2,2,FALSE),FALSE),HLOOKUP(E98,GDcorr,VLOOKUP(H98,CorMove,2,FALSE),FALSE),Q98-$AC$3,R98,$AI$5)*I98</f>
        <v>#N/A</v>
      </c>
      <c r="AJ98" s="235" t="e">
        <f t="shared" si="41"/>
        <v>#N/A</v>
      </c>
      <c r="AK98" s="234"/>
      <c r="AL98" t="str">
        <f t="shared" si="42"/>
        <v>36678Curve Shift/Gamma</v>
      </c>
      <c r="AM98" t="str">
        <f t="shared" si="43"/>
        <v>36678Rho</v>
      </c>
      <c r="AN98" t="str">
        <f t="shared" si="44"/>
        <v>36678Drift</v>
      </c>
      <c r="AO98" t="str">
        <f t="shared" si="45"/>
        <v>36678Vega</v>
      </c>
      <c r="AP98" t="str">
        <f t="shared" si="46"/>
        <v>36678Theta</v>
      </c>
      <c r="AZ98" s="41">
        <f t="shared" si="47"/>
        <v>38930</v>
      </c>
      <c r="BA98" s="44"/>
      <c r="BG98" s="441">
        <v>39264</v>
      </c>
      <c r="BH98">
        <v>0.98499999999999999</v>
      </c>
      <c r="BJ98" s="441">
        <v>39264</v>
      </c>
      <c r="BK98">
        <v>95</v>
      </c>
    </row>
    <row r="99" spans="1:63" ht="12" customHeight="1" x14ac:dyDescent="0.25">
      <c r="A99" s="382" t="s">
        <v>279</v>
      </c>
      <c r="B99" s="155" t="s">
        <v>250</v>
      </c>
      <c r="C99" s="155" t="s">
        <v>361</v>
      </c>
      <c r="D99" s="155" t="s">
        <v>190</v>
      </c>
      <c r="E99" s="4" t="s">
        <v>237</v>
      </c>
      <c r="F99" s="155" t="s">
        <v>20</v>
      </c>
      <c r="G99" s="155" t="s">
        <v>21</v>
      </c>
      <c r="H99" s="354">
        <v>36678</v>
      </c>
      <c r="I99" s="156">
        <v>10000</v>
      </c>
      <c r="J99" s="7">
        <v>0.46</v>
      </c>
      <c r="K99" s="53">
        <f t="shared" si="35"/>
        <v>4.74</v>
      </c>
      <c r="L99" s="53">
        <f t="shared" si="36"/>
        <v>3.3650000000000002</v>
      </c>
      <c r="M99" s="157">
        <v>1</v>
      </c>
      <c r="N99" s="4">
        <v>0.51500000000000001</v>
      </c>
      <c r="O99" s="4">
        <v>0.51500000000000001</v>
      </c>
      <c r="P99" s="9" t="e">
        <f t="shared" si="37"/>
        <v>#N/A</v>
      </c>
      <c r="Q99" s="5">
        <v>36691</v>
      </c>
      <c r="R99" s="4">
        <f t="shared" si="48"/>
        <v>1</v>
      </c>
      <c r="S99" s="158" t="e">
        <f>_xll.xSPRDOPT($K99,$L99,$J99,$M99,$N99,$O99,$P99,$Q99-$C$3,$R99,0)</f>
        <v>#N/A</v>
      </c>
      <c r="T99" s="159" t="e">
        <f>_xll.xSPRDOPT($K99,$L99,$J99,$M99,$N99,$O99,$P99,$Q99-$C$3,$R99,1)*I99</f>
        <v>#N/A</v>
      </c>
      <c r="U99" s="160">
        <v>3050</v>
      </c>
      <c r="V99" s="159" t="e">
        <f>_xll.xSPRDOPT($K99,$L99,$J99,$M99,$N99,$O99,$P99,$Q99-$C$3,$R99,2)*I99</f>
        <v>#N/A</v>
      </c>
      <c r="W99" s="159" t="e">
        <f t="shared" si="49"/>
        <v>#N/A</v>
      </c>
      <c r="X99" s="51" t="str">
        <f t="shared" si="50"/>
        <v>36678IF-ELPO/SJ</v>
      </c>
      <c r="Y99" s="418">
        <f t="shared" si="51"/>
        <v>1</v>
      </c>
      <c r="AA99" s="51"/>
      <c r="AB99" s="141">
        <f t="shared" si="38"/>
        <v>36678</v>
      </c>
      <c r="AC99" s="234" t="e">
        <f>_xll.xSPRDOPT(HLOOKUP($D$3,GDPRICES,VLOOKUP(Q99,GDmove_down,2,FALSE),FALSE),HLOOKUP($E$3,GDPRICES,VLOOKUP(Q99,GDmove_down,2,FALSE),FALSE),J99,VLOOKUP(H99,NGPREVPRICES,4,FALSE),HLOOKUP($H$3,GDPrevVols,VLOOKUP(Q99,GDmove_down2,2,FALSE),FALSE),HLOOKUP($H$3,GDPrevVols,VLOOKUP(Q99,GDmove_down2,2,FALSE),FALSE),HLOOKUP(E99,GDcorr,VLOOKUP(H99,CorMove,2,FALSE),FALSE),Q99-$AC$3,R99,$AC$5)*I99-AI99</f>
        <v>#N/A</v>
      </c>
      <c r="AD99" s="234" t="e">
        <f>_xll.xSPRDOPT(HLOOKUP($D$3,GDPrev,VLOOKUP(Q99,GDmove_down,2,FALSE),FALSE),HLOOKUP($E$3,GDPrev,VLOOKUP(Q99,GDmove_down,2,FALSE),FALSE),AJ99,VLOOKUP(H99,NGPrices,4,FALSE),HLOOKUP($H$3,GDPrevVols,VLOOKUP(Q99,GDmove_down2,2,FALSE),FALSE),HLOOKUP($H$3,GDPrevVols,VLOOKUP(Q99,GDmove_down2,2,FALSE),FALSE),HLOOKUP(E99,GDcorr,VLOOKUP(H99,CorMove,2,FALSE),FALSE),Q99-$AC$3,R99,$AI$5)*I99-AI99</f>
        <v>#N/A</v>
      </c>
      <c r="AE99" s="439" t="e">
        <f t="shared" si="39"/>
        <v>#N/A</v>
      </c>
      <c r="AF99" s="234" t="e">
        <f>_xll.xSPRDOPT(HLOOKUP($D$3,GDPrev,VLOOKUP(Q99,GDmove_down,2,FALSE),FALSE),HLOOKUP($E$3,GDPrev,VLOOKUP(Q99,GDmove_down,2,FALSE),FALSE),AJ99,VLOOKUP(H99,NGPREVPRICES,4,FALSE),HLOOKUP($H$3,GDVol,VLOOKUP(H99,move_down,2,FALSE),FALSE),HLOOKUP($H$3,GDVol,VLOOKUP(H99,move_down,2,FALSE),FALSE),HLOOKUP(E99,GDcorr,VLOOKUP(H99,CorMove,2,FALSE),FALSE),Q99-$AC$3,R99,$AI$5)*I99-AI99</f>
        <v>#N/A</v>
      </c>
      <c r="AG99" s="234" t="e">
        <f>_xll.xSPRDOPT(HLOOKUP($D$3,GDPrev,VLOOKUP(Q99,GDmove_down,2,FALSE),FALSE),HLOOKUP($E$3,GDPrev,VLOOKUP(Q99,GDmove_down,2,FALSE),FALSE),AJ99,VLOOKUP(H99,NGPREVPRICES,4,FALSE),HLOOKUP($H$3,GDPrevVols,VLOOKUP(Q99,GDmove_down2,2,FALSE),FALSE),HLOOKUP($H$3,GDPrevVols,VLOOKUP(Q99,GDmove_down2,2,FALSE),FALSE),HLOOKUP(E99,GDcorr,VLOOKUP(H99,CorMove,2,FALSE),FALSE),Q99-$C$3,R99,$AI$5)*I99-AI99</f>
        <v>#N/A</v>
      </c>
      <c r="AH99" s="234" t="e">
        <f t="shared" si="40"/>
        <v>#N/A</v>
      </c>
      <c r="AI99" s="234" t="e">
        <f>_xll.xSPRDOPT(HLOOKUP($D$3,GDPrev,VLOOKUP(Q99,GDmove_down,2,FALSE),FALSE),HLOOKUP($E$3,GDPrev,VLOOKUP(Q99,GDmove_down,2,FALSE),FALSE),AJ99,VLOOKUP(H99,NGPREVPRICES,4,FALSE),HLOOKUP($H$3,GDPrevVols,VLOOKUP(Q99,GDmove_down2,2,FALSE),FALSE),HLOOKUP($H$3,GDPrevVols,VLOOKUP(Q99,GDmove_down2,2,FALSE),FALSE),HLOOKUP(E99,GDcorr,VLOOKUP(H99,CorMove,2,FALSE),FALSE),Q99-$AC$3,R99,$AI$5)*I99</f>
        <v>#N/A</v>
      </c>
      <c r="AJ99" s="235" t="e">
        <f t="shared" si="41"/>
        <v>#N/A</v>
      </c>
      <c r="AK99" s="234"/>
      <c r="AL99" t="str">
        <f t="shared" si="42"/>
        <v>36678Curve Shift/Gamma</v>
      </c>
      <c r="AM99" t="str">
        <f t="shared" si="43"/>
        <v>36678Rho</v>
      </c>
      <c r="AN99" t="str">
        <f t="shared" si="44"/>
        <v>36678Drift</v>
      </c>
      <c r="AO99" t="str">
        <f t="shared" si="45"/>
        <v>36678Vega</v>
      </c>
      <c r="AP99" t="str">
        <f t="shared" si="46"/>
        <v>36678Theta</v>
      </c>
      <c r="AZ99" s="41">
        <f t="shared" si="47"/>
        <v>38961</v>
      </c>
      <c r="BA99" s="44"/>
      <c r="BG99" s="441">
        <v>39295</v>
      </c>
      <c r="BH99">
        <v>0.98499999999999999</v>
      </c>
      <c r="BJ99" s="441">
        <v>39295</v>
      </c>
      <c r="BK99">
        <v>96</v>
      </c>
    </row>
    <row r="100" spans="1:63" ht="12" customHeight="1" x14ac:dyDescent="0.25">
      <c r="A100" s="382" t="s">
        <v>279</v>
      </c>
      <c r="B100" s="155" t="s">
        <v>250</v>
      </c>
      <c r="C100" s="155" t="s">
        <v>364</v>
      </c>
      <c r="D100" s="155" t="s">
        <v>190</v>
      </c>
      <c r="E100" s="4" t="s">
        <v>237</v>
      </c>
      <c r="F100" s="155" t="s">
        <v>20</v>
      </c>
      <c r="G100" s="155" t="s">
        <v>21</v>
      </c>
      <c r="H100" s="354">
        <v>36678</v>
      </c>
      <c r="I100" s="156">
        <v>-333333</v>
      </c>
      <c r="J100" s="7">
        <v>0.46</v>
      </c>
      <c r="K100" s="53">
        <f t="shared" si="35"/>
        <v>4.74</v>
      </c>
      <c r="L100" s="53">
        <f t="shared" si="36"/>
        <v>3.3650000000000002</v>
      </c>
      <c r="M100" s="157">
        <v>1</v>
      </c>
      <c r="N100" s="4">
        <v>0.51500000000000001</v>
      </c>
      <c r="O100" s="4">
        <v>0.51500000000000001</v>
      </c>
      <c r="P100" s="9" t="e">
        <f t="shared" si="37"/>
        <v>#N/A</v>
      </c>
      <c r="Q100" s="5">
        <v>36691</v>
      </c>
      <c r="R100" s="4">
        <f t="shared" si="48"/>
        <v>1</v>
      </c>
      <c r="S100" s="158" t="e">
        <f>_xll.xSPRDOPT($K100,$L100,$J100,$M100,$N100,$O100,$P100,$Q100-$C$3,$R100,0)</f>
        <v>#N/A</v>
      </c>
      <c r="T100" s="159" t="e">
        <f>_xll.xSPRDOPT($K100,$L100,$J100,$M100,$N100,$O100,$P100,$Q100-$C$3,$R100,1)*I100</f>
        <v>#N/A</v>
      </c>
      <c r="U100" s="160">
        <v>-101666.56499999989</v>
      </c>
      <c r="V100" s="159" t="e">
        <f>_xll.xSPRDOPT($K100,$L100,$J100,$M100,$N100,$O100,$P100,$Q100-$C$3,$R100,2)*I100</f>
        <v>#N/A</v>
      </c>
      <c r="W100" s="159" t="e">
        <f t="shared" si="49"/>
        <v>#N/A</v>
      </c>
      <c r="X100" s="51" t="str">
        <f t="shared" si="50"/>
        <v>36678IF-ELPO/SJ</v>
      </c>
      <c r="Y100" s="418">
        <f t="shared" si="51"/>
        <v>-33.333300000000001</v>
      </c>
      <c r="Z100" s="51"/>
      <c r="AA100" s="51"/>
      <c r="AB100" s="141">
        <f t="shared" si="38"/>
        <v>36678</v>
      </c>
      <c r="AC100" s="234" t="e">
        <f>_xll.xSPRDOPT(HLOOKUP($D$3,GDPRICES,VLOOKUP(Q100,GDmove_down,2,FALSE),FALSE),HLOOKUP($E$3,GDPRICES,VLOOKUP(Q100,GDmove_down,2,FALSE),FALSE),J100,VLOOKUP(H100,NGPREVPRICES,4,FALSE),HLOOKUP($H$3,GDPrevVols,VLOOKUP(Q100,GDmove_down2,2,FALSE),FALSE),HLOOKUP($H$3,GDPrevVols,VLOOKUP(Q100,GDmove_down2,2,FALSE),FALSE),HLOOKUP(E100,GDcorr,VLOOKUP(H100,CorMove,2,FALSE),FALSE),Q100-$AC$3,R100,$AC$5)*I100-AI100</f>
        <v>#N/A</v>
      </c>
      <c r="AD100" s="234" t="e">
        <f>_xll.xSPRDOPT(HLOOKUP($D$3,GDPrev,VLOOKUP(Q100,GDmove_down,2,FALSE),FALSE),HLOOKUP($E$3,GDPrev,VLOOKUP(Q100,GDmove_down,2,FALSE),FALSE),AJ100,VLOOKUP(H100,NGPrices,4,FALSE),HLOOKUP($H$3,GDPrevVols,VLOOKUP(Q100,GDmove_down2,2,FALSE),FALSE),HLOOKUP($H$3,GDPrevVols,VLOOKUP(Q100,GDmove_down2,2,FALSE),FALSE),HLOOKUP(E100,GDcorr,VLOOKUP(H100,CorMove,2,FALSE),FALSE),Q100-$AC$3,R100,$AI$5)*I100-AI100</f>
        <v>#N/A</v>
      </c>
      <c r="AE100" s="439" t="e">
        <f t="shared" si="39"/>
        <v>#N/A</v>
      </c>
      <c r="AF100" s="234" t="e">
        <f>_xll.xSPRDOPT(HLOOKUP($D$3,GDPrev,VLOOKUP(Q100,GDmove_down,2,FALSE),FALSE),HLOOKUP($E$3,GDPrev,VLOOKUP(Q100,GDmove_down,2,FALSE),FALSE),AJ100,VLOOKUP(H100,NGPREVPRICES,4,FALSE),HLOOKUP($H$3,GDVol,VLOOKUP(H100,move_down,2,FALSE),FALSE),HLOOKUP($H$3,GDVol,VLOOKUP(H100,move_down,2,FALSE),FALSE),HLOOKUP(E100,GDcorr,VLOOKUP(H100,CorMove,2,FALSE),FALSE),Q100-$AC$3,R100,$AI$5)*I100-AI100</f>
        <v>#N/A</v>
      </c>
      <c r="AG100" s="234" t="e">
        <f>_xll.xSPRDOPT(HLOOKUP($D$3,GDPrev,VLOOKUP(Q100,GDmove_down,2,FALSE),FALSE),HLOOKUP($E$3,GDPrev,VLOOKUP(Q100,GDmove_down,2,FALSE),FALSE),AJ100,VLOOKUP(H100,NGPREVPRICES,4,FALSE),HLOOKUP($H$3,GDPrevVols,VLOOKUP(Q100,GDmove_down2,2,FALSE),FALSE),HLOOKUP($H$3,GDPrevVols,VLOOKUP(Q100,GDmove_down2,2,FALSE),FALSE),HLOOKUP(E100,GDcorr,VLOOKUP(H100,CorMove,2,FALSE),FALSE),Q100-$C$3,R100,$AI$5)*I100-AI100</f>
        <v>#N/A</v>
      </c>
      <c r="AH100" s="234" t="e">
        <f t="shared" si="40"/>
        <v>#N/A</v>
      </c>
      <c r="AI100" s="234" t="e">
        <f>_xll.xSPRDOPT(HLOOKUP($D$3,GDPrev,VLOOKUP(Q100,GDmove_down,2,FALSE),FALSE),HLOOKUP($E$3,GDPrev,VLOOKUP(Q100,GDmove_down,2,FALSE),FALSE),AJ100,VLOOKUP(H100,NGPREVPRICES,4,FALSE),HLOOKUP($H$3,GDPrevVols,VLOOKUP(Q100,GDmove_down2,2,FALSE),FALSE),HLOOKUP($H$3,GDPrevVols,VLOOKUP(Q100,GDmove_down2,2,FALSE),FALSE),HLOOKUP(E100,GDcorr,VLOOKUP(H100,CorMove,2,FALSE),FALSE),Q100-$AC$3,R100,$AI$5)*I100</f>
        <v>#N/A</v>
      </c>
      <c r="AJ100" s="235" t="e">
        <f t="shared" si="41"/>
        <v>#N/A</v>
      </c>
      <c r="AK100" s="234"/>
      <c r="AL100" t="str">
        <f t="shared" si="42"/>
        <v>36678Curve Shift/Gamma</v>
      </c>
      <c r="AM100" t="str">
        <f t="shared" si="43"/>
        <v>36678Rho</v>
      </c>
      <c r="AN100" t="str">
        <f t="shared" si="44"/>
        <v>36678Drift</v>
      </c>
      <c r="AO100" t="str">
        <f t="shared" si="45"/>
        <v>36678Vega</v>
      </c>
      <c r="AP100" t="str">
        <f t="shared" si="46"/>
        <v>36678Theta</v>
      </c>
      <c r="AZ100" s="41">
        <f t="shared" si="47"/>
        <v>38991</v>
      </c>
      <c r="BA100" s="44"/>
      <c r="BG100" s="441">
        <v>39326</v>
      </c>
      <c r="BH100">
        <v>0.98499999999999999</v>
      </c>
      <c r="BJ100" s="441">
        <v>39326</v>
      </c>
      <c r="BK100">
        <v>97</v>
      </c>
    </row>
    <row r="101" spans="1:63" ht="12" customHeight="1" x14ac:dyDescent="0.25">
      <c r="A101" s="384" t="s">
        <v>268</v>
      </c>
      <c r="B101" s="155" t="s">
        <v>250</v>
      </c>
      <c r="C101" s="155" t="s">
        <v>387</v>
      </c>
      <c r="D101" s="155" t="s">
        <v>190</v>
      </c>
      <c r="E101" s="4" t="s">
        <v>237</v>
      </c>
      <c r="F101" s="155" t="s">
        <v>20</v>
      </c>
      <c r="G101" s="155" t="s">
        <v>21</v>
      </c>
      <c r="H101" s="354">
        <v>36678</v>
      </c>
      <c r="I101" s="156">
        <v>-10000</v>
      </c>
      <c r="J101" s="7">
        <v>0.46</v>
      </c>
      <c r="K101" s="53">
        <f t="shared" si="35"/>
        <v>4.74</v>
      </c>
      <c r="L101" s="53">
        <f t="shared" si="36"/>
        <v>3.3650000000000002</v>
      </c>
      <c r="M101" s="157">
        <v>1</v>
      </c>
      <c r="N101" s="4">
        <v>0.51500000000000001</v>
      </c>
      <c r="O101" s="4">
        <v>0.51500000000000001</v>
      </c>
      <c r="P101" s="9" t="e">
        <f t="shared" si="37"/>
        <v>#N/A</v>
      </c>
      <c r="Q101" s="5">
        <v>36691</v>
      </c>
      <c r="R101" s="4">
        <f t="shared" si="48"/>
        <v>1</v>
      </c>
      <c r="S101" s="158" t="e">
        <f>_xll.xSPRDOPT($K101,$L101,$J101,$M101,$N101,$O101,$P101,$Q101-$C$3,$R101,0)</f>
        <v>#N/A</v>
      </c>
      <c r="T101" s="159" t="e">
        <f>_xll.xSPRDOPT($K101,$L101,$J101,$M101,$N101,$O101,$P101,$Q101-$C$3,$R101,1)*I101</f>
        <v>#N/A</v>
      </c>
      <c r="U101" s="160">
        <v>-3050</v>
      </c>
      <c r="V101" s="159" t="e">
        <f>_xll.xSPRDOPT($K101,$L101,$J101,$M101,$N101,$O101,$P101,$Q101-$C$3,$R101,2)*I101</f>
        <v>#N/A</v>
      </c>
      <c r="W101" s="159" t="e">
        <f t="shared" si="49"/>
        <v>#N/A</v>
      </c>
      <c r="X101" s="51" t="str">
        <f t="shared" si="50"/>
        <v>36678IF-ELPO/SJ</v>
      </c>
      <c r="Y101" s="418">
        <f t="shared" si="51"/>
        <v>-1</v>
      </c>
      <c r="Z101" s="51"/>
      <c r="AA101" s="51"/>
      <c r="AB101" s="141">
        <f t="shared" si="38"/>
        <v>36678</v>
      </c>
      <c r="AC101" s="234" t="e">
        <f>_xll.xSPRDOPT(HLOOKUP($D$3,GDPRICES,VLOOKUP(Q101,GDmove_down,2,FALSE),FALSE),HLOOKUP($E$3,GDPRICES,VLOOKUP(Q101,GDmove_down,2,FALSE),FALSE),J101,VLOOKUP(H101,NGPREVPRICES,4,FALSE),HLOOKUP($H$3,GDPrevVols,VLOOKUP(Q101,GDmove_down2,2,FALSE),FALSE),HLOOKUP($H$3,GDPrevVols,VLOOKUP(Q101,GDmove_down2,2,FALSE),FALSE),HLOOKUP(E101,GDcorr,VLOOKUP(H101,CorMove,2,FALSE),FALSE),Q101-$AC$3,R101,$AC$5)*I101-AI101</f>
        <v>#N/A</v>
      </c>
      <c r="AD101" s="234" t="e">
        <f>_xll.xSPRDOPT(HLOOKUP($D$3,GDPrev,VLOOKUP(Q101,GDmove_down,2,FALSE),FALSE),HLOOKUP($E$3,GDPrev,VLOOKUP(Q101,GDmove_down,2,FALSE),FALSE),AJ101,VLOOKUP(H101,NGPrices,4,FALSE),HLOOKUP($H$3,GDPrevVols,VLOOKUP(Q101,GDmove_down2,2,FALSE),FALSE),HLOOKUP($H$3,GDPrevVols,VLOOKUP(Q101,GDmove_down2,2,FALSE),FALSE),HLOOKUP(E101,GDcorr,VLOOKUP(H101,CorMove,2,FALSE),FALSE),Q101-$AC$3,R101,$AI$5)*I101-AI101</f>
        <v>#N/A</v>
      </c>
      <c r="AE101" s="439" t="e">
        <f t="shared" si="39"/>
        <v>#N/A</v>
      </c>
      <c r="AF101" s="234" t="e">
        <f>_xll.xSPRDOPT(HLOOKUP($D$3,GDPrev,VLOOKUP(Q101,GDmove_down,2,FALSE),FALSE),HLOOKUP($E$3,GDPrev,VLOOKUP(Q101,GDmove_down,2,FALSE),FALSE),AJ101,VLOOKUP(H101,NGPREVPRICES,4,FALSE),HLOOKUP($H$3,GDVol,VLOOKUP(H101,move_down,2,FALSE),FALSE),HLOOKUP($H$3,GDVol,VLOOKUP(H101,move_down,2,FALSE),FALSE),HLOOKUP(E101,GDcorr,VLOOKUP(H101,CorMove,2,FALSE),FALSE),Q101-$AC$3,R101,$AI$5)*I101-AI101</f>
        <v>#N/A</v>
      </c>
      <c r="AG101" s="234" t="e">
        <f>_xll.xSPRDOPT(HLOOKUP($D$3,GDPrev,VLOOKUP(Q101,GDmove_down,2,FALSE),FALSE),HLOOKUP($E$3,GDPrev,VLOOKUP(Q101,GDmove_down,2,FALSE),FALSE),AJ101,VLOOKUP(H101,NGPREVPRICES,4,FALSE),HLOOKUP($H$3,GDPrevVols,VLOOKUP(Q101,GDmove_down2,2,FALSE),FALSE),HLOOKUP($H$3,GDPrevVols,VLOOKUP(Q101,GDmove_down2,2,FALSE),FALSE),HLOOKUP(E101,GDcorr,VLOOKUP(H101,CorMove,2,FALSE),FALSE),Q101-$C$3,R101,$AI$5)*I101-AI101</f>
        <v>#N/A</v>
      </c>
      <c r="AH101" s="234" t="e">
        <f t="shared" si="40"/>
        <v>#N/A</v>
      </c>
      <c r="AI101" s="234" t="e">
        <f>_xll.xSPRDOPT(HLOOKUP($D$3,GDPrev,VLOOKUP(Q101,GDmove_down,2,FALSE),FALSE),HLOOKUP($E$3,GDPrev,VLOOKUP(Q101,GDmove_down,2,FALSE),FALSE),AJ101,VLOOKUP(H101,NGPREVPRICES,4,FALSE),HLOOKUP($H$3,GDPrevVols,VLOOKUP(Q101,GDmove_down2,2,FALSE),FALSE),HLOOKUP($H$3,GDPrevVols,VLOOKUP(Q101,GDmove_down2,2,FALSE),FALSE),HLOOKUP(E101,GDcorr,VLOOKUP(H101,CorMove,2,FALSE),FALSE),Q101-$AC$3,R101,$AI$5)*I101</f>
        <v>#N/A</v>
      </c>
      <c r="AJ101" s="235" t="e">
        <f t="shared" si="41"/>
        <v>#N/A</v>
      </c>
      <c r="AK101" s="234"/>
      <c r="AL101" t="str">
        <f t="shared" si="42"/>
        <v>36678Curve Shift/Gamma</v>
      </c>
      <c r="AM101" t="str">
        <f t="shared" si="43"/>
        <v>36678Rho</v>
      </c>
      <c r="AN101" t="str">
        <f t="shared" si="44"/>
        <v>36678Drift</v>
      </c>
      <c r="AO101" t="str">
        <f t="shared" si="45"/>
        <v>36678Vega</v>
      </c>
      <c r="AP101" t="str">
        <f t="shared" si="46"/>
        <v>36678Theta</v>
      </c>
      <c r="AZ101" s="41">
        <f t="shared" si="47"/>
        <v>39022</v>
      </c>
      <c r="BA101" s="44"/>
      <c r="BG101" s="441">
        <v>39356</v>
      </c>
      <c r="BH101">
        <v>0.98499999999999999</v>
      </c>
      <c r="BJ101" s="441">
        <v>39356</v>
      </c>
      <c r="BK101">
        <v>98</v>
      </c>
    </row>
    <row r="102" spans="1:63" ht="12" customHeight="1" x14ac:dyDescent="0.25">
      <c r="A102" s="384" t="s">
        <v>279</v>
      </c>
      <c r="B102" s="155" t="s">
        <v>250</v>
      </c>
      <c r="C102" s="155" t="s">
        <v>388</v>
      </c>
      <c r="D102" s="155" t="s">
        <v>190</v>
      </c>
      <c r="E102" s="4" t="s">
        <v>237</v>
      </c>
      <c r="F102" s="155" t="s">
        <v>20</v>
      </c>
      <c r="G102" s="155" t="s">
        <v>21</v>
      </c>
      <c r="H102" s="354">
        <v>36678</v>
      </c>
      <c r="I102" s="156">
        <v>50000</v>
      </c>
      <c r="J102" s="7">
        <v>0.46</v>
      </c>
      <c r="K102" s="53">
        <f t="shared" si="35"/>
        <v>4.74</v>
      </c>
      <c r="L102" s="53">
        <f t="shared" si="36"/>
        <v>3.3650000000000002</v>
      </c>
      <c r="M102" s="157">
        <v>1</v>
      </c>
      <c r="N102" s="4">
        <v>0.51500000000000001</v>
      </c>
      <c r="O102" s="4">
        <v>0.51500000000000001</v>
      </c>
      <c r="P102" s="9" t="e">
        <f t="shared" si="37"/>
        <v>#N/A</v>
      </c>
      <c r="Q102" s="5">
        <v>36691</v>
      </c>
      <c r="R102" s="4">
        <f t="shared" si="48"/>
        <v>1</v>
      </c>
      <c r="S102" s="158" t="e">
        <f>_xll.xSPRDOPT($K102,$L102,$J102,$M102,$N102,$O102,$P102,$Q102-$C$3,$R102,0)</f>
        <v>#N/A</v>
      </c>
      <c r="T102" s="159" t="e">
        <f>_xll.xSPRDOPT($K102,$L102,$J102,$M102,$N102,$O102,$P102,$Q102-$C$3,$R102,1)*I102</f>
        <v>#N/A</v>
      </c>
      <c r="U102" s="160">
        <v>15250</v>
      </c>
      <c r="V102" s="159" t="e">
        <f>_xll.xSPRDOPT($K102,$L102,$J102,$M102,$N102,$O102,$P102,$Q102-$C$3,$R102,2)*I102</f>
        <v>#N/A</v>
      </c>
      <c r="W102" s="159" t="e">
        <f t="shared" si="49"/>
        <v>#N/A</v>
      </c>
      <c r="X102" s="51" t="str">
        <f t="shared" si="50"/>
        <v>36678IF-ELPO/SJ</v>
      </c>
      <c r="Y102" s="418">
        <f t="shared" si="51"/>
        <v>5</v>
      </c>
      <c r="Z102" s="51"/>
      <c r="AA102" s="51"/>
      <c r="AB102" s="141">
        <f t="shared" si="38"/>
        <v>36678</v>
      </c>
      <c r="AC102" s="234" t="e">
        <f>_xll.xSPRDOPT(HLOOKUP($D$3,GDPRICES,VLOOKUP(Q102,GDmove_down,2,FALSE),FALSE),HLOOKUP($E$3,GDPRICES,VLOOKUP(Q102,GDmove_down,2,FALSE),FALSE),J102,VLOOKUP(H102,NGPREVPRICES,4,FALSE),HLOOKUP($H$3,GDPrevVols,VLOOKUP(Q102,GDmove_down2,2,FALSE),FALSE),HLOOKUP($H$3,GDPrevVols,VLOOKUP(Q102,GDmove_down2,2,FALSE),FALSE),HLOOKUP(E102,GDcorr,VLOOKUP(H102,CorMove,2,FALSE),FALSE),Q102-$AC$3,R102,$AC$5)*I102-AI102</f>
        <v>#N/A</v>
      </c>
      <c r="AD102" s="234" t="e">
        <f>_xll.xSPRDOPT(HLOOKUP($D$3,GDPrev,VLOOKUP(Q102,GDmove_down,2,FALSE),FALSE),HLOOKUP($E$3,GDPrev,VLOOKUP(Q102,GDmove_down,2,FALSE),FALSE),AJ102,VLOOKUP(H102,NGPrices,4,FALSE),HLOOKUP($H$3,GDPrevVols,VLOOKUP(Q102,GDmove_down2,2,FALSE),FALSE),HLOOKUP($H$3,GDPrevVols,VLOOKUP(Q102,GDmove_down2,2,FALSE),FALSE),HLOOKUP(E102,GDcorr,VLOOKUP(H102,CorMove,2,FALSE),FALSE),Q102-$AC$3,R102,$AI$5)*I102-AI102</f>
        <v>#N/A</v>
      </c>
      <c r="AE102" s="439" t="e">
        <f t="shared" si="39"/>
        <v>#N/A</v>
      </c>
      <c r="AF102" s="234" t="e">
        <f>_xll.xSPRDOPT(HLOOKUP($D$3,GDPrev,VLOOKUP(Q102,GDmove_down,2,FALSE),FALSE),HLOOKUP($E$3,GDPrev,VLOOKUP(Q102,GDmove_down,2,FALSE),FALSE),AJ102,VLOOKUP(H102,NGPREVPRICES,4,FALSE),HLOOKUP($H$3,GDVol,VLOOKUP(H102,move_down,2,FALSE),FALSE),HLOOKUP($H$3,GDVol,VLOOKUP(H102,move_down,2,FALSE),FALSE),HLOOKUP(E102,GDcorr,VLOOKUP(H102,CorMove,2,FALSE),FALSE),Q102-$AC$3,R102,$AI$5)*I102-AI102</f>
        <v>#N/A</v>
      </c>
      <c r="AG102" s="234" t="e">
        <f>_xll.xSPRDOPT(HLOOKUP($D$3,GDPrev,VLOOKUP(Q102,GDmove_down,2,FALSE),FALSE),HLOOKUP($E$3,GDPrev,VLOOKUP(Q102,GDmove_down,2,FALSE),FALSE),AJ102,VLOOKUP(H102,NGPREVPRICES,4,FALSE),HLOOKUP($H$3,GDPrevVols,VLOOKUP(Q102,GDmove_down2,2,FALSE),FALSE),HLOOKUP($H$3,GDPrevVols,VLOOKUP(Q102,GDmove_down2,2,FALSE),FALSE),HLOOKUP(E102,GDcorr,VLOOKUP(H102,CorMove,2,FALSE),FALSE),Q102-$C$3,R102,$AI$5)*I102-AI102</f>
        <v>#N/A</v>
      </c>
      <c r="AH102" s="234" t="e">
        <f t="shared" si="40"/>
        <v>#N/A</v>
      </c>
      <c r="AI102" s="234" t="e">
        <f>_xll.xSPRDOPT(HLOOKUP($D$3,GDPrev,VLOOKUP(Q102,GDmove_down,2,FALSE),FALSE),HLOOKUP($E$3,GDPrev,VLOOKUP(Q102,GDmove_down,2,FALSE),FALSE),AJ102,VLOOKUP(H102,NGPREVPRICES,4,FALSE),HLOOKUP($H$3,GDPrevVols,VLOOKUP(Q102,GDmove_down2,2,FALSE),FALSE),HLOOKUP($H$3,GDPrevVols,VLOOKUP(Q102,GDmove_down2,2,FALSE),FALSE),HLOOKUP(E102,GDcorr,VLOOKUP(H102,CorMove,2,FALSE),FALSE),Q102-$AC$3,R102,$AI$5)*I102</f>
        <v>#N/A</v>
      </c>
      <c r="AJ102" s="235" t="e">
        <f t="shared" si="41"/>
        <v>#N/A</v>
      </c>
      <c r="AK102" s="234"/>
      <c r="AL102" t="str">
        <f t="shared" si="42"/>
        <v>36678Curve Shift/Gamma</v>
      </c>
      <c r="AM102" t="str">
        <f t="shared" si="43"/>
        <v>36678Rho</v>
      </c>
      <c r="AN102" t="str">
        <f t="shared" si="44"/>
        <v>36678Drift</v>
      </c>
      <c r="AO102" t="str">
        <f t="shared" si="45"/>
        <v>36678Vega</v>
      </c>
      <c r="AP102" t="str">
        <f t="shared" si="46"/>
        <v>36678Theta</v>
      </c>
      <c r="AZ102" s="41">
        <f t="shared" si="47"/>
        <v>39052</v>
      </c>
      <c r="BA102" s="44"/>
      <c r="BG102" s="441">
        <v>39387</v>
      </c>
      <c r="BH102">
        <v>0.97048500000000038</v>
      </c>
      <c r="BJ102" s="441">
        <v>39387</v>
      </c>
      <c r="BK102">
        <v>99</v>
      </c>
    </row>
    <row r="103" spans="1:63" ht="12" customHeight="1" x14ac:dyDescent="0.25">
      <c r="A103" s="384" t="s">
        <v>279</v>
      </c>
      <c r="B103" s="155" t="s">
        <v>250</v>
      </c>
      <c r="C103" s="155" t="s">
        <v>389</v>
      </c>
      <c r="D103" s="155" t="s">
        <v>190</v>
      </c>
      <c r="E103" s="4" t="s">
        <v>237</v>
      </c>
      <c r="F103" s="155" t="s">
        <v>20</v>
      </c>
      <c r="G103" s="155" t="s">
        <v>21</v>
      </c>
      <c r="H103" s="354">
        <v>36678</v>
      </c>
      <c r="I103" s="156">
        <v>50000</v>
      </c>
      <c r="J103" s="7">
        <v>0.46</v>
      </c>
      <c r="K103" s="53">
        <f t="shared" si="35"/>
        <v>4.74</v>
      </c>
      <c r="L103" s="53">
        <f t="shared" si="36"/>
        <v>3.3650000000000002</v>
      </c>
      <c r="M103" s="157">
        <v>1</v>
      </c>
      <c r="N103" s="4">
        <v>0.51500000000000001</v>
      </c>
      <c r="O103" s="4">
        <v>0.51500000000000001</v>
      </c>
      <c r="P103" s="9" t="e">
        <f t="shared" si="37"/>
        <v>#N/A</v>
      </c>
      <c r="Q103" s="5">
        <v>36691</v>
      </c>
      <c r="R103" s="4">
        <f t="shared" si="48"/>
        <v>1</v>
      </c>
      <c r="S103" s="158" t="e">
        <f>_xll.xSPRDOPT($K103,$L103,$J103,$M103,$N103,$O103,$P103,$Q103-$C$3,$R103,0)</f>
        <v>#N/A</v>
      </c>
      <c r="T103" s="159" t="e">
        <f>_xll.xSPRDOPT($K103,$L103,$J103,$M103,$N103,$O103,$P103,$Q103-$C$3,$R103,1)*I103</f>
        <v>#N/A</v>
      </c>
      <c r="U103" s="160">
        <v>15250</v>
      </c>
      <c r="V103" s="159" t="e">
        <f>_xll.xSPRDOPT($K103,$L103,$J103,$M103,$N103,$O103,$P103,$Q103-$C$3,$R103,2)*I103</f>
        <v>#N/A</v>
      </c>
      <c r="W103" s="159" t="e">
        <f t="shared" si="49"/>
        <v>#N/A</v>
      </c>
      <c r="X103" s="51" t="str">
        <f t="shared" si="50"/>
        <v>36678IF-ELPO/SJ</v>
      </c>
      <c r="Y103" s="418">
        <f t="shared" si="51"/>
        <v>5</v>
      </c>
      <c r="Z103" s="51"/>
      <c r="AA103" s="51"/>
      <c r="AB103" s="141">
        <f t="shared" si="38"/>
        <v>36678</v>
      </c>
      <c r="AC103" s="234" t="e">
        <f>_xll.xSPRDOPT(HLOOKUP($D$3,GDPRICES,VLOOKUP(Q103,GDmove_down,2,FALSE),FALSE),HLOOKUP($E$3,GDPRICES,VLOOKUP(Q103,GDmove_down,2,FALSE),FALSE),J103,VLOOKUP(H103,NGPREVPRICES,4,FALSE),HLOOKUP($H$3,GDPrevVols,VLOOKUP(Q103,GDmove_down2,2,FALSE),FALSE),HLOOKUP($H$3,GDPrevVols,VLOOKUP(Q103,GDmove_down2,2,FALSE),FALSE),HLOOKUP(E103,GDcorr,VLOOKUP(H103,CorMove,2,FALSE),FALSE),Q103-$AC$3,R103,$AC$5)*I103-AI103</f>
        <v>#N/A</v>
      </c>
      <c r="AD103" s="234" t="e">
        <f>_xll.xSPRDOPT(HLOOKUP($D$3,GDPrev,VLOOKUP(Q103,GDmove_down,2,FALSE),FALSE),HLOOKUP($E$3,GDPrev,VLOOKUP(Q103,GDmove_down,2,FALSE),FALSE),AJ103,VLOOKUP(H103,NGPrices,4,FALSE),HLOOKUP($H$3,GDPrevVols,VLOOKUP(Q103,GDmove_down2,2,FALSE),FALSE),HLOOKUP($H$3,GDPrevVols,VLOOKUP(Q103,GDmove_down2,2,FALSE),FALSE),HLOOKUP(E103,GDcorr,VLOOKUP(H103,CorMove,2,FALSE),FALSE),Q103-$AC$3,R103,$AI$5)*I103-AI103</f>
        <v>#N/A</v>
      </c>
      <c r="AE103" s="439" t="e">
        <f t="shared" si="39"/>
        <v>#N/A</v>
      </c>
      <c r="AF103" s="234" t="e">
        <f>_xll.xSPRDOPT(HLOOKUP($D$3,GDPrev,VLOOKUP(Q103,GDmove_down,2,FALSE),FALSE),HLOOKUP($E$3,GDPrev,VLOOKUP(Q103,GDmove_down,2,FALSE),FALSE),AJ103,VLOOKUP(H103,NGPREVPRICES,4,FALSE),HLOOKUP($H$3,GDVol,VLOOKUP(H103,move_down,2,FALSE),FALSE),HLOOKUP($H$3,GDVol,VLOOKUP(H103,move_down,2,FALSE),FALSE),HLOOKUP(E103,GDcorr,VLOOKUP(H103,CorMove,2,FALSE),FALSE),Q103-$AC$3,R103,$AI$5)*I103-AI103</f>
        <v>#N/A</v>
      </c>
      <c r="AG103" s="234" t="e">
        <f>_xll.xSPRDOPT(HLOOKUP($D$3,GDPrev,VLOOKUP(Q103,GDmove_down,2,FALSE),FALSE),HLOOKUP($E$3,GDPrev,VLOOKUP(Q103,GDmove_down,2,FALSE),FALSE),AJ103,VLOOKUP(H103,NGPREVPRICES,4,FALSE),HLOOKUP($H$3,GDPrevVols,VLOOKUP(Q103,GDmove_down2,2,FALSE),FALSE),HLOOKUP($H$3,GDPrevVols,VLOOKUP(Q103,GDmove_down2,2,FALSE),FALSE),HLOOKUP(E103,GDcorr,VLOOKUP(H103,CorMove,2,FALSE),FALSE),Q103-$C$3,R103,$AI$5)*I103-AI103</f>
        <v>#N/A</v>
      </c>
      <c r="AH103" s="234" t="e">
        <f t="shared" si="40"/>
        <v>#N/A</v>
      </c>
      <c r="AI103" s="234" t="e">
        <f>_xll.xSPRDOPT(HLOOKUP($D$3,GDPrev,VLOOKUP(Q103,GDmove_down,2,FALSE),FALSE),HLOOKUP($E$3,GDPrev,VLOOKUP(Q103,GDmove_down,2,FALSE),FALSE),AJ103,VLOOKUP(H103,NGPREVPRICES,4,FALSE),HLOOKUP($H$3,GDPrevVols,VLOOKUP(Q103,GDmove_down2,2,FALSE),FALSE),HLOOKUP($H$3,GDPrevVols,VLOOKUP(Q103,GDmove_down2,2,FALSE),FALSE),HLOOKUP(E103,GDcorr,VLOOKUP(H103,CorMove,2,FALSE),FALSE),Q103-$AC$3,R103,$AI$5)*I103</f>
        <v>#N/A</v>
      </c>
      <c r="AJ103" s="235" t="e">
        <f t="shared" si="41"/>
        <v>#N/A</v>
      </c>
      <c r="AK103" s="234"/>
      <c r="AL103" t="str">
        <f t="shared" si="42"/>
        <v>36678Curve Shift/Gamma</v>
      </c>
      <c r="AM103" t="str">
        <f t="shared" si="43"/>
        <v>36678Rho</v>
      </c>
      <c r="AN103" t="str">
        <f t="shared" si="44"/>
        <v>36678Drift</v>
      </c>
      <c r="AO103" t="str">
        <f t="shared" si="45"/>
        <v>36678Vega</v>
      </c>
      <c r="AP103" t="str">
        <f t="shared" si="46"/>
        <v>36678Theta</v>
      </c>
      <c r="AZ103" s="41">
        <f t="shared" si="47"/>
        <v>39083</v>
      </c>
      <c r="BA103" s="44"/>
      <c r="BG103" s="441">
        <v>39417</v>
      </c>
      <c r="BH103">
        <v>0.97048500000000038</v>
      </c>
      <c r="BJ103" s="441">
        <v>39417</v>
      </c>
      <c r="BK103">
        <v>100</v>
      </c>
    </row>
    <row r="104" spans="1:63" ht="12" customHeight="1" x14ac:dyDescent="0.25">
      <c r="A104" s="384" t="s">
        <v>279</v>
      </c>
      <c r="B104" s="155" t="s">
        <v>250</v>
      </c>
      <c r="C104" s="155" t="s">
        <v>398</v>
      </c>
      <c r="D104" s="155" t="s">
        <v>190</v>
      </c>
      <c r="E104" s="4" t="s">
        <v>237</v>
      </c>
      <c r="F104" s="155" t="s">
        <v>20</v>
      </c>
      <c r="G104" s="155" t="s">
        <v>21</v>
      </c>
      <c r="H104" s="354">
        <v>36678</v>
      </c>
      <c r="I104" s="156">
        <v>-10000</v>
      </c>
      <c r="J104" s="7">
        <v>0.46</v>
      </c>
      <c r="K104" s="53">
        <f t="shared" si="35"/>
        <v>4.74</v>
      </c>
      <c r="L104" s="53">
        <f t="shared" si="36"/>
        <v>3.3650000000000002</v>
      </c>
      <c r="M104" s="157">
        <v>1</v>
      </c>
      <c r="N104" s="4">
        <v>0.51500000000000001</v>
      </c>
      <c r="O104" s="4">
        <v>0.51500000000000001</v>
      </c>
      <c r="P104" s="9" t="e">
        <f t="shared" si="37"/>
        <v>#N/A</v>
      </c>
      <c r="Q104" s="5">
        <v>36691</v>
      </c>
      <c r="R104" s="4">
        <f t="shared" si="48"/>
        <v>1</v>
      </c>
      <c r="S104" s="158" t="e">
        <f>_xll.xSPRDOPT($K104,$L104,$J104,$M104,$N104,$O104,$P104,$Q104-$C$3,$R104,0)</f>
        <v>#N/A</v>
      </c>
      <c r="T104" s="159" t="e">
        <f>_xll.xSPRDOPT($K104,$L104,$J104,$M104,$N104,$O104,$P104,$Q104-$C$3,$R104,1)*I104</f>
        <v>#N/A</v>
      </c>
      <c r="U104" s="160">
        <v>-3050</v>
      </c>
      <c r="V104" s="159" t="e">
        <f>_xll.xSPRDOPT($K104,$L104,$J104,$M104,$N104,$O104,$P104,$Q104-$C$3,$R104,2)*I104</f>
        <v>#N/A</v>
      </c>
      <c r="W104" s="159" t="e">
        <f t="shared" si="49"/>
        <v>#N/A</v>
      </c>
      <c r="X104" s="51" t="str">
        <f t="shared" si="50"/>
        <v>36678IF-ELPO/SJ</v>
      </c>
      <c r="Y104" s="418">
        <f t="shared" si="51"/>
        <v>-1</v>
      </c>
      <c r="AA104" s="51"/>
      <c r="AB104" s="141">
        <f t="shared" si="38"/>
        <v>36678</v>
      </c>
      <c r="AC104" s="234" t="e">
        <f>_xll.xSPRDOPT(HLOOKUP($D$3,GDPRICES,VLOOKUP(Q104,GDmove_down,2,FALSE),FALSE),HLOOKUP($E$3,GDPRICES,VLOOKUP(Q104,GDmove_down,2,FALSE),FALSE),J104,VLOOKUP(H104,NGPREVPRICES,4,FALSE),HLOOKUP($H$3,GDPrevVols,VLOOKUP(Q104,GDmove_down2,2,FALSE),FALSE),HLOOKUP($H$3,GDPrevVols,VLOOKUP(Q104,GDmove_down2,2,FALSE),FALSE),HLOOKUP(E104,GDcorr,VLOOKUP(H104,CorMove,2,FALSE),FALSE),Q104-$AC$3,R104,$AC$5)*I104-AI104</f>
        <v>#N/A</v>
      </c>
      <c r="AD104" s="234" t="e">
        <f>_xll.xSPRDOPT(HLOOKUP($D$3,GDPrev,VLOOKUP(Q104,GDmove_down,2,FALSE),FALSE),HLOOKUP($E$3,GDPrev,VLOOKUP(Q104,GDmove_down,2,FALSE),FALSE),AJ104,VLOOKUP(H104,NGPrices,4,FALSE),HLOOKUP($H$3,GDPrevVols,VLOOKUP(Q104,GDmove_down2,2,FALSE),FALSE),HLOOKUP($H$3,GDPrevVols,VLOOKUP(Q104,GDmove_down2,2,FALSE),FALSE),HLOOKUP(E104,GDcorr,VLOOKUP(H104,CorMove,2,FALSE),FALSE),Q104-$AC$3,R104,$AI$5)*I104-AI104</f>
        <v>#N/A</v>
      </c>
      <c r="AE104" s="439" t="e">
        <f t="shared" si="39"/>
        <v>#N/A</v>
      </c>
      <c r="AF104" s="234" t="e">
        <f>_xll.xSPRDOPT(HLOOKUP($D$3,GDPrev,VLOOKUP(Q104,GDmove_down,2,FALSE),FALSE),HLOOKUP($E$3,GDPrev,VLOOKUP(Q104,GDmove_down,2,FALSE),FALSE),AJ104,VLOOKUP(H104,NGPREVPRICES,4,FALSE),HLOOKUP($H$3,GDVol,VLOOKUP(H104,move_down,2,FALSE),FALSE),HLOOKUP($H$3,GDVol,VLOOKUP(H104,move_down,2,FALSE),FALSE),HLOOKUP(E104,GDcorr,VLOOKUP(H104,CorMove,2,FALSE),FALSE),Q104-$AC$3,R104,$AI$5)*I104-AI104</f>
        <v>#N/A</v>
      </c>
      <c r="AG104" s="234" t="e">
        <f>_xll.xSPRDOPT(HLOOKUP($D$3,GDPrev,VLOOKUP(Q104,GDmove_down,2,FALSE),FALSE),HLOOKUP($E$3,GDPrev,VLOOKUP(Q104,GDmove_down,2,FALSE),FALSE),AJ104,VLOOKUP(H104,NGPREVPRICES,4,FALSE),HLOOKUP($H$3,GDPrevVols,VLOOKUP(Q104,GDmove_down2,2,FALSE),FALSE),HLOOKUP($H$3,GDPrevVols,VLOOKUP(Q104,GDmove_down2,2,FALSE),FALSE),HLOOKUP(E104,GDcorr,VLOOKUP(H104,CorMove,2,FALSE),FALSE),Q104-$C$3,R104,$AI$5)*I104-AI104</f>
        <v>#N/A</v>
      </c>
      <c r="AH104" s="234" t="e">
        <f t="shared" si="40"/>
        <v>#N/A</v>
      </c>
      <c r="AI104" s="234" t="e">
        <f>_xll.xSPRDOPT(HLOOKUP($D$3,GDPrev,VLOOKUP(Q104,GDmove_down,2,FALSE),FALSE),HLOOKUP($E$3,GDPrev,VLOOKUP(Q104,GDmove_down,2,FALSE),FALSE),AJ104,VLOOKUP(H104,NGPREVPRICES,4,FALSE),HLOOKUP($H$3,GDPrevVols,VLOOKUP(Q104,GDmove_down2,2,FALSE),FALSE),HLOOKUP($H$3,GDPrevVols,VLOOKUP(Q104,GDmove_down2,2,FALSE),FALSE),HLOOKUP(E104,GDcorr,VLOOKUP(H104,CorMove,2,FALSE),FALSE),Q104-$AC$3,R104,$AI$5)*I104</f>
        <v>#N/A</v>
      </c>
      <c r="AJ104" s="235" t="e">
        <f t="shared" si="41"/>
        <v>#N/A</v>
      </c>
      <c r="AK104" s="234"/>
      <c r="AL104" t="str">
        <f t="shared" si="42"/>
        <v>36678Curve Shift/Gamma</v>
      </c>
      <c r="AM104" t="str">
        <f t="shared" si="43"/>
        <v>36678Rho</v>
      </c>
      <c r="AN104" t="str">
        <f t="shared" si="44"/>
        <v>36678Drift</v>
      </c>
      <c r="AO104" t="str">
        <f t="shared" si="45"/>
        <v>36678Vega</v>
      </c>
      <c r="AP104" t="str">
        <f t="shared" si="46"/>
        <v>36678Theta</v>
      </c>
      <c r="AZ104" s="41">
        <f t="shared" si="47"/>
        <v>39114</v>
      </c>
      <c r="BA104" s="44"/>
      <c r="BG104" s="441">
        <v>39448</v>
      </c>
      <c r="BH104">
        <v>0.98499999999999999</v>
      </c>
      <c r="BJ104" s="441">
        <v>39448</v>
      </c>
      <c r="BK104">
        <v>101</v>
      </c>
    </row>
    <row r="105" spans="1:63" ht="12" customHeight="1" x14ac:dyDescent="0.25">
      <c r="A105" s="382" t="s">
        <v>279</v>
      </c>
      <c r="B105" s="155" t="s">
        <v>250</v>
      </c>
      <c r="C105" s="155" t="s">
        <v>360</v>
      </c>
      <c r="D105" s="155" t="s">
        <v>190</v>
      </c>
      <c r="E105" s="4" t="s">
        <v>237</v>
      </c>
      <c r="F105" s="155" t="s">
        <v>20</v>
      </c>
      <c r="G105" s="155" t="s">
        <v>21</v>
      </c>
      <c r="H105" s="354">
        <v>36678</v>
      </c>
      <c r="I105" s="156">
        <v>-50000</v>
      </c>
      <c r="J105" s="7">
        <v>0.46</v>
      </c>
      <c r="K105" s="53">
        <f t="shared" si="35"/>
        <v>4.7649999999999997</v>
      </c>
      <c r="L105" s="53">
        <f t="shared" si="36"/>
        <v>3.46</v>
      </c>
      <c r="M105" s="157">
        <v>1</v>
      </c>
      <c r="N105" s="4">
        <v>0.51500000000000001</v>
      </c>
      <c r="O105" s="4">
        <v>0.51500000000000001</v>
      </c>
      <c r="P105" s="9" t="e">
        <f t="shared" si="37"/>
        <v>#N/A</v>
      </c>
      <c r="Q105" s="5">
        <v>36692</v>
      </c>
      <c r="R105" s="4">
        <f t="shared" si="48"/>
        <v>1</v>
      </c>
      <c r="S105" s="158" t="e">
        <f>_xll.xSPRDOPT($K105,$L105,$J105,$M105,$N105,$O105,$P105,$Q105-$C$3,$R105,0)</f>
        <v>#N/A</v>
      </c>
      <c r="T105" s="159" t="e">
        <f>_xll.xSPRDOPT($K105,$L105,$J105,$M105,$N105,$O105,$P105,$Q105-$C$3,$R105,1)*I105</f>
        <v>#N/A</v>
      </c>
      <c r="U105" s="160">
        <v>-16250</v>
      </c>
      <c r="V105" s="159" t="e">
        <f>_xll.xSPRDOPT($K105,$L105,$J105,$M105,$N105,$O105,$P105,$Q105-$C$3,$R105,2)*I105</f>
        <v>#N/A</v>
      </c>
      <c r="W105" s="159" t="e">
        <f t="shared" si="49"/>
        <v>#N/A</v>
      </c>
      <c r="X105" s="51" t="str">
        <f t="shared" si="50"/>
        <v>36678IF-ELPO/SJ</v>
      </c>
      <c r="Y105" s="418">
        <f t="shared" si="51"/>
        <v>-5</v>
      </c>
      <c r="AA105" s="51"/>
      <c r="AB105" s="141">
        <f t="shared" si="38"/>
        <v>36678</v>
      </c>
      <c r="AC105" s="234" t="e">
        <f>_xll.xSPRDOPT(HLOOKUP($D$3,GDPRICES,VLOOKUP(Q105,GDmove_down,2,FALSE),FALSE),HLOOKUP($E$3,GDPRICES,VLOOKUP(Q105,GDmove_down,2,FALSE),FALSE),J105,VLOOKUP(H105,NGPREVPRICES,4,FALSE),HLOOKUP($H$3,GDPrevVols,VLOOKUP(Q105,GDmove_down2,2,FALSE),FALSE),HLOOKUP($H$3,GDPrevVols,VLOOKUP(Q105,GDmove_down2,2,FALSE),FALSE),HLOOKUP(E105,GDcorr,VLOOKUP(H105,CorMove,2,FALSE),FALSE),Q105-$AC$3,R105,$AC$5)*I105-AI105</f>
        <v>#N/A</v>
      </c>
      <c r="AD105" s="234" t="e">
        <f>_xll.xSPRDOPT(HLOOKUP($D$3,GDPrev,VLOOKUP(Q105,GDmove_down,2,FALSE),FALSE),HLOOKUP($E$3,GDPrev,VLOOKUP(Q105,GDmove_down,2,FALSE),FALSE),AJ105,VLOOKUP(H105,NGPrices,4,FALSE),HLOOKUP($H$3,GDPrevVols,VLOOKUP(Q105,GDmove_down2,2,FALSE),FALSE),HLOOKUP($H$3,GDPrevVols,VLOOKUP(Q105,GDmove_down2,2,FALSE),FALSE),HLOOKUP(E105,GDcorr,VLOOKUP(H105,CorMove,2,FALSE),FALSE),Q105-$AC$3,R105,$AI$5)*I105-AI105</f>
        <v>#N/A</v>
      </c>
      <c r="AE105" s="439" t="e">
        <f t="shared" si="39"/>
        <v>#N/A</v>
      </c>
      <c r="AF105" s="234" t="e">
        <f>_xll.xSPRDOPT(HLOOKUP($D$3,GDPrev,VLOOKUP(Q105,GDmove_down,2,FALSE),FALSE),HLOOKUP($E$3,GDPrev,VLOOKUP(Q105,GDmove_down,2,FALSE),FALSE),AJ105,VLOOKUP(H105,NGPREVPRICES,4,FALSE),HLOOKUP($H$3,GDVol,VLOOKUP(H105,move_down,2,FALSE),FALSE),HLOOKUP($H$3,GDVol,VLOOKUP(H105,move_down,2,FALSE),FALSE),HLOOKUP(E105,GDcorr,VLOOKUP(H105,CorMove,2,FALSE),FALSE),Q105-$AC$3,R105,$AI$5)*I105-AI105</f>
        <v>#N/A</v>
      </c>
      <c r="AG105" s="234" t="e">
        <f>_xll.xSPRDOPT(HLOOKUP($D$3,GDPrev,VLOOKUP(Q105,GDmove_down,2,FALSE),FALSE),HLOOKUP($E$3,GDPrev,VLOOKUP(Q105,GDmove_down,2,FALSE),FALSE),AJ105,VLOOKUP(H105,NGPREVPRICES,4,FALSE),HLOOKUP($H$3,GDPrevVols,VLOOKUP(Q105,GDmove_down2,2,FALSE),FALSE),HLOOKUP($H$3,GDPrevVols,VLOOKUP(Q105,GDmove_down2,2,FALSE),FALSE),HLOOKUP(E105,GDcorr,VLOOKUP(H105,CorMove,2,FALSE),FALSE),Q105-$C$3,R105,$AI$5)*I105-AI105</f>
        <v>#N/A</v>
      </c>
      <c r="AH105" s="234" t="e">
        <f t="shared" si="40"/>
        <v>#N/A</v>
      </c>
      <c r="AI105" s="234" t="e">
        <f>_xll.xSPRDOPT(HLOOKUP($D$3,GDPrev,VLOOKUP(Q105,GDmove_down,2,FALSE),FALSE),HLOOKUP($E$3,GDPrev,VLOOKUP(Q105,GDmove_down,2,FALSE),FALSE),AJ105,VLOOKUP(H105,NGPREVPRICES,4,FALSE),HLOOKUP($H$3,GDPrevVols,VLOOKUP(Q105,GDmove_down2,2,FALSE),FALSE),HLOOKUP($H$3,GDPrevVols,VLOOKUP(Q105,GDmove_down2,2,FALSE),FALSE),HLOOKUP(E105,GDcorr,VLOOKUP(H105,CorMove,2,FALSE),FALSE),Q105-$AC$3,R105,$AI$5)*I105</f>
        <v>#N/A</v>
      </c>
      <c r="AJ105" s="235" t="e">
        <f t="shared" si="41"/>
        <v>#N/A</v>
      </c>
      <c r="AK105" s="234"/>
      <c r="AL105" t="str">
        <f t="shared" si="42"/>
        <v>36678Curve Shift/Gamma</v>
      </c>
      <c r="AM105" t="str">
        <f t="shared" si="43"/>
        <v>36678Rho</v>
      </c>
      <c r="AN105" t="str">
        <f t="shared" si="44"/>
        <v>36678Drift</v>
      </c>
      <c r="AO105" t="str">
        <f t="shared" si="45"/>
        <v>36678Vega</v>
      </c>
      <c r="AP105" t="str">
        <f t="shared" si="46"/>
        <v>36678Theta</v>
      </c>
      <c r="AZ105" s="41">
        <f t="shared" ref="AZ105:AZ136" si="52">EOMONTH(AZ104,0)+1</f>
        <v>39142</v>
      </c>
      <c r="BA105" s="44"/>
      <c r="BG105" s="441">
        <v>39479</v>
      </c>
      <c r="BH105">
        <v>0.98499999999999999</v>
      </c>
      <c r="BJ105" s="441">
        <v>39479</v>
      </c>
      <c r="BK105">
        <v>102</v>
      </c>
    </row>
    <row r="106" spans="1:63" ht="12" customHeight="1" x14ac:dyDescent="0.25">
      <c r="A106" s="382" t="s">
        <v>279</v>
      </c>
      <c r="B106" s="155" t="s">
        <v>250</v>
      </c>
      <c r="C106" s="155" t="s">
        <v>361</v>
      </c>
      <c r="D106" s="155" t="s">
        <v>190</v>
      </c>
      <c r="E106" s="4" t="s">
        <v>237</v>
      </c>
      <c r="F106" s="155" t="s">
        <v>20</v>
      </c>
      <c r="G106" s="155" t="s">
        <v>21</v>
      </c>
      <c r="H106" s="354">
        <v>36678</v>
      </c>
      <c r="I106" s="156">
        <v>10000</v>
      </c>
      <c r="J106" s="7">
        <v>0.46</v>
      </c>
      <c r="K106" s="53">
        <f t="shared" si="35"/>
        <v>4.7649999999999997</v>
      </c>
      <c r="L106" s="53">
        <f t="shared" si="36"/>
        <v>3.46</v>
      </c>
      <c r="M106" s="157">
        <v>1</v>
      </c>
      <c r="N106" s="4">
        <v>0.51500000000000001</v>
      </c>
      <c r="O106" s="4">
        <v>0.51500000000000001</v>
      </c>
      <c r="P106" s="9" t="e">
        <f t="shared" si="37"/>
        <v>#N/A</v>
      </c>
      <c r="Q106" s="5">
        <v>36692</v>
      </c>
      <c r="R106" s="4">
        <f t="shared" si="48"/>
        <v>1</v>
      </c>
      <c r="S106" s="158" t="e">
        <f>_xll.xSPRDOPT($K106,$L106,$J106,$M106,$N106,$O106,$P106,$Q106-$C$3,$R106,0)</f>
        <v>#N/A</v>
      </c>
      <c r="T106" s="159" t="e">
        <f>_xll.xSPRDOPT($K106,$L106,$J106,$M106,$N106,$O106,$P106,$Q106-$C$3,$R106,1)*I106</f>
        <v>#N/A</v>
      </c>
      <c r="U106" s="160">
        <v>3250</v>
      </c>
      <c r="V106" s="159" t="e">
        <f>_xll.xSPRDOPT($K106,$L106,$J106,$M106,$N106,$O106,$P106,$Q106-$C$3,$R106,2)*I106</f>
        <v>#N/A</v>
      </c>
      <c r="W106" s="159" t="e">
        <f t="shared" si="49"/>
        <v>#N/A</v>
      </c>
      <c r="X106" s="51" t="str">
        <f t="shared" si="50"/>
        <v>36678IF-ELPO/SJ</v>
      </c>
      <c r="Y106" s="418">
        <f t="shared" si="51"/>
        <v>1</v>
      </c>
      <c r="AA106" s="51"/>
      <c r="AB106" s="141">
        <f t="shared" si="38"/>
        <v>36678</v>
      </c>
      <c r="AC106" s="234" t="e">
        <f>_xll.xSPRDOPT(HLOOKUP($D$3,GDPRICES,VLOOKUP(Q106,GDmove_down,2,FALSE),FALSE),HLOOKUP($E$3,GDPRICES,VLOOKUP(Q106,GDmove_down,2,FALSE),FALSE),J106,VLOOKUP(H106,NGPREVPRICES,4,FALSE),HLOOKUP($H$3,GDPrevVols,VLOOKUP(Q106,GDmove_down2,2,FALSE),FALSE),HLOOKUP($H$3,GDPrevVols,VLOOKUP(Q106,GDmove_down2,2,FALSE),FALSE),HLOOKUP(E106,GDcorr,VLOOKUP(H106,CorMove,2,FALSE),FALSE),Q106-$AC$3,R106,$AC$5)*I106-AI106</f>
        <v>#N/A</v>
      </c>
      <c r="AD106" s="234" t="e">
        <f>_xll.xSPRDOPT(HLOOKUP($D$3,GDPrev,VLOOKUP(Q106,GDmove_down,2,FALSE),FALSE),HLOOKUP($E$3,GDPrev,VLOOKUP(Q106,GDmove_down,2,FALSE),FALSE),AJ106,VLOOKUP(H106,NGPrices,4,FALSE),HLOOKUP($H$3,GDPrevVols,VLOOKUP(Q106,GDmove_down2,2,FALSE),FALSE),HLOOKUP($H$3,GDPrevVols,VLOOKUP(Q106,GDmove_down2,2,FALSE),FALSE),HLOOKUP(E106,GDcorr,VLOOKUP(H106,CorMove,2,FALSE),FALSE),Q106-$AC$3,R106,$AI$5)*I106-AI106</f>
        <v>#N/A</v>
      </c>
      <c r="AE106" s="439" t="e">
        <f t="shared" si="39"/>
        <v>#N/A</v>
      </c>
      <c r="AF106" s="234" t="e">
        <f>_xll.xSPRDOPT(HLOOKUP($D$3,GDPrev,VLOOKUP(Q106,GDmove_down,2,FALSE),FALSE),HLOOKUP($E$3,GDPrev,VLOOKUP(Q106,GDmove_down,2,FALSE),FALSE),AJ106,VLOOKUP(H106,NGPREVPRICES,4,FALSE),HLOOKUP($H$3,GDVol,VLOOKUP(H106,move_down,2,FALSE),FALSE),HLOOKUP($H$3,GDVol,VLOOKUP(H106,move_down,2,FALSE),FALSE),HLOOKUP(E106,GDcorr,VLOOKUP(H106,CorMove,2,FALSE),FALSE),Q106-$AC$3,R106,$AI$5)*I106-AI106</f>
        <v>#N/A</v>
      </c>
      <c r="AG106" s="234" t="e">
        <f>_xll.xSPRDOPT(HLOOKUP($D$3,GDPrev,VLOOKUP(Q106,GDmove_down,2,FALSE),FALSE),HLOOKUP($E$3,GDPrev,VLOOKUP(Q106,GDmove_down,2,FALSE),FALSE),AJ106,VLOOKUP(H106,NGPREVPRICES,4,FALSE),HLOOKUP($H$3,GDPrevVols,VLOOKUP(Q106,GDmove_down2,2,FALSE),FALSE),HLOOKUP($H$3,GDPrevVols,VLOOKUP(Q106,GDmove_down2,2,FALSE),FALSE),HLOOKUP(E106,GDcorr,VLOOKUP(H106,CorMove,2,FALSE),FALSE),Q106-$C$3,R106,$AI$5)*I106-AI106</f>
        <v>#N/A</v>
      </c>
      <c r="AH106" s="234" t="e">
        <f t="shared" si="40"/>
        <v>#N/A</v>
      </c>
      <c r="AI106" s="234" t="e">
        <f>_xll.xSPRDOPT(HLOOKUP($D$3,GDPrev,VLOOKUP(Q106,GDmove_down,2,FALSE),FALSE),HLOOKUP($E$3,GDPrev,VLOOKUP(Q106,GDmove_down,2,FALSE),FALSE),AJ106,VLOOKUP(H106,NGPREVPRICES,4,FALSE),HLOOKUP($H$3,GDPrevVols,VLOOKUP(Q106,GDmove_down2,2,FALSE),FALSE),HLOOKUP($H$3,GDPrevVols,VLOOKUP(Q106,GDmove_down2,2,FALSE),FALSE),HLOOKUP(E106,GDcorr,VLOOKUP(H106,CorMove,2,FALSE),FALSE),Q106-$AC$3,R106,$AI$5)*I106</f>
        <v>#N/A</v>
      </c>
      <c r="AJ106" s="235" t="e">
        <f t="shared" si="41"/>
        <v>#N/A</v>
      </c>
      <c r="AK106" s="234"/>
      <c r="AL106" t="str">
        <f t="shared" si="42"/>
        <v>36678Curve Shift/Gamma</v>
      </c>
      <c r="AM106" t="str">
        <f t="shared" si="43"/>
        <v>36678Rho</v>
      </c>
      <c r="AN106" t="str">
        <f t="shared" si="44"/>
        <v>36678Drift</v>
      </c>
      <c r="AO106" t="str">
        <f t="shared" si="45"/>
        <v>36678Vega</v>
      </c>
      <c r="AP106" t="str">
        <f t="shared" si="46"/>
        <v>36678Theta</v>
      </c>
      <c r="AZ106" s="41">
        <f t="shared" si="52"/>
        <v>39173</v>
      </c>
      <c r="BA106" s="44"/>
      <c r="BG106" s="441">
        <v>39508</v>
      </c>
      <c r="BH106">
        <v>0.98499999999999999</v>
      </c>
      <c r="BJ106" s="441">
        <v>39508</v>
      </c>
      <c r="BK106">
        <v>103</v>
      </c>
    </row>
    <row r="107" spans="1:63" ht="12" customHeight="1" x14ac:dyDescent="0.25">
      <c r="A107" s="382" t="s">
        <v>279</v>
      </c>
      <c r="B107" s="155" t="s">
        <v>250</v>
      </c>
      <c r="C107" s="155" t="s">
        <v>364</v>
      </c>
      <c r="D107" s="155" t="s">
        <v>190</v>
      </c>
      <c r="E107" s="4" t="s">
        <v>237</v>
      </c>
      <c r="F107" s="155" t="s">
        <v>20</v>
      </c>
      <c r="G107" s="155" t="s">
        <v>21</v>
      </c>
      <c r="H107" s="354">
        <v>36678</v>
      </c>
      <c r="I107" s="156">
        <v>-333333</v>
      </c>
      <c r="J107" s="7">
        <v>0.46</v>
      </c>
      <c r="K107" s="53">
        <f t="shared" si="35"/>
        <v>4.7649999999999997</v>
      </c>
      <c r="L107" s="53">
        <f t="shared" si="36"/>
        <v>3.46</v>
      </c>
      <c r="M107" s="157">
        <v>1</v>
      </c>
      <c r="N107" s="4">
        <v>0.51500000000000001</v>
      </c>
      <c r="O107" s="4">
        <v>0.51500000000000001</v>
      </c>
      <c r="P107" s="9" t="e">
        <f t="shared" si="37"/>
        <v>#N/A</v>
      </c>
      <c r="Q107" s="5">
        <v>36692</v>
      </c>
      <c r="R107" s="4">
        <f t="shared" si="48"/>
        <v>1</v>
      </c>
      <c r="S107" s="158" t="e">
        <f>_xll.xSPRDOPT($K107,$L107,$J107,$M107,$N107,$O107,$P107,$Q107-$C$3,$R107,0)</f>
        <v>#N/A</v>
      </c>
      <c r="T107" s="159" t="e">
        <f>_xll.xSPRDOPT($K107,$L107,$J107,$M107,$N107,$O107,$P107,$Q107-$C$3,$R107,1)*I107</f>
        <v>#N/A</v>
      </c>
      <c r="U107" s="160">
        <v>-108333.22499999989</v>
      </c>
      <c r="V107" s="159" t="e">
        <f>_xll.xSPRDOPT($K107,$L107,$J107,$M107,$N107,$O107,$P107,$Q107-$C$3,$R107,2)*I107</f>
        <v>#N/A</v>
      </c>
      <c r="W107" s="159" t="e">
        <f t="shared" si="49"/>
        <v>#N/A</v>
      </c>
      <c r="X107" s="51" t="str">
        <f t="shared" si="50"/>
        <v>36678IF-ELPO/SJ</v>
      </c>
      <c r="Y107" s="418">
        <f t="shared" si="51"/>
        <v>-33.333300000000001</v>
      </c>
      <c r="Z107" s="51"/>
      <c r="AA107" s="51"/>
      <c r="AB107" s="141">
        <f t="shared" si="38"/>
        <v>36678</v>
      </c>
      <c r="AC107" s="234" t="e">
        <f>_xll.xSPRDOPT(HLOOKUP($D$3,GDPRICES,VLOOKUP(Q107,GDmove_down,2,FALSE),FALSE),HLOOKUP($E$3,GDPRICES,VLOOKUP(Q107,GDmove_down,2,FALSE),FALSE),J107,VLOOKUP(H107,NGPREVPRICES,4,FALSE),HLOOKUP($H$3,GDPrevVols,VLOOKUP(Q107,GDmove_down2,2,FALSE),FALSE),HLOOKUP($H$3,GDPrevVols,VLOOKUP(Q107,GDmove_down2,2,FALSE),FALSE),HLOOKUP(E107,GDcorr,VLOOKUP(H107,CorMove,2,FALSE),FALSE),Q107-$AC$3,R107,$AC$5)*I107-AI107</f>
        <v>#N/A</v>
      </c>
      <c r="AD107" s="234" t="e">
        <f>_xll.xSPRDOPT(HLOOKUP($D$3,GDPrev,VLOOKUP(Q107,GDmove_down,2,FALSE),FALSE),HLOOKUP($E$3,GDPrev,VLOOKUP(Q107,GDmove_down,2,FALSE),FALSE),AJ107,VLOOKUP(H107,NGPrices,4,FALSE),HLOOKUP($H$3,GDPrevVols,VLOOKUP(Q107,GDmove_down2,2,FALSE),FALSE),HLOOKUP($H$3,GDPrevVols,VLOOKUP(Q107,GDmove_down2,2,FALSE),FALSE),HLOOKUP(E107,GDcorr,VLOOKUP(H107,CorMove,2,FALSE),FALSE),Q107-$AC$3,R107,$AI$5)*I107-AI107</f>
        <v>#N/A</v>
      </c>
      <c r="AE107" s="439" t="e">
        <f t="shared" si="39"/>
        <v>#N/A</v>
      </c>
      <c r="AF107" s="234" t="e">
        <f>_xll.xSPRDOPT(HLOOKUP($D$3,GDPrev,VLOOKUP(Q107,GDmove_down,2,FALSE),FALSE),HLOOKUP($E$3,GDPrev,VLOOKUP(Q107,GDmove_down,2,FALSE),FALSE),AJ107,VLOOKUP(H107,NGPREVPRICES,4,FALSE),HLOOKUP($H$3,GDVol,VLOOKUP(H107,move_down,2,FALSE),FALSE),HLOOKUP($H$3,GDVol,VLOOKUP(H107,move_down,2,FALSE),FALSE),HLOOKUP(E107,GDcorr,VLOOKUP(H107,CorMove,2,FALSE),FALSE),Q107-$AC$3,R107,$AI$5)*I107-AI107</f>
        <v>#N/A</v>
      </c>
      <c r="AG107" s="234" t="e">
        <f>_xll.xSPRDOPT(HLOOKUP($D$3,GDPrev,VLOOKUP(Q107,GDmove_down,2,FALSE),FALSE),HLOOKUP($E$3,GDPrev,VLOOKUP(Q107,GDmove_down,2,FALSE),FALSE),AJ107,VLOOKUP(H107,NGPREVPRICES,4,FALSE),HLOOKUP($H$3,GDPrevVols,VLOOKUP(Q107,GDmove_down2,2,FALSE),FALSE),HLOOKUP($H$3,GDPrevVols,VLOOKUP(Q107,GDmove_down2,2,FALSE),FALSE),HLOOKUP(E107,GDcorr,VLOOKUP(H107,CorMove,2,FALSE),FALSE),Q107-$C$3,R107,$AI$5)*I107-AI107</f>
        <v>#N/A</v>
      </c>
      <c r="AH107" s="234" t="e">
        <f t="shared" si="40"/>
        <v>#N/A</v>
      </c>
      <c r="AI107" s="234" t="e">
        <f>_xll.xSPRDOPT(HLOOKUP($D$3,GDPrev,VLOOKUP(Q107,GDmove_down,2,FALSE),FALSE),HLOOKUP($E$3,GDPrev,VLOOKUP(Q107,GDmove_down,2,FALSE),FALSE),AJ107,VLOOKUP(H107,NGPREVPRICES,4,FALSE),HLOOKUP($H$3,GDPrevVols,VLOOKUP(Q107,GDmove_down2,2,FALSE),FALSE),HLOOKUP($H$3,GDPrevVols,VLOOKUP(Q107,GDmove_down2,2,FALSE),FALSE),HLOOKUP(E107,GDcorr,VLOOKUP(H107,CorMove,2,FALSE),FALSE),Q107-$AC$3,R107,$AI$5)*I107</f>
        <v>#N/A</v>
      </c>
      <c r="AJ107" s="235" t="e">
        <f t="shared" si="41"/>
        <v>#N/A</v>
      </c>
      <c r="AK107" s="234"/>
      <c r="AL107" t="str">
        <f t="shared" si="42"/>
        <v>36678Curve Shift/Gamma</v>
      </c>
      <c r="AM107" t="str">
        <f t="shared" si="43"/>
        <v>36678Rho</v>
      </c>
      <c r="AN107" t="str">
        <f t="shared" si="44"/>
        <v>36678Drift</v>
      </c>
      <c r="AO107" t="str">
        <f t="shared" si="45"/>
        <v>36678Vega</v>
      </c>
      <c r="AP107" t="str">
        <f t="shared" si="46"/>
        <v>36678Theta</v>
      </c>
      <c r="AZ107" s="41">
        <f t="shared" si="52"/>
        <v>39203</v>
      </c>
      <c r="BA107" s="44"/>
      <c r="BG107" s="441">
        <v>39539</v>
      </c>
      <c r="BH107">
        <v>0.98499999999999999</v>
      </c>
      <c r="BJ107" s="441">
        <v>39539</v>
      </c>
      <c r="BK107">
        <v>104</v>
      </c>
    </row>
    <row r="108" spans="1:63" ht="12" customHeight="1" x14ac:dyDescent="0.25">
      <c r="A108" s="384" t="s">
        <v>268</v>
      </c>
      <c r="B108" s="155" t="s">
        <v>250</v>
      </c>
      <c r="C108" s="155" t="s">
        <v>387</v>
      </c>
      <c r="D108" s="155" t="s">
        <v>190</v>
      </c>
      <c r="E108" s="4" t="s">
        <v>237</v>
      </c>
      <c r="F108" s="155" t="s">
        <v>20</v>
      </c>
      <c r="G108" s="155" t="s">
        <v>21</v>
      </c>
      <c r="H108" s="354">
        <v>36678</v>
      </c>
      <c r="I108" s="156">
        <v>-10000</v>
      </c>
      <c r="J108" s="7">
        <v>0.46</v>
      </c>
      <c r="K108" s="53">
        <f t="shared" si="35"/>
        <v>4.7649999999999997</v>
      </c>
      <c r="L108" s="53">
        <f t="shared" si="36"/>
        <v>3.46</v>
      </c>
      <c r="M108" s="157">
        <v>1</v>
      </c>
      <c r="N108" s="4">
        <v>0.51500000000000001</v>
      </c>
      <c r="O108" s="4">
        <v>0.51500000000000001</v>
      </c>
      <c r="P108" s="9" t="e">
        <f t="shared" si="37"/>
        <v>#N/A</v>
      </c>
      <c r="Q108" s="5">
        <v>36692</v>
      </c>
      <c r="R108" s="4">
        <f t="shared" si="48"/>
        <v>1</v>
      </c>
      <c r="S108" s="158" t="e">
        <f>_xll.xSPRDOPT($K108,$L108,$J108,$M108,$N108,$O108,$P108,$Q108-$C$3,$R108,0)</f>
        <v>#N/A</v>
      </c>
      <c r="T108" s="159" t="e">
        <f>_xll.xSPRDOPT($K108,$L108,$J108,$M108,$N108,$O108,$P108,$Q108-$C$3,$R108,1)*I108</f>
        <v>#N/A</v>
      </c>
      <c r="U108" s="160">
        <v>-3250</v>
      </c>
      <c r="V108" s="159" t="e">
        <f>_xll.xSPRDOPT($K108,$L108,$J108,$M108,$N108,$O108,$P108,$Q108-$C$3,$R108,2)*I108</f>
        <v>#N/A</v>
      </c>
      <c r="W108" s="159" t="e">
        <f t="shared" si="49"/>
        <v>#N/A</v>
      </c>
      <c r="X108" s="51" t="str">
        <f t="shared" si="50"/>
        <v>36678IF-ELPO/SJ</v>
      </c>
      <c r="Y108" s="418">
        <f t="shared" si="51"/>
        <v>-1</v>
      </c>
      <c r="AA108" s="51"/>
      <c r="AB108" s="141">
        <f t="shared" si="38"/>
        <v>36678</v>
      </c>
      <c r="AC108" s="234" t="e">
        <f>_xll.xSPRDOPT(HLOOKUP($D$3,GDPRICES,VLOOKUP(Q108,GDmove_down,2,FALSE),FALSE),HLOOKUP($E$3,GDPRICES,VLOOKUP(Q108,GDmove_down,2,FALSE),FALSE),J108,VLOOKUP(H108,NGPREVPRICES,4,FALSE),HLOOKUP($H$3,GDPrevVols,VLOOKUP(Q108,GDmove_down2,2,FALSE),FALSE),HLOOKUP($H$3,GDPrevVols,VLOOKUP(Q108,GDmove_down2,2,FALSE),FALSE),HLOOKUP(E108,GDcorr,VLOOKUP(H108,CorMove,2,FALSE),FALSE),Q108-$AC$3,R108,$AC$5)*I108-AI108</f>
        <v>#N/A</v>
      </c>
      <c r="AD108" s="234" t="e">
        <f>_xll.xSPRDOPT(HLOOKUP($D$3,GDPrev,VLOOKUP(Q108,GDmove_down,2,FALSE),FALSE),HLOOKUP($E$3,GDPrev,VLOOKUP(Q108,GDmove_down,2,FALSE),FALSE),AJ108,VLOOKUP(H108,NGPrices,4,FALSE),HLOOKUP($H$3,GDPrevVols,VLOOKUP(Q108,GDmove_down2,2,FALSE),FALSE),HLOOKUP($H$3,GDPrevVols,VLOOKUP(Q108,GDmove_down2,2,FALSE),FALSE),HLOOKUP(E108,GDcorr,VLOOKUP(H108,CorMove,2,FALSE),FALSE),Q108-$AC$3,R108,$AI$5)*I108-AI108</f>
        <v>#N/A</v>
      </c>
      <c r="AE108" s="439" t="e">
        <f t="shared" si="39"/>
        <v>#N/A</v>
      </c>
      <c r="AF108" s="234" t="e">
        <f>_xll.xSPRDOPT(HLOOKUP($D$3,GDPrev,VLOOKUP(Q108,GDmove_down,2,FALSE),FALSE),HLOOKUP($E$3,GDPrev,VLOOKUP(Q108,GDmove_down,2,FALSE),FALSE),AJ108,VLOOKUP(H108,NGPREVPRICES,4,FALSE),HLOOKUP($H$3,GDVol,VLOOKUP(H108,move_down,2,FALSE),FALSE),HLOOKUP($H$3,GDVol,VLOOKUP(H108,move_down,2,FALSE),FALSE),HLOOKUP(E108,GDcorr,VLOOKUP(H108,CorMove,2,FALSE),FALSE),Q108-$AC$3,R108,$AI$5)*I108-AI108</f>
        <v>#N/A</v>
      </c>
      <c r="AG108" s="234" t="e">
        <f>_xll.xSPRDOPT(HLOOKUP($D$3,GDPrev,VLOOKUP(Q108,GDmove_down,2,FALSE),FALSE),HLOOKUP($E$3,GDPrev,VLOOKUP(Q108,GDmove_down,2,FALSE),FALSE),AJ108,VLOOKUP(H108,NGPREVPRICES,4,FALSE),HLOOKUP($H$3,GDPrevVols,VLOOKUP(Q108,GDmove_down2,2,FALSE),FALSE),HLOOKUP($H$3,GDPrevVols,VLOOKUP(Q108,GDmove_down2,2,FALSE),FALSE),HLOOKUP(E108,GDcorr,VLOOKUP(H108,CorMove,2,FALSE),FALSE),Q108-$C$3,R108,$AI$5)*I108-AI108</f>
        <v>#N/A</v>
      </c>
      <c r="AH108" s="234" t="e">
        <f t="shared" si="40"/>
        <v>#N/A</v>
      </c>
      <c r="AI108" s="234" t="e">
        <f>_xll.xSPRDOPT(HLOOKUP($D$3,GDPrev,VLOOKUP(Q108,GDmove_down,2,FALSE),FALSE),HLOOKUP($E$3,GDPrev,VLOOKUP(Q108,GDmove_down,2,FALSE),FALSE),AJ108,VLOOKUP(H108,NGPREVPRICES,4,FALSE),HLOOKUP($H$3,GDPrevVols,VLOOKUP(Q108,GDmove_down2,2,FALSE),FALSE),HLOOKUP($H$3,GDPrevVols,VLOOKUP(Q108,GDmove_down2,2,FALSE),FALSE),HLOOKUP(E108,GDcorr,VLOOKUP(H108,CorMove,2,FALSE),FALSE),Q108-$AC$3,R108,$AI$5)*I108</f>
        <v>#N/A</v>
      </c>
      <c r="AJ108" s="235" t="e">
        <f t="shared" si="41"/>
        <v>#N/A</v>
      </c>
      <c r="AK108" s="234"/>
      <c r="AL108" t="str">
        <f t="shared" si="42"/>
        <v>36678Curve Shift/Gamma</v>
      </c>
      <c r="AM108" t="str">
        <f t="shared" si="43"/>
        <v>36678Rho</v>
      </c>
      <c r="AN108" t="str">
        <f t="shared" si="44"/>
        <v>36678Drift</v>
      </c>
      <c r="AO108" t="str">
        <f t="shared" si="45"/>
        <v>36678Vega</v>
      </c>
      <c r="AP108" t="str">
        <f t="shared" si="46"/>
        <v>36678Theta</v>
      </c>
      <c r="AZ108" s="41">
        <f t="shared" si="52"/>
        <v>39234</v>
      </c>
      <c r="BA108" s="44"/>
      <c r="BG108" s="441">
        <v>39569</v>
      </c>
      <c r="BH108">
        <v>0.98499999999999999</v>
      </c>
      <c r="BJ108" s="441">
        <v>39569</v>
      </c>
      <c r="BK108">
        <v>105</v>
      </c>
    </row>
    <row r="109" spans="1:63" ht="12" customHeight="1" x14ac:dyDescent="0.25">
      <c r="A109" s="384" t="s">
        <v>279</v>
      </c>
      <c r="B109" s="155" t="s">
        <v>250</v>
      </c>
      <c r="C109" s="155" t="s">
        <v>388</v>
      </c>
      <c r="D109" s="155" t="s">
        <v>190</v>
      </c>
      <c r="E109" s="4" t="s">
        <v>237</v>
      </c>
      <c r="F109" s="155" t="s">
        <v>20</v>
      </c>
      <c r="G109" s="155" t="s">
        <v>21</v>
      </c>
      <c r="H109" s="354">
        <v>36678</v>
      </c>
      <c r="I109" s="156">
        <v>50000</v>
      </c>
      <c r="J109" s="7">
        <v>0.46</v>
      </c>
      <c r="K109" s="53">
        <f t="shared" si="35"/>
        <v>4.7649999999999997</v>
      </c>
      <c r="L109" s="53">
        <f t="shared" si="36"/>
        <v>3.46</v>
      </c>
      <c r="M109" s="157">
        <v>1</v>
      </c>
      <c r="N109" s="4">
        <v>0.51500000000000001</v>
      </c>
      <c r="O109" s="4">
        <v>0.51500000000000001</v>
      </c>
      <c r="P109" s="9" t="e">
        <f t="shared" si="37"/>
        <v>#N/A</v>
      </c>
      <c r="Q109" s="5">
        <v>36692</v>
      </c>
      <c r="R109" s="4">
        <f t="shared" si="48"/>
        <v>1</v>
      </c>
      <c r="S109" s="158" t="e">
        <f>_xll.xSPRDOPT($K109,$L109,$J109,$M109,$N109,$O109,$P109,$Q109-$C$3,$R109,0)</f>
        <v>#N/A</v>
      </c>
      <c r="T109" s="159" t="e">
        <f>_xll.xSPRDOPT($K109,$L109,$J109,$M109,$N109,$O109,$P109,$Q109-$C$3,$R109,1)*I109</f>
        <v>#N/A</v>
      </c>
      <c r="U109" s="160">
        <v>16250</v>
      </c>
      <c r="V109" s="159" t="e">
        <f>_xll.xSPRDOPT($K109,$L109,$J109,$M109,$N109,$O109,$P109,$Q109-$C$3,$R109,2)*I109</f>
        <v>#N/A</v>
      </c>
      <c r="W109" s="159" t="e">
        <f t="shared" si="49"/>
        <v>#N/A</v>
      </c>
      <c r="X109" s="51" t="str">
        <f t="shared" si="50"/>
        <v>36678IF-ELPO/SJ</v>
      </c>
      <c r="Y109" s="418">
        <f t="shared" si="51"/>
        <v>5</v>
      </c>
      <c r="Z109" s="51"/>
      <c r="AA109" s="51"/>
      <c r="AB109" s="141">
        <f t="shared" si="38"/>
        <v>36678</v>
      </c>
      <c r="AC109" s="234" t="e">
        <f>_xll.xSPRDOPT(HLOOKUP($D$3,GDPRICES,VLOOKUP(Q109,GDmove_down,2,FALSE),FALSE),HLOOKUP($E$3,GDPRICES,VLOOKUP(Q109,GDmove_down,2,FALSE),FALSE),J109,VLOOKUP(H109,NGPREVPRICES,4,FALSE),HLOOKUP($H$3,GDPrevVols,VLOOKUP(Q109,GDmove_down2,2,FALSE),FALSE),HLOOKUP($H$3,GDPrevVols,VLOOKUP(Q109,GDmove_down2,2,FALSE),FALSE),HLOOKUP(E109,GDcorr,VLOOKUP(H109,CorMove,2,FALSE),FALSE),Q109-$AC$3,R109,$AC$5)*I109-AI109</f>
        <v>#N/A</v>
      </c>
      <c r="AD109" s="234" t="e">
        <f>_xll.xSPRDOPT(HLOOKUP($D$3,GDPrev,VLOOKUP(Q109,GDmove_down,2,FALSE),FALSE),HLOOKUP($E$3,GDPrev,VLOOKUP(Q109,GDmove_down,2,FALSE),FALSE),AJ109,VLOOKUP(H109,NGPrices,4,FALSE),HLOOKUP($H$3,GDPrevVols,VLOOKUP(Q109,GDmove_down2,2,FALSE),FALSE),HLOOKUP($H$3,GDPrevVols,VLOOKUP(Q109,GDmove_down2,2,FALSE),FALSE),HLOOKUP(E109,GDcorr,VLOOKUP(H109,CorMove,2,FALSE),FALSE),Q109-$AC$3,R109,$AI$5)*I109-AI109</f>
        <v>#N/A</v>
      </c>
      <c r="AE109" s="439" t="e">
        <f t="shared" si="39"/>
        <v>#N/A</v>
      </c>
      <c r="AF109" s="234" t="e">
        <f>_xll.xSPRDOPT(HLOOKUP($D$3,GDPrev,VLOOKUP(Q109,GDmove_down,2,FALSE),FALSE),HLOOKUP($E$3,GDPrev,VLOOKUP(Q109,GDmove_down,2,FALSE),FALSE),AJ109,VLOOKUP(H109,NGPREVPRICES,4,FALSE),HLOOKUP($H$3,GDVol,VLOOKUP(H109,move_down,2,FALSE),FALSE),HLOOKUP($H$3,GDVol,VLOOKUP(H109,move_down,2,FALSE),FALSE),HLOOKUP(E109,GDcorr,VLOOKUP(H109,CorMove,2,FALSE),FALSE),Q109-$AC$3,R109,$AI$5)*I109-AI109</f>
        <v>#N/A</v>
      </c>
      <c r="AG109" s="234" t="e">
        <f>_xll.xSPRDOPT(HLOOKUP($D$3,GDPrev,VLOOKUP(Q109,GDmove_down,2,FALSE),FALSE),HLOOKUP($E$3,GDPrev,VLOOKUP(Q109,GDmove_down,2,FALSE),FALSE),AJ109,VLOOKUP(H109,NGPREVPRICES,4,FALSE),HLOOKUP($H$3,GDPrevVols,VLOOKUP(Q109,GDmove_down2,2,FALSE),FALSE),HLOOKUP($H$3,GDPrevVols,VLOOKUP(Q109,GDmove_down2,2,FALSE),FALSE),HLOOKUP(E109,GDcorr,VLOOKUP(H109,CorMove,2,FALSE),FALSE),Q109-$C$3,R109,$AI$5)*I109-AI109</f>
        <v>#N/A</v>
      </c>
      <c r="AH109" s="234" t="e">
        <f t="shared" si="40"/>
        <v>#N/A</v>
      </c>
      <c r="AI109" s="234" t="e">
        <f>_xll.xSPRDOPT(HLOOKUP($D$3,GDPrev,VLOOKUP(Q109,GDmove_down,2,FALSE),FALSE),HLOOKUP($E$3,GDPrev,VLOOKUP(Q109,GDmove_down,2,FALSE),FALSE),AJ109,VLOOKUP(H109,NGPREVPRICES,4,FALSE),HLOOKUP($H$3,GDPrevVols,VLOOKUP(Q109,GDmove_down2,2,FALSE),FALSE),HLOOKUP($H$3,GDPrevVols,VLOOKUP(Q109,GDmove_down2,2,FALSE),FALSE),HLOOKUP(E109,GDcorr,VLOOKUP(H109,CorMove,2,FALSE),FALSE),Q109-$AC$3,R109,$AI$5)*I109</f>
        <v>#N/A</v>
      </c>
      <c r="AJ109" s="235" t="e">
        <f t="shared" si="41"/>
        <v>#N/A</v>
      </c>
      <c r="AK109" s="234"/>
      <c r="AL109" t="str">
        <f t="shared" si="42"/>
        <v>36678Curve Shift/Gamma</v>
      </c>
      <c r="AM109" t="str">
        <f t="shared" si="43"/>
        <v>36678Rho</v>
      </c>
      <c r="AN109" t="str">
        <f t="shared" si="44"/>
        <v>36678Drift</v>
      </c>
      <c r="AO109" t="str">
        <f t="shared" si="45"/>
        <v>36678Vega</v>
      </c>
      <c r="AP109" t="str">
        <f t="shared" si="46"/>
        <v>36678Theta</v>
      </c>
      <c r="AZ109" s="41">
        <f t="shared" si="52"/>
        <v>39264</v>
      </c>
      <c r="BA109" s="44"/>
      <c r="BG109" s="441">
        <v>39600</v>
      </c>
      <c r="BH109">
        <v>0.98499999999999999</v>
      </c>
      <c r="BJ109" s="441">
        <v>39600</v>
      </c>
      <c r="BK109">
        <v>106</v>
      </c>
    </row>
    <row r="110" spans="1:63" ht="12" customHeight="1" x14ac:dyDescent="0.25">
      <c r="A110" s="384" t="s">
        <v>279</v>
      </c>
      <c r="B110" s="155" t="s">
        <v>250</v>
      </c>
      <c r="C110" s="155" t="s">
        <v>389</v>
      </c>
      <c r="D110" s="155" t="s">
        <v>190</v>
      </c>
      <c r="E110" s="4" t="s">
        <v>237</v>
      </c>
      <c r="F110" s="155" t="s">
        <v>20</v>
      </c>
      <c r="G110" s="155" t="s">
        <v>21</v>
      </c>
      <c r="H110" s="354">
        <v>36678</v>
      </c>
      <c r="I110" s="156">
        <v>50000</v>
      </c>
      <c r="J110" s="7">
        <v>0.46</v>
      </c>
      <c r="K110" s="53">
        <f t="shared" si="35"/>
        <v>4.7649999999999997</v>
      </c>
      <c r="L110" s="53">
        <f t="shared" si="36"/>
        <v>3.46</v>
      </c>
      <c r="M110" s="157">
        <v>1</v>
      </c>
      <c r="N110" s="4">
        <v>0.51500000000000001</v>
      </c>
      <c r="O110" s="4">
        <v>0.51500000000000001</v>
      </c>
      <c r="P110" s="9" t="e">
        <f t="shared" si="37"/>
        <v>#N/A</v>
      </c>
      <c r="Q110" s="5">
        <v>36692</v>
      </c>
      <c r="R110" s="4">
        <f t="shared" si="48"/>
        <v>1</v>
      </c>
      <c r="S110" s="158" t="e">
        <f>_xll.xSPRDOPT($K110,$L110,$J110,$M110,$N110,$O110,$P110,$Q110-$C$3,$R110,0)</f>
        <v>#N/A</v>
      </c>
      <c r="T110" s="159" t="e">
        <f>_xll.xSPRDOPT($K110,$L110,$J110,$M110,$N110,$O110,$P110,$Q110-$C$3,$R110,1)*I110</f>
        <v>#N/A</v>
      </c>
      <c r="U110" s="160">
        <v>16250</v>
      </c>
      <c r="V110" s="159" t="e">
        <f>_xll.xSPRDOPT($K110,$L110,$J110,$M110,$N110,$O110,$P110,$Q110-$C$3,$R110,2)*I110</f>
        <v>#N/A</v>
      </c>
      <c r="W110" s="159" t="e">
        <f t="shared" si="49"/>
        <v>#N/A</v>
      </c>
      <c r="X110" s="51" t="str">
        <f t="shared" si="50"/>
        <v>36678IF-ELPO/SJ</v>
      </c>
      <c r="Y110" s="418">
        <f t="shared" si="51"/>
        <v>5</v>
      </c>
      <c r="Z110" s="51"/>
      <c r="AA110" s="51"/>
      <c r="AB110" s="141">
        <f t="shared" si="38"/>
        <v>36678</v>
      </c>
      <c r="AC110" s="234" t="e">
        <f>_xll.xSPRDOPT(HLOOKUP($D$3,GDPRICES,VLOOKUP(Q110,GDmove_down,2,FALSE),FALSE),HLOOKUP($E$3,GDPRICES,VLOOKUP(Q110,GDmove_down,2,FALSE),FALSE),J110,VLOOKUP(H110,NGPREVPRICES,4,FALSE),HLOOKUP($H$3,GDPrevVols,VLOOKUP(Q110,GDmove_down2,2,FALSE),FALSE),HLOOKUP($H$3,GDPrevVols,VLOOKUP(Q110,GDmove_down2,2,FALSE),FALSE),HLOOKUP(E110,GDcorr,VLOOKUP(H110,CorMove,2,FALSE),FALSE),Q110-$AC$3,R110,$AC$5)*I110-AI110</f>
        <v>#N/A</v>
      </c>
      <c r="AD110" s="234" t="e">
        <f>_xll.xSPRDOPT(HLOOKUP($D$3,GDPrev,VLOOKUP(Q110,GDmove_down,2,FALSE),FALSE),HLOOKUP($E$3,GDPrev,VLOOKUP(Q110,GDmove_down,2,FALSE),FALSE),AJ110,VLOOKUP(H110,NGPrices,4,FALSE),HLOOKUP($H$3,GDPrevVols,VLOOKUP(Q110,GDmove_down2,2,FALSE),FALSE),HLOOKUP($H$3,GDPrevVols,VLOOKUP(Q110,GDmove_down2,2,FALSE),FALSE),HLOOKUP(E110,GDcorr,VLOOKUP(H110,CorMove,2,FALSE),FALSE),Q110-$AC$3,R110,$AI$5)*I110-AI110</f>
        <v>#N/A</v>
      </c>
      <c r="AE110" s="439" t="e">
        <f t="shared" si="39"/>
        <v>#N/A</v>
      </c>
      <c r="AF110" s="234" t="e">
        <f>_xll.xSPRDOPT(HLOOKUP($D$3,GDPrev,VLOOKUP(Q110,GDmove_down,2,FALSE),FALSE),HLOOKUP($E$3,GDPrev,VLOOKUP(Q110,GDmove_down,2,FALSE),FALSE),AJ110,VLOOKUP(H110,NGPREVPRICES,4,FALSE),HLOOKUP($H$3,GDVol,VLOOKUP(H110,move_down,2,FALSE),FALSE),HLOOKUP($H$3,GDVol,VLOOKUP(H110,move_down,2,FALSE),FALSE),HLOOKUP(E110,GDcorr,VLOOKUP(H110,CorMove,2,FALSE),FALSE),Q110-$AC$3,R110,$AI$5)*I110-AI110</f>
        <v>#N/A</v>
      </c>
      <c r="AG110" s="234" t="e">
        <f>_xll.xSPRDOPT(HLOOKUP($D$3,GDPrev,VLOOKUP(Q110,GDmove_down,2,FALSE),FALSE),HLOOKUP($E$3,GDPrev,VLOOKUP(Q110,GDmove_down,2,FALSE),FALSE),AJ110,VLOOKUP(H110,NGPREVPRICES,4,FALSE),HLOOKUP($H$3,GDPrevVols,VLOOKUP(Q110,GDmove_down2,2,FALSE),FALSE),HLOOKUP($H$3,GDPrevVols,VLOOKUP(Q110,GDmove_down2,2,FALSE),FALSE),HLOOKUP(E110,GDcorr,VLOOKUP(H110,CorMove,2,FALSE),FALSE),Q110-$C$3,R110,$AI$5)*I110-AI110</f>
        <v>#N/A</v>
      </c>
      <c r="AH110" s="234" t="e">
        <f t="shared" si="40"/>
        <v>#N/A</v>
      </c>
      <c r="AI110" s="234" t="e">
        <f>_xll.xSPRDOPT(HLOOKUP($D$3,GDPrev,VLOOKUP(Q110,GDmove_down,2,FALSE),FALSE),HLOOKUP($E$3,GDPrev,VLOOKUP(Q110,GDmove_down,2,FALSE),FALSE),AJ110,VLOOKUP(H110,NGPREVPRICES,4,FALSE),HLOOKUP($H$3,GDPrevVols,VLOOKUP(Q110,GDmove_down2,2,FALSE),FALSE),HLOOKUP($H$3,GDPrevVols,VLOOKUP(Q110,GDmove_down2,2,FALSE),FALSE),HLOOKUP(E110,GDcorr,VLOOKUP(H110,CorMove,2,FALSE),FALSE),Q110-$AC$3,R110,$AI$5)*I110</f>
        <v>#N/A</v>
      </c>
      <c r="AJ110" s="235" t="e">
        <f t="shared" si="41"/>
        <v>#N/A</v>
      </c>
      <c r="AK110" s="234"/>
      <c r="AL110" t="str">
        <f t="shared" si="42"/>
        <v>36678Curve Shift/Gamma</v>
      </c>
      <c r="AM110" t="str">
        <f t="shared" si="43"/>
        <v>36678Rho</v>
      </c>
      <c r="AN110" t="str">
        <f t="shared" si="44"/>
        <v>36678Drift</v>
      </c>
      <c r="AO110" t="str">
        <f t="shared" si="45"/>
        <v>36678Vega</v>
      </c>
      <c r="AP110" t="str">
        <f t="shared" si="46"/>
        <v>36678Theta</v>
      </c>
      <c r="AZ110" s="41">
        <f t="shared" si="52"/>
        <v>39295</v>
      </c>
      <c r="BA110" s="44"/>
      <c r="BG110" s="441">
        <v>39630</v>
      </c>
      <c r="BH110">
        <v>0.98499999999999999</v>
      </c>
      <c r="BJ110" s="441">
        <v>39630</v>
      </c>
      <c r="BK110">
        <v>107</v>
      </c>
    </row>
    <row r="111" spans="1:63" ht="12" customHeight="1" x14ac:dyDescent="0.25">
      <c r="A111" s="384" t="s">
        <v>279</v>
      </c>
      <c r="B111" s="155" t="s">
        <v>250</v>
      </c>
      <c r="C111" s="155" t="s">
        <v>398</v>
      </c>
      <c r="D111" s="155" t="s">
        <v>190</v>
      </c>
      <c r="E111" s="4" t="s">
        <v>237</v>
      </c>
      <c r="F111" s="155" t="s">
        <v>20</v>
      </c>
      <c r="G111" s="155" t="s">
        <v>21</v>
      </c>
      <c r="H111" s="354">
        <v>36678</v>
      </c>
      <c r="I111" s="156">
        <v>-10000</v>
      </c>
      <c r="J111" s="7">
        <v>0.46</v>
      </c>
      <c r="K111" s="53">
        <f t="shared" si="35"/>
        <v>4.7649999999999997</v>
      </c>
      <c r="L111" s="53">
        <f t="shared" si="36"/>
        <v>3.46</v>
      </c>
      <c r="M111" s="157">
        <v>1</v>
      </c>
      <c r="N111" s="4">
        <v>0.51500000000000001</v>
      </c>
      <c r="O111" s="4">
        <v>0.51500000000000001</v>
      </c>
      <c r="P111" s="9" t="e">
        <f t="shared" si="37"/>
        <v>#N/A</v>
      </c>
      <c r="Q111" s="5">
        <v>36692</v>
      </c>
      <c r="R111" s="4">
        <f t="shared" si="48"/>
        <v>1</v>
      </c>
      <c r="S111" s="158" t="e">
        <f>_xll.xSPRDOPT($K111,$L111,$J111,$M111,$N111,$O111,$P111,$Q111-$C$3,$R111,0)</f>
        <v>#N/A</v>
      </c>
      <c r="T111" s="159" t="e">
        <f>_xll.xSPRDOPT($K111,$L111,$J111,$M111,$N111,$O111,$P111,$Q111-$C$3,$R111,1)*I111</f>
        <v>#N/A</v>
      </c>
      <c r="U111" s="160">
        <v>-3250</v>
      </c>
      <c r="V111" s="159" t="e">
        <f>_xll.xSPRDOPT($K111,$L111,$J111,$M111,$N111,$O111,$P111,$Q111-$C$3,$R111,2)*I111</f>
        <v>#N/A</v>
      </c>
      <c r="W111" s="159" t="e">
        <f t="shared" si="49"/>
        <v>#N/A</v>
      </c>
      <c r="X111" s="51" t="str">
        <f t="shared" si="50"/>
        <v>36678IF-ELPO/SJ</v>
      </c>
      <c r="Y111" s="418">
        <f t="shared" si="51"/>
        <v>-1</v>
      </c>
      <c r="Z111" s="51"/>
      <c r="AA111" s="51"/>
      <c r="AB111" s="141">
        <f t="shared" si="38"/>
        <v>36678</v>
      </c>
      <c r="AC111" s="234" t="e">
        <f>_xll.xSPRDOPT(HLOOKUP($D$3,GDPRICES,VLOOKUP(Q111,GDmove_down,2,FALSE),FALSE),HLOOKUP($E$3,GDPRICES,VLOOKUP(Q111,GDmove_down,2,FALSE),FALSE),J111,VLOOKUP(H111,NGPREVPRICES,4,FALSE),HLOOKUP($H$3,GDPrevVols,VLOOKUP(Q111,GDmove_down2,2,FALSE),FALSE),HLOOKUP($H$3,GDPrevVols,VLOOKUP(Q111,GDmove_down2,2,FALSE),FALSE),HLOOKUP(E111,GDcorr,VLOOKUP(H111,CorMove,2,FALSE),FALSE),Q111-$AC$3,R111,$AC$5)*I111-AI111</f>
        <v>#N/A</v>
      </c>
      <c r="AD111" s="234" t="e">
        <f>_xll.xSPRDOPT(HLOOKUP($D$3,GDPrev,VLOOKUP(Q111,GDmove_down,2,FALSE),FALSE),HLOOKUP($E$3,GDPrev,VLOOKUP(Q111,GDmove_down,2,FALSE),FALSE),AJ111,VLOOKUP(H111,NGPrices,4,FALSE),HLOOKUP($H$3,GDPrevVols,VLOOKUP(Q111,GDmove_down2,2,FALSE),FALSE),HLOOKUP($H$3,GDPrevVols,VLOOKUP(Q111,GDmove_down2,2,FALSE),FALSE),HLOOKUP(E111,GDcorr,VLOOKUP(H111,CorMove,2,FALSE),FALSE),Q111-$AC$3,R111,$AI$5)*I111-AI111</f>
        <v>#N/A</v>
      </c>
      <c r="AE111" s="439" t="e">
        <f t="shared" si="39"/>
        <v>#N/A</v>
      </c>
      <c r="AF111" s="234" t="e">
        <f>_xll.xSPRDOPT(HLOOKUP($D$3,GDPrev,VLOOKUP(Q111,GDmove_down,2,FALSE),FALSE),HLOOKUP($E$3,GDPrev,VLOOKUP(Q111,GDmove_down,2,FALSE),FALSE),AJ111,VLOOKUP(H111,NGPREVPRICES,4,FALSE),HLOOKUP($H$3,GDVol,VLOOKUP(H111,move_down,2,FALSE),FALSE),HLOOKUP($H$3,GDVol,VLOOKUP(H111,move_down,2,FALSE),FALSE),HLOOKUP(E111,GDcorr,VLOOKUP(H111,CorMove,2,FALSE),FALSE),Q111-$AC$3,R111,$AI$5)*I111-AI111</f>
        <v>#N/A</v>
      </c>
      <c r="AG111" s="234" t="e">
        <f>_xll.xSPRDOPT(HLOOKUP($D$3,GDPrev,VLOOKUP(Q111,GDmove_down,2,FALSE),FALSE),HLOOKUP($E$3,GDPrev,VLOOKUP(Q111,GDmove_down,2,FALSE),FALSE),AJ111,VLOOKUP(H111,NGPREVPRICES,4,FALSE),HLOOKUP($H$3,GDPrevVols,VLOOKUP(Q111,GDmove_down2,2,FALSE),FALSE),HLOOKUP($H$3,GDPrevVols,VLOOKUP(Q111,GDmove_down2,2,FALSE),FALSE),HLOOKUP(E111,GDcorr,VLOOKUP(H111,CorMove,2,FALSE),FALSE),Q111-$C$3,R111,$AI$5)*I111-AI111</f>
        <v>#N/A</v>
      </c>
      <c r="AH111" s="234" t="e">
        <f t="shared" si="40"/>
        <v>#N/A</v>
      </c>
      <c r="AI111" s="234" t="e">
        <f>_xll.xSPRDOPT(HLOOKUP($D$3,GDPrev,VLOOKUP(Q111,GDmove_down,2,FALSE),FALSE),HLOOKUP($E$3,GDPrev,VLOOKUP(Q111,GDmove_down,2,FALSE),FALSE),AJ111,VLOOKUP(H111,NGPREVPRICES,4,FALSE),HLOOKUP($H$3,GDPrevVols,VLOOKUP(Q111,GDmove_down2,2,FALSE),FALSE),HLOOKUP($H$3,GDPrevVols,VLOOKUP(Q111,GDmove_down2,2,FALSE),FALSE),HLOOKUP(E111,GDcorr,VLOOKUP(H111,CorMove,2,FALSE),FALSE),Q111-$AC$3,R111,$AI$5)*I111</f>
        <v>#N/A</v>
      </c>
      <c r="AJ111" s="235" t="e">
        <f t="shared" si="41"/>
        <v>#N/A</v>
      </c>
      <c r="AK111" s="234"/>
      <c r="AL111" t="str">
        <f t="shared" si="42"/>
        <v>36678Curve Shift/Gamma</v>
      </c>
      <c r="AM111" t="str">
        <f t="shared" si="43"/>
        <v>36678Rho</v>
      </c>
      <c r="AN111" t="str">
        <f t="shared" si="44"/>
        <v>36678Drift</v>
      </c>
      <c r="AO111" t="str">
        <f t="shared" si="45"/>
        <v>36678Vega</v>
      </c>
      <c r="AP111" t="str">
        <f t="shared" si="46"/>
        <v>36678Theta</v>
      </c>
      <c r="AZ111" s="41">
        <f t="shared" si="52"/>
        <v>39326</v>
      </c>
      <c r="BA111" s="44"/>
      <c r="BG111" s="441">
        <v>39661</v>
      </c>
      <c r="BH111">
        <v>0.98499999999999999</v>
      </c>
      <c r="BJ111" s="441">
        <v>39661</v>
      </c>
      <c r="BK111">
        <v>108</v>
      </c>
    </row>
    <row r="112" spans="1:63" ht="12" customHeight="1" x14ac:dyDescent="0.25">
      <c r="A112" s="382" t="s">
        <v>279</v>
      </c>
      <c r="B112" s="155" t="s">
        <v>250</v>
      </c>
      <c r="C112" s="155" t="s">
        <v>360</v>
      </c>
      <c r="D112" s="155" t="s">
        <v>190</v>
      </c>
      <c r="E112" s="4" t="s">
        <v>237</v>
      </c>
      <c r="F112" s="155" t="s">
        <v>20</v>
      </c>
      <c r="G112" s="155" t="s">
        <v>21</v>
      </c>
      <c r="H112" s="354">
        <v>36678</v>
      </c>
      <c r="I112" s="156">
        <v>-50000</v>
      </c>
      <c r="J112" s="7">
        <v>0.46</v>
      </c>
      <c r="K112" s="53">
        <f t="shared" si="35"/>
        <v>4.68</v>
      </c>
      <c r="L112" s="53">
        <f t="shared" si="36"/>
        <v>3.41</v>
      </c>
      <c r="M112" s="157">
        <v>1</v>
      </c>
      <c r="N112" s="4">
        <v>0.51500000000000001</v>
      </c>
      <c r="O112" s="4">
        <v>0.51500000000000001</v>
      </c>
      <c r="P112" s="9" t="e">
        <f t="shared" si="37"/>
        <v>#N/A</v>
      </c>
      <c r="Q112" s="5">
        <v>36693</v>
      </c>
      <c r="R112" s="4">
        <f t="shared" si="48"/>
        <v>1</v>
      </c>
      <c r="S112" s="158" t="e">
        <f>_xll.xSPRDOPT($K112,$L112,$J112,$M112,$N112,$O112,$P112,$Q112-$C$3,$R112,0)</f>
        <v>#N/A</v>
      </c>
      <c r="T112" s="159" t="e">
        <f>_xll.xSPRDOPT($K112,$L112,$J112,$M112,$N112,$O112,$P112,$Q112-$C$3,$R112,1)*I112</f>
        <v>#N/A</v>
      </c>
      <c r="U112" s="160">
        <v>-14250</v>
      </c>
      <c r="V112" s="159" t="e">
        <f>_xll.xSPRDOPT($K112,$L112,$J112,$M112,$N112,$O112,$P112,$Q112-$C$3,$R112,2)*I112</f>
        <v>#N/A</v>
      </c>
      <c r="W112" s="159" t="e">
        <f t="shared" si="49"/>
        <v>#N/A</v>
      </c>
      <c r="X112" s="51" t="str">
        <f t="shared" si="50"/>
        <v>36678IF-ELPO/SJ</v>
      </c>
      <c r="Y112" s="418">
        <f t="shared" si="51"/>
        <v>-5</v>
      </c>
      <c r="Z112" s="51"/>
      <c r="AA112" s="51"/>
      <c r="AB112" s="141">
        <f t="shared" si="38"/>
        <v>36678</v>
      </c>
      <c r="AC112" s="234" t="e">
        <f>_xll.xSPRDOPT(HLOOKUP($D$3,GDPRICES,VLOOKUP(Q112,GDmove_down,2,FALSE),FALSE),HLOOKUP($E$3,GDPRICES,VLOOKUP(Q112,GDmove_down,2,FALSE),FALSE),J112,VLOOKUP(H112,NGPREVPRICES,4,FALSE),HLOOKUP($H$3,GDPrevVols,VLOOKUP(Q112,GDmove_down2,2,FALSE),FALSE),HLOOKUP($H$3,GDPrevVols,VLOOKUP(Q112,GDmove_down2,2,FALSE),FALSE),HLOOKUP(E112,GDcorr,VLOOKUP(H112,CorMove,2,FALSE),FALSE),Q112-$AC$3,R112,$AC$5)*I112-AI112</f>
        <v>#N/A</v>
      </c>
      <c r="AD112" s="234" t="e">
        <f>_xll.xSPRDOPT(HLOOKUP($D$3,GDPrev,VLOOKUP(Q112,GDmove_down,2,FALSE),FALSE),HLOOKUP($E$3,GDPrev,VLOOKUP(Q112,GDmove_down,2,FALSE),FALSE),AJ112,VLOOKUP(H112,NGPrices,4,FALSE),HLOOKUP($H$3,GDPrevVols,VLOOKUP(Q112,GDmove_down2,2,FALSE),FALSE),HLOOKUP($H$3,GDPrevVols,VLOOKUP(Q112,GDmove_down2,2,FALSE),FALSE),HLOOKUP(E112,GDcorr,VLOOKUP(H112,CorMove,2,FALSE),FALSE),Q112-$AC$3,R112,$AI$5)*I112-AI112</f>
        <v>#N/A</v>
      </c>
      <c r="AE112" s="439" t="e">
        <f t="shared" si="39"/>
        <v>#N/A</v>
      </c>
      <c r="AF112" s="234" t="e">
        <f>_xll.xSPRDOPT(HLOOKUP($D$3,GDPrev,VLOOKUP(Q112,GDmove_down,2,FALSE),FALSE),HLOOKUP($E$3,GDPrev,VLOOKUP(Q112,GDmove_down,2,FALSE),FALSE),AJ112,VLOOKUP(H112,NGPREVPRICES,4,FALSE),HLOOKUP($H$3,GDVol,VLOOKUP(H112,move_down,2,FALSE),FALSE),HLOOKUP($H$3,GDVol,VLOOKUP(H112,move_down,2,FALSE),FALSE),HLOOKUP(E112,GDcorr,VLOOKUP(H112,CorMove,2,FALSE),FALSE),Q112-$AC$3,R112,$AI$5)*I112-AI112</f>
        <v>#N/A</v>
      </c>
      <c r="AG112" s="234" t="e">
        <f>_xll.xSPRDOPT(HLOOKUP($D$3,GDPrev,VLOOKUP(Q112,GDmove_down,2,FALSE),FALSE),HLOOKUP($E$3,GDPrev,VLOOKUP(Q112,GDmove_down,2,FALSE),FALSE),AJ112,VLOOKUP(H112,NGPREVPRICES,4,FALSE),HLOOKUP($H$3,GDPrevVols,VLOOKUP(Q112,GDmove_down2,2,FALSE),FALSE),HLOOKUP($H$3,GDPrevVols,VLOOKUP(Q112,GDmove_down2,2,FALSE),FALSE),HLOOKUP(E112,GDcorr,VLOOKUP(H112,CorMove,2,FALSE),FALSE),Q112-$C$3,R112,$AI$5)*I112-AI112</f>
        <v>#N/A</v>
      </c>
      <c r="AH112" s="234" t="e">
        <f t="shared" si="40"/>
        <v>#N/A</v>
      </c>
      <c r="AI112" s="234" t="e">
        <f>_xll.xSPRDOPT(HLOOKUP($D$3,GDPrev,VLOOKUP(Q112,GDmove_down,2,FALSE),FALSE),HLOOKUP($E$3,GDPrev,VLOOKUP(Q112,GDmove_down,2,FALSE),FALSE),AJ112,VLOOKUP(H112,NGPREVPRICES,4,FALSE),HLOOKUP($H$3,GDPrevVols,VLOOKUP(Q112,GDmove_down2,2,FALSE),FALSE),HLOOKUP($H$3,GDPrevVols,VLOOKUP(Q112,GDmove_down2,2,FALSE),FALSE),HLOOKUP(E112,GDcorr,VLOOKUP(H112,CorMove,2,FALSE),FALSE),Q112-$AC$3,R112,$AI$5)*I112</f>
        <v>#N/A</v>
      </c>
      <c r="AJ112" s="235" t="e">
        <f t="shared" si="41"/>
        <v>#N/A</v>
      </c>
      <c r="AK112" s="234"/>
      <c r="AL112" t="str">
        <f t="shared" si="42"/>
        <v>36678Curve Shift/Gamma</v>
      </c>
      <c r="AM112" t="str">
        <f t="shared" si="43"/>
        <v>36678Rho</v>
      </c>
      <c r="AN112" t="str">
        <f t="shared" si="44"/>
        <v>36678Drift</v>
      </c>
      <c r="AO112" t="str">
        <f t="shared" si="45"/>
        <v>36678Vega</v>
      </c>
      <c r="AP112" t="str">
        <f t="shared" si="46"/>
        <v>36678Theta</v>
      </c>
      <c r="AZ112" s="41">
        <f t="shared" si="52"/>
        <v>39356</v>
      </c>
      <c r="BA112" s="44"/>
      <c r="BG112" s="441">
        <v>39692</v>
      </c>
      <c r="BH112">
        <v>0.98499999999999999</v>
      </c>
      <c r="BJ112" s="441">
        <v>39692</v>
      </c>
      <c r="BK112">
        <v>109</v>
      </c>
    </row>
    <row r="113" spans="1:63" ht="12" customHeight="1" x14ac:dyDescent="0.25">
      <c r="A113" s="382" t="s">
        <v>279</v>
      </c>
      <c r="B113" s="155" t="s">
        <v>250</v>
      </c>
      <c r="C113" s="155" t="s">
        <v>361</v>
      </c>
      <c r="D113" s="155" t="s">
        <v>190</v>
      </c>
      <c r="E113" s="4" t="s">
        <v>237</v>
      </c>
      <c r="F113" s="155" t="s">
        <v>20</v>
      </c>
      <c r="G113" s="155" t="s">
        <v>21</v>
      </c>
      <c r="H113" s="354">
        <v>36678</v>
      </c>
      <c r="I113" s="156">
        <v>10000</v>
      </c>
      <c r="J113" s="7">
        <v>0.46</v>
      </c>
      <c r="K113" s="53">
        <f t="shared" si="35"/>
        <v>4.68</v>
      </c>
      <c r="L113" s="53">
        <f t="shared" si="36"/>
        <v>3.41</v>
      </c>
      <c r="M113" s="157">
        <v>1</v>
      </c>
      <c r="N113" s="4">
        <v>0.51500000000000001</v>
      </c>
      <c r="O113" s="4">
        <v>0.51500000000000001</v>
      </c>
      <c r="P113" s="9" t="e">
        <f t="shared" si="37"/>
        <v>#N/A</v>
      </c>
      <c r="Q113" s="5">
        <v>36693</v>
      </c>
      <c r="R113" s="4">
        <f t="shared" si="48"/>
        <v>1</v>
      </c>
      <c r="S113" s="158" t="e">
        <f>_xll.xSPRDOPT($K113,$L113,$J113,$M113,$N113,$O113,$P113,$Q113-$C$3,$R113,0)</f>
        <v>#N/A</v>
      </c>
      <c r="T113" s="159" t="e">
        <f>_xll.xSPRDOPT($K113,$L113,$J113,$M113,$N113,$O113,$P113,$Q113-$C$3,$R113,1)*I113</f>
        <v>#N/A</v>
      </c>
      <c r="U113" s="160">
        <v>2850</v>
      </c>
      <c r="V113" s="159" t="e">
        <f>_xll.xSPRDOPT($K113,$L113,$J113,$M113,$N113,$O113,$P113,$Q113-$C$3,$R113,2)*I113</f>
        <v>#N/A</v>
      </c>
      <c r="W113" s="159" t="e">
        <f t="shared" si="49"/>
        <v>#N/A</v>
      </c>
      <c r="X113" s="51" t="str">
        <f t="shared" si="50"/>
        <v>36678IF-ELPO/SJ</v>
      </c>
      <c r="Y113" s="418">
        <f t="shared" si="51"/>
        <v>1</v>
      </c>
      <c r="Z113" s="51"/>
      <c r="AA113" s="51"/>
      <c r="AB113" s="141">
        <f t="shared" si="38"/>
        <v>36678</v>
      </c>
      <c r="AC113" s="234" t="e">
        <f>_xll.xSPRDOPT(HLOOKUP($D$3,GDPRICES,VLOOKUP(Q113,GDmove_down,2,FALSE),FALSE),HLOOKUP($E$3,GDPRICES,VLOOKUP(Q113,GDmove_down,2,FALSE),FALSE),J113,VLOOKUP(H113,NGPREVPRICES,4,FALSE),HLOOKUP($H$3,GDPrevVols,VLOOKUP(Q113,GDmove_down2,2,FALSE),FALSE),HLOOKUP($H$3,GDPrevVols,VLOOKUP(Q113,GDmove_down2,2,FALSE),FALSE),HLOOKUP(E113,GDcorr,VLOOKUP(H113,CorMove,2,FALSE),FALSE),Q113-$AC$3,R113,$AC$5)*I113-AI113</f>
        <v>#N/A</v>
      </c>
      <c r="AD113" s="234" t="e">
        <f>_xll.xSPRDOPT(HLOOKUP($D$3,GDPrev,VLOOKUP(Q113,GDmove_down,2,FALSE),FALSE),HLOOKUP($E$3,GDPrev,VLOOKUP(Q113,GDmove_down,2,FALSE),FALSE),AJ113,VLOOKUP(H113,NGPrices,4,FALSE),HLOOKUP($H$3,GDPrevVols,VLOOKUP(Q113,GDmove_down2,2,FALSE),FALSE),HLOOKUP($H$3,GDPrevVols,VLOOKUP(Q113,GDmove_down2,2,FALSE),FALSE),HLOOKUP(E113,GDcorr,VLOOKUP(H113,CorMove,2,FALSE),FALSE),Q113-$AC$3,R113,$AI$5)*I113-AI113</f>
        <v>#N/A</v>
      </c>
      <c r="AE113" s="439" t="e">
        <f t="shared" si="39"/>
        <v>#N/A</v>
      </c>
      <c r="AF113" s="234" t="e">
        <f>_xll.xSPRDOPT(HLOOKUP($D$3,GDPrev,VLOOKUP(Q113,GDmove_down,2,FALSE),FALSE),HLOOKUP($E$3,GDPrev,VLOOKUP(Q113,GDmove_down,2,FALSE),FALSE),AJ113,VLOOKUP(H113,NGPREVPRICES,4,FALSE),HLOOKUP($H$3,GDVol,VLOOKUP(H113,move_down,2,FALSE),FALSE),HLOOKUP($H$3,GDVol,VLOOKUP(H113,move_down,2,FALSE),FALSE),HLOOKUP(E113,GDcorr,VLOOKUP(H113,CorMove,2,FALSE),FALSE),Q113-$AC$3,R113,$AI$5)*I113-AI113</f>
        <v>#N/A</v>
      </c>
      <c r="AG113" s="234" t="e">
        <f>_xll.xSPRDOPT(HLOOKUP($D$3,GDPrev,VLOOKUP(Q113,GDmove_down,2,FALSE),FALSE),HLOOKUP($E$3,GDPrev,VLOOKUP(Q113,GDmove_down,2,FALSE),FALSE),AJ113,VLOOKUP(H113,NGPREVPRICES,4,FALSE),HLOOKUP($H$3,GDPrevVols,VLOOKUP(Q113,GDmove_down2,2,FALSE),FALSE),HLOOKUP($H$3,GDPrevVols,VLOOKUP(Q113,GDmove_down2,2,FALSE),FALSE),HLOOKUP(E113,GDcorr,VLOOKUP(H113,CorMove,2,FALSE),FALSE),Q113-$C$3,R113,$AI$5)*I113-AI113</f>
        <v>#N/A</v>
      </c>
      <c r="AH113" s="234" t="e">
        <f t="shared" si="40"/>
        <v>#N/A</v>
      </c>
      <c r="AI113" s="234" t="e">
        <f>_xll.xSPRDOPT(HLOOKUP($D$3,GDPrev,VLOOKUP(Q113,GDmove_down,2,FALSE),FALSE),HLOOKUP($E$3,GDPrev,VLOOKUP(Q113,GDmove_down,2,FALSE),FALSE),AJ113,VLOOKUP(H113,NGPREVPRICES,4,FALSE),HLOOKUP($H$3,GDPrevVols,VLOOKUP(Q113,GDmove_down2,2,FALSE),FALSE),HLOOKUP($H$3,GDPrevVols,VLOOKUP(Q113,GDmove_down2,2,FALSE),FALSE),HLOOKUP(E113,GDcorr,VLOOKUP(H113,CorMove,2,FALSE),FALSE),Q113-$AC$3,R113,$AI$5)*I113</f>
        <v>#N/A</v>
      </c>
      <c r="AJ113" s="235" t="e">
        <f t="shared" si="41"/>
        <v>#N/A</v>
      </c>
      <c r="AK113" s="234"/>
      <c r="AL113" t="str">
        <f t="shared" si="42"/>
        <v>36678Curve Shift/Gamma</v>
      </c>
      <c r="AM113" t="str">
        <f t="shared" si="43"/>
        <v>36678Rho</v>
      </c>
      <c r="AN113" t="str">
        <f t="shared" si="44"/>
        <v>36678Drift</v>
      </c>
      <c r="AO113" t="str">
        <f t="shared" si="45"/>
        <v>36678Vega</v>
      </c>
      <c r="AP113" t="str">
        <f t="shared" si="46"/>
        <v>36678Theta</v>
      </c>
      <c r="AZ113" s="41">
        <f t="shared" si="52"/>
        <v>39387</v>
      </c>
      <c r="BA113" s="44"/>
      <c r="BG113" s="441">
        <v>39722</v>
      </c>
      <c r="BH113">
        <v>0.98499999999999999</v>
      </c>
      <c r="BJ113" s="441">
        <v>39722</v>
      </c>
      <c r="BK113">
        <v>110</v>
      </c>
    </row>
    <row r="114" spans="1:63" ht="12" customHeight="1" x14ac:dyDescent="0.25">
      <c r="A114" s="382" t="s">
        <v>279</v>
      </c>
      <c r="B114" s="155" t="s">
        <v>250</v>
      </c>
      <c r="C114" s="155" t="s">
        <v>364</v>
      </c>
      <c r="D114" s="155" t="s">
        <v>190</v>
      </c>
      <c r="E114" s="4" t="s">
        <v>237</v>
      </c>
      <c r="F114" s="155" t="s">
        <v>20</v>
      </c>
      <c r="G114" s="155" t="s">
        <v>21</v>
      </c>
      <c r="H114" s="354">
        <v>36678</v>
      </c>
      <c r="I114" s="156">
        <v>-333333</v>
      </c>
      <c r="J114" s="7">
        <v>0.46</v>
      </c>
      <c r="K114" s="53">
        <f t="shared" si="35"/>
        <v>4.68</v>
      </c>
      <c r="L114" s="53">
        <f t="shared" si="36"/>
        <v>3.41</v>
      </c>
      <c r="M114" s="157">
        <v>1</v>
      </c>
      <c r="N114" s="4">
        <v>0.51500000000000001</v>
      </c>
      <c r="O114" s="4">
        <v>0.51500000000000001</v>
      </c>
      <c r="P114" s="9" t="e">
        <f t="shared" si="37"/>
        <v>#N/A</v>
      </c>
      <c r="Q114" s="5">
        <v>36693</v>
      </c>
      <c r="R114" s="4">
        <f t="shared" si="48"/>
        <v>1</v>
      </c>
      <c r="S114" s="158" t="e">
        <f>_xll.xSPRDOPT($K114,$L114,$J114,$M114,$N114,$O114,$P114,$Q114-$C$3,$R114,0)</f>
        <v>#N/A</v>
      </c>
      <c r="T114" s="159" t="e">
        <f>_xll.xSPRDOPT($K114,$L114,$J114,$M114,$N114,$O114,$P114,$Q114-$C$3,$R114,1)*I114</f>
        <v>#N/A</v>
      </c>
      <c r="U114" s="160">
        <v>-94999.905000000028</v>
      </c>
      <c r="V114" s="159" t="e">
        <f>_xll.xSPRDOPT($K114,$L114,$J114,$M114,$N114,$O114,$P114,$Q114-$C$3,$R114,2)*I114</f>
        <v>#N/A</v>
      </c>
      <c r="W114" s="159" t="e">
        <f t="shared" si="49"/>
        <v>#N/A</v>
      </c>
      <c r="X114" s="51" t="str">
        <f t="shared" si="50"/>
        <v>36678IF-ELPO/SJ</v>
      </c>
      <c r="Y114" s="418">
        <f t="shared" si="51"/>
        <v>-33.333300000000001</v>
      </c>
      <c r="Z114" s="51"/>
      <c r="AA114" s="51"/>
      <c r="AB114" s="141">
        <f t="shared" si="38"/>
        <v>36678</v>
      </c>
      <c r="AC114" s="234" t="e">
        <f>_xll.xSPRDOPT(HLOOKUP($D$3,GDPRICES,VLOOKUP(Q114,GDmove_down,2,FALSE),FALSE),HLOOKUP($E$3,GDPRICES,VLOOKUP(Q114,GDmove_down,2,FALSE),FALSE),J114,VLOOKUP(H114,NGPREVPRICES,4,FALSE),HLOOKUP($H$3,GDPrevVols,VLOOKUP(Q114,GDmove_down2,2,FALSE),FALSE),HLOOKUP($H$3,GDPrevVols,VLOOKUP(Q114,GDmove_down2,2,FALSE),FALSE),HLOOKUP(E114,GDcorr,VLOOKUP(H114,CorMove,2,FALSE),FALSE),Q114-$AC$3,R114,$AC$5)*I114-AI114</f>
        <v>#N/A</v>
      </c>
      <c r="AD114" s="234" t="e">
        <f>_xll.xSPRDOPT(HLOOKUP($D$3,GDPrev,VLOOKUP(Q114,GDmove_down,2,FALSE),FALSE),HLOOKUP($E$3,GDPrev,VLOOKUP(Q114,GDmove_down,2,FALSE),FALSE),AJ114,VLOOKUP(H114,NGPrices,4,FALSE),HLOOKUP($H$3,GDPrevVols,VLOOKUP(Q114,GDmove_down2,2,FALSE),FALSE),HLOOKUP($H$3,GDPrevVols,VLOOKUP(Q114,GDmove_down2,2,FALSE),FALSE),HLOOKUP(E114,GDcorr,VLOOKUP(H114,CorMove,2,FALSE),FALSE),Q114-$AC$3,R114,$AI$5)*I114-AI114</f>
        <v>#N/A</v>
      </c>
      <c r="AE114" s="439" t="e">
        <f t="shared" si="39"/>
        <v>#N/A</v>
      </c>
      <c r="AF114" s="234" t="e">
        <f>_xll.xSPRDOPT(HLOOKUP($D$3,GDPrev,VLOOKUP(Q114,GDmove_down,2,FALSE),FALSE),HLOOKUP($E$3,GDPrev,VLOOKUP(Q114,GDmove_down,2,FALSE),FALSE),AJ114,VLOOKUP(H114,NGPREVPRICES,4,FALSE),HLOOKUP($H$3,GDVol,VLOOKUP(H114,move_down,2,FALSE),FALSE),HLOOKUP($H$3,GDVol,VLOOKUP(H114,move_down,2,FALSE),FALSE),HLOOKUP(E114,GDcorr,VLOOKUP(H114,CorMove,2,FALSE),FALSE),Q114-$AC$3,R114,$AI$5)*I114-AI114</f>
        <v>#N/A</v>
      </c>
      <c r="AG114" s="234" t="e">
        <f>_xll.xSPRDOPT(HLOOKUP($D$3,GDPrev,VLOOKUP(Q114,GDmove_down,2,FALSE),FALSE),HLOOKUP($E$3,GDPrev,VLOOKUP(Q114,GDmove_down,2,FALSE),FALSE),AJ114,VLOOKUP(H114,NGPREVPRICES,4,FALSE),HLOOKUP($H$3,GDPrevVols,VLOOKUP(Q114,GDmove_down2,2,FALSE),FALSE),HLOOKUP($H$3,GDPrevVols,VLOOKUP(Q114,GDmove_down2,2,FALSE),FALSE),HLOOKUP(E114,GDcorr,VLOOKUP(H114,CorMove,2,FALSE),FALSE),Q114-$C$3,R114,$AI$5)*I114-AI114</f>
        <v>#N/A</v>
      </c>
      <c r="AH114" s="234" t="e">
        <f t="shared" si="40"/>
        <v>#N/A</v>
      </c>
      <c r="AI114" s="234" t="e">
        <f>_xll.xSPRDOPT(HLOOKUP($D$3,GDPrev,VLOOKUP(Q114,GDmove_down,2,FALSE),FALSE),HLOOKUP($E$3,GDPrev,VLOOKUP(Q114,GDmove_down,2,FALSE),FALSE),AJ114,VLOOKUP(H114,NGPREVPRICES,4,FALSE),HLOOKUP($H$3,GDPrevVols,VLOOKUP(Q114,GDmove_down2,2,FALSE),FALSE),HLOOKUP($H$3,GDPrevVols,VLOOKUP(Q114,GDmove_down2,2,FALSE),FALSE),HLOOKUP(E114,GDcorr,VLOOKUP(H114,CorMove,2,FALSE),FALSE),Q114-$AC$3,R114,$AI$5)*I114</f>
        <v>#N/A</v>
      </c>
      <c r="AJ114" s="235" t="e">
        <f t="shared" si="41"/>
        <v>#N/A</v>
      </c>
      <c r="AK114" s="234"/>
      <c r="AL114" t="str">
        <f t="shared" si="42"/>
        <v>36678Curve Shift/Gamma</v>
      </c>
      <c r="AM114" t="str">
        <f t="shared" si="43"/>
        <v>36678Rho</v>
      </c>
      <c r="AN114" t="str">
        <f t="shared" si="44"/>
        <v>36678Drift</v>
      </c>
      <c r="AO114" t="str">
        <f t="shared" si="45"/>
        <v>36678Vega</v>
      </c>
      <c r="AP114" t="str">
        <f t="shared" si="46"/>
        <v>36678Theta</v>
      </c>
      <c r="AZ114" s="41">
        <f t="shared" si="52"/>
        <v>39417</v>
      </c>
      <c r="BA114" s="44"/>
      <c r="BG114" s="441">
        <v>39753</v>
      </c>
      <c r="BH114">
        <v>0.97048500000000038</v>
      </c>
      <c r="BJ114" s="441">
        <v>39753</v>
      </c>
      <c r="BK114">
        <v>111</v>
      </c>
    </row>
    <row r="115" spans="1:63" ht="12" customHeight="1" x14ac:dyDescent="0.25">
      <c r="A115" s="384" t="s">
        <v>268</v>
      </c>
      <c r="B115" s="155" t="s">
        <v>250</v>
      </c>
      <c r="C115" s="155" t="s">
        <v>387</v>
      </c>
      <c r="D115" s="155" t="s">
        <v>190</v>
      </c>
      <c r="E115" s="4" t="s">
        <v>237</v>
      </c>
      <c r="F115" s="155" t="s">
        <v>20</v>
      </c>
      <c r="G115" s="155" t="s">
        <v>21</v>
      </c>
      <c r="H115" s="354">
        <v>36678</v>
      </c>
      <c r="I115" s="156">
        <v>-10000</v>
      </c>
      <c r="J115" s="7">
        <v>0.46</v>
      </c>
      <c r="K115" s="53">
        <f t="shared" si="35"/>
        <v>4.68</v>
      </c>
      <c r="L115" s="53">
        <f t="shared" si="36"/>
        <v>3.41</v>
      </c>
      <c r="M115" s="157">
        <v>1</v>
      </c>
      <c r="N115" s="4">
        <v>0.51500000000000001</v>
      </c>
      <c r="O115" s="4">
        <v>0.51500000000000001</v>
      </c>
      <c r="P115" s="9" t="e">
        <f t="shared" si="37"/>
        <v>#N/A</v>
      </c>
      <c r="Q115" s="5">
        <v>36693</v>
      </c>
      <c r="R115" s="4">
        <f t="shared" si="48"/>
        <v>1</v>
      </c>
      <c r="S115" s="158" t="e">
        <f>_xll.xSPRDOPT($K115,$L115,$J115,$M115,$N115,$O115,$P115,$Q115-$C$3,$R115,0)</f>
        <v>#N/A</v>
      </c>
      <c r="T115" s="159" t="e">
        <f>_xll.xSPRDOPT($K115,$L115,$J115,$M115,$N115,$O115,$P115,$Q115-$C$3,$R115,1)*I115</f>
        <v>#N/A</v>
      </c>
      <c r="U115" s="160">
        <v>-2850</v>
      </c>
      <c r="V115" s="159" t="e">
        <f>_xll.xSPRDOPT($K115,$L115,$J115,$M115,$N115,$O115,$P115,$Q115-$C$3,$R115,2)*I115</f>
        <v>#N/A</v>
      </c>
      <c r="W115" s="159" t="e">
        <f t="shared" si="49"/>
        <v>#N/A</v>
      </c>
      <c r="X115" s="51" t="str">
        <f t="shared" si="50"/>
        <v>36678IF-ELPO/SJ</v>
      </c>
      <c r="Y115" s="418">
        <f t="shared" si="51"/>
        <v>-1</v>
      </c>
      <c r="AA115" s="51"/>
      <c r="AB115" s="141">
        <f t="shared" si="38"/>
        <v>36678</v>
      </c>
      <c r="AC115" s="234" t="e">
        <f>_xll.xSPRDOPT(HLOOKUP($D$3,GDPRICES,VLOOKUP(Q115,GDmove_down,2,FALSE),FALSE),HLOOKUP($E$3,GDPRICES,VLOOKUP(Q115,GDmove_down,2,FALSE),FALSE),J115,VLOOKUP(H115,NGPREVPRICES,4,FALSE),HLOOKUP($H$3,GDPrevVols,VLOOKUP(Q115,GDmove_down2,2,FALSE),FALSE),HLOOKUP($H$3,GDPrevVols,VLOOKUP(Q115,GDmove_down2,2,FALSE),FALSE),HLOOKUP(E115,GDcorr,VLOOKUP(H115,CorMove,2,FALSE),FALSE),Q115-$AC$3,R115,$AC$5)*I115-AI115</f>
        <v>#N/A</v>
      </c>
      <c r="AD115" s="234" t="e">
        <f>_xll.xSPRDOPT(HLOOKUP($D$3,GDPrev,VLOOKUP(Q115,GDmove_down,2,FALSE),FALSE),HLOOKUP($E$3,GDPrev,VLOOKUP(Q115,GDmove_down,2,FALSE),FALSE),AJ115,VLOOKUP(H115,NGPrices,4,FALSE),HLOOKUP($H$3,GDPrevVols,VLOOKUP(Q115,GDmove_down2,2,FALSE),FALSE),HLOOKUP($H$3,GDPrevVols,VLOOKUP(Q115,GDmove_down2,2,FALSE),FALSE),HLOOKUP(E115,GDcorr,VLOOKUP(H115,CorMove,2,FALSE),FALSE),Q115-$AC$3,R115,$AI$5)*I115-AI115</f>
        <v>#N/A</v>
      </c>
      <c r="AE115" s="439" t="e">
        <f t="shared" si="39"/>
        <v>#N/A</v>
      </c>
      <c r="AF115" s="234" t="e">
        <f>_xll.xSPRDOPT(HLOOKUP($D$3,GDPrev,VLOOKUP(Q115,GDmove_down,2,FALSE),FALSE),HLOOKUP($E$3,GDPrev,VLOOKUP(Q115,GDmove_down,2,FALSE),FALSE),AJ115,VLOOKUP(H115,NGPREVPRICES,4,FALSE),HLOOKUP($H$3,GDVol,VLOOKUP(H115,move_down,2,FALSE),FALSE),HLOOKUP($H$3,GDVol,VLOOKUP(H115,move_down,2,FALSE),FALSE),HLOOKUP(E115,GDcorr,VLOOKUP(H115,CorMove,2,FALSE),FALSE),Q115-$AC$3,R115,$AI$5)*I115-AI115</f>
        <v>#N/A</v>
      </c>
      <c r="AG115" s="234" t="e">
        <f>_xll.xSPRDOPT(HLOOKUP($D$3,GDPrev,VLOOKUP(Q115,GDmove_down,2,FALSE),FALSE),HLOOKUP($E$3,GDPrev,VLOOKUP(Q115,GDmove_down,2,FALSE),FALSE),AJ115,VLOOKUP(H115,NGPREVPRICES,4,FALSE),HLOOKUP($H$3,GDPrevVols,VLOOKUP(Q115,GDmove_down2,2,FALSE),FALSE),HLOOKUP($H$3,GDPrevVols,VLOOKUP(Q115,GDmove_down2,2,FALSE),FALSE),HLOOKUP(E115,GDcorr,VLOOKUP(H115,CorMove,2,FALSE),FALSE),Q115-$C$3,R115,$AI$5)*I115-AI115</f>
        <v>#N/A</v>
      </c>
      <c r="AH115" s="234" t="e">
        <f t="shared" si="40"/>
        <v>#N/A</v>
      </c>
      <c r="AI115" s="234" t="e">
        <f>_xll.xSPRDOPT(HLOOKUP($D$3,GDPrev,VLOOKUP(Q115,GDmove_down,2,FALSE),FALSE),HLOOKUP($E$3,GDPrev,VLOOKUP(Q115,GDmove_down,2,FALSE),FALSE),AJ115,VLOOKUP(H115,NGPREVPRICES,4,FALSE),HLOOKUP($H$3,GDPrevVols,VLOOKUP(Q115,GDmove_down2,2,FALSE),FALSE),HLOOKUP($H$3,GDPrevVols,VLOOKUP(Q115,GDmove_down2,2,FALSE),FALSE),HLOOKUP(E115,GDcorr,VLOOKUP(H115,CorMove,2,FALSE),FALSE),Q115-$AC$3,R115,$AI$5)*I115</f>
        <v>#N/A</v>
      </c>
      <c r="AJ115" s="235" t="e">
        <f t="shared" si="41"/>
        <v>#N/A</v>
      </c>
      <c r="AK115" s="234"/>
      <c r="AL115" t="str">
        <f t="shared" si="42"/>
        <v>36678Curve Shift/Gamma</v>
      </c>
      <c r="AM115" t="str">
        <f t="shared" si="43"/>
        <v>36678Rho</v>
      </c>
      <c r="AN115" t="str">
        <f t="shared" si="44"/>
        <v>36678Drift</v>
      </c>
      <c r="AO115" t="str">
        <f t="shared" si="45"/>
        <v>36678Vega</v>
      </c>
      <c r="AP115" t="str">
        <f t="shared" si="46"/>
        <v>36678Theta</v>
      </c>
      <c r="AZ115" s="41">
        <f t="shared" si="52"/>
        <v>39448</v>
      </c>
      <c r="BA115" s="44"/>
      <c r="BG115" s="441">
        <v>39783</v>
      </c>
      <c r="BH115">
        <v>0.97048500000000038</v>
      </c>
      <c r="BJ115" s="441">
        <v>39783</v>
      </c>
      <c r="BK115">
        <v>112</v>
      </c>
    </row>
    <row r="116" spans="1:63" ht="12" customHeight="1" x14ac:dyDescent="0.25">
      <c r="A116" s="384" t="s">
        <v>279</v>
      </c>
      <c r="B116" s="155" t="s">
        <v>250</v>
      </c>
      <c r="C116" s="155" t="s">
        <v>388</v>
      </c>
      <c r="D116" s="155" t="s">
        <v>190</v>
      </c>
      <c r="E116" s="4" t="s">
        <v>237</v>
      </c>
      <c r="F116" s="155" t="s">
        <v>20</v>
      </c>
      <c r="G116" s="155" t="s">
        <v>21</v>
      </c>
      <c r="H116" s="354">
        <v>36678</v>
      </c>
      <c r="I116" s="156">
        <v>50000</v>
      </c>
      <c r="J116" s="7">
        <v>0.46</v>
      </c>
      <c r="K116" s="53">
        <f t="shared" si="35"/>
        <v>4.68</v>
      </c>
      <c r="L116" s="53">
        <f t="shared" si="36"/>
        <v>3.41</v>
      </c>
      <c r="M116" s="157">
        <v>1</v>
      </c>
      <c r="N116" s="4">
        <v>0.51500000000000001</v>
      </c>
      <c r="O116" s="4">
        <v>0.51500000000000001</v>
      </c>
      <c r="P116" s="9" t="e">
        <f t="shared" si="37"/>
        <v>#N/A</v>
      </c>
      <c r="Q116" s="5">
        <v>36693</v>
      </c>
      <c r="R116" s="4">
        <f t="shared" si="48"/>
        <v>1</v>
      </c>
      <c r="S116" s="158" t="e">
        <f>_xll.xSPRDOPT($K116,$L116,$J116,$M116,$N116,$O116,$P116,$Q116-$C$3,$R116,0)</f>
        <v>#N/A</v>
      </c>
      <c r="T116" s="159" t="e">
        <f>_xll.xSPRDOPT($K116,$L116,$J116,$M116,$N116,$O116,$P116,$Q116-$C$3,$R116,1)*I116</f>
        <v>#N/A</v>
      </c>
      <c r="U116" s="160">
        <v>14250</v>
      </c>
      <c r="V116" s="159" t="e">
        <f>_xll.xSPRDOPT($K116,$L116,$J116,$M116,$N116,$O116,$P116,$Q116-$C$3,$R116,2)*I116</f>
        <v>#N/A</v>
      </c>
      <c r="W116" s="159" t="e">
        <f t="shared" si="49"/>
        <v>#N/A</v>
      </c>
      <c r="X116" s="51" t="str">
        <f t="shared" si="50"/>
        <v>36678IF-ELPO/SJ</v>
      </c>
      <c r="Y116" s="418">
        <f t="shared" si="51"/>
        <v>5</v>
      </c>
      <c r="AA116" s="51"/>
      <c r="AB116" s="141">
        <f t="shared" si="38"/>
        <v>36678</v>
      </c>
      <c r="AC116" s="234" t="e">
        <f>_xll.xSPRDOPT(HLOOKUP($D$3,GDPRICES,VLOOKUP(Q116,GDmove_down,2,FALSE),FALSE),HLOOKUP($E$3,GDPRICES,VLOOKUP(Q116,GDmove_down,2,FALSE),FALSE),J116,VLOOKUP(H116,NGPREVPRICES,4,FALSE),HLOOKUP($H$3,GDPrevVols,VLOOKUP(Q116,GDmove_down2,2,FALSE),FALSE),HLOOKUP($H$3,GDPrevVols,VLOOKUP(Q116,GDmove_down2,2,FALSE),FALSE),HLOOKUP(E116,GDcorr,VLOOKUP(H116,CorMove,2,FALSE),FALSE),Q116-$AC$3,R116,$AC$5)*I116-AI116</f>
        <v>#N/A</v>
      </c>
      <c r="AD116" s="234" t="e">
        <f>_xll.xSPRDOPT(HLOOKUP($D$3,GDPrev,VLOOKUP(Q116,GDmove_down,2,FALSE),FALSE),HLOOKUP($E$3,GDPrev,VLOOKUP(Q116,GDmove_down,2,FALSE),FALSE),AJ116,VLOOKUP(H116,NGPrices,4,FALSE),HLOOKUP($H$3,GDPrevVols,VLOOKUP(Q116,GDmove_down2,2,FALSE),FALSE),HLOOKUP($H$3,GDPrevVols,VLOOKUP(Q116,GDmove_down2,2,FALSE),FALSE),HLOOKUP(E116,GDcorr,VLOOKUP(H116,CorMove,2,FALSE),FALSE),Q116-$AC$3,R116,$AI$5)*I116-AI116</f>
        <v>#N/A</v>
      </c>
      <c r="AE116" s="439" t="e">
        <f t="shared" si="39"/>
        <v>#N/A</v>
      </c>
      <c r="AF116" s="234" t="e">
        <f>_xll.xSPRDOPT(HLOOKUP($D$3,GDPrev,VLOOKUP(Q116,GDmove_down,2,FALSE),FALSE),HLOOKUP($E$3,GDPrev,VLOOKUP(Q116,GDmove_down,2,FALSE),FALSE),AJ116,VLOOKUP(H116,NGPREVPRICES,4,FALSE),HLOOKUP($H$3,GDVol,VLOOKUP(H116,move_down,2,FALSE),FALSE),HLOOKUP($H$3,GDVol,VLOOKUP(H116,move_down,2,FALSE),FALSE),HLOOKUP(E116,GDcorr,VLOOKUP(H116,CorMove,2,FALSE),FALSE),Q116-$AC$3,R116,$AI$5)*I116-AI116</f>
        <v>#N/A</v>
      </c>
      <c r="AG116" s="234" t="e">
        <f>_xll.xSPRDOPT(HLOOKUP($D$3,GDPrev,VLOOKUP(Q116,GDmove_down,2,FALSE),FALSE),HLOOKUP($E$3,GDPrev,VLOOKUP(Q116,GDmove_down,2,FALSE),FALSE),AJ116,VLOOKUP(H116,NGPREVPRICES,4,FALSE),HLOOKUP($H$3,GDPrevVols,VLOOKUP(Q116,GDmove_down2,2,FALSE),FALSE),HLOOKUP($H$3,GDPrevVols,VLOOKUP(Q116,GDmove_down2,2,FALSE),FALSE),HLOOKUP(E116,GDcorr,VLOOKUP(H116,CorMove,2,FALSE),FALSE),Q116-$C$3,R116,$AI$5)*I116-AI116</f>
        <v>#N/A</v>
      </c>
      <c r="AH116" s="234" t="e">
        <f t="shared" si="40"/>
        <v>#N/A</v>
      </c>
      <c r="AI116" s="234" t="e">
        <f>_xll.xSPRDOPT(HLOOKUP($D$3,GDPrev,VLOOKUP(Q116,GDmove_down,2,FALSE),FALSE),HLOOKUP($E$3,GDPrev,VLOOKUP(Q116,GDmove_down,2,FALSE),FALSE),AJ116,VLOOKUP(H116,NGPREVPRICES,4,FALSE),HLOOKUP($H$3,GDPrevVols,VLOOKUP(Q116,GDmove_down2,2,FALSE),FALSE),HLOOKUP($H$3,GDPrevVols,VLOOKUP(Q116,GDmove_down2,2,FALSE),FALSE),HLOOKUP(E116,GDcorr,VLOOKUP(H116,CorMove,2,FALSE),FALSE),Q116-$AC$3,R116,$AI$5)*I116</f>
        <v>#N/A</v>
      </c>
      <c r="AJ116" s="235" t="e">
        <f t="shared" si="41"/>
        <v>#N/A</v>
      </c>
      <c r="AK116" s="234"/>
      <c r="AL116" t="str">
        <f t="shared" si="42"/>
        <v>36678Curve Shift/Gamma</v>
      </c>
      <c r="AM116" t="str">
        <f t="shared" si="43"/>
        <v>36678Rho</v>
      </c>
      <c r="AN116" t="str">
        <f t="shared" si="44"/>
        <v>36678Drift</v>
      </c>
      <c r="AO116" t="str">
        <f t="shared" si="45"/>
        <v>36678Vega</v>
      </c>
      <c r="AP116" t="str">
        <f t="shared" si="46"/>
        <v>36678Theta</v>
      </c>
      <c r="AZ116" s="41">
        <f t="shared" si="52"/>
        <v>39479</v>
      </c>
      <c r="BA116" s="44"/>
      <c r="BG116" s="441">
        <v>39814</v>
      </c>
      <c r="BH116">
        <v>0.98499999999999999</v>
      </c>
      <c r="BJ116" s="441">
        <v>39814</v>
      </c>
      <c r="BK116">
        <v>113</v>
      </c>
    </row>
    <row r="117" spans="1:63" ht="12" customHeight="1" x14ac:dyDescent="0.25">
      <c r="A117" s="384" t="s">
        <v>279</v>
      </c>
      <c r="B117" s="155" t="s">
        <v>250</v>
      </c>
      <c r="C117" s="155" t="s">
        <v>389</v>
      </c>
      <c r="D117" s="155" t="s">
        <v>190</v>
      </c>
      <c r="E117" s="4" t="s">
        <v>237</v>
      </c>
      <c r="F117" s="155" t="s">
        <v>20</v>
      </c>
      <c r="G117" s="155" t="s">
        <v>21</v>
      </c>
      <c r="H117" s="354">
        <v>36678</v>
      </c>
      <c r="I117" s="156">
        <v>50000</v>
      </c>
      <c r="J117" s="7">
        <v>0.46</v>
      </c>
      <c r="K117" s="53">
        <f t="shared" si="35"/>
        <v>4.68</v>
      </c>
      <c r="L117" s="53">
        <f t="shared" si="36"/>
        <v>3.41</v>
      </c>
      <c r="M117" s="157">
        <v>1</v>
      </c>
      <c r="N117" s="4">
        <v>0.51500000000000001</v>
      </c>
      <c r="O117" s="4">
        <v>0.51500000000000001</v>
      </c>
      <c r="P117" s="9" t="e">
        <f t="shared" si="37"/>
        <v>#N/A</v>
      </c>
      <c r="Q117" s="5">
        <v>36693</v>
      </c>
      <c r="R117" s="4">
        <f t="shared" si="48"/>
        <v>1</v>
      </c>
      <c r="S117" s="158" t="e">
        <f>_xll.xSPRDOPT($K117,$L117,$J117,$M117,$N117,$O117,$P117,$Q117-$C$3,$R117,0)</f>
        <v>#N/A</v>
      </c>
      <c r="T117" s="159" t="e">
        <f>_xll.xSPRDOPT($K117,$L117,$J117,$M117,$N117,$O117,$P117,$Q117-$C$3,$R117,1)*I117</f>
        <v>#N/A</v>
      </c>
      <c r="U117" s="160">
        <v>14250</v>
      </c>
      <c r="V117" s="159" t="e">
        <f>_xll.xSPRDOPT($K117,$L117,$J117,$M117,$N117,$O117,$P117,$Q117-$C$3,$R117,2)*I117</f>
        <v>#N/A</v>
      </c>
      <c r="W117" s="159" t="e">
        <f t="shared" si="49"/>
        <v>#N/A</v>
      </c>
      <c r="X117" s="51" t="str">
        <f t="shared" si="50"/>
        <v>36678IF-ELPO/SJ</v>
      </c>
      <c r="Y117" s="418">
        <f t="shared" si="51"/>
        <v>5</v>
      </c>
      <c r="AA117" s="51"/>
      <c r="AB117" s="141">
        <f t="shared" si="38"/>
        <v>36678</v>
      </c>
      <c r="AC117" s="234" t="e">
        <f>_xll.xSPRDOPT(HLOOKUP($D$3,GDPRICES,VLOOKUP(Q117,GDmove_down,2,FALSE),FALSE),HLOOKUP($E$3,GDPRICES,VLOOKUP(Q117,GDmove_down,2,FALSE),FALSE),J117,VLOOKUP(H117,NGPREVPRICES,4,FALSE),HLOOKUP($H$3,GDPrevVols,VLOOKUP(Q117,GDmove_down2,2,FALSE),FALSE),HLOOKUP($H$3,GDPrevVols,VLOOKUP(Q117,GDmove_down2,2,FALSE),FALSE),HLOOKUP(E117,GDcorr,VLOOKUP(H117,CorMove,2,FALSE),FALSE),Q117-$AC$3,R117,$AC$5)*I117-AI117</f>
        <v>#N/A</v>
      </c>
      <c r="AD117" s="234" t="e">
        <f>_xll.xSPRDOPT(HLOOKUP($D$3,GDPrev,VLOOKUP(Q117,GDmove_down,2,FALSE),FALSE),HLOOKUP($E$3,GDPrev,VLOOKUP(Q117,GDmove_down,2,FALSE),FALSE),AJ117,VLOOKUP(H117,NGPrices,4,FALSE),HLOOKUP($H$3,GDPrevVols,VLOOKUP(Q117,GDmove_down2,2,FALSE),FALSE),HLOOKUP($H$3,GDPrevVols,VLOOKUP(Q117,GDmove_down2,2,FALSE),FALSE),HLOOKUP(E117,GDcorr,VLOOKUP(H117,CorMove,2,FALSE),FALSE),Q117-$AC$3,R117,$AI$5)*I117-AI117</f>
        <v>#N/A</v>
      </c>
      <c r="AE117" s="439" t="e">
        <f t="shared" si="39"/>
        <v>#N/A</v>
      </c>
      <c r="AF117" s="234" t="e">
        <f>_xll.xSPRDOPT(HLOOKUP($D$3,GDPrev,VLOOKUP(Q117,GDmove_down,2,FALSE),FALSE),HLOOKUP($E$3,GDPrev,VLOOKUP(Q117,GDmove_down,2,FALSE),FALSE),AJ117,VLOOKUP(H117,NGPREVPRICES,4,FALSE),HLOOKUP($H$3,GDVol,VLOOKUP(H117,move_down,2,FALSE),FALSE),HLOOKUP($H$3,GDVol,VLOOKUP(H117,move_down,2,FALSE),FALSE),HLOOKUP(E117,GDcorr,VLOOKUP(H117,CorMove,2,FALSE),FALSE),Q117-$AC$3,R117,$AI$5)*I117-AI117</f>
        <v>#N/A</v>
      </c>
      <c r="AG117" s="234" t="e">
        <f>_xll.xSPRDOPT(HLOOKUP($D$3,GDPrev,VLOOKUP(Q117,GDmove_down,2,FALSE),FALSE),HLOOKUP($E$3,GDPrev,VLOOKUP(Q117,GDmove_down,2,FALSE),FALSE),AJ117,VLOOKUP(H117,NGPREVPRICES,4,FALSE),HLOOKUP($H$3,GDPrevVols,VLOOKUP(Q117,GDmove_down2,2,FALSE),FALSE),HLOOKUP($H$3,GDPrevVols,VLOOKUP(Q117,GDmove_down2,2,FALSE),FALSE),HLOOKUP(E117,GDcorr,VLOOKUP(H117,CorMove,2,FALSE),FALSE),Q117-$C$3,R117,$AI$5)*I117-AI117</f>
        <v>#N/A</v>
      </c>
      <c r="AH117" s="234" t="e">
        <f t="shared" si="40"/>
        <v>#N/A</v>
      </c>
      <c r="AI117" s="234" t="e">
        <f>_xll.xSPRDOPT(HLOOKUP($D$3,GDPrev,VLOOKUP(Q117,GDmove_down,2,FALSE),FALSE),HLOOKUP($E$3,GDPrev,VLOOKUP(Q117,GDmove_down,2,FALSE),FALSE),AJ117,VLOOKUP(H117,NGPREVPRICES,4,FALSE),HLOOKUP($H$3,GDPrevVols,VLOOKUP(Q117,GDmove_down2,2,FALSE),FALSE),HLOOKUP($H$3,GDPrevVols,VLOOKUP(Q117,GDmove_down2,2,FALSE),FALSE),HLOOKUP(E117,GDcorr,VLOOKUP(H117,CorMove,2,FALSE),FALSE),Q117-$AC$3,R117,$AI$5)*I117</f>
        <v>#N/A</v>
      </c>
      <c r="AJ117" s="235" t="e">
        <f t="shared" si="41"/>
        <v>#N/A</v>
      </c>
      <c r="AK117" s="234"/>
      <c r="AL117" t="str">
        <f t="shared" si="42"/>
        <v>36678Curve Shift/Gamma</v>
      </c>
      <c r="AM117" t="str">
        <f t="shared" si="43"/>
        <v>36678Rho</v>
      </c>
      <c r="AN117" t="str">
        <f t="shared" si="44"/>
        <v>36678Drift</v>
      </c>
      <c r="AO117" t="str">
        <f t="shared" si="45"/>
        <v>36678Vega</v>
      </c>
      <c r="AP117" t="str">
        <f t="shared" si="46"/>
        <v>36678Theta</v>
      </c>
      <c r="AZ117" s="41">
        <f t="shared" si="52"/>
        <v>39508</v>
      </c>
      <c r="BA117" s="44"/>
      <c r="BG117" s="441">
        <v>39845</v>
      </c>
      <c r="BH117">
        <v>0.98499999999999999</v>
      </c>
      <c r="BJ117" s="441">
        <v>39845</v>
      </c>
      <c r="BK117">
        <v>114</v>
      </c>
    </row>
    <row r="118" spans="1:63" ht="12" customHeight="1" x14ac:dyDescent="0.25">
      <c r="A118" s="384" t="s">
        <v>279</v>
      </c>
      <c r="B118" s="155" t="s">
        <v>250</v>
      </c>
      <c r="C118" s="155" t="s">
        <v>398</v>
      </c>
      <c r="D118" s="155" t="s">
        <v>190</v>
      </c>
      <c r="E118" s="4" t="s">
        <v>237</v>
      </c>
      <c r="F118" s="155" t="s">
        <v>20</v>
      </c>
      <c r="G118" s="155" t="s">
        <v>21</v>
      </c>
      <c r="H118" s="354">
        <v>36678</v>
      </c>
      <c r="I118" s="156">
        <v>-10000</v>
      </c>
      <c r="J118" s="7">
        <v>0.46</v>
      </c>
      <c r="K118" s="53">
        <f t="shared" si="35"/>
        <v>4.68</v>
      </c>
      <c r="L118" s="53">
        <f t="shared" si="36"/>
        <v>3.41</v>
      </c>
      <c r="M118" s="157">
        <v>1</v>
      </c>
      <c r="N118" s="4">
        <v>0.51500000000000001</v>
      </c>
      <c r="O118" s="4">
        <v>0.51500000000000001</v>
      </c>
      <c r="P118" s="9" t="e">
        <f t="shared" si="37"/>
        <v>#N/A</v>
      </c>
      <c r="Q118" s="5">
        <v>36693</v>
      </c>
      <c r="R118" s="4">
        <f t="shared" si="48"/>
        <v>1</v>
      </c>
      <c r="S118" s="158" t="e">
        <f>_xll.xSPRDOPT($K118,$L118,$J118,$M118,$N118,$O118,$P118,$Q118-$C$3,$R118,0)</f>
        <v>#N/A</v>
      </c>
      <c r="T118" s="159" t="e">
        <f>_xll.xSPRDOPT($K118,$L118,$J118,$M118,$N118,$O118,$P118,$Q118-$C$3,$R118,1)*I118</f>
        <v>#N/A</v>
      </c>
      <c r="U118" s="160">
        <v>-2850</v>
      </c>
      <c r="V118" s="159" t="e">
        <f>_xll.xSPRDOPT($K118,$L118,$J118,$M118,$N118,$O118,$P118,$Q118-$C$3,$R118,2)*I118</f>
        <v>#N/A</v>
      </c>
      <c r="W118" s="159" t="e">
        <f t="shared" si="49"/>
        <v>#N/A</v>
      </c>
      <c r="X118" s="51" t="str">
        <f t="shared" si="50"/>
        <v>36678IF-ELPO/SJ</v>
      </c>
      <c r="Y118" s="418">
        <f t="shared" si="51"/>
        <v>-1</v>
      </c>
      <c r="AA118" s="51"/>
      <c r="AB118" s="141">
        <f t="shared" si="38"/>
        <v>36678</v>
      </c>
      <c r="AC118" s="234" t="e">
        <f>_xll.xSPRDOPT(HLOOKUP($D$3,GDPRICES,VLOOKUP(Q118,GDmove_down,2,FALSE),FALSE),HLOOKUP($E$3,GDPRICES,VLOOKUP(Q118,GDmove_down,2,FALSE),FALSE),J118,VLOOKUP(H118,NGPREVPRICES,4,FALSE),HLOOKUP($H$3,GDPrevVols,VLOOKUP(Q118,GDmove_down2,2,FALSE),FALSE),HLOOKUP($H$3,GDPrevVols,VLOOKUP(Q118,GDmove_down2,2,FALSE),FALSE),HLOOKUP(E118,GDcorr,VLOOKUP(H118,CorMove,2,FALSE),FALSE),Q118-$AC$3,R118,$AC$5)*I118-AI118</f>
        <v>#N/A</v>
      </c>
      <c r="AD118" s="234" t="e">
        <f>_xll.xSPRDOPT(HLOOKUP($D$3,GDPrev,VLOOKUP(Q118,GDmove_down,2,FALSE),FALSE),HLOOKUP($E$3,GDPrev,VLOOKUP(Q118,GDmove_down,2,FALSE),FALSE),AJ118,VLOOKUP(H118,NGPrices,4,FALSE),HLOOKUP($H$3,GDPrevVols,VLOOKUP(Q118,GDmove_down2,2,FALSE),FALSE),HLOOKUP($H$3,GDPrevVols,VLOOKUP(Q118,GDmove_down2,2,FALSE),FALSE),HLOOKUP(E118,GDcorr,VLOOKUP(H118,CorMove,2,FALSE),FALSE),Q118-$AC$3,R118,$AI$5)*I118-AI118</f>
        <v>#N/A</v>
      </c>
      <c r="AE118" s="439" t="e">
        <f t="shared" si="39"/>
        <v>#N/A</v>
      </c>
      <c r="AF118" s="234" t="e">
        <f>_xll.xSPRDOPT(HLOOKUP($D$3,GDPrev,VLOOKUP(Q118,GDmove_down,2,FALSE),FALSE),HLOOKUP($E$3,GDPrev,VLOOKUP(Q118,GDmove_down,2,FALSE),FALSE),AJ118,VLOOKUP(H118,NGPREVPRICES,4,FALSE),HLOOKUP($H$3,GDVol,VLOOKUP(H118,move_down,2,FALSE),FALSE),HLOOKUP($H$3,GDVol,VLOOKUP(H118,move_down,2,FALSE),FALSE),HLOOKUP(E118,GDcorr,VLOOKUP(H118,CorMove,2,FALSE),FALSE),Q118-$AC$3,R118,$AI$5)*I118-AI118</f>
        <v>#N/A</v>
      </c>
      <c r="AG118" s="234" t="e">
        <f>_xll.xSPRDOPT(HLOOKUP($D$3,GDPrev,VLOOKUP(Q118,GDmove_down,2,FALSE),FALSE),HLOOKUP($E$3,GDPrev,VLOOKUP(Q118,GDmove_down,2,FALSE),FALSE),AJ118,VLOOKUP(H118,NGPREVPRICES,4,FALSE),HLOOKUP($H$3,GDPrevVols,VLOOKUP(Q118,GDmove_down2,2,FALSE),FALSE),HLOOKUP($H$3,GDPrevVols,VLOOKUP(Q118,GDmove_down2,2,FALSE),FALSE),HLOOKUP(E118,GDcorr,VLOOKUP(H118,CorMove,2,FALSE),FALSE),Q118-$C$3,R118,$AI$5)*I118-AI118</f>
        <v>#N/A</v>
      </c>
      <c r="AH118" s="234" t="e">
        <f t="shared" si="40"/>
        <v>#N/A</v>
      </c>
      <c r="AI118" s="234" t="e">
        <f>_xll.xSPRDOPT(HLOOKUP($D$3,GDPrev,VLOOKUP(Q118,GDmove_down,2,FALSE),FALSE),HLOOKUP($E$3,GDPrev,VLOOKUP(Q118,GDmove_down,2,FALSE),FALSE),AJ118,VLOOKUP(H118,NGPREVPRICES,4,FALSE),HLOOKUP($H$3,GDPrevVols,VLOOKUP(Q118,GDmove_down2,2,FALSE),FALSE),HLOOKUP($H$3,GDPrevVols,VLOOKUP(Q118,GDmove_down2,2,FALSE),FALSE),HLOOKUP(E118,GDcorr,VLOOKUP(H118,CorMove,2,FALSE),FALSE),Q118-$AC$3,R118,$AI$5)*I118</f>
        <v>#N/A</v>
      </c>
      <c r="AJ118" s="235" t="e">
        <f t="shared" si="41"/>
        <v>#N/A</v>
      </c>
      <c r="AK118" s="234"/>
      <c r="AL118" t="str">
        <f t="shared" si="42"/>
        <v>36678Curve Shift/Gamma</v>
      </c>
      <c r="AM118" t="str">
        <f t="shared" si="43"/>
        <v>36678Rho</v>
      </c>
      <c r="AN118" t="str">
        <f t="shared" si="44"/>
        <v>36678Drift</v>
      </c>
      <c r="AO118" t="str">
        <f t="shared" si="45"/>
        <v>36678Vega</v>
      </c>
      <c r="AP118" t="str">
        <f t="shared" si="46"/>
        <v>36678Theta</v>
      </c>
      <c r="AZ118" s="41">
        <f t="shared" si="52"/>
        <v>39539</v>
      </c>
      <c r="BA118" s="44"/>
      <c r="BG118" s="441">
        <v>39873</v>
      </c>
      <c r="BH118">
        <v>0.98499999999999999</v>
      </c>
      <c r="BJ118" s="441">
        <v>39873</v>
      </c>
      <c r="BK118">
        <v>115</v>
      </c>
    </row>
    <row r="119" spans="1:63" ht="12" customHeight="1" x14ac:dyDescent="0.25">
      <c r="A119" s="382" t="s">
        <v>279</v>
      </c>
      <c r="B119" s="155" t="s">
        <v>250</v>
      </c>
      <c r="C119" s="155" t="s">
        <v>360</v>
      </c>
      <c r="D119" s="155" t="s">
        <v>190</v>
      </c>
      <c r="E119" s="4" t="s">
        <v>237</v>
      </c>
      <c r="F119" s="155" t="s">
        <v>20</v>
      </c>
      <c r="G119" s="155" t="s">
        <v>21</v>
      </c>
      <c r="H119" s="354">
        <v>36678</v>
      </c>
      <c r="I119" s="156">
        <v>-50000</v>
      </c>
      <c r="J119" s="7">
        <v>0.46</v>
      </c>
      <c r="K119" s="53">
        <f t="shared" si="35"/>
        <v>4.7300000000000004</v>
      </c>
      <c r="L119" s="53">
        <f t="shared" si="36"/>
        <v>3.41</v>
      </c>
      <c r="M119" s="157">
        <v>1</v>
      </c>
      <c r="N119" s="4">
        <v>0.51500000000000001</v>
      </c>
      <c r="O119" s="4">
        <v>0.51500000000000001</v>
      </c>
      <c r="P119" s="9" t="e">
        <f t="shared" si="37"/>
        <v>#N/A</v>
      </c>
      <c r="Q119" s="5">
        <v>36694</v>
      </c>
      <c r="R119" s="4">
        <f t="shared" si="48"/>
        <v>1</v>
      </c>
      <c r="S119" s="158" t="e">
        <f>_xll.xSPRDOPT($K119,$L119,$J119,$M119,$N119,$O119,$P119,$Q119-$C$3,$R119,0)</f>
        <v>#N/A</v>
      </c>
      <c r="T119" s="159" t="e">
        <f>_xll.xSPRDOPT($K119,$L119,$J119,$M119,$N119,$O119,$P119,$Q119-$C$3,$R119,1)*I119</f>
        <v>#N/A</v>
      </c>
      <c r="U119" s="160">
        <v>-11000</v>
      </c>
      <c r="V119" s="159" t="e">
        <f>_xll.xSPRDOPT($K119,$L119,$J119,$M119,$N119,$O119,$P119,$Q119-$C$3,$R119,2)*I119</f>
        <v>#N/A</v>
      </c>
      <c r="W119" s="159" t="e">
        <f t="shared" si="49"/>
        <v>#N/A</v>
      </c>
      <c r="X119" s="51" t="str">
        <f t="shared" si="50"/>
        <v>36678IF-ELPO/SJ</v>
      </c>
      <c r="Y119" s="418">
        <f t="shared" si="51"/>
        <v>-5</v>
      </c>
      <c r="Z119" s="51"/>
      <c r="AA119" s="51"/>
      <c r="AB119" s="141">
        <f t="shared" si="38"/>
        <v>36678</v>
      </c>
      <c r="AC119" s="234" t="e">
        <f>_xll.xSPRDOPT(HLOOKUP($D$3,GDPRICES,VLOOKUP(Q119,GDmove_down,2,FALSE),FALSE),HLOOKUP($E$3,GDPRICES,VLOOKUP(Q119,GDmove_down,2,FALSE),FALSE),J119,VLOOKUP(H119,NGPREVPRICES,4,FALSE),HLOOKUP($H$3,GDPrevVols,VLOOKUP(Q119,GDmove_down2,2,FALSE),FALSE),HLOOKUP($H$3,GDPrevVols,VLOOKUP(Q119,GDmove_down2,2,FALSE),FALSE),HLOOKUP(E119,GDcorr,VLOOKUP(H119,CorMove,2,FALSE),FALSE),Q119-$AC$3,R119,$AC$5)*I119-AI119</f>
        <v>#N/A</v>
      </c>
      <c r="AD119" s="234" t="e">
        <f>_xll.xSPRDOPT(HLOOKUP($D$3,GDPrev,VLOOKUP(Q119,GDmove_down,2,FALSE),FALSE),HLOOKUP($E$3,GDPrev,VLOOKUP(Q119,GDmove_down,2,FALSE),FALSE),AJ119,VLOOKUP(H119,NGPrices,4,FALSE),HLOOKUP($H$3,GDPrevVols,VLOOKUP(Q119,GDmove_down2,2,FALSE),FALSE),HLOOKUP($H$3,GDPrevVols,VLOOKUP(Q119,GDmove_down2,2,FALSE),FALSE),HLOOKUP(E119,GDcorr,VLOOKUP(H119,CorMove,2,FALSE),FALSE),Q119-$AC$3,R119,$AI$5)*I119-AI119</f>
        <v>#N/A</v>
      </c>
      <c r="AE119" s="439" t="e">
        <f t="shared" si="39"/>
        <v>#N/A</v>
      </c>
      <c r="AF119" s="234" t="e">
        <f>_xll.xSPRDOPT(HLOOKUP($D$3,GDPrev,VLOOKUP(Q119,GDmove_down,2,FALSE),FALSE),HLOOKUP($E$3,GDPrev,VLOOKUP(Q119,GDmove_down,2,FALSE),FALSE),AJ119,VLOOKUP(H119,NGPREVPRICES,4,FALSE),HLOOKUP($H$3,GDVol,VLOOKUP(H119,move_down,2,FALSE),FALSE),HLOOKUP($H$3,GDVol,VLOOKUP(H119,move_down,2,FALSE),FALSE),HLOOKUP(E119,GDcorr,VLOOKUP(H119,CorMove,2,FALSE),FALSE),Q119-$AC$3,R119,$AI$5)*I119-AI119</f>
        <v>#N/A</v>
      </c>
      <c r="AG119" s="234" t="e">
        <f>_xll.xSPRDOPT(HLOOKUP($D$3,GDPrev,VLOOKUP(Q119,GDmove_down,2,FALSE),FALSE),HLOOKUP($E$3,GDPrev,VLOOKUP(Q119,GDmove_down,2,FALSE),FALSE),AJ119,VLOOKUP(H119,NGPREVPRICES,4,FALSE),HLOOKUP($H$3,GDPrevVols,VLOOKUP(Q119,GDmove_down2,2,FALSE),FALSE),HLOOKUP($H$3,GDPrevVols,VLOOKUP(Q119,GDmove_down2,2,FALSE),FALSE),HLOOKUP(E119,GDcorr,VLOOKUP(H119,CorMove,2,FALSE),FALSE),Q119-$C$3,R119,$AI$5)*I119-AI119</f>
        <v>#N/A</v>
      </c>
      <c r="AH119" s="234" t="e">
        <f t="shared" si="40"/>
        <v>#N/A</v>
      </c>
      <c r="AI119" s="234" t="e">
        <f>_xll.xSPRDOPT(HLOOKUP($D$3,GDPrev,VLOOKUP(Q119,GDmove_down,2,FALSE),FALSE),HLOOKUP($E$3,GDPrev,VLOOKUP(Q119,GDmove_down,2,FALSE),FALSE),AJ119,VLOOKUP(H119,NGPREVPRICES,4,FALSE),HLOOKUP($H$3,GDPrevVols,VLOOKUP(Q119,GDmove_down2,2,FALSE),FALSE),HLOOKUP($H$3,GDPrevVols,VLOOKUP(Q119,GDmove_down2,2,FALSE),FALSE),HLOOKUP(E119,GDcorr,VLOOKUP(H119,CorMove,2,FALSE),FALSE),Q119-$AC$3,R119,$AI$5)*I119</f>
        <v>#N/A</v>
      </c>
      <c r="AJ119" s="235" t="e">
        <f t="shared" si="41"/>
        <v>#N/A</v>
      </c>
      <c r="AK119" s="234"/>
      <c r="AL119" t="str">
        <f t="shared" si="42"/>
        <v>36678Curve Shift/Gamma</v>
      </c>
      <c r="AM119" t="str">
        <f t="shared" si="43"/>
        <v>36678Rho</v>
      </c>
      <c r="AN119" t="str">
        <f t="shared" si="44"/>
        <v>36678Drift</v>
      </c>
      <c r="AO119" t="str">
        <f t="shared" si="45"/>
        <v>36678Vega</v>
      </c>
      <c r="AP119" t="str">
        <f t="shared" si="46"/>
        <v>36678Theta</v>
      </c>
      <c r="AZ119" s="41">
        <f t="shared" si="52"/>
        <v>39569</v>
      </c>
      <c r="BA119" s="44"/>
      <c r="BG119" s="441">
        <v>39904</v>
      </c>
      <c r="BH119">
        <v>0.98499999999999999</v>
      </c>
      <c r="BJ119" s="441">
        <v>39904</v>
      </c>
      <c r="BK119">
        <v>116</v>
      </c>
    </row>
    <row r="120" spans="1:63" ht="12" customHeight="1" x14ac:dyDescent="0.25">
      <c r="A120" s="382" t="s">
        <v>279</v>
      </c>
      <c r="B120" s="155" t="s">
        <v>250</v>
      </c>
      <c r="C120" s="155" t="s">
        <v>361</v>
      </c>
      <c r="D120" s="155" t="s">
        <v>190</v>
      </c>
      <c r="E120" s="4" t="s">
        <v>237</v>
      </c>
      <c r="F120" s="155" t="s">
        <v>20</v>
      </c>
      <c r="G120" s="155" t="s">
        <v>21</v>
      </c>
      <c r="H120" s="354">
        <v>36678</v>
      </c>
      <c r="I120" s="156">
        <v>10000</v>
      </c>
      <c r="J120" s="7">
        <v>0.46</v>
      </c>
      <c r="K120" s="53">
        <f t="shared" si="35"/>
        <v>4.7300000000000004</v>
      </c>
      <c r="L120" s="53">
        <f t="shared" si="36"/>
        <v>3.41</v>
      </c>
      <c r="M120" s="157">
        <v>1</v>
      </c>
      <c r="N120" s="4">
        <v>0.51500000000000001</v>
      </c>
      <c r="O120" s="4">
        <v>0.51500000000000001</v>
      </c>
      <c r="P120" s="9" t="e">
        <f t="shared" si="37"/>
        <v>#N/A</v>
      </c>
      <c r="Q120" s="5">
        <v>36694</v>
      </c>
      <c r="R120" s="4">
        <f t="shared" si="48"/>
        <v>1</v>
      </c>
      <c r="S120" s="158" t="e">
        <f>_xll.xSPRDOPT($K120,$L120,$J120,$M120,$N120,$O120,$P120,$Q120-$C$3,$R120,0)</f>
        <v>#N/A</v>
      </c>
      <c r="T120" s="159" t="e">
        <f>_xll.xSPRDOPT($K120,$L120,$J120,$M120,$N120,$O120,$P120,$Q120-$C$3,$R120,1)*I120</f>
        <v>#N/A</v>
      </c>
      <c r="U120" s="160">
        <v>2200</v>
      </c>
      <c r="V120" s="159" t="e">
        <f>_xll.xSPRDOPT($K120,$L120,$J120,$M120,$N120,$O120,$P120,$Q120-$C$3,$R120,2)*I120</f>
        <v>#N/A</v>
      </c>
      <c r="W120" s="159" t="e">
        <f t="shared" si="49"/>
        <v>#N/A</v>
      </c>
      <c r="X120" s="51" t="str">
        <f t="shared" si="50"/>
        <v>36678IF-ELPO/SJ</v>
      </c>
      <c r="Y120" s="418">
        <f t="shared" si="51"/>
        <v>1</v>
      </c>
      <c r="Z120" s="51"/>
      <c r="AA120" s="51"/>
      <c r="AB120" s="141">
        <f t="shared" si="38"/>
        <v>36678</v>
      </c>
      <c r="AC120" s="234" t="e">
        <f>_xll.xSPRDOPT(HLOOKUP($D$3,GDPRICES,VLOOKUP(Q120,GDmove_down,2,FALSE),FALSE),HLOOKUP($E$3,GDPRICES,VLOOKUP(Q120,GDmove_down,2,FALSE),FALSE),J120,VLOOKUP(H120,NGPREVPRICES,4,FALSE),HLOOKUP($H$3,GDPrevVols,VLOOKUP(Q120,GDmove_down2,2,FALSE),FALSE),HLOOKUP($H$3,GDPrevVols,VLOOKUP(Q120,GDmove_down2,2,FALSE),FALSE),HLOOKUP(E120,GDcorr,VLOOKUP(H120,CorMove,2,FALSE),FALSE),Q120-$AC$3,R120,$AC$5)*I120-AI120</f>
        <v>#N/A</v>
      </c>
      <c r="AD120" s="234" t="e">
        <f>_xll.xSPRDOPT(HLOOKUP($D$3,GDPrev,VLOOKUP(Q120,GDmove_down,2,FALSE),FALSE),HLOOKUP($E$3,GDPrev,VLOOKUP(Q120,GDmove_down,2,FALSE),FALSE),AJ120,VLOOKUP(H120,NGPrices,4,FALSE),HLOOKUP($H$3,GDPrevVols,VLOOKUP(Q120,GDmove_down2,2,FALSE),FALSE),HLOOKUP($H$3,GDPrevVols,VLOOKUP(Q120,GDmove_down2,2,FALSE),FALSE),HLOOKUP(E120,GDcorr,VLOOKUP(H120,CorMove,2,FALSE),FALSE),Q120-$AC$3,R120,$AI$5)*I120-AI120</f>
        <v>#N/A</v>
      </c>
      <c r="AE120" s="439" t="e">
        <f t="shared" si="39"/>
        <v>#N/A</v>
      </c>
      <c r="AF120" s="234" t="e">
        <f>_xll.xSPRDOPT(HLOOKUP($D$3,GDPrev,VLOOKUP(Q120,GDmove_down,2,FALSE),FALSE),HLOOKUP($E$3,GDPrev,VLOOKUP(Q120,GDmove_down,2,FALSE),FALSE),AJ120,VLOOKUP(H120,NGPREVPRICES,4,FALSE),HLOOKUP($H$3,GDVol,VLOOKUP(H120,move_down,2,FALSE),FALSE),HLOOKUP($H$3,GDVol,VLOOKUP(H120,move_down,2,FALSE),FALSE),HLOOKUP(E120,GDcorr,VLOOKUP(H120,CorMove,2,FALSE),FALSE),Q120-$AC$3,R120,$AI$5)*I120-AI120</f>
        <v>#N/A</v>
      </c>
      <c r="AG120" s="234" t="e">
        <f>_xll.xSPRDOPT(HLOOKUP($D$3,GDPrev,VLOOKUP(Q120,GDmove_down,2,FALSE),FALSE),HLOOKUP($E$3,GDPrev,VLOOKUP(Q120,GDmove_down,2,FALSE),FALSE),AJ120,VLOOKUP(H120,NGPREVPRICES,4,FALSE),HLOOKUP($H$3,GDPrevVols,VLOOKUP(Q120,GDmove_down2,2,FALSE),FALSE),HLOOKUP($H$3,GDPrevVols,VLOOKUP(Q120,GDmove_down2,2,FALSE),FALSE),HLOOKUP(E120,GDcorr,VLOOKUP(H120,CorMove,2,FALSE),FALSE),Q120-$C$3,R120,$AI$5)*I120-AI120</f>
        <v>#N/A</v>
      </c>
      <c r="AH120" s="234" t="e">
        <f t="shared" si="40"/>
        <v>#N/A</v>
      </c>
      <c r="AI120" s="234" t="e">
        <f>_xll.xSPRDOPT(HLOOKUP($D$3,GDPrev,VLOOKUP(Q120,GDmove_down,2,FALSE),FALSE),HLOOKUP($E$3,GDPrev,VLOOKUP(Q120,GDmove_down,2,FALSE),FALSE),AJ120,VLOOKUP(H120,NGPREVPRICES,4,FALSE),HLOOKUP($H$3,GDPrevVols,VLOOKUP(Q120,GDmove_down2,2,FALSE),FALSE),HLOOKUP($H$3,GDPrevVols,VLOOKUP(Q120,GDmove_down2,2,FALSE),FALSE),HLOOKUP(E120,GDcorr,VLOOKUP(H120,CorMove,2,FALSE),FALSE),Q120-$AC$3,R120,$AI$5)*I120</f>
        <v>#N/A</v>
      </c>
      <c r="AJ120" s="235" t="e">
        <f t="shared" si="41"/>
        <v>#N/A</v>
      </c>
      <c r="AK120" s="234"/>
      <c r="AL120" t="str">
        <f t="shared" si="42"/>
        <v>36678Curve Shift/Gamma</v>
      </c>
      <c r="AM120" t="str">
        <f t="shared" si="43"/>
        <v>36678Rho</v>
      </c>
      <c r="AN120" t="str">
        <f t="shared" si="44"/>
        <v>36678Drift</v>
      </c>
      <c r="AO120" t="str">
        <f t="shared" si="45"/>
        <v>36678Vega</v>
      </c>
      <c r="AP120" t="str">
        <f t="shared" si="46"/>
        <v>36678Theta</v>
      </c>
      <c r="AZ120" s="41">
        <f t="shared" si="52"/>
        <v>39600</v>
      </c>
      <c r="BA120" s="44"/>
      <c r="BG120" s="441">
        <v>39934</v>
      </c>
      <c r="BH120">
        <v>0.98499999999999999</v>
      </c>
      <c r="BJ120" s="441">
        <v>39934</v>
      </c>
      <c r="BK120">
        <v>117</v>
      </c>
    </row>
    <row r="121" spans="1:63" ht="12" customHeight="1" x14ac:dyDescent="0.25">
      <c r="A121" s="382" t="s">
        <v>279</v>
      </c>
      <c r="B121" s="155" t="s">
        <v>250</v>
      </c>
      <c r="C121" s="155" t="s">
        <v>364</v>
      </c>
      <c r="D121" s="155" t="s">
        <v>190</v>
      </c>
      <c r="E121" s="4" t="s">
        <v>237</v>
      </c>
      <c r="F121" s="155" t="s">
        <v>20</v>
      </c>
      <c r="G121" s="155" t="s">
        <v>21</v>
      </c>
      <c r="H121" s="354">
        <v>36678</v>
      </c>
      <c r="I121" s="156">
        <v>-333333</v>
      </c>
      <c r="J121" s="7">
        <v>0.46</v>
      </c>
      <c r="K121" s="53">
        <f t="shared" si="35"/>
        <v>4.7300000000000004</v>
      </c>
      <c r="L121" s="53">
        <f t="shared" si="36"/>
        <v>3.41</v>
      </c>
      <c r="M121" s="157">
        <v>1</v>
      </c>
      <c r="N121" s="4">
        <v>0.51500000000000001</v>
      </c>
      <c r="O121" s="4">
        <v>0.51500000000000001</v>
      </c>
      <c r="P121" s="9" t="e">
        <f t="shared" si="37"/>
        <v>#N/A</v>
      </c>
      <c r="Q121" s="5">
        <v>36694</v>
      </c>
      <c r="R121" s="4">
        <f t="shared" si="48"/>
        <v>1</v>
      </c>
      <c r="S121" s="158" t="e">
        <f>_xll.xSPRDOPT($K121,$L121,$J121,$M121,$N121,$O121,$P121,$Q121-$C$3,$R121,0)</f>
        <v>#N/A</v>
      </c>
      <c r="T121" s="159" t="e">
        <f>_xll.xSPRDOPT($K121,$L121,$J121,$M121,$N121,$O121,$P121,$Q121-$C$3,$R121,1)*I121</f>
        <v>#N/A</v>
      </c>
      <c r="U121" s="160">
        <v>-73333.259999999893</v>
      </c>
      <c r="V121" s="159" t="e">
        <f>_xll.xSPRDOPT($K121,$L121,$J121,$M121,$N121,$O121,$P121,$Q121-$C$3,$R121,2)*I121</f>
        <v>#N/A</v>
      </c>
      <c r="W121" s="159" t="e">
        <f t="shared" si="49"/>
        <v>#N/A</v>
      </c>
      <c r="X121" s="51" t="str">
        <f t="shared" si="50"/>
        <v>36678IF-ELPO/SJ</v>
      </c>
      <c r="Y121" s="418">
        <f t="shared" si="51"/>
        <v>-33.333300000000001</v>
      </c>
      <c r="Z121" s="51"/>
      <c r="AA121" s="51"/>
      <c r="AB121" s="141">
        <f t="shared" si="38"/>
        <v>36678</v>
      </c>
      <c r="AC121" s="234" t="e">
        <f>_xll.xSPRDOPT(HLOOKUP($D$3,GDPRICES,VLOOKUP(Q121,GDmove_down,2,FALSE),FALSE),HLOOKUP($E$3,GDPRICES,VLOOKUP(Q121,GDmove_down,2,FALSE),FALSE),J121,VLOOKUP(H121,NGPREVPRICES,4,FALSE),HLOOKUP($H$3,GDPrevVols,VLOOKUP(Q121,GDmove_down2,2,FALSE),FALSE),HLOOKUP($H$3,GDPrevVols,VLOOKUP(Q121,GDmove_down2,2,FALSE),FALSE),HLOOKUP(E121,GDcorr,VLOOKUP(H121,CorMove,2,FALSE),FALSE),Q121-$AC$3,R121,$AC$5)*I121-AI121</f>
        <v>#N/A</v>
      </c>
      <c r="AD121" s="234" t="e">
        <f>_xll.xSPRDOPT(HLOOKUP($D$3,GDPrev,VLOOKUP(Q121,GDmove_down,2,FALSE),FALSE),HLOOKUP($E$3,GDPrev,VLOOKUP(Q121,GDmove_down,2,FALSE),FALSE),AJ121,VLOOKUP(H121,NGPrices,4,FALSE),HLOOKUP($H$3,GDPrevVols,VLOOKUP(Q121,GDmove_down2,2,FALSE),FALSE),HLOOKUP($H$3,GDPrevVols,VLOOKUP(Q121,GDmove_down2,2,FALSE),FALSE),HLOOKUP(E121,GDcorr,VLOOKUP(H121,CorMove,2,FALSE),FALSE),Q121-$AC$3,R121,$AI$5)*I121-AI121</f>
        <v>#N/A</v>
      </c>
      <c r="AE121" s="439" t="e">
        <f t="shared" si="39"/>
        <v>#N/A</v>
      </c>
      <c r="AF121" s="234" t="e">
        <f>_xll.xSPRDOPT(HLOOKUP($D$3,GDPrev,VLOOKUP(Q121,GDmove_down,2,FALSE),FALSE),HLOOKUP($E$3,GDPrev,VLOOKUP(Q121,GDmove_down,2,FALSE),FALSE),AJ121,VLOOKUP(H121,NGPREVPRICES,4,FALSE),HLOOKUP($H$3,GDVol,VLOOKUP(H121,move_down,2,FALSE),FALSE),HLOOKUP($H$3,GDVol,VLOOKUP(H121,move_down,2,FALSE),FALSE),HLOOKUP(E121,GDcorr,VLOOKUP(H121,CorMove,2,FALSE),FALSE),Q121-$AC$3,R121,$AI$5)*I121-AI121</f>
        <v>#N/A</v>
      </c>
      <c r="AG121" s="234" t="e">
        <f>_xll.xSPRDOPT(HLOOKUP($D$3,GDPrev,VLOOKUP(Q121,GDmove_down,2,FALSE),FALSE),HLOOKUP($E$3,GDPrev,VLOOKUP(Q121,GDmove_down,2,FALSE),FALSE),AJ121,VLOOKUP(H121,NGPREVPRICES,4,FALSE),HLOOKUP($H$3,GDPrevVols,VLOOKUP(Q121,GDmove_down2,2,FALSE),FALSE),HLOOKUP($H$3,GDPrevVols,VLOOKUP(Q121,GDmove_down2,2,FALSE),FALSE),HLOOKUP(E121,GDcorr,VLOOKUP(H121,CorMove,2,FALSE),FALSE),Q121-$C$3,R121,$AI$5)*I121-AI121</f>
        <v>#N/A</v>
      </c>
      <c r="AH121" s="234" t="e">
        <f t="shared" si="40"/>
        <v>#N/A</v>
      </c>
      <c r="AI121" s="234" t="e">
        <f>_xll.xSPRDOPT(HLOOKUP($D$3,GDPrev,VLOOKUP(Q121,GDmove_down,2,FALSE),FALSE),HLOOKUP($E$3,GDPrev,VLOOKUP(Q121,GDmove_down,2,FALSE),FALSE),AJ121,VLOOKUP(H121,NGPREVPRICES,4,FALSE),HLOOKUP($H$3,GDPrevVols,VLOOKUP(Q121,GDmove_down2,2,FALSE),FALSE),HLOOKUP($H$3,GDPrevVols,VLOOKUP(Q121,GDmove_down2,2,FALSE),FALSE),HLOOKUP(E121,GDcorr,VLOOKUP(H121,CorMove,2,FALSE),FALSE),Q121-$AC$3,R121,$AI$5)*I121</f>
        <v>#N/A</v>
      </c>
      <c r="AJ121" s="235" t="e">
        <f t="shared" si="41"/>
        <v>#N/A</v>
      </c>
      <c r="AK121" s="234"/>
      <c r="AL121" t="str">
        <f t="shared" si="42"/>
        <v>36678Curve Shift/Gamma</v>
      </c>
      <c r="AM121" t="str">
        <f t="shared" si="43"/>
        <v>36678Rho</v>
      </c>
      <c r="AN121" t="str">
        <f t="shared" si="44"/>
        <v>36678Drift</v>
      </c>
      <c r="AO121" t="str">
        <f t="shared" si="45"/>
        <v>36678Vega</v>
      </c>
      <c r="AP121" t="str">
        <f t="shared" si="46"/>
        <v>36678Theta</v>
      </c>
      <c r="AZ121" s="41">
        <f t="shared" si="52"/>
        <v>39630</v>
      </c>
      <c r="BA121" s="44"/>
      <c r="BG121" s="441">
        <v>39965</v>
      </c>
      <c r="BH121">
        <v>0.98499999999999999</v>
      </c>
      <c r="BJ121" s="441">
        <v>39965</v>
      </c>
      <c r="BK121">
        <v>118</v>
      </c>
    </row>
    <row r="122" spans="1:63" ht="12" customHeight="1" x14ac:dyDescent="0.25">
      <c r="A122" s="384" t="s">
        <v>268</v>
      </c>
      <c r="B122" s="155" t="s">
        <v>250</v>
      </c>
      <c r="C122" s="155" t="s">
        <v>387</v>
      </c>
      <c r="D122" s="155" t="s">
        <v>190</v>
      </c>
      <c r="E122" s="4" t="s">
        <v>237</v>
      </c>
      <c r="F122" s="155" t="s">
        <v>20</v>
      </c>
      <c r="G122" s="155" t="s">
        <v>21</v>
      </c>
      <c r="H122" s="354">
        <v>36678</v>
      </c>
      <c r="I122" s="156">
        <v>-10000</v>
      </c>
      <c r="J122" s="7">
        <v>0.46</v>
      </c>
      <c r="K122" s="53">
        <f t="shared" si="35"/>
        <v>4.7300000000000004</v>
      </c>
      <c r="L122" s="53">
        <f t="shared" si="36"/>
        <v>3.41</v>
      </c>
      <c r="M122" s="157">
        <v>1</v>
      </c>
      <c r="N122" s="4">
        <v>0.51500000000000001</v>
      </c>
      <c r="O122" s="4">
        <v>0.51500000000000001</v>
      </c>
      <c r="P122" s="9" t="e">
        <f t="shared" si="37"/>
        <v>#N/A</v>
      </c>
      <c r="Q122" s="5">
        <v>36694</v>
      </c>
      <c r="R122" s="4">
        <f t="shared" si="48"/>
        <v>1</v>
      </c>
      <c r="S122" s="158" t="e">
        <f>_xll.xSPRDOPT($K122,$L122,$J122,$M122,$N122,$O122,$P122,$Q122-$C$3,$R122,0)</f>
        <v>#N/A</v>
      </c>
      <c r="T122" s="159" t="e">
        <f>_xll.xSPRDOPT($K122,$L122,$J122,$M122,$N122,$O122,$P122,$Q122-$C$3,$R122,1)*I122</f>
        <v>#N/A</v>
      </c>
      <c r="U122" s="160">
        <v>-2200</v>
      </c>
      <c r="V122" s="159" t="e">
        <f>_xll.xSPRDOPT($K122,$L122,$J122,$M122,$N122,$O122,$P122,$Q122-$C$3,$R122,2)*I122</f>
        <v>#N/A</v>
      </c>
      <c r="W122" s="159" t="e">
        <f t="shared" si="49"/>
        <v>#N/A</v>
      </c>
      <c r="X122" s="51" t="str">
        <f t="shared" si="50"/>
        <v>36678IF-ELPO/SJ</v>
      </c>
      <c r="Y122" s="418">
        <f t="shared" si="51"/>
        <v>-1</v>
      </c>
      <c r="AA122" s="51"/>
      <c r="AB122" s="141">
        <f t="shared" si="38"/>
        <v>36678</v>
      </c>
      <c r="AC122" s="234" t="e">
        <f>_xll.xSPRDOPT(HLOOKUP($D$3,GDPRICES,VLOOKUP(Q122,GDmove_down,2,FALSE),FALSE),HLOOKUP($E$3,GDPRICES,VLOOKUP(Q122,GDmove_down,2,FALSE),FALSE),J122,VLOOKUP(H122,NGPREVPRICES,4,FALSE),HLOOKUP($H$3,GDPrevVols,VLOOKUP(Q122,GDmove_down2,2,FALSE),FALSE),HLOOKUP($H$3,GDPrevVols,VLOOKUP(Q122,GDmove_down2,2,FALSE),FALSE),HLOOKUP(E122,GDcorr,VLOOKUP(H122,CorMove,2,FALSE),FALSE),Q122-$AC$3,R122,$AC$5)*I122-AI122</f>
        <v>#N/A</v>
      </c>
      <c r="AD122" s="234" t="e">
        <f>_xll.xSPRDOPT(HLOOKUP($D$3,GDPrev,VLOOKUP(Q122,GDmove_down,2,FALSE),FALSE),HLOOKUP($E$3,GDPrev,VLOOKUP(Q122,GDmove_down,2,FALSE),FALSE),AJ122,VLOOKUP(H122,NGPrices,4,FALSE),HLOOKUP($H$3,GDPrevVols,VLOOKUP(Q122,GDmove_down2,2,FALSE),FALSE),HLOOKUP($H$3,GDPrevVols,VLOOKUP(Q122,GDmove_down2,2,FALSE),FALSE),HLOOKUP(E122,GDcorr,VLOOKUP(H122,CorMove,2,FALSE),FALSE),Q122-$AC$3,R122,$AI$5)*I122-AI122</f>
        <v>#N/A</v>
      </c>
      <c r="AE122" s="439" t="e">
        <f t="shared" si="39"/>
        <v>#N/A</v>
      </c>
      <c r="AF122" s="234" t="e">
        <f>_xll.xSPRDOPT(HLOOKUP($D$3,GDPrev,VLOOKUP(Q122,GDmove_down,2,FALSE),FALSE),HLOOKUP($E$3,GDPrev,VLOOKUP(Q122,GDmove_down,2,FALSE),FALSE),AJ122,VLOOKUP(H122,NGPREVPRICES,4,FALSE),HLOOKUP($H$3,GDVol,VLOOKUP(H122,move_down,2,FALSE),FALSE),HLOOKUP($H$3,GDVol,VLOOKUP(H122,move_down,2,FALSE),FALSE),HLOOKUP(E122,GDcorr,VLOOKUP(H122,CorMove,2,FALSE),FALSE),Q122-$AC$3,R122,$AI$5)*I122-AI122</f>
        <v>#N/A</v>
      </c>
      <c r="AG122" s="234" t="e">
        <f>_xll.xSPRDOPT(HLOOKUP($D$3,GDPrev,VLOOKUP(Q122,GDmove_down,2,FALSE),FALSE),HLOOKUP($E$3,GDPrev,VLOOKUP(Q122,GDmove_down,2,FALSE),FALSE),AJ122,VLOOKUP(H122,NGPREVPRICES,4,FALSE),HLOOKUP($H$3,GDPrevVols,VLOOKUP(Q122,GDmove_down2,2,FALSE),FALSE),HLOOKUP($H$3,GDPrevVols,VLOOKUP(Q122,GDmove_down2,2,FALSE),FALSE),HLOOKUP(E122,GDcorr,VLOOKUP(H122,CorMove,2,FALSE),FALSE),Q122-$C$3,R122,$AI$5)*I122-AI122</f>
        <v>#N/A</v>
      </c>
      <c r="AH122" s="234" t="e">
        <f t="shared" si="40"/>
        <v>#N/A</v>
      </c>
      <c r="AI122" s="234" t="e">
        <f>_xll.xSPRDOPT(HLOOKUP($D$3,GDPrev,VLOOKUP(Q122,GDmove_down,2,FALSE),FALSE),HLOOKUP($E$3,GDPrev,VLOOKUP(Q122,GDmove_down,2,FALSE),FALSE),AJ122,VLOOKUP(H122,NGPREVPRICES,4,FALSE),HLOOKUP($H$3,GDPrevVols,VLOOKUP(Q122,GDmove_down2,2,FALSE),FALSE),HLOOKUP($H$3,GDPrevVols,VLOOKUP(Q122,GDmove_down2,2,FALSE),FALSE),HLOOKUP(E122,GDcorr,VLOOKUP(H122,CorMove,2,FALSE),FALSE),Q122-$AC$3,R122,$AI$5)*I122</f>
        <v>#N/A</v>
      </c>
      <c r="AJ122" s="235" t="e">
        <f t="shared" si="41"/>
        <v>#N/A</v>
      </c>
      <c r="AK122" s="234"/>
      <c r="AL122" t="str">
        <f t="shared" si="42"/>
        <v>36678Curve Shift/Gamma</v>
      </c>
      <c r="AM122" t="str">
        <f t="shared" si="43"/>
        <v>36678Rho</v>
      </c>
      <c r="AN122" t="str">
        <f t="shared" si="44"/>
        <v>36678Drift</v>
      </c>
      <c r="AO122" t="str">
        <f t="shared" si="45"/>
        <v>36678Vega</v>
      </c>
      <c r="AP122" t="str">
        <f t="shared" si="46"/>
        <v>36678Theta</v>
      </c>
      <c r="AZ122" s="41">
        <f t="shared" si="52"/>
        <v>39661</v>
      </c>
      <c r="BA122" s="44"/>
      <c r="BG122" s="441">
        <v>39995</v>
      </c>
      <c r="BH122">
        <v>0.98499999999999999</v>
      </c>
      <c r="BJ122" s="441">
        <v>39995</v>
      </c>
      <c r="BK122">
        <v>119</v>
      </c>
    </row>
    <row r="123" spans="1:63" ht="12" customHeight="1" x14ac:dyDescent="0.25">
      <c r="A123" s="384" t="s">
        <v>279</v>
      </c>
      <c r="B123" s="155" t="s">
        <v>250</v>
      </c>
      <c r="C123" s="155" t="s">
        <v>388</v>
      </c>
      <c r="D123" s="155" t="s">
        <v>190</v>
      </c>
      <c r="E123" s="4" t="s">
        <v>237</v>
      </c>
      <c r="F123" s="155" t="s">
        <v>20</v>
      </c>
      <c r="G123" s="155" t="s">
        <v>21</v>
      </c>
      <c r="H123" s="354">
        <v>36678</v>
      </c>
      <c r="I123" s="156">
        <v>50000</v>
      </c>
      <c r="J123" s="7">
        <v>0.46</v>
      </c>
      <c r="K123" s="53">
        <f t="shared" si="35"/>
        <v>4.7300000000000004</v>
      </c>
      <c r="L123" s="53">
        <f t="shared" si="36"/>
        <v>3.41</v>
      </c>
      <c r="M123" s="157">
        <v>1</v>
      </c>
      <c r="N123" s="4">
        <v>0.51500000000000001</v>
      </c>
      <c r="O123" s="4">
        <v>0.51500000000000001</v>
      </c>
      <c r="P123" s="9" t="e">
        <f t="shared" si="37"/>
        <v>#N/A</v>
      </c>
      <c r="Q123" s="5">
        <v>36694</v>
      </c>
      <c r="R123" s="4">
        <f t="shared" si="48"/>
        <v>1</v>
      </c>
      <c r="S123" s="158" t="e">
        <f>_xll.xSPRDOPT($K123,$L123,$J123,$M123,$N123,$O123,$P123,$Q123-$C$3,$R123,0)</f>
        <v>#N/A</v>
      </c>
      <c r="T123" s="159" t="e">
        <f>_xll.xSPRDOPT($K123,$L123,$J123,$M123,$N123,$O123,$P123,$Q123-$C$3,$R123,1)*I123</f>
        <v>#N/A</v>
      </c>
      <c r="U123" s="160">
        <v>11000</v>
      </c>
      <c r="V123" s="159" t="e">
        <f>_xll.xSPRDOPT($K123,$L123,$J123,$M123,$N123,$O123,$P123,$Q123-$C$3,$R123,2)*I123</f>
        <v>#N/A</v>
      </c>
      <c r="W123" s="159" t="e">
        <f t="shared" si="49"/>
        <v>#N/A</v>
      </c>
      <c r="X123" s="51" t="str">
        <f t="shared" si="50"/>
        <v>36678IF-ELPO/SJ</v>
      </c>
      <c r="Y123" s="418">
        <f t="shared" si="51"/>
        <v>5</v>
      </c>
      <c r="AA123" s="51"/>
      <c r="AB123" s="141">
        <f t="shared" si="38"/>
        <v>36678</v>
      </c>
      <c r="AC123" s="234" t="e">
        <f>_xll.xSPRDOPT(HLOOKUP($D$3,GDPRICES,VLOOKUP(Q123,GDmove_down,2,FALSE),FALSE),HLOOKUP($E$3,GDPRICES,VLOOKUP(Q123,GDmove_down,2,FALSE),FALSE),J123,VLOOKUP(H123,NGPREVPRICES,4,FALSE),HLOOKUP($H$3,GDPrevVols,VLOOKUP(Q123,GDmove_down2,2,FALSE),FALSE),HLOOKUP($H$3,GDPrevVols,VLOOKUP(Q123,GDmove_down2,2,FALSE),FALSE),HLOOKUP(E123,GDcorr,VLOOKUP(H123,CorMove,2,FALSE),FALSE),Q123-$AC$3,R123,$AC$5)*I123-AI123</f>
        <v>#N/A</v>
      </c>
      <c r="AD123" s="234" t="e">
        <f>_xll.xSPRDOPT(HLOOKUP($D$3,GDPrev,VLOOKUP(Q123,GDmove_down,2,FALSE),FALSE),HLOOKUP($E$3,GDPrev,VLOOKUP(Q123,GDmove_down,2,FALSE),FALSE),AJ123,VLOOKUP(H123,NGPrices,4,FALSE),HLOOKUP($H$3,GDPrevVols,VLOOKUP(Q123,GDmove_down2,2,FALSE),FALSE),HLOOKUP($H$3,GDPrevVols,VLOOKUP(Q123,GDmove_down2,2,FALSE),FALSE),HLOOKUP(E123,GDcorr,VLOOKUP(H123,CorMove,2,FALSE),FALSE),Q123-$AC$3,R123,$AI$5)*I123-AI123</f>
        <v>#N/A</v>
      </c>
      <c r="AE123" s="439" t="e">
        <f t="shared" si="39"/>
        <v>#N/A</v>
      </c>
      <c r="AF123" s="234" t="e">
        <f>_xll.xSPRDOPT(HLOOKUP($D$3,GDPrev,VLOOKUP(Q123,GDmove_down,2,FALSE),FALSE),HLOOKUP($E$3,GDPrev,VLOOKUP(Q123,GDmove_down,2,FALSE),FALSE),AJ123,VLOOKUP(H123,NGPREVPRICES,4,FALSE),HLOOKUP($H$3,GDVol,VLOOKUP(H123,move_down,2,FALSE),FALSE),HLOOKUP($H$3,GDVol,VLOOKUP(H123,move_down,2,FALSE),FALSE),HLOOKUP(E123,GDcorr,VLOOKUP(H123,CorMove,2,FALSE),FALSE),Q123-$AC$3,R123,$AI$5)*I123-AI123</f>
        <v>#N/A</v>
      </c>
      <c r="AG123" s="234" t="e">
        <f>_xll.xSPRDOPT(HLOOKUP($D$3,GDPrev,VLOOKUP(Q123,GDmove_down,2,FALSE),FALSE),HLOOKUP($E$3,GDPrev,VLOOKUP(Q123,GDmove_down,2,FALSE),FALSE),AJ123,VLOOKUP(H123,NGPREVPRICES,4,FALSE),HLOOKUP($H$3,GDPrevVols,VLOOKUP(Q123,GDmove_down2,2,FALSE),FALSE),HLOOKUP($H$3,GDPrevVols,VLOOKUP(Q123,GDmove_down2,2,FALSE),FALSE),HLOOKUP(E123,GDcorr,VLOOKUP(H123,CorMove,2,FALSE),FALSE),Q123-$C$3,R123,$AI$5)*I123-AI123</f>
        <v>#N/A</v>
      </c>
      <c r="AH123" s="234" t="e">
        <f t="shared" si="40"/>
        <v>#N/A</v>
      </c>
      <c r="AI123" s="234" t="e">
        <f>_xll.xSPRDOPT(HLOOKUP($D$3,GDPrev,VLOOKUP(Q123,GDmove_down,2,FALSE),FALSE),HLOOKUP($E$3,GDPrev,VLOOKUP(Q123,GDmove_down,2,FALSE),FALSE),AJ123,VLOOKUP(H123,NGPREVPRICES,4,FALSE),HLOOKUP($H$3,GDPrevVols,VLOOKUP(Q123,GDmove_down2,2,FALSE),FALSE),HLOOKUP($H$3,GDPrevVols,VLOOKUP(Q123,GDmove_down2,2,FALSE),FALSE),HLOOKUP(E123,GDcorr,VLOOKUP(H123,CorMove,2,FALSE),FALSE),Q123-$AC$3,R123,$AI$5)*I123</f>
        <v>#N/A</v>
      </c>
      <c r="AJ123" s="235" t="e">
        <f t="shared" si="41"/>
        <v>#N/A</v>
      </c>
      <c r="AK123" s="234"/>
      <c r="AL123" t="str">
        <f t="shared" si="42"/>
        <v>36678Curve Shift/Gamma</v>
      </c>
      <c r="AM123" t="str">
        <f t="shared" si="43"/>
        <v>36678Rho</v>
      </c>
      <c r="AN123" t="str">
        <f t="shared" si="44"/>
        <v>36678Drift</v>
      </c>
      <c r="AO123" t="str">
        <f t="shared" si="45"/>
        <v>36678Vega</v>
      </c>
      <c r="AP123" t="str">
        <f t="shared" si="46"/>
        <v>36678Theta</v>
      </c>
      <c r="AZ123" s="41">
        <f t="shared" si="52"/>
        <v>39692</v>
      </c>
      <c r="BA123" s="44"/>
      <c r="BG123" s="441">
        <v>40026</v>
      </c>
      <c r="BH123">
        <v>0.98499999999999999</v>
      </c>
      <c r="BJ123" s="441">
        <v>40026</v>
      </c>
      <c r="BK123">
        <v>120</v>
      </c>
    </row>
    <row r="124" spans="1:63" ht="12" customHeight="1" x14ac:dyDescent="0.25">
      <c r="A124" s="384" t="s">
        <v>279</v>
      </c>
      <c r="B124" s="155" t="s">
        <v>250</v>
      </c>
      <c r="C124" s="155" t="s">
        <v>389</v>
      </c>
      <c r="D124" s="155" t="s">
        <v>190</v>
      </c>
      <c r="E124" s="4" t="s">
        <v>237</v>
      </c>
      <c r="F124" s="155" t="s">
        <v>20</v>
      </c>
      <c r="G124" s="155" t="s">
        <v>21</v>
      </c>
      <c r="H124" s="354">
        <v>36678</v>
      </c>
      <c r="I124" s="156">
        <v>50000</v>
      </c>
      <c r="J124" s="7">
        <v>0.46</v>
      </c>
      <c r="K124" s="53">
        <f t="shared" si="35"/>
        <v>4.7300000000000004</v>
      </c>
      <c r="L124" s="53">
        <f t="shared" si="36"/>
        <v>3.41</v>
      </c>
      <c r="M124" s="157">
        <v>1</v>
      </c>
      <c r="N124" s="4">
        <v>0.51500000000000001</v>
      </c>
      <c r="O124" s="4">
        <v>0.51500000000000001</v>
      </c>
      <c r="P124" s="9" t="e">
        <f t="shared" si="37"/>
        <v>#N/A</v>
      </c>
      <c r="Q124" s="5">
        <v>36694</v>
      </c>
      <c r="R124" s="4">
        <f t="shared" si="48"/>
        <v>1</v>
      </c>
      <c r="S124" s="158" t="e">
        <f>_xll.xSPRDOPT($K124,$L124,$J124,$M124,$N124,$O124,$P124,$Q124-$C$3,$R124,0)</f>
        <v>#N/A</v>
      </c>
      <c r="T124" s="159" t="e">
        <f>_xll.xSPRDOPT($K124,$L124,$J124,$M124,$N124,$O124,$P124,$Q124-$C$3,$R124,1)*I124</f>
        <v>#N/A</v>
      </c>
      <c r="U124" s="160">
        <v>11000</v>
      </c>
      <c r="V124" s="159" t="e">
        <f>_xll.xSPRDOPT($K124,$L124,$J124,$M124,$N124,$O124,$P124,$Q124-$C$3,$R124,2)*I124</f>
        <v>#N/A</v>
      </c>
      <c r="W124" s="159" t="e">
        <f t="shared" si="49"/>
        <v>#N/A</v>
      </c>
      <c r="X124" s="51" t="str">
        <f t="shared" si="50"/>
        <v>36678IF-ELPO/SJ</v>
      </c>
      <c r="Y124" s="418">
        <f t="shared" si="51"/>
        <v>5</v>
      </c>
      <c r="AA124" s="51"/>
      <c r="AB124" s="141">
        <f t="shared" si="38"/>
        <v>36678</v>
      </c>
      <c r="AC124" s="234" t="e">
        <f>_xll.xSPRDOPT(HLOOKUP($D$3,GDPRICES,VLOOKUP(Q124,GDmove_down,2,FALSE),FALSE),HLOOKUP($E$3,GDPRICES,VLOOKUP(Q124,GDmove_down,2,FALSE),FALSE),J124,VLOOKUP(H124,NGPREVPRICES,4,FALSE),HLOOKUP($H$3,GDPrevVols,VLOOKUP(Q124,GDmove_down2,2,FALSE),FALSE),HLOOKUP($H$3,GDPrevVols,VLOOKUP(Q124,GDmove_down2,2,FALSE),FALSE),HLOOKUP(E124,GDcorr,VLOOKUP(H124,CorMove,2,FALSE),FALSE),Q124-$AC$3,R124,$AC$5)*I124-AI124</f>
        <v>#N/A</v>
      </c>
      <c r="AD124" s="234" t="e">
        <f>_xll.xSPRDOPT(HLOOKUP($D$3,GDPrev,VLOOKUP(Q124,GDmove_down,2,FALSE),FALSE),HLOOKUP($E$3,GDPrev,VLOOKUP(Q124,GDmove_down,2,FALSE),FALSE),AJ124,VLOOKUP(H124,NGPrices,4,FALSE),HLOOKUP($H$3,GDPrevVols,VLOOKUP(Q124,GDmove_down2,2,FALSE),FALSE),HLOOKUP($H$3,GDPrevVols,VLOOKUP(Q124,GDmove_down2,2,FALSE),FALSE),HLOOKUP(E124,GDcorr,VLOOKUP(H124,CorMove,2,FALSE),FALSE),Q124-$AC$3,R124,$AI$5)*I124-AI124</f>
        <v>#N/A</v>
      </c>
      <c r="AE124" s="439" t="e">
        <f t="shared" si="39"/>
        <v>#N/A</v>
      </c>
      <c r="AF124" s="234" t="e">
        <f>_xll.xSPRDOPT(HLOOKUP($D$3,GDPrev,VLOOKUP(Q124,GDmove_down,2,FALSE),FALSE),HLOOKUP($E$3,GDPrev,VLOOKUP(Q124,GDmove_down,2,FALSE),FALSE),AJ124,VLOOKUP(H124,NGPREVPRICES,4,FALSE),HLOOKUP($H$3,GDVol,VLOOKUP(H124,move_down,2,FALSE),FALSE),HLOOKUP($H$3,GDVol,VLOOKUP(H124,move_down,2,FALSE),FALSE),HLOOKUP(E124,GDcorr,VLOOKUP(H124,CorMove,2,FALSE),FALSE),Q124-$AC$3,R124,$AI$5)*I124-AI124</f>
        <v>#N/A</v>
      </c>
      <c r="AG124" s="234" t="e">
        <f>_xll.xSPRDOPT(HLOOKUP($D$3,GDPrev,VLOOKUP(Q124,GDmove_down,2,FALSE),FALSE),HLOOKUP($E$3,GDPrev,VLOOKUP(Q124,GDmove_down,2,FALSE),FALSE),AJ124,VLOOKUP(H124,NGPREVPRICES,4,FALSE),HLOOKUP($H$3,GDPrevVols,VLOOKUP(Q124,GDmove_down2,2,FALSE),FALSE),HLOOKUP($H$3,GDPrevVols,VLOOKUP(Q124,GDmove_down2,2,FALSE),FALSE),HLOOKUP(E124,GDcorr,VLOOKUP(H124,CorMove,2,FALSE),FALSE),Q124-$C$3,R124,$AI$5)*I124-AI124</f>
        <v>#N/A</v>
      </c>
      <c r="AH124" s="234" t="e">
        <f t="shared" si="40"/>
        <v>#N/A</v>
      </c>
      <c r="AI124" s="234" t="e">
        <f>_xll.xSPRDOPT(HLOOKUP($D$3,GDPrev,VLOOKUP(Q124,GDmove_down,2,FALSE),FALSE),HLOOKUP($E$3,GDPrev,VLOOKUP(Q124,GDmove_down,2,FALSE),FALSE),AJ124,VLOOKUP(H124,NGPREVPRICES,4,FALSE),HLOOKUP($H$3,GDPrevVols,VLOOKUP(Q124,GDmove_down2,2,FALSE),FALSE),HLOOKUP($H$3,GDPrevVols,VLOOKUP(Q124,GDmove_down2,2,FALSE),FALSE),HLOOKUP(E124,GDcorr,VLOOKUP(H124,CorMove,2,FALSE),FALSE),Q124-$AC$3,R124,$AI$5)*I124</f>
        <v>#N/A</v>
      </c>
      <c r="AJ124" s="235" t="e">
        <f t="shared" si="41"/>
        <v>#N/A</v>
      </c>
      <c r="AK124" s="234"/>
      <c r="AL124" t="str">
        <f t="shared" si="42"/>
        <v>36678Curve Shift/Gamma</v>
      </c>
      <c r="AM124" t="str">
        <f t="shared" si="43"/>
        <v>36678Rho</v>
      </c>
      <c r="AN124" t="str">
        <f t="shared" si="44"/>
        <v>36678Drift</v>
      </c>
      <c r="AO124" t="str">
        <f t="shared" si="45"/>
        <v>36678Vega</v>
      </c>
      <c r="AP124" t="str">
        <f t="shared" si="46"/>
        <v>36678Theta</v>
      </c>
      <c r="AZ124" s="41">
        <f t="shared" si="52"/>
        <v>39722</v>
      </c>
      <c r="BA124" s="44"/>
      <c r="BG124" s="441">
        <v>40057</v>
      </c>
      <c r="BH124">
        <v>0.98499999999999999</v>
      </c>
      <c r="BJ124" s="441">
        <v>40057</v>
      </c>
      <c r="BK124">
        <v>121</v>
      </c>
    </row>
    <row r="125" spans="1:63" ht="12" customHeight="1" x14ac:dyDescent="0.25">
      <c r="A125" s="384" t="s">
        <v>279</v>
      </c>
      <c r="B125" s="155" t="s">
        <v>250</v>
      </c>
      <c r="C125" s="155" t="s">
        <v>398</v>
      </c>
      <c r="D125" s="155" t="s">
        <v>190</v>
      </c>
      <c r="E125" s="4" t="s">
        <v>237</v>
      </c>
      <c r="F125" s="155" t="s">
        <v>20</v>
      </c>
      <c r="G125" s="155" t="s">
        <v>21</v>
      </c>
      <c r="H125" s="354">
        <v>36678</v>
      </c>
      <c r="I125" s="156">
        <v>-10000</v>
      </c>
      <c r="J125" s="7">
        <v>0.46</v>
      </c>
      <c r="K125" s="53">
        <f t="shared" si="35"/>
        <v>4.7300000000000004</v>
      </c>
      <c r="L125" s="53">
        <f t="shared" si="36"/>
        <v>3.41</v>
      </c>
      <c r="M125" s="157">
        <v>1</v>
      </c>
      <c r="N125" s="4">
        <v>0.51500000000000001</v>
      </c>
      <c r="O125" s="4">
        <v>0.51500000000000001</v>
      </c>
      <c r="P125" s="9" t="e">
        <f t="shared" si="37"/>
        <v>#N/A</v>
      </c>
      <c r="Q125" s="5">
        <v>36694</v>
      </c>
      <c r="R125" s="4">
        <f t="shared" si="48"/>
        <v>1</v>
      </c>
      <c r="S125" s="158" t="e">
        <f>_xll.xSPRDOPT($K125,$L125,$J125,$M125,$N125,$O125,$P125,$Q125-$C$3,$R125,0)</f>
        <v>#N/A</v>
      </c>
      <c r="T125" s="159" t="e">
        <f>_xll.xSPRDOPT($K125,$L125,$J125,$M125,$N125,$O125,$P125,$Q125-$C$3,$R125,1)*I125</f>
        <v>#N/A</v>
      </c>
      <c r="U125" s="160">
        <v>-2200</v>
      </c>
      <c r="V125" s="159" t="e">
        <f>_xll.xSPRDOPT($K125,$L125,$J125,$M125,$N125,$O125,$P125,$Q125-$C$3,$R125,2)*I125</f>
        <v>#N/A</v>
      </c>
      <c r="W125" s="159" t="e">
        <f t="shared" si="49"/>
        <v>#N/A</v>
      </c>
      <c r="X125" s="51" t="str">
        <f t="shared" si="50"/>
        <v>36678IF-ELPO/SJ</v>
      </c>
      <c r="Y125" s="418">
        <f t="shared" si="51"/>
        <v>-1</v>
      </c>
      <c r="Z125" s="51"/>
      <c r="AA125" s="51"/>
      <c r="AB125" s="141">
        <f t="shared" si="38"/>
        <v>36678</v>
      </c>
      <c r="AC125" s="234" t="e">
        <f>_xll.xSPRDOPT(HLOOKUP($D$3,GDPRICES,VLOOKUP(Q125,GDmove_down,2,FALSE),FALSE),HLOOKUP($E$3,GDPRICES,VLOOKUP(Q125,GDmove_down,2,FALSE),FALSE),J125,VLOOKUP(H125,NGPREVPRICES,4,FALSE),HLOOKUP($H$3,GDPrevVols,VLOOKUP(Q125,GDmove_down2,2,FALSE),FALSE),HLOOKUP($H$3,GDPrevVols,VLOOKUP(Q125,GDmove_down2,2,FALSE),FALSE),HLOOKUP(E125,GDcorr,VLOOKUP(H125,CorMove,2,FALSE),FALSE),Q125-$AC$3,R125,$AC$5)*I125-AI125</f>
        <v>#N/A</v>
      </c>
      <c r="AD125" s="234" t="e">
        <f>_xll.xSPRDOPT(HLOOKUP($D$3,GDPrev,VLOOKUP(Q125,GDmove_down,2,FALSE),FALSE),HLOOKUP($E$3,GDPrev,VLOOKUP(Q125,GDmove_down,2,FALSE),FALSE),AJ125,VLOOKUP(H125,NGPrices,4,FALSE),HLOOKUP($H$3,GDPrevVols,VLOOKUP(Q125,GDmove_down2,2,FALSE),FALSE),HLOOKUP($H$3,GDPrevVols,VLOOKUP(Q125,GDmove_down2,2,FALSE),FALSE),HLOOKUP(E125,GDcorr,VLOOKUP(H125,CorMove,2,FALSE),FALSE),Q125-$AC$3,R125,$AI$5)*I125-AI125</f>
        <v>#N/A</v>
      </c>
      <c r="AE125" s="439" t="e">
        <f t="shared" si="39"/>
        <v>#N/A</v>
      </c>
      <c r="AF125" s="234" t="e">
        <f>_xll.xSPRDOPT(HLOOKUP($D$3,GDPrev,VLOOKUP(Q125,GDmove_down,2,FALSE),FALSE),HLOOKUP($E$3,GDPrev,VLOOKUP(Q125,GDmove_down,2,FALSE),FALSE),AJ125,VLOOKUP(H125,NGPREVPRICES,4,FALSE),HLOOKUP($H$3,GDVol,VLOOKUP(H125,move_down,2,FALSE),FALSE),HLOOKUP($H$3,GDVol,VLOOKUP(H125,move_down,2,FALSE),FALSE),HLOOKUP(E125,GDcorr,VLOOKUP(H125,CorMove,2,FALSE),FALSE),Q125-$AC$3,R125,$AI$5)*I125-AI125</f>
        <v>#N/A</v>
      </c>
      <c r="AG125" s="234" t="e">
        <f>_xll.xSPRDOPT(HLOOKUP($D$3,GDPrev,VLOOKUP(Q125,GDmove_down,2,FALSE),FALSE),HLOOKUP($E$3,GDPrev,VLOOKUP(Q125,GDmove_down,2,FALSE),FALSE),AJ125,VLOOKUP(H125,NGPREVPRICES,4,FALSE),HLOOKUP($H$3,GDPrevVols,VLOOKUP(Q125,GDmove_down2,2,FALSE),FALSE),HLOOKUP($H$3,GDPrevVols,VLOOKUP(Q125,GDmove_down2,2,FALSE),FALSE),HLOOKUP(E125,GDcorr,VLOOKUP(H125,CorMove,2,FALSE),FALSE),Q125-$C$3,R125,$AI$5)*I125-AI125</f>
        <v>#N/A</v>
      </c>
      <c r="AH125" s="234" t="e">
        <f t="shared" si="40"/>
        <v>#N/A</v>
      </c>
      <c r="AI125" s="234" t="e">
        <f>_xll.xSPRDOPT(HLOOKUP($D$3,GDPrev,VLOOKUP(Q125,GDmove_down,2,FALSE),FALSE),HLOOKUP($E$3,GDPrev,VLOOKUP(Q125,GDmove_down,2,FALSE),FALSE),AJ125,VLOOKUP(H125,NGPREVPRICES,4,FALSE),HLOOKUP($H$3,GDPrevVols,VLOOKUP(Q125,GDmove_down2,2,FALSE),FALSE),HLOOKUP($H$3,GDPrevVols,VLOOKUP(Q125,GDmove_down2,2,FALSE),FALSE),HLOOKUP(E125,GDcorr,VLOOKUP(H125,CorMove,2,FALSE),FALSE),Q125-$AC$3,R125,$AI$5)*I125</f>
        <v>#N/A</v>
      </c>
      <c r="AJ125" s="235" t="e">
        <f t="shared" si="41"/>
        <v>#N/A</v>
      </c>
      <c r="AK125" s="234"/>
      <c r="AL125" t="str">
        <f t="shared" si="42"/>
        <v>36678Curve Shift/Gamma</v>
      </c>
      <c r="AM125" t="str">
        <f t="shared" si="43"/>
        <v>36678Rho</v>
      </c>
      <c r="AN125" t="str">
        <f t="shared" si="44"/>
        <v>36678Drift</v>
      </c>
      <c r="AO125" t="str">
        <f t="shared" si="45"/>
        <v>36678Vega</v>
      </c>
      <c r="AP125" t="str">
        <f t="shared" si="46"/>
        <v>36678Theta</v>
      </c>
      <c r="AZ125" s="41">
        <f t="shared" si="52"/>
        <v>39753</v>
      </c>
      <c r="BA125" s="44"/>
      <c r="BG125" s="441">
        <v>40087</v>
      </c>
      <c r="BH125">
        <v>0.98499999999999999</v>
      </c>
      <c r="BJ125" s="441">
        <v>40087</v>
      </c>
      <c r="BK125">
        <v>122</v>
      </c>
    </row>
    <row r="126" spans="1:63" ht="12" customHeight="1" x14ac:dyDescent="0.25">
      <c r="A126" s="382" t="s">
        <v>279</v>
      </c>
      <c r="B126" s="155" t="s">
        <v>250</v>
      </c>
      <c r="C126" s="155" t="s">
        <v>360</v>
      </c>
      <c r="D126" s="155" t="s">
        <v>190</v>
      </c>
      <c r="E126" s="4" t="s">
        <v>237</v>
      </c>
      <c r="F126" s="155" t="s">
        <v>20</v>
      </c>
      <c r="G126" s="155" t="s">
        <v>21</v>
      </c>
      <c r="H126" s="354">
        <v>36678</v>
      </c>
      <c r="I126" s="156">
        <v>-50000</v>
      </c>
      <c r="J126" s="7">
        <v>0.46</v>
      </c>
      <c r="K126" s="53">
        <f t="shared" si="35"/>
        <v>4.9249999999999998</v>
      </c>
      <c r="L126" s="53">
        <f t="shared" si="36"/>
        <v>3.4449999999999998</v>
      </c>
      <c r="M126" s="157">
        <v>1</v>
      </c>
      <c r="N126" s="4">
        <v>0.51500000000000001</v>
      </c>
      <c r="O126" s="4">
        <v>0.51500000000000001</v>
      </c>
      <c r="P126" s="9" t="e">
        <f t="shared" si="37"/>
        <v>#N/A</v>
      </c>
      <c r="Q126" s="5">
        <v>36695</v>
      </c>
      <c r="R126" s="4">
        <f t="shared" si="48"/>
        <v>1</v>
      </c>
      <c r="S126" s="158" t="e">
        <f>_xll.xSPRDOPT($K126,$L126,$J126,$M126,$N126,$O126,$P126,$Q126-$C$3,$R126,0)</f>
        <v>#N/A</v>
      </c>
      <c r="T126" s="159" t="e">
        <f>_xll.xSPRDOPT($K126,$L126,$J126,$M126,$N126,$O126,$P126,$Q126-$C$3,$R126,1)*I126</f>
        <v>#N/A</v>
      </c>
      <c r="U126" s="160">
        <v>-11000</v>
      </c>
      <c r="V126" s="159" t="e">
        <f>_xll.xSPRDOPT($K126,$L126,$J126,$M126,$N126,$O126,$P126,$Q126-$C$3,$R126,2)*I126</f>
        <v>#N/A</v>
      </c>
      <c r="W126" s="159" t="e">
        <f t="shared" si="49"/>
        <v>#N/A</v>
      </c>
      <c r="X126" s="51" t="str">
        <f t="shared" si="50"/>
        <v>36678IF-ELPO/SJ</v>
      </c>
      <c r="Y126" s="418">
        <f t="shared" si="51"/>
        <v>-5</v>
      </c>
      <c r="Z126" s="51"/>
      <c r="AA126" s="51"/>
      <c r="AB126" s="141">
        <f t="shared" si="38"/>
        <v>36678</v>
      </c>
      <c r="AC126" s="234" t="e">
        <f>_xll.xSPRDOPT(HLOOKUP($D$3,GDPRICES,VLOOKUP(Q126,GDmove_down,2,FALSE),FALSE),HLOOKUP($E$3,GDPRICES,VLOOKUP(Q126,GDmove_down,2,FALSE),FALSE),J126,VLOOKUP(H126,NGPREVPRICES,4,FALSE),HLOOKUP($H$3,GDPrevVols,VLOOKUP(Q126,GDmove_down2,2,FALSE),FALSE),HLOOKUP($H$3,GDPrevVols,VLOOKUP(Q126,GDmove_down2,2,FALSE),FALSE),HLOOKUP(E126,GDcorr,VLOOKUP(H126,CorMove,2,FALSE),FALSE),Q126-$AC$3,R126,$AC$5)*I126-AI126</f>
        <v>#N/A</v>
      </c>
      <c r="AD126" s="234" t="e">
        <f>_xll.xSPRDOPT(HLOOKUP($D$3,GDPrev,VLOOKUP(Q126,GDmove_down,2,FALSE),FALSE),HLOOKUP($E$3,GDPrev,VLOOKUP(Q126,GDmove_down,2,FALSE),FALSE),AJ126,VLOOKUP(H126,NGPrices,4,FALSE),HLOOKUP($H$3,GDPrevVols,VLOOKUP(Q126,GDmove_down2,2,FALSE),FALSE),HLOOKUP($H$3,GDPrevVols,VLOOKUP(Q126,GDmove_down2,2,FALSE),FALSE),HLOOKUP(E126,GDcorr,VLOOKUP(H126,CorMove,2,FALSE),FALSE),Q126-$AC$3,R126,$AI$5)*I126-AI126</f>
        <v>#N/A</v>
      </c>
      <c r="AE126" s="439" t="e">
        <f t="shared" si="39"/>
        <v>#N/A</v>
      </c>
      <c r="AF126" s="234" t="e">
        <f>_xll.xSPRDOPT(HLOOKUP($D$3,GDPrev,VLOOKUP(Q126,GDmove_down,2,FALSE),FALSE),HLOOKUP($E$3,GDPrev,VLOOKUP(Q126,GDmove_down,2,FALSE),FALSE),AJ126,VLOOKUP(H126,NGPREVPRICES,4,FALSE),HLOOKUP($H$3,GDVol,VLOOKUP(H126,move_down,2,FALSE),FALSE),HLOOKUP($H$3,GDVol,VLOOKUP(H126,move_down,2,FALSE),FALSE),HLOOKUP(E126,GDcorr,VLOOKUP(H126,CorMove,2,FALSE),FALSE),Q126-$AC$3,R126,$AI$5)*I126-AI126</f>
        <v>#N/A</v>
      </c>
      <c r="AG126" s="234" t="e">
        <f>_xll.xSPRDOPT(HLOOKUP($D$3,GDPrev,VLOOKUP(Q126,GDmove_down,2,FALSE),FALSE),HLOOKUP($E$3,GDPrev,VLOOKUP(Q126,GDmove_down,2,FALSE),FALSE),AJ126,VLOOKUP(H126,NGPREVPRICES,4,FALSE),HLOOKUP($H$3,GDPrevVols,VLOOKUP(Q126,GDmove_down2,2,FALSE),FALSE),HLOOKUP($H$3,GDPrevVols,VLOOKUP(Q126,GDmove_down2,2,FALSE),FALSE),HLOOKUP(E126,GDcorr,VLOOKUP(H126,CorMove,2,FALSE),FALSE),Q126-$C$3,R126,$AI$5)*I126-AI126</f>
        <v>#N/A</v>
      </c>
      <c r="AH126" s="234" t="e">
        <f t="shared" si="40"/>
        <v>#N/A</v>
      </c>
      <c r="AI126" s="234" t="e">
        <f>_xll.xSPRDOPT(HLOOKUP($D$3,GDPrev,VLOOKUP(Q126,GDmove_down,2,FALSE),FALSE),HLOOKUP($E$3,GDPrev,VLOOKUP(Q126,GDmove_down,2,FALSE),FALSE),AJ126,VLOOKUP(H126,NGPREVPRICES,4,FALSE),HLOOKUP($H$3,GDPrevVols,VLOOKUP(Q126,GDmove_down2,2,FALSE),FALSE),HLOOKUP($H$3,GDPrevVols,VLOOKUP(Q126,GDmove_down2,2,FALSE),FALSE),HLOOKUP(E126,GDcorr,VLOOKUP(H126,CorMove,2,FALSE),FALSE),Q126-$AC$3,R126,$AI$5)*I126</f>
        <v>#N/A</v>
      </c>
      <c r="AJ126" s="235" t="e">
        <f t="shared" si="41"/>
        <v>#N/A</v>
      </c>
      <c r="AK126" s="234"/>
      <c r="AL126" t="str">
        <f t="shared" si="42"/>
        <v>36678Curve Shift/Gamma</v>
      </c>
      <c r="AM126" t="str">
        <f t="shared" si="43"/>
        <v>36678Rho</v>
      </c>
      <c r="AN126" t="str">
        <f t="shared" si="44"/>
        <v>36678Drift</v>
      </c>
      <c r="AO126" t="str">
        <f t="shared" si="45"/>
        <v>36678Vega</v>
      </c>
      <c r="AP126" t="str">
        <f t="shared" si="46"/>
        <v>36678Theta</v>
      </c>
      <c r="AZ126" s="41">
        <f t="shared" si="52"/>
        <v>39783</v>
      </c>
      <c r="BA126" s="44"/>
      <c r="BG126" s="441">
        <v>40118</v>
      </c>
      <c r="BH126">
        <v>0.97048500000000038</v>
      </c>
      <c r="BJ126" s="441">
        <v>40118</v>
      </c>
      <c r="BK126">
        <v>123</v>
      </c>
    </row>
    <row r="127" spans="1:63" ht="12" customHeight="1" x14ac:dyDescent="0.25">
      <c r="A127" s="382" t="s">
        <v>279</v>
      </c>
      <c r="B127" s="155" t="s">
        <v>250</v>
      </c>
      <c r="C127" s="155" t="s">
        <v>361</v>
      </c>
      <c r="D127" s="155" t="s">
        <v>190</v>
      </c>
      <c r="E127" s="4" t="s">
        <v>237</v>
      </c>
      <c r="F127" s="155" t="s">
        <v>20</v>
      </c>
      <c r="G127" s="155" t="s">
        <v>21</v>
      </c>
      <c r="H127" s="354">
        <v>36678</v>
      </c>
      <c r="I127" s="156">
        <v>10000</v>
      </c>
      <c r="J127" s="7">
        <v>0.46</v>
      </c>
      <c r="K127" s="53">
        <f t="shared" si="35"/>
        <v>4.9249999999999998</v>
      </c>
      <c r="L127" s="53">
        <f t="shared" si="36"/>
        <v>3.4449999999999998</v>
      </c>
      <c r="M127" s="157">
        <v>1</v>
      </c>
      <c r="N127" s="4">
        <v>0.51500000000000001</v>
      </c>
      <c r="O127" s="4">
        <v>0.51500000000000001</v>
      </c>
      <c r="P127" s="9" t="e">
        <f t="shared" si="37"/>
        <v>#N/A</v>
      </c>
      <c r="Q127" s="5">
        <v>36695</v>
      </c>
      <c r="R127" s="4">
        <f>IF(G127="P",0,1)</f>
        <v>1</v>
      </c>
      <c r="S127" s="158" t="e">
        <f>_xll.xSPRDOPT($K127,$L127,$J127,$M127,$N127,$O127,$P127,$Q127-$C$3,$R127,0)</f>
        <v>#N/A</v>
      </c>
      <c r="T127" s="159" t="e">
        <f>_xll.xSPRDOPT($K127,$L127,$J127,$M127,$N127,$O127,$P127,$Q127-$C$3,$R127,1)*I127</f>
        <v>#N/A</v>
      </c>
      <c r="U127" s="160">
        <v>2200</v>
      </c>
      <c r="V127" s="159" t="e">
        <f>_xll.xSPRDOPT($K127,$L127,$J127,$M127,$N127,$O127,$P127,$Q127-$C$3,$R127,2)*I127</f>
        <v>#N/A</v>
      </c>
      <c r="W127" s="159" t="e">
        <f>+V127+T127</f>
        <v>#N/A</v>
      </c>
      <c r="X127" s="51" t="str">
        <f>CONCATENATE(H127,E127)</f>
        <v>36678IF-ELPO/SJ</v>
      </c>
      <c r="Y127" s="418">
        <f>I127/10000</f>
        <v>1</v>
      </c>
      <c r="Z127" s="51"/>
      <c r="AA127" s="51"/>
      <c r="AB127" s="141">
        <f t="shared" ref="AB127:AB186" si="53">H127</f>
        <v>36678</v>
      </c>
      <c r="AC127" s="234" t="e">
        <f>_xll.xSPRDOPT(HLOOKUP($D$3,GDPRICES,VLOOKUP(Q127,GDmove_down,2,FALSE),FALSE),HLOOKUP($E$3,GDPRICES,VLOOKUP(Q127,GDmove_down,2,FALSE),FALSE),J127,VLOOKUP(H127,NGPREVPRICES,4,FALSE),HLOOKUP($H$3,GDPrevVols,VLOOKUP(Q127,GDmove_down2,2,FALSE),FALSE),HLOOKUP($H$3,GDPrevVols,VLOOKUP(Q127,GDmove_down2,2,FALSE),FALSE),HLOOKUP(E127,GDcorr,VLOOKUP(H127,CorMove,2,FALSE),FALSE),Q127-$AC$3,R127,$AC$5)*I127-AI127</f>
        <v>#N/A</v>
      </c>
      <c r="AD127" s="234" t="e">
        <f>_xll.xSPRDOPT(HLOOKUP($D$3,GDPrev,VLOOKUP(Q127,GDmove_down,2,FALSE),FALSE),HLOOKUP($E$3,GDPrev,VLOOKUP(Q127,GDmove_down,2,FALSE),FALSE),AJ127,VLOOKUP(H127,NGPrices,4,FALSE),HLOOKUP($H$3,GDPrevVols,VLOOKUP(Q127,GDmove_down2,2,FALSE),FALSE),HLOOKUP($H$3,GDPrevVols,VLOOKUP(Q127,GDmove_down2,2,FALSE),FALSE),HLOOKUP(E127,GDcorr,VLOOKUP(H127,CorMove,2,FALSE),FALSE),Q127-$AC$3,R127,$AI$5)*I127-AI127</f>
        <v>#N/A</v>
      </c>
      <c r="AE127" s="439" t="e">
        <f t="shared" ref="AE127:AE186" si="54">(AI127/VLOOKUP(AB127,discount,3,FALSE))-(AI127/VLOOKUP(AB127,discount,2,FALSE))</f>
        <v>#N/A</v>
      </c>
      <c r="AF127" s="234" t="e">
        <f>_xll.xSPRDOPT(HLOOKUP($D$3,GDPrev,VLOOKUP(Q127,GDmove_down,2,FALSE),FALSE),HLOOKUP($E$3,GDPrev,VLOOKUP(Q127,GDmove_down,2,FALSE),FALSE),AJ127,VLOOKUP(H127,NGPREVPRICES,4,FALSE),HLOOKUP($H$3,GDVol,VLOOKUP(H127,move_down,2,FALSE),FALSE),HLOOKUP($H$3,GDVol,VLOOKUP(H127,move_down,2,FALSE),FALSE),HLOOKUP(E127,GDcorr,VLOOKUP(H127,CorMove,2,FALSE),FALSE),Q127-$AC$3,R127,$AI$5)*I127-AI127</f>
        <v>#N/A</v>
      </c>
      <c r="AG127" s="234" t="e">
        <f>_xll.xSPRDOPT(HLOOKUP($D$3,GDPrev,VLOOKUP(Q127,GDmove_down,2,FALSE),FALSE),HLOOKUP($E$3,GDPrev,VLOOKUP(Q127,GDmove_down,2,FALSE),FALSE),AJ127,VLOOKUP(H127,NGPREVPRICES,4,FALSE),HLOOKUP($H$3,GDPrevVols,VLOOKUP(Q127,GDmove_down2,2,FALSE),FALSE),HLOOKUP($H$3,GDPrevVols,VLOOKUP(Q127,GDmove_down2,2,FALSE),FALSE),HLOOKUP(E127,GDcorr,VLOOKUP(H127,CorMove,2,FALSE),FALSE),Q127-$C$3,R127,$AI$5)*I127-AI127</f>
        <v>#N/A</v>
      </c>
      <c r="AH127" s="234" t="e">
        <f t="shared" ref="AH127:AH186" si="55">SUM(AC127:AG127)</f>
        <v>#N/A</v>
      </c>
      <c r="AI127" s="234" t="e">
        <f>_xll.xSPRDOPT(HLOOKUP($D$3,GDPrev,VLOOKUP(Q127,GDmove_down,2,FALSE),FALSE),HLOOKUP($E$3,GDPrev,VLOOKUP(Q127,GDmove_down,2,FALSE),FALSE),AJ127,VLOOKUP(H127,NGPREVPRICES,4,FALSE),HLOOKUP($H$3,GDPrevVols,VLOOKUP(Q127,GDmove_down2,2,FALSE),FALSE),HLOOKUP($H$3,GDPrevVols,VLOOKUP(Q127,GDmove_down2,2,FALSE),FALSE),HLOOKUP(E127,GDcorr,VLOOKUP(H127,CorMove,2,FALSE),FALSE),Q127-$AC$3,R127,$AI$5)*I127</f>
        <v>#N/A</v>
      </c>
      <c r="AJ127" s="235" t="e">
        <f t="shared" ref="AJ127:AJ186" si="56">HLOOKUP(D127,PREVCURVES,VLOOKUP(H127,MOVE_DOWN2,2,FALSE),FALSE)-HLOOKUP(E127,PREVCURVES,VLOOKUP(H127,MOVE_DOWN2,2,FALSE),FALSE)</f>
        <v>#N/A</v>
      </c>
      <c r="AK127" s="234"/>
      <c r="AL127" t="str">
        <f t="shared" ref="AL127:AL186" si="57">CONCATENATE(AB127,$AC$6)</f>
        <v>36678Curve Shift/Gamma</v>
      </c>
      <c r="AM127" t="str">
        <f t="shared" si="43"/>
        <v>36678Rho</v>
      </c>
      <c r="AN127" t="str">
        <f t="shared" si="44"/>
        <v>36678Drift</v>
      </c>
      <c r="AO127" t="str">
        <f t="shared" si="45"/>
        <v>36678Vega</v>
      </c>
      <c r="AP127" t="str">
        <f t="shared" si="46"/>
        <v>36678Theta</v>
      </c>
      <c r="AZ127" s="41">
        <f t="shared" si="52"/>
        <v>39814</v>
      </c>
      <c r="BA127" s="44"/>
      <c r="BG127" s="441">
        <v>40148</v>
      </c>
      <c r="BH127">
        <v>0.97048500000000038</v>
      </c>
      <c r="BJ127" s="441">
        <v>40148</v>
      </c>
      <c r="BK127">
        <v>124</v>
      </c>
    </row>
    <row r="128" spans="1:63" ht="12" customHeight="1" x14ac:dyDescent="0.25">
      <c r="A128" s="382" t="s">
        <v>279</v>
      </c>
      <c r="B128" s="155" t="s">
        <v>250</v>
      </c>
      <c r="C128" s="155" t="s">
        <v>364</v>
      </c>
      <c r="D128" s="155" t="s">
        <v>190</v>
      </c>
      <c r="E128" s="4" t="s">
        <v>237</v>
      </c>
      <c r="F128" s="155" t="s">
        <v>20</v>
      </c>
      <c r="G128" s="155" t="s">
        <v>21</v>
      </c>
      <c r="H128" s="354">
        <v>36678</v>
      </c>
      <c r="I128" s="156">
        <v>-333333</v>
      </c>
      <c r="J128" s="7">
        <v>0.46</v>
      </c>
      <c r="K128" s="53">
        <f t="shared" si="35"/>
        <v>4.9249999999999998</v>
      </c>
      <c r="L128" s="53">
        <f t="shared" si="36"/>
        <v>3.4449999999999998</v>
      </c>
      <c r="M128" s="157">
        <v>1</v>
      </c>
      <c r="N128" s="4">
        <v>0.51500000000000001</v>
      </c>
      <c r="O128" s="4">
        <v>0.51500000000000001</v>
      </c>
      <c r="P128" s="9" t="e">
        <f t="shared" si="37"/>
        <v>#N/A</v>
      </c>
      <c r="Q128" s="5">
        <v>36695</v>
      </c>
      <c r="R128" s="4">
        <f t="shared" ref="R128:R156" si="58">IF(G128="P",0,1)</f>
        <v>1</v>
      </c>
      <c r="S128" s="158" t="e">
        <f>_xll.xSPRDOPT($K128,$L128,$J128,$M128,$N128,$O128,$P128,$Q128-$C$3,$R128,0)</f>
        <v>#N/A</v>
      </c>
      <c r="T128" s="159" t="e">
        <f>_xll.xSPRDOPT($K128,$L128,$J128,$M128,$N128,$O128,$P128,$Q128-$C$3,$R128,1)*I128</f>
        <v>#N/A</v>
      </c>
      <c r="U128" s="160">
        <v>-73333.259999999893</v>
      </c>
      <c r="V128" s="159" t="e">
        <f>_xll.xSPRDOPT($K128,$L128,$J128,$M128,$N128,$O128,$P128,$Q128-$C$3,$R128,2)*I128</f>
        <v>#N/A</v>
      </c>
      <c r="W128" s="159" t="e">
        <f t="shared" ref="W128:W156" si="59">+V128+T128</f>
        <v>#N/A</v>
      </c>
      <c r="X128" s="51" t="str">
        <f t="shared" ref="X128:X156" si="60">CONCATENATE(H128,E128)</f>
        <v>36678IF-ELPO/SJ</v>
      </c>
      <c r="Y128" s="418">
        <f t="shared" ref="Y128:Y156" si="61">I128/10000</f>
        <v>-33.333300000000001</v>
      </c>
      <c r="Z128" s="51"/>
      <c r="AA128" s="51"/>
      <c r="AB128" s="141">
        <f t="shared" si="53"/>
        <v>36678</v>
      </c>
      <c r="AC128" s="234" t="e">
        <f>_xll.xSPRDOPT(HLOOKUP($D$3,GDPRICES,VLOOKUP(Q128,GDmove_down,2,FALSE),FALSE),HLOOKUP($E$3,GDPRICES,VLOOKUP(Q128,GDmove_down,2,FALSE),FALSE),J128,VLOOKUP(H128,NGPREVPRICES,4,FALSE),HLOOKUP($H$3,GDPrevVols,VLOOKUP(Q128,GDmove_down2,2,FALSE),FALSE),HLOOKUP($H$3,GDPrevVols,VLOOKUP(Q128,GDmove_down2,2,FALSE),FALSE),HLOOKUP(E128,GDcorr,VLOOKUP(H128,CorMove,2,FALSE),FALSE),Q128-$AC$3,R128,$AC$5)*I128-AI128</f>
        <v>#N/A</v>
      </c>
      <c r="AD128" s="234" t="e">
        <f>_xll.xSPRDOPT(HLOOKUP($D$3,GDPrev,VLOOKUP(Q128,GDmove_down,2,FALSE),FALSE),HLOOKUP($E$3,GDPrev,VLOOKUP(Q128,GDmove_down,2,FALSE),FALSE),AJ128,VLOOKUP(H128,NGPrices,4,FALSE),HLOOKUP($H$3,GDPrevVols,VLOOKUP(Q128,GDmove_down2,2,FALSE),FALSE),HLOOKUP($H$3,GDPrevVols,VLOOKUP(Q128,GDmove_down2,2,FALSE),FALSE),HLOOKUP(E128,GDcorr,VLOOKUP(H128,CorMove,2,FALSE),FALSE),Q128-$AC$3,R128,$AI$5)*I128-AI128</f>
        <v>#N/A</v>
      </c>
      <c r="AE128" s="439" t="e">
        <f t="shared" si="54"/>
        <v>#N/A</v>
      </c>
      <c r="AF128" s="234" t="e">
        <f>_xll.xSPRDOPT(HLOOKUP($D$3,GDPrev,VLOOKUP(Q128,GDmove_down,2,FALSE),FALSE),HLOOKUP($E$3,GDPrev,VLOOKUP(Q128,GDmove_down,2,FALSE),FALSE),AJ128,VLOOKUP(H128,NGPREVPRICES,4,FALSE),HLOOKUP($H$3,GDVol,VLOOKUP(H128,move_down,2,FALSE),FALSE),HLOOKUP($H$3,GDVol,VLOOKUP(H128,move_down,2,FALSE),FALSE),HLOOKUP(E128,GDcorr,VLOOKUP(H128,CorMove,2,FALSE),FALSE),Q128-$AC$3,R128,$AI$5)*I128-AI128</f>
        <v>#N/A</v>
      </c>
      <c r="AG128" s="234" t="e">
        <f>_xll.xSPRDOPT(HLOOKUP($D$3,GDPrev,VLOOKUP(Q128,GDmove_down,2,FALSE),FALSE),HLOOKUP($E$3,GDPrev,VLOOKUP(Q128,GDmove_down,2,FALSE),FALSE),AJ128,VLOOKUP(H128,NGPREVPRICES,4,FALSE),HLOOKUP($H$3,GDPrevVols,VLOOKUP(Q128,GDmove_down2,2,FALSE),FALSE),HLOOKUP($H$3,GDPrevVols,VLOOKUP(Q128,GDmove_down2,2,FALSE),FALSE),HLOOKUP(E128,GDcorr,VLOOKUP(H128,CorMove,2,FALSE),FALSE),Q128-$C$3,R128,$AI$5)*I128-AI128</f>
        <v>#N/A</v>
      </c>
      <c r="AH128" s="234" t="e">
        <f t="shared" si="55"/>
        <v>#N/A</v>
      </c>
      <c r="AI128" s="234" t="e">
        <f>_xll.xSPRDOPT(HLOOKUP($D$3,GDPrev,VLOOKUP(Q128,GDmove_down,2,FALSE),FALSE),HLOOKUP($E$3,GDPrev,VLOOKUP(Q128,GDmove_down,2,FALSE),FALSE),AJ128,VLOOKUP(H128,NGPREVPRICES,4,FALSE),HLOOKUP($H$3,GDPrevVols,VLOOKUP(Q128,GDmove_down2,2,FALSE),FALSE),HLOOKUP($H$3,GDPrevVols,VLOOKUP(Q128,GDmove_down2,2,FALSE),FALSE),HLOOKUP(E128,GDcorr,VLOOKUP(H128,CorMove,2,FALSE),FALSE),Q128-$AC$3,R128,$AI$5)*I128</f>
        <v>#N/A</v>
      </c>
      <c r="AJ128" s="235" t="e">
        <f t="shared" si="56"/>
        <v>#N/A</v>
      </c>
      <c r="AK128" s="234"/>
      <c r="AL128" t="str">
        <f t="shared" si="57"/>
        <v>36678Curve Shift/Gamma</v>
      </c>
      <c r="AM128" t="str">
        <f t="shared" si="43"/>
        <v>36678Rho</v>
      </c>
      <c r="AN128" t="str">
        <f t="shared" si="44"/>
        <v>36678Drift</v>
      </c>
      <c r="AO128" t="str">
        <f t="shared" si="45"/>
        <v>36678Vega</v>
      </c>
      <c r="AP128" t="str">
        <f t="shared" si="46"/>
        <v>36678Theta</v>
      </c>
      <c r="AZ128" s="41">
        <f t="shared" si="52"/>
        <v>39845</v>
      </c>
      <c r="BA128" s="44"/>
      <c r="BG128" s="441">
        <v>40179</v>
      </c>
      <c r="BH128">
        <v>0.98499999999999999</v>
      </c>
      <c r="BJ128" s="441">
        <v>40179</v>
      </c>
      <c r="BK128">
        <v>125</v>
      </c>
    </row>
    <row r="129" spans="1:63" ht="12" customHeight="1" x14ac:dyDescent="0.25">
      <c r="A129" s="384" t="s">
        <v>268</v>
      </c>
      <c r="B129" s="155" t="s">
        <v>250</v>
      </c>
      <c r="C129" s="155" t="s">
        <v>387</v>
      </c>
      <c r="D129" s="155" t="s">
        <v>190</v>
      </c>
      <c r="E129" s="4" t="s">
        <v>237</v>
      </c>
      <c r="F129" s="155" t="s">
        <v>20</v>
      </c>
      <c r="G129" s="155" t="s">
        <v>21</v>
      </c>
      <c r="H129" s="354">
        <v>36678</v>
      </c>
      <c r="I129" s="156">
        <v>-10000</v>
      </c>
      <c r="J129" s="7">
        <v>0.46</v>
      </c>
      <c r="K129" s="53">
        <f t="shared" si="35"/>
        <v>4.9249999999999998</v>
      </c>
      <c r="L129" s="53">
        <f t="shared" si="36"/>
        <v>3.4449999999999998</v>
      </c>
      <c r="M129" s="157">
        <v>1</v>
      </c>
      <c r="N129" s="4">
        <v>0.51500000000000001</v>
      </c>
      <c r="O129" s="4">
        <v>0.51500000000000001</v>
      </c>
      <c r="P129" s="9" t="e">
        <f t="shared" si="37"/>
        <v>#N/A</v>
      </c>
      <c r="Q129" s="5">
        <v>36695</v>
      </c>
      <c r="R129" s="4">
        <f t="shared" si="58"/>
        <v>1</v>
      </c>
      <c r="S129" s="158" t="e">
        <f>_xll.xSPRDOPT($K129,$L129,$J129,$M129,$N129,$O129,$P129,$Q129-$C$3,$R129,0)</f>
        <v>#N/A</v>
      </c>
      <c r="T129" s="159" t="e">
        <f>_xll.xSPRDOPT($K129,$L129,$J129,$M129,$N129,$O129,$P129,$Q129-$C$3,$R129,1)*I129</f>
        <v>#N/A</v>
      </c>
      <c r="U129" s="160">
        <v>-2200</v>
      </c>
      <c r="V129" s="159" t="e">
        <f>_xll.xSPRDOPT($K129,$L129,$J129,$M129,$N129,$O129,$P129,$Q129-$C$3,$R129,2)*I129</f>
        <v>#N/A</v>
      </c>
      <c r="W129" s="159" t="e">
        <f t="shared" si="59"/>
        <v>#N/A</v>
      </c>
      <c r="X129" s="51" t="str">
        <f t="shared" si="60"/>
        <v>36678IF-ELPO/SJ</v>
      </c>
      <c r="Y129" s="418">
        <f t="shared" si="61"/>
        <v>-1</v>
      </c>
      <c r="Z129" s="51"/>
      <c r="AA129" s="51"/>
      <c r="AB129" s="141">
        <f t="shared" si="53"/>
        <v>36678</v>
      </c>
      <c r="AC129" s="234" t="e">
        <f>_xll.xSPRDOPT(HLOOKUP($D$3,GDPRICES,VLOOKUP(Q129,GDmove_down,2,FALSE),FALSE),HLOOKUP($E$3,GDPRICES,VLOOKUP(Q129,GDmove_down,2,FALSE),FALSE),J129,VLOOKUP(H129,NGPREVPRICES,4,FALSE),HLOOKUP($H$3,GDPrevVols,VLOOKUP(Q129,GDmove_down2,2,FALSE),FALSE),HLOOKUP($H$3,GDPrevVols,VLOOKUP(Q129,GDmove_down2,2,FALSE),FALSE),HLOOKUP(E129,GDcorr,VLOOKUP(H129,CorMove,2,FALSE),FALSE),Q129-$AC$3,R129,$AC$5)*I129-AI129</f>
        <v>#N/A</v>
      </c>
      <c r="AD129" s="234" t="e">
        <f>_xll.xSPRDOPT(HLOOKUP($D$3,GDPrev,VLOOKUP(Q129,GDmove_down,2,FALSE),FALSE),HLOOKUP($E$3,GDPrev,VLOOKUP(Q129,GDmove_down,2,FALSE),FALSE),AJ129,VLOOKUP(H129,NGPrices,4,FALSE),HLOOKUP($H$3,GDPrevVols,VLOOKUP(Q129,GDmove_down2,2,FALSE),FALSE),HLOOKUP($H$3,GDPrevVols,VLOOKUP(Q129,GDmove_down2,2,FALSE),FALSE),HLOOKUP(E129,GDcorr,VLOOKUP(H129,CorMove,2,FALSE),FALSE),Q129-$AC$3,R129,$AI$5)*I129-AI129</f>
        <v>#N/A</v>
      </c>
      <c r="AE129" s="439" t="e">
        <f t="shared" si="54"/>
        <v>#N/A</v>
      </c>
      <c r="AF129" s="234" t="e">
        <f>_xll.xSPRDOPT(HLOOKUP($D$3,GDPrev,VLOOKUP(Q129,GDmove_down,2,FALSE),FALSE),HLOOKUP($E$3,GDPrev,VLOOKUP(Q129,GDmove_down,2,FALSE),FALSE),AJ129,VLOOKUP(H129,NGPREVPRICES,4,FALSE),HLOOKUP($H$3,GDVol,VLOOKUP(H129,move_down,2,FALSE),FALSE),HLOOKUP($H$3,GDVol,VLOOKUP(H129,move_down,2,FALSE),FALSE),HLOOKUP(E129,GDcorr,VLOOKUP(H129,CorMove,2,FALSE),FALSE),Q129-$AC$3,R129,$AI$5)*I129-AI129</f>
        <v>#N/A</v>
      </c>
      <c r="AG129" s="234" t="e">
        <f>_xll.xSPRDOPT(HLOOKUP($D$3,GDPrev,VLOOKUP(Q129,GDmove_down,2,FALSE),FALSE),HLOOKUP($E$3,GDPrev,VLOOKUP(Q129,GDmove_down,2,FALSE),FALSE),AJ129,VLOOKUP(H129,NGPREVPRICES,4,FALSE),HLOOKUP($H$3,GDPrevVols,VLOOKUP(Q129,GDmove_down2,2,FALSE),FALSE),HLOOKUP($H$3,GDPrevVols,VLOOKUP(Q129,GDmove_down2,2,FALSE),FALSE),HLOOKUP(E129,GDcorr,VLOOKUP(H129,CorMove,2,FALSE),FALSE),Q129-$C$3,R129,$AI$5)*I129-AI129</f>
        <v>#N/A</v>
      </c>
      <c r="AH129" s="234" t="e">
        <f t="shared" si="55"/>
        <v>#N/A</v>
      </c>
      <c r="AI129" s="234" t="e">
        <f>_xll.xSPRDOPT(HLOOKUP($D$3,GDPrev,VLOOKUP(Q129,GDmove_down,2,FALSE),FALSE),HLOOKUP($E$3,GDPrev,VLOOKUP(Q129,GDmove_down,2,FALSE),FALSE),AJ129,VLOOKUP(H129,NGPREVPRICES,4,FALSE),HLOOKUP($H$3,GDPrevVols,VLOOKUP(Q129,GDmove_down2,2,FALSE),FALSE),HLOOKUP($H$3,GDPrevVols,VLOOKUP(Q129,GDmove_down2,2,FALSE),FALSE),HLOOKUP(E129,GDcorr,VLOOKUP(H129,CorMove,2,FALSE),FALSE),Q129-$AC$3,R129,$AI$5)*I129</f>
        <v>#N/A</v>
      </c>
      <c r="AJ129" s="235" t="e">
        <f t="shared" si="56"/>
        <v>#N/A</v>
      </c>
      <c r="AK129" s="234"/>
      <c r="AL129" t="str">
        <f t="shared" si="57"/>
        <v>36678Curve Shift/Gamma</v>
      </c>
      <c r="AM129" t="str">
        <f t="shared" si="43"/>
        <v>36678Rho</v>
      </c>
      <c r="AN129" t="str">
        <f t="shared" si="44"/>
        <v>36678Drift</v>
      </c>
      <c r="AO129" t="str">
        <f t="shared" si="45"/>
        <v>36678Vega</v>
      </c>
      <c r="AP129" t="str">
        <f t="shared" si="46"/>
        <v>36678Theta</v>
      </c>
      <c r="AZ129" s="41">
        <f t="shared" si="52"/>
        <v>39873</v>
      </c>
      <c r="BA129" s="44"/>
      <c r="BG129" s="441">
        <v>40210</v>
      </c>
      <c r="BH129">
        <v>0.98499999999999999</v>
      </c>
      <c r="BJ129" s="441">
        <v>40210</v>
      </c>
      <c r="BK129">
        <v>126</v>
      </c>
    </row>
    <row r="130" spans="1:63" ht="12" customHeight="1" x14ac:dyDescent="0.25">
      <c r="A130" s="384" t="s">
        <v>279</v>
      </c>
      <c r="B130" s="155" t="s">
        <v>250</v>
      </c>
      <c r="C130" s="155" t="s">
        <v>388</v>
      </c>
      <c r="D130" s="155" t="s">
        <v>190</v>
      </c>
      <c r="E130" s="4" t="s">
        <v>237</v>
      </c>
      <c r="F130" s="155" t="s">
        <v>20</v>
      </c>
      <c r="G130" s="155" t="s">
        <v>21</v>
      </c>
      <c r="H130" s="354">
        <v>36678</v>
      </c>
      <c r="I130" s="156">
        <v>50000</v>
      </c>
      <c r="J130" s="7">
        <v>0.46</v>
      </c>
      <c r="K130" s="53">
        <f t="shared" si="35"/>
        <v>4.9249999999999998</v>
      </c>
      <c r="L130" s="53">
        <f t="shared" si="36"/>
        <v>3.4449999999999998</v>
      </c>
      <c r="M130" s="157">
        <v>1</v>
      </c>
      <c r="N130" s="4">
        <v>0.51500000000000001</v>
      </c>
      <c r="O130" s="4">
        <v>0.51500000000000001</v>
      </c>
      <c r="P130" s="9" t="e">
        <f t="shared" si="37"/>
        <v>#N/A</v>
      </c>
      <c r="Q130" s="5">
        <v>36695</v>
      </c>
      <c r="R130" s="4">
        <f t="shared" si="58"/>
        <v>1</v>
      </c>
      <c r="S130" s="158" t="e">
        <f>_xll.xSPRDOPT($K130,$L130,$J130,$M130,$N130,$O130,$P130,$Q130-$C$3,$R130,0)</f>
        <v>#N/A</v>
      </c>
      <c r="T130" s="159" t="e">
        <f>_xll.xSPRDOPT($K130,$L130,$J130,$M130,$N130,$O130,$P130,$Q130-$C$3,$R130,1)*I130</f>
        <v>#N/A</v>
      </c>
      <c r="U130" s="160">
        <v>11000</v>
      </c>
      <c r="V130" s="159" t="e">
        <f>_xll.xSPRDOPT($K130,$L130,$J130,$M130,$N130,$O130,$P130,$Q130-$C$3,$R130,2)*I130</f>
        <v>#N/A</v>
      </c>
      <c r="W130" s="159" t="e">
        <f t="shared" si="59"/>
        <v>#N/A</v>
      </c>
      <c r="X130" s="51" t="str">
        <f t="shared" si="60"/>
        <v>36678IF-ELPO/SJ</v>
      </c>
      <c r="Y130" s="418">
        <f t="shared" si="61"/>
        <v>5</v>
      </c>
      <c r="AA130" s="51"/>
      <c r="AB130" s="141">
        <f t="shared" si="53"/>
        <v>36678</v>
      </c>
      <c r="AC130" s="234" t="e">
        <f>_xll.xSPRDOPT(HLOOKUP($D$3,GDPRICES,VLOOKUP(Q130,GDmove_down,2,FALSE),FALSE),HLOOKUP($E$3,GDPRICES,VLOOKUP(Q130,GDmove_down,2,FALSE),FALSE),J130,VLOOKUP(H130,NGPREVPRICES,4,FALSE),HLOOKUP($H$3,GDPrevVols,VLOOKUP(Q130,GDmove_down2,2,FALSE),FALSE),HLOOKUP($H$3,GDPrevVols,VLOOKUP(Q130,GDmove_down2,2,FALSE),FALSE),HLOOKUP(E130,GDcorr,VLOOKUP(H130,CorMove,2,FALSE),FALSE),Q130-$AC$3,R130,$AC$5)*I130-AI130</f>
        <v>#N/A</v>
      </c>
      <c r="AD130" s="234" t="e">
        <f>_xll.xSPRDOPT(HLOOKUP($D$3,GDPrev,VLOOKUP(Q130,GDmove_down,2,FALSE),FALSE),HLOOKUP($E$3,GDPrev,VLOOKUP(Q130,GDmove_down,2,FALSE),FALSE),AJ130,VLOOKUP(H130,NGPrices,4,FALSE),HLOOKUP($H$3,GDPrevVols,VLOOKUP(Q130,GDmove_down2,2,FALSE),FALSE),HLOOKUP($H$3,GDPrevVols,VLOOKUP(Q130,GDmove_down2,2,FALSE),FALSE),HLOOKUP(E130,GDcorr,VLOOKUP(H130,CorMove,2,FALSE),FALSE),Q130-$AC$3,R130,$AI$5)*I130-AI130</f>
        <v>#N/A</v>
      </c>
      <c r="AE130" s="439" t="e">
        <f t="shared" si="54"/>
        <v>#N/A</v>
      </c>
      <c r="AF130" s="234" t="e">
        <f>_xll.xSPRDOPT(HLOOKUP($D$3,GDPrev,VLOOKUP(Q130,GDmove_down,2,FALSE),FALSE),HLOOKUP($E$3,GDPrev,VLOOKUP(Q130,GDmove_down,2,FALSE),FALSE),AJ130,VLOOKUP(H130,NGPREVPRICES,4,FALSE),HLOOKUP($H$3,GDVol,VLOOKUP(H130,move_down,2,FALSE),FALSE),HLOOKUP($H$3,GDVol,VLOOKUP(H130,move_down,2,FALSE),FALSE),HLOOKUP(E130,GDcorr,VLOOKUP(H130,CorMove,2,FALSE),FALSE),Q130-$AC$3,R130,$AI$5)*I130-AI130</f>
        <v>#N/A</v>
      </c>
      <c r="AG130" s="234" t="e">
        <f>_xll.xSPRDOPT(HLOOKUP($D$3,GDPrev,VLOOKUP(Q130,GDmove_down,2,FALSE),FALSE),HLOOKUP($E$3,GDPrev,VLOOKUP(Q130,GDmove_down,2,FALSE),FALSE),AJ130,VLOOKUP(H130,NGPREVPRICES,4,FALSE),HLOOKUP($H$3,GDPrevVols,VLOOKUP(Q130,GDmove_down2,2,FALSE),FALSE),HLOOKUP($H$3,GDPrevVols,VLOOKUP(Q130,GDmove_down2,2,FALSE),FALSE),HLOOKUP(E130,GDcorr,VLOOKUP(H130,CorMove,2,FALSE),FALSE),Q130-$C$3,R130,$AI$5)*I130-AI130</f>
        <v>#N/A</v>
      </c>
      <c r="AH130" s="234" t="e">
        <f t="shared" si="55"/>
        <v>#N/A</v>
      </c>
      <c r="AI130" s="234" t="e">
        <f>_xll.xSPRDOPT(HLOOKUP($D$3,GDPrev,VLOOKUP(Q130,GDmove_down,2,FALSE),FALSE),HLOOKUP($E$3,GDPrev,VLOOKUP(Q130,GDmove_down,2,FALSE),FALSE),AJ130,VLOOKUP(H130,NGPREVPRICES,4,FALSE),HLOOKUP($H$3,GDPrevVols,VLOOKUP(Q130,GDmove_down2,2,FALSE),FALSE),HLOOKUP($H$3,GDPrevVols,VLOOKUP(Q130,GDmove_down2,2,FALSE),FALSE),HLOOKUP(E130,GDcorr,VLOOKUP(H130,CorMove,2,FALSE),FALSE),Q130-$AC$3,R130,$AI$5)*I130</f>
        <v>#N/A</v>
      </c>
      <c r="AJ130" s="235" t="e">
        <f t="shared" si="56"/>
        <v>#N/A</v>
      </c>
      <c r="AK130" s="234"/>
      <c r="AL130" t="str">
        <f t="shared" si="57"/>
        <v>36678Curve Shift/Gamma</v>
      </c>
      <c r="AM130" t="str">
        <f t="shared" si="43"/>
        <v>36678Rho</v>
      </c>
      <c r="AN130" t="str">
        <f t="shared" si="44"/>
        <v>36678Drift</v>
      </c>
      <c r="AO130" t="str">
        <f t="shared" si="45"/>
        <v>36678Vega</v>
      </c>
      <c r="AP130" t="str">
        <f t="shared" si="46"/>
        <v>36678Theta</v>
      </c>
      <c r="AZ130" s="41">
        <f t="shared" si="52"/>
        <v>39904</v>
      </c>
      <c r="BA130" s="44"/>
      <c r="BG130" s="441">
        <v>40238</v>
      </c>
      <c r="BH130">
        <v>0.98499999999999999</v>
      </c>
      <c r="BJ130" s="441">
        <v>40238</v>
      </c>
      <c r="BK130">
        <v>127</v>
      </c>
    </row>
    <row r="131" spans="1:63" ht="12" customHeight="1" x14ac:dyDescent="0.25">
      <c r="A131" s="384" t="s">
        <v>279</v>
      </c>
      <c r="B131" s="155" t="s">
        <v>250</v>
      </c>
      <c r="C131" s="155" t="s">
        <v>389</v>
      </c>
      <c r="D131" s="155" t="s">
        <v>190</v>
      </c>
      <c r="E131" s="4" t="s">
        <v>237</v>
      </c>
      <c r="F131" s="155" t="s">
        <v>20</v>
      </c>
      <c r="G131" s="155" t="s">
        <v>21</v>
      </c>
      <c r="H131" s="354">
        <v>36678</v>
      </c>
      <c r="I131" s="156">
        <v>50000</v>
      </c>
      <c r="J131" s="7">
        <v>0.46</v>
      </c>
      <c r="K131" s="53">
        <f t="shared" si="35"/>
        <v>4.9249999999999998</v>
      </c>
      <c r="L131" s="53">
        <f t="shared" si="36"/>
        <v>3.4449999999999998</v>
      </c>
      <c r="M131" s="157">
        <v>1</v>
      </c>
      <c r="N131" s="4">
        <v>0.51500000000000001</v>
      </c>
      <c r="O131" s="4">
        <v>0.51500000000000001</v>
      </c>
      <c r="P131" s="9" t="e">
        <f t="shared" si="37"/>
        <v>#N/A</v>
      </c>
      <c r="Q131" s="5">
        <v>36695</v>
      </c>
      <c r="R131" s="4">
        <f t="shared" si="58"/>
        <v>1</v>
      </c>
      <c r="S131" s="158" t="e">
        <f>_xll.xSPRDOPT($K131,$L131,$J131,$M131,$N131,$O131,$P131,$Q131-$C$3,$R131,0)</f>
        <v>#N/A</v>
      </c>
      <c r="T131" s="159" t="e">
        <f>_xll.xSPRDOPT($K131,$L131,$J131,$M131,$N131,$O131,$P131,$Q131-$C$3,$R131,1)*I131</f>
        <v>#N/A</v>
      </c>
      <c r="U131" s="160">
        <v>11000</v>
      </c>
      <c r="V131" s="159" t="e">
        <f>_xll.xSPRDOPT($K131,$L131,$J131,$M131,$N131,$O131,$P131,$Q131-$C$3,$R131,2)*I131</f>
        <v>#N/A</v>
      </c>
      <c r="W131" s="159" t="e">
        <f t="shared" si="59"/>
        <v>#N/A</v>
      </c>
      <c r="X131" s="51" t="str">
        <f t="shared" si="60"/>
        <v>36678IF-ELPO/SJ</v>
      </c>
      <c r="Y131" s="418">
        <f t="shared" si="61"/>
        <v>5</v>
      </c>
      <c r="AA131" s="51"/>
      <c r="AB131" s="141">
        <f t="shared" si="53"/>
        <v>36678</v>
      </c>
      <c r="AC131" s="234" t="e">
        <f>_xll.xSPRDOPT(HLOOKUP($D$3,GDPRICES,VLOOKUP(Q131,GDmove_down,2,FALSE),FALSE),HLOOKUP($E$3,GDPRICES,VLOOKUP(Q131,GDmove_down,2,FALSE),FALSE),J131,VLOOKUP(H131,NGPREVPRICES,4,FALSE),HLOOKUP($H$3,GDPrevVols,VLOOKUP(Q131,GDmove_down2,2,FALSE),FALSE),HLOOKUP($H$3,GDPrevVols,VLOOKUP(Q131,GDmove_down2,2,FALSE),FALSE),HLOOKUP(E131,GDcorr,VLOOKUP(H131,CorMove,2,FALSE),FALSE),Q131-$AC$3,R131,$AC$5)*I131-AI131</f>
        <v>#N/A</v>
      </c>
      <c r="AD131" s="234" t="e">
        <f>_xll.xSPRDOPT(HLOOKUP($D$3,GDPrev,VLOOKUP(Q131,GDmove_down,2,FALSE),FALSE),HLOOKUP($E$3,GDPrev,VLOOKUP(Q131,GDmove_down,2,FALSE),FALSE),AJ131,VLOOKUP(H131,NGPrices,4,FALSE),HLOOKUP($H$3,GDPrevVols,VLOOKUP(Q131,GDmove_down2,2,FALSE),FALSE),HLOOKUP($H$3,GDPrevVols,VLOOKUP(Q131,GDmove_down2,2,FALSE),FALSE),HLOOKUP(E131,GDcorr,VLOOKUP(H131,CorMove,2,FALSE),FALSE),Q131-$AC$3,R131,$AI$5)*I131-AI131</f>
        <v>#N/A</v>
      </c>
      <c r="AE131" s="439" t="e">
        <f t="shared" si="54"/>
        <v>#N/A</v>
      </c>
      <c r="AF131" s="234" t="e">
        <f>_xll.xSPRDOPT(HLOOKUP($D$3,GDPrev,VLOOKUP(Q131,GDmove_down,2,FALSE),FALSE),HLOOKUP($E$3,GDPrev,VLOOKUP(Q131,GDmove_down,2,FALSE),FALSE),AJ131,VLOOKUP(H131,NGPREVPRICES,4,FALSE),HLOOKUP($H$3,GDVol,VLOOKUP(H131,move_down,2,FALSE),FALSE),HLOOKUP($H$3,GDVol,VLOOKUP(H131,move_down,2,FALSE),FALSE),HLOOKUP(E131,GDcorr,VLOOKUP(H131,CorMove,2,FALSE),FALSE),Q131-$AC$3,R131,$AI$5)*I131-AI131</f>
        <v>#N/A</v>
      </c>
      <c r="AG131" s="234" t="e">
        <f>_xll.xSPRDOPT(HLOOKUP($D$3,GDPrev,VLOOKUP(Q131,GDmove_down,2,FALSE),FALSE),HLOOKUP($E$3,GDPrev,VLOOKUP(Q131,GDmove_down,2,FALSE),FALSE),AJ131,VLOOKUP(H131,NGPREVPRICES,4,FALSE),HLOOKUP($H$3,GDPrevVols,VLOOKUP(Q131,GDmove_down2,2,FALSE),FALSE),HLOOKUP($H$3,GDPrevVols,VLOOKUP(Q131,GDmove_down2,2,FALSE),FALSE),HLOOKUP(E131,GDcorr,VLOOKUP(H131,CorMove,2,FALSE),FALSE),Q131-$C$3,R131,$AI$5)*I131-AI131</f>
        <v>#N/A</v>
      </c>
      <c r="AH131" s="234" t="e">
        <f t="shared" si="55"/>
        <v>#N/A</v>
      </c>
      <c r="AI131" s="234" t="e">
        <f>_xll.xSPRDOPT(HLOOKUP($D$3,GDPrev,VLOOKUP(Q131,GDmove_down,2,FALSE),FALSE),HLOOKUP($E$3,GDPrev,VLOOKUP(Q131,GDmove_down,2,FALSE),FALSE),AJ131,VLOOKUP(H131,NGPREVPRICES,4,FALSE),HLOOKUP($H$3,GDPrevVols,VLOOKUP(Q131,GDmove_down2,2,FALSE),FALSE),HLOOKUP($H$3,GDPrevVols,VLOOKUP(Q131,GDmove_down2,2,FALSE),FALSE),HLOOKUP(E131,GDcorr,VLOOKUP(H131,CorMove,2,FALSE),FALSE),Q131-$AC$3,R131,$AI$5)*I131</f>
        <v>#N/A</v>
      </c>
      <c r="AJ131" s="235" t="e">
        <f t="shared" si="56"/>
        <v>#N/A</v>
      </c>
      <c r="AK131" s="234"/>
      <c r="AL131" t="str">
        <f t="shared" si="57"/>
        <v>36678Curve Shift/Gamma</v>
      </c>
      <c r="AM131" t="str">
        <f t="shared" si="43"/>
        <v>36678Rho</v>
      </c>
      <c r="AN131" t="str">
        <f t="shared" si="44"/>
        <v>36678Drift</v>
      </c>
      <c r="AO131" t="str">
        <f t="shared" si="45"/>
        <v>36678Vega</v>
      </c>
      <c r="AP131" t="str">
        <f t="shared" si="46"/>
        <v>36678Theta</v>
      </c>
      <c r="AZ131" s="41">
        <f t="shared" si="52"/>
        <v>39934</v>
      </c>
      <c r="BA131" s="44"/>
      <c r="BG131" s="441">
        <v>40269</v>
      </c>
      <c r="BH131">
        <v>0.98499999999999999</v>
      </c>
      <c r="BJ131" s="441">
        <v>40269</v>
      </c>
      <c r="BK131">
        <v>128</v>
      </c>
    </row>
    <row r="132" spans="1:63" ht="12" customHeight="1" x14ac:dyDescent="0.25">
      <c r="A132" s="384" t="s">
        <v>279</v>
      </c>
      <c r="B132" s="155" t="s">
        <v>250</v>
      </c>
      <c r="C132" s="155" t="s">
        <v>398</v>
      </c>
      <c r="D132" s="155" t="s">
        <v>190</v>
      </c>
      <c r="E132" s="4" t="s">
        <v>237</v>
      </c>
      <c r="F132" s="155" t="s">
        <v>20</v>
      </c>
      <c r="G132" s="155" t="s">
        <v>21</v>
      </c>
      <c r="H132" s="354">
        <v>36678</v>
      </c>
      <c r="I132" s="156">
        <v>-10000</v>
      </c>
      <c r="J132" s="7">
        <v>0.46</v>
      </c>
      <c r="K132" s="53">
        <f t="shared" si="35"/>
        <v>4.9249999999999998</v>
      </c>
      <c r="L132" s="53">
        <f t="shared" si="36"/>
        <v>3.4449999999999998</v>
      </c>
      <c r="M132" s="157">
        <v>1</v>
      </c>
      <c r="N132" s="4">
        <v>0.51500000000000001</v>
      </c>
      <c r="O132" s="4">
        <v>0.51500000000000001</v>
      </c>
      <c r="P132" s="9" t="e">
        <f t="shared" si="37"/>
        <v>#N/A</v>
      </c>
      <c r="Q132" s="5">
        <v>36695</v>
      </c>
      <c r="R132" s="4">
        <f t="shared" si="58"/>
        <v>1</v>
      </c>
      <c r="S132" s="158" t="e">
        <f>_xll.xSPRDOPT($K132,$L132,$J132,$M132,$N132,$O132,$P132,$Q132-$C$3,$R132,0)</f>
        <v>#N/A</v>
      </c>
      <c r="T132" s="159" t="e">
        <f>_xll.xSPRDOPT($K132,$L132,$J132,$M132,$N132,$O132,$P132,$Q132-$C$3,$R132,1)*I132</f>
        <v>#N/A</v>
      </c>
      <c r="U132" s="160">
        <v>-2200</v>
      </c>
      <c r="V132" s="159" t="e">
        <f>_xll.xSPRDOPT($K132,$L132,$J132,$M132,$N132,$O132,$P132,$Q132-$C$3,$R132,2)*I132</f>
        <v>#N/A</v>
      </c>
      <c r="W132" s="159" t="e">
        <f t="shared" si="59"/>
        <v>#N/A</v>
      </c>
      <c r="X132" s="51" t="str">
        <f t="shared" si="60"/>
        <v>36678IF-ELPO/SJ</v>
      </c>
      <c r="Y132" s="418">
        <f t="shared" si="61"/>
        <v>-1</v>
      </c>
      <c r="AA132" s="51"/>
      <c r="AB132" s="141">
        <f t="shared" si="53"/>
        <v>36678</v>
      </c>
      <c r="AC132" s="234" t="e">
        <f>_xll.xSPRDOPT(HLOOKUP($D$3,GDPRICES,VLOOKUP(Q132,GDmove_down,2,FALSE),FALSE),HLOOKUP($E$3,GDPRICES,VLOOKUP(Q132,GDmove_down,2,FALSE),FALSE),J132,VLOOKUP(H132,NGPREVPRICES,4,FALSE),HLOOKUP($H$3,GDPrevVols,VLOOKUP(Q132,GDmove_down2,2,FALSE),FALSE),HLOOKUP($H$3,GDPrevVols,VLOOKUP(Q132,GDmove_down2,2,FALSE),FALSE),HLOOKUP(E132,GDcorr,VLOOKUP(H132,CorMove,2,FALSE),FALSE),Q132-$AC$3,R132,$AC$5)*I132-AI132</f>
        <v>#N/A</v>
      </c>
      <c r="AD132" s="234" t="e">
        <f>_xll.xSPRDOPT(HLOOKUP($D$3,GDPrev,VLOOKUP(Q132,GDmove_down,2,FALSE),FALSE),HLOOKUP($E$3,GDPrev,VLOOKUP(Q132,GDmove_down,2,FALSE),FALSE),AJ132,VLOOKUP(H132,NGPrices,4,FALSE),HLOOKUP($H$3,GDPrevVols,VLOOKUP(Q132,GDmove_down2,2,FALSE),FALSE),HLOOKUP($H$3,GDPrevVols,VLOOKUP(Q132,GDmove_down2,2,FALSE),FALSE),HLOOKUP(E132,GDcorr,VLOOKUP(H132,CorMove,2,FALSE),FALSE),Q132-$AC$3,R132,$AI$5)*I132-AI132</f>
        <v>#N/A</v>
      </c>
      <c r="AE132" s="439" t="e">
        <f t="shared" si="54"/>
        <v>#N/A</v>
      </c>
      <c r="AF132" s="234" t="e">
        <f>_xll.xSPRDOPT(HLOOKUP($D$3,GDPrev,VLOOKUP(Q132,GDmove_down,2,FALSE),FALSE),HLOOKUP($E$3,GDPrev,VLOOKUP(Q132,GDmove_down,2,FALSE),FALSE),AJ132,VLOOKUP(H132,NGPREVPRICES,4,FALSE),HLOOKUP($H$3,GDVol,VLOOKUP(H132,move_down,2,FALSE),FALSE),HLOOKUP($H$3,GDVol,VLOOKUP(H132,move_down,2,FALSE),FALSE),HLOOKUP(E132,GDcorr,VLOOKUP(H132,CorMove,2,FALSE),FALSE),Q132-$AC$3,R132,$AI$5)*I132-AI132</f>
        <v>#N/A</v>
      </c>
      <c r="AG132" s="234" t="e">
        <f>_xll.xSPRDOPT(HLOOKUP($D$3,GDPrev,VLOOKUP(Q132,GDmove_down,2,FALSE),FALSE),HLOOKUP($E$3,GDPrev,VLOOKUP(Q132,GDmove_down,2,FALSE),FALSE),AJ132,VLOOKUP(H132,NGPREVPRICES,4,FALSE),HLOOKUP($H$3,GDPrevVols,VLOOKUP(Q132,GDmove_down2,2,FALSE),FALSE),HLOOKUP($H$3,GDPrevVols,VLOOKUP(Q132,GDmove_down2,2,FALSE),FALSE),HLOOKUP(E132,GDcorr,VLOOKUP(H132,CorMove,2,FALSE),FALSE),Q132-$C$3,R132,$AI$5)*I132-AI132</f>
        <v>#N/A</v>
      </c>
      <c r="AH132" s="234" t="e">
        <f t="shared" si="55"/>
        <v>#N/A</v>
      </c>
      <c r="AI132" s="234" t="e">
        <f>_xll.xSPRDOPT(HLOOKUP($D$3,GDPrev,VLOOKUP(Q132,GDmove_down,2,FALSE),FALSE),HLOOKUP($E$3,GDPrev,VLOOKUP(Q132,GDmove_down,2,FALSE),FALSE),AJ132,VLOOKUP(H132,NGPREVPRICES,4,FALSE),HLOOKUP($H$3,GDPrevVols,VLOOKUP(Q132,GDmove_down2,2,FALSE),FALSE),HLOOKUP($H$3,GDPrevVols,VLOOKUP(Q132,GDmove_down2,2,FALSE),FALSE),HLOOKUP(E132,GDcorr,VLOOKUP(H132,CorMove,2,FALSE),FALSE),Q132-$AC$3,R132,$AI$5)*I132</f>
        <v>#N/A</v>
      </c>
      <c r="AJ132" s="235" t="e">
        <f t="shared" si="56"/>
        <v>#N/A</v>
      </c>
      <c r="AK132" s="234"/>
      <c r="AL132" t="str">
        <f t="shared" si="57"/>
        <v>36678Curve Shift/Gamma</v>
      </c>
      <c r="AM132" t="str">
        <f t="shared" si="43"/>
        <v>36678Rho</v>
      </c>
      <c r="AN132" t="str">
        <f t="shared" si="44"/>
        <v>36678Drift</v>
      </c>
      <c r="AO132" t="str">
        <f t="shared" si="45"/>
        <v>36678Vega</v>
      </c>
      <c r="AP132" t="str">
        <f t="shared" si="46"/>
        <v>36678Theta</v>
      </c>
      <c r="AZ132" s="41">
        <f t="shared" si="52"/>
        <v>39965</v>
      </c>
      <c r="BA132" s="44"/>
      <c r="BG132" s="441">
        <v>40299</v>
      </c>
      <c r="BH132">
        <v>0.98499999999999999</v>
      </c>
      <c r="BJ132" s="441">
        <v>40299</v>
      </c>
      <c r="BK132">
        <v>129</v>
      </c>
    </row>
    <row r="133" spans="1:63" ht="12" customHeight="1" x14ac:dyDescent="0.25">
      <c r="A133" s="382" t="s">
        <v>279</v>
      </c>
      <c r="B133" s="155" t="s">
        <v>250</v>
      </c>
      <c r="C133" s="155" t="s">
        <v>360</v>
      </c>
      <c r="D133" s="155" t="s">
        <v>190</v>
      </c>
      <c r="E133" s="4" t="s">
        <v>237</v>
      </c>
      <c r="F133" s="155" t="s">
        <v>20</v>
      </c>
      <c r="G133" s="155" t="s">
        <v>21</v>
      </c>
      <c r="H133" s="354">
        <v>36678</v>
      </c>
      <c r="I133" s="156">
        <v>-50000</v>
      </c>
      <c r="J133" s="7">
        <v>0.46</v>
      </c>
      <c r="K133" s="53">
        <f t="shared" si="35"/>
        <v>4.9249999999999998</v>
      </c>
      <c r="L133" s="53">
        <f t="shared" si="36"/>
        <v>3.3149999999999999</v>
      </c>
      <c r="M133" s="157">
        <v>1</v>
      </c>
      <c r="N133" s="4">
        <v>0.51500000000000001</v>
      </c>
      <c r="O133" s="4">
        <v>0.51500000000000001</v>
      </c>
      <c r="P133" s="9" t="e">
        <f t="shared" si="37"/>
        <v>#N/A</v>
      </c>
      <c r="Q133" s="5">
        <v>36696</v>
      </c>
      <c r="R133" s="4">
        <f t="shared" si="58"/>
        <v>1</v>
      </c>
      <c r="S133" s="158" t="e">
        <f>_xll.xSPRDOPT($K133,$L133,$J133,$M133,$N133,$O133,$P133,$Q133-$C$3,$R133,0)</f>
        <v>#N/A</v>
      </c>
      <c r="T133" s="159" t="e">
        <f>_xll.xSPRDOPT($K133,$L133,$J133,$M133,$N133,$O133,$P133,$Q133-$C$3,$R133,1)*I133</f>
        <v>#N/A</v>
      </c>
      <c r="U133" s="160">
        <v>-11000</v>
      </c>
      <c r="V133" s="159" t="e">
        <f>_xll.xSPRDOPT($K133,$L133,$J133,$M133,$N133,$O133,$P133,$Q133-$C$3,$R133,2)*I133</f>
        <v>#N/A</v>
      </c>
      <c r="W133" s="159" t="e">
        <f t="shared" si="59"/>
        <v>#N/A</v>
      </c>
      <c r="X133" s="51" t="str">
        <f t="shared" si="60"/>
        <v>36678IF-ELPO/SJ</v>
      </c>
      <c r="Y133" s="418">
        <f t="shared" si="61"/>
        <v>-5</v>
      </c>
      <c r="Z133" s="51"/>
      <c r="AA133" s="51"/>
      <c r="AB133" s="141">
        <f t="shared" si="53"/>
        <v>36678</v>
      </c>
      <c r="AC133" s="234" t="e">
        <f>_xll.xSPRDOPT(HLOOKUP($D$3,GDPRICES,VLOOKUP(Q133,GDmove_down,2,FALSE),FALSE),HLOOKUP($E$3,GDPRICES,VLOOKUP(Q133,GDmove_down,2,FALSE),FALSE),J133,VLOOKUP(H133,NGPREVPRICES,4,FALSE),HLOOKUP($H$3,GDPrevVols,VLOOKUP(Q133,GDmove_down2,2,FALSE),FALSE),HLOOKUP($H$3,GDPrevVols,VLOOKUP(Q133,GDmove_down2,2,FALSE),FALSE),HLOOKUP(E133,GDcorr,VLOOKUP(H133,CorMove,2,FALSE),FALSE),Q133-$AC$3,R133,$AC$5)*I133-AI133</f>
        <v>#N/A</v>
      </c>
      <c r="AD133" s="234" t="e">
        <f>_xll.xSPRDOPT(HLOOKUP($D$3,GDPrev,VLOOKUP(Q133,GDmove_down,2,FALSE),FALSE),HLOOKUP($E$3,GDPrev,VLOOKUP(Q133,GDmove_down,2,FALSE),FALSE),AJ133,VLOOKUP(H133,NGPrices,4,FALSE),HLOOKUP($H$3,GDPrevVols,VLOOKUP(Q133,GDmove_down2,2,FALSE),FALSE),HLOOKUP($H$3,GDPrevVols,VLOOKUP(Q133,GDmove_down2,2,FALSE),FALSE),HLOOKUP(E133,GDcorr,VLOOKUP(H133,CorMove,2,FALSE),FALSE),Q133-$AC$3,R133,$AI$5)*I133-AI133</f>
        <v>#N/A</v>
      </c>
      <c r="AE133" s="439" t="e">
        <f t="shared" si="54"/>
        <v>#N/A</v>
      </c>
      <c r="AF133" s="234" t="e">
        <f>_xll.xSPRDOPT(HLOOKUP($D$3,GDPrev,VLOOKUP(Q133,GDmove_down,2,FALSE),FALSE),HLOOKUP($E$3,GDPrev,VLOOKUP(Q133,GDmove_down,2,FALSE),FALSE),AJ133,VLOOKUP(H133,NGPREVPRICES,4,FALSE),HLOOKUP($H$3,GDVol,VLOOKUP(H133,move_down,2,FALSE),FALSE),HLOOKUP($H$3,GDVol,VLOOKUP(H133,move_down,2,FALSE),FALSE),HLOOKUP(E133,GDcorr,VLOOKUP(H133,CorMove,2,FALSE),FALSE),Q133-$AC$3,R133,$AI$5)*I133-AI133</f>
        <v>#N/A</v>
      </c>
      <c r="AG133" s="234" t="e">
        <f>_xll.xSPRDOPT(HLOOKUP($D$3,GDPrev,VLOOKUP(Q133,GDmove_down,2,FALSE),FALSE),HLOOKUP($E$3,GDPrev,VLOOKUP(Q133,GDmove_down,2,FALSE),FALSE),AJ133,VLOOKUP(H133,NGPREVPRICES,4,FALSE),HLOOKUP($H$3,GDPrevVols,VLOOKUP(Q133,GDmove_down2,2,FALSE),FALSE),HLOOKUP($H$3,GDPrevVols,VLOOKUP(Q133,GDmove_down2,2,FALSE),FALSE),HLOOKUP(E133,GDcorr,VLOOKUP(H133,CorMove,2,FALSE),FALSE),Q133-$C$3,R133,$AI$5)*I133-AI133</f>
        <v>#N/A</v>
      </c>
      <c r="AH133" s="234" t="e">
        <f t="shared" si="55"/>
        <v>#N/A</v>
      </c>
      <c r="AI133" s="234" t="e">
        <f>_xll.xSPRDOPT(HLOOKUP($D$3,GDPrev,VLOOKUP(Q133,GDmove_down,2,FALSE),FALSE),HLOOKUP($E$3,GDPrev,VLOOKUP(Q133,GDmove_down,2,FALSE),FALSE),AJ133,VLOOKUP(H133,NGPREVPRICES,4,FALSE),HLOOKUP($H$3,GDPrevVols,VLOOKUP(Q133,GDmove_down2,2,FALSE),FALSE),HLOOKUP($H$3,GDPrevVols,VLOOKUP(Q133,GDmove_down2,2,FALSE),FALSE),HLOOKUP(E133,GDcorr,VLOOKUP(H133,CorMove,2,FALSE),FALSE),Q133-$AC$3,R133,$AI$5)*I133</f>
        <v>#N/A</v>
      </c>
      <c r="AJ133" s="235" t="e">
        <f t="shared" si="56"/>
        <v>#N/A</v>
      </c>
      <c r="AK133" s="234"/>
      <c r="AL133" t="str">
        <f t="shared" si="57"/>
        <v>36678Curve Shift/Gamma</v>
      </c>
      <c r="AM133" t="str">
        <f t="shared" si="43"/>
        <v>36678Rho</v>
      </c>
      <c r="AN133" t="str">
        <f t="shared" si="44"/>
        <v>36678Drift</v>
      </c>
      <c r="AO133" t="str">
        <f t="shared" si="45"/>
        <v>36678Vega</v>
      </c>
      <c r="AP133" t="str">
        <f t="shared" si="46"/>
        <v>36678Theta</v>
      </c>
      <c r="AZ133" s="41">
        <f t="shared" si="52"/>
        <v>39995</v>
      </c>
      <c r="BA133" s="44"/>
      <c r="BG133" s="441">
        <v>40330</v>
      </c>
      <c r="BH133">
        <v>0.98499999999999999</v>
      </c>
      <c r="BJ133" s="441">
        <v>40330</v>
      </c>
      <c r="BK133">
        <v>130</v>
      </c>
    </row>
    <row r="134" spans="1:63" ht="12" customHeight="1" x14ac:dyDescent="0.25">
      <c r="A134" s="382" t="s">
        <v>279</v>
      </c>
      <c r="B134" s="155" t="s">
        <v>250</v>
      </c>
      <c r="C134" s="155" t="s">
        <v>361</v>
      </c>
      <c r="D134" s="155" t="s">
        <v>190</v>
      </c>
      <c r="E134" s="4" t="s">
        <v>237</v>
      </c>
      <c r="F134" s="155" t="s">
        <v>20</v>
      </c>
      <c r="G134" s="155" t="s">
        <v>21</v>
      </c>
      <c r="H134" s="354">
        <v>36678</v>
      </c>
      <c r="I134" s="156">
        <v>10000</v>
      </c>
      <c r="J134" s="7">
        <v>0.46</v>
      </c>
      <c r="K134" s="53">
        <f t="shared" si="35"/>
        <v>4.9249999999999998</v>
      </c>
      <c r="L134" s="53">
        <f t="shared" si="36"/>
        <v>3.3149999999999999</v>
      </c>
      <c r="M134" s="157">
        <v>1</v>
      </c>
      <c r="N134" s="4">
        <v>0.51500000000000001</v>
      </c>
      <c r="O134" s="4">
        <v>0.51500000000000001</v>
      </c>
      <c r="P134" s="9" t="e">
        <f t="shared" si="37"/>
        <v>#N/A</v>
      </c>
      <c r="Q134" s="5">
        <v>36696</v>
      </c>
      <c r="R134" s="4">
        <f t="shared" si="58"/>
        <v>1</v>
      </c>
      <c r="S134" s="158" t="e">
        <f>_xll.xSPRDOPT($K134,$L134,$J134,$M134,$N134,$O134,$P134,$Q134-$C$3,$R134,0)</f>
        <v>#N/A</v>
      </c>
      <c r="T134" s="159" t="e">
        <f>_xll.xSPRDOPT($K134,$L134,$J134,$M134,$N134,$O134,$P134,$Q134-$C$3,$R134,1)*I134</f>
        <v>#N/A</v>
      </c>
      <c r="U134" s="160">
        <v>2200</v>
      </c>
      <c r="V134" s="159" t="e">
        <f>_xll.xSPRDOPT($K134,$L134,$J134,$M134,$N134,$O134,$P134,$Q134-$C$3,$R134,2)*I134</f>
        <v>#N/A</v>
      </c>
      <c r="W134" s="159" t="e">
        <f t="shared" si="59"/>
        <v>#N/A</v>
      </c>
      <c r="X134" s="51" t="str">
        <f t="shared" si="60"/>
        <v>36678IF-ELPO/SJ</v>
      </c>
      <c r="Y134" s="418">
        <f t="shared" si="61"/>
        <v>1</v>
      </c>
      <c r="Z134" s="51"/>
      <c r="AA134" s="51"/>
      <c r="AB134" s="141">
        <f t="shared" si="53"/>
        <v>36678</v>
      </c>
      <c r="AC134" s="234" t="e">
        <f>_xll.xSPRDOPT(HLOOKUP($D$3,GDPRICES,VLOOKUP(Q134,GDmove_down,2,FALSE),FALSE),HLOOKUP($E$3,GDPRICES,VLOOKUP(Q134,GDmove_down,2,FALSE),FALSE),J134,VLOOKUP(H134,NGPREVPRICES,4,FALSE),HLOOKUP($H$3,GDPrevVols,VLOOKUP(Q134,GDmove_down2,2,FALSE),FALSE),HLOOKUP($H$3,GDPrevVols,VLOOKUP(Q134,GDmove_down2,2,FALSE),FALSE),HLOOKUP(E134,GDcorr,VLOOKUP(H134,CorMove,2,FALSE),FALSE),Q134-$AC$3,R134,$AC$5)*I134-AI134</f>
        <v>#N/A</v>
      </c>
      <c r="AD134" s="234" t="e">
        <f>_xll.xSPRDOPT(HLOOKUP($D$3,GDPrev,VLOOKUP(Q134,GDmove_down,2,FALSE),FALSE),HLOOKUP($E$3,GDPrev,VLOOKUP(Q134,GDmove_down,2,FALSE),FALSE),AJ134,VLOOKUP(H134,NGPrices,4,FALSE),HLOOKUP($H$3,GDPrevVols,VLOOKUP(Q134,GDmove_down2,2,FALSE),FALSE),HLOOKUP($H$3,GDPrevVols,VLOOKUP(Q134,GDmove_down2,2,FALSE),FALSE),HLOOKUP(E134,GDcorr,VLOOKUP(H134,CorMove,2,FALSE),FALSE),Q134-$AC$3,R134,$AI$5)*I134-AI134</f>
        <v>#N/A</v>
      </c>
      <c r="AE134" s="439" t="e">
        <f t="shared" si="54"/>
        <v>#N/A</v>
      </c>
      <c r="AF134" s="234" t="e">
        <f>_xll.xSPRDOPT(HLOOKUP($D$3,GDPrev,VLOOKUP(Q134,GDmove_down,2,FALSE),FALSE),HLOOKUP($E$3,GDPrev,VLOOKUP(Q134,GDmove_down,2,FALSE),FALSE),AJ134,VLOOKUP(H134,NGPREVPRICES,4,FALSE),HLOOKUP($H$3,GDVol,VLOOKUP(H134,move_down,2,FALSE),FALSE),HLOOKUP($H$3,GDVol,VLOOKUP(H134,move_down,2,FALSE),FALSE),HLOOKUP(E134,GDcorr,VLOOKUP(H134,CorMove,2,FALSE),FALSE),Q134-$AC$3,R134,$AI$5)*I134-AI134</f>
        <v>#N/A</v>
      </c>
      <c r="AG134" s="234" t="e">
        <f>_xll.xSPRDOPT(HLOOKUP($D$3,GDPrev,VLOOKUP(Q134,GDmove_down,2,FALSE),FALSE),HLOOKUP($E$3,GDPrev,VLOOKUP(Q134,GDmove_down,2,FALSE),FALSE),AJ134,VLOOKUP(H134,NGPREVPRICES,4,FALSE),HLOOKUP($H$3,GDPrevVols,VLOOKUP(Q134,GDmove_down2,2,FALSE),FALSE),HLOOKUP($H$3,GDPrevVols,VLOOKUP(Q134,GDmove_down2,2,FALSE),FALSE),HLOOKUP(E134,GDcorr,VLOOKUP(H134,CorMove,2,FALSE),FALSE),Q134-$C$3,R134,$AI$5)*I134-AI134</f>
        <v>#N/A</v>
      </c>
      <c r="AH134" s="234" t="e">
        <f t="shared" si="55"/>
        <v>#N/A</v>
      </c>
      <c r="AI134" s="234" t="e">
        <f>_xll.xSPRDOPT(HLOOKUP($D$3,GDPrev,VLOOKUP(Q134,GDmove_down,2,FALSE),FALSE),HLOOKUP($E$3,GDPrev,VLOOKUP(Q134,GDmove_down,2,FALSE),FALSE),AJ134,VLOOKUP(H134,NGPREVPRICES,4,FALSE),HLOOKUP($H$3,GDPrevVols,VLOOKUP(Q134,GDmove_down2,2,FALSE),FALSE),HLOOKUP($H$3,GDPrevVols,VLOOKUP(Q134,GDmove_down2,2,FALSE),FALSE),HLOOKUP(E134,GDcorr,VLOOKUP(H134,CorMove,2,FALSE),FALSE),Q134-$AC$3,R134,$AI$5)*I134</f>
        <v>#N/A</v>
      </c>
      <c r="AJ134" s="235" t="e">
        <f t="shared" si="56"/>
        <v>#N/A</v>
      </c>
      <c r="AK134" s="234"/>
      <c r="AL134" t="str">
        <f t="shared" si="57"/>
        <v>36678Curve Shift/Gamma</v>
      </c>
      <c r="AM134" t="str">
        <f t="shared" si="43"/>
        <v>36678Rho</v>
      </c>
      <c r="AN134" t="str">
        <f t="shared" si="44"/>
        <v>36678Drift</v>
      </c>
      <c r="AO134" t="str">
        <f t="shared" si="45"/>
        <v>36678Vega</v>
      </c>
      <c r="AP134" t="str">
        <f t="shared" si="46"/>
        <v>36678Theta</v>
      </c>
      <c r="AZ134" s="41">
        <f t="shared" si="52"/>
        <v>40026</v>
      </c>
      <c r="BA134" s="44"/>
      <c r="BG134" s="441">
        <v>40360</v>
      </c>
      <c r="BH134">
        <v>0.98499999999999999</v>
      </c>
      <c r="BJ134" s="441">
        <v>40360</v>
      </c>
      <c r="BK134">
        <v>131</v>
      </c>
    </row>
    <row r="135" spans="1:63" ht="12" customHeight="1" x14ac:dyDescent="0.25">
      <c r="A135" s="382" t="s">
        <v>279</v>
      </c>
      <c r="B135" s="155" t="s">
        <v>250</v>
      </c>
      <c r="C135" s="155" t="s">
        <v>364</v>
      </c>
      <c r="D135" s="155" t="s">
        <v>190</v>
      </c>
      <c r="E135" s="4" t="s">
        <v>237</v>
      </c>
      <c r="F135" s="155" t="s">
        <v>20</v>
      </c>
      <c r="G135" s="155" t="s">
        <v>21</v>
      </c>
      <c r="H135" s="354">
        <v>36678</v>
      </c>
      <c r="I135" s="156">
        <v>-333333</v>
      </c>
      <c r="J135" s="7">
        <v>0.46</v>
      </c>
      <c r="K135" s="53">
        <f t="shared" si="35"/>
        <v>4.9249999999999998</v>
      </c>
      <c r="L135" s="53">
        <f t="shared" si="36"/>
        <v>3.3149999999999999</v>
      </c>
      <c r="M135" s="157">
        <v>1</v>
      </c>
      <c r="N135" s="4">
        <v>0.51500000000000001</v>
      </c>
      <c r="O135" s="4">
        <v>0.51500000000000001</v>
      </c>
      <c r="P135" s="9" t="e">
        <f t="shared" si="37"/>
        <v>#N/A</v>
      </c>
      <c r="Q135" s="5">
        <v>36696</v>
      </c>
      <c r="R135" s="4">
        <f t="shared" si="58"/>
        <v>1</v>
      </c>
      <c r="S135" s="158" t="e">
        <f>_xll.xSPRDOPT($K135,$L135,$J135,$M135,$N135,$O135,$P135,$Q135-$C$3,$R135,0)</f>
        <v>#N/A</v>
      </c>
      <c r="T135" s="159" t="e">
        <f>_xll.xSPRDOPT($K135,$L135,$J135,$M135,$N135,$O135,$P135,$Q135-$C$3,$R135,1)*I135</f>
        <v>#N/A</v>
      </c>
      <c r="U135" s="160">
        <v>-73333.259999999893</v>
      </c>
      <c r="V135" s="159" t="e">
        <f>_xll.xSPRDOPT($K135,$L135,$J135,$M135,$N135,$O135,$P135,$Q135-$C$3,$R135,2)*I135</f>
        <v>#N/A</v>
      </c>
      <c r="W135" s="159" t="e">
        <f t="shared" si="59"/>
        <v>#N/A</v>
      </c>
      <c r="X135" s="51" t="str">
        <f t="shared" si="60"/>
        <v>36678IF-ELPO/SJ</v>
      </c>
      <c r="Y135" s="418">
        <f t="shared" si="61"/>
        <v>-33.333300000000001</v>
      </c>
      <c r="Z135" s="51"/>
      <c r="AA135" s="51"/>
      <c r="AB135" s="141">
        <f t="shared" si="53"/>
        <v>36678</v>
      </c>
      <c r="AC135" s="234" t="e">
        <f>_xll.xSPRDOPT(HLOOKUP($D$3,GDPRICES,VLOOKUP(Q135,GDmove_down,2,FALSE),FALSE),HLOOKUP($E$3,GDPRICES,VLOOKUP(Q135,GDmove_down,2,FALSE),FALSE),J135,VLOOKUP(H135,NGPREVPRICES,4,FALSE),HLOOKUP($H$3,GDPrevVols,VLOOKUP(Q135,GDmove_down2,2,FALSE),FALSE),HLOOKUP($H$3,GDPrevVols,VLOOKUP(Q135,GDmove_down2,2,FALSE),FALSE),HLOOKUP(E135,GDcorr,VLOOKUP(H135,CorMove,2,FALSE),FALSE),Q135-$AC$3,R135,$AC$5)*I135-AI135</f>
        <v>#N/A</v>
      </c>
      <c r="AD135" s="234" t="e">
        <f>_xll.xSPRDOPT(HLOOKUP($D$3,GDPrev,VLOOKUP(Q135,GDmove_down,2,FALSE),FALSE),HLOOKUP($E$3,GDPrev,VLOOKUP(Q135,GDmove_down,2,FALSE),FALSE),AJ135,VLOOKUP(H135,NGPrices,4,FALSE),HLOOKUP($H$3,GDPrevVols,VLOOKUP(Q135,GDmove_down2,2,FALSE),FALSE),HLOOKUP($H$3,GDPrevVols,VLOOKUP(Q135,GDmove_down2,2,FALSE),FALSE),HLOOKUP(E135,GDcorr,VLOOKUP(H135,CorMove,2,FALSE),FALSE),Q135-$AC$3,R135,$AI$5)*I135-AI135</f>
        <v>#N/A</v>
      </c>
      <c r="AE135" s="439" t="e">
        <f t="shared" si="54"/>
        <v>#N/A</v>
      </c>
      <c r="AF135" s="234" t="e">
        <f>_xll.xSPRDOPT(HLOOKUP($D$3,GDPrev,VLOOKUP(Q135,GDmove_down,2,FALSE),FALSE),HLOOKUP($E$3,GDPrev,VLOOKUP(Q135,GDmove_down,2,FALSE),FALSE),AJ135,VLOOKUP(H135,NGPREVPRICES,4,FALSE),HLOOKUP($H$3,GDVol,VLOOKUP(H135,move_down,2,FALSE),FALSE),HLOOKUP($H$3,GDVol,VLOOKUP(H135,move_down,2,FALSE),FALSE),HLOOKUP(E135,GDcorr,VLOOKUP(H135,CorMove,2,FALSE),FALSE),Q135-$AC$3,R135,$AI$5)*I135-AI135</f>
        <v>#N/A</v>
      </c>
      <c r="AG135" s="234" t="e">
        <f>_xll.xSPRDOPT(HLOOKUP($D$3,GDPrev,VLOOKUP(Q135,GDmove_down,2,FALSE),FALSE),HLOOKUP($E$3,GDPrev,VLOOKUP(Q135,GDmove_down,2,FALSE),FALSE),AJ135,VLOOKUP(H135,NGPREVPRICES,4,FALSE),HLOOKUP($H$3,GDPrevVols,VLOOKUP(Q135,GDmove_down2,2,FALSE),FALSE),HLOOKUP($H$3,GDPrevVols,VLOOKUP(Q135,GDmove_down2,2,FALSE),FALSE),HLOOKUP(E135,GDcorr,VLOOKUP(H135,CorMove,2,FALSE),FALSE),Q135-$C$3,R135,$AI$5)*I135-AI135</f>
        <v>#N/A</v>
      </c>
      <c r="AH135" s="234" t="e">
        <f t="shared" si="55"/>
        <v>#N/A</v>
      </c>
      <c r="AI135" s="234" t="e">
        <f>_xll.xSPRDOPT(HLOOKUP($D$3,GDPrev,VLOOKUP(Q135,GDmove_down,2,FALSE),FALSE),HLOOKUP($E$3,GDPrev,VLOOKUP(Q135,GDmove_down,2,FALSE),FALSE),AJ135,VLOOKUP(H135,NGPREVPRICES,4,FALSE),HLOOKUP($H$3,GDPrevVols,VLOOKUP(Q135,GDmove_down2,2,FALSE),FALSE),HLOOKUP($H$3,GDPrevVols,VLOOKUP(Q135,GDmove_down2,2,FALSE),FALSE),HLOOKUP(E135,GDcorr,VLOOKUP(H135,CorMove,2,FALSE),FALSE),Q135-$AC$3,R135,$AI$5)*I135</f>
        <v>#N/A</v>
      </c>
      <c r="AJ135" s="235" t="e">
        <f t="shared" si="56"/>
        <v>#N/A</v>
      </c>
      <c r="AK135" s="234"/>
      <c r="AL135" t="str">
        <f t="shared" si="57"/>
        <v>36678Curve Shift/Gamma</v>
      </c>
      <c r="AM135" t="str">
        <f t="shared" si="43"/>
        <v>36678Rho</v>
      </c>
      <c r="AN135" t="str">
        <f t="shared" si="44"/>
        <v>36678Drift</v>
      </c>
      <c r="AO135" t="str">
        <f t="shared" si="45"/>
        <v>36678Vega</v>
      </c>
      <c r="AP135" t="str">
        <f t="shared" si="46"/>
        <v>36678Theta</v>
      </c>
      <c r="AZ135" s="41">
        <f t="shared" si="52"/>
        <v>40057</v>
      </c>
      <c r="BA135" s="44"/>
      <c r="BG135" s="441">
        <v>40391</v>
      </c>
      <c r="BH135">
        <v>0.98499999999999999</v>
      </c>
      <c r="BJ135" s="441">
        <v>40391</v>
      </c>
      <c r="BK135">
        <v>132</v>
      </c>
    </row>
    <row r="136" spans="1:63" ht="12" customHeight="1" x14ac:dyDescent="0.25">
      <c r="A136" s="384" t="s">
        <v>268</v>
      </c>
      <c r="B136" s="155" t="s">
        <v>250</v>
      </c>
      <c r="C136" s="155" t="s">
        <v>387</v>
      </c>
      <c r="D136" s="155" t="s">
        <v>190</v>
      </c>
      <c r="E136" s="4" t="s">
        <v>237</v>
      </c>
      <c r="F136" s="155" t="s">
        <v>20</v>
      </c>
      <c r="G136" s="155" t="s">
        <v>21</v>
      </c>
      <c r="H136" s="354">
        <v>36678</v>
      </c>
      <c r="I136" s="156">
        <v>-10000</v>
      </c>
      <c r="J136" s="7">
        <v>0.46</v>
      </c>
      <c r="K136" s="53">
        <f t="shared" ref="K136:K186" si="62">HLOOKUP($D$3,GDPRICES,VLOOKUP(Q136,GDmove_down,2,FALSE),FALSE)</f>
        <v>4.9249999999999998</v>
      </c>
      <c r="L136" s="53">
        <f t="shared" ref="L136:L186" si="63">HLOOKUP($E$3,GDPRICES,VLOOKUP(Q136,GDmove_down,2,FALSE),FALSE)</f>
        <v>3.3149999999999999</v>
      </c>
      <c r="M136" s="157">
        <v>1</v>
      </c>
      <c r="N136" s="4">
        <v>0.51500000000000001</v>
      </c>
      <c r="O136" s="4">
        <v>0.51500000000000001</v>
      </c>
      <c r="P136" s="9" t="e">
        <f t="shared" ref="P136:P199" si="64">HLOOKUP(E136,GDcorr,VLOOKUP(H136,GDCorMove,2,FALSE),FALSE)</f>
        <v>#N/A</v>
      </c>
      <c r="Q136" s="5">
        <v>36696</v>
      </c>
      <c r="R136" s="4">
        <f t="shared" si="58"/>
        <v>1</v>
      </c>
      <c r="S136" s="158" t="e">
        <f>_xll.xSPRDOPT($K136,$L136,$J136,$M136,$N136,$O136,$P136,$Q136-$C$3,$R136,0)</f>
        <v>#N/A</v>
      </c>
      <c r="T136" s="159" t="e">
        <f>_xll.xSPRDOPT($K136,$L136,$J136,$M136,$N136,$O136,$P136,$Q136-$C$3,$R136,1)*I136</f>
        <v>#N/A</v>
      </c>
      <c r="U136" s="160">
        <v>-2200</v>
      </c>
      <c r="V136" s="159" t="e">
        <f>_xll.xSPRDOPT($K136,$L136,$J136,$M136,$N136,$O136,$P136,$Q136-$C$3,$R136,2)*I136</f>
        <v>#N/A</v>
      </c>
      <c r="W136" s="159" t="e">
        <f t="shared" si="59"/>
        <v>#N/A</v>
      </c>
      <c r="X136" s="51" t="str">
        <f t="shared" si="60"/>
        <v>36678IF-ELPO/SJ</v>
      </c>
      <c r="Y136" s="418">
        <f t="shared" si="61"/>
        <v>-1</v>
      </c>
      <c r="AA136" s="51"/>
      <c r="AB136" s="141">
        <f t="shared" si="53"/>
        <v>36678</v>
      </c>
      <c r="AC136" s="234" t="e">
        <f>_xll.xSPRDOPT(HLOOKUP($D$3,GDPRICES,VLOOKUP(Q136,GDmove_down,2,FALSE),FALSE),HLOOKUP($E$3,GDPRICES,VLOOKUP(Q136,GDmove_down,2,FALSE),FALSE),J136,VLOOKUP(H136,NGPREVPRICES,4,FALSE),HLOOKUP($H$3,GDPrevVols,VLOOKUP(Q136,GDmove_down2,2,FALSE),FALSE),HLOOKUP($H$3,GDPrevVols,VLOOKUP(Q136,GDmove_down2,2,FALSE),FALSE),HLOOKUP(E136,GDcorr,VLOOKUP(H136,CorMove,2,FALSE),FALSE),Q136-$AC$3,R136,$AC$5)*I136-AI136</f>
        <v>#N/A</v>
      </c>
      <c r="AD136" s="234" t="e">
        <f>_xll.xSPRDOPT(HLOOKUP($D$3,GDPrev,VLOOKUP(Q136,GDmove_down,2,FALSE),FALSE),HLOOKUP($E$3,GDPrev,VLOOKUP(Q136,GDmove_down,2,FALSE),FALSE),AJ136,VLOOKUP(H136,NGPrices,4,FALSE),HLOOKUP($H$3,GDPrevVols,VLOOKUP(Q136,GDmove_down2,2,FALSE),FALSE),HLOOKUP($H$3,GDPrevVols,VLOOKUP(Q136,GDmove_down2,2,FALSE),FALSE),HLOOKUP(E136,GDcorr,VLOOKUP(H136,CorMove,2,FALSE),FALSE),Q136-$AC$3,R136,$AI$5)*I136-AI136</f>
        <v>#N/A</v>
      </c>
      <c r="AE136" s="439" t="e">
        <f t="shared" si="54"/>
        <v>#N/A</v>
      </c>
      <c r="AF136" s="234" t="e">
        <f>_xll.xSPRDOPT(HLOOKUP($D$3,GDPrev,VLOOKUP(Q136,GDmove_down,2,FALSE),FALSE),HLOOKUP($E$3,GDPrev,VLOOKUP(Q136,GDmove_down,2,FALSE),FALSE),AJ136,VLOOKUP(H136,NGPREVPRICES,4,FALSE),HLOOKUP($H$3,GDVol,VLOOKUP(H136,move_down,2,FALSE),FALSE),HLOOKUP($H$3,GDVol,VLOOKUP(H136,move_down,2,FALSE),FALSE),HLOOKUP(E136,GDcorr,VLOOKUP(H136,CorMove,2,FALSE),FALSE),Q136-$AC$3,R136,$AI$5)*I136-AI136</f>
        <v>#N/A</v>
      </c>
      <c r="AG136" s="234" t="e">
        <f>_xll.xSPRDOPT(HLOOKUP($D$3,GDPrev,VLOOKUP(Q136,GDmove_down,2,FALSE),FALSE),HLOOKUP($E$3,GDPrev,VLOOKUP(Q136,GDmove_down,2,FALSE),FALSE),AJ136,VLOOKUP(H136,NGPREVPRICES,4,FALSE),HLOOKUP($H$3,GDPrevVols,VLOOKUP(Q136,GDmove_down2,2,FALSE),FALSE),HLOOKUP($H$3,GDPrevVols,VLOOKUP(Q136,GDmove_down2,2,FALSE),FALSE),HLOOKUP(E136,GDcorr,VLOOKUP(H136,CorMove,2,FALSE),FALSE),Q136-$C$3,R136,$AI$5)*I136-AI136</f>
        <v>#N/A</v>
      </c>
      <c r="AH136" s="234" t="e">
        <f t="shared" si="55"/>
        <v>#N/A</v>
      </c>
      <c r="AI136" s="234" t="e">
        <f>_xll.xSPRDOPT(HLOOKUP($D$3,GDPrev,VLOOKUP(Q136,GDmove_down,2,FALSE),FALSE),HLOOKUP($E$3,GDPrev,VLOOKUP(Q136,GDmove_down,2,FALSE),FALSE),AJ136,VLOOKUP(H136,NGPREVPRICES,4,FALSE),HLOOKUP($H$3,GDPrevVols,VLOOKUP(Q136,GDmove_down2,2,FALSE),FALSE),HLOOKUP($H$3,GDPrevVols,VLOOKUP(Q136,GDmove_down2,2,FALSE),FALSE),HLOOKUP(E136,GDcorr,VLOOKUP(H136,CorMove,2,FALSE),FALSE),Q136-$AC$3,R136,$AI$5)*I136</f>
        <v>#N/A</v>
      </c>
      <c r="AJ136" s="235" t="e">
        <f t="shared" si="56"/>
        <v>#N/A</v>
      </c>
      <c r="AK136" s="234"/>
      <c r="AL136" t="str">
        <f t="shared" si="57"/>
        <v>36678Curve Shift/Gamma</v>
      </c>
      <c r="AM136" t="str">
        <f t="shared" ref="AM136:AM186" si="65">CONCATENATE($AB136,$AD$6)</f>
        <v>36678Rho</v>
      </c>
      <c r="AN136" t="str">
        <f t="shared" ref="AN136:AN186" si="66">CONCATENATE($AB136,$AE$6)</f>
        <v>36678Drift</v>
      </c>
      <c r="AO136" t="str">
        <f t="shared" ref="AO136:AO186" si="67">CONCATENATE($AB136,$AF$6)</f>
        <v>36678Vega</v>
      </c>
      <c r="AP136" t="str">
        <f t="shared" ref="AP136:AP186" si="68">CONCATENATE($AB136,$AG$6)</f>
        <v>36678Theta</v>
      </c>
      <c r="AZ136" s="41">
        <f t="shared" si="52"/>
        <v>40087</v>
      </c>
      <c r="BA136" s="44"/>
      <c r="BG136" s="441">
        <v>40422</v>
      </c>
      <c r="BH136">
        <v>0.98499999999999999</v>
      </c>
      <c r="BJ136" s="441">
        <v>40422</v>
      </c>
      <c r="BK136">
        <v>133</v>
      </c>
    </row>
    <row r="137" spans="1:63" ht="12" customHeight="1" x14ac:dyDescent="0.25">
      <c r="A137" s="384" t="s">
        <v>279</v>
      </c>
      <c r="B137" s="155" t="s">
        <v>250</v>
      </c>
      <c r="C137" s="155" t="s">
        <v>388</v>
      </c>
      <c r="D137" s="155" t="s">
        <v>190</v>
      </c>
      <c r="E137" s="4" t="s">
        <v>237</v>
      </c>
      <c r="F137" s="155" t="s">
        <v>20</v>
      </c>
      <c r="G137" s="155" t="s">
        <v>21</v>
      </c>
      <c r="H137" s="354">
        <v>36678</v>
      </c>
      <c r="I137" s="156">
        <v>50000</v>
      </c>
      <c r="J137" s="7">
        <v>0.46</v>
      </c>
      <c r="K137" s="53">
        <f t="shared" si="62"/>
        <v>4.9249999999999998</v>
      </c>
      <c r="L137" s="53">
        <f t="shared" si="63"/>
        <v>3.3149999999999999</v>
      </c>
      <c r="M137" s="157">
        <v>1</v>
      </c>
      <c r="N137" s="4">
        <v>0.51500000000000001</v>
      </c>
      <c r="O137" s="4">
        <v>0.51500000000000001</v>
      </c>
      <c r="P137" s="9" t="e">
        <f t="shared" si="64"/>
        <v>#N/A</v>
      </c>
      <c r="Q137" s="5">
        <v>36696</v>
      </c>
      <c r="R137" s="4">
        <f t="shared" si="58"/>
        <v>1</v>
      </c>
      <c r="S137" s="158" t="e">
        <f>_xll.xSPRDOPT($K137,$L137,$J137,$M137,$N137,$O137,$P137,$Q137-$C$3,$R137,0)</f>
        <v>#N/A</v>
      </c>
      <c r="T137" s="159" t="e">
        <f>_xll.xSPRDOPT($K137,$L137,$J137,$M137,$N137,$O137,$P137,$Q137-$C$3,$R137,1)*I137</f>
        <v>#N/A</v>
      </c>
      <c r="U137" s="160">
        <v>11000</v>
      </c>
      <c r="V137" s="159" t="e">
        <f>_xll.xSPRDOPT($K137,$L137,$J137,$M137,$N137,$O137,$P137,$Q137-$C$3,$R137,2)*I137</f>
        <v>#N/A</v>
      </c>
      <c r="W137" s="159" t="e">
        <f t="shared" si="59"/>
        <v>#N/A</v>
      </c>
      <c r="X137" s="51" t="str">
        <f t="shared" si="60"/>
        <v>36678IF-ELPO/SJ</v>
      </c>
      <c r="Y137" s="418">
        <f t="shared" si="61"/>
        <v>5</v>
      </c>
      <c r="AA137" s="51"/>
      <c r="AB137" s="141">
        <f t="shared" si="53"/>
        <v>36678</v>
      </c>
      <c r="AC137" s="234" t="e">
        <f>_xll.xSPRDOPT(HLOOKUP($D$3,GDPRICES,VLOOKUP(Q137,GDmove_down,2,FALSE),FALSE),HLOOKUP($E$3,GDPRICES,VLOOKUP(Q137,GDmove_down,2,FALSE),FALSE),J137,VLOOKUP(H137,NGPREVPRICES,4,FALSE),HLOOKUP($H$3,GDPrevVols,VLOOKUP(Q137,GDmove_down2,2,FALSE),FALSE),HLOOKUP($H$3,GDPrevVols,VLOOKUP(Q137,GDmove_down2,2,FALSE),FALSE),HLOOKUP(E137,GDcorr,VLOOKUP(H137,CorMove,2,FALSE),FALSE),Q137-$AC$3,R137,$AC$5)*I137-AI137</f>
        <v>#N/A</v>
      </c>
      <c r="AD137" s="234" t="e">
        <f>_xll.xSPRDOPT(HLOOKUP($D$3,GDPrev,VLOOKUP(Q137,GDmove_down,2,FALSE),FALSE),HLOOKUP($E$3,GDPrev,VLOOKUP(Q137,GDmove_down,2,FALSE),FALSE),AJ137,VLOOKUP(H137,NGPrices,4,FALSE),HLOOKUP($H$3,GDPrevVols,VLOOKUP(Q137,GDmove_down2,2,FALSE),FALSE),HLOOKUP($H$3,GDPrevVols,VLOOKUP(Q137,GDmove_down2,2,FALSE),FALSE),HLOOKUP(E137,GDcorr,VLOOKUP(H137,CorMove,2,FALSE),FALSE),Q137-$AC$3,R137,$AI$5)*I137-AI137</f>
        <v>#N/A</v>
      </c>
      <c r="AE137" s="439" t="e">
        <f t="shared" si="54"/>
        <v>#N/A</v>
      </c>
      <c r="AF137" s="234" t="e">
        <f>_xll.xSPRDOPT(HLOOKUP($D$3,GDPrev,VLOOKUP(Q137,GDmove_down,2,FALSE),FALSE),HLOOKUP($E$3,GDPrev,VLOOKUP(Q137,GDmove_down,2,FALSE),FALSE),AJ137,VLOOKUP(H137,NGPREVPRICES,4,FALSE),HLOOKUP($H$3,GDVol,VLOOKUP(H137,move_down,2,FALSE),FALSE),HLOOKUP($H$3,GDVol,VLOOKUP(H137,move_down,2,FALSE),FALSE),HLOOKUP(E137,GDcorr,VLOOKUP(H137,CorMove,2,FALSE),FALSE),Q137-$AC$3,R137,$AI$5)*I137-AI137</f>
        <v>#N/A</v>
      </c>
      <c r="AG137" s="234" t="e">
        <f>_xll.xSPRDOPT(HLOOKUP($D$3,GDPrev,VLOOKUP(Q137,GDmove_down,2,FALSE),FALSE),HLOOKUP($E$3,GDPrev,VLOOKUP(Q137,GDmove_down,2,FALSE),FALSE),AJ137,VLOOKUP(H137,NGPREVPRICES,4,FALSE),HLOOKUP($H$3,GDPrevVols,VLOOKUP(Q137,GDmove_down2,2,FALSE),FALSE),HLOOKUP($H$3,GDPrevVols,VLOOKUP(Q137,GDmove_down2,2,FALSE),FALSE),HLOOKUP(E137,GDcorr,VLOOKUP(H137,CorMove,2,FALSE),FALSE),Q137-$C$3,R137,$AI$5)*I137-AI137</f>
        <v>#N/A</v>
      </c>
      <c r="AH137" s="234" t="e">
        <f t="shared" si="55"/>
        <v>#N/A</v>
      </c>
      <c r="AI137" s="234" t="e">
        <f>_xll.xSPRDOPT(HLOOKUP($D$3,GDPrev,VLOOKUP(Q137,GDmove_down,2,FALSE),FALSE),HLOOKUP($E$3,GDPrev,VLOOKUP(Q137,GDmove_down,2,FALSE),FALSE),AJ137,VLOOKUP(H137,NGPREVPRICES,4,FALSE),HLOOKUP($H$3,GDPrevVols,VLOOKUP(Q137,GDmove_down2,2,FALSE),FALSE),HLOOKUP($H$3,GDPrevVols,VLOOKUP(Q137,GDmove_down2,2,FALSE),FALSE),HLOOKUP(E137,GDcorr,VLOOKUP(H137,CorMove,2,FALSE),FALSE),Q137-$AC$3,R137,$AI$5)*I137</f>
        <v>#N/A</v>
      </c>
      <c r="AJ137" s="235" t="e">
        <f t="shared" si="56"/>
        <v>#N/A</v>
      </c>
      <c r="AK137" s="234"/>
      <c r="AL137" t="str">
        <f t="shared" si="57"/>
        <v>36678Curve Shift/Gamma</v>
      </c>
      <c r="AM137" t="str">
        <f t="shared" si="65"/>
        <v>36678Rho</v>
      </c>
      <c r="AN137" t="str">
        <f t="shared" si="66"/>
        <v>36678Drift</v>
      </c>
      <c r="AO137" t="str">
        <f t="shared" si="67"/>
        <v>36678Vega</v>
      </c>
      <c r="AP137" t="str">
        <f t="shared" si="68"/>
        <v>36678Theta</v>
      </c>
      <c r="AZ137" s="41">
        <f t="shared" ref="AZ137:AZ168" si="69">EOMONTH(AZ136,0)+1</f>
        <v>40118</v>
      </c>
      <c r="BA137" s="44"/>
      <c r="BG137" s="441">
        <v>40452</v>
      </c>
      <c r="BH137">
        <v>0.98499999999999999</v>
      </c>
      <c r="BJ137" s="441">
        <v>40452</v>
      </c>
      <c r="BK137">
        <v>134</v>
      </c>
    </row>
    <row r="138" spans="1:63" ht="12" customHeight="1" x14ac:dyDescent="0.25">
      <c r="A138" s="384" t="s">
        <v>279</v>
      </c>
      <c r="B138" s="155" t="s">
        <v>250</v>
      </c>
      <c r="C138" s="155" t="s">
        <v>389</v>
      </c>
      <c r="D138" s="155" t="s">
        <v>190</v>
      </c>
      <c r="E138" s="4" t="s">
        <v>237</v>
      </c>
      <c r="F138" s="155" t="s">
        <v>20</v>
      </c>
      <c r="G138" s="155" t="s">
        <v>21</v>
      </c>
      <c r="H138" s="354">
        <v>36678</v>
      </c>
      <c r="I138" s="156">
        <v>50000</v>
      </c>
      <c r="J138" s="7">
        <v>0.46</v>
      </c>
      <c r="K138" s="53">
        <f t="shared" si="62"/>
        <v>4.9249999999999998</v>
      </c>
      <c r="L138" s="53">
        <f t="shared" si="63"/>
        <v>3.3149999999999999</v>
      </c>
      <c r="M138" s="157">
        <v>1</v>
      </c>
      <c r="N138" s="4">
        <v>0.51500000000000001</v>
      </c>
      <c r="O138" s="4">
        <v>0.51500000000000001</v>
      </c>
      <c r="P138" s="9" t="e">
        <f t="shared" si="64"/>
        <v>#N/A</v>
      </c>
      <c r="Q138" s="5">
        <v>36696</v>
      </c>
      <c r="R138" s="4">
        <f t="shared" si="58"/>
        <v>1</v>
      </c>
      <c r="S138" s="158" t="e">
        <f>_xll.xSPRDOPT($K138,$L138,$J138,$M138,$N138,$O138,$P138,$Q138-$C$3,$R138,0)</f>
        <v>#N/A</v>
      </c>
      <c r="T138" s="159" t="e">
        <f>_xll.xSPRDOPT($K138,$L138,$J138,$M138,$N138,$O138,$P138,$Q138-$C$3,$R138,1)*I138</f>
        <v>#N/A</v>
      </c>
      <c r="U138" s="160">
        <v>11000</v>
      </c>
      <c r="V138" s="159" t="e">
        <f>_xll.xSPRDOPT($K138,$L138,$J138,$M138,$N138,$O138,$P138,$Q138-$C$3,$R138,2)*I138</f>
        <v>#N/A</v>
      </c>
      <c r="W138" s="159" t="e">
        <f t="shared" si="59"/>
        <v>#N/A</v>
      </c>
      <c r="X138" s="51" t="str">
        <f t="shared" si="60"/>
        <v>36678IF-ELPO/SJ</v>
      </c>
      <c r="Y138" s="418">
        <f t="shared" si="61"/>
        <v>5</v>
      </c>
      <c r="AA138" s="51"/>
      <c r="AB138" s="141">
        <f t="shared" si="53"/>
        <v>36678</v>
      </c>
      <c r="AC138" s="234" t="e">
        <f>_xll.xSPRDOPT(HLOOKUP($D$3,GDPRICES,VLOOKUP(Q138,GDmove_down,2,FALSE),FALSE),HLOOKUP($E$3,GDPRICES,VLOOKUP(Q138,GDmove_down,2,FALSE),FALSE),J138,VLOOKUP(H138,NGPREVPRICES,4,FALSE),HLOOKUP($H$3,GDPrevVols,VLOOKUP(Q138,GDmove_down2,2,FALSE),FALSE),HLOOKUP($H$3,GDPrevVols,VLOOKUP(Q138,GDmove_down2,2,FALSE),FALSE),HLOOKUP(E138,GDcorr,VLOOKUP(H138,CorMove,2,FALSE),FALSE),Q138-$AC$3,R138,$AC$5)*I138-AI138</f>
        <v>#N/A</v>
      </c>
      <c r="AD138" s="234" t="e">
        <f>_xll.xSPRDOPT(HLOOKUP($D$3,GDPrev,VLOOKUP(Q138,GDmove_down,2,FALSE),FALSE),HLOOKUP($E$3,GDPrev,VLOOKUP(Q138,GDmove_down,2,FALSE),FALSE),AJ138,VLOOKUP(H138,NGPrices,4,FALSE),HLOOKUP($H$3,GDPrevVols,VLOOKUP(Q138,GDmove_down2,2,FALSE),FALSE),HLOOKUP($H$3,GDPrevVols,VLOOKUP(Q138,GDmove_down2,2,FALSE),FALSE),HLOOKUP(E138,GDcorr,VLOOKUP(H138,CorMove,2,FALSE),FALSE),Q138-$AC$3,R138,$AI$5)*I138-AI138</f>
        <v>#N/A</v>
      </c>
      <c r="AE138" s="439" t="e">
        <f t="shared" si="54"/>
        <v>#N/A</v>
      </c>
      <c r="AF138" s="234" t="e">
        <f>_xll.xSPRDOPT(HLOOKUP($D$3,GDPrev,VLOOKUP(Q138,GDmove_down,2,FALSE),FALSE),HLOOKUP($E$3,GDPrev,VLOOKUP(Q138,GDmove_down,2,FALSE),FALSE),AJ138,VLOOKUP(H138,NGPREVPRICES,4,FALSE),HLOOKUP($H$3,GDVol,VLOOKUP(H138,move_down,2,FALSE),FALSE),HLOOKUP($H$3,GDVol,VLOOKUP(H138,move_down,2,FALSE),FALSE),HLOOKUP(E138,GDcorr,VLOOKUP(H138,CorMove,2,FALSE),FALSE),Q138-$AC$3,R138,$AI$5)*I138-AI138</f>
        <v>#N/A</v>
      </c>
      <c r="AG138" s="234" t="e">
        <f>_xll.xSPRDOPT(HLOOKUP($D$3,GDPrev,VLOOKUP(Q138,GDmove_down,2,FALSE),FALSE),HLOOKUP($E$3,GDPrev,VLOOKUP(Q138,GDmove_down,2,FALSE),FALSE),AJ138,VLOOKUP(H138,NGPREVPRICES,4,FALSE),HLOOKUP($H$3,GDPrevVols,VLOOKUP(Q138,GDmove_down2,2,FALSE),FALSE),HLOOKUP($H$3,GDPrevVols,VLOOKUP(Q138,GDmove_down2,2,FALSE),FALSE),HLOOKUP(E138,GDcorr,VLOOKUP(H138,CorMove,2,FALSE),FALSE),Q138-$C$3,R138,$AI$5)*I138-AI138</f>
        <v>#N/A</v>
      </c>
      <c r="AH138" s="234" t="e">
        <f t="shared" si="55"/>
        <v>#N/A</v>
      </c>
      <c r="AI138" s="234" t="e">
        <f>_xll.xSPRDOPT(HLOOKUP($D$3,GDPrev,VLOOKUP(Q138,GDmove_down,2,FALSE),FALSE),HLOOKUP($E$3,GDPrev,VLOOKUP(Q138,GDmove_down,2,FALSE),FALSE),AJ138,VLOOKUP(H138,NGPREVPRICES,4,FALSE),HLOOKUP($H$3,GDPrevVols,VLOOKUP(Q138,GDmove_down2,2,FALSE),FALSE),HLOOKUP($H$3,GDPrevVols,VLOOKUP(Q138,GDmove_down2,2,FALSE),FALSE),HLOOKUP(E138,GDcorr,VLOOKUP(H138,CorMove,2,FALSE),FALSE),Q138-$AC$3,R138,$AI$5)*I138</f>
        <v>#N/A</v>
      </c>
      <c r="AJ138" s="235" t="e">
        <f t="shared" si="56"/>
        <v>#N/A</v>
      </c>
      <c r="AK138" s="234"/>
      <c r="AL138" t="str">
        <f t="shared" si="57"/>
        <v>36678Curve Shift/Gamma</v>
      </c>
      <c r="AM138" t="str">
        <f t="shared" si="65"/>
        <v>36678Rho</v>
      </c>
      <c r="AN138" t="str">
        <f t="shared" si="66"/>
        <v>36678Drift</v>
      </c>
      <c r="AO138" t="str">
        <f t="shared" si="67"/>
        <v>36678Vega</v>
      </c>
      <c r="AP138" t="str">
        <f t="shared" si="68"/>
        <v>36678Theta</v>
      </c>
      <c r="AZ138" s="41">
        <f t="shared" si="69"/>
        <v>40148</v>
      </c>
      <c r="BA138" s="44"/>
      <c r="BG138" s="441">
        <v>40483</v>
      </c>
      <c r="BH138">
        <v>0.97048500000000038</v>
      </c>
      <c r="BJ138" s="441">
        <v>40483</v>
      </c>
      <c r="BK138">
        <v>135</v>
      </c>
    </row>
    <row r="139" spans="1:63" ht="12" customHeight="1" x14ac:dyDescent="0.25">
      <c r="A139" s="384" t="s">
        <v>279</v>
      </c>
      <c r="B139" s="155" t="s">
        <v>250</v>
      </c>
      <c r="C139" s="155" t="s">
        <v>398</v>
      </c>
      <c r="D139" s="155" t="s">
        <v>190</v>
      </c>
      <c r="E139" s="4" t="s">
        <v>237</v>
      </c>
      <c r="F139" s="155" t="s">
        <v>20</v>
      </c>
      <c r="G139" s="155" t="s">
        <v>21</v>
      </c>
      <c r="H139" s="354">
        <v>36678</v>
      </c>
      <c r="I139" s="156">
        <v>-10000</v>
      </c>
      <c r="J139" s="7">
        <v>0.46</v>
      </c>
      <c r="K139" s="53">
        <f t="shared" si="62"/>
        <v>4.9249999999999998</v>
      </c>
      <c r="L139" s="53">
        <f t="shared" si="63"/>
        <v>3.3149999999999999</v>
      </c>
      <c r="M139" s="157">
        <v>1</v>
      </c>
      <c r="N139" s="4">
        <v>0.51500000000000001</v>
      </c>
      <c r="O139" s="4">
        <v>0.51500000000000001</v>
      </c>
      <c r="P139" s="9" t="e">
        <f t="shared" si="64"/>
        <v>#N/A</v>
      </c>
      <c r="Q139" s="5">
        <v>36696</v>
      </c>
      <c r="R139" s="4">
        <f t="shared" si="58"/>
        <v>1</v>
      </c>
      <c r="S139" s="158" t="e">
        <f>_xll.xSPRDOPT($K139,$L139,$J139,$M139,$N139,$O139,$P139,$Q139-$C$3,$R139,0)</f>
        <v>#N/A</v>
      </c>
      <c r="T139" s="159" t="e">
        <f>_xll.xSPRDOPT($K139,$L139,$J139,$M139,$N139,$O139,$P139,$Q139-$C$3,$R139,1)*I139</f>
        <v>#N/A</v>
      </c>
      <c r="U139" s="160">
        <v>-2200</v>
      </c>
      <c r="V139" s="159" t="e">
        <f>_xll.xSPRDOPT($K139,$L139,$J139,$M139,$N139,$O139,$P139,$Q139-$C$3,$R139,2)*I139</f>
        <v>#N/A</v>
      </c>
      <c r="W139" s="159" t="e">
        <f t="shared" si="59"/>
        <v>#N/A</v>
      </c>
      <c r="X139" s="51" t="str">
        <f t="shared" si="60"/>
        <v>36678IF-ELPO/SJ</v>
      </c>
      <c r="Y139" s="418">
        <f t="shared" si="61"/>
        <v>-1</v>
      </c>
      <c r="AB139" s="141">
        <f t="shared" si="53"/>
        <v>36678</v>
      </c>
      <c r="AC139" s="234" t="e">
        <f>_xll.xSPRDOPT(HLOOKUP($D$3,GDPRICES,VLOOKUP(Q139,GDmove_down,2,FALSE),FALSE),HLOOKUP($E$3,GDPRICES,VLOOKUP(Q139,GDmove_down,2,FALSE),FALSE),J139,VLOOKUP(H139,NGPREVPRICES,4,FALSE),HLOOKUP($H$3,GDPrevVols,VLOOKUP(Q139,GDmove_down2,2,FALSE),FALSE),HLOOKUP($H$3,GDPrevVols,VLOOKUP(Q139,GDmove_down2,2,FALSE),FALSE),HLOOKUP(E139,GDcorr,VLOOKUP(H139,CorMove,2,FALSE),FALSE),Q139-$AC$3,R139,$AC$5)*I139-AI139</f>
        <v>#N/A</v>
      </c>
      <c r="AD139" s="234" t="e">
        <f>_xll.xSPRDOPT(HLOOKUP($D$3,GDPrev,VLOOKUP(Q139,GDmove_down,2,FALSE),FALSE),HLOOKUP($E$3,GDPrev,VLOOKUP(Q139,GDmove_down,2,FALSE),FALSE),AJ139,VLOOKUP(H139,NGPrices,4,FALSE),HLOOKUP($H$3,GDPrevVols,VLOOKUP(Q139,GDmove_down2,2,FALSE),FALSE),HLOOKUP($H$3,GDPrevVols,VLOOKUP(Q139,GDmove_down2,2,FALSE),FALSE),HLOOKUP(E139,GDcorr,VLOOKUP(H139,CorMove,2,FALSE),FALSE),Q139-$AC$3,R139,$AI$5)*I139-AI139</f>
        <v>#N/A</v>
      </c>
      <c r="AE139" s="439" t="e">
        <f t="shared" si="54"/>
        <v>#N/A</v>
      </c>
      <c r="AF139" s="234" t="e">
        <f>_xll.xSPRDOPT(HLOOKUP($D$3,GDPrev,VLOOKUP(Q139,GDmove_down,2,FALSE),FALSE),HLOOKUP($E$3,GDPrev,VLOOKUP(Q139,GDmove_down,2,FALSE),FALSE),AJ139,VLOOKUP(H139,NGPREVPRICES,4,FALSE),HLOOKUP($H$3,GDVol,VLOOKUP(H139,move_down,2,FALSE),FALSE),HLOOKUP($H$3,GDVol,VLOOKUP(H139,move_down,2,FALSE),FALSE),HLOOKUP(E139,GDcorr,VLOOKUP(H139,CorMove,2,FALSE),FALSE),Q139-$AC$3,R139,$AI$5)*I139-AI139</f>
        <v>#N/A</v>
      </c>
      <c r="AG139" s="234" t="e">
        <f>_xll.xSPRDOPT(HLOOKUP($D$3,GDPrev,VLOOKUP(Q139,GDmove_down,2,FALSE),FALSE),HLOOKUP($E$3,GDPrev,VLOOKUP(Q139,GDmove_down,2,FALSE),FALSE),AJ139,VLOOKUP(H139,NGPREVPRICES,4,FALSE),HLOOKUP($H$3,GDPrevVols,VLOOKUP(Q139,GDmove_down2,2,FALSE),FALSE),HLOOKUP($H$3,GDPrevVols,VLOOKUP(Q139,GDmove_down2,2,FALSE),FALSE),HLOOKUP(E139,GDcorr,VLOOKUP(H139,CorMove,2,FALSE),FALSE),Q139-$C$3,R139,$AI$5)*I139-AI139</f>
        <v>#N/A</v>
      </c>
      <c r="AH139" s="234" t="e">
        <f t="shared" si="55"/>
        <v>#N/A</v>
      </c>
      <c r="AI139" s="234" t="e">
        <f>_xll.xSPRDOPT(HLOOKUP($D$3,GDPrev,VLOOKUP(Q139,GDmove_down,2,FALSE),FALSE),HLOOKUP($E$3,GDPrev,VLOOKUP(Q139,GDmove_down,2,FALSE),FALSE),AJ139,VLOOKUP(H139,NGPREVPRICES,4,FALSE),HLOOKUP($H$3,GDPrevVols,VLOOKUP(Q139,GDmove_down2,2,FALSE),FALSE),HLOOKUP($H$3,GDPrevVols,VLOOKUP(Q139,GDmove_down2,2,FALSE),FALSE),HLOOKUP(E139,GDcorr,VLOOKUP(H139,CorMove,2,FALSE),FALSE),Q139-$AC$3,R139,$AI$5)*I139</f>
        <v>#N/A</v>
      </c>
      <c r="AJ139" s="235" t="e">
        <f t="shared" si="56"/>
        <v>#N/A</v>
      </c>
      <c r="AK139" s="234"/>
      <c r="AL139" t="str">
        <f t="shared" si="57"/>
        <v>36678Curve Shift/Gamma</v>
      </c>
      <c r="AM139" t="str">
        <f t="shared" si="65"/>
        <v>36678Rho</v>
      </c>
      <c r="AN139" t="str">
        <f t="shared" si="66"/>
        <v>36678Drift</v>
      </c>
      <c r="AO139" t="str">
        <f t="shared" si="67"/>
        <v>36678Vega</v>
      </c>
      <c r="AP139" t="str">
        <f t="shared" si="68"/>
        <v>36678Theta</v>
      </c>
      <c r="AZ139" s="41">
        <f t="shared" si="69"/>
        <v>40179</v>
      </c>
      <c r="BA139" s="44"/>
      <c r="BG139" s="441">
        <v>40513</v>
      </c>
      <c r="BH139">
        <v>0.97048500000000038</v>
      </c>
      <c r="BJ139" s="441">
        <v>40513</v>
      </c>
      <c r="BK139">
        <v>136</v>
      </c>
    </row>
    <row r="140" spans="1:63" ht="12" customHeight="1" x14ac:dyDescent="0.25">
      <c r="A140" s="382" t="s">
        <v>279</v>
      </c>
      <c r="B140" s="155" t="s">
        <v>250</v>
      </c>
      <c r="C140" s="155" t="s">
        <v>360</v>
      </c>
      <c r="D140" s="155" t="s">
        <v>190</v>
      </c>
      <c r="E140" s="4" t="s">
        <v>237</v>
      </c>
      <c r="F140" s="155" t="s">
        <v>20</v>
      </c>
      <c r="G140" s="155" t="s">
        <v>21</v>
      </c>
      <c r="H140" s="354">
        <v>36678</v>
      </c>
      <c r="I140" s="156">
        <v>-50000</v>
      </c>
      <c r="J140" s="7">
        <v>0.46</v>
      </c>
      <c r="K140" s="53">
        <f t="shared" si="62"/>
        <v>4.9249999999999998</v>
      </c>
      <c r="L140" s="53">
        <f t="shared" si="63"/>
        <v>3.3149999999999999</v>
      </c>
      <c r="M140" s="157">
        <v>1</v>
      </c>
      <c r="N140" s="4">
        <v>0.51500000000000001</v>
      </c>
      <c r="O140" s="4">
        <v>0.51500000000000001</v>
      </c>
      <c r="P140" s="9" t="e">
        <f t="shared" si="64"/>
        <v>#N/A</v>
      </c>
      <c r="Q140" s="5">
        <v>36697</v>
      </c>
      <c r="R140" s="4">
        <f t="shared" si="58"/>
        <v>1</v>
      </c>
      <c r="S140" s="158" t="e">
        <f>_xll.xSPRDOPT($K140,$L140,$J140,$M140,$N140,$O140,$P140,$Q140-$C$3,$R140,0)</f>
        <v>#N/A</v>
      </c>
      <c r="T140" s="159" t="e">
        <f>_xll.xSPRDOPT($K140,$L140,$J140,$M140,$N140,$O140,$P140,$Q140-$C$3,$R140,1)*I140</f>
        <v>#N/A</v>
      </c>
      <c r="U140" s="160">
        <v>-11750</v>
      </c>
      <c r="V140" s="159" t="e">
        <f>_xll.xSPRDOPT($K140,$L140,$J140,$M140,$N140,$O140,$P140,$Q140-$C$3,$R140,2)*I140</f>
        <v>#N/A</v>
      </c>
      <c r="W140" s="159" t="e">
        <f t="shared" si="59"/>
        <v>#N/A</v>
      </c>
      <c r="X140" s="51" t="str">
        <f t="shared" si="60"/>
        <v>36678IF-ELPO/SJ</v>
      </c>
      <c r="Y140" s="418">
        <f t="shared" si="61"/>
        <v>-5</v>
      </c>
      <c r="AB140" s="141">
        <f t="shared" si="53"/>
        <v>36678</v>
      </c>
      <c r="AC140" s="234" t="e">
        <f>_xll.xSPRDOPT(HLOOKUP($D$3,GDPRICES,VLOOKUP(Q140,GDmove_down,2,FALSE),FALSE),HLOOKUP($E$3,GDPRICES,VLOOKUP(Q140,GDmove_down,2,FALSE),FALSE),J140,VLOOKUP(H140,NGPREVPRICES,4,FALSE),HLOOKUP($H$3,GDPrevVols,VLOOKUP(Q140,GDmove_down2,2,FALSE),FALSE),HLOOKUP($H$3,GDPrevVols,VLOOKUP(Q140,GDmove_down2,2,FALSE),FALSE),HLOOKUP(E140,GDcorr,VLOOKUP(H140,CorMove,2,FALSE),FALSE),Q140-$AC$3,R140,$AC$5)*I140-AI140</f>
        <v>#N/A</v>
      </c>
      <c r="AD140" s="234" t="e">
        <f>_xll.xSPRDOPT(HLOOKUP($D$3,GDPrev,VLOOKUP(Q140,GDmove_down,2,FALSE),FALSE),HLOOKUP($E$3,GDPrev,VLOOKUP(Q140,GDmove_down,2,FALSE),FALSE),AJ140,VLOOKUP(H140,NGPrices,4,FALSE),HLOOKUP($H$3,GDPrevVols,VLOOKUP(Q140,GDmove_down2,2,FALSE),FALSE),HLOOKUP($H$3,GDPrevVols,VLOOKUP(Q140,GDmove_down2,2,FALSE),FALSE),HLOOKUP(E140,GDcorr,VLOOKUP(H140,CorMove,2,FALSE),FALSE),Q140-$AC$3,R140,$AI$5)*I140-AI140</f>
        <v>#N/A</v>
      </c>
      <c r="AE140" s="439" t="e">
        <f t="shared" si="54"/>
        <v>#N/A</v>
      </c>
      <c r="AF140" s="234" t="e">
        <f>_xll.xSPRDOPT(HLOOKUP($D$3,GDPrev,VLOOKUP(Q140,GDmove_down,2,FALSE),FALSE),HLOOKUP($E$3,GDPrev,VLOOKUP(Q140,GDmove_down,2,FALSE),FALSE),AJ140,VLOOKUP(H140,NGPREVPRICES,4,FALSE),HLOOKUP($H$3,GDVol,VLOOKUP(H140,move_down,2,FALSE),FALSE),HLOOKUP($H$3,GDVol,VLOOKUP(H140,move_down,2,FALSE),FALSE),HLOOKUP(E140,GDcorr,VLOOKUP(H140,CorMove,2,FALSE),FALSE),Q140-$AC$3,R140,$AI$5)*I140-AI140</f>
        <v>#N/A</v>
      </c>
      <c r="AG140" s="234" t="e">
        <f>_xll.xSPRDOPT(HLOOKUP($D$3,GDPrev,VLOOKUP(Q140,GDmove_down,2,FALSE),FALSE),HLOOKUP($E$3,GDPrev,VLOOKUP(Q140,GDmove_down,2,FALSE),FALSE),AJ140,VLOOKUP(H140,NGPREVPRICES,4,FALSE),HLOOKUP($H$3,GDPrevVols,VLOOKUP(Q140,GDmove_down2,2,FALSE),FALSE),HLOOKUP($H$3,GDPrevVols,VLOOKUP(Q140,GDmove_down2,2,FALSE),FALSE),HLOOKUP(E140,GDcorr,VLOOKUP(H140,CorMove,2,FALSE),FALSE),Q140-$C$3,R140,$AI$5)*I140-AI140</f>
        <v>#N/A</v>
      </c>
      <c r="AH140" s="234" t="e">
        <f t="shared" si="55"/>
        <v>#N/A</v>
      </c>
      <c r="AI140" s="234" t="e">
        <f>_xll.xSPRDOPT(HLOOKUP($D$3,GDPrev,VLOOKUP(Q140,GDmove_down,2,FALSE),FALSE),HLOOKUP($E$3,GDPrev,VLOOKUP(Q140,GDmove_down,2,FALSE),FALSE),AJ140,VLOOKUP(H140,NGPREVPRICES,4,FALSE),HLOOKUP($H$3,GDPrevVols,VLOOKUP(Q140,GDmove_down2,2,FALSE),FALSE),HLOOKUP($H$3,GDPrevVols,VLOOKUP(Q140,GDmove_down2,2,FALSE),FALSE),HLOOKUP(E140,GDcorr,VLOOKUP(H140,CorMove,2,FALSE),FALSE),Q140-$AC$3,R140,$AI$5)*I140</f>
        <v>#N/A</v>
      </c>
      <c r="AJ140" s="235" t="e">
        <f t="shared" si="56"/>
        <v>#N/A</v>
      </c>
      <c r="AK140" s="234"/>
      <c r="AL140" t="str">
        <f t="shared" si="57"/>
        <v>36678Curve Shift/Gamma</v>
      </c>
      <c r="AM140" t="str">
        <f t="shared" si="65"/>
        <v>36678Rho</v>
      </c>
      <c r="AN140" t="str">
        <f t="shared" si="66"/>
        <v>36678Drift</v>
      </c>
      <c r="AO140" t="str">
        <f t="shared" si="67"/>
        <v>36678Vega</v>
      </c>
      <c r="AP140" t="str">
        <f t="shared" si="68"/>
        <v>36678Theta</v>
      </c>
      <c r="AZ140" s="41">
        <f t="shared" si="69"/>
        <v>40210</v>
      </c>
      <c r="BA140" s="44"/>
      <c r="BG140" s="441">
        <v>40544</v>
      </c>
      <c r="BH140">
        <v>0.98499999999999999</v>
      </c>
      <c r="BJ140" s="441">
        <v>40544</v>
      </c>
      <c r="BK140">
        <v>137</v>
      </c>
    </row>
    <row r="141" spans="1:63" ht="12" customHeight="1" x14ac:dyDescent="0.25">
      <c r="A141" s="382" t="s">
        <v>279</v>
      </c>
      <c r="B141" s="155" t="s">
        <v>250</v>
      </c>
      <c r="C141" s="155" t="s">
        <v>361</v>
      </c>
      <c r="D141" s="155" t="s">
        <v>190</v>
      </c>
      <c r="E141" s="4" t="s">
        <v>237</v>
      </c>
      <c r="F141" s="155" t="s">
        <v>20</v>
      </c>
      <c r="G141" s="155" t="s">
        <v>21</v>
      </c>
      <c r="H141" s="354">
        <v>36678</v>
      </c>
      <c r="I141" s="156">
        <v>10000</v>
      </c>
      <c r="J141" s="7">
        <v>0.46</v>
      </c>
      <c r="K141" s="53">
        <f t="shared" si="62"/>
        <v>4.9249999999999998</v>
      </c>
      <c r="L141" s="53">
        <f t="shared" si="63"/>
        <v>3.3149999999999999</v>
      </c>
      <c r="M141" s="157">
        <v>1</v>
      </c>
      <c r="N141" s="4">
        <v>0.51500000000000001</v>
      </c>
      <c r="O141" s="4">
        <v>0.51500000000000001</v>
      </c>
      <c r="P141" s="9" t="e">
        <f t="shared" si="64"/>
        <v>#N/A</v>
      </c>
      <c r="Q141" s="5">
        <v>36697</v>
      </c>
      <c r="R141" s="4">
        <f t="shared" si="58"/>
        <v>1</v>
      </c>
      <c r="S141" s="158" t="e">
        <f>_xll.xSPRDOPT($K141,$L141,$J141,$M141,$N141,$O141,$P141,$Q141-$C$3,$R141,0)</f>
        <v>#N/A</v>
      </c>
      <c r="T141" s="159" t="e">
        <f>_xll.xSPRDOPT($K141,$L141,$J141,$M141,$N141,$O141,$P141,$Q141-$C$3,$R141,1)*I141</f>
        <v>#N/A</v>
      </c>
      <c r="U141" s="160">
        <v>2349.9999999999936</v>
      </c>
      <c r="V141" s="159" t="e">
        <f>_xll.xSPRDOPT($K141,$L141,$J141,$M141,$N141,$O141,$P141,$Q141-$C$3,$R141,2)*I141</f>
        <v>#N/A</v>
      </c>
      <c r="W141" s="159" t="e">
        <f t="shared" si="59"/>
        <v>#N/A</v>
      </c>
      <c r="X141" s="51" t="str">
        <f t="shared" si="60"/>
        <v>36678IF-ELPO/SJ</v>
      </c>
      <c r="Y141" s="418">
        <f t="shared" si="61"/>
        <v>1</v>
      </c>
      <c r="AB141" s="141">
        <f t="shared" si="53"/>
        <v>36678</v>
      </c>
      <c r="AC141" s="234" t="e">
        <f>_xll.xSPRDOPT(HLOOKUP($D$3,GDPRICES,VLOOKUP(Q141,GDmove_down,2,FALSE),FALSE),HLOOKUP($E$3,GDPRICES,VLOOKUP(Q141,GDmove_down,2,FALSE),FALSE),J141,VLOOKUP(H141,NGPREVPRICES,4,FALSE),HLOOKUP($H$3,GDPrevVols,VLOOKUP(Q141,GDmove_down2,2,FALSE),FALSE),HLOOKUP($H$3,GDPrevVols,VLOOKUP(Q141,GDmove_down2,2,FALSE),FALSE),HLOOKUP(E141,GDcorr,VLOOKUP(H141,CorMove,2,FALSE),FALSE),Q141-$AC$3,R141,$AC$5)*I141-AI141</f>
        <v>#N/A</v>
      </c>
      <c r="AD141" s="234" t="e">
        <f>_xll.xSPRDOPT(HLOOKUP($D$3,GDPrev,VLOOKUP(Q141,GDmove_down,2,FALSE),FALSE),HLOOKUP($E$3,GDPrev,VLOOKUP(Q141,GDmove_down,2,FALSE),FALSE),AJ141,VLOOKUP(H141,NGPrices,4,FALSE),HLOOKUP($H$3,GDPrevVols,VLOOKUP(Q141,GDmove_down2,2,FALSE),FALSE),HLOOKUP($H$3,GDPrevVols,VLOOKUP(Q141,GDmove_down2,2,FALSE),FALSE),HLOOKUP(E141,GDcorr,VLOOKUP(H141,CorMove,2,FALSE),FALSE),Q141-$AC$3,R141,$AI$5)*I141-AI141</f>
        <v>#N/A</v>
      </c>
      <c r="AE141" s="439" t="e">
        <f t="shared" si="54"/>
        <v>#N/A</v>
      </c>
      <c r="AF141" s="234" t="e">
        <f>_xll.xSPRDOPT(HLOOKUP($D$3,GDPrev,VLOOKUP(Q141,GDmove_down,2,FALSE),FALSE),HLOOKUP($E$3,GDPrev,VLOOKUP(Q141,GDmove_down,2,FALSE),FALSE),AJ141,VLOOKUP(H141,NGPREVPRICES,4,FALSE),HLOOKUP($H$3,GDVol,VLOOKUP(H141,move_down,2,FALSE),FALSE),HLOOKUP($H$3,GDVol,VLOOKUP(H141,move_down,2,FALSE),FALSE),HLOOKUP(E141,GDcorr,VLOOKUP(H141,CorMove,2,FALSE),FALSE),Q141-$AC$3,R141,$AI$5)*I141-AI141</f>
        <v>#N/A</v>
      </c>
      <c r="AG141" s="234" t="e">
        <f>_xll.xSPRDOPT(HLOOKUP($D$3,GDPrev,VLOOKUP(Q141,GDmove_down,2,FALSE),FALSE),HLOOKUP($E$3,GDPrev,VLOOKUP(Q141,GDmove_down,2,FALSE),FALSE),AJ141,VLOOKUP(H141,NGPREVPRICES,4,FALSE),HLOOKUP($H$3,GDPrevVols,VLOOKUP(Q141,GDmove_down2,2,FALSE),FALSE),HLOOKUP($H$3,GDPrevVols,VLOOKUP(Q141,GDmove_down2,2,FALSE),FALSE),HLOOKUP(E141,GDcorr,VLOOKUP(H141,CorMove,2,FALSE),FALSE),Q141-$C$3,R141,$AI$5)*I141-AI141</f>
        <v>#N/A</v>
      </c>
      <c r="AH141" s="234" t="e">
        <f t="shared" si="55"/>
        <v>#N/A</v>
      </c>
      <c r="AI141" s="234" t="e">
        <f>_xll.xSPRDOPT(HLOOKUP($D$3,GDPrev,VLOOKUP(Q141,GDmove_down,2,FALSE),FALSE),HLOOKUP($E$3,GDPrev,VLOOKUP(Q141,GDmove_down,2,FALSE),FALSE),AJ141,VLOOKUP(H141,NGPREVPRICES,4,FALSE),HLOOKUP($H$3,GDPrevVols,VLOOKUP(Q141,GDmove_down2,2,FALSE),FALSE),HLOOKUP($H$3,GDPrevVols,VLOOKUP(Q141,GDmove_down2,2,FALSE),FALSE),HLOOKUP(E141,GDcorr,VLOOKUP(H141,CorMove,2,FALSE),FALSE),Q141-$AC$3,R141,$AI$5)*I141</f>
        <v>#N/A</v>
      </c>
      <c r="AJ141" s="235" t="e">
        <f t="shared" si="56"/>
        <v>#N/A</v>
      </c>
      <c r="AK141" s="234"/>
      <c r="AL141" t="str">
        <f t="shared" si="57"/>
        <v>36678Curve Shift/Gamma</v>
      </c>
      <c r="AM141" t="str">
        <f t="shared" si="65"/>
        <v>36678Rho</v>
      </c>
      <c r="AN141" t="str">
        <f t="shared" si="66"/>
        <v>36678Drift</v>
      </c>
      <c r="AO141" t="str">
        <f t="shared" si="67"/>
        <v>36678Vega</v>
      </c>
      <c r="AP141" t="str">
        <f t="shared" si="68"/>
        <v>36678Theta</v>
      </c>
      <c r="AZ141" s="41">
        <f t="shared" si="69"/>
        <v>40238</v>
      </c>
      <c r="BA141" s="44"/>
      <c r="BG141" s="441">
        <v>40575</v>
      </c>
      <c r="BH141">
        <v>0.98499999999999999</v>
      </c>
      <c r="BJ141" s="441">
        <v>40575</v>
      </c>
      <c r="BK141">
        <v>138</v>
      </c>
    </row>
    <row r="142" spans="1:63" ht="12" customHeight="1" x14ac:dyDescent="0.25">
      <c r="A142" s="382" t="s">
        <v>279</v>
      </c>
      <c r="B142" s="155" t="s">
        <v>250</v>
      </c>
      <c r="C142" s="155" t="s">
        <v>364</v>
      </c>
      <c r="D142" s="155" t="s">
        <v>190</v>
      </c>
      <c r="E142" s="4" t="s">
        <v>237</v>
      </c>
      <c r="F142" s="155" t="s">
        <v>20</v>
      </c>
      <c r="G142" s="155" t="s">
        <v>21</v>
      </c>
      <c r="H142" s="354">
        <v>36678</v>
      </c>
      <c r="I142" s="156">
        <v>-333333</v>
      </c>
      <c r="J142" s="7">
        <v>0.46</v>
      </c>
      <c r="K142" s="53">
        <f t="shared" si="62"/>
        <v>4.9249999999999998</v>
      </c>
      <c r="L142" s="53">
        <f t="shared" si="63"/>
        <v>3.3149999999999999</v>
      </c>
      <c r="M142" s="157">
        <v>1</v>
      </c>
      <c r="N142" s="4">
        <v>0.51500000000000001</v>
      </c>
      <c r="O142" s="4">
        <v>0.51500000000000001</v>
      </c>
      <c r="P142" s="9" t="e">
        <f t="shared" si="64"/>
        <v>#N/A</v>
      </c>
      <c r="Q142" s="5">
        <v>36697</v>
      </c>
      <c r="R142" s="4">
        <f t="shared" si="58"/>
        <v>1</v>
      </c>
      <c r="S142" s="158" t="e">
        <f>_xll.xSPRDOPT($K142,$L142,$J142,$M142,$N142,$O142,$P142,$Q142-$C$3,$R142,0)</f>
        <v>#N/A</v>
      </c>
      <c r="T142" s="159" t="e">
        <f>_xll.xSPRDOPT($K142,$L142,$J142,$M142,$N142,$O142,$P142,$Q142-$C$3,$R142,1)*I142</f>
        <v>#N/A</v>
      </c>
      <c r="U142" s="160">
        <v>-78333.254999999786</v>
      </c>
      <c r="V142" s="159" t="e">
        <f>_xll.xSPRDOPT($K142,$L142,$J142,$M142,$N142,$O142,$P142,$Q142-$C$3,$R142,2)*I142</f>
        <v>#N/A</v>
      </c>
      <c r="W142" s="159" t="e">
        <f t="shared" si="59"/>
        <v>#N/A</v>
      </c>
      <c r="X142" s="51" t="str">
        <f t="shared" si="60"/>
        <v>36678IF-ELPO/SJ</v>
      </c>
      <c r="Y142" s="418">
        <f t="shared" si="61"/>
        <v>-33.333300000000001</v>
      </c>
      <c r="Z142" s="51"/>
      <c r="AB142" s="141">
        <f t="shared" si="53"/>
        <v>36678</v>
      </c>
      <c r="AC142" s="234" t="e">
        <f>_xll.xSPRDOPT(HLOOKUP($D$3,GDPRICES,VLOOKUP(Q142,GDmove_down,2,FALSE),FALSE),HLOOKUP($E$3,GDPRICES,VLOOKUP(Q142,GDmove_down,2,FALSE),FALSE),J142,VLOOKUP(H142,NGPREVPRICES,4,FALSE),HLOOKUP($H$3,GDPrevVols,VLOOKUP(Q142,GDmove_down2,2,FALSE),FALSE),HLOOKUP($H$3,GDPrevVols,VLOOKUP(Q142,GDmove_down2,2,FALSE),FALSE),HLOOKUP(E142,GDcorr,VLOOKUP(H142,CorMove,2,FALSE),FALSE),Q142-$AC$3,R142,$AC$5)*I142-AI142</f>
        <v>#N/A</v>
      </c>
      <c r="AD142" s="234" t="e">
        <f>_xll.xSPRDOPT(HLOOKUP($D$3,GDPrev,VLOOKUP(Q142,GDmove_down,2,FALSE),FALSE),HLOOKUP($E$3,GDPrev,VLOOKUP(Q142,GDmove_down,2,FALSE),FALSE),AJ142,VLOOKUP(H142,NGPrices,4,FALSE),HLOOKUP($H$3,GDPrevVols,VLOOKUP(Q142,GDmove_down2,2,FALSE),FALSE),HLOOKUP($H$3,GDPrevVols,VLOOKUP(Q142,GDmove_down2,2,FALSE),FALSE),HLOOKUP(E142,GDcorr,VLOOKUP(H142,CorMove,2,FALSE),FALSE),Q142-$AC$3,R142,$AI$5)*I142-AI142</f>
        <v>#N/A</v>
      </c>
      <c r="AE142" s="439" t="e">
        <f t="shared" si="54"/>
        <v>#N/A</v>
      </c>
      <c r="AF142" s="234" t="e">
        <f>_xll.xSPRDOPT(HLOOKUP($D$3,GDPrev,VLOOKUP(Q142,GDmove_down,2,FALSE),FALSE),HLOOKUP($E$3,GDPrev,VLOOKUP(Q142,GDmove_down,2,FALSE),FALSE),AJ142,VLOOKUP(H142,NGPREVPRICES,4,FALSE),HLOOKUP($H$3,GDVol,VLOOKUP(H142,move_down,2,FALSE),FALSE),HLOOKUP($H$3,GDVol,VLOOKUP(H142,move_down,2,FALSE),FALSE),HLOOKUP(E142,GDcorr,VLOOKUP(H142,CorMove,2,FALSE),FALSE),Q142-$AC$3,R142,$AI$5)*I142-AI142</f>
        <v>#N/A</v>
      </c>
      <c r="AG142" s="234" t="e">
        <f>_xll.xSPRDOPT(HLOOKUP($D$3,GDPrev,VLOOKUP(Q142,GDmove_down,2,FALSE),FALSE),HLOOKUP($E$3,GDPrev,VLOOKUP(Q142,GDmove_down,2,FALSE),FALSE),AJ142,VLOOKUP(H142,NGPREVPRICES,4,FALSE),HLOOKUP($H$3,GDPrevVols,VLOOKUP(Q142,GDmove_down2,2,FALSE),FALSE),HLOOKUP($H$3,GDPrevVols,VLOOKUP(Q142,GDmove_down2,2,FALSE),FALSE),HLOOKUP(E142,GDcorr,VLOOKUP(H142,CorMove,2,FALSE),FALSE),Q142-$C$3,R142,$AI$5)*I142-AI142</f>
        <v>#N/A</v>
      </c>
      <c r="AH142" s="234" t="e">
        <f t="shared" si="55"/>
        <v>#N/A</v>
      </c>
      <c r="AI142" s="234" t="e">
        <f>_xll.xSPRDOPT(HLOOKUP($D$3,GDPrev,VLOOKUP(Q142,GDmove_down,2,FALSE),FALSE),HLOOKUP($E$3,GDPrev,VLOOKUP(Q142,GDmove_down,2,FALSE),FALSE),AJ142,VLOOKUP(H142,NGPREVPRICES,4,FALSE),HLOOKUP($H$3,GDPrevVols,VLOOKUP(Q142,GDmove_down2,2,FALSE),FALSE),HLOOKUP($H$3,GDPrevVols,VLOOKUP(Q142,GDmove_down2,2,FALSE),FALSE),HLOOKUP(E142,GDcorr,VLOOKUP(H142,CorMove,2,FALSE),FALSE),Q142-$AC$3,R142,$AI$5)*I142</f>
        <v>#N/A</v>
      </c>
      <c r="AJ142" s="235" t="e">
        <f t="shared" si="56"/>
        <v>#N/A</v>
      </c>
      <c r="AK142" s="234"/>
      <c r="AL142" t="str">
        <f t="shared" si="57"/>
        <v>36678Curve Shift/Gamma</v>
      </c>
      <c r="AM142" t="str">
        <f t="shared" si="65"/>
        <v>36678Rho</v>
      </c>
      <c r="AN142" t="str">
        <f t="shared" si="66"/>
        <v>36678Drift</v>
      </c>
      <c r="AO142" t="str">
        <f t="shared" si="67"/>
        <v>36678Vega</v>
      </c>
      <c r="AP142" t="str">
        <f t="shared" si="68"/>
        <v>36678Theta</v>
      </c>
      <c r="AZ142" s="41">
        <f t="shared" si="69"/>
        <v>40269</v>
      </c>
      <c r="BA142" s="44"/>
      <c r="BG142" s="441">
        <v>40603</v>
      </c>
      <c r="BH142">
        <v>0.98499999999999999</v>
      </c>
      <c r="BJ142" s="441">
        <v>40603</v>
      </c>
      <c r="BK142">
        <v>139</v>
      </c>
    </row>
    <row r="143" spans="1:63" ht="12" customHeight="1" x14ac:dyDescent="0.25">
      <c r="A143" s="384" t="s">
        <v>268</v>
      </c>
      <c r="B143" s="155" t="s">
        <v>250</v>
      </c>
      <c r="C143" s="155" t="s">
        <v>387</v>
      </c>
      <c r="D143" s="155" t="s">
        <v>190</v>
      </c>
      <c r="E143" s="4" t="s">
        <v>237</v>
      </c>
      <c r="F143" s="155" t="s">
        <v>20</v>
      </c>
      <c r="G143" s="155" t="s">
        <v>21</v>
      </c>
      <c r="H143" s="354">
        <v>36678</v>
      </c>
      <c r="I143" s="156">
        <v>-10000</v>
      </c>
      <c r="J143" s="7">
        <v>0.46</v>
      </c>
      <c r="K143" s="53">
        <f t="shared" si="62"/>
        <v>4.9249999999999998</v>
      </c>
      <c r="L143" s="53">
        <f t="shared" si="63"/>
        <v>3.3149999999999999</v>
      </c>
      <c r="M143" s="157">
        <v>1</v>
      </c>
      <c r="N143" s="4">
        <v>0.51500000000000001</v>
      </c>
      <c r="O143" s="4">
        <v>0.51500000000000001</v>
      </c>
      <c r="P143" s="9" t="e">
        <f t="shared" si="64"/>
        <v>#N/A</v>
      </c>
      <c r="Q143" s="5">
        <v>36697</v>
      </c>
      <c r="R143" s="4">
        <f t="shared" si="58"/>
        <v>1</v>
      </c>
      <c r="S143" s="158" t="e">
        <f>_xll.xSPRDOPT($K143,$L143,$J143,$M143,$N143,$O143,$P143,$Q143-$C$3,$R143,0)</f>
        <v>#N/A</v>
      </c>
      <c r="T143" s="159" t="e">
        <f>_xll.xSPRDOPT($K143,$L143,$J143,$M143,$N143,$O143,$P143,$Q143-$C$3,$R143,1)*I143</f>
        <v>#N/A</v>
      </c>
      <c r="U143" s="160">
        <v>-2349.9999999999936</v>
      </c>
      <c r="V143" s="159" t="e">
        <f>_xll.xSPRDOPT($K143,$L143,$J143,$M143,$N143,$O143,$P143,$Q143-$C$3,$R143,2)*I143</f>
        <v>#N/A</v>
      </c>
      <c r="W143" s="159" t="e">
        <f t="shared" si="59"/>
        <v>#N/A</v>
      </c>
      <c r="X143" s="51" t="str">
        <f t="shared" si="60"/>
        <v>36678IF-ELPO/SJ</v>
      </c>
      <c r="Y143" s="418">
        <f t="shared" si="61"/>
        <v>-1</v>
      </c>
      <c r="Z143" s="51"/>
      <c r="AB143" s="141">
        <f t="shared" si="53"/>
        <v>36678</v>
      </c>
      <c r="AC143" s="234" t="e">
        <f>_xll.xSPRDOPT(HLOOKUP($D$3,GDPRICES,VLOOKUP(Q143,GDmove_down,2,FALSE),FALSE),HLOOKUP($E$3,GDPRICES,VLOOKUP(Q143,GDmove_down,2,FALSE),FALSE),J143,VLOOKUP(H143,NGPREVPRICES,4,FALSE),HLOOKUP($H$3,GDPrevVols,VLOOKUP(Q143,GDmove_down2,2,FALSE),FALSE),HLOOKUP($H$3,GDPrevVols,VLOOKUP(Q143,GDmove_down2,2,FALSE),FALSE),HLOOKUP(E143,GDcorr,VLOOKUP(H143,CorMove,2,FALSE),FALSE),Q143-$AC$3,R143,$AC$5)*I143-AI143</f>
        <v>#N/A</v>
      </c>
      <c r="AD143" s="234" t="e">
        <f>_xll.xSPRDOPT(HLOOKUP($D$3,GDPrev,VLOOKUP(Q143,GDmove_down,2,FALSE),FALSE),HLOOKUP($E$3,GDPrev,VLOOKUP(Q143,GDmove_down,2,FALSE),FALSE),AJ143,VLOOKUP(H143,NGPrices,4,FALSE),HLOOKUP($H$3,GDPrevVols,VLOOKUP(Q143,GDmove_down2,2,FALSE),FALSE),HLOOKUP($H$3,GDPrevVols,VLOOKUP(Q143,GDmove_down2,2,FALSE),FALSE),HLOOKUP(E143,GDcorr,VLOOKUP(H143,CorMove,2,FALSE),FALSE),Q143-$AC$3,R143,$AI$5)*I143-AI143</f>
        <v>#N/A</v>
      </c>
      <c r="AE143" s="439" t="e">
        <f t="shared" si="54"/>
        <v>#N/A</v>
      </c>
      <c r="AF143" s="234" t="e">
        <f>_xll.xSPRDOPT(HLOOKUP($D$3,GDPrev,VLOOKUP(Q143,GDmove_down,2,FALSE),FALSE),HLOOKUP($E$3,GDPrev,VLOOKUP(Q143,GDmove_down,2,FALSE),FALSE),AJ143,VLOOKUP(H143,NGPREVPRICES,4,FALSE),HLOOKUP($H$3,GDVol,VLOOKUP(H143,move_down,2,FALSE),FALSE),HLOOKUP($H$3,GDVol,VLOOKUP(H143,move_down,2,FALSE),FALSE),HLOOKUP(E143,GDcorr,VLOOKUP(H143,CorMove,2,FALSE),FALSE),Q143-$AC$3,R143,$AI$5)*I143-AI143</f>
        <v>#N/A</v>
      </c>
      <c r="AG143" s="234" t="e">
        <f>_xll.xSPRDOPT(HLOOKUP($D$3,GDPrev,VLOOKUP(Q143,GDmove_down,2,FALSE),FALSE),HLOOKUP($E$3,GDPrev,VLOOKUP(Q143,GDmove_down,2,FALSE),FALSE),AJ143,VLOOKUP(H143,NGPREVPRICES,4,FALSE),HLOOKUP($H$3,GDPrevVols,VLOOKUP(Q143,GDmove_down2,2,FALSE),FALSE),HLOOKUP($H$3,GDPrevVols,VLOOKUP(Q143,GDmove_down2,2,FALSE),FALSE),HLOOKUP(E143,GDcorr,VLOOKUP(H143,CorMove,2,FALSE),FALSE),Q143-$C$3,R143,$AI$5)*I143-AI143</f>
        <v>#N/A</v>
      </c>
      <c r="AH143" s="234" t="e">
        <f t="shared" si="55"/>
        <v>#N/A</v>
      </c>
      <c r="AI143" s="234" t="e">
        <f>_xll.xSPRDOPT(HLOOKUP($D$3,GDPrev,VLOOKUP(Q143,GDmove_down,2,FALSE),FALSE),HLOOKUP($E$3,GDPrev,VLOOKUP(Q143,GDmove_down,2,FALSE),FALSE),AJ143,VLOOKUP(H143,NGPREVPRICES,4,FALSE),HLOOKUP($H$3,GDPrevVols,VLOOKUP(Q143,GDmove_down2,2,FALSE),FALSE),HLOOKUP($H$3,GDPrevVols,VLOOKUP(Q143,GDmove_down2,2,FALSE),FALSE),HLOOKUP(E143,GDcorr,VLOOKUP(H143,CorMove,2,FALSE),FALSE),Q143-$AC$3,R143,$AI$5)*I143</f>
        <v>#N/A</v>
      </c>
      <c r="AJ143" s="235" t="e">
        <f t="shared" si="56"/>
        <v>#N/A</v>
      </c>
      <c r="AK143" s="234"/>
      <c r="AL143" t="str">
        <f t="shared" si="57"/>
        <v>36678Curve Shift/Gamma</v>
      </c>
      <c r="AM143" t="str">
        <f t="shared" si="65"/>
        <v>36678Rho</v>
      </c>
      <c r="AN143" t="str">
        <f t="shared" si="66"/>
        <v>36678Drift</v>
      </c>
      <c r="AO143" t="str">
        <f t="shared" si="67"/>
        <v>36678Vega</v>
      </c>
      <c r="AP143" t="str">
        <f t="shared" si="68"/>
        <v>36678Theta</v>
      </c>
      <c r="AZ143" s="41">
        <f t="shared" si="69"/>
        <v>40299</v>
      </c>
      <c r="BA143" s="44"/>
      <c r="BG143" s="441">
        <v>40634</v>
      </c>
      <c r="BH143">
        <v>0.98499999999999999</v>
      </c>
      <c r="BJ143" s="441">
        <v>40634</v>
      </c>
      <c r="BK143">
        <v>140</v>
      </c>
    </row>
    <row r="144" spans="1:63" ht="12" customHeight="1" x14ac:dyDescent="0.25">
      <c r="A144" s="384" t="s">
        <v>279</v>
      </c>
      <c r="B144" s="155" t="s">
        <v>250</v>
      </c>
      <c r="C144" s="155" t="s">
        <v>388</v>
      </c>
      <c r="D144" s="155" t="s">
        <v>190</v>
      </c>
      <c r="E144" s="4" t="s">
        <v>237</v>
      </c>
      <c r="F144" s="155" t="s">
        <v>20</v>
      </c>
      <c r="G144" s="155" t="s">
        <v>21</v>
      </c>
      <c r="H144" s="354">
        <v>36678</v>
      </c>
      <c r="I144" s="156">
        <v>50000</v>
      </c>
      <c r="J144" s="7">
        <v>0.46</v>
      </c>
      <c r="K144" s="53">
        <f t="shared" si="62"/>
        <v>4.9249999999999998</v>
      </c>
      <c r="L144" s="53">
        <f t="shared" si="63"/>
        <v>3.3149999999999999</v>
      </c>
      <c r="M144" s="157">
        <v>1</v>
      </c>
      <c r="N144" s="4">
        <v>0.51500000000000001</v>
      </c>
      <c r="O144" s="4">
        <v>0.51500000000000001</v>
      </c>
      <c r="P144" s="9" t="e">
        <f t="shared" si="64"/>
        <v>#N/A</v>
      </c>
      <c r="Q144" s="5">
        <v>36697</v>
      </c>
      <c r="R144" s="4">
        <f t="shared" si="58"/>
        <v>1</v>
      </c>
      <c r="S144" s="158" t="e">
        <f>_xll.xSPRDOPT($K144,$L144,$J144,$M144,$N144,$O144,$P144,$Q144-$C$3,$R144,0)</f>
        <v>#N/A</v>
      </c>
      <c r="T144" s="159" t="e">
        <f>_xll.xSPRDOPT($K144,$L144,$J144,$M144,$N144,$O144,$P144,$Q144-$C$3,$R144,1)*I144</f>
        <v>#N/A</v>
      </c>
      <c r="U144" s="160">
        <v>11750</v>
      </c>
      <c r="V144" s="159" t="e">
        <f>_xll.xSPRDOPT($K144,$L144,$J144,$M144,$N144,$O144,$P144,$Q144-$C$3,$R144,2)*I144</f>
        <v>#N/A</v>
      </c>
      <c r="W144" s="159" t="e">
        <f t="shared" si="59"/>
        <v>#N/A</v>
      </c>
      <c r="X144" s="51" t="str">
        <f t="shared" si="60"/>
        <v>36678IF-ELPO/SJ</v>
      </c>
      <c r="Y144" s="418">
        <f t="shared" si="61"/>
        <v>5</v>
      </c>
      <c r="Z144" s="51"/>
      <c r="AB144" s="141">
        <f t="shared" si="53"/>
        <v>36678</v>
      </c>
      <c r="AC144" s="234" t="e">
        <f>_xll.xSPRDOPT(HLOOKUP($D$3,GDPRICES,VLOOKUP(Q144,GDmove_down,2,FALSE),FALSE),HLOOKUP($E$3,GDPRICES,VLOOKUP(Q144,GDmove_down,2,FALSE),FALSE),J144,VLOOKUP(H144,NGPREVPRICES,4,FALSE),HLOOKUP($H$3,GDPrevVols,VLOOKUP(Q144,GDmove_down2,2,FALSE),FALSE),HLOOKUP($H$3,GDPrevVols,VLOOKUP(Q144,GDmove_down2,2,FALSE),FALSE),HLOOKUP(E144,GDcorr,VLOOKUP(H144,CorMove,2,FALSE),FALSE),Q144-$AC$3,R144,$AC$5)*I144-AI144</f>
        <v>#N/A</v>
      </c>
      <c r="AD144" s="234" t="e">
        <f>_xll.xSPRDOPT(HLOOKUP($D$3,GDPrev,VLOOKUP(Q144,GDmove_down,2,FALSE),FALSE),HLOOKUP($E$3,GDPrev,VLOOKUP(Q144,GDmove_down,2,FALSE),FALSE),AJ144,VLOOKUP(H144,NGPrices,4,FALSE),HLOOKUP($H$3,GDPrevVols,VLOOKUP(Q144,GDmove_down2,2,FALSE),FALSE),HLOOKUP($H$3,GDPrevVols,VLOOKUP(Q144,GDmove_down2,2,FALSE),FALSE),HLOOKUP(E144,GDcorr,VLOOKUP(H144,CorMove,2,FALSE),FALSE),Q144-$AC$3,R144,$AI$5)*I144-AI144</f>
        <v>#N/A</v>
      </c>
      <c r="AE144" s="439" t="e">
        <f t="shared" si="54"/>
        <v>#N/A</v>
      </c>
      <c r="AF144" s="234" t="e">
        <f>_xll.xSPRDOPT(HLOOKUP($D$3,GDPrev,VLOOKUP(Q144,GDmove_down,2,FALSE),FALSE),HLOOKUP($E$3,GDPrev,VLOOKUP(Q144,GDmove_down,2,FALSE),FALSE),AJ144,VLOOKUP(H144,NGPREVPRICES,4,FALSE),HLOOKUP($H$3,GDVol,VLOOKUP(H144,move_down,2,FALSE),FALSE),HLOOKUP($H$3,GDVol,VLOOKUP(H144,move_down,2,FALSE),FALSE),HLOOKUP(E144,GDcorr,VLOOKUP(H144,CorMove,2,FALSE),FALSE),Q144-$AC$3,R144,$AI$5)*I144-AI144</f>
        <v>#N/A</v>
      </c>
      <c r="AG144" s="234" t="e">
        <f>_xll.xSPRDOPT(HLOOKUP($D$3,GDPrev,VLOOKUP(Q144,GDmove_down,2,FALSE),FALSE),HLOOKUP($E$3,GDPrev,VLOOKUP(Q144,GDmove_down,2,FALSE),FALSE),AJ144,VLOOKUP(H144,NGPREVPRICES,4,FALSE),HLOOKUP($H$3,GDPrevVols,VLOOKUP(Q144,GDmove_down2,2,FALSE),FALSE),HLOOKUP($H$3,GDPrevVols,VLOOKUP(Q144,GDmove_down2,2,FALSE),FALSE),HLOOKUP(E144,GDcorr,VLOOKUP(H144,CorMove,2,FALSE),FALSE),Q144-$C$3,R144,$AI$5)*I144-AI144</f>
        <v>#N/A</v>
      </c>
      <c r="AH144" s="234" t="e">
        <f t="shared" si="55"/>
        <v>#N/A</v>
      </c>
      <c r="AI144" s="234" t="e">
        <f>_xll.xSPRDOPT(HLOOKUP($D$3,GDPrev,VLOOKUP(Q144,GDmove_down,2,FALSE),FALSE),HLOOKUP($E$3,GDPrev,VLOOKUP(Q144,GDmove_down,2,FALSE),FALSE),AJ144,VLOOKUP(H144,NGPREVPRICES,4,FALSE),HLOOKUP($H$3,GDPrevVols,VLOOKUP(Q144,GDmove_down2,2,FALSE),FALSE),HLOOKUP($H$3,GDPrevVols,VLOOKUP(Q144,GDmove_down2,2,FALSE),FALSE),HLOOKUP(E144,GDcorr,VLOOKUP(H144,CorMove,2,FALSE),FALSE),Q144-$AC$3,R144,$AI$5)*I144</f>
        <v>#N/A</v>
      </c>
      <c r="AJ144" s="235" t="e">
        <f t="shared" si="56"/>
        <v>#N/A</v>
      </c>
      <c r="AK144" s="234"/>
      <c r="AL144" t="str">
        <f t="shared" si="57"/>
        <v>36678Curve Shift/Gamma</v>
      </c>
      <c r="AM144" t="str">
        <f t="shared" si="65"/>
        <v>36678Rho</v>
      </c>
      <c r="AN144" t="str">
        <f t="shared" si="66"/>
        <v>36678Drift</v>
      </c>
      <c r="AO144" t="str">
        <f t="shared" si="67"/>
        <v>36678Vega</v>
      </c>
      <c r="AP144" t="str">
        <f t="shared" si="68"/>
        <v>36678Theta</v>
      </c>
      <c r="AZ144" s="41">
        <f t="shared" si="69"/>
        <v>40330</v>
      </c>
      <c r="BA144" s="44"/>
      <c r="BG144" s="441">
        <v>40664</v>
      </c>
      <c r="BH144">
        <v>0.98499999999999999</v>
      </c>
      <c r="BJ144" s="441">
        <v>40664</v>
      </c>
      <c r="BK144">
        <v>141</v>
      </c>
    </row>
    <row r="145" spans="1:63" ht="12" customHeight="1" x14ac:dyDescent="0.25">
      <c r="A145" s="384" t="s">
        <v>279</v>
      </c>
      <c r="B145" s="155" t="s">
        <v>250</v>
      </c>
      <c r="C145" s="155" t="s">
        <v>389</v>
      </c>
      <c r="D145" s="155" t="s">
        <v>190</v>
      </c>
      <c r="E145" s="4" t="s">
        <v>237</v>
      </c>
      <c r="F145" s="155" t="s">
        <v>20</v>
      </c>
      <c r="G145" s="155" t="s">
        <v>21</v>
      </c>
      <c r="H145" s="354">
        <v>36678</v>
      </c>
      <c r="I145" s="156">
        <v>50000</v>
      </c>
      <c r="J145" s="7">
        <v>0.46</v>
      </c>
      <c r="K145" s="53">
        <f t="shared" si="62"/>
        <v>4.9249999999999998</v>
      </c>
      <c r="L145" s="53">
        <f t="shared" si="63"/>
        <v>3.3149999999999999</v>
      </c>
      <c r="M145" s="157">
        <v>1</v>
      </c>
      <c r="N145" s="4">
        <v>0.51500000000000001</v>
      </c>
      <c r="O145" s="4">
        <v>0.51500000000000001</v>
      </c>
      <c r="P145" s="9" t="e">
        <f t="shared" si="64"/>
        <v>#N/A</v>
      </c>
      <c r="Q145" s="5">
        <v>36697</v>
      </c>
      <c r="R145" s="4">
        <f t="shared" si="58"/>
        <v>1</v>
      </c>
      <c r="S145" s="158" t="e">
        <f>_xll.xSPRDOPT($K145,$L145,$J145,$M145,$N145,$O145,$P145,$Q145-$C$3,$R145,0)</f>
        <v>#N/A</v>
      </c>
      <c r="T145" s="159" t="e">
        <f>_xll.xSPRDOPT($K145,$L145,$J145,$M145,$N145,$O145,$P145,$Q145-$C$3,$R145,1)*I145</f>
        <v>#N/A</v>
      </c>
      <c r="U145" s="160">
        <v>11750</v>
      </c>
      <c r="V145" s="159" t="e">
        <f>_xll.xSPRDOPT($K145,$L145,$J145,$M145,$N145,$O145,$P145,$Q145-$C$3,$R145,2)*I145</f>
        <v>#N/A</v>
      </c>
      <c r="W145" s="159" t="e">
        <f t="shared" si="59"/>
        <v>#N/A</v>
      </c>
      <c r="X145" s="51" t="str">
        <f t="shared" si="60"/>
        <v>36678IF-ELPO/SJ</v>
      </c>
      <c r="Y145" s="418">
        <f t="shared" si="61"/>
        <v>5</v>
      </c>
      <c r="Z145" s="51"/>
      <c r="AB145" s="141">
        <f t="shared" si="53"/>
        <v>36678</v>
      </c>
      <c r="AC145" s="234" t="e">
        <f>_xll.xSPRDOPT(HLOOKUP($D$3,GDPRICES,VLOOKUP(Q145,GDmove_down,2,FALSE),FALSE),HLOOKUP($E$3,GDPRICES,VLOOKUP(Q145,GDmove_down,2,FALSE),FALSE),J145,VLOOKUP(H145,NGPREVPRICES,4,FALSE),HLOOKUP($H$3,GDPrevVols,VLOOKUP(Q145,GDmove_down2,2,FALSE),FALSE),HLOOKUP($H$3,GDPrevVols,VLOOKUP(Q145,GDmove_down2,2,FALSE),FALSE),HLOOKUP(E145,GDcorr,VLOOKUP(H145,CorMove,2,FALSE),FALSE),Q145-$AC$3,R145,$AC$5)*I145-AI145</f>
        <v>#N/A</v>
      </c>
      <c r="AD145" s="234" t="e">
        <f>_xll.xSPRDOPT(HLOOKUP($D$3,GDPrev,VLOOKUP(Q145,GDmove_down,2,FALSE),FALSE),HLOOKUP($E$3,GDPrev,VLOOKUP(Q145,GDmove_down,2,FALSE),FALSE),AJ145,VLOOKUP(H145,NGPrices,4,FALSE),HLOOKUP($H$3,GDPrevVols,VLOOKUP(Q145,GDmove_down2,2,FALSE),FALSE),HLOOKUP($H$3,GDPrevVols,VLOOKUP(Q145,GDmove_down2,2,FALSE),FALSE),HLOOKUP(E145,GDcorr,VLOOKUP(H145,CorMove,2,FALSE),FALSE),Q145-$AC$3,R145,$AI$5)*I145-AI145</f>
        <v>#N/A</v>
      </c>
      <c r="AE145" s="439" t="e">
        <f t="shared" si="54"/>
        <v>#N/A</v>
      </c>
      <c r="AF145" s="234" t="e">
        <f>_xll.xSPRDOPT(HLOOKUP($D$3,GDPrev,VLOOKUP(Q145,GDmove_down,2,FALSE),FALSE),HLOOKUP($E$3,GDPrev,VLOOKUP(Q145,GDmove_down,2,FALSE),FALSE),AJ145,VLOOKUP(H145,NGPREVPRICES,4,FALSE),HLOOKUP($H$3,GDVol,VLOOKUP(H145,move_down,2,FALSE),FALSE),HLOOKUP($H$3,GDVol,VLOOKUP(H145,move_down,2,FALSE),FALSE),HLOOKUP(E145,GDcorr,VLOOKUP(H145,CorMove,2,FALSE),FALSE),Q145-$AC$3,R145,$AI$5)*I145-AI145</f>
        <v>#N/A</v>
      </c>
      <c r="AG145" s="234" t="e">
        <f>_xll.xSPRDOPT(HLOOKUP($D$3,GDPrev,VLOOKUP(Q145,GDmove_down,2,FALSE),FALSE),HLOOKUP($E$3,GDPrev,VLOOKUP(Q145,GDmove_down,2,FALSE),FALSE),AJ145,VLOOKUP(H145,NGPREVPRICES,4,FALSE),HLOOKUP($H$3,GDPrevVols,VLOOKUP(Q145,GDmove_down2,2,FALSE),FALSE),HLOOKUP($H$3,GDPrevVols,VLOOKUP(Q145,GDmove_down2,2,FALSE),FALSE),HLOOKUP(E145,GDcorr,VLOOKUP(H145,CorMove,2,FALSE),FALSE),Q145-$C$3,R145,$AI$5)*I145-AI145</f>
        <v>#N/A</v>
      </c>
      <c r="AH145" s="234" t="e">
        <f t="shared" si="55"/>
        <v>#N/A</v>
      </c>
      <c r="AI145" s="234" t="e">
        <f>_xll.xSPRDOPT(HLOOKUP($D$3,GDPrev,VLOOKUP(Q145,GDmove_down,2,FALSE),FALSE),HLOOKUP($E$3,GDPrev,VLOOKUP(Q145,GDmove_down,2,FALSE),FALSE),AJ145,VLOOKUP(H145,NGPREVPRICES,4,FALSE),HLOOKUP($H$3,GDPrevVols,VLOOKUP(Q145,GDmove_down2,2,FALSE),FALSE),HLOOKUP($H$3,GDPrevVols,VLOOKUP(Q145,GDmove_down2,2,FALSE),FALSE),HLOOKUP(E145,GDcorr,VLOOKUP(H145,CorMove,2,FALSE),FALSE),Q145-$AC$3,R145,$AI$5)*I145</f>
        <v>#N/A</v>
      </c>
      <c r="AJ145" s="235" t="e">
        <f t="shared" si="56"/>
        <v>#N/A</v>
      </c>
      <c r="AK145" s="234"/>
      <c r="AL145" t="str">
        <f t="shared" si="57"/>
        <v>36678Curve Shift/Gamma</v>
      </c>
      <c r="AM145" t="str">
        <f t="shared" si="65"/>
        <v>36678Rho</v>
      </c>
      <c r="AN145" t="str">
        <f t="shared" si="66"/>
        <v>36678Drift</v>
      </c>
      <c r="AO145" t="str">
        <f t="shared" si="67"/>
        <v>36678Vega</v>
      </c>
      <c r="AP145" t="str">
        <f t="shared" si="68"/>
        <v>36678Theta</v>
      </c>
      <c r="AZ145" s="41">
        <f t="shared" si="69"/>
        <v>40360</v>
      </c>
      <c r="BA145" s="44"/>
      <c r="BG145" s="441">
        <v>40695</v>
      </c>
      <c r="BH145">
        <v>0.98499999999999999</v>
      </c>
      <c r="BJ145" s="441">
        <v>40695</v>
      </c>
      <c r="BK145">
        <v>142</v>
      </c>
    </row>
    <row r="146" spans="1:63" ht="12" customHeight="1" x14ac:dyDescent="0.25">
      <c r="A146" s="384" t="s">
        <v>279</v>
      </c>
      <c r="B146" s="155" t="s">
        <v>250</v>
      </c>
      <c r="C146" s="155" t="s">
        <v>398</v>
      </c>
      <c r="D146" s="155" t="s">
        <v>190</v>
      </c>
      <c r="E146" s="4" t="s">
        <v>237</v>
      </c>
      <c r="F146" s="155" t="s">
        <v>20</v>
      </c>
      <c r="G146" s="155" t="s">
        <v>21</v>
      </c>
      <c r="H146" s="354">
        <v>36678</v>
      </c>
      <c r="I146" s="156">
        <v>-10000</v>
      </c>
      <c r="J146" s="7">
        <v>0.46</v>
      </c>
      <c r="K146" s="53">
        <f t="shared" si="62"/>
        <v>4.9249999999999998</v>
      </c>
      <c r="L146" s="53">
        <f t="shared" si="63"/>
        <v>3.3149999999999999</v>
      </c>
      <c r="M146" s="157">
        <v>1</v>
      </c>
      <c r="N146" s="4">
        <v>0.51500000000000001</v>
      </c>
      <c r="O146" s="4">
        <v>0.51500000000000001</v>
      </c>
      <c r="P146" s="9" t="e">
        <f t="shared" si="64"/>
        <v>#N/A</v>
      </c>
      <c r="Q146" s="5">
        <v>36697</v>
      </c>
      <c r="R146" s="4">
        <f t="shared" si="58"/>
        <v>1</v>
      </c>
      <c r="S146" s="158" t="e">
        <f>_xll.xSPRDOPT($K146,$L146,$J146,$M146,$N146,$O146,$P146,$Q146-$C$3,$R146,0)</f>
        <v>#N/A</v>
      </c>
      <c r="T146" s="159" t="e">
        <f>_xll.xSPRDOPT($K146,$L146,$J146,$M146,$N146,$O146,$P146,$Q146-$C$3,$R146,1)*I146</f>
        <v>#N/A</v>
      </c>
      <c r="U146" s="160">
        <v>-2349.9999999999936</v>
      </c>
      <c r="V146" s="159" t="e">
        <f>_xll.xSPRDOPT($K146,$L146,$J146,$M146,$N146,$O146,$P146,$Q146-$C$3,$R146,2)*I146</f>
        <v>#N/A</v>
      </c>
      <c r="W146" s="159" t="e">
        <f t="shared" si="59"/>
        <v>#N/A</v>
      </c>
      <c r="X146" s="51" t="str">
        <f t="shared" si="60"/>
        <v>36678IF-ELPO/SJ</v>
      </c>
      <c r="Y146" s="418">
        <f t="shared" si="61"/>
        <v>-1</v>
      </c>
      <c r="AB146" s="141">
        <f t="shared" si="53"/>
        <v>36678</v>
      </c>
      <c r="AC146" s="234" t="e">
        <f>_xll.xSPRDOPT(HLOOKUP($D$3,GDPRICES,VLOOKUP(Q146,GDmove_down,2,FALSE),FALSE),HLOOKUP($E$3,GDPRICES,VLOOKUP(Q146,GDmove_down,2,FALSE),FALSE),J146,VLOOKUP(H146,NGPREVPRICES,4,FALSE),HLOOKUP($H$3,GDPrevVols,VLOOKUP(Q146,GDmove_down2,2,FALSE),FALSE),HLOOKUP($H$3,GDPrevVols,VLOOKUP(Q146,GDmove_down2,2,FALSE),FALSE),HLOOKUP(E146,GDcorr,VLOOKUP(H146,CorMove,2,FALSE),FALSE),Q146-$AC$3,R146,$AC$5)*I146-AI146</f>
        <v>#N/A</v>
      </c>
      <c r="AD146" s="234" t="e">
        <f>_xll.xSPRDOPT(HLOOKUP($D$3,GDPrev,VLOOKUP(Q146,GDmove_down,2,FALSE),FALSE),HLOOKUP($E$3,GDPrev,VLOOKUP(Q146,GDmove_down,2,FALSE),FALSE),AJ146,VLOOKUP(H146,NGPrices,4,FALSE),HLOOKUP($H$3,GDPrevVols,VLOOKUP(Q146,GDmove_down2,2,FALSE),FALSE),HLOOKUP($H$3,GDPrevVols,VLOOKUP(Q146,GDmove_down2,2,FALSE),FALSE),HLOOKUP(E146,GDcorr,VLOOKUP(H146,CorMove,2,FALSE),FALSE),Q146-$AC$3,R146,$AI$5)*I146-AI146</f>
        <v>#N/A</v>
      </c>
      <c r="AE146" s="439" t="e">
        <f t="shared" si="54"/>
        <v>#N/A</v>
      </c>
      <c r="AF146" s="234" t="e">
        <f>_xll.xSPRDOPT(HLOOKUP($D$3,GDPrev,VLOOKUP(Q146,GDmove_down,2,FALSE),FALSE),HLOOKUP($E$3,GDPrev,VLOOKUP(Q146,GDmove_down,2,FALSE),FALSE),AJ146,VLOOKUP(H146,NGPREVPRICES,4,FALSE),HLOOKUP($H$3,GDVol,VLOOKUP(H146,move_down,2,FALSE),FALSE),HLOOKUP($H$3,GDVol,VLOOKUP(H146,move_down,2,FALSE),FALSE),HLOOKUP(E146,GDcorr,VLOOKUP(H146,CorMove,2,FALSE),FALSE),Q146-$AC$3,R146,$AI$5)*I146-AI146</f>
        <v>#N/A</v>
      </c>
      <c r="AG146" s="234" t="e">
        <f>_xll.xSPRDOPT(HLOOKUP($D$3,GDPrev,VLOOKUP(Q146,GDmove_down,2,FALSE),FALSE),HLOOKUP($E$3,GDPrev,VLOOKUP(Q146,GDmove_down,2,FALSE),FALSE),AJ146,VLOOKUP(H146,NGPREVPRICES,4,FALSE),HLOOKUP($H$3,GDPrevVols,VLOOKUP(Q146,GDmove_down2,2,FALSE),FALSE),HLOOKUP($H$3,GDPrevVols,VLOOKUP(Q146,GDmove_down2,2,FALSE),FALSE),HLOOKUP(E146,GDcorr,VLOOKUP(H146,CorMove,2,FALSE),FALSE),Q146-$C$3,R146,$AI$5)*I146-AI146</f>
        <v>#N/A</v>
      </c>
      <c r="AH146" s="234" t="e">
        <f t="shared" si="55"/>
        <v>#N/A</v>
      </c>
      <c r="AI146" s="234" t="e">
        <f>_xll.xSPRDOPT(HLOOKUP($D$3,GDPrev,VLOOKUP(Q146,GDmove_down,2,FALSE),FALSE),HLOOKUP($E$3,GDPrev,VLOOKUP(Q146,GDmove_down,2,FALSE),FALSE),AJ146,VLOOKUP(H146,NGPREVPRICES,4,FALSE),HLOOKUP($H$3,GDPrevVols,VLOOKUP(Q146,GDmove_down2,2,FALSE),FALSE),HLOOKUP($H$3,GDPrevVols,VLOOKUP(Q146,GDmove_down2,2,FALSE),FALSE),HLOOKUP(E146,GDcorr,VLOOKUP(H146,CorMove,2,FALSE),FALSE),Q146-$AC$3,R146,$AI$5)*I146</f>
        <v>#N/A</v>
      </c>
      <c r="AJ146" s="235" t="e">
        <f t="shared" si="56"/>
        <v>#N/A</v>
      </c>
      <c r="AK146" s="234"/>
      <c r="AL146" t="str">
        <f t="shared" si="57"/>
        <v>36678Curve Shift/Gamma</v>
      </c>
      <c r="AM146" t="str">
        <f t="shared" si="65"/>
        <v>36678Rho</v>
      </c>
      <c r="AN146" t="str">
        <f t="shared" si="66"/>
        <v>36678Drift</v>
      </c>
      <c r="AO146" t="str">
        <f t="shared" si="67"/>
        <v>36678Vega</v>
      </c>
      <c r="AP146" t="str">
        <f t="shared" si="68"/>
        <v>36678Theta</v>
      </c>
      <c r="AZ146" s="41">
        <f t="shared" si="69"/>
        <v>40391</v>
      </c>
      <c r="BA146" s="44"/>
      <c r="BG146" s="441">
        <v>40725</v>
      </c>
      <c r="BH146">
        <v>0.98499999999999999</v>
      </c>
      <c r="BJ146" s="441">
        <v>40725</v>
      </c>
      <c r="BK146">
        <v>143</v>
      </c>
    </row>
    <row r="147" spans="1:63" ht="12" customHeight="1" x14ac:dyDescent="0.25">
      <c r="A147" s="382" t="s">
        <v>279</v>
      </c>
      <c r="B147" s="155" t="s">
        <v>250</v>
      </c>
      <c r="C147" s="155" t="s">
        <v>360</v>
      </c>
      <c r="D147" s="155" t="s">
        <v>190</v>
      </c>
      <c r="E147" s="4" t="s">
        <v>237</v>
      </c>
      <c r="F147" s="155" t="s">
        <v>20</v>
      </c>
      <c r="G147" s="155" t="s">
        <v>21</v>
      </c>
      <c r="H147" s="354">
        <v>36678</v>
      </c>
      <c r="I147" s="156">
        <v>-50000</v>
      </c>
      <c r="J147" s="7">
        <v>0.46</v>
      </c>
      <c r="K147" s="53">
        <f t="shared" si="62"/>
        <v>4.9249999999999998</v>
      </c>
      <c r="L147" s="53">
        <f t="shared" si="63"/>
        <v>3.3149999999999999</v>
      </c>
      <c r="M147" s="157">
        <v>1</v>
      </c>
      <c r="N147" s="4">
        <v>0.51500000000000001</v>
      </c>
      <c r="O147" s="4">
        <v>0.51500000000000001</v>
      </c>
      <c r="P147" s="9" t="e">
        <f t="shared" si="64"/>
        <v>#N/A</v>
      </c>
      <c r="Q147" s="5">
        <v>36698</v>
      </c>
      <c r="R147" s="4">
        <f t="shared" si="58"/>
        <v>1</v>
      </c>
      <c r="S147" s="158" t="e">
        <f>_xll.xSPRDOPT($K147,$L147,$J147,$M147,$N147,$O147,$P147,$Q147-$C$3,$R147,0)</f>
        <v>#N/A</v>
      </c>
      <c r="T147" s="159" t="e">
        <f>_xll.xSPRDOPT($K147,$L147,$J147,$M147,$N147,$O147,$P147,$Q147-$C$3,$R147,1)*I147</f>
        <v>#N/A</v>
      </c>
      <c r="U147" s="160">
        <v>-10250</v>
      </c>
      <c r="V147" s="159" t="e">
        <f>_xll.xSPRDOPT($K147,$L147,$J147,$M147,$N147,$O147,$P147,$Q147-$C$3,$R147,2)*I147</f>
        <v>#N/A</v>
      </c>
      <c r="W147" s="159" t="e">
        <f t="shared" si="59"/>
        <v>#N/A</v>
      </c>
      <c r="X147" s="51" t="str">
        <f t="shared" si="60"/>
        <v>36678IF-ELPO/SJ</v>
      </c>
      <c r="Y147" s="418">
        <f t="shared" si="61"/>
        <v>-5</v>
      </c>
      <c r="AB147" s="141">
        <f t="shared" si="53"/>
        <v>36678</v>
      </c>
      <c r="AC147" s="234" t="e">
        <f>_xll.xSPRDOPT(HLOOKUP($D$3,GDPRICES,VLOOKUP(Q147,GDmove_down,2,FALSE),FALSE),HLOOKUP($E$3,GDPRICES,VLOOKUP(Q147,GDmove_down,2,FALSE),FALSE),J147,VLOOKUP(H147,NGPREVPRICES,4,FALSE),HLOOKUP($H$3,GDPrevVols,VLOOKUP(Q147,GDmove_down2,2,FALSE),FALSE),HLOOKUP($H$3,GDPrevVols,VLOOKUP(Q147,GDmove_down2,2,FALSE),FALSE),HLOOKUP(E147,GDcorr,VLOOKUP(H147,CorMove,2,FALSE),FALSE),Q147-$AC$3,R147,$AC$5)*I147-AI147</f>
        <v>#N/A</v>
      </c>
      <c r="AD147" s="234" t="e">
        <f>_xll.xSPRDOPT(HLOOKUP($D$3,GDPrev,VLOOKUP(Q147,GDmove_down,2,FALSE),FALSE),HLOOKUP($E$3,GDPrev,VLOOKUP(Q147,GDmove_down,2,FALSE),FALSE),AJ147,VLOOKUP(H147,NGPrices,4,FALSE),HLOOKUP($H$3,GDPrevVols,VLOOKUP(Q147,GDmove_down2,2,FALSE),FALSE),HLOOKUP($H$3,GDPrevVols,VLOOKUP(Q147,GDmove_down2,2,FALSE),FALSE),HLOOKUP(E147,GDcorr,VLOOKUP(H147,CorMove,2,FALSE),FALSE),Q147-$AC$3,R147,$AI$5)*I147-AI147</f>
        <v>#N/A</v>
      </c>
      <c r="AE147" s="439" t="e">
        <f t="shared" si="54"/>
        <v>#N/A</v>
      </c>
      <c r="AF147" s="234" t="e">
        <f>_xll.xSPRDOPT(HLOOKUP($D$3,GDPrev,VLOOKUP(Q147,GDmove_down,2,FALSE),FALSE),HLOOKUP($E$3,GDPrev,VLOOKUP(Q147,GDmove_down,2,FALSE),FALSE),AJ147,VLOOKUP(H147,NGPREVPRICES,4,FALSE),HLOOKUP($H$3,GDVol,VLOOKUP(H147,move_down,2,FALSE),FALSE),HLOOKUP($H$3,GDVol,VLOOKUP(H147,move_down,2,FALSE),FALSE),HLOOKUP(E147,GDcorr,VLOOKUP(H147,CorMove,2,FALSE),FALSE),Q147-$AC$3,R147,$AI$5)*I147-AI147</f>
        <v>#N/A</v>
      </c>
      <c r="AG147" s="234" t="e">
        <f>_xll.xSPRDOPT(HLOOKUP($D$3,GDPrev,VLOOKUP(Q147,GDmove_down,2,FALSE),FALSE),HLOOKUP($E$3,GDPrev,VLOOKUP(Q147,GDmove_down,2,FALSE),FALSE),AJ147,VLOOKUP(H147,NGPREVPRICES,4,FALSE),HLOOKUP($H$3,GDPrevVols,VLOOKUP(Q147,GDmove_down2,2,FALSE),FALSE),HLOOKUP($H$3,GDPrevVols,VLOOKUP(Q147,GDmove_down2,2,FALSE),FALSE),HLOOKUP(E147,GDcorr,VLOOKUP(H147,CorMove,2,FALSE),FALSE),Q147-$C$3,R147,$AI$5)*I147-AI147</f>
        <v>#N/A</v>
      </c>
      <c r="AH147" s="234" t="e">
        <f t="shared" si="55"/>
        <v>#N/A</v>
      </c>
      <c r="AI147" s="234" t="e">
        <f>_xll.xSPRDOPT(HLOOKUP($D$3,GDPrev,VLOOKUP(Q147,GDmove_down,2,FALSE),FALSE),HLOOKUP($E$3,GDPrev,VLOOKUP(Q147,GDmove_down,2,FALSE),FALSE),AJ147,VLOOKUP(H147,NGPREVPRICES,4,FALSE),HLOOKUP($H$3,GDPrevVols,VLOOKUP(Q147,GDmove_down2,2,FALSE),FALSE),HLOOKUP($H$3,GDPrevVols,VLOOKUP(Q147,GDmove_down2,2,FALSE),FALSE),HLOOKUP(E147,GDcorr,VLOOKUP(H147,CorMove,2,FALSE),FALSE),Q147-$AC$3,R147,$AI$5)*I147</f>
        <v>#N/A</v>
      </c>
      <c r="AJ147" s="235" t="e">
        <f t="shared" si="56"/>
        <v>#N/A</v>
      </c>
      <c r="AK147" s="234"/>
      <c r="AL147" t="str">
        <f t="shared" si="57"/>
        <v>36678Curve Shift/Gamma</v>
      </c>
      <c r="AM147" t="str">
        <f t="shared" si="65"/>
        <v>36678Rho</v>
      </c>
      <c r="AN147" t="str">
        <f t="shared" si="66"/>
        <v>36678Drift</v>
      </c>
      <c r="AO147" t="str">
        <f t="shared" si="67"/>
        <v>36678Vega</v>
      </c>
      <c r="AP147" t="str">
        <f t="shared" si="68"/>
        <v>36678Theta</v>
      </c>
      <c r="AZ147" s="41">
        <f t="shared" si="69"/>
        <v>40422</v>
      </c>
      <c r="BA147" s="44"/>
      <c r="BG147" s="441">
        <v>40756</v>
      </c>
      <c r="BH147">
        <v>0.98499999999999999</v>
      </c>
      <c r="BJ147" s="441">
        <v>40756</v>
      </c>
      <c r="BK147">
        <v>144</v>
      </c>
    </row>
    <row r="148" spans="1:63" ht="12" customHeight="1" x14ac:dyDescent="0.25">
      <c r="A148" s="382" t="s">
        <v>279</v>
      </c>
      <c r="B148" s="155" t="s">
        <v>250</v>
      </c>
      <c r="C148" s="155" t="s">
        <v>361</v>
      </c>
      <c r="D148" s="155" t="s">
        <v>190</v>
      </c>
      <c r="E148" s="4" t="s">
        <v>237</v>
      </c>
      <c r="F148" s="155" t="s">
        <v>20</v>
      </c>
      <c r="G148" s="155" t="s">
        <v>21</v>
      </c>
      <c r="H148" s="354">
        <v>36678</v>
      </c>
      <c r="I148" s="156">
        <v>10000</v>
      </c>
      <c r="J148" s="7">
        <v>0.46</v>
      </c>
      <c r="K148" s="53">
        <f t="shared" si="62"/>
        <v>4.9249999999999998</v>
      </c>
      <c r="L148" s="53">
        <f t="shared" si="63"/>
        <v>3.3149999999999999</v>
      </c>
      <c r="M148" s="157">
        <v>1</v>
      </c>
      <c r="N148" s="4">
        <v>0.51500000000000001</v>
      </c>
      <c r="O148" s="4">
        <v>0.51500000000000001</v>
      </c>
      <c r="P148" s="9" t="e">
        <f t="shared" si="64"/>
        <v>#N/A</v>
      </c>
      <c r="Q148" s="5">
        <v>36698</v>
      </c>
      <c r="R148" s="4">
        <f t="shared" si="58"/>
        <v>1</v>
      </c>
      <c r="S148" s="158" t="e">
        <f>_xll.xSPRDOPT($K148,$L148,$J148,$M148,$N148,$O148,$P148,$Q148-$C$3,$R148,0)</f>
        <v>#N/A</v>
      </c>
      <c r="T148" s="159" t="e">
        <f>_xll.xSPRDOPT($K148,$L148,$J148,$M148,$N148,$O148,$P148,$Q148-$C$3,$R148,1)*I148</f>
        <v>#N/A</v>
      </c>
      <c r="U148" s="160">
        <v>2050</v>
      </c>
      <c r="V148" s="159" t="e">
        <f>_xll.xSPRDOPT($K148,$L148,$J148,$M148,$N148,$O148,$P148,$Q148-$C$3,$R148,2)*I148</f>
        <v>#N/A</v>
      </c>
      <c r="W148" s="159" t="e">
        <f t="shared" si="59"/>
        <v>#N/A</v>
      </c>
      <c r="X148" s="51" t="str">
        <f t="shared" si="60"/>
        <v>36678IF-ELPO/SJ</v>
      </c>
      <c r="Y148" s="418">
        <f t="shared" si="61"/>
        <v>1</v>
      </c>
      <c r="AB148" s="141">
        <f t="shared" si="53"/>
        <v>36678</v>
      </c>
      <c r="AC148" s="234" t="e">
        <f>_xll.xSPRDOPT(HLOOKUP($D$3,GDPRICES,VLOOKUP(Q148,GDmove_down,2,FALSE),FALSE),HLOOKUP($E$3,GDPRICES,VLOOKUP(Q148,GDmove_down,2,FALSE),FALSE),J148,VLOOKUP(H148,NGPREVPRICES,4,FALSE),HLOOKUP($H$3,GDPrevVols,VLOOKUP(Q148,GDmove_down2,2,FALSE),FALSE),HLOOKUP($H$3,GDPrevVols,VLOOKUP(Q148,GDmove_down2,2,FALSE),FALSE),HLOOKUP(E148,GDcorr,VLOOKUP(H148,CorMove,2,FALSE),FALSE),Q148-$AC$3,R148,$AC$5)*I148-AI148</f>
        <v>#N/A</v>
      </c>
      <c r="AD148" s="234" t="e">
        <f>_xll.xSPRDOPT(HLOOKUP($D$3,GDPrev,VLOOKUP(Q148,GDmove_down,2,FALSE),FALSE),HLOOKUP($E$3,GDPrev,VLOOKUP(Q148,GDmove_down,2,FALSE),FALSE),AJ148,VLOOKUP(H148,NGPrices,4,FALSE),HLOOKUP($H$3,GDPrevVols,VLOOKUP(Q148,GDmove_down2,2,FALSE),FALSE),HLOOKUP($H$3,GDPrevVols,VLOOKUP(Q148,GDmove_down2,2,FALSE),FALSE),HLOOKUP(E148,GDcorr,VLOOKUP(H148,CorMove,2,FALSE),FALSE),Q148-$AC$3,R148,$AI$5)*I148-AI148</f>
        <v>#N/A</v>
      </c>
      <c r="AE148" s="439" t="e">
        <f t="shared" si="54"/>
        <v>#N/A</v>
      </c>
      <c r="AF148" s="234" t="e">
        <f>_xll.xSPRDOPT(HLOOKUP($D$3,GDPrev,VLOOKUP(Q148,GDmove_down,2,FALSE),FALSE),HLOOKUP($E$3,GDPrev,VLOOKUP(Q148,GDmove_down,2,FALSE),FALSE),AJ148,VLOOKUP(H148,NGPREVPRICES,4,FALSE),HLOOKUP($H$3,GDVol,VLOOKUP(H148,move_down,2,FALSE),FALSE),HLOOKUP($H$3,GDVol,VLOOKUP(H148,move_down,2,FALSE),FALSE),HLOOKUP(E148,GDcorr,VLOOKUP(H148,CorMove,2,FALSE),FALSE),Q148-$AC$3,R148,$AI$5)*I148-AI148</f>
        <v>#N/A</v>
      </c>
      <c r="AG148" s="234" t="e">
        <f>_xll.xSPRDOPT(HLOOKUP($D$3,GDPrev,VLOOKUP(Q148,GDmove_down,2,FALSE),FALSE),HLOOKUP($E$3,GDPrev,VLOOKUP(Q148,GDmove_down,2,FALSE),FALSE),AJ148,VLOOKUP(H148,NGPREVPRICES,4,FALSE),HLOOKUP($H$3,GDPrevVols,VLOOKUP(Q148,GDmove_down2,2,FALSE),FALSE),HLOOKUP($H$3,GDPrevVols,VLOOKUP(Q148,GDmove_down2,2,FALSE),FALSE),HLOOKUP(E148,GDcorr,VLOOKUP(H148,CorMove,2,FALSE),FALSE),Q148-$C$3,R148,$AI$5)*I148-AI148</f>
        <v>#N/A</v>
      </c>
      <c r="AH148" s="234" t="e">
        <f t="shared" si="55"/>
        <v>#N/A</v>
      </c>
      <c r="AI148" s="234" t="e">
        <f>_xll.xSPRDOPT(HLOOKUP($D$3,GDPrev,VLOOKUP(Q148,GDmove_down,2,FALSE),FALSE),HLOOKUP($E$3,GDPrev,VLOOKUP(Q148,GDmove_down,2,FALSE),FALSE),AJ148,VLOOKUP(H148,NGPREVPRICES,4,FALSE),HLOOKUP($H$3,GDPrevVols,VLOOKUP(Q148,GDmove_down2,2,FALSE),FALSE),HLOOKUP($H$3,GDPrevVols,VLOOKUP(Q148,GDmove_down2,2,FALSE),FALSE),HLOOKUP(E148,GDcorr,VLOOKUP(H148,CorMove,2,FALSE),FALSE),Q148-$AC$3,R148,$AI$5)*I148</f>
        <v>#N/A</v>
      </c>
      <c r="AJ148" s="235" t="e">
        <f t="shared" si="56"/>
        <v>#N/A</v>
      </c>
      <c r="AK148" s="234"/>
      <c r="AL148" t="str">
        <f t="shared" si="57"/>
        <v>36678Curve Shift/Gamma</v>
      </c>
      <c r="AM148" t="str">
        <f t="shared" si="65"/>
        <v>36678Rho</v>
      </c>
      <c r="AN148" t="str">
        <f t="shared" si="66"/>
        <v>36678Drift</v>
      </c>
      <c r="AO148" t="str">
        <f t="shared" si="67"/>
        <v>36678Vega</v>
      </c>
      <c r="AP148" t="str">
        <f t="shared" si="68"/>
        <v>36678Theta</v>
      </c>
      <c r="AZ148" s="41">
        <f t="shared" si="69"/>
        <v>40452</v>
      </c>
      <c r="BA148" s="44"/>
      <c r="BG148" s="441">
        <v>40787</v>
      </c>
      <c r="BH148">
        <v>0.98499999999999999</v>
      </c>
      <c r="BJ148" s="441">
        <v>40787</v>
      </c>
      <c r="BK148">
        <v>145</v>
      </c>
    </row>
    <row r="149" spans="1:63" ht="12" customHeight="1" x14ac:dyDescent="0.25">
      <c r="A149" s="382" t="s">
        <v>279</v>
      </c>
      <c r="B149" s="155" t="s">
        <v>250</v>
      </c>
      <c r="C149" s="155" t="s">
        <v>364</v>
      </c>
      <c r="D149" s="155" t="s">
        <v>190</v>
      </c>
      <c r="E149" s="4" t="s">
        <v>237</v>
      </c>
      <c r="F149" s="155" t="s">
        <v>20</v>
      </c>
      <c r="G149" s="155" t="s">
        <v>21</v>
      </c>
      <c r="H149" s="354">
        <v>36678</v>
      </c>
      <c r="I149" s="156">
        <v>-333333</v>
      </c>
      <c r="J149" s="7">
        <v>0.46</v>
      </c>
      <c r="K149" s="53">
        <f t="shared" si="62"/>
        <v>4.9249999999999998</v>
      </c>
      <c r="L149" s="53">
        <f t="shared" si="63"/>
        <v>3.3149999999999999</v>
      </c>
      <c r="M149" s="157">
        <v>1</v>
      </c>
      <c r="N149" s="4">
        <v>0.51500000000000001</v>
      </c>
      <c r="O149" s="4">
        <v>0.51500000000000001</v>
      </c>
      <c r="P149" s="9" t="e">
        <f t="shared" si="64"/>
        <v>#N/A</v>
      </c>
      <c r="Q149" s="5">
        <v>36698</v>
      </c>
      <c r="R149" s="4">
        <f t="shared" si="58"/>
        <v>1</v>
      </c>
      <c r="S149" s="158" t="e">
        <f>_xll.xSPRDOPT($K149,$L149,$J149,$M149,$N149,$O149,$P149,$Q149-$C$3,$R149,0)</f>
        <v>#N/A</v>
      </c>
      <c r="T149" s="159" t="e">
        <f>_xll.xSPRDOPT($K149,$L149,$J149,$M149,$N149,$O149,$P149,$Q149-$C$3,$R149,1)*I149</f>
        <v>#N/A</v>
      </c>
      <c r="U149" s="160">
        <v>-68333.264999999999</v>
      </c>
      <c r="V149" s="159" t="e">
        <f>_xll.xSPRDOPT($K149,$L149,$J149,$M149,$N149,$O149,$P149,$Q149-$C$3,$R149,2)*I149</f>
        <v>#N/A</v>
      </c>
      <c r="W149" s="159" t="e">
        <f t="shared" si="59"/>
        <v>#N/A</v>
      </c>
      <c r="X149" s="51" t="str">
        <f t="shared" si="60"/>
        <v>36678IF-ELPO/SJ</v>
      </c>
      <c r="Y149" s="418">
        <f t="shared" si="61"/>
        <v>-33.333300000000001</v>
      </c>
      <c r="Z149" s="51"/>
      <c r="AB149" s="141">
        <f t="shared" si="53"/>
        <v>36678</v>
      </c>
      <c r="AC149" s="234" t="e">
        <f>_xll.xSPRDOPT(HLOOKUP($D$3,GDPRICES,VLOOKUP(Q149,GDmove_down,2,FALSE),FALSE),HLOOKUP($E$3,GDPRICES,VLOOKUP(Q149,GDmove_down,2,FALSE),FALSE),J149,VLOOKUP(H149,NGPREVPRICES,4,FALSE),HLOOKUP($H$3,GDPrevVols,VLOOKUP(Q149,GDmove_down2,2,FALSE),FALSE),HLOOKUP($H$3,GDPrevVols,VLOOKUP(Q149,GDmove_down2,2,FALSE),FALSE),HLOOKUP(E149,GDcorr,VLOOKUP(H149,CorMove,2,FALSE),FALSE),Q149-$AC$3,R149,$AC$5)*I149-AI149</f>
        <v>#N/A</v>
      </c>
      <c r="AD149" s="234" t="e">
        <f>_xll.xSPRDOPT(HLOOKUP($D$3,GDPrev,VLOOKUP(Q149,GDmove_down,2,FALSE),FALSE),HLOOKUP($E$3,GDPrev,VLOOKUP(Q149,GDmove_down,2,FALSE),FALSE),AJ149,VLOOKUP(H149,NGPrices,4,FALSE),HLOOKUP($H$3,GDPrevVols,VLOOKUP(Q149,GDmove_down2,2,FALSE),FALSE),HLOOKUP($H$3,GDPrevVols,VLOOKUP(Q149,GDmove_down2,2,FALSE),FALSE),HLOOKUP(E149,GDcorr,VLOOKUP(H149,CorMove,2,FALSE),FALSE),Q149-$AC$3,R149,$AI$5)*I149-AI149</f>
        <v>#N/A</v>
      </c>
      <c r="AE149" s="439" t="e">
        <f t="shared" si="54"/>
        <v>#N/A</v>
      </c>
      <c r="AF149" s="234" t="e">
        <f>_xll.xSPRDOPT(HLOOKUP($D$3,GDPrev,VLOOKUP(Q149,GDmove_down,2,FALSE),FALSE),HLOOKUP($E$3,GDPrev,VLOOKUP(Q149,GDmove_down,2,FALSE),FALSE),AJ149,VLOOKUP(H149,NGPREVPRICES,4,FALSE),HLOOKUP($H$3,GDVol,VLOOKUP(H149,move_down,2,FALSE),FALSE),HLOOKUP($H$3,GDVol,VLOOKUP(H149,move_down,2,FALSE),FALSE),HLOOKUP(E149,GDcorr,VLOOKUP(H149,CorMove,2,FALSE),FALSE),Q149-$AC$3,R149,$AI$5)*I149-AI149</f>
        <v>#N/A</v>
      </c>
      <c r="AG149" s="234" t="e">
        <f>_xll.xSPRDOPT(HLOOKUP($D$3,GDPrev,VLOOKUP(Q149,GDmove_down,2,FALSE),FALSE),HLOOKUP($E$3,GDPrev,VLOOKUP(Q149,GDmove_down,2,FALSE),FALSE),AJ149,VLOOKUP(H149,NGPREVPRICES,4,FALSE),HLOOKUP($H$3,GDPrevVols,VLOOKUP(Q149,GDmove_down2,2,FALSE),FALSE),HLOOKUP($H$3,GDPrevVols,VLOOKUP(Q149,GDmove_down2,2,FALSE),FALSE),HLOOKUP(E149,GDcorr,VLOOKUP(H149,CorMove,2,FALSE),FALSE),Q149-$C$3,R149,$AI$5)*I149-AI149</f>
        <v>#N/A</v>
      </c>
      <c r="AH149" s="234" t="e">
        <f t="shared" si="55"/>
        <v>#N/A</v>
      </c>
      <c r="AI149" s="234" t="e">
        <f>_xll.xSPRDOPT(HLOOKUP($D$3,GDPrev,VLOOKUP(Q149,GDmove_down,2,FALSE),FALSE),HLOOKUP($E$3,GDPrev,VLOOKUP(Q149,GDmove_down,2,FALSE),FALSE),AJ149,VLOOKUP(H149,NGPREVPRICES,4,FALSE),HLOOKUP($H$3,GDPrevVols,VLOOKUP(Q149,GDmove_down2,2,FALSE),FALSE),HLOOKUP($H$3,GDPrevVols,VLOOKUP(Q149,GDmove_down2,2,FALSE),FALSE),HLOOKUP(E149,GDcorr,VLOOKUP(H149,CorMove,2,FALSE),FALSE),Q149-$AC$3,R149,$AI$5)*I149</f>
        <v>#N/A</v>
      </c>
      <c r="AJ149" s="235" t="e">
        <f t="shared" si="56"/>
        <v>#N/A</v>
      </c>
      <c r="AK149" s="234"/>
      <c r="AL149" t="str">
        <f t="shared" si="57"/>
        <v>36678Curve Shift/Gamma</v>
      </c>
      <c r="AM149" t="str">
        <f t="shared" si="65"/>
        <v>36678Rho</v>
      </c>
      <c r="AN149" t="str">
        <f t="shared" si="66"/>
        <v>36678Drift</v>
      </c>
      <c r="AO149" t="str">
        <f t="shared" si="67"/>
        <v>36678Vega</v>
      </c>
      <c r="AP149" t="str">
        <f t="shared" si="68"/>
        <v>36678Theta</v>
      </c>
      <c r="AZ149" s="41">
        <f t="shared" si="69"/>
        <v>40483</v>
      </c>
      <c r="BA149" s="44"/>
      <c r="BG149" s="441">
        <v>40817</v>
      </c>
      <c r="BH149">
        <v>0.98499999999999999</v>
      </c>
      <c r="BJ149" s="441">
        <v>40817</v>
      </c>
      <c r="BK149">
        <v>146</v>
      </c>
    </row>
    <row r="150" spans="1:63" ht="12" customHeight="1" x14ac:dyDescent="0.25">
      <c r="A150" s="384" t="s">
        <v>268</v>
      </c>
      <c r="B150" s="155" t="s">
        <v>250</v>
      </c>
      <c r="C150" s="155" t="s">
        <v>387</v>
      </c>
      <c r="D150" s="155" t="s">
        <v>190</v>
      </c>
      <c r="E150" s="4" t="s">
        <v>237</v>
      </c>
      <c r="F150" s="155" t="s">
        <v>20</v>
      </c>
      <c r="G150" s="155" t="s">
        <v>21</v>
      </c>
      <c r="H150" s="354">
        <v>36678</v>
      </c>
      <c r="I150" s="156">
        <v>-10000</v>
      </c>
      <c r="J150" s="7">
        <v>0.46</v>
      </c>
      <c r="K150" s="53">
        <f t="shared" si="62"/>
        <v>4.9249999999999998</v>
      </c>
      <c r="L150" s="53">
        <f t="shared" si="63"/>
        <v>3.3149999999999999</v>
      </c>
      <c r="M150" s="157">
        <v>1</v>
      </c>
      <c r="N150" s="4">
        <v>0.51500000000000001</v>
      </c>
      <c r="O150" s="4">
        <v>0.51500000000000001</v>
      </c>
      <c r="P150" s="9" t="e">
        <f t="shared" si="64"/>
        <v>#N/A</v>
      </c>
      <c r="Q150" s="5">
        <v>36698</v>
      </c>
      <c r="R150" s="4">
        <f t="shared" si="58"/>
        <v>1</v>
      </c>
      <c r="S150" s="158" t="e">
        <f>_xll.xSPRDOPT($K150,$L150,$J150,$M150,$N150,$O150,$P150,$Q150-$C$3,$R150,0)</f>
        <v>#N/A</v>
      </c>
      <c r="T150" s="159" t="e">
        <f>_xll.xSPRDOPT($K150,$L150,$J150,$M150,$N150,$O150,$P150,$Q150-$C$3,$R150,1)*I150</f>
        <v>#N/A</v>
      </c>
      <c r="U150" s="160">
        <v>-2050</v>
      </c>
      <c r="V150" s="159" t="e">
        <f>_xll.xSPRDOPT($K150,$L150,$J150,$M150,$N150,$O150,$P150,$Q150-$C$3,$R150,2)*I150</f>
        <v>#N/A</v>
      </c>
      <c r="W150" s="159" t="e">
        <f t="shared" si="59"/>
        <v>#N/A</v>
      </c>
      <c r="X150" s="51" t="str">
        <f t="shared" si="60"/>
        <v>36678IF-ELPO/SJ</v>
      </c>
      <c r="Y150" s="418">
        <f t="shared" si="61"/>
        <v>-1</v>
      </c>
      <c r="Z150" s="51"/>
      <c r="AB150" s="141">
        <f t="shared" si="53"/>
        <v>36678</v>
      </c>
      <c r="AC150" s="234" t="e">
        <f>_xll.xSPRDOPT(HLOOKUP($D$3,GDPRICES,VLOOKUP(Q150,GDmove_down,2,FALSE),FALSE),HLOOKUP($E$3,GDPRICES,VLOOKUP(Q150,GDmove_down,2,FALSE),FALSE),J150,VLOOKUP(H150,NGPREVPRICES,4,FALSE),HLOOKUP($H$3,GDPrevVols,VLOOKUP(Q150,GDmove_down2,2,FALSE),FALSE),HLOOKUP($H$3,GDPrevVols,VLOOKUP(Q150,GDmove_down2,2,FALSE),FALSE),HLOOKUP(E150,GDcorr,VLOOKUP(H150,CorMove,2,FALSE),FALSE),Q150-$AC$3,R150,$AC$5)*I150-AI150</f>
        <v>#N/A</v>
      </c>
      <c r="AD150" s="234" t="e">
        <f>_xll.xSPRDOPT(HLOOKUP($D$3,GDPrev,VLOOKUP(Q150,GDmove_down,2,FALSE),FALSE),HLOOKUP($E$3,GDPrev,VLOOKUP(Q150,GDmove_down,2,FALSE),FALSE),AJ150,VLOOKUP(H150,NGPrices,4,FALSE),HLOOKUP($H$3,GDPrevVols,VLOOKUP(Q150,GDmove_down2,2,FALSE),FALSE),HLOOKUP($H$3,GDPrevVols,VLOOKUP(Q150,GDmove_down2,2,FALSE),FALSE),HLOOKUP(E150,GDcorr,VLOOKUP(H150,CorMove,2,FALSE),FALSE),Q150-$AC$3,R150,$AI$5)*I150-AI150</f>
        <v>#N/A</v>
      </c>
      <c r="AE150" s="439" t="e">
        <f t="shared" si="54"/>
        <v>#N/A</v>
      </c>
      <c r="AF150" s="234" t="e">
        <f>_xll.xSPRDOPT(HLOOKUP($D$3,GDPrev,VLOOKUP(Q150,GDmove_down,2,FALSE),FALSE),HLOOKUP($E$3,GDPrev,VLOOKUP(Q150,GDmove_down,2,FALSE),FALSE),AJ150,VLOOKUP(H150,NGPREVPRICES,4,FALSE),HLOOKUP($H$3,GDVol,VLOOKUP(H150,move_down,2,FALSE),FALSE),HLOOKUP($H$3,GDVol,VLOOKUP(H150,move_down,2,FALSE),FALSE),HLOOKUP(E150,GDcorr,VLOOKUP(H150,CorMove,2,FALSE),FALSE),Q150-$AC$3,R150,$AI$5)*I150-AI150</f>
        <v>#N/A</v>
      </c>
      <c r="AG150" s="234" t="e">
        <f>_xll.xSPRDOPT(HLOOKUP($D$3,GDPrev,VLOOKUP(Q150,GDmove_down,2,FALSE),FALSE),HLOOKUP($E$3,GDPrev,VLOOKUP(Q150,GDmove_down,2,FALSE),FALSE),AJ150,VLOOKUP(H150,NGPREVPRICES,4,FALSE),HLOOKUP($H$3,GDPrevVols,VLOOKUP(Q150,GDmove_down2,2,FALSE),FALSE),HLOOKUP($H$3,GDPrevVols,VLOOKUP(Q150,GDmove_down2,2,FALSE),FALSE),HLOOKUP(E150,GDcorr,VLOOKUP(H150,CorMove,2,FALSE),FALSE),Q150-$C$3,R150,$AI$5)*I150-AI150</f>
        <v>#N/A</v>
      </c>
      <c r="AH150" s="234" t="e">
        <f t="shared" si="55"/>
        <v>#N/A</v>
      </c>
      <c r="AI150" s="234" t="e">
        <f>_xll.xSPRDOPT(HLOOKUP($D$3,GDPrev,VLOOKUP(Q150,GDmove_down,2,FALSE),FALSE),HLOOKUP($E$3,GDPrev,VLOOKUP(Q150,GDmove_down,2,FALSE),FALSE),AJ150,VLOOKUP(H150,NGPREVPRICES,4,FALSE),HLOOKUP($H$3,GDPrevVols,VLOOKUP(Q150,GDmove_down2,2,FALSE),FALSE),HLOOKUP($H$3,GDPrevVols,VLOOKUP(Q150,GDmove_down2,2,FALSE),FALSE),HLOOKUP(E150,GDcorr,VLOOKUP(H150,CorMove,2,FALSE),FALSE),Q150-$AC$3,R150,$AI$5)*I150</f>
        <v>#N/A</v>
      </c>
      <c r="AJ150" s="235" t="e">
        <f t="shared" si="56"/>
        <v>#N/A</v>
      </c>
      <c r="AK150" s="234"/>
      <c r="AL150" t="str">
        <f t="shared" si="57"/>
        <v>36678Curve Shift/Gamma</v>
      </c>
      <c r="AM150" t="str">
        <f t="shared" si="65"/>
        <v>36678Rho</v>
      </c>
      <c r="AN150" t="str">
        <f t="shared" si="66"/>
        <v>36678Drift</v>
      </c>
      <c r="AO150" t="str">
        <f t="shared" si="67"/>
        <v>36678Vega</v>
      </c>
      <c r="AP150" t="str">
        <f t="shared" si="68"/>
        <v>36678Theta</v>
      </c>
      <c r="AZ150" s="41">
        <f t="shared" si="69"/>
        <v>40513</v>
      </c>
      <c r="BA150" s="44"/>
      <c r="BG150" s="441">
        <v>40848</v>
      </c>
      <c r="BH150">
        <v>0.97048500000000038</v>
      </c>
      <c r="BJ150" s="441">
        <v>40848</v>
      </c>
      <c r="BK150">
        <v>147</v>
      </c>
    </row>
    <row r="151" spans="1:63" ht="12" customHeight="1" x14ac:dyDescent="0.25">
      <c r="A151" s="384" t="s">
        <v>279</v>
      </c>
      <c r="B151" s="155" t="s">
        <v>250</v>
      </c>
      <c r="C151" s="155" t="s">
        <v>388</v>
      </c>
      <c r="D151" s="155" t="s">
        <v>190</v>
      </c>
      <c r="E151" s="4" t="s">
        <v>237</v>
      </c>
      <c r="F151" s="155" t="s">
        <v>20</v>
      </c>
      <c r="G151" s="155" t="s">
        <v>21</v>
      </c>
      <c r="H151" s="354">
        <v>36678</v>
      </c>
      <c r="I151" s="156">
        <v>50000</v>
      </c>
      <c r="J151" s="7">
        <v>0.46</v>
      </c>
      <c r="K151" s="53">
        <f t="shared" si="62"/>
        <v>4.9249999999999998</v>
      </c>
      <c r="L151" s="53">
        <f t="shared" si="63"/>
        <v>3.3149999999999999</v>
      </c>
      <c r="M151" s="157">
        <v>1</v>
      </c>
      <c r="N151" s="4">
        <v>0.51500000000000001</v>
      </c>
      <c r="O151" s="4">
        <v>0.51500000000000001</v>
      </c>
      <c r="P151" s="9" t="e">
        <f t="shared" si="64"/>
        <v>#N/A</v>
      </c>
      <c r="Q151" s="5">
        <v>36698</v>
      </c>
      <c r="R151" s="4">
        <f t="shared" si="58"/>
        <v>1</v>
      </c>
      <c r="S151" s="158" t="e">
        <f>_xll.xSPRDOPT($K151,$L151,$J151,$M151,$N151,$O151,$P151,$Q151-$C$3,$R151,0)</f>
        <v>#N/A</v>
      </c>
      <c r="T151" s="159" t="e">
        <f>_xll.xSPRDOPT($K151,$L151,$J151,$M151,$N151,$O151,$P151,$Q151-$C$3,$R151,1)*I151</f>
        <v>#N/A</v>
      </c>
      <c r="U151" s="160">
        <v>10250</v>
      </c>
      <c r="V151" s="159" t="e">
        <f>_xll.xSPRDOPT($K151,$L151,$J151,$M151,$N151,$O151,$P151,$Q151-$C$3,$R151,2)*I151</f>
        <v>#N/A</v>
      </c>
      <c r="W151" s="159" t="e">
        <f t="shared" si="59"/>
        <v>#N/A</v>
      </c>
      <c r="X151" s="51" t="str">
        <f t="shared" si="60"/>
        <v>36678IF-ELPO/SJ</v>
      </c>
      <c r="Y151" s="418">
        <f t="shared" si="61"/>
        <v>5</v>
      </c>
      <c r="Z151" s="51"/>
      <c r="AB151" s="141">
        <f t="shared" si="53"/>
        <v>36678</v>
      </c>
      <c r="AC151" s="234" t="e">
        <f>_xll.xSPRDOPT(HLOOKUP($D$3,GDPRICES,VLOOKUP(Q151,GDmove_down,2,FALSE),FALSE),HLOOKUP($E$3,GDPRICES,VLOOKUP(Q151,GDmove_down,2,FALSE),FALSE),J151,VLOOKUP(H151,NGPREVPRICES,4,FALSE),HLOOKUP($H$3,GDPrevVols,VLOOKUP(Q151,GDmove_down2,2,FALSE),FALSE),HLOOKUP($H$3,GDPrevVols,VLOOKUP(Q151,GDmove_down2,2,FALSE),FALSE),HLOOKUP(E151,GDcorr,VLOOKUP(H151,CorMove,2,FALSE),FALSE),Q151-$AC$3,R151,$AC$5)*I151-AI151</f>
        <v>#N/A</v>
      </c>
      <c r="AD151" s="234" t="e">
        <f>_xll.xSPRDOPT(HLOOKUP($D$3,GDPrev,VLOOKUP(Q151,GDmove_down,2,FALSE),FALSE),HLOOKUP($E$3,GDPrev,VLOOKUP(Q151,GDmove_down,2,FALSE),FALSE),AJ151,VLOOKUP(H151,NGPrices,4,FALSE),HLOOKUP($H$3,GDPrevVols,VLOOKUP(Q151,GDmove_down2,2,FALSE),FALSE),HLOOKUP($H$3,GDPrevVols,VLOOKUP(Q151,GDmove_down2,2,FALSE),FALSE),HLOOKUP(E151,GDcorr,VLOOKUP(H151,CorMove,2,FALSE),FALSE),Q151-$AC$3,R151,$AI$5)*I151-AI151</f>
        <v>#N/A</v>
      </c>
      <c r="AE151" s="439" t="e">
        <f t="shared" si="54"/>
        <v>#N/A</v>
      </c>
      <c r="AF151" s="234" t="e">
        <f>_xll.xSPRDOPT(HLOOKUP($D$3,GDPrev,VLOOKUP(Q151,GDmove_down,2,FALSE),FALSE),HLOOKUP($E$3,GDPrev,VLOOKUP(Q151,GDmove_down,2,FALSE),FALSE),AJ151,VLOOKUP(H151,NGPREVPRICES,4,FALSE),HLOOKUP($H$3,GDVol,VLOOKUP(H151,move_down,2,FALSE),FALSE),HLOOKUP($H$3,GDVol,VLOOKUP(H151,move_down,2,FALSE),FALSE),HLOOKUP(E151,GDcorr,VLOOKUP(H151,CorMove,2,FALSE),FALSE),Q151-$AC$3,R151,$AI$5)*I151-AI151</f>
        <v>#N/A</v>
      </c>
      <c r="AG151" s="234" t="e">
        <f>_xll.xSPRDOPT(HLOOKUP($D$3,GDPrev,VLOOKUP(Q151,GDmove_down,2,FALSE),FALSE),HLOOKUP($E$3,GDPrev,VLOOKUP(Q151,GDmove_down,2,FALSE),FALSE),AJ151,VLOOKUP(H151,NGPREVPRICES,4,FALSE),HLOOKUP($H$3,GDPrevVols,VLOOKUP(Q151,GDmove_down2,2,FALSE),FALSE),HLOOKUP($H$3,GDPrevVols,VLOOKUP(Q151,GDmove_down2,2,FALSE),FALSE),HLOOKUP(E151,GDcorr,VLOOKUP(H151,CorMove,2,FALSE),FALSE),Q151-$C$3,R151,$AI$5)*I151-AI151</f>
        <v>#N/A</v>
      </c>
      <c r="AH151" s="234" t="e">
        <f t="shared" si="55"/>
        <v>#N/A</v>
      </c>
      <c r="AI151" s="234" t="e">
        <f>_xll.xSPRDOPT(HLOOKUP($D$3,GDPrev,VLOOKUP(Q151,GDmove_down,2,FALSE),FALSE),HLOOKUP($E$3,GDPrev,VLOOKUP(Q151,GDmove_down,2,FALSE),FALSE),AJ151,VLOOKUP(H151,NGPREVPRICES,4,FALSE),HLOOKUP($H$3,GDPrevVols,VLOOKUP(Q151,GDmove_down2,2,FALSE),FALSE),HLOOKUP($H$3,GDPrevVols,VLOOKUP(Q151,GDmove_down2,2,FALSE),FALSE),HLOOKUP(E151,GDcorr,VLOOKUP(H151,CorMove,2,FALSE),FALSE),Q151-$AC$3,R151,$AI$5)*I151</f>
        <v>#N/A</v>
      </c>
      <c r="AJ151" s="235" t="e">
        <f t="shared" si="56"/>
        <v>#N/A</v>
      </c>
      <c r="AK151" s="234"/>
      <c r="AL151" t="str">
        <f t="shared" si="57"/>
        <v>36678Curve Shift/Gamma</v>
      </c>
      <c r="AM151" t="str">
        <f t="shared" si="65"/>
        <v>36678Rho</v>
      </c>
      <c r="AN151" t="str">
        <f t="shared" si="66"/>
        <v>36678Drift</v>
      </c>
      <c r="AO151" t="str">
        <f t="shared" si="67"/>
        <v>36678Vega</v>
      </c>
      <c r="AP151" t="str">
        <f t="shared" si="68"/>
        <v>36678Theta</v>
      </c>
      <c r="AZ151" s="41">
        <f t="shared" si="69"/>
        <v>40544</v>
      </c>
      <c r="BA151" s="44"/>
      <c r="BG151" s="441">
        <v>40878</v>
      </c>
      <c r="BH151">
        <v>0.97048500000000038</v>
      </c>
      <c r="BJ151" s="441">
        <v>40878</v>
      </c>
      <c r="BK151">
        <v>148</v>
      </c>
    </row>
    <row r="152" spans="1:63" ht="12" customHeight="1" x14ac:dyDescent="0.25">
      <c r="A152" s="384" t="s">
        <v>279</v>
      </c>
      <c r="B152" s="155" t="s">
        <v>250</v>
      </c>
      <c r="C152" s="155" t="s">
        <v>389</v>
      </c>
      <c r="D152" s="155" t="s">
        <v>190</v>
      </c>
      <c r="E152" s="4" t="s">
        <v>237</v>
      </c>
      <c r="F152" s="155" t="s">
        <v>20</v>
      </c>
      <c r="G152" s="155" t="s">
        <v>21</v>
      </c>
      <c r="H152" s="354">
        <v>36678</v>
      </c>
      <c r="I152" s="156">
        <v>50000</v>
      </c>
      <c r="J152" s="7">
        <v>0.46</v>
      </c>
      <c r="K152" s="53">
        <f t="shared" si="62"/>
        <v>4.9249999999999998</v>
      </c>
      <c r="L152" s="53">
        <f t="shared" si="63"/>
        <v>3.3149999999999999</v>
      </c>
      <c r="M152" s="157">
        <v>1</v>
      </c>
      <c r="N152" s="4">
        <v>0.51500000000000001</v>
      </c>
      <c r="O152" s="4">
        <v>0.51500000000000001</v>
      </c>
      <c r="P152" s="9" t="e">
        <f t="shared" si="64"/>
        <v>#N/A</v>
      </c>
      <c r="Q152" s="5">
        <v>36698</v>
      </c>
      <c r="R152" s="4">
        <f t="shared" si="58"/>
        <v>1</v>
      </c>
      <c r="S152" s="158" t="e">
        <f>_xll.xSPRDOPT($K152,$L152,$J152,$M152,$N152,$O152,$P152,$Q152-$C$3,$R152,0)</f>
        <v>#N/A</v>
      </c>
      <c r="T152" s="159" t="e">
        <f>_xll.xSPRDOPT($K152,$L152,$J152,$M152,$N152,$O152,$P152,$Q152-$C$3,$R152,1)*I152</f>
        <v>#N/A</v>
      </c>
      <c r="U152" s="160">
        <v>10250</v>
      </c>
      <c r="V152" s="159" t="e">
        <f>_xll.xSPRDOPT($K152,$L152,$J152,$M152,$N152,$O152,$P152,$Q152-$C$3,$R152,2)*I152</f>
        <v>#N/A</v>
      </c>
      <c r="W152" s="159" t="e">
        <f t="shared" si="59"/>
        <v>#N/A</v>
      </c>
      <c r="X152" s="51" t="str">
        <f t="shared" si="60"/>
        <v>36678IF-ELPO/SJ</v>
      </c>
      <c r="Y152" s="418">
        <f t="shared" si="61"/>
        <v>5</v>
      </c>
      <c r="Z152" s="51"/>
      <c r="AB152" s="141">
        <f t="shared" si="53"/>
        <v>36678</v>
      </c>
      <c r="AC152" s="234" t="e">
        <f>_xll.xSPRDOPT(HLOOKUP($D$3,GDPRICES,VLOOKUP(Q152,GDmove_down,2,FALSE),FALSE),HLOOKUP($E$3,GDPRICES,VLOOKUP(Q152,GDmove_down,2,FALSE),FALSE),J152,VLOOKUP(H152,NGPREVPRICES,4,FALSE),HLOOKUP($H$3,GDPrevVols,VLOOKUP(Q152,GDmove_down2,2,FALSE),FALSE),HLOOKUP($H$3,GDPrevVols,VLOOKUP(Q152,GDmove_down2,2,FALSE),FALSE),HLOOKUP(E152,GDcorr,VLOOKUP(H152,CorMove,2,FALSE),FALSE),Q152-$AC$3,R152,$AC$5)*I152-AI152</f>
        <v>#N/A</v>
      </c>
      <c r="AD152" s="234" t="e">
        <f>_xll.xSPRDOPT(HLOOKUP($D$3,GDPrev,VLOOKUP(Q152,GDmove_down,2,FALSE),FALSE),HLOOKUP($E$3,GDPrev,VLOOKUP(Q152,GDmove_down,2,FALSE),FALSE),AJ152,VLOOKUP(H152,NGPrices,4,FALSE),HLOOKUP($H$3,GDPrevVols,VLOOKUP(Q152,GDmove_down2,2,FALSE),FALSE),HLOOKUP($H$3,GDPrevVols,VLOOKUP(Q152,GDmove_down2,2,FALSE),FALSE),HLOOKUP(E152,GDcorr,VLOOKUP(H152,CorMove,2,FALSE),FALSE),Q152-$AC$3,R152,$AI$5)*I152-AI152</f>
        <v>#N/A</v>
      </c>
      <c r="AE152" s="439" t="e">
        <f t="shared" si="54"/>
        <v>#N/A</v>
      </c>
      <c r="AF152" s="234" t="e">
        <f>_xll.xSPRDOPT(HLOOKUP($D$3,GDPrev,VLOOKUP(Q152,GDmove_down,2,FALSE),FALSE),HLOOKUP($E$3,GDPrev,VLOOKUP(Q152,GDmove_down,2,FALSE),FALSE),AJ152,VLOOKUP(H152,NGPREVPRICES,4,FALSE),HLOOKUP($H$3,GDVol,VLOOKUP(H152,move_down,2,FALSE),FALSE),HLOOKUP($H$3,GDVol,VLOOKUP(H152,move_down,2,FALSE),FALSE),HLOOKUP(E152,GDcorr,VLOOKUP(H152,CorMove,2,FALSE),FALSE),Q152-$AC$3,R152,$AI$5)*I152-AI152</f>
        <v>#N/A</v>
      </c>
      <c r="AG152" s="234" t="e">
        <f>_xll.xSPRDOPT(HLOOKUP($D$3,GDPrev,VLOOKUP(Q152,GDmove_down,2,FALSE),FALSE),HLOOKUP($E$3,GDPrev,VLOOKUP(Q152,GDmove_down,2,FALSE),FALSE),AJ152,VLOOKUP(H152,NGPREVPRICES,4,FALSE),HLOOKUP($H$3,GDPrevVols,VLOOKUP(Q152,GDmove_down2,2,FALSE),FALSE),HLOOKUP($H$3,GDPrevVols,VLOOKUP(Q152,GDmove_down2,2,FALSE),FALSE),HLOOKUP(E152,GDcorr,VLOOKUP(H152,CorMove,2,FALSE),FALSE),Q152-$C$3,R152,$AI$5)*I152-AI152</f>
        <v>#N/A</v>
      </c>
      <c r="AH152" s="234" t="e">
        <f t="shared" si="55"/>
        <v>#N/A</v>
      </c>
      <c r="AI152" s="234" t="e">
        <f>_xll.xSPRDOPT(HLOOKUP($D$3,GDPrev,VLOOKUP(Q152,GDmove_down,2,FALSE),FALSE),HLOOKUP($E$3,GDPrev,VLOOKUP(Q152,GDmove_down,2,FALSE),FALSE),AJ152,VLOOKUP(H152,NGPREVPRICES,4,FALSE),HLOOKUP($H$3,GDPrevVols,VLOOKUP(Q152,GDmove_down2,2,FALSE),FALSE),HLOOKUP($H$3,GDPrevVols,VLOOKUP(Q152,GDmove_down2,2,FALSE),FALSE),HLOOKUP(E152,GDcorr,VLOOKUP(H152,CorMove,2,FALSE),FALSE),Q152-$AC$3,R152,$AI$5)*I152</f>
        <v>#N/A</v>
      </c>
      <c r="AJ152" s="235" t="e">
        <f t="shared" si="56"/>
        <v>#N/A</v>
      </c>
      <c r="AK152" s="234"/>
      <c r="AL152" t="str">
        <f t="shared" si="57"/>
        <v>36678Curve Shift/Gamma</v>
      </c>
      <c r="AM152" t="str">
        <f t="shared" si="65"/>
        <v>36678Rho</v>
      </c>
      <c r="AN152" t="str">
        <f t="shared" si="66"/>
        <v>36678Drift</v>
      </c>
      <c r="AO152" t="str">
        <f t="shared" si="67"/>
        <v>36678Vega</v>
      </c>
      <c r="AP152" t="str">
        <f t="shared" si="68"/>
        <v>36678Theta</v>
      </c>
      <c r="AZ152" s="41">
        <f t="shared" si="69"/>
        <v>40575</v>
      </c>
      <c r="BA152" s="44"/>
      <c r="BG152" s="441">
        <v>40909</v>
      </c>
      <c r="BH152">
        <v>0.98499999999999999</v>
      </c>
      <c r="BJ152" s="441">
        <v>40909</v>
      </c>
      <c r="BK152">
        <v>149</v>
      </c>
    </row>
    <row r="153" spans="1:63" ht="12" customHeight="1" x14ac:dyDescent="0.25">
      <c r="A153" s="384" t="s">
        <v>279</v>
      </c>
      <c r="B153" s="155" t="s">
        <v>250</v>
      </c>
      <c r="C153" s="155" t="s">
        <v>398</v>
      </c>
      <c r="D153" s="155" t="s">
        <v>190</v>
      </c>
      <c r="E153" s="4" t="s">
        <v>237</v>
      </c>
      <c r="F153" s="155" t="s">
        <v>20</v>
      </c>
      <c r="G153" s="155" t="s">
        <v>21</v>
      </c>
      <c r="H153" s="354">
        <v>36678</v>
      </c>
      <c r="I153" s="156">
        <v>-10000</v>
      </c>
      <c r="J153" s="7">
        <v>0.46</v>
      </c>
      <c r="K153" s="53">
        <f t="shared" si="62"/>
        <v>4.9249999999999998</v>
      </c>
      <c r="L153" s="53">
        <f t="shared" si="63"/>
        <v>3.3149999999999999</v>
      </c>
      <c r="M153" s="157">
        <v>1</v>
      </c>
      <c r="N153" s="4">
        <v>0.51500000000000001</v>
      </c>
      <c r="O153" s="4">
        <v>0.51500000000000001</v>
      </c>
      <c r="P153" s="9" t="e">
        <f t="shared" si="64"/>
        <v>#N/A</v>
      </c>
      <c r="Q153" s="5">
        <v>36698</v>
      </c>
      <c r="R153" s="4">
        <f t="shared" si="58"/>
        <v>1</v>
      </c>
      <c r="S153" s="158" t="e">
        <f>_xll.xSPRDOPT($K153,$L153,$J153,$M153,$N153,$O153,$P153,$Q153-$C$3,$R153,0)</f>
        <v>#N/A</v>
      </c>
      <c r="T153" s="159" t="e">
        <f>_xll.xSPRDOPT($K153,$L153,$J153,$M153,$N153,$O153,$P153,$Q153-$C$3,$R153,1)*I153</f>
        <v>#N/A</v>
      </c>
      <c r="U153" s="160">
        <v>-2050</v>
      </c>
      <c r="V153" s="159" t="e">
        <f>_xll.xSPRDOPT($K153,$L153,$J153,$M153,$N153,$O153,$P153,$Q153-$C$3,$R153,2)*I153</f>
        <v>#N/A</v>
      </c>
      <c r="W153" s="159" t="e">
        <f t="shared" si="59"/>
        <v>#N/A</v>
      </c>
      <c r="X153" s="51" t="str">
        <f t="shared" si="60"/>
        <v>36678IF-ELPO/SJ</v>
      </c>
      <c r="Y153" s="418">
        <f t="shared" si="61"/>
        <v>-1</v>
      </c>
      <c r="Z153" s="51"/>
      <c r="AB153" s="141">
        <f t="shared" si="53"/>
        <v>36678</v>
      </c>
      <c r="AC153" s="234" t="e">
        <f>_xll.xSPRDOPT(HLOOKUP($D$3,GDPRICES,VLOOKUP(Q153,GDmove_down,2,FALSE),FALSE),HLOOKUP($E$3,GDPRICES,VLOOKUP(Q153,GDmove_down,2,FALSE),FALSE),J153,VLOOKUP(H153,NGPREVPRICES,4,FALSE),HLOOKUP($H$3,GDPrevVols,VLOOKUP(Q153,GDmove_down2,2,FALSE),FALSE),HLOOKUP($H$3,GDPrevVols,VLOOKUP(Q153,GDmove_down2,2,FALSE),FALSE),HLOOKUP(E153,GDcorr,VLOOKUP(H153,CorMove,2,FALSE),FALSE),Q153-$AC$3,R153,$AC$5)*I153-AI153</f>
        <v>#N/A</v>
      </c>
      <c r="AD153" s="234" t="e">
        <f>_xll.xSPRDOPT(HLOOKUP($D$3,GDPrev,VLOOKUP(Q153,GDmove_down,2,FALSE),FALSE),HLOOKUP($E$3,GDPrev,VLOOKUP(Q153,GDmove_down,2,FALSE),FALSE),AJ153,VLOOKUP(H153,NGPrices,4,FALSE),HLOOKUP($H$3,GDPrevVols,VLOOKUP(Q153,GDmove_down2,2,FALSE),FALSE),HLOOKUP($H$3,GDPrevVols,VLOOKUP(Q153,GDmove_down2,2,FALSE),FALSE),HLOOKUP(E153,GDcorr,VLOOKUP(H153,CorMove,2,FALSE),FALSE),Q153-$AC$3,R153,$AI$5)*I153-AI153</f>
        <v>#N/A</v>
      </c>
      <c r="AE153" s="439" t="e">
        <f t="shared" si="54"/>
        <v>#N/A</v>
      </c>
      <c r="AF153" s="234" t="e">
        <f>_xll.xSPRDOPT(HLOOKUP($D$3,GDPrev,VLOOKUP(Q153,GDmove_down,2,FALSE),FALSE),HLOOKUP($E$3,GDPrev,VLOOKUP(Q153,GDmove_down,2,FALSE),FALSE),AJ153,VLOOKUP(H153,NGPREVPRICES,4,FALSE),HLOOKUP($H$3,GDVol,VLOOKUP(H153,move_down,2,FALSE),FALSE),HLOOKUP($H$3,GDVol,VLOOKUP(H153,move_down,2,FALSE),FALSE),HLOOKUP(E153,GDcorr,VLOOKUP(H153,CorMove,2,FALSE),FALSE),Q153-$AC$3,R153,$AI$5)*I153-AI153</f>
        <v>#N/A</v>
      </c>
      <c r="AG153" s="234" t="e">
        <f>_xll.xSPRDOPT(HLOOKUP($D$3,GDPrev,VLOOKUP(Q153,GDmove_down,2,FALSE),FALSE),HLOOKUP($E$3,GDPrev,VLOOKUP(Q153,GDmove_down,2,FALSE),FALSE),AJ153,VLOOKUP(H153,NGPREVPRICES,4,FALSE),HLOOKUP($H$3,GDPrevVols,VLOOKUP(Q153,GDmove_down2,2,FALSE),FALSE),HLOOKUP($H$3,GDPrevVols,VLOOKUP(Q153,GDmove_down2,2,FALSE),FALSE),HLOOKUP(E153,GDcorr,VLOOKUP(H153,CorMove,2,FALSE),FALSE),Q153-$C$3,R153,$AI$5)*I153-AI153</f>
        <v>#N/A</v>
      </c>
      <c r="AH153" s="234" t="e">
        <f t="shared" si="55"/>
        <v>#N/A</v>
      </c>
      <c r="AI153" s="234" t="e">
        <f>_xll.xSPRDOPT(HLOOKUP($D$3,GDPrev,VLOOKUP(Q153,GDmove_down,2,FALSE),FALSE),HLOOKUP($E$3,GDPrev,VLOOKUP(Q153,GDmove_down,2,FALSE),FALSE),AJ153,VLOOKUP(H153,NGPREVPRICES,4,FALSE),HLOOKUP($H$3,GDPrevVols,VLOOKUP(Q153,GDmove_down2,2,FALSE),FALSE),HLOOKUP($H$3,GDPrevVols,VLOOKUP(Q153,GDmove_down2,2,FALSE),FALSE),HLOOKUP(E153,GDcorr,VLOOKUP(H153,CorMove,2,FALSE),FALSE),Q153-$AC$3,R153,$AI$5)*I153</f>
        <v>#N/A</v>
      </c>
      <c r="AJ153" s="235" t="e">
        <f t="shared" si="56"/>
        <v>#N/A</v>
      </c>
      <c r="AK153" s="234"/>
      <c r="AL153" t="str">
        <f t="shared" si="57"/>
        <v>36678Curve Shift/Gamma</v>
      </c>
      <c r="AM153" t="str">
        <f t="shared" si="65"/>
        <v>36678Rho</v>
      </c>
      <c r="AN153" t="str">
        <f t="shared" si="66"/>
        <v>36678Drift</v>
      </c>
      <c r="AO153" t="str">
        <f t="shared" si="67"/>
        <v>36678Vega</v>
      </c>
      <c r="AP153" t="str">
        <f t="shared" si="68"/>
        <v>36678Theta</v>
      </c>
      <c r="AZ153" s="41">
        <f t="shared" si="69"/>
        <v>40603</v>
      </c>
      <c r="BA153" s="44"/>
      <c r="BG153" s="441">
        <v>40940</v>
      </c>
      <c r="BH153">
        <v>0.98499999999999999</v>
      </c>
      <c r="BJ153" s="441">
        <v>40940</v>
      </c>
      <c r="BK153">
        <v>150</v>
      </c>
    </row>
    <row r="154" spans="1:63" ht="12" customHeight="1" x14ac:dyDescent="0.25">
      <c r="A154" s="382" t="s">
        <v>279</v>
      </c>
      <c r="B154" s="155" t="s">
        <v>250</v>
      </c>
      <c r="C154" s="155" t="s">
        <v>360</v>
      </c>
      <c r="D154" s="155" t="s">
        <v>190</v>
      </c>
      <c r="E154" s="4" t="s">
        <v>237</v>
      </c>
      <c r="F154" s="155" t="s">
        <v>20</v>
      </c>
      <c r="G154" s="155" t="s">
        <v>21</v>
      </c>
      <c r="H154" s="354">
        <v>36678</v>
      </c>
      <c r="I154" s="156">
        <v>-50000</v>
      </c>
      <c r="J154" s="7">
        <v>0.46</v>
      </c>
      <c r="K154" s="53">
        <f t="shared" si="62"/>
        <v>5.29</v>
      </c>
      <c r="L154" s="53">
        <f t="shared" si="63"/>
        <v>3.5649999999999999</v>
      </c>
      <c r="M154" s="157">
        <v>1</v>
      </c>
      <c r="N154" s="4">
        <v>0.51500000000000001</v>
      </c>
      <c r="O154" s="4">
        <v>0.51500000000000001</v>
      </c>
      <c r="P154" s="9" t="e">
        <f t="shared" si="64"/>
        <v>#N/A</v>
      </c>
      <c r="Q154" s="5">
        <v>36699</v>
      </c>
      <c r="R154" s="4">
        <f t="shared" si="58"/>
        <v>1</v>
      </c>
      <c r="S154" s="158" t="e">
        <f>_xll.xSPRDOPT($K154,$L154,$J154,$M154,$N154,$O154,$P154,$Q154-$C$3,$R154,0)</f>
        <v>#N/A</v>
      </c>
      <c r="T154" s="159" t="e">
        <f>_xll.xSPRDOPT($K154,$L154,$J154,$M154,$N154,$O154,$P154,$Q154-$C$3,$R154,1)*I154</f>
        <v>#N/A</v>
      </c>
      <c r="U154" s="160">
        <v>-8499.9999999999945</v>
      </c>
      <c r="V154" s="159" t="e">
        <f>_xll.xSPRDOPT($K154,$L154,$J154,$M154,$N154,$O154,$P154,$Q154-$C$3,$R154,2)*I154</f>
        <v>#N/A</v>
      </c>
      <c r="W154" s="159" t="e">
        <f t="shared" si="59"/>
        <v>#N/A</v>
      </c>
      <c r="X154" s="51" t="str">
        <f t="shared" si="60"/>
        <v>36678IF-ELPO/SJ</v>
      </c>
      <c r="Y154" s="418">
        <f t="shared" si="61"/>
        <v>-5</v>
      </c>
      <c r="Z154" s="51"/>
      <c r="AB154" s="141">
        <f t="shared" si="53"/>
        <v>36678</v>
      </c>
      <c r="AC154" s="234" t="e">
        <f>_xll.xSPRDOPT(HLOOKUP($D$3,GDPRICES,VLOOKUP(Q154,GDmove_down,2,FALSE),FALSE),HLOOKUP($E$3,GDPRICES,VLOOKUP(Q154,GDmove_down,2,FALSE),FALSE),J154,VLOOKUP(H154,NGPREVPRICES,4,FALSE),HLOOKUP($H$3,GDPrevVols,VLOOKUP(Q154,GDmove_down2,2,FALSE),FALSE),HLOOKUP($H$3,GDPrevVols,VLOOKUP(Q154,GDmove_down2,2,FALSE),FALSE),HLOOKUP(E154,GDcorr,VLOOKUP(H154,CorMove,2,FALSE),FALSE),Q154-$AC$3,R154,$AC$5)*I154-AI154</f>
        <v>#N/A</v>
      </c>
      <c r="AD154" s="234" t="e">
        <f>_xll.xSPRDOPT(HLOOKUP($D$3,GDPrev,VLOOKUP(Q154,GDmove_down,2,FALSE),FALSE),HLOOKUP($E$3,GDPrev,VLOOKUP(Q154,GDmove_down,2,FALSE),FALSE),AJ154,VLOOKUP(H154,NGPrices,4,FALSE),HLOOKUP($H$3,GDPrevVols,VLOOKUP(Q154,GDmove_down2,2,FALSE),FALSE),HLOOKUP($H$3,GDPrevVols,VLOOKUP(Q154,GDmove_down2,2,FALSE),FALSE),HLOOKUP(E154,GDcorr,VLOOKUP(H154,CorMove,2,FALSE),FALSE),Q154-$AC$3,R154,$AI$5)*I154-AI154</f>
        <v>#N/A</v>
      </c>
      <c r="AE154" s="439" t="e">
        <f t="shared" si="54"/>
        <v>#N/A</v>
      </c>
      <c r="AF154" s="234" t="e">
        <f>_xll.xSPRDOPT(HLOOKUP($D$3,GDPrev,VLOOKUP(Q154,GDmove_down,2,FALSE),FALSE),HLOOKUP($E$3,GDPrev,VLOOKUP(Q154,GDmove_down,2,FALSE),FALSE),AJ154,VLOOKUP(H154,NGPREVPRICES,4,FALSE),HLOOKUP($H$3,GDVol,VLOOKUP(H154,move_down,2,FALSE),FALSE),HLOOKUP($H$3,GDVol,VLOOKUP(H154,move_down,2,FALSE),FALSE),HLOOKUP(E154,GDcorr,VLOOKUP(H154,CorMove,2,FALSE),FALSE),Q154-$AC$3,R154,$AI$5)*I154-AI154</f>
        <v>#N/A</v>
      </c>
      <c r="AG154" s="234" t="e">
        <f>_xll.xSPRDOPT(HLOOKUP($D$3,GDPrev,VLOOKUP(Q154,GDmove_down,2,FALSE),FALSE),HLOOKUP($E$3,GDPrev,VLOOKUP(Q154,GDmove_down,2,FALSE),FALSE),AJ154,VLOOKUP(H154,NGPREVPRICES,4,FALSE),HLOOKUP($H$3,GDPrevVols,VLOOKUP(Q154,GDmove_down2,2,FALSE),FALSE),HLOOKUP($H$3,GDPrevVols,VLOOKUP(Q154,GDmove_down2,2,FALSE),FALSE),HLOOKUP(E154,GDcorr,VLOOKUP(H154,CorMove,2,FALSE),FALSE),Q154-$C$3,R154,$AI$5)*I154-AI154</f>
        <v>#N/A</v>
      </c>
      <c r="AH154" s="234" t="e">
        <f t="shared" si="55"/>
        <v>#N/A</v>
      </c>
      <c r="AI154" s="234" t="e">
        <f>_xll.xSPRDOPT(HLOOKUP($D$3,GDPrev,VLOOKUP(Q154,GDmove_down,2,FALSE),FALSE),HLOOKUP($E$3,GDPrev,VLOOKUP(Q154,GDmove_down,2,FALSE),FALSE),AJ154,VLOOKUP(H154,NGPREVPRICES,4,FALSE),HLOOKUP($H$3,GDPrevVols,VLOOKUP(Q154,GDmove_down2,2,FALSE),FALSE),HLOOKUP($H$3,GDPrevVols,VLOOKUP(Q154,GDmove_down2,2,FALSE),FALSE),HLOOKUP(E154,GDcorr,VLOOKUP(H154,CorMove,2,FALSE),FALSE),Q154-$AC$3,R154,$AI$5)*I154</f>
        <v>#N/A</v>
      </c>
      <c r="AJ154" s="235" t="e">
        <f t="shared" si="56"/>
        <v>#N/A</v>
      </c>
      <c r="AK154" s="234"/>
      <c r="AL154" t="str">
        <f t="shared" si="57"/>
        <v>36678Curve Shift/Gamma</v>
      </c>
      <c r="AM154" t="str">
        <f t="shared" si="65"/>
        <v>36678Rho</v>
      </c>
      <c r="AN154" t="str">
        <f t="shared" si="66"/>
        <v>36678Drift</v>
      </c>
      <c r="AO154" t="str">
        <f t="shared" si="67"/>
        <v>36678Vega</v>
      </c>
      <c r="AP154" t="str">
        <f t="shared" si="68"/>
        <v>36678Theta</v>
      </c>
      <c r="AZ154" s="41">
        <f t="shared" si="69"/>
        <v>40634</v>
      </c>
      <c r="BA154" s="44"/>
      <c r="BG154" s="441">
        <v>40969</v>
      </c>
      <c r="BH154">
        <v>0.98499999999999999</v>
      </c>
      <c r="BJ154" s="441">
        <v>40969</v>
      </c>
      <c r="BK154">
        <v>151</v>
      </c>
    </row>
    <row r="155" spans="1:63" ht="12" customHeight="1" x14ac:dyDescent="0.25">
      <c r="A155" s="382" t="s">
        <v>279</v>
      </c>
      <c r="B155" s="155" t="s">
        <v>250</v>
      </c>
      <c r="C155" s="155" t="s">
        <v>361</v>
      </c>
      <c r="D155" s="155" t="s">
        <v>190</v>
      </c>
      <c r="E155" s="4" t="s">
        <v>237</v>
      </c>
      <c r="F155" s="155" t="s">
        <v>20</v>
      </c>
      <c r="G155" s="155" t="s">
        <v>21</v>
      </c>
      <c r="H155" s="354">
        <v>36678</v>
      </c>
      <c r="I155" s="156">
        <v>10000</v>
      </c>
      <c r="J155" s="7">
        <v>0.46</v>
      </c>
      <c r="K155" s="53">
        <f t="shared" si="62"/>
        <v>5.29</v>
      </c>
      <c r="L155" s="53">
        <f t="shared" si="63"/>
        <v>3.5649999999999999</v>
      </c>
      <c r="M155" s="157">
        <v>1</v>
      </c>
      <c r="N155" s="4">
        <v>0.51500000000000001</v>
      </c>
      <c r="O155" s="4">
        <v>0.51500000000000001</v>
      </c>
      <c r="P155" s="9" t="e">
        <f t="shared" si="64"/>
        <v>#N/A</v>
      </c>
      <c r="Q155" s="5">
        <v>36699</v>
      </c>
      <c r="R155" s="4">
        <f t="shared" si="58"/>
        <v>1</v>
      </c>
      <c r="S155" s="158" t="e">
        <f>_xll.xSPRDOPT($K155,$L155,$J155,$M155,$N155,$O155,$P155,$Q155-$C$3,$R155,0)</f>
        <v>#N/A</v>
      </c>
      <c r="T155" s="159" t="e">
        <f>_xll.xSPRDOPT($K155,$L155,$J155,$M155,$N155,$O155,$P155,$Q155-$C$3,$R155,1)*I155</f>
        <v>#N/A</v>
      </c>
      <c r="U155" s="160">
        <v>1700</v>
      </c>
      <c r="V155" s="159" t="e">
        <f>_xll.xSPRDOPT($K155,$L155,$J155,$M155,$N155,$O155,$P155,$Q155-$C$3,$R155,2)*I155</f>
        <v>#N/A</v>
      </c>
      <c r="W155" s="159" t="e">
        <f t="shared" si="59"/>
        <v>#N/A</v>
      </c>
      <c r="X155" s="51" t="str">
        <f t="shared" si="60"/>
        <v>36678IF-ELPO/SJ</v>
      </c>
      <c r="Y155" s="418">
        <f t="shared" si="61"/>
        <v>1</v>
      </c>
      <c r="Z155" s="51"/>
      <c r="AB155" s="141">
        <f t="shared" si="53"/>
        <v>36678</v>
      </c>
      <c r="AC155" s="234" t="e">
        <f>_xll.xSPRDOPT(HLOOKUP($D$3,GDPRICES,VLOOKUP(Q155,GDmove_down,2,FALSE),FALSE),HLOOKUP($E$3,GDPRICES,VLOOKUP(Q155,GDmove_down,2,FALSE),FALSE),J155,VLOOKUP(H155,NGPREVPRICES,4,FALSE),HLOOKUP($H$3,GDPrevVols,VLOOKUP(Q155,GDmove_down2,2,FALSE),FALSE),HLOOKUP($H$3,GDPrevVols,VLOOKUP(Q155,GDmove_down2,2,FALSE),FALSE),HLOOKUP(E155,GDcorr,VLOOKUP(H155,CorMove,2,FALSE),FALSE),Q155-$AC$3,R155,$AC$5)*I155-AI155</f>
        <v>#N/A</v>
      </c>
      <c r="AD155" s="234" t="e">
        <f>_xll.xSPRDOPT(HLOOKUP($D$3,GDPrev,VLOOKUP(Q155,GDmove_down,2,FALSE),FALSE),HLOOKUP($E$3,GDPrev,VLOOKUP(Q155,GDmove_down,2,FALSE),FALSE),AJ155,VLOOKUP(H155,NGPrices,4,FALSE),HLOOKUP($H$3,GDPrevVols,VLOOKUP(Q155,GDmove_down2,2,FALSE),FALSE),HLOOKUP($H$3,GDPrevVols,VLOOKUP(Q155,GDmove_down2,2,FALSE),FALSE),HLOOKUP(E155,GDcorr,VLOOKUP(H155,CorMove,2,FALSE),FALSE),Q155-$AC$3,R155,$AI$5)*I155-AI155</f>
        <v>#N/A</v>
      </c>
      <c r="AE155" s="439" t="e">
        <f t="shared" si="54"/>
        <v>#N/A</v>
      </c>
      <c r="AF155" s="234" t="e">
        <f>_xll.xSPRDOPT(HLOOKUP($D$3,GDPrev,VLOOKUP(Q155,GDmove_down,2,FALSE),FALSE),HLOOKUP($E$3,GDPrev,VLOOKUP(Q155,GDmove_down,2,FALSE),FALSE),AJ155,VLOOKUP(H155,NGPREVPRICES,4,FALSE),HLOOKUP($H$3,GDVol,VLOOKUP(H155,move_down,2,FALSE),FALSE),HLOOKUP($H$3,GDVol,VLOOKUP(H155,move_down,2,FALSE),FALSE),HLOOKUP(E155,GDcorr,VLOOKUP(H155,CorMove,2,FALSE),FALSE),Q155-$AC$3,R155,$AI$5)*I155-AI155</f>
        <v>#N/A</v>
      </c>
      <c r="AG155" s="234" t="e">
        <f>_xll.xSPRDOPT(HLOOKUP($D$3,GDPrev,VLOOKUP(Q155,GDmove_down,2,FALSE),FALSE),HLOOKUP($E$3,GDPrev,VLOOKUP(Q155,GDmove_down,2,FALSE),FALSE),AJ155,VLOOKUP(H155,NGPREVPRICES,4,FALSE),HLOOKUP($H$3,GDPrevVols,VLOOKUP(Q155,GDmove_down2,2,FALSE),FALSE),HLOOKUP($H$3,GDPrevVols,VLOOKUP(Q155,GDmove_down2,2,FALSE),FALSE),HLOOKUP(E155,GDcorr,VLOOKUP(H155,CorMove,2,FALSE),FALSE),Q155-$C$3,R155,$AI$5)*I155-AI155</f>
        <v>#N/A</v>
      </c>
      <c r="AH155" s="234" t="e">
        <f t="shared" si="55"/>
        <v>#N/A</v>
      </c>
      <c r="AI155" s="234" t="e">
        <f>_xll.xSPRDOPT(HLOOKUP($D$3,GDPrev,VLOOKUP(Q155,GDmove_down,2,FALSE),FALSE),HLOOKUP($E$3,GDPrev,VLOOKUP(Q155,GDmove_down,2,FALSE),FALSE),AJ155,VLOOKUP(H155,NGPREVPRICES,4,FALSE),HLOOKUP($H$3,GDPrevVols,VLOOKUP(Q155,GDmove_down2,2,FALSE),FALSE),HLOOKUP($H$3,GDPrevVols,VLOOKUP(Q155,GDmove_down2,2,FALSE),FALSE),HLOOKUP(E155,GDcorr,VLOOKUP(H155,CorMove,2,FALSE),FALSE),Q155-$AC$3,R155,$AI$5)*I155</f>
        <v>#N/A</v>
      </c>
      <c r="AJ155" s="235" t="e">
        <f t="shared" si="56"/>
        <v>#N/A</v>
      </c>
      <c r="AK155" s="234"/>
      <c r="AL155" t="str">
        <f t="shared" si="57"/>
        <v>36678Curve Shift/Gamma</v>
      </c>
      <c r="AM155" t="str">
        <f t="shared" si="65"/>
        <v>36678Rho</v>
      </c>
      <c r="AN155" t="str">
        <f t="shared" si="66"/>
        <v>36678Drift</v>
      </c>
      <c r="AO155" t="str">
        <f t="shared" si="67"/>
        <v>36678Vega</v>
      </c>
      <c r="AP155" t="str">
        <f t="shared" si="68"/>
        <v>36678Theta</v>
      </c>
      <c r="AZ155" s="41">
        <f t="shared" si="69"/>
        <v>40664</v>
      </c>
      <c r="BA155" s="44"/>
      <c r="BG155" s="441">
        <v>41000</v>
      </c>
      <c r="BH155">
        <v>0.98499999999999999</v>
      </c>
      <c r="BJ155" s="441">
        <v>41000</v>
      </c>
      <c r="BK155">
        <v>152</v>
      </c>
    </row>
    <row r="156" spans="1:63" ht="12" customHeight="1" x14ac:dyDescent="0.25">
      <c r="A156" s="382" t="s">
        <v>279</v>
      </c>
      <c r="B156" s="155" t="s">
        <v>250</v>
      </c>
      <c r="C156" s="155" t="s">
        <v>364</v>
      </c>
      <c r="D156" s="155" t="s">
        <v>190</v>
      </c>
      <c r="E156" s="4" t="s">
        <v>237</v>
      </c>
      <c r="F156" s="155" t="s">
        <v>20</v>
      </c>
      <c r="G156" s="155" t="s">
        <v>21</v>
      </c>
      <c r="H156" s="354">
        <v>36678</v>
      </c>
      <c r="I156" s="156">
        <v>-333333</v>
      </c>
      <c r="J156" s="7">
        <v>0.46</v>
      </c>
      <c r="K156" s="53">
        <f t="shared" si="62"/>
        <v>5.29</v>
      </c>
      <c r="L156" s="53">
        <f t="shared" si="63"/>
        <v>3.5649999999999999</v>
      </c>
      <c r="M156" s="157">
        <v>1</v>
      </c>
      <c r="N156" s="4">
        <v>0.51500000000000001</v>
      </c>
      <c r="O156" s="4">
        <v>0.51500000000000001</v>
      </c>
      <c r="P156" s="9" t="e">
        <f t="shared" si="64"/>
        <v>#N/A</v>
      </c>
      <c r="Q156" s="5">
        <v>36699</v>
      </c>
      <c r="R156" s="4">
        <f t="shared" si="58"/>
        <v>1</v>
      </c>
      <c r="S156" s="158" t="e">
        <f>_xll.xSPRDOPT($K156,$L156,$J156,$M156,$N156,$O156,$P156,$Q156-$C$3,$R156,0)</f>
        <v>#N/A</v>
      </c>
      <c r="T156" s="159" t="e">
        <f>_xll.xSPRDOPT($K156,$L156,$J156,$M156,$N156,$O156,$P156,$Q156-$C$3,$R156,1)*I156</f>
        <v>#N/A</v>
      </c>
      <c r="U156" s="160">
        <v>-56666.61</v>
      </c>
      <c r="V156" s="159" t="e">
        <f>_xll.xSPRDOPT($K156,$L156,$J156,$M156,$N156,$O156,$P156,$Q156-$C$3,$R156,2)*I156</f>
        <v>#N/A</v>
      </c>
      <c r="W156" s="159" t="e">
        <f t="shared" si="59"/>
        <v>#N/A</v>
      </c>
      <c r="X156" s="51" t="str">
        <f t="shared" si="60"/>
        <v>36678IF-ELPO/SJ</v>
      </c>
      <c r="Y156" s="418">
        <f t="shared" si="61"/>
        <v>-33.333300000000001</v>
      </c>
      <c r="AB156" s="141">
        <f t="shared" si="53"/>
        <v>36678</v>
      </c>
      <c r="AC156" s="234" t="e">
        <f>_xll.xSPRDOPT(HLOOKUP($D$3,GDPRICES,VLOOKUP(Q156,GDmove_down,2,FALSE),FALSE),HLOOKUP($E$3,GDPRICES,VLOOKUP(Q156,GDmove_down,2,FALSE),FALSE),J156,VLOOKUP(H156,NGPREVPRICES,4,FALSE),HLOOKUP($H$3,GDPrevVols,VLOOKUP(Q156,GDmove_down2,2,FALSE),FALSE),HLOOKUP($H$3,GDPrevVols,VLOOKUP(Q156,GDmove_down2,2,FALSE),FALSE),HLOOKUP(E156,GDcorr,VLOOKUP(H156,CorMove,2,FALSE),FALSE),Q156-$AC$3,R156,$AC$5)*I156-AI156</f>
        <v>#N/A</v>
      </c>
      <c r="AD156" s="234" t="e">
        <f>_xll.xSPRDOPT(HLOOKUP($D$3,GDPrev,VLOOKUP(Q156,GDmove_down,2,FALSE),FALSE),HLOOKUP($E$3,GDPrev,VLOOKUP(Q156,GDmove_down,2,FALSE),FALSE),AJ156,VLOOKUP(H156,NGPrices,4,FALSE),HLOOKUP($H$3,GDPrevVols,VLOOKUP(Q156,GDmove_down2,2,FALSE),FALSE),HLOOKUP($H$3,GDPrevVols,VLOOKUP(Q156,GDmove_down2,2,FALSE),FALSE),HLOOKUP(E156,GDcorr,VLOOKUP(H156,CorMove,2,FALSE),FALSE),Q156-$AC$3,R156,$AI$5)*I156-AI156</f>
        <v>#N/A</v>
      </c>
      <c r="AE156" s="439" t="e">
        <f t="shared" si="54"/>
        <v>#N/A</v>
      </c>
      <c r="AF156" s="234" t="e">
        <f>_xll.xSPRDOPT(HLOOKUP($D$3,GDPrev,VLOOKUP(Q156,GDmove_down,2,FALSE),FALSE),HLOOKUP($E$3,GDPrev,VLOOKUP(Q156,GDmove_down,2,FALSE),FALSE),AJ156,VLOOKUP(H156,NGPREVPRICES,4,FALSE),HLOOKUP($H$3,GDVol,VLOOKUP(H156,move_down,2,FALSE),FALSE),HLOOKUP($H$3,GDVol,VLOOKUP(H156,move_down,2,FALSE),FALSE),HLOOKUP(E156,GDcorr,VLOOKUP(H156,CorMove,2,FALSE),FALSE),Q156-$AC$3,R156,$AI$5)*I156-AI156</f>
        <v>#N/A</v>
      </c>
      <c r="AG156" s="234" t="e">
        <f>_xll.xSPRDOPT(HLOOKUP($D$3,GDPrev,VLOOKUP(Q156,GDmove_down,2,FALSE),FALSE),HLOOKUP($E$3,GDPrev,VLOOKUP(Q156,GDmove_down,2,FALSE),FALSE),AJ156,VLOOKUP(H156,NGPREVPRICES,4,FALSE),HLOOKUP($H$3,GDPrevVols,VLOOKUP(Q156,GDmove_down2,2,FALSE),FALSE),HLOOKUP($H$3,GDPrevVols,VLOOKUP(Q156,GDmove_down2,2,FALSE),FALSE),HLOOKUP(E156,GDcorr,VLOOKUP(H156,CorMove,2,FALSE),FALSE),Q156-$C$3,R156,$AI$5)*I156-AI156</f>
        <v>#N/A</v>
      </c>
      <c r="AH156" s="234" t="e">
        <f t="shared" si="55"/>
        <v>#N/A</v>
      </c>
      <c r="AI156" s="234" t="e">
        <f>_xll.xSPRDOPT(HLOOKUP($D$3,GDPrev,VLOOKUP(Q156,GDmove_down,2,FALSE),FALSE),HLOOKUP($E$3,GDPrev,VLOOKUP(Q156,GDmove_down,2,FALSE),FALSE),AJ156,VLOOKUP(H156,NGPREVPRICES,4,FALSE),HLOOKUP($H$3,GDPrevVols,VLOOKUP(Q156,GDmove_down2,2,FALSE),FALSE),HLOOKUP($H$3,GDPrevVols,VLOOKUP(Q156,GDmove_down2,2,FALSE),FALSE),HLOOKUP(E156,GDcorr,VLOOKUP(H156,CorMove,2,FALSE),FALSE),Q156-$AC$3,R156,$AI$5)*I156</f>
        <v>#N/A</v>
      </c>
      <c r="AJ156" s="235" t="e">
        <f t="shared" si="56"/>
        <v>#N/A</v>
      </c>
      <c r="AK156" s="234"/>
      <c r="AL156" t="str">
        <f t="shared" si="57"/>
        <v>36678Curve Shift/Gamma</v>
      </c>
      <c r="AM156" t="str">
        <f t="shared" si="65"/>
        <v>36678Rho</v>
      </c>
      <c r="AN156" t="str">
        <f t="shared" si="66"/>
        <v>36678Drift</v>
      </c>
      <c r="AO156" t="str">
        <f t="shared" si="67"/>
        <v>36678Vega</v>
      </c>
      <c r="AP156" t="str">
        <f t="shared" si="68"/>
        <v>36678Theta</v>
      </c>
      <c r="AZ156" s="41">
        <f t="shared" si="69"/>
        <v>40695</v>
      </c>
      <c r="BA156" s="44"/>
      <c r="BG156" s="441">
        <v>41030</v>
      </c>
      <c r="BH156">
        <v>0.98499999999999999</v>
      </c>
      <c r="BJ156" s="441">
        <v>41030</v>
      </c>
      <c r="BK156">
        <v>153</v>
      </c>
    </row>
    <row r="157" spans="1:63" ht="12" customHeight="1" x14ac:dyDescent="0.25">
      <c r="A157" s="384" t="s">
        <v>268</v>
      </c>
      <c r="B157" s="155" t="s">
        <v>250</v>
      </c>
      <c r="C157" s="155" t="s">
        <v>387</v>
      </c>
      <c r="D157" s="155" t="s">
        <v>190</v>
      </c>
      <c r="E157" s="4" t="s">
        <v>237</v>
      </c>
      <c r="F157" s="155" t="s">
        <v>20</v>
      </c>
      <c r="G157" s="155" t="s">
        <v>21</v>
      </c>
      <c r="H157" s="354">
        <v>36678</v>
      </c>
      <c r="I157" s="156">
        <v>-10000</v>
      </c>
      <c r="J157" s="7">
        <v>0.46</v>
      </c>
      <c r="K157" s="53">
        <f t="shared" si="62"/>
        <v>5.29</v>
      </c>
      <c r="L157" s="53">
        <f t="shared" si="63"/>
        <v>3.5649999999999999</v>
      </c>
      <c r="M157" s="157">
        <v>1</v>
      </c>
      <c r="N157" s="4">
        <v>0.51500000000000001</v>
      </c>
      <c r="O157" s="4">
        <v>0.51500000000000001</v>
      </c>
      <c r="P157" s="9" t="e">
        <f t="shared" si="64"/>
        <v>#N/A</v>
      </c>
      <c r="Q157" s="5">
        <v>36699</v>
      </c>
      <c r="R157" s="4">
        <f>IF(G157="P",0,1)</f>
        <v>1</v>
      </c>
      <c r="S157" s="158" t="e">
        <f>_xll.xSPRDOPT($K157,$L157,$J157,$M157,$N157,$O157,$P157,$Q157-$C$3,$R157,0)</f>
        <v>#N/A</v>
      </c>
      <c r="T157" s="159" t="e">
        <f>_xll.xSPRDOPT($K157,$L157,$J157,$M157,$N157,$O157,$P157,$Q157-$C$3,$R157,1)*I157</f>
        <v>#N/A</v>
      </c>
      <c r="U157" s="160">
        <v>-1700</v>
      </c>
      <c r="V157" s="159" t="e">
        <f>_xll.xSPRDOPT($K157,$L157,$J157,$M157,$N157,$O157,$P157,$Q157-$C$3,$R157,2)*I157</f>
        <v>#N/A</v>
      </c>
      <c r="W157" s="159" t="e">
        <f>+V157+T157</f>
        <v>#N/A</v>
      </c>
      <c r="X157" s="51" t="str">
        <f>CONCATENATE(H157,E157)</f>
        <v>36678IF-ELPO/SJ</v>
      </c>
      <c r="Y157" s="418">
        <f>I157/10000</f>
        <v>-1</v>
      </c>
      <c r="AB157" s="141">
        <f t="shared" si="53"/>
        <v>36678</v>
      </c>
      <c r="AC157" s="234" t="e">
        <f>_xll.xSPRDOPT(HLOOKUP($D$3,GDPRICES,VLOOKUP(Q157,GDmove_down,2,FALSE),FALSE),HLOOKUP($E$3,GDPRICES,VLOOKUP(Q157,GDmove_down,2,FALSE),FALSE),J157,VLOOKUP(H157,NGPREVPRICES,4,FALSE),HLOOKUP($H$3,GDPrevVols,VLOOKUP(Q157,GDmove_down2,2,FALSE),FALSE),HLOOKUP($H$3,GDPrevVols,VLOOKUP(Q157,GDmove_down2,2,FALSE),FALSE),HLOOKUP(E157,GDcorr,VLOOKUP(H157,CorMove,2,FALSE),FALSE),Q157-$AC$3,R157,$AC$5)*I157-AI157</f>
        <v>#N/A</v>
      </c>
      <c r="AD157" s="234" t="e">
        <f>_xll.xSPRDOPT(HLOOKUP($D$3,GDPrev,VLOOKUP(Q157,GDmove_down,2,FALSE),FALSE),HLOOKUP($E$3,GDPrev,VLOOKUP(Q157,GDmove_down,2,FALSE),FALSE),AJ157,VLOOKUP(H157,NGPrices,4,FALSE),HLOOKUP($H$3,GDPrevVols,VLOOKUP(Q157,GDmove_down2,2,FALSE),FALSE),HLOOKUP($H$3,GDPrevVols,VLOOKUP(Q157,GDmove_down2,2,FALSE),FALSE),HLOOKUP(E157,GDcorr,VLOOKUP(H157,CorMove,2,FALSE),FALSE),Q157-$AC$3,R157,$AI$5)*I157-AI157</f>
        <v>#N/A</v>
      </c>
      <c r="AE157" s="439" t="e">
        <f t="shared" si="54"/>
        <v>#N/A</v>
      </c>
      <c r="AF157" s="234" t="e">
        <f>_xll.xSPRDOPT(HLOOKUP($D$3,GDPrev,VLOOKUP(Q157,GDmove_down,2,FALSE),FALSE),HLOOKUP($E$3,GDPrev,VLOOKUP(Q157,GDmove_down,2,FALSE),FALSE),AJ157,VLOOKUP(H157,NGPREVPRICES,4,FALSE),HLOOKUP($H$3,GDVol,VLOOKUP(H157,move_down,2,FALSE),FALSE),HLOOKUP($H$3,GDVol,VLOOKUP(H157,move_down,2,FALSE),FALSE),HLOOKUP(E157,GDcorr,VLOOKUP(H157,CorMove,2,FALSE),FALSE),Q157-$AC$3,R157,$AI$5)*I157-AI157</f>
        <v>#N/A</v>
      </c>
      <c r="AG157" s="234" t="e">
        <f>_xll.xSPRDOPT(HLOOKUP($D$3,GDPrev,VLOOKUP(Q157,GDmove_down,2,FALSE),FALSE),HLOOKUP($E$3,GDPrev,VLOOKUP(Q157,GDmove_down,2,FALSE),FALSE),AJ157,VLOOKUP(H157,NGPREVPRICES,4,FALSE),HLOOKUP($H$3,GDPrevVols,VLOOKUP(Q157,GDmove_down2,2,FALSE),FALSE),HLOOKUP($H$3,GDPrevVols,VLOOKUP(Q157,GDmove_down2,2,FALSE),FALSE),HLOOKUP(E157,GDcorr,VLOOKUP(H157,CorMove,2,FALSE),FALSE),Q157-$C$3,R157,$AI$5)*I157-AI157</f>
        <v>#N/A</v>
      </c>
      <c r="AH157" s="234" t="e">
        <f t="shared" si="55"/>
        <v>#N/A</v>
      </c>
      <c r="AI157" s="234" t="e">
        <f>_xll.xSPRDOPT(HLOOKUP($D$3,GDPrev,VLOOKUP(Q157,GDmove_down,2,FALSE),FALSE),HLOOKUP($E$3,GDPrev,VLOOKUP(Q157,GDmove_down,2,FALSE),FALSE),AJ157,VLOOKUP(H157,NGPREVPRICES,4,FALSE),HLOOKUP($H$3,GDPrevVols,VLOOKUP(Q157,GDmove_down2,2,FALSE),FALSE),HLOOKUP($H$3,GDPrevVols,VLOOKUP(Q157,GDmove_down2,2,FALSE),FALSE),HLOOKUP(E157,GDcorr,VLOOKUP(H157,CorMove,2,FALSE),FALSE),Q157-$AC$3,R157,$AI$5)*I157</f>
        <v>#N/A</v>
      </c>
      <c r="AJ157" s="235" t="e">
        <f t="shared" si="56"/>
        <v>#N/A</v>
      </c>
      <c r="AK157" s="234"/>
      <c r="AL157" t="str">
        <f t="shared" si="57"/>
        <v>36678Curve Shift/Gamma</v>
      </c>
      <c r="AM157" t="str">
        <f t="shared" si="65"/>
        <v>36678Rho</v>
      </c>
      <c r="AN157" t="str">
        <f t="shared" si="66"/>
        <v>36678Drift</v>
      </c>
      <c r="AO157" t="str">
        <f t="shared" si="67"/>
        <v>36678Vega</v>
      </c>
      <c r="AP157" t="str">
        <f t="shared" si="68"/>
        <v>36678Theta</v>
      </c>
      <c r="AZ157" s="41">
        <f t="shared" si="69"/>
        <v>40725</v>
      </c>
      <c r="BA157" s="44"/>
      <c r="BG157" s="441">
        <v>41061</v>
      </c>
      <c r="BH157">
        <v>0.98499999999999999</v>
      </c>
      <c r="BJ157" s="441">
        <v>41061</v>
      </c>
      <c r="BK157">
        <v>154</v>
      </c>
    </row>
    <row r="158" spans="1:63" ht="12" customHeight="1" x14ac:dyDescent="0.25">
      <c r="A158" s="384" t="s">
        <v>279</v>
      </c>
      <c r="B158" s="155" t="s">
        <v>250</v>
      </c>
      <c r="C158" s="155" t="s">
        <v>388</v>
      </c>
      <c r="D158" s="155" t="s">
        <v>190</v>
      </c>
      <c r="E158" s="4" t="s">
        <v>237</v>
      </c>
      <c r="F158" s="155" t="s">
        <v>20</v>
      </c>
      <c r="G158" s="155" t="s">
        <v>21</v>
      </c>
      <c r="H158" s="354">
        <v>36678</v>
      </c>
      <c r="I158" s="156">
        <v>50000</v>
      </c>
      <c r="J158" s="7">
        <v>0.46</v>
      </c>
      <c r="K158" s="53">
        <f t="shared" si="62"/>
        <v>5.29</v>
      </c>
      <c r="L158" s="53">
        <f t="shared" si="63"/>
        <v>3.5649999999999999</v>
      </c>
      <c r="M158" s="157">
        <v>1</v>
      </c>
      <c r="N158" s="4">
        <v>0.51500000000000001</v>
      </c>
      <c r="O158" s="4">
        <v>0.51500000000000001</v>
      </c>
      <c r="P158" s="9" t="e">
        <f t="shared" si="64"/>
        <v>#N/A</v>
      </c>
      <c r="Q158" s="5">
        <v>36699</v>
      </c>
      <c r="R158" s="4">
        <f t="shared" ref="R158:R186" si="70">IF(G158="P",0,1)</f>
        <v>1</v>
      </c>
      <c r="S158" s="158" t="e">
        <f>_xll.xSPRDOPT($K158,$L158,$J158,$M158,$N158,$O158,$P158,$Q158-$C$3,$R158,0)</f>
        <v>#N/A</v>
      </c>
      <c r="T158" s="159" t="e">
        <f>_xll.xSPRDOPT($K158,$L158,$J158,$M158,$N158,$O158,$P158,$Q158-$C$3,$R158,1)*I158</f>
        <v>#N/A</v>
      </c>
      <c r="U158" s="160">
        <v>8499.9999999999945</v>
      </c>
      <c r="V158" s="159" t="e">
        <f>_xll.xSPRDOPT($K158,$L158,$J158,$M158,$N158,$O158,$P158,$Q158-$C$3,$R158,2)*I158</f>
        <v>#N/A</v>
      </c>
      <c r="W158" s="159" t="e">
        <f t="shared" ref="W158:W186" si="71">+V158+T158</f>
        <v>#N/A</v>
      </c>
      <c r="X158" s="51" t="str">
        <f t="shared" ref="X158:X186" si="72">CONCATENATE(H158,E158)</f>
        <v>36678IF-ELPO/SJ</v>
      </c>
      <c r="Y158" s="418">
        <f t="shared" ref="Y158:Y186" si="73">I158/10000</f>
        <v>5</v>
      </c>
      <c r="AB158" s="141">
        <f t="shared" si="53"/>
        <v>36678</v>
      </c>
      <c r="AC158" s="234" t="e">
        <f>_xll.xSPRDOPT(HLOOKUP($D$3,GDPRICES,VLOOKUP(Q158,GDmove_down,2,FALSE),FALSE),HLOOKUP($E$3,GDPRICES,VLOOKUP(Q158,GDmove_down,2,FALSE),FALSE),J158,VLOOKUP(H158,NGPREVPRICES,4,FALSE),HLOOKUP($H$3,GDPrevVols,VLOOKUP(Q158,GDmove_down2,2,FALSE),FALSE),HLOOKUP($H$3,GDPrevVols,VLOOKUP(Q158,GDmove_down2,2,FALSE),FALSE),HLOOKUP(E158,GDcorr,VLOOKUP(H158,CorMove,2,FALSE),FALSE),Q158-$AC$3,R158,$AC$5)*I158-AI158</f>
        <v>#N/A</v>
      </c>
      <c r="AD158" s="234" t="e">
        <f>_xll.xSPRDOPT(HLOOKUP($D$3,GDPrev,VLOOKUP(Q158,GDmove_down,2,FALSE),FALSE),HLOOKUP($E$3,GDPrev,VLOOKUP(Q158,GDmove_down,2,FALSE),FALSE),AJ158,VLOOKUP(H158,NGPrices,4,FALSE),HLOOKUP($H$3,GDPrevVols,VLOOKUP(Q158,GDmove_down2,2,FALSE),FALSE),HLOOKUP($H$3,GDPrevVols,VLOOKUP(Q158,GDmove_down2,2,FALSE),FALSE),HLOOKUP(E158,GDcorr,VLOOKUP(H158,CorMove,2,FALSE),FALSE),Q158-$AC$3,R158,$AI$5)*I158-AI158</f>
        <v>#N/A</v>
      </c>
      <c r="AE158" s="439" t="e">
        <f t="shared" si="54"/>
        <v>#N/A</v>
      </c>
      <c r="AF158" s="234" t="e">
        <f>_xll.xSPRDOPT(HLOOKUP($D$3,GDPrev,VLOOKUP(Q158,GDmove_down,2,FALSE),FALSE),HLOOKUP($E$3,GDPrev,VLOOKUP(Q158,GDmove_down,2,FALSE),FALSE),AJ158,VLOOKUP(H158,NGPREVPRICES,4,FALSE),HLOOKUP($H$3,GDVol,VLOOKUP(H158,move_down,2,FALSE),FALSE),HLOOKUP($H$3,GDVol,VLOOKUP(H158,move_down,2,FALSE),FALSE),HLOOKUP(E158,GDcorr,VLOOKUP(H158,CorMove,2,FALSE),FALSE),Q158-$AC$3,R158,$AI$5)*I158-AI158</f>
        <v>#N/A</v>
      </c>
      <c r="AG158" s="234" t="e">
        <f>_xll.xSPRDOPT(HLOOKUP($D$3,GDPrev,VLOOKUP(Q158,GDmove_down,2,FALSE),FALSE),HLOOKUP($E$3,GDPrev,VLOOKUP(Q158,GDmove_down,2,FALSE),FALSE),AJ158,VLOOKUP(H158,NGPREVPRICES,4,FALSE),HLOOKUP($H$3,GDPrevVols,VLOOKUP(Q158,GDmove_down2,2,FALSE),FALSE),HLOOKUP($H$3,GDPrevVols,VLOOKUP(Q158,GDmove_down2,2,FALSE),FALSE),HLOOKUP(E158,GDcorr,VLOOKUP(H158,CorMove,2,FALSE),FALSE),Q158-$C$3,R158,$AI$5)*I158-AI158</f>
        <v>#N/A</v>
      </c>
      <c r="AH158" s="234" t="e">
        <f t="shared" si="55"/>
        <v>#N/A</v>
      </c>
      <c r="AI158" s="234" t="e">
        <f>_xll.xSPRDOPT(HLOOKUP($D$3,GDPrev,VLOOKUP(Q158,GDmove_down,2,FALSE),FALSE),HLOOKUP($E$3,GDPrev,VLOOKUP(Q158,GDmove_down,2,FALSE),FALSE),AJ158,VLOOKUP(H158,NGPREVPRICES,4,FALSE),HLOOKUP($H$3,GDPrevVols,VLOOKUP(Q158,GDmove_down2,2,FALSE),FALSE),HLOOKUP($H$3,GDPrevVols,VLOOKUP(Q158,GDmove_down2,2,FALSE),FALSE),HLOOKUP(E158,GDcorr,VLOOKUP(H158,CorMove,2,FALSE),FALSE),Q158-$AC$3,R158,$AI$5)*I158</f>
        <v>#N/A</v>
      </c>
      <c r="AJ158" s="235" t="e">
        <f t="shared" si="56"/>
        <v>#N/A</v>
      </c>
      <c r="AK158" s="234"/>
      <c r="AL158" t="str">
        <f t="shared" si="57"/>
        <v>36678Curve Shift/Gamma</v>
      </c>
      <c r="AM158" t="str">
        <f t="shared" si="65"/>
        <v>36678Rho</v>
      </c>
      <c r="AN158" t="str">
        <f t="shared" si="66"/>
        <v>36678Drift</v>
      </c>
      <c r="AO158" t="str">
        <f t="shared" si="67"/>
        <v>36678Vega</v>
      </c>
      <c r="AP158" t="str">
        <f t="shared" si="68"/>
        <v>36678Theta</v>
      </c>
      <c r="AZ158" s="41">
        <f t="shared" si="69"/>
        <v>40756</v>
      </c>
      <c r="BA158" s="44"/>
      <c r="BG158" s="441">
        <v>41091</v>
      </c>
      <c r="BH158">
        <v>0.98499999999999999</v>
      </c>
      <c r="BJ158" s="441">
        <v>41091</v>
      </c>
      <c r="BK158">
        <v>155</v>
      </c>
    </row>
    <row r="159" spans="1:63" ht="12" customHeight="1" x14ac:dyDescent="0.25">
      <c r="A159" s="384" t="s">
        <v>279</v>
      </c>
      <c r="B159" s="155" t="s">
        <v>250</v>
      </c>
      <c r="C159" s="155" t="s">
        <v>389</v>
      </c>
      <c r="D159" s="155" t="s">
        <v>190</v>
      </c>
      <c r="E159" s="4" t="s">
        <v>237</v>
      </c>
      <c r="F159" s="155" t="s">
        <v>20</v>
      </c>
      <c r="G159" s="155" t="s">
        <v>21</v>
      </c>
      <c r="H159" s="354">
        <v>36678</v>
      </c>
      <c r="I159" s="156">
        <v>50000</v>
      </c>
      <c r="J159" s="7">
        <v>0.46</v>
      </c>
      <c r="K159" s="53">
        <f t="shared" si="62"/>
        <v>5.29</v>
      </c>
      <c r="L159" s="53">
        <f t="shared" si="63"/>
        <v>3.5649999999999999</v>
      </c>
      <c r="M159" s="157">
        <v>1</v>
      </c>
      <c r="N159" s="4">
        <v>0.51500000000000001</v>
      </c>
      <c r="O159" s="4">
        <v>0.51500000000000001</v>
      </c>
      <c r="P159" s="9" t="e">
        <f t="shared" si="64"/>
        <v>#N/A</v>
      </c>
      <c r="Q159" s="5">
        <v>36699</v>
      </c>
      <c r="R159" s="4">
        <f t="shared" si="70"/>
        <v>1</v>
      </c>
      <c r="S159" s="158" t="e">
        <f>_xll.xSPRDOPT($K159,$L159,$J159,$M159,$N159,$O159,$P159,$Q159-$C$3,$R159,0)</f>
        <v>#N/A</v>
      </c>
      <c r="T159" s="159" t="e">
        <f>_xll.xSPRDOPT($K159,$L159,$J159,$M159,$N159,$O159,$P159,$Q159-$C$3,$R159,1)*I159</f>
        <v>#N/A</v>
      </c>
      <c r="U159" s="160">
        <v>8499.9999999999945</v>
      </c>
      <c r="V159" s="159" t="e">
        <f>_xll.xSPRDOPT($K159,$L159,$J159,$M159,$N159,$O159,$P159,$Q159-$C$3,$R159,2)*I159</f>
        <v>#N/A</v>
      </c>
      <c r="W159" s="159" t="e">
        <f t="shared" si="71"/>
        <v>#N/A</v>
      </c>
      <c r="X159" s="51" t="str">
        <f t="shared" si="72"/>
        <v>36678IF-ELPO/SJ</v>
      </c>
      <c r="Y159" s="418">
        <f t="shared" si="73"/>
        <v>5</v>
      </c>
      <c r="AB159" s="141">
        <f t="shared" si="53"/>
        <v>36678</v>
      </c>
      <c r="AC159" s="234" t="e">
        <f>_xll.xSPRDOPT(HLOOKUP($D$3,GDPRICES,VLOOKUP(Q159,GDmove_down,2,FALSE),FALSE),HLOOKUP($E$3,GDPRICES,VLOOKUP(Q159,GDmove_down,2,FALSE),FALSE),J159,VLOOKUP(H159,NGPREVPRICES,4,FALSE),HLOOKUP($H$3,GDPrevVols,VLOOKUP(Q159,GDmove_down2,2,FALSE),FALSE),HLOOKUP($H$3,GDPrevVols,VLOOKUP(Q159,GDmove_down2,2,FALSE),FALSE),HLOOKUP(E159,GDcorr,VLOOKUP(H159,CorMove,2,FALSE),FALSE),Q159-$AC$3,R159,$AC$5)*I159-AI159</f>
        <v>#N/A</v>
      </c>
      <c r="AD159" s="234" t="e">
        <f>_xll.xSPRDOPT(HLOOKUP($D$3,GDPrev,VLOOKUP(Q159,GDmove_down,2,FALSE),FALSE),HLOOKUP($E$3,GDPrev,VLOOKUP(Q159,GDmove_down,2,FALSE),FALSE),AJ159,VLOOKUP(H159,NGPrices,4,FALSE),HLOOKUP($H$3,GDPrevVols,VLOOKUP(Q159,GDmove_down2,2,FALSE),FALSE),HLOOKUP($H$3,GDPrevVols,VLOOKUP(Q159,GDmove_down2,2,FALSE),FALSE),HLOOKUP(E159,GDcorr,VLOOKUP(H159,CorMove,2,FALSE),FALSE),Q159-$AC$3,R159,$AI$5)*I159-AI159</f>
        <v>#N/A</v>
      </c>
      <c r="AE159" s="439" t="e">
        <f t="shared" si="54"/>
        <v>#N/A</v>
      </c>
      <c r="AF159" s="234" t="e">
        <f>_xll.xSPRDOPT(HLOOKUP($D$3,GDPrev,VLOOKUP(Q159,GDmove_down,2,FALSE),FALSE),HLOOKUP($E$3,GDPrev,VLOOKUP(Q159,GDmove_down,2,FALSE),FALSE),AJ159,VLOOKUP(H159,NGPREVPRICES,4,FALSE),HLOOKUP($H$3,GDVol,VLOOKUP(H159,move_down,2,FALSE),FALSE),HLOOKUP($H$3,GDVol,VLOOKUP(H159,move_down,2,FALSE),FALSE),HLOOKUP(E159,GDcorr,VLOOKUP(H159,CorMove,2,FALSE),FALSE),Q159-$AC$3,R159,$AI$5)*I159-AI159</f>
        <v>#N/A</v>
      </c>
      <c r="AG159" s="234" t="e">
        <f>_xll.xSPRDOPT(HLOOKUP($D$3,GDPrev,VLOOKUP(Q159,GDmove_down,2,FALSE),FALSE),HLOOKUP($E$3,GDPrev,VLOOKUP(Q159,GDmove_down,2,FALSE),FALSE),AJ159,VLOOKUP(H159,NGPREVPRICES,4,FALSE),HLOOKUP($H$3,GDPrevVols,VLOOKUP(Q159,GDmove_down2,2,FALSE),FALSE),HLOOKUP($H$3,GDPrevVols,VLOOKUP(Q159,GDmove_down2,2,FALSE),FALSE),HLOOKUP(E159,GDcorr,VLOOKUP(H159,CorMove,2,FALSE),FALSE),Q159-$C$3,R159,$AI$5)*I159-AI159</f>
        <v>#N/A</v>
      </c>
      <c r="AH159" s="234" t="e">
        <f t="shared" si="55"/>
        <v>#N/A</v>
      </c>
      <c r="AI159" s="234" t="e">
        <f>_xll.xSPRDOPT(HLOOKUP($D$3,GDPrev,VLOOKUP(Q159,GDmove_down,2,FALSE),FALSE),HLOOKUP($E$3,GDPrev,VLOOKUP(Q159,GDmove_down,2,FALSE),FALSE),AJ159,VLOOKUP(H159,NGPREVPRICES,4,FALSE),HLOOKUP($H$3,GDPrevVols,VLOOKUP(Q159,GDmove_down2,2,FALSE),FALSE),HLOOKUP($H$3,GDPrevVols,VLOOKUP(Q159,GDmove_down2,2,FALSE),FALSE),HLOOKUP(E159,GDcorr,VLOOKUP(H159,CorMove,2,FALSE),FALSE),Q159-$AC$3,R159,$AI$5)*I159</f>
        <v>#N/A</v>
      </c>
      <c r="AJ159" s="235" t="e">
        <f t="shared" si="56"/>
        <v>#N/A</v>
      </c>
      <c r="AK159" s="234"/>
      <c r="AL159" t="str">
        <f t="shared" si="57"/>
        <v>36678Curve Shift/Gamma</v>
      </c>
      <c r="AM159" t="str">
        <f t="shared" si="65"/>
        <v>36678Rho</v>
      </c>
      <c r="AN159" t="str">
        <f t="shared" si="66"/>
        <v>36678Drift</v>
      </c>
      <c r="AO159" t="str">
        <f t="shared" si="67"/>
        <v>36678Vega</v>
      </c>
      <c r="AP159" t="str">
        <f t="shared" si="68"/>
        <v>36678Theta</v>
      </c>
      <c r="AZ159" s="41">
        <f t="shared" si="69"/>
        <v>40787</v>
      </c>
      <c r="BA159" s="44"/>
      <c r="BG159" s="441">
        <v>41122</v>
      </c>
      <c r="BH159">
        <v>0.98499999999999999</v>
      </c>
      <c r="BJ159" s="441">
        <v>41122</v>
      </c>
      <c r="BK159">
        <v>156</v>
      </c>
    </row>
    <row r="160" spans="1:63" ht="12" customHeight="1" x14ac:dyDescent="0.25">
      <c r="A160" s="384" t="s">
        <v>279</v>
      </c>
      <c r="B160" s="155" t="s">
        <v>250</v>
      </c>
      <c r="C160" s="155" t="s">
        <v>398</v>
      </c>
      <c r="D160" s="155" t="s">
        <v>190</v>
      </c>
      <c r="E160" s="4" t="s">
        <v>237</v>
      </c>
      <c r="F160" s="155" t="s">
        <v>20</v>
      </c>
      <c r="G160" s="155" t="s">
        <v>21</v>
      </c>
      <c r="H160" s="354">
        <v>36678</v>
      </c>
      <c r="I160" s="156">
        <v>-10000</v>
      </c>
      <c r="J160" s="7">
        <v>0.46</v>
      </c>
      <c r="K160" s="53">
        <f t="shared" si="62"/>
        <v>5.29</v>
      </c>
      <c r="L160" s="53">
        <f t="shared" si="63"/>
        <v>3.5649999999999999</v>
      </c>
      <c r="M160" s="157">
        <v>1</v>
      </c>
      <c r="N160" s="4">
        <v>0.51500000000000001</v>
      </c>
      <c r="O160" s="4">
        <v>0.51500000000000001</v>
      </c>
      <c r="P160" s="9" t="e">
        <f t="shared" si="64"/>
        <v>#N/A</v>
      </c>
      <c r="Q160" s="5">
        <v>36699</v>
      </c>
      <c r="R160" s="4">
        <f t="shared" si="70"/>
        <v>1</v>
      </c>
      <c r="S160" s="158" t="e">
        <f>_xll.xSPRDOPT($K160,$L160,$J160,$M160,$N160,$O160,$P160,$Q160-$C$3,$R160,0)</f>
        <v>#N/A</v>
      </c>
      <c r="T160" s="159" t="e">
        <f>_xll.xSPRDOPT($K160,$L160,$J160,$M160,$N160,$O160,$P160,$Q160-$C$3,$R160,1)*I160</f>
        <v>#N/A</v>
      </c>
      <c r="U160" s="160">
        <v>-1700</v>
      </c>
      <c r="V160" s="159" t="e">
        <f>_xll.xSPRDOPT($K160,$L160,$J160,$M160,$N160,$O160,$P160,$Q160-$C$3,$R160,2)*I160</f>
        <v>#N/A</v>
      </c>
      <c r="W160" s="159" t="e">
        <f t="shared" si="71"/>
        <v>#N/A</v>
      </c>
      <c r="X160" s="51" t="str">
        <f t="shared" si="72"/>
        <v>36678IF-ELPO/SJ</v>
      </c>
      <c r="Y160" s="418">
        <f t="shared" si="73"/>
        <v>-1</v>
      </c>
      <c r="AB160" s="141">
        <f t="shared" si="53"/>
        <v>36678</v>
      </c>
      <c r="AC160" s="234" t="e">
        <f>_xll.xSPRDOPT(HLOOKUP($D$3,GDPRICES,VLOOKUP(Q160,GDmove_down,2,FALSE),FALSE),HLOOKUP($E$3,GDPRICES,VLOOKUP(Q160,GDmove_down,2,FALSE),FALSE),J160,VLOOKUP(H160,NGPREVPRICES,4,FALSE),HLOOKUP($H$3,GDPrevVols,VLOOKUP(Q160,GDmove_down2,2,FALSE),FALSE),HLOOKUP($H$3,GDPrevVols,VLOOKUP(Q160,GDmove_down2,2,FALSE),FALSE),HLOOKUP(E160,GDcorr,VLOOKUP(H160,CorMove,2,FALSE),FALSE),Q160-$AC$3,R160,$AC$5)*I160-AI160</f>
        <v>#N/A</v>
      </c>
      <c r="AD160" s="234" t="e">
        <f>_xll.xSPRDOPT(HLOOKUP($D$3,GDPrev,VLOOKUP(Q160,GDmove_down,2,FALSE),FALSE),HLOOKUP($E$3,GDPrev,VLOOKUP(Q160,GDmove_down,2,FALSE),FALSE),AJ160,VLOOKUP(H160,NGPrices,4,FALSE),HLOOKUP($H$3,GDPrevVols,VLOOKUP(Q160,GDmove_down2,2,FALSE),FALSE),HLOOKUP($H$3,GDPrevVols,VLOOKUP(Q160,GDmove_down2,2,FALSE),FALSE),HLOOKUP(E160,GDcorr,VLOOKUP(H160,CorMove,2,FALSE),FALSE),Q160-$AC$3,R160,$AI$5)*I160-AI160</f>
        <v>#N/A</v>
      </c>
      <c r="AE160" s="439" t="e">
        <f t="shared" si="54"/>
        <v>#N/A</v>
      </c>
      <c r="AF160" s="234" t="e">
        <f>_xll.xSPRDOPT(HLOOKUP($D$3,GDPrev,VLOOKUP(Q160,GDmove_down,2,FALSE),FALSE),HLOOKUP($E$3,GDPrev,VLOOKUP(Q160,GDmove_down,2,FALSE),FALSE),AJ160,VLOOKUP(H160,NGPREVPRICES,4,FALSE),HLOOKUP($H$3,GDVol,VLOOKUP(H160,move_down,2,FALSE),FALSE),HLOOKUP($H$3,GDVol,VLOOKUP(H160,move_down,2,FALSE),FALSE),HLOOKUP(E160,GDcorr,VLOOKUP(H160,CorMove,2,FALSE),FALSE),Q160-$AC$3,R160,$AI$5)*I160-AI160</f>
        <v>#N/A</v>
      </c>
      <c r="AG160" s="234" t="e">
        <f>_xll.xSPRDOPT(HLOOKUP($D$3,GDPrev,VLOOKUP(Q160,GDmove_down,2,FALSE),FALSE),HLOOKUP($E$3,GDPrev,VLOOKUP(Q160,GDmove_down,2,FALSE),FALSE),AJ160,VLOOKUP(H160,NGPREVPRICES,4,FALSE),HLOOKUP($H$3,GDPrevVols,VLOOKUP(Q160,GDmove_down2,2,FALSE),FALSE),HLOOKUP($H$3,GDPrevVols,VLOOKUP(Q160,GDmove_down2,2,FALSE),FALSE),HLOOKUP(E160,GDcorr,VLOOKUP(H160,CorMove,2,FALSE),FALSE),Q160-$C$3,R160,$AI$5)*I160-AI160</f>
        <v>#N/A</v>
      </c>
      <c r="AH160" s="234" t="e">
        <f t="shared" si="55"/>
        <v>#N/A</v>
      </c>
      <c r="AI160" s="234" t="e">
        <f>_xll.xSPRDOPT(HLOOKUP($D$3,GDPrev,VLOOKUP(Q160,GDmove_down,2,FALSE),FALSE),HLOOKUP($E$3,GDPrev,VLOOKUP(Q160,GDmove_down,2,FALSE),FALSE),AJ160,VLOOKUP(H160,NGPREVPRICES,4,FALSE),HLOOKUP($H$3,GDPrevVols,VLOOKUP(Q160,GDmove_down2,2,FALSE),FALSE),HLOOKUP($H$3,GDPrevVols,VLOOKUP(Q160,GDmove_down2,2,FALSE),FALSE),HLOOKUP(E160,GDcorr,VLOOKUP(H160,CorMove,2,FALSE),FALSE),Q160-$AC$3,R160,$AI$5)*I160</f>
        <v>#N/A</v>
      </c>
      <c r="AJ160" s="235" t="e">
        <f t="shared" si="56"/>
        <v>#N/A</v>
      </c>
      <c r="AK160" s="234"/>
      <c r="AL160" t="str">
        <f t="shared" si="57"/>
        <v>36678Curve Shift/Gamma</v>
      </c>
      <c r="AM160" t="str">
        <f t="shared" si="65"/>
        <v>36678Rho</v>
      </c>
      <c r="AN160" t="str">
        <f t="shared" si="66"/>
        <v>36678Drift</v>
      </c>
      <c r="AO160" t="str">
        <f t="shared" si="67"/>
        <v>36678Vega</v>
      </c>
      <c r="AP160" t="str">
        <f t="shared" si="68"/>
        <v>36678Theta</v>
      </c>
      <c r="AZ160" s="41">
        <f t="shared" si="69"/>
        <v>40817</v>
      </c>
      <c r="BA160" s="44"/>
      <c r="BG160" s="441">
        <v>41153</v>
      </c>
      <c r="BH160">
        <v>0.98499999999999999</v>
      </c>
      <c r="BJ160" s="441">
        <v>41153</v>
      </c>
      <c r="BK160">
        <v>157</v>
      </c>
    </row>
    <row r="161" spans="1:63" ht="12" customHeight="1" x14ac:dyDescent="0.25">
      <c r="A161" s="382" t="s">
        <v>279</v>
      </c>
      <c r="B161" s="155" t="s">
        <v>250</v>
      </c>
      <c r="C161" s="155" t="s">
        <v>360</v>
      </c>
      <c r="D161" s="155" t="s">
        <v>190</v>
      </c>
      <c r="E161" s="4" t="s">
        <v>237</v>
      </c>
      <c r="F161" s="155" t="s">
        <v>20</v>
      </c>
      <c r="G161" s="155" t="s">
        <v>21</v>
      </c>
      <c r="H161" s="354">
        <v>36678</v>
      </c>
      <c r="I161" s="156">
        <v>-50000</v>
      </c>
      <c r="J161" s="7">
        <v>0.46</v>
      </c>
      <c r="K161" s="53">
        <f t="shared" si="62"/>
        <v>5.7750000000000004</v>
      </c>
      <c r="L161" s="53">
        <f t="shared" si="63"/>
        <v>3.68</v>
      </c>
      <c r="M161" s="157">
        <v>1</v>
      </c>
      <c r="N161" s="4">
        <v>0.51500000000000001</v>
      </c>
      <c r="O161" s="4">
        <v>0.51500000000000001</v>
      </c>
      <c r="P161" s="9" t="e">
        <f t="shared" si="64"/>
        <v>#N/A</v>
      </c>
      <c r="Q161" s="5">
        <v>36700</v>
      </c>
      <c r="R161" s="4">
        <f t="shared" si="70"/>
        <v>1</v>
      </c>
      <c r="S161" s="158" t="e">
        <f>_xll.xSPRDOPT($K161,$L161,$J161,$M161,$N161,$O161,$P161,$Q161-$C$3,$R161,0)</f>
        <v>#N/A</v>
      </c>
      <c r="T161" s="159" t="e">
        <f>_xll.xSPRDOPT($K161,$L161,$J161,$M161,$N161,$O161,$P161,$Q161-$C$3,$R161,1)*I161</f>
        <v>#N/A</v>
      </c>
      <c r="U161" s="160">
        <v>-14500</v>
      </c>
      <c r="V161" s="159" t="e">
        <f>_xll.xSPRDOPT($K161,$L161,$J161,$M161,$N161,$O161,$P161,$Q161-$C$3,$R161,2)*I161</f>
        <v>#N/A</v>
      </c>
      <c r="W161" s="159" t="e">
        <f t="shared" si="71"/>
        <v>#N/A</v>
      </c>
      <c r="X161" s="51" t="str">
        <f t="shared" si="72"/>
        <v>36678IF-ELPO/SJ</v>
      </c>
      <c r="Y161" s="418">
        <f t="shared" si="73"/>
        <v>-5</v>
      </c>
      <c r="Z161" s="51"/>
      <c r="AB161" s="141">
        <f t="shared" si="53"/>
        <v>36678</v>
      </c>
      <c r="AC161" s="234" t="e">
        <f>_xll.xSPRDOPT(HLOOKUP($D$3,GDPRICES,VLOOKUP(Q161,GDmove_down,2,FALSE),FALSE),HLOOKUP($E$3,GDPRICES,VLOOKUP(Q161,GDmove_down,2,FALSE),FALSE),J161,VLOOKUP(H161,NGPREVPRICES,4,FALSE),HLOOKUP($H$3,GDPrevVols,VLOOKUP(Q161,GDmove_down2,2,FALSE),FALSE),HLOOKUP($H$3,GDPrevVols,VLOOKUP(Q161,GDmove_down2,2,FALSE),FALSE),HLOOKUP(E161,GDcorr,VLOOKUP(H161,CorMove,2,FALSE),FALSE),Q161-$AC$3,R161,$AC$5)*I161-AI161</f>
        <v>#N/A</v>
      </c>
      <c r="AD161" s="234" t="e">
        <f>_xll.xSPRDOPT(HLOOKUP($D$3,GDPrev,VLOOKUP(Q161,GDmove_down,2,FALSE),FALSE),HLOOKUP($E$3,GDPrev,VLOOKUP(Q161,GDmove_down,2,FALSE),FALSE),AJ161,VLOOKUP(H161,NGPrices,4,FALSE),HLOOKUP($H$3,GDPrevVols,VLOOKUP(Q161,GDmove_down2,2,FALSE),FALSE),HLOOKUP($H$3,GDPrevVols,VLOOKUP(Q161,GDmove_down2,2,FALSE),FALSE),HLOOKUP(E161,GDcorr,VLOOKUP(H161,CorMove,2,FALSE),FALSE),Q161-$AC$3,R161,$AI$5)*I161-AI161</f>
        <v>#N/A</v>
      </c>
      <c r="AE161" s="439" t="e">
        <f t="shared" si="54"/>
        <v>#N/A</v>
      </c>
      <c r="AF161" s="234" t="e">
        <f>_xll.xSPRDOPT(HLOOKUP($D$3,GDPrev,VLOOKUP(Q161,GDmove_down,2,FALSE),FALSE),HLOOKUP($E$3,GDPrev,VLOOKUP(Q161,GDmove_down,2,FALSE),FALSE),AJ161,VLOOKUP(H161,NGPREVPRICES,4,FALSE),HLOOKUP($H$3,GDVol,VLOOKUP(H161,move_down,2,FALSE),FALSE),HLOOKUP($H$3,GDVol,VLOOKUP(H161,move_down,2,FALSE),FALSE),HLOOKUP(E161,GDcorr,VLOOKUP(H161,CorMove,2,FALSE),FALSE),Q161-$AC$3,R161,$AI$5)*I161-AI161</f>
        <v>#N/A</v>
      </c>
      <c r="AG161" s="234" t="e">
        <f>_xll.xSPRDOPT(HLOOKUP($D$3,GDPrev,VLOOKUP(Q161,GDmove_down,2,FALSE),FALSE),HLOOKUP($E$3,GDPrev,VLOOKUP(Q161,GDmove_down,2,FALSE),FALSE),AJ161,VLOOKUP(H161,NGPREVPRICES,4,FALSE),HLOOKUP($H$3,GDPrevVols,VLOOKUP(Q161,GDmove_down2,2,FALSE),FALSE),HLOOKUP($H$3,GDPrevVols,VLOOKUP(Q161,GDmove_down2,2,FALSE),FALSE),HLOOKUP(E161,GDcorr,VLOOKUP(H161,CorMove,2,FALSE),FALSE),Q161-$C$3,R161,$AI$5)*I161-AI161</f>
        <v>#N/A</v>
      </c>
      <c r="AH161" s="234" t="e">
        <f t="shared" si="55"/>
        <v>#N/A</v>
      </c>
      <c r="AI161" s="234" t="e">
        <f>_xll.xSPRDOPT(HLOOKUP($D$3,GDPrev,VLOOKUP(Q161,GDmove_down,2,FALSE),FALSE),HLOOKUP($E$3,GDPrev,VLOOKUP(Q161,GDmove_down,2,FALSE),FALSE),AJ161,VLOOKUP(H161,NGPREVPRICES,4,FALSE),HLOOKUP($H$3,GDPrevVols,VLOOKUP(Q161,GDmove_down2,2,FALSE),FALSE),HLOOKUP($H$3,GDPrevVols,VLOOKUP(Q161,GDmove_down2,2,FALSE),FALSE),HLOOKUP(E161,GDcorr,VLOOKUP(H161,CorMove,2,FALSE),FALSE),Q161-$AC$3,R161,$AI$5)*I161</f>
        <v>#N/A</v>
      </c>
      <c r="AJ161" s="235" t="e">
        <f t="shared" si="56"/>
        <v>#N/A</v>
      </c>
      <c r="AK161" s="234"/>
      <c r="AL161" t="str">
        <f t="shared" si="57"/>
        <v>36678Curve Shift/Gamma</v>
      </c>
      <c r="AM161" t="str">
        <f t="shared" si="65"/>
        <v>36678Rho</v>
      </c>
      <c r="AN161" t="str">
        <f t="shared" si="66"/>
        <v>36678Drift</v>
      </c>
      <c r="AO161" t="str">
        <f t="shared" si="67"/>
        <v>36678Vega</v>
      </c>
      <c r="AP161" t="str">
        <f t="shared" si="68"/>
        <v>36678Theta</v>
      </c>
      <c r="AZ161" s="41">
        <f t="shared" si="69"/>
        <v>40848</v>
      </c>
      <c r="BA161" s="44"/>
      <c r="BG161" s="441">
        <v>41183</v>
      </c>
      <c r="BH161">
        <v>0.98499999999999999</v>
      </c>
      <c r="BJ161" s="441">
        <v>41183</v>
      </c>
      <c r="BK161">
        <v>158</v>
      </c>
    </row>
    <row r="162" spans="1:63" ht="12" customHeight="1" x14ac:dyDescent="0.25">
      <c r="A162" s="382" t="s">
        <v>279</v>
      </c>
      <c r="B162" s="155" t="s">
        <v>250</v>
      </c>
      <c r="C162" s="155" t="s">
        <v>361</v>
      </c>
      <c r="D162" s="155" t="s">
        <v>190</v>
      </c>
      <c r="E162" s="4" t="s">
        <v>237</v>
      </c>
      <c r="F162" s="155" t="s">
        <v>20</v>
      </c>
      <c r="G162" s="155" t="s">
        <v>21</v>
      </c>
      <c r="H162" s="354">
        <v>36678</v>
      </c>
      <c r="I162" s="156">
        <v>10000</v>
      </c>
      <c r="J162" s="7">
        <v>0.46</v>
      </c>
      <c r="K162" s="53">
        <f t="shared" si="62"/>
        <v>5.7750000000000004</v>
      </c>
      <c r="L162" s="53">
        <f t="shared" si="63"/>
        <v>3.68</v>
      </c>
      <c r="M162" s="157">
        <v>1</v>
      </c>
      <c r="N162" s="4">
        <v>0.51500000000000001</v>
      </c>
      <c r="O162" s="4">
        <v>0.51500000000000001</v>
      </c>
      <c r="P162" s="9" t="e">
        <f t="shared" si="64"/>
        <v>#N/A</v>
      </c>
      <c r="Q162" s="5">
        <v>36700</v>
      </c>
      <c r="R162" s="4">
        <f t="shared" si="70"/>
        <v>1</v>
      </c>
      <c r="S162" s="158" t="e">
        <f>_xll.xSPRDOPT($K162,$L162,$J162,$M162,$N162,$O162,$P162,$Q162-$C$3,$R162,0)</f>
        <v>#N/A</v>
      </c>
      <c r="T162" s="159" t="e">
        <f>_xll.xSPRDOPT($K162,$L162,$J162,$M162,$N162,$O162,$P162,$Q162-$C$3,$R162,1)*I162</f>
        <v>#N/A</v>
      </c>
      <c r="U162" s="160">
        <v>2900</v>
      </c>
      <c r="V162" s="159" t="e">
        <f>_xll.xSPRDOPT($K162,$L162,$J162,$M162,$N162,$O162,$P162,$Q162-$C$3,$R162,2)*I162</f>
        <v>#N/A</v>
      </c>
      <c r="W162" s="159" t="e">
        <f t="shared" si="71"/>
        <v>#N/A</v>
      </c>
      <c r="X162" s="51" t="str">
        <f t="shared" si="72"/>
        <v>36678IF-ELPO/SJ</v>
      </c>
      <c r="Y162" s="418">
        <f t="shared" si="73"/>
        <v>1</v>
      </c>
      <c r="Z162" s="51"/>
      <c r="AB162" s="141">
        <f t="shared" si="53"/>
        <v>36678</v>
      </c>
      <c r="AC162" s="234" t="e">
        <f>_xll.xSPRDOPT(HLOOKUP($D$3,GDPRICES,VLOOKUP(Q162,GDmove_down,2,FALSE),FALSE),HLOOKUP($E$3,GDPRICES,VLOOKUP(Q162,GDmove_down,2,FALSE),FALSE),J162,VLOOKUP(H162,NGPREVPRICES,4,FALSE),HLOOKUP($H$3,GDPrevVols,VLOOKUP(Q162,GDmove_down2,2,FALSE),FALSE),HLOOKUP($H$3,GDPrevVols,VLOOKUP(Q162,GDmove_down2,2,FALSE),FALSE),HLOOKUP(E162,GDcorr,VLOOKUP(H162,CorMove,2,FALSE),FALSE),Q162-$AC$3,R162,$AC$5)*I162-AI162</f>
        <v>#N/A</v>
      </c>
      <c r="AD162" s="234" t="e">
        <f>_xll.xSPRDOPT(HLOOKUP($D$3,GDPrev,VLOOKUP(Q162,GDmove_down,2,FALSE),FALSE),HLOOKUP($E$3,GDPrev,VLOOKUP(Q162,GDmove_down,2,FALSE),FALSE),AJ162,VLOOKUP(H162,NGPrices,4,FALSE),HLOOKUP($H$3,GDPrevVols,VLOOKUP(Q162,GDmove_down2,2,FALSE),FALSE),HLOOKUP($H$3,GDPrevVols,VLOOKUP(Q162,GDmove_down2,2,FALSE),FALSE),HLOOKUP(E162,GDcorr,VLOOKUP(H162,CorMove,2,FALSE),FALSE),Q162-$AC$3,R162,$AI$5)*I162-AI162</f>
        <v>#N/A</v>
      </c>
      <c r="AE162" s="439" t="e">
        <f t="shared" si="54"/>
        <v>#N/A</v>
      </c>
      <c r="AF162" s="234" t="e">
        <f>_xll.xSPRDOPT(HLOOKUP($D$3,GDPrev,VLOOKUP(Q162,GDmove_down,2,FALSE),FALSE),HLOOKUP($E$3,GDPrev,VLOOKUP(Q162,GDmove_down,2,FALSE),FALSE),AJ162,VLOOKUP(H162,NGPREVPRICES,4,FALSE),HLOOKUP($H$3,GDVol,VLOOKUP(H162,move_down,2,FALSE),FALSE),HLOOKUP($H$3,GDVol,VLOOKUP(H162,move_down,2,FALSE),FALSE),HLOOKUP(E162,GDcorr,VLOOKUP(H162,CorMove,2,FALSE),FALSE),Q162-$AC$3,R162,$AI$5)*I162-AI162</f>
        <v>#N/A</v>
      </c>
      <c r="AG162" s="234" t="e">
        <f>_xll.xSPRDOPT(HLOOKUP($D$3,GDPrev,VLOOKUP(Q162,GDmove_down,2,FALSE),FALSE),HLOOKUP($E$3,GDPrev,VLOOKUP(Q162,GDmove_down,2,FALSE),FALSE),AJ162,VLOOKUP(H162,NGPREVPRICES,4,FALSE),HLOOKUP($H$3,GDPrevVols,VLOOKUP(Q162,GDmove_down2,2,FALSE),FALSE),HLOOKUP($H$3,GDPrevVols,VLOOKUP(Q162,GDmove_down2,2,FALSE),FALSE),HLOOKUP(E162,GDcorr,VLOOKUP(H162,CorMove,2,FALSE),FALSE),Q162-$C$3,R162,$AI$5)*I162-AI162</f>
        <v>#N/A</v>
      </c>
      <c r="AH162" s="234" t="e">
        <f t="shared" si="55"/>
        <v>#N/A</v>
      </c>
      <c r="AI162" s="234" t="e">
        <f>_xll.xSPRDOPT(HLOOKUP($D$3,GDPrev,VLOOKUP(Q162,GDmove_down,2,FALSE),FALSE),HLOOKUP($E$3,GDPrev,VLOOKUP(Q162,GDmove_down,2,FALSE),FALSE),AJ162,VLOOKUP(H162,NGPREVPRICES,4,FALSE),HLOOKUP($H$3,GDPrevVols,VLOOKUP(Q162,GDmove_down2,2,FALSE),FALSE),HLOOKUP($H$3,GDPrevVols,VLOOKUP(Q162,GDmove_down2,2,FALSE),FALSE),HLOOKUP(E162,GDcorr,VLOOKUP(H162,CorMove,2,FALSE),FALSE),Q162-$AC$3,R162,$AI$5)*I162</f>
        <v>#N/A</v>
      </c>
      <c r="AJ162" s="235" t="e">
        <f t="shared" si="56"/>
        <v>#N/A</v>
      </c>
      <c r="AK162" s="234"/>
      <c r="AL162" t="str">
        <f t="shared" si="57"/>
        <v>36678Curve Shift/Gamma</v>
      </c>
      <c r="AM162" t="str">
        <f t="shared" si="65"/>
        <v>36678Rho</v>
      </c>
      <c r="AN162" t="str">
        <f t="shared" si="66"/>
        <v>36678Drift</v>
      </c>
      <c r="AO162" t="str">
        <f t="shared" si="67"/>
        <v>36678Vega</v>
      </c>
      <c r="AP162" t="str">
        <f t="shared" si="68"/>
        <v>36678Theta</v>
      </c>
      <c r="AZ162" s="41">
        <f t="shared" si="69"/>
        <v>40878</v>
      </c>
      <c r="BA162" s="44"/>
      <c r="BG162" s="441">
        <v>41214</v>
      </c>
      <c r="BH162">
        <v>0.97048500000000038</v>
      </c>
      <c r="BJ162" s="441">
        <v>41214</v>
      </c>
      <c r="BK162">
        <v>159</v>
      </c>
    </row>
    <row r="163" spans="1:63" ht="12" customHeight="1" x14ac:dyDescent="0.25">
      <c r="A163" s="382" t="s">
        <v>279</v>
      </c>
      <c r="B163" s="155" t="s">
        <v>250</v>
      </c>
      <c r="C163" s="155" t="s">
        <v>364</v>
      </c>
      <c r="D163" s="155" t="s">
        <v>190</v>
      </c>
      <c r="E163" s="4" t="s">
        <v>237</v>
      </c>
      <c r="F163" s="155" t="s">
        <v>20</v>
      </c>
      <c r="G163" s="155" t="s">
        <v>21</v>
      </c>
      <c r="H163" s="354">
        <v>36678</v>
      </c>
      <c r="I163" s="156">
        <v>-333333</v>
      </c>
      <c r="J163" s="7">
        <v>0.46</v>
      </c>
      <c r="K163" s="53">
        <f t="shared" si="62"/>
        <v>5.7750000000000004</v>
      </c>
      <c r="L163" s="53">
        <f t="shared" si="63"/>
        <v>3.68</v>
      </c>
      <c r="M163" s="157">
        <v>1</v>
      </c>
      <c r="N163" s="4">
        <v>0.51500000000000001</v>
      </c>
      <c r="O163" s="4">
        <v>0.51500000000000001</v>
      </c>
      <c r="P163" s="9" t="e">
        <f t="shared" si="64"/>
        <v>#N/A</v>
      </c>
      <c r="Q163" s="5">
        <v>36700</v>
      </c>
      <c r="R163" s="4">
        <f t="shared" si="70"/>
        <v>1</v>
      </c>
      <c r="S163" s="158" t="e">
        <f>_xll.xSPRDOPT($K163,$L163,$J163,$M163,$N163,$O163,$P163,$Q163-$C$3,$R163,0)</f>
        <v>#N/A</v>
      </c>
      <c r="T163" s="159" t="e">
        <f>_xll.xSPRDOPT($K163,$L163,$J163,$M163,$N163,$O163,$P163,$Q163-$C$3,$R163,1)*I163</f>
        <v>#N/A</v>
      </c>
      <c r="U163" s="160">
        <v>-96666.57</v>
      </c>
      <c r="V163" s="159" t="e">
        <f>_xll.xSPRDOPT($K163,$L163,$J163,$M163,$N163,$O163,$P163,$Q163-$C$3,$R163,2)*I163</f>
        <v>#N/A</v>
      </c>
      <c r="W163" s="159" t="e">
        <f t="shared" si="71"/>
        <v>#N/A</v>
      </c>
      <c r="X163" s="51" t="str">
        <f t="shared" si="72"/>
        <v>36678IF-ELPO/SJ</v>
      </c>
      <c r="Y163" s="418">
        <f t="shared" si="73"/>
        <v>-33.333300000000001</v>
      </c>
      <c r="Z163" s="51"/>
      <c r="AB163" s="141">
        <f t="shared" si="53"/>
        <v>36678</v>
      </c>
      <c r="AC163" s="234" t="e">
        <f>_xll.xSPRDOPT(HLOOKUP($D$3,GDPRICES,VLOOKUP(Q163,GDmove_down,2,FALSE),FALSE),HLOOKUP($E$3,GDPRICES,VLOOKUP(Q163,GDmove_down,2,FALSE),FALSE),J163,VLOOKUP(H163,NGPREVPRICES,4,FALSE),HLOOKUP($H$3,GDPrevVols,VLOOKUP(Q163,GDmove_down2,2,FALSE),FALSE),HLOOKUP($H$3,GDPrevVols,VLOOKUP(Q163,GDmove_down2,2,FALSE),FALSE),HLOOKUP(E163,GDcorr,VLOOKUP(H163,CorMove,2,FALSE),FALSE),Q163-$AC$3,R163,$AC$5)*I163-AI163</f>
        <v>#N/A</v>
      </c>
      <c r="AD163" s="234" t="e">
        <f>_xll.xSPRDOPT(HLOOKUP($D$3,GDPrev,VLOOKUP(Q163,GDmove_down,2,FALSE),FALSE),HLOOKUP($E$3,GDPrev,VLOOKUP(Q163,GDmove_down,2,FALSE),FALSE),AJ163,VLOOKUP(H163,NGPrices,4,FALSE),HLOOKUP($H$3,GDPrevVols,VLOOKUP(Q163,GDmove_down2,2,FALSE),FALSE),HLOOKUP($H$3,GDPrevVols,VLOOKUP(Q163,GDmove_down2,2,FALSE),FALSE),HLOOKUP(E163,GDcorr,VLOOKUP(H163,CorMove,2,FALSE),FALSE),Q163-$AC$3,R163,$AI$5)*I163-AI163</f>
        <v>#N/A</v>
      </c>
      <c r="AE163" s="439" t="e">
        <f t="shared" si="54"/>
        <v>#N/A</v>
      </c>
      <c r="AF163" s="234" t="e">
        <f>_xll.xSPRDOPT(HLOOKUP($D$3,GDPrev,VLOOKUP(Q163,GDmove_down,2,FALSE),FALSE),HLOOKUP($E$3,GDPrev,VLOOKUP(Q163,GDmove_down,2,FALSE),FALSE),AJ163,VLOOKUP(H163,NGPREVPRICES,4,FALSE),HLOOKUP($H$3,GDVol,VLOOKUP(H163,move_down,2,FALSE),FALSE),HLOOKUP($H$3,GDVol,VLOOKUP(H163,move_down,2,FALSE),FALSE),HLOOKUP(E163,GDcorr,VLOOKUP(H163,CorMove,2,FALSE),FALSE),Q163-$AC$3,R163,$AI$5)*I163-AI163</f>
        <v>#N/A</v>
      </c>
      <c r="AG163" s="234" t="e">
        <f>_xll.xSPRDOPT(HLOOKUP($D$3,GDPrev,VLOOKUP(Q163,GDmove_down,2,FALSE),FALSE),HLOOKUP($E$3,GDPrev,VLOOKUP(Q163,GDmove_down,2,FALSE),FALSE),AJ163,VLOOKUP(H163,NGPREVPRICES,4,FALSE),HLOOKUP($H$3,GDPrevVols,VLOOKUP(Q163,GDmove_down2,2,FALSE),FALSE),HLOOKUP($H$3,GDPrevVols,VLOOKUP(Q163,GDmove_down2,2,FALSE),FALSE),HLOOKUP(E163,GDcorr,VLOOKUP(H163,CorMove,2,FALSE),FALSE),Q163-$C$3,R163,$AI$5)*I163-AI163</f>
        <v>#N/A</v>
      </c>
      <c r="AH163" s="234" t="e">
        <f t="shared" si="55"/>
        <v>#N/A</v>
      </c>
      <c r="AI163" s="234" t="e">
        <f>_xll.xSPRDOPT(HLOOKUP($D$3,GDPrev,VLOOKUP(Q163,GDmove_down,2,FALSE),FALSE),HLOOKUP($E$3,GDPrev,VLOOKUP(Q163,GDmove_down,2,FALSE),FALSE),AJ163,VLOOKUP(H163,NGPREVPRICES,4,FALSE),HLOOKUP($H$3,GDPrevVols,VLOOKUP(Q163,GDmove_down2,2,FALSE),FALSE),HLOOKUP($H$3,GDPrevVols,VLOOKUP(Q163,GDmove_down2,2,FALSE),FALSE),HLOOKUP(E163,GDcorr,VLOOKUP(H163,CorMove,2,FALSE),FALSE),Q163-$AC$3,R163,$AI$5)*I163</f>
        <v>#N/A</v>
      </c>
      <c r="AJ163" s="235" t="e">
        <f t="shared" si="56"/>
        <v>#N/A</v>
      </c>
      <c r="AK163" s="234"/>
      <c r="AL163" t="str">
        <f t="shared" si="57"/>
        <v>36678Curve Shift/Gamma</v>
      </c>
      <c r="AM163" t="str">
        <f t="shared" si="65"/>
        <v>36678Rho</v>
      </c>
      <c r="AN163" t="str">
        <f t="shared" si="66"/>
        <v>36678Drift</v>
      </c>
      <c r="AO163" t="str">
        <f t="shared" si="67"/>
        <v>36678Vega</v>
      </c>
      <c r="AP163" t="str">
        <f t="shared" si="68"/>
        <v>36678Theta</v>
      </c>
      <c r="AZ163" s="41">
        <f t="shared" si="69"/>
        <v>40909</v>
      </c>
      <c r="BA163" s="44"/>
      <c r="BG163" s="441">
        <v>41244</v>
      </c>
      <c r="BH163">
        <v>0.97048500000000038</v>
      </c>
      <c r="BJ163" s="441">
        <v>41244</v>
      </c>
      <c r="BK163">
        <v>160</v>
      </c>
    </row>
    <row r="164" spans="1:63" ht="12" customHeight="1" x14ac:dyDescent="0.25">
      <c r="A164" s="384" t="s">
        <v>268</v>
      </c>
      <c r="B164" s="155" t="s">
        <v>250</v>
      </c>
      <c r="C164" s="155" t="s">
        <v>387</v>
      </c>
      <c r="D164" s="155" t="s">
        <v>190</v>
      </c>
      <c r="E164" s="4" t="s">
        <v>237</v>
      </c>
      <c r="F164" s="155" t="s">
        <v>20</v>
      </c>
      <c r="G164" s="155" t="s">
        <v>21</v>
      </c>
      <c r="H164" s="354">
        <v>36678</v>
      </c>
      <c r="I164" s="156">
        <v>-10000</v>
      </c>
      <c r="J164" s="7">
        <v>0.46</v>
      </c>
      <c r="K164" s="53">
        <f t="shared" si="62"/>
        <v>5.7750000000000004</v>
      </c>
      <c r="L164" s="53">
        <f t="shared" si="63"/>
        <v>3.68</v>
      </c>
      <c r="M164" s="157">
        <v>1</v>
      </c>
      <c r="N164" s="4">
        <v>0.51500000000000001</v>
      </c>
      <c r="O164" s="4">
        <v>0.51500000000000001</v>
      </c>
      <c r="P164" s="9" t="e">
        <f t="shared" si="64"/>
        <v>#N/A</v>
      </c>
      <c r="Q164" s="5">
        <v>36700</v>
      </c>
      <c r="R164" s="4">
        <f t="shared" si="70"/>
        <v>1</v>
      </c>
      <c r="S164" s="158" t="e">
        <f>_xll.xSPRDOPT($K164,$L164,$J164,$M164,$N164,$O164,$P164,$Q164-$C$3,$R164,0)</f>
        <v>#N/A</v>
      </c>
      <c r="T164" s="159" t="e">
        <f>_xll.xSPRDOPT($K164,$L164,$J164,$M164,$N164,$O164,$P164,$Q164-$C$3,$R164,1)*I164</f>
        <v>#N/A</v>
      </c>
      <c r="U164" s="160">
        <v>-2900</v>
      </c>
      <c r="V164" s="159" t="e">
        <f>_xll.xSPRDOPT($K164,$L164,$J164,$M164,$N164,$O164,$P164,$Q164-$C$3,$R164,2)*I164</f>
        <v>#N/A</v>
      </c>
      <c r="W164" s="159" t="e">
        <f t="shared" si="71"/>
        <v>#N/A</v>
      </c>
      <c r="X164" s="51" t="str">
        <f t="shared" si="72"/>
        <v>36678IF-ELPO/SJ</v>
      </c>
      <c r="Y164" s="418">
        <f t="shared" si="73"/>
        <v>-1</v>
      </c>
      <c r="AB164" s="141">
        <f t="shared" si="53"/>
        <v>36678</v>
      </c>
      <c r="AC164" s="234" t="e">
        <f>_xll.xSPRDOPT(HLOOKUP($D$3,GDPRICES,VLOOKUP(Q164,GDmove_down,2,FALSE),FALSE),HLOOKUP($E$3,GDPRICES,VLOOKUP(Q164,GDmove_down,2,FALSE),FALSE),J164,VLOOKUP(H164,NGPREVPRICES,4,FALSE),HLOOKUP($H$3,GDPrevVols,VLOOKUP(Q164,GDmove_down2,2,FALSE),FALSE),HLOOKUP($H$3,GDPrevVols,VLOOKUP(Q164,GDmove_down2,2,FALSE),FALSE),HLOOKUP(E164,GDcorr,VLOOKUP(H164,CorMove,2,FALSE),FALSE),Q164-$AC$3,R164,$AC$5)*I164-AI164</f>
        <v>#N/A</v>
      </c>
      <c r="AD164" s="234" t="e">
        <f>_xll.xSPRDOPT(HLOOKUP($D$3,GDPrev,VLOOKUP(Q164,GDmove_down,2,FALSE),FALSE),HLOOKUP($E$3,GDPrev,VLOOKUP(Q164,GDmove_down,2,FALSE),FALSE),AJ164,VLOOKUP(H164,NGPrices,4,FALSE),HLOOKUP($H$3,GDPrevVols,VLOOKUP(Q164,GDmove_down2,2,FALSE),FALSE),HLOOKUP($H$3,GDPrevVols,VLOOKUP(Q164,GDmove_down2,2,FALSE),FALSE),HLOOKUP(E164,GDcorr,VLOOKUP(H164,CorMove,2,FALSE),FALSE),Q164-$AC$3,R164,$AI$5)*I164-AI164</f>
        <v>#N/A</v>
      </c>
      <c r="AE164" s="439" t="e">
        <f t="shared" si="54"/>
        <v>#N/A</v>
      </c>
      <c r="AF164" s="234" t="e">
        <f>_xll.xSPRDOPT(HLOOKUP($D$3,GDPrev,VLOOKUP(Q164,GDmove_down,2,FALSE),FALSE),HLOOKUP($E$3,GDPrev,VLOOKUP(Q164,GDmove_down,2,FALSE),FALSE),AJ164,VLOOKUP(H164,NGPREVPRICES,4,FALSE),HLOOKUP($H$3,GDVol,VLOOKUP(H164,move_down,2,FALSE),FALSE),HLOOKUP($H$3,GDVol,VLOOKUP(H164,move_down,2,FALSE),FALSE),HLOOKUP(E164,GDcorr,VLOOKUP(H164,CorMove,2,FALSE),FALSE),Q164-$AC$3,R164,$AI$5)*I164-AI164</f>
        <v>#N/A</v>
      </c>
      <c r="AG164" s="234" t="e">
        <f>_xll.xSPRDOPT(HLOOKUP($D$3,GDPrev,VLOOKUP(Q164,GDmove_down,2,FALSE),FALSE),HLOOKUP($E$3,GDPrev,VLOOKUP(Q164,GDmove_down,2,FALSE),FALSE),AJ164,VLOOKUP(H164,NGPREVPRICES,4,FALSE),HLOOKUP($H$3,GDPrevVols,VLOOKUP(Q164,GDmove_down2,2,FALSE),FALSE),HLOOKUP($H$3,GDPrevVols,VLOOKUP(Q164,GDmove_down2,2,FALSE),FALSE),HLOOKUP(E164,GDcorr,VLOOKUP(H164,CorMove,2,FALSE),FALSE),Q164-$C$3,R164,$AI$5)*I164-AI164</f>
        <v>#N/A</v>
      </c>
      <c r="AH164" s="234" t="e">
        <f t="shared" si="55"/>
        <v>#N/A</v>
      </c>
      <c r="AI164" s="234" t="e">
        <f>_xll.xSPRDOPT(HLOOKUP($D$3,GDPrev,VLOOKUP(Q164,GDmove_down,2,FALSE),FALSE),HLOOKUP($E$3,GDPrev,VLOOKUP(Q164,GDmove_down,2,FALSE),FALSE),AJ164,VLOOKUP(H164,NGPREVPRICES,4,FALSE),HLOOKUP($H$3,GDPrevVols,VLOOKUP(Q164,GDmove_down2,2,FALSE),FALSE),HLOOKUP($H$3,GDPrevVols,VLOOKUP(Q164,GDmove_down2,2,FALSE),FALSE),HLOOKUP(E164,GDcorr,VLOOKUP(H164,CorMove,2,FALSE),FALSE),Q164-$AC$3,R164,$AI$5)*I164</f>
        <v>#N/A</v>
      </c>
      <c r="AJ164" s="235" t="e">
        <f t="shared" si="56"/>
        <v>#N/A</v>
      </c>
      <c r="AK164" s="234"/>
      <c r="AL164" t="str">
        <f t="shared" si="57"/>
        <v>36678Curve Shift/Gamma</v>
      </c>
      <c r="AM164" t="str">
        <f t="shared" si="65"/>
        <v>36678Rho</v>
      </c>
      <c r="AN164" t="str">
        <f t="shared" si="66"/>
        <v>36678Drift</v>
      </c>
      <c r="AO164" t="str">
        <f t="shared" si="67"/>
        <v>36678Vega</v>
      </c>
      <c r="AP164" t="str">
        <f t="shared" si="68"/>
        <v>36678Theta</v>
      </c>
      <c r="AZ164" s="41">
        <f t="shared" si="69"/>
        <v>40940</v>
      </c>
      <c r="BA164" s="44"/>
      <c r="BG164" s="441">
        <v>41275</v>
      </c>
      <c r="BH164">
        <v>0.98499999999999999</v>
      </c>
      <c r="BJ164" s="441">
        <v>41275</v>
      </c>
      <c r="BK164">
        <v>161</v>
      </c>
    </row>
    <row r="165" spans="1:63" ht="12" customHeight="1" x14ac:dyDescent="0.25">
      <c r="A165" s="384" t="s">
        <v>279</v>
      </c>
      <c r="B165" s="155" t="s">
        <v>250</v>
      </c>
      <c r="C165" s="155" t="s">
        <v>388</v>
      </c>
      <c r="D165" s="155" t="s">
        <v>190</v>
      </c>
      <c r="E165" s="4" t="s">
        <v>237</v>
      </c>
      <c r="F165" s="155" t="s">
        <v>20</v>
      </c>
      <c r="G165" s="155" t="s">
        <v>21</v>
      </c>
      <c r="H165" s="354">
        <v>36678</v>
      </c>
      <c r="I165" s="156">
        <v>50000</v>
      </c>
      <c r="J165" s="7">
        <v>0.46</v>
      </c>
      <c r="K165" s="53">
        <f t="shared" si="62"/>
        <v>5.7750000000000004</v>
      </c>
      <c r="L165" s="53">
        <f t="shared" si="63"/>
        <v>3.68</v>
      </c>
      <c r="M165" s="157">
        <v>1</v>
      </c>
      <c r="N165" s="4">
        <v>0.51500000000000001</v>
      </c>
      <c r="O165" s="4">
        <v>0.51500000000000001</v>
      </c>
      <c r="P165" s="9" t="e">
        <f t="shared" si="64"/>
        <v>#N/A</v>
      </c>
      <c r="Q165" s="5">
        <v>36700</v>
      </c>
      <c r="R165" s="4">
        <f t="shared" si="70"/>
        <v>1</v>
      </c>
      <c r="S165" s="158" t="e">
        <f>_xll.xSPRDOPT($K165,$L165,$J165,$M165,$N165,$O165,$P165,$Q165-$C$3,$R165,0)</f>
        <v>#N/A</v>
      </c>
      <c r="T165" s="159" t="e">
        <f>_xll.xSPRDOPT($K165,$L165,$J165,$M165,$N165,$O165,$P165,$Q165-$C$3,$R165,1)*I165</f>
        <v>#N/A</v>
      </c>
      <c r="U165" s="160">
        <v>14500</v>
      </c>
      <c r="V165" s="159" t="e">
        <f>_xll.xSPRDOPT($K165,$L165,$J165,$M165,$N165,$O165,$P165,$Q165-$C$3,$R165,2)*I165</f>
        <v>#N/A</v>
      </c>
      <c r="W165" s="159" t="e">
        <f t="shared" si="71"/>
        <v>#N/A</v>
      </c>
      <c r="X165" s="51" t="str">
        <f t="shared" si="72"/>
        <v>36678IF-ELPO/SJ</v>
      </c>
      <c r="Y165" s="418">
        <f t="shared" si="73"/>
        <v>5</v>
      </c>
      <c r="AB165" s="141">
        <f t="shared" si="53"/>
        <v>36678</v>
      </c>
      <c r="AC165" s="234" t="e">
        <f>_xll.xSPRDOPT(HLOOKUP($D$3,GDPRICES,VLOOKUP(Q165,GDmove_down,2,FALSE),FALSE),HLOOKUP($E$3,GDPRICES,VLOOKUP(Q165,GDmove_down,2,FALSE),FALSE),J165,VLOOKUP(H165,NGPREVPRICES,4,FALSE),HLOOKUP($H$3,GDPrevVols,VLOOKUP(Q165,GDmove_down2,2,FALSE),FALSE),HLOOKUP($H$3,GDPrevVols,VLOOKUP(Q165,GDmove_down2,2,FALSE),FALSE),HLOOKUP(E165,GDcorr,VLOOKUP(H165,CorMove,2,FALSE),FALSE),Q165-$AC$3,R165,$AC$5)*I165-AI165</f>
        <v>#N/A</v>
      </c>
      <c r="AD165" s="234" t="e">
        <f>_xll.xSPRDOPT(HLOOKUP($D$3,GDPrev,VLOOKUP(Q165,GDmove_down,2,FALSE),FALSE),HLOOKUP($E$3,GDPrev,VLOOKUP(Q165,GDmove_down,2,FALSE),FALSE),AJ165,VLOOKUP(H165,NGPrices,4,FALSE),HLOOKUP($H$3,GDPrevVols,VLOOKUP(Q165,GDmove_down2,2,FALSE),FALSE),HLOOKUP($H$3,GDPrevVols,VLOOKUP(Q165,GDmove_down2,2,FALSE),FALSE),HLOOKUP(E165,GDcorr,VLOOKUP(H165,CorMove,2,FALSE),FALSE),Q165-$AC$3,R165,$AI$5)*I165-AI165</f>
        <v>#N/A</v>
      </c>
      <c r="AE165" s="439" t="e">
        <f t="shared" si="54"/>
        <v>#N/A</v>
      </c>
      <c r="AF165" s="234" t="e">
        <f>_xll.xSPRDOPT(HLOOKUP($D$3,GDPrev,VLOOKUP(Q165,GDmove_down,2,FALSE),FALSE),HLOOKUP($E$3,GDPrev,VLOOKUP(Q165,GDmove_down,2,FALSE),FALSE),AJ165,VLOOKUP(H165,NGPREVPRICES,4,FALSE),HLOOKUP($H$3,GDVol,VLOOKUP(H165,move_down,2,FALSE),FALSE),HLOOKUP($H$3,GDVol,VLOOKUP(H165,move_down,2,FALSE),FALSE),HLOOKUP(E165,GDcorr,VLOOKUP(H165,CorMove,2,FALSE),FALSE),Q165-$AC$3,R165,$AI$5)*I165-AI165</f>
        <v>#N/A</v>
      </c>
      <c r="AG165" s="234" t="e">
        <f>_xll.xSPRDOPT(HLOOKUP($D$3,GDPrev,VLOOKUP(Q165,GDmove_down,2,FALSE),FALSE),HLOOKUP($E$3,GDPrev,VLOOKUP(Q165,GDmove_down,2,FALSE),FALSE),AJ165,VLOOKUP(H165,NGPREVPRICES,4,FALSE),HLOOKUP($H$3,GDPrevVols,VLOOKUP(Q165,GDmove_down2,2,FALSE),FALSE),HLOOKUP($H$3,GDPrevVols,VLOOKUP(Q165,GDmove_down2,2,FALSE),FALSE),HLOOKUP(E165,GDcorr,VLOOKUP(H165,CorMove,2,FALSE),FALSE),Q165-$C$3,R165,$AI$5)*I165-AI165</f>
        <v>#N/A</v>
      </c>
      <c r="AH165" s="234" t="e">
        <f t="shared" si="55"/>
        <v>#N/A</v>
      </c>
      <c r="AI165" s="234" t="e">
        <f>_xll.xSPRDOPT(HLOOKUP($D$3,GDPrev,VLOOKUP(Q165,GDmove_down,2,FALSE),FALSE),HLOOKUP($E$3,GDPrev,VLOOKUP(Q165,GDmove_down,2,FALSE),FALSE),AJ165,VLOOKUP(H165,NGPREVPRICES,4,FALSE),HLOOKUP($H$3,GDPrevVols,VLOOKUP(Q165,GDmove_down2,2,FALSE),FALSE),HLOOKUP($H$3,GDPrevVols,VLOOKUP(Q165,GDmove_down2,2,FALSE),FALSE),HLOOKUP(E165,GDcorr,VLOOKUP(H165,CorMove,2,FALSE),FALSE),Q165-$AC$3,R165,$AI$5)*I165</f>
        <v>#N/A</v>
      </c>
      <c r="AJ165" s="235" t="e">
        <f t="shared" si="56"/>
        <v>#N/A</v>
      </c>
      <c r="AK165" s="234"/>
      <c r="AL165" t="str">
        <f t="shared" si="57"/>
        <v>36678Curve Shift/Gamma</v>
      </c>
      <c r="AM165" t="str">
        <f t="shared" si="65"/>
        <v>36678Rho</v>
      </c>
      <c r="AN165" t="str">
        <f t="shared" si="66"/>
        <v>36678Drift</v>
      </c>
      <c r="AO165" t="str">
        <f t="shared" si="67"/>
        <v>36678Vega</v>
      </c>
      <c r="AP165" t="str">
        <f t="shared" si="68"/>
        <v>36678Theta</v>
      </c>
      <c r="AZ165" s="41">
        <f t="shared" si="69"/>
        <v>40969</v>
      </c>
      <c r="BA165" s="44"/>
      <c r="BG165" s="441">
        <v>41306</v>
      </c>
      <c r="BH165">
        <v>0.98499999999999999</v>
      </c>
      <c r="BJ165" s="441">
        <v>41306</v>
      </c>
      <c r="BK165">
        <v>162</v>
      </c>
    </row>
    <row r="166" spans="1:63" ht="12" customHeight="1" x14ac:dyDescent="0.25">
      <c r="A166" s="384" t="s">
        <v>279</v>
      </c>
      <c r="B166" s="155" t="s">
        <v>250</v>
      </c>
      <c r="C166" s="155" t="s">
        <v>389</v>
      </c>
      <c r="D166" s="155" t="s">
        <v>190</v>
      </c>
      <c r="E166" s="4" t="s">
        <v>237</v>
      </c>
      <c r="F166" s="155" t="s">
        <v>20</v>
      </c>
      <c r="G166" s="155" t="s">
        <v>21</v>
      </c>
      <c r="H166" s="354">
        <v>36678</v>
      </c>
      <c r="I166" s="156">
        <v>50000</v>
      </c>
      <c r="J166" s="7">
        <v>0.46</v>
      </c>
      <c r="K166" s="53">
        <f t="shared" si="62"/>
        <v>5.7750000000000004</v>
      </c>
      <c r="L166" s="53">
        <f t="shared" si="63"/>
        <v>3.68</v>
      </c>
      <c r="M166" s="157">
        <v>1</v>
      </c>
      <c r="N166" s="4">
        <v>0.51500000000000001</v>
      </c>
      <c r="O166" s="4">
        <v>0.51500000000000001</v>
      </c>
      <c r="P166" s="9" t="e">
        <f t="shared" si="64"/>
        <v>#N/A</v>
      </c>
      <c r="Q166" s="5">
        <v>36700</v>
      </c>
      <c r="R166" s="4">
        <f t="shared" si="70"/>
        <v>1</v>
      </c>
      <c r="S166" s="158" t="e">
        <f>_xll.xSPRDOPT($K166,$L166,$J166,$M166,$N166,$O166,$P166,$Q166-$C$3,$R166,0)</f>
        <v>#N/A</v>
      </c>
      <c r="T166" s="159" t="e">
        <f>_xll.xSPRDOPT($K166,$L166,$J166,$M166,$N166,$O166,$P166,$Q166-$C$3,$R166,1)*I166</f>
        <v>#N/A</v>
      </c>
      <c r="U166" s="160">
        <v>14500</v>
      </c>
      <c r="V166" s="159" t="e">
        <f>_xll.xSPRDOPT($K166,$L166,$J166,$M166,$N166,$O166,$P166,$Q166-$C$3,$R166,2)*I166</f>
        <v>#N/A</v>
      </c>
      <c r="W166" s="159" t="e">
        <f t="shared" si="71"/>
        <v>#N/A</v>
      </c>
      <c r="X166" s="51" t="str">
        <f t="shared" si="72"/>
        <v>36678IF-ELPO/SJ</v>
      </c>
      <c r="Y166" s="418">
        <f t="shared" si="73"/>
        <v>5</v>
      </c>
      <c r="AB166" s="141">
        <f t="shared" si="53"/>
        <v>36678</v>
      </c>
      <c r="AC166" s="234" t="e">
        <f>_xll.xSPRDOPT(HLOOKUP($D$3,GDPRICES,VLOOKUP(Q166,GDmove_down,2,FALSE),FALSE),HLOOKUP($E$3,GDPRICES,VLOOKUP(Q166,GDmove_down,2,FALSE),FALSE),J166,VLOOKUP(H166,NGPREVPRICES,4,FALSE),HLOOKUP($H$3,GDPrevVols,VLOOKUP(Q166,GDmove_down2,2,FALSE),FALSE),HLOOKUP($H$3,GDPrevVols,VLOOKUP(Q166,GDmove_down2,2,FALSE),FALSE),HLOOKUP(E166,GDcorr,VLOOKUP(H166,CorMove,2,FALSE),FALSE),Q166-$AC$3,R166,$AC$5)*I166-AI166</f>
        <v>#N/A</v>
      </c>
      <c r="AD166" s="234" t="e">
        <f>_xll.xSPRDOPT(HLOOKUP($D$3,GDPrev,VLOOKUP(Q166,GDmove_down,2,FALSE),FALSE),HLOOKUP($E$3,GDPrev,VLOOKUP(Q166,GDmove_down,2,FALSE),FALSE),AJ166,VLOOKUP(H166,NGPrices,4,FALSE),HLOOKUP($H$3,GDPrevVols,VLOOKUP(Q166,GDmove_down2,2,FALSE),FALSE),HLOOKUP($H$3,GDPrevVols,VLOOKUP(Q166,GDmove_down2,2,FALSE),FALSE),HLOOKUP(E166,GDcorr,VLOOKUP(H166,CorMove,2,FALSE),FALSE),Q166-$AC$3,R166,$AI$5)*I166-AI166</f>
        <v>#N/A</v>
      </c>
      <c r="AE166" s="439" t="e">
        <f t="shared" si="54"/>
        <v>#N/A</v>
      </c>
      <c r="AF166" s="234" t="e">
        <f>_xll.xSPRDOPT(HLOOKUP($D$3,GDPrev,VLOOKUP(Q166,GDmove_down,2,FALSE),FALSE),HLOOKUP($E$3,GDPrev,VLOOKUP(Q166,GDmove_down,2,FALSE),FALSE),AJ166,VLOOKUP(H166,NGPREVPRICES,4,FALSE),HLOOKUP($H$3,GDVol,VLOOKUP(H166,move_down,2,FALSE),FALSE),HLOOKUP($H$3,GDVol,VLOOKUP(H166,move_down,2,FALSE),FALSE),HLOOKUP(E166,GDcorr,VLOOKUP(H166,CorMove,2,FALSE),FALSE),Q166-$AC$3,R166,$AI$5)*I166-AI166</f>
        <v>#N/A</v>
      </c>
      <c r="AG166" s="234" t="e">
        <f>_xll.xSPRDOPT(HLOOKUP($D$3,GDPrev,VLOOKUP(Q166,GDmove_down,2,FALSE),FALSE),HLOOKUP($E$3,GDPrev,VLOOKUP(Q166,GDmove_down,2,FALSE),FALSE),AJ166,VLOOKUP(H166,NGPREVPRICES,4,FALSE),HLOOKUP($H$3,GDPrevVols,VLOOKUP(Q166,GDmove_down2,2,FALSE),FALSE),HLOOKUP($H$3,GDPrevVols,VLOOKUP(Q166,GDmove_down2,2,FALSE),FALSE),HLOOKUP(E166,GDcorr,VLOOKUP(H166,CorMove,2,FALSE),FALSE),Q166-$C$3,R166,$AI$5)*I166-AI166</f>
        <v>#N/A</v>
      </c>
      <c r="AH166" s="234" t="e">
        <f t="shared" si="55"/>
        <v>#N/A</v>
      </c>
      <c r="AI166" s="234" t="e">
        <f>_xll.xSPRDOPT(HLOOKUP($D$3,GDPrev,VLOOKUP(Q166,GDmove_down,2,FALSE),FALSE),HLOOKUP($E$3,GDPrev,VLOOKUP(Q166,GDmove_down,2,FALSE),FALSE),AJ166,VLOOKUP(H166,NGPREVPRICES,4,FALSE),HLOOKUP($H$3,GDPrevVols,VLOOKUP(Q166,GDmove_down2,2,FALSE),FALSE),HLOOKUP($H$3,GDPrevVols,VLOOKUP(Q166,GDmove_down2,2,FALSE),FALSE),HLOOKUP(E166,GDcorr,VLOOKUP(H166,CorMove,2,FALSE),FALSE),Q166-$AC$3,R166,$AI$5)*I166</f>
        <v>#N/A</v>
      </c>
      <c r="AJ166" s="235" t="e">
        <f t="shared" si="56"/>
        <v>#N/A</v>
      </c>
      <c r="AK166" s="234"/>
      <c r="AL166" t="str">
        <f t="shared" si="57"/>
        <v>36678Curve Shift/Gamma</v>
      </c>
      <c r="AM166" t="str">
        <f t="shared" si="65"/>
        <v>36678Rho</v>
      </c>
      <c r="AN166" t="str">
        <f t="shared" si="66"/>
        <v>36678Drift</v>
      </c>
      <c r="AO166" t="str">
        <f t="shared" si="67"/>
        <v>36678Vega</v>
      </c>
      <c r="AP166" t="str">
        <f t="shared" si="68"/>
        <v>36678Theta</v>
      </c>
      <c r="AZ166" s="41">
        <f t="shared" si="69"/>
        <v>41000</v>
      </c>
      <c r="BA166" s="44"/>
      <c r="BG166" s="441">
        <v>41334</v>
      </c>
      <c r="BH166">
        <v>0.98499999999999999</v>
      </c>
      <c r="BJ166" s="441">
        <v>41334</v>
      </c>
      <c r="BK166">
        <v>163</v>
      </c>
    </row>
    <row r="167" spans="1:63" ht="12" customHeight="1" x14ac:dyDescent="0.25">
      <c r="A167" s="384" t="s">
        <v>279</v>
      </c>
      <c r="B167" s="155" t="s">
        <v>250</v>
      </c>
      <c r="C167" s="155" t="s">
        <v>398</v>
      </c>
      <c r="D167" s="155" t="s">
        <v>190</v>
      </c>
      <c r="E167" s="4" t="s">
        <v>237</v>
      </c>
      <c r="F167" s="155" t="s">
        <v>20</v>
      </c>
      <c r="G167" s="155" t="s">
        <v>21</v>
      </c>
      <c r="H167" s="354">
        <v>36678</v>
      </c>
      <c r="I167" s="156">
        <v>-10000</v>
      </c>
      <c r="J167" s="7">
        <v>0.46</v>
      </c>
      <c r="K167" s="53">
        <f t="shared" si="62"/>
        <v>5.7750000000000004</v>
      </c>
      <c r="L167" s="53">
        <f t="shared" si="63"/>
        <v>3.68</v>
      </c>
      <c r="M167" s="157">
        <v>1</v>
      </c>
      <c r="N167" s="4">
        <v>0.51500000000000001</v>
      </c>
      <c r="O167" s="4">
        <v>0.51500000000000001</v>
      </c>
      <c r="P167" s="9" t="e">
        <f t="shared" si="64"/>
        <v>#N/A</v>
      </c>
      <c r="Q167" s="5">
        <v>36700</v>
      </c>
      <c r="R167" s="4">
        <f t="shared" si="70"/>
        <v>1</v>
      </c>
      <c r="S167" s="158" t="e">
        <f>_xll.xSPRDOPT($K167,$L167,$J167,$M167,$N167,$O167,$P167,$Q167-$C$3,$R167,0)</f>
        <v>#N/A</v>
      </c>
      <c r="T167" s="159" t="e">
        <f>_xll.xSPRDOPT($K167,$L167,$J167,$M167,$N167,$O167,$P167,$Q167-$C$3,$R167,1)*I167</f>
        <v>#N/A</v>
      </c>
      <c r="U167" s="160">
        <v>2900</v>
      </c>
      <c r="V167" s="159" t="e">
        <f>_xll.xSPRDOPT($K167,$L167,$J167,$M167,$N167,$O167,$P167,$Q167-$C$3,$R167,2)*I167</f>
        <v>#N/A</v>
      </c>
      <c r="W167" s="159" t="e">
        <f t="shared" si="71"/>
        <v>#N/A</v>
      </c>
      <c r="X167" s="51" t="str">
        <f t="shared" si="72"/>
        <v>36678IF-ELPO/SJ</v>
      </c>
      <c r="Y167" s="418">
        <f t="shared" si="73"/>
        <v>-1</v>
      </c>
      <c r="Z167" s="51"/>
      <c r="AB167" s="141">
        <f t="shared" si="53"/>
        <v>36678</v>
      </c>
      <c r="AC167" s="234" t="e">
        <f>_xll.xSPRDOPT(HLOOKUP($D$3,GDPRICES,VLOOKUP(Q167,GDmove_down,2,FALSE),FALSE),HLOOKUP($E$3,GDPRICES,VLOOKUP(Q167,GDmove_down,2,FALSE),FALSE),J167,VLOOKUP(H167,NGPREVPRICES,4,FALSE),HLOOKUP($H$3,GDPrevVols,VLOOKUP(Q167,GDmove_down2,2,FALSE),FALSE),HLOOKUP($H$3,GDPrevVols,VLOOKUP(Q167,GDmove_down2,2,FALSE),FALSE),HLOOKUP(E167,GDcorr,VLOOKUP(H167,CorMove,2,FALSE),FALSE),Q167-$AC$3,R167,$AC$5)*I167-AI167</f>
        <v>#N/A</v>
      </c>
      <c r="AD167" s="234" t="e">
        <f>_xll.xSPRDOPT(HLOOKUP($D$3,GDPrev,VLOOKUP(Q167,GDmove_down,2,FALSE),FALSE),HLOOKUP($E$3,GDPrev,VLOOKUP(Q167,GDmove_down,2,FALSE),FALSE),AJ167,VLOOKUP(H167,NGPrices,4,FALSE),HLOOKUP($H$3,GDPrevVols,VLOOKUP(Q167,GDmove_down2,2,FALSE),FALSE),HLOOKUP($H$3,GDPrevVols,VLOOKUP(Q167,GDmove_down2,2,FALSE),FALSE),HLOOKUP(E167,GDcorr,VLOOKUP(H167,CorMove,2,FALSE),FALSE),Q167-$AC$3,R167,$AI$5)*I167-AI167</f>
        <v>#N/A</v>
      </c>
      <c r="AE167" s="439" t="e">
        <f t="shared" si="54"/>
        <v>#N/A</v>
      </c>
      <c r="AF167" s="234" t="e">
        <f>_xll.xSPRDOPT(HLOOKUP($D$3,GDPrev,VLOOKUP(Q167,GDmove_down,2,FALSE),FALSE),HLOOKUP($E$3,GDPrev,VLOOKUP(Q167,GDmove_down,2,FALSE),FALSE),AJ167,VLOOKUP(H167,NGPREVPRICES,4,FALSE),HLOOKUP($H$3,GDVol,VLOOKUP(H167,move_down,2,FALSE),FALSE),HLOOKUP($H$3,GDVol,VLOOKUP(H167,move_down,2,FALSE),FALSE),HLOOKUP(E167,GDcorr,VLOOKUP(H167,CorMove,2,FALSE),FALSE),Q167-$AC$3,R167,$AI$5)*I167-AI167</f>
        <v>#N/A</v>
      </c>
      <c r="AG167" s="234" t="e">
        <f>_xll.xSPRDOPT(HLOOKUP($D$3,GDPrev,VLOOKUP(Q167,GDmove_down,2,FALSE),FALSE),HLOOKUP($E$3,GDPrev,VLOOKUP(Q167,GDmove_down,2,FALSE),FALSE),AJ167,VLOOKUP(H167,NGPREVPRICES,4,FALSE),HLOOKUP($H$3,GDPrevVols,VLOOKUP(Q167,GDmove_down2,2,FALSE),FALSE),HLOOKUP($H$3,GDPrevVols,VLOOKUP(Q167,GDmove_down2,2,FALSE),FALSE),HLOOKUP(E167,GDcorr,VLOOKUP(H167,CorMove,2,FALSE),FALSE),Q167-$C$3,R167,$AI$5)*I167-AI167</f>
        <v>#N/A</v>
      </c>
      <c r="AH167" s="234" t="e">
        <f t="shared" si="55"/>
        <v>#N/A</v>
      </c>
      <c r="AI167" s="234" t="e">
        <f>_xll.xSPRDOPT(HLOOKUP($D$3,GDPrev,VLOOKUP(Q167,GDmove_down,2,FALSE),FALSE),HLOOKUP($E$3,GDPrev,VLOOKUP(Q167,GDmove_down,2,FALSE),FALSE),AJ167,VLOOKUP(H167,NGPREVPRICES,4,FALSE),HLOOKUP($H$3,GDPrevVols,VLOOKUP(Q167,GDmove_down2,2,FALSE),FALSE),HLOOKUP($H$3,GDPrevVols,VLOOKUP(Q167,GDmove_down2,2,FALSE),FALSE),HLOOKUP(E167,GDcorr,VLOOKUP(H167,CorMove,2,FALSE),FALSE),Q167-$AC$3,R167,$AI$5)*I167</f>
        <v>#N/A</v>
      </c>
      <c r="AJ167" s="235" t="e">
        <f t="shared" si="56"/>
        <v>#N/A</v>
      </c>
      <c r="AK167" s="234"/>
      <c r="AL167" t="str">
        <f t="shared" si="57"/>
        <v>36678Curve Shift/Gamma</v>
      </c>
      <c r="AM167" t="str">
        <f t="shared" si="65"/>
        <v>36678Rho</v>
      </c>
      <c r="AN167" t="str">
        <f t="shared" si="66"/>
        <v>36678Drift</v>
      </c>
      <c r="AO167" t="str">
        <f t="shared" si="67"/>
        <v>36678Vega</v>
      </c>
      <c r="AP167" t="str">
        <f t="shared" si="68"/>
        <v>36678Theta</v>
      </c>
      <c r="AZ167" s="41">
        <f t="shared" si="69"/>
        <v>41030</v>
      </c>
      <c r="BA167" s="44"/>
      <c r="BG167" s="441">
        <v>41365</v>
      </c>
      <c r="BH167">
        <v>0.98499999999999999</v>
      </c>
      <c r="BJ167" s="441">
        <v>41365</v>
      </c>
      <c r="BK167">
        <v>164</v>
      </c>
    </row>
    <row r="168" spans="1:63" ht="12" customHeight="1" thickBot="1" x14ac:dyDescent="0.3">
      <c r="A168" s="382" t="s">
        <v>279</v>
      </c>
      <c r="B168" s="155" t="s">
        <v>250</v>
      </c>
      <c r="C168" s="155" t="s">
        <v>360</v>
      </c>
      <c r="D168" s="155" t="s">
        <v>190</v>
      </c>
      <c r="E168" s="4" t="s">
        <v>237</v>
      </c>
      <c r="F168" s="155" t="s">
        <v>20</v>
      </c>
      <c r="G168" s="155" t="s">
        <v>21</v>
      </c>
      <c r="H168" s="354">
        <v>36678</v>
      </c>
      <c r="I168" s="156">
        <v>-50000</v>
      </c>
      <c r="J168" s="7">
        <v>0.46</v>
      </c>
      <c r="K168" s="53">
        <f t="shared" si="62"/>
        <v>5.76</v>
      </c>
      <c r="L168" s="53">
        <f t="shared" si="63"/>
        <v>3.6</v>
      </c>
      <c r="M168" s="157">
        <v>1</v>
      </c>
      <c r="N168" s="4">
        <v>0.51500000000000001</v>
      </c>
      <c r="O168" s="4">
        <v>0.51500000000000001</v>
      </c>
      <c r="P168" s="9" t="e">
        <f t="shared" si="64"/>
        <v>#N/A</v>
      </c>
      <c r="Q168" s="5">
        <v>36701</v>
      </c>
      <c r="R168" s="4">
        <f t="shared" si="70"/>
        <v>1</v>
      </c>
      <c r="S168" s="158" t="e">
        <f>_xll.xSPRDOPT($K168,$L168,$J168,$M168,$N168,$O168,$P168,$Q168-$C$3,$R168,0)</f>
        <v>#N/A</v>
      </c>
      <c r="T168" s="159" t="e">
        <f>_xll.xSPRDOPT($K168,$L168,$J168,$M168,$N168,$O168,$P168,$Q168-$C$3,$R168,1)*I168</f>
        <v>#N/A</v>
      </c>
      <c r="U168" s="160">
        <v>-14250</v>
      </c>
      <c r="V168" s="159" t="e">
        <f>_xll.xSPRDOPT($K168,$L168,$J168,$M168,$N168,$O168,$P168,$Q168-$C$3,$R168,2)*I168</f>
        <v>#N/A</v>
      </c>
      <c r="W168" s="159" t="e">
        <f t="shared" si="71"/>
        <v>#N/A</v>
      </c>
      <c r="X168" s="51" t="str">
        <f t="shared" si="72"/>
        <v>36678IF-ELPO/SJ</v>
      </c>
      <c r="Y168" s="418">
        <f t="shared" si="73"/>
        <v>-5</v>
      </c>
      <c r="Z168" s="51"/>
      <c r="AB168" s="141">
        <f t="shared" si="53"/>
        <v>36678</v>
      </c>
      <c r="AC168" s="234" t="e">
        <f>_xll.xSPRDOPT(HLOOKUP($D$3,GDPRICES,VLOOKUP(Q168,GDmove_down,2,FALSE),FALSE),HLOOKUP($E$3,GDPRICES,VLOOKUP(Q168,GDmove_down,2,FALSE),FALSE),J168,VLOOKUP(H168,NGPREVPRICES,4,FALSE),HLOOKUP($H$3,GDPrevVols,VLOOKUP(Q168,GDmove_down2,2,FALSE),FALSE),HLOOKUP($H$3,GDPrevVols,VLOOKUP(Q168,GDmove_down2,2,FALSE),FALSE),HLOOKUP(E168,GDcorr,VLOOKUP(H168,CorMove,2,FALSE),FALSE),Q168-$AC$3,R168,$AC$5)*I168-AI168</f>
        <v>#N/A</v>
      </c>
      <c r="AD168" s="234" t="e">
        <f>_xll.xSPRDOPT(HLOOKUP($D$3,GDPrev,VLOOKUP(Q168,GDmove_down,2,FALSE),FALSE),HLOOKUP($E$3,GDPrev,VLOOKUP(Q168,GDmove_down,2,FALSE),FALSE),AJ168,VLOOKUP(H168,NGPrices,4,FALSE),HLOOKUP($H$3,GDPrevVols,VLOOKUP(Q168,GDmove_down2,2,FALSE),FALSE),HLOOKUP($H$3,GDPrevVols,VLOOKUP(Q168,GDmove_down2,2,FALSE),FALSE),HLOOKUP(E168,GDcorr,VLOOKUP(H168,CorMove,2,FALSE),FALSE),Q168-$AC$3,R168,$AI$5)*I168-AI168</f>
        <v>#N/A</v>
      </c>
      <c r="AE168" s="439" t="e">
        <f t="shared" si="54"/>
        <v>#N/A</v>
      </c>
      <c r="AF168" s="234" t="e">
        <f>_xll.xSPRDOPT(HLOOKUP($D$3,GDPrev,VLOOKUP(Q168,GDmove_down,2,FALSE),FALSE),HLOOKUP($E$3,GDPrev,VLOOKUP(Q168,GDmove_down,2,FALSE),FALSE),AJ168,VLOOKUP(H168,NGPREVPRICES,4,FALSE),HLOOKUP($H$3,GDVol,VLOOKUP(H168,move_down,2,FALSE),FALSE),HLOOKUP($H$3,GDVol,VLOOKUP(H168,move_down,2,FALSE),FALSE),HLOOKUP(E168,GDcorr,VLOOKUP(H168,CorMove,2,FALSE),FALSE),Q168-$AC$3,R168,$AI$5)*I168-AI168</f>
        <v>#N/A</v>
      </c>
      <c r="AG168" s="234" t="e">
        <f>_xll.xSPRDOPT(HLOOKUP($D$3,GDPrev,VLOOKUP(Q168,GDmove_down,2,FALSE),FALSE),HLOOKUP($E$3,GDPrev,VLOOKUP(Q168,GDmove_down,2,FALSE),FALSE),AJ168,VLOOKUP(H168,NGPREVPRICES,4,FALSE),HLOOKUP($H$3,GDPrevVols,VLOOKUP(Q168,GDmove_down2,2,FALSE),FALSE),HLOOKUP($H$3,GDPrevVols,VLOOKUP(Q168,GDmove_down2,2,FALSE),FALSE),HLOOKUP(E168,GDcorr,VLOOKUP(H168,CorMove,2,FALSE),FALSE),Q168-$C$3,R168,$AI$5)*I168-AI168</f>
        <v>#N/A</v>
      </c>
      <c r="AH168" s="234" t="e">
        <f t="shared" si="55"/>
        <v>#N/A</v>
      </c>
      <c r="AI168" s="234" t="e">
        <f>_xll.xSPRDOPT(HLOOKUP($D$3,GDPrev,VLOOKUP(Q168,GDmove_down,2,FALSE),FALSE),HLOOKUP($E$3,GDPrev,VLOOKUP(Q168,GDmove_down,2,FALSE),FALSE),AJ168,VLOOKUP(H168,NGPREVPRICES,4,FALSE),HLOOKUP($H$3,GDPrevVols,VLOOKUP(Q168,GDmove_down2,2,FALSE),FALSE),HLOOKUP($H$3,GDPrevVols,VLOOKUP(Q168,GDmove_down2,2,FALSE),FALSE),HLOOKUP(E168,GDcorr,VLOOKUP(H168,CorMove,2,FALSE),FALSE),Q168-$AC$3,R168,$AI$5)*I168</f>
        <v>#N/A</v>
      </c>
      <c r="AJ168" s="235" t="e">
        <f t="shared" si="56"/>
        <v>#N/A</v>
      </c>
      <c r="AK168" s="234"/>
      <c r="AL168" t="str">
        <f t="shared" si="57"/>
        <v>36678Curve Shift/Gamma</v>
      </c>
      <c r="AM168" t="str">
        <f t="shared" si="65"/>
        <v>36678Rho</v>
      </c>
      <c r="AN168" t="str">
        <f t="shared" si="66"/>
        <v>36678Drift</v>
      </c>
      <c r="AO168" t="str">
        <f t="shared" si="67"/>
        <v>36678Vega</v>
      </c>
      <c r="AP168" t="str">
        <f t="shared" si="68"/>
        <v>36678Theta</v>
      </c>
      <c r="AZ168" s="42">
        <f t="shared" si="69"/>
        <v>41061</v>
      </c>
      <c r="BA168" s="46"/>
      <c r="BG168" s="441">
        <v>41395</v>
      </c>
      <c r="BH168">
        <v>0.98499999999999999</v>
      </c>
      <c r="BJ168" s="441">
        <v>41395</v>
      </c>
      <c r="BK168">
        <v>165</v>
      </c>
    </row>
    <row r="169" spans="1:63" ht="12" customHeight="1" x14ac:dyDescent="0.25">
      <c r="A169" s="382" t="s">
        <v>279</v>
      </c>
      <c r="B169" s="155" t="s">
        <v>250</v>
      </c>
      <c r="C169" s="155" t="s">
        <v>361</v>
      </c>
      <c r="D169" s="155" t="s">
        <v>190</v>
      </c>
      <c r="E169" s="4" t="s">
        <v>237</v>
      </c>
      <c r="F169" s="155" t="s">
        <v>20</v>
      </c>
      <c r="G169" s="155" t="s">
        <v>21</v>
      </c>
      <c r="H169" s="354">
        <v>36678</v>
      </c>
      <c r="I169" s="156">
        <v>10000</v>
      </c>
      <c r="J169" s="7">
        <v>0.46</v>
      </c>
      <c r="K169" s="53">
        <f t="shared" si="62"/>
        <v>5.76</v>
      </c>
      <c r="L169" s="53">
        <f t="shared" si="63"/>
        <v>3.6</v>
      </c>
      <c r="M169" s="157">
        <v>1</v>
      </c>
      <c r="N169" s="4">
        <v>0.51500000000000001</v>
      </c>
      <c r="O169" s="4">
        <v>0.51500000000000001</v>
      </c>
      <c r="P169" s="9" t="e">
        <f t="shared" si="64"/>
        <v>#N/A</v>
      </c>
      <c r="Q169" s="5">
        <v>36701</v>
      </c>
      <c r="R169" s="4">
        <f t="shared" si="70"/>
        <v>1</v>
      </c>
      <c r="S169" s="158" t="e">
        <f>_xll.xSPRDOPT($K169,$L169,$J169,$M169,$N169,$O169,$P169,$Q169-$C$3,$R169,0)</f>
        <v>#N/A</v>
      </c>
      <c r="T169" s="159" t="e">
        <f>_xll.xSPRDOPT($K169,$L169,$J169,$M169,$N169,$O169,$P169,$Q169-$C$3,$R169,1)*I169</f>
        <v>#N/A</v>
      </c>
      <c r="U169" s="160">
        <v>2850</v>
      </c>
      <c r="V169" s="159" t="e">
        <f>_xll.xSPRDOPT($K169,$L169,$J169,$M169,$N169,$O169,$P169,$Q169-$C$3,$R169,2)*I169</f>
        <v>#N/A</v>
      </c>
      <c r="W169" s="159" t="e">
        <f t="shared" si="71"/>
        <v>#N/A</v>
      </c>
      <c r="X169" s="51" t="str">
        <f t="shared" si="72"/>
        <v>36678IF-ELPO/SJ</v>
      </c>
      <c r="Y169" s="418">
        <f t="shared" si="73"/>
        <v>1</v>
      </c>
      <c r="Z169" s="51"/>
      <c r="AB169" s="141">
        <f t="shared" si="53"/>
        <v>36678</v>
      </c>
      <c r="AC169" s="234" t="e">
        <f>_xll.xSPRDOPT(HLOOKUP($D$3,GDPRICES,VLOOKUP(Q169,GDmove_down,2,FALSE),FALSE),HLOOKUP($E$3,GDPRICES,VLOOKUP(Q169,GDmove_down,2,FALSE),FALSE),J169,VLOOKUP(H169,NGPREVPRICES,4,FALSE),HLOOKUP($H$3,GDPrevVols,VLOOKUP(Q169,GDmove_down2,2,FALSE),FALSE),HLOOKUP($H$3,GDPrevVols,VLOOKUP(Q169,GDmove_down2,2,FALSE),FALSE),HLOOKUP(E169,GDcorr,VLOOKUP(H169,CorMove,2,FALSE),FALSE),Q169-$AC$3,R169,$AC$5)*I169-AI169</f>
        <v>#N/A</v>
      </c>
      <c r="AD169" s="234" t="e">
        <f>_xll.xSPRDOPT(HLOOKUP($D$3,GDPrev,VLOOKUP(Q169,GDmove_down,2,FALSE),FALSE),HLOOKUP($E$3,GDPrev,VLOOKUP(Q169,GDmove_down,2,FALSE),FALSE),AJ169,VLOOKUP(H169,NGPrices,4,FALSE),HLOOKUP($H$3,GDPrevVols,VLOOKUP(Q169,GDmove_down2,2,FALSE),FALSE),HLOOKUP($H$3,GDPrevVols,VLOOKUP(Q169,GDmove_down2,2,FALSE),FALSE),HLOOKUP(E169,GDcorr,VLOOKUP(H169,CorMove,2,FALSE),FALSE),Q169-$AC$3,R169,$AI$5)*I169-AI169</f>
        <v>#N/A</v>
      </c>
      <c r="AE169" s="439" t="e">
        <f t="shared" si="54"/>
        <v>#N/A</v>
      </c>
      <c r="AF169" s="234" t="e">
        <f>_xll.xSPRDOPT(HLOOKUP($D$3,GDPrev,VLOOKUP(Q169,GDmove_down,2,FALSE),FALSE),HLOOKUP($E$3,GDPrev,VLOOKUP(Q169,GDmove_down,2,FALSE),FALSE),AJ169,VLOOKUP(H169,NGPREVPRICES,4,FALSE),HLOOKUP($H$3,GDVol,VLOOKUP(H169,move_down,2,FALSE),FALSE),HLOOKUP($H$3,GDVol,VLOOKUP(H169,move_down,2,FALSE),FALSE),HLOOKUP(E169,GDcorr,VLOOKUP(H169,CorMove,2,FALSE),FALSE),Q169-$AC$3,R169,$AI$5)*I169-AI169</f>
        <v>#N/A</v>
      </c>
      <c r="AG169" s="234" t="e">
        <f>_xll.xSPRDOPT(HLOOKUP($D$3,GDPrev,VLOOKUP(Q169,GDmove_down,2,FALSE),FALSE),HLOOKUP($E$3,GDPrev,VLOOKUP(Q169,GDmove_down,2,FALSE),FALSE),AJ169,VLOOKUP(H169,NGPREVPRICES,4,FALSE),HLOOKUP($H$3,GDPrevVols,VLOOKUP(Q169,GDmove_down2,2,FALSE),FALSE),HLOOKUP($H$3,GDPrevVols,VLOOKUP(Q169,GDmove_down2,2,FALSE),FALSE),HLOOKUP(E169,GDcorr,VLOOKUP(H169,CorMove,2,FALSE),FALSE),Q169-$C$3,R169,$AI$5)*I169-AI169</f>
        <v>#N/A</v>
      </c>
      <c r="AH169" s="234" t="e">
        <f t="shared" si="55"/>
        <v>#N/A</v>
      </c>
      <c r="AI169" s="234" t="e">
        <f>_xll.xSPRDOPT(HLOOKUP($D$3,GDPrev,VLOOKUP(Q169,GDmove_down,2,FALSE),FALSE),HLOOKUP($E$3,GDPrev,VLOOKUP(Q169,GDmove_down,2,FALSE),FALSE),AJ169,VLOOKUP(H169,NGPREVPRICES,4,FALSE),HLOOKUP($H$3,GDPrevVols,VLOOKUP(Q169,GDmove_down2,2,FALSE),FALSE),HLOOKUP($H$3,GDPrevVols,VLOOKUP(Q169,GDmove_down2,2,FALSE),FALSE),HLOOKUP(E169,GDcorr,VLOOKUP(H169,CorMove,2,FALSE),FALSE),Q169-$AC$3,R169,$AI$5)*I169</f>
        <v>#N/A</v>
      </c>
      <c r="AJ169" s="235" t="e">
        <f t="shared" si="56"/>
        <v>#N/A</v>
      </c>
      <c r="AK169" s="234"/>
      <c r="AL169" t="str">
        <f t="shared" si="57"/>
        <v>36678Curve Shift/Gamma</v>
      </c>
      <c r="AM169" t="str">
        <f t="shared" si="65"/>
        <v>36678Rho</v>
      </c>
      <c r="AN169" t="str">
        <f t="shared" si="66"/>
        <v>36678Drift</v>
      </c>
      <c r="AO169" t="str">
        <f t="shared" si="67"/>
        <v>36678Vega</v>
      </c>
      <c r="AP169" t="str">
        <f t="shared" si="68"/>
        <v>36678Theta</v>
      </c>
      <c r="BG169" s="441">
        <v>41426</v>
      </c>
      <c r="BH169">
        <v>0.98499999999999999</v>
      </c>
      <c r="BJ169" s="441">
        <v>41426</v>
      </c>
      <c r="BK169">
        <v>166</v>
      </c>
    </row>
    <row r="170" spans="1:63" ht="12" customHeight="1" x14ac:dyDescent="0.25">
      <c r="A170" s="382" t="s">
        <v>279</v>
      </c>
      <c r="B170" s="155" t="s">
        <v>250</v>
      </c>
      <c r="C170" s="155" t="s">
        <v>364</v>
      </c>
      <c r="D170" s="155" t="s">
        <v>190</v>
      </c>
      <c r="E170" s="4" t="s">
        <v>237</v>
      </c>
      <c r="F170" s="155" t="s">
        <v>20</v>
      </c>
      <c r="G170" s="155" t="s">
        <v>21</v>
      </c>
      <c r="H170" s="354">
        <v>36678</v>
      </c>
      <c r="I170" s="156">
        <v>-333333</v>
      </c>
      <c r="J170" s="7">
        <v>0.46</v>
      </c>
      <c r="K170" s="53">
        <f t="shared" si="62"/>
        <v>5.76</v>
      </c>
      <c r="L170" s="53">
        <f t="shared" si="63"/>
        <v>3.6</v>
      </c>
      <c r="M170" s="157">
        <v>1</v>
      </c>
      <c r="N170" s="4">
        <v>0.51500000000000001</v>
      </c>
      <c r="O170" s="4">
        <v>0.51500000000000001</v>
      </c>
      <c r="P170" s="9" t="e">
        <f t="shared" si="64"/>
        <v>#N/A</v>
      </c>
      <c r="Q170" s="5">
        <v>36701</v>
      </c>
      <c r="R170" s="4">
        <f t="shared" si="70"/>
        <v>1</v>
      </c>
      <c r="S170" s="158" t="e">
        <f>_xll.xSPRDOPT($K170,$L170,$J170,$M170,$N170,$O170,$P170,$Q170-$C$3,$R170,0)</f>
        <v>#N/A</v>
      </c>
      <c r="T170" s="159" t="e">
        <f>_xll.xSPRDOPT($K170,$L170,$J170,$M170,$N170,$O170,$P170,$Q170-$C$3,$R170,1)*I170</f>
        <v>#N/A</v>
      </c>
      <c r="U170" s="160">
        <v>-94999.904999999882</v>
      </c>
      <c r="V170" s="159" t="e">
        <f>_xll.xSPRDOPT($K170,$L170,$J170,$M170,$N170,$O170,$P170,$Q170-$C$3,$R170,2)*I170</f>
        <v>#N/A</v>
      </c>
      <c r="W170" s="159" t="e">
        <f t="shared" si="71"/>
        <v>#N/A</v>
      </c>
      <c r="X170" s="51" t="str">
        <f t="shared" si="72"/>
        <v>36678IF-ELPO/SJ</v>
      </c>
      <c r="Y170" s="418">
        <f t="shared" si="73"/>
        <v>-33.333300000000001</v>
      </c>
      <c r="Z170" s="51"/>
      <c r="AB170" s="141">
        <f t="shared" si="53"/>
        <v>36678</v>
      </c>
      <c r="AC170" s="234" t="e">
        <f>_xll.xSPRDOPT(HLOOKUP($D$3,GDPRICES,VLOOKUP(Q170,GDmove_down,2,FALSE),FALSE),HLOOKUP($E$3,GDPRICES,VLOOKUP(Q170,GDmove_down,2,FALSE),FALSE),J170,VLOOKUP(H170,NGPREVPRICES,4,FALSE),HLOOKUP($H$3,GDPrevVols,VLOOKUP(Q170,GDmove_down2,2,FALSE),FALSE),HLOOKUP($H$3,GDPrevVols,VLOOKUP(Q170,GDmove_down2,2,FALSE),FALSE),HLOOKUP(E170,GDcorr,VLOOKUP(H170,CorMove,2,FALSE),FALSE),Q170-$AC$3,R170,$AC$5)*I170-AI170</f>
        <v>#N/A</v>
      </c>
      <c r="AD170" s="234" t="e">
        <f>_xll.xSPRDOPT(HLOOKUP($D$3,GDPrev,VLOOKUP(Q170,GDmove_down,2,FALSE),FALSE),HLOOKUP($E$3,GDPrev,VLOOKUP(Q170,GDmove_down,2,FALSE),FALSE),AJ170,VLOOKUP(H170,NGPrices,4,FALSE),HLOOKUP($H$3,GDPrevVols,VLOOKUP(Q170,GDmove_down2,2,FALSE),FALSE),HLOOKUP($H$3,GDPrevVols,VLOOKUP(Q170,GDmove_down2,2,FALSE),FALSE),HLOOKUP(E170,GDcorr,VLOOKUP(H170,CorMove,2,FALSE),FALSE),Q170-$AC$3,R170,$AI$5)*I170-AI170</f>
        <v>#N/A</v>
      </c>
      <c r="AE170" s="439" t="e">
        <f t="shared" si="54"/>
        <v>#N/A</v>
      </c>
      <c r="AF170" s="234" t="e">
        <f>_xll.xSPRDOPT(HLOOKUP($D$3,GDPrev,VLOOKUP(Q170,GDmove_down,2,FALSE),FALSE),HLOOKUP($E$3,GDPrev,VLOOKUP(Q170,GDmove_down,2,FALSE),FALSE),AJ170,VLOOKUP(H170,NGPREVPRICES,4,FALSE),HLOOKUP($H$3,GDVol,VLOOKUP(H170,move_down,2,FALSE),FALSE),HLOOKUP($H$3,GDVol,VLOOKUP(H170,move_down,2,FALSE),FALSE),HLOOKUP(E170,GDcorr,VLOOKUP(H170,CorMove,2,FALSE),FALSE),Q170-$AC$3,R170,$AI$5)*I170-AI170</f>
        <v>#N/A</v>
      </c>
      <c r="AG170" s="234" t="e">
        <f>_xll.xSPRDOPT(HLOOKUP($D$3,GDPrev,VLOOKUP(Q170,GDmove_down,2,FALSE),FALSE),HLOOKUP($E$3,GDPrev,VLOOKUP(Q170,GDmove_down,2,FALSE),FALSE),AJ170,VLOOKUP(H170,NGPREVPRICES,4,FALSE),HLOOKUP($H$3,GDPrevVols,VLOOKUP(Q170,GDmove_down2,2,FALSE),FALSE),HLOOKUP($H$3,GDPrevVols,VLOOKUP(Q170,GDmove_down2,2,FALSE),FALSE),HLOOKUP(E170,GDcorr,VLOOKUP(H170,CorMove,2,FALSE),FALSE),Q170-$C$3,R170,$AI$5)*I170-AI170</f>
        <v>#N/A</v>
      </c>
      <c r="AH170" s="234" t="e">
        <f t="shared" si="55"/>
        <v>#N/A</v>
      </c>
      <c r="AI170" s="234" t="e">
        <f>_xll.xSPRDOPT(HLOOKUP($D$3,GDPrev,VLOOKUP(Q170,GDmove_down,2,FALSE),FALSE),HLOOKUP($E$3,GDPrev,VLOOKUP(Q170,GDmove_down,2,FALSE),FALSE),AJ170,VLOOKUP(H170,NGPREVPRICES,4,FALSE),HLOOKUP($H$3,GDPrevVols,VLOOKUP(Q170,GDmove_down2,2,FALSE),FALSE),HLOOKUP($H$3,GDPrevVols,VLOOKUP(Q170,GDmove_down2,2,FALSE),FALSE),HLOOKUP(E170,GDcorr,VLOOKUP(H170,CorMove,2,FALSE),FALSE),Q170-$AC$3,R170,$AI$5)*I170</f>
        <v>#N/A</v>
      </c>
      <c r="AJ170" s="235" t="e">
        <f t="shared" si="56"/>
        <v>#N/A</v>
      </c>
      <c r="AK170" s="234"/>
      <c r="AL170" t="str">
        <f t="shared" si="57"/>
        <v>36678Curve Shift/Gamma</v>
      </c>
      <c r="AM170" t="str">
        <f t="shared" si="65"/>
        <v>36678Rho</v>
      </c>
      <c r="AN170" t="str">
        <f t="shared" si="66"/>
        <v>36678Drift</v>
      </c>
      <c r="AO170" t="str">
        <f t="shared" si="67"/>
        <v>36678Vega</v>
      </c>
      <c r="AP170" t="str">
        <f t="shared" si="68"/>
        <v>36678Theta</v>
      </c>
      <c r="BG170" s="441">
        <v>41456</v>
      </c>
      <c r="BH170">
        <v>0.98499999999999999</v>
      </c>
      <c r="BJ170" s="441">
        <v>41456</v>
      </c>
      <c r="BK170">
        <v>167</v>
      </c>
    </row>
    <row r="171" spans="1:63" ht="12" customHeight="1" x14ac:dyDescent="0.25">
      <c r="A171" s="384" t="s">
        <v>268</v>
      </c>
      <c r="B171" s="155" t="s">
        <v>250</v>
      </c>
      <c r="C171" s="155" t="s">
        <v>387</v>
      </c>
      <c r="D171" s="155" t="s">
        <v>190</v>
      </c>
      <c r="E171" s="4" t="s">
        <v>237</v>
      </c>
      <c r="F171" s="155" t="s">
        <v>20</v>
      </c>
      <c r="G171" s="155" t="s">
        <v>21</v>
      </c>
      <c r="H171" s="354">
        <v>36678</v>
      </c>
      <c r="I171" s="156">
        <v>-10000</v>
      </c>
      <c r="J171" s="7">
        <v>0.46</v>
      </c>
      <c r="K171" s="53">
        <f t="shared" si="62"/>
        <v>5.76</v>
      </c>
      <c r="L171" s="53">
        <f t="shared" si="63"/>
        <v>3.6</v>
      </c>
      <c r="M171" s="157">
        <v>1</v>
      </c>
      <c r="N171" s="4">
        <v>0.51500000000000001</v>
      </c>
      <c r="O171" s="4">
        <v>0.51500000000000001</v>
      </c>
      <c r="P171" s="9" t="e">
        <f t="shared" si="64"/>
        <v>#N/A</v>
      </c>
      <c r="Q171" s="5">
        <v>36701</v>
      </c>
      <c r="R171" s="4">
        <f t="shared" si="70"/>
        <v>1</v>
      </c>
      <c r="S171" s="158" t="e">
        <f>_xll.xSPRDOPT($K171,$L171,$J171,$M171,$N171,$O171,$P171,$Q171-$C$3,$R171,0)</f>
        <v>#N/A</v>
      </c>
      <c r="T171" s="159" t="e">
        <f>_xll.xSPRDOPT($K171,$L171,$J171,$M171,$N171,$O171,$P171,$Q171-$C$3,$R171,1)*I171</f>
        <v>#N/A</v>
      </c>
      <c r="U171" s="160">
        <v>-2850</v>
      </c>
      <c r="V171" s="159" t="e">
        <f>_xll.xSPRDOPT($K171,$L171,$J171,$M171,$N171,$O171,$P171,$Q171-$C$3,$R171,2)*I171</f>
        <v>#N/A</v>
      </c>
      <c r="W171" s="159" t="e">
        <f t="shared" si="71"/>
        <v>#N/A</v>
      </c>
      <c r="X171" s="51" t="str">
        <f t="shared" si="72"/>
        <v>36678IF-ELPO/SJ</v>
      </c>
      <c r="Y171" s="418">
        <f t="shared" si="73"/>
        <v>-1</v>
      </c>
      <c r="Z171" s="51"/>
      <c r="AB171" s="141">
        <f t="shared" si="53"/>
        <v>36678</v>
      </c>
      <c r="AC171" s="234" t="e">
        <f>_xll.xSPRDOPT(HLOOKUP($D$3,GDPRICES,VLOOKUP(Q171,GDmove_down,2,FALSE),FALSE),HLOOKUP($E$3,GDPRICES,VLOOKUP(Q171,GDmove_down,2,FALSE),FALSE),J171,VLOOKUP(H171,NGPREVPRICES,4,FALSE),HLOOKUP($H$3,GDPrevVols,VLOOKUP(Q171,GDmove_down2,2,FALSE),FALSE),HLOOKUP($H$3,GDPrevVols,VLOOKUP(Q171,GDmove_down2,2,FALSE),FALSE),HLOOKUP(E171,GDcorr,VLOOKUP(H171,CorMove,2,FALSE),FALSE),Q171-$AC$3,R171,$AC$5)*I171-AI171</f>
        <v>#N/A</v>
      </c>
      <c r="AD171" s="234" t="e">
        <f>_xll.xSPRDOPT(HLOOKUP($D$3,GDPrev,VLOOKUP(Q171,GDmove_down,2,FALSE),FALSE),HLOOKUP($E$3,GDPrev,VLOOKUP(Q171,GDmove_down,2,FALSE),FALSE),AJ171,VLOOKUP(H171,NGPrices,4,FALSE),HLOOKUP($H$3,GDPrevVols,VLOOKUP(Q171,GDmove_down2,2,FALSE),FALSE),HLOOKUP($H$3,GDPrevVols,VLOOKUP(Q171,GDmove_down2,2,FALSE),FALSE),HLOOKUP(E171,GDcorr,VLOOKUP(H171,CorMove,2,FALSE),FALSE),Q171-$AC$3,R171,$AI$5)*I171-AI171</f>
        <v>#N/A</v>
      </c>
      <c r="AE171" s="439" t="e">
        <f t="shared" si="54"/>
        <v>#N/A</v>
      </c>
      <c r="AF171" s="234" t="e">
        <f>_xll.xSPRDOPT(HLOOKUP($D$3,GDPrev,VLOOKUP(Q171,GDmove_down,2,FALSE),FALSE),HLOOKUP($E$3,GDPrev,VLOOKUP(Q171,GDmove_down,2,FALSE),FALSE),AJ171,VLOOKUP(H171,NGPREVPRICES,4,FALSE),HLOOKUP($H$3,GDVol,VLOOKUP(H171,move_down,2,FALSE),FALSE),HLOOKUP($H$3,GDVol,VLOOKUP(H171,move_down,2,FALSE),FALSE),HLOOKUP(E171,GDcorr,VLOOKUP(H171,CorMove,2,FALSE),FALSE),Q171-$AC$3,R171,$AI$5)*I171-AI171</f>
        <v>#N/A</v>
      </c>
      <c r="AG171" s="234" t="e">
        <f>_xll.xSPRDOPT(HLOOKUP($D$3,GDPrev,VLOOKUP(Q171,GDmove_down,2,FALSE),FALSE),HLOOKUP($E$3,GDPrev,VLOOKUP(Q171,GDmove_down,2,FALSE),FALSE),AJ171,VLOOKUP(H171,NGPREVPRICES,4,FALSE),HLOOKUP($H$3,GDPrevVols,VLOOKUP(Q171,GDmove_down2,2,FALSE),FALSE),HLOOKUP($H$3,GDPrevVols,VLOOKUP(Q171,GDmove_down2,2,FALSE),FALSE),HLOOKUP(E171,GDcorr,VLOOKUP(H171,CorMove,2,FALSE),FALSE),Q171-$C$3,R171,$AI$5)*I171-AI171</f>
        <v>#N/A</v>
      </c>
      <c r="AH171" s="234" t="e">
        <f t="shared" si="55"/>
        <v>#N/A</v>
      </c>
      <c r="AI171" s="234" t="e">
        <f>_xll.xSPRDOPT(HLOOKUP($D$3,GDPrev,VLOOKUP(Q171,GDmove_down,2,FALSE),FALSE),HLOOKUP($E$3,GDPrev,VLOOKUP(Q171,GDmove_down,2,FALSE),FALSE),AJ171,VLOOKUP(H171,NGPREVPRICES,4,FALSE),HLOOKUP($H$3,GDPrevVols,VLOOKUP(Q171,GDmove_down2,2,FALSE),FALSE),HLOOKUP($H$3,GDPrevVols,VLOOKUP(Q171,GDmove_down2,2,FALSE),FALSE),HLOOKUP(E171,GDcorr,VLOOKUP(H171,CorMove,2,FALSE),FALSE),Q171-$AC$3,R171,$AI$5)*I171</f>
        <v>#N/A</v>
      </c>
      <c r="AJ171" s="235" t="e">
        <f t="shared" si="56"/>
        <v>#N/A</v>
      </c>
      <c r="AK171" s="234"/>
      <c r="AL171" t="str">
        <f t="shared" si="57"/>
        <v>36678Curve Shift/Gamma</v>
      </c>
      <c r="AM171" t="str">
        <f t="shared" si="65"/>
        <v>36678Rho</v>
      </c>
      <c r="AN171" t="str">
        <f t="shared" si="66"/>
        <v>36678Drift</v>
      </c>
      <c r="AO171" t="str">
        <f t="shared" si="67"/>
        <v>36678Vega</v>
      </c>
      <c r="AP171" t="str">
        <f t="shared" si="68"/>
        <v>36678Theta</v>
      </c>
      <c r="BG171" s="441">
        <v>41487</v>
      </c>
      <c r="BH171">
        <v>0.98499999999999999</v>
      </c>
      <c r="BJ171" s="441">
        <v>41487</v>
      </c>
      <c r="BK171">
        <v>168</v>
      </c>
    </row>
    <row r="172" spans="1:63" ht="12" customHeight="1" x14ac:dyDescent="0.25">
      <c r="A172" s="384" t="s">
        <v>279</v>
      </c>
      <c r="B172" s="155" t="s">
        <v>250</v>
      </c>
      <c r="C172" s="155" t="s">
        <v>388</v>
      </c>
      <c r="D172" s="155" t="s">
        <v>190</v>
      </c>
      <c r="E172" s="4" t="s">
        <v>237</v>
      </c>
      <c r="F172" s="155" t="s">
        <v>20</v>
      </c>
      <c r="G172" s="155" t="s">
        <v>21</v>
      </c>
      <c r="H172" s="354">
        <v>36678</v>
      </c>
      <c r="I172" s="156">
        <v>50000</v>
      </c>
      <c r="J172" s="7">
        <v>0.46</v>
      </c>
      <c r="K172" s="53">
        <f t="shared" si="62"/>
        <v>5.76</v>
      </c>
      <c r="L172" s="53">
        <f t="shared" si="63"/>
        <v>3.6</v>
      </c>
      <c r="M172" s="157">
        <v>1</v>
      </c>
      <c r="N172" s="4">
        <v>0.51500000000000001</v>
      </c>
      <c r="O172" s="4">
        <v>0.51500000000000001</v>
      </c>
      <c r="P172" s="9" t="e">
        <f t="shared" si="64"/>
        <v>#N/A</v>
      </c>
      <c r="Q172" s="5">
        <v>36701</v>
      </c>
      <c r="R172" s="4">
        <f t="shared" si="70"/>
        <v>1</v>
      </c>
      <c r="S172" s="158" t="e">
        <f>_xll.xSPRDOPT($K172,$L172,$J172,$M172,$N172,$O172,$P172,$Q172-$C$3,$R172,0)</f>
        <v>#N/A</v>
      </c>
      <c r="T172" s="159" t="e">
        <f>_xll.xSPRDOPT($K172,$L172,$J172,$M172,$N172,$O172,$P172,$Q172-$C$3,$R172,1)*I172</f>
        <v>#N/A</v>
      </c>
      <c r="U172" s="160">
        <v>14250</v>
      </c>
      <c r="V172" s="159" t="e">
        <f>_xll.xSPRDOPT($K172,$L172,$J172,$M172,$N172,$O172,$P172,$Q172-$C$3,$R172,2)*I172</f>
        <v>#N/A</v>
      </c>
      <c r="W172" s="159" t="e">
        <f t="shared" si="71"/>
        <v>#N/A</v>
      </c>
      <c r="X172" s="51" t="str">
        <f t="shared" si="72"/>
        <v>36678IF-ELPO/SJ</v>
      </c>
      <c r="Y172" s="418">
        <f t="shared" si="73"/>
        <v>5</v>
      </c>
      <c r="AB172" s="141">
        <f t="shared" si="53"/>
        <v>36678</v>
      </c>
      <c r="AC172" s="234" t="e">
        <f>_xll.xSPRDOPT(HLOOKUP($D$3,GDPRICES,VLOOKUP(Q172,GDmove_down,2,FALSE),FALSE),HLOOKUP($E$3,GDPRICES,VLOOKUP(Q172,GDmove_down,2,FALSE),FALSE),J172,VLOOKUP(H172,NGPREVPRICES,4,FALSE),HLOOKUP($H$3,GDPrevVols,VLOOKUP(Q172,GDmove_down2,2,FALSE),FALSE),HLOOKUP($H$3,GDPrevVols,VLOOKUP(Q172,GDmove_down2,2,FALSE),FALSE),HLOOKUP(E172,GDcorr,VLOOKUP(H172,CorMove,2,FALSE),FALSE),Q172-$AC$3,R172,$AC$5)*I172-AI172</f>
        <v>#N/A</v>
      </c>
      <c r="AD172" s="234" t="e">
        <f>_xll.xSPRDOPT(HLOOKUP($D$3,GDPrev,VLOOKUP(Q172,GDmove_down,2,FALSE),FALSE),HLOOKUP($E$3,GDPrev,VLOOKUP(Q172,GDmove_down,2,FALSE),FALSE),AJ172,VLOOKUP(H172,NGPrices,4,FALSE),HLOOKUP($H$3,GDPrevVols,VLOOKUP(Q172,GDmove_down2,2,FALSE),FALSE),HLOOKUP($H$3,GDPrevVols,VLOOKUP(Q172,GDmove_down2,2,FALSE),FALSE),HLOOKUP(E172,GDcorr,VLOOKUP(H172,CorMove,2,FALSE),FALSE),Q172-$AC$3,R172,$AI$5)*I172-AI172</f>
        <v>#N/A</v>
      </c>
      <c r="AE172" s="439" t="e">
        <f t="shared" si="54"/>
        <v>#N/A</v>
      </c>
      <c r="AF172" s="234" t="e">
        <f>_xll.xSPRDOPT(HLOOKUP($D$3,GDPrev,VLOOKUP(Q172,GDmove_down,2,FALSE),FALSE),HLOOKUP($E$3,GDPrev,VLOOKUP(Q172,GDmove_down,2,FALSE),FALSE),AJ172,VLOOKUP(H172,NGPREVPRICES,4,FALSE),HLOOKUP($H$3,GDVol,VLOOKUP(H172,move_down,2,FALSE),FALSE),HLOOKUP($H$3,GDVol,VLOOKUP(H172,move_down,2,FALSE),FALSE),HLOOKUP(E172,GDcorr,VLOOKUP(H172,CorMove,2,FALSE),FALSE),Q172-$AC$3,R172,$AI$5)*I172-AI172</f>
        <v>#N/A</v>
      </c>
      <c r="AG172" s="234" t="e">
        <f>_xll.xSPRDOPT(HLOOKUP($D$3,GDPrev,VLOOKUP(Q172,GDmove_down,2,FALSE),FALSE),HLOOKUP($E$3,GDPrev,VLOOKUP(Q172,GDmove_down,2,FALSE),FALSE),AJ172,VLOOKUP(H172,NGPREVPRICES,4,FALSE),HLOOKUP($H$3,GDPrevVols,VLOOKUP(Q172,GDmove_down2,2,FALSE),FALSE),HLOOKUP($H$3,GDPrevVols,VLOOKUP(Q172,GDmove_down2,2,FALSE),FALSE),HLOOKUP(E172,GDcorr,VLOOKUP(H172,CorMove,2,FALSE),FALSE),Q172-$C$3,R172,$AI$5)*I172-AI172</f>
        <v>#N/A</v>
      </c>
      <c r="AH172" s="234" t="e">
        <f t="shared" si="55"/>
        <v>#N/A</v>
      </c>
      <c r="AI172" s="234" t="e">
        <f>_xll.xSPRDOPT(HLOOKUP($D$3,GDPrev,VLOOKUP(Q172,GDmove_down,2,FALSE),FALSE),HLOOKUP($E$3,GDPrev,VLOOKUP(Q172,GDmove_down,2,FALSE),FALSE),AJ172,VLOOKUP(H172,NGPREVPRICES,4,FALSE),HLOOKUP($H$3,GDPrevVols,VLOOKUP(Q172,GDmove_down2,2,FALSE),FALSE),HLOOKUP($H$3,GDPrevVols,VLOOKUP(Q172,GDmove_down2,2,FALSE),FALSE),HLOOKUP(E172,GDcorr,VLOOKUP(H172,CorMove,2,FALSE),FALSE),Q172-$AC$3,R172,$AI$5)*I172</f>
        <v>#N/A</v>
      </c>
      <c r="AJ172" s="235" t="e">
        <f t="shared" si="56"/>
        <v>#N/A</v>
      </c>
      <c r="AK172" s="234"/>
      <c r="AL172" t="str">
        <f t="shared" si="57"/>
        <v>36678Curve Shift/Gamma</v>
      </c>
      <c r="AM172" t="str">
        <f t="shared" si="65"/>
        <v>36678Rho</v>
      </c>
      <c r="AN172" t="str">
        <f t="shared" si="66"/>
        <v>36678Drift</v>
      </c>
      <c r="AO172" t="str">
        <f t="shared" si="67"/>
        <v>36678Vega</v>
      </c>
      <c r="AP172" t="str">
        <f t="shared" si="68"/>
        <v>36678Theta</v>
      </c>
      <c r="BG172" s="441">
        <v>41518</v>
      </c>
      <c r="BH172">
        <v>0.98499999999999999</v>
      </c>
      <c r="BJ172" s="441">
        <v>41518</v>
      </c>
      <c r="BK172">
        <v>169</v>
      </c>
    </row>
    <row r="173" spans="1:63" ht="12" customHeight="1" x14ac:dyDescent="0.25">
      <c r="A173" s="384" t="s">
        <v>279</v>
      </c>
      <c r="B173" s="155" t="s">
        <v>250</v>
      </c>
      <c r="C173" s="155" t="s">
        <v>389</v>
      </c>
      <c r="D173" s="155" t="s">
        <v>190</v>
      </c>
      <c r="E173" s="4" t="s">
        <v>237</v>
      </c>
      <c r="F173" s="155" t="s">
        <v>20</v>
      </c>
      <c r="G173" s="155" t="s">
        <v>21</v>
      </c>
      <c r="H173" s="354">
        <v>36678</v>
      </c>
      <c r="I173" s="156">
        <v>50000</v>
      </c>
      <c r="J173" s="7">
        <v>0.46</v>
      </c>
      <c r="K173" s="53">
        <f t="shared" si="62"/>
        <v>5.76</v>
      </c>
      <c r="L173" s="53">
        <f t="shared" si="63"/>
        <v>3.6</v>
      </c>
      <c r="M173" s="157">
        <v>1</v>
      </c>
      <c r="N173" s="4">
        <v>0.51500000000000001</v>
      </c>
      <c r="O173" s="4">
        <v>0.51500000000000001</v>
      </c>
      <c r="P173" s="9" t="e">
        <f t="shared" si="64"/>
        <v>#N/A</v>
      </c>
      <c r="Q173" s="5">
        <v>36701</v>
      </c>
      <c r="R173" s="4">
        <f t="shared" si="70"/>
        <v>1</v>
      </c>
      <c r="S173" s="158" t="e">
        <f>_xll.xSPRDOPT($K173,$L173,$J173,$M173,$N173,$O173,$P173,$Q173-$C$3,$R173,0)</f>
        <v>#N/A</v>
      </c>
      <c r="T173" s="159" t="e">
        <f>_xll.xSPRDOPT($K173,$L173,$J173,$M173,$N173,$O173,$P173,$Q173-$C$3,$R173,1)*I173</f>
        <v>#N/A</v>
      </c>
      <c r="U173" s="160">
        <v>14250</v>
      </c>
      <c r="V173" s="159" t="e">
        <f>_xll.xSPRDOPT($K173,$L173,$J173,$M173,$N173,$O173,$P173,$Q173-$C$3,$R173,2)*I173</f>
        <v>#N/A</v>
      </c>
      <c r="W173" s="159" t="e">
        <f t="shared" si="71"/>
        <v>#N/A</v>
      </c>
      <c r="X173" s="51" t="str">
        <f t="shared" si="72"/>
        <v>36678IF-ELPO/SJ</v>
      </c>
      <c r="Y173" s="418">
        <f t="shared" si="73"/>
        <v>5</v>
      </c>
      <c r="AB173" s="141">
        <f t="shared" si="53"/>
        <v>36678</v>
      </c>
      <c r="AC173" s="234" t="e">
        <f>_xll.xSPRDOPT(HLOOKUP($D$3,GDPRICES,VLOOKUP(Q173,GDmove_down,2,FALSE),FALSE),HLOOKUP($E$3,GDPRICES,VLOOKUP(Q173,GDmove_down,2,FALSE),FALSE),J173,VLOOKUP(H173,NGPREVPRICES,4,FALSE),HLOOKUP($H$3,GDPrevVols,VLOOKUP(Q173,GDmove_down2,2,FALSE),FALSE),HLOOKUP($H$3,GDPrevVols,VLOOKUP(Q173,GDmove_down2,2,FALSE),FALSE),HLOOKUP(E173,GDcorr,VLOOKUP(H173,CorMove,2,FALSE),FALSE),Q173-$AC$3,R173,$AC$5)*I173-AI173</f>
        <v>#N/A</v>
      </c>
      <c r="AD173" s="234" t="e">
        <f>_xll.xSPRDOPT(HLOOKUP($D$3,GDPrev,VLOOKUP(Q173,GDmove_down,2,FALSE),FALSE),HLOOKUP($E$3,GDPrev,VLOOKUP(Q173,GDmove_down,2,FALSE),FALSE),AJ173,VLOOKUP(H173,NGPrices,4,FALSE),HLOOKUP($H$3,GDPrevVols,VLOOKUP(Q173,GDmove_down2,2,FALSE),FALSE),HLOOKUP($H$3,GDPrevVols,VLOOKUP(Q173,GDmove_down2,2,FALSE),FALSE),HLOOKUP(E173,GDcorr,VLOOKUP(H173,CorMove,2,FALSE),FALSE),Q173-$AC$3,R173,$AI$5)*I173-AI173</f>
        <v>#N/A</v>
      </c>
      <c r="AE173" s="439" t="e">
        <f t="shared" si="54"/>
        <v>#N/A</v>
      </c>
      <c r="AF173" s="234" t="e">
        <f>_xll.xSPRDOPT(HLOOKUP($D$3,GDPrev,VLOOKUP(Q173,GDmove_down,2,FALSE),FALSE),HLOOKUP($E$3,GDPrev,VLOOKUP(Q173,GDmove_down,2,FALSE),FALSE),AJ173,VLOOKUP(H173,NGPREVPRICES,4,FALSE),HLOOKUP($H$3,GDVol,VLOOKUP(H173,move_down,2,FALSE),FALSE),HLOOKUP($H$3,GDVol,VLOOKUP(H173,move_down,2,FALSE),FALSE),HLOOKUP(E173,GDcorr,VLOOKUP(H173,CorMove,2,FALSE),FALSE),Q173-$AC$3,R173,$AI$5)*I173-AI173</f>
        <v>#N/A</v>
      </c>
      <c r="AG173" s="234" t="e">
        <f>_xll.xSPRDOPT(HLOOKUP($D$3,GDPrev,VLOOKUP(Q173,GDmove_down,2,FALSE),FALSE),HLOOKUP($E$3,GDPrev,VLOOKUP(Q173,GDmove_down,2,FALSE),FALSE),AJ173,VLOOKUP(H173,NGPREVPRICES,4,FALSE),HLOOKUP($H$3,GDPrevVols,VLOOKUP(Q173,GDmove_down2,2,FALSE),FALSE),HLOOKUP($H$3,GDPrevVols,VLOOKUP(Q173,GDmove_down2,2,FALSE),FALSE),HLOOKUP(E173,GDcorr,VLOOKUP(H173,CorMove,2,FALSE),FALSE),Q173-$C$3,R173,$AI$5)*I173-AI173</f>
        <v>#N/A</v>
      </c>
      <c r="AH173" s="234" t="e">
        <f t="shared" si="55"/>
        <v>#N/A</v>
      </c>
      <c r="AI173" s="234" t="e">
        <f>_xll.xSPRDOPT(HLOOKUP($D$3,GDPrev,VLOOKUP(Q173,GDmove_down,2,FALSE),FALSE),HLOOKUP($E$3,GDPrev,VLOOKUP(Q173,GDmove_down,2,FALSE),FALSE),AJ173,VLOOKUP(H173,NGPREVPRICES,4,FALSE),HLOOKUP($H$3,GDPrevVols,VLOOKUP(Q173,GDmove_down2,2,FALSE),FALSE),HLOOKUP($H$3,GDPrevVols,VLOOKUP(Q173,GDmove_down2,2,FALSE),FALSE),HLOOKUP(E173,GDcorr,VLOOKUP(H173,CorMove,2,FALSE),FALSE),Q173-$AC$3,R173,$AI$5)*I173</f>
        <v>#N/A</v>
      </c>
      <c r="AJ173" s="235" t="e">
        <f t="shared" si="56"/>
        <v>#N/A</v>
      </c>
      <c r="AK173" s="234"/>
      <c r="AL173" t="str">
        <f t="shared" si="57"/>
        <v>36678Curve Shift/Gamma</v>
      </c>
      <c r="AM173" t="str">
        <f t="shared" si="65"/>
        <v>36678Rho</v>
      </c>
      <c r="AN173" t="str">
        <f t="shared" si="66"/>
        <v>36678Drift</v>
      </c>
      <c r="AO173" t="str">
        <f t="shared" si="67"/>
        <v>36678Vega</v>
      </c>
      <c r="AP173" t="str">
        <f t="shared" si="68"/>
        <v>36678Theta</v>
      </c>
      <c r="BG173" s="441">
        <v>41548</v>
      </c>
      <c r="BH173">
        <v>0.98499999999999999</v>
      </c>
      <c r="BJ173" s="441">
        <v>41548</v>
      </c>
      <c r="BK173">
        <v>170</v>
      </c>
    </row>
    <row r="174" spans="1:63" ht="12" customHeight="1" x14ac:dyDescent="0.25">
      <c r="A174" s="384" t="s">
        <v>279</v>
      </c>
      <c r="B174" s="155" t="s">
        <v>250</v>
      </c>
      <c r="C174" s="155" t="s">
        <v>398</v>
      </c>
      <c r="D174" s="155" t="s">
        <v>190</v>
      </c>
      <c r="E174" s="4" t="s">
        <v>237</v>
      </c>
      <c r="F174" s="155" t="s">
        <v>20</v>
      </c>
      <c r="G174" s="155" t="s">
        <v>21</v>
      </c>
      <c r="H174" s="354">
        <v>36678</v>
      </c>
      <c r="I174" s="156">
        <v>-10000</v>
      </c>
      <c r="J174" s="7">
        <v>0.46</v>
      </c>
      <c r="K174" s="53">
        <f t="shared" si="62"/>
        <v>5.76</v>
      </c>
      <c r="L174" s="53">
        <f t="shared" si="63"/>
        <v>3.6</v>
      </c>
      <c r="M174" s="157">
        <v>1</v>
      </c>
      <c r="N174" s="4">
        <v>0.51500000000000001</v>
      </c>
      <c r="O174" s="4">
        <v>0.51500000000000001</v>
      </c>
      <c r="P174" s="9" t="e">
        <f t="shared" si="64"/>
        <v>#N/A</v>
      </c>
      <c r="Q174" s="5">
        <v>36701</v>
      </c>
      <c r="R174" s="4">
        <f t="shared" si="70"/>
        <v>1</v>
      </c>
      <c r="S174" s="158" t="e">
        <f>_xll.xSPRDOPT($K174,$L174,$J174,$M174,$N174,$O174,$P174,$Q174-$C$3,$R174,0)</f>
        <v>#N/A</v>
      </c>
      <c r="T174" s="159" t="e">
        <f>_xll.xSPRDOPT($K174,$L174,$J174,$M174,$N174,$O174,$P174,$Q174-$C$3,$R174,1)*I174</f>
        <v>#N/A</v>
      </c>
      <c r="U174" s="160">
        <v>-2850</v>
      </c>
      <c r="V174" s="159" t="e">
        <f>_xll.xSPRDOPT($K174,$L174,$J174,$M174,$N174,$O174,$P174,$Q174-$C$3,$R174,2)*I174</f>
        <v>#N/A</v>
      </c>
      <c r="W174" s="159" t="e">
        <f t="shared" si="71"/>
        <v>#N/A</v>
      </c>
      <c r="X174" s="51" t="str">
        <f t="shared" si="72"/>
        <v>36678IF-ELPO/SJ</v>
      </c>
      <c r="Y174" s="418">
        <f t="shared" si="73"/>
        <v>-1</v>
      </c>
      <c r="Z174" s="51"/>
      <c r="AB174" s="141">
        <f t="shared" si="53"/>
        <v>36678</v>
      </c>
      <c r="AC174" s="234" t="e">
        <f>_xll.xSPRDOPT(HLOOKUP($D$3,GDPRICES,VLOOKUP(Q174,GDmove_down,2,FALSE),FALSE),HLOOKUP($E$3,GDPRICES,VLOOKUP(Q174,GDmove_down,2,FALSE),FALSE),J174,VLOOKUP(H174,NGPREVPRICES,4,FALSE),HLOOKUP($H$3,GDPrevVols,VLOOKUP(Q174,GDmove_down2,2,FALSE),FALSE),HLOOKUP($H$3,GDPrevVols,VLOOKUP(Q174,GDmove_down2,2,FALSE),FALSE),HLOOKUP(E174,GDcorr,VLOOKUP(H174,CorMove,2,FALSE),FALSE),Q174-$AC$3,R174,$AC$5)*I174-AI174</f>
        <v>#N/A</v>
      </c>
      <c r="AD174" s="234" t="e">
        <f>_xll.xSPRDOPT(HLOOKUP($D$3,GDPrev,VLOOKUP(Q174,GDmove_down,2,FALSE),FALSE),HLOOKUP($E$3,GDPrev,VLOOKUP(Q174,GDmove_down,2,FALSE),FALSE),AJ174,VLOOKUP(H174,NGPrices,4,FALSE),HLOOKUP($H$3,GDPrevVols,VLOOKUP(Q174,GDmove_down2,2,FALSE),FALSE),HLOOKUP($H$3,GDPrevVols,VLOOKUP(Q174,GDmove_down2,2,FALSE),FALSE),HLOOKUP(E174,GDcorr,VLOOKUP(H174,CorMove,2,FALSE),FALSE),Q174-$AC$3,R174,$AI$5)*I174-AI174</f>
        <v>#N/A</v>
      </c>
      <c r="AE174" s="439" t="e">
        <f t="shared" si="54"/>
        <v>#N/A</v>
      </c>
      <c r="AF174" s="234" t="e">
        <f>_xll.xSPRDOPT(HLOOKUP($D$3,GDPrev,VLOOKUP(Q174,GDmove_down,2,FALSE),FALSE),HLOOKUP($E$3,GDPrev,VLOOKUP(Q174,GDmove_down,2,FALSE),FALSE),AJ174,VLOOKUP(H174,NGPREVPRICES,4,FALSE),HLOOKUP($H$3,GDVol,VLOOKUP(H174,move_down,2,FALSE),FALSE),HLOOKUP($H$3,GDVol,VLOOKUP(H174,move_down,2,FALSE),FALSE),HLOOKUP(E174,GDcorr,VLOOKUP(H174,CorMove,2,FALSE),FALSE),Q174-$AC$3,R174,$AI$5)*I174-AI174</f>
        <v>#N/A</v>
      </c>
      <c r="AG174" s="234" t="e">
        <f>_xll.xSPRDOPT(HLOOKUP($D$3,GDPrev,VLOOKUP(Q174,GDmove_down,2,FALSE),FALSE),HLOOKUP($E$3,GDPrev,VLOOKUP(Q174,GDmove_down,2,FALSE),FALSE),AJ174,VLOOKUP(H174,NGPREVPRICES,4,FALSE),HLOOKUP($H$3,GDPrevVols,VLOOKUP(Q174,GDmove_down2,2,FALSE),FALSE),HLOOKUP($H$3,GDPrevVols,VLOOKUP(Q174,GDmove_down2,2,FALSE),FALSE),HLOOKUP(E174,GDcorr,VLOOKUP(H174,CorMove,2,FALSE),FALSE),Q174-$C$3,R174,$AI$5)*I174-AI174</f>
        <v>#N/A</v>
      </c>
      <c r="AH174" s="234" t="e">
        <f t="shared" si="55"/>
        <v>#N/A</v>
      </c>
      <c r="AI174" s="234" t="e">
        <f>_xll.xSPRDOPT(HLOOKUP($D$3,GDPrev,VLOOKUP(Q174,GDmove_down,2,FALSE),FALSE),HLOOKUP($E$3,GDPrev,VLOOKUP(Q174,GDmove_down,2,FALSE),FALSE),AJ174,VLOOKUP(H174,NGPREVPRICES,4,FALSE),HLOOKUP($H$3,GDPrevVols,VLOOKUP(Q174,GDmove_down2,2,FALSE),FALSE),HLOOKUP($H$3,GDPrevVols,VLOOKUP(Q174,GDmove_down2,2,FALSE),FALSE),HLOOKUP(E174,GDcorr,VLOOKUP(H174,CorMove,2,FALSE),FALSE),Q174-$AC$3,R174,$AI$5)*I174</f>
        <v>#N/A</v>
      </c>
      <c r="AJ174" s="235" t="e">
        <f t="shared" si="56"/>
        <v>#N/A</v>
      </c>
      <c r="AK174" s="234"/>
      <c r="AL174" t="str">
        <f t="shared" si="57"/>
        <v>36678Curve Shift/Gamma</v>
      </c>
      <c r="AM174" t="str">
        <f t="shared" si="65"/>
        <v>36678Rho</v>
      </c>
      <c r="AN174" t="str">
        <f t="shared" si="66"/>
        <v>36678Drift</v>
      </c>
      <c r="AO174" t="str">
        <f t="shared" si="67"/>
        <v>36678Vega</v>
      </c>
      <c r="AP174" t="str">
        <f t="shared" si="68"/>
        <v>36678Theta</v>
      </c>
      <c r="BG174" s="441">
        <v>41579</v>
      </c>
      <c r="BH174">
        <v>0.97048500000000038</v>
      </c>
      <c r="BJ174" s="441">
        <v>41579</v>
      </c>
      <c r="BK174">
        <v>171</v>
      </c>
    </row>
    <row r="175" spans="1:63" ht="12" customHeight="1" x14ac:dyDescent="0.25">
      <c r="A175" s="382" t="s">
        <v>279</v>
      </c>
      <c r="B175" s="155" t="s">
        <v>250</v>
      </c>
      <c r="C175" s="155" t="s">
        <v>360</v>
      </c>
      <c r="D175" s="155" t="s">
        <v>190</v>
      </c>
      <c r="E175" s="4" t="s">
        <v>237</v>
      </c>
      <c r="F175" s="155" t="s">
        <v>20</v>
      </c>
      <c r="G175" s="155" t="s">
        <v>21</v>
      </c>
      <c r="H175" s="354">
        <v>36678</v>
      </c>
      <c r="I175" s="156">
        <v>-50000</v>
      </c>
      <c r="J175" s="7">
        <v>0.46</v>
      </c>
      <c r="K175" s="53">
        <f t="shared" si="62"/>
        <v>5.75</v>
      </c>
      <c r="L175" s="53">
        <f t="shared" si="63"/>
        <v>3.32</v>
      </c>
      <c r="M175" s="157">
        <v>1</v>
      </c>
      <c r="N175" s="4">
        <v>0.51500000000000001</v>
      </c>
      <c r="O175" s="4">
        <v>0.51500000000000001</v>
      </c>
      <c r="P175" s="9" t="e">
        <f t="shared" si="64"/>
        <v>#N/A</v>
      </c>
      <c r="Q175" s="5">
        <v>36702</v>
      </c>
      <c r="R175" s="4">
        <f t="shared" si="70"/>
        <v>1</v>
      </c>
      <c r="S175" s="158" t="e">
        <f>_xll.xSPRDOPT($K175,$L175,$J175,$M175,$N175,$O175,$P175,$Q175-$C$3,$R175,0)</f>
        <v>#N/A</v>
      </c>
      <c r="T175" s="159" t="e">
        <f>_xll.xSPRDOPT($K175,$L175,$J175,$M175,$N175,$O175,$P175,$Q175-$C$3,$R175,1)*I175</f>
        <v>#N/A</v>
      </c>
      <c r="U175" s="160">
        <v>-14250</v>
      </c>
      <c r="V175" s="159" t="e">
        <f>_xll.xSPRDOPT($K175,$L175,$J175,$M175,$N175,$O175,$P175,$Q175-$C$3,$R175,2)*I175</f>
        <v>#N/A</v>
      </c>
      <c r="W175" s="159" t="e">
        <f t="shared" si="71"/>
        <v>#N/A</v>
      </c>
      <c r="X175" s="51" t="str">
        <f t="shared" si="72"/>
        <v>36678IF-ELPO/SJ</v>
      </c>
      <c r="Y175" s="418">
        <f t="shared" si="73"/>
        <v>-5</v>
      </c>
      <c r="Z175" s="51"/>
      <c r="AB175" s="141">
        <f t="shared" si="53"/>
        <v>36678</v>
      </c>
      <c r="AC175" s="234" t="e">
        <f>_xll.xSPRDOPT(HLOOKUP($D$3,GDPRICES,VLOOKUP(Q175,GDmove_down,2,FALSE),FALSE),HLOOKUP($E$3,GDPRICES,VLOOKUP(Q175,GDmove_down,2,FALSE),FALSE),J175,VLOOKUP(H175,NGPREVPRICES,4,FALSE),HLOOKUP($H$3,GDPrevVols,VLOOKUP(Q175,GDmove_down2,2,FALSE),FALSE),HLOOKUP($H$3,GDPrevVols,VLOOKUP(Q175,GDmove_down2,2,FALSE),FALSE),HLOOKUP(E175,GDcorr,VLOOKUP(H175,CorMove,2,FALSE),FALSE),Q175-$AC$3,R175,$AC$5)*I175-AI175</f>
        <v>#N/A</v>
      </c>
      <c r="AD175" s="234" t="e">
        <f>_xll.xSPRDOPT(HLOOKUP($D$3,GDPrev,VLOOKUP(Q175,GDmove_down,2,FALSE),FALSE),HLOOKUP($E$3,GDPrev,VLOOKUP(Q175,GDmove_down,2,FALSE),FALSE),AJ175,VLOOKUP(H175,NGPrices,4,FALSE),HLOOKUP($H$3,GDPrevVols,VLOOKUP(Q175,GDmove_down2,2,FALSE),FALSE),HLOOKUP($H$3,GDPrevVols,VLOOKUP(Q175,GDmove_down2,2,FALSE),FALSE),HLOOKUP(E175,GDcorr,VLOOKUP(H175,CorMove,2,FALSE),FALSE),Q175-$AC$3,R175,$AI$5)*I175-AI175</f>
        <v>#N/A</v>
      </c>
      <c r="AE175" s="439" t="e">
        <f t="shared" si="54"/>
        <v>#N/A</v>
      </c>
      <c r="AF175" s="234" t="e">
        <f>_xll.xSPRDOPT(HLOOKUP($D$3,GDPrev,VLOOKUP(Q175,GDmove_down,2,FALSE),FALSE),HLOOKUP($E$3,GDPrev,VLOOKUP(Q175,GDmove_down,2,FALSE),FALSE),AJ175,VLOOKUP(H175,NGPREVPRICES,4,FALSE),HLOOKUP($H$3,GDVol,VLOOKUP(H175,move_down,2,FALSE),FALSE),HLOOKUP($H$3,GDVol,VLOOKUP(H175,move_down,2,FALSE),FALSE),HLOOKUP(E175,GDcorr,VLOOKUP(H175,CorMove,2,FALSE),FALSE),Q175-$AC$3,R175,$AI$5)*I175-AI175</f>
        <v>#N/A</v>
      </c>
      <c r="AG175" s="234" t="e">
        <f>_xll.xSPRDOPT(HLOOKUP($D$3,GDPrev,VLOOKUP(Q175,GDmove_down,2,FALSE),FALSE),HLOOKUP($E$3,GDPrev,VLOOKUP(Q175,GDmove_down,2,FALSE),FALSE),AJ175,VLOOKUP(H175,NGPREVPRICES,4,FALSE),HLOOKUP($H$3,GDPrevVols,VLOOKUP(Q175,GDmove_down2,2,FALSE),FALSE),HLOOKUP($H$3,GDPrevVols,VLOOKUP(Q175,GDmove_down2,2,FALSE),FALSE),HLOOKUP(E175,GDcorr,VLOOKUP(H175,CorMove,2,FALSE),FALSE),Q175-$C$3,R175,$AI$5)*I175-AI175</f>
        <v>#N/A</v>
      </c>
      <c r="AH175" s="234" t="e">
        <f t="shared" si="55"/>
        <v>#N/A</v>
      </c>
      <c r="AI175" s="234" t="e">
        <f>_xll.xSPRDOPT(HLOOKUP($D$3,GDPrev,VLOOKUP(Q175,GDmove_down,2,FALSE),FALSE),HLOOKUP($E$3,GDPrev,VLOOKUP(Q175,GDmove_down,2,FALSE),FALSE),AJ175,VLOOKUP(H175,NGPREVPRICES,4,FALSE),HLOOKUP($H$3,GDPrevVols,VLOOKUP(Q175,GDmove_down2,2,FALSE),FALSE),HLOOKUP($H$3,GDPrevVols,VLOOKUP(Q175,GDmove_down2,2,FALSE),FALSE),HLOOKUP(E175,GDcorr,VLOOKUP(H175,CorMove,2,FALSE),FALSE),Q175-$AC$3,R175,$AI$5)*I175</f>
        <v>#N/A</v>
      </c>
      <c r="AJ175" s="235" t="e">
        <f t="shared" si="56"/>
        <v>#N/A</v>
      </c>
      <c r="AK175" s="234"/>
      <c r="AL175" t="str">
        <f t="shared" si="57"/>
        <v>36678Curve Shift/Gamma</v>
      </c>
      <c r="AM175" t="str">
        <f t="shared" si="65"/>
        <v>36678Rho</v>
      </c>
      <c r="AN175" t="str">
        <f t="shared" si="66"/>
        <v>36678Drift</v>
      </c>
      <c r="AO175" t="str">
        <f t="shared" si="67"/>
        <v>36678Vega</v>
      </c>
      <c r="AP175" t="str">
        <f t="shared" si="68"/>
        <v>36678Theta</v>
      </c>
      <c r="BG175" s="441">
        <v>41609</v>
      </c>
      <c r="BH175">
        <v>0.97048500000000038</v>
      </c>
      <c r="BJ175" s="441">
        <v>41609</v>
      </c>
      <c r="BK175">
        <v>172</v>
      </c>
    </row>
    <row r="176" spans="1:63" ht="12" customHeight="1" x14ac:dyDescent="0.25">
      <c r="A176" s="382" t="s">
        <v>279</v>
      </c>
      <c r="B176" s="155" t="s">
        <v>250</v>
      </c>
      <c r="C176" s="155" t="s">
        <v>361</v>
      </c>
      <c r="D176" s="155" t="s">
        <v>190</v>
      </c>
      <c r="E176" s="4" t="s">
        <v>237</v>
      </c>
      <c r="F176" s="155" t="s">
        <v>20</v>
      </c>
      <c r="G176" s="155" t="s">
        <v>21</v>
      </c>
      <c r="H176" s="354">
        <v>36678</v>
      </c>
      <c r="I176" s="156">
        <v>10000</v>
      </c>
      <c r="J176" s="7">
        <v>0.46</v>
      </c>
      <c r="K176" s="53">
        <f t="shared" si="62"/>
        <v>5.75</v>
      </c>
      <c r="L176" s="53">
        <f t="shared" si="63"/>
        <v>3.32</v>
      </c>
      <c r="M176" s="157">
        <v>1</v>
      </c>
      <c r="N176" s="4">
        <v>0.51500000000000001</v>
      </c>
      <c r="O176" s="4">
        <v>0.51500000000000001</v>
      </c>
      <c r="P176" s="9" t="e">
        <f t="shared" si="64"/>
        <v>#N/A</v>
      </c>
      <c r="Q176" s="5">
        <v>36702</v>
      </c>
      <c r="R176" s="4">
        <f t="shared" si="70"/>
        <v>1</v>
      </c>
      <c r="S176" s="158" t="e">
        <f>_xll.xSPRDOPT($K176,$L176,$J176,$M176,$N176,$O176,$P176,$Q176-$C$3,$R176,0)</f>
        <v>#N/A</v>
      </c>
      <c r="T176" s="159" t="e">
        <f>_xll.xSPRDOPT($K176,$L176,$J176,$M176,$N176,$O176,$P176,$Q176-$C$3,$R176,1)*I176</f>
        <v>#N/A</v>
      </c>
      <c r="U176" s="160">
        <v>2850</v>
      </c>
      <c r="V176" s="159" t="e">
        <f>_xll.xSPRDOPT($K176,$L176,$J176,$M176,$N176,$O176,$P176,$Q176-$C$3,$R176,2)*I176</f>
        <v>#N/A</v>
      </c>
      <c r="W176" s="159" t="e">
        <f t="shared" si="71"/>
        <v>#N/A</v>
      </c>
      <c r="X176" s="51" t="str">
        <f t="shared" si="72"/>
        <v>36678IF-ELPO/SJ</v>
      </c>
      <c r="Y176" s="418">
        <f t="shared" si="73"/>
        <v>1</v>
      </c>
      <c r="Z176" s="51"/>
      <c r="AB176" s="141">
        <f t="shared" si="53"/>
        <v>36678</v>
      </c>
      <c r="AC176" s="234" t="e">
        <f>_xll.xSPRDOPT(HLOOKUP($D$3,GDPRICES,VLOOKUP(Q176,GDmove_down,2,FALSE),FALSE),HLOOKUP($E$3,GDPRICES,VLOOKUP(Q176,GDmove_down,2,FALSE),FALSE),J176,VLOOKUP(H176,NGPREVPRICES,4,FALSE),HLOOKUP($H$3,GDPrevVols,VLOOKUP(Q176,GDmove_down2,2,FALSE),FALSE),HLOOKUP($H$3,GDPrevVols,VLOOKUP(Q176,GDmove_down2,2,FALSE),FALSE),HLOOKUP(E176,GDcorr,VLOOKUP(H176,CorMove,2,FALSE),FALSE),Q176-$AC$3,R176,$AC$5)*I176-AI176</f>
        <v>#N/A</v>
      </c>
      <c r="AD176" s="234" t="e">
        <f>_xll.xSPRDOPT(HLOOKUP($D$3,GDPrev,VLOOKUP(Q176,GDmove_down,2,FALSE),FALSE),HLOOKUP($E$3,GDPrev,VLOOKUP(Q176,GDmove_down,2,FALSE),FALSE),AJ176,VLOOKUP(H176,NGPrices,4,FALSE),HLOOKUP($H$3,GDPrevVols,VLOOKUP(Q176,GDmove_down2,2,FALSE),FALSE),HLOOKUP($H$3,GDPrevVols,VLOOKUP(Q176,GDmove_down2,2,FALSE),FALSE),HLOOKUP(E176,GDcorr,VLOOKUP(H176,CorMove,2,FALSE),FALSE),Q176-$AC$3,R176,$AI$5)*I176-AI176</f>
        <v>#N/A</v>
      </c>
      <c r="AE176" s="439" t="e">
        <f t="shared" si="54"/>
        <v>#N/A</v>
      </c>
      <c r="AF176" s="234" t="e">
        <f>_xll.xSPRDOPT(HLOOKUP($D$3,GDPrev,VLOOKUP(Q176,GDmove_down,2,FALSE),FALSE),HLOOKUP($E$3,GDPrev,VLOOKUP(Q176,GDmove_down,2,FALSE),FALSE),AJ176,VLOOKUP(H176,NGPREVPRICES,4,FALSE),HLOOKUP($H$3,GDVol,VLOOKUP(H176,move_down,2,FALSE),FALSE),HLOOKUP($H$3,GDVol,VLOOKUP(H176,move_down,2,FALSE),FALSE),HLOOKUP(E176,GDcorr,VLOOKUP(H176,CorMove,2,FALSE),FALSE),Q176-$AC$3,R176,$AI$5)*I176-AI176</f>
        <v>#N/A</v>
      </c>
      <c r="AG176" s="234" t="e">
        <f>_xll.xSPRDOPT(HLOOKUP($D$3,GDPrev,VLOOKUP(Q176,GDmove_down,2,FALSE),FALSE),HLOOKUP($E$3,GDPrev,VLOOKUP(Q176,GDmove_down,2,FALSE),FALSE),AJ176,VLOOKUP(H176,NGPREVPRICES,4,FALSE),HLOOKUP($H$3,GDPrevVols,VLOOKUP(Q176,GDmove_down2,2,FALSE),FALSE),HLOOKUP($H$3,GDPrevVols,VLOOKUP(Q176,GDmove_down2,2,FALSE),FALSE),HLOOKUP(E176,GDcorr,VLOOKUP(H176,CorMove,2,FALSE),FALSE),Q176-$C$3,R176,$AI$5)*I176-AI176</f>
        <v>#N/A</v>
      </c>
      <c r="AH176" s="234" t="e">
        <f t="shared" si="55"/>
        <v>#N/A</v>
      </c>
      <c r="AI176" s="234" t="e">
        <f>_xll.xSPRDOPT(HLOOKUP($D$3,GDPrev,VLOOKUP(Q176,GDmove_down,2,FALSE),FALSE),HLOOKUP($E$3,GDPrev,VLOOKUP(Q176,GDmove_down,2,FALSE),FALSE),AJ176,VLOOKUP(H176,NGPREVPRICES,4,FALSE),HLOOKUP($H$3,GDPrevVols,VLOOKUP(Q176,GDmove_down2,2,FALSE),FALSE),HLOOKUP($H$3,GDPrevVols,VLOOKUP(Q176,GDmove_down2,2,FALSE),FALSE),HLOOKUP(E176,GDcorr,VLOOKUP(H176,CorMove,2,FALSE),FALSE),Q176-$AC$3,R176,$AI$5)*I176</f>
        <v>#N/A</v>
      </c>
      <c r="AJ176" s="235" t="e">
        <f t="shared" si="56"/>
        <v>#N/A</v>
      </c>
      <c r="AK176" s="234"/>
      <c r="AL176" t="str">
        <f t="shared" si="57"/>
        <v>36678Curve Shift/Gamma</v>
      </c>
      <c r="AM176" t="str">
        <f t="shared" si="65"/>
        <v>36678Rho</v>
      </c>
      <c r="AN176" t="str">
        <f t="shared" si="66"/>
        <v>36678Drift</v>
      </c>
      <c r="AO176" t="str">
        <f t="shared" si="67"/>
        <v>36678Vega</v>
      </c>
      <c r="AP176" t="str">
        <f t="shared" si="68"/>
        <v>36678Theta</v>
      </c>
      <c r="BG176" s="441">
        <v>41640</v>
      </c>
      <c r="BH176">
        <v>0.98499999999999999</v>
      </c>
      <c r="BJ176" s="441">
        <v>41640</v>
      </c>
      <c r="BK176">
        <v>173</v>
      </c>
    </row>
    <row r="177" spans="1:63" ht="12" customHeight="1" x14ac:dyDescent="0.25">
      <c r="A177" s="382" t="s">
        <v>279</v>
      </c>
      <c r="B177" s="155" t="s">
        <v>250</v>
      </c>
      <c r="C177" s="155" t="s">
        <v>364</v>
      </c>
      <c r="D177" s="155" t="s">
        <v>190</v>
      </c>
      <c r="E177" s="4" t="s">
        <v>237</v>
      </c>
      <c r="F177" s="155" t="s">
        <v>20</v>
      </c>
      <c r="G177" s="155" t="s">
        <v>21</v>
      </c>
      <c r="H177" s="354">
        <v>36678</v>
      </c>
      <c r="I177" s="156">
        <v>-333333</v>
      </c>
      <c r="J177" s="7">
        <v>0.46</v>
      </c>
      <c r="K177" s="53">
        <f t="shared" si="62"/>
        <v>5.75</v>
      </c>
      <c r="L177" s="53">
        <f t="shared" si="63"/>
        <v>3.32</v>
      </c>
      <c r="M177" s="157">
        <v>1</v>
      </c>
      <c r="N177" s="4">
        <v>0.51500000000000001</v>
      </c>
      <c r="O177" s="4">
        <v>0.51500000000000001</v>
      </c>
      <c r="P177" s="9" t="e">
        <f t="shared" si="64"/>
        <v>#N/A</v>
      </c>
      <c r="Q177" s="5">
        <v>36702</v>
      </c>
      <c r="R177" s="4">
        <f t="shared" si="70"/>
        <v>1</v>
      </c>
      <c r="S177" s="158" t="e">
        <f>_xll.xSPRDOPT($K177,$L177,$J177,$M177,$N177,$O177,$P177,$Q177-$C$3,$R177,0)</f>
        <v>#N/A</v>
      </c>
      <c r="T177" s="159" t="e">
        <f>_xll.xSPRDOPT($K177,$L177,$J177,$M177,$N177,$O177,$P177,$Q177-$C$3,$R177,1)*I177</f>
        <v>#N/A</v>
      </c>
      <c r="U177" s="160">
        <v>-94999.904999999882</v>
      </c>
      <c r="V177" s="159" t="e">
        <f>_xll.xSPRDOPT($K177,$L177,$J177,$M177,$N177,$O177,$P177,$Q177-$C$3,$R177,2)*I177</f>
        <v>#N/A</v>
      </c>
      <c r="W177" s="159" t="e">
        <f t="shared" si="71"/>
        <v>#N/A</v>
      </c>
      <c r="X177" s="51" t="str">
        <f t="shared" si="72"/>
        <v>36678IF-ELPO/SJ</v>
      </c>
      <c r="Y177" s="418">
        <f t="shared" si="73"/>
        <v>-33.333300000000001</v>
      </c>
      <c r="Z177" s="51"/>
      <c r="AB177" s="141">
        <f t="shared" si="53"/>
        <v>36678</v>
      </c>
      <c r="AC177" s="234" t="e">
        <f>_xll.xSPRDOPT(HLOOKUP($D$3,GDPRICES,VLOOKUP(Q177,GDmove_down,2,FALSE),FALSE),HLOOKUP($E$3,GDPRICES,VLOOKUP(Q177,GDmove_down,2,FALSE),FALSE),J177,VLOOKUP(H177,NGPREVPRICES,4,FALSE),HLOOKUP($H$3,GDPrevVols,VLOOKUP(Q177,GDmove_down2,2,FALSE),FALSE),HLOOKUP($H$3,GDPrevVols,VLOOKUP(Q177,GDmove_down2,2,FALSE),FALSE),HLOOKUP(E177,GDcorr,VLOOKUP(H177,CorMove,2,FALSE),FALSE),Q177-$AC$3,R177,$AC$5)*I177-AI177</f>
        <v>#N/A</v>
      </c>
      <c r="AD177" s="234" t="e">
        <f>_xll.xSPRDOPT(HLOOKUP($D$3,GDPrev,VLOOKUP(Q177,GDmove_down,2,FALSE),FALSE),HLOOKUP($E$3,GDPrev,VLOOKUP(Q177,GDmove_down,2,FALSE),FALSE),AJ177,VLOOKUP(H177,NGPrices,4,FALSE),HLOOKUP($H$3,GDPrevVols,VLOOKUP(Q177,GDmove_down2,2,FALSE),FALSE),HLOOKUP($H$3,GDPrevVols,VLOOKUP(Q177,GDmove_down2,2,FALSE),FALSE),HLOOKUP(E177,GDcorr,VLOOKUP(H177,CorMove,2,FALSE),FALSE),Q177-$AC$3,R177,$AI$5)*I177-AI177</f>
        <v>#N/A</v>
      </c>
      <c r="AE177" s="439" t="e">
        <f t="shared" si="54"/>
        <v>#N/A</v>
      </c>
      <c r="AF177" s="234" t="e">
        <f>_xll.xSPRDOPT(HLOOKUP($D$3,GDPrev,VLOOKUP(Q177,GDmove_down,2,FALSE),FALSE),HLOOKUP($E$3,GDPrev,VLOOKUP(Q177,GDmove_down,2,FALSE),FALSE),AJ177,VLOOKUP(H177,NGPREVPRICES,4,FALSE),HLOOKUP($H$3,GDVol,VLOOKUP(H177,move_down,2,FALSE),FALSE),HLOOKUP($H$3,GDVol,VLOOKUP(H177,move_down,2,FALSE),FALSE),HLOOKUP(E177,GDcorr,VLOOKUP(H177,CorMove,2,FALSE),FALSE),Q177-$AC$3,R177,$AI$5)*I177-AI177</f>
        <v>#N/A</v>
      </c>
      <c r="AG177" s="234" t="e">
        <f>_xll.xSPRDOPT(HLOOKUP($D$3,GDPrev,VLOOKUP(Q177,GDmove_down,2,FALSE),FALSE),HLOOKUP($E$3,GDPrev,VLOOKUP(Q177,GDmove_down,2,FALSE),FALSE),AJ177,VLOOKUP(H177,NGPREVPRICES,4,FALSE),HLOOKUP($H$3,GDPrevVols,VLOOKUP(Q177,GDmove_down2,2,FALSE),FALSE),HLOOKUP($H$3,GDPrevVols,VLOOKUP(Q177,GDmove_down2,2,FALSE),FALSE),HLOOKUP(E177,GDcorr,VLOOKUP(H177,CorMove,2,FALSE),FALSE),Q177-$C$3,R177,$AI$5)*I177-AI177</f>
        <v>#N/A</v>
      </c>
      <c r="AH177" s="234" t="e">
        <f t="shared" si="55"/>
        <v>#N/A</v>
      </c>
      <c r="AI177" s="234" t="e">
        <f>_xll.xSPRDOPT(HLOOKUP($D$3,GDPrev,VLOOKUP(Q177,GDmove_down,2,FALSE),FALSE),HLOOKUP($E$3,GDPrev,VLOOKUP(Q177,GDmove_down,2,FALSE),FALSE),AJ177,VLOOKUP(H177,NGPREVPRICES,4,FALSE),HLOOKUP($H$3,GDPrevVols,VLOOKUP(Q177,GDmove_down2,2,FALSE),FALSE),HLOOKUP($H$3,GDPrevVols,VLOOKUP(Q177,GDmove_down2,2,FALSE),FALSE),HLOOKUP(E177,GDcorr,VLOOKUP(H177,CorMove,2,FALSE),FALSE),Q177-$AC$3,R177,$AI$5)*I177</f>
        <v>#N/A</v>
      </c>
      <c r="AJ177" s="235" t="e">
        <f t="shared" si="56"/>
        <v>#N/A</v>
      </c>
      <c r="AK177" s="234"/>
      <c r="AL177" t="str">
        <f t="shared" si="57"/>
        <v>36678Curve Shift/Gamma</v>
      </c>
      <c r="AM177" t="str">
        <f t="shared" si="65"/>
        <v>36678Rho</v>
      </c>
      <c r="AN177" t="str">
        <f t="shared" si="66"/>
        <v>36678Drift</v>
      </c>
      <c r="AO177" t="str">
        <f t="shared" si="67"/>
        <v>36678Vega</v>
      </c>
      <c r="AP177" t="str">
        <f t="shared" si="68"/>
        <v>36678Theta</v>
      </c>
      <c r="BG177" s="441">
        <v>41671</v>
      </c>
      <c r="BH177">
        <v>0.98499999999999999</v>
      </c>
      <c r="BJ177" s="441">
        <v>41671</v>
      </c>
      <c r="BK177">
        <v>174</v>
      </c>
    </row>
    <row r="178" spans="1:63" ht="12" customHeight="1" x14ac:dyDescent="0.25">
      <c r="A178" s="384" t="s">
        <v>268</v>
      </c>
      <c r="B178" s="155" t="s">
        <v>250</v>
      </c>
      <c r="C178" s="155" t="s">
        <v>387</v>
      </c>
      <c r="D178" s="155" t="s">
        <v>190</v>
      </c>
      <c r="E178" s="4" t="s">
        <v>237</v>
      </c>
      <c r="F178" s="155" t="s">
        <v>20</v>
      </c>
      <c r="G178" s="155" t="s">
        <v>21</v>
      </c>
      <c r="H178" s="354">
        <v>36678</v>
      </c>
      <c r="I178" s="156">
        <v>-10000</v>
      </c>
      <c r="J178" s="7">
        <v>0.46</v>
      </c>
      <c r="K178" s="53">
        <f t="shared" si="62"/>
        <v>5.75</v>
      </c>
      <c r="L178" s="53">
        <f t="shared" si="63"/>
        <v>3.32</v>
      </c>
      <c r="M178" s="157">
        <v>1</v>
      </c>
      <c r="N178" s="4">
        <v>0.51500000000000001</v>
      </c>
      <c r="O178" s="4">
        <v>0.51500000000000001</v>
      </c>
      <c r="P178" s="9" t="e">
        <f t="shared" si="64"/>
        <v>#N/A</v>
      </c>
      <c r="Q178" s="5">
        <v>36702</v>
      </c>
      <c r="R178" s="4">
        <f t="shared" si="70"/>
        <v>1</v>
      </c>
      <c r="S178" s="158" t="e">
        <f>_xll.xSPRDOPT($K178,$L178,$J178,$M178,$N178,$O178,$P178,$Q178-$C$3,$R178,0)</f>
        <v>#N/A</v>
      </c>
      <c r="T178" s="159" t="e">
        <f>_xll.xSPRDOPT($K178,$L178,$J178,$M178,$N178,$O178,$P178,$Q178-$C$3,$R178,1)*I178</f>
        <v>#N/A</v>
      </c>
      <c r="U178" s="160">
        <v>-2850</v>
      </c>
      <c r="V178" s="159" t="e">
        <f>_xll.xSPRDOPT($K178,$L178,$J178,$M178,$N178,$O178,$P178,$Q178-$C$3,$R178,2)*I178</f>
        <v>#N/A</v>
      </c>
      <c r="W178" s="159" t="e">
        <f t="shared" si="71"/>
        <v>#N/A</v>
      </c>
      <c r="X178" s="51" t="str">
        <f t="shared" si="72"/>
        <v>36678IF-ELPO/SJ</v>
      </c>
      <c r="Y178" s="418">
        <f t="shared" si="73"/>
        <v>-1</v>
      </c>
      <c r="AB178" s="141">
        <f t="shared" si="53"/>
        <v>36678</v>
      </c>
      <c r="AC178" s="234" t="e">
        <f>_xll.xSPRDOPT(HLOOKUP($D$3,GDPRICES,VLOOKUP(Q178,GDmove_down,2,FALSE),FALSE),HLOOKUP($E$3,GDPRICES,VLOOKUP(Q178,GDmove_down,2,FALSE),FALSE),J178,VLOOKUP(H178,NGPREVPRICES,4,FALSE),HLOOKUP($H$3,GDPrevVols,VLOOKUP(Q178,GDmove_down2,2,FALSE),FALSE),HLOOKUP($H$3,GDPrevVols,VLOOKUP(Q178,GDmove_down2,2,FALSE),FALSE),HLOOKUP(E178,GDcorr,VLOOKUP(H178,CorMove,2,FALSE),FALSE),Q178-$AC$3,R178,$AC$5)*I178-AI178</f>
        <v>#N/A</v>
      </c>
      <c r="AD178" s="234" t="e">
        <f>_xll.xSPRDOPT(HLOOKUP($D$3,GDPrev,VLOOKUP(Q178,GDmove_down,2,FALSE),FALSE),HLOOKUP($E$3,GDPrev,VLOOKUP(Q178,GDmove_down,2,FALSE),FALSE),AJ178,VLOOKUP(H178,NGPrices,4,FALSE),HLOOKUP($H$3,GDPrevVols,VLOOKUP(Q178,GDmove_down2,2,FALSE),FALSE),HLOOKUP($H$3,GDPrevVols,VLOOKUP(Q178,GDmove_down2,2,FALSE),FALSE),HLOOKUP(E178,GDcorr,VLOOKUP(H178,CorMove,2,FALSE),FALSE),Q178-$AC$3,R178,$AI$5)*I178-AI178</f>
        <v>#N/A</v>
      </c>
      <c r="AE178" s="439" t="e">
        <f t="shared" si="54"/>
        <v>#N/A</v>
      </c>
      <c r="AF178" s="234" t="e">
        <f>_xll.xSPRDOPT(HLOOKUP($D$3,GDPrev,VLOOKUP(Q178,GDmove_down,2,FALSE),FALSE),HLOOKUP($E$3,GDPrev,VLOOKUP(Q178,GDmove_down,2,FALSE),FALSE),AJ178,VLOOKUP(H178,NGPREVPRICES,4,FALSE),HLOOKUP($H$3,GDVol,VLOOKUP(H178,move_down,2,FALSE),FALSE),HLOOKUP($H$3,GDVol,VLOOKUP(H178,move_down,2,FALSE),FALSE),HLOOKUP(E178,GDcorr,VLOOKUP(H178,CorMove,2,FALSE),FALSE),Q178-$AC$3,R178,$AI$5)*I178-AI178</f>
        <v>#N/A</v>
      </c>
      <c r="AG178" s="234" t="e">
        <f>_xll.xSPRDOPT(HLOOKUP($D$3,GDPrev,VLOOKUP(Q178,GDmove_down,2,FALSE),FALSE),HLOOKUP($E$3,GDPrev,VLOOKUP(Q178,GDmove_down,2,FALSE),FALSE),AJ178,VLOOKUP(H178,NGPREVPRICES,4,FALSE),HLOOKUP($H$3,GDPrevVols,VLOOKUP(Q178,GDmove_down2,2,FALSE),FALSE),HLOOKUP($H$3,GDPrevVols,VLOOKUP(Q178,GDmove_down2,2,FALSE),FALSE),HLOOKUP(E178,GDcorr,VLOOKUP(H178,CorMove,2,FALSE),FALSE),Q178-$C$3,R178,$AI$5)*I178-AI178</f>
        <v>#N/A</v>
      </c>
      <c r="AH178" s="234" t="e">
        <f t="shared" si="55"/>
        <v>#N/A</v>
      </c>
      <c r="AI178" s="234" t="e">
        <f>_xll.xSPRDOPT(HLOOKUP($D$3,GDPrev,VLOOKUP(Q178,GDmove_down,2,FALSE),FALSE),HLOOKUP($E$3,GDPrev,VLOOKUP(Q178,GDmove_down,2,FALSE),FALSE),AJ178,VLOOKUP(H178,NGPREVPRICES,4,FALSE),HLOOKUP($H$3,GDPrevVols,VLOOKUP(Q178,GDmove_down2,2,FALSE),FALSE),HLOOKUP($H$3,GDPrevVols,VLOOKUP(Q178,GDmove_down2,2,FALSE),FALSE),HLOOKUP(E178,GDcorr,VLOOKUP(H178,CorMove,2,FALSE),FALSE),Q178-$AC$3,R178,$AI$5)*I178</f>
        <v>#N/A</v>
      </c>
      <c r="AJ178" s="235" t="e">
        <f t="shared" si="56"/>
        <v>#N/A</v>
      </c>
      <c r="AK178" s="234"/>
      <c r="AL178" t="str">
        <f t="shared" si="57"/>
        <v>36678Curve Shift/Gamma</v>
      </c>
      <c r="AM178" t="str">
        <f t="shared" si="65"/>
        <v>36678Rho</v>
      </c>
      <c r="AN178" t="str">
        <f t="shared" si="66"/>
        <v>36678Drift</v>
      </c>
      <c r="AO178" t="str">
        <f t="shared" si="67"/>
        <v>36678Vega</v>
      </c>
      <c r="AP178" t="str">
        <f t="shared" si="68"/>
        <v>36678Theta</v>
      </c>
      <c r="BG178" s="441">
        <v>41699</v>
      </c>
      <c r="BH178">
        <v>0.98499999999999999</v>
      </c>
      <c r="BJ178" s="441">
        <v>41699</v>
      </c>
      <c r="BK178">
        <v>175</v>
      </c>
    </row>
    <row r="179" spans="1:63" ht="12" customHeight="1" x14ac:dyDescent="0.25">
      <c r="A179" s="384" t="s">
        <v>279</v>
      </c>
      <c r="B179" s="155" t="s">
        <v>250</v>
      </c>
      <c r="C179" s="155" t="s">
        <v>388</v>
      </c>
      <c r="D179" s="155" t="s">
        <v>190</v>
      </c>
      <c r="E179" s="4" t="s">
        <v>237</v>
      </c>
      <c r="F179" s="155" t="s">
        <v>20</v>
      </c>
      <c r="G179" s="155" t="s">
        <v>21</v>
      </c>
      <c r="H179" s="354">
        <v>36678</v>
      </c>
      <c r="I179" s="156">
        <v>50000</v>
      </c>
      <c r="J179" s="7">
        <v>0.46</v>
      </c>
      <c r="K179" s="53">
        <f t="shared" si="62"/>
        <v>5.75</v>
      </c>
      <c r="L179" s="53">
        <f t="shared" si="63"/>
        <v>3.32</v>
      </c>
      <c r="M179" s="157">
        <v>1</v>
      </c>
      <c r="N179" s="4">
        <v>0.51500000000000001</v>
      </c>
      <c r="O179" s="4">
        <v>0.51500000000000001</v>
      </c>
      <c r="P179" s="9" t="e">
        <f t="shared" si="64"/>
        <v>#N/A</v>
      </c>
      <c r="Q179" s="5">
        <v>36702</v>
      </c>
      <c r="R179" s="4">
        <f t="shared" si="70"/>
        <v>1</v>
      </c>
      <c r="S179" s="158" t="e">
        <f>_xll.xSPRDOPT($K179,$L179,$J179,$M179,$N179,$O179,$P179,$Q179-$C$3,$R179,0)</f>
        <v>#N/A</v>
      </c>
      <c r="T179" s="159" t="e">
        <f>_xll.xSPRDOPT($K179,$L179,$J179,$M179,$N179,$O179,$P179,$Q179-$C$3,$R179,1)*I179</f>
        <v>#N/A</v>
      </c>
      <c r="U179" s="160">
        <v>14250</v>
      </c>
      <c r="V179" s="159" t="e">
        <f>_xll.xSPRDOPT($K179,$L179,$J179,$M179,$N179,$O179,$P179,$Q179-$C$3,$R179,2)*I179</f>
        <v>#N/A</v>
      </c>
      <c r="W179" s="159" t="e">
        <f t="shared" si="71"/>
        <v>#N/A</v>
      </c>
      <c r="X179" s="51" t="str">
        <f t="shared" si="72"/>
        <v>36678IF-ELPO/SJ</v>
      </c>
      <c r="Y179" s="418">
        <f t="shared" si="73"/>
        <v>5</v>
      </c>
      <c r="AB179" s="141">
        <f t="shared" si="53"/>
        <v>36678</v>
      </c>
      <c r="AC179" s="234" t="e">
        <f>_xll.xSPRDOPT(HLOOKUP($D$3,GDPRICES,VLOOKUP(Q179,GDmove_down,2,FALSE),FALSE),HLOOKUP($E$3,GDPRICES,VLOOKUP(Q179,GDmove_down,2,FALSE),FALSE),J179,VLOOKUP(H179,NGPREVPRICES,4,FALSE),HLOOKUP($H$3,GDPrevVols,VLOOKUP(Q179,GDmove_down2,2,FALSE),FALSE),HLOOKUP($H$3,GDPrevVols,VLOOKUP(Q179,GDmove_down2,2,FALSE),FALSE),HLOOKUP(E179,GDcorr,VLOOKUP(H179,CorMove,2,FALSE),FALSE),Q179-$AC$3,R179,$AC$5)*I179-AI179</f>
        <v>#N/A</v>
      </c>
      <c r="AD179" s="234" t="e">
        <f>_xll.xSPRDOPT(HLOOKUP($D$3,GDPrev,VLOOKUP(Q179,GDmove_down,2,FALSE),FALSE),HLOOKUP($E$3,GDPrev,VLOOKUP(Q179,GDmove_down,2,FALSE),FALSE),AJ179,VLOOKUP(H179,NGPrices,4,FALSE),HLOOKUP($H$3,GDPrevVols,VLOOKUP(Q179,GDmove_down2,2,FALSE),FALSE),HLOOKUP($H$3,GDPrevVols,VLOOKUP(Q179,GDmove_down2,2,FALSE),FALSE),HLOOKUP(E179,GDcorr,VLOOKUP(H179,CorMove,2,FALSE),FALSE),Q179-$AC$3,R179,$AI$5)*I179-AI179</f>
        <v>#N/A</v>
      </c>
      <c r="AE179" s="439" t="e">
        <f t="shared" si="54"/>
        <v>#N/A</v>
      </c>
      <c r="AF179" s="234" t="e">
        <f>_xll.xSPRDOPT(HLOOKUP($D$3,GDPrev,VLOOKUP(Q179,GDmove_down,2,FALSE),FALSE),HLOOKUP($E$3,GDPrev,VLOOKUP(Q179,GDmove_down,2,FALSE),FALSE),AJ179,VLOOKUP(H179,NGPREVPRICES,4,FALSE),HLOOKUP($H$3,GDVol,VLOOKUP(H179,move_down,2,FALSE),FALSE),HLOOKUP($H$3,GDVol,VLOOKUP(H179,move_down,2,FALSE),FALSE),HLOOKUP(E179,GDcorr,VLOOKUP(H179,CorMove,2,FALSE),FALSE),Q179-$AC$3,R179,$AI$5)*I179-AI179</f>
        <v>#N/A</v>
      </c>
      <c r="AG179" s="234" t="e">
        <f>_xll.xSPRDOPT(HLOOKUP($D$3,GDPrev,VLOOKUP(Q179,GDmove_down,2,FALSE),FALSE),HLOOKUP($E$3,GDPrev,VLOOKUP(Q179,GDmove_down,2,FALSE),FALSE),AJ179,VLOOKUP(H179,NGPREVPRICES,4,FALSE),HLOOKUP($H$3,GDPrevVols,VLOOKUP(Q179,GDmove_down2,2,FALSE),FALSE),HLOOKUP($H$3,GDPrevVols,VLOOKUP(Q179,GDmove_down2,2,FALSE),FALSE),HLOOKUP(E179,GDcorr,VLOOKUP(H179,CorMove,2,FALSE),FALSE),Q179-$C$3,R179,$AI$5)*I179-AI179</f>
        <v>#N/A</v>
      </c>
      <c r="AH179" s="234" t="e">
        <f t="shared" si="55"/>
        <v>#N/A</v>
      </c>
      <c r="AI179" s="234" t="e">
        <f>_xll.xSPRDOPT(HLOOKUP($D$3,GDPrev,VLOOKUP(Q179,GDmove_down,2,FALSE),FALSE),HLOOKUP($E$3,GDPrev,VLOOKUP(Q179,GDmove_down,2,FALSE),FALSE),AJ179,VLOOKUP(H179,NGPREVPRICES,4,FALSE),HLOOKUP($H$3,GDPrevVols,VLOOKUP(Q179,GDmove_down2,2,FALSE),FALSE),HLOOKUP($H$3,GDPrevVols,VLOOKUP(Q179,GDmove_down2,2,FALSE),FALSE),HLOOKUP(E179,GDcorr,VLOOKUP(H179,CorMove,2,FALSE),FALSE),Q179-$AC$3,R179,$AI$5)*I179</f>
        <v>#N/A</v>
      </c>
      <c r="AJ179" s="235" t="e">
        <f t="shared" si="56"/>
        <v>#N/A</v>
      </c>
      <c r="AK179" s="234"/>
      <c r="AL179" t="str">
        <f t="shared" si="57"/>
        <v>36678Curve Shift/Gamma</v>
      </c>
      <c r="AM179" t="str">
        <f t="shared" si="65"/>
        <v>36678Rho</v>
      </c>
      <c r="AN179" t="str">
        <f t="shared" si="66"/>
        <v>36678Drift</v>
      </c>
      <c r="AO179" t="str">
        <f t="shared" si="67"/>
        <v>36678Vega</v>
      </c>
      <c r="AP179" t="str">
        <f t="shared" si="68"/>
        <v>36678Theta</v>
      </c>
      <c r="BG179" s="441">
        <v>41730</v>
      </c>
      <c r="BH179">
        <v>0.98499999999999999</v>
      </c>
      <c r="BJ179" s="441">
        <v>41730</v>
      </c>
      <c r="BK179">
        <v>176</v>
      </c>
    </row>
    <row r="180" spans="1:63" ht="12" customHeight="1" x14ac:dyDescent="0.25">
      <c r="A180" s="384" t="s">
        <v>279</v>
      </c>
      <c r="B180" s="155" t="s">
        <v>250</v>
      </c>
      <c r="C180" s="155" t="s">
        <v>389</v>
      </c>
      <c r="D180" s="155" t="s">
        <v>190</v>
      </c>
      <c r="E180" s="4" t="s">
        <v>237</v>
      </c>
      <c r="F180" s="155" t="s">
        <v>20</v>
      </c>
      <c r="G180" s="155" t="s">
        <v>21</v>
      </c>
      <c r="H180" s="354">
        <v>36678</v>
      </c>
      <c r="I180" s="156">
        <v>50000</v>
      </c>
      <c r="J180" s="7">
        <v>0.46</v>
      </c>
      <c r="K180" s="53">
        <f t="shared" si="62"/>
        <v>5.75</v>
      </c>
      <c r="L180" s="53">
        <f t="shared" si="63"/>
        <v>3.32</v>
      </c>
      <c r="M180" s="157">
        <v>1</v>
      </c>
      <c r="N180" s="4">
        <v>0.51500000000000001</v>
      </c>
      <c r="O180" s="4">
        <v>0.51500000000000001</v>
      </c>
      <c r="P180" s="9" t="e">
        <f t="shared" si="64"/>
        <v>#N/A</v>
      </c>
      <c r="Q180" s="5">
        <v>36702</v>
      </c>
      <c r="R180" s="4">
        <f t="shared" si="70"/>
        <v>1</v>
      </c>
      <c r="S180" s="158" t="e">
        <f>_xll.xSPRDOPT($K180,$L180,$J180,$M180,$N180,$O180,$P180,$Q180-$C$3,$R180,0)</f>
        <v>#N/A</v>
      </c>
      <c r="T180" s="159" t="e">
        <f>_xll.xSPRDOPT($K180,$L180,$J180,$M180,$N180,$O180,$P180,$Q180-$C$3,$R180,1)*I180</f>
        <v>#N/A</v>
      </c>
      <c r="U180" s="160">
        <v>14250</v>
      </c>
      <c r="V180" s="159" t="e">
        <f>_xll.xSPRDOPT($K180,$L180,$J180,$M180,$N180,$O180,$P180,$Q180-$C$3,$R180,2)*I180</f>
        <v>#N/A</v>
      </c>
      <c r="W180" s="159" t="e">
        <f t="shared" si="71"/>
        <v>#N/A</v>
      </c>
      <c r="X180" s="51" t="str">
        <f t="shared" si="72"/>
        <v>36678IF-ELPO/SJ</v>
      </c>
      <c r="Y180" s="418">
        <f t="shared" si="73"/>
        <v>5</v>
      </c>
      <c r="AB180" s="141">
        <f t="shared" si="53"/>
        <v>36678</v>
      </c>
      <c r="AC180" s="234" t="e">
        <f>_xll.xSPRDOPT(HLOOKUP($D$3,GDPRICES,VLOOKUP(Q180,GDmove_down,2,FALSE),FALSE),HLOOKUP($E$3,GDPRICES,VLOOKUP(Q180,GDmove_down,2,FALSE),FALSE),J180,VLOOKUP(H180,NGPREVPRICES,4,FALSE),HLOOKUP($H$3,GDPrevVols,VLOOKUP(Q180,GDmove_down2,2,FALSE),FALSE),HLOOKUP($H$3,GDPrevVols,VLOOKUP(Q180,GDmove_down2,2,FALSE),FALSE),HLOOKUP(E180,GDcorr,VLOOKUP(H180,CorMove,2,FALSE),FALSE),Q180-$AC$3,R180,$AC$5)*I180-AI180</f>
        <v>#N/A</v>
      </c>
      <c r="AD180" s="234" t="e">
        <f>_xll.xSPRDOPT(HLOOKUP($D$3,GDPrev,VLOOKUP(Q180,GDmove_down,2,FALSE),FALSE),HLOOKUP($E$3,GDPrev,VLOOKUP(Q180,GDmove_down,2,FALSE),FALSE),AJ180,VLOOKUP(H180,NGPrices,4,FALSE),HLOOKUP($H$3,GDPrevVols,VLOOKUP(Q180,GDmove_down2,2,FALSE),FALSE),HLOOKUP($H$3,GDPrevVols,VLOOKUP(Q180,GDmove_down2,2,FALSE),FALSE),HLOOKUP(E180,GDcorr,VLOOKUP(H180,CorMove,2,FALSE),FALSE),Q180-$AC$3,R180,$AI$5)*I180-AI180</f>
        <v>#N/A</v>
      </c>
      <c r="AE180" s="439" t="e">
        <f t="shared" si="54"/>
        <v>#N/A</v>
      </c>
      <c r="AF180" s="234" t="e">
        <f>_xll.xSPRDOPT(HLOOKUP($D$3,GDPrev,VLOOKUP(Q180,GDmove_down,2,FALSE),FALSE),HLOOKUP($E$3,GDPrev,VLOOKUP(Q180,GDmove_down,2,FALSE),FALSE),AJ180,VLOOKUP(H180,NGPREVPRICES,4,FALSE),HLOOKUP($H$3,GDVol,VLOOKUP(H180,move_down,2,FALSE),FALSE),HLOOKUP($H$3,GDVol,VLOOKUP(H180,move_down,2,FALSE),FALSE),HLOOKUP(E180,GDcorr,VLOOKUP(H180,CorMove,2,FALSE),FALSE),Q180-$AC$3,R180,$AI$5)*I180-AI180</f>
        <v>#N/A</v>
      </c>
      <c r="AG180" s="234" t="e">
        <f>_xll.xSPRDOPT(HLOOKUP($D$3,GDPrev,VLOOKUP(Q180,GDmove_down,2,FALSE),FALSE),HLOOKUP($E$3,GDPrev,VLOOKUP(Q180,GDmove_down,2,FALSE),FALSE),AJ180,VLOOKUP(H180,NGPREVPRICES,4,FALSE),HLOOKUP($H$3,GDPrevVols,VLOOKUP(Q180,GDmove_down2,2,FALSE),FALSE),HLOOKUP($H$3,GDPrevVols,VLOOKUP(Q180,GDmove_down2,2,FALSE),FALSE),HLOOKUP(E180,GDcorr,VLOOKUP(H180,CorMove,2,FALSE),FALSE),Q180-$C$3,R180,$AI$5)*I180-AI180</f>
        <v>#N/A</v>
      </c>
      <c r="AH180" s="234" t="e">
        <f t="shared" si="55"/>
        <v>#N/A</v>
      </c>
      <c r="AI180" s="234" t="e">
        <f>_xll.xSPRDOPT(HLOOKUP($D$3,GDPrev,VLOOKUP(Q180,GDmove_down,2,FALSE),FALSE),HLOOKUP($E$3,GDPrev,VLOOKUP(Q180,GDmove_down,2,FALSE),FALSE),AJ180,VLOOKUP(H180,NGPREVPRICES,4,FALSE),HLOOKUP($H$3,GDPrevVols,VLOOKUP(Q180,GDmove_down2,2,FALSE),FALSE),HLOOKUP($H$3,GDPrevVols,VLOOKUP(Q180,GDmove_down2,2,FALSE),FALSE),HLOOKUP(E180,GDcorr,VLOOKUP(H180,CorMove,2,FALSE),FALSE),Q180-$AC$3,R180,$AI$5)*I180</f>
        <v>#N/A</v>
      </c>
      <c r="AJ180" s="235" t="e">
        <f t="shared" si="56"/>
        <v>#N/A</v>
      </c>
      <c r="AK180" s="234"/>
      <c r="AL180" t="str">
        <f t="shared" si="57"/>
        <v>36678Curve Shift/Gamma</v>
      </c>
      <c r="AM180" t="str">
        <f t="shared" si="65"/>
        <v>36678Rho</v>
      </c>
      <c r="AN180" t="str">
        <f t="shared" si="66"/>
        <v>36678Drift</v>
      </c>
      <c r="AO180" t="str">
        <f t="shared" si="67"/>
        <v>36678Vega</v>
      </c>
      <c r="AP180" t="str">
        <f t="shared" si="68"/>
        <v>36678Theta</v>
      </c>
      <c r="BG180" s="441">
        <v>41760</v>
      </c>
      <c r="BH180">
        <v>0.98499999999999999</v>
      </c>
      <c r="BJ180" s="441">
        <v>41760</v>
      </c>
      <c r="BK180">
        <v>177</v>
      </c>
    </row>
    <row r="181" spans="1:63" ht="12" customHeight="1" x14ac:dyDescent="0.25">
      <c r="A181" s="384" t="s">
        <v>279</v>
      </c>
      <c r="B181" s="155" t="s">
        <v>250</v>
      </c>
      <c r="C181" s="155" t="s">
        <v>398</v>
      </c>
      <c r="D181" s="155" t="s">
        <v>190</v>
      </c>
      <c r="E181" s="4" t="s">
        <v>237</v>
      </c>
      <c r="F181" s="155" t="s">
        <v>20</v>
      </c>
      <c r="G181" s="155" t="s">
        <v>21</v>
      </c>
      <c r="H181" s="354">
        <v>36678</v>
      </c>
      <c r="I181" s="156">
        <v>-10000</v>
      </c>
      <c r="J181" s="7">
        <v>0.46</v>
      </c>
      <c r="K181" s="53">
        <f t="shared" si="62"/>
        <v>5.75</v>
      </c>
      <c r="L181" s="53">
        <f t="shared" si="63"/>
        <v>3.32</v>
      </c>
      <c r="M181" s="157">
        <v>1</v>
      </c>
      <c r="N181" s="4">
        <v>0.51500000000000001</v>
      </c>
      <c r="O181" s="4">
        <v>0.51500000000000001</v>
      </c>
      <c r="P181" s="9" t="e">
        <f t="shared" si="64"/>
        <v>#N/A</v>
      </c>
      <c r="Q181" s="5">
        <v>36702</v>
      </c>
      <c r="R181" s="4">
        <f t="shared" si="70"/>
        <v>1</v>
      </c>
      <c r="S181" s="158" t="e">
        <f>_xll.xSPRDOPT($K181,$L181,$J181,$M181,$N181,$O181,$P181,$Q181-$C$3,$R181,0)</f>
        <v>#N/A</v>
      </c>
      <c r="T181" s="159" t="e">
        <f>_xll.xSPRDOPT($K181,$L181,$J181,$M181,$N181,$O181,$P181,$Q181-$C$3,$R181,1)*I181</f>
        <v>#N/A</v>
      </c>
      <c r="U181" s="160">
        <v>-2850</v>
      </c>
      <c r="V181" s="159" t="e">
        <f>_xll.xSPRDOPT($K181,$L181,$J181,$M181,$N181,$O181,$P181,$Q181-$C$3,$R181,2)*I181</f>
        <v>#N/A</v>
      </c>
      <c r="W181" s="159" t="e">
        <f t="shared" si="71"/>
        <v>#N/A</v>
      </c>
      <c r="X181" s="51" t="str">
        <f t="shared" si="72"/>
        <v>36678IF-ELPO/SJ</v>
      </c>
      <c r="Y181" s="418">
        <f t="shared" si="73"/>
        <v>-1</v>
      </c>
      <c r="AB181" s="141">
        <f t="shared" si="53"/>
        <v>36678</v>
      </c>
      <c r="AC181" s="234" t="e">
        <f>_xll.xSPRDOPT(HLOOKUP($D$3,GDPRICES,VLOOKUP(Q181,GDmove_down,2,FALSE),FALSE),HLOOKUP($E$3,GDPRICES,VLOOKUP(Q181,GDmove_down,2,FALSE),FALSE),J181,VLOOKUP(H181,NGPREVPRICES,4,FALSE),HLOOKUP($H$3,GDPrevVols,VLOOKUP(Q181,GDmove_down2,2,FALSE),FALSE),HLOOKUP($H$3,GDPrevVols,VLOOKUP(Q181,GDmove_down2,2,FALSE),FALSE),HLOOKUP(E181,GDcorr,VLOOKUP(H181,CorMove,2,FALSE),FALSE),Q181-$AC$3,R181,$AC$5)*I181-AI181</f>
        <v>#N/A</v>
      </c>
      <c r="AD181" s="234" t="e">
        <f>_xll.xSPRDOPT(HLOOKUP($D$3,GDPrev,VLOOKUP(Q181,GDmove_down,2,FALSE),FALSE),HLOOKUP($E$3,GDPrev,VLOOKUP(Q181,GDmove_down,2,FALSE),FALSE),AJ181,VLOOKUP(H181,NGPrices,4,FALSE),HLOOKUP($H$3,GDPrevVols,VLOOKUP(Q181,GDmove_down2,2,FALSE),FALSE),HLOOKUP($H$3,GDPrevVols,VLOOKUP(Q181,GDmove_down2,2,FALSE),FALSE),HLOOKUP(E181,GDcorr,VLOOKUP(H181,CorMove,2,FALSE),FALSE),Q181-$AC$3,R181,$AI$5)*I181-AI181</f>
        <v>#N/A</v>
      </c>
      <c r="AE181" s="439" t="e">
        <f t="shared" si="54"/>
        <v>#N/A</v>
      </c>
      <c r="AF181" s="234" t="e">
        <f>_xll.xSPRDOPT(HLOOKUP($D$3,GDPrev,VLOOKUP(Q181,GDmove_down,2,FALSE),FALSE),HLOOKUP($E$3,GDPrev,VLOOKUP(Q181,GDmove_down,2,FALSE),FALSE),AJ181,VLOOKUP(H181,NGPREVPRICES,4,FALSE),HLOOKUP($H$3,GDVol,VLOOKUP(H181,move_down,2,FALSE),FALSE),HLOOKUP($H$3,GDVol,VLOOKUP(H181,move_down,2,FALSE),FALSE),HLOOKUP(E181,GDcorr,VLOOKUP(H181,CorMove,2,FALSE),FALSE),Q181-$AC$3,R181,$AI$5)*I181-AI181</f>
        <v>#N/A</v>
      </c>
      <c r="AG181" s="234" t="e">
        <f>_xll.xSPRDOPT(HLOOKUP($D$3,GDPrev,VLOOKUP(Q181,GDmove_down,2,FALSE),FALSE),HLOOKUP($E$3,GDPrev,VLOOKUP(Q181,GDmove_down,2,FALSE),FALSE),AJ181,VLOOKUP(H181,NGPREVPRICES,4,FALSE),HLOOKUP($H$3,GDPrevVols,VLOOKUP(Q181,GDmove_down2,2,FALSE),FALSE),HLOOKUP($H$3,GDPrevVols,VLOOKUP(Q181,GDmove_down2,2,FALSE),FALSE),HLOOKUP(E181,GDcorr,VLOOKUP(H181,CorMove,2,FALSE),FALSE),Q181-$C$3,R181,$AI$5)*I181-AI181</f>
        <v>#N/A</v>
      </c>
      <c r="AH181" s="234" t="e">
        <f t="shared" si="55"/>
        <v>#N/A</v>
      </c>
      <c r="AI181" s="234" t="e">
        <f>_xll.xSPRDOPT(HLOOKUP($D$3,GDPrev,VLOOKUP(Q181,GDmove_down,2,FALSE),FALSE),HLOOKUP($E$3,GDPrev,VLOOKUP(Q181,GDmove_down,2,FALSE),FALSE),AJ181,VLOOKUP(H181,NGPREVPRICES,4,FALSE),HLOOKUP($H$3,GDPrevVols,VLOOKUP(Q181,GDmove_down2,2,FALSE),FALSE),HLOOKUP($H$3,GDPrevVols,VLOOKUP(Q181,GDmove_down2,2,FALSE),FALSE),HLOOKUP(E181,GDcorr,VLOOKUP(H181,CorMove,2,FALSE),FALSE),Q181-$AC$3,R181,$AI$5)*I181</f>
        <v>#N/A</v>
      </c>
      <c r="AJ181" s="235" t="e">
        <f t="shared" si="56"/>
        <v>#N/A</v>
      </c>
      <c r="AK181" s="234"/>
      <c r="AL181" t="str">
        <f t="shared" si="57"/>
        <v>36678Curve Shift/Gamma</v>
      </c>
      <c r="AM181" t="str">
        <f t="shared" si="65"/>
        <v>36678Rho</v>
      </c>
      <c r="AN181" t="str">
        <f t="shared" si="66"/>
        <v>36678Drift</v>
      </c>
      <c r="AO181" t="str">
        <f t="shared" si="67"/>
        <v>36678Vega</v>
      </c>
      <c r="AP181" t="str">
        <f t="shared" si="68"/>
        <v>36678Theta</v>
      </c>
      <c r="BG181" s="441">
        <v>41791</v>
      </c>
      <c r="BH181">
        <v>0.98499999999999999</v>
      </c>
      <c r="BJ181" s="441">
        <v>41791</v>
      </c>
      <c r="BK181">
        <v>178</v>
      </c>
    </row>
    <row r="182" spans="1:63" ht="12" customHeight="1" x14ac:dyDescent="0.25">
      <c r="A182" s="382" t="s">
        <v>279</v>
      </c>
      <c r="B182" s="155" t="s">
        <v>250</v>
      </c>
      <c r="C182" s="155" t="s">
        <v>360</v>
      </c>
      <c r="D182" s="155" t="s">
        <v>190</v>
      </c>
      <c r="E182" s="4" t="s">
        <v>237</v>
      </c>
      <c r="F182" s="155" t="s">
        <v>20</v>
      </c>
      <c r="G182" s="155" t="s">
        <v>21</v>
      </c>
      <c r="H182" s="354">
        <v>36678</v>
      </c>
      <c r="I182" s="156">
        <v>-50000</v>
      </c>
      <c r="J182" s="7">
        <v>0.46</v>
      </c>
      <c r="K182" s="53">
        <f t="shared" si="62"/>
        <v>6.4749999999999996</v>
      </c>
      <c r="L182" s="53">
        <f t="shared" si="63"/>
        <v>3.1949999999999998</v>
      </c>
      <c r="M182" s="157">
        <v>1</v>
      </c>
      <c r="N182" s="4">
        <v>0.51500000000000001</v>
      </c>
      <c r="O182" s="4">
        <v>0.51500000000000001</v>
      </c>
      <c r="P182" s="9" t="e">
        <f t="shared" si="64"/>
        <v>#N/A</v>
      </c>
      <c r="Q182" s="5">
        <v>36703</v>
      </c>
      <c r="R182" s="4">
        <f t="shared" si="70"/>
        <v>1</v>
      </c>
      <c r="S182" s="158" t="e">
        <f>_xll.xSPRDOPT($K182,$L182,$J182,$M182,$N182,$O182,$P182,$Q182-$C$3,$R182,0)</f>
        <v>#N/A</v>
      </c>
      <c r="T182" s="159" t="e">
        <f>_xll.xSPRDOPT($K182,$L182,$J182,$M182,$N182,$O182,$P182,$Q182-$C$3,$R182,1)*I182</f>
        <v>#N/A</v>
      </c>
      <c r="U182" s="160">
        <v>-14250</v>
      </c>
      <c r="V182" s="159" t="e">
        <f>_xll.xSPRDOPT($K182,$L182,$J182,$M182,$N182,$O182,$P182,$Q182-$C$3,$R182,2)*I182</f>
        <v>#N/A</v>
      </c>
      <c r="W182" s="159" t="e">
        <f t="shared" si="71"/>
        <v>#N/A</v>
      </c>
      <c r="X182" s="51" t="str">
        <f t="shared" si="72"/>
        <v>36678IF-ELPO/SJ</v>
      </c>
      <c r="Y182" s="418">
        <f t="shared" si="73"/>
        <v>-5</v>
      </c>
      <c r="AB182" s="141">
        <f t="shared" si="53"/>
        <v>36678</v>
      </c>
      <c r="AC182" s="234" t="e">
        <f>_xll.xSPRDOPT(HLOOKUP($D$3,GDPRICES,VLOOKUP(Q182,GDmove_down,2,FALSE),FALSE),HLOOKUP($E$3,GDPRICES,VLOOKUP(Q182,GDmove_down,2,FALSE),FALSE),J182,VLOOKUP(H182,NGPREVPRICES,4,FALSE),HLOOKUP($H$3,GDPrevVols,VLOOKUP(Q182,GDmove_down2,2,FALSE),FALSE),HLOOKUP($H$3,GDPrevVols,VLOOKUP(Q182,GDmove_down2,2,FALSE),FALSE),HLOOKUP(E182,GDcorr,VLOOKUP(H182,CorMove,2,FALSE),FALSE),Q182-$AC$3,R182,$AC$5)*I182-AI182</f>
        <v>#N/A</v>
      </c>
      <c r="AD182" s="234" t="e">
        <f>_xll.xSPRDOPT(HLOOKUP($D$3,GDPrev,VLOOKUP(Q182,GDmove_down,2,FALSE),FALSE),HLOOKUP($E$3,GDPrev,VLOOKUP(Q182,GDmove_down,2,FALSE),FALSE),AJ182,VLOOKUP(H182,NGPrices,4,FALSE),HLOOKUP($H$3,GDPrevVols,VLOOKUP(Q182,GDmove_down2,2,FALSE),FALSE),HLOOKUP($H$3,GDPrevVols,VLOOKUP(Q182,GDmove_down2,2,FALSE),FALSE),HLOOKUP(E182,GDcorr,VLOOKUP(H182,CorMove,2,FALSE),FALSE),Q182-$AC$3,R182,$AI$5)*I182-AI182</f>
        <v>#N/A</v>
      </c>
      <c r="AE182" s="439" t="e">
        <f t="shared" si="54"/>
        <v>#N/A</v>
      </c>
      <c r="AF182" s="234" t="e">
        <f>_xll.xSPRDOPT(HLOOKUP($D$3,GDPrev,VLOOKUP(Q182,GDmove_down,2,FALSE),FALSE),HLOOKUP($E$3,GDPrev,VLOOKUP(Q182,GDmove_down,2,FALSE),FALSE),AJ182,VLOOKUP(H182,NGPREVPRICES,4,FALSE),HLOOKUP($H$3,GDVol,VLOOKUP(H182,move_down,2,FALSE),FALSE),HLOOKUP($H$3,GDVol,VLOOKUP(H182,move_down,2,FALSE),FALSE),HLOOKUP(E182,GDcorr,VLOOKUP(H182,CorMove,2,FALSE),FALSE),Q182-$AC$3,R182,$AI$5)*I182-AI182</f>
        <v>#N/A</v>
      </c>
      <c r="AG182" s="234" t="e">
        <f>_xll.xSPRDOPT(HLOOKUP($D$3,GDPrev,VLOOKUP(Q182,GDmove_down,2,FALSE),FALSE),HLOOKUP($E$3,GDPrev,VLOOKUP(Q182,GDmove_down,2,FALSE),FALSE),AJ182,VLOOKUP(H182,NGPREVPRICES,4,FALSE),HLOOKUP($H$3,GDPrevVols,VLOOKUP(Q182,GDmove_down2,2,FALSE),FALSE),HLOOKUP($H$3,GDPrevVols,VLOOKUP(Q182,GDmove_down2,2,FALSE),FALSE),HLOOKUP(E182,GDcorr,VLOOKUP(H182,CorMove,2,FALSE),FALSE),Q182-$C$3,R182,$AI$5)*I182-AI182</f>
        <v>#N/A</v>
      </c>
      <c r="AH182" s="234" t="e">
        <f t="shared" si="55"/>
        <v>#N/A</v>
      </c>
      <c r="AI182" s="234" t="e">
        <f>_xll.xSPRDOPT(HLOOKUP($D$3,GDPrev,VLOOKUP(Q182,GDmove_down,2,FALSE),FALSE),HLOOKUP($E$3,GDPrev,VLOOKUP(Q182,GDmove_down,2,FALSE),FALSE),AJ182,VLOOKUP(H182,NGPREVPRICES,4,FALSE),HLOOKUP($H$3,GDPrevVols,VLOOKUP(Q182,GDmove_down2,2,FALSE),FALSE),HLOOKUP($H$3,GDPrevVols,VLOOKUP(Q182,GDmove_down2,2,FALSE),FALSE),HLOOKUP(E182,GDcorr,VLOOKUP(H182,CorMove,2,FALSE),FALSE),Q182-$AC$3,R182,$AI$5)*I182</f>
        <v>#N/A</v>
      </c>
      <c r="AJ182" s="235" t="e">
        <f t="shared" si="56"/>
        <v>#N/A</v>
      </c>
      <c r="AK182" s="234"/>
      <c r="AL182" t="str">
        <f t="shared" si="57"/>
        <v>36678Curve Shift/Gamma</v>
      </c>
      <c r="AM182" t="str">
        <f t="shared" si="65"/>
        <v>36678Rho</v>
      </c>
      <c r="AN182" t="str">
        <f t="shared" si="66"/>
        <v>36678Drift</v>
      </c>
      <c r="AO182" t="str">
        <f t="shared" si="67"/>
        <v>36678Vega</v>
      </c>
      <c r="AP182" t="str">
        <f t="shared" si="68"/>
        <v>36678Theta</v>
      </c>
      <c r="BG182" s="441">
        <v>41821</v>
      </c>
      <c r="BH182">
        <v>0.98499999999999999</v>
      </c>
      <c r="BJ182" s="441">
        <v>41821</v>
      </c>
      <c r="BK182">
        <v>179</v>
      </c>
    </row>
    <row r="183" spans="1:63" ht="12" customHeight="1" x14ac:dyDescent="0.25">
      <c r="A183" s="382" t="s">
        <v>279</v>
      </c>
      <c r="B183" s="155" t="s">
        <v>250</v>
      </c>
      <c r="C183" s="155" t="s">
        <v>361</v>
      </c>
      <c r="D183" s="155" t="s">
        <v>190</v>
      </c>
      <c r="E183" s="4" t="s">
        <v>237</v>
      </c>
      <c r="F183" s="155" t="s">
        <v>20</v>
      </c>
      <c r="G183" s="155" t="s">
        <v>21</v>
      </c>
      <c r="H183" s="354">
        <v>36678</v>
      </c>
      <c r="I183" s="156">
        <v>10000</v>
      </c>
      <c r="J183" s="7">
        <v>0.46</v>
      </c>
      <c r="K183" s="53">
        <f t="shared" si="62"/>
        <v>6.4749999999999996</v>
      </c>
      <c r="L183" s="53">
        <f t="shared" si="63"/>
        <v>3.1949999999999998</v>
      </c>
      <c r="M183" s="157">
        <v>1</v>
      </c>
      <c r="N183" s="4">
        <v>0.51500000000000001</v>
      </c>
      <c r="O183" s="4">
        <v>0.51500000000000001</v>
      </c>
      <c r="P183" s="9" t="e">
        <f t="shared" si="64"/>
        <v>#N/A</v>
      </c>
      <c r="Q183" s="5">
        <v>36703</v>
      </c>
      <c r="R183" s="4">
        <f t="shared" si="70"/>
        <v>1</v>
      </c>
      <c r="S183" s="158" t="e">
        <f>_xll.xSPRDOPT($K183,$L183,$J183,$M183,$N183,$O183,$P183,$Q183-$C$3,$R183,0)</f>
        <v>#N/A</v>
      </c>
      <c r="T183" s="159" t="e">
        <f>_xll.xSPRDOPT($K183,$L183,$J183,$M183,$N183,$O183,$P183,$Q183-$C$3,$R183,1)*I183</f>
        <v>#N/A</v>
      </c>
      <c r="U183" s="160">
        <v>2850</v>
      </c>
      <c r="V183" s="159" t="e">
        <f>_xll.xSPRDOPT($K183,$L183,$J183,$M183,$N183,$O183,$P183,$Q183-$C$3,$R183,2)*I183</f>
        <v>#N/A</v>
      </c>
      <c r="W183" s="159" t="e">
        <f t="shared" si="71"/>
        <v>#N/A</v>
      </c>
      <c r="X183" s="51" t="str">
        <f t="shared" si="72"/>
        <v>36678IF-ELPO/SJ</v>
      </c>
      <c r="Y183" s="418">
        <f t="shared" si="73"/>
        <v>1</v>
      </c>
      <c r="AB183" s="141">
        <f t="shared" si="53"/>
        <v>36678</v>
      </c>
      <c r="AC183" s="234" t="e">
        <f>_xll.xSPRDOPT(HLOOKUP($D$3,GDPRICES,VLOOKUP(Q183,GDmove_down,2,FALSE),FALSE),HLOOKUP($E$3,GDPRICES,VLOOKUP(Q183,GDmove_down,2,FALSE),FALSE),J183,VLOOKUP(H183,NGPREVPRICES,4,FALSE),HLOOKUP($H$3,GDPrevVols,VLOOKUP(Q183,GDmove_down2,2,FALSE),FALSE),HLOOKUP($H$3,GDPrevVols,VLOOKUP(Q183,GDmove_down2,2,FALSE),FALSE),HLOOKUP(E183,GDcorr,VLOOKUP(H183,CorMove,2,FALSE),FALSE),Q183-$AC$3,R183,$AC$5)*I183-AI183</f>
        <v>#N/A</v>
      </c>
      <c r="AD183" s="234" t="e">
        <f>_xll.xSPRDOPT(HLOOKUP($D$3,GDPrev,VLOOKUP(Q183,GDmove_down,2,FALSE),FALSE),HLOOKUP($E$3,GDPrev,VLOOKUP(Q183,GDmove_down,2,FALSE),FALSE),AJ183,VLOOKUP(H183,NGPrices,4,FALSE),HLOOKUP($H$3,GDPrevVols,VLOOKUP(Q183,GDmove_down2,2,FALSE),FALSE),HLOOKUP($H$3,GDPrevVols,VLOOKUP(Q183,GDmove_down2,2,FALSE),FALSE),HLOOKUP(E183,GDcorr,VLOOKUP(H183,CorMove,2,FALSE),FALSE),Q183-$AC$3,R183,$AI$5)*I183-AI183</f>
        <v>#N/A</v>
      </c>
      <c r="AE183" s="439" t="e">
        <f t="shared" si="54"/>
        <v>#N/A</v>
      </c>
      <c r="AF183" s="234" t="e">
        <f>_xll.xSPRDOPT(HLOOKUP($D$3,GDPrev,VLOOKUP(Q183,GDmove_down,2,FALSE),FALSE),HLOOKUP($E$3,GDPrev,VLOOKUP(Q183,GDmove_down,2,FALSE),FALSE),AJ183,VLOOKUP(H183,NGPREVPRICES,4,FALSE),HLOOKUP($H$3,GDVol,VLOOKUP(H183,move_down,2,FALSE),FALSE),HLOOKUP($H$3,GDVol,VLOOKUP(H183,move_down,2,FALSE),FALSE),HLOOKUP(E183,GDcorr,VLOOKUP(H183,CorMove,2,FALSE),FALSE),Q183-$AC$3,R183,$AI$5)*I183-AI183</f>
        <v>#N/A</v>
      </c>
      <c r="AG183" s="234" t="e">
        <f>_xll.xSPRDOPT(HLOOKUP($D$3,GDPrev,VLOOKUP(Q183,GDmove_down,2,FALSE),FALSE),HLOOKUP($E$3,GDPrev,VLOOKUP(Q183,GDmove_down,2,FALSE),FALSE),AJ183,VLOOKUP(H183,NGPREVPRICES,4,FALSE),HLOOKUP($H$3,GDPrevVols,VLOOKUP(Q183,GDmove_down2,2,FALSE),FALSE),HLOOKUP($H$3,GDPrevVols,VLOOKUP(Q183,GDmove_down2,2,FALSE),FALSE),HLOOKUP(E183,GDcorr,VLOOKUP(H183,CorMove,2,FALSE),FALSE),Q183-$C$3,R183,$AI$5)*I183-AI183</f>
        <v>#N/A</v>
      </c>
      <c r="AH183" s="234" t="e">
        <f t="shared" si="55"/>
        <v>#N/A</v>
      </c>
      <c r="AI183" s="234" t="e">
        <f>_xll.xSPRDOPT(HLOOKUP($D$3,GDPrev,VLOOKUP(Q183,GDmove_down,2,FALSE),FALSE),HLOOKUP($E$3,GDPrev,VLOOKUP(Q183,GDmove_down,2,FALSE),FALSE),AJ183,VLOOKUP(H183,NGPREVPRICES,4,FALSE),HLOOKUP($H$3,GDPrevVols,VLOOKUP(Q183,GDmove_down2,2,FALSE),FALSE),HLOOKUP($H$3,GDPrevVols,VLOOKUP(Q183,GDmove_down2,2,FALSE),FALSE),HLOOKUP(E183,GDcorr,VLOOKUP(H183,CorMove,2,FALSE),FALSE),Q183-$AC$3,R183,$AI$5)*I183</f>
        <v>#N/A</v>
      </c>
      <c r="AJ183" s="235" t="e">
        <f t="shared" si="56"/>
        <v>#N/A</v>
      </c>
      <c r="AK183" s="234"/>
      <c r="AL183" t="str">
        <f t="shared" si="57"/>
        <v>36678Curve Shift/Gamma</v>
      </c>
      <c r="AM183" t="str">
        <f t="shared" si="65"/>
        <v>36678Rho</v>
      </c>
      <c r="AN183" t="str">
        <f t="shared" si="66"/>
        <v>36678Drift</v>
      </c>
      <c r="AO183" t="str">
        <f t="shared" si="67"/>
        <v>36678Vega</v>
      </c>
      <c r="AP183" t="str">
        <f t="shared" si="68"/>
        <v>36678Theta</v>
      </c>
      <c r="BG183" s="441">
        <v>41852</v>
      </c>
      <c r="BH183">
        <v>0.98499999999999999</v>
      </c>
      <c r="BJ183" s="441">
        <v>41852</v>
      </c>
      <c r="BK183">
        <v>180</v>
      </c>
    </row>
    <row r="184" spans="1:63" ht="12" customHeight="1" x14ac:dyDescent="0.25">
      <c r="A184" s="382" t="s">
        <v>279</v>
      </c>
      <c r="B184" s="155" t="s">
        <v>250</v>
      </c>
      <c r="C184" s="155" t="s">
        <v>364</v>
      </c>
      <c r="D184" s="155" t="s">
        <v>190</v>
      </c>
      <c r="E184" s="4" t="s">
        <v>237</v>
      </c>
      <c r="F184" s="155" t="s">
        <v>20</v>
      </c>
      <c r="G184" s="155" t="s">
        <v>21</v>
      </c>
      <c r="H184" s="354">
        <v>36678</v>
      </c>
      <c r="I184" s="156">
        <v>-333333</v>
      </c>
      <c r="J184" s="7">
        <v>0.46</v>
      </c>
      <c r="K184" s="53">
        <f t="shared" si="62"/>
        <v>6.4749999999999996</v>
      </c>
      <c r="L184" s="53">
        <f t="shared" si="63"/>
        <v>3.1949999999999998</v>
      </c>
      <c r="M184" s="157">
        <v>1</v>
      </c>
      <c r="N184" s="4">
        <v>0.51500000000000001</v>
      </c>
      <c r="O184" s="4">
        <v>0.51500000000000001</v>
      </c>
      <c r="P184" s="9" t="e">
        <f t="shared" si="64"/>
        <v>#N/A</v>
      </c>
      <c r="Q184" s="5">
        <v>36703</v>
      </c>
      <c r="R184" s="4">
        <f t="shared" si="70"/>
        <v>1</v>
      </c>
      <c r="S184" s="158" t="e">
        <f>_xll.xSPRDOPT($K184,$L184,$J184,$M184,$N184,$O184,$P184,$Q184-$C$3,$R184,0)</f>
        <v>#N/A</v>
      </c>
      <c r="T184" s="159" t="e">
        <f>_xll.xSPRDOPT($K184,$L184,$J184,$M184,$N184,$O184,$P184,$Q184-$C$3,$R184,1)*I184</f>
        <v>#N/A</v>
      </c>
      <c r="U184" s="160">
        <v>-94999.904999999882</v>
      </c>
      <c r="V184" s="159" t="e">
        <f>_xll.xSPRDOPT($K184,$L184,$J184,$M184,$N184,$O184,$P184,$Q184-$C$3,$R184,2)*I184</f>
        <v>#N/A</v>
      </c>
      <c r="W184" s="159" t="e">
        <f t="shared" si="71"/>
        <v>#N/A</v>
      </c>
      <c r="X184" s="51" t="str">
        <f t="shared" si="72"/>
        <v>36678IF-ELPO/SJ</v>
      </c>
      <c r="Y184" s="418">
        <f t="shared" si="73"/>
        <v>-33.333300000000001</v>
      </c>
      <c r="Z184" s="51"/>
      <c r="AB184" s="141">
        <f t="shared" si="53"/>
        <v>36678</v>
      </c>
      <c r="AC184" s="234" t="e">
        <f>_xll.xSPRDOPT(HLOOKUP($D$3,GDPRICES,VLOOKUP(Q184,GDmove_down,2,FALSE),FALSE),HLOOKUP($E$3,GDPRICES,VLOOKUP(Q184,GDmove_down,2,FALSE),FALSE),J184,VLOOKUP(H184,NGPREVPRICES,4,FALSE),HLOOKUP($H$3,GDPrevVols,VLOOKUP(Q184,GDmove_down2,2,FALSE),FALSE),HLOOKUP($H$3,GDPrevVols,VLOOKUP(Q184,GDmove_down2,2,FALSE),FALSE),HLOOKUP(E184,GDcorr,VLOOKUP(H184,CorMove,2,FALSE),FALSE),Q184-$AC$3,R184,$AC$5)*I184-AI184</f>
        <v>#N/A</v>
      </c>
      <c r="AD184" s="234" t="e">
        <f>_xll.xSPRDOPT(HLOOKUP($D$3,GDPrev,VLOOKUP(Q184,GDmove_down,2,FALSE),FALSE),HLOOKUP($E$3,GDPrev,VLOOKUP(Q184,GDmove_down,2,FALSE),FALSE),AJ184,VLOOKUP(H184,NGPrices,4,FALSE),HLOOKUP($H$3,GDPrevVols,VLOOKUP(Q184,GDmove_down2,2,FALSE),FALSE),HLOOKUP($H$3,GDPrevVols,VLOOKUP(Q184,GDmove_down2,2,FALSE),FALSE),HLOOKUP(E184,GDcorr,VLOOKUP(H184,CorMove,2,FALSE),FALSE),Q184-$AC$3,R184,$AI$5)*I184-AI184</f>
        <v>#N/A</v>
      </c>
      <c r="AE184" s="439" t="e">
        <f t="shared" si="54"/>
        <v>#N/A</v>
      </c>
      <c r="AF184" s="234" t="e">
        <f>_xll.xSPRDOPT(HLOOKUP($D$3,GDPrev,VLOOKUP(Q184,GDmove_down,2,FALSE),FALSE),HLOOKUP($E$3,GDPrev,VLOOKUP(Q184,GDmove_down,2,FALSE),FALSE),AJ184,VLOOKUP(H184,NGPREVPRICES,4,FALSE),HLOOKUP($H$3,GDVol,VLOOKUP(H184,move_down,2,FALSE),FALSE),HLOOKUP($H$3,GDVol,VLOOKUP(H184,move_down,2,FALSE),FALSE),HLOOKUP(E184,GDcorr,VLOOKUP(H184,CorMove,2,FALSE),FALSE),Q184-$AC$3,R184,$AI$5)*I184-AI184</f>
        <v>#N/A</v>
      </c>
      <c r="AG184" s="234" t="e">
        <f>_xll.xSPRDOPT(HLOOKUP($D$3,GDPrev,VLOOKUP(Q184,GDmove_down,2,FALSE),FALSE),HLOOKUP($E$3,GDPrev,VLOOKUP(Q184,GDmove_down,2,FALSE),FALSE),AJ184,VLOOKUP(H184,NGPREVPRICES,4,FALSE),HLOOKUP($H$3,GDPrevVols,VLOOKUP(Q184,GDmove_down2,2,FALSE),FALSE),HLOOKUP($H$3,GDPrevVols,VLOOKUP(Q184,GDmove_down2,2,FALSE),FALSE),HLOOKUP(E184,GDcorr,VLOOKUP(H184,CorMove,2,FALSE),FALSE),Q184-$C$3,R184,$AI$5)*I184-AI184</f>
        <v>#N/A</v>
      </c>
      <c r="AH184" s="234" t="e">
        <f t="shared" si="55"/>
        <v>#N/A</v>
      </c>
      <c r="AI184" s="234" t="e">
        <f>_xll.xSPRDOPT(HLOOKUP($D$3,GDPrev,VLOOKUP(Q184,GDmove_down,2,FALSE),FALSE),HLOOKUP($E$3,GDPrev,VLOOKUP(Q184,GDmove_down,2,FALSE),FALSE),AJ184,VLOOKUP(H184,NGPREVPRICES,4,FALSE),HLOOKUP($H$3,GDPrevVols,VLOOKUP(Q184,GDmove_down2,2,FALSE),FALSE),HLOOKUP($H$3,GDPrevVols,VLOOKUP(Q184,GDmove_down2,2,FALSE),FALSE),HLOOKUP(E184,GDcorr,VLOOKUP(H184,CorMove,2,FALSE),FALSE),Q184-$AC$3,R184,$AI$5)*I184</f>
        <v>#N/A</v>
      </c>
      <c r="AJ184" s="235" t="e">
        <f t="shared" si="56"/>
        <v>#N/A</v>
      </c>
      <c r="AK184" s="234"/>
      <c r="AL184" t="str">
        <f t="shared" si="57"/>
        <v>36678Curve Shift/Gamma</v>
      </c>
      <c r="AM184" t="str">
        <f t="shared" si="65"/>
        <v>36678Rho</v>
      </c>
      <c r="AN184" t="str">
        <f t="shared" si="66"/>
        <v>36678Drift</v>
      </c>
      <c r="AO184" t="str">
        <f t="shared" si="67"/>
        <v>36678Vega</v>
      </c>
      <c r="AP184" t="str">
        <f t="shared" si="68"/>
        <v>36678Theta</v>
      </c>
      <c r="BG184" s="441">
        <v>41883</v>
      </c>
      <c r="BH184">
        <v>0.98499999999999999</v>
      </c>
      <c r="BJ184" s="441">
        <v>41883</v>
      </c>
      <c r="BK184">
        <v>181</v>
      </c>
    </row>
    <row r="185" spans="1:63" ht="12" customHeight="1" x14ac:dyDescent="0.25">
      <c r="A185" s="384" t="s">
        <v>268</v>
      </c>
      <c r="B185" s="155" t="s">
        <v>250</v>
      </c>
      <c r="C185" s="155" t="s">
        <v>387</v>
      </c>
      <c r="D185" s="155" t="s">
        <v>190</v>
      </c>
      <c r="E185" s="4" t="s">
        <v>237</v>
      </c>
      <c r="F185" s="155" t="s">
        <v>20</v>
      </c>
      <c r="G185" s="155" t="s">
        <v>21</v>
      </c>
      <c r="H185" s="354">
        <v>36678</v>
      </c>
      <c r="I185" s="156">
        <v>-10000</v>
      </c>
      <c r="J185" s="7">
        <v>0.46</v>
      </c>
      <c r="K185" s="53">
        <f t="shared" si="62"/>
        <v>6.4749999999999996</v>
      </c>
      <c r="L185" s="53">
        <f t="shared" si="63"/>
        <v>3.1949999999999998</v>
      </c>
      <c r="M185" s="157">
        <v>1</v>
      </c>
      <c r="N185" s="4">
        <v>0.51500000000000001</v>
      </c>
      <c r="O185" s="4">
        <v>0.51500000000000001</v>
      </c>
      <c r="P185" s="9" t="e">
        <f t="shared" si="64"/>
        <v>#N/A</v>
      </c>
      <c r="Q185" s="5">
        <v>36703</v>
      </c>
      <c r="R185" s="4">
        <f t="shared" si="70"/>
        <v>1</v>
      </c>
      <c r="S185" s="158" t="e">
        <f>_xll.xSPRDOPT($K185,$L185,$J185,$M185,$N185,$O185,$P185,$Q185-$C$3,$R185,0)</f>
        <v>#N/A</v>
      </c>
      <c r="T185" s="159" t="e">
        <f>_xll.xSPRDOPT($K185,$L185,$J185,$M185,$N185,$O185,$P185,$Q185-$C$3,$R185,1)*I185</f>
        <v>#N/A</v>
      </c>
      <c r="U185" s="160">
        <v>-2850</v>
      </c>
      <c r="V185" s="159" t="e">
        <f>_xll.xSPRDOPT($K185,$L185,$J185,$M185,$N185,$O185,$P185,$Q185-$C$3,$R185,2)*I185</f>
        <v>#N/A</v>
      </c>
      <c r="W185" s="159" t="e">
        <f t="shared" si="71"/>
        <v>#N/A</v>
      </c>
      <c r="X185" s="51" t="str">
        <f t="shared" si="72"/>
        <v>36678IF-ELPO/SJ</v>
      </c>
      <c r="Y185" s="418">
        <f t="shared" si="73"/>
        <v>-1</v>
      </c>
      <c r="Z185" s="51"/>
      <c r="AB185" s="141">
        <f t="shared" si="53"/>
        <v>36678</v>
      </c>
      <c r="AC185" s="234" t="e">
        <f>_xll.xSPRDOPT(HLOOKUP($D$3,GDPRICES,VLOOKUP(Q185,GDmove_down,2,FALSE),FALSE),HLOOKUP($E$3,GDPRICES,VLOOKUP(Q185,GDmove_down,2,FALSE),FALSE),J185,VLOOKUP(H185,NGPREVPRICES,4,FALSE),HLOOKUP($H$3,GDPrevVols,VLOOKUP(Q185,GDmove_down2,2,FALSE),FALSE),HLOOKUP($H$3,GDPrevVols,VLOOKUP(Q185,GDmove_down2,2,FALSE),FALSE),HLOOKUP(E185,GDcorr,VLOOKUP(H185,CorMove,2,FALSE),FALSE),Q185-$AC$3,R185,$AC$5)*I185-AI185</f>
        <v>#N/A</v>
      </c>
      <c r="AD185" s="234" t="e">
        <f>_xll.xSPRDOPT(HLOOKUP($D$3,GDPrev,VLOOKUP(Q185,GDmove_down,2,FALSE),FALSE),HLOOKUP($E$3,GDPrev,VLOOKUP(Q185,GDmove_down,2,FALSE),FALSE),AJ185,VLOOKUP(H185,NGPrices,4,FALSE),HLOOKUP($H$3,GDPrevVols,VLOOKUP(Q185,GDmove_down2,2,FALSE),FALSE),HLOOKUP($H$3,GDPrevVols,VLOOKUP(Q185,GDmove_down2,2,FALSE),FALSE),HLOOKUP(E185,GDcorr,VLOOKUP(H185,CorMove,2,FALSE),FALSE),Q185-$AC$3,R185,$AI$5)*I185-AI185</f>
        <v>#N/A</v>
      </c>
      <c r="AE185" s="439" t="e">
        <f t="shared" si="54"/>
        <v>#N/A</v>
      </c>
      <c r="AF185" s="234" t="e">
        <f>_xll.xSPRDOPT(HLOOKUP($D$3,GDPrev,VLOOKUP(Q185,GDmove_down,2,FALSE),FALSE),HLOOKUP($E$3,GDPrev,VLOOKUP(Q185,GDmove_down,2,FALSE),FALSE),AJ185,VLOOKUP(H185,NGPREVPRICES,4,FALSE),HLOOKUP($H$3,GDVol,VLOOKUP(H185,move_down,2,FALSE),FALSE),HLOOKUP($H$3,GDVol,VLOOKUP(H185,move_down,2,FALSE),FALSE),HLOOKUP(E185,GDcorr,VLOOKUP(H185,CorMove,2,FALSE),FALSE),Q185-$AC$3,R185,$AI$5)*I185-AI185</f>
        <v>#N/A</v>
      </c>
      <c r="AG185" s="234" t="e">
        <f>_xll.xSPRDOPT(HLOOKUP($D$3,GDPrev,VLOOKUP(Q185,GDmove_down,2,FALSE),FALSE),HLOOKUP($E$3,GDPrev,VLOOKUP(Q185,GDmove_down,2,FALSE),FALSE),AJ185,VLOOKUP(H185,NGPREVPRICES,4,FALSE),HLOOKUP($H$3,GDPrevVols,VLOOKUP(Q185,GDmove_down2,2,FALSE),FALSE),HLOOKUP($H$3,GDPrevVols,VLOOKUP(Q185,GDmove_down2,2,FALSE),FALSE),HLOOKUP(E185,GDcorr,VLOOKUP(H185,CorMove,2,FALSE),FALSE),Q185-$C$3,R185,$AI$5)*I185-AI185</f>
        <v>#N/A</v>
      </c>
      <c r="AH185" s="234" t="e">
        <f t="shared" si="55"/>
        <v>#N/A</v>
      </c>
      <c r="AI185" s="234" t="e">
        <f>_xll.xSPRDOPT(HLOOKUP($D$3,GDPrev,VLOOKUP(Q185,GDmove_down,2,FALSE),FALSE),HLOOKUP($E$3,GDPrev,VLOOKUP(Q185,GDmove_down,2,FALSE),FALSE),AJ185,VLOOKUP(H185,NGPREVPRICES,4,FALSE),HLOOKUP($H$3,GDPrevVols,VLOOKUP(Q185,GDmove_down2,2,FALSE),FALSE),HLOOKUP($H$3,GDPrevVols,VLOOKUP(Q185,GDmove_down2,2,FALSE),FALSE),HLOOKUP(E185,GDcorr,VLOOKUP(H185,CorMove,2,FALSE),FALSE),Q185-$AC$3,R185,$AI$5)*I185</f>
        <v>#N/A</v>
      </c>
      <c r="AJ185" s="235" t="e">
        <f t="shared" si="56"/>
        <v>#N/A</v>
      </c>
      <c r="AK185" s="234"/>
      <c r="AL185" t="str">
        <f t="shared" si="57"/>
        <v>36678Curve Shift/Gamma</v>
      </c>
      <c r="AM185" t="str">
        <f t="shared" si="65"/>
        <v>36678Rho</v>
      </c>
      <c r="AN185" t="str">
        <f t="shared" si="66"/>
        <v>36678Drift</v>
      </c>
      <c r="AO185" t="str">
        <f t="shared" si="67"/>
        <v>36678Vega</v>
      </c>
      <c r="AP185" t="str">
        <f t="shared" si="68"/>
        <v>36678Theta</v>
      </c>
      <c r="BG185" s="441">
        <v>41913</v>
      </c>
      <c r="BH185">
        <v>0.98499999999999999</v>
      </c>
      <c r="BJ185" s="441">
        <v>41913</v>
      </c>
      <c r="BK185">
        <v>182</v>
      </c>
    </row>
    <row r="186" spans="1:63" ht="12" customHeight="1" x14ac:dyDescent="0.25">
      <c r="A186" s="384" t="s">
        <v>279</v>
      </c>
      <c r="B186" s="155" t="s">
        <v>250</v>
      </c>
      <c r="C186" s="155" t="s">
        <v>388</v>
      </c>
      <c r="D186" s="155" t="s">
        <v>190</v>
      </c>
      <c r="E186" s="4" t="s">
        <v>237</v>
      </c>
      <c r="F186" s="155" t="s">
        <v>20</v>
      </c>
      <c r="G186" s="155" t="s">
        <v>21</v>
      </c>
      <c r="H186" s="354">
        <v>36678</v>
      </c>
      <c r="I186" s="156">
        <v>50000</v>
      </c>
      <c r="J186" s="7">
        <v>0.46</v>
      </c>
      <c r="K186" s="53">
        <f t="shared" si="62"/>
        <v>6.4749999999999996</v>
      </c>
      <c r="L186" s="53">
        <f t="shared" si="63"/>
        <v>3.1949999999999998</v>
      </c>
      <c r="M186" s="157">
        <v>1</v>
      </c>
      <c r="N186" s="4">
        <v>0.51500000000000001</v>
      </c>
      <c r="O186" s="4">
        <v>0.51500000000000001</v>
      </c>
      <c r="P186" s="9" t="e">
        <f t="shared" si="64"/>
        <v>#N/A</v>
      </c>
      <c r="Q186" s="5">
        <v>36703</v>
      </c>
      <c r="R186" s="4">
        <f t="shared" si="70"/>
        <v>1</v>
      </c>
      <c r="S186" s="158" t="e">
        <f>_xll.xSPRDOPT($K186,$L186,$J186,$M186,$N186,$O186,$P186,$Q186-$C$3,$R186,0)</f>
        <v>#N/A</v>
      </c>
      <c r="T186" s="159" t="e">
        <f>_xll.xSPRDOPT($K186,$L186,$J186,$M186,$N186,$O186,$P186,$Q186-$C$3,$R186,1)*I186</f>
        <v>#N/A</v>
      </c>
      <c r="U186" s="160">
        <v>14250</v>
      </c>
      <c r="V186" s="159" t="e">
        <f>_xll.xSPRDOPT($K186,$L186,$J186,$M186,$N186,$O186,$P186,$Q186-$C$3,$R186,2)*I186</f>
        <v>#N/A</v>
      </c>
      <c r="W186" s="159" t="e">
        <f t="shared" si="71"/>
        <v>#N/A</v>
      </c>
      <c r="X186" s="51" t="str">
        <f t="shared" si="72"/>
        <v>36678IF-ELPO/SJ</v>
      </c>
      <c r="Y186" s="418">
        <f t="shared" si="73"/>
        <v>5</v>
      </c>
      <c r="Z186" s="51"/>
      <c r="AB186" s="141">
        <f t="shared" si="53"/>
        <v>36678</v>
      </c>
      <c r="AC186" s="234" t="e">
        <f>_xll.xSPRDOPT(HLOOKUP($D$3,GDPRICES,VLOOKUP(Q186,GDmove_down,2,FALSE),FALSE),HLOOKUP($E$3,GDPRICES,VLOOKUP(Q186,GDmove_down,2,FALSE),FALSE),J186,VLOOKUP(H186,NGPREVPRICES,4,FALSE),HLOOKUP($H$3,GDPrevVols,VLOOKUP(Q186,GDmove_down2,2,FALSE),FALSE),HLOOKUP($H$3,GDPrevVols,VLOOKUP(Q186,GDmove_down2,2,FALSE),FALSE),HLOOKUP(E186,GDcorr,VLOOKUP(H186,CorMove,2,FALSE),FALSE),Q186-$AC$3,R186,$AC$5)*I186-AI186</f>
        <v>#N/A</v>
      </c>
      <c r="AD186" s="234" t="e">
        <f>_xll.xSPRDOPT(HLOOKUP($D$3,GDPrev,VLOOKUP(Q186,GDmove_down,2,FALSE),FALSE),HLOOKUP($E$3,GDPrev,VLOOKUP(Q186,GDmove_down,2,FALSE),FALSE),AJ186,VLOOKUP(H186,NGPrices,4,FALSE),HLOOKUP($H$3,GDPrevVols,VLOOKUP(Q186,GDmove_down2,2,FALSE),FALSE),HLOOKUP($H$3,GDPrevVols,VLOOKUP(Q186,GDmove_down2,2,FALSE),FALSE),HLOOKUP(E186,GDcorr,VLOOKUP(H186,CorMove,2,FALSE),FALSE),Q186-$AC$3,R186,$AI$5)*I186-AI186</f>
        <v>#N/A</v>
      </c>
      <c r="AE186" s="439" t="e">
        <f t="shared" si="54"/>
        <v>#N/A</v>
      </c>
      <c r="AF186" s="234" t="e">
        <f>_xll.xSPRDOPT(HLOOKUP($D$3,GDPrev,VLOOKUP(Q186,GDmove_down,2,FALSE),FALSE),HLOOKUP($E$3,GDPrev,VLOOKUP(Q186,GDmove_down,2,FALSE),FALSE),AJ186,VLOOKUP(H186,NGPREVPRICES,4,FALSE),HLOOKUP($H$3,GDVol,VLOOKUP(H186,move_down,2,FALSE),FALSE),HLOOKUP($H$3,GDVol,VLOOKUP(H186,move_down,2,FALSE),FALSE),HLOOKUP(E186,GDcorr,VLOOKUP(H186,CorMove,2,FALSE),FALSE),Q186-$AC$3,R186,$AI$5)*I186-AI186</f>
        <v>#N/A</v>
      </c>
      <c r="AG186" s="234" t="e">
        <f>_xll.xSPRDOPT(HLOOKUP($D$3,GDPrev,VLOOKUP(Q186,GDmove_down,2,FALSE),FALSE),HLOOKUP($E$3,GDPrev,VLOOKUP(Q186,GDmove_down,2,FALSE),FALSE),AJ186,VLOOKUP(H186,NGPREVPRICES,4,FALSE),HLOOKUP($H$3,GDPrevVols,VLOOKUP(Q186,GDmove_down2,2,FALSE),FALSE),HLOOKUP($H$3,GDPrevVols,VLOOKUP(Q186,GDmove_down2,2,FALSE),FALSE),HLOOKUP(E186,GDcorr,VLOOKUP(H186,CorMove,2,FALSE),FALSE),Q186-$C$3,R186,$AI$5)*I186-AI186</f>
        <v>#N/A</v>
      </c>
      <c r="AH186" s="234" t="e">
        <f t="shared" si="55"/>
        <v>#N/A</v>
      </c>
      <c r="AI186" s="234" t="e">
        <f>_xll.xSPRDOPT(HLOOKUP($D$3,GDPrev,VLOOKUP(Q186,GDmove_down,2,FALSE),FALSE),HLOOKUP($E$3,GDPrev,VLOOKUP(Q186,GDmove_down,2,FALSE),FALSE),AJ186,VLOOKUP(H186,NGPREVPRICES,4,FALSE),HLOOKUP($H$3,GDPrevVols,VLOOKUP(Q186,GDmove_down2,2,FALSE),FALSE),HLOOKUP($H$3,GDPrevVols,VLOOKUP(Q186,GDmove_down2,2,FALSE),FALSE),HLOOKUP(E186,GDcorr,VLOOKUP(H186,CorMove,2,FALSE),FALSE),Q186-$AC$3,R186,$AI$5)*I186</f>
        <v>#N/A</v>
      </c>
      <c r="AJ186" s="235" t="e">
        <f t="shared" si="56"/>
        <v>#N/A</v>
      </c>
      <c r="AK186" s="234"/>
      <c r="AL186" t="str">
        <f t="shared" si="57"/>
        <v>36678Curve Shift/Gamma</v>
      </c>
      <c r="AM186" t="str">
        <f t="shared" si="65"/>
        <v>36678Rho</v>
      </c>
      <c r="AN186" t="str">
        <f t="shared" si="66"/>
        <v>36678Drift</v>
      </c>
      <c r="AO186" t="str">
        <f t="shared" si="67"/>
        <v>36678Vega</v>
      </c>
      <c r="AP186" t="str">
        <f t="shared" si="68"/>
        <v>36678Theta</v>
      </c>
      <c r="BG186" s="441">
        <v>41944</v>
      </c>
      <c r="BH186">
        <v>0.97048500000000038</v>
      </c>
      <c r="BJ186" s="441">
        <v>41944</v>
      </c>
      <c r="BK186">
        <v>183</v>
      </c>
    </row>
    <row r="187" spans="1:63" ht="12" customHeight="1" x14ac:dyDescent="0.25">
      <c r="A187" s="384" t="s">
        <v>279</v>
      </c>
      <c r="B187" s="155" t="s">
        <v>250</v>
      </c>
      <c r="C187" s="155" t="s">
        <v>389</v>
      </c>
      <c r="D187" s="155" t="s">
        <v>190</v>
      </c>
      <c r="E187" s="4" t="s">
        <v>237</v>
      </c>
      <c r="F187" s="155" t="s">
        <v>20</v>
      </c>
      <c r="G187" s="155" t="s">
        <v>21</v>
      </c>
      <c r="H187" s="354">
        <v>36678</v>
      </c>
      <c r="I187" s="156">
        <v>50000</v>
      </c>
      <c r="J187" s="7">
        <v>0.46</v>
      </c>
      <c r="K187" s="53">
        <f t="shared" ref="K187:K216" si="74">HLOOKUP($D$3,GDPRICES,VLOOKUP(Q187,GDmove_down,2,FALSE),FALSE)</f>
        <v>6.4749999999999996</v>
      </c>
      <c r="L187" s="53">
        <f t="shared" ref="L187:L216" si="75">HLOOKUP($E$3,GDPRICES,VLOOKUP(Q187,GDmove_down,2,FALSE),FALSE)</f>
        <v>3.1949999999999998</v>
      </c>
      <c r="M187" s="157">
        <v>1</v>
      </c>
      <c r="N187" s="4">
        <v>0.51500000000000001</v>
      </c>
      <c r="O187" s="4">
        <v>0.51500000000000001</v>
      </c>
      <c r="P187" s="9" t="e">
        <f t="shared" si="64"/>
        <v>#N/A</v>
      </c>
      <c r="Q187" s="5">
        <v>36703</v>
      </c>
      <c r="R187" s="4">
        <f>IF(G187="P",0,1)</f>
        <v>1</v>
      </c>
      <c r="S187" s="158" t="e">
        <f>_xll.xSPRDOPT($K187,$L187,$J187,$M187,$N187,$O187,$P187,$Q187-$C$3,$R187,0)</f>
        <v>#N/A</v>
      </c>
      <c r="T187" s="159" t="e">
        <f>_xll.xSPRDOPT($K187,$L187,$J187,$M187,$N187,$O187,$P187,$Q187-$C$3,$R187,1)*I187</f>
        <v>#N/A</v>
      </c>
      <c r="U187" s="160">
        <v>14250</v>
      </c>
      <c r="V187" s="159" t="e">
        <f>_xll.xSPRDOPT($K187,$L187,$J187,$M187,$N187,$O187,$P187,$Q187-$C$3,$R187,2)*I187</f>
        <v>#N/A</v>
      </c>
      <c r="W187" s="159" t="e">
        <f>+V187+T187</f>
        <v>#N/A</v>
      </c>
      <c r="X187" s="51" t="str">
        <f>CONCATENATE(H187,E187)</f>
        <v>36678IF-ELPO/SJ</v>
      </c>
      <c r="Y187" s="418">
        <f>I187/10000</f>
        <v>5</v>
      </c>
      <c r="Z187" s="51"/>
      <c r="AB187" s="141"/>
      <c r="AC187" s="234"/>
      <c r="AD187" s="234"/>
      <c r="AE187" s="439"/>
      <c r="AF187" s="234"/>
      <c r="AG187" s="234"/>
      <c r="AH187" s="234"/>
      <c r="AI187" s="234"/>
      <c r="AJ187" s="235"/>
      <c r="BG187" s="441">
        <v>41974</v>
      </c>
      <c r="BH187">
        <v>0.97048500000000038</v>
      </c>
      <c r="BJ187" s="441">
        <v>41974</v>
      </c>
      <c r="BK187">
        <v>184</v>
      </c>
    </row>
    <row r="188" spans="1:63" ht="12" customHeight="1" x14ac:dyDescent="0.25">
      <c r="A188" s="384" t="s">
        <v>279</v>
      </c>
      <c r="B188" s="155" t="s">
        <v>250</v>
      </c>
      <c r="C188" s="155" t="s">
        <v>398</v>
      </c>
      <c r="D188" s="155" t="s">
        <v>190</v>
      </c>
      <c r="E188" s="4" t="s">
        <v>237</v>
      </c>
      <c r="F188" s="155" t="s">
        <v>20</v>
      </c>
      <c r="G188" s="155" t="s">
        <v>21</v>
      </c>
      <c r="H188" s="354">
        <v>36678</v>
      </c>
      <c r="I188" s="156">
        <v>-10000</v>
      </c>
      <c r="J188" s="7">
        <v>0.46</v>
      </c>
      <c r="K188" s="53">
        <f t="shared" si="74"/>
        <v>6.4749999999999996</v>
      </c>
      <c r="L188" s="53">
        <f t="shared" si="75"/>
        <v>3.1949999999999998</v>
      </c>
      <c r="M188" s="157">
        <v>1</v>
      </c>
      <c r="N188" s="4">
        <v>0.51500000000000001</v>
      </c>
      <c r="O188" s="4">
        <v>0.51500000000000001</v>
      </c>
      <c r="P188" s="9" t="e">
        <f t="shared" si="64"/>
        <v>#N/A</v>
      </c>
      <c r="Q188" s="5">
        <v>36703</v>
      </c>
      <c r="R188" s="4">
        <f t="shared" ref="R188:R216" si="76">IF(G188="P",0,1)</f>
        <v>1</v>
      </c>
      <c r="S188" s="158" t="e">
        <f>_xll.xSPRDOPT($K188,$L188,$J188,$M188,$N188,$O188,$P188,$Q188-$C$3,$R188,0)</f>
        <v>#N/A</v>
      </c>
      <c r="T188" s="159" t="e">
        <f>_xll.xSPRDOPT($K188,$L188,$J188,$M188,$N188,$O188,$P188,$Q188-$C$3,$R188,1)*I188</f>
        <v>#N/A</v>
      </c>
      <c r="U188" s="160">
        <v>-2850</v>
      </c>
      <c r="V188" s="159" t="e">
        <f>_xll.xSPRDOPT($K188,$L188,$J188,$M188,$N188,$O188,$P188,$Q188-$C$3,$R188,2)*I188</f>
        <v>#N/A</v>
      </c>
      <c r="W188" s="159" t="e">
        <f t="shared" ref="W188:W216" si="77">+V188+T188</f>
        <v>#N/A</v>
      </c>
      <c r="X188" s="51" t="str">
        <f t="shared" ref="X188:X216" si="78">CONCATENATE(H188,E188)</f>
        <v>36678IF-ELPO/SJ</v>
      </c>
      <c r="Y188" s="418">
        <f t="shared" ref="Y188:Y216" si="79">I188/10000</f>
        <v>-1</v>
      </c>
      <c r="AB188" s="141"/>
      <c r="AC188" s="234"/>
      <c r="AD188" s="234"/>
      <c r="AE188" s="439"/>
      <c r="AF188" s="234"/>
      <c r="AG188" s="234"/>
      <c r="AH188" s="234"/>
      <c r="AI188" s="234"/>
      <c r="AJ188" s="235"/>
      <c r="BG188" s="441">
        <v>42005</v>
      </c>
      <c r="BH188">
        <v>0.98499999999999999</v>
      </c>
      <c r="BJ188" s="441">
        <v>42005</v>
      </c>
      <c r="BK188">
        <v>185</v>
      </c>
    </row>
    <row r="189" spans="1:63" ht="12" customHeight="1" x14ac:dyDescent="0.25">
      <c r="A189" s="382" t="s">
        <v>279</v>
      </c>
      <c r="B189" s="155" t="s">
        <v>250</v>
      </c>
      <c r="C189" s="155" t="s">
        <v>360</v>
      </c>
      <c r="D189" s="155" t="s">
        <v>190</v>
      </c>
      <c r="E189" s="4" t="s">
        <v>237</v>
      </c>
      <c r="F189" s="155" t="s">
        <v>20</v>
      </c>
      <c r="G189" s="155" t="s">
        <v>21</v>
      </c>
      <c r="H189" s="354">
        <v>36678</v>
      </c>
      <c r="I189" s="156">
        <v>-50000</v>
      </c>
      <c r="J189" s="7">
        <v>0.46</v>
      </c>
      <c r="K189" s="53">
        <f t="shared" si="74"/>
        <v>6.4749999999999996</v>
      </c>
      <c r="L189" s="53">
        <f t="shared" si="75"/>
        <v>3.1949999999999998</v>
      </c>
      <c r="M189" s="157">
        <v>1</v>
      </c>
      <c r="N189" s="4">
        <v>0.51500000000000001</v>
      </c>
      <c r="O189" s="4">
        <v>0.51500000000000001</v>
      </c>
      <c r="P189" s="9" t="e">
        <f t="shared" si="64"/>
        <v>#N/A</v>
      </c>
      <c r="Q189" s="5">
        <v>36704</v>
      </c>
      <c r="R189" s="4">
        <f t="shared" si="76"/>
        <v>1</v>
      </c>
      <c r="S189" s="158" t="e">
        <f>_xll.xSPRDOPT($K189,$L189,$J189,$M189,$N189,$O189,$P189,$Q189-$C$3,$R189,0)</f>
        <v>#N/A</v>
      </c>
      <c r="T189" s="159" t="e">
        <f>_xll.xSPRDOPT($K189,$L189,$J189,$M189,$N189,$O189,$P189,$Q189-$C$3,$R189,1)*I189</f>
        <v>#N/A</v>
      </c>
      <c r="U189" s="160">
        <v>-16250</v>
      </c>
      <c r="V189" s="159" t="e">
        <f>_xll.xSPRDOPT($K189,$L189,$J189,$M189,$N189,$O189,$P189,$Q189-$C$3,$R189,2)*I189</f>
        <v>#N/A</v>
      </c>
      <c r="W189" s="159" t="e">
        <f t="shared" si="77"/>
        <v>#N/A</v>
      </c>
      <c r="X189" s="51" t="str">
        <f t="shared" si="78"/>
        <v>36678IF-ELPO/SJ</v>
      </c>
      <c r="Y189" s="418">
        <f t="shared" si="79"/>
        <v>-5</v>
      </c>
      <c r="AB189" s="141"/>
      <c r="AC189" s="234"/>
      <c r="AD189" s="234"/>
      <c r="AE189" s="439"/>
      <c r="AF189" s="234"/>
      <c r="AG189" s="234"/>
      <c r="AH189" s="234"/>
      <c r="AI189" s="234"/>
      <c r="AJ189" s="235"/>
      <c r="BG189" s="441">
        <v>42036</v>
      </c>
      <c r="BH189">
        <v>0.98499999999999999</v>
      </c>
      <c r="BJ189" s="441">
        <v>42036</v>
      </c>
      <c r="BK189">
        <v>186</v>
      </c>
    </row>
    <row r="190" spans="1:63" ht="12" customHeight="1" x14ac:dyDescent="0.25">
      <c r="A190" s="382" t="s">
        <v>279</v>
      </c>
      <c r="B190" s="155" t="s">
        <v>250</v>
      </c>
      <c r="C190" s="155" t="s">
        <v>361</v>
      </c>
      <c r="D190" s="155" t="s">
        <v>190</v>
      </c>
      <c r="E190" s="4" t="s">
        <v>237</v>
      </c>
      <c r="F190" s="155" t="s">
        <v>20</v>
      </c>
      <c r="G190" s="155" t="s">
        <v>21</v>
      </c>
      <c r="H190" s="354">
        <v>36678</v>
      </c>
      <c r="I190" s="156">
        <v>10000</v>
      </c>
      <c r="J190" s="7">
        <v>0.46</v>
      </c>
      <c r="K190" s="53">
        <f t="shared" si="74"/>
        <v>6.4749999999999996</v>
      </c>
      <c r="L190" s="53">
        <f t="shared" si="75"/>
        <v>3.1949999999999998</v>
      </c>
      <c r="M190" s="157">
        <v>1</v>
      </c>
      <c r="N190" s="4">
        <v>0.51500000000000001</v>
      </c>
      <c r="O190" s="4">
        <v>0.51500000000000001</v>
      </c>
      <c r="P190" s="9" t="e">
        <f t="shared" si="64"/>
        <v>#N/A</v>
      </c>
      <c r="Q190" s="5">
        <v>36704</v>
      </c>
      <c r="R190" s="4">
        <f t="shared" si="76"/>
        <v>1</v>
      </c>
      <c r="S190" s="158" t="e">
        <f>_xll.xSPRDOPT($K190,$L190,$J190,$M190,$N190,$O190,$P190,$Q190-$C$3,$R190,0)</f>
        <v>#N/A</v>
      </c>
      <c r="T190" s="159" t="e">
        <f>_xll.xSPRDOPT($K190,$L190,$J190,$M190,$N190,$O190,$P190,$Q190-$C$3,$R190,1)*I190</f>
        <v>#N/A</v>
      </c>
      <c r="U190" s="160">
        <v>3250</v>
      </c>
      <c r="V190" s="159" t="e">
        <f>_xll.xSPRDOPT($K190,$L190,$J190,$M190,$N190,$O190,$P190,$Q190-$C$3,$R190,2)*I190</f>
        <v>#N/A</v>
      </c>
      <c r="W190" s="159" t="e">
        <f t="shared" si="77"/>
        <v>#N/A</v>
      </c>
      <c r="X190" s="51" t="str">
        <f t="shared" si="78"/>
        <v>36678IF-ELPO/SJ</v>
      </c>
      <c r="Y190" s="418">
        <f t="shared" si="79"/>
        <v>1</v>
      </c>
      <c r="AB190" s="141"/>
      <c r="AC190" s="234"/>
      <c r="AD190" s="234"/>
      <c r="AE190" s="439"/>
      <c r="AF190" s="234"/>
      <c r="AG190" s="234"/>
      <c r="AH190" s="234"/>
      <c r="AI190" s="234"/>
      <c r="AJ190" s="235"/>
      <c r="BG190" s="441">
        <v>42064</v>
      </c>
      <c r="BH190">
        <v>0.98499999999999999</v>
      </c>
      <c r="BJ190" s="441">
        <v>42064</v>
      </c>
      <c r="BK190">
        <v>187</v>
      </c>
    </row>
    <row r="191" spans="1:63" ht="12" customHeight="1" x14ac:dyDescent="0.25">
      <c r="A191" s="382" t="s">
        <v>279</v>
      </c>
      <c r="B191" s="155" t="s">
        <v>250</v>
      </c>
      <c r="C191" s="155" t="s">
        <v>364</v>
      </c>
      <c r="D191" s="155" t="s">
        <v>190</v>
      </c>
      <c r="E191" s="4" t="s">
        <v>237</v>
      </c>
      <c r="F191" s="155" t="s">
        <v>20</v>
      </c>
      <c r="G191" s="155" t="s">
        <v>21</v>
      </c>
      <c r="H191" s="354">
        <v>36678</v>
      </c>
      <c r="I191" s="156">
        <v>-333333</v>
      </c>
      <c r="J191" s="7">
        <v>0.46</v>
      </c>
      <c r="K191" s="53">
        <f t="shared" si="74"/>
        <v>6.4749999999999996</v>
      </c>
      <c r="L191" s="53">
        <f t="shared" si="75"/>
        <v>3.1949999999999998</v>
      </c>
      <c r="M191" s="157">
        <v>1</v>
      </c>
      <c r="N191" s="4">
        <v>0.51500000000000001</v>
      </c>
      <c r="O191" s="4">
        <v>0.51500000000000001</v>
      </c>
      <c r="P191" s="9" t="e">
        <f t="shared" si="64"/>
        <v>#N/A</v>
      </c>
      <c r="Q191" s="5">
        <v>36704</v>
      </c>
      <c r="R191" s="4">
        <f t="shared" si="76"/>
        <v>1</v>
      </c>
      <c r="S191" s="158" t="e">
        <f>_xll.xSPRDOPT($K191,$L191,$J191,$M191,$N191,$O191,$P191,$Q191-$C$3,$R191,0)</f>
        <v>#N/A</v>
      </c>
      <c r="T191" s="159" t="e">
        <f>_xll.xSPRDOPT($K191,$L191,$J191,$M191,$N191,$O191,$P191,$Q191-$C$3,$R191,1)*I191</f>
        <v>#N/A</v>
      </c>
      <c r="U191" s="160">
        <v>-108333.22500000003</v>
      </c>
      <c r="V191" s="159" t="e">
        <f>_xll.xSPRDOPT($K191,$L191,$J191,$M191,$N191,$O191,$P191,$Q191-$C$3,$R191,2)*I191</f>
        <v>#N/A</v>
      </c>
      <c r="W191" s="159" t="e">
        <f t="shared" si="77"/>
        <v>#N/A</v>
      </c>
      <c r="X191" s="51" t="str">
        <f t="shared" si="78"/>
        <v>36678IF-ELPO/SJ</v>
      </c>
      <c r="Y191" s="418">
        <f t="shared" si="79"/>
        <v>-33.333300000000001</v>
      </c>
      <c r="Z191" s="51"/>
      <c r="AB191" s="141"/>
      <c r="AC191" s="234"/>
      <c r="AD191" s="234"/>
      <c r="AE191" s="439"/>
      <c r="AF191" s="234"/>
      <c r="AG191" s="234"/>
      <c r="AH191" s="234"/>
      <c r="AI191" s="234"/>
      <c r="AJ191" s="235"/>
      <c r="BG191" s="441">
        <v>42095</v>
      </c>
      <c r="BH191">
        <v>0.98499999999999999</v>
      </c>
      <c r="BJ191" s="441">
        <v>42095</v>
      </c>
      <c r="BK191">
        <v>188</v>
      </c>
    </row>
    <row r="192" spans="1:63" ht="12" customHeight="1" x14ac:dyDescent="0.25">
      <c r="A192" s="384" t="s">
        <v>268</v>
      </c>
      <c r="B192" s="155" t="s">
        <v>250</v>
      </c>
      <c r="C192" s="155" t="s">
        <v>387</v>
      </c>
      <c r="D192" s="155" t="s">
        <v>190</v>
      </c>
      <c r="E192" s="4" t="s">
        <v>237</v>
      </c>
      <c r="F192" s="155" t="s">
        <v>20</v>
      </c>
      <c r="G192" s="155" t="s">
        <v>21</v>
      </c>
      <c r="H192" s="354">
        <v>36678</v>
      </c>
      <c r="I192" s="156">
        <v>-10000</v>
      </c>
      <c r="J192" s="7">
        <v>0.46</v>
      </c>
      <c r="K192" s="53">
        <f t="shared" si="74"/>
        <v>6.4749999999999996</v>
      </c>
      <c r="L192" s="53">
        <f t="shared" si="75"/>
        <v>3.1949999999999998</v>
      </c>
      <c r="M192" s="157">
        <v>1</v>
      </c>
      <c r="N192" s="4">
        <v>0.51500000000000001</v>
      </c>
      <c r="O192" s="4">
        <v>0.51500000000000001</v>
      </c>
      <c r="P192" s="9" t="e">
        <f t="shared" si="64"/>
        <v>#N/A</v>
      </c>
      <c r="Q192" s="5">
        <v>36704</v>
      </c>
      <c r="R192" s="4">
        <f t="shared" si="76"/>
        <v>1</v>
      </c>
      <c r="S192" s="158" t="e">
        <f>_xll.xSPRDOPT($K192,$L192,$J192,$M192,$N192,$O192,$P192,$Q192-$C$3,$R192,0)</f>
        <v>#N/A</v>
      </c>
      <c r="T192" s="159" t="e">
        <f>_xll.xSPRDOPT($K192,$L192,$J192,$M192,$N192,$O192,$P192,$Q192-$C$3,$R192,1)*I192</f>
        <v>#N/A</v>
      </c>
      <c r="U192" s="160">
        <v>-3250</v>
      </c>
      <c r="V192" s="159" t="e">
        <f>_xll.xSPRDOPT($K192,$L192,$J192,$M192,$N192,$O192,$P192,$Q192-$C$3,$R192,2)*I192</f>
        <v>#N/A</v>
      </c>
      <c r="W192" s="159" t="e">
        <f t="shared" si="77"/>
        <v>#N/A</v>
      </c>
      <c r="X192" s="51" t="str">
        <f t="shared" si="78"/>
        <v>36678IF-ELPO/SJ</v>
      </c>
      <c r="Y192" s="418">
        <f t="shared" si="79"/>
        <v>-1</v>
      </c>
      <c r="Z192" s="51"/>
      <c r="AB192" s="141"/>
      <c r="AC192" s="234"/>
      <c r="AD192" s="234"/>
      <c r="AE192" s="439"/>
      <c r="AF192" s="234"/>
      <c r="AG192" s="234"/>
      <c r="AH192" s="234"/>
      <c r="AI192" s="234"/>
      <c r="AJ192" s="235"/>
      <c r="BG192" s="441">
        <v>42125</v>
      </c>
      <c r="BH192">
        <v>0.98499999999999999</v>
      </c>
      <c r="BJ192" s="441">
        <v>42125</v>
      </c>
      <c r="BK192">
        <v>189</v>
      </c>
    </row>
    <row r="193" spans="1:63" ht="12" customHeight="1" x14ac:dyDescent="0.25">
      <c r="A193" s="384" t="s">
        <v>279</v>
      </c>
      <c r="B193" s="155" t="s">
        <v>250</v>
      </c>
      <c r="C193" s="155" t="s">
        <v>388</v>
      </c>
      <c r="D193" s="155" t="s">
        <v>190</v>
      </c>
      <c r="E193" s="4" t="s">
        <v>237</v>
      </c>
      <c r="F193" s="155" t="s">
        <v>20</v>
      </c>
      <c r="G193" s="155" t="s">
        <v>21</v>
      </c>
      <c r="H193" s="354">
        <v>36678</v>
      </c>
      <c r="I193" s="156">
        <v>50000</v>
      </c>
      <c r="J193" s="7">
        <v>0.46</v>
      </c>
      <c r="K193" s="53">
        <f t="shared" si="74"/>
        <v>6.4749999999999996</v>
      </c>
      <c r="L193" s="53">
        <f t="shared" si="75"/>
        <v>3.1949999999999998</v>
      </c>
      <c r="M193" s="157">
        <v>1</v>
      </c>
      <c r="N193" s="4">
        <v>0.51500000000000001</v>
      </c>
      <c r="O193" s="4">
        <v>0.51500000000000001</v>
      </c>
      <c r="P193" s="9" t="e">
        <f t="shared" si="64"/>
        <v>#N/A</v>
      </c>
      <c r="Q193" s="5">
        <v>36704</v>
      </c>
      <c r="R193" s="4">
        <f t="shared" si="76"/>
        <v>1</v>
      </c>
      <c r="S193" s="158" t="e">
        <f>_xll.xSPRDOPT($K193,$L193,$J193,$M193,$N193,$O193,$P193,$Q193-$C$3,$R193,0)</f>
        <v>#N/A</v>
      </c>
      <c r="T193" s="159" t="e">
        <f>_xll.xSPRDOPT($K193,$L193,$J193,$M193,$N193,$O193,$P193,$Q193-$C$3,$R193,1)*I193</f>
        <v>#N/A</v>
      </c>
      <c r="U193" s="160">
        <v>16250</v>
      </c>
      <c r="V193" s="159" t="e">
        <f>_xll.xSPRDOPT($K193,$L193,$J193,$M193,$N193,$O193,$P193,$Q193-$C$3,$R193,2)*I193</f>
        <v>#N/A</v>
      </c>
      <c r="W193" s="159" t="e">
        <f t="shared" si="77"/>
        <v>#N/A</v>
      </c>
      <c r="X193" s="51" t="str">
        <f t="shared" si="78"/>
        <v>36678IF-ELPO/SJ</v>
      </c>
      <c r="Y193" s="418">
        <f t="shared" si="79"/>
        <v>5</v>
      </c>
      <c r="Z193" s="51"/>
      <c r="AB193" s="141"/>
      <c r="AC193" s="234"/>
      <c r="AD193" s="234"/>
      <c r="AE193" s="439"/>
      <c r="AF193" s="234"/>
      <c r="AG193" s="234"/>
      <c r="AH193" s="234"/>
      <c r="AI193" s="234"/>
      <c r="AJ193" s="235"/>
      <c r="BG193" s="441">
        <v>42156</v>
      </c>
      <c r="BH193">
        <v>0.98499999999999999</v>
      </c>
      <c r="BJ193" s="441">
        <v>42156</v>
      </c>
      <c r="BK193">
        <v>190</v>
      </c>
    </row>
    <row r="194" spans="1:63" ht="12" customHeight="1" x14ac:dyDescent="0.25">
      <c r="A194" s="384" t="s">
        <v>279</v>
      </c>
      <c r="B194" s="155" t="s">
        <v>250</v>
      </c>
      <c r="C194" s="155" t="s">
        <v>389</v>
      </c>
      <c r="D194" s="155" t="s">
        <v>190</v>
      </c>
      <c r="E194" s="4" t="s">
        <v>237</v>
      </c>
      <c r="F194" s="155" t="s">
        <v>20</v>
      </c>
      <c r="G194" s="155" t="s">
        <v>21</v>
      </c>
      <c r="H194" s="354">
        <v>36678</v>
      </c>
      <c r="I194" s="156">
        <v>50000</v>
      </c>
      <c r="J194" s="7">
        <v>0.46</v>
      </c>
      <c r="K194" s="53">
        <f t="shared" si="74"/>
        <v>6.4749999999999996</v>
      </c>
      <c r="L194" s="53">
        <f t="shared" si="75"/>
        <v>3.1949999999999998</v>
      </c>
      <c r="M194" s="157">
        <v>1</v>
      </c>
      <c r="N194" s="4">
        <v>0.51500000000000001</v>
      </c>
      <c r="O194" s="4">
        <v>0.51500000000000001</v>
      </c>
      <c r="P194" s="9" t="e">
        <f t="shared" si="64"/>
        <v>#N/A</v>
      </c>
      <c r="Q194" s="5">
        <v>36704</v>
      </c>
      <c r="R194" s="4">
        <f t="shared" si="76"/>
        <v>1</v>
      </c>
      <c r="S194" s="158" t="e">
        <f>_xll.xSPRDOPT($K194,$L194,$J194,$M194,$N194,$O194,$P194,$Q194-$C$3,$R194,0)</f>
        <v>#N/A</v>
      </c>
      <c r="T194" s="159" t="e">
        <f>_xll.xSPRDOPT($K194,$L194,$J194,$M194,$N194,$O194,$P194,$Q194-$C$3,$R194,1)*I194</f>
        <v>#N/A</v>
      </c>
      <c r="U194" s="160">
        <v>16250</v>
      </c>
      <c r="V194" s="159" t="e">
        <f>_xll.xSPRDOPT($K194,$L194,$J194,$M194,$N194,$O194,$P194,$Q194-$C$3,$R194,2)*I194</f>
        <v>#N/A</v>
      </c>
      <c r="W194" s="159" t="e">
        <f t="shared" si="77"/>
        <v>#N/A</v>
      </c>
      <c r="X194" s="51" t="str">
        <f t="shared" si="78"/>
        <v>36678IF-ELPO/SJ</v>
      </c>
      <c r="Y194" s="418">
        <f t="shared" si="79"/>
        <v>5</v>
      </c>
      <c r="Z194" s="51"/>
      <c r="AB194" s="141"/>
      <c r="AC194" s="234"/>
      <c r="AD194" s="234"/>
      <c r="AE194" s="439"/>
      <c r="AF194" s="234"/>
      <c r="AG194" s="234"/>
      <c r="AH194" s="234"/>
      <c r="AI194" s="234"/>
      <c r="AJ194" s="235"/>
      <c r="BG194" s="441">
        <v>42186</v>
      </c>
      <c r="BH194">
        <v>0.98499999999999999</v>
      </c>
      <c r="BJ194" s="441">
        <v>42186</v>
      </c>
      <c r="BK194">
        <v>191</v>
      </c>
    </row>
    <row r="195" spans="1:63" ht="12" customHeight="1" x14ac:dyDescent="0.25">
      <c r="A195" s="384" t="s">
        <v>279</v>
      </c>
      <c r="B195" s="155" t="s">
        <v>250</v>
      </c>
      <c r="C195" s="155" t="s">
        <v>398</v>
      </c>
      <c r="D195" s="155" t="s">
        <v>190</v>
      </c>
      <c r="E195" s="4" t="s">
        <v>237</v>
      </c>
      <c r="F195" s="155" t="s">
        <v>20</v>
      </c>
      <c r="G195" s="155" t="s">
        <v>21</v>
      </c>
      <c r="H195" s="354">
        <v>36678</v>
      </c>
      <c r="I195" s="156">
        <v>-10000</v>
      </c>
      <c r="J195" s="7">
        <v>0.46</v>
      </c>
      <c r="K195" s="53">
        <f t="shared" si="74"/>
        <v>6.4749999999999996</v>
      </c>
      <c r="L195" s="53">
        <f t="shared" si="75"/>
        <v>3.1949999999999998</v>
      </c>
      <c r="M195" s="157">
        <v>1</v>
      </c>
      <c r="N195" s="4">
        <v>0.51500000000000001</v>
      </c>
      <c r="O195" s="4">
        <v>0.51500000000000001</v>
      </c>
      <c r="P195" s="9" t="e">
        <f t="shared" si="64"/>
        <v>#N/A</v>
      </c>
      <c r="Q195" s="5">
        <v>36704</v>
      </c>
      <c r="R195" s="4">
        <f t="shared" si="76"/>
        <v>1</v>
      </c>
      <c r="S195" s="158" t="e">
        <f>_xll.xSPRDOPT($K195,$L195,$J195,$M195,$N195,$O195,$P195,$Q195-$C$3,$R195,0)</f>
        <v>#N/A</v>
      </c>
      <c r="T195" s="159" t="e">
        <f>_xll.xSPRDOPT($K195,$L195,$J195,$M195,$N195,$O195,$P195,$Q195-$C$3,$R195,1)*I195</f>
        <v>#N/A</v>
      </c>
      <c r="U195" s="160">
        <v>-3250</v>
      </c>
      <c r="V195" s="159" t="e">
        <f>_xll.xSPRDOPT($K195,$L195,$J195,$M195,$N195,$O195,$P195,$Q195-$C$3,$R195,2)*I195</f>
        <v>#N/A</v>
      </c>
      <c r="W195" s="159" t="e">
        <f t="shared" si="77"/>
        <v>#N/A</v>
      </c>
      <c r="X195" s="51" t="str">
        <f t="shared" si="78"/>
        <v>36678IF-ELPO/SJ</v>
      </c>
      <c r="Y195" s="418">
        <f t="shared" si="79"/>
        <v>-1</v>
      </c>
      <c r="Z195" s="51"/>
      <c r="AB195" s="141"/>
      <c r="AC195" s="234"/>
      <c r="AD195" s="234"/>
      <c r="AE195" s="439"/>
      <c r="AF195" s="234"/>
      <c r="AG195" s="234"/>
      <c r="AH195" s="234"/>
      <c r="AI195" s="234"/>
      <c r="AJ195" s="235"/>
      <c r="BG195" s="441">
        <v>42217</v>
      </c>
      <c r="BH195">
        <v>0.98499999999999999</v>
      </c>
      <c r="BJ195" s="441">
        <v>42217</v>
      </c>
      <c r="BK195">
        <v>192</v>
      </c>
    </row>
    <row r="196" spans="1:63" ht="12" customHeight="1" x14ac:dyDescent="0.25">
      <c r="A196" s="382" t="s">
        <v>279</v>
      </c>
      <c r="B196" s="155" t="s">
        <v>250</v>
      </c>
      <c r="C196" s="155" t="s">
        <v>360</v>
      </c>
      <c r="D196" s="155" t="s">
        <v>190</v>
      </c>
      <c r="E196" s="4" t="s">
        <v>237</v>
      </c>
      <c r="F196" s="155" t="s">
        <v>20</v>
      </c>
      <c r="G196" s="155" t="s">
        <v>21</v>
      </c>
      <c r="H196" s="354">
        <v>36678</v>
      </c>
      <c r="I196" s="156">
        <v>-50000</v>
      </c>
      <c r="J196" s="7">
        <v>0.46</v>
      </c>
      <c r="K196" s="53">
        <f t="shared" si="74"/>
        <v>6.4749999999999996</v>
      </c>
      <c r="L196" s="53">
        <f t="shared" si="75"/>
        <v>3.1949999999999998</v>
      </c>
      <c r="M196" s="157">
        <v>1</v>
      </c>
      <c r="N196" s="4">
        <v>0.51500000000000001</v>
      </c>
      <c r="O196" s="4">
        <v>0.51500000000000001</v>
      </c>
      <c r="P196" s="9" t="e">
        <f t="shared" si="64"/>
        <v>#N/A</v>
      </c>
      <c r="Q196" s="5">
        <v>36705</v>
      </c>
      <c r="R196" s="4">
        <f t="shared" si="76"/>
        <v>1</v>
      </c>
      <c r="S196" s="158" t="e">
        <f>_xll.xSPRDOPT($K196,$L196,$J196,$M196,$N196,$O196,$P196,$Q196-$C$3,$R196,0)</f>
        <v>#N/A</v>
      </c>
      <c r="T196" s="159" t="e">
        <f>_xll.xSPRDOPT($K196,$L196,$J196,$M196,$N196,$O196,$P196,$Q196-$C$3,$R196,1)*I196</f>
        <v>#N/A</v>
      </c>
      <c r="U196" s="160">
        <v>-20750</v>
      </c>
      <c r="V196" s="159" t="e">
        <f>_xll.xSPRDOPT($K196,$L196,$J196,$M196,$N196,$O196,$P196,$Q196-$C$3,$R196,2)*I196</f>
        <v>#N/A</v>
      </c>
      <c r="W196" s="159" t="e">
        <f t="shared" si="77"/>
        <v>#N/A</v>
      </c>
      <c r="X196" s="51" t="str">
        <f t="shared" si="78"/>
        <v>36678IF-ELPO/SJ</v>
      </c>
      <c r="Y196" s="418">
        <f t="shared" si="79"/>
        <v>-5</v>
      </c>
      <c r="Z196" s="51"/>
      <c r="AB196" s="141"/>
      <c r="AC196" s="234"/>
      <c r="AD196" s="234"/>
      <c r="AE196" s="439"/>
      <c r="AF196" s="234"/>
      <c r="AG196" s="234"/>
      <c r="AH196" s="234"/>
      <c r="AI196" s="234"/>
      <c r="AJ196" s="235"/>
      <c r="BG196" s="441">
        <v>42248</v>
      </c>
      <c r="BH196">
        <v>0.98499999999999999</v>
      </c>
      <c r="BJ196" s="441">
        <v>42248</v>
      </c>
      <c r="BK196">
        <v>193</v>
      </c>
    </row>
    <row r="197" spans="1:63" ht="12" customHeight="1" x14ac:dyDescent="0.25">
      <c r="A197" s="382" t="s">
        <v>279</v>
      </c>
      <c r="B197" s="155" t="s">
        <v>250</v>
      </c>
      <c r="C197" s="155" t="s">
        <v>361</v>
      </c>
      <c r="D197" s="155" t="s">
        <v>190</v>
      </c>
      <c r="E197" s="4" t="s">
        <v>237</v>
      </c>
      <c r="F197" s="155" t="s">
        <v>20</v>
      </c>
      <c r="G197" s="155" t="s">
        <v>21</v>
      </c>
      <c r="H197" s="354">
        <v>36678</v>
      </c>
      <c r="I197" s="156">
        <v>10000</v>
      </c>
      <c r="J197" s="7">
        <v>0.46</v>
      </c>
      <c r="K197" s="53">
        <f t="shared" si="74"/>
        <v>6.4749999999999996</v>
      </c>
      <c r="L197" s="53">
        <f t="shared" si="75"/>
        <v>3.1949999999999998</v>
      </c>
      <c r="M197" s="157">
        <v>1</v>
      </c>
      <c r="N197" s="4">
        <v>0.51500000000000001</v>
      </c>
      <c r="O197" s="4">
        <v>0.51500000000000001</v>
      </c>
      <c r="P197" s="9" t="e">
        <f t="shared" si="64"/>
        <v>#N/A</v>
      </c>
      <c r="Q197" s="5">
        <v>36705</v>
      </c>
      <c r="R197" s="4">
        <f t="shared" si="76"/>
        <v>1</v>
      </c>
      <c r="S197" s="158" t="e">
        <f>_xll.xSPRDOPT($K197,$L197,$J197,$M197,$N197,$O197,$P197,$Q197-$C$3,$R197,0)</f>
        <v>#N/A</v>
      </c>
      <c r="T197" s="159" t="e">
        <f>_xll.xSPRDOPT($K197,$L197,$J197,$M197,$N197,$O197,$P197,$Q197-$C$3,$R197,1)*I197</f>
        <v>#N/A</v>
      </c>
      <c r="U197" s="160">
        <v>4150</v>
      </c>
      <c r="V197" s="159" t="e">
        <f>_xll.xSPRDOPT($K197,$L197,$J197,$M197,$N197,$O197,$P197,$Q197-$C$3,$R197,2)*I197</f>
        <v>#N/A</v>
      </c>
      <c r="W197" s="159" t="e">
        <f t="shared" si="77"/>
        <v>#N/A</v>
      </c>
      <c r="X197" s="51" t="str">
        <f t="shared" si="78"/>
        <v>36678IF-ELPO/SJ</v>
      </c>
      <c r="Y197" s="418">
        <f t="shared" si="79"/>
        <v>1</v>
      </c>
      <c r="Z197" s="51"/>
      <c r="AB197" s="141"/>
      <c r="AC197" s="234"/>
      <c r="AD197" s="234"/>
      <c r="AE197" s="439"/>
      <c r="AF197" s="234"/>
      <c r="AG197" s="234"/>
      <c r="AH197" s="234"/>
      <c r="AI197" s="234"/>
      <c r="AJ197" s="235"/>
      <c r="BG197" s="441">
        <v>42278</v>
      </c>
      <c r="BH197">
        <v>0.98499999999999999</v>
      </c>
      <c r="BJ197" s="441">
        <v>42278</v>
      </c>
      <c r="BK197">
        <v>194</v>
      </c>
    </row>
    <row r="198" spans="1:63" ht="12" customHeight="1" x14ac:dyDescent="0.25">
      <c r="A198" s="382" t="s">
        <v>279</v>
      </c>
      <c r="B198" s="155" t="s">
        <v>250</v>
      </c>
      <c r="C198" s="155" t="s">
        <v>364</v>
      </c>
      <c r="D198" s="155" t="s">
        <v>190</v>
      </c>
      <c r="E198" s="4" t="s">
        <v>237</v>
      </c>
      <c r="F198" s="155" t="s">
        <v>20</v>
      </c>
      <c r="G198" s="155" t="s">
        <v>21</v>
      </c>
      <c r="H198" s="354">
        <v>36678</v>
      </c>
      <c r="I198" s="156">
        <v>-333333</v>
      </c>
      <c r="J198" s="7">
        <v>0.46</v>
      </c>
      <c r="K198" s="53">
        <f t="shared" si="74"/>
        <v>6.4749999999999996</v>
      </c>
      <c r="L198" s="53">
        <f t="shared" si="75"/>
        <v>3.1949999999999998</v>
      </c>
      <c r="M198" s="157">
        <v>1</v>
      </c>
      <c r="N198" s="4">
        <v>0.51500000000000001</v>
      </c>
      <c r="O198" s="4">
        <v>0.51500000000000001</v>
      </c>
      <c r="P198" s="9" t="e">
        <f t="shared" si="64"/>
        <v>#N/A</v>
      </c>
      <c r="Q198" s="5">
        <v>36705</v>
      </c>
      <c r="R198" s="4">
        <f t="shared" si="76"/>
        <v>1</v>
      </c>
      <c r="S198" s="158" t="e">
        <f>_xll.xSPRDOPT($K198,$L198,$J198,$M198,$N198,$O198,$P198,$Q198-$C$3,$R198,0)</f>
        <v>#N/A</v>
      </c>
      <c r="T198" s="159" t="e">
        <f>_xll.xSPRDOPT($K198,$L198,$J198,$M198,$N198,$O198,$P198,$Q198-$C$3,$R198,1)*I198</f>
        <v>#N/A</v>
      </c>
      <c r="U198" s="160">
        <v>-138333.19500000001</v>
      </c>
      <c r="V198" s="159" t="e">
        <f>_xll.xSPRDOPT($K198,$L198,$J198,$M198,$N198,$O198,$P198,$Q198-$C$3,$R198,2)*I198</f>
        <v>#N/A</v>
      </c>
      <c r="W198" s="159" t="e">
        <f t="shared" si="77"/>
        <v>#N/A</v>
      </c>
      <c r="X198" s="51" t="str">
        <f t="shared" si="78"/>
        <v>36678IF-ELPO/SJ</v>
      </c>
      <c r="Y198" s="418">
        <f t="shared" si="79"/>
        <v>-33.333300000000001</v>
      </c>
      <c r="AB198" s="141"/>
      <c r="AC198" s="234"/>
      <c r="AD198" s="234"/>
      <c r="AE198" s="439"/>
      <c r="AF198" s="234"/>
      <c r="AG198" s="234"/>
      <c r="AH198" s="234"/>
      <c r="AI198" s="234"/>
      <c r="AJ198" s="235"/>
      <c r="BG198" s="441">
        <v>42309</v>
      </c>
      <c r="BH198">
        <v>0.97048500000000038</v>
      </c>
      <c r="BJ198" s="441">
        <v>42309</v>
      </c>
      <c r="BK198">
        <v>195</v>
      </c>
    </row>
    <row r="199" spans="1:63" ht="12" customHeight="1" x14ac:dyDescent="0.25">
      <c r="A199" s="384" t="s">
        <v>268</v>
      </c>
      <c r="B199" s="155" t="s">
        <v>250</v>
      </c>
      <c r="C199" s="155" t="s">
        <v>387</v>
      </c>
      <c r="D199" s="155" t="s">
        <v>190</v>
      </c>
      <c r="E199" s="4" t="s">
        <v>237</v>
      </c>
      <c r="F199" s="155" t="s">
        <v>20</v>
      </c>
      <c r="G199" s="155" t="s">
        <v>21</v>
      </c>
      <c r="H199" s="354">
        <v>36678</v>
      </c>
      <c r="I199" s="156">
        <v>-10000</v>
      </c>
      <c r="J199" s="7">
        <v>0.46</v>
      </c>
      <c r="K199" s="53">
        <f t="shared" si="74"/>
        <v>6.4749999999999996</v>
      </c>
      <c r="L199" s="53">
        <f t="shared" si="75"/>
        <v>3.1949999999999998</v>
      </c>
      <c r="M199" s="157">
        <v>1</v>
      </c>
      <c r="N199" s="4">
        <v>0.51500000000000001</v>
      </c>
      <c r="O199" s="4">
        <v>0.51500000000000001</v>
      </c>
      <c r="P199" s="9" t="e">
        <f t="shared" si="64"/>
        <v>#N/A</v>
      </c>
      <c r="Q199" s="5">
        <v>36705</v>
      </c>
      <c r="R199" s="4">
        <f t="shared" si="76"/>
        <v>1</v>
      </c>
      <c r="S199" s="158" t="e">
        <f>_xll.xSPRDOPT($K199,$L199,$J199,$M199,$N199,$O199,$P199,$Q199-$C$3,$R199,0)</f>
        <v>#N/A</v>
      </c>
      <c r="T199" s="159" t="e">
        <f>_xll.xSPRDOPT($K199,$L199,$J199,$M199,$N199,$O199,$P199,$Q199-$C$3,$R199,1)*I199</f>
        <v>#N/A</v>
      </c>
      <c r="U199" s="160">
        <v>-4150</v>
      </c>
      <c r="V199" s="159" t="e">
        <f>_xll.xSPRDOPT($K199,$L199,$J199,$M199,$N199,$O199,$P199,$Q199-$C$3,$R199,2)*I199</f>
        <v>#N/A</v>
      </c>
      <c r="W199" s="159" t="e">
        <f t="shared" si="77"/>
        <v>#N/A</v>
      </c>
      <c r="X199" s="51" t="str">
        <f t="shared" si="78"/>
        <v>36678IF-ELPO/SJ</v>
      </c>
      <c r="Y199" s="418">
        <f t="shared" si="79"/>
        <v>-1</v>
      </c>
      <c r="AB199" s="141"/>
      <c r="AC199" s="234"/>
      <c r="AD199" s="234"/>
      <c r="AE199" s="439"/>
      <c r="AF199" s="234"/>
      <c r="AG199" s="234"/>
      <c r="AH199" s="234"/>
      <c r="AI199" s="234"/>
      <c r="AJ199" s="235"/>
      <c r="BG199" s="441">
        <v>42339</v>
      </c>
      <c r="BH199">
        <v>0.97048500000000038</v>
      </c>
      <c r="BJ199" s="441">
        <v>42339</v>
      </c>
      <c r="BK199">
        <v>196</v>
      </c>
    </row>
    <row r="200" spans="1:63" ht="12" customHeight="1" x14ac:dyDescent="0.25">
      <c r="A200" s="384" t="s">
        <v>279</v>
      </c>
      <c r="B200" s="155" t="s">
        <v>250</v>
      </c>
      <c r="C200" s="155" t="s">
        <v>388</v>
      </c>
      <c r="D200" s="155" t="s">
        <v>190</v>
      </c>
      <c r="E200" s="4" t="s">
        <v>237</v>
      </c>
      <c r="F200" s="155" t="s">
        <v>20</v>
      </c>
      <c r="G200" s="155" t="s">
        <v>21</v>
      </c>
      <c r="H200" s="354">
        <v>36678</v>
      </c>
      <c r="I200" s="156">
        <v>50000</v>
      </c>
      <c r="J200" s="7">
        <v>0.46</v>
      </c>
      <c r="K200" s="53">
        <f t="shared" si="74"/>
        <v>6.4749999999999996</v>
      </c>
      <c r="L200" s="53">
        <f t="shared" si="75"/>
        <v>3.1949999999999998</v>
      </c>
      <c r="M200" s="157">
        <v>1</v>
      </c>
      <c r="N200" s="4">
        <v>0.51500000000000001</v>
      </c>
      <c r="O200" s="4">
        <v>0.51500000000000001</v>
      </c>
      <c r="P200" s="9" t="e">
        <f t="shared" ref="P200:P216" si="80">HLOOKUP(E200,GDcorr,VLOOKUP(H200,GDCorMove,2,FALSE),FALSE)</f>
        <v>#N/A</v>
      </c>
      <c r="Q200" s="5">
        <v>36705</v>
      </c>
      <c r="R200" s="4">
        <f t="shared" si="76"/>
        <v>1</v>
      </c>
      <c r="S200" s="158" t="e">
        <f>_xll.xSPRDOPT($K200,$L200,$J200,$M200,$N200,$O200,$P200,$Q200-$C$3,$R200,0)</f>
        <v>#N/A</v>
      </c>
      <c r="T200" s="159" t="e">
        <f>_xll.xSPRDOPT($K200,$L200,$J200,$M200,$N200,$O200,$P200,$Q200-$C$3,$R200,1)*I200</f>
        <v>#N/A</v>
      </c>
      <c r="U200" s="160">
        <v>20750</v>
      </c>
      <c r="V200" s="159" t="e">
        <f>_xll.xSPRDOPT($K200,$L200,$J200,$M200,$N200,$O200,$P200,$Q200-$C$3,$R200,2)*I200</f>
        <v>#N/A</v>
      </c>
      <c r="W200" s="159" t="e">
        <f t="shared" si="77"/>
        <v>#N/A</v>
      </c>
      <c r="X200" s="51" t="str">
        <f t="shared" si="78"/>
        <v>36678IF-ELPO/SJ</v>
      </c>
      <c r="Y200" s="418">
        <f t="shared" si="79"/>
        <v>5</v>
      </c>
      <c r="AB200" s="141"/>
      <c r="AC200" s="234"/>
      <c r="AD200" s="234"/>
      <c r="AE200" s="439"/>
      <c r="AF200" s="234"/>
      <c r="AG200" s="234"/>
      <c r="AH200" s="234"/>
      <c r="AI200" s="234"/>
      <c r="AJ200" s="235"/>
      <c r="BG200" s="441">
        <v>42370</v>
      </c>
      <c r="BH200">
        <v>0</v>
      </c>
      <c r="BJ200" s="441">
        <v>42370</v>
      </c>
      <c r="BK200">
        <v>197</v>
      </c>
    </row>
    <row r="201" spans="1:63" ht="12" customHeight="1" x14ac:dyDescent="0.25">
      <c r="A201" s="384" t="s">
        <v>279</v>
      </c>
      <c r="B201" s="155" t="s">
        <v>250</v>
      </c>
      <c r="C201" s="155" t="s">
        <v>389</v>
      </c>
      <c r="D201" s="155" t="s">
        <v>190</v>
      </c>
      <c r="E201" s="4" t="s">
        <v>237</v>
      </c>
      <c r="F201" s="155" t="s">
        <v>20</v>
      </c>
      <c r="G201" s="155" t="s">
        <v>21</v>
      </c>
      <c r="H201" s="354">
        <v>36678</v>
      </c>
      <c r="I201" s="156">
        <v>50000</v>
      </c>
      <c r="J201" s="7">
        <v>0.46</v>
      </c>
      <c r="K201" s="53">
        <f t="shared" si="74"/>
        <v>6.4749999999999996</v>
      </c>
      <c r="L201" s="53">
        <f t="shared" si="75"/>
        <v>3.1949999999999998</v>
      </c>
      <c r="M201" s="157">
        <v>1</v>
      </c>
      <c r="N201" s="4">
        <v>0.51500000000000001</v>
      </c>
      <c r="O201" s="4">
        <v>0.51500000000000001</v>
      </c>
      <c r="P201" s="9" t="e">
        <f t="shared" si="80"/>
        <v>#N/A</v>
      </c>
      <c r="Q201" s="5">
        <v>36705</v>
      </c>
      <c r="R201" s="4">
        <f t="shared" si="76"/>
        <v>1</v>
      </c>
      <c r="S201" s="158" t="e">
        <f>_xll.xSPRDOPT($K201,$L201,$J201,$M201,$N201,$O201,$P201,$Q201-$C$3,$R201,0)</f>
        <v>#N/A</v>
      </c>
      <c r="T201" s="159" t="e">
        <f>_xll.xSPRDOPT($K201,$L201,$J201,$M201,$N201,$O201,$P201,$Q201-$C$3,$R201,1)*I201</f>
        <v>#N/A</v>
      </c>
      <c r="U201" s="160">
        <v>20750</v>
      </c>
      <c r="V201" s="159" t="e">
        <f>_xll.xSPRDOPT($K201,$L201,$J201,$M201,$N201,$O201,$P201,$Q201-$C$3,$R201,2)*I201</f>
        <v>#N/A</v>
      </c>
      <c r="W201" s="159" t="e">
        <f t="shared" si="77"/>
        <v>#N/A</v>
      </c>
      <c r="X201" s="51" t="str">
        <f t="shared" si="78"/>
        <v>36678IF-ELPO/SJ</v>
      </c>
      <c r="Y201" s="418">
        <f t="shared" si="79"/>
        <v>5</v>
      </c>
      <c r="AB201" s="141"/>
      <c r="AC201" s="234"/>
      <c r="AD201" s="234"/>
      <c r="AE201" s="439"/>
      <c r="AF201" s="234"/>
      <c r="AG201" s="234"/>
      <c r="AH201" s="234"/>
      <c r="AI201" s="234"/>
      <c r="AJ201" s="235"/>
      <c r="BG201" s="441">
        <v>42401</v>
      </c>
      <c r="BH201">
        <v>0</v>
      </c>
      <c r="BJ201" s="441">
        <v>42401</v>
      </c>
      <c r="BK201">
        <v>198</v>
      </c>
    </row>
    <row r="202" spans="1:63" ht="12" customHeight="1" x14ac:dyDescent="0.25">
      <c r="A202" s="384" t="s">
        <v>279</v>
      </c>
      <c r="B202" s="155" t="s">
        <v>250</v>
      </c>
      <c r="C202" s="155" t="s">
        <v>398</v>
      </c>
      <c r="D202" s="155" t="s">
        <v>190</v>
      </c>
      <c r="E202" s="4" t="s">
        <v>237</v>
      </c>
      <c r="F202" s="155" t="s">
        <v>20</v>
      </c>
      <c r="G202" s="155" t="s">
        <v>21</v>
      </c>
      <c r="H202" s="354">
        <v>36678</v>
      </c>
      <c r="I202" s="156">
        <v>-10000</v>
      </c>
      <c r="J202" s="7">
        <v>0.46</v>
      </c>
      <c r="K202" s="53">
        <f t="shared" si="74"/>
        <v>6.4749999999999996</v>
      </c>
      <c r="L202" s="53">
        <f t="shared" si="75"/>
        <v>3.1949999999999998</v>
      </c>
      <c r="M202" s="157">
        <v>1</v>
      </c>
      <c r="N202" s="4">
        <v>0.51500000000000001</v>
      </c>
      <c r="O202" s="4">
        <v>0.51500000000000001</v>
      </c>
      <c r="P202" s="9" t="e">
        <f t="shared" si="80"/>
        <v>#N/A</v>
      </c>
      <c r="Q202" s="5">
        <v>36705</v>
      </c>
      <c r="R202" s="4">
        <f t="shared" si="76"/>
        <v>1</v>
      </c>
      <c r="S202" s="158" t="e">
        <f>_xll.xSPRDOPT($K202,$L202,$J202,$M202,$N202,$O202,$P202,$Q202-$C$3,$R202,0)</f>
        <v>#N/A</v>
      </c>
      <c r="T202" s="159" t="e">
        <f>_xll.xSPRDOPT($K202,$L202,$J202,$M202,$N202,$O202,$P202,$Q202-$C$3,$R202,1)*I202</f>
        <v>#N/A</v>
      </c>
      <c r="U202" s="160">
        <v>-4150</v>
      </c>
      <c r="V202" s="159" t="e">
        <f>_xll.xSPRDOPT($K202,$L202,$J202,$M202,$N202,$O202,$P202,$Q202-$C$3,$R202,2)*I202</f>
        <v>#N/A</v>
      </c>
      <c r="W202" s="159" t="e">
        <f t="shared" si="77"/>
        <v>#N/A</v>
      </c>
      <c r="X202" s="51" t="str">
        <f t="shared" si="78"/>
        <v>36678IF-ELPO/SJ</v>
      </c>
      <c r="Y202" s="418">
        <f t="shared" si="79"/>
        <v>-1</v>
      </c>
      <c r="Z202" s="51"/>
      <c r="AB202" s="141"/>
      <c r="AC202" s="234"/>
      <c r="AD202" s="234"/>
      <c r="AE202" s="439"/>
      <c r="AF202" s="234"/>
      <c r="AG202" s="234"/>
      <c r="AH202" s="234"/>
      <c r="AI202" s="234"/>
      <c r="AJ202" s="235"/>
      <c r="BG202" s="441">
        <v>42430</v>
      </c>
      <c r="BH202">
        <v>0</v>
      </c>
      <c r="BJ202" s="441">
        <v>42430</v>
      </c>
      <c r="BK202">
        <v>199</v>
      </c>
    </row>
    <row r="203" spans="1:63" ht="12" customHeight="1" x14ac:dyDescent="0.25">
      <c r="A203" s="382" t="s">
        <v>279</v>
      </c>
      <c r="B203" s="155" t="s">
        <v>250</v>
      </c>
      <c r="C203" s="155" t="s">
        <v>360</v>
      </c>
      <c r="D203" s="155" t="s">
        <v>190</v>
      </c>
      <c r="E203" s="4" t="s">
        <v>237</v>
      </c>
      <c r="F203" s="155" t="s">
        <v>20</v>
      </c>
      <c r="G203" s="155" t="s">
        <v>21</v>
      </c>
      <c r="H203" s="354">
        <v>36678</v>
      </c>
      <c r="I203" s="156">
        <v>-50000</v>
      </c>
      <c r="J203" s="7">
        <v>0.46</v>
      </c>
      <c r="K203" s="53">
        <f t="shared" si="74"/>
        <v>6.94</v>
      </c>
      <c r="L203" s="53">
        <f t="shared" si="75"/>
        <v>3.29</v>
      </c>
      <c r="M203" s="157">
        <v>1</v>
      </c>
      <c r="N203" s="4">
        <v>0.51500000000000001</v>
      </c>
      <c r="O203" s="4">
        <v>0.51500000000000001</v>
      </c>
      <c r="P203" s="9" t="e">
        <f t="shared" si="80"/>
        <v>#N/A</v>
      </c>
      <c r="Q203" s="5">
        <v>36706</v>
      </c>
      <c r="R203" s="4">
        <f t="shared" si="76"/>
        <v>1</v>
      </c>
      <c r="S203" s="158" t="e">
        <f>_xll.xSPRDOPT($K203,$L203,$J203,$M203,$N203,$O203,$P203,$Q203-$C$3,$R203,0)</f>
        <v>#N/A</v>
      </c>
      <c r="T203" s="159" t="e">
        <f>_xll.xSPRDOPT($K203,$L203,$J203,$M203,$N203,$O203,$P203,$Q203-$C$3,$R203,1)*I203</f>
        <v>#N/A</v>
      </c>
      <c r="U203" s="160">
        <v>-24000</v>
      </c>
      <c r="V203" s="159" t="e">
        <f>_xll.xSPRDOPT($K203,$L203,$J203,$M203,$N203,$O203,$P203,$Q203-$C$3,$R203,2)*I203</f>
        <v>#N/A</v>
      </c>
      <c r="W203" s="159" t="e">
        <f t="shared" si="77"/>
        <v>#N/A</v>
      </c>
      <c r="X203" s="51" t="str">
        <f t="shared" si="78"/>
        <v>36678IF-ELPO/SJ</v>
      </c>
      <c r="Y203" s="418">
        <f t="shared" si="79"/>
        <v>-5</v>
      </c>
      <c r="Z203" s="51"/>
      <c r="AB203" s="141"/>
      <c r="AC203" s="234"/>
      <c r="AD203" s="234"/>
      <c r="AE203" s="439"/>
      <c r="AF203" s="234"/>
      <c r="AG203" s="234"/>
      <c r="AH203" s="234"/>
      <c r="AI203" s="234"/>
      <c r="AJ203" s="235"/>
      <c r="BG203" s="441">
        <v>42461</v>
      </c>
      <c r="BH203">
        <v>0</v>
      </c>
      <c r="BJ203" s="441">
        <v>42461</v>
      </c>
      <c r="BK203">
        <v>200</v>
      </c>
    </row>
    <row r="204" spans="1:63" ht="12" customHeight="1" x14ac:dyDescent="0.25">
      <c r="A204" s="382" t="s">
        <v>279</v>
      </c>
      <c r="B204" s="155" t="s">
        <v>250</v>
      </c>
      <c r="C204" s="155" t="s">
        <v>361</v>
      </c>
      <c r="D204" s="155" t="s">
        <v>190</v>
      </c>
      <c r="E204" s="4" t="s">
        <v>237</v>
      </c>
      <c r="F204" s="155" t="s">
        <v>20</v>
      </c>
      <c r="G204" s="155" t="s">
        <v>21</v>
      </c>
      <c r="H204" s="354">
        <v>36678</v>
      </c>
      <c r="I204" s="156">
        <v>10000</v>
      </c>
      <c r="J204" s="7">
        <v>0.46</v>
      </c>
      <c r="K204" s="53">
        <f t="shared" si="74"/>
        <v>6.94</v>
      </c>
      <c r="L204" s="53">
        <f t="shared" si="75"/>
        <v>3.29</v>
      </c>
      <c r="M204" s="157">
        <v>1</v>
      </c>
      <c r="N204" s="4">
        <v>0.51500000000000001</v>
      </c>
      <c r="O204" s="4">
        <v>0.51500000000000001</v>
      </c>
      <c r="P204" s="9" t="e">
        <f t="shared" si="80"/>
        <v>#N/A</v>
      </c>
      <c r="Q204" s="5">
        <v>36706</v>
      </c>
      <c r="R204" s="4">
        <f t="shared" si="76"/>
        <v>1</v>
      </c>
      <c r="S204" s="158" t="e">
        <f>_xll.xSPRDOPT($K204,$L204,$J204,$M204,$N204,$O204,$P204,$Q204-$C$3,$R204,0)</f>
        <v>#N/A</v>
      </c>
      <c r="T204" s="159" t="e">
        <f>_xll.xSPRDOPT($K204,$L204,$J204,$M204,$N204,$O204,$P204,$Q204-$C$3,$R204,1)*I204</f>
        <v>#N/A</v>
      </c>
      <c r="U204" s="160">
        <v>4800</v>
      </c>
      <c r="V204" s="159" t="e">
        <f>_xll.xSPRDOPT($K204,$L204,$J204,$M204,$N204,$O204,$P204,$Q204-$C$3,$R204,2)*I204</f>
        <v>#N/A</v>
      </c>
      <c r="W204" s="159" t="e">
        <f t="shared" si="77"/>
        <v>#N/A</v>
      </c>
      <c r="X204" s="51" t="str">
        <f t="shared" si="78"/>
        <v>36678IF-ELPO/SJ</v>
      </c>
      <c r="Y204" s="418">
        <f t="shared" si="79"/>
        <v>1</v>
      </c>
      <c r="Z204" s="51"/>
      <c r="AB204" s="141"/>
      <c r="AC204" s="234"/>
      <c r="AD204" s="234"/>
      <c r="AE204" s="439"/>
      <c r="AF204" s="234"/>
      <c r="AG204" s="234"/>
      <c r="AH204" s="234"/>
      <c r="AI204" s="234"/>
      <c r="AJ204" s="235"/>
      <c r="BG204" s="441">
        <v>42491</v>
      </c>
      <c r="BH204">
        <v>0</v>
      </c>
      <c r="BJ204" s="441">
        <v>42491</v>
      </c>
      <c r="BK204">
        <v>201</v>
      </c>
    </row>
    <row r="205" spans="1:63" ht="12" customHeight="1" x14ac:dyDescent="0.25">
      <c r="A205" s="382" t="s">
        <v>279</v>
      </c>
      <c r="B205" s="155" t="s">
        <v>250</v>
      </c>
      <c r="C205" s="155" t="s">
        <v>364</v>
      </c>
      <c r="D205" s="155" t="s">
        <v>190</v>
      </c>
      <c r="E205" s="4" t="s">
        <v>237</v>
      </c>
      <c r="F205" s="155" t="s">
        <v>20</v>
      </c>
      <c r="G205" s="155" t="s">
        <v>21</v>
      </c>
      <c r="H205" s="354">
        <v>36678</v>
      </c>
      <c r="I205" s="156">
        <v>-333333</v>
      </c>
      <c r="J205" s="7">
        <v>0.46</v>
      </c>
      <c r="K205" s="53">
        <f t="shared" si="74"/>
        <v>6.94</v>
      </c>
      <c r="L205" s="53">
        <f t="shared" si="75"/>
        <v>3.29</v>
      </c>
      <c r="M205" s="157">
        <v>1</v>
      </c>
      <c r="N205" s="4">
        <v>0.51500000000000001</v>
      </c>
      <c r="O205" s="4">
        <v>0.51500000000000001</v>
      </c>
      <c r="P205" s="9" t="e">
        <f t="shared" si="80"/>
        <v>#N/A</v>
      </c>
      <c r="Q205" s="5">
        <v>36706</v>
      </c>
      <c r="R205" s="4">
        <f t="shared" si="76"/>
        <v>1</v>
      </c>
      <c r="S205" s="158" t="e">
        <f>_xll.xSPRDOPT($K205,$L205,$J205,$M205,$N205,$O205,$P205,$Q205-$C$3,$R205,0)</f>
        <v>#N/A</v>
      </c>
      <c r="T205" s="159" t="e">
        <f>_xll.xSPRDOPT($K205,$L205,$J205,$M205,$N205,$O205,$P205,$Q205-$C$3,$R205,1)*I205</f>
        <v>#N/A</v>
      </c>
      <c r="U205" s="160">
        <v>-159999.84</v>
      </c>
      <c r="V205" s="159" t="e">
        <f>_xll.xSPRDOPT($K205,$L205,$J205,$M205,$N205,$O205,$P205,$Q205-$C$3,$R205,2)*I205</f>
        <v>#N/A</v>
      </c>
      <c r="W205" s="159" t="e">
        <f t="shared" si="77"/>
        <v>#N/A</v>
      </c>
      <c r="X205" s="51" t="str">
        <f t="shared" si="78"/>
        <v>36678IF-ELPO/SJ</v>
      </c>
      <c r="Y205" s="418">
        <f t="shared" si="79"/>
        <v>-33.333300000000001</v>
      </c>
      <c r="Z205" s="51"/>
      <c r="AB205" s="141"/>
      <c r="AC205" s="234"/>
      <c r="AD205" s="234"/>
      <c r="AE205" s="439"/>
      <c r="AF205" s="234"/>
      <c r="AG205" s="234"/>
      <c r="AH205" s="234"/>
      <c r="AI205" s="234"/>
      <c r="AJ205" s="235"/>
      <c r="BG205" s="441">
        <v>42522</v>
      </c>
      <c r="BH205">
        <v>0</v>
      </c>
      <c r="BJ205" s="441">
        <v>42522</v>
      </c>
      <c r="BK205">
        <v>202</v>
      </c>
    </row>
    <row r="206" spans="1:63" ht="12" customHeight="1" x14ac:dyDescent="0.25">
      <c r="A206" s="384" t="s">
        <v>268</v>
      </c>
      <c r="B206" s="155" t="s">
        <v>250</v>
      </c>
      <c r="C206" s="155" t="s">
        <v>387</v>
      </c>
      <c r="D206" s="155" t="s">
        <v>190</v>
      </c>
      <c r="E206" s="4" t="s">
        <v>237</v>
      </c>
      <c r="F206" s="155" t="s">
        <v>20</v>
      </c>
      <c r="G206" s="155" t="s">
        <v>21</v>
      </c>
      <c r="H206" s="354">
        <v>36678</v>
      </c>
      <c r="I206" s="156">
        <v>-10000</v>
      </c>
      <c r="J206" s="7">
        <v>0.46</v>
      </c>
      <c r="K206" s="53">
        <f t="shared" si="74"/>
        <v>6.94</v>
      </c>
      <c r="L206" s="53">
        <f t="shared" si="75"/>
        <v>3.29</v>
      </c>
      <c r="M206" s="157">
        <v>1</v>
      </c>
      <c r="N206" s="4">
        <v>0.51500000000000001</v>
      </c>
      <c r="O206" s="4">
        <v>0.51500000000000001</v>
      </c>
      <c r="P206" s="9" t="e">
        <f t="shared" si="80"/>
        <v>#N/A</v>
      </c>
      <c r="Q206" s="5">
        <v>36706</v>
      </c>
      <c r="R206" s="4">
        <f t="shared" si="76"/>
        <v>1</v>
      </c>
      <c r="S206" s="158" t="e">
        <f>_xll.xSPRDOPT($K206,$L206,$J206,$M206,$N206,$O206,$P206,$Q206-$C$3,$R206,0)</f>
        <v>#N/A</v>
      </c>
      <c r="T206" s="159" t="e">
        <f>_xll.xSPRDOPT($K206,$L206,$J206,$M206,$N206,$O206,$P206,$Q206-$C$3,$R206,1)*I206</f>
        <v>#N/A</v>
      </c>
      <c r="U206" s="160">
        <v>-4800</v>
      </c>
      <c r="V206" s="159" t="e">
        <f>_xll.xSPRDOPT($K206,$L206,$J206,$M206,$N206,$O206,$P206,$Q206-$C$3,$R206,2)*I206</f>
        <v>#N/A</v>
      </c>
      <c r="W206" s="159" t="e">
        <f t="shared" si="77"/>
        <v>#N/A</v>
      </c>
      <c r="X206" s="51" t="str">
        <f t="shared" si="78"/>
        <v>36678IF-ELPO/SJ</v>
      </c>
      <c r="Y206" s="418">
        <f t="shared" si="79"/>
        <v>-1</v>
      </c>
      <c r="Z206" s="51"/>
      <c r="AB206" s="141"/>
      <c r="AC206" s="234"/>
      <c r="AD206" s="234"/>
      <c r="AE206" s="439"/>
      <c r="AF206" s="234"/>
      <c r="AG206" s="234"/>
      <c r="AH206" s="234"/>
      <c r="AI206" s="234"/>
      <c r="AJ206" s="235"/>
      <c r="BG206" s="441">
        <v>42552</v>
      </c>
      <c r="BH206">
        <v>0</v>
      </c>
      <c r="BJ206" s="441">
        <v>42552</v>
      </c>
      <c r="BK206">
        <v>203</v>
      </c>
    </row>
    <row r="207" spans="1:63" ht="12" customHeight="1" x14ac:dyDescent="0.25">
      <c r="A207" s="384" t="s">
        <v>279</v>
      </c>
      <c r="B207" s="155" t="s">
        <v>250</v>
      </c>
      <c r="C207" s="155" t="s">
        <v>388</v>
      </c>
      <c r="D207" s="155" t="s">
        <v>190</v>
      </c>
      <c r="E207" s="4" t="s">
        <v>237</v>
      </c>
      <c r="F207" s="155" t="s">
        <v>20</v>
      </c>
      <c r="G207" s="155" t="s">
        <v>21</v>
      </c>
      <c r="H207" s="354">
        <v>36678</v>
      </c>
      <c r="I207" s="156">
        <v>50000</v>
      </c>
      <c r="J207" s="7">
        <v>0.46</v>
      </c>
      <c r="K207" s="53">
        <f t="shared" si="74"/>
        <v>6.94</v>
      </c>
      <c r="L207" s="53">
        <f t="shared" si="75"/>
        <v>3.29</v>
      </c>
      <c r="M207" s="157">
        <v>1</v>
      </c>
      <c r="N207" s="4">
        <v>0.51500000000000001</v>
      </c>
      <c r="O207" s="4">
        <v>0.51500000000000001</v>
      </c>
      <c r="P207" s="9" t="e">
        <f t="shared" si="80"/>
        <v>#N/A</v>
      </c>
      <c r="Q207" s="5">
        <v>36706</v>
      </c>
      <c r="R207" s="4">
        <f t="shared" si="76"/>
        <v>1</v>
      </c>
      <c r="S207" s="158" t="e">
        <f>_xll.xSPRDOPT($K207,$L207,$J207,$M207,$N207,$O207,$P207,$Q207-$C$3,$R207,0)</f>
        <v>#N/A</v>
      </c>
      <c r="T207" s="159" t="e">
        <f>_xll.xSPRDOPT($K207,$L207,$J207,$M207,$N207,$O207,$P207,$Q207-$C$3,$R207,1)*I207</f>
        <v>#N/A</v>
      </c>
      <c r="U207" s="160">
        <v>24000</v>
      </c>
      <c r="V207" s="159" t="e">
        <f>_xll.xSPRDOPT($K207,$L207,$J207,$M207,$N207,$O207,$P207,$Q207-$C$3,$R207,2)*I207</f>
        <v>#N/A</v>
      </c>
      <c r="W207" s="159" t="e">
        <f t="shared" si="77"/>
        <v>#N/A</v>
      </c>
      <c r="X207" s="51" t="str">
        <f t="shared" si="78"/>
        <v>36678IF-ELPO/SJ</v>
      </c>
      <c r="Y207" s="418">
        <f t="shared" si="79"/>
        <v>5</v>
      </c>
      <c r="Z207" s="51"/>
      <c r="AB207" s="141"/>
      <c r="AC207" s="234"/>
      <c r="AD207" s="234"/>
      <c r="AE207" s="439"/>
      <c r="AF207" s="234"/>
      <c r="AG207" s="234"/>
      <c r="AH207" s="234"/>
      <c r="AI207" s="234"/>
      <c r="AJ207" s="235"/>
      <c r="BG207" s="441">
        <v>42583</v>
      </c>
      <c r="BH207">
        <v>0</v>
      </c>
      <c r="BJ207" s="441">
        <v>42583</v>
      </c>
      <c r="BK207">
        <v>204</v>
      </c>
    </row>
    <row r="208" spans="1:63" ht="12" customHeight="1" x14ac:dyDescent="0.25">
      <c r="A208" s="384" t="s">
        <v>279</v>
      </c>
      <c r="B208" s="155" t="s">
        <v>250</v>
      </c>
      <c r="C208" s="155" t="s">
        <v>389</v>
      </c>
      <c r="D208" s="155" t="s">
        <v>190</v>
      </c>
      <c r="E208" s="4" t="s">
        <v>237</v>
      </c>
      <c r="F208" s="155" t="s">
        <v>20</v>
      </c>
      <c r="G208" s="155" t="s">
        <v>21</v>
      </c>
      <c r="H208" s="354">
        <v>36678</v>
      </c>
      <c r="I208" s="156">
        <v>50000</v>
      </c>
      <c r="J208" s="7">
        <v>0.46</v>
      </c>
      <c r="K208" s="53">
        <f t="shared" si="74"/>
        <v>6.94</v>
      </c>
      <c r="L208" s="53">
        <f t="shared" si="75"/>
        <v>3.29</v>
      </c>
      <c r="M208" s="157">
        <v>1</v>
      </c>
      <c r="N208" s="4">
        <v>0.51500000000000001</v>
      </c>
      <c r="O208" s="4">
        <v>0.51500000000000001</v>
      </c>
      <c r="P208" s="9" t="e">
        <f t="shared" si="80"/>
        <v>#N/A</v>
      </c>
      <c r="Q208" s="5">
        <v>36706</v>
      </c>
      <c r="R208" s="4">
        <f t="shared" si="76"/>
        <v>1</v>
      </c>
      <c r="S208" s="158" t="e">
        <f>_xll.xSPRDOPT($K208,$L208,$J208,$M208,$N208,$O208,$P208,$Q208-$C$3,$R208,0)</f>
        <v>#N/A</v>
      </c>
      <c r="T208" s="159" t="e">
        <f>_xll.xSPRDOPT($K208,$L208,$J208,$M208,$N208,$O208,$P208,$Q208-$C$3,$R208,1)*I208</f>
        <v>#N/A</v>
      </c>
      <c r="U208" s="160">
        <v>24000</v>
      </c>
      <c r="V208" s="159" t="e">
        <f>_xll.xSPRDOPT($K208,$L208,$J208,$M208,$N208,$O208,$P208,$Q208-$C$3,$R208,2)*I208</f>
        <v>#N/A</v>
      </c>
      <c r="W208" s="159" t="e">
        <f t="shared" si="77"/>
        <v>#N/A</v>
      </c>
      <c r="X208" s="51" t="str">
        <f t="shared" si="78"/>
        <v>36678IF-ELPO/SJ</v>
      </c>
      <c r="Y208" s="418">
        <f t="shared" si="79"/>
        <v>5</v>
      </c>
      <c r="Z208" s="51"/>
      <c r="AB208" s="141"/>
      <c r="AC208" s="234"/>
      <c r="AD208" s="234"/>
      <c r="AE208" s="439"/>
      <c r="AF208" s="234"/>
      <c r="AG208" s="234"/>
      <c r="AH208" s="234"/>
      <c r="AI208" s="234"/>
      <c r="AJ208" s="235"/>
      <c r="BG208" s="441">
        <v>42614</v>
      </c>
      <c r="BH208">
        <v>0</v>
      </c>
      <c r="BJ208" s="441">
        <v>42614</v>
      </c>
      <c r="BK208">
        <v>205</v>
      </c>
    </row>
    <row r="209" spans="1:63" ht="12" customHeight="1" x14ac:dyDescent="0.25">
      <c r="A209" s="384" t="s">
        <v>279</v>
      </c>
      <c r="B209" s="155" t="s">
        <v>250</v>
      </c>
      <c r="C209" s="155" t="s">
        <v>398</v>
      </c>
      <c r="D209" s="155" t="s">
        <v>190</v>
      </c>
      <c r="E209" s="4" t="s">
        <v>237</v>
      </c>
      <c r="F209" s="155" t="s">
        <v>20</v>
      </c>
      <c r="G209" s="155" t="s">
        <v>21</v>
      </c>
      <c r="H209" s="354">
        <v>36678</v>
      </c>
      <c r="I209" s="156">
        <v>-10000</v>
      </c>
      <c r="J209" s="7">
        <v>0.46</v>
      </c>
      <c r="K209" s="53">
        <f t="shared" si="74"/>
        <v>6.94</v>
      </c>
      <c r="L209" s="53">
        <f t="shared" si="75"/>
        <v>3.29</v>
      </c>
      <c r="M209" s="157">
        <v>1</v>
      </c>
      <c r="N209" s="4">
        <v>0.51500000000000001</v>
      </c>
      <c r="O209" s="4">
        <v>0.51500000000000001</v>
      </c>
      <c r="P209" s="9" t="e">
        <f t="shared" si="80"/>
        <v>#N/A</v>
      </c>
      <c r="Q209" s="5">
        <v>36706</v>
      </c>
      <c r="R209" s="4">
        <f t="shared" si="76"/>
        <v>1</v>
      </c>
      <c r="S209" s="158" t="e">
        <f>_xll.xSPRDOPT($K209,$L209,$J209,$M209,$N209,$O209,$P209,$Q209-$C$3,$R209,0)</f>
        <v>#N/A</v>
      </c>
      <c r="T209" s="159" t="e">
        <f>_xll.xSPRDOPT($K209,$L209,$J209,$M209,$N209,$O209,$P209,$Q209-$C$3,$R209,1)*I209</f>
        <v>#N/A</v>
      </c>
      <c r="U209" s="160">
        <v>-4800</v>
      </c>
      <c r="V209" s="159" t="e">
        <f>_xll.xSPRDOPT($K209,$L209,$J209,$M209,$N209,$O209,$P209,$Q209-$C$3,$R209,2)*I209</f>
        <v>#N/A</v>
      </c>
      <c r="W209" s="159" t="e">
        <f t="shared" si="77"/>
        <v>#N/A</v>
      </c>
      <c r="X209" s="51" t="str">
        <f t="shared" si="78"/>
        <v>36678IF-ELPO/SJ</v>
      </c>
      <c r="Y209" s="418">
        <f t="shared" si="79"/>
        <v>-1</v>
      </c>
      <c r="AB209" s="141"/>
      <c r="AC209" s="234"/>
      <c r="AD209" s="234"/>
      <c r="AE209" s="439"/>
      <c r="AF209" s="234"/>
      <c r="AG209" s="234"/>
      <c r="AH209" s="234"/>
      <c r="AI209" s="234"/>
      <c r="AJ209" s="235"/>
      <c r="BG209" s="441">
        <v>42644</v>
      </c>
      <c r="BH209">
        <v>0</v>
      </c>
      <c r="BJ209" s="441">
        <v>42644</v>
      </c>
      <c r="BK209">
        <v>206</v>
      </c>
    </row>
    <row r="210" spans="1:63" ht="12" customHeight="1" x14ac:dyDescent="0.25">
      <c r="A210" s="382" t="s">
        <v>279</v>
      </c>
      <c r="B210" s="155" t="s">
        <v>250</v>
      </c>
      <c r="C210" s="155" t="s">
        <v>360</v>
      </c>
      <c r="D210" s="155" t="s">
        <v>190</v>
      </c>
      <c r="E210" s="4" t="s">
        <v>237</v>
      </c>
      <c r="F210" s="155" t="s">
        <v>20</v>
      </c>
      <c r="G210" s="155" t="s">
        <v>21</v>
      </c>
      <c r="H210" s="354">
        <v>36678</v>
      </c>
      <c r="I210" s="156">
        <v>-50000</v>
      </c>
      <c r="J210" s="7">
        <v>0.46</v>
      </c>
      <c r="K210" s="53">
        <f t="shared" si="74"/>
        <v>7.24</v>
      </c>
      <c r="L210" s="53">
        <f t="shared" si="75"/>
        <v>3.34</v>
      </c>
      <c r="M210" s="157">
        <v>1</v>
      </c>
      <c r="N210" s="4">
        <v>0.51500000000000001</v>
      </c>
      <c r="O210" s="4">
        <v>0.51500000000000001</v>
      </c>
      <c r="P210" s="9" t="e">
        <f t="shared" si="80"/>
        <v>#N/A</v>
      </c>
      <c r="Q210" s="5">
        <v>36707</v>
      </c>
      <c r="R210" s="4">
        <f t="shared" si="76"/>
        <v>1</v>
      </c>
      <c r="S210" s="158" t="e">
        <f>_xll.xSPRDOPT($K210,$L210,$J210,$M210,$N210,$O210,$P210,$Q210-$C$3,$R210,0)</f>
        <v>#N/A</v>
      </c>
      <c r="T210" s="159" t="e">
        <f>_xll.xSPRDOPT($K210,$L210,$J210,$M210,$N210,$O210,$P210,$Q210-$C$3,$R210,1)*I210</f>
        <v>#N/A</v>
      </c>
      <c r="U210" s="160">
        <v>-22750</v>
      </c>
      <c r="V210" s="159" t="e">
        <f>_xll.xSPRDOPT($K210,$L210,$J210,$M210,$N210,$O210,$P210,$Q210-$C$3,$R210,2)*I210</f>
        <v>#N/A</v>
      </c>
      <c r="W210" s="159" t="e">
        <f t="shared" si="77"/>
        <v>#N/A</v>
      </c>
      <c r="X210" s="51" t="str">
        <f t="shared" si="78"/>
        <v>36678IF-ELPO/SJ</v>
      </c>
      <c r="Y210" s="418">
        <f t="shared" si="79"/>
        <v>-5</v>
      </c>
      <c r="AB210" s="141"/>
      <c r="AC210" s="234"/>
      <c r="AD210" s="234"/>
      <c r="AE210" s="439"/>
      <c r="AF210" s="234"/>
      <c r="AG210" s="234"/>
      <c r="AH210" s="234"/>
      <c r="AI210" s="234"/>
      <c r="AJ210" s="235"/>
      <c r="BG210" s="441">
        <v>42675</v>
      </c>
      <c r="BH210">
        <v>0</v>
      </c>
      <c r="BJ210" s="441">
        <v>42675</v>
      </c>
      <c r="BK210">
        <v>207</v>
      </c>
    </row>
    <row r="211" spans="1:63" ht="12" customHeight="1" x14ac:dyDescent="0.25">
      <c r="A211" s="382" t="s">
        <v>279</v>
      </c>
      <c r="B211" s="155" t="s">
        <v>250</v>
      </c>
      <c r="C211" s="155" t="s">
        <v>361</v>
      </c>
      <c r="D211" s="155" t="s">
        <v>190</v>
      </c>
      <c r="E211" s="4" t="s">
        <v>237</v>
      </c>
      <c r="F211" s="155" t="s">
        <v>20</v>
      </c>
      <c r="G211" s="155" t="s">
        <v>21</v>
      </c>
      <c r="H211" s="354">
        <v>36678</v>
      </c>
      <c r="I211" s="156">
        <v>10000</v>
      </c>
      <c r="J211" s="7">
        <v>0.46</v>
      </c>
      <c r="K211" s="53">
        <f t="shared" si="74"/>
        <v>7.24</v>
      </c>
      <c r="L211" s="53">
        <f t="shared" si="75"/>
        <v>3.34</v>
      </c>
      <c r="M211" s="157">
        <v>1</v>
      </c>
      <c r="N211" s="4">
        <v>0.51500000000000001</v>
      </c>
      <c r="O211" s="4">
        <v>0.51500000000000001</v>
      </c>
      <c r="P211" s="9" t="e">
        <f t="shared" si="80"/>
        <v>#N/A</v>
      </c>
      <c r="Q211" s="5">
        <v>36707</v>
      </c>
      <c r="R211" s="4">
        <f t="shared" si="76"/>
        <v>1</v>
      </c>
      <c r="S211" s="158" t="e">
        <f>_xll.xSPRDOPT($K211,$L211,$J211,$M211,$N211,$O211,$P211,$Q211-$C$3,$R211,0)</f>
        <v>#N/A</v>
      </c>
      <c r="T211" s="159" t="e">
        <f>_xll.xSPRDOPT($K211,$L211,$J211,$M211,$N211,$O211,$P211,$Q211-$C$3,$R211,1)*I211</f>
        <v>#N/A</v>
      </c>
      <c r="U211" s="160">
        <v>4550</v>
      </c>
      <c r="V211" s="159" t="e">
        <f>_xll.xSPRDOPT($K211,$L211,$J211,$M211,$N211,$O211,$P211,$Q211-$C$3,$R211,2)*I211</f>
        <v>#N/A</v>
      </c>
      <c r="W211" s="159" t="e">
        <f t="shared" si="77"/>
        <v>#N/A</v>
      </c>
      <c r="X211" s="51" t="str">
        <f t="shared" si="78"/>
        <v>36678IF-ELPO/SJ</v>
      </c>
      <c r="Y211" s="418">
        <f t="shared" si="79"/>
        <v>1</v>
      </c>
      <c r="AB211" s="141"/>
      <c r="AC211" s="234"/>
      <c r="AD211" s="234"/>
      <c r="AE211" s="439"/>
      <c r="AF211" s="234"/>
      <c r="AG211" s="234"/>
      <c r="AH211" s="234"/>
      <c r="AI211" s="234"/>
      <c r="AJ211" s="235"/>
      <c r="BG211" s="441">
        <v>42705</v>
      </c>
      <c r="BH211">
        <v>0</v>
      </c>
      <c r="BJ211" s="441">
        <v>42705</v>
      </c>
      <c r="BK211">
        <v>208</v>
      </c>
    </row>
    <row r="212" spans="1:63" ht="12" customHeight="1" x14ac:dyDescent="0.25">
      <c r="A212" s="382" t="s">
        <v>279</v>
      </c>
      <c r="B212" s="155" t="s">
        <v>250</v>
      </c>
      <c r="C212" s="155" t="s">
        <v>364</v>
      </c>
      <c r="D212" s="155" t="s">
        <v>190</v>
      </c>
      <c r="E212" s="4" t="s">
        <v>237</v>
      </c>
      <c r="F212" s="155" t="s">
        <v>20</v>
      </c>
      <c r="G212" s="155" t="s">
        <v>21</v>
      </c>
      <c r="H212" s="354">
        <v>36678</v>
      </c>
      <c r="I212" s="156">
        <v>-333333</v>
      </c>
      <c r="J212" s="7">
        <v>0.46</v>
      </c>
      <c r="K212" s="53">
        <f t="shared" si="74"/>
        <v>7.24</v>
      </c>
      <c r="L212" s="53">
        <f t="shared" si="75"/>
        <v>3.34</v>
      </c>
      <c r="M212" s="157">
        <v>1</v>
      </c>
      <c r="N212" s="4">
        <v>0.51500000000000001</v>
      </c>
      <c r="O212" s="4">
        <v>0.51500000000000001</v>
      </c>
      <c r="P212" s="9" t="e">
        <f t="shared" si="80"/>
        <v>#N/A</v>
      </c>
      <c r="Q212" s="5">
        <v>36707</v>
      </c>
      <c r="R212" s="4">
        <f t="shared" si="76"/>
        <v>1</v>
      </c>
      <c r="S212" s="158" t="e">
        <f>_xll.xSPRDOPT($K212,$L212,$J212,$M212,$N212,$O212,$P212,$Q212-$C$3,$R212,0)</f>
        <v>#N/A</v>
      </c>
      <c r="T212" s="159" t="e">
        <f>_xll.xSPRDOPT($K212,$L212,$J212,$M212,$N212,$O212,$P212,$Q212-$C$3,$R212,1)*I212</f>
        <v>#N/A</v>
      </c>
      <c r="U212" s="160">
        <v>-151666.51500000001</v>
      </c>
      <c r="V212" s="159" t="e">
        <f>_xll.xSPRDOPT($K212,$L212,$J212,$M212,$N212,$O212,$P212,$Q212-$C$3,$R212,2)*I212</f>
        <v>#N/A</v>
      </c>
      <c r="W212" s="159" t="e">
        <f t="shared" si="77"/>
        <v>#N/A</v>
      </c>
      <c r="X212" s="51" t="str">
        <f t="shared" si="78"/>
        <v>36678IF-ELPO/SJ</v>
      </c>
      <c r="Y212" s="418">
        <f t="shared" si="79"/>
        <v>-33.333300000000001</v>
      </c>
      <c r="Z212" s="51"/>
      <c r="AB212" s="141"/>
      <c r="AC212" s="234"/>
      <c r="AD212" s="234"/>
      <c r="AE212" s="439"/>
      <c r="AF212" s="234"/>
      <c r="AG212" s="234"/>
      <c r="AH212" s="234"/>
      <c r="AI212" s="234"/>
      <c r="AJ212" s="235"/>
      <c r="BG212" s="441">
        <v>42736</v>
      </c>
      <c r="BH212">
        <v>0</v>
      </c>
      <c r="BJ212" s="441">
        <v>42736</v>
      </c>
      <c r="BK212">
        <v>209</v>
      </c>
    </row>
    <row r="213" spans="1:63" ht="12" customHeight="1" x14ac:dyDescent="0.25">
      <c r="A213" s="384" t="s">
        <v>268</v>
      </c>
      <c r="B213" s="155" t="s">
        <v>250</v>
      </c>
      <c r="C213" s="155" t="s">
        <v>387</v>
      </c>
      <c r="D213" s="155" t="s">
        <v>190</v>
      </c>
      <c r="E213" s="4" t="s">
        <v>237</v>
      </c>
      <c r="F213" s="155" t="s">
        <v>20</v>
      </c>
      <c r="G213" s="155" t="s">
        <v>21</v>
      </c>
      <c r="H213" s="354">
        <v>36678</v>
      </c>
      <c r="I213" s="156">
        <v>-10000</v>
      </c>
      <c r="J213" s="7">
        <v>0.46</v>
      </c>
      <c r="K213" s="53">
        <f t="shared" si="74"/>
        <v>7.24</v>
      </c>
      <c r="L213" s="53">
        <f t="shared" si="75"/>
        <v>3.34</v>
      </c>
      <c r="M213" s="157">
        <v>1</v>
      </c>
      <c r="N213" s="4">
        <v>0.51500000000000001</v>
      </c>
      <c r="O213" s="4">
        <v>0.51500000000000001</v>
      </c>
      <c r="P213" s="9" t="e">
        <f t="shared" si="80"/>
        <v>#N/A</v>
      </c>
      <c r="Q213" s="5">
        <v>36707</v>
      </c>
      <c r="R213" s="4">
        <f t="shared" si="76"/>
        <v>1</v>
      </c>
      <c r="S213" s="158" t="e">
        <f>_xll.xSPRDOPT($K213,$L213,$J213,$M213,$N213,$O213,$P213,$Q213-$C$3,$R213,0)</f>
        <v>#N/A</v>
      </c>
      <c r="T213" s="159" t="e">
        <f>_xll.xSPRDOPT($K213,$L213,$J213,$M213,$N213,$O213,$P213,$Q213-$C$3,$R213,1)*I213</f>
        <v>#N/A</v>
      </c>
      <c r="U213" s="160">
        <v>-4550</v>
      </c>
      <c r="V213" s="159" t="e">
        <f>_xll.xSPRDOPT($K213,$L213,$J213,$M213,$N213,$O213,$P213,$Q213-$C$3,$R213,2)*I213</f>
        <v>#N/A</v>
      </c>
      <c r="W213" s="159" t="e">
        <f t="shared" si="77"/>
        <v>#N/A</v>
      </c>
      <c r="X213" s="51" t="str">
        <f t="shared" si="78"/>
        <v>36678IF-ELPO/SJ</v>
      </c>
      <c r="Y213" s="418">
        <f t="shared" si="79"/>
        <v>-1</v>
      </c>
      <c r="Z213" s="51"/>
      <c r="AB213" s="141"/>
      <c r="AC213" s="234"/>
      <c r="AD213" s="234"/>
      <c r="AE213" s="439"/>
      <c r="AF213" s="234"/>
      <c r="AG213" s="234"/>
      <c r="AH213" s="234"/>
      <c r="AI213" s="234"/>
      <c r="AJ213" s="235"/>
      <c r="BG213" s="441">
        <v>42767</v>
      </c>
      <c r="BH213">
        <v>0</v>
      </c>
      <c r="BJ213" s="441">
        <v>42767</v>
      </c>
      <c r="BK213">
        <v>210</v>
      </c>
    </row>
    <row r="214" spans="1:63" ht="12" customHeight="1" x14ac:dyDescent="0.25">
      <c r="A214" s="384" t="s">
        <v>279</v>
      </c>
      <c r="B214" s="155" t="s">
        <v>250</v>
      </c>
      <c r="C214" s="155" t="s">
        <v>388</v>
      </c>
      <c r="D214" s="155" t="s">
        <v>190</v>
      </c>
      <c r="E214" s="4" t="s">
        <v>237</v>
      </c>
      <c r="F214" s="155" t="s">
        <v>20</v>
      </c>
      <c r="G214" s="155" t="s">
        <v>21</v>
      </c>
      <c r="H214" s="354">
        <v>36678</v>
      </c>
      <c r="I214" s="156">
        <v>50000</v>
      </c>
      <c r="J214" s="7">
        <v>0.46</v>
      </c>
      <c r="K214" s="53">
        <f t="shared" si="74"/>
        <v>7.24</v>
      </c>
      <c r="L214" s="53">
        <f t="shared" si="75"/>
        <v>3.34</v>
      </c>
      <c r="M214" s="157">
        <v>1</v>
      </c>
      <c r="N214" s="4">
        <v>0.51500000000000001</v>
      </c>
      <c r="O214" s="4">
        <v>0.51500000000000001</v>
      </c>
      <c r="P214" s="9" t="e">
        <f t="shared" si="80"/>
        <v>#N/A</v>
      </c>
      <c r="Q214" s="5">
        <v>36707</v>
      </c>
      <c r="R214" s="4">
        <f t="shared" si="76"/>
        <v>1</v>
      </c>
      <c r="S214" s="158" t="e">
        <f>_xll.xSPRDOPT($K214,$L214,$J214,$M214,$N214,$O214,$P214,$Q214-$C$3,$R214,0)</f>
        <v>#N/A</v>
      </c>
      <c r="T214" s="159" t="e">
        <f>_xll.xSPRDOPT($K214,$L214,$J214,$M214,$N214,$O214,$P214,$Q214-$C$3,$R214,1)*I214</f>
        <v>#N/A</v>
      </c>
      <c r="U214" s="160">
        <v>22750</v>
      </c>
      <c r="V214" s="159" t="e">
        <f>_xll.xSPRDOPT($K214,$L214,$J214,$M214,$N214,$O214,$P214,$Q214-$C$3,$R214,2)*I214</f>
        <v>#N/A</v>
      </c>
      <c r="W214" s="159" t="e">
        <f t="shared" si="77"/>
        <v>#N/A</v>
      </c>
      <c r="X214" s="51" t="str">
        <f t="shared" si="78"/>
        <v>36678IF-ELPO/SJ</v>
      </c>
      <c r="Y214" s="418">
        <f t="shared" si="79"/>
        <v>5</v>
      </c>
      <c r="Z214" s="51"/>
      <c r="AB214" s="141"/>
      <c r="AC214" s="234"/>
      <c r="AD214" s="234"/>
      <c r="AE214" s="439"/>
      <c r="AF214" s="234"/>
      <c r="AG214" s="234"/>
      <c r="AH214" s="234"/>
      <c r="AI214" s="234"/>
      <c r="AJ214" s="235"/>
      <c r="BG214" s="441">
        <v>42795</v>
      </c>
      <c r="BH214">
        <v>0</v>
      </c>
      <c r="BJ214" s="441">
        <v>42795</v>
      </c>
      <c r="BK214">
        <v>211</v>
      </c>
    </row>
    <row r="215" spans="1:63" ht="12" customHeight="1" x14ac:dyDescent="0.25">
      <c r="A215" s="384" t="s">
        <v>279</v>
      </c>
      <c r="B215" s="155" t="s">
        <v>250</v>
      </c>
      <c r="C215" s="155" t="s">
        <v>389</v>
      </c>
      <c r="D215" s="155" t="s">
        <v>190</v>
      </c>
      <c r="E215" s="4" t="s">
        <v>237</v>
      </c>
      <c r="F215" s="155" t="s">
        <v>20</v>
      </c>
      <c r="G215" s="155" t="s">
        <v>21</v>
      </c>
      <c r="H215" s="354">
        <v>36678</v>
      </c>
      <c r="I215" s="156">
        <v>50000</v>
      </c>
      <c r="J215" s="7">
        <v>0.46</v>
      </c>
      <c r="K215" s="53">
        <f t="shared" si="74"/>
        <v>7.24</v>
      </c>
      <c r="L215" s="53">
        <f t="shared" si="75"/>
        <v>3.34</v>
      </c>
      <c r="M215" s="157">
        <v>1</v>
      </c>
      <c r="N215" s="4">
        <v>0.51500000000000001</v>
      </c>
      <c r="O215" s="4">
        <v>0.51500000000000001</v>
      </c>
      <c r="P215" s="9" t="e">
        <f t="shared" si="80"/>
        <v>#N/A</v>
      </c>
      <c r="Q215" s="5">
        <v>36707</v>
      </c>
      <c r="R215" s="4">
        <f t="shared" si="76"/>
        <v>1</v>
      </c>
      <c r="S215" s="158" t="e">
        <f>_xll.xSPRDOPT($K215,$L215,$J215,$M215,$N215,$O215,$P215,$Q215-$C$3,$R215,0)</f>
        <v>#N/A</v>
      </c>
      <c r="T215" s="159" t="e">
        <f>_xll.xSPRDOPT($K215,$L215,$J215,$M215,$N215,$O215,$P215,$Q215-$C$3,$R215,1)*I215</f>
        <v>#N/A</v>
      </c>
      <c r="U215" s="160">
        <v>22750</v>
      </c>
      <c r="V215" s="159" t="e">
        <f>_xll.xSPRDOPT($K215,$L215,$J215,$M215,$N215,$O215,$P215,$Q215-$C$3,$R215,2)*I215</f>
        <v>#N/A</v>
      </c>
      <c r="W215" s="159" t="e">
        <f t="shared" si="77"/>
        <v>#N/A</v>
      </c>
      <c r="X215" s="51" t="str">
        <f t="shared" si="78"/>
        <v>36678IF-ELPO/SJ</v>
      </c>
      <c r="Y215" s="418">
        <f t="shared" si="79"/>
        <v>5</v>
      </c>
      <c r="Z215" s="51"/>
      <c r="AB215" s="141"/>
      <c r="AC215" s="234"/>
      <c r="AD215" s="234"/>
      <c r="AE215" s="439"/>
      <c r="AF215" s="234"/>
      <c r="AG215" s="234"/>
      <c r="AH215" s="234"/>
      <c r="AI215" s="234"/>
      <c r="AJ215" s="235"/>
      <c r="BG215" s="441">
        <v>42826</v>
      </c>
      <c r="BH215">
        <v>0</v>
      </c>
      <c r="BJ215" s="441">
        <v>42826</v>
      </c>
      <c r="BK215">
        <v>212</v>
      </c>
    </row>
    <row r="216" spans="1:63" ht="12" customHeight="1" x14ac:dyDescent="0.25">
      <c r="A216" s="384" t="s">
        <v>279</v>
      </c>
      <c r="B216" s="155" t="s">
        <v>250</v>
      </c>
      <c r="C216" s="155" t="s">
        <v>398</v>
      </c>
      <c r="D216" s="155" t="s">
        <v>190</v>
      </c>
      <c r="E216" s="4" t="s">
        <v>237</v>
      </c>
      <c r="F216" s="155" t="s">
        <v>20</v>
      </c>
      <c r="G216" s="155" t="s">
        <v>21</v>
      </c>
      <c r="H216" s="354">
        <v>36678</v>
      </c>
      <c r="I216" s="156">
        <v>-10000</v>
      </c>
      <c r="J216" s="7">
        <v>0.46</v>
      </c>
      <c r="K216" s="53">
        <f t="shared" si="74"/>
        <v>7.24</v>
      </c>
      <c r="L216" s="53">
        <f t="shared" si="75"/>
        <v>3.34</v>
      </c>
      <c r="M216" s="157">
        <v>1</v>
      </c>
      <c r="N216" s="4">
        <v>0.51500000000000001</v>
      </c>
      <c r="O216" s="4">
        <v>0.51500000000000001</v>
      </c>
      <c r="P216" s="9" t="e">
        <f t="shared" si="80"/>
        <v>#N/A</v>
      </c>
      <c r="Q216" s="5">
        <v>36707</v>
      </c>
      <c r="R216" s="4">
        <f t="shared" si="76"/>
        <v>1</v>
      </c>
      <c r="S216" s="158" t="e">
        <f>_xll.xSPRDOPT($K216,$L216,$J216,$M216,$N216,$O216,$P216,$Q216-$C$3,$R216,0)</f>
        <v>#N/A</v>
      </c>
      <c r="T216" s="159" t="e">
        <f>_xll.xSPRDOPT($K216,$L216,$J216,$M216,$N216,$O216,$P216,$Q216-$C$3,$R216,1)*I216</f>
        <v>#N/A</v>
      </c>
      <c r="U216" s="160">
        <v>-4550</v>
      </c>
      <c r="V216" s="159" t="e">
        <f>_xll.xSPRDOPT($K216,$L216,$J216,$M216,$N216,$O216,$P216,$Q216-$C$3,$R216,2)*I216</f>
        <v>#N/A</v>
      </c>
      <c r="W216" s="159" t="e">
        <f t="shared" si="77"/>
        <v>#N/A</v>
      </c>
      <c r="X216" s="51" t="str">
        <f t="shared" si="78"/>
        <v>36678IF-ELPO/SJ</v>
      </c>
      <c r="Y216" s="418">
        <f t="shared" si="79"/>
        <v>-1</v>
      </c>
      <c r="Z216" s="51"/>
      <c r="AB216" s="141"/>
      <c r="AC216" s="234"/>
      <c r="AD216" s="234"/>
      <c r="AE216" s="439"/>
      <c r="AF216" s="234"/>
      <c r="AG216" s="234"/>
      <c r="AH216" s="234"/>
      <c r="AI216" s="234"/>
      <c r="AJ216" s="235"/>
      <c r="BG216" s="441">
        <v>42856</v>
      </c>
      <c r="BH216">
        <v>0</v>
      </c>
      <c r="BJ216" s="441">
        <v>42856</v>
      </c>
      <c r="BK216">
        <v>213</v>
      </c>
    </row>
    <row r="217" spans="1:63" ht="12" customHeight="1" x14ac:dyDescent="0.25">
      <c r="A217" s="384" t="s">
        <v>281</v>
      </c>
      <c r="B217" s="155" t="s">
        <v>250</v>
      </c>
      <c r="C217" s="155" t="s">
        <v>545</v>
      </c>
      <c r="D217" s="155" t="s">
        <v>544</v>
      </c>
      <c r="E217" s="4" t="s">
        <v>543</v>
      </c>
      <c r="F217" s="155" t="s">
        <v>20</v>
      </c>
      <c r="G217" s="155" t="s">
        <v>1</v>
      </c>
      <c r="H217" s="498">
        <v>36831</v>
      </c>
      <c r="I217" s="156">
        <v>500000</v>
      </c>
      <c r="J217" s="7">
        <v>0.5</v>
      </c>
      <c r="K217" s="53">
        <f>(Curves!$BI18)</f>
        <v>5.5060000000000002</v>
      </c>
      <c r="L217" s="53">
        <f>(Curves!$BJ18)</f>
        <v>4.6970000000000001</v>
      </c>
      <c r="M217" s="500">
        <v>0.61250000000000004</v>
      </c>
      <c r="N217" s="501">
        <v>0.51500000000000001</v>
      </c>
      <c r="O217" s="501">
        <v>0.51500000000000001</v>
      </c>
      <c r="P217" s="499">
        <v>0.93617992781679515</v>
      </c>
      <c r="Q217" s="5">
        <v>36860</v>
      </c>
      <c r="R217" s="4">
        <f>IF(G217="P",0,1)</f>
        <v>0</v>
      </c>
      <c r="S217" s="158">
        <f>_xll.xSPRDOPT($K217,$L217,$J217,$M217,$N217,$O217,$P217,$Q217-$C$3,$R217,0)</f>
        <v>6.7600808625272013E-2</v>
      </c>
      <c r="T217" s="159">
        <f>_xll.xSPRDOPT($K217,$L217,$J217,$M217,$N217,$O217,$P217,$Q217-$C$3,$R217,1)*I217</f>
        <v>-106861.96552520449</v>
      </c>
      <c r="U217" s="160">
        <f>S217*I217*0+55000</f>
        <v>55000</v>
      </c>
      <c r="V217" s="159">
        <f>_xll.xSPRDOPT($K217,$L217,$J217,$M217,$N217,$O217,$P217,$Q217-$C$3,$R217,2)*I217</f>
        <v>119350.95369634824</v>
      </c>
      <c r="W217" s="159">
        <f>+V217+T217</f>
        <v>12488.988171143748</v>
      </c>
      <c r="X217" s="51" t="str">
        <f>CONCATENATE(H217,E217)</f>
        <v>36831GDP-HEHUB</v>
      </c>
      <c r="Y217" s="418">
        <f>I217/10000</f>
        <v>50</v>
      </c>
      <c r="Z217" s="51"/>
      <c r="AB217" s="141"/>
      <c r="AC217" s="234"/>
      <c r="AD217" s="234"/>
      <c r="AE217" s="439"/>
      <c r="AF217" s="234"/>
      <c r="AG217" s="234"/>
      <c r="AH217" s="234"/>
      <c r="AI217" s="234"/>
      <c r="AJ217" s="235"/>
      <c r="BG217" s="441">
        <v>42887</v>
      </c>
      <c r="BH217">
        <v>0</v>
      </c>
      <c r="BJ217" s="441">
        <v>42887</v>
      </c>
      <c r="BK217">
        <v>214</v>
      </c>
    </row>
    <row r="218" spans="1:63" ht="12" customHeight="1" x14ac:dyDescent="0.25">
      <c r="A218" s="384" t="s">
        <v>281</v>
      </c>
      <c r="B218" s="155" t="s">
        <v>250</v>
      </c>
      <c r="C218" s="155" t="s">
        <v>545</v>
      </c>
      <c r="D218" s="155" t="s">
        <v>544</v>
      </c>
      <c r="E218" s="4" t="s">
        <v>543</v>
      </c>
      <c r="F218" s="155" t="s">
        <v>20</v>
      </c>
      <c r="G218" s="155" t="s">
        <v>1</v>
      </c>
      <c r="H218" s="498">
        <v>36861</v>
      </c>
      <c r="I218" s="156">
        <v>500000</v>
      </c>
      <c r="J218" s="7">
        <v>0.5</v>
      </c>
      <c r="K218" s="53">
        <f>(Curves!$BI19)</f>
        <v>6.4450000000000003</v>
      </c>
      <c r="L218" s="53">
        <f>(Curves!$BJ19)</f>
        <v>4.7409999999999997</v>
      </c>
      <c r="M218" s="500">
        <v>0.61250000000000004</v>
      </c>
      <c r="N218" s="501">
        <v>0.51500000000000001</v>
      </c>
      <c r="O218" s="501">
        <v>0.51500000000000001</v>
      </c>
      <c r="P218" s="499">
        <v>0.9372438581021979</v>
      </c>
      <c r="Q218" s="5">
        <v>36891</v>
      </c>
      <c r="R218" s="4">
        <f>IF(G218="P",0,1)</f>
        <v>0</v>
      </c>
      <c r="S218" s="158">
        <f>_xll.xSPRDOPT($K218,$L218,$J218,$M218,$N218,$O218,$P218,$Q218-$C$3,$R218,0)</f>
        <v>4.6519502774259869E-3</v>
      </c>
      <c r="T218" s="159">
        <f>_xll.xSPRDOPT($K218,$L218,$J218,$M218,$N218,$O218,$P218,$Q218-$C$3,$R218,1)*I218</f>
        <v>-8882.9433971658327</v>
      </c>
      <c r="U218" s="160">
        <f>S218*I218*0+55000</f>
        <v>55000</v>
      </c>
      <c r="V218" s="159">
        <f>_xll.xSPRDOPT($K218,$L218,$J218,$M218,$N218,$O218,$P218,$Q218-$C$3,$R218,2)*I218</f>
        <v>11275.479327371773</v>
      </c>
      <c r="W218" s="159">
        <f>+V218+T218</f>
        <v>2392.5359302059405</v>
      </c>
      <c r="X218" s="51" t="str">
        <f>CONCATENATE(H218,E218)</f>
        <v>36861GDP-HEHUB</v>
      </c>
      <c r="Y218" s="418">
        <f>I218/10000</f>
        <v>50</v>
      </c>
      <c r="AB218" s="141"/>
      <c r="AC218" s="234"/>
      <c r="AD218" s="234"/>
      <c r="AE218" s="439"/>
      <c r="AF218" s="234"/>
      <c r="AG218" s="234"/>
      <c r="AH218" s="234"/>
      <c r="AI218" s="234"/>
      <c r="AJ218" s="235"/>
      <c r="BG218" s="441">
        <v>42917</v>
      </c>
      <c r="BH218">
        <v>0</v>
      </c>
      <c r="BJ218" s="441">
        <v>42917</v>
      </c>
      <c r="BK218">
        <v>215</v>
      </c>
    </row>
    <row r="219" spans="1:63" ht="12" customHeight="1" x14ac:dyDescent="0.25">
      <c r="A219" s="384" t="s">
        <v>281</v>
      </c>
      <c r="B219" s="155" t="s">
        <v>250</v>
      </c>
      <c r="C219" s="155" t="s">
        <v>545</v>
      </c>
      <c r="D219" s="155" t="s">
        <v>544</v>
      </c>
      <c r="E219" s="4" t="s">
        <v>543</v>
      </c>
      <c r="F219" s="155" t="s">
        <v>20</v>
      </c>
      <c r="G219" s="155" t="s">
        <v>1</v>
      </c>
      <c r="H219" s="498">
        <v>36892</v>
      </c>
      <c r="I219" s="156">
        <v>500000</v>
      </c>
      <c r="J219" s="7">
        <v>0.5</v>
      </c>
      <c r="K219" s="53">
        <f>(Curves!$BI20)</f>
        <v>6.9139999999999997</v>
      </c>
      <c r="L219" s="53">
        <f>(Curves!$BJ20)</f>
        <v>4.8049999999999997</v>
      </c>
      <c r="M219" s="500">
        <v>0.61250000000000004</v>
      </c>
      <c r="N219" s="501">
        <v>0.51500000000000001</v>
      </c>
      <c r="O219" s="501">
        <v>0.51500000000000001</v>
      </c>
      <c r="P219" s="499">
        <v>0.9372438581021979</v>
      </c>
      <c r="Q219" s="5">
        <v>36922</v>
      </c>
      <c r="R219" s="4">
        <f>IF(G219="P",0,1)</f>
        <v>0</v>
      </c>
      <c r="S219" s="158">
        <f>_xll.xSPRDOPT($K219,$L219,$J219,$M219,$N219,$O219,$P219,$Q219-$C$3,$R219,0)</f>
        <v>2.3367149336330773E-3</v>
      </c>
      <c r="T219" s="159">
        <f>_xll.xSPRDOPT($K219,$L219,$J219,$M219,$N219,$O219,$P219,$Q219-$C$3,$R219,1)*I219</f>
        <v>-4045.6460566870578</v>
      </c>
      <c r="U219" s="160">
        <f>S219*I219*0+55000</f>
        <v>55000</v>
      </c>
      <c r="V219" s="159">
        <f>_xll.xSPRDOPT($K219,$L219,$J219,$M219,$N219,$O219,$P219,$Q219-$C$3,$R219,2)*I219</f>
        <v>5435.5835434716782</v>
      </c>
      <c r="W219" s="159">
        <f>+V219+T219</f>
        <v>1389.9374867846204</v>
      </c>
      <c r="X219" s="51" t="str">
        <f>CONCATENATE(H219,E219)</f>
        <v>36892GDP-HEHUB</v>
      </c>
      <c r="Y219" s="418">
        <f>I219/10000</f>
        <v>50</v>
      </c>
      <c r="Z219" s="51"/>
      <c r="AB219" s="141"/>
      <c r="AC219" s="234"/>
      <c r="AD219" s="234"/>
      <c r="AE219" s="439"/>
      <c r="AF219" s="234"/>
      <c r="AG219" s="234"/>
      <c r="AH219" s="234"/>
      <c r="AI219" s="234"/>
      <c r="AJ219" s="235"/>
      <c r="BG219" s="441">
        <v>42948</v>
      </c>
      <c r="BH219">
        <v>0</v>
      </c>
      <c r="BJ219" s="441">
        <v>42948</v>
      </c>
      <c r="BK219">
        <v>216</v>
      </c>
    </row>
    <row r="220" spans="1:63" ht="12" customHeight="1" x14ac:dyDescent="0.25">
      <c r="A220" s="384" t="s">
        <v>281</v>
      </c>
      <c r="B220" s="155" t="s">
        <v>250</v>
      </c>
      <c r="C220" s="155" t="s">
        <v>545</v>
      </c>
      <c r="D220" s="155" t="s">
        <v>544</v>
      </c>
      <c r="E220" s="4" t="s">
        <v>543</v>
      </c>
      <c r="F220" s="155" t="s">
        <v>20</v>
      </c>
      <c r="G220" s="155" t="s">
        <v>1</v>
      </c>
      <c r="H220" s="498">
        <v>36923</v>
      </c>
      <c r="I220" s="156">
        <v>500000</v>
      </c>
      <c r="J220" s="7">
        <v>0.5</v>
      </c>
      <c r="K220" s="53">
        <f>(Curves!$BI21)</f>
        <v>6.57</v>
      </c>
      <c r="L220" s="53">
        <f>(Curves!$BJ21)</f>
        <v>4.7489999999999997</v>
      </c>
      <c r="M220" s="500">
        <v>0.61250000000000004</v>
      </c>
      <c r="N220" s="501">
        <v>0.51500000000000001</v>
      </c>
      <c r="O220" s="501">
        <v>0.51500000000000001</v>
      </c>
      <c r="P220" s="499">
        <v>0.9372438581021979</v>
      </c>
      <c r="Q220" s="5">
        <v>36950</v>
      </c>
      <c r="R220" s="4">
        <f>IF(G220="P",0,1)</f>
        <v>0</v>
      </c>
      <c r="S220" s="158">
        <f>_xll.xSPRDOPT($K220,$L220,$J220,$M220,$N220,$O220,$P220,$Q220-$C$3,$R220,0)</f>
        <v>8.8748230013562246E-3</v>
      </c>
      <c r="T220" s="159">
        <f>_xll.xSPRDOPT($K220,$L220,$J220,$M220,$N220,$O220,$P220,$Q220-$C$3,$R220,1)*I220</f>
        <v>-12710.879043959289</v>
      </c>
      <c r="U220" s="160">
        <f>S220*I220*0+55000</f>
        <v>55000</v>
      </c>
      <c r="V220" s="159">
        <f>_xll.xSPRDOPT($K220,$L220,$J220,$M220,$N220,$O220,$P220,$Q220-$C$3,$R220,2)*I220</f>
        <v>16596.342829677811</v>
      </c>
      <c r="W220" s="159">
        <f>+V220+T220</f>
        <v>3885.4637857185226</v>
      </c>
      <c r="X220" s="51" t="str">
        <f>CONCATENATE(H220,E220)</f>
        <v>36923GDP-HEHUB</v>
      </c>
      <c r="Y220" s="418">
        <f>I220/10000</f>
        <v>50</v>
      </c>
      <c r="Z220" s="51"/>
      <c r="AB220" s="141"/>
      <c r="AC220" s="234"/>
      <c r="AD220" s="234"/>
      <c r="AE220" s="439"/>
      <c r="AF220" s="234"/>
      <c r="AG220" s="234"/>
      <c r="AH220" s="234"/>
      <c r="AI220" s="234"/>
      <c r="AJ220" s="235"/>
      <c r="BG220" s="441">
        <v>42979</v>
      </c>
      <c r="BH220">
        <v>0</v>
      </c>
      <c r="BJ220" s="441">
        <v>42979</v>
      </c>
      <c r="BK220">
        <v>217</v>
      </c>
    </row>
    <row r="221" spans="1:63" ht="12" customHeight="1" x14ac:dyDescent="0.25">
      <c r="A221" s="384" t="s">
        <v>281</v>
      </c>
      <c r="B221" s="155" t="s">
        <v>250</v>
      </c>
      <c r="C221" s="155" t="s">
        <v>545</v>
      </c>
      <c r="D221" s="155" t="s">
        <v>544</v>
      </c>
      <c r="E221" s="4" t="s">
        <v>543</v>
      </c>
      <c r="F221" s="155" t="s">
        <v>20</v>
      </c>
      <c r="G221" s="155" t="s">
        <v>1</v>
      </c>
      <c r="H221" s="498">
        <v>36951</v>
      </c>
      <c r="I221" s="156">
        <v>500000</v>
      </c>
      <c r="J221" s="7">
        <v>0.5</v>
      </c>
      <c r="K221" s="53">
        <f>(Curves!$BI22)</f>
        <v>5.2880000000000003</v>
      </c>
      <c r="L221" s="53">
        <f>(Curves!$BJ22)</f>
        <v>4.4850000000000003</v>
      </c>
      <c r="M221" s="500">
        <v>0.61250000000000004</v>
      </c>
      <c r="N221" s="501">
        <v>0.51500000000000001</v>
      </c>
      <c r="O221" s="501">
        <v>0.51500000000000001</v>
      </c>
      <c r="P221" s="499">
        <v>0.9372438581021979</v>
      </c>
      <c r="Q221" s="5">
        <v>36981</v>
      </c>
      <c r="R221" s="4">
        <f>IF(G221="P",0,1)</f>
        <v>0</v>
      </c>
      <c r="S221" s="158">
        <f>_xll.xSPRDOPT($K221,$L221,$J221,$M221,$N221,$O221,$P221,$Q221-$C$3,$R221,0)</f>
        <v>0.11010841109846586</v>
      </c>
      <c r="T221" s="159">
        <f>_xll.xSPRDOPT($K221,$L221,$J221,$M221,$N221,$O221,$P221,$Q221-$C$3,$R221,1)*I221</f>
        <v>-108252.72427271465</v>
      </c>
      <c r="U221" s="160">
        <f>S221*I221*0+55000</f>
        <v>55000</v>
      </c>
      <c r="V221" s="159">
        <f>_xll.xSPRDOPT($K221,$L221,$J221,$M221,$N221,$O221,$P221,$Q221-$C$3,$R221,2)*I221</f>
        <v>125223.71175974805</v>
      </c>
      <c r="W221" s="159">
        <f>+V221+T221</f>
        <v>16970.987487033402</v>
      </c>
      <c r="X221" s="51" t="str">
        <f>CONCATENATE(H221,E221)</f>
        <v>36951GDP-HEHUB</v>
      </c>
      <c r="Y221" s="418">
        <f>I221/10000</f>
        <v>50</v>
      </c>
      <c r="Z221" s="51"/>
      <c r="AB221" s="141"/>
      <c r="AC221" s="234"/>
      <c r="AD221" s="234"/>
      <c r="AE221" s="439"/>
      <c r="AF221" s="234"/>
      <c r="AG221" s="234"/>
      <c r="AH221" s="234"/>
      <c r="AI221" s="234"/>
      <c r="AJ221" s="235"/>
      <c r="BG221" s="441">
        <v>43009</v>
      </c>
      <c r="BH221">
        <v>0</v>
      </c>
      <c r="BJ221" s="441">
        <v>43009</v>
      </c>
      <c r="BK221">
        <v>218</v>
      </c>
    </row>
    <row r="222" spans="1:63" ht="12" customHeight="1" x14ac:dyDescent="0.25">
      <c r="E222" s="4"/>
      <c r="H222" s="5"/>
      <c r="I222" s="130"/>
      <c r="K222" s="53"/>
      <c r="L222" s="4"/>
      <c r="M222" s="157"/>
      <c r="N222" s="4"/>
      <c r="O222" s="4"/>
      <c r="P222" s="9"/>
      <c r="Q222" s="5"/>
      <c r="R222" s="4"/>
      <c r="S222" s="158"/>
      <c r="T222" s="159"/>
      <c r="U222" s="160"/>
      <c r="V222" s="159"/>
      <c r="W222" s="159"/>
      <c r="X222" s="51"/>
      <c r="Y222" s="418"/>
      <c r="Z222" s="51"/>
      <c r="AB222" s="141"/>
      <c r="AC222" s="234"/>
      <c r="AD222" s="234"/>
      <c r="AE222" s="439"/>
      <c r="AF222" s="234"/>
      <c r="AG222" s="234"/>
      <c r="AH222" s="234"/>
      <c r="AI222" s="234"/>
      <c r="AJ222" s="235"/>
      <c r="BG222" s="441">
        <v>43040</v>
      </c>
      <c r="BH222">
        <v>0</v>
      </c>
      <c r="BJ222" s="441">
        <v>43040</v>
      </c>
      <c r="BK222">
        <v>219</v>
      </c>
    </row>
    <row r="223" spans="1:63" ht="12" customHeight="1" x14ac:dyDescent="0.25">
      <c r="E223" s="4"/>
      <c r="H223" s="5"/>
      <c r="I223" s="130"/>
      <c r="K223" s="53"/>
      <c r="L223" s="4"/>
      <c r="M223" s="157"/>
      <c r="N223" s="4"/>
      <c r="O223" s="4"/>
      <c r="P223" s="9"/>
      <c r="Q223" s="5"/>
      <c r="R223" s="4"/>
      <c r="S223" s="158"/>
      <c r="T223" s="159"/>
      <c r="U223" s="160"/>
      <c r="V223" s="159"/>
      <c r="W223" s="159"/>
      <c r="X223" s="51"/>
      <c r="Y223" s="418"/>
      <c r="AB223" s="141"/>
      <c r="AC223" s="234"/>
      <c r="AD223" s="234"/>
      <c r="AE223" s="439"/>
      <c r="AF223" s="234"/>
      <c r="AG223" s="234"/>
      <c r="AH223" s="234"/>
      <c r="AI223" s="234"/>
      <c r="AJ223" s="235"/>
      <c r="BG223" s="441">
        <v>43070</v>
      </c>
      <c r="BH223">
        <v>0</v>
      </c>
      <c r="BJ223" s="441">
        <v>43070</v>
      </c>
      <c r="BK223">
        <v>220</v>
      </c>
    </row>
    <row r="224" spans="1:63" ht="12" customHeight="1" x14ac:dyDescent="0.25">
      <c r="E224" s="4"/>
      <c r="H224" s="5"/>
      <c r="I224" s="130"/>
      <c r="K224" s="53"/>
      <c r="L224" s="4"/>
      <c r="M224" s="157"/>
      <c r="N224" s="4"/>
      <c r="O224" s="4"/>
      <c r="P224" s="9"/>
      <c r="Q224" s="5"/>
      <c r="R224" s="4"/>
      <c r="S224" s="158"/>
      <c r="T224" s="159"/>
      <c r="U224" s="160"/>
      <c r="V224" s="159"/>
      <c r="W224" s="159"/>
      <c r="X224" s="51"/>
      <c r="Y224" s="418"/>
      <c r="AB224" s="141"/>
      <c r="AC224" s="234"/>
      <c r="AD224" s="234"/>
      <c r="AE224" s="439"/>
      <c r="AF224" s="234"/>
      <c r="AG224" s="234"/>
      <c r="AH224" s="234"/>
      <c r="AI224" s="234"/>
      <c r="AJ224" s="235"/>
      <c r="BG224" s="441">
        <v>43101</v>
      </c>
      <c r="BH224">
        <v>0</v>
      </c>
      <c r="BJ224" s="441">
        <v>43101</v>
      </c>
      <c r="BK224">
        <v>221</v>
      </c>
    </row>
    <row r="225" spans="1:63" ht="12" customHeight="1" x14ac:dyDescent="0.25">
      <c r="E225" s="4"/>
      <c r="H225" s="5"/>
      <c r="I225" s="130"/>
      <c r="K225" s="53"/>
      <c r="L225" s="4"/>
      <c r="M225" s="157"/>
      <c r="N225" s="4"/>
      <c r="O225" s="4"/>
      <c r="P225" s="9"/>
      <c r="Q225" s="5"/>
      <c r="R225" s="4"/>
      <c r="S225" s="158"/>
      <c r="T225" s="159"/>
      <c r="U225" s="160"/>
      <c r="V225" s="159"/>
      <c r="W225" s="159"/>
      <c r="X225" s="51"/>
      <c r="Y225" s="418"/>
      <c r="AB225" s="141"/>
      <c r="AC225" s="234"/>
      <c r="AD225" s="234"/>
      <c r="AE225" s="439"/>
      <c r="AF225" s="234"/>
      <c r="AG225" s="234"/>
      <c r="AH225" s="234"/>
      <c r="AI225" s="234"/>
      <c r="AJ225" s="235"/>
      <c r="BG225" s="441">
        <v>43132</v>
      </c>
      <c r="BH225">
        <v>0</v>
      </c>
      <c r="BJ225" s="441">
        <v>43132</v>
      </c>
      <c r="BK225">
        <v>222</v>
      </c>
    </row>
    <row r="226" spans="1:63" ht="12" customHeight="1" x14ac:dyDescent="0.25">
      <c r="E226" s="4"/>
      <c r="H226" s="5"/>
      <c r="I226" s="130"/>
      <c r="K226" s="53"/>
      <c r="L226" s="4"/>
      <c r="M226" s="157"/>
      <c r="N226" s="4"/>
      <c r="O226" s="4"/>
      <c r="P226" s="9"/>
      <c r="Q226" s="5"/>
      <c r="R226" s="4"/>
      <c r="S226" s="158"/>
      <c r="T226" s="159"/>
      <c r="U226" s="160"/>
      <c r="V226" s="159"/>
      <c r="W226" s="159"/>
      <c r="X226" s="51"/>
      <c r="Y226" s="418"/>
      <c r="AB226" s="141"/>
      <c r="AC226" s="234"/>
      <c r="AD226" s="234"/>
      <c r="AE226" s="439"/>
      <c r="AF226" s="234"/>
      <c r="AG226" s="234"/>
      <c r="AH226" s="234"/>
      <c r="AI226" s="234"/>
      <c r="AJ226" s="235"/>
      <c r="BG226" s="441">
        <v>43160</v>
      </c>
      <c r="BH226">
        <v>0</v>
      </c>
      <c r="BJ226" s="441">
        <v>43160</v>
      </c>
      <c r="BK226">
        <v>223</v>
      </c>
    </row>
    <row r="227" spans="1:63" ht="12" customHeight="1" x14ac:dyDescent="0.25">
      <c r="E227" s="4"/>
      <c r="H227" s="5"/>
      <c r="I227" s="130"/>
      <c r="K227" s="53"/>
      <c r="L227" s="4"/>
      <c r="M227" s="157"/>
      <c r="N227" s="4"/>
      <c r="O227" s="4"/>
      <c r="P227" s="9"/>
      <c r="Q227" s="5"/>
      <c r="R227" s="4"/>
      <c r="S227" s="158"/>
      <c r="T227" s="159"/>
      <c r="U227" s="160"/>
      <c r="V227" s="159"/>
      <c r="W227" s="159"/>
      <c r="X227" s="51"/>
      <c r="Y227" s="418"/>
      <c r="Z227" s="51"/>
      <c r="AB227" s="141"/>
      <c r="AC227" s="234"/>
      <c r="AD227" s="234"/>
      <c r="AE227" s="439"/>
      <c r="AF227" s="234"/>
      <c r="AG227" s="234"/>
      <c r="AH227" s="234"/>
      <c r="AI227" s="234"/>
      <c r="AJ227" s="235"/>
      <c r="BG227" s="441">
        <v>43191</v>
      </c>
      <c r="BH227">
        <v>0</v>
      </c>
      <c r="BJ227" s="441">
        <v>43191</v>
      </c>
      <c r="BK227">
        <v>224</v>
      </c>
    </row>
    <row r="228" spans="1:63" ht="12" customHeight="1" x14ac:dyDescent="0.25">
      <c r="E228" s="4"/>
      <c r="H228" s="5"/>
      <c r="I228" s="130"/>
      <c r="K228" s="53"/>
      <c r="L228" s="4"/>
      <c r="M228" s="157"/>
      <c r="N228" s="4"/>
      <c r="O228" s="4"/>
      <c r="P228" s="9"/>
      <c r="Q228" s="5"/>
      <c r="R228" s="4"/>
      <c r="S228" s="158"/>
      <c r="T228" s="159"/>
      <c r="U228" s="160"/>
      <c r="V228" s="159"/>
      <c r="W228" s="159"/>
      <c r="X228" s="51"/>
      <c r="Y228" s="418"/>
      <c r="Z228" s="51"/>
      <c r="AB228" s="141"/>
      <c r="AC228" s="234"/>
      <c r="AD228" s="234"/>
      <c r="AE228" s="439"/>
      <c r="AF228" s="234"/>
      <c r="AG228" s="234"/>
      <c r="AH228" s="234"/>
      <c r="AI228" s="234"/>
      <c r="AJ228" s="235"/>
      <c r="BG228" s="441">
        <v>43221</v>
      </c>
      <c r="BH228">
        <v>0</v>
      </c>
      <c r="BJ228" s="441">
        <v>43221</v>
      </c>
      <c r="BK228">
        <v>225</v>
      </c>
    </row>
    <row r="229" spans="1:63" ht="12" customHeight="1" x14ac:dyDescent="0.25">
      <c r="E229" s="4"/>
      <c r="H229" s="5"/>
      <c r="I229" s="130"/>
      <c r="K229" s="53"/>
      <c r="L229" s="4"/>
      <c r="M229" s="157"/>
      <c r="N229" s="4"/>
      <c r="O229" s="4"/>
      <c r="P229" s="9"/>
      <c r="Q229" s="5"/>
      <c r="R229" s="4"/>
      <c r="S229" s="158"/>
      <c r="T229" s="159"/>
      <c r="U229" s="160"/>
      <c r="V229" s="159"/>
      <c r="W229" s="159"/>
      <c r="X229" s="51"/>
      <c r="Y229" s="418"/>
      <c r="Z229" s="51"/>
      <c r="AB229" s="141"/>
      <c r="AC229" s="234"/>
      <c r="AD229" s="234"/>
      <c r="AE229" s="439"/>
      <c r="AF229" s="234"/>
      <c r="AG229" s="234"/>
      <c r="AH229" s="234"/>
      <c r="AI229" s="234"/>
      <c r="AJ229" s="235"/>
      <c r="BG229" s="441">
        <v>43252</v>
      </c>
      <c r="BH229">
        <v>0</v>
      </c>
      <c r="BJ229" s="441">
        <v>43252</v>
      </c>
      <c r="BK229">
        <v>226</v>
      </c>
    </row>
    <row r="230" spans="1:63" ht="12" customHeight="1" x14ac:dyDescent="0.25">
      <c r="E230" s="4"/>
      <c r="H230" s="5"/>
      <c r="I230" s="130"/>
      <c r="K230" s="53"/>
      <c r="L230" s="4"/>
      <c r="M230" s="157"/>
      <c r="N230" s="4"/>
      <c r="O230" s="4"/>
      <c r="P230" s="9"/>
      <c r="Q230" s="5"/>
      <c r="R230" s="4"/>
      <c r="S230" s="158"/>
      <c r="T230" s="159"/>
      <c r="U230" s="160"/>
      <c r="V230" s="159"/>
      <c r="W230" s="159"/>
      <c r="X230" s="51"/>
      <c r="Y230" s="418"/>
      <c r="Z230" s="51"/>
      <c r="AB230" s="141"/>
      <c r="AC230" s="234"/>
      <c r="AD230" s="234"/>
      <c r="AE230" s="439"/>
      <c r="AF230" s="234"/>
      <c r="AG230" s="234"/>
      <c r="AH230" s="234"/>
      <c r="AI230" s="234"/>
      <c r="AJ230" s="235"/>
      <c r="BG230" s="441">
        <v>43282</v>
      </c>
      <c r="BH230">
        <v>0</v>
      </c>
      <c r="BJ230" s="441">
        <v>43282</v>
      </c>
      <c r="BK230">
        <v>227</v>
      </c>
    </row>
    <row r="231" spans="1:63" ht="12" customHeight="1" x14ac:dyDescent="0.25">
      <c r="A231" s="382"/>
      <c r="E231" s="4"/>
      <c r="H231" s="5"/>
      <c r="I231" s="130"/>
      <c r="K231" s="53"/>
      <c r="L231" s="4"/>
      <c r="M231" s="157"/>
      <c r="N231" s="4"/>
      <c r="O231" s="4"/>
      <c r="P231" s="9"/>
      <c r="Q231" s="5"/>
      <c r="R231" s="4"/>
      <c r="S231" s="158"/>
      <c r="T231" s="159"/>
      <c r="U231" s="160"/>
      <c r="V231" s="159"/>
      <c r="W231" s="159"/>
      <c r="X231" s="51"/>
      <c r="Y231" s="418"/>
      <c r="Z231" s="51"/>
      <c r="AB231" s="141"/>
      <c r="AC231" s="234"/>
      <c r="AD231" s="234"/>
      <c r="AE231" s="439"/>
      <c r="AF231" s="234"/>
      <c r="AG231" s="234"/>
      <c r="AH231" s="234"/>
      <c r="AI231" s="234"/>
      <c r="AJ231" s="235"/>
      <c r="BG231" s="441">
        <v>43313</v>
      </c>
      <c r="BH231">
        <v>0</v>
      </c>
      <c r="BJ231" s="441">
        <v>43313</v>
      </c>
      <c r="BK231">
        <v>228</v>
      </c>
    </row>
    <row r="232" spans="1:63" ht="12" customHeight="1" x14ac:dyDescent="0.25">
      <c r="A232" s="382"/>
      <c r="E232" s="4"/>
      <c r="H232" s="5"/>
      <c r="I232" s="130"/>
      <c r="K232" s="53"/>
      <c r="L232" s="4"/>
      <c r="M232" s="157"/>
      <c r="N232" s="4"/>
      <c r="O232" s="4"/>
      <c r="P232" s="9"/>
      <c r="Q232" s="5"/>
      <c r="R232" s="4"/>
      <c r="S232" s="158"/>
      <c r="T232" s="159"/>
      <c r="U232" s="160"/>
      <c r="V232" s="159"/>
      <c r="W232" s="159"/>
      <c r="X232" s="51"/>
      <c r="Y232" s="418"/>
      <c r="AB232" s="141"/>
      <c r="AC232" s="234"/>
      <c r="AD232" s="234"/>
      <c r="AE232" s="439"/>
      <c r="AF232" s="234"/>
      <c r="AG232" s="234"/>
      <c r="AH232" s="234"/>
      <c r="AI232" s="234"/>
      <c r="AJ232" s="235"/>
      <c r="BG232" s="441">
        <v>43344</v>
      </c>
      <c r="BH232">
        <v>0</v>
      </c>
      <c r="BJ232" s="441">
        <v>43344</v>
      </c>
      <c r="BK232">
        <v>229</v>
      </c>
    </row>
    <row r="233" spans="1:63" ht="12" customHeight="1" x14ac:dyDescent="0.25">
      <c r="A233" s="382"/>
      <c r="E233" s="4"/>
      <c r="H233" s="5"/>
      <c r="I233" s="130"/>
      <c r="K233" s="53"/>
      <c r="L233" s="4"/>
      <c r="M233" s="157"/>
      <c r="N233" s="4"/>
      <c r="O233" s="4"/>
      <c r="P233" s="9"/>
      <c r="Q233" s="5"/>
      <c r="R233" s="4"/>
      <c r="S233" s="158"/>
      <c r="T233" s="159"/>
      <c r="U233" s="160"/>
      <c r="V233" s="159"/>
      <c r="W233" s="159"/>
      <c r="X233" s="51"/>
      <c r="Y233" s="418"/>
      <c r="AB233" s="141"/>
      <c r="AC233" s="234"/>
      <c r="AD233" s="234"/>
      <c r="AE233" s="439"/>
      <c r="AF233" s="234"/>
      <c r="AG233" s="234"/>
      <c r="AH233" s="234"/>
      <c r="AI233" s="234"/>
      <c r="AJ233" s="235"/>
      <c r="BG233" s="441">
        <v>43374</v>
      </c>
      <c r="BH233">
        <v>0</v>
      </c>
      <c r="BJ233" s="441">
        <v>43374</v>
      </c>
      <c r="BK233">
        <v>230</v>
      </c>
    </row>
    <row r="234" spans="1:63" ht="12" customHeight="1" x14ac:dyDescent="0.25">
      <c r="A234" s="382"/>
      <c r="E234" s="4"/>
      <c r="H234" s="5"/>
      <c r="I234" s="130"/>
      <c r="K234" s="53"/>
      <c r="L234" s="4"/>
      <c r="M234" s="157"/>
      <c r="N234" s="4"/>
      <c r="O234" s="4"/>
      <c r="P234" s="9"/>
      <c r="Q234" s="5"/>
      <c r="R234" s="4"/>
      <c r="S234" s="158"/>
      <c r="T234" s="159"/>
      <c r="U234" s="160"/>
      <c r="V234" s="159"/>
      <c r="W234" s="159"/>
      <c r="X234" s="51"/>
      <c r="Y234" s="418"/>
      <c r="AB234" s="141"/>
      <c r="AC234" s="234"/>
      <c r="AD234" s="234"/>
      <c r="AE234" s="439"/>
      <c r="AF234" s="234"/>
      <c r="AG234" s="234"/>
      <c r="AH234" s="234"/>
      <c r="AI234" s="234"/>
      <c r="AJ234" s="235"/>
      <c r="BG234" s="441">
        <v>43405</v>
      </c>
      <c r="BH234">
        <v>0</v>
      </c>
      <c r="BJ234" s="441">
        <v>43405</v>
      </c>
      <c r="BK234">
        <v>231</v>
      </c>
    </row>
    <row r="235" spans="1:63" ht="12" customHeight="1" x14ac:dyDescent="0.25">
      <c r="A235" s="382"/>
      <c r="E235" s="4"/>
      <c r="H235" s="5"/>
      <c r="I235" s="130"/>
      <c r="K235" s="53"/>
      <c r="L235" s="4"/>
      <c r="M235" s="157"/>
      <c r="N235" s="4"/>
      <c r="O235" s="4"/>
      <c r="P235" s="9"/>
      <c r="Q235" s="5"/>
      <c r="R235" s="4"/>
      <c r="S235" s="158"/>
      <c r="T235" s="159"/>
      <c r="U235" s="160"/>
      <c r="V235" s="159"/>
      <c r="W235" s="159"/>
      <c r="X235" s="51"/>
      <c r="Y235" s="418"/>
      <c r="AB235" s="141"/>
      <c r="AC235" s="234"/>
      <c r="AD235" s="234"/>
      <c r="AE235" s="439"/>
      <c r="AF235" s="234"/>
      <c r="AG235" s="234"/>
      <c r="AH235" s="234"/>
      <c r="AI235" s="234"/>
      <c r="AJ235" s="235"/>
      <c r="BG235" s="441">
        <v>43435</v>
      </c>
      <c r="BH235">
        <v>0</v>
      </c>
      <c r="BJ235" s="441">
        <v>43435</v>
      </c>
      <c r="BK235">
        <v>232</v>
      </c>
    </row>
    <row r="236" spans="1:63" ht="12" customHeight="1" x14ac:dyDescent="0.25">
      <c r="A236" s="382"/>
      <c r="E236" s="4"/>
      <c r="H236" s="5"/>
      <c r="I236" s="130"/>
      <c r="K236" s="53"/>
      <c r="L236" s="4"/>
      <c r="M236" s="157"/>
      <c r="N236" s="4"/>
      <c r="O236" s="4"/>
      <c r="P236" s="9"/>
      <c r="Q236" s="5"/>
      <c r="R236" s="4"/>
      <c r="S236" s="158"/>
      <c r="T236" s="159"/>
      <c r="U236" s="160"/>
      <c r="V236" s="159"/>
      <c r="W236" s="159"/>
      <c r="X236" s="51"/>
      <c r="Y236" s="418"/>
      <c r="AB236" s="141"/>
      <c r="AC236" s="234"/>
      <c r="AD236" s="234"/>
      <c r="AE236" s="439"/>
      <c r="AF236" s="234"/>
      <c r="AG236" s="234"/>
      <c r="AH236" s="234"/>
      <c r="AI236" s="234"/>
      <c r="AJ236" s="235"/>
      <c r="BG236" s="441">
        <v>43466</v>
      </c>
      <c r="BH236">
        <v>0</v>
      </c>
      <c r="BJ236" s="441">
        <v>43466</v>
      </c>
      <c r="BK236">
        <v>233</v>
      </c>
    </row>
    <row r="237" spans="1:63" ht="12" customHeight="1" x14ac:dyDescent="0.25">
      <c r="A237" s="382"/>
      <c r="E237" s="4"/>
      <c r="H237" s="5"/>
      <c r="I237" s="130"/>
      <c r="K237" s="53"/>
      <c r="L237" s="4"/>
      <c r="M237" s="157"/>
      <c r="N237" s="4"/>
      <c r="O237" s="4"/>
      <c r="P237" s="9"/>
      <c r="Q237" s="5"/>
      <c r="R237" s="4"/>
      <c r="S237" s="158"/>
      <c r="T237" s="159"/>
      <c r="U237" s="160"/>
      <c r="V237" s="159"/>
      <c r="W237" s="159"/>
      <c r="X237" s="51"/>
      <c r="Y237" s="418"/>
      <c r="Z237" s="51"/>
      <c r="AB237" s="141"/>
      <c r="AC237" s="234"/>
      <c r="AD237" s="234"/>
      <c r="AE237" s="439"/>
      <c r="AF237" s="234"/>
      <c r="AG237" s="234"/>
      <c r="AH237" s="234"/>
      <c r="AI237" s="234"/>
      <c r="AJ237" s="235"/>
      <c r="BG237" s="441">
        <v>43497</v>
      </c>
      <c r="BH237">
        <v>0</v>
      </c>
      <c r="BJ237" s="441">
        <v>43497</v>
      </c>
      <c r="BK237">
        <v>234</v>
      </c>
    </row>
    <row r="238" spans="1:63" ht="12" customHeight="1" x14ac:dyDescent="0.25">
      <c r="A238" s="382"/>
      <c r="E238" s="4"/>
      <c r="H238" s="5"/>
      <c r="I238" s="130"/>
      <c r="K238" s="53"/>
      <c r="L238" s="4"/>
      <c r="M238" s="157"/>
      <c r="N238" s="4"/>
      <c r="O238" s="4"/>
      <c r="P238" s="9"/>
      <c r="Q238" s="5"/>
      <c r="R238" s="4"/>
      <c r="S238" s="158"/>
      <c r="T238" s="159"/>
      <c r="U238" s="160"/>
      <c r="V238" s="159"/>
      <c r="W238" s="159"/>
      <c r="X238" s="51"/>
      <c r="Y238" s="418"/>
      <c r="AB238" s="141"/>
      <c r="AC238" s="234"/>
      <c r="AD238" s="234"/>
      <c r="AE238" s="439"/>
      <c r="AF238" s="234"/>
      <c r="AG238" s="234"/>
      <c r="AH238" s="234"/>
      <c r="AI238" s="234"/>
      <c r="AJ238" s="235"/>
      <c r="BG238" s="441">
        <v>43525</v>
      </c>
      <c r="BH238">
        <v>0</v>
      </c>
      <c r="BJ238" s="441">
        <v>43525</v>
      </c>
      <c r="BK238">
        <v>235</v>
      </c>
    </row>
    <row r="239" spans="1:63" ht="12" customHeight="1" x14ac:dyDescent="0.25">
      <c r="A239" s="382"/>
      <c r="E239" s="4"/>
      <c r="H239" s="5"/>
      <c r="I239" s="130"/>
      <c r="K239" s="53"/>
      <c r="L239" s="4"/>
      <c r="M239" s="157"/>
      <c r="N239" s="4"/>
      <c r="O239" s="4"/>
      <c r="P239" s="9"/>
      <c r="Q239" s="5"/>
      <c r="R239" s="4"/>
      <c r="S239" s="158"/>
      <c r="T239" s="159"/>
      <c r="U239" s="160"/>
      <c r="V239" s="159"/>
      <c r="W239" s="159"/>
      <c r="X239" s="51"/>
      <c r="Y239" s="418"/>
      <c r="AB239" s="141"/>
      <c r="AC239" s="234"/>
      <c r="AD239" s="234"/>
      <c r="AE239" s="439"/>
      <c r="AF239" s="234"/>
      <c r="AG239" s="234"/>
      <c r="AH239" s="234"/>
      <c r="AI239" s="234"/>
      <c r="AJ239" s="235"/>
      <c r="BG239" s="441">
        <v>43556</v>
      </c>
      <c r="BH239">
        <v>0</v>
      </c>
      <c r="BJ239" s="441">
        <v>43556</v>
      </c>
      <c r="BK239">
        <v>236</v>
      </c>
    </row>
    <row r="240" spans="1:63" ht="12" customHeight="1" x14ac:dyDescent="0.25">
      <c r="A240" s="382"/>
      <c r="E240" s="4"/>
      <c r="H240" s="5"/>
      <c r="I240" s="130"/>
      <c r="K240" s="53"/>
      <c r="L240" s="4"/>
      <c r="M240" s="157"/>
      <c r="N240" s="4"/>
      <c r="O240" s="4"/>
      <c r="P240" s="9"/>
      <c r="Q240" s="5"/>
      <c r="R240" s="4"/>
      <c r="S240" s="158"/>
      <c r="T240" s="159"/>
      <c r="U240" s="160"/>
      <c r="V240" s="159"/>
      <c r="W240" s="159"/>
      <c r="X240" s="51"/>
      <c r="Y240" s="418"/>
      <c r="AB240" s="141"/>
      <c r="AC240" s="234"/>
      <c r="AD240" s="234"/>
      <c r="AE240" s="439"/>
      <c r="AF240" s="234"/>
      <c r="AG240" s="234"/>
      <c r="AH240" s="234"/>
      <c r="AI240" s="234"/>
      <c r="AJ240" s="235"/>
      <c r="BG240" s="441">
        <v>43586</v>
      </c>
      <c r="BH240">
        <v>0</v>
      </c>
      <c r="BJ240" s="441">
        <v>43586</v>
      </c>
      <c r="BK240">
        <v>237</v>
      </c>
    </row>
    <row r="241" spans="1:63" ht="12" customHeight="1" x14ac:dyDescent="0.25">
      <c r="A241" s="382"/>
      <c r="E241" s="4"/>
      <c r="H241" s="5"/>
      <c r="I241" s="130"/>
      <c r="K241" s="53"/>
      <c r="L241" s="4"/>
      <c r="M241" s="157"/>
      <c r="N241" s="4"/>
      <c r="O241" s="4"/>
      <c r="P241" s="9"/>
      <c r="Q241" s="5"/>
      <c r="R241" s="4"/>
      <c r="S241" s="158"/>
      <c r="T241" s="159"/>
      <c r="U241" s="160"/>
      <c r="V241" s="159"/>
      <c r="W241" s="159"/>
      <c r="X241" s="51"/>
      <c r="Y241" s="418"/>
      <c r="AB241" s="141"/>
      <c r="AC241" s="234"/>
      <c r="AD241" s="234"/>
      <c r="AE241" s="439"/>
      <c r="AF241" s="234"/>
      <c r="AG241" s="234"/>
      <c r="AH241" s="234"/>
      <c r="AI241" s="234"/>
      <c r="AJ241" s="235"/>
      <c r="BG241" s="441">
        <v>43617</v>
      </c>
      <c r="BH241">
        <v>0</v>
      </c>
      <c r="BJ241" s="441">
        <v>43617</v>
      </c>
      <c r="BK241">
        <v>238</v>
      </c>
    </row>
    <row r="242" spans="1:63" ht="12" customHeight="1" x14ac:dyDescent="0.25">
      <c r="A242" s="382"/>
      <c r="E242" s="4"/>
      <c r="H242" s="5"/>
      <c r="I242" s="130"/>
      <c r="K242" s="53"/>
      <c r="L242" s="4"/>
      <c r="M242" s="157"/>
      <c r="N242" s="4"/>
      <c r="O242" s="4"/>
      <c r="P242" s="9"/>
      <c r="Q242" s="5"/>
      <c r="R242" s="4"/>
      <c r="S242" s="158"/>
      <c r="T242" s="159"/>
      <c r="U242" s="160"/>
      <c r="V242" s="159"/>
      <c r="W242" s="159"/>
      <c r="X242" s="51"/>
      <c r="Y242" s="418"/>
      <c r="AB242" s="141"/>
      <c r="AC242" s="234"/>
      <c r="AD242" s="234"/>
      <c r="AE242" s="439"/>
      <c r="AF242" s="234"/>
      <c r="AG242" s="234"/>
      <c r="AH242" s="234"/>
      <c r="AI242" s="234"/>
      <c r="AJ242" s="235"/>
      <c r="BG242" s="441">
        <v>43647</v>
      </c>
      <c r="BH242">
        <v>0</v>
      </c>
      <c r="BJ242" s="441">
        <v>43647</v>
      </c>
      <c r="BK242">
        <v>239</v>
      </c>
    </row>
    <row r="243" spans="1:63" ht="12" customHeight="1" x14ac:dyDescent="0.25">
      <c r="A243" s="382"/>
      <c r="E243" s="4"/>
      <c r="H243" s="5"/>
      <c r="I243" s="130"/>
      <c r="K243" s="53"/>
      <c r="L243" s="4"/>
      <c r="M243" s="157"/>
      <c r="N243" s="4"/>
      <c r="O243" s="4"/>
      <c r="P243" s="9"/>
      <c r="Q243" s="5"/>
      <c r="R243" s="4"/>
      <c r="S243" s="158"/>
      <c r="T243" s="159"/>
      <c r="U243" s="160"/>
      <c r="V243" s="159"/>
      <c r="W243" s="159"/>
      <c r="X243" s="51"/>
      <c r="Y243" s="418"/>
      <c r="AB243" s="141"/>
      <c r="AC243" s="234"/>
      <c r="AD243" s="234"/>
      <c r="AE243" s="439"/>
      <c r="AF243" s="234"/>
      <c r="AG243" s="234"/>
      <c r="AH243" s="234"/>
      <c r="AI243" s="234"/>
      <c r="AJ243" s="235"/>
      <c r="BG243" s="441">
        <v>43678</v>
      </c>
      <c r="BH243">
        <v>0</v>
      </c>
      <c r="BJ243" s="441">
        <v>43678</v>
      </c>
      <c r="BK243">
        <v>240</v>
      </c>
    </row>
    <row r="244" spans="1:63" ht="12" customHeight="1" x14ac:dyDescent="0.25">
      <c r="A244" s="382"/>
      <c r="E244" s="4"/>
      <c r="H244" s="5"/>
      <c r="I244" s="130"/>
      <c r="K244" s="53"/>
      <c r="L244" s="4"/>
      <c r="M244" s="157"/>
      <c r="N244" s="4"/>
      <c r="O244" s="4"/>
      <c r="P244" s="9"/>
      <c r="Q244" s="5"/>
      <c r="R244" s="4"/>
      <c r="S244" s="158"/>
      <c r="T244" s="159"/>
      <c r="U244" s="160"/>
      <c r="V244" s="159"/>
      <c r="W244" s="159"/>
      <c r="X244" s="51"/>
      <c r="Y244" s="418"/>
      <c r="AB244" s="141"/>
      <c r="AC244" s="234"/>
      <c r="AD244" s="234"/>
      <c r="AE244" s="439"/>
      <c r="AF244" s="234"/>
      <c r="AG244" s="234"/>
      <c r="AH244" s="234"/>
      <c r="AI244" s="234"/>
      <c r="AJ244" s="235"/>
      <c r="BG244" s="441">
        <v>43709</v>
      </c>
      <c r="BH244">
        <v>0</v>
      </c>
      <c r="BJ244" s="441">
        <v>43709</v>
      </c>
      <c r="BK244">
        <v>241</v>
      </c>
    </row>
    <row r="245" spans="1:63" ht="12" customHeight="1" x14ac:dyDescent="0.25">
      <c r="E245" s="4"/>
      <c r="H245" s="5"/>
      <c r="I245" s="130"/>
      <c r="K245" s="53"/>
      <c r="L245" s="4"/>
      <c r="M245" s="157"/>
      <c r="N245" s="4"/>
      <c r="O245" s="4"/>
      <c r="P245" s="9"/>
      <c r="Q245" s="5"/>
      <c r="R245" s="4"/>
      <c r="S245" s="158"/>
      <c r="T245" s="159"/>
      <c r="U245" s="160"/>
      <c r="V245" s="159"/>
      <c r="W245" s="159"/>
      <c r="X245" s="51"/>
      <c r="Y245" s="418"/>
      <c r="AB245" s="141"/>
      <c r="AC245" s="234"/>
      <c r="AD245" s="234"/>
      <c r="AE245" s="439"/>
      <c r="AF245" s="234"/>
      <c r="AG245" s="234"/>
      <c r="AH245" s="234"/>
      <c r="AI245" s="234"/>
      <c r="AJ245" s="235"/>
      <c r="BG245" s="441">
        <v>43739</v>
      </c>
      <c r="BH245">
        <v>0</v>
      </c>
      <c r="BJ245" s="441">
        <v>43739</v>
      </c>
      <c r="BK245">
        <v>242</v>
      </c>
    </row>
    <row r="246" spans="1:63" ht="12" customHeight="1" x14ac:dyDescent="0.25">
      <c r="E246" s="4"/>
      <c r="H246" s="5"/>
      <c r="I246" s="130"/>
      <c r="K246" s="53"/>
      <c r="L246" s="4"/>
      <c r="M246" s="157"/>
      <c r="N246" s="4"/>
      <c r="O246" s="4"/>
      <c r="P246" s="9"/>
      <c r="Q246" s="5"/>
      <c r="R246" s="4"/>
      <c r="S246" s="158"/>
      <c r="T246" s="159"/>
      <c r="U246" s="160"/>
      <c r="V246" s="159"/>
      <c r="W246" s="159"/>
      <c r="X246" s="51"/>
      <c r="Y246" s="418"/>
      <c r="AB246" s="141"/>
      <c r="AC246" s="234"/>
      <c r="AD246" s="234"/>
      <c r="AE246" s="439"/>
      <c r="AF246" s="234"/>
      <c r="AG246" s="234"/>
      <c r="AH246" s="234"/>
      <c r="AI246" s="234"/>
      <c r="AJ246" s="235"/>
      <c r="BG246" s="441">
        <v>43770</v>
      </c>
      <c r="BH246">
        <v>0</v>
      </c>
      <c r="BJ246" s="441">
        <v>43770</v>
      </c>
      <c r="BK246">
        <v>243</v>
      </c>
    </row>
    <row r="247" spans="1:63" x14ac:dyDescent="0.25">
      <c r="E247" s="4"/>
      <c r="H247" s="5"/>
      <c r="I247" s="130"/>
      <c r="K247" s="53"/>
      <c r="L247" s="4"/>
      <c r="M247" s="157"/>
      <c r="N247" s="4"/>
      <c r="O247" s="4"/>
      <c r="P247" s="9"/>
      <c r="Q247" s="5"/>
      <c r="R247" s="4"/>
      <c r="S247" s="158"/>
      <c r="T247" s="159"/>
      <c r="U247" s="160"/>
      <c r="V247" s="159"/>
      <c r="W247" s="159"/>
      <c r="X247" s="51"/>
      <c r="Y247" s="418"/>
      <c r="AB247" s="141"/>
      <c r="AC247" s="234"/>
      <c r="AD247" s="234"/>
      <c r="AE247" s="439"/>
      <c r="AF247" s="234"/>
      <c r="AG247" s="234"/>
      <c r="AH247" s="234"/>
      <c r="AI247" s="234"/>
      <c r="AJ247" s="235"/>
      <c r="BG247" s="441">
        <v>43800</v>
      </c>
      <c r="BH247">
        <v>0</v>
      </c>
      <c r="BJ247" s="441">
        <v>43800</v>
      </c>
      <c r="BK247">
        <v>244</v>
      </c>
    </row>
    <row r="248" spans="1:63" x14ac:dyDescent="0.25">
      <c r="E248" s="4"/>
      <c r="H248" s="5"/>
      <c r="I248" s="130"/>
      <c r="K248" s="53"/>
      <c r="L248" s="4"/>
      <c r="M248" s="157"/>
      <c r="N248" s="4"/>
      <c r="O248" s="4"/>
      <c r="P248" s="9"/>
      <c r="Q248" s="5"/>
      <c r="R248" s="4"/>
      <c r="S248" s="158"/>
      <c r="T248" s="159"/>
      <c r="U248" s="160"/>
      <c r="V248" s="159"/>
      <c r="W248" s="159"/>
      <c r="X248" s="51"/>
      <c r="Y248" s="418"/>
      <c r="AB248" s="141"/>
      <c r="AC248" s="234"/>
      <c r="AD248" s="234"/>
      <c r="AE248" s="439"/>
      <c r="AF248" s="234"/>
      <c r="AG248" s="234"/>
      <c r="AH248" s="234"/>
      <c r="AI248" s="234"/>
      <c r="AJ248" s="235"/>
      <c r="BG248" s="441">
        <v>43831</v>
      </c>
      <c r="BH248">
        <v>0</v>
      </c>
      <c r="BJ248" s="441">
        <v>43831</v>
      </c>
      <c r="BK248">
        <v>245</v>
      </c>
    </row>
    <row r="249" spans="1:63" x14ac:dyDescent="0.25">
      <c r="E249" s="4"/>
      <c r="H249" s="5"/>
      <c r="I249" s="130"/>
      <c r="K249" s="53"/>
      <c r="L249" s="4"/>
      <c r="M249" s="157"/>
      <c r="N249" s="4"/>
      <c r="O249" s="4"/>
      <c r="P249" s="9"/>
      <c r="Q249" s="5"/>
      <c r="R249" s="4"/>
      <c r="S249" s="158"/>
      <c r="T249" s="159"/>
      <c r="U249" s="160"/>
      <c r="V249" s="159"/>
      <c r="W249" s="159"/>
      <c r="X249" s="51"/>
      <c r="Y249" s="418"/>
      <c r="AB249" s="141"/>
      <c r="AC249" s="234"/>
      <c r="AD249" s="234"/>
      <c r="AE249" s="439"/>
      <c r="AF249" s="234"/>
      <c r="AG249" s="234"/>
      <c r="AH249" s="234"/>
      <c r="AI249" s="234"/>
      <c r="AJ249" s="235"/>
      <c r="BG249" s="441">
        <v>43862</v>
      </c>
      <c r="BH249">
        <v>0</v>
      </c>
      <c r="BJ249" s="441">
        <v>43862</v>
      </c>
      <c r="BK249">
        <v>246</v>
      </c>
    </row>
    <row r="250" spans="1:63" x14ac:dyDescent="0.25">
      <c r="A250" s="382"/>
      <c r="E250" s="4"/>
      <c r="H250" s="5"/>
      <c r="I250" s="130"/>
      <c r="K250" s="53"/>
      <c r="L250" s="4"/>
      <c r="M250" s="157"/>
      <c r="N250" s="4"/>
      <c r="O250" s="4"/>
      <c r="P250" s="9"/>
      <c r="Q250" s="5"/>
      <c r="R250" s="4"/>
      <c r="S250" s="158"/>
      <c r="T250" s="159"/>
      <c r="U250" s="160"/>
      <c r="V250" s="159"/>
      <c r="W250" s="159"/>
      <c r="X250" s="51"/>
      <c r="Y250" s="418"/>
      <c r="AB250" s="141"/>
      <c r="AC250" s="234"/>
      <c r="AD250" s="234"/>
      <c r="AE250" s="439"/>
      <c r="AF250" s="234"/>
      <c r="AG250" s="234"/>
      <c r="AH250" s="234"/>
      <c r="AI250" s="234"/>
      <c r="AJ250" s="235"/>
      <c r="BG250" s="441">
        <v>43891</v>
      </c>
      <c r="BH250">
        <v>0</v>
      </c>
      <c r="BJ250" s="441">
        <v>43891</v>
      </c>
      <c r="BK250">
        <v>247</v>
      </c>
    </row>
    <row r="251" spans="1:63" x14ac:dyDescent="0.25">
      <c r="A251" s="382"/>
      <c r="E251" s="4"/>
      <c r="H251" s="5"/>
      <c r="I251" s="130"/>
      <c r="K251" s="53"/>
      <c r="L251" s="4"/>
      <c r="M251" s="157"/>
      <c r="N251" s="4"/>
      <c r="O251" s="4"/>
      <c r="P251" s="9"/>
      <c r="Q251" s="5"/>
      <c r="R251" s="4"/>
      <c r="S251" s="158"/>
      <c r="T251" s="159"/>
      <c r="U251" s="160"/>
      <c r="V251" s="159"/>
      <c r="W251" s="159"/>
      <c r="X251" s="51"/>
      <c r="Y251" s="418"/>
      <c r="AB251" s="141"/>
      <c r="AC251" s="234"/>
      <c r="AD251" s="234"/>
      <c r="AE251" s="439"/>
      <c r="AF251" s="234"/>
      <c r="AG251" s="234"/>
      <c r="AH251" s="234"/>
      <c r="AI251" s="234"/>
      <c r="AJ251" s="235"/>
      <c r="BG251" s="441">
        <v>43922</v>
      </c>
      <c r="BH251">
        <v>0</v>
      </c>
      <c r="BJ251" s="441">
        <v>43922</v>
      </c>
      <c r="BK251">
        <v>248</v>
      </c>
    </row>
    <row r="252" spans="1:63" x14ac:dyDescent="0.25">
      <c r="A252" s="382"/>
      <c r="E252" s="4"/>
      <c r="H252" s="5"/>
      <c r="I252" s="130"/>
      <c r="K252" s="53"/>
      <c r="L252" s="4"/>
      <c r="M252" s="157"/>
      <c r="N252" s="4"/>
      <c r="O252" s="4"/>
      <c r="P252" s="9"/>
      <c r="Q252" s="5"/>
      <c r="R252" s="4"/>
      <c r="S252" s="158"/>
      <c r="T252" s="159"/>
      <c r="U252" s="160"/>
      <c r="V252" s="159"/>
      <c r="W252" s="159"/>
      <c r="X252" s="51"/>
      <c r="Y252" s="418"/>
      <c r="AB252" s="141"/>
      <c r="AC252" s="234"/>
      <c r="AD252" s="234"/>
      <c r="AE252" s="439"/>
      <c r="AF252" s="234"/>
      <c r="AG252" s="234"/>
      <c r="AH252" s="234"/>
      <c r="AI252" s="234"/>
      <c r="AJ252" s="235"/>
      <c r="BG252" s="441">
        <v>43952</v>
      </c>
      <c r="BH252">
        <v>0</v>
      </c>
      <c r="BJ252" s="441">
        <v>43952</v>
      </c>
      <c r="BK252">
        <v>249</v>
      </c>
    </row>
    <row r="253" spans="1:63" x14ac:dyDescent="0.25">
      <c r="A253" s="382"/>
      <c r="E253" s="4"/>
      <c r="H253" s="5"/>
      <c r="I253" s="130"/>
      <c r="K253" s="53"/>
      <c r="L253" s="4"/>
      <c r="M253" s="157"/>
      <c r="N253" s="4"/>
      <c r="O253" s="4"/>
      <c r="P253" s="9"/>
      <c r="Q253" s="5"/>
      <c r="R253" s="4"/>
      <c r="S253" s="158"/>
      <c r="T253" s="159"/>
      <c r="U253" s="160"/>
      <c r="V253" s="159"/>
      <c r="W253" s="159"/>
      <c r="X253" s="51"/>
      <c r="Y253" s="418"/>
      <c r="AB253" s="141"/>
      <c r="AC253" s="234"/>
      <c r="AD253" s="234"/>
      <c r="AE253" s="439"/>
      <c r="AF253" s="234"/>
      <c r="AG253" s="234"/>
      <c r="AH253" s="234"/>
      <c r="AI253" s="234"/>
      <c r="AJ253" s="235"/>
      <c r="BG253" s="441">
        <v>43983</v>
      </c>
      <c r="BH253">
        <v>0</v>
      </c>
      <c r="BJ253" s="441">
        <v>43983</v>
      </c>
      <c r="BK253">
        <v>250</v>
      </c>
    </row>
    <row r="254" spans="1:63" x14ac:dyDescent="0.25">
      <c r="A254" s="382"/>
      <c r="E254" s="4"/>
      <c r="H254" s="5"/>
      <c r="I254" s="130"/>
      <c r="K254" s="53"/>
      <c r="L254" s="4"/>
      <c r="M254" s="157"/>
      <c r="N254" s="4"/>
      <c r="O254" s="4"/>
      <c r="P254" s="9"/>
      <c r="Q254" s="5"/>
      <c r="R254" s="4"/>
      <c r="S254" s="158"/>
      <c r="T254" s="159"/>
      <c r="U254" s="160"/>
      <c r="V254" s="159"/>
      <c r="W254" s="159"/>
      <c r="X254" s="51"/>
      <c r="Y254" s="418"/>
      <c r="AB254" s="141"/>
      <c r="AC254" s="234"/>
      <c r="AD254" s="234"/>
      <c r="AE254" s="439"/>
      <c r="AF254" s="234"/>
      <c r="AG254" s="234"/>
      <c r="AH254" s="234"/>
      <c r="AI254" s="234"/>
      <c r="AJ254" s="235"/>
      <c r="BG254" s="441">
        <v>44013</v>
      </c>
      <c r="BH254">
        <v>0</v>
      </c>
      <c r="BJ254" s="441">
        <v>44013</v>
      </c>
      <c r="BK254">
        <v>251</v>
      </c>
    </row>
    <row r="255" spans="1:63" x14ac:dyDescent="0.25">
      <c r="A255" s="382"/>
      <c r="E255" s="4"/>
      <c r="H255" s="5"/>
      <c r="I255" s="130"/>
      <c r="K255" s="53"/>
      <c r="L255" s="4"/>
      <c r="M255" s="157"/>
      <c r="N255" s="4"/>
      <c r="O255" s="4"/>
      <c r="P255" s="9"/>
      <c r="Q255" s="5"/>
      <c r="R255" s="4"/>
      <c r="S255" s="158"/>
      <c r="T255" s="159"/>
      <c r="U255" s="160"/>
      <c r="V255" s="159"/>
      <c r="W255" s="159"/>
      <c r="X255" s="51"/>
      <c r="Y255" s="418"/>
      <c r="AB255" s="141"/>
      <c r="AC255" s="234"/>
      <c r="AD255" s="234"/>
      <c r="AE255" s="439"/>
      <c r="AF255" s="234"/>
      <c r="AG255" s="234"/>
      <c r="AH255" s="234"/>
      <c r="AI255" s="234"/>
      <c r="AJ255" s="235"/>
      <c r="BG255" s="441">
        <v>44044</v>
      </c>
      <c r="BH255">
        <v>0</v>
      </c>
      <c r="BJ255" s="441">
        <v>44044</v>
      </c>
      <c r="BK255">
        <v>252</v>
      </c>
    </row>
    <row r="256" spans="1:63" x14ac:dyDescent="0.25">
      <c r="A256" s="382"/>
      <c r="E256" s="4"/>
      <c r="H256" s="5"/>
      <c r="I256" s="130"/>
      <c r="K256" s="53"/>
      <c r="L256" s="4"/>
      <c r="M256" s="157"/>
      <c r="N256" s="4"/>
      <c r="O256" s="4"/>
      <c r="P256" s="9"/>
      <c r="Q256" s="5"/>
      <c r="R256" s="4"/>
      <c r="S256" s="158"/>
      <c r="T256" s="159"/>
      <c r="U256" s="160"/>
      <c r="V256" s="159"/>
      <c r="W256" s="159"/>
      <c r="X256" s="51"/>
      <c r="Y256" s="418"/>
      <c r="AB256" s="141"/>
      <c r="AC256" s="234"/>
      <c r="AD256" s="234"/>
      <c r="AE256" s="439"/>
      <c r="AF256" s="234"/>
      <c r="AG256" s="234"/>
      <c r="AH256" s="234"/>
      <c r="AI256" s="234"/>
      <c r="AJ256" s="235"/>
      <c r="BG256" s="441">
        <v>44075</v>
      </c>
      <c r="BH256">
        <v>0</v>
      </c>
      <c r="BJ256" s="441">
        <v>44075</v>
      </c>
      <c r="BK256">
        <v>253</v>
      </c>
    </row>
    <row r="257" spans="1:63" x14ac:dyDescent="0.25">
      <c r="A257" s="382"/>
      <c r="E257" s="4"/>
      <c r="H257" s="5"/>
      <c r="I257" s="130"/>
      <c r="K257" s="53"/>
      <c r="L257" s="4"/>
      <c r="M257" s="157"/>
      <c r="N257" s="4"/>
      <c r="O257" s="4"/>
      <c r="P257" s="9"/>
      <c r="Q257" s="5"/>
      <c r="R257" s="4"/>
      <c r="S257" s="158"/>
      <c r="T257" s="159"/>
      <c r="U257" s="160"/>
      <c r="V257" s="159"/>
      <c r="W257" s="159"/>
      <c r="X257" s="51"/>
      <c r="Y257" s="418"/>
      <c r="AB257" s="141"/>
      <c r="AC257" s="234"/>
      <c r="AD257" s="234"/>
      <c r="AE257" s="439"/>
      <c r="AF257" s="234"/>
      <c r="AG257" s="234"/>
      <c r="AH257" s="234"/>
      <c r="AI257" s="234"/>
      <c r="AJ257" s="235"/>
      <c r="BG257" s="441">
        <v>44105</v>
      </c>
      <c r="BH257">
        <v>0</v>
      </c>
      <c r="BJ257" s="441">
        <v>44105</v>
      </c>
      <c r="BK257">
        <v>254</v>
      </c>
    </row>
    <row r="258" spans="1:63" x14ac:dyDescent="0.25">
      <c r="A258" s="382"/>
      <c r="E258" s="4"/>
      <c r="H258" s="5"/>
      <c r="I258" s="130"/>
      <c r="K258" s="53"/>
      <c r="L258" s="4"/>
      <c r="M258" s="157"/>
      <c r="N258" s="4"/>
      <c r="O258" s="4"/>
      <c r="P258" s="9"/>
      <c r="Q258" s="5"/>
      <c r="R258" s="4"/>
      <c r="S258" s="158"/>
      <c r="T258" s="159"/>
      <c r="U258" s="160"/>
      <c r="V258" s="159"/>
      <c r="W258" s="159"/>
      <c r="X258" s="51"/>
      <c r="Y258" s="418"/>
      <c r="AB258" s="141"/>
      <c r="AC258" s="234"/>
      <c r="AD258" s="234"/>
      <c r="AE258" s="439"/>
      <c r="AF258" s="234"/>
      <c r="AG258" s="234"/>
      <c r="AH258" s="234"/>
      <c r="AI258" s="234"/>
      <c r="AJ258" s="235"/>
      <c r="BG258" s="441">
        <v>44136</v>
      </c>
      <c r="BH258">
        <v>0</v>
      </c>
      <c r="BJ258" s="441">
        <v>44136</v>
      </c>
      <c r="BK258">
        <v>255</v>
      </c>
    </row>
    <row r="259" spans="1:63" x14ac:dyDescent="0.25">
      <c r="A259" s="382"/>
      <c r="E259" s="4"/>
      <c r="H259" s="5"/>
      <c r="I259" s="130"/>
      <c r="K259" s="53"/>
      <c r="L259" s="4"/>
      <c r="M259" s="157"/>
      <c r="N259" s="4"/>
      <c r="O259" s="4"/>
      <c r="P259" s="9"/>
      <c r="Q259" s="5"/>
      <c r="R259" s="4"/>
      <c r="S259" s="158"/>
      <c r="T259" s="159"/>
      <c r="U259" s="160"/>
      <c r="V259" s="159"/>
      <c r="W259" s="159"/>
      <c r="X259" s="51"/>
      <c r="Y259" s="418"/>
      <c r="AB259" s="141"/>
      <c r="AC259" s="234"/>
      <c r="AD259" s="234"/>
      <c r="AE259" s="439"/>
      <c r="AF259" s="234"/>
      <c r="AG259" s="234"/>
      <c r="AH259" s="234"/>
      <c r="AI259" s="234"/>
      <c r="AJ259" s="235"/>
      <c r="BG259" s="441">
        <v>44166</v>
      </c>
      <c r="BH259">
        <v>0</v>
      </c>
      <c r="BJ259" s="441">
        <v>44166</v>
      </c>
      <c r="BK259">
        <v>256</v>
      </c>
    </row>
    <row r="260" spans="1:63" x14ac:dyDescent="0.25">
      <c r="A260" s="382"/>
      <c r="E260" s="4"/>
      <c r="H260" s="5"/>
      <c r="I260" s="130"/>
      <c r="K260" s="53"/>
      <c r="L260" s="4"/>
      <c r="M260" s="157"/>
      <c r="N260" s="4"/>
      <c r="O260" s="4"/>
      <c r="P260" s="9"/>
      <c r="Q260" s="5"/>
      <c r="R260" s="4"/>
      <c r="S260" s="158"/>
      <c r="T260" s="159"/>
      <c r="U260" s="160"/>
      <c r="V260" s="159"/>
      <c r="W260" s="159"/>
      <c r="X260" s="51"/>
      <c r="Y260" s="418"/>
      <c r="AB260" s="141"/>
      <c r="AC260" s="234"/>
      <c r="AD260" s="234"/>
      <c r="AE260" s="439"/>
      <c r="AF260" s="234"/>
      <c r="AG260" s="234"/>
      <c r="AH260" s="234"/>
      <c r="AI260" s="234"/>
      <c r="AJ260" s="235"/>
      <c r="BG260" s="441">
        <v>44197</v>
      </c>
      <c r="BH260">
        <v>0</v>
      </c>
      <c r="BJ260" s="441">
        <v>44197</v>
      </c>
      <c r="BK260">
        <v>257</v>
      </c>
    </row>
    <row r="261" spans="1:63" x14ac:dyDescent="0.25">
      <c r="A261" s="382"/>
      <c r="E261" s="4"/>
      <c r="H261" s="5"/>
      <c r="I261" s="130"/>
      <c r="K261" s="53"/>
      <c r="L261" s="4"/>
      <c r="M261" s="157"/>
      <c r="N261" s="4"/>
      <c r="O261" s="4"/>
      <c r="P261" s="9"/>
      <c r="Q261" s="5"/>
      <c r="R261" s="4"/>
      <c r="S261" s="158"/>
      <c r="T261" s="159"/>
      <c r="U261" s="160"/>
      <c r="V261" s="159"/>
      <c r="W261" s="159"/>
      <c r="X261" s="51"/>
      <c r="Y261" s="418"/>
      <c r="AB261" s="141"/>
      <c r="AC261" s="234"/>
      <c r="AD261" s="234"/>
      <c r="AE261" s="439"/>
      <c r="AF261" s="234"/>
      <c r="AG261" s="234"/>
      <c r="AH261" s="234"/>
      <c r="AI261" s="234"/>
      <c r="AJ261" s="235"/>
      <c r="BG261" s="441">
        <v>44228</v>
      </c>
      <c r="BH261">
        <v>0</v>
      </c>
      <c r="BJ261" s="441">
        <v>44228</v>
      </c>
      <c r="BK261">
        <v>258</v>
      </c>
    </row>
    <row r="262" spans="1:63" x14ac:dyDescent="0.25">
      <c r="A262" s="382"/>
      <c r="E262" s="4"/>
      <c r="H262" s="5"/>
      <c r="I262" s="130"/>
      <c r="K262" s="53"/>
      <c r="L262" s="4"/>
      <c r="M262" s="157"/>
      <c r="N262" s="4"/>
      <c r="O262" s="4"/>
      <c r="P262" s="9"/>
      <c r="Q262" s="5"/>
      <c r="R262" s="4"/>
      <c r="S262" s="158"/>
      <c r="T262" s="159"/>
      <c r="U262" s="160"/>
      <c r="V262" s="159"/>
      <c r="W262" s="159"/>
      <c r="X262" s="51"/>
      <c r="Y262" s="418"/>
      <c r="AB262" s="141"/>
      <c r="AC262" s="234"/>
      <c r="AD262" s="234"/>
      <c r="AE262" s="439"/>
      <c r="AF262" s="234"/>
      <c r="AG262" s="234"/>
      <c r="AH262" s="234"/>
      <c r="AI262" s="234"/>
      <c r="AJ262" s="235"/>
      <c r="BG262" s="441">
        <v>44256</v>
      </c>
      <c r="BH262">
        <v>0</v>
      </c>
      <c r="BJ262" s="441">
        <v>44256</v>
      </c>
      <c r="BK262">
        <v>259</v>
      </c>
    </row>
    <row r="263" spans="1:63" x14ac:dyDescent="0.25">
      <c r="A263" s="382"/>
      <c r="E263" s="4"/>
      <c r="H263" s="5"/>
      <c r="I263" s="130"/>
      <c r="K263" s="53"/>
      <c r="L263" s="4"/>
      <c r="M263" s="157"/>
      <c r="N263" s="4"/>
      <c r="O263" s="4"/>
      <c r="P263" s="9"/>
      <c r="Q263" s="5"/>
      <c r="R263" s="4"/>
      <c r="S263" s="158"/>
      <c r="T263" s="159"/>
      <c r="U263" s="160"/>
      <c r="V263" s="159"/>
      <c r="W263" s="159"/>
      <c r="X263" s="51"/>
      <c r="Y263" s="418"/>
      <c r="AB263" s="141"/>
      <c r="AC263" s="234"/>
      <c r="AD263" s="234"/>
      <c r="AE263" s="439"/>
      <c r="AF263" s="234"/>
      <c r="AG263" s="234"/>
      <c r="AH263" s="234"/>
      <c r="AI263" s="234"/>
      <c r="AJ263" s="235"/>
      <c r="BG263" s="441">
        <v>44287</v>
      </c>
      <c r="BH263">
        <v>0</v>
      </c>
      <c r="BJ263" s="441">
        <v>44287</v>
      </c>
      <c r="BK263">
        <v>260</v>
      </c>
    </row>
    <row r="264" spans="1:63" x14ac:dyDescent="0.25">
      <c r="A264" s="382"/>
      <c r="E264" s="4"/>
      <c r="H264" s="5"/>
      <c r="I264" s="130"/>
      <c r="K264" s="53"/>
      <c r="L264" s="4"/>
      <c r="M264" s="157"/>
      <c r="N264" s="4"/>
      <c r="O264" s="4"/>
      <c r="P264" s="9"/>
      <c r="Q264" s="5"/>
      <c r="R264" s="4"/>
      <c r="S264" s="158"/>
      <c r="T264" s="159"/>
      <c r="U264" s="160"/>
      <c r="V264" s="159"/>
      <c r="W264" s="159"/>
      <c r="X264" s="51"/>
      <c r="Y264" s="418"/>
      <c r="AB264" s="141"/>
      <c r="AC264" s="234"/>
      <c r="AD264" s="234"/>
      <c r="AE264" s="439"/>
      <c r="AF264" s="234"/>
      <c r="AG264" s="234"/>
      <c r="AH264" s="234"/>
      <c r="AI264" s="234"/>
      <c r="AJ264" s="235"/>
      <c r="BG264" s="441">
        <v>44317</v>
      </c>
      <c r="BH264">
        <v>0</v>
      </c>
      <c r="BJ264" s="441">
        <v>44317</v>
      </c>
      <c r="BK264">
        <v>261</v>
      </c>
    </row>
    <row r="265" spans="1:63" x14ac:dyDescent="0.25">
      <c r="A265" s="382"/>
      <c r="E265" s="4"/>
      <c r="H265" s="5"/>
      <c r="I265" s="130"/>
      <c r="K265" s="53"/>
      <c r="L265" s="4"/>
      <c r="M265" s="157"/>
      <c r="N265" s="4"/>
      <c r="O265" s="4"/>
      <c r="P265" s="9"/>
      <c r="Q265" s="5"/>
      <c r="R265" s="4"/>
      <c r="S265" s="158"/>
      <c r="T265" s="159"/>
      <c r="U265" s="160"/>
      <c r="V265" s="159"/>
      <c r="W265" s="159"/>
      <c r="X265" s="51"/>
      <c r="Y265" s="418"/>
      <c r="AB265" s="141"/>
      <c r="AC265" s="234"/>
      <c r="AD265" s="234"/>
      <c r="AE265" s="439"/>
      <c r="AF265" s="234"/>
      <c r="AG265" s="234"/>
      <c r="AH265" s="234"/>
      <c r="AI265" s="234"/>
      <c r="AJ265" s="235"/>
      <c r="BG265" s="441">
        <v>44348</v>
      </c>
      <c r="BH265">
        <v>0</v>
      </c>
      <c r="BJ265" s="441">
        <v>44348</v>
      </c>
      <c r="BK265">
        <v>262</v>
      </c>
    </row>
    <row r="266" spans="1:63" x14ac:dyDescent="0.25">
      <c r="A266" s="382"/>
      <c r="E266" s="4"/>
      <c r="H266" s="5"/>
      <c r="I266" s="130"/>
      <c r="K266" s="53"/>
      <c r="L266" s="4"/>
      <c r="M266" s="157"/>
      <c r="N266" s="4"/>
      <c r="O266" s="4"/>
      <c r="P266" s="9"/>
      <c r="Q266" s="5"/>
      <c r="R266" s="4"/>
      <c r="S266" s="158"/>
      <c r="T266" s="159"/>
      <c r="U266" s="160"/>
      <c r="V266" s="159"/>
      <c r="W266" s="159"/>
      <c r="X266" s="51"/>
      <c r="Y266" s="418"/>
      <c r="AB266" s="141"/>
      <c r="AC266" s="234"/>
      <c r="AD266" s="234"/>
      <c r="AE266" s="439"/>
      <c r="AF266" s="234"/>
      <c r="AG266" s="234"/>
      <c r="AH266" s="234"/>
      <c r="AI266" s="234"/>
      <c r="AJ266" s="235"/>
      <c r="BG266" s="441">
        <v>44378</v>
      </c>
      <c r="BH266">
        <v>0</v>
      </c>
      <c r="BJ266" s="441">
        <v>44378</v>
      </c>
      <c r="BK266">
        <v>263</v>
      </c>
    </row>
    <row r="267" spans="1:63" x14ac:dyDescent="0.25">
      <c r="A267" s="382"/>
      <c r="E267" s="4"/>
      <c r="H267" s="5"/>
      <c r="I267" s="130"/>
      <c r="K267" s="53"/>
      <c r="L267" s="4"/>
      <c r="M267" s="157"/>
      <c r="N267" s="4"/>
      <c r="O267" s="4"/>
      <c r="P267" s="9"/>
      <c r="Q267" s="5"/>
      <c r="R267" s="4"/>
      <c r="S267" s="158"/>
      <c r="T267" s="159"/>
      <c r="U267" s="160"/>
      <c r="V267" s="159"/>
      <c r="W267" s="159"/>
      <c r="X267" s="51"/>
      <c r="Y267" s="418"/>
      <c r="AB267" s="141"/>
      <c r="AC267" s="234"/>
      <c r="AD267" s="234"/>
      <c r="AE267" s="439"/>
      <c r="AF267" s="234"/>
      <c r="AG267" s="234"/>
      <c r="AH267" s="234"/>
      <c r="AI267" s="234"/>
      <c r="AJ267" s="235"/>
      <c r="BG267" s="441">
        <v>44409</v>
      </c>
      <c r="BH267">
        <v>0</v>
      </c>
      <c r="BJ267" s="441">
        <v>44409</v>
      </c>
      <c r="BK267">
        <v>264</v>
      </c>
    </row>
    <row r="268" spans="1:63" x14ac:dyDescent="0.25">
      <c r="A268" s="382"/>
      <c r="E268" s="4"/>
      <c r="H268" s="5"/>
      <c r="I268" s="130"/>
      <c r="K268" s="53"/>
      <c r="L268" s="4"/>
      <c r="M268" s="157"/>
      <c r="N268" s="4"/>
      <c r="O268" s="4"/>
      <c r="P268" s="9"/>
      <c r="Q268" s="5"/>
      <c r="R268" s="4"/>
      <c r="S268" s="158"/>
      <c r="T268" s="159"/>
      <c r="U268" s="160"/>
      <c r="V268" s="159"/>
      <c r="W268" s="159"/>
      <c r="X268" s="51"/>
      <c r="Y268" s="418"/>
      <c r="AB268" s="141"/>
      <c r="AC268" s="234"/>
      <c r="AD268" s="234"/>
      <c r="AE268" s="439"/>
      <c r="AF268" s="234"/>
      <c r="AG268" s="234"/>
      <c r="AH268" s="234"/>
      <c r="AI268" s="234"/>
      <c r="AJ268" s="235"/>
      <c r="BG268" s="441">
        <v>44440</v>
      </c>
      <c r="BH268">
        <v>0</v>
      </c>
      <c r="BJ268" s="441">
        <v>44440</v>
      </c>
      <c r="BK268">
        <v>265</v>
      </c>
    </row>
    <row r="269" spans="1:63" x14ac:dyDescent="0.25">
      <c r="A269" s="382"/>
      <c r="E269" s="4"/>
      <c r="H269" s="5"/>
      <c r="I269" s="130"/>
      <c r="K269" s="53"/>
      <c r="L269" s="4"/>
      <c r="M269" s="157"/>
      <c r="N269" s="4"/>
      <c r="O269" s="4"/>
      <c r="P269" s="9"/>
      <c r="Q269" s="5"/>
      <c r="R269" s="4"/>
      <c r="S269" s="158"/>
      <c r="T269" s="159"/>
      <c r="U269" s="160"/>
      <c r="V269" s="159"/>
      <c r="W269" s="159"/>
      <c r="X269" s="51"/>
      <c r="Y269" s="418"/>
      <c r="AB269" s="141"/>
      <c r="AC269" s="234"/>
      <c r="AD269" s="234"/>
      <c r="AE269" s="439"/>
      <c r="AF269" s="234"/>
      <c r="AG269" s="234"/>
      <c r="AH269" s="234"/>
      <c r="AI269" s="234"/>
      <c r="AJ269" s="235"/>
      <c r="BG269" s="441">
        <v>44470</v>
      </c>
      <c r="BH269">
        <v>0</v>
      </c>
      <c r="BJ269" s="441">
        <v>44470</v>
      </c>
      <c r="BK269">
        <v>266</v>
      </c>
    </row>
    <row r="270" spans="1:63" x14ac:dyDescent="0.25">
      <c r="A270" s="382"/>
      <c r="E270" s="4"/>
      <c r="H270" s="5"/>
      <c r="I270" s="130"/>
      <c r="K270" s="53"/>
      <c r="L270" s="4"/>
      <c r="M270" s="157"/>
      <c r="N270" s="4"/>
      <c r="O270" s="4"/>
      <c r="P270" s="9"/>
      <c r="Q270" s="5"/>
      <c r="R270" s="4"/>
      <c r="S270" s="158"/>
      <c r="T270" s="159"/>
      <c r="U270" s="160"/>
      <c r="V270" s="159"/>
      <c r="W270" s="159"/>
      <c r="X270" s="51"/>
      <c r="Y270" s="418"/>
      <c r="AB270" s="141"/>
      <c r="AC270" s="234"/>
      <c r="AD270" s="234"/>
      <c r="AE270" s="439"/>
      <c r="AF270" s="234"/>
      <c r="AG270" s="234"/>
      <c r="AH270" s="234"/>
      <c r="AI270" s="234"/>
      <c r="AJ270" s="235"/>
      <c r="BG270" s="441">
        <v>44501</v>
      </c>
      <c r="BH270">
        <v>0</v>
      </c>
      <c r="BJ270" s="441">
        <v>44501</v>
      </c>
      <c r="BK270">
        <v>267</v>
      </c>
    </row>
    <row r="271" spans="1:63" x14ac:dyDescent="0.25">
      <c r="A271" s="382"/>
      <c r="E271" s="4"/>
      <c r="H271" s="5"/>
      <c r="I271" s="130"/>
      <c r="K271" s="53"/>
      <c r="L271" s="4"/>
      <c r="M271" s="157"/>
      <c r="N271" s="4"/>
      <c r="O271" s="4"/>
      <c r="P271" s="9"/>
      <c r="Q271" s="5"/>
      <c r="R271" s="4"/>
      <c r="S271" s="158"/>
      <c r="T271" s="159"/>
      <c r="U271" s="160"/>
      <c r="V271" s="159"/>
      <c r="W271" s="159"/>
      <c r="X271" s="51"/>
      <c r="Y271" s="418"/>
      <c r="AB271" s="141"/>
      <c r="AC271" s="234"/>
      <c r="AD271" s="234"/>
      <c r="AE271" s="439"/>
      <c r="AF271" s="234"/>
      <c r="AG271" s="234"/>
      <c r="AH271" s="234"/>
      <c r="AI271" s="234"/>
      <c r="AJ271" s="235"/>
      <c r="BG271" s="441">
        <v>44531</v>
      </c>
      <c r="BH271">
        <v>0</v>
      </c>
      <c r="BJ271" s="441">
        <v>44531</v>
      </c>
      <c r="BK271">
        <v>268</v>
      </c>
    </row>
    <row r="272" spans="1:63" x14ac:dyDescent="0.25">
      <c r="A272" s="382"/>
      <c r="E272" s="4"/>
      <c r="H272" s="5"/>
      <c r="I272" s="130"/>
      <c r="K272" s="53"/>
      <c r="L272" s="4"/>
      <c r="M272" s="157"/>
      <c r="N272" s="4"/>
      <c r="O272" s="4"/>
      <c r="P272" s="9"/>
      <c r="Q272" s="5"/>
      <c r="R272" s="4"/>
      <c r="S272" s="158"/>
      <c r="T272" s="159"/>
      <c r="U272" s="160"/>
      <c r="V272" s="159"/>
      <c r="W272" s="159"/>
      <c r="X272" s="51"/>
      <c r="Y272" s="418"/>
      <c r="AB272" s="141"/>
      <c r="AC272" s="234"/>
      <c r="AD272" s="234"/>
      <c r="AE272" s="439"/>
      <c r="AF272" s="234"/>
      <c r="AG272" s="234"/>
      <c r="AH272" s="234"/>
      <c r="AI272" s="234"/>
      <c r="AJ272" s="235"/>
      <c r="BG272" s="441">
        <v>44562</v>
      </c>
      <c r="BH272">
        <v>0</v>
      </c>
      <c r="BJ272" s="441">
        <v>44562</v>
      </c>
      <c r="BK272">
        <v>269</v>
      </c>
    </row>
    <row r="273" spans="1:63" x14ac:dyDescent="0.25">
      <c r="A273" s="382"/>
      <c r="E273" s="4"/>
      <c r="H273" s="5"/>
      <c r="I273" s="130"/>
      <c r="K273" s="53"/>
      <c r="L273" s="4"/>
      <c r="M273" s="157"/>
      <c r="N273" s="4"/>
      <c r="O273" s="4"/>
      <c r="P273" s="9"/>
      <c r="Q273" s="5"/>
      <c r="R273" s="4"/>
      <c r="S273" s="158"/>
      <c r="T273" s="159"/>
      <c r="U273" s="160"/>
      <c r="V273" s="159"/>
      <c r="W273" s="159"/>
      <c r="X273" s="51"/>
      <c r="Y273" s="418"/>
      <c r="AB273" s="141"/>
      <c r="AC273" s="234"/>
      <c r="AD273" s="234"/>
      <c r="AE273" s="439"/>
      <c r="AF273" s="234"/>
      <c r="AG273" s="234"/>
      <c r="AH273" s="234"/>
      <c r="AI273" s="234"/>
      <c r="AJ273" s="235"/>
      <c r="BG273" s="441">
        <v>44593</v>
      </c>
      <c r="BH273">
        <v>0</v>
      </c>
      <c r="BJ273" s="441">
        <v>44593</v>
      </c>
      <c r="BK273">
        <v>270</v>
      </c>
    </row>
    <row r="274" spans="1:63" x14ac:dyDescent="0.25">
      <c r="A274" s="382"/>
      <c r="E274" s="4"/>
      <c r="H274" s="5"/>
      <c r="I274" s="130"/>
      <c r="K274" s="53"/>
      <c r="L274" s="4"/>
      <c r="M274" s="157"/>
      <c r="N274" s="4"/>
      <c r="O274" s="4"/>
      <c r="P274" s="9"/>
      <c r="Q274" s="5"/>
      <c r="R274" s="4"/>
      <c r="S274" s="158"/>
      <c r="T274" s="159"/>
      <c r="U274" s="160"/>
      <c r="V274" s="159"/>
      <c r="W274" s="159"/>
      <c r="X274" s="51"/>
      <c r="Y274" s="418"/>
      <c r="AB274" s="141"/>
      <c r="AC274" s="234"/>
      <c r="AD274" s="234"/>
      <c r="AE274" s="439"/>
      <c r="AF274" s="234"/>
      <c r="AG274" s="234"/>
      <c r="AH274" s="234"/>
      <c r="AI274" s="234"/>
      <c r="AJ274" s="235"/>
      <c r="BG274" s="441">
        <v>44621</v>
      </c>
      <c r="BH274">
        <v>0</v>
      </c>
      <c r="BJ274" s="441">
        <v>44621</v>
      </c>
      <c r="BK274">
        <v>271</v>
      </c>
    </row>
    <row r="275" spans="1:63" x14ac:dyDescent="0.25">
      <c r="A275" s="382"/>
      <c r="E275" s="4"/>
      <c r="H275" s="5"/>
      <c r="I275" s="130"/>
      <c r="K275" s="53"/>
      <c r="L275" s="4"/>
      <c r="M275" s="157"/>
      <c r="N275" s="4"/>
      <c r="O275" s="4"/>
      <c r="P275" s="9"/>
      <c r="Q275" s="5"/>
      <c r="R275" s="4"/>
      <c r="S275" s="158"/>
      <c r="T275" s="159"/>
      <c r="U275" s="160"/>
      <c r="V275" s="159"/>
      <c r="W275" s="159"/>
      <c r="X275" s="51"/>
      <c r="Y275" s="418"/>
      <c r="AB275" s="141"/>
      <c r="AC275" s="234"/>
      <c r="AD275" s="234"/>
      <c r="AE275" s="439"/>
      <c r="AF275" s="234"/>
      <c r="AG275" s="234"/>
      <c r="AH275" s="234"/>
      <c r="AI275" s="234"/>
      <c r="AJ275" s="235"/>
      <c r="BG275" s="441">
        <v>44652</v>
      </c>
      <c r="BH275">
        <v>0</v>
      </c>
      <c r="BJ275" s="441">
        <v>44652</v>
      </c>
      <c r="BK275">
        <v>272</v>
      </c>
    </row>
    <row r="276" spans="1:63" x14ac:dyDescent="0.25">
      <c r="E276" s="4"/>
      <c r="H276" s="5"/>
      <c r="I276" s="130"/>
      <c r="K276" s="53"/>
      <c r="L276" s="4"/>
      <c r="M276" s="157"/>
      <c r="N276" s="4"/>
      <c r="O276" s="4"/>
      <c r="P276" s="9"/>
      <c r="Q276" s="5"/>
      <c r="R276" s="4"/>
      <c r="S276" s="158"/>
      <c r="T276" s="159"/>
      <c r="U276" s="160"/>
      <c r="V276" s="159"/>
      <c r="W276" s="159"/>
      <c r="X276" s="51"/>
      <c r="Y276" s="418"/>
      <c r="AB276" s="141"/>
      <c r="AC276" s="234"/>
      <c r="AD276" s="234"/>
      <c r="AE276" s="439"/>
      <c r="AF276" s="234"/>
      <c r="AG276" s="234"/>
      <c r="AH276" s="234"/>
      <c r="AI276" s="234"/>
      <c r="AJ276" s="235"/>
      <c r="BG276" s="441">
        <v>44682</v>
      </c>
      <c r="BH276">
        <v>0</v>
      </c>
      <c r="BJ276" s="441">
        <v>44682</v>
      </c>
      <c r="BK276">
        <v>273</v>
      </c>
    </row>
    <row r="277" spans="1:63" x14ac:dyDescent="0.25">
      <c r="A277" s="382"/>
      <c r="E277" s="4"/>
      <c r="H277" s="5"/>
      <c r="I277" s="130"/>
      <c r="K277" s="53"/>
      <c r="L277" s="4"/>
      <c r="M277" s="157"/>
      <c r="N277" s="4"/>
      <c r="O277" s="4"/>
      <c r="P277" s="9"/>
      <c r="Q277" s="5"/>
      <c r="R277" s="4"/>
      <c r="S277" s="158"/>
      <c r="T277" s="159"/>
      <c r="U277" s="160"/>
      <c r="V277" s="159"/>
      <c r="W277" s="159"/>
      <c r="X277" s="51"/>
      <c r="Y277" s="418"/>
      <c r="BG277" s="441">
        <v>44713</v>
      </c>
      <c r="BH277">
        <v>0</v>
      </c>
      <c r="BJ277" s="441">
        <v>44713</v>
      </c>
      <c r="BK277">
        <v>274</v>
      </c>
    </row>
    <row r="278" spans="1:63" x14ac:dyDescent="0.25">
      <c r="BG278" s="441">
        <v>44743</v>
      </c>
      <c r="BH278">
        <v>0</v>
      </c>
      <c r="BJ278" s="441">
        <v>44743</v>
      </c>
      <c r="BK278">
        <v>275</v>
      </c>
    </row>
    <row r="279" spans="1:63" x14ac:dyDescent="0.25">
      <c r="BG279" s="441">
        <v>44774</v>
      </c>
      <c r="BH279">
        <v>0</v>
      </c>
      <c r="BJ279" s="441">
        <v>44774</v>
      </c>
      <c r="BK279">
        <v>276</v>
      </c>
    </row>
    <row r="280" spans="1:63" x14ac:dyDescent="0.25">
      <c r="BG280" s="441">
        <v>44805</v>
      </c>
      <c r="BH280">
        <v>0</v>
      </c>
      <c r="BJ280" s="441">
        <v>44805</v>
      </c>
      <c r="BK280">
        <v>277</v>
      </c>
    </row>
    <row r="281" spans="1:63" x14ac:dyDescent="0.25">
      <c r="BG281" s="441">
        <v>44835</v>
      </c>
      <c r="BH281">
        <v>0</v>
      </c>
      <c r="BJ281" s="441">
        <v>44835</v>
      </c>
      <c r="BK281">
        <v>278</v>
      </c>
    </row>
    <row r="282" spans="1:63" x14ac:dyDescent="0.25">
      <c r="BG282" s="441">
        <v>44866</v>
      </c>
      <c r="BH282">
        <v>0</v>
      </c>
      <c r="BJ282" s="441">
        <v>44866</v>
      </c>
      <c r="BK282">
        <v>279</v>
      </c>
    </row>
    <row r="283" spans="1:63" x14ac:dyDescent="0.25">
      <c r="BG283" s="441">
        <v>44896</v>
      </c>
      <c r="BH283">
        <v>0</v>
      </c>
      <c r="BJ283" s="441">
        <v>44896</v>
      </c>
      <c r="BK283">
        <v>280</v>
      </c>
    </row>
    <row r="284" spans="1:63" x14ac:dyDescent="0.25">
      <c r="BG284" s="441">
        <v>44927</v>
      </c>
      <c r="BH284">
        <v>0</v>
      </c>
      <c r="BJ284" s="441">
        <v>44927</v>
      </c>
      <c r="BK284">
        <v>281</v>
      </c>
    </row>
    <row r="285" spans="1:63" x14ac:dyDescent="0.25">
      <c r="BG285" s="441">
        <v>44958</v>
      </c>
      <c r="BH285">
        <v>0</v>
      </c>
      <c r="BJ285" s="441">
        <v>44958</v>
      </c>
      <c r="BK285">
        <v>282</v>
      </c>
    </row>
    <row r="286" spans="1:63" x14ac:dyDescent="0.25">
      <c r="BG286" s="441">
        <v>44986</v>
      </c>
      <c r="BH286">
        <v>0</v>
      </c>
      <c r="BJ286" s="441">
        <v>44986</v>
      </c>
      <c r="BK286">
        <v>283</v>
      </c>
    </row>
    <row r="287" spans="1:63" x14ac:dyDescent="0.25">
      <c r="BG287" s="441">
        <v>45017</v>
      </c>
      <c r="BH287">
        <v>0</v>
      </c>
      <c r="BJ287" s="441">
        <v>45017</v>
      </c>
      <c r="BK287">
        <v>284</v>
      </c>
    </row>
    <row r="288" spans="1:63" x14ac:dyDescent="0.25">
      <c r="BG288" s="441">
        <v>45047</v>
      </c>
      <c r="BH288">
        <v>0</v>
      </c>
      <c r="BJ288" s="441">
        <v>45047</v>
      </c>
      <c r="BK288">
        <v>285</v>
      </c>
    </row>
    <row r="289" spans="59:63" x14ac:dyDescent="0.25">
      <c r="BG289" s="441">
        <v>45078</v>
      </c>
      <c r="BH289">
        <v>0</v>
      </c>
      <c r="BJ289" s="441">
        <v>45078</v>
      </c>
      <c r="BK289">
        <v>286</v>
      </c>
    </row>
    <row r="290" spans="59:63" x14ac:dyDescent="0.25">
      <c r="BG290" s="441">
        <v>45108</v>
      </c>
      <c r="BH290">
        <v>0</v>
      </c>
      <c r="BJ290" s="441">
        <v>45108</v>
      </c>
      <c r="BK290">
        <v>287</v>
      </c>
    </row>
    <row r="291" spans="59:63" x14ac:dyDescent="0.25">
      <c r="BG291" s="441">
        <v>45139</v>
      </c>
      <c r="BH291">
        <v>0</v>
      </c>
      <c r="BJ291" s="441">
        <v>45139</v>
      </c>
      <c r="BK291">
        <v>288</v>
      </c>
    </row>
    <row r="292" spans="59:63" x14ac:dyDescent="0.25">
      <c r="BG292" s="441">
        <v>45170</v>
      </c>
      <c r="BH292">
        <v>0</v>
      </c>
      <c r="BJ292" s="441">
        <v>45170</v>
      </c>
      <c r="BK292">
        <v>289</v>
      </c>
    </row>
    <row r="293" spans="59:63" x14ac:dyDescent="0.25">
      <c r="BG293" s="441">
        <v>45200</v>
      </c>
      <c r="BH293">
        <v>0</v>
      </c>
      <c r="BJ293" s="441">
        <v>45200</v>
      </c>
      <c r="BK293">
        <v>290</v>
      </c>
    </row>
    <row r="294" spans="59:63" x14ac:dyDescent="0.25">
      <c r="BG294" s="441">
        <v>45231</v>
      </c>
      <c r="BH294">
        <v>0</v>
      </c>
      <c r="BJ294" s="441">
        <v>45231</v>
      </c>
      <c r="BK294">
        <v>291</v>
      </c>
    </row>
    <row r="295" spans="59:63" x14ac:dyDescent="0.25">
      <c r="BG295" s="441">
        <v>45261</v>
      </c>
      <c r="BH295">
        <v>0</v>
      </c>
      <c r="BJ295" s="441">
        <v>45261</v>
      </c>
      <c r="BK295">
        <v>292</v>
      </c>
    </row>
    <row r="296" spans="59:63" x14ac:dyDescent="0.25">
      <c r="BG296" s="441">
        <v>45292</v>
      </c>
      <c r="BH296">
        <v>0</v>
      </c>
      <c r="BJ296" s="441">
        <v>45292</v>
      </c>
      <c r="BK296">
        <v>293</v>
      </c>
    </row>
    <row r="297" spans="59:63" x14ac:dyDescent="0.25">
      <c r="BG297" s="441">
        <v>45323</v>
      </c>
      <c r="BH297">
        <v>0</v>
      </c>
      <c r="BJ297" s="441">
        <v>45323</v>
      </c>
      <c r="BK297">
        <v>294</v>
      </c>
    </row>
    <row r="298" spans="59:63" x14ac:dyDescent="0.25">
      <c r="BG298" s="441">
        <v>45352</v>
      </c>
      <c r="BH298">
        <v>0</v>
      </c>
      <c r="BJ298" s="441">
        <v>45352</v>
      </c>
      <c r="BK298">
        <v>295</v>
      </c>
    </row>
    <row r="299" spans="59:63" x14ac:dyDescent="0.25">
      <c r="BG299" s="441">
        <v>45383</v>
      </c>
      <c r="BH299">
        <v>0</v>
      </c>
      <c r="BJ299" s="441">
        <v>45383</v>
      </c>
      <c r="BK299">
        <v>296</v>
      </c>
    </row>
    <row r="300" spans="59:63" x14ac:dyDescent="0.25">
      <c r="BG300" s="441">
        <v>45413</v>
      </c>
      <c r="BH300">
        <v>0</v>
      </c>
      <c r="BJ300" s="441">
        <v>45413</v>
      </c>
      <c r="BK300">
        <v>297</v>
      </c>
    </row>
    <row r="301" spans="59:63" x14ac:dyDescent="0.25">
      <c r="BG301" s="441">
        <v>45444</v>
      </c>
      <c r="BH301">
        <v>0</v>
      </c>
      <c r="BJ301" s="441">
        <v>45444</v>
      </c>
      <c r="BK301">
        <v>298</v>
      </c>
    </row>
    <row r="302" spans="59:63" x14ac:dyDescent="0.25">
      <c r="BG302" s="441">
        <v>45474</v>
      </c>
      <c r="BH302">
        <v>0</v>
      </c>
      <c r="BJ302" s="441">
        <v>45474</v>
      </c>
      <c r="BK302">
        <v>299</v>
      </c>
    </row>
    <row r="303" spans="59:63" x14ac:dyDescent="0.25">
      <c r="BG303" s="441">
        <v>45505</v>
      </c>
      <c r="BH303">
        <v>0</v>
      </c>
      <c r="BJ303" s="441">
        <v>45505</v>
      </c>
      <c r="BK303">
        <v>300</v>
      </c>
    </row>
    <row r="304" spans="59:63" x14ac:dyDescent="0.25">
      <c r="BG304" s="441">
        <v>45536</v>
      </c>
      <c r="BH304">
        <v>0</v>
      </c>
      <c r="BJ304" s="441">
        <v>45536</v>
      </c>
      <c r="BK304">
        <v>301</v>
      </c>
    </row>
    <row r="305" spans="59:63" x14ac:dyDescent="0.25">
      <c r="BG305" s="441">
        <v>45566</v>
      </c>
      <c r="BH305">
        <v>0</v>
      </c>
      <c r="BJ305" s="441">
        <v>45566</v>
      </c>
      <c r="BK305">
        <v>302</v>
      </c>
    </row>
    <row r="306" spans="59:63" x14ac:dyDescent="0.25">
      <c r="BG306" s="441">
        <v>45597</v>
      </c>
      <c r="BH306">
        <v>0</v>
      </c>
      <c r="BJ306" s="441">
        <v>45597</v>
      </c>
      <c r="BK306">
        <v>303</v>
      </c>
    </row>
    <row r="307" spans="59:63" x14ac:dyDescent="0.25">
      <c r="BG307" s="441">
        <v>45627</v>
      </c>
      <c r="BH307">
        <v>0</v>
      </c>
      <c r="BJ307" s="441">
        <v>45627</v>
      </c>
      <c r="BK307">
        <v>304</v>
      </c>
    </row>
    <row r="308" spans="59:63" x14ac:dyDescent="0.25">
      <c r="BH308">
        <v>0</v>
      </c>
    </row>
    <row r="309" spans="59:63" x14ac:dyDescent="0.25">
      <c r="BH309">
        <v>0</v>
      </c>
    </row>
    <row r="310" spans="59:63" x14ac:dyDescent="0.25">
      <c r="BH310">
        <v>0</v>
      </c>
    </row>
    <row r="311" spans="59:63" x14ac:dyDescent="0.25">
      <c r="BH311">
        <v>0</v>
      </c>
    </row>
    <row r="312" spans="59:63" x14ac:dyDescent="0.25">
      <c r="BH312">
        <v>0</v>
      </c>
    </row>
    <row r="313" spans="59:63" x14ac:dyDescent="0.25">
      <c r="BH313">
        <v>0</v>
      </c>
    </row>
    <row r="314" spans="59:63" x14ac:dyDescent="0.25">
      <c r="BH314">
        <v>0</v>
      </c>
    </row>
    <row r="315" spans="59:63" x14ac:dyDescent="0.25">
      <c r="BH315">
        <v>0</v>
      </c>
    </row>
    <row r="316" spans="59:63" x14ac:dyDescent="0.25">
      <c r="BH316">
        <v>0</v>
      </c>
    </row>
    <row r="317" spans="59:63" x14ac:dyDescent="0.25">
      <c r="BH317">
        <v>0</v>
      </c>
    </row>
    <row r="318" spans="59:63" x14ac:dyDescent="0.25">
      <c r="BH318">
        <v>0</v>
      </c>
    </row>
    <row r="319" spans="59:63" x14ac:dyDescent="0.25">
      <c r="BH319">
        <v>0</v>
      </c>
    </row>
    <row r="320" spans="59:63" x14ac:dyDescent="0.25">
      <c r="BH320">
        <v>0</v>
      </c>
    </row>
    <row r="321" spans="60:60" x14ac:dyDescent="0.25">
      <c r="BH321">
        <v>0</v>
      </c>
    </row>
    <row r="322" spans="60:60" x14ac:dyDescent="0.25">
      <c r="BH322">
        <v>0</v>
      </c>
    </row>
    <row r="323" spans="60:60" x14ac:dyDescent="0.25">
      <c r="BH323">
        <v>0</v>
      </c>
    </row>
    <row r="324" spans="60:60" x14ac:dyDescent="0.25">
      <c r="BH324">
        <v>0</v>
      </c>
    </row>
    <row r="325" spans="60:60" x14ac:dyDescent="0.25">
      <c r="BH325">
        <v>0</v>
      </c>
    </row>
    <row r="326" spans="60:60" x14ac:dyDescent="0.25">
      <c r="BH326">
        <v>0</v>
      </c>
    </row>
    <row r="327" spans="60:60" x14ac:dyDescent="0.25">
      <c r="BH327">
        <v>0</v>
      </c>
    </row>
    <row r="328" spans="60:60" x14ac:dyDescent="0.25">
      <c r="BH328">
        <v>0</v>
      </c>
    </row>
    <row r="329" spans="60:60" x14ac:dyDescent="0.25">
      <c r="BH329">
        <v>0</v>
      </c>
    </row>
    <row r="330" spans="60:60" x14ac:dyDescent="0.25">
      <c r="BH330">
        <v>0</v>
      </c>
    </row>
    <row r="331" spans="60:60" x14ac:dyDescent="0.25">
      <c r="BH331">
        <v>0</v>
      </c>
    </row>
    <row r="332" spans="60:60" x14ac:dyDescent="0.25">
      <c r="BH332">
        <v>0</v>
      </c>
    </row>
    <row r="333" spans="60:60" x14ac:dyDescent="0.25">
      <c r="BH333">
        <v>0</v>
      </c>
    </row>
    <row r="334" spans="60:60" x14ac:dyDescent="0.25">
      <c r="BH334">
        <v>0</v>
      </c>
    </row>
    <row r="335" spans="60:60" x14ac:dyDescent="0.25">
      <c r="BH335">
        <v>0</v>
      </c>
    </row>
    <row r="336" spans="60:60" x14ac:dyDescent="0.25">
      <c r="BH336">
        <v>0</v>
      </c>
    </row>
    <row r="337" spans="60:60" x14ac:dyDescent="0.25">
      <c r="BH337">
        <v>0</v>
      </c>
    </row>
    <row r="338" spans="60:60" x14ac:dyDescent="0.25">
      <c r="BH338">
        <v>0</v>
      </c>
    </row>
    <row r="339" spans="60:60" x14ac:dyDescent="0.25">
      <c r="BH339">
        <v>0</v>
      </c>
    </row>
    <row r="340" spans="60:60" x14ac:dyDescent="0.25">
      <c r="BH340">
        <v>0</v>
      </c>
    </row>
    <row r="341" spans="60:60" x14ac:dyDescent="0.25">
      <c r="BH341">
        <v>0</v>
      </c>
    </row>
    <row r="342" spans="60:60" x14ac:dyDescent="0.25">
      <c r="BH342">
        <v>0</v>
      </c>
    </row>
    <row r="343" spans="60:60" x14ac:dyDescent="0.25">
      <c r="BH343">
        <v>0</v>
      </c>
    </row>
    <row r="344" spans="60:60" x14ac:dyDescent="0.25">
      <c r="BH344">
        <v>0</v>
      </c>
    </row>
    <row r="345" spans="60:60" x14ac:dyDescent="0.25">
      <c r="BH345">
        <v>0</v>
      </c>
    </row>
    <row r="346" spans="60:60" x14ac:dyDescent="0.25">
      <c r="BH346">
        <v>0</v>
      </c>
    </row>
    <row r="347" spans="60:60" x14ac:dyDescent="0.25">
      <c r="BH347">
        <v>0</v>
      </c>
    </row>
    <row r="348" spans="60:60" x14ac:dyDescent="0.25">
      <c r="BH348">
        <v>0</v>
      </c>
    </row>
    <row r="349" spans="60:60" x14ac:dyDescent="0.25">
      <c r="BH349">
        <v>0</v>
      </c>
    </row>
    <row r="350" spans="60:60" x14ac:dyDescent="0.25">
      <c r="BH350">
        <v>0</v>
      </c>
    </row>
    <row r="351" spans="60:60" x14ac:dyDescent="0.25">
      <c r="BH351">
        <v>0</v>
      </c>
    </row>
    <row r="352" spans="60:60" x14ac:dyDescent="0.25">
      <c r="BH352">
        <v>0</v>
      </c>
    </row>
    <row r="353" spans="60:60" x14ac:dyDescent="0.25">
      <c r="BH353">
        <v>0</v>
      </c>
    </row>
    <row r="354" spans="60:60" x14ac:dyDescent="0.25">
      <c r="BH354">
        <v>0</v>
      </c>
    </row>
    <row r="355" spans="60:60" x14ac:dyDescent="0.25">
      <c r="BH355">
        <v>0</v>
      </c>
    </row>
    <row r="356" spans="60:60" x14ac:dyDescent="0.25">
      <c r="BH356">
        <v>0</v>
      </c>
    </row>
    <row r="357" spans="60:60" x14ac:dyDescent="0.25">
      <c r="BH357">
        <v>0</v>
      </c>
    </row>
    <row r="358" spans="60:60" x14ac:dyDescent="0.25">
      <c r="BH358">
        <v>0</v>
      </c>
    </row>
    <row r="359" spans="60:60" x14ac:dyDescent="0.25">
      <c r="BH359">
        <v>0</v>
      </c>
    </row>
    <row r="360" spans="60:60" x14ac:dyDescent="0.25">
      <c r="BH360">
        <v>0</v>
      </c>
    </row>
    <row r="361" spans="60:60" x14ac:dyDescent="0.25">
      <c r="BH361">
        <v>0</v>
      </c>
    </row>
    <row r="362" spans="60:60" x14ac:dyDescent="0.25">
      <c r="BH362">
        <v>0</v>
      </c>
    </row>
    <row r="363" spans="60:60" x14ac:dyDescent="0.25">
      <c r="BH363">
        <v>0</v>
      </c>
    </row>
    <row r="364" spans="60:60" x14ac:dyDescent="0.25">
      <c r="BH364">
        <v>0</v>
      </c>
    </row>
    <row r="365" spans="60:60" x14ac:dyDescent="0.25">
      <c r="BH365">
        <v>0</v>
      </c>
    </row>
    <row r="366" spans="60:60" x14ac:dyDescent="0.25">
      <c r="BH366">
        <v>0</v>
      </c>
    </row>
    <row r="367" spans="60:60" x14ac:dyDescent="0.25">
      <c r="BH367">
        <v>0</v>
      </c>
    </row>
    <row r="368" spans="60:60" x14ac:dyDescent="0.25">
      <c r="BH368">
        <v>0</v>
      </c>
    </row>
    <row r="369" spans="60:60" x14ac:dyDescent="0.25">
      <c r="BH369">
        <v>0</v>
      </c>
    </row>
    <row r="370" spans="60:60" x14ac:dyDescent="0.25">
      <c r="BH370">
        <v>0</v>
      </c>
    </row>
    <row r="371" spans="60:60" x14ac:dyDescent="0.25">
      <c r="BH371">
        <v>0</v>
      </c>
    </row>
    <row r="372" spans="60:60" x14ac:dyDescent="0.25">
      <c r="BH372">
        <v>0</v>
      </c>
    </row>
    <row r="373" spans="60:60" x14ac:dyDescent="0.25">
      <c r="BH373">
        <v>0</v>
      </c>
    </row>
    <row r="374" spans="60:60" x14ac:dyDescent="0.25">
      <c r="BH374">
        <v>0</v>
      </c>
    </row>
    <row r="375" spans="60:60" x14ac:dyDescent="0.25">
      <c r="BH375">
        <v>0</v>
      </c>
    </row>
    <row r="376" spans="60:60" x14ac:dyDescent="0.25">
      <c r="BH376">
        <v>0</v>
      </c>
    </row>
    <row r="377" spans="60:60" x14ac:dyDescent="0.25">
      <c r="BH377">
        <v>0</v>
      </c>
    </row>
    <row r="378" spans="60:60" x14ac:dyDescent="0.25">
      <c r="BH378">
        <v>0</v>
      </c>
    </row>
    <row r="379" spans="60:60" x14ac:dyDescent="0.25">
      <c r="BH379">
        <v>0</v>
      </c>
    </row>
    <row r="407" spans="24:24" x14ac:dyDescent="0.25">
      <c r="X407" s="140"/>
    </row>
    <row r="408" spans="24:24" x14ac:dyDescent="0.25">
      <c r="X408" s="140"/>
    </row>
    <row r="409" spans="24:24" x14ac:dyDescent="0.25">
      <c r="X409" s="140"/>
    </row>
    <row r="410" spans="24:24" x14ac:dyDescent="0.25">
      <c r="X410" s="140"/>
    </row>
    <row r="411" spans="24:24" x14ac:dyDescent="0.25">
      <c r="X411" s="140"/>
    </row>
    <row r="412" spans="24:24" x14ac:dyDescent="0.25">
      <c r="X412" s="140"/>
    </row>
    <row r="413" spans="24:24" x14ac:dyDescent="0.25">
      <c r="X413" s="140"/>
    </row>
    <row r="414" spans="24:24" x14ac:dyDescent="0.25">
      <c r="X414" s="140"/>
    </row>
    <row r="415" spans="24:24" x14ac:dyDescent="0.25">
      <c r="X415" s="140"/>
    </row>
    <row r="416" spans="24:24" x14ac:dyDescent="0.25">
      <c r="X416" s="140"/>
    </row>
    <row r="417" spans="24:24" x14ac:dyDescent="0.25">
      <c r="X417" s="140"/>
    </row>
  </sheetData>
  <pageMargins left="0.2" right="0.33" top="0.84" bottom="1" header="0.5" footer="0.5"/>
  <pageSetup paperSize="5" scale="1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B20"/>
  <sheetViews>
    <sheetView workbookViewId="0"/>
  </sheetViews>
  <sheetFormatPr defaultRowHeight="13.2" x14ac:dyDescent="0.25"/>
  <cols>
    <col min="1" max="1" width="14.5546875" customWidth="1"/>
    <col min="2" max="2" width="9.33203125" bestFit="1" customWidth="1"/>
    <col min="3" max="3" width="11" customWidth="1"/>
    <col min="5" max="7" width="9.33203125" bestFit="1" customWidth="1"/>
    <col min="8" max="8" width="11.6640625" customWidth="1"/>
    <col min="9" max="17" width="9.33203125" bestFit="1" customWidth="1"/>
    <col min="18" max="18" width="10.5546875" customWidth="1"/>
    <col min="19" max="19" width="13.6640625" customWidth="1"/>
    <col min="24" max="24" width="10.33203125" bestFit="1" customWidth="1"/>
    <col min="25" max="25" width="9.33203125" bestFit="1" customWidth="1"/>
    <col min="26" max="26" width="9.33203125" customWidth="1"/>
    <col min="28" max="28" width="10.33203125" bestFit="1" customWidth="1"/>
  </cols>
  <sheetData>
    <row r="1" spans="1:28" ht="15.6" x14ac:dyDescent="0.3">
      <c r="A1" s="335" t="s">
        <v>243</v>
      </c>
      <c r="B1" s="336"/>
    </row>
    <row r="3" spans="1:28" x14ac:dyDescent="0.25">
      <c r="A3" s="143" t="s">
        <v>35</v>
      </c>
      <c r="B3" s="334">
        <f>Summary!P1</f>
        <v>36767</v>
      </c>
      <c r="R3" t="s">
        <v>244</v>
      </c>
      <c r="S3" s="10">
        <f>SUM(S7:S191)</f>
        <v>0</v>
      </c>
    </row>
    <row r="4" spans="1:28" ht="15.6" x14ac:dyDescent="0.3">
      <c r="A4" s="13" t="s">
        <v>61</v>
      </c>
      <c r="B4" s="14"/>
      <c r="C4" s="15"/>
      <c r="D4" s="15"/>
      <c r="E4" s="15"/>
      <c r="F4" s="15"/>
      <c r="G4" s="15"/>
      <c r="H4" s="15"/>
      <c r="I4" s="73"/>
      <c r="J4" s="70" t="s">
        <v>62</v>
      </c>
      <c r="K4" s="16"/>
      <c r="L4" s="16"/>
      <c r="M4" s="16"/>
      <c r="N4" s="16"/>
      <c r="O4" s="16"/>
      <c r="P4" s="16"/>
      <c r="Q4" s="16"/>
      <c r="R4" s="16"/>
      <c r="S4" s="333"/>
    </row>
    <row r="5" spans="1:28" x14ac:dyDescent="0.25">
      <c r="A5" s="69"/>
      <c r="B5" s="69"/>
      <c r="C5" s="69"/>
      <c r="D5" s="69" t="s">
        <v>12</v>
      </c>
      <c r="E5" s="69"/>
      <c r="F5" s="69" t="s">
        <v>13</v>
      </c>
      <c r="G5" s="69" t="s">
        <v>239</v>
      </c>
      <c r="H5" s="69" t="s">
        <v>239</v>
      </c>
      <c r="I5" s="68" t="s">
        <v>238</v>
      </c>
      <c r="J5" s="48" t="s">
        <v>25</v>
      </c>
      <c r="K5" s="48"/>
      <c r="L5" s="48" t="s">
        <v>27</v>
      </c>
      <c r="M5" s="48" t="s">
        <v>28</v>
      </c>
      <c r="N5" s="48" t="s">
        <v>63</v>
      </c>
      <c r="O5" s="48" t="s">
        <v>31</v>
      </c>
      <c r="P5" s="48" t="s">
        <v>241</v>
      </c>
      <c r="Q5" s="48"/>
      <c r="R5" s="48"/>
      <c r="S5" s="69"/>
      <c r="T5" t="s">
        <v>249</v>
      </c>
      <c r="W5" s="350" t="s">
        <v>111</v>
      </c>
      <c r="X5" s="346"/>
      <c r="Y5" s="346"/>
      <c r="Z5" s="346"/>
      <c r="AA5" s="346"/>
      <c r="AB5" s="346"/>
    </row>
    <row r="6" spans="1:28" ht="14.25" customHeight="1" thickBot="1" x14ac:dyDescent="0.3">
      <c r="A6" s="3" t="s">
        <v>15</v>
      </c>
      <c r="B6" s="3" t="s">
        <v>16</v>
      </c>
      <c r="C6" s="3" t="s">
        <v>2</v>
      </c>
      <c r="D6" s="3" t="s">
        <v>18</v>
      </c>
      <c r="E6" s="3" t="s">
        <v>3</v>
      </c>
      <c r="F6" s="3" t="s">
        <v>19</v>
      </c>
      <c r="G6" s="3" t="s">
        <v>29</v>
      </c>
      <c r="H6" s="3" t="s">
        <v>240</v>
      </c>
      <c r="I6" s="3" t="s">
        <v>5</v>
      </c>
      <c r="J6" s="3" t="s">
        <v>5</v>
      </c>
      <c r="K6" s="3" t="s">
        <v>26</v>
      </c>
      <c r="L6" s="3" t="s">
        <v>5</v>
      </c>
      <c r="M6" s="3" t="s">
        <v>29</v>
      </c>
      <c r="N6" s="3" t="s">
        <v>32</v>
      </c>
      <c r="O6" s="3" t="s">
        <v>30</v>
      </c>
      <c r="P6" s="3" t="s">
        <v>122</v>
      </c>
      <c r="Q6" s="3" t="s">
        <v>23</v>
      </c>
      <c r="R6" s="3" t="s">
        <v>22</v>
      </c>
      <c r="S6" s="3" t="s">
        <v>24</v>
      </c>
      <c r="T6" t="s">
        <v>87</v>
      </c>
      <c r="W6" s="346"/>
      <c r="X6" s="350" t="s">
        <v>237</v>
      </c>
      <c r="Y6" s="350" t="s">
        <v>248</v>
      </c>
      <c r="Z6" s="217" t="s">
        <v>97</v>
      </c>
      <c r="AA6" s="350"/>
      <c r="AB6" s="350" t="s">
        <v>113</v>
      </c>
    </row>
    <row r="7" spans="1:28" x14ac:dyDescent="0.25">
      <c r="A7" t="s">
        <v>246</v>
      </c>
      <c r="B7" t="s">
        <v>247</v>
      </c>
      <c r="C7" t="s">
        <v>248</v>
      </c>
      <c r="D7" t="s">
        <v>191</v>
      </c>
      <c r="E7" s="258">
        <v>36647</v>
      </c>
      <c r="F7">
        <v>-77500</v>
      </c>
      <c r="G7">
        <v>0.13500000000000001</v>
      </c>
      <c r="H7">
        <v>0.13500000000000001</v>
      </c>
      <c r="I7">
        <v>2.4500000000000002</v>
      </c>
      <c r="J7" s="444" t="s">
        <v>353</v>
      </c>
      <c r="K7" s="445" t="s">
        <v>354</v>
      </c>
      <c r="L7" s="445" t="s">
        <v>355</v>
      </c>
      <c r="M7" s="446" t="s">
        <v>356</v>
      </c>
      <c r="N7" s="75">
        <f>WORKDAY(E7,-3)-B$3</f>
        <v>-125</v>
      </c>
      <c r="O7" s="447" t="s">
        <v>357</v>
      </c>
      <c r="P7" s="4">
        <f>IF(D7="C",1,0)</f>
        <v>0</v>
      </c>
      <c r="Q7">
        <v>0</v>
      </c>
      <c r="R7">
        <v>0</v>
      </c>
      <c r="S7" s="10">
        <v>0</v>
      </c>
      <c r="T7">
        <f>R7*F7</f>
        <v>0</v>
      </c>
      <c r="U7" t="str">
        <f>E7&amp;C7</f>
        <v>36647IF-ANR/OK</v>
      </c>
      <c r="W7" s="347">
        <f>EOMONTH(B3,0)+1</f>
        <v>36770</v>
      </c>
      <c r="X7" s="338">
        <f t="shared" ref="X7:X20" si="0">SUMIF($U$7:$U$92,$W7&amp;$X$6,$T$7:$T$91)</f>
        <v>0</v>
      </c>
      <c r="Y7" s="339">
        <f t="shared" ref="Y7:Y20" si="1">SUMIF($U$7:$U$92,$W7&amp;$Y$6,$T$7:$T$91)</f>
        <v>0</v>
      </c>
      <c r="Z7" s="339">
        <f t="shared" ref="Z7:Z20" si="2">SUMIF($U$7:$U$92,$W7&amp;$Z$6,$T$7:$T$91)</f>
        <v>0</v>
      </c>
      <c r="AA7" s="339"/>
      <c r="AB7" s="340">
        <f>SUM(X7:AA7)</f>
        <v>0</v>
      </c>
    </row>
    <row r="8" spans="1:28" x14ac:dyDescent="0.25">
      <c r="E8" s="258"/>
      <c r="J8" s="53"/>
      <c r="K8" s="7"/>
      <c r="L8" s="7"/>
      <c r="M8" s="52"/>
      <c r="N8" s="75"/>
      <c r="O8" s="4"/>
      <c r="P8" s="4"/>
      <c r="Q8" s="442" t="s">
        <v>344</v>
      </c>
      <c r="R8" s="442" t="s">
        <v>345</v>
      </c>
      <c r="S8" s="443" t="s">
        <v>346</v>
      </c>
      <c r="W8" s="348">
        <f t="shared" ref="W8:W20" si="3">EOMONTH(W7,0)+1</f>
        <v>36800</v>
      </c>
      <c r="X8" s="341">
        <f t="shared" si="0"/>
        <v>0</v>
      </c>
      <c r="Y8" s="196">
        <f t="shared" si="1"/>
        <v>0</v>
      </c>
      <c r="Z8" s="196">
        <f t="shared" si="2"/>
        <v>0</v>
      </c>
      <c r="AA8" s="196"/>
      <c r="AB8" s="342">
        <f t="shared" ref="AB8:AB20" si="4">SUM(X8:AA8)</f>
        <v>0</v>
      </c>
    </row>
    <row r="9" spans="1:28" x14ac:dyDescent="0.25">
      <c r="E9" s="258"/>
      <c r="J9" s="53"/>
      <c r="K9" s="7"/>
      <c r="L9" s="7"/>
      <c r="M9" s="52"/>
      <c r="N9" s="75"/>
      <c r="O9" s="4"/>
      <c r="P9" s="4"/>
      <c r="S9" s="10"/>
      <c r="U9" t="str">
        <f>E8&amp;C8</f>
        <v/>
      </c>
      <c r="W9" s="348">
        <f t="shared" si="3"/>
        <v>36831</v>
      </c>
      <c r="X9" s="341">
        <f t="shared" si="0"/>
        <v>0</v>
      </c>
      <c r="Y9" s="196">
        <f t="shared" si="1"/>
        <v>0</v>
      </c>
      <c r="Z9" s="196">
        <f t="shared" si="2"/>
        <v>0</v>
      </c>
      <c r="AA9" s="196"/>
      <c r="AB9" s="342">
        <f t="shared" si="4"/>
        <v>0</v>
      </c>
    </row>
    <row r="10" spans="1:28" x14ac:dyDescent="0.25">
      <c r="E10" s="258"/>
      <c r="J10" s="53"/>
      <c r="K10" s="7"/>
      <c r="L10" s="7"/>
      <c r="M10" s="52"/>
      <c r="N10" s="75"/>
      <c r="O10" s="4"/>
      <c r="P10" s="4"/>
      <c r="S10" s="10"/>
      <c r="U10" t="str">
        <f>E9&amp;C9</f>
        <v/>
      </c>
      <c r="W10" s="348">
        <f t="shared" si="3"/>
        <v>36861</v>
      </c>
      <c r="X10" s="341">
        <f t="shared" si="0"/>
        <v>0</v>
      </c>
      <c r="Y10" s="196">
        <f t="shared" si="1"/>
        <v>0</v>
      </c>
      <c r="Z10" s="196">
        <f t="shared" si="2"/>
        <v>0</v>
      </c>
      <c r="AA10" s="196"/>
      <c r="AB10" s="342">
        <f t="shared" si="4"/>
        <v>0</v>
      </c>
    </row>
    <row r="11" spans="1:28" x14ac:dyDescent="0.25">
      <c r="U11" t="str">
        <f>E10&amp;C10</f>
        <v/>
      </c>
      <c r="W11" s="348">
        <f t="shared" si="3"/>
        <v>36892</v>
      </c>
      <c r="X11" s="341">
        <f t="shared" si="0"/>
        <v>0</v>
      </c>
      <c r="Y11" s="196">
        <f t="shared" si="1"/>
        <v>0</v>
      </c>
      <c r="Z11" s="196">
        <f t="shared" si="2"/>
        <v>0</v>
      </c>
      <c r="AA11" s="196"/>
      <c r="AB11" s="342">
        <f t="shared" si="4"/>
        <v>0</v>
      </c>
    </row>
    <row r="12" spans="1:28" x14ac:dyDescent="0.25">
      <c r="W12" s="348">
        <f t="shared" si="3"/>
        <v>36923</v>
      </c>
      <c r="X12" s="341">
        <f t="shared" si="0"/>
        <v>0</v>
      </c>
      <c r="Y12" s="196">
        <f t="shared" si="1"/>
        <v>0</v>
      </c>
      <c r="Z12" s="196">
        <f t="shared" si="2"/>
        <v>0</v>
      </c>
      <c r="AA12" s="196"/>
      <c r="AB12" s="342">
        <f t="shared" si="4"/>
        <v>0</v>
      </c>
    </row>
    <row r="13" spans="1:28" x14ac:dyDescent="0.25">
      <c r="W13" s="348">
        <f t="shared" si="3"/>
        <v>36951</v>
      </c>
      <c r="X13" s="341">
        <f t="shared" si="0"/>
        <v>0</v>
      </c>
      <c r="Y13" s="196">
        <f t="shared" si="1"/>
        <v>0</v>
      </c>
      <c r="Z13" s="196">
        <f t="shared" si="2"/>
        <v>0</v>
      </c>
      <c r="AA13" s="196"/>
      <c r="AB13" s="342">
        <f t="shared" si="4"/>
        <v>0</v>
      </c>
    </row>
    <row r="14" spans="1:28" x14ac:dyDescent="0.25">
      <c r="W14" s="348">
        <f t="shared" si="3"/>
        <v>36982</v>
      </c>
      <c r="X14" s="341">
        <f t="shared" si="0"/>
        <v>0</v>
      </c>
      <c r="Y14" s="196">
        <f t="shared" si="1"/>
        <v>0</v>
      </c>
      <c r="Z14" s="196">
        <f t="shared" si="2"/>
        <v>0</v>
      </c>
      <c r="AA14" s="196"/>
      <c r="AB14" s="342">
        <f t="shared" si="4"/>
        <v>0</v>
      </c>
    </row>
    <row r="15" spans="1:28" x14ac:dyDescent="0.25">
      <c r="W15" s="348">
        <f t="shared" si="3"/>
        <v>37012</v>
      </c>
      <c r="X15" s="341">
        <f t="shared" si="0"/>
        <v>0</v>
      </c>
      <c r="Y15" s="196">
        <f t="shared" si="1"/>
        <v>0</v>
      </c>
      <c r="Z15" s="196">
        <f t="shared" si="2"/>
        <v>0</v>
      </c>
      <c r="AA15" s="196"/>
      <c r="AB15" s="342">
        <f t="shared" si="4"/>
        <v>0</v>
      </c>
    </row>
    <row r="16" spans="1:28" x14ac:dyDescent="0.25">
      <c r="W16" s="348">
        <f t="shared" si="3"/>
        <v>37043</v>
      </c>
      <c r="X16" s="341">
        <f t="shared" si="0"/>
        <v>0</v>
      </c>
      <c r="Y16" s="196">
        <f t="shared" si="1"/>
        <v>0</v>
      </c>
      <c r="Z16" s="196">
        <f t="shared" si="2"/>
        <v>0</v>
      </c>
      <c r="AA16" s="196"/>
      <c r="AB16" s="342">
        <f t="shared" si="4"/>
        <v>0</v>
      </c>
    </row>
    <row r="17" spans="23:28" x14ac:dyDescent="0.25">
      <c r="W17" s="348">
        <f t="shared" si="3"/>
        <v>37073</v>
      </c>
      <c r="X17" s="341">
        <f t="shared" si="0"/>
        <v>0</v>
      </c>
      <c r="Y17" s="196">
        <f t="shared" si="1"/>
        <v>0</v>
      </c>
      <c r="Z17" s="196">
        <f t="shared" si="2"/>
        <v>0</v>
      </c>
      <c r="AA17" s="196"/>
      <c r="AB17" s="342">
        <f t="shared" si="4"/>
        <v>0</v>
      </c>
    </row>
    <row r="18" spans="23:28" x14ac:dyDescent="0.25">
      <c r="W18" s="348">
        <f t="shared" si="3"/>
        <v>37104</v>
      </c>
      <c r="X18" s="341">
        <f t="shared" si="0"/>
        <v>0</v>
      </c>
      <c r="Y18" s="196">
        <f t="shared" si="1"/>
        <v>0</v>
      </c>
      <c r="Z18" s="196">
        <f t="shared" si="2"/>
        <v>0</v>
      </c>
      <c r="AA18" s="196"/>
      <c r="AB18" s="342">
        <f t="shared" si="4"/>
        <v>0</v>
      </c>
    </row>
    <row r="19" spans="23:28" x14ac:dyDescent="0.25">
      <c r="W19" s="348">
        <f t="shared" si="3"/>
        <v>37135</v>
      </c>
      <c r="X19" s="341">
        <f t="shared" si="0"/>
        <v>0</v>
      </c>
      <c r="Y19" s="196">
        <f t="shared" si="1"/>
        <v>0</v>
      </c>
      <c r="Z19" s="196">
        <f t="shared" si="2"/>
        <v>0</v>
      </c>
      <c r="AA19" s="196"/>
      <c r="AB19" s="342">
        <f t="shared" si="4"/>
        <v>0</v>
      </c>
    </row>
    <row r="20" spans="23:28" ht="13.8" thickBot="1" x14ac:dyDescent="0.3">
      <c r="W20" s="349">
        <f t="shared" si="3"/>
        <v>37165</v>
      </c>
      <c r="X20" s="343">
        <f t="shared" si="0"/>
        <v>0</v>
      </c>
      <c r="Y20" s="344">
        <f t="shared" si="1"/>
        <v>0</v>
      </c>
      <c r="Z20" s="344">
        <f t="shared" si="2"/>
        <v>0</v>
      </c>
      <c r="AA20" s="344"/>
      <c r="AB20" s="345">
        <f t="shared" si="4"/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V39"/>
  <sheetViews>
    <sheetView topLeftCell="D1" workbookViewId="0">
      <selection activeCell="L1" sqref="L1"/>
    </sheetView>
  </sheetViews>
  <sheetFormatPr defaultRowHeight="13.2" x14ac:dyDescent="0.25"/>
  <cols>
    <col min="1" max="1" width="3.5546875" style="346" customWidth="1"/>
    <col min="3" max="3" width="11.33203125" customWidth="1"/>
    <col min="4" max="5" width="11.33203125" bestFit="1" customWidth="1"/>
    <col min="6" max="13" width="11.33203125" customWidth="1"/>
    <col min="14" max="14" width="12.88671875" bestFit="1" customWidth="1"/>
    <col min="15" max="15" width="1.33203125" style="346" customWidth="1"/>
    <col min="17" max="17" width="10.88671875" bestFit="1" customWidth="1"/>
    <col min="18" max="18" width="10.44140625" customWidth="1"/>
    <col min="19" max="19" width="15" customWidth="1"/>
    <col min="20" max="20" width="12" bestFit="1" customWidth="1"/>
    <col min="21" max="21" width="18" customWidth="1"/>
    <col min="22" max="22" width="9.109375" style="346" customWidth="1"/>
  </cols>
  <sheetData>
    <row r="1" spans="2:21" x14ac:dyDescent="0.25"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P1" s="346"/>
      <c r="Q1" s="346"/>
      <c r="R1" s="346"/>
      <c r="S1" s="346"/>
      <c r="T1" s="346"/>
      <c r="U1" s="346"/>
    </row>
    <row r="2" spans="2:21" ht="13.8" thickBot="1" x14ac:dyDescent="0.3"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P2" s="346"/>
      <c r="Q2" s="346"/>
      <c r="R2" s="346"/>
      <c r="S2" s="346"/>
      <c r="T2" s="346"/>
      <c r="U2" s="346"/>
    </row>
    <row r="3" spans="2:21" ht="34.5" customHeight="1" thickBot="1" x14ac:dyDescent="0.3">
      <c r="B3" s="391" t="s">
        <v>68</v>
      </c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3"/>
      <c r="P3" s="390" t="s">
        <v>272</v>
      </c>
      <c r="Q3" s="409"/>
      <c r="R3" s="401"/>
      <c r="S3" s="402" t="s">
        <v>273</v>
      </c>
      <c r="T3" s="403" t="s">
        <v>274</v>
      </c>
      <c r="U3" s="404" t="s">
        <v>275</v>
      </c>
    </row>
    <row r="4" spans="2:21" ht="13.8" thickBot="1" x14ac:dyDescent="0.3">
      <c r="B4" s="175"/>
      <c r="C4" s="399" t="s">
        <v>7</v>
      </c>
      <c r="D4" s="399" t="s">
        <v>10</v>
      </c>
      <c r="E4" s="399" t="s">
        <v>9</v>
      </c>
      <c r="F4" s="399" t="s">
        <v>325</v>
      </c>
      <c r="G4" s="399" t="s">
        <v>384</v>
      </c>
      <c r="H4" s="399" t="s">
        <v>74</v>
      </c>
      <c r="I4" s="399" t="s">
        <v>190</v>
      </c>
      <c r="J4" s="399" t="s">
        <v>6</v>
      </c>
      <c r="K4" s="399" t="s">
        <v>487</v>
      </c>
      <c r="L4" s="399" t="s">
        <v>526</v>
      </c>
      <c r="M4" s="399" t="s">
        <v>617</v>
      </c>
      <c r="N4" s="464" t="s">
        <v>72</v>
      </c>
      <c r="P4" s="401"/>
      <c r="Q4" s="177" t="s">
        <v>248</v>
      </c>
      <c r="R4" s="391"/>
      <c r="S4" s="392"/>
      <c r="T4" s="392"/>
      <c r="U4" s="393"/>
    </row>
    <row r="5" spans="2:21" x14ac:dyDescent="0.25">
      <c r="B5" s="410">
        <v>36770</v>
      </c>
      <c r="C5" s="411">
        <f>SUMIF('Basis Options'!$X$7:$X$1006,CONCATENATE(CashFlows!$B5,CashFlows!C$4),'Basis Options'!$U$7:$U$1006)</f>
        <v>-198498.01150310633</v>
      </c>
      <c r="D5" s="411">
        <f>SUMIF('Basis Options'!$X$7:$X$1006,CONCATENATE(CashFlows!$B5,CashFlows!D$4),'Basis Options'!$U$7:$U$1006)</f>
        <v>10599.382469210192</v>
      </c>
      <c r="E5" s="411">
        <f>SUMIF('Basis Options'!$X$7:$X$1006,CONCATENATE(CashFlows!$B5,CashFlows!E$4),'Basis Options'!$U$7:$U$1006)</f>
        <v>2001112.6669050267</v>
      </c>
      <c r="F5" s="411">
        <f>SUMIF('Basis Options'!$X$7:$X$1006,CONCATENATE(CashFlows!$B5,CashFlows!F$4),'Basis Options'!$U$7:$U$1006)</f>
        <v>-219959.51758360732</v>
      </c>
      <c r="G5" s="411">
        <f>SUMIF('Basis Options'!$X$7:$X$1006,CONCATENATE(CashFlows!$B5,CashFlows!G$4),'Basis Options'!$U$7:$U$1006)</f>
        <v>1957.3291020529487</v>
      </c>
      <c r="H5" s="411">
        <f>SUMIF('Basis Options'!$X$7:$X$1006,CONCATENATE(CashFlows!$B5,CashFlows!H$4),'Basis Options'!$U$7:$U$1006)</f>
        <v>0</v>
      </c>
      <c r="I5" s="411">
        <f>SUMIF('Basis Options'!$X$7:$X$1006,CONCATENATE(CashFlows!$B5,CashFlows!I$4),'Basis Options'!$U$7:$U$1006)</f>
        <v>553397.92927437264</v>
      </c>
      <c r="J5" s="411">
        <f>SUMIF('Basis Options'!$X$7:$X$1006,CONCATENATE(CashFlows!$B5,CashFlows!J$4),'Basis Options'!$U$7:$U$1006)</f>
        <v>0</v>
      </c>
      <c r="K5" s="411">
        <f>SUMIF('Basis Options'!$X$7:$X$1006,CONCATENATE(CashFlows!$B5,CashFlows!K$4),'Basis Options'!$U$7:$U$1006)</f>
        <v>0</v>
      </c>
      <c r="L5" s="411">
        <f>SUMIF('Basis Options'!$X$7:$X$1006,CONCATENATE(CashFlows!$B5,CashFlows!L$4),'Basis Options'!$U$7:$U$1006)</f>
        <v>0</v>
      </c>
      <c r="M5" s="411">
        <f>SUMIF('Basis Options'!$X$7:$X$1006,CONCATENATE(CashFlows!$B5,CashFlows!M$4),'Basis Options'!$U$7:$U$1006)</f>
        <v>0</v>
      </c>
      <c r="N5" s="412">
        <f>SUM(C5:M5)</f>
        <v>2148609.7786639486</v>
      </c>
      <c r="P5" s="394">
        <v>36678</v>
      </c>
      <c r="Q5" s="405">
        <f>SUMIF(Digital!U7:U11,CONCATENATE(CashFlows!P5,CashFlows!Q4),Digital!S7:S10)</f>
        <v>0</v>
      </c>
      <c r="R5" s="394">
        <f>B5</f>
        <v>36770</v>
      </c>
      <c r="S5" s="395">
        <f>N5+Q5</f>
        <v>2148609.7786639486</v>
      </c>
      <c r="T5" s="206">
        <f>INDEX(discount,MATCH(B5,discountmonths,0),3)</f>
        <v>0.99945382032971275</v>
      </c>
      <c r="U5" s="396">
        <f>S5/T5</f>
        <v>2149783.9469512831</v>
      </c>
    </row>
    <row r="6" spans="2:21" x14ac:dyDescent="0.25">
      <c r="B6" s="394">
        <f t="shared" ref="B6:B37" si="0">EOMONTH(B5,0)+1</f>
        <v>36800</v>
      </c>
      <c r="C6" s="413">
        <f>SUMIF('Basis Options'!$X$7:$X$1006,CONCATENATE(CashFlows!$B6,CashFlows!C$4),'Basis Options'!$U$7:$U$1006)</f>
        <v>-969007.82697272371</v>
      </c>
      <c r="D6" s="413">
        <f>SUMIF('Basis Options'!$X$7:$X$1006,CONCATENATE(CashFlows!$B6,CashFlows!D$4),'Basis Options'!$U$7:$U$1006)</f>
        <v>49393.489960756997</v>
      </c>
      <c r="E6" s="413">
        <f>SUMIF('Basis Options'!$X$7:$X$1006,CONCATENATE(CashFlows!$B6,CashFlows!E$4),'Basis Options'!$U$7:$U$1006)</f>
        <v>2118587.473877205</v>
      </c>
      <c r="F6" s="413">
        <f>SUMIF('Basis Options'!$X$7:$X$1006,CONCATENATE(CashFlows!$B6,CashFlows!F$4),'Basis Options'!$U$7:$U$1006)</f>
        <v>-183313.86673152004</v>
      </c>
      <c r="G6" s="413">
        <f>SUMIF('Basis Options'!$X$7:$X$1006,CONCATENATE(CashFlows!$B6,CashFlows!G$4),'Basis Options'!$U$7:$U$1006)</f>
        <v>23504.479360795205</v>
      </c>
      <c r="H6" s="413">
        <f>SUMIF('Basis Options'!$X$7:$X$1006,CONCATENATE(CashFlows!$B6,CashFlows!H$4),'Basis Options'!$U$7:$U$1006)</f>
        <v>0</v>
      </c>
      <c r="I6" s="413">
        <f>SUMIF('Basis Options'!$X$7:$X$1006,CONCATENATE(CashFlows!$B6,CashFlows!I$4),'Basis Options'!$U$7:$U$1006)</f>
        <v>2388417.8030551621</v>
      </c>
      <c r="J6" s="413">
        <f>SUMIF('Basis Options'!$X$7:$X$1006,CONCATENATE(CashFlows!$B6,CashFlows!J$4),'Basis Options'!$U$7:$U$1006)</f>
        <v>0</v>
      </c>
      <c r="K6" s="413">
        <f>SUMIF('Basis Options'!$X$7:$X$1006,CONCATENATE(CashFlows!$B6,CashFlows!K$4),'Basis Options'!$U$7:$U$1006)</f>
        <v>0</v>
      </c>
      <c r="L6" s="413">
        <f>SUMIF('Basis Options'!$X$7:$X$1006,CONCATENATE(CashFlows!$B6,CashFlows!L$4),'Basis Options'!$U$7:$U$1006)</f>
        <v>0</v>
      </c>
      <c r="M6" s="413">
        <f>SUMIF('Basis Options'!$X$7:$X$1006,CONCATENATE(CashFlows!$B6,CashFlows!M$4),'Basis Options'!$U$7:$U$1006)</f>
        <v>0</v>
      </c>
      <c r="N6" s="405">
        <f t="shared" ref="N6:N37" si="1">SUM(C6:M6)</f>
        <v>3427581.5525496756</v>
      </c>
      <c r="P6" s="394">
        <f t="shared" ref="P6:P37" si="2">EOMONTH(P5,0)+1</f>
        <v>36708</v>
      </c>
      <c r="Q6" s="405">
        <f>SUMIF(Digital!U7:U12,CONCATENATE(CashFlows!P6,CashFlows!Q5),Digital!S7:S11)</f>
        <v>0</v>
      </c>
      <c r="R6" s="394">
        <f t="shared" ref="R6:R37" si="3">B6</f>
        <v>36800</v>
      </c>
      <c r="S6" s="395">
        <f t="shared" ref="S6:S37" si="4">N6+Q6</f>
        <v>3427581.5525496756</v>
      </c>
      <c r="T6" s="206">
        <f t="shared" ref="T6:T37" si="5">INDEX(discount,MATCH(B6,discountmonths,0),3)</f>
        <v>0.99397173236314718</v>
      </c>
      <c r="U6" s="396">
        <f t="shared" ref="U6:U37" si="6">S6/T6</f>
        <v>3448369.2452708604</v>
      </c>
    </row>
    <row r="7" spans="2:21" x14ac:dyDescent="0.25">
      <c r="B7" s="394">
        <f t="shared" si="0"/>
        <v>36831</v>
      </c>
      <c r="C7" s="413">
        <f>SUMIF('Basis Options'!$X$7:$X$1006,CONCATENATE(CashFlows!$B7,CashFlows!C$4),'Basis Options'!$U$7:$U$1006)</f>
        <v>1104649.9306958981</v>
      </c>
      <c r="D7" s="413">
        <f>SUMIF('Basis Options'!$X$7:$X$1006,CONCATENATE(CashFlows!$B7,CashFlows!D$4),'Basis Options'!$U$7:$U$1006)</f>
        <v>5552.9554139037591</v>
      </c>
      <c r="E7" s="413">
        <f>SUMIF('Basis Options'!$X$7:$X$1006,CONCATENATE(CashFlows!$B7,CashFlows!E$4),'Basis Options'!$U$7:$U$1006)</f>
        <v>50707.761478262852</v>
      </c>
      <c r="F7" s="413">
        <f>SUMIF('Basis Options'!$X$7:$X$1006,CONCATENATE(CashFlows!$B7,CashFlows!F$4),'Basis Options'!$U$7:$U$1006)</f>
        <v>-161686.26529046509</v>
      </c>
      <c r="G7" s="413">
        <f>SUMIF('Basis Options'!$X$7:$X$1006,CONCATENATE(CashFlows!$B7,CashFlows!G$4),'Basis Options'!$U$7:$U$1006)</f>
        <v>0</v>
      </c>
      <c r="H7" s="413">
        <f>SUMIF('Basis Options'!$X$7:$X$1006,CONCATENATE(CashFlows!$B7,CashFlows!H$4),'Basis Options'!$U$7:$U$1006)</f>
        <v>-35388.999757931007</v>
      </c>
      <c r="I7" s="413">
        <f>SUMIF('Basis Options'!$X$7:$X$1006,CONCATENATE(CashFlows!$B7,CashFlows!I$4),'Basis Options'!$U$7:$U$1006)</f>
        <v>3196345.3067221921</v>
      </c>
      <c r="J7" s="413">
        <f>SUMIF('Basis Options'!$X$7:$X$1006,CONCATENATE(CashFlows!$B7,CashFlows!J$4),'Basis Options'!$U$7:$U$1006)</f>
        <v>-11237.562397164866</v>
      </c>
      <c r="K7" s="413">
        <f>SUMIF('Basis Options'!$X$7:$X$1006,CONCATENATE(CashFlows!$B7,CashFlows!K$4),'Basis Options'!$U$7:$U$1006)</f>
        <v>-3449.0734935286214</v>
      </c>
      <c r="L7" s="413">
        <f>SUMIF('Basis Options'!$X$7:$X$1006,CONCATENATE(CashFlows!$B7,CashFlows!L$4),'Basis Options'!$U$7:$U$1006)</f>
        <v>-3442.3409133381547</v>
      </c>
      <c r="M7" s="413">
        <f>SUMIF('Basis Options'!$X$7:$X$1006,CONCATENATE(CashFlows!$B7,CashFlows!M$4),'Basis Options'!$U$7:$U$1006)</f>
        <v>330275.86838245764</v>
      </c>
      <c r="N7" s="405">
        <f t="shared" si="1"/>
        <v>4472327.5808402877</v>
      </c>
      <c r="P7" s="394">
        <f t="shared" si="2"/>
        <v>36739</v>
      </c>
      <c r="Q7" s="405">
        <f>SUMIF(Digital!U7:U13,CONCATENATE(CashFlows!P7,CashFlows!Q6),Digital!S7:S12)</f>
        <v>0</v>
      </c>
      <c r="R7" s="394">
        <f t="shared" si="3"/>
        <v>36831</v>
      </c>
      <c r="S7" s="395">
        <f t="shared" si="4"/>
        <v>4472327.5808402877</v>
      </c>
      <c r="T7" s="206">
        <f t="shared" si="5"/>
        <v>0.98832309271187579</v>
      </c>
      <c r="U7" s="396">
        <f t="shared" si="6"/>
        <v>4525167.5426996201</v>
      </c>
    </row>
    <row r="8" spans="2:21" x14ac:dyDescent="0.25">
      <c r="B8" s="394">
        <f t="shared" si="0"/>
        <v>36861</v>
      </c>
      <c r="C8" s="413">
        <f>SUMIF('Basis Options'!$X$7:$X$1006,CONCATENATE(CashFlows!$B8,CashFlows!C$4),'Basis Options'!$U$7:$U$1006)</f>
        <v>-2720086.5023970152</v>
      </c>
      <c r="D8" s="413">
        <f>SUMIF('Basis Options'!$X$7:$X$1006,CONCATENATE(CashFlows!$B8,CashFlows!D$4),'Basis Options'!$U$7:$U$1006)</f>
        <v>7236.4469370924871</v>
      </c>
      <c r="E8" s="413">
        <f>SUMIF('Basis Options'!$X$7:$X$1006,CONCATENATE(CashFlows!$B8,CashFlows!E$4),'Basis Options'!$U$7:$U$1006)</f>
        <v>105501.4943795595</v>
      </c>
      <c r="F8" s="413">
        <f>SUMIF('Basis Options'!$X$7:$X$1006,CONCATENATE(CashFlows!$B8,CashFlows!F$4),'Basis Options'!$U$7:$U$1006)</f>
        <v>-201829.22293131455</v>
      </c>
      <c r="G8" s="413">
        <f>SUMIF('Basis Options'!$X$7:$X$1006,CONCATENATE(CashFlows!$B8,CashFlows!G$4),'Basis Options'!$U$7:$U$1006)</f>
        <v>0</v>
      </c>
      <c r="H8" s="413">
        <f>SUMIF('Basis Options'!$X$7:$X$1006,CONCATENATE(CashFlows!$B8,CashFlows!H$4),'Basis Options'!$U$7:$U$1006)</f>
        <v>-72621.12940164459</v>
      </c>
      <c r="I8" s="413">
        <f>SUMIF('Basis Options'!$X$7:$X$1006,CONCATENATE(CashFlows!$B8,CashFlows!I$4),'Basis Options'!$U$7:$U$1006)</f>
        <v>1942423.8067038844</v>
      </c>
      <c r="J8" s="413">
        <f>SUMIF('Basis Options'!$X$7:$X$1006,CONCATENATE(CashFlows!$B8,CashFlows!J$4),'Basis Options'!$U$7:$U$1006)</f>
        <v>-23596.753882072084</v>
      </c>
      <c r="K8" s="413">
        <f>SUMIF('Basis Options'!$X$7:$X$1006,CONCATENATE(CashFlows!$B8,CashFlows!K$4),'Basis Options'!$U$7:$U$1006)</f>
        <v>-8955.8288808211801</v>
      </c>
      <c r="L8" s="413">
        <f>SUMIF('Basis Options'!$X$7:$X$1006,CONCATENATE(CashFlows!$B8,CashFlows!L$4),'Basis Options'!$U$7:$U$1006)</f>
        <v>-10527.264334961978</v>
      </c>
      <c r="M8" s="413">
        <f>SUMIF('Basis Options'!$X$7:$X$1006,CONCATENATE(CashFlows!$B8,CashFlows!M$4),'Basis Options'!$U$7:$U$1006)</f>
        <v>1197942.2623096304</v>
      </c>
      <c r="N8" s="405">
        <f t="shared" si="1"/>
        <v>215487.30850233696</v>
      </c>
      <c r="P8" s="394">
        <f t="shared" si="2"/>
        <v>36770</v>
      </c>
      <c r="Q8" s="405">
        <f>SUMIF(Digital!U7:U14,CONCATENATE(CashFlows!P8,CashFlows!Q7),Digital!S7:S13)</f>
        <v>0</v>
      </c>
      <c r="R8" s="394">
        <f t="shared" si="3"/>
        <v>36861</v>
      </c>
      <c r="S8" s="395">
        <f t="shared" si="4"/>
        <v>215487.30850233696</v>
      </c>
      <c r="T8" s="206">
        <f t="shared" si="5"/>
        <v>0.9828428500337385</v>
      </c>
      <c r="U8" s="396">
        <f t="shared" si="6"/>
        <v>219248.99641376018</v>
      </c>
    </row>
    <row r="9" spans="2:21" x14ac:dyDescent="0.25">
      <c r="B9" s="394">
        <f t="shared" si="0"/>
        <v>36892</v>
      </c>
      <c r="C9" s="413">
        <f>SUMIF('Basis Options'!$X$7:$X$1006,CONCATENATE(CashFlows!$B9,CashFlows!C$4),'Basis Options'!$U$7:$U$1006)</f>
        <v>-4887281.5436310349</v>
      </c>
      <c r="D9" s="413">
        <f>SUMIF('Basis Options'!$X$7:$X$1006,CONCATENATE(CashFlows!$B9,CashFlows!D$4),'Basis Options'!$U$7:$U$1006)</f>
        <v>7474.7261120722033</v>
      </c>
      <c r="E9" s="413">
        <f>SUMIF('Basis Options'!$X$7:$X$1006,CONCATENATE(CashFlows!$B9,CashFlows!E$4),'Basis Options'!$U$7:$U$1006)</f>
        <v>109844.09212632578</v>
      </c>
      <c r="F9" s="413">
        <f>SUMIF('Basis Options'!$X$7:$X$1006,CONCATENATE(CashFlows!$B9,CashFlows!F$4),'Basis Options'!$U$7:$U$1006)</f>
        <v>-231753.1640487074</v>
      </c>
      <c r="G9" s="413">
        <f>SUMIF('Basis Options'!$X$7:$X$1006,CONCATENATE(CashFlows!$B9,CashFlows!G$4),'Basis Options'!$U$7:$U$1006)</f>
        <v>0</v>
      </c>
      <c r="H9" s="413">
        <f>SUMIF('Basis Options'!$X$7:$X$1006,CONCATENATE(CashFlows!$B9,CashFlows!H$4),'Basis Options'!$U$7:$U$1006)</f>
        <v>-201409.99965059888</v>
      </c>
      <c r="I9" s="413">
        <f>SUMIF('Basis Options'!$X$7:$X$1006,CONCATENATE(CashFlows!$B9,CashFlows!I$4),'Basis Options'!$U$7:$U$1006)</f>
        <v>1465395.6927608759</v>
      </c>
      <c r="J9" s="413">
        <f>SUMIF('Basis Options'!$X$7:$X$1006,CONCATENATE(CashFlows!$B9,CashFlows!J$4),'Basis Options'!$U$7:$U$1006)</f>
        <v>-34357.288660433172</v>
      </c>
      <c r="K9" s="413">
        <f>SUMIF('Basis Options'!$X$7:$X$1006,CONCATENATE(CashFlows!$B9,CashFlows!K$4),'Basis Options'!$U$7:$U$1006)</f>
        <v>-15947.046794505613</v>
      </c>
      <c r="L9" s="413">
        <f>SUMIF('Basis Options'!$X$7:$X$1006,CONCATENATE(CashFlows!$B9,CashFlows!L$4),'Basis Options'!$U$7:$U$1006)</f>
        <v>-23046.502721910925</v>
      </c>
      <c r="M9" s="413">
        <f>SUMIF('Basis Options'!$X$7:$X$1006,CONCATENATE(CashFlows!$B9,CashFlows!M$4),'Basis Options'!$U$7:$U$1006)</f>
        <v>1272251.7970215289</v>
      </c>
      <c r="N9" s="405">
        <f t="shared" si="1"/>
        <v>-2538829.2374863876</v>
      </c>
      <c r="P9" s="394">
        <f t="shared" si="2"/>
        <v>36800</v>
      </c>
      <c r="Q9" s="405">
        <f>SUMIF(Digital!U7:U15,CONCATENATE(CashFlows!P9,CashFlows!Q8),Digital!S7:S14)</f>
        <v>0</v>
      </c>
      <c r="R9" s="394">
        <f t="shared" si="3"/>
        <v>36892</v>
      </c>
      <c r="S9" s="395">
        <f t="shared" si="4"/>
        <v>-2538829.2374863876</v>
      </c>
      <c r="T9" s="206">
        <f t="shared" si="5"/>
        <v>0.97724582324272002</v>
      </c>
      <c r="U9" s="396">
        <f t="shared" si="6"/>
        <v>-2597943.2985059838</v>
      </c>
    </row>
    <row r="10" spans="2:21" x14ac:dyDescent="0.25">
      <c r="B10" s="394">
        <f t="shared" si="0"/>
        <v>36923</v>
      </c>
      <c r="C10" s="413">
        <f>SUMIF('Basis Options'!$X$7:$X$1006,CONCATENATE(CashFlows!$B10,CashFlows!C$4),'Basis Options'!$U$7:$U$1006)</f>
        <v>-4758255.7050008327</v>
      </c>
      <c r="D10" s="413">
        <f>SUMIF('Basis Options'!$X$7:$X$1006,CONCATENATE(CashFlows!$B10,CashFlows!D$4),'Basis Options'!$U$7:$U$1006)</f>
        <v>-72054.373896723744</v>
      </c>
      <c r="E10" s="413">
        <f>SUMIF('Basis Options'!$X$7:$X$1006,CONCATENATE(CashFlows!$B10,CashFlows!E$4),'Basis Options'!$U$7:$U$1006)</f>
        <v>93857.968735577</v>
      </c>
      <c r="F10" s="413">
        <f>SUMIF('Basis Options'!$X$7:$X$1006,CONCATENATE(CashFlows!$B10,CashFlows!F$4),'Basis Options'!$U$7:$U$1006)</f>
        <v>-242009.88519390218</v>
      </c>
      <c r="G10" s="413">
        <f>SUMIF('Basis Options'!$X$7:$X$1006,CONCATENATE(CashFlows!$B10,CashFlows!G$4),'Basis Options'!$U$7:$U$1006)</f>
        <v>0</v>
      </c>
      <c r="H10" s="413">
        <f>SUMIF('Basis Options'!$X$7:$X$1006,CONCATENATE(CashFlows!$B10,CashFlows!H$4),'Basis Options'!$U$7:$U$1006)</f>
        <v>-255772.54579874885</v>
      </c>
      <c r="I10" s="413">
        <f>SUMIF('Basis Options'!$X$7:$X$1006,CONCATENATE(CashFlows!$B10,CashFlows!I$4),'Basis Options'!$U$7:$U$1006)</f>
        <v>1148604.1988847093</v>
      </c>
      <c r="J10" s="413">
        <f>SUMIF('Basis Options'!$X$7:$X$1006,CONCATENATE(CashFlows!$B10,CashFlows!J$4),'Basis Options'!$U$7:$U$1006)</f>
        <v>-30281.77483587568</v>
      </c>
      <c r="K10" s="413">
        <f>SUMIF('Basis Options'!$X$7:$X$1006,CONCATENATE(CashFlows!$B10,CashFlows!K$4),'Basis Options'!$U$7:$U$1006)</f>
        <v>-21067.510510213164</v>
      </c>
      <c r="L10" s="413">
        <f>SUMIF('Basis Options'!$X$7:$X$1006,CONCATENATE(CashFlows!$B10,CashFlows!L$4),'Basis Options'!$U$7:$U$1006)</f>
        <v>-18030.27668902884</v>
      </c>
      <c r="M10" s="413">
        <f>SUMIF('Basis Options'!$X$7:$X$1006,CONCATENATE(CashFlows!$B10,CashFlows!M$4),'Basis Options'!$U$7:$U$1006)</f>
        <v>1014493.5409325608</v>
      </c>
      <c r="N10" s="405">
        <f t="shared" si="1"/>
        <v>-3140516.3633724782</v>
      </c>
      <c r="P10" s="394">
        <f t="shared" si="2"/>
        <v>36831</v>
      </c>
      <c r="Q10" s="405">
        <f>SUMIF(Digital!U7:U16,CONCATENATE(CashFlows!P10,CashFlows!Q9),Digital!S7:S15)</f>
        <v>0</v>
      </c>
      <c r="R10" s="394">
        <f t="shared" si="3"/>
        <v>36923</v>
      </c>
      <c r="S10" s="395">
        <f t="shared" si="4"/>
        <v>-3140516.3633724782</v>
      </c>
      <c r="T10" s="206">
        <f t="shared" si="5"/>
        <v>0.97158768083565339</v>
      </c>
      <c r="U10" s="396">
        <f t="shared" si="6"/>
        <v>-3232355.0671940898</v>
      </c>
    </row>
    <row r="11" spans="2:21" x14ac:dyDescent="0.25">
      <c r="B11" s="394">
        <f t="shared" si="0"/>
        <v>36951</v>
      </c>
      <c r="C11" s="413">
        <f>SUMIF('Basis Options'!$X$7:$X$1006,CONCATENATE(CashFlows!$B11,CashFlows!C$4),'Basis Options'!$U$7:$U$1006)</f>
        <v>782788.229061455</v>
      </c>
      <c r="D11" s="413">
        <f>SUMIF('Basis Options'!$X$7:$X$1006,CONCATENATE(CashFlows!$B11,CashFlows!D$4),'Basis Options'!$U$7:$U$1006)</f>
        <v>6365.2593960098566</v>
      </c>
      <c r="E11" s="413">
        <f>SUMIF('Basis Options'!$X$7:$X$1006,CONCATENATE(CashFlows!$B11,CashFlows!E$4),'Basis Options'!$U$7:$U$1006)</f>
        <v>93342.894008347692</v>
      </c>
      <c r="F11" s="413">
        <f>SUMIF('Basis Options'!$X$7:$X$1006,CONCATENATE(CashFlows!$B11,CashFlows!F$4),'Basis Options'!$U$7:$U$1006)</f>
        <v>-221242.23447855748</v>
      </c>
      <c r="G11" s="413">
        <f>SUMIF('Basis Options'!$X$7:$X$1006,CONCATENATE(CashFlows!$B11,CashFlows!G$4),'Basis Options'!$U$7:$U$1006)</f>
        <v>0</v>
      </c>
      <c r="H11" s="413">
        <f>SUMIF('Basis Options'!$X$7:$X$1006,CONCATENATE(CashFlows!$B11,CashFlows!H$4),'Basis Options'!$U$7:$U$1006)</f>
        <v>-216170.6027425552</v>
      </c>
      <c r="I11" s="413">
        <f>SUMIF('Basis Options'!$X$7:$X$1006,CONCATENATE(CashFlows!$B11,CashFlows!I$4),'Basis Options'!$U$7:$U$1006)</f>
        <v>1078316.7248007022</v>
      </c>
      <c r="J11" s="413">
        <f>SUMIF('Basis Options'!$X$7:$X$1006,CONCATENATE(CashFlows!$B11,CashFlows!J$4),'Basis Options'!$U$7:$U$1006)</f>
        <v>-26479.764125987189</v>
      </c>
      <c r="K11" s="413">
        <f>SUMIF('Basis Options'!$X$7:$X$1006,CONCATENATE(CashFlows!$B11,CashFlows!K$4),'Basis Options'!$U$7:$U$1006)</f>
        <v>-16847.891246789899</v>
      </c>
      <c r="L11" s="413">
        <f>SUMIF('Basis Options'!$X$7:$X$1006,CONCATENATE(CashFlows!$B11,CashFlows!L$4),'Basis Options'!$U$7:$U$1006)</f>
        <v>-12570.012931929286</v>
      </c>
      <c r="M11" s="413">
        <f>SUMIF('Basis Options'!$X$7:$X$1006,CONCATENATE(CashFlows!$B11,CashFlows!M$4),'Basis Options'!$U$7:$U$1006)</f>
        <v>553389.95286613668</v>
      </c>
      <c r="N11" s="405">
        <f t="shared" si="1"/>
        <v>2020892.5546068326</v>
      </c>
      <c r="P11" s="394">
        <f t="shared" si="2"/>
        <v>36861</v>
      </c>
      <c r="Q11" s="405">
        <f>SUMIF(Digital!U8:U17,CONCATENATE(CashFlows!P11,CashFlows!Q10),Digital!S8:S16)</f>
        <v>0</v>
      </c>
      <c r="R11" s="394">
        <f t="shared" si="3"/>
        <v>36951</v>
      </c>
      <c r="S11" s="395">
        <f t="shared" si="4"/>
        <v>2020892.5546068326</v>
      </c>
      <c r="T11" s="206">
        <f t="shared" si="5"/>
        <v>0.96647275941071598</v>
      </c>
      <c r="U11" s="396">
        <f t="shared" si="6"/>
        <v>2090997.9458076234</v>
      </c>
    </row>
    <row r="12" spans="2:21" x14ac:dyDescent="0.25">
      <c r="B12" s="394">
        <f t="shared" si="0"/>
        <v>36982</v>
      </c>
      <c r="C12" s="413">
        <f>SUMIF('Basis Options'!$X$7:$X$1006,CONCATENATE(CashFlows!$B12,CashFlows!C$4),'Basis Options'!$U$7:$U$1006)</f>
        <v>6924.5952309845743</v>
      </c>
      <c r="D12" s="413">
        <f>SUMIF('Basis Options'!$X$7:$X$1006,CONCATENATE(CashFlows!$B12,CashFlows!D$4),'Basis Options'!$U$7:$U$1006)</f>
        <v>0</v>
      </c>
      <c r="E12" s="413">
        <f>SUMIF('Basis Options'!$X$7:$X$1006,CONCATENATE(CashFlows!$B12,CashFlows!E$4),'Basis Options'!$U$7:$U$1006)</f>
        <v>0</v>
      </c>
      <c r="F12" s="413">
        <f>SUMIF('Basis Options'!$X$7:$X$1006,CONCATENATE(CashFlows!$B12,CashFlows!F$4),'Basis Options'!$U$7:$U$1006)</f>
        <v>0</v>
      </c>
      <c r="G12" s="413">
        <f>SUMIF('Basis Options'!$X$7:$X$1006,CONCATENATE(CashFlows!$B12,CashFlows!G$4),'Basis Options'!$U$7:$U$1006)</f>
        <v>41344.556890625216</v>
      </c>
      <c r="H12" s="413">
        <f>SUMIF('Basis Options'!$X$7:$X$1006,CONCATENATE(CashFlows!$B12,CashFlows!H$4),'Basis Options'!$U$7:$U$1006)</f>
        <v>0</v>
      </c>
      <c r="I12" s="413">
        <f>SUMIF('Basis Options'!$X$7:$X$1006,CONCATENATE(CashFlows!$B12,CashFlows!I$4),'Basis Options'!$U$7:$U$1006)</f>
        <v>-84183.524226918162</v>
      </c>
      <c r="J12" s="413">
        <f>SUMIF('Basis Options'!$X$7:$X$1006,CONCATENATE(CashFlows!$B12,CashFlows!J$4),'Basis Options'!$U$7:$U$1006)</f>
        <v>0</v>
      </c>
      <c r="K12" s="413">
        <f>SUMIF('Basis Options'!$X$7:$X$1006,CONCATENATE(CashFlows!$B12,CashFlows!K$4),'Basis Options'!$U$7:$U$1006)</f>
        <v>0</v>
      </c>
      <c r="L12" s="413">
        <f>SUMIF('Basis Options'!$X$7:$X$1006,CONCATENATE(CashFlows!$B12,CashFlows!L$4),'Basis Options'!$U$7:$U$1006)</f>
        <v>0</v>
      </c>
      <c r="M12" s="413">
        <f>SUMIF('Basis Options'!$X$7:$X$1006,CONCATENATE(CashFlows!$B12,CashFlows!M$4),'Basis Options'!$U$7:$U$1006)</f>
        <v>0</v>
      </c>
      <c r="N12" s="405">
        <f t="shared" si="1"/>
        <v>-35914.372105308372</v>
      </c>
      <c r="P12" s="394">
        <f t="shared" si="2"/>
        <v>36892</v>
      </c>
      <c r="Q12" s="405">
        <f>SUMIF(Digital!U9:U18,CONCATENATE(CashFlows!P12,CashFlows!Q11),Digital!S8:S17)</f>
        <v>0</v>
      </c>
      <c r="R12" s="394">
        <f t="shared" si="3"/>
        <v>36982</v>
      </c>
      <c r="S12" s="395">
        <f t="shared" si="4"/>
        <v>-35914.372105308372</v>
      </c>
      <c r="T12" s="206">
        <f t="shared" si="5"/>
        <v>0.96084690086872149</v>
      </c>
      <c r="U12" s="396">
        <f t="shared" si="6"/>
        <v>-37377.829988146339</v>
      </c>
    </row>
    <row r="13" spans="2:21" x14ac:dyDescent="0.25">
      <c r="B13" s="394">
        <f t="shared" si="0"/>
        <v>37012</v>
      </c>
      <c r="C13" s="413">
        <f>SUMIF('Basis Options'!$X$7:$X$1006,CONCATENATE(CashFlows!$B13,CashFlows!C$4),'Basis Options'!$U$7:$U$1006)</f>
        <v>377609.77844336495</v>
      </c>
      <c r="D13" s="413">
        <f>SUMIF('Basis Options'!$X$7:$X$1006,CONCATENATE(CashFlows!$B13,CashFlows!D$4),'Basis Options'!$U$7:$U$1006)</f>
        <v>0</v>
      </c>
      <c r="E13" s="413">
        <f>SUMIF('Basis Options'!$X$7:$X$1006,CONCATENATE(CashFlows!$B13,CashFlows!E$4),'Basis Options'!$U$7:$U$1006)</f>
        <v>0</v>
      </c>
      <c r="F13" s="413">
        <f>SUMIF('Basis Options'!$X$7:$X$1006,CONCATENATE(CashFlows!$B13,CashFlows!F$4),'Basis Options'!$U$7:$U$1006)</f>
        <v>0</v>
      </c>
      <c r="G13" s="413">
        <f>SUMIF('Basis Options'!$X$7:$X$1006,CONCATENATE(CashFlows!$B13,CashFlows!G$4),'Basis Options'!$U$7:$U$1006)</f>
        <v>59276.756550739163</v>
      </c>
      <c r="H13" s="413">
        <f>SUMIF('Basis Options'!$X$7:$X$1006,CONCATENATE(CashFlows!$B13,CashFlows!H$4),'Basis Options'!$U$7:$U$1006)</f>
        <v>0</v>
      </c>
      <c r="I13" s="413">
        <f>SUMIF('Basis Options'!$X$7:$X$1006,CONCATENATE(CashFlows!$B13,CashFlows!I$4),'Basis Options'!$U$7:$U$1006)</f>
        <v>-74859.315126827423</v>
      </c>
      <c r="J13" s="413">
        <f>SUMIF('Basis Options'!$X$7:$X$1006,CONCATENATE(CashFlows!$B13,CashFlows!J$4),'Basis Options'!$U$7:$U$1006)</f>
        <v>0</v>
      </c>
      <c r="K13" s="413">
        <f>SUMIF('Basis Options'!$X$7:$X$1006,CONCATENATE(CashFlows!$B13,CashFlows!K$4),'Basis Options'!$U$7:$U$1006)</f>
        <v>0</v>
      </c>
      <c r="L13" s="413">
        <f>SUMIF('Basis Options'!$X$7:$X$1006,CONCATENATE(CashFlows!$B13,CashFlows!L$4),'Basis Options'!$U$7:$U$1006)</f>
        <v>0</v>
      </c>
      <c r="M13" s="413">
        <f>SUMIF('Basis Options'!$X$7:$X$1006,CONCATENATE(CashFlows!$B13,CashFlows!M$4),'Basis Options'!$U$7:$U$1006)</f>
        <v>0</v>
      </c>
      <c r="N13" s="405">
        <f t="shared" si="1"/>
        <v>362027.21986727673</v>
      </c>
      <c r="P13" s="394">
        <f t="shared" si="2"/>
        <v>36923</v>
      </c>
      <c r="Q13" s="405">
        <f>SUMIF(Digital!U10:U19,CONCATENATE(CashFlows!P13,CashFlows!Q12),Digital!S9:S18)</f>
        <v>0</v>
      </c>
      <c r="R13" s="394">
        <f t="shared" si="3"/>
        <v>37012</v>
      </c>
      <c r="S13" s="395">
        <f t="shared" si="4"/>
        <v>362027.21986727673</v>
      </c>
      <c r="T13" s="206">
        <f t="shared" si="5"/>
        <v>0.95548656938994492</v>
      </c>
      <c r="U13" s="396">
        <f t="shared" si="6"/>
        <v>378893.04932713218</v>
      </c>
    </row>
    <row r="14" spans="2:21" x14ac:dyDescent="0.25">
      <c r="B14" s="394">
        <f t="shared" si="0"/>
        <v>37043</v>
      </c>
      <c r="C14" s="413">
        <f>SUMIF('Basis Options'!$X$7:$X$1006,CONCATENATE(CashFlows!$B14,CashFlows!C$4),'Basis Options'!$U$7:$U$1006)</f>
        <v>392343.13813597313</v>
      </c>
      <c r="D14" s="413">
        <f>SUMIF('Basis Options'!$X$7:$X$1006,CONCATENATE(CashFlows!$B14,CashFlows!D$4),'Basis Options'!$U$7:$U$1006)</f>
        <v>0</v>
      </c>
      <c r="E14" s="413">
        <f>SUMIF('Basis Options'!$X$7:$X$1006,CONCATENATE(CashFlows!$B14,CashFlows!E$4),'Basis Options'!$U$7:$U$1006)</f>
        <v>0</v>
      </c>
      <c r="F14" s="413">
        <f>SUMIF('Basis Options'!$X$7:$X$1006,CONCATENATE(CashFlows!$B14,CashFlows!F$4),'Basis Options'!$U$7:$U$1006)</f>
        <v>0</v>
      </c>
      <c r="G14" s="413">
        <f>SUMIF('Basis Options'!$X$7:$X$1006,CONCATENATE(CashFlows!$B14,CashFlows!G$4),'Basis Options'!$U$7:$U$1006)</f>
        <v>62453.917374015902</v>
      </c>
      <c r="H14" s="413">
        <f>SUMIF('Basis Options'!$X$7:$X$1006,CONCATENATE(CashFlows!$B14,CashFlows!H$4),'Basis Options'!$U$7:$U$1006)</f>
        <v>0</v>
      </c>
      <c r="I14" s="413">
        <f>SUMIF('Basis Options'!$X$7:$X$1006,CONCATENATE(CashFlows!$B14,CashFlows!I$4),'Basis Options'!$U$7:$U$1006)</f>
        <v>-91472.673687851042</v>
      </c>
      <c r="J14" s="413">
        <f>SUMIF('Basis Options'!$X$7:$X$1006,CONCATENATE(CashFlows!$B14,CashFlows!J$4),'Basis Options'!$U$7:$U$1006)</f>
        <v>0</v>
      </c>
      <c r="K14" s="413">
        <f>SUMIF('Basis Options'!$X$7:$X$1006,CONCATENATE(CashFlows!$B14,CashFlows!K$4),'Basis Options'!$U$7:$U$1006)</f>
        <v>0</v>
      </c>
      <c r="L14" s="413">
        <f>SUMIF('Basis Options'!$X$7:$X$1006,CONCATENATE(CashFlows!$B14,CashFlows!L$4),'Basis Options'!$U$7:$U$1006)</f>
        <v>0</v>
      </c>
      <c r="M14" s="413">
        <f>SUMIF('Basis Options'!$X$7:$X$1006,CONCATENATE(CashFlows!$B14,CashFlows!M$4),'Basis Options'!$U$7:$U$1006)</f>
        <v>0</v>
      </c>
      <c r="N14" s="405">
        <f t="shared" si="1"/>
        <v>363324.38182213798</v>
      </c>
      <c r="P14" s="394">
        <f t="shared" si="2"/>
        <v>36951</v>
      </c>
      <c r="Q14" s="405">
        <f>SUMIF(Digital!U11:U20,CONCATENATE(CashFlows!P14,CashFlows!Q13),Digital!S10:S19)</f>
        <v>0</v>
      </c>
      <c r="R14" s="394">
        <f t="shared" si="3"/>
        <v>37043</v>
      </c>
      <c r="S14" s="395">
        <f t="shared" si="4"/>
        <v>363324.38182213798</v>
      </c>
      <c r="T14" s="206">
        <f t="shared" si="5"/>
        <v>0.94997376215603579</v>
      </c>
      <c r="U14" s="396">
        <f t="shared" si="6"/>
        <v>382457.28071220242</v>
      </c>
    </row>
    <row r="15" spans="2:21" x14ac:dyDescent="0.25">
      <c r="B15" s="394">
        <f t="shared" si="0"/>
        <v>37073</v>
      </c>
      <c r="C15" s="413">
        <f>SUMIF('Basis Options'!$X$7:$X$1006,CONCATENATE(CashFlows!$B15,CashFlows!C$4),'Basis Options'!$U$7:$U$1006)</f>
        <v>429777.98498166201</v>
      </c>
      <c r="D15" s="413">
        <f>SUMIF('Basis Options'!$X$7:$X$1006,CONCATENATE(CashFlows!$B15,CashFlows!D$4),'Basis Options'!$U$7:$U$1006)</f>
        <v>0</v>
      </c>
      <c r="E15" s="413">
        <f>SUMIF('Basis Options'!$X$7:$X$1006,CONCATENATE(CashFlows!$B15,CashFlows!E$4),'Basis Options'!$U$7:$U$1006)</f>
        <v>0</v>
      </c>
      <c r="F15" s="413">
        <f>SUMIF('Basis Options'!$X$7:$X$1006,CONCATENATE(CashFlows!$B15,CashFlows!F$4),'Basis Options'!$U$7:$U$1006)</f>
        <v>0</v>
      </c>
      <c r="G15" s="413">
        <f>SUMIF('Basis Options'!$X$7:$X$1006,CONCATENATE(CashFlows!$B15,CashFlows!G$4),'Basis Options'!$U$7:$U$1006)</f>
        <v>60986.215705019938</v>
      </c>
      <c r="H15" s="413">
        <f>SUMIF('Basis Options'!$X$7:$X$1006,CONCATENATE(CashFlows!$B15,CashFlows!H$4),'Basis Options'!$U$7:$U$1006)</f>
        <v>0</v>
      </c>
      <c r="I15" s="413">
        <f>SUMIF('Basis Options'!$X$7:$X$1006,CONCATENATE(CashFlows!$B15,CashFlows!I$4),'Basis Options'!$U$7:$U$1006)</f>
        <v>-361377.63621812826</v>
      </c>
      <c r="J15" s="413">
        <f>SUMIF('Basis Options'!$X$7:$X$1006,CONCATENATE(CashFlows!$B15,CashFlows!J$4),'Basis Options'!$U$7:$U$1006)</f>
        <v>0</v>
      </c>
      <c r="K15" s="413">
        <f>SUMIF('Basis Options'!$X$7:$X$1006,CONCATENATE(CashFlows!$B15,CashFlows!K$4),'Basis Options'!$U$7:$U$1006)</f>
        <v>0</v>
      </c>
      <c r="L15" s="413">
        <f>SUMIF('Basis Options'!$X$7:$X$1006,CONCATENATE(CashFlows!$B15,CashFlows!L$4),'Basis Options'!$U$7:$U$1006)</f>
        <v>0</v>
      </c>
      <c r="M15" s="413">
        <f>SUMIF('Basis Options'!$X$7:$X$1006,CONCATENATE(CashFlows!$B15,CashFlows!M$4),'Basis Options'!$U$7:$U$1006)</f>
        <v>0</v>
      </c>
      <c r="N15" s="405">
        <f t="shared" si="1"/>
        <v>129386.5644685537</v>
      </c>
      <c r="P15" s="394">
        <f t="shared" si="2"/>
        <v>36982</v>
      </c>
      <c r="Q15" s="405">
        <f>SUMIF(Digital!U12:U21,CONCATENATE(CashFlows!P15,CashFlows!Q14),Digital!S11:S20)</f>
        <v>0</v>
      </c>
      <c r="R15" s="394">
        <f t="shared" si="3"/>
        <v>37073</v>
      </c>
      <c r="S15" s="395">
        <f t="shared" si="4"/>
        <v>129386.5644685537</v>
      </c>
      <c r="T15" s="206">
        <f t="shared" si="5"/>
        <v>0.94466627840880768</v>
      </c>
      <c r="U15" s="396">
        <f t="shared" si="6"/>
        <v>136965.368009634</v>
      </c>
    </row>
    <row r="16" spans="2:21" x14ac:dyDescent="0.25">
      <c r="B16" s="394">
        <f t="shared" si="0"/>
        <v>37104</v>
      </c>
      <c r="C16" s="413">
        <f>SUMIF('Basis Options'!$X$7:$X$1006,CONCATENATE(CashFlows!$B16,CashFlows!C$4),'Basis Options'!$U$7:$U$1006)</f>
        <v>451146.29884331807</v>
      </c>
      <c r="D16" s="413">
        <f>SUMIF('Basis Options'!$X$7:$X$1006,CONCATENATE(CashFlows!$B16,CashFlows!D$4),'Basis Options'!$U$7:$U$1006)</f>
        <v>0</v>
      </c>
      <c r="E16" s="413">
        <f>SUMIF('Basis Options'!$X$7:$X$1006,CONCATENATE(CashFlows!$B16,CashFlows!E$4),'Basis Options'!$U$7:$U$1006)</f>
        <v>0</v>
      </c>
      <c r="F16" s="413">
        <f>SUMIF('Basis Options'!$X$7:$X$1006,CONCATENATE(CashFlows!$B16,CashFlows!F$4),'Basis Options'!$U$7:$U$1006)</f>
        <v>0</v>
      </c>
      <c r="G16" s="413">
        <f>SUMIF('Basis Options'!$X$7:$X$1006,CONCATENATE(CashFlows!$B16,CashFlows!G$4),'Basis Options'!$U$7:$U$1006)</f>
        <v>64819.272697030363</v>
      </c>
      <c r="H16" s="413">
        <f>SUMIF('Basis Options'!$X$7:$X$1006,CONCATENATE(CashFlows!$B16,CashFlows!H$4),'Basis Options'!$U$7:$U$1006)</f>
        <v>0</v>
      </c>
      <c r="I16" s="413">
        <f>SUMIF('Basis Options'!$X$7:$X$1006,CONCATENATE(CashFlows!$B16,CashFlows!I$4),'Basis Options'!$U$7:$U$1006)</f>
        <v>-417036.7640273947</v>
      </c>
      <c r="J16" s="413">
        <f>SUMIF('Basis Options'!$X$7:$X$1006,CONCATENATE(CashFlows!$B16,CashFlows!J$4),'Basis Options'!$U$7:$U$1006)</f>
        <v>0</v>
      </c>
      <c r="K16" s="413">
        <f>SUMIF('Basis Options'!$X$7:$X$1006,CONCATENATE(CashFlows!$B16,CashFlows!K$4),'Basis Options'!$U$7:$U$1006)</f>
        <v>0</v>
      </c>
      <c r="L16" s="413">
        <f>SUMIF('Basis Options'!$X$7:$X$1006,CONCATENATE(CashFlows!$B16,CashFlows!L$4),'Basis Options'!$U$7:$U$1006)</f>
        <v>0</v>
      </c>
      <c r="M16" s="413">
        <f>SUMIF('Basis Options'!$X$7:$X$1006,CONCATENATE(CashFlows!$B16,CashFlows!M$4),'Basis Options'!$U$7:$U$1006)</f>
        <v>0</v>
      </c>
      <c r="N16" s="405">
        <f t="shared" si="1"/>
        <v>98928.807512953761</v>
      </c>
      <c r="P16" s="394">
        <f t="shared" si="2"/>
        <v>37012</v>
      </c>
      <c r="Q16" s="405">
        <f>SUMIF(Digital!U13:U22,CONCATENATE(CashFlows!P16,CashFlows!Q15),Digital!S12:S21)</f>
        <v>0</v>
      </c>
      <c r="R16" s="394">
        <f t="shared" si="3"/>
        <v>37104</v>
      </c>
      <c r="S16" s="395">
        <f t="shared" si="4"/>
        <v>98928.807512953761</v>
      </c>
      <c r="T16" s="206">
        <f t="shared" si="5"/>
        <v>0.93921289093030769</v>
      </c>
      <c r="U16" s="396">
        <f t="shared" si="6"/>
        <v>105331.61168067333</v>
      </c>
    </row>
    <row r="17" spans="2:21" x14ac:dyDescent="0.25">
      <c r="B17" s="394">
        <f t="shared" si="0"/>
        <v>37135</v>
      </c>
      <c r="C17" s="413">
        <f>SUMIF('Basis Options'!$X$7:$X$1006,CONCATENATE(CashFlows!$B17,CashFlows!C$4),'Basis Options'!$U$7:$U$1006)</f>
        <v>450262.37763473811</v>
      </c>
      <c r="D17" s="413">
        <f>SUMIF('Basis Options'!$X$7:$X$1006,CONCATENATE(CashFlows!$B17,CashFlows!D$4),'Basis Options'!$U$7:$U$1006)</f>
        <v>0</v>
      </c>
      <c r="E17" s="413">
        <f>SUMIF('Basis Options'!$X$7:$X$1006,CONCATENATE(CashFlows!$B17,CashFlows!E$4),'Basis Options'!$U$7:$U$1006)</f>
        <v>0</v>
      </c>
      <c r="F17" s="413">
        <f>SUMIF('Basis Options'!$X$7:$X$1006,CONCATENATE(CashFlows!$B17,CashFlows!F$4),'Basis Options'!$U$7:$U$1006)</f>
        <v>0</v>
      </c>
      <c r="G17" s="413">
        <f>SUMIF('Basis Options'!$X$7:$X$1006,CONCATENATE(CashFlows!$B17,CashFlows!G$4),'Basis Options'!$U$7:$U$1006)</f>
        <v>71738.181308063868</v>
      </c>
      <c r="H17" s="413">
        <f>SUMIF('Basis Options'!$X$7:$X$1006,CONCATENATE(CashFlows!$B17,CashFlows!H$4),'Basis Options'!$U$7:$U$1006)</f>
        <v>0</v>
      </c>
      <c r="I17" s="413">
        <f>SUMIF('Basis Options'!$X$7:$X$1006,CONCATENATE(CashFlows!$B17,CashFlows!I$4),'Basis Options'!$U$7:$U$1006)</f>
        <v>-423221.76526995777</v>
      </c>
      <c r="J17" s="413">
        <f>SUMIF('Basis Options'!$X$7:$X$1006,CONCATENATE(CashFlows!$B17,CashFlows!J$4),'Basis Options'!$U$7:$U$1006)</f>
        <v>0</v>
      </c>
      <c r="K17" s="413">
        <f>SUMIF('Basis Options'!$X$7:$X$1006,CONCATENATE(CashFlows!$B17,CashFlows!K$4),'Basis Options'!$U$7:$U$1006)</f>
        <v>0</v>
      </c>
      <c r="L17" s="413">
        <f>SUMIF('Basis Options'!$X$7:$X$1006,CONCATENATE(CashFlows!$B17,CashFlows!L$4),'Basis Options'!$U$7:$U$1006)</f>
        <v>0</v>
      </c>
      <c r="M17" s="413">
        <f>SUMIF('Basis Options'!$X$7:$X$1006,CONCATENATE(CashFlows!$B17,CashFlows!M$4),'Basis Options'!$U$7:$U$1006)</f>
        <v>0</v>
      </c>
      <c r="N17" s="405">
        <f t="shared" si="1"/>
        <v>98778.793672844185</v>
      </c>
      <c r="P17" s="394">
        <f t="shared" si="2"/>
        <v>37043</v>
      </c>
      <c r="Q17" s="406">
        <f>SUMIF(Digital!U14:U23,CONCATENATE(CashFlows!P17,CashFlows!Q16),Digital!S13:S22)</f>
        <v>0</v>
      </c>
      <c r="R17" s="394">
        <f t="shared" si="3"/>
        <v>37135</v>
      </c>
      <c r="S17" s="395">
        <f t="shared" si="4"/>
        <v>98778.793672844185</v>
      </c>
      <c r="T17" s="206">
        <f t="shared" si="5"/>
        <v>0.93378707159042118</v>
      </c>
      <c r="U17" s="396">
        <f t="shared" si="6"/>
        <v>105782.99558656843</v>
      </c>
    </row>
    <row r="18" spans="2:21" x14ac:dyDescent="0.25">
      <c r="B18" s="394">
        <f t="shared" si="0"/>
        <v>37165</v>
      </c>
      <c r="C18" s="413">
        <f>SUMIF('Basis Options'!$X$7:$X$1006,CONCATENATE(CashFlows!$B18,CashFlows!C$4),'Basis Options'!$U$7:$U$1006)</f>
        <v>485155.19873734092</v>
      </c>
      <c r="D18" s="413">
        <f>SUMIF('Basis Options'!$X$7:$X$1006,CONCATENATE(CashFlows!$B18,CashFlows!D$4),'Basis Options'!$U$7:$U$1006)</f>
        <v>0</v>
      </c>
      <c r="E18" s="413">
        <f>SUMIF('Basis Options'!$X$7:$X$1006,CONCATENATE(CashFlows!$B18,CashFlows!E$4),'Basis Options'!$U$7:$U$1006)</f>
        <v>0</v>
      </c>
      <c r="F18" s="413">
        <f>SUMIF('Basis Options'!$X$7:$X$1006,CONCATENATE(CashFlows!$B18,CashFlows!F$4),'Basis Options'!$U$7:$U$1006)</f>
        <v>0</v>
      </c>
      <c r="G18" s="413">
        <f>SUMIF('Basis Options'!$X$7:$X$1006,CONCATENATE(CashFlows!$B18,CashFlows!G$4),'Basis Options'!$U$7:$U$1006)</f>
        <v>69851.162179168037</v>
      </c>
      <c r="H18" s="413">
        <f>SUMIF('Basis Options'!$X$7:$X$1006,CONCATENATE(CashFlows!$B18,CashFlows!H$4),'Basis Options'!$U$7:$U$1006)</f>
        <v>0</v>
      </c>
      <c r="I18" s="413">
        <f>SUMIF('Basis Options'!$X$7:$X$1006,CONCATENATE(CashFlows!$B18,CashFlows!I$4),'Basis Options'!$U$7:$U$1006)</f>
        <v>-192303.38409303763</v>
      </c>
      <c r="J18" s="413">
        <f>SUMIF('Basis Options'!$X$7:$X$1006,CONCATENATE(CashFlows!$B18,CashFlows!J$4),'Basis Options'!$U$7:$U$1006)</f>
        <v>0</v>
      </c>
      <c r="K18" s="413">
        <f>SUMIF('Basis Options'!$X$7:$X$1006,CONCATENATE(CashFlows!$B18,CashFlows!K$4),'Basis Options'!$U$7:$U$1006)</f>
        <v>0</v>
      </c>
      <c r="L18" s="413">
        <f>SUMIF('Basis Options'!$X$7:$X$1006,CONCATENATE(CashFlows!$B18,CashFlows!L$4),'Basis Options'!$U$7:$U$1006)</f>
        <v>0</v>
      </c>
      <c r="M18" s="413">
        <f>SUMIF('Basis Options'!$X$7:$X$1006,CONCATENATE(CashFlows!$B18,CashFlows!M$4),'Basis Options'!$U$7:$U$1006)</f>
        <v>0</v>
      </c>
      <c r="N18" s="405">
        <f t="shared" si="1"/>
        <v>362702.97682347131</v>
      </c>
      <c r="P18" s="394">
        <f t="shared" si="2"/>
        <v>37073</v>
      </c>
      <c r="Q18" s="407"/>
      <c r="R18" s="394">
        <f t="shared" si="3"/>
        <v>37165</v>
      </c>
      <c r="S18" s="395">
        <f t="shared" si="4"/>
        <v>362702.97682347131</v>
      </c>
      <c r="T18" s="206">
        <f t="shared" si="5"/>
        <v>0.9285650633507615</v>
      </c>
      <c r="U18" s="396">
        <f t="shared" si="6"/>
        <v>390605.88335581368</v>
      </c>
    </row>
    <row r="19" spans="2:21" x14ac:dyDescent="0.25">
      <c r="B19" s="394">
        <f t="shared" si="0"/>
        <v>37196</v>
      </c>
      <c r="C19" s="413">
        <f>SUMIF('Basis Options'!$X$7:$X$1006,CONCATENATE(CashFlows!$B19,CashFlows!C$4),'Basis Options'!$U$7:$U$1006)</f>
        <v>-251783.93431668048</v>
      </c>
      <c r="D19" s="413">
        <f>SUMIF('Basis Options'!$X$7:$X$1006,CONCATENATE(CashFlows!$B19,CashFlows!D$4),'Basis Options'!$U$7:$U$1006)</f>
        <v>0</v>
      </c>
      <c r="E19" s="413">
        <f>SUMIF('Basis Options'!$X$7:$X$1006,CONCATENATE(CashFlows!$B19,CashFlows!E$4),'Basis Options'!$U$7:$U$1006)</f>
        <v>0</v>
      </c>
      <c r="F19" s="413">
        <f>SUMIF('Basis Options'!$X$7:$X$1006,CONCATENATE(CashFlows!$B19,CashFlows!F$4),'Basis Options'!$U$7:$U$1006)</f>
        <v>0</v>
      </c>
      <c r="G19" s="413">
        <f>SUMIF('Basis Options'!$X$7:$X$1006,CONCATENATE(CashFlows!$B19,CashFlows!G$4),'Basis Options'!$U$7:$U$1006)</f>
        <v>0</v>
      </c>
      <c r="H19" s="413">
        <f>SUMIF('Basis Options'!$X$7:$X$1006,CONCATENATE(CashFlows!$B19,CashFlows!H$4),'Basis Options'!$U$7:$U$1006)</f>
        <v>0</v>
      </c>
      <c r="I19" s="413">
        <f>SUMIF('Basis Options'!$X$7:$X$1006,CONCATENATE(CashFlows!$B19,CashFlows!I$4),'Basis Options'!$U$7:$U$1006)</f>
        <v>0</v>
      </c>
      <c r="J19" s="413">
        <f>SUMIF('Basis Options'!$X$7:$X$1006,CONCATENATE(CashFlows!$B19,CashFlows!J$4),'Basis Options'!$U$7:$U$1006)</f>
        <v>0</v>
      </c>
      <c r="K19" s="413">
        <f>SUMIF('Basis Options'!$X$7:$X$1006,CONCATENATE(CashFlows!$B19,CashFlows!K$4),'Basis Options'!$U$7:$U$1006)</f>
        <v>0</v>
      </c>
      <c r="L19" s="413">
        <f>SUMIF('Basis Options'!$X$7:$X$1006,CONCATENATE(CashFlows!$B19,CashFlows!L$4),'Basis Options'!$U$7:$U$1006)</f>
        <v>0</v>
      </c>
      <c r="M19" s="413">
        <f>SUMIF('Basis Options'!$X$7:$X$1006,CONCATENATE(CashFlows!$B19,CashFlows!M$4),'Basis Options'!$U$7:$U$1006)</f>
        <v>0</v>
      </c>
      <c r="N19" s="405">
        <f t="shared" si="1"/>
        <v>-251783.93431668048</v>
      </c>
      <c r="P19" s="394">
        <f t="shared" si="2"/>
        <v>37104</v>
      </c>
      <c r="Q19" s="407"/>
      <c r="R19" s="394">
        <f t="shared" si="3"/>
        <v>37196</v>
      </c>
      <c r="S19" s="395">
        <f t="shared" si="4"/>
        <v>-251783.93431668048</v>
      </c>
      <c r="T19" s="206">
        <f t="shared" si="5"/>
        <v>0.9232009085855658</v>
      </c>
      <c r="U19" s="396">
        <f t="shared" si="6"/>
        <v>-272729.29648914462</v>
      </c>
    </row>
    <row r="20" spans="2:21" x14ac:dyDescent="0.25">
      <c r="B20" s="394">
        <f t="shared" si="0"/>
        <v>37226</v>
      </c>
      <c r="C20" s="413">
        <f>SUMIF('Basis Options'!$X$7:$X$1006,CONCATENATE(CashFlows!$B20,CashFlows!C$4),'Basis Options'!$U$7:$U$1006)</f>
        <v>-365819.71174969221</v>
      </c>
      <c r="D20" s="413">
        <f>SUMIF('Basis Options'!$X$7:$X$1006,CONCATENATE(CashFlows!$B20,CashFlows!D$4),'Basis Options'!$U$7:$U$1006)</f>
        <v>0</v>
      </c>
      <c r="E20" s="413">
        <f>SUMIF('Basis Options'!$X$7:$X$1006,CONCATENATE(CashFlows!$B20,CashFlows!E$4),'Basis Options'!$U$7:$U$1006)</f>
        <v>0</v>
      </c>
      <c r="F20" s="413">
        <f>SUMIF('Basis Options'!$X$7:$X$1006,CONCATENATE(CashFlows!$B20,CashFlows!F$4),'Basis Options'!$U$7:$U$1006)</f>
        <v>0</v>
      </c>
      <c r="G20" s="413">
        <f>SUMIF('Basis Options'!$X$7:$X$1006,CONCATENATE(CashFlows!$B20,CashFlows!G$4),'Basis Options'!$U$7:$U$1006)</f>
        <v>0</v>
      </c>
      <c r="H20" s="413">
        <f>SUMIF('Basis Options'!$X$7:$X$1006,CONCATENATE(CashFlows!$B20,CashFlows!H$4),'Basis Options'!$U$7:$U$1006)</f>
        <v>0</v>
      </c>
      <c r="I20" s="413">
        <f>SUMIF('Basis Options'!$X$7:$X$1006,CONCATENATE(CashFlows!$B20,CashFlows!I$4),'Basis Options'!$U$7:$U$1006)</f>
        <v>0</v>
      </c>
      <c r="J20" s="413">
        <f>SUMIF('Basis Options'!$X$7:$X$1006,CONCATENATE(CashFlows!$B20,CashFlows!J$4),'Basis Options'!$U$7:$U$1006)</f>
        <v>0</v>
      </c>
      <c r="K20" s="413">
        <f>SUMIF('Basis Options'!$X$7:$X$1006,CONCATENATE(CashFlows!$B20,CashFlows!K$4),'Basis Options'!$U$7:$U$1006)</f>
        <v>0</v>
      </c>
      <c r="L20" s="413">
        <f>SUMIF('Basis Options'!$X$7:$X$1006,CONCATENATE(CashFlows!$B20,CashFlows!L$4),'Basis Options'!$U$7:$U$1006)</f>
        <v>0</v>
      </c>
      <c r="M20" s="413">
        <f>SUMIF('Basis Options'!$X$7:$X$1006,CONCATENATE(CashFlows!$B20,CashFlows!M$4),'Basis Options'!$U$7:$U$1006)</f>
        <v>0</v>
      </c>
      <c r="N20" s="405">
        <f t="shared" si="1"/>
        <v>-365819.71174969221</v>
      </c>
      <c r="P20" s="394">
        <f t="shared" si="2"/>
        <v>37135</v>
      </c>
      <c r="Q20" s="407"/>
      <c r="R20" s="394">
        <f t="shared" si="3"/>
        <v>37226</v>
      </c>
      <c r="S20" s="395">
        <f t="shared" si="4"/>
        <v>-365819.71174969221</v>
      </c>
      <c r="T20" s="206">
        <f t="shared" si="5"/>
        <v>0.91803666882578694</v>
      </c>
      <c r="U20" s="396">
        <f t="shared" si="6"/>
        <v>-398480.50102137338</v>
      </c>
    </row>
    <row r="21" spans="2:21" x14ac:dyDescent="0.25">
      <c r="B21" s="394">
        <f t="shared" si="0"/>
        <v>37257</v>
      </c>
      <c r="C21" s="413">
        <f>SUMIF('Basis Options'!$X$7:$X$1006,CONCATENATE(CashFlows!$B21,CashFlows!C$4),'Basis Options'!$U$7:$U$1006)</f>
        <v>-456260.44410856732</v>
      </c>
      <c r="D21" s="413">
        <f>SUMIF('Basis Options'!$X$7:$X$1006,CONCATENATE(CashFlows!$B21,CashFlows!D$4),'Basis Options'!$U$7:$U$1006)</f>
        <v>0</v>
      </c>
      <c r="E21" s="413">
        <f>SUMIF('Basis Options'!$X$7:$X$1006,CONCATENATE(CashFlows!$B21,CashFlows!E$4),'Basis Options'!$U$7:$U$1006)</f>
        <v>0</v>
      </c>
      <c r="F21" s="413">
        <f>SUMIF('Basis Options'!$X$7:$X$1006,CONCATENATE(CashFlows!$B21,CashFlows!F$4),'Basis Options'!$U$7:$U$1006)</f>
        <v>0</v>
      </c>
      <c r="G21" s="413">
        <f>SUMIF('Basis Options'!$X$7:$X$1006,CONCATENATE(CashFlows!$B21,CashFlows!G$4),'Basis Options'!$U$7:$U$1006)</f>
        <v>0</v>
      </c>
      <c r="H21" s="413">
        <f>SUMIF('Basis Options'!$X$7:$X$1006,CONCATENATE(CashFlows!$B21,CashFlows!H$4),'Basis Options'!$U$7:$U$1006)</f>
        <v>0</v>
      </c>
      <c r="I21" s="413">
        <f>SUMIF('Basis Options'!$X$7:$X$1006,CONCATENATE(CashFlows!$B21,CashFlows!I$4),'Basis Options'!$U$7:$U$1006)</f>
        <v>0</v>
      </c>
      <c r="J21" s="413">
        <f>SUMIF('Basis Options'!$X$7:$X$1006,CONCATENATE(CashFlows!$B21,CashFlows!J$4),'Basis Options'!$U$7:$U$1006)</f>
        <v>0</v>
      </c>
      <c r="K21" s="413">
        <f>SUMIF('Basis Options'!$X$7:$X$1006,CONCATENATE(CashFlows!$B21,CashFlows!K$4),'Basis Options'!$U$7:$U$1006)</f>
        <v>0</v>
      </c>
      <c r="L21" s="413">
        <f>SUMIF('Basis Options'!$X$7:$X$1006,CONCATENATE(CashFlows!$B21,CashFlows!L$4),'Basis Options'!$U$7:$U$1006)</f>
        <v>0</v>
      </c>
      <c r="M21" s="413">
        <f>SUMIF('Basis Options'!$X$7:$X$1006,CONCATENATE(CashFlows!$B21,CashFlows!M$4),'Basis Options'!$U$7:$U$1006)</f>
        <v>0</v>
      </c>
      <c r="N21" s="405">
        <f t="shared" si="1"/>
        <v>-456260.44410856732</v>
      </c>
      <c r="P21" s="394">
        <f t="shared" si="2"/>
        <v>37165</v>
      </c>
      <c r="Q21" s="407"/>
      <c r="R21" s="394">
        <f t="shared" si="3"/>
        <v>37257</v>
      </c>
      <c r="S21" s="395">
        <f t="shared" si="4"/>
        <v>-456260.44410856732</v>
      </c>
      <c r="T21" s="206">
        <f t="shared" si="5"/>
        <v>0.91272036623203978</v>
      </c>
      <c r="U21" s="396">
        <f t="shared" si="6"/>
        <v>-499890.72336813924</v>
      </c>
    </row>
    <row r="22" spans="2:21" x14ac:dyDescent="0.25">
      <c r="B22" s="394">
        <f t="shared" si="0"/>
        <v>37288</v>
      </c>
      <c r="C22" s="413">
        <f>SUMIF('Basis Options'!$X$7:$X$1006,CONCATENATE(CashFlows!$B22,CashFlows!C$4),'Basis Options'!$U$7:$U$1006)</f>
        <v>-445232.34537863609</v>
      </c>
      <c r="D22" s="413">
        <f>SUMIF('Basis Options'!$X$7:$X$1006,CONCATENATE(CashFlows!$B22,CashFlows!D$4),'Basis Options'!$U$7:$U$1006)</f>
        <v>0</v>
      </c>
      <c r="E22" s="413">
        <f>SUMIF('Basis Options'!$X$7:$X$1006,CONCATENATE(CashFlows!$B22,CashFlows!E$4),'Basis Options'!$U$7:$U$1006)</f>
        <v>0</v>
      </c>
      <c r="F22" s="413">
        <f>SUMIF('Basis Options'!$X$7:$X$1006,CONCATENATE(CashFlows!$B22,CashFlows!F$4),'Basis Options'!$U$7:$U$1006)</f>
        <v>0</v>
      </c>
      <c r="G22" s="413">
        <f>SUMIF('Basis Options'!$X$7:$X$1006,CONCATENATE(CashFlows!$B22,CashFlows!G$4),'Basis Options'!$U$7:$U$1006)</f>
        <v>0</v>
      </c>
      <c r="H22" s="413">
        <f>SUMIF('Basis Options'!$X$7:$X$1006,CONCATENATE(CashFlows!$B22,CashFlows!H$4),'Basis Options'!$U$7:$U$1006)</f>
        <v>0</v>
      </c>
      <c r="I22" s="413">
        <f>SUMIF('Basis Options'!$X$7:$X$1006,CONCATENATE(CashFlows!$B22,CashFlows!I$4),'Basis Options'!$U$7:$U$1006)</f>
        <v>0</v>
      </c>
      <c r="J22" s="413">
        <f>SUMIF('Basis Options'!$X$7:$X$1006,CONCATENATE(CashFlows!$B22,CashFlows!J$4),'Basis Options'!$U$7:$U$1006)</f>
        <v>0</v>
      </c>
      <c r="K22" s="413">
        <f>SUMIF('Basis Options'!$X$7:$X$1006,CONCATENATE(CashFlows!$B22,CashFlows!K$4),'Basis Options'!$U$7:$U$1006)</f>
        <v>0</v>
      </c>
      <c r="L22" s="413">
        <f>SUMIF('Basis Options'!$X$7:$X$1006,CONCATENATE(CashFlows!$B22,CashFlows!L$4),'Basis Options'!$U$7:$U$1006)</f>
        <v>0</v>
      </c>
      <c r="M22" s="413">
        <f>SUMIF('Basis Options'!$X$7:$X$1006,CONCATENATE(CashFlows!$B22,CashFlows!M$4),'Basis Options'!$U$7:$U$1006)</f>
        <v>0</v>
      </c>
      <c r="N22" s="405">
        <f t="shared" si="1"/>
        <v>-445232.34537863609</v>
      </c>
      <c r="P22" s="394">
        <f t="shared" si="2"/>
        <v>37196</v>
      </c>
      <c r="Q22" s="407"/>
      <c r="R22" s="394">
        <f t="shared" si="3"/>
        <v>37288</v>
      </c>
      <c r="S22" s="395">
        <f t="shared" si="4"/>
        <v>-445232.34537863609</v>
      </c>
      <c r="T22" s="206">
        <f t="shared" si="5"/>
        <v>0.90742009328663886</v>
      </c>
      <c r="U22" s="396">
        <f t="shared" si="6"/>
        <v>-490657.35779116658</v>
      </c>
    </row>
    <row r="23" spans="2:21" x14ac:dyDescent="0.25">
      <c r="B23" s="394">
        <f t="shared" si="0"/>
        <v>37316</v>
      </c>
      <c r="C23" s="413">
        <f>SUMIF('Basis Options'!$X$7:$X$1006,CONCATENATE(CashFlows!$B23,CashFlows!C$4),'Basis Options'!$U$7:$U$1006)</f>
        <v>-257192.91356031984</v>
      </c>
      <c r="D23" s="413">
        <f>SUMIF('Basis Options'!$X$7:$X$1006,CONCATENATE(CashFlows!$B23,CashFlows!D$4),'Basis Options'!$U$7:$U$1006)</f>
        <v>0</v>
      </c>
      <c r="E23" s="413">
        <f>SUMIF('Basis Options'!$X$7:$X$1006,CONCATENATE(CashFlows!$B23,CashFlows!E$4),'Basis Options'!$U$7:$U$1006)</f>
        <v>0</v>
      </c>
      <c r="F23" s="413">
        <f>SUMIF('Basis Options'!$X$7:$X$1006,CONCATENATE(CashFlows!$B23,CashFlows!F$4),'Basis Options'!$U$7:$U$1006)</f>
        <v>0</v>
      </c>
      <c r="G23" s="413">
        <f>SUMIF('Basis Options'!$X$7:$X$1006,CONCATENATE(CashFlows!$B23,CashFlows!G$4),'Basis Options'!$U$7:$U$1006)</f>
        <v>0</v>
      </c>
      <c r="H23" s="413">
        <f>SUMIF('Basis Options'!$X$7:$X$1006,CONCATENATE(CashFlows!$B23,CashFlows!H$4),'Basis Options'!$U$7:$U$1006)</f>
        <v>0</v>
      </c>
      <c r="I23" s="413">
        <f>SUMIF('Basis Options'!$X$7:$X$1006,CONCATENATE(CashFlows!$B23,CashFlows!I$4),'Basis Options'!$U$7:$U$1006)</f>
        <v>0</v>
      </c>
      <c r="J23" s="413">
        <f>SUMIF('Basis Options'!$X$7:$X$1006,CONCATENATE(CashFlows!$B23,CashFlows!J$4),'Basis Options'!$U$7:$U$1006)</f>
        <v>0</v>
      </c>
      <c r="K23" s="413">
        <f>SUMIF('Basis Options'!$X$7:$X$1006,CONCATENATE(CashFlows!$B23,CashFlows!K$4),'Basis Options'!$U$7:$U$1006)</f>
        <v>0</v>
      </c>
      <c r="L23" s="413">
        <f>SUMIF('Basis Options'!$X$7:$X$1006,CONCATENATE(CashFlows!$B23,CashFlows!L$4),'Basis Options'!$U$7:$U$1006)</f>
        <v>0</v>
      </c>
      <c r="M23" s="413">
        <f>SUMIF('Basis Options'!$X$7:$X$1006,CONCATENATE(CashFlows!$B23,CashFlows!M$4),'Basis Options'!$U$7:$U$1006)</f>
        <v>0</v>
      </c>
      <c r="N23" s="405">
        <f t="shared" si="1"/>
        <v>-257192.91356031984</v>
      </c>
      <c r="P23" s="394">
        <f t="shared" si="2"/>
        <v>37226</v>
      </c>
      <c r="Q23" s="407"/>
      <c r="R23" s="394">
        <f t="shared" si="3"/>
        <v>37316</v>
      </c>
      <c r="S23" s="395">
        <f t="shared" si="4"/>
        <v>-257192.91356031984</v>
      </c>
      <c r="T23" s="206">
        <f t="shared" si="5"/>
        <v>0.90265493690342646</v>
      </c>
      <c r="U23" s="396">
        <f t="shared" si="6"/>
        <v>-284929.38225389272</v>
      </c>
    </row>
    <row r="24" spans="2:21" x14ac:dyDescent="0.25">
      <c r="B24" s="394">
        <f t="shared" si="0"/>
        <v>37347</v>
      </c>
      <c r="C24" s="413">
        <f>SUMIF('Basis Options'!$X$7:$X$1006,CONCATENATE(CashFlows!$B24,CashFlows!C$4),'Basis Options'!$U$7:$U$1006)</f>
        <v>0</v>
      </c>
      <c r="D24" s="413">
        <f>SUMIF('Basis Options'!$X$7:$X$1006,CONCATENATE(CashFlows!$B24,CashFlows!D$4),'Basis Options'!$U$7:$U$1006)</f>
        <v>0</v>
      </c>
      <c r="E24" s="413">
        <f>SUMIF('Basis Options'!$X$7:$X$1006,CONCATENATE(CashFlows!$B24,CashFlows!E$4),'Basis Options'!$U$7:$U$1006)</f>
        <v>0</v>
      </c>
      <c r="F24" s="413">
        <f>SUMIF('Basis Options'!$X$7:$X$1006,CONCATENATE(CashFlows!$B24,CashFlows!F$4),'Basis Options'!$U$7:$U$1006)</f>
        <v>0</v>
      </c>
      <c r="G24" s="413">
        <f>SUMIF('Basis Options'!$X$7:$X$1006,CONCATENATE(CashFlows!$B24,CashFlows!G$4),'Basis Options'!$U$7:$U$1006)</f>
        <v>0</v>
      </c>
      <c r="H24" s="413">
        <f>SUMIF('Basis Options'!$X$7:$X$1006,CONCATENATE(CashFlows!$B24,CashFlows!H$4),'Basis Options'!$U$7:$U$1006)</f>
        <v>0</v>
      </c>
      <c r="I24" s="413">
        <f>SUMIF('Basis Options'!$X$7:$X$1006,CONCATENATE(CashFlows!$B24,CashFlows!I$4),'Basis Options'!$U$7:$U$1006)</f>
        <v>0</v>
      </c>
      <c r="J24" s="413">
        <f>SUMIF('Basis Options'!$X$7:$X$1006,CONCATENATE(CashFlows!$B24,CashFlows!J$4),'Basis Options'!$U$7:$U$1006)</f>
        <v>0</v>
      </c>
      <c r="K24" s="413">
        <f>SUMIF('Basis Options'!$X$7:$X$1006,CONCATENATE(CashFlows!$B24,CashFlows!K$4),'Basis Options'!$U$7:$U$1006)</f>
        <v>0</v>
      </c>
      <c r="L24" s="413">
        <f>SUMIF('Basis Options'!$X$7:$X$1006,CONCATENATE(CashFlows!$B24,CashFlows!L$4),'Basis Options'!$U$7:$U$1006)</f>
        <v>0</v>
      </c>
      <c r="M24" s="413">
        <f>SUMIF('Basis Options'!$X$7:$X$1006,CONCATENATE(CashFlows!$B24,CashFlows!M$4),'Basis Options'!$U$7:$U$1006)</f>
        <v>0</v>
      </c>
      <c r="N24" s="405">
        <f t="shared" si="1"/>
        <v>0</v>
      </c>
      <c r="P24" s="394">
        <f t="shared" si="2"/>
        <v>37257</v>
      </c>
      <c r="Q24" s="407"/>
      <c r="R24" s="394">
        <f t="shared" si="3"/>
        <v>37347</v>
      </c>
      <c r="S24" s="395">
        <f t="shared" si="4"/>
        <v>0</v>
      </c>
      <c r="T24" s="206">
        <f t="shared" si="5"/>
        <v>0.89742718316573333</v>
      </c>
      <c r="U24" s="396">
        <f t="shared" si="6"/>
        <v>0</v>
      </c>
    </row>
    <row r="25" spans="2:21" x14ac:dyDescent="0.25">
      <c r="B25" s="394">
        <f t="shared" si="0"/>
        <v>37377</v>
      </c>
      <c r="C25" s="413">
        <f>SUMIF('Basis Options'!$X$7:$X$1006,CONCATENATE(CashFlows!$B25,CashFlows!C$4),'Basis Options'!$U$7:$U$1006)</f>
        <v>0</v>
      </c>
      <c r="D25" s="413">
        <f>SUMIF('Basis Options'!$X$7:$X$1006,CONCATENATE(CashFlows!$B25,CashFlows!D$4),'Basis Options'!$U$7:$U$1006)</f>
        <v>0</v>
      </c>
      <c r="E25" s="413">
        <f>SUMIF('Basis Options'!$X$7:$X$1006,CONCATENATE(CashFlows!$B25,CashFlows!E$4),'Basis Options'!$U$7:$U$1006)</f>
        <v>0</v>
      </c>
      <c r="F25" s="413">
        <f>SUMIF('Basis Options'!$X$7:$X$1006,CONCATENATE(CashFlows!$B25,CashFlows!F$4),'Basis Options'!$U$7:$U$1006)</f>
        <v>0</v>
      </c>
      <c r="G25" s="413">
        <f>SUMIF('Basis Options'!$X$7:$X$1006,CONCATENATE(CashFlows!$B25,CashFlows!G$4),'Basis Options'!$U$7:$U$1006)</f>
        <v>0</v>
      </c>
      <c r="H25" s="413">
        <f>SUMIF('Basis Options'!$X$7:$X$1006,CONCATENATE(CashFlows!$B25,CashFlows!H$4),'Basis Options'!$U$7:$U$1006)</f>
        <v>0</v>
      </c>
      <c r="I25" s="413">
        <f>SUMIF('Basis Options'!$X$7:$X$1006,CONCATENATE(CashFlows!$B25,CashFlows!I$4),'Basis Options'!$U$7:$U$1006)</f>
        <v>0</v>
      </c>
      <c r="J25" s="413">
        <f>SUMIF('Basis Options'!$X$7:$X$1006,CONCATENATE(CashFlows!$B25,CashFlows!J$4),'Basis Options'!$U$7:$U$1006)</f>
        <v>0</v>
      </c>
      <c r="K25" s="413">
        <f>SUMIF('Basis Options'!$X$7:$X$1006,CONCATENATE(CashFlows!$B25,CashFlows!K$4),'Basis Options'!$U$7:$U$1006)</f>
        <v>0</v>
      </c>
      <c r="L25" s="413">
        <f>SUMIF('Basis Options'!$X$7:$X$1006,CONCATENATE(CashFlows!$B25,CashFlows!L$4),'Basis Options'!$U$7:$U$1006)</f>
        <v>0</v>
      </c>
      <c r="M25" s="413">
        <f>SUMIF('Basis Options'!$X$7:$X$1006,CONCATENATE(CashFlows!$B25,CashFlows!M$4),'Basis Options'!$U$7:$U$1006)</f>
        <v>0</v>
      </c>
      <c r="N25" s="405">
        <f t="shared" si="1"/>
        <v>0</v>
      </c>
      <c r="P25" s="394">
        <f t="shared" si="2"/>
        <v>37288</v>
      </c>
      <c r="Q25" s="407"/>
      <c r="R25" s="394">
        <f t="shared" si="3"/>
        <v>37377</v>
      </c>
      <c r="S25" s="395">
        <f t="shared" si="4"/>
        <v>0</v>
      </c>
      <c r="T25" s="206">
        <f t="shared" si="5"/>
        <v>0.892430762843339</v>
      </c>
      <c r="U25" s="396">
        <f t="shared" si="6"/>
        <v>0</v>
      </c>
    </row>
    <row r="26" spans="2:21" x14ac:dyDescent="0.25">
      <c r="B26" s="394">
        <f t="shared" si="0"/>
        <v>37408</v>
      </c>
      <c r="C26" s="413">
        <f>SUMIF('Basis Options'!$X$7:$X$1006,CONCATENATE(CashFlows!$B26,CashFlows!C$4),'Basis Options'!$U$7:$U$1006)</f>
        <v>0</v>
      </c>
      <c r="D26" s="413">
        <f>SUMIF('Basis Options'!$X$7:$X$1006,CONCATENATE(CashFlows!$B26,CashFlows!D$4),'Basis Options'!$U$7:$U$1006)</f>
        <v>0</v>
      </c>
      <c r="E26" s="413">
        <f>SUMIF('Basis Options'!$X$7:$X$1006,CONCATENATE(CashFlows!$B26,CashFlows!E$4),'Basis Options'!$U$7:$U$1006)</f>
        <v>0</v>
      </c>
      <c r="F26" s="413">
        <f>SUMIF('Basis Options'!$X$7:$X$1006,CONCATENATE(CashFlows!$B26,CashFlows!F$4),'Basis Options'!$U$7:$U$1006)</f>
        <v>0</v>
      </c>
      <c r="G26" s="413">
        <f>SUMIF('Basis Options'!$X$7:$X$1006,CONCATENATE(CashFlows!$B26,CashFlows!G$4),'Basis Options'!$U$7:$U$1006)</f>
        <v>0</v>
      </c>
      <c r="H26" s="413">
        <f>SUMIF('Basis Options'!$X$7:$X$1006,CONCATENATE(CashFlows!$B26,CashFlows!H$4),'Basis Options'!$U$7:$U$1006)</f>
        <v>0</v>
      </c>
      <c r="I26" s="413">
        <f>SUMIF('Basis Options'!$X$7:$X$1006,CONCATENATE(CashFlows!$B26,CashFlows!I$4),'Basis Options'!$U$7:$U$1006)</f>
        <v>0</v>
      </c>
      <c r="J26" s="413">
        <f>SUMIF('Basis Options'!$X$7:$X$1006,CONCATENATE(CashFlows!$B26,CashFlows!J$4),'Basis Options'!$U$7:$U$1006)</f>
        <v>0</v>
      </c>
      <c r="K26" s="413">
        <f>SUMIF('Basis Options'!$X$7:$X$1006,CONCATENATE(CashFlows!$B26,CashFlows!K$4),'Basis Options'!$U$7:$U$1006)</f>
        <v>0</v>
      </c>
      <c r="L26" s="413">
        <f>SUMIF('Basis Options'!$X$7:$X$1006,CONCATENATE(CashFlows!$B26,CashFlows!L$4),'Basis Options'!$U$7:$U$1006)</f>
        <v>0</v>
      </c>
      <c r="M26" s="413">
        <f>SUMIF('Basis Options'!$X$7:$X$1006,CONCATENATE(CashFlows!$B26,CashFlows!M$4),'Basis Options'!$U$7:$U$1006)</f>
        <v>0</v>
      </c>
      <c r="N26" s="405">
        <f t="shared" si="1"/>
        <v>0</v>
      </c>
      <c r="P26" s="394">
        <f t="shared" si="2"/>
        <v>37316</v>
      </c>
      <c r="Q26" s="407"/>
      <c r="R26" s="394">
        <f t="shared" si="3"/>
        <v>37408</v>
      </c>
      <c r="S26" s="395">
        <f t="shared" si="4"/>
        <v>0</v>
      </c>
      <c r="T26" s="206">
        <f t="shared" si="5"/>
        <v>0.88729836570372944</v>
      </c>
      <c r="U26" s="396">
        <f t="shared" si="6"/>
        <v>0</v>
      </c>
    </row>
    <row r="27" spans="2:21" x14ac:dyDescent="0.25">
      <c r="B27" s="394">
        <f t="shared" si="0"/>
        <v>37438</v>
      </c>
      <c r="C27" s="413">
        <f>SUMIF('Basis Options'!$X$7:$X$1006,CONCATENATE(CashFlows!$B27,CashFlows!C$4),'Basis Options'!$U$7:$U$1006)</f>
        <v>0</v>
      </c>
      <c r="D27" s="413">
        <f>SUMIF('Basis Options'!$X$7:$X$1006,CONCATENATE(CashFlows!$B27,CashFlows!D$4),'Basis Options'!$U$7:$U$1006)</f>
        <v>0</v>
      </c>
      <c r="E27" s="413">
        <f>SUMIF('Basis Options'!$X$7:$X$1006,CONCATENATE(CashFlows!$B27,CashFlows!E$4),'Basis Options'!$U$7:$U$1006)</f>
        <v>0</v>
      </c>
      <c r="F27" s="413">
        <f>SUMIF('Basis Options'!$X$7:$X$1006,CONCATENATE(CashFlows!$B27,CashFlows!F$4),'Basis Options'!$U$7:$U$1006)</f>
        <v>0</v>
      </c>
      <c r="G27" s="413">
        <f>SUMIF('Basis Options'!$X$7:$X$1006,CONCATENATE(CashFlows!$B27,CashFlows!G$4),'Basis Options'!$U$7:$U$1006)</f>
        <v>0</v>
      </c>
      <c r="H27" s="413">
        <f>SUMIF('Basis Options'!$X$7:$X$1006,CONCATENATE(CashFlows!$B27,CashFlows!H$4),'Basis Options'!$U$7:$U$1006)</f>
        <v>0</v>
      </c>
      <c r="I27" s="413">
        <f>SUMIF('Basis Options'!$X$7:$X$1006,CONCATENATE(CashFlows!$B27,CashFlows!I$4),'Basis Options'!$U$7:$U$1006)</f>
        <v>0</v>
      </c>
      <c r="J27" s="413">
        <f>SUMIF('Basis Options'!$X$7:$X$1006,CONCATENATE(CashFlows!$B27,CashFlows!J$4),'Basis Options'!$U$7:$U$1006)</f>
        <v>0</v>
      </c>
      <c r="K27" s="413">
        <f>SUMIF('Basis Options'!$X$7:$X$1006,CONCATENATE(CashFlows!$B27,CashFlows!K$4),'Basis Options'!$U$7:$U$1006)</f>
        <v>0</v>
      </c>
      <c r="L27" s="413">
        <f>SUMIF('Basis Options'!$X$7:$X$1006,CONCATENATE(CashFlows!$B27,CashFlows!L$4),'Basis Options'!$U$7:$U$1006)</f>
        <v>0</v>
      </c>
      <c r="M27" s="413">
        <f>SUMIF('Basis Options'!$X$7:$X$1006,CONCATENATE(CashFlows!$B27,CashFlows!M$4),'Basis Options'!$U$7:$U$1006)</f>
        <v>0</v>
      </c>
      <c r="N27" s="405">
        <f t="shared" si="1"/>
        <v>0</v>
      </c>
      <c r="P27" s="394">
        <f t="shared" si="2"/>
        <v>37347</v>
      </c>
      <c r="Q27" s="407"/>
      <c r="R27" s="394">
        <f t="shared" si="3"/>
        <v>37438</v>
      </c>
      <c r="S27" s="395">
        <f t="shared" si="4"/>
        <v>0</v>
      </c>
      <c r="T27" s="206">
        <f t="shared" si="5"/>
        <v>0.882363087825349</v>
      </c>
      <c r="U27" s="396">
        <f t="shared" si="6"/>
        <v>0</v>
      </c>
    </row>
    <row r="28" spans="2:21" x14ac:dyDescent="0.25">
      <c r="B28" s="394">
        <f t="shared" si="0"/>
        <v>37469</v>
      </c>
      <c r="C28" s="413">
        <f>SUMIF('Basis Options'!$X$7:$X$1006,CONCATENATE(CashFlows!$B28,CashFlows!C$4),'Basis Options'!$U$7:$U$1006)</f>
        <v>0</v>
      </c>
      <c r="D28" s="413">
        <f>SUMIF('Basis Options'!$X$7:$X$1006,CONCATENATE(CashFlows!$B28,CashFlows!D$4),'Basis Options'!$U$7:$U$1006)</f>
        <v>0</v>
      </c>
      <c r="E28" s="413">
        <f>SUMIF('Basis Options'!$X$7:$X$1006,CONCATENATE(CashFlows!$B28,CashFlows!E$4),'Basis Options'!$U$7:$U$1006)</f>
        <v>0</v>
      </c>
      <c r="F28" s="413">
        <f>SUMIF('Basis Options'!$X$7:$X$1006,CONCATENATE(CashFlows!$B28,CashFlows!F$4),'Basis Options'!$U$7:$U$1006)</f>
        <v>0</v>
      </c>
      <c r="G28" s="413">
        <f>SUMIF('Basis Options'!$X$7:$X$1006,CONCATENATE(CashFlows!$B28,CashFlows!G$4),'Basis Options'!$U$7:$U$1006)</f>
        <v>0</v>
      </c>
      <c r="H28" s="413">
        <f>SUMIF('Basis Options'!$X$7:$X$1006,CONCATENATE(CashFlows!$B28,CashFlows!H$4),'Basis Options'!$U$7:$U$1006)</f>
        <v>0</v>
      </c>
      <c r="I28" s="413">
        <f>SUMIF('Basis Options'!$X$7:$X$1006,CONCATENATE(CashFlows!$B28,CashFlows!I$4),'Basis Options'!$U$7:$U$1006)</f>
        <v>0</v>
      </c>
      <c r="J28" s="413">
        <f>SUMIF('Basis Options'!$X$7:$X$1006,CONCATENATE(CashFlows!$B28,CashFlows!J$4),'Basis Options'!$U$7:$U$1006)</f>
        <v>0</v>
      </c>
      <c r="K28" s="413">
        <f>SUMIF('Basis Options'!$X$7:$X$1006,CONCATENATE(CashFlows!$B28,CashFlows!K$4),'Basis Options'!$U$7:$U$1006)</f>
        <v>0</v>
      </c>
      <c r="L28" s="413">
        <f>SUMIF('Basis Options'!$X$7:$X$1006,CONCATENATE(CashFlows!$B28,CashFlows!L$4),'Basis Options'!$U$7:$U$1006)</f>
        <v>0</v>
      </c>
      <c r="M28" s="413">
        <f>SUMIF('Basis Options'!$X$7:$X$1006,CONCATENATE(CashFlows!$B28,CashFlows!M$4),'Basis Options'!$U$7:$U$1006)</f>
        <v>0</v>
      </c>
      <c r="N28" s="405">
        <f t="shared" si="1"/>
        <v>0</v>
      </c>
      <c r="P28" s="394">
        <f t="shared" si="2"/>
        <v>37377</v>
      </c>
      <c r="Q28" s="407"/>
      <c r="R28" s="394">
        <f t="shared" si="3"/>
        <v>37469</v>
      </c>
      <c r="S28" s="395">
        <f t="shared" si="4"/>
        <v>0</v>
      </c>
      <c r="T28" s="206">
        <f t="shared" si="5"/>
        <v>0.8772973618092732</v>
      </c>
      <c r="U28" s="396">
        <f t="shared" si="6"/>
        <v>0</v>
      </c>
    </row>
    <row r="29" spans="2:21" x14ac:dyDescent="0.25">
      <c r="B29" s="394">
        <f t="shared" si="0"/>
        <v>37500</v>
      </c>
      <c r="C29" s="413">
        <f>SUMIF('Basis Options'!$X$7:$X$1006,CONCATENATE(CashFlows!$B29,CashFlows!C$4),'Basis Options'!$U$7:$U$1006)</f>
        <v>0</v>
      </c>
      <c r="D29" s="413">
        <f>SUMIF('Basis Options'!$X$7:$X$1006,CONCATENATE(CashFlows!$B29,CashFlows!D$4),'Basis Options'!$U$7:$U$1006)</f>
        <v>0</v>
      </c>
      <c r="E29" s="413">
        <f>SUMIF('Basis Options'!$X$7:$X$1006,CONCATENATE(CashFlows!$B29,CashFlows!E$4),'Basis Options'!$U$7:$U$1006)</f>
        <v>0</v>
      </c>
      <c r="F29" s="413">
        <f>SUMIF('Basis Options'!$X$7:$X$1006,CONCATENATE(CashFlows!$B29,CashFlows!F$4),'Basis Options'!$U$7:$U$1006)</f>
        <v>0</v>
      </c>
      <c r="G29" s="413">
        <f>SUMIF('Basis Options'!$X$7:$X$1006,CONCATENATE(CashFlows!$B29,CashFlows!G$4),'Basis Options'!$U$7:$U$1006)</f>
        <v>0</v>
      </c>
      <c r="H29" s="413">
        <f>SUMIF('Basis Options'!$X$7:$X$1006,CONCATENATE(CashFlows!$B29,CashFlows!H$4),'Basis Options'!$U$7:$U$1006)</f>
        <v>0</v>
      </c>
      <c r="I29" s="413">
        <f>SUMIF('Basis Options'!$X$7:$X$1006,CONCATENATE(CashFlows!$B29,CashFlows!I$4),'Basis Options'!$U$7:$U$1006)</f>
        <v>0</v>
      </c>
      <c r="J29" s="413">
        <f>SUMIF('Basis Options'!$X$7:$X$1006,CONCATENATE(CashFlows!$B29,CashFlows!J$4),'Basis Options'!$U$7:$U$1006)</f>
        <v>0</v>
      </c>
      <c r="K29" s="413">
        <f>SUMIF('Basis Options'!$X$7:$X$1006,CONCATENATE(CashFlows!$B29,CashFlows!K$4),'Basis Options'!$U$7:$U$1006)</f>
        <v>0</v>
      </c>
      <c r="L29" s="413">
        <f>SUMIF('Basis Options'!$X$7:$X$1006,CONCATENATE(CashFlows!$B29,CashFlows!L$4),'Basis Options'!$U$7:$U$1006)</f>
        <v>0</v>
      </c>
      <c r="M29" s="413">
        <f>SUMIF('Basis Options'!$X$7:$X$1006,CONCATENATE(CashFlows!$B29,CashFlows!M$4),'Basis Options'!$U$7:$U$1006)</f>
        <v>0</v>
      </c>
      <c r="N29" s="405">
        <f t="shared" si="1"/>
        <v>0</v>
      </c>
      <c r="P29" s="394">
        <f t="shared" si="2"/>
        <v>37408</v>
      </c>
      <c r="Q29" s="407"/>
      <c r="R29" s="394">
        <f t="shared" si="3"/>
        <v>37500</v>
      </c>
      <c r="S29" s="395">
        <f t="shared" si="4"/>
        <v>0</v>
      </c>
      <c r="T29" s="206">
        <f t="shared" si="5"/>
        <v>0.87226259343384061</v>
      </c>
      <c r="U29" s="396">
        <f t="shared" si="6"/>
        <v>0</v>
      </c>
    </row>
    <row r="30" spans="2:21" x14ac:dyDescent="0.25">
      <c r="B30" s="394">
        <f t="shared" si="0"/>
        <v>37530</v>
      </c>
      <c r="C30" s="413">
        <f>SUMIF('Basis Options'!$X$7:$X$1006,CONCATENATE(CashFlows!$B30,CashFlows!C$4),'Basis Options'!$U$7:$U$1006)</f>
        <v>0</v>
      </c>
      <c r="D30" s="413">
        <f>SUMIF('Basis Options'!$X$7:$X$1006,CONCATENATE(CashFlows!$B30,CashFlows!D$4),'Basis Options'!$U$7:$U$1006)</f>
        <v>0</v>
      </c>
      <c r="E30" s="413">
        <f>SUMIF('Basis Options'!$X$7:$X$1006,CONCATENATE(CashFlows!$B30,CashFlows!E$4),'Basis Options'!$U$7:$U$1006)</f>
        <v>0</v>
      </c>
      <c r="F30" s="413">
        <f>SUMIF('Basis Options'!$X$7:$X$1006,CONCATENATE(CashFlows!$B30,CashFlows!F$4),'Basis Options'!$U$7:$U$1006)</f>
        <v>0</v>
      </c>
      <c r="G30" s="413">
        <f>SUMIF('Basis Options'!$X$7:$X$1006,CONCATENATE(CashFlows!$B30,CashFlows!G$4),'Basis Options'!$U$7:$U$1006)</f>
        <v>0</v>
      </c>
      <c r="H30" s="413">
        <f>SUMIF('Basis Options'!$X$7:$X$1006,CONCATENATE(CashFlows!$B30,CashFlows!H$4),'Basis Options'!$U$7:$U$1006)</f>
        <v>0</v>
      </c>
      <c r="I30" s="413">
        <f>SUMIF('Basis Options'!$X$7:$X$1006,CONCATENATE(CashFlows!$B30,CashFlows!I$4),'Basis Options'!$U$7:$U$1006)</f>
        <v>0</v>
      </c>
      <c r="J30" s="413">
        <f>SUMIF('Basis Options'!$X$7:$X$1006,CONCATENATE(CashFlows!$B30,CashFlows!J$4),'Basis Options'!$U$7:$U$1006)</f>
        <v>0</v>
      </c>
      <c r="K30" s="413">
        <f>SUMIF('Basis Options'!$X$7:$X$1006,CONCATENATE(CashFlows!$B30,CashFlows!K$4),'Basis Options'!$U$7:$U$1006)</f>
        <v>0</v>
      </c>
      <c r="L30" s="413">
        <f>SUMIF('Basis Options'!$X$7:$X$1006,CONCATENATE(CashFlows!$B30,CashFlows!L$4),'Basis Options'!$U$7:$U$1006)</f>
        <v>0</v>
      </c>
      <c r="M30" s="413">
        <f>SUMIF('Basis Options'!$X$7:$X$1006,CONCATENATE(CashFlows!$B30,CashFlows!M$4),'Basis Options'!$U$7:$U$1006)</f>
        <v>0</v>
      </c>
      <c r="N30" s="405">
        <f t="shared" si="1"/>
        <v>0</v>
      </c>
      <c r="P30" s="394">
        <f t="shared" si="2"/>
        <v>37438</v>
      </c>
      <c r="Q30" s="407"/>
      <c r="R30" s="394">
        <f t="shared" si="3"/>
        <v>37530</v>
      </c>
      <c r="S30" s="395">
        <f t="shared" si="4"/>
        <v>0</v>
      </c>
      <c r="T30" s="206">
        <f t="shared" si="5"/>
        <v>0.86742004650382554</v>
      </c>
      <c r="U30" s="396">
        <f t="shared" si="6"/>
        <v>0</v>
      </c>
    </row>
    <row r="31" spans="2:21" x14ac:dyDescent="0.25">
      <c r="B31" s="394">
        <f t="shared" si="0"/>
        <v>37561</v>
      </c>
      <c r="C31" s="413">
        <f>SUMIF('Basis Options'!$X$7:$X$1006,CONCATENATE(CashFlows!$B31,CashFlows!C$4),'Basis Options'!$U$7:$U$1006)</f>
        <v>0</v>
      </c>
      <c r="D31" s="413">
        <f>SUMIF('Basis Options'!$X$7:$X$1006,CONCATENATE(CashFlows!$B31,CashFlows!D$4),'Basis Options'!$U$7:$U$1006)</f>
        <v>0</v>
      </c>
      <c r="E31" s="413">
        <f>SUMIF('Basis Options'!$X$7:$X$1006,CONCATENATE(CashFlows!$B31,CashFlows!E$4),'Basis Options'!$U$7:$U$1006)</f>
        <v>0</v>
      </c>
      <c r="F31" s="413">
        <f>SUMIF('Basis Options'!$X$7:$X$1006,CONCATENATE(CashFlows!$B31,CashFlows!F$4),'Basis Options'!$U$7:$U$1006)</f>
        <v>0</v>
      </c>
      <c r="G31" s="413">
        <f>SUMIF('Basis Options'!$X$7:$X$1006,CONCATENATE(CashFlows!$B31,CashFlows!G$4),'Basis Options'!$U$7:$U$1006)</f>
        <v>0</v>
      </c>
      <c r="H31" s="413">
        <f>SUMIF('Basis Options'!$X$7:$X$1006,CONCATENATE(CashFlows!$B31,CashFlows!H$4),'Basis Options'!$U$7:$U$1006)</f>
        <v>17115.451784574117</v>
      </c>
      <c r="I31" s="413">
        <f>SUMIF('Basis Options'!$X$7:$X$1006,CONCATENATE(CashFlows!$B31,CashFlows!I$4),'Basis Options'!$U$7:$U$1006)</f>
        <v>0</v>
      </c>
      <c r="J31" s="413">
        <f>SUMIF('Basis Options'!$X$7:$X$1006,CONCATENATE(CashFlows!$B31,CashFlows!J$4),'Basis Options'!$U$7:$U$1006)</f>
        <v>0</v>
      </c>
      <c r="K31" s="413">
        <f>SUMIF('Basis Options'!$X$7:$X$1006,CONCATENATE(CashFlows!$B31,CashFlows!K$4),'Basis Options'!$U$7:$U$1006)</f>
        <v>0</v>
      </c>
      <c r="L31" s="413">
        <f>SUMIF('Basis Options'!$X$7:$X$1006,CONCATENATE(CashFlows!$B31,CashFlows!L$4),'Basis Options'!$U$7:$U$1006)</f>
        <v>0</v>
      </c>
      <c r="M31" s="413">
        <f>SUMIF('Basis Options'!$X$7:$X$1006,CONCATENATE(CashFlows!$B31,CashFlows!M$4),'Basis Options'!$U$7:$U$1006)</f>
        <v>0</v>
      </c>
      <c r="N31" s="405">
        <f t="shared" si="1"/>
        <v>17115.451784574117</v>
      </c>
      <c r="P31" s="394">
        <f t="shared" si="2"/>
        <v>37469</v>
      </c>
      <c r="Q31" s="407"/>
      <c r="R31" s="394">
        <f t="shared" si="3"/>
        <v>37561</v>
      </c>
      <c r="S31" s="395">
        <f t="shared" si="4"/>
        <v>17115.451784574117</v>
      </c>
      <c r="T31" s="206">
        <f t="shared" si="5"/>
        <v>0.86244696399104837</v>
      </c>
      <c r="U31" s="396">
        <f t="shared" si="6"/>
        <v>19845.222372133907</v>
      </c>
    </row>
    <row r="32" spans="2:21" x14ac:dyDescent="0.25">
      <c r="B32" s="394">
        <f t="shared" si="0"/>
        <v>37591</v>
      </c>
      <c r="C32" s="413">
        <f>SUMIF('Basis Options'!$X$7:$X$1006,CONCATENATE(CashFlows!$B32,CashFlows!C$4),'Basis Options'!$U$7:$U$1006)</f>
        <v>0</v>
      </c>
      <c r="D32" s="413">
        <f>SUMIF('Basis Options'!$X$7:$X$1006,CONCATENATE(CashFlows!$B32,CashFlows!D$4),'Basis Options'!$U$7:$U$1006)</f>
        <v>0</v>
      </c>
      <c r="E32" s="413">
        <f>SUMIF('Basis Options'!$X$7:$X$1006,CONCATENATE(CashFlows!$B32,CashFlows!E$4),'Basis Options'!$U$7:$U$1006)</f>
        <v>0</v>
      </c>
      <c r="F32" s="413">
        <f>SUMIF('Basis Options'!$X$7:$X$1006,CONCATENATE(CashFlows!$B32,CashFlows!F$4),'Basis Options'!$U$7:$U$1006)</f>
        <v>0</v>
      </c>
      <c r="G32" s="413">
        <f>SUMIF('Basis Options'!$X$7:$X$1006,CONCATENATE(CashFlows!$B32,CashFlows!G$4),'Basis Options'!$U$7:$U$1006)</f>
        <v>0</v>
      </c>
      <c r="H32" s="413">
        <f>SUMIF('Basis Options'!$X$7:$X$1006,CONCATENATE(CashFlows!$B32,CashFlows!H$4),'Basis Options'!$U$7:$U$1006)</f>
        <v>23119.233279960063</v>
      </c>
      <c r="I32" s="413">
        <f>SUMIF('Basis Options'!$X$7:$X$1006,CONCATENATE(CashFlows!$B32,CashFlows!I$4),'Basis Options'!$U$7:$U$1006)</f>
        <v>0</v>
      </c>
      <c r="J32" s="413">
        <f>SUMIF('Basis Options'!$X$7:$X$1006,CONCATENATE(CashFlows!$B32,CashFlows!J$4),'Basis Options'!$U$7:$U$1006)</f>
        <v>0</v>
      </c>
      <c r="K32" s="413">
        <f>SUMIF('Basis Options'!$X$7:$X$1006,CONCATENATE(CashFlows!$B32,CashFlows!K$4),'Basis Options'!$U$7:$U$1006)</f>
        <v>0</v>
      </c>
      <c r="L32" s="413">
        <f>SUMIF('Basis Options'!$X$7:$X$1006,CONCATENATE(CashFlows!$B32,CashFlows!L$4),'Basis Options'!$U$7:$U$1006)</f>
        <v>0</v>
      </c>
      <c r="M32" s="413">
        <f>SUMIF('Basis Options'!$X$7:$X$1006,CONCATENATE(CashFlows!$B32,CashFlows!M$4),'Basis Options'!$U$7:$U$1006)</f>
        <v>0</v>
      </c>
      <c r="N32" s="405">
        <f t="shared" si="1"/>
        <v>23119.233279960063</v>
      </c>
      <c r="P32" s="394">
        <f t="shared" si="2"/>
        <v>37500</v>
      </c>
      <c r="Q32" s="407"/>
      <c r="R32" s="394">
        <f t="shared" si="3"/>
        <v>37591</v>
      </c>
      <c r="S32" s="395">
        <f t="shared" si="4"/>
        <v>23119.233279960063</v>
      </c>
      <c r="T32" s="206">
        <f t="shared" si="5"/>
        <v>0.85766330577837901</v>
      </c>
      <c r="U32" s="396">
        <f t="shared" si="6"/>
        <v>26956.071367630706</v>
      </c>
    </row>
    <row r="33" spans="2:21" x14ac:dyDescent="0.25">
      <c r="B33" s="394">
        <f t="shared" si="0"/>
        <v>37622</v>
      </c>
      <c r="C33" s="413">
        <f>SUMIF('Basis Options'!$X$7:$X$1006,CONCATENATE(CashFlows!$B33,CashFlows!C$4),'Basis Options'!$U$7:$U$1006)</f>
        <v>0</v>
      </c>
      <c r="D33" s="413">
        <f>SUMIF('Basis Options'!$X$7:$X$1006,CONCATENATE(CashFlows!$B33,CashFlows!D$4),'Basis Options'!$U$7:$U$1006)</f>
        <v>0</v>
      </c>
      <c r="E33" s="413">
        <f>SUMIF('Basis Options'!$X$7:$X$1006,CONCATENATE(CashFlows!$B33,CashFlows!E$4),'Basis Options'!$U$7:$U$1006)</f>
        <v>0</v>
      </c>
      <c r="F33" s="413">
        <f>SUMIF('Basis Options'!$X$7:$X$1006,CONCATENATE(CashFlows!$B33,CashFlows!F$4),'Basis Options'!$U$7:$U$1006)</f>
        <v>0</v>
      </c>
      <c r="G33" s="413">
        <f>SUMIF('Basis Options'!$X$7:$X$1006,CONCATENATE(CashFlows!$B33,CashFlows!G$4),'Basis Options'!$U$7:$U$1006)</f>
        <v>0</v>
      </c>
      <c r="H33" s="413">
        <f>SUMIF('Basis Options'!$X$7:$X$1006,CONCATENATE(CashFlows!$B33,CashFlows!H$4),'Basis Options'!$U$7:$U$1006)</f>
        <v>23732.768929611859</v>
      </c>
      <c r="I33" s="413">
        <f>SUMIF('Basis Options'!$X$7:$X$1006,CONCATENATE(CashFlows!$B33,CashFlows!I$4),'Basis Options'!$U$7:$U$1006)</f>
        <v>0</v>
      </c>
      <c r="J33" s="413">
        <f>SUMIF('Basis Options'!$X$7:$X$1006,CONCATENATE(CashFlows!$B33,CashFlows!J$4),'Basis Options'!$U$7:$U$1006)</f>
        <v>0</v>
      </c>
      <c r="K33" s="413">
        <f>SUMIF('Basis Options'!$X$7:$X$1006,CONCATENATE(CashFlows!$B33,CashFlows!K$4),'Basis Options'!$U$7:$U$1006)</f>
        <v>0</v>
      </c>
      <c r="L33" s="413">
        <f>SUMIF('Basis Options'!$X$7:$X$1006,CONCATENATE(CashFlows!$B33,CashFlows!L$4),'Basis Options'!$U$7:$U$1006)</f>
        <v>0</v>
      </c>
      <c r="M33" s="413">
        <f>SUMIF('Basis Options'!$X$7:$X$1006,CONCATENATE(CashFlows!$B33,CashFlows!M$4),'Basis Options'!$U$7:$U$1006)</f>
        <v>0</v>
      </c>
      <c r="N33" s="405">
        <f t="shared" si="1"/>
        <v>23732.768929611859</v>
      </c>
      <c r="P33" s="394">
        <f t="shared" si="2"/>
        <v>37530</v>
      </c>
      <c r="Q33" s="407"/>
      <c r="R33" s="394">
        <f t="shared" si="3"/>
        <v>37622</v>
      </c>
      <c r="S33" s="395">
        <f t="shared" si="4"/>
        <v>23732.768929611859</v>
      </c>
      <c r="T33" s="206">
        <f t="shared" si="5"/>
        <v>0.85273287100733064</v>
      </c>
      <c r="U33" s="396">
        <f t="shared" si="6"/>
        <v>27831.42263716938</v>
      </c>
    </row>
    <row r="34" spans="2:21" x14ac:dyDescent="0.25">
      <c r="B34" s="394">
        <f t="shared" si="0"/>
        <v>37653</v>
      </c>
      <c r="C34" s="413">
        <f>SUMIF('Basis Options'!$X$7:$X$1006,CONCATENATE(CashFlows!$B34,CashFlows!C$4),'Basis Options'!$U$7:$U$1006)</f>
        <v>0</v>
      </c>
      <c r="D34" s="413">
        <f>SUMIF('Basis Options'!$X$7:$X$1006,CONCATENATE(CashFlows!$B34,CashFlows!D$4),'Basis Options'!$U$7:$U$1006)</f>
        <v>0</v>
      </c>
      <c r="E34" s="413">
        <f>SUMIF('Basis Options'!$X$7:$X$1006,CONCATENATE(CashFlows!$B34,CashFlows!E$4),'Basis Options'!$U$7:$U$1006)</f>
        <v>0</v>
      </c>
      <c r="F34" s="413">
        <f>SUMIF('Basis Options'!$X$7:$X$1006,CONCATENATE(CashFlows!$B34,CashFlows!F$4),'Basis Options'!$U$7:$U$1006)</f>
        <v>0</v>
      </c>
      <c r="G34" s="413">
        <f>SUMIF('Basis Options'!$X$7:$X$1006,CONCATENATE(CashFlows!$B34,CashFlows!G$4),'Basis Options'!$U$7:$U$1006)</f>
        <v>0</v>
      </c>
      <c r="H34" s="413">
        <f>SUMIF('Basis Options'!$X$7:$X$1006,CONCATENATE(CashFlows!$B34,CashFlows!H$4),'Basis Options'!$U$7:$U$1006)</f>
        <v>18547.172036848864</v>
      </c>
      <c r="I34" s="413">
        <f>SUMIF('Basis Options'!$X$7:$X$1006,CONCATENATE(CashFlows!$B34,CashFlows!I$4),'Basis Options'!$U$7:$U$1006)</f>
        <v>0</v>
      </c>
      <c r="J34" s="413">
        <f>SUMIF('Basis Options'!$X$7:$X$1006,CONCATENATE(CashFlows!$B34,CashFlows!J$4),'Basis Options'!$U$7:$U$1006)</f>
        <v>0</v>
      </c>
      <c r="K34" s="413">
        <f>SUMIF('Basis Options'!$X$7:$X$1006,CONCATENATE(CashFlows!$B34,CashFlows!K$4),'Basis Options'!$U$7:$U$1006)</f>
        <v>0</v>
      </c>
      <c r="L34" s="413">
        <f>SUMIF('Basis Options'!$X$7:$X$1006,CONCATENATE(CashFlows!$B34,CashFlows!L$4),'Basis Options'!$U$7:$U$1006)</f>
        <v>0</v>
      </c>
      <c r="M34" s="413">
        <f>SUMIF('Basis Options'!$X$7:$X$1006,CONCATENATE(CashFlows!$B34,CashFlows!M$4),'Basis Options'!$U$7:$U$1006)</f>
        <v>0</v>
      </c>
      <c r="N34" s="405">
        <f t="shared" si="1"/>
        <v>18547.172036848864</v>
      </c>
      <c r="P34" s="394">
        <f t="shared" si="2"/>
        <v>37561</v>
      </c>
      <c r="Q34" s="407"/>
      <c r="R34" s="394">
        <f t="shared" si="3"/>
        <v>37653</v>
      </c>
      <c r="S34" s="395">
        <f t="shared" si="4"/>
        <v>18547.172036848864</v>
      </c>
      <c r="T34" s="206">
        <f t="shared" si="5"/>
        <v>0.84781008025852522</v>
      </c>
      <c r="U34" s="396">
        <f t="shared" si="6"/>
        <v>21876.564656076302</v>
      </c>
    </row>
    <row r="35" spans="2:21" x14ac:dyDescent="0.25">
      <c r="B35" s="394">
        <f t="shared" si="0"/>
        <v>37681</v>
      </c>
      <c r="C35" s="413">
        <f>SUMIF('Basis Options'!$X$7:$X$1006,CONCATENATE(CashFlows!$B35,CashFlows!C$4),'Basis Options'!$U$7:$U$1006)</f>
        <v>0</v>
      </c>
      <c r="D35" s="413">
        <f>SUMIF('Basis Options'!$X$7:$X$1006,CONCATENATE(CashFlows!$B35,CashFlows!D$4),'Basis Options'!$U$7:$U$1006)</f>
        <v>0</v>
      </c>
      <c r="E35" s="413">
        <f>SUMIF('Basis Options'!$X$7:$X$1006,CONCATENATE(CashFlows!$B35,CashFlows!E$4),'Basis Options'!$U$7:$U$1006)</f>
        <v>0</v>
      </c>
      <c r="F35" s="413">
        <f>SUMIF('Basis Options'!$X$7:$X$1006,CONCATENATE(CashFlows!$B35,CashFlows!F$4),'Basis Options'!$U$7:$U$1006)</f>
        <v>0</v>
      </c>
      <c r="G35" s="413">
        <f>SUMIF('Basis Options'!$X$7:$X$1006,CONCATENATE(CashFlows!$B35,CashFlows!G$4),'Basis Options'!$U$7:$U$1006)</f>
        <v>0</v>
      </c>
      <c r="H35" s="413">
        <f>SUMIF('Basis Options'!$X$7:$X$1006,CONCATENATE(CashFlows!$B35,CashFlows!H$4),'Basis Options'!$U$7:$U$1006)</f>
        <v>18349.19114905993</v>
      </c>
      <c r="I35" s="413">
        <f>SUMIF('Basis Options'!$X$7:$X$1006,CONCATENATE(CashFlows!$B35,CashFlows!I$4),'Basis Options'!$U$7:$U$1006)</f>
        <v>0</v>
      </c>
      <c r="J35" s="413">
        <f>SUMIF('Basis Options'!$X$7:$X$1006,CONCATENATE(CashFlows!$B35,CashFlows!J$4),'Basis Options'!$U$7:$U$1006)</f>
        <v>0</v>
      </c>
      <c r="K35" s="413">
        <f>SUMIF('Basis Options'!$X$7:$X$1006,CONCATENATE(CashFlows!$B35,CashFlows!K$4),'Basis Options'!$U$7:$U$1006)</f>
        <v>0</v>
      </c>
      <c r="L35" s="413">
        <f>SUMIF('Basis Options'!$X$7:$X$1006,CONCATENATE(CashFlows!$B35,CashFlows!L$4),'Basis Options'!$U$7:$U$1006)</f>
        <v>0</v>
      </c>
      <c r="M35" s="413">
        <f>SUMIF('Basis Options'!$X$7:$X$1006,CONCATENATE(CashFlows!$B35,CashFlows!M$4),'Basis Options'!$U$7:$U$1006)</f>
        <v>0</v>
      </c>
      <c r="N35" s="405">
        <f t="shared" si="1"/>
        <v>18349.19114905993</v>
      </c>
      <c r="P35" s="394">
        <f t="shared" si="2"/>
        <v>37591</v>
      </c>
      <c r="Q35" s="407"/>
      <c r="R35" s="394">
        <f t="shared" si="3"/>
        <v>37681</v>
      </c>
      <c r="S35" s="395">
        <f t="shared" si="4"/>
        <v>18349.19114905993</v>
      </c>
      <c r="T35" s="206">
        <f t="shared" si="5"/>
        <v>0.84338743152852869</v>
      </c>
      <c r="U35" s="396">
        <f t="shared" si="6"/>
        <v>21756.538529160243</v>
      </c>
    </row>
    <row r="36" spans="2:21" x14ac:dyDescent="0.25">
      <c r="B36" s="394">
        <f t="shared" si="0"/>
        <v>37712</v>
      </c>
      <c r="C36" s="413">
        <f>SUMIF('Basis Options'!$X$7:$X$1006,CONCATENATE(CashFlows!$B36,CashFlows!C$4),'Basis Options'!$U$7:$U$1006)</f>
        <v>0</v>
      </c>
      <c r="D36" s="413">
        <f>SUMIF('Basis Options'!$X$7:$X$1006,CONCATENATE(CashFlows!$B36,CashFlows!D$4),'Basis Options'!$U$7:$U$1006)</f>
        <v>0</v>
      </c>
      <c r="E36" s="413">
        <f>SUMIF('Basis Options'!$X$7:$X$1006,CONCATENATE(CashFlows!$B36,CashFlows!E$4),'Basis Options'!$U$7:$U$1006)</f>
        <v>0</v>
      </c>
      <c r="F36" s="413">
        <f>SUMIF('Basis Options'!$X$7:$X$1006,CONCATENATE(CashFlows!$B36,CashFlows!F$4),'Basis Options'!$U$7:$U$1006)</f>
        <v>0</v>
      </c>
      <c r="G36" s="413">
        <f>SUMIF('Basis Options'!$X$7:$X$1006,CONCATENATE(CashFlows!$B36,CashFlows!G$4),'Basis Options'!$U$7:$U$1006)</f>
        <v>0</v>
      </c>
      <c r="H36" s="413">
        <f>SUMIF('Basis Options'!$X$7:$X$1006,CONCATENATE(CashFlows!$B36,CashFlows!H$4),'Basis Options'!$U$7:$U$1006)</f>
        <v>0</v>
      </c>
      <c r="I36" s="413">
        <f>SUMIF('Basis Options'!$X$7:$X$1006,CONCATENATE(CashFlows!$B36,CashFlows!I$4),'Basis Options'!$U$7:$U$1006)</f>
        <v>0</v>
      </c>
      <c r="J36" s="413">
        <f>SUMIF('Basis Options'!$X$7:$X$1006,CONCATENATE(CashFlows!$B36,CashFlows!J$4),'Basis Options'!$U$7:$U$1006)</f>
        <v>0</v>
      </c>
      <c r="K36" s="413">
        <f>SUMIF('Basis Options'!$X$7:$X$1006,CONCATENATE(CashFlows!$B36,CashFlows!K$4),'Basis Options'!$U$7:$U$1006)</f>
        <v>0</v>
      </c>
      <c r="L36" s="413">
        <f>SUMIF('Basis Options'!$X$7:$X$1006,CONCATENATE(CashFlows!$B36,CashFlows!L$4),'Basis Options'!$U$7:$U$1006)</f>
        <v>0</v>
      </c>
      <c r="M36" s="413">
        <f>SUMIF('Basis Options'!$X$7:$X$1006,CONCATENATE(CashFlows!$B36,CashFlows!M$4),'Basis Options'!$U$7:$U$1006)</f>
        <v>0</v>
      </c>
      <c r="N36" s="405">
        <f t="shared" si="1"/>
        <v>0</v>
      </c>
      <c r="P36" s="394">
        <f t="shared" si="2"/>
        <v>37622</v>
      </c>
      <c r="Q36" s="407"/>
      <c r="R36" s="394">
        <f t="shared" si="3"/>
        <v>37712</v>
      </c>
      <c r="S36" s="395">
        <f t="shared" si="4"/>
        <v>0</v>
      </c>
      <c r="T36" s="206">
        <f t="shared" si="5"/>
        <v>0.8385348734037531</v>
      </c>
      <c r="U36" s="396">
        <f t="shared" si="6"/>
        <v>0</v>
      </c>
    </row>
    <row r="37" spans="2:21" ht="13.8" thickBot="1" x14ac:dyDescent="0.3">
      <c r="B37" s="397">
        <f t="shared" si="0"/>
        <v>37742</v>
      </c>
      <c r="C37" s="414">
        <f>SUMIF('Basis Options'!$X$7:$X$1006,CONCATENATE(CashFlows!$B37,CashFlows!C$4),'Basis Options'!$U$7:$U$1006)</f>
        <v>0</v>
      </c>
      <c r="D37" s="414">
        <f>SUMIF('Basis Options'!$X$7:$X$1006,CONCATENATE(CashFlows!$B37,CashFlows!D$4),'Basis Options'!$U$7:$U$1006)</f>
        <v>0</v>
      </c>
      <c r="E37" s="414">
        <f>SUMIF('Basis Options'!$X$7:$X$1006,CONCATENATE(CashFlows!$B37,CashFlows!E$4),'Basis Options'!$U$7:$U$1006)</f>
        <v>0</v>
      </c>
      <c r="F37" s="414">
        <f>SUMIF('Basis Options'!$X$7:$X$1006,CONCATENATE(CashFlows!$B37,CashFlows!F$4),'Basis Options'!$U$7:$U$1006)</f>
        <v>0</v>
      </c>
      <c r="G37" s="414">
        <f>SUMIF('Basis Options'!$X$7:$X$1006,CONCATENATE(CashFlows!$B37,CashFlows!G$4),'Basis Options'!$U$7:$U$1006)</f>
        <v>0</v>
      </c>
      <c r="H37" s="414">
        <f>SUMIF('Basis Options'!$X$7:$X$1006,CONCATENATE(CashFlows!$B37,CashFlows!H$4),'Basis Options'!$U$7:$U$1006)</f>
        <v>0</v>
      </c>
      <c r="I37" s="414">
        <f>SUMIF('Basis Options'!$X$7:$X$1006,CONCATENATE(CashFlows!$B37,CashFlows!I$4),'Basis Options'!$U$7:$U$1006)</f>
        <v>0</v>
      </c>
      <c r="J37" s="414">
        <f>SUMIF('Basis Options'!$X$7:$X$1006,CONCATENATE(CashFlows!$B37,CashFlows!J$4),'Basis Options'!$U$7:$U$1006)</f>
        <v>0</v>
      </c>
      <c r="K37" s="414">
        <f>SUMIF('Basis Options'!$X$7:$X$1006,CONCATENATE(CashFlows!$B37,CashFlows!K$4),'Basis Options'!$U$7:$U$1006)</f>
        <v>0</v>
      </c>
      <c r="L37" s="414">
        <f>SUMIF('Basis Options'!$X$7:$X$1006,CONCATENATE(CashFlows!$B37,CashFlows!L$4),'Basis Options'!$U$7:$U$1006)</f>
        <v>0</v>
      </c>
      <c r="M37" s="414">
        <f>SUMIF('Basis Options'!$X$7:$X$1006,CONCATENATE(CashFlows!$B37,CashFlows!M$4),'Basis Options'!$U$7:$U$1006)</f>
        <v>0</v>
      </c>
      <c r="N37" s="415">
        <f t="shared" si="1"/>
        <v>0</v>
      </c>
      <c r="P37" s="397">
        <f t="shared" si="2"/>
        <v>37653</v>
      </c>
      <c r="Q37" s="408"/>
      <c r="R37" s="397">
        <f t="shared" si="3"/>
        <v>37742</v>
      </c>
      <c r="S37" s="398">
        <f t="shared" si="4"/>
        <v>0</v>
      </c>
      <c r="T37" s="399">
        <f t="shared" si="5"/>
        <v>0.83388991869451168</v>
      </c>
      <c r="U37" s="400">
        <f t="shared" si="6"/>
        <v>0</v>
      </c>
    </row>
    <row r="38" spans="2:21" x14ac:dyDescent="0.25">
      <c r="B38" s="258"/>
    </row>
    <row r="39" spans="2:21" x14ac:dyDescent="0.25">
      <c r="B39" s="258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3" name="Button 1">
              <controlPr defaultSize="0" print="0" autoFill="0" autoPict="0" macro="[0]!RhoDrift">
                <anchor moveWithCells="1" sizeWithCells="1">
                  <from>
                    <xdr:col>13</xdr:col>
                    <xdr:colOff>563880</xdr:colOff>
                    <xdr:row>0</xdr:row>
                    <xdr:rowOff>38100</xdr:rowOff>
                  </from>
                  <to>
                    <xdr:col>15</xdr:col>
                    <xdr:colOff>601980</xdr:colOff>
                    <xdr:row>1</xdr:row>
                    <xdr:rowOff>99060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229"/>
  <sheetViews>
    <sheetView showGridLines="0" topLeftCell="A3" workbookViewId="0">
      <pane xSplit="1" ySplit="1" topLeftCell="F8" activePane="bottomRight" state="frozen"/>
      <selection activeCell="A3" sqref="A3"/>
      <selection pane="topRight" activeCell="B3" sqref="B3"/>
      <selection pane="bottomLeft" activeCell="A4" sqref="A4"/>
      <selection pane="bottomRight" activeCell="K31" sqref="K31"/>
    </sheetView>
  </sheetViews>
  <sheetFormatPr defaultRowHeight="13.2" x14ac:dyDescent="0.25"/>
  <cols>
    <col min="1" max="2" width="14.5546875" customWidth="1"/>
    <col min="3" max="3" width="18.6640625" customWidth="1"/>
    <col min="4" max="4" width="15" customWidth="1"/>
    <col min="5" max="6" width="20.44140625" customWidth="1"/>
    <col min="7" max="10" width="17.88671875" customWidth="1"/>
    <col min="11" max="14" width="15.5546875" customWidth="1"/>
    <col min="16" max="16" width="12.5546875" bestFit="1" customWidth="1"/>
    <col min="17" max="17" width="10.88671875" customWidth="1"/>
    <col min="23" max="24" width="12" bestFit="1" customWidth="1"/>
    <col min="27" max="27" width="12.5546875" bestFit="1" customWidth="1"/>
    <col min="28" max="28" width="16.33203125" bestFit="1" customWidth="1"/>
    <col min="29" max="29" width="12.88671875" bestFit="1" customWidth="1"/>
    <col min="30" max="30" width="18.6640625" bestFit="1" customWidth="1"/>
    <col min="31" max="31" width="13.88671875" bestFit="1" customWidth="1"/>
    <col min="32" max="32" width="16.109375" bestFit="1" customWidth="1"/>
    <col min="33" max="33" width="14.5546875" bestFit="1" customWidth="1"/>
  </cols>
  <sheetData>
    <row r="1" spans="1:24" ht="20.399999999999999" x14ac:dyDescent="0.35">
      <c r="A1" s="90" t="s">
        <v>92</v>
      </c>
      <c r="B1" s="90"/>
    </row>
    <row r="2" spans="1:24" ht="13.8" x14ac:dyDescent="0.25">
      <c r="A2" s="21"/>
      <c r="B2" s="189"/>
      <c r="C2" s="63" t="s">
        <v>38</v>
      </c>
      <c r="D2" s="16"/>
      <c r="E2" s="16"/>
      <c r="F2" s="16"/>
      <c r="G2" s="16"/>
      <c r="H2" s="16"/>
      <c r="I2" s="16"/>
      <c r="J2" s="16"/>
      <c r="K2" s="17"/>
      <c r="L2" s="484"/>
      <c r="M2" s="484"/>
      <c r="N2" s="17"/>
      <c r="W2" t="s">
        <v>82</v>
      </c>
      <c r="X2" t="s">
        <v>83</v>
      </c>
    </row>
    <row r="3" spans="1:24" ht="13.8" x14ac:dyDescent="0.25">
      <c r="A3" s="62" t="s">
        <v>39</v>
      </c>
      <c r="B3" s="193" t="s">
        <v>119</v>
      </c>
      <c r="C3" s="18" t="s">
        <v>0</v>
      </c>
      <c r="D3" s="19" t="s">
        <v>6</v>
      </c>
      <c r="E3" s="19" t="s">
        <v>9</v>
      </c>
      <c r="F3" s="19" t="s">
        <v>617</v>
      </c>
      <c r="G3" s="19" t="s">
        <v>74</v>
      </c>
      <c r="H3" s="19" t="s">
        <v>10</v>
      </c>
      <c r="I3" s="19" t="s">
        <v>7</v>
      </c>
      <c r="J3" s="19" t="s">
        <v>325</v>
      </c>
      <c r="K3" s="19" t="s">
        <v>190</v>
      </c>
      <c r="L3" s="485" t="s">
        <v>384</v>
      </c>
      <c r="M3" s="485" t="s">
        <v>487</v>
      </c>
      <c r="N3" s="20" t="s">
        <v>526</v>
      </c>
      <c r="P3" s="22" t="s">
        <v>40</v>
      </c>
      <c r="Q3" s="22"/>
      <c r="U3" t="s">
        <v>77</v>
      </c>
      <c r="W3">
        <v>0.96323267464099116</v>
      </c>
      <c r="X3">
        <v>0.99181421821364457</v>
      </c>
    </row>
    <row r="4" spans="1:24" x14ac:dyDescent="0.25">
      <c r="A4" s="190">
        <v>36192</v>
      </c>
      <c r="B4" s="31">
        <f>C4</f>
        <v>0.98497430320438317</v>
      </c>
      <c r="C4" s="29">
        <v>0.98497430320438317</v>
      </c>
      <c r="D4" s="29">
        <v>0.995</v>
      </c>
      <c r="E4" s="29">
        <v>0.69366952402479531</v>
      </c>
      <c r="F4" s="29"/>
      <c r="G4" s="29">
        <v>0.98410764751845092</v>
      </c>
      <c r="H4" s="29">
        <v>0.96323267464099116</v>
      </c>
      <c r="I4" s="29">
        <v>0.90577586047143255</v>
      </c>
      <c r="J4" s="29">
        <v>0.99250000000000005</v>
      </c>
      <c r="K4" s="29">
        <v>0.98</v>
      </c>
      <c r="L4" s="31">
        <v>0.90577586047143255</v>
      </c>
      <c r="M4" s="31">
        <v>1.0049999999999999</v>
      </c>
      <c r="N4" s="30">
        <v>0.99</v>
      </c>
      <c r="P4" s="23">
        <f>A4</f>
        <v>36192</v>
      </c>
      <c r="Q4" s="24">
        <v>2</v>
      </c>
      <c r="U4" t="s">
        <v>78</v>
      </c>
      <c r="W4">
        <v>0.90577586047143255</v>
      </c>
      <c r="X4">
        <v>0.98042074975743199</v>
      </c>
    </row>
    <row r="5" spans="1:24" x14ac:dyDescent="0.25">
      <c r="A5" s="191">
        <v>36220</v>
      </c>
      <c r="B5" s="31">
        <f t="shared" ref="B5:B68" si="0">C5</f>
        <v>0.98497430320438317</v>
      </c>
      <c r="C5" s="31">
        <v>0.98497430320438317</v>
      </c>
      <c r="D5" s="31">
        <v>0.995</v>
      </c>
      <c r="E5" s="31">
        <v>0.69366952402479531</v>
      </c>
      <c r="F5" s="31"/>
      <c r="G5" s="31">
        <v>0.98410764751845092</v>
      </c>
      <c r="H5" s="31">
        <v>0.96323267464099116</v>
      </c>
      <c r="I5" s="31">
        <v>0.90577586047143255</v>
      </c>
      <c r="J5" s="31">
        <v>0.99250000000000005</v>
      </c>
      <c r="K5" s="31">
        <v>0.98</v>
      </c>
      <c r="L5" s="31">
        <v>0.90577586047143255</v>
      </c>
      <c r="M5" s="31">
        <v>1.0049999999999999</v>
      </c>
      <c r="N5" s="32">
        <v>0.99</v>
      </c>
      <c r="P5" s="25">
        <f t="shared" ref="P5:P68" si="1">A5</f>
        <v>36220</v>
      </c>
      <c r="Q5" s="26">
        <f>Q4+1</f>
        <v>3</v>
      </c>
      <c r="U5" t="s">
        <v>79</v>
      </c>
      <c r="W5">
        <v>0.69366952402479531</v>
      </c>
      <c r="X5">
        <v>0.61248355663804033</v>
      </c>
    </row>
    <row r="6" spans="1:24" x14ac:dyDescent="0.25">
      <c r="A6" s="191">
        <v>36251</v>
      </c>
      <c r="B6" s="31">
        <f t="shared" si="0"/>
        <v>0.99830915684013177</v>
      </c>
      <c r="C6" s="31">
        <v>0.99830915684013177</v>
      </c>
      <c r="D6" s="31">
        <v>0.995</v>
      </c>
      <c r="E6" s="31">
        <v>0.61248355663804033</v>
      </c>
      <c r="F6" s="31"/>
      <c r="G6" s="31">
        <v>0.99407144019191562</v>
      </c>
      <c r="H6" s="31">
        <v>0.99181421821364457</v>
      </c>
      <c r="I6" s="31">
        <v>0.98042074975743199</v>
      </c>
      <c r="J6" s="31">
        <v>0.99250000000000005</v>
      </c>
      <c r="K6" s="31">
        <v>0.98</v>
      </c>
      <c r="L6" s="31">
        <v>0.98042074975743199</v>
      </c>
      <c r="M6" s="31">
        <v>1.0049999999999999</v>
      </c>
      <c r="N6" s="32">
        <v>0.99</v>
      </c>
      <c r="P6" s="25">
        <f t="shared" si="1"/>
        <v>36251</v>
      </c>
      <c r="Q6" s="26">
        <f t="shared" ref="Q6:Q69" si="2">Q5+1</f>
        <v>4</v>
      </c>
      <c r="U6" t="s">
        <v>80</v>
      </c>
      <c r="W6">
        <v>0.97495865028329376</v>
      </c>
      <c r="X6">
        <v>0.99320170056155865</v>
      </c>
    </row>
    <row r="7" spans="1:24" x14ac:dyDescent="0.25">
      <c r="A7" s="191">
        <v>36281</v>
      </c>
      <c r="B7" s="31">
        <f t="shared" si="0"/>
        <v>0.99830915684013177</v>
      </c>
      <c r="C7" s="31">
        <v>0.99830915684013177</v>
      </c>
      <c r="D7" s="31">
        <v>0.995</v>
      </c>
      <c r="E7" s="31">
        <v>0.61248355663804033</v>
      </c>
      <c r="F7" s="31"/>
      <c r="G7" s="31">
        <v>0.99407144019191562</v>
      </c>
      <c r="H7" s="31">
        <v>0.99181421821364457</v>
      </c>
      <c r="I7" s="31">
        <v>0.98042074975743199</v>
      </c>
      <c r="J7" s="31">
        <v>0.99250000000000005</v>
      </c>
      <c r="K7" s="31">
        <v>0.98</v>
      </c>
      <c r="L7" s="31">
        <v>0.98042074975743199</v>
      </c>
      <c r="M7" s="31">
        <v>1.0049999999999999</v>
      </c>
      <c r="N7" s="32">
        <v>0.99</v>
      </c>
      <c r="P7" s="25">
        <f t="shared" si="1"/>
        <v>36281</v>
      </c>
      <c r="Q7" s="26">
        <f t="shared" si="2"/>
        <v>5</v>
      </c>
      <c r="U7" t="s">
        <v>81</v>
      </c>
      <c r="W7">
        <v>0.98410764751845092</v>
      </c>
      <c r="X7">
        <v>0.99407144019191562</v>
      </c>
    </row>
    <row r="8" spans="1:24" x14ac:dyDescent="0.25">
      <c r="A8" s="191">
        <v>36312</v>
      </c>
      <c r="B8" s="31">
        <f t="shared" si="0"/>
        <v>0.99830915684013177</v>
      </c>
      <c r="C8" s="31">
        <v>0.99830915684013177</v>
      </c>
      <c r="D8" s="31">
        <v>0.995</v>
      </c>
      <c r="E8" s="31">
        <v>0.61248355663804033</v>
      </c>
      <c r="F8" s="31"/>
      <c r="G8" s="31">
        <v>0.99407144019191562</v>
      </c>
      <c r="H8" s="31">
        <v>0.99181421821364457</v>
      </c>
      <c r="I8" s="31">
        <v>0.98042074975743199</v>
      </c>
      <c r="J8" s="31">
        <v>0.99250000000000005</v>
      </c>
      <c r="K8" s="31">
        <v>0.98</v>
      </c>
      <c r="L8" s="31">
        <v>0.98042074975743199</v>
      </c>
      <c r="M8" s="31">
        <v>1.0049999999999999</v>
      </c>
      <c r="N8" s="32">
        <v>0.99</v>
      </c>
      <c r="P8" s="25">
        <f t="shared" si="1"/>
        <v>36312</v>
      </c>
      <c r="Q8" s="26">
        <f t="shared" si="2"/>
        <v>6</v>
      </c>
      <c r="U8" t="s">
        <v>75</v>
      </c>
      <c r="W8">
        <v>0.98497430320438317</v>
      </c>
      <c r="X8">
        <v>0.99830915684013177</v>
      </c>
    </row>
    <row r="9" spans="1:24" x14ac:dyDescent="0.25">
      <c r="A9" s="191">
        <v>36342</v>
      </c>
      <c r="B9" s="31">
        <f t="shared" si="0"/>
        <v>0.99830915684013177</v>
      </c>
      <c r="C9" s="31">
        <v>0.99830915684013177</v>
      </c>
      <c r="D9" s="31">
        <v>0.995</v>
      </c>
      <c r="E9" s="31">
        <v>0.61248355663804033</v>
      </c>
      <c r="F9" s="31"/>
      <c r="G9" s="31">
        <v>0.99407144019191562</v>
      </c>
      <c r="H9" s="31">
        <v>0.99181421821364457</v>
      </c>
      <c r="I9" s="31">
        <v>0.98042074975743199</v>
      </c>
      <c r="J9" s="31">
        <v>0.99250000000000005</v>
      </c>
      <c r="K9" s="31">
        <v>0.98</v>
      </c>
      <c r="L9" s="31">
        <v>0.98042074975743199</v>
      </c>
      <c r="M9" s="31">
        <v>1.0049999999999999</v>
      </c>
      <c r="N9" s="32">
        <v>0.99</v>
      </c>
      <c r="P9" s="25">
        <f t="shared" si="1"/>
        <v>36342</v>
      </c>
      <c r="Q9" s="26">
        <f t="shared" si="2"/>
        <v>7</v>
      </c>
      <c r="U9" t="s">
        <v>76</v>
      </c>
      <c r="W9">
        <v>0.91283172650622291</v>
      </c>
      <c r="X9">
        <v>0.97030693053422312</v>
      </c>
    </row>
    <row r="10" spans="1:24" x14ac:dyDescent="0.25">
      <c r="A10" s="191">
        <v>36373</v>
      </c>
      <c r="B10" s="31">
        <f t="shared" si="0"/>
        <v>0.99830915684013177</v>
      </c>
      <c r="C10" s="31">
        <v>0.99830915684013177</v>
      </c>
      <c r="D10" s="31">
        <v>0.995</v>
      </c>
      <c r="E10" s="31">
        <v>0.61248355663804033</v>
      </c>
      <c r="F10" s="31"/>
      <c r="G10" s="31">
        <v>0.99407144019191562</v>
      </c>
      <c r="H10" s="31">
        <v>0.99181421821364457</v>
      </c>
      <c r="I10" s="31">
        <v>0.98042074975743199</v>
      </c>
      <c r="J10" s="31">
        <v>0.99250000000000005</v>
      </c>
      <c r="K10" s="31">
        <v>0.98</v>
      </c>
      <c r="L10" s="31">
        <v>0.98042074975743199</v>
      </c>
      <c r="M10" s="31">
        <v>1.0049999999999999</v>
      </c>
      <c r="N10" s="32">
        <v>0.99</v>
      </c>
      <c r="P10" s="25">
        <f t="shared" si="1"/>
        <v>36373</v>
      </c>
      <c r="Q10" s="26">
        <f t="shared" si="2"/>
        <v>8</v>
      </c>
    </row>
    <row r="11" spans="1:24" x14ac:dyDescent="0.25">
      <c r="A11" s="191">
        <v>36404</v>
      </c>
      <c r="B11" s="31">
        <f t="shared" si="0"/>
        <v>0.99830915684013177</v>
      </c>
      <c r="C11" s="31">
        <v>0.99830915684013177</v>
      </c>
      <c r="D11" s="31">
        <v>0.995</v>
      </c>
      <c r="E11" s="31">
        <v>0.61248355663804033</v>
      </c>
      <c r="F11" s="31"/>
      <c r="G11" s="31">
        <v>0.99407144019191562</v>
      </c>
      <c r="H11" s="31">
        <v>0.99181421821364457</v>
      </c>
      <c r="I11" s="31">
        <v>0.98042074975743199</v>
      </c>
      <c r="J11" s="31">
        <v>0.99250000000000005</v>
      </c>
      <c r="K11" s="31">
        <v>0.98</v>
      </c>
      <c r="L11" s="31">
        <v>0.98042074975743199</v>
      </c>
      <c r="M11" s="31">
        <v>1.0049999999999999</v>
      </c>
      <c r="N11" s="32">
        <v>0.99</v>
      </c>
      <c r="P11" s="25">
        <f t="shared" si="1"/>
        <v>36404</v>
      </c>
      <c r="Q11" s="26">
        <f t="shared" si="2"/>
        <v>9</v>
      </c>
    </row>
    <row r="12" spans="1:24" x14ac:dyDescent="0.25">
      <c r="A12" s="191">
        <v>36434</v>
      </c>
      <c r="B12" s="31">
        <f t="shared" si="0"/>
        <v>0.99830915684013177</v>
      </c>
      <c r="C12" s="31">
        <v>0.99830915684013177</v>
      </c>
      <c r="D12" s="31">
        <v>0.995</v>
      </c>
      <c r="E12" s="31">
        <v>0.61248355663804033</v>
      </c>
      <c r="F12" s="31"/>
      <c r="G12" s="31">
        <v>0.99407144019191562</v>
      </c>
      <c r="H12" s="31">
        <v>0.99181421821364457</v>
      </c>
      <c r="I12" s="31">
        <v>0.98042074975743199</v>
      </c>
      <c r="J12" s="31">
        <v>0.99250000000000005</v>
      </c>
      <c r="K12" s="31">
        <v>0.98</v>
      </c>
      <c r="L12" s="31">
        <v>0.98042074975743199</v>
      </c>
      <c r="M12" s="31">
        <v>1.0049999999999999</v>
      </c>
      <c r="N12" s="32">
        <v>0.99</v>
      </c>
      <c r="P12" s="25">
        <f t="shared" si="1"/>
        <v>36434</v>
      </c>
      <c r="Q12" s="26">
        <f t="shared" si="2"/>
        <v>10</v>
      </c>
    </row>
    <row r="13" spans="1:24" x14ac:dyDescent="0.25">
      <c r="A13" s="191">
        <v>36465</v>
      </c>
      <c r="B13" s="31">
        <f t="shared" si="0"/>
        <v>0.98497430320438317</v>
      </c>
      <c r="C13" s="31">
        <v>0.98497430320438317</v>
      </c>
      <c r="D13" s="31">
        <v>0.995</v>
      </c>
      <c r="E13" s="31">
        <v>0.93500000000000005</v>
      </c>
      <c r="F13" s="31"/>
      <c r="G13" s="31">
        <v>0.94198999999999999</v>
      </c>
      <c r="H13" s="31">
        <v>0.96323267464099116</v>
      </c>
      <c r="I13" s="31">
        <v>0.90577586047143255</v>
      </c>
      <c r="J13" s="31">
        <v>0.99250000000000005</v>
      </c>
      <c r="K13" s="31">
        <v>0.98</v>
      </c>
      <c r="L13" s="31">
        <v>0.90577586047143255</v>
      </c>
      <c r="M13" s="31">
        <v>1.0049999999999999</v>
      </c>
      <c r="N13" s="32">
        <v>0.99</v>
      </c>
      <c r="P13" s="25">
        <f t="shared" si="1"/>
        <v>36465</v>
      </c>
      <c r="Q13" s="26">
        <f t="shared" si="2"/>
        <v>11</v>
      </c>
    </row>
    <row r="14" spans="1:24" x14ac:dyDescent="0.25">
      <c r="A14" s="191">
        <v>36495</v>
      </c>
      <c r="B14" s="31">
        <f t="shared" si="0"/>
        <v>0.98497430320438317</v>
      </c>
      <c r="C14" s="31">
        <v>0.98497430320438317</v>
      </c>
      <c r="D14" s="31">
        <v>0.995</v>
      </c>
      <c r="E14" s="31">
        <v>0.93500000000000005</v>
      </c>
      <c r="F14" s="31"/>
      <c r="G14" s="31">
        <v>0.98440000000000005</v>
      </c>
      <c r="H14" s="31">
        <v>0.96323267464099116</v>
      </c>
      <c r="I14" s="31">
        <v>0.90577586047143255</v>
      </c>
      <c r="J14" s="31">
        <v>0.99250000000000005</v>
      </c>
      <c r="K14" s="31">
        <v>0.98</v>
      </c>
      <c r="L14" s="31">
        <v>0.90577586047143255</v>
      </c>
      <c r="M14" s="31">
        <v>1.0049999999999999</v>
      </c>
      <c r="N14" s="32">
        <v>0.99</v>
      </c>
      <c r="P14" s="25">
        <f t="shared" si="1"/>
        <v>36495</v>
      </c>
      <c r="Q14" s="26">
        <f t="shared" si="2"/>
        <v>12</v>
      </c>
    </row>
    <row r="15" spans="1:24" x14ac:dyDescent="0.25">
      <c r="A15" s="191">
        <v>36526</v>
      </c>
      <c r="B15" s="31">
        <f t="shared" si="0"/>
        <v>0.98497430320438317</v>
      </c>
      <c r="C15" s="31">
        <v>0.98497430320438317</v>
      </c>
      <c r="D15" s="31">
        <v>0.995</v>
      </c>
      <c r="E15" s="31">
        <v>0.93500000000000005</v>
      </c>
      <c r="F15" s="31"/>
      <c r="G15" s="31">
        <v>0.98440000000000005</v>
      </c>
      <c r="H15" s="31">
        <v>0.96323267464099116</v>
      </c>
      <c r="I15" s="31">
        <v>0.90577586047143255</v>
      </c>
      <c r="J15" s="31">
        <v>0.99250000000000005</v>
      </c>
      <c r="K15" s="31">
        <v>0.98</v>
      </c>
      <c r="L15" s="31">
        <v>0.90577586047143255</v>
      </c>
      <c r="M15" s="31">
        <v>1.0049999999999999</v>
      </c>
      <c r="N15" s="32">
        <v>0.99</v>
      </c>
      <c r="P15" s="25">
        <f t="shared" si="1"/>
        <v>36526</v>
      </c>
      <c r="Q15" s="26">
        <f t="shared" si="2"/>
        <v>13</v>
      </c>
    </row>
    <row r="16" spans="1:24" x14ac:dyDescent="0.25">
      <c r="A16" s="191">
        <v>36557</v>
      </c>
      <c r="B16" s="31">
        <f t="shared" si="0"/>
        <v>0.98497430320438317</v>
      </c>
      <c r="C16" s="31">
        <v>0.98497430320438317</v>
      </c>
      <c r="D16" s="31">
        <v>0.995</v>
      </c>
      <c r="E16" s="31">
        <v>0.93500000000000005</v>
      </c>
      <c r="F16" s="31"/>
      <c r="G16" s="31">
        <v>0.98440000000000005</v>
      </c>
      <c r="H16" s="31">
        <v>0.96323267464099116</v>
      </c>
      <c r="I16" s="31">
        <v>0.90577586047143255</v>
      </c>
      <c r="J16" s="31">
        <v>0.99250000000000005</v>
      </c>
      <c r="K16" s="31">
        <v>0.98</v>
      </c>
      <c r="L16" s="31">
        <v>0.90577586047143255</v>
      </c>
      <c r="M16" s="31">
        <v>1.0049999999999999</v>
      </c>
      <c r="N16" s="32">
        <v>0.99</v>
      </c>
      <c r="P16" s="25">
        <f t="shared" si="1"/>
        <v>36557</v>
      </c>
      <c r="Q16" s="26">
        <f t="shared" si="2"/>
        <v>14</v>
      </c>
    </row>
    <row r="17" spans="1:17" x14ac:dyDescent="0.25">
      <c r="A17" s="191">
        <v>36586</v>
      </c>
      <c r="B17" s="31">
        <f t="shared" si="0"/>
        <v>0.98497430320438317</v>
      </c>
      <c r="C17" s="31">
        <v>0.98497430320438317</v>
      </c>
      <c r="D17" s="31">
        <v>0.995</v>
      </c>
      <c r="E17" s="31">
        <v>0.93500000000000005</v>
      </c>
      <c r="F17" s="31"/>
      <c r="G17" s="31">
        <v>0.98440000000000005</v>
      </c>
      <c r="H17" s="31">
        <v>0.96323267464099116</v>
      </c>
      <c r="I17" s="31">
        <v>0.2</v>
      </c>
      <c r="J17" s="31">
        <v>0.99250000000000005</v>
      </c>
      <c r="K17" s="31">
        <v>0.98</v>
      </c>
      <c r="L17" s="31">
        <v>0.2</v>
      </c>
      <c r="M17" s="31">
        <v>1.0049999999999999</v>
      </c>
      <c r="N17" s="32">
        <v>0.99</v>
      </c>
      <c r="P17" s="25">
        <f t="shared" si="1"/>
        <v>36586</v>
      </c>
      <c r="Q17" s="26">
        <f t="shared" si="2"/>
        <v>15</v>
      </c>
    </row>
    <row r="18" spans="1:17" x14ac:dyDescent="0.25">
      <c r="A18" s="191">
        <v>36617</v>
      </c>
      <c r="B18" s="139">
        <f t="shared" si="0"/>
        <v>0.99830915684013177</v>
      </c>
      <c r="C18" s="139">
        <v>0.99830915684013177</v>
      </c>
      <c r="D18" s="139">
        <v>0.995</v>
      </c>
      <c r="E18" s="139">
        <v>0.61248355663804033</v>
      </c>
      <c r="F18" s="139">
        <v>0.61248355663804033</v>
      </c>
      <c r="G18" s="139">
        <v>0.99407144019191562</v>
      </c>
      <c r="H18" s="139">
        <v>0.995</v>
      </c>
      <c r="I18" s="139">
        <v>0.96379999999999999</v>
      </c>
      <c r="J18" s="139">
        <v>0.99250000000000005</v>
      </c>
      <c r="K18" s="139">
        <v>0.98</v>
      </c>
      <c r="L18" s="139">
        <v>0.98379000000000005</v>
      </c>
      <c r="M18" s="139">
        <v>1.0049999999999999</v>
      </c>
      <c r="N18" s="139">
        <v>0.99</v>
      </c>
      <c r="P18" s="25">
        <f t="shared" si="1"/>
        <v>36617</v>
      </c>
      <c r="Q18" s="26">
        <f t="shared" si="2"/>
        <v>16</v>
      </c>
    </row>
    <row r="19" spans="1:17" x14ac:dyDescent="0.25">
      <c r="A19" s="191">
        <v>36647</v>
      </c>
      <c r="B19" s="139">
        <f t="shared" si="0"/>
        <v>0.99830915684013177</v>
      </c>
      <c r="C19" s="139">
        <v>0.99830915684013177</v>
      </c>
      <c r="D19" s="139">
        <v>0.995</v>
      </c>
      <c r="E19" s="139">
        <v>0.96</v>
      </c>
      <c r="F19" s="139">
        <v>0.96</v>
      </c>
      <c r="G19" s="139">
        <v>0.99407144019191562</v>
      </c>
      <c r="H19" s="139">
        <v>0.995</v>
      </c>
      <c r="I19" s="139">
        <v>0.99</v>
      </c>
      <c r="J19" s="139">
        <v>0.99250000000000005</v>
      </c>
      <c r="K19" s="139">
        <v>0.98</v>
      </c>
      <c r="L19" s="139">
        <v>0.99</v>
      </c>
      <c r="M19" s="139">
        <v>1.0049999999999999</v>
      </c>
      <c r="N19" s="139">
        <v>0.99</v>
      </c>
      <c r="P19" s="25">
        <f t="shared" si="1"/>
        <v>36647</v>
      </c>
      <c r="Q19" s="26">
        <f t="shared" si="2"/>
        <v>17</v>
      </c>
    </row>
    <row r="20" spans="1:17" x14ac:dyDescent="0.25">
      <c r="A20" s="191">
        <v>36678</v>
      </c>
      <c r="B20" s="139">
        <f t="shared" si="0"/>
        <v>0.99830915684013177</v>
      </c>
      <c r="C20" s="139">
        <v>0.99830915684013177</v>
      </c>
      <c r="D20" s="139">
        <v>0.995</v>
      </c>
      <c r="E20" s="139">
        <v>0.96</v>
      </c>
      <c r="F20" s="139">
        <v>0.96</v>
      </c>
      <c r="G20" s="139">
        <v>0.99407144019191562</v>
      </c>
      <c r="H20" s="139">
        <v>0.995</v>
      </c>
      <c r="I20" s="139">
        <v>0.99250000000000005</v>
      </c>
      <c r="J20" s="139">
        <v>0.99250000000000005</v>
      </c>
      <c r="K20" s="139">
        <v>0.98</v>
      </c>
      <c r="L20" s="139">
        <v>0.99250000000000005</v>
      </c>
      <c r="M20" s="139">
        <v>1.0049999999999999</v>
      </c>
      <c r="N20" s="139">
        <v>0.99</v>
      </c>
      <c r="P20" s="25">
        <f t="shared" si="1"/>
        <v>36678</v>
      </c>
      <c r="Q20" s="26">
        <f t="shared" si="2"/>
        <v>18</v>
      </c>
    </row>
    <row r="21" spans="1:17" x14ac:dyDescent="0.25">
      <c r="A21" s="191">
        <v>36708</v>
      </c>
      <c r="B21" s="139">
        <f t="shared" si="0"/>
        <v>0.99830915684013177</v>
      </c>
      <c r="C21" s="139">
        <v>0.99830915684013177</v>
      </c>
      <c r="D21" s="139">
        <v>0.995</v>
      </c>
      <c r="E21" s="139">
        <v>0.96</v>
      </c>
      <c r="F21" s="139">
        <v>0.96</v>
      </c>
      <c r="G21" s="139">
        <v>0.99407144019191562</v>
      </c>
      <c r="H21" s="139">
        <v>0.995</v>
      </c>
      <c r="I21" s="139">
        <v>0.99250000000000005</v>
      </c>
      <c r="J21" s="139">
        <v>0.99250000000000005</v>
      </c>
      <c r="K21" s="139">
        <v>0.97</v>
      </c>
      <c r="L21" s="139">
        <v>0.99250000000000005</v>
      </c>
      <c r="M21" s="139">
        <v>1.0049999999999999</v>
      </c>
      <c r="N21" s="139">
        <v>0.99</v>
      </c>
      <c r="P21" s="25">
        <f t="shared" si="1"/>
        <v>36708</v>
      </c>
      <c r="Q21" s="26">
        <f t="shared" si="2"/>
        <v>19</v>
      </c>
    </row>
    <row r="22" spans="1:17" x14ac:dyDescent="0.25">
      <c r="A22" s="191">
        <v>36739</v>
      </c>
      <c r="B22" s="139">
        <f t="shared" si="0"/>
        <v>0.99830915684013177</v>
      </c>
      <c r="C22" s="139">
        <v>0.99830915684013177</v>
      </c>
      <c r="D22" s="139">
        <v>0.995</v>
      </c>
      <c r="E22" s="139">
        <v>0.96</v>
      </c>
      <c r="F22" s="139">
        <v>0.96</v>
      </c>
      <c r="G22" s="139">
        <v>0.99407144019191562</v>
      </c>
      <c r="H22" s="139">
        <v>0.995</v>
      </c>
      <c r="I22" s="139">
        <v>0.99250000000000005</v>
      </c>
      <c r="J22" s="139">
        <v>0.99250000000000005</v>
      </c>
      <c r="K22" s="139">
        <v>0.97</v>
      </c>
      <c r="L22" s="139">
        <v>0.99250000000000005</v>
      </c>
      <c r="M22" s="139">
        <v>1.0049999999999999</v>
      </c>
      <c r="N22" s="139">
        <v>0.99</v>
      </c>
      <c r="P22" s="25">
        <f t="shared" si="1"/>
        <v>36739</v>
      </c>
      <c r="Q22" s="26">
        <f t="shared" si="2"/>
        <v>20</v>
      </c>
    </row>
    <row r="23" spans="1:17" x14ac:dyDescent="0.25">
      <c r="A23" s="191">
        <v>36770</v>
      </c>
      <c r="B23" s="139">
        <f t="shared" si="0"/>
        <v>0.99830915684013177</v>
      </c>
      <c r="C23" s="139">
        <v>0.99830915684013177</v>
      </c>
      <c r="D23" s="139">
        <v>0.995</v>
      </c>
      <c r="E23" s="139">
        <v>0.84</v>
      </c>
      <c r="F23" s="139">
        <v>0.84</v>
      </c>
      <c r="G23" s="139">
        <v>0.99407144019191562</v>
      </c>
      <c r="H23" s="139">
        <v>0.995</v>
      </c>
      <c r="I23" s="139">
        <v>0.99250000000000005</v>
      </c>
      <c r="J23" s="139">
        <v>0.99750000000000005</v>
      </c>
      <c r="K23" s="139">
        <v>0.83</v>
      </c>
      <c r="L23" s="139">
        <v>0.99250000000000005</v>
      </c>
      <c r="M23" s="139">
        <v>1.0049999999999999</v>
      </c>
      <c r="N23" s="139">
        <v>0.99</v>
      </c>
      <c r="P23" s="25">
        <f t="shared" si="1"/>
        <v>36770</v>
      </c>
      <c r="Q23" s="26">
        <f t="shared" si="2"/>
        <v>21</v>
      </c>
    </row>
    <row r="24" spans="1:17" x14ac:dyDescent="0.25">
      <c r="A24" s="191">
        <v>36800</v>
      </c>
      <c r="B24" s="139">
        <f t="shared" si="0"/>
        <v>0.99830915684013177</v>
      </c>
      <c r="C24" s="139">
        <v>0.99830915684013177</v>
      </c>
      <c r="D24" s="139">
        <v>0.995</v>
      </c>
      <c r="E24" s="139">
        <v>0.84</v>
      </c>
      <c r="F24" s="139">
        <v>0.84</v>
      </c>
      <c r="G24" s="139">
        <v>0.99407144019191562</v>
      </c>
      <c r="H24" s="139">
        <v>0.995</v>
      </c>
      <c r="I24" s="139">
        <v>0.99250000000000005</v>
      </c>
      <c r="J24" s="139">
        <v>0.99750000000000005</v>
      </c>
      <c r="K24" s="139">
        <v>0.83</v>
      </c>
      <c r="L24" s="139">
        <v>0.99250000000000005</v>
      </c>
      <c r="M24" s="139">
        <v>1.0049999999999999</v>
      </c>
      <c r="N24" s="139">
        <v>0.99</v>
      </c>
      <c r="P24" s="25">
        <f t="shared" si="1"/>
        <v>36800</v>
      </c>
      <c r="Q24" s="26">
        <f t="shared" si="2"/>
        <v>22</v>
      </c>
    </row>
    <row r="25" spans="1:17" x14ac:dyDescent="0.25">
      <c r="A25" s="191">
        <v>36831</v>
      </c>
      <c r="B25" s="31">
        <f t="shared" si="0"/>
        <v>0.98497430320438317</v>
      </c>
      <c r="C25" s="31">
        <v>0.98497430320438317</v>
      </c>
      <c r="D25" s="31">
        <v>0.995</v>
      </c>
      <c r="E25" s="31">
        <v>0.93</v>
      </c>
      <c r="F25" s="31">
        <v>0.93</v>
      </c>
      <c r="G25" s="31">
        <v>0.997</v>
      </c>
      <c r="H25" s="31">
        <v>0.99</v>
      </c>
      <c r="I25" s="31">
        <v>0.89</v>
      </c>
      <c r="J25" s="31">
        <v>0.99750000000000005</v>
      </c>
      <c r="K25" s="31">
        <v>0.85</v>
      </c>
      <c r="L25" s="31">
        <v>0.99</v>
      </c>
      <c r="M25" s="31">
        <v>0.995</v>
      </c>
      <c r="N25" s="32">
        <v>0.995</v>
      </c>
      <c r="P25" s="25">
        <f t="shared" si="1"/>
        <v>36831</v>
      </c>
      <c r="Q25" s="26">
        <f t="shared" si="2"/>
        <v>23</v>
      </c>
    </row>
    <row r="26" spans="1:17" x14ac:dyDescent="0.25">
      <c r="A26" s="191">
        <v>36861</v>
      </c>
      <c r="B26" s="31">
        <f t="shared" si="0"/>
        <v>0.98497430320438317</v>
      </c>
      <c r="C26" s="31">
        <v>0.98497430320438317</v>
      </c>
      <c r="D26" s="31">
        <v>0.995</v>
      </c>
      <c r="E26" s="31">
        <v>0.93</v>
      </c>
      <c r="F26" s="31">
        <v>0.93</v>
      </c>
      <c r="G26" s="31">
        <v>0.997</v>
      </c>
      <c r="H26" s="31">
        <v>0.99</v>
      </c>
      <c r="I26" s="31">
        <v>0.83</v>
      </c>
      <c r="J26" s="31">
        <v>0.99750000000000005</v>
      </c>
      <c r="K26" s="31">
        <v>0.85</v>
      </c>
      <c r="L26" s="31">
        <v>0.99</v>
      </c>
      <c r="M26" s="31">
        <v>0.995</v>
      </c>
      <c r="N26" s="32">
        <v>0.995</v>
      </c>
      <c r="P26" s="25">
        <f t="shared" si="1"/>
        <v>36861</v>
      </c>
      <c r="Q26" s="26">
        <f t="shared" si="2"/>
        <v>24</v>
      </c>
    </row>
    <row r="27" spans="1:17" x14ac:dyDescent="0.25">
      <c r="A27" s="191">
        <v>36892</v>
      </c>
      <c r="B27" s="31">
        <f t="shared" si="0"/>
        <v>0.98497430320438317</v>
      </c>
      <c r="C27" s="31">
        <v>0.98497430320438317</v>
      </c>
      <c r="D27" s="31">
        <v>0.995</v>
      </c>
      <c r="E27" s="31">
        <v>0.93</v>
      </c>
      <c r="F27" s="31">
        <v>0.93</v>
      </c>
      <c r="G27" s="31">
        <v>0.997</v>
      </c>
      <c r="H27" s="31">
        <v>0.99</v>
      </c>
      <c r="I27" s="31">
        <v>0.83</v>
      </c>
      <c r="J27" s="31">
        <v>0.99750000000000005</v>
      </c>
      <c r="K27" s="31">
        <v>0.85</v>
      </c>
      <c r="L27" s="31">
        <v>0.99</v>
      </c>
      <c r="M27" s="31">
        <v>0.995</v>
      </c>
      <c r="N27" s="32">
        <v>0.995</v>
      </c>
      <c r="P27" s="25">
        <f t="shared" si="1"/>
        <v>36892</v>
      </c>
      <c r="Q27" s="26">
        <f t="shared" si="2"/>
        <v>25</v>
      </c>
    </row>
    <row r="28" spans="1:17" x14ac:dyDescent="0.25">
      <c r="A28" s="191">
        <v>36923</v>
      </c>
      <c r="B28" s="31">
        <f t="shared" si="0"/>
        <v>0.98497430320438317</v>
      </c>
      <c r="C28" s="31">
        <v>0.98497430320438317</v>
      </c>
      <c r="D28" s="31">
        <v>0.995</v>
      </c>
      <c r="E28" s="31">
        <v>0.93</v>
      </c>
      <c r="F28" s="31">
        <v>0.93</v>
      </c>
      <c r="G28" s="31">
        <v>0.997</v>
      </c>
      <c r="H28" s="31">
        <v>0.99</v>
      </c>
      <c r="I28" s="31">
        <v>0.83</v>
      </c>
      <c r="J28" s="31">
        <v>0.99750000000000005</v>
      </c>
      <c r="K28" s="31">
        <v>0.85</v>
      </c>
      <c r="L28" s="31">
        <v>0.99</v>
      </c>
      <c r="M28" s="31">
        <v>0.995</v>
      </c>
      <c r="N28" s="32">
        <v>0.995</v>
      </c>
      <c r="P28" s="25">
        <f t="shared" si="1"/>
        <v>36923</v>
      </c>
      <c r="Q28" s="26">
        <f t="shared" si="2"/>
        <v>26</v>
      </c>
    </row>
    <row r="29" spans="1:17" x14ac:dyDescent="0.25">
      <c r="A29" s="191">
        <v>36951</v>
      </c>
      <c r="B29" s="31">
        <f t="shared" si="0"/>
        <v>0.98497430320438317</v>
      </c>
      <c r="C29" s="31">
        <v>0.98497430320438317</v>
      </c>
      <c r="D29" s="31">
        <v>0.995</v>
      </c>
      <c r="E29" s="31">
        <v>0.93</v>
      </c>
      <c r="F29" s="31">
        <v>0.93</v>
      </c>
      <c r="G29" s="31">
        <v>0.997</v>
      </c>
      <c r="H29" s="31">
        <v>0.99</v>
      </c>
      <c r="I29" s="31">
        <v>0.83</v>
      </c>
      <c r="J29" s="31">
        <v>0.99750000000000005</v>
      </c>
      <c r="K29" s="31">
        <v>0.85</v>
      </c>
      <c r="L29" s="31">
        <v>0.99</v>
      </c>
      <c r="M29" s="31">
        <v>0.995</v>
      </c>
      <c r="N29" s="32">
        <v>0.995</v>
      </c>
      <c r="P29" s="25">
        <f t="shared" si="1"/>
        <v>36951</v>
      </c>
      <c r="Q29" s="26">
        <f t="shared" si="2"/>
        <v>27</v>
      </c>
    </row>
    <row r="30" spans="1:17" x14ac:dyDescent="0.25">
      <c r="A30" s="191">
        <v>36982</v>
      </c>
      <c r="B30" s="139">
        <f t="shared" si="0"/>
        <v>0.99830915684013177</v>
      </c>
      <c r="C30" s="139">
        <v>0.99830915684013177</v>
      </c>
      <c r="D30" s="139">
        <v>0.995</v>
      </c>
      <c r="E30" s="139">
        <v>0.96</v>
      </c>
      <c r="F30" s="139">
        <v>0.96</v>
      </c>
      <c r="G30" s="139">
        <v>0.99407144019191562</v>
      </c>
      <c r="H30" s="139">
        <v>0.99</v>
      </c>
      <c r="I30" s="139">
        <v>0.9738</v>
      </c>
      <c r="J30" s="139">
        <v>0.995</v>
      </c>
      <c r="K30" s="139">
        <v>0.88</v>
      </c>
      <c r="L30" s="139">
        <v>0.99</v>
      </c>
      <c r="M30" s="139">
        <v>1.0049999999999999</v>
      </c>
      <c r="N30" s="139">
        <v>0.99</v>
      </c>
      <c r="P30" s="25">
        <f t="shared" si="1"/>
        <v>36982</v>
      </c>
      <c r="Q30" s="26">
        <f t="shared" si="2"/>
        <v>28</v>
      </c>
    </row>
    <row r="31" spans="1:17" x14ac:dyDescent="0.25">
      <c r="A31" s="191">
        <v>37012</v>
      </c>
      <c r="B31" s="139">
        <f t="shared" si="0"/>
        <v>0.99830915684013177</v>
      </c>
      <c r="C31" s="139">
        <v>0.99830915684013177</v>
      </c>
      <c r="D31" s="139">
        <v>0.995</v>
      </c>
      <c r="E31" s="139">
        <v>0.96</v>
      </c>
      <c r="F31" s="139">
        <v>0.96</v>
      </c>
      <c r="G31" s="139">
        <v>0.99407144019191562</v>
      </c>
      <c r="H31" s="139">
        <v>0.99</v>
      </c>
      <c r="I31" s="139">
        <v>0.9738</v>
      </c>
      <c r="J31" s="139">
        <v>0.995</v>
      </c>
      <c r="K31" s="139">
        <v>0.88</v>
      </c>
      <c r="L31" s="139">
        <v>0.99</v>
      </c>
      <c r="M31" s="139">
        <v>1.0049999999999999</v>
      </c>
      <c r="N31" s="139">
        <v>0.99</v>
      </c>
      <c r="P31" s="25">
        <f t="shared" si="1"/>
        <v>37012</v>
      </c>
      <c r="Q31" s="26">
        <f t="shared" si="2"/>
        <v>29</v>
      </c>
    </row>
    <row r="32" spans="1:17" x14ac:dyDescent="0.25">
      <c r="A32" s="191">
        <v>37043</v>
      </c>
      <c r="B32" s="139">
        <f t="shared" si="0"/>
        <v>0.99830915684013177</v>
      </c>
      <c r="C32" s="139">
        <v>0.99830915684013177</v>
      </c>
      <c r="D32" s="139">
        <v>0.995</v>
      </c>
      <c r="E32" s="139">
        <v>0.96</v>
      </c>
      <c r="F32" s="139">
        <v>0.96</v>
      </c>
      <c r="G32" s="139">
        <v>0.99407144019191562</v>
      </c>
      <c r="H32" s="139">
        <v>0.99</v>
      </c>
      <c r="I32" s="139">
        <v>0.9738</v>
      </c>
      <c r="J32" s="139">
        <v>0.995</v>
      </c>
      <c r="K32" s="139">
        <v>0.88</v>
      </c>
      <c r="L32" s="139">
        <v>0.99</v>
      </c>
      <c r="M32" s="139">
        <v>1.0049999999999999</v>
      </c>
      <c r="N32" s="139">
        <v>0.99</v>
      </c>
      <c r="P32" s="25">
        <f t="shared" si="1"/>
        <v>37043</v>
      </c>
      <c r="Q32" s="26">
        <f t="shared" si="2"/>
        <v>30</v>
      </c>
    </row>
    <row r="33" spans="1:17" x14ac:dyDescent="0.25">
      <c r="A33" s="191">
        <v>37073</v>
      </c>
      <c r="B33" s="139">
        <f t="shared" si="0"/>
        <v>0.99830915684013177</v>
      </c>
      <c r="C33" s="139">
        <v>0.99830915684013177</v>
      </c>
      <c r="D33" s="139">
        <v>0.995</v>
      </c>
      <c r="E33" s="139">
        <v>0.96</v>
      </c>
      <c r="F33" s="139">
        <v>0.96</v>
      </c>
      <c r="G33" s="139">
        <v>0.99407144019191562</v>
      </c>
      <c r="H33" s="139">
        <v>0.99</v>
      </c>
      <c r="I33" s="139">
        <v>0.9738</v>
      </c>
      <c r="J33" s="139">
        <v>0.995</v>
      </c>
      <c r="K33" s="139">
        <v>0.88</v>
      </c>
      <c r="L33" s="139">
        <v>0.99</v>
      </c>
      <c r="M33" s="139">
        <v>1.0049999999999999</v>
      </c>
      <c r="N33" s="139">
        <v>0.99</v>
      </c>
      <c r="P33" s="25">
        <f t="shared" si="1"/>
        <v>37073</v>
      </c>
      <c r="Q33" s="26">
        <f t="shared" si="2"/>
        <v>31</v>
      </c>
    </row>
    <row r="34" spans="1:17" x14ac:dyDescent="0.25">
      <c r="A34" s="191">
        <v>37104</v>
      </c>
      <c r="B34" s="139">
        <f t="shared" si="0"/>
        <v>0.99830915684013177</v>
      </c>
      <c r="C34" s="139">
        <v>0.99830915684013177</v>
      </c>
      <c r="D34" s="139">
        <v>0.995</v>
      </c>
      <c r="E34" s="139">
        <v>0.96</v>
      </c>
      <c r="F34" s="139">
        <v>0.96</v>
      </c>
      <c r="G34" s="139">
        <v>0.99407144019191562</v>
      </c>
      <c r="H34" s="139">
        <v>0.99</v>
      </c>
      <c r="I34" s="139">
        <v>0.9738</v>
      </c>
      <c r="J34" s="139">
        <v>0.995</v>
      </c>
      <c r="K34" s="139">
        <v>0.88</v>
      </c>
      <c r="L34" s="139">
        <v>0.99</v>
      </c>
      <c r="M34" s="139">
        <v>1.0049999999999999</v>
      </c>
      <c r="N34" s="139">
        <v>0.99</v>
      </c>
      <c r="P34" s="25">
        <f t="shared" si="1"/>
        <v>37104</v>
      </c>
      <c r="Q34" s="26">
        <f t="shared" si="2"/>
        <v>32</v>
      </c>
    </row>
    <row r="35" spans="1:17" x14ac:dyDescent="0.25">
      <c r="A35" s="191">
        <v>37135</v>
      </c>
      <c r="B35" s="139">
        <f t="shared" si="0"/>
        <v>0.99830915684013177</v>
      </c>
      <c r="C35" s="139">
        <v>0.99830915684013177</v>
      </c>
      <c r="D35" s="139">
        <v>0.995</v>
      </c>
      <c r="E35" s="139">
        <v>0.96</v>
      </c>
      <c r="F35" s="139">
        <v>0.96</v>
      </c>
      <c r="G35" s="139">
        <v>0.99407144019191562</v>
      </c>
      <c r="H35" s="139">
        <v>0.99</v>
      </c>
      <c r="I35" s="139">
        <v>0.9738</v>
      </c>
      <c r="J35" s="139">
        <v>0.995</v>
      </c>
      <c r="K35" s="139">
        <v>0.88</v>
      </c>
      <c r="L35" s="139">
        <v>0.99</v>
      </c>
      <c r="M35" s="139">
        <v>1.0049999999999999</v>
      </c>
      <c r="N35" s="139">
        <v>0.99</v>
      </c>
      <c r="P35" s="25">
        <f t="shared" si="1"/>
        <v>37135</v>
      </c>
      <c r="Q35" s="26">
        <f t="shared" si="2"/>
        <v>33</v>
      </c>
    </row>
    <row r="36" spans="1:17" x14ac:dyDescent="0.25">
      <c r="A36" s="191">
        <v>37165</v>
      </c>
      <c r="B36" s="139">
        <f t="shared" si="0"/>
        <v>0.99830915684013177</v>
      </c>
      <c r="C36" s="139">
        <v>0.99830915684013177</v>
      </c>
      <c r="D36" s="139">
        <v>0.995</v>
      </c>
      <c r="E36" s="139">
        <v>0.96</v>
      </c>
      <c r="F36" s="139">
        <v>0.96</v>
      </c>
      <c r="G36" s="139">
        <v>0.99407144019191562</v>
      </c>
      <c r="H36" s="139">
        <v>0.99</v>
      </c>
      <c r="I36" s="139">
        <v>0.9738</v>
      </c>
      <c r="J36" s="139">
        <v>0.995</v>
      </c>
      <c r="K36" s="139">
        <v>0.88</v>
      </c>
      <c r="L36" s="139">
        <v>0.99</v>
      </c>
      <c r="M36" s="139">
        <v>1.0049999999999999</v>
      </c>
      <c r="N36" s="139">
        <v>0.99</v>
      </c>
      <c r="P36" s="25">
        <f t="shared" si="1"/>
        <v>37165</v>
      </c>
      <c r="Q36" s="26">
        <f t="shared" si="2"/>
        <v>34</v>
      </c>
    </row>
    <row r="37" spans="1:17" x14ac:dyDescent="0.25">
      <c r="A37" s="191">
        <v>37196</v>
      </c>
      <c r="B37" s="31">
        <f t="shared" si="0"/>
        <v>0.98497430320438317</v>
      </c>
      <c r="C37" s="31">
        <v>0.98497430320438317</v>
      </c>
      <c r="D37" s="31">
        <v>0.995</v>
      </c>
      <c r="E37" s="31">
        <v>0.96</v>
      </c>
      <c r="F37" s="31">
        <v>0.96</v>
      </c>
      <c r="G37" s="31">
        <v>0.98410764751845092</v>
      </c>
      <c r="H37" s="31">
        <v>0.99</v>
      </c>
      <c r="I37" s="31">
        <v>0.95</v>
      </c>
      <c r="J37" s="31">
        <v>0.995</v>
      </c>
      <c r="K37" s="31">
        <v>0.98</v>
      </c>
      <c r="L37" s="31">
        <v>0.99</v>
      </c>
      <c r="M37" s="31">
        <v>1.0049999999999999</v>
      </c>
      <c r="N37" s="32">
        <v>0.99</v>
      </c>
      <c r="P37" s="25">
        <f t="shared" si="1"/>
        <v>37196</v>
      </c>
      <c r="Q37" s="26">
        <f t="shared" si="2"/>
        <v>35</v>
      </c>
    </row>
    <row r="38" spans="1:17" x14ac:dyDescent="0.25">
      <c r="A38" s="191">
        <v>37226</v>
      </c>
      <c r="B38" s="31">
        <f t="shared" si="0"/>
        <v>0.98497430320438317</v>
      </c>
      <c r="C38" s="31">
        <v>0.98497430320438317</v>
      </c>
      <c r="D38" s="31">
        <v>0.995</v>
      </c>
      <c r="E38" s="31">
        <v>0.96</v>
      </c>
      <c r="F38" s="31">
        <v>0.96</v>
      </c>
      <c r="G38" s="31">
        <v>0.98410764751845092</v>
      </c>
      <c r="H38" s="31">
        <v>0.99</v>
      </c>
      <c r="I38" s="31">
        <v>0.95</v>
      </c>
      <c r="J38" s="31">
        <v>0.995</v>
      </c>
      <c r="K38" s="31">
        <v>0.98</v>
      </c>
      <c r="L38" s="31">
        <v>0.99</v>
      </c>
      <c r="M38" s="31">
        <v>1.0049999999999999</v>
      </c>
      <c r="N38" s="32">
        <v>0.99</v>
      </c>
      <c r="P38" s="25">
        <f t="shared" si="1"/>
        <v>37226</v>
      </c>
      <c r="Q38" s="26">
        <f t="shared" si="2"/>
        <v>36</v>
      </c>
    </row>
    <row r="39" spans="1:17" x14ac:dyDescent="0.25">
      <c r="A39" s="191">
        <v>37257</v>
      </c>
      <c r="B39" s="31">
        <f t="shared" si="0"/>
        <v>0.98497430320438317</v>
      </c>
      <c r="C39" s="31">
        <v>0.98497430320438317</v>
      </c>
      <c r="D39" s="31">
        <v>0.995</v>
      </c>
      <c r="E39" s="31">
        <v>0.96</v>
      </c>
      <c r="F39" s="31">
        <v>0.96</v>
      </c>
      <c r="G39" s="31">
        <v>0.98410764751845092</v>
      </c>
      <c r="H39" s="31">
        <v>0.99</v>
      </c>
      <c r="I39" s="31">
        <v>0.95</v>
      </c>
      <c r="J39" s="31">
        <v>0.995</v>
      </c>
      <c r="K39" s="31">
        <v>0.98</v>
      </c>
      <c r="L39" s="31">
        <v>0.99</v>
      </c>
      <c r="M39" s="31">
        <v>1.0049999999999999</v>
      </c>
      <c r="N39" s="32">
        <v>0.99</v>
      </c>
      <c r="P39" s="25">
        <f t="shared" si="1"/>
        <v>37257</v>
      </c>
      <c r="Q39" s="26">
        <f t="shared" si="2"/>
        <v>37</v>
      </c>
    </row>
    <row r="40" spans="1:17" x14ac:dyDescent="0.25">
      <c r="A40" s="191">
        <v>37288</v>
      </c>
      <c r="B40" s="31">
        <f t="shared" si="0"/>
        <v>0.98497430320438317</v>
      </c>
      <c r="C40" s="31">
        <v>0.98497430320438317</v>
      </c>
      <c r="D40" s="31">
        <v>0.995</v>
      </c>
      <c r="E40" s="31">
        <v>0.96</v>
      </c>
      <c r="F40" s="31">
        <v>0.96</v>
      </c>
      <c r="G40" s="31">
        <v>0.98410764751845092</v>
      </c>
      <c r="H40" s="31">
        <v>0.99</v>
      </c>
      <c r="I40" s="31">
        <v>0.95</v>
      </c>
      <c r="J40" s="31">
        <v>0.995</v>
      </c>
      <c r="K40" s="31">
        <v>0.98</v>
      </c>
      <c r="L40" s="31">
        <v>0.99</v>
      </c>
      <c r="M40" s="31">
        <v>1.0049999999999999</v>
      </c>
      <c r="N40" s="32">
        <v>0.99</v>
      </c>
      <c r="P40" s="25">
        <f t="shared" si="1"/>
        <v>37288</v>
      </c>
      <c r="Q40" s="26">
        <f t="shared" si="2"/>
        <v>38</v>
      </c>
    </row>
    <row r="41" spans="1:17" x14ac:dyDescent="0.25">
      <c r="A41" s="191">
        <v>37316</v>
      </c>
      <c r="B41" s="31">
        <f t="shared" si="0"/>
        <v>0.98497430320438317</v>
      </c>
      <c r="C41" s="31">
        <v>0.98497430320438317</v>
      </c>
      <c r="D41" s="31">
        <v>0.995</v>
      </c>
      <c r="E41" s="31">
        <v>0.96</v>
      </c>
      <c r="F41" s="31">
        <v>0.96</v>
      </c>
      <c r="G41" s="31">
        <v>0.98410764751845092</v>
      </c>
      <c r="H41" s="31">
        <v>0.99</v>
      </c>
      <c r="I41" s="31">
        <v>0.95</v>
      </c>
      <c r="J41" s="31">
        <v>0.995</v>
      </c>
      <c r="K41" s="31">
        <v>0.98</v>
      </c>
      <c r="L41" s="31">
        <v>0.99</v>
      </c>
      <c r="M41" s="31">
        <v>1.0049999999999999</v>
      </c>
      <c r="N41" s="32">
        <v>0.99</v>
      </c>
      <c r="P41" s="25">
        <f t="shared" si="1"/>
        <v>37316</v>
      </c>
      <c r="Q41" s="26">
        <f t="shared" si="2"/>
        <v>39</v>
      </c>
    </row>
    <row r="42" spans="1:17" x14ac:dyDescent="0.25">
      <c r="A42" s="191">
        <v>37347</v>
      </c>
      <c r="B42" s="139">
        <f t="shared" si="0"/>
        <v>0.99830915684013177</v>
      </c>
      <c r="C42" s="139">
        <v>0.99830915684013177</v>
      </c>
      <c r="D42" s="139">
        <v>0.995</v>
      </c>
      <c r="E42" s="139">
        <v>0.96</v>
      </c>
      <c r="F42" s="139">
        <v>0.96</v>
      </c>
      <c r="G42" s="139">
        <v>0.99407144019191562</v>
      </c>
      <c r="H42" s="139">
        <v>0.99</v>
      </c>
      <c r="I42" s="139">
        <v>0.98042074975743199</v>
      </c>
      <c r="J42" s="139">
        <v>0.995</v>
      </c>
      <c r="K42" s="139">
        <v>0.98</v>
      </c>
      <c r="L42" s="139">
        <v>0.99</v>
      </c>
      <c r="M42" s="139">
        <v>1.0049999999999999</v>
      </c>
      <c r="N42" s="139">
        <v>0.99</v>
      </c>
      <c r="P42" s="25">
        <f t="shared" si="1"/>
        <v>37347</v>
      </c>
      <c r="Q42" s="26">
        <f t="shared" si="2"/>
        <v>40</v>
      </c>
    </row>
    <row r="43" spans="1:17" x14ac:dyDescent="0.25">
      <c r="A43" s="191">
        <v>37377</v>
      </c>
      <c r="B43" s="139">
        <f t="shared" si="0"/>
        <v>0.99830915684013177</v>
      </c>
      <c r="C43" s="139">
        <v>0.99830915684013177</v>
      </c>
      <c r="D43" s="139">
        <v>0.995</v>
      </c>
      <c r="E43" s="139">
        <v>0.96</v>
      </c>
      <c r="F43" s="139">
        <v>0.96</v>
      </c>
      <c r="G43" s="139">
        <v>0.99407144019191562</v>
      </c>
      <c r="H43" s="139">
        <v>0.99</v>
      </c>
      <c r="I43" s="139">
        <v>0.98042074975743199</v>
      </c>
      <c r="J43" s="139">
        <v>0.995</v>
      </c>
      <c r="K43" s="139">
        <v>0.98</v>
      </c>
      <c r="L43" s="139">
        <v>0.99</v>
      </c>
      <c r="M43" s="139">
        <v>1.0049999999999999</v>
      </c>
      <c r="N43" s="139">
        <v>0.99</v>
      </c>
      <c r="P43" s="25">
        <f t="shared" si="1"/>
        <v>37377</v>
      </c>
      <c r="Q43" s="26">
        <f t="shared" si="2"/>
        <v>41</v>
      </c>
    </row>
    <row r="44" spans="1:17" x14ac:dyDescent="0.25">
      <c r="A44" s="191">
        <v>37408</v>
      </c>
      <c r="B44" s="139">
        <f t="shared" si="0"/>
        <v>0.99830915684013177</v>
      </c>
      <c r="C44" s="139">
        <v>0.99830915684013177</v>
      </c>
      <c r="D44" s="139">
        <v>0.995</v>
      </c>
      <c r="E44" s="139">
        <v>0.96</v>
      </c>
      <c r="F44" s="139">
        <v>0.96</v>
      </c>
      <c r="G44" s="139">
        <v>0.99407144019191562</v>
      </c>
      <c r="H44" s="139">
        <v>0.99</v>
      </c>
      <c r="I44" s="139">
        <v>0.98042074975743199</v>
      </c>
      <c r="J44" s="139">
        <v>0.995</v>
      </c>
      <c r="K44" s="139">
        <v>0.98</v>
      </c>
      <c r="L44" s="139">
        <v>0.99</v>
      </c>
      <c r="M44" s="139">
        <v>1.0049999999999999</v>
      </c>
      <c r="N44" s="139">
        <v>0.99</v>
      </c>
      <c r="P44" s="25">
        <f t="shared" si="1"/>
        <v>37408</v>
      </c>
      <c r="Q44" s="26">
        <f t="shared" si="2"/>
        <v>42</v>
      </c>
    </row>
    <row r="45" spans="1:17" x14ac:dyDescent="0.25">
      <c r="A45" s="191">
        <v>37438</v>
      </c>
      <c r="B45" s="139">
        <f t="shared" si="0"/>
        <v>0.99830915684013177</v>
      </c>
      <c r="C45" s="139">
        <v>0.99830915684013177</v>
      </c>
      <c r="D45" s="139">
        <v>0.995</v>
      </c>
      <c r="E45" s="139">
        <v>0.96</v>
      </c>
      <c r="F45" s="139">
        <v>0.96</v>
      </c>
      <c r="G45" s="139">
        <v>0.99407144019191562</v>
      </c>
      <c r="H45" s="139">
        <v>0.99</v>
      </c>
      <c r="I45" s="139">
        <v>0.98042074975743199</v>
      </c>
      <c r="J45" s="139">
        <v>0.995</v>
      </c>
      <c r="K45" s="139">
        <v>0.98</v>
      </c>
      <c r="L45" s="139">
        <v>0.99</v>
      </c>
      <c r="M45" s="139">
        <v>1.0049999999999999</v>
      </c>
      <c r="N45" s="139">
        <v>0.99</v>
      </c>
      <c r="P45" s="25">
        <f t="shared" si="1"/>
        <v>37438</v>
      </c>
      <c r="Q45" s="26">
        <f t="shared" si="2"/>
        <v>43</v>
      </c>
    </row>
    <row r="46" spans="1:17" x14ac:dyDescent="0.25">
      <c r="A46" s="191">
        <v>37469</v>
      </c>
      <c r="B46" s="139">
        <f t="shared" si="0"/>
        <v>0.99830915684013177</v>
      </c>
      <c r="C46" s="139">
        <v>0.99830915684013177</v>
      </c>
      <c r="D46" s="139">
        <v>0.995</v>
      </c>
      <c r="E46" s="139">
        <v>0.96</v>
      </c>
      <c r="F46" s="139">
        <v>0.96</v>
      </c>
      <c r="G46" s="139">
        <v>0.99407144019191562</v>
      </c>
      <c r="H46" s="139">
        <v>0.99</v>
      </c>
      <c r="I46" s="139">
        <v>0.98042074975743199</v>
      </c>
      <c r="J46" s="139">
        <v>0.995</v>
      </c>
      <c r="K46" s="139">
        <v>0.98</v>
      </c>
      <c r="L46" s="139">
        <v>0.99</v>
      </c>
      <c r="M46" s="139">
        <v>1.0049999999999999</v>
      </c>
      <c r="N46" s="139">
        <v>0.99</v>
      </c>
      <c r="P46" s="25">
        <f t="shared" si="1"/>
        <v>37469</v>
      </c>
      <c r="Q46" s="26">
        <f t="shared" si="2"/>
        <v>44</v>
      </c>
    </row>
    <row r="47" spans="1:17" x14ac:dyDescent="0.25">
      <c r="A47" s="191">
        <v>37500</v>
      </c>
      <c r="B47" s="139">
        <f t="shared" si="0"/>
        <v>0.99830915684013177</v>
      </c>
      <c r="C47" s="139">
        <v>0.99830915684013177</v>
      </c>
      <c r="D47" s="139">
        <v>0.995</v>
      </c>
      <c r="E47" s="139">
        <v>0.96</v>
      </c>
      <c r="F47" s="139">
        <v>0.96</v>
      </c>
      <c r="G47" s="139">
        <v>0.99407144019191562</v>
      </c>
      <c r="H47" s="139">
        <v>0.99</v>
      </c>
      <c r="I47" s="139">
        <v>0.98042074975743199</v>
      </c>
      <c r="J47" s="139">
        <v>0.995</v>
      </c>
      <c r="K47" s="139">
        <v>0.98</v>
      </c>
      <c r="L47" s="139">
        <v>0.99</v>
      </c>
      <c r="M47" s="139">
        <v>1.0049999999999999</v>
      </c>
      <c r="N47" s="139">
        <v>0.99</v>
      </c>
      <c r="P47" s="25">
        <f t="shared" si="1"/>
        <v>37500</v>
      </c>
      <c r="Q47" s="26">
        <f t="shared" si="2"/>
        <v>45</v>
      </c>
    </row>
    <row r="48" spans="1:17" x14ac:dyDescent="0.25">
      <c r="A48" s="191">
        <v>37530</v>
      </c>
      <c r="B48" s="139">
        <f t="shared" si="0"/>
        <v>0.99830915684013177</v>
      </c>
      <c r="C48" s="139">
        <v>0.99830915684013177</v>
      </c>
      <c r="D48" s="139">
        <v>0.995</v>
      </c>
      <c r="E48" s="139">
        <v>0.96</v>
      </c>
      <c r="F48" s="139">
        <v>0.96</v>
      </c>
      <c r="G48" s="139">
        <v>0.99407144019191562</v>
      </c>
      <c r="H48" s="139">
        <v>0.99</v>
      </c>
      <c r="I48" s="139">
        <v>0.98042074975743199</v>
      </c>
      <c r="J48" s="139">
        <v>0.995</v>
      </c>
      <c r="K48" s="139">
        <v>0.98</v>
      </c>
      <c r="L48" s="139">
        <v>0.99</v>
      </c>
      <c r="M48" s="139">
        <v>1.0049999999999999</v>
      </c>
      <c r="N48" s="139">
        <v>0.99</v>
      </c>
      <c r="P48" s="25">
        <f t="shared" si="1"/>
        <v>37530</v>
      </c>
      <c r="Q48" s="26">
        <f t="shared" si="2"/>
        <v>46</v>
      </c>
    </row>
    <row r="49" spans="1:17" x14ac:dyDescent="0.25">
      <c r="A49" s="191">
        <v>37561</v>
      </c>
      <c r="B49" s="31">
        <f t="shared" si="0"/>
        <v>0.98497430320438317</v>
      </c>
      <c r="C49" s="31">
        <v>0.98497430320438317</v>
      </c>
      <c r="D49" s="31">
        <v>0.995</v>
      </c>
      <c r="E49" s="31">
        <v>0.96</v>
      </c>
      <c r="F49" s="31">
        <v>0.96</v>
      </c>
      <c r="G49" s="31">
        <v>0.98410764751845092</v>
      </c>
      <c r="H49" s="31">
        <v>0.99</v>
      </c>
      <c r="I49" s="31">
        <v>0.90577586047143255</v>
      </c>
      <c r="J49" s="31">
        <v>0.995</v>
      </c>
      <c r="K49" s="31">
        <v>0.98</v>
      </c>
      <c r="L49" s="31">
        <v>0.99</v>
      </c>
      <c r="M49" s="31">
        <v>1.0049999999999999</v>
      </c>
      <c r="N49" s="32">
        <v>0.99</v>
      </c>
      <c r="P49" s="25">
        <f t="shared" si="1"/>
        <v>37561</v>
      </c>
      <c r="Q49" s="26">
        <f t="shared" si="2"/>
        <v>47</v>
      </c>
    </row>
    <row r="50" spans="1:17" x14ac:dyDescent="0.25">
      <c r="A50" s="191">
        <v>37591</v>
      </c>
      <c r="B50" s="31">
        <f t="shared" si="0"/>
        <v>0.98497430320438317</v>
      </c>
      <c r="C50" s="31">
        <v>0.98497430320438317</v>
      </c>
      <c r="D50" s="31">
        <v>0.995</v>
      </c>
      <c r="E50" s="31">
        <v>0.96</v>
      </c>
      <c r="F50" s="31">
        <v>0.96</v>
      </c>
      <c r="G50" s="31">
        <v>0.98410764751845092</v>
      </c>
      <c r="H50" s="31">
        <v>0.99</v>
      </c>
      <c r="I50" s="31">
        <v>0.90577586047143255</v>
      </c>
      <c r="J50" s="31">
        <v>0.995</v>
      </c>
      <c r="K50" s="31">
        <v>0.98</v>
      </c>
      <c r="L50" s="31">
        <v>0.99</v>
      </c>
      <c r="M50" s="31">
        <v>1.0049999999999999</v>
      </c>
      <c r="N50" s="32">
        <v>0.99</v>
      </c>
      <c r="P50" s="25">
        <f t="shared" si="1"/>
        <v>37591</v>
      </c>
      <c r="Q50" s="26">
        <f t="shared" si="2"/>
        <v>48</v>
      </c>
    </row>
    <row r="51" spans="1:17" x14ac:dyDescent="0.25">
      <c r="A51" s="191">
        <v>37622</v>
      </c>
      <c r="B51" s="31">
        <f t="shared" si="0"/>
        <v>0.98497430320438317</v>
      </c>
      <c r="C51" s="31">
        <v>0.98497430320438317</v>
      </c>
      <c r="D51" s="31">
        <v>0.995</v>
      </c>
      <c r="E51" s="31">
        <v>0.96</v>
      </c>
      <c r="F51" s="31">
        <v>0.96</v>
      </c>
      <c r="G51" s="31">
        <v>0.98410764751845092</v>
      </c>
      <c r="H51" s="31">
        <v>0.99</v>
      </c>
      <c r="I51" s="31">
        <v>0.90577586047143255</v>
      </c>
      <c r="J51" s="31">
        <v>0.995</v>
      </c>
      <c r="K51" s="31">
        <v>0.98</v>
      </c>
      <c r="L51" s="31">
        <v>0.99</v>
      </c>
      <c r="M51" s="31">
        <v>1.0049999999999999</v>
      </c>
      <c r="N51" s="32">
        <v>0.99</v>
      </c>
      <c r="P51" s="25">
        <f t="shared" si="1"/>
        <v>37622</v>
      </c>
      <c r="Q51" s="26">
        <f t="shared" si="2"/>
        <v>49</v>
      </c>
    </row>
    <row r="52" spans="1:17" x14ac:dyDescent="0.25">
      <c r="A52" s="191">
        <v>37653</v>
      </c>
      <c r="B52" s="31">
        <f t="shared" si="0"/>
        <v>0.98497430320438317</v>
      </c>
      <c r="C52" s="31">
        <v>0.98497430320438317</v>
      </c>
      <c r="D52" s="31">
        <v>0.995</v>
      </c>
      <c r="E52" s="31">
        <v>0.96</v>
      </c>
      <c r="F52" s="31">
        <v>0.96</v>
      </c>
      <c r="G52" s="31">
        <v>0.98410764751845092</v>
      </c>
      <c r="H52" s="31">
        <v>0.99</v>
      </c>
      <c r="I52" s="31">
        <v>0.90577586047143255</v>
      </c>
      <c r="J52" s="31">
        <v>0.995</v>
      </c>
      <c r="K52" s="31">
        <v>0.98</v>
      </c>
      <c r="L52" s="31">
        <v>0.99</v>
      </c>
      <c r="M52" s="31">
        <v>1.0049999999999999</v>
      </c>
      <c r="N52" s="32">
        <v>0.99</v>
      </c>
      <c r="P52" s="25">
        <f t="shared" si="1"/>
        <v>37653</v>
      </c>
      <c r="Q52" s="26">
        <f t="shared" si="2"/>
        <v>50</v>
      </c>
    </row>
    <row r="53" spans="1:17" x14ac:dyDescent="0.25">
      <c r="A53" s="191">
        <v>37681</v>
      </c>
      <c r="B53" s="31">
        <f t="shared" si="0"/>
        <v>0.98497430320438317</v>
      </c>
      <c r="C53" s="31">
        <v>0.98497430320438317</v>
      </c>
      <c r="D53" s="31">
        <v>0.995</v>
      </c>
      <c r="E53" s="31">
        <v>0.96</v>
      </c>
      <c r="F53" s="31">
        <v>0.96</v>
      </c>
      <c r="G53" s="31">
        <v>0.98410764751845092</v>
      </c>
      <c r="H53" s="31">
        <v>0.99</v>
      </c>
      <c r="I53" s="31">
        <v>0.90577586047143255</v>
      </c>
      <c r="J53" s="31">
        <v>0.995</v>
      </c>
      <c r="K53" s="31">
        <v>0.98</v>
      </c>
      <c r="L53" s="31">
        <v>0.99</v>
      </c>
      <c r="M53" s="31">
        <v>1.0049999999999999</v>
      </c>
      <c r="N53" s="32">
        <v>0.99</v>
      </c>
      <c r="P53" s="25">
        <f t="shared" si="1"/>
        <v>37681</v>
      </c>
      <c r="Q53" s="26">
        <f t="shared" si="2"/>
        <v>51</v>
      </c>
    </row>
    <row r="54" spans="1:17" x14ac:dyDescent="0.25">
      <c r="A54" s="191">
        <v>37712</v>
      </c>
      <c r="B54" s="139">
        <f t="shared" si="0"/>
        <v>0.99830915684013177</v>
      </c>
      <c r="C54" s="139">
        <v>0.99830915684013177</v>
      </c>
      <c r="D54" s="139">
        <v>0.995</v>
      </c>
      <c r="E54" s="139">
        <v>0.96</v>
      </c>
      <c r="F54" s="139">
        <v>0.96</v>
      </c>
      <c r="G54" s="139">
        <v>0.99407144019191562</v>
      </c>
      <c r="H54" s="139">
        <v>0.99</v>
      </c>
      <c r="I54" s="139">
        <v>0.98042074975743199</v>
      </c>
      <c r="J54" s="139">
        <v>0.995</v>
      </c>
      <c r="K54" s="139">
        <v>0.98</v>
      </c>
      <c r="L54" s="139">
        <v>0.99</v>
      </c>
      <c r="M54" s="139">
        <v>1.0049999999999999</v>
      </c>
      <c r="N54" s="139">
        <v>0.99</v>
      </c>
      <c r="P54" s="25">
        <f t="shared" si="1"/>
        <v>37712</v>
      </c>
      <c r="Q54" s="26">
        <f t="shared" si="2"/>
        <v>52</v>
      </c>
    </row>
    <row r="55" spans="1:17" x14ac:dyDescent="0.25">
      <c r="A55" s="191">
        <v>37742</v>
      </c>
      <c r="B55" s="139">
        <f t="shared" si="0"/>
        <v>0.99830915684013177</v>
      </c>
      <c r="C55" s="139">
        <v>0.99830915684013177</v>
      </c>
      <c r="D55" s="139">
        <v>0.995</v>
      </c>
      <c r="E55" s="139">
        <v>0.96</v>
      </c>
      <c r="F55" s="139">
        <v>0.96</v>
      </c>
      <c r="G55" s="139">
        <v>0.99407144019191562</v>
      </c>
      <c r="H55" s="139">
        <v>0.99</v>
      </c>
      <c r="I55" s="139">
        <v>0.98042074975743199</v>
      </c>
      <c r="J55" s="139">
        <v>0.995</v>
      </c>
      <c r="K55" s="139">
        <v>0.98</v>
      </c>
      <c r="L55" s="139">
        <v>0.99</v>
      </c>
      <c r="M55" s="139">
        <v>1.0049999999999999</v>
      </c>
      <c r="N55" s="139">
        <v>0.99</v>
      </c>
      <c r="P55" s="25">
        <f t="shared" si="1"/>
        <v>37742</v>
      </c>
      <c r="Q55" s="26">
        <f t="shared" si="2"/>
        <v>53</v>
      </c>
    </row>
    <row r="56" spans="1:17" x14ac:dyDescent="0.25">
      <c r="A56" s="191">
        <v>37773</v>
      </c>
      <c r="B56" s="139">
        <f t="shared" si="0"/>
        <v>0.99830915684013177</v>
      </c>
      <c r="C56" s="139">
        <v>0.99830915684013177</v>
      </c>
      <c r="D56" s="139">
        <v>0.995</v>
      </c>
      <c r="E56" s="139">
        <v>0.96</v>
      </c>
      <c r="F56" s="139">
        <v>0.96</v>
      </c>
      <c r="G56" s="139">
        <v>0.99407144019191562</v>
      </c>
      <c r="H56" s="139">
        <v>0.99</v>
      </c>
      <c r="I56" s="139">
        <v>0.98042074975743199</v>
      </c>
      <c r="J56" s="139">
        <v>0.995</v>
      </c>
      <c r="K56" s="139">
        <v>0.98</v>
      </c>
      <c r="L56" s="139">
        <v>0.99</v>
      </c>
      <c r="M56" s="139">
        <v>1.0049999999999999</v>
      </c>
      <c r="N56" s="139">
        <v>0.99</v>
      </c>
      <c r="P56" s="25">
        <f t="shared" si="1"/>
        <v>37773</v>
      </c>
      <c r="Q56" s="26">
        <f t="shared" si="2"/>
        <v>54</v>
      </c>
    </row>
    <row r="57" spans="1:17" x14ac:dyDescent="0.25">
      <c r="A57" s="191">
        <v>37803</v>
      </c>
      <c r="B57" s="139">
        <f t="shared" si="0"/>
        <v>0.99830915684013177</v>
      </c>
      <c r="C57" s="139">
        <v>0.99830915684013177</v>
      </c>
      <c r="D57" s="139">
        <v>0.995</v>
      </c>
      <c r="E57" s="139">
        <v>0.96</v>
      </c>
      <c r="F57" s="139">
        <v>0.96</v>
      </c>
      <c r="G57" s="139">
        <v>0.99407144019191562</v>
      </c>
      <c r="H57" s="139">
        <v>0.99</v>
      </c>
      <c r="I57" s="139">
        <v>0.98042074975743199</v>
      </c>
      <c r="J57" s="139">
        <v>0.995</v>
      </c>
      <c r="K57" s="139">
        <v>0.98</v>
      </c>
      <c r="L57" s="139">
        <v>0.99</v>
      </c>
      <c r="M57" s="139">
        <v>1.0049999999999999</v>
      </c>
      <c r="N57" s="139">
        <v>0.99</v>
      </c>
      <c r="P57" s="25">
        <f t="shared" si="1"/>
        <v>37803</v>
      </c>
      <c r="Q57" s="26">
        <f t="shared" si="2"/>
        <v>55</v>
      </c>
    </row>
    <row r="58" spans="1:17" x14ac:dyDescent="0.25">
      <c r="A58" s="191">
        <v>37834</v>
      </c>
      <c r="B58" s="139">
        <f t="shared" si="0"/>
        <v>0.99830915684013177</v>
      </c>
      <c r="C58" s="139">
        <v>0.99830915684013177</v>
      </c>
      <c r="D58" s="139">
        <v>0.995</v>
      </c>
      <c r="E58" s="139">
        <v>0.96</v>
      </c>
      <c r="F58" s="139">
        <v>0.96</v>
      </c>
      <c r="G58" s="139">
        <v>0.99407144019191562</v>
      </c>
      <c r="H58" s="139">
        <v>0.99</v>
      </c>
      <c r="I58" s="139">
        <v>0.98042074975743199</v>
      </c>
      <c r="J58" s="139">
        <v>0.995</v>
      </c>
      <c r="K58" s="139">
        <v>0.98</v>
      </c>
      <c r="L58" s="139">
        <v>0.99</v>
      </c>
      <c r="M58" s="139">
        <v>1.0049999999999999</v>
      </c>
      <c r="N58" s="139">
        <v>0.99</v>
      </c>
      <c r="P58" s="25">
        <f t="shared" si="1"/>
        <v>37834</v>
      </c>
      <c r="Q58" s="26">
        <f t="shared" si="2"/>
        <v>56</v>
      </c>
    </row>
    <row r="59" spans="1:17" x14ac:dyDescent="0.25">
      <c r="A59" s="191">
        <v>37865</v>
      </c>
      <c r="B59" s="139">
        <f t="shared" si="0"/>
        <v>0.99830915684013177</v>
      </c>
      <c r="C59" s="139">
        <v>0.99830915684013177</v>
      </c>
      <c r="D59" s="139">
        <v>0.995</v>
      </c>
      <c r="E59" s="139">
        <v>0.96</v>
      </c>
      <c r="F59" s="139">
        <v>0.96</v>
      </c>
      <c r="G59" s="139">
        <v>0.99407144019191562</v>
      </c>
      <c r="H59" s="139">
        <v>0.99</v>
      </c>
      <c r="I59" s="139">
        <v>0.98042074975743199</v>
      </c>
      <c r="J59" s="139">
        <v>0.995</v>
      </c>
      <c r="K59" s="139">
        <v>0.98</v>
      </c>
      <c r="L59" s="139">
        <v>0.99</v>
      </c>
      <c r="M59" s="139">
        <v>1.0049999999999999</v>
      </c>
      <c r="N59" s="139">
        <v>0.99</v>
      </c>
      <c r="P59" s="25">
        <f t="shared" si="1"/>
        <v>37865</v>
      </c>
      <c r="Q59" s="26">
        <f t="shared" si="2"/>
        <v>57</v>
      </c>
    </row>
    <row r="60" spans="1:17" x14ac:dyDescent="0.25">
      <c r="A60" s="191">
        <v>37895</v>
      </c>
      <c r="B60" s="139">
        <f t="shared" si="0"/>
        <v>0.99830915684013177</v>
      </c>
      <c r="C60" s="139">
        <v>0.99830915684013177</v>
      </c>
      <c r="D60" s="139">
        <v>0.995</v>
      </c>
      <c r="E60" s="139">
        <v>0.96</v>
      </c>
      <c r="F60" s="139">
        <v>0.96</v>
      </c>
      <c r="G60" s="139">
        <v>0.99407144019191562</v>
      </c>
      <c r="H60" s="139">
        <v>0.99</v>
      </c>
      <c r="I60" s="139">
        <v>0.98042074975743199</v>
      </c>
      <c r="J60" s="139">
        <v>0.995</v>
      </c>
      <c r="K60" s="139">
        <v>0.98</v>
      </c>
      <c r="L60" s="139">
        <v>0.99</v>
      </c>
      <c r="M60" s="139">
        <v>1.0049999999999999</v>
      </c>
      <c r="N60" s="139">
        <v>0.99</v>
      </c>
      <c r="P60" s="25">
        <f t="shared" si="1"/>
        <v>37895</v>
      </c>
      <c r="Q60" s="26">
        <f t="shared" si="2"/>
        <v>58</v>
      </c>
    </row>
    <row r="61" spans="1:17" x14ac:dyDescent="0.25">
      <c r="A61" s="191">
        <v>37926</v>
      </c>
      <c r="B61" s="31">
        <f t="shared" si="0"/>
        <v>0.98497430320438317</v>
      </c>
      <c r="C61" s="31">
        <v>0.98497430320438317</v>
      </c>
      <c r="D61" s="31">
        <v>0.995</v>
      </c>
      <c r="E61" s="31">
        <v>0.96</v>
      </c>
      <c r="F61" s="31">
        <v>0.96</v>
      </c>
      <c r="G61" s="31">
        <v>0.98410764751845092</v>
      </c>
      <c r="H61" s="31">
        <v>0.99</v>
      </c>
      <c r="I61" s="31">
        <v>0.90577586047143255</v>
      </c>
      <c r="J61" s="31">
        <v>0.995</v>
      </c>
      <c r="K61" s="31">
        <v>0.98</v>
      </c>
      <c r="L61" s="31">
        <v>0.99</v>
      </c>
      <c r="M61" s="31">
        <v>1.0049999999999999</v>
      </c>
      <c r="N61" s="32">
        <v>0.99</v>
      </c>
      <c r="P61" s="25">
        <f t="shared" si="1"/>
        <v>37926</v>
      </c>
      <c r="Q61" s="26">
        <f t="shared" si="2"/>
        <v>59</v>
      </c>
    </row>
    <row r="62" spans="1:17" x14ac:dyDescent="0.25">
      <c r="A62" s="191">
        <v>37956</v>
      </c>
      <c r="B62" s="31">
        <f t="shared" si="0"/>
        <v>0.98497430320438317</v>
      </c>
      <c r="C62" s="31">
        <v>0.98497430320438317</v>
      </c>
      <c r="D62" s="31">
        <v>0.995</v>
      </c>
      <c r="E62" s="31">
        <v>0.96</v>
      </c>
      <c r="F62" s="31">
        <v>0.96</v>
      </c>
      <c r="G62" s="31">
        <v>0.98410764751845092</v>
      </c>
      <c r="H62" s="31">
        <v>0.99</v>
      </c>
      <c r="I62" s="31">
        <v>0.90577586047143255</v>
      </c>
      <c r="J62" s="31">
        <v>0.995</v>
      </c>
      <c r="K62" s="31">
        <v>0.98</v>
      </c>
      <c r="L62" s="31">
        <v>0.99</v>
      </c>
      <c r="M62" s="31">
        <v>1.0049999999999999</v>
      </c>
      <c r="N62" s="32">
        <v>0.99</v>
      </c>
      <c r="P62" s="25">
        <f t="shared" si="1"/>
        <v>37956</v>
      </c>
      <c r="Q62" s="26">
        <f t="shared" si="2"/>
        <v>60</v>
      </c>
    </row>
    <row r="63" spans="1:17" x14ac:dyDescent="0.25">
      <c r="A63" s="191">
        <v>37987</v>
      </c>
      <c r="B63" s="31">
        <f t="shared" si="0"/>
        <v>0.98497430320438317</v>
      </c>
      <c r="C63" s="31">
        <v>0.98497430320438317</v>
      </c>
      <c r="D63" s="31">
        <v>0.995</v>
      </c>
      <c r="E63" s="31">
        <v>0.96</v>
      </c>
      <c r="F63" s="31">
        <v>0.96</v>
      </c>
      <c r="G63" s="31">
        <v>0.98410764751845092</v>
      </c>
      <c r="H63" s="31">
        <v>0.99</v>
      </c>
      <c r="I63" s="31">
        <v>0.90577586047143255</v>
      </c>
      <c r="J63" s="31">
        <v>0.995</v>
      </c>
      <c r="K63" s="31">
        <v>0.98</v>
      </c>
      <c r="L63" s="31">
        <v>0.99</v>
      </c>
      <c r="M63" s="31">
        <v>1.0049999999999999</v>
      </c>
      <c r="N63" s="32">
        <v>0.99</v>
      </c>
      <c r="P63" s="25">
        <f t="shared" si="1"/>
        <v>37987</v>
      </c>
      <c r="Q63" s="26">
        <f t="shared" si="2"/>
        <v>61</v>
      </c>
    </row>
    <row r="64" spans="1:17" x14ac:dyDescent="0.25">
      <c r="A64" s="191">
        <v>38018</v>
      </c>
      <c r="B64" s="31">
        <f t="shared" si="0"/>
        <v>0.98497430320438317</v>
      </c>
      <c r="C64" s="31">
        <v>0.98497430320438317</v>
      </c>
      <c r="D64" s="31">
        <v>0.995</v>
      </c>
      <c r="E64" s="31">
        <v>0.96</v>
      </c>
      <c r="F64" s="31">
        <v>0.96</v>
      </c>
      <c r="G64" s="31">
        <v>0.98410764751845092</v>
      </c>
      <c r="H64" s="31">
        <v>0.99</v>
      </c>
      <c r="I64" s="31">
        <v>0.90577586047143255</v>
      </c>
      <c r="J64" s="31">
        <v>0.995</v>
      </c>
      <c r="K64" s="31">
        <v>0.98</v>
      </c>
      <c r="L64" s="31">
        <v>0.99</v>
      </c>
      <c r="M64" s="31">
        <v>1.0049999999999999</v>
      </c>
      <c r="N64" s="32">
        <v>0.99</v>
      </c>
      <c r="P64" s="25">
        <f t="shared" si="1"/>
        <v>38018</v>
      </c>
      <c r="Q64" s="26">
        <f t="shared" si="2"/>
        <v>62</v>
      </c>
    </row>
    <row r="65" spans="1:17" x14ac:dyDescent="0.25">
      <c r="A65" s="191">
        <v>38047</v>
      </c>
      <c r="B65" s="31">
        <f t="shared" si="0"/>
        <v>0.98497430320438317</v>
      </c>
      <c r="C65" s="31">
        <v>0.98497430320438317</v>
      </c>
      <c r="D65" s="31">
        <v>0.995</v>
      </c>
      <c r="E65" s="31">
        <v>0.96</v>
      </c>
      <c r="F65" s="31">
        <v>0.96</v>
      </c>
      <c r="G65" s="31">
        <v>0.98410764751845092</v>
      </c>
      <c r="H65" s="31">
        <v>0.99</v>
      </c>
      <c r="I65" s="31">
        <v>0.90577586047143255</v>
      </c>
      <c r="J65" s="31">
        <v>0.995</v>
      </c>
      <c r="K65" s="31">
        <v>0.98</v>
      </c>
      <c r="L65" s="31">
        <v>0.99</v>
      </c>
      <c r="M65" s="31">
        <v>1.0049999999999999</v>
      </c>
      <c r="N65" s="32">
        <v>0.99</v>
      </c>
      <c r="P65" s="25">
        <f t="shared" si="1"/>
        <v>38047</v>
      </c>
      <c r="Q65" s="26">
        <f t="shared" si="2"/>
        <v>63</v>
      </c>
    </row>
    <row r="66" spans="1:17" x14ac:dyDescent="0.25">
      <c r="A66" s="191">
        <v>38078</v>
      </c>
      <c r="B66" s="31">
        <f t="shared" si="0"/>
        <v>0.99830915684013177</v>
      </c>
      <c r="C66" s="31">
        <v>0.99830915684013177</v>
      </c>
      <c r="D66" s="31">
        <v>0.995</v>
      </c>
      <c r="E66" s="31">
        <v>0.96</v>
      </c>
      <c r="F66" s="31">
        <v>0.96</v>
      </c>
      <c r="G66" s="31">
        <v>0.99407144019191562</v>
      </c>
      <c r="H66" s="31">
        <v>0.99</v>
      </c>
      <c r="I66" s="31">
        <v>0.98042074975743199</v>
      </c>
      <c r="J66" s="31">
        <v>0.995</v>
      </c>
      <c r="K66" s="31">
        <v>0.98</v>
      </c>
      <c r="L66" s="31">
        <v>0.99</v>
      </c>
      <c r="M66" s="31">
        <v>1.0049999999999999</v>
      </c>
      <c r="N66" s="32">
        <v>0.99</v>
      </c>
      <c r="P66" s="25">
        <f t="shared" si="1"/>
        <v>38078</v>
      </c>
      <c r="Q66" s="26">
        <f t="shared" si="2"/>
        <v>64</v>
      </c>
    </row>
    <row r="67" spans="1:17" x14ac:dyDescent="0.25">
      <c r="A67" s="191">
        <v>38108</v>
      </c>
      <c r="B67" s="31">
        <f t="shared" si="0"/>
        <v>0.99830915684013177</v>
      </c>
      <c r="C67" s="31">
        <v>0.99830915684013177</v>
      </c>
      <c r="D67" s="31">
        <v>0.995</v>
      </c>
      <c r="E67" s="31">
        <v>0.96</v>
      </c>
      <c r="F67" s="31">
        <v>0.96</v>
      </c>
      <c r="G67" s="31">
        <v>0.99407144019191562</v>
      </c>
      <c r="H67" s="31">
        <v>0.99</v>
      </c>
      <c r="I67" s="31">
        <v>0.98042074975743199</v>
      </c>
      <c r="J67" s="31">
        <v>0.995</v>
      </c>
      <c r="K67" s="31">
        <v>0.98</v>
      </c>
      <c r="L67" s="31">
        <v>0.99</v>
      </c>
      <c r="M67" s="31">
        <v>1.0049999999999999</v>
      </c>
      <c r="N67" s="32">
        <v>0.99</v>
      </c>
      <c r="P67" s="25">
        <f t="shared" si="1"/>
        <v>38108</v>
      </c>
      <c r="Q67" s="26">
        <f t="shared" si="2"/>
        <v>65</v>
      </c>
    </row>
    <row r="68" spans="1:17" x14ac:dyDescent="0.25">
      <c r="A68" s="191">
        <v>38139</v>
      </c>
      <c r="B68" s="31">
        <f t="shared" si="0"/>
        <v>0.99830915684013177</v>
      </c>
      <c r="C68" s="31">
        <v>0.99830915684013177</v>
      </c>
      <c r="D68" s="31">
        <v>0.995</v>
      </c>
      <c r="E68" s="31">
        <v>0.96</v>
      </c>
      <c r="F68" s="31">
        <v>0.96</v>
      </c>
      <c r="G68" s="31">
        <v>0.99407144019191562</v>
      </c>
      <c r="H68" s="31">
        <v>0.99</v>
      </c>
      <c r="I68" s="31">
        <v>0.98042074975743199</v>
      </c>
      <c r="J68" s="31">
        <v>0.995</v>
      </c>
      <c r="K68" s="31">
        <v>0.98</v>
      </c>
      <c r="L68" s="31">
        <v>0.99</v>
      </c>
      <c r="M68" s="31">
        <v>1.0049999999999999</v>
      </c>
      <c r="N68" s="32">
        <v>0.99</v>
      </c>
      <c r="P68" s="25">
        <f t="shared" si="1"/>
        <v>38139</v>
      </c>
      <c r="Q68" s="26">
        <f t="shared" si="2"/>
        <v>66</v>
      </c>
    </row>
    <row r="69" spans="1:17" x14ac:dyDescent="0.25">
      <c r="A69" s="191">
        <v>38169</v>
      </c>
      <c r="B69" s="31">
        <f t="shared" ref="B69:B132" si="3">C69</f>
        <v>0.99830915684013177</v>
      </c>
      <c r="C69" s="31">
        <v>0.99830915684013177</v>
      </c>
      <c r="D69" s="31">
        <v>0.995</v>
      </c>
      <c r="E69" s="31">
        <v>0.96</v>
      </c>
      <c r="F69" s="31">
        <v>0.96</v>
      </c>
      <c r="G69" s="31">
        <v>0.99407144019191562</v>
      </c>
      <c r="H69" s="31">
        <v>0.99</v>
      </c>
      <c r="I69" s="31">
        <v>0.98042074975743199</v>
      </c>
      <c r="J69" s="31">
        <v>0.995</v>
      </c>
      <c r="K69" s="31">
        <v>0.98</v>
      </c>
      <c r="L69" s="31">
        <v>0.99</v>
      </c>
      <c r="M69" s="31">
        <v>1.0049999999999999</v>
      </c>
      <c r="N69" s="32">
        <v>0.99</v>
      </c>
      <c r="P69" s="25">
        <f t="shared" ref="P69:P132" si="4">A69</f>
        <v>38169</v>
      </c>
      <c r="Q69" s="26">
        <f t="shared" si="2"/>
        <v>67</v>
      </c>
    </row>
    <row r="70" spans="1:17" x14ac:dyDescent="0.25">
      <c r="A70" s="191">
        <v>38200</v>
      </c>
      <c r="B70" s="31">
        <f t="shared" si="3"/>
        <v>0.99830915684013177</v>
      </c>
      <c r="C70" s="31">
        <v>0.99830915684013177</v>
      </c>
      <c r="D70" s="31">
        <v>0.995</v>
      </c>
      <c r="E70" s="31">
        <v>0.96</v>
      </c>
      <c r="F70" s="31">
        <v>0.96</v>
      </c>
      <c r="G70" s="31">
        <v>0.99407144019191562</v>
      </c>
      <c r="H70" s="31">
        <v>0.99</v>
      </c>
      <c r="I70" s="31">
        <v>0.98042074975743199</v>
      </c>
      <c r="J70" s="31">
        <v>0.995</v>
      </c>
      <c r="K70" s="31">
        <v>0.98</v>
      </c>
      <c r="L70" s="31">
        <v>0.99</v>
      </c>
      <c r="M70" s="31">
        <v>1.0049999999999999</v>
      </c>
      <c r="N70" s="32">
        <v>0.99</v>
      </c>
      <c r="P70" s="25">
        <f t="shared" si="4"/>
        <v>38200</v>
      </c>
      <c r="Q70" s="26">
        <f t="shared" ref="Q70:Q133" si="5">Q69+1</f>
        <v>68</v>
      </c>
    </row>
    <row r="71" spans="1:17" x14ac:dyDescent="0.25">
      <c r="A71" s="191">
        <v>38231</v>
      </c>
      <c r="B71" s="31">
        <f t="shared" si="3"/>
        <v>0.99830915684013177</v>
      </c>
      <c r="C71" s="31">
        <v>0.99830915684013177</v>
      </c>
      <c r="D71" s="31">
        <v>0.995</v>
      </c>
      <c r="E71" s="31">
        <v>0.96</v>
      </c>
      <c r="F71" s="31">
        <v>0.96</v>
      </c>
      <c r="G71" s="31">
        <v>0.99407144019191562</v>
      </c>
      <c r="H71" s="31">
        <v>0.99</v>
      </c>
      <c r="I71" s="31">
        <v>0.98042074975743199</v>
      </c>
      <c r="J71" s="31">
        <v>0.995</v>
      </c>
      <c r="K71" s="31">
        <v>0.98</v>
      </c>
      <c r="L71" s="31">
        <v>0.99</v>
      </c>
      <c r="M71" s="31">
        <v>1.0049999999999999</v>
      </c>
      <c r="N71" s="32">
        <v>0.99</v>
      </c>
      <c r="P71" s="25">
        <f t="shared" si="4"/>
        <v>38231</v>
      </c>
      <c r="Q71" s="26">
        <f t="shared" si="5"/>
        <v>69</v>
      </c>
    </row>
    <row r="72" spans="1:17" x14ac:dyDescent="0.25">
      <c r="A72" s="191">
        <v>38261</v>
      </c>
      <c r="B72" s="31">
        <f t="shared" si="3"/>
        <v>0.99830915684013177</v>
      </c>
      <c r="C72" s="31">
        <v>0.99830915684013177</v>
      </c>
      <c r="D72" s="31">
        <v>0.995</v>
      </c>
      <c r="E72" s="31">
        <v>0.96</v>
      </c>
      <c r="F72" s="31">
        <v>0.96</v>
      </c>
      <c r="G72" s="31">
        <v>0.99407144019191562</v>
      </c>
      <c r="H72" s="31">
        <v>0.99</v>
      </c>
      <c r="I72" s="31">
        <v>0.98042074975743199</v>
      </c>
      <c r="J72" s="31">
        <v>0.995</v>
      </c>
      <c r="K72" s="31">
        <v>0.98</v>
      </c>
      <c r="L72" s="31">
        <v>0.99</v>
      </c>
      <c r="M72" s="31">
        <v>1.0049999999999999</v>
      </c>
      <c r="N72" s="32">
        <v>0.99</v>
      </c>
      <c r="P72" s="25">
        <f t="shared" si="4"/>
        <v>38261</v>
      </c>
      <c r="Q72" s="26">
        <f t="shared" si="5"/>
        <v>70</v>
      </c>
    </row>
    <row r="73" spans="1:17" x14ac:dyDescent="0.25">
      <c r="A73" s="191">
        <v>38292</v>
      </c>
      <c r="B73" s="31">
        <f t="shared" si="3"/>
        <v>0.98497430320438317</v>
      </c>
      <c r="C73" s="31">
        <v>0.98497430320438317</v>
      </c>
      <c r="D73" s="31">
        <v>0.995</v>
      </c>
      <c r="E73" s="31">
        <v>0.96</v>
      </c>
      <c r="F73" s="31">
        <v>0.96</v>
      </c>
      <c r="G73" s="31">
        <v>0.98410764751845092</v>
      </c>
      <c r="H73" s="31">
        <v>0.99</v>
      </c>
      <c r="I73" s="31">
        <v>0.90577586047143255</v>
      </c>
      <c r="J73" s="31">
        <v>0.995</v>
      </c>
      <c r="K73" s="31">
        <v>0.98</v>
      </c>
      <c r="L73" s="31">
        <v>0.99</v>
      </c>
      <c r="M73" s="31">
        <v>1.0049999999999999</v>
      </c>
      <c r="N73" s="32">
        <v>0.99</v>
      </c>
      <c r="P73" s="25">
        <f t="shared" si="4"/>
        <v>38292</v>
      </c>
      <c r="Q73" s="26">
        <f t="shared" si="5"/>
        <v>71</v>
      </c>
    </row>
    <row r="74" spans="1:17" x14ac:dyDescent="0.25">
      <c r="A74" s="191">
        <v>38322</v>
      </c>
      <c r="B74" s="31">
        <f t="shared" si="3"/>
        <v>0.98497430320438317</v>
      </c>
      <c r="C74" s="31">
        <v>0.98497430320438317</v>
      </c>
      <c r="D74" s="31">
        <v>0.995</v>
      </c>
      <c r="E74" s="31">
        <v>0.96</v>
      </c>
      <c r="F74" s="31">
        <v>0.96</v>
      </c>
      <c r="G74" s="31">
        <v>0.98410764751845092</v>
      </c>
      <c r="H74" s="31">
        <v>0.99</v>
      </c>
      <c r="I74" s="31">
        <v>0.90577586047143255</v>
      </c>
      <c r="J74" s="31">
        <v>0.995</v>
      </c>
      <c r="K74" s="31">
        <v>0.98</v>
      </c>
      <c r="L74" s="31">
        <v>0.99</v>
      </c>
      <c r="M74" s="31">
        <v>1.0049999999999999</v>
      </c>
      <c r="N74" s="32">
        <v>0.99</v>
      </c>
      <c r="P74" s="25">
        <f t="shared" si="4"/>
        <v>38322</v>
      </c>
      <c r="Q74" s="26">
        <f t="shared" si="5"/>
        <v>72</v>
      </c>
    </row>
    <row r="75" spans="1:17" x14ac:dyDescent="0.25">
      <c r="A75" s="191">
        <v>38353</v>
      </c>
      <c r="B75" s="31">
        <f t="shared" si="3"/>
        <v>0.98497430320438317</v>
      </c>
      <c r="C75" s="31">
        <v>0.98497430320438317</v>
      </c>
      <c r="D75" s="31">
        <v>0.995</v>
      </c>
      <c r="E75" s="31">
        <v>0.96</v>
      </c>
      <c r="F75" s="31">
        <v>0.96</v>
      </c>
      <c r="G75" s="31">
        <v>0.98410764751845092</v>
      </c>
      <c r="H75" s="31">
        <v>0.99</v>
      </c>
      <c r="I75" s="31">
        <v>0.90577586047143255</v>
      </c>
      <c r="J75" s="31">
        <v>0.995</v>
      </c>
      <c r="K75" s="31">
        <v>0.98</v>
      </c>
      <c r="L75" s="31">
        <v>0.99</v>
      </c>
      <c r="M75" s="31">
        <v>1.0049999999999999</v>
      </c>
      <c r="N75" s="32">
        <v>0.99</v>
      </c>
      <c r="P75" s="25">
        <f t="shared" si="4"/>
        <v>38353</v>
      </c>
      <c r="Q75" s="26">
        <f t="shared" si="5"/>
        <v>73</v>
      </c>
    </row>
    <row r="76" spans="1:17" x14ac:dyDescent="0.25">
      <c r="A76" s="191">
        <v>38384</v>
      </c>
      <c r="B76" s="31">
        <f t="shared" si="3"/>
        <v>0.98497430320438317</v>
      </c>
      <c r="C76" s="31">
        <v>0.98497430320438317</v>
      </c>
      <c r="D76" s="31">
        <v>0.995</v>
      </c>
      <c r="E76" s="31">
        <v>0.96</v>
      </c>
      <c r="F76" s="31">
        <v>0.96</v>
      </c>
      <c r="G76" s="31">
        <v>0.98410764751845092</v>
      </c>
      <c r="H76" s="31">
        <v>0.99</v>
      </c>
      <c r="I76" s="31">
        <v>0.90577586047143255</v>
      </c>
      <c r="J76" s="31">
        <v>0.995</v>
      </c>
      <c r="K76" s="31">
        <v>0.98</v>
      </c>
      <c r="L76" s="31">
        <v>0.99</v>
      </c>
      <c r="M76" s="31">
        <v>1.0049999999999999</v>
      </c>
      <c r="N76" s="32">
        <v>0.99</v>
      </c>
      <c r="P76" s="25">
        <f t="shared" si="4"/>
        <v>38384</v>
      </c>
      <c r="Q76" s="26">
        <f t="shared" si="5"/>
        <v>74</v>
      </c>
    </row>
    <row r="77" spans="1:17" x14ac:dyDescent="0.25">
      <c r="A77" s="191">
        <v>38412</v>
      </c>
      <c r="B77" s="31">
        <f t="shared" si="3"/>
        <v>0.98497430320438317</v>
      </c>
      <c r="C77" s="31">
        <v>0.98497430320438317</v>
      </c>
      <c r="D77" s="31">
        <v>0.995</v>
      </c>
      <c r="E77" s="31">
        <v>0.96</v>
      </c>
      <c r="F77" s="31">
        <v>0.96</v>
      </c>
      <c r="G77" s="31">
        <v>0.98410764751845092</v>
      </c>
      <c r="H77" s="31">
        <v>0.99</v>
      </c>
      <c r="I77" s="31">
        <v>0.90577586047143255</v>
      </c>
      <c r="J77" s="31">
        <v>0.995</v>
      </c>
      <c r="K77" s="31">
        <v>0.98</v>
      </c>
      <c r="L77" s="31">
        <v>0.99</v>
      </c>
      <c r="M77" s="31">
        <v>1.0049999999999999</v>
      </c>
      <c r="N77" s="32">
        <v>0.99</v>
      </c>
      <c r="P77" s="25">
        <f t="shared" si="4"/>
        <v>38412</v>
      </c>
      <c r="Q77" s="26">
        <f t="shared" si="5"/>
        <v>75</v>
      </c>
    </row>
    <row r="78" spans="1:17" x14ac:dyDescent="0.25">
      <c r="A78" s="191">
        <v>38443</v>
      </c>
      <c r="B78" s="31">
        <f t="shared" si="3"/>
        <v>0.99830915684013177</v>
      </c>
      <c r="C78" s="31">
        <v>0.99830915684013177</v>
      </c>
      <c r="D78" s="31">
        <v>0.995</v>
      </c>
      <c r="E78" s="31">
        <v>0.96</v>
      </c>
      <c r="F78" s="31">
        <v>0.96</v>
      </c>
      <c r="G78" s="31">
        <v>0.99407144019191562</v>
      </c>
      <c r="H78" s="31">
        <v>0.99</v>
      </c>
      <c r="I78" s="31">
        <v>0.98042074975743199</v>
      </c>
      <c r="J78" s="31">
        <v>0.995</v>
      </c>
      <c r="K78" s="31">
        <v>0.98</v>
      </c>
      <c r="L78" s="31">
        <v>0.99</v>
      </c>
      <c r="M78" s="31">
        <v>1.0049999999999999</v>
      </c>
      <c r="N78" s="32">
        <v>0.99</v>
      </c>
      <c r="P78" s="25">
        <f t="shared" si="4"/>
        <v>38443</v>
      </c>
      <c r="Q78" s="26">
        <f t="shared" si="5"/>
        <v>76</v>
      </c>
    </row>
    <row r="79" spans="1:17" x14ac:dyDescent="0.25">
      <c r="A79" s="191">
        <v>38473</v>
      </c>
      <c r="B79" s="31">
        <f t="shared" si="3"/>
        <v>0.99830915684013177</v>
      </c>
      <c r="C79" s="31">
        <v>0.99830915684013177</v>
      </c>
      <c r="D79" s="31">
        <v>0.995</v>
      </c>
      <c r="E79" s="31">
        <v>0.96</v>
      </c>
      <c r="F79" s="31">
        <v>0.96</v>
      </c>
      <c r="G79" s="31">
        <v>0.99407144019191562</v>
      </c>
      <c r="H79" s="31">
        <v>0.99</v>
      </c>
      <c r="I79" s="31">
        <v>0.98042074975743199</v>
      </c>
      <c r="J79" s="31">
        <v>0.995</v>
      </c>
      <c r="K79" s="31">
        <v>0.98</v>
      </c>
      <c r="L79" s="31">
        <v>0.99</v>
      </c>
      <c r="M79" s="31">
        <v>1.0049999999999999</v>
      </c>
      <c r="N79" s="32">
        <v>0.99</v>
      </c>
      <c r="P79" s="25">
        <f t="shared" si="4"/>
        <v>38473</v>
      </c>
      <c r="Q79" s="26">
        <f t="shared" si="5"/>
        <v>77</v>
      </c>
    </row>
    <row r="80" spans="1:17" x14ac:dyDescent="0.25">
      <c r="A80" s="191">
        <v>38504</v>
      </c>
      <c r="B80" s="31">
        <f t="shared" si="3"/>
        <v>0.99830915684013177</v>
      </c>
      <c r="C80" s="31">
        <v>0.99830915684013177</v>
      </c>
      <c r="D80" s="31">
        <v>0.995</v>
      </c>
      <c r="E80" s="31">
        <v>0.96</v>
      </c>
      <c r="F80" s="31">
        <v>0.96</v>
      </c>
      <c r="G80" s="31">
        <v>0.99407144019191562</v>
      </c>
      <c r="H80" s="31">
        <v>0.99</v>
      </c>
      <c r="I80" s="31">
        <v>0.98042074975743199</v>
      </c>
      <c r="J80" s="31">
        <v>0.995</v>
      </c>
      <c r="K80" s="31">
        <v>0.98</v>
      </c>
      <c r="L80" s="31">
        <v>0.99</v>
      </c>
      <c r="M80" s="31">
        <v>1.0049999999999999</v>
      </c>
      <c r="N80" s="32">
        <v>0.99</v>
      </c>
      <c r="P80" s="25">
        <f t="shared" si="4"/>
        <v>38504</v>
      </c>
      <c r="Q80" s="26">
        <f t="shared" si="5"/>
        <v>78</v>
      </c>
    </row>
    <row r="81" spans="1:17" x14ac:dyDescent="0.25">
      <c r="A81" s="191">
        <v>38534</v>
      </c>
      <c r="B81" s="31">
        <f t="shared" si="3"/>
        <v>0.99830915684013177</v>
      </c>
      <c r="C81" s="31">
        <v>0.99830915684013177</v>
      </c>
      <c r="D81" s="31">
        <v>0.995</v>
      </c>
      <c r="E81" s="31">
        <v>0.96</v>
      </c>
      <c r="F81" s="31">
        <v>0.96</v>
      </c>
      <c r="G81" s="31">
        <v>0.99407144019191562</v>
      </c>
      <c r="H81" s="31">
        <v>0.99</v>
      </c>
      <c r="I81" s="31">
        <v>0.98042074975743199</v>
      </c>
      <c r="J81" s="31">
        <v>0.995</v>
      </c>
      <c r="K81" s="31">
        <v>0.98</v>
      </c>
      <c r="L81" s="31">
        <v>0.99</v>
      </c>
      <c r="M81" s="31">
        <v>1.0049999999999999</v>
      </c>
      <c r="N81" s="32">
        <v>0.99</v>
      </c>
      <c r="P81" s="25">
        <f t="shared" si="4"/>
        <v>38534</v>
      </c>
      <c r="Q81" s="26">
        <f t="shared" si="5"/>
        <v>79</v>
      </c>
    </row>
    <row r="82" spans="1:17" x14ac:dyDescent="0.25">
      <c r="A82" s="191">
        <v>38565</v>
      </c>
      <c r="B82" s="31">
        <f t="shared" si="3"/>
        <v>0.99830915684013177</v>
      </c>
      <c r="C82" s="31">
        <v>0.99830915684013177</v>
      </c>
      <c r="D82" s="31">
        <v>0.995</v>
      </c>
      <c r="E82" s="31">
        <v>0.96</v>
      </c>
      <c r="F82" s="31">
        <v>0.96</v>
      </c>
      <c r="G82" s="31">
        <v>0.99407144019191562</v>
      </c>
      <c r="H82" s="31">
        <v>0.99</v>
      </c>
      <c r="I82" s="31">
        <v>0.98042074975743199</v>
      </c>
      <c r="J82" s="31">
        <v>0.995</v>
      </c>
      <c r="K82" s="31">
        <v>0.98</v>
      </c>
      <c r="L82" s="31">
        <v>0.99</v>
      </c>
      <c r="M82" s="31">
        <v>1.0049999999999999</v>
      </c>
      <c r="N82" s="32">
        <v>0.99</v>
      </c>
      <c r="P82" s="25">
        <f t="shared" si="4"/>
        <v>38565</v>
      </c>
      <c r="Q82" s="26">
        <f t="shared" si="5"/>
        <v>80</v>
      </c>
    </row>
    <row r="83" spans="1:17" x14ac:dyDescent="0.25">
      <c r="A83" s="191">
        <v>38596</v>
      </c>
      <c r="B83" s="31">
        <f t="shared" si="3"/>
        <v>0.99830915684013177</v>
      </c>
      <c r="C83" s="31">
        <v>0.99830915684013177</v>
      </c>
      <c r="D83" s="31">
        <v>0.995</v>
      </c>
      <c r="E83" s="31">
        <v>0.96</v>
      </c>
      <c r="F83" s="31">
        <v>0.96</v>
      </c>
      <c r="G83" s="31">
        <v>0.99407144019191562</v>
      </c>
      <c r="H83" s="31">
        <v>0.99</v>
      </c>
      <c r="I83" s="31">
        <v>0.98042074975743199</v>
      </c>
      <c r="J83" s="31">
        <v>0.995</v>
      </c>
      <c r="K83" s="31">
        <v>0.98</v>
      </c>
      <c r="L83" s="31">
        <v>0.99</v>
      </c>
      <c r="M83" s="31">
        <v>1.0049999999999999</v>
      </c>
      <c r="N83" s="32">
        <v>0.99</v>
      </c>
      <c r="P83" s="25">
        <f t="shared" si="4"/>
        <v>38596</v>
      </c>
      <c r="Q83" s="26">
        <f t="shared" si="5"/>
        <v>81</v>
      </c>
    </row>
    <row r="84" spans="1:17" x14ac:dyDescent="0.25">
      <c r="A84" s="191">
        <v>38626</v>
      </c>
      <c r="B84" s="31">
        <f t="shared" si="3"/>
        <v>0.99830915684013177</v>
      </c>
      <c r="C84" s="31">
        <v>0.99830915684013177</v>
      </c>
      <c r="D84" s="31">
        <v>0.995</v>
      </c>
      <c r="E84" s="31">
        <v>0.96</v>
      </c>
      <c r="F84" s="31">
        <v>0.96</v>
      </c>
      <c r="G84" s="31">
        <v>0.99407144019191562</v>
      </c>
      <c r="H84" s="31">
        <v>0.99</v>
      </c>
      <c r="I84" s="31">
        <v>0.98042074975743199</v>
      </c>
      <c r="J84" s="31">
        <v>0.995</v>
      </c>
      <c r="K84" s="31">
        <v>0.98</v>
      </c>
      <c r="L84" s="31">
        <v>0.99</v>
      </c>
      <c r="M84" s="31">
        <v>1.0049999999999999</v>
      </c>
      <c r="N84" s="32">
        <v>0.99</v>
      </c>
      <c r="P84" s="25">
        <f t="shared" si="4"/>
        <v>38626</v>
      </c>
      <c r="Q84" s="26">
        <f t="shared" si="5"/>
        <v>82</v>
      </c>
    </row>
    <row r="85" spans="1:17" x14ac:dyDescent="0.25">
      <c r="A85" s="191">
        <v>38657</v>
      </c>
      <c r="B85" s="31">
        <f t="shared" si="3"/>
        <v>0.98497430320438317</v>
      </c>
      <c r="C85" s="31">
        <v>0.98497430320438317</v>
      </c>
      <c r="D85" s="31">
        <v>0.995</v>
      </c>
      <c r="E85" s="31">
        <v>0.96</v>
      </c>
      <c r="F85" s="31">
        <v>0.96</v>
      </c>
      <c r="G85" s="31">
        <v>0.98410764751845092</v>
      </c>
      <c r="H85" s="31">
        <v>0.99</v>
      </c>
      <c r="I85" s="31">
        <v>0.90577586047143255</v>
      </c>
      <c r="J85" s="31">
        <v>0.995</v>
      </c>
      <c r="K85" s="31">
        <v>0.98</v>
      </c>
      <c r="L85" s="31">
        <v>0.99</v>
      </c>
      <c r="M85" s="31">
        <v>1.0049999999999999</v>
      </c>
      <c r="N85" s="32">
        <v>0.99</v>
      </c>
      <c r="P85" s="25">
        <f t="shared" si="4"/>
        <v>38657</v>
      </c>
      <c r="Q85" s="26">
        <f t="shared" si="5"/>
        <v>83</v>
      </c>
    </row>
    <row r="86" spans="1:17" x14ac:dyDescent="0.25">
      <c r="A86" s="191">
        <v>38687</v>
      </c>
      <c r="B86" s="31">
        <f t="shared" si="3"/>
        <v>0.98497430320438317</v>
      </c>
      <c r="C86" s="31">
        <v>0.98497430320438317</v>
      </c>
      <c r="D86" s="31">
        <v>0.995</v>
      </c>
      <c r="E86" s="31">
        <v>0.96</v>
      </c>
      <c r="F86" s="31">
        <v>0.96</v>
      </c>
      <c r="G86" s="31">
        <v>0.98410764751845092</v>
      </c>
      <c r="H86" s="31">
        <v>0.99</v>
      </c>
      <c r="I86" s="31">
        <v>0.90577586047143255</v>
      </c>
      <c r="J86" s="31">
        <v>0.995</v>
      </c>
      <c r="K86" s="31">
        <v>0.98</v>
      </c>
      <c r="L86" s="31">
        <v>0.99</v>
      </c>
      <c r="M86" s="31">
        <v>1.0049999999999999</v>
      </c>
      <c r="N86" s="32">
        <v>0.99</v>
      </c>
      <c r="P86" s="25">
        <f t="shared" si="4"/>
        <v>38687</v>
      </c>
      <c r="Q86" s="26">
        <f t="shared" si="5"/>
        <v>84</v>
      </c>
    </row>
    <row r="87" spans="1:17" x14ac:dyDescent="0.25">
      <c r="A87" s="191">
        <v>38718</v>
      </c>
      <c r="B87" s="31">
        <f t="shared" si="3"/>
        <v>0.98497430320438317</v>
      </c>
      <c r="C87" s="31">
        <v>0.98497430320438317</v>
      </c>
      <c r="D87" s="31">
        <v>0.995</v>
      </c>
      <c r="E87" s="31">
        <v>0.96</v>
      </c>
      <c r="F87" s="31">
        <v>0.96</v>
      </c>
      <c r="G87" s="31">
        <v>0.98410764751845092</v>
      </c>
      <c r="H87" s="31">
        <v>0.99</v>
      </c>
      <c r="I87" s="31">
        <v>0.90577586047143255</v>
      </c>
      <c r="J87" s="31">
        <v>0.995</v>
      </c>
      <c r="K87" s="31">
        <v>0.98</v>
      </c>
      <c r="L87" s="31">
        <v>0.99</v>
      </c>
      <c r="M87" s="31">
        <v>1.0049999999999999</v>
      </c>
      <c r="N87" s="32">
        <v>0.99</v>
      </c>
      <c r="P87" s="25">
        <f t="shared" si="4"/>
        <v>38718</v>
      </c>
      <c r="Q87" s="26">
        <f t="shared" si="5"/>
        <v>85</v>
      </c>
    </row>
    <row r="88" spans="1:17" x14ac:dyDescent="0.25">
      <c r="A88" s="191">
        <v>38749</v>
      </c>
      <c r="B88" s="31">
        <f t="shared" si="3"/>
        <v>0.98497430320438317</v>
      </c>
      <c r="C88" s="31">
        <v>0.98497430320438317</v>
      </c>
      <c r="D88" s="31">
        <v>0.995</v>
      </c>
      <c r="E88" s="31">
        <v>0.96</v>
      </c>
      <c r="F88" s="31">
        <v>0.96</v>
      </c>
      <c r="G88" s="31">
        <v>0.98410764751845092</v>
      </c>
      <c r="H88" s="31">
        <v>0.99</v>
      </c>
      <c r="I88" s="31">
        <v>0.90577586047143255</v>
      </c>
      <c r="J88" s="31">
        <v>0.995</v>
      </c>
      <c r="K88" s="31">
        <v>0.98</v>
      </c>
      <c r="L88" s="31">
        <v>0.99</v>
      </c>
      <c r="M88" s="31">
        <v>1.0049999999999999</v>
      </c>
      <c r="N88" s="32">
        <v>0.99</v>
      </c>
      <c r="P88" s="25">
        <f t="shared" si="4"/>
        <v>38749</v>
      </c>
      <c r="Q88" s="26">
        <f t="shared" si="5"/>
        <v>86</v>
      </c>
    </row>
    <row r="89" spans="1:17" x14ac:dyDescent="0.25">
      <c r="A89" s="191">
        <v>38777</v>
      </c>
      <c r="B89" s="31">
        <f t="shared" si="3"/>
        <v>0.98497430320438317</v>
      </c>
      <c r="C89" s="31">
        <v>0.98497430320438317</v>
      </c>
      <c r="D89" s="31">
        <v>0.995</v>
      </c>
      <c r="E89" s="31">
        <v>0.96</v>
      </c>
      <c r="F89" s="31">
        <v>0.96</v>
      </c>
      <c r="G89" s="31">
        <v>0.98410764751845092</v>
      </c>
      <c r="H89" s="31">
        <v>0.99</v>
      </c>
      <c r="I89" s="31">
        <v>0.90577586047143255</v>
      </c>
      <c r="J89" s="31">
        <v>0.995</v>
      </c>
      <c r="K89" s="31">
        <v>0.98</v>
      </c>
      <c r="L89" s="31">
        <v>0.99</v>
      </c>
      <c r="M89" s="31">
        <v>1.0049999999999999</v>
      </c>
      <c r="N89" s="32">
        <v>0.99</v>
      </c>
      <c r="P89" s="25">
        <f t="shared" si="4"/>
        <v>38777</v>
      </c>
      <c r="Q89" s="26">
        <f t="shared" si="5"/>
        <v>87</v>
      </c>
    </row>
    <row r="90" spans="1:17" x14ac:dyDescent="0.25">
      <c r="A90" s="191">
        <v>38808</v>
      </c>
      <c r="B90" s="31">
        <f t="shared" si="3"/>
        <v>0.99830915684013177</v>
      </c>
      <c r="C90" s="31">
        <v>0.99830915684013177</v>
      </c>
      <c r="D90" s="31">
        <v>0.995</v>
      </c>
      <c r="E90" s="31">
        <v>0.96</v>
      </c>
      <c r="F90" s="31">
        <v>0.96</v>
      </c>
      <c r="G90" s="31">
        <v>0.99407144019191562</v>
      </c>
      <c r="H90" s="31">
        <v>0.99</v>
      </c>
      <c r="I90" s="31">
        <v>0.98042074975743199</v>
      </c>
      <c r="J90" s="31">
        <v>0.995</v>
      </c>
      <c r="K90" s="31">
        <v>0.98</v>
      </c>
      <c r="L90" s="31">
        <v>0.99</v>
      </c>
      <c r="M90" s="31">
        <v>1.0049999999999999</v>
      </c>
      <c r="N90" s="32">
        <v>0.99</v>
      </c>
      <c r="P90" s="25">
        <f t="shared" si="4"/>
        <v>38808</v>
      </c>
      <c r="Q90" s="26">
        <f t="shared" si="5"/>
        <v>88</v>
      </c>
    </row>
    <row r="91" spans="1:17" x14ac:dyDescent="0.25">
      <c r="A91" s="191">
        <v>38838</v>
      </c>
      <c r="B91" s="31">
        <f t="shared" si="3"/>
        <v>0.99830915684013177</v>
      </c>
      <c r="C91" s="31">
        <v>0.99830915684013177</v>
      </c>
      <c r="D91" s="31">
        <v>0.995</v>
      </c>
      <c r="E91" s="31">
        <v>0.96</v>
      </c>
      <c r="F91" s="31">
        <v>0.96</v>
      </c>
      <c r="G91" s="31">
        <v>0.99407144019191562</v>
      </c>
      <c r="H91" s="31">
        <v>0.99</v>
      </c>
      <c r="I91" s="31">
        <v>0.98042074975743199</v>
      </c>
      <c r="J91" s="31">
        <v>0.995</v>
      </c>
      <c r="K91" s="31">
        <v>0.98</v>
      </c>
      <c r="L91" s="31">
        <v>0.99</v>
      </c>
      <c r="M91" s="31">
        <v>1.0049999999999999</v>
      </c>
      <c r="N91" s="32">
        <v>0.99</v>
      </c>
      <c r="P91" s="25">
        <f t="shared" si="4"/>
        <v>38838</v>
      </c>
      <c r="Q91" s="26">
        <f t="shared" si="5"/>
        <v>89</v>
      </c>
    </row>
    <row r="92" spans="1:17" x14ac:dyDescent="0.25">
      <c r="A92" s="191">
        <v>38869</v>
      </c>
      <c r="B92" s="31">
        <f t="shared" si="3"/>
        <v>0.99830915684013177</v>
      </c>
      <c r="C92" s="31">
        <v>0.99830915684013177</v>
      </c>
      <c r="D92" s="31">
        <v>0.995</v>
      </c>
      <c r="E92" s="31">
        <v>0.96</v>
      </c>
      <c r="F92" s="31">
        <v>0.96</v>
      </c>
      <c r="G92" s="31">
        <v>0.99407144019191562</v>
      </c>
      <c r="H92" s="31">
        <v>0.99</v>
      </c>
      <c r="I92" s="31">
        <v>0.98042074975743199</v>
      </c>
      <c r="J92" s="31">
        <v>0.995</v>
      </c>
      <c r="K92" s="31">
        <v>0.98</v>
      </c>
      <c r="L92" s="31">
        <v>0.99</v>
      </c>
      <c r="M92" s="31">
        <v>1.0049999999999999</v>
      </c>
      <c r="N92" s="32">
        <v>0.99</v>
      </c>
      <c r="P92" s="25">
        <f t="shared" si="4"/>
        <v>38869</v>
      </c>
      <c r="Q92" s="26">
        <f t="shared" si="5"/>
        <v>90</v>
      </c>
    </row>
    <row r="93" spans="1:17" x14ac:dyDescent="0.25">
      <c r="A93" s="191">
        <v>38899</v>
      </c>
      <c r="B93" s="31">
        <f t="shared" si="3"/>
        <v>0.99830915684013177</v>
      </c>
      <c r="C93" s="31">
        <v>0.99830915684013177</v>
      </c>
      <c r="D93" s="31">
        <v>0.995</v>
      </c>
      <c r="E93" s="31">
        <v>0.96</v>
      </c>
      <c r="F93" s="31">
        <v>0.96</v>
      </c>
      <c r="G93" s="31">
        <v>0.99407144019191562</v>
      </c>
      <c r="H93" s="31">
        <v>0.99</v>
      </c>
      <c r="I93" s="31">
        <v>0.98042074975743199</v>
      </c>
      <c r="J93" s="31">
        <v>0.995</v>
      </c>
      <c r="K93" s="31">
        <v>0.98</v>
      </c>
      <c r="L93" s="31">
        <v>0.99</v>
      </c>
      <c r="M93" s="31">
        <v>1.0049999999999999</v>
      </c>
      <c r="N93" s="32">
        <v>0.99</v>
      </c>
      <c r="P93" s="25">
        <f t="shared" si="4"/>
        <v>38899</v>
      </c>
      <c r="Q93" s="26">
        <f t="shared" si="5"/>
        <v>91</v>
      </c>
    </row>
    <row r="94" spans="1:17" x14ac:dyDescent="0.25">
      <c r="A94" s="191">
        <v>38930</v>
      </c>
      <c r="B94" s="31">
        <f t="shared" si="3"/>
        <v>0.99830915684013177</v>
      </c>
      <c r="C94" s="31">
        <v>0.99830915684013177</v>
      </c>
      <c r="D94" s="31">
        <v>0.995</v>
      </c>
      <c r="E94" s="31">
        <v>0.96</v>
      </c>
      <c r="F94" s="31">
        <v>0.96</v>
      </c>
      <c r="G94" s="31">
        <v>0.99407144019191562</v>
      </c>
      <c r="H94" s="31">
        <v>0.99</v>
      </c>
      <c r="I94" s="31">
        <v>0.98042074975743199</v>
      </c>
      <c r="J94" s="31">
        <v>0.995</v>
      </c>
      <c r="K94" s="31">
        <v>0.98</v>
      </c>
      <c r="L94" s="31">
        <v>0.99</v>
      </c>
      <c r="M94" s="31">
        <v>1.0049999999999999</v>
      </c>
      <c r="N94" s="32">
        <v>0.99</v>
      </c>
      <c r="P94" s="25">
        <f t="shared" si="4"/>
        <v>38930</v>
      </c>
      <c r="Q94" s="26">
        <f t="shared" si="5"/>
        <v>92</v>
      </c>
    </row>
    <row r="95" spans="1:17" x14ac:dyDescent="0.25">
      <c r="A95" s="191">
        <v>38961</v>
      </c>
      <c r="B95" s="31">
        <f t="shared" si="3"/>
        <v>0.99830915684013177</v>
      </c>
      <c r="C95" s="31">
        <v>0.99830915684013177</v>
      </c>
      <c r="D95" s="31">
        <v>0.995</v>
      </c>
      <c r="E95" s="31">
        <v>0.96</v>
      </c>
      <c r="F95" s="31">
        <v>0.96</v>
      </c>
      <c r="G95" s="31">
        <v>0.99407144019191562</v>
      </c>
      <c r="H95" s="31">
        <v>0.99</v>
      </c>
      <c r="I95" s="31">
        <v>0.98042074975743199</v>
      </c>
      <c r="J95" s="31">
        <v>0.995</v>
      </c>
      <c r="K95" s="31">
        <v>0.98</v>
      </c>
      <c r="L95" s="31">
        <v>0.99</v>
      </c>
      <c r="M95" s="31">
        <v>1.0049999999999999</v>
      </c>
      <c r="N95" s="32">
        <v>0.99</v>
      </c>
      <c r="P95" s="25">
        <f t="shared" si="4"/>
        <v>38961</v>
      </c>
      <c r="Q95" s="26">
        <f t="shared" si="5"/>
        <v>93</v>
      </c>
    </row>
    <row r="96" spans="1:17" x14ac:dyDescent="0.25">
      <c r="A96" s="191">
        <v>38991</v>
      </c>
      <c r="B96" s="31">
        <f t="shared" si="3"/>
        <v>0.99830915684013177</v>
      </c>
      <c r="C96" s="31">
        <v>0.99830915684013177</v>
      </c>
      <c r="D96" s="31">
        <v>0.995</v>
      </c>
      <c r="E96" s="31">
        <v>0.96</v>
      </c>
      <c r="F96" s="31">
        <v>0.96</v>
      </c>
      <c r="G96" s="31">
        <v>0.99407144019191562</v>
      </c>
      <c r="H96" s="31">
        <v>0.99</v>
      </c>
      <c r="I96" s="31">
        <v>0.98042074975743199</v>
      </c>
      <c r="J96" s="31">
        <v>0.995</v>
      </c>
      <c r="K96" s="31">
        <v>0.98</v>
      </c>
      <c r="L96" s="31">
        <v>0.99</v>
      </c>
      <c r="M96" s="31">
        <v>1.0049999999999999</v>
      </c>
      <c r="N96" s="32">
        <v>0.99</v>
      </c>
      <c r="P96" s="25">
        <f t="shared" si="4"/>
        <v>38991</v>
      </c>
      <c r="Q96" s="26">
        <f t="shared" si="5"/>
        <v>94</v>
      </c>
    </row>
    <row r="97" spans="1:17" x14ac:dyDescent="0.25">
      <c r="A97" s="191">
        <v>39022</v>
      </c>
      <c r="B97" s="31">
        <f t="shared" si="3"/>
        <v>0.98497430320438317</v>
      </c>
      <c r="C97" s="31">
        <v>0.98497430320438317</v>
      </c>
      <c r="D97" s="31">
        <v>0.995</v>
      </c>
      <c r="E97" s="31">
        <v>0.96</v>
      </c>
      <c r="F97" s="31">
        <v>0.96</v>
      </c>
      <c r="G97" s="31">
        <v>0.98410764751845092</v>
      </c>
      <c r="H97" s="31">
        <v>0.99</v>
      </c>
      <c r="I97" s="31">
        <v>0.90577586047143255</v>
      </c>
      <c r="J97" s="31">
        <v>0.995</v>
      </c>
      <c r="K97" s="31">
        <v>0.98</v>
      </c>
      <c r="L97" s="31">
        <v>0.99</v>
      </c>
      <c r="M97" s="31">
        <v>1.0049999999999999</v>
      </c>
      <c r="N97" s="32">
        <v>0.99</v>
      </c>
      <c r="P97" s="25">
        <f t="shared" si="4"/>
        <v>39022</v>
      </c>
      <c r="Q97" s="26">
        <f t="shared" si="5"/>
        <v>95</v>
      </c>
    </row>
    <row r="98" spans="1:17" x14ac:dyDescent="0.25">
      <c r="A98" s="191">
        <v>39052</v>
      </c>
      <c r="B98" s="31">
        <f t="shared" si="3"/>
        <v>0.98497430320438317</v>
      </c>
      <c r="C98" s="31">
        <v>0.98497430320438317</v>
      </c>
      <c r="D98" s="31">
        <v>0.995</v>
      </c>
      <c r="E98" s="31">
        <v>0.96</v>
      </c>
      <c r="F98" s="31">
        <v>0.96</v>
      </c>
      <c r="G98" s="31">
        <v>0.98410764751845092</v>
      </c>
      <c r="H98" s="31">
        <v>0.99</v>
      </c>
      <c r="I98" s="31">
        <v>0.90577586047143255</v>
      </c>
      <c r="J98" s="31">
        <v>0.995</v>
      </c>
      <c r="K98" s="31">
        <v>0.98</v>
      </c>
      <c r="L98" s="31">
        <v>0.99</v>
      </c>
      <c r="M98" s="31">
        <v>1.0049999999999999</v>
      </c>
      <c r="N98" s="32">
        <v>0.99</v>
      </c>
      <c r="P98" s="25">
        <f t="shared" si="4"/>
        <v>39052</v>
      </c>
      <c r="Q98" s="26">
        <f t="shared" si="5"/>
        <v>96</v>
      </c>
    </row>
    <row r="99" spans="1:17" x14ac:dyDescent="0.25">
      <c r="A99" s="191">
        <v>39083</v>
      </c>
      <c r="B99" s="31">
        <f t="shared" si="3"/>
        <v>0.98497430320438317</v>
      </c>
      <c r="C99" s="31">
        <v>0.98497430320438317</v>
      </c>
      <c r="D99" s="31">
        <v>0.995</v>
      </c>
      <c r="E99" s="31">
        <v>0.96</v>
      </c>
      <c r="F99" s="31">
        <v>0.96</v>
      </c>
      <c r="G99" s="31">
        <v>0.98410764751845092</v>
      </c>
      <c r="H99" s="31">
        <v>0.99</v>
      </c>
      <c r="I99" s="31">
        <v>0.90577586047143255</v>
      </c>
      <c r="J99" s="31">
        <v>0.995</v>
      </c>
      <c r="K99" s="31">
        <v>0.98</v>
      </c>
      <c r="L99" s="31">
        <v>0.99</v>
      </c>
      <c r="M99" s="31">
        <v>1.0049999999999999</v>
      </c>
      <c r="N99" s="32">
        <v>0.99</v>
      </c>
      <c r="P99" s="25">
        <f t="shared" si="4"/>
        <v>39083</v>
      </c>
      <c r="Q99" s="26">
        <f t="shared" si="5"/>
        <v>97</v>
      </c>
    </row>
    <row r="100" spans="1:17" x14ac:dyDescent="0.25">
      <c r="A100" s="191">
        <v>39114</v>
      </c>
      <c r="B100" s="31">
        <f t="shared" si="3"/>
        <v>0.98497430320438317</v>
      </c>
      <c r="C100" s="31">
        <v>0.98497430320438317</v>
      </c>
      <c r="D100" s="31">
        <v>0.995</v>
      </c>
      <c r="E100" s="31">
        <v>0.96</v>
      </c>
      <c r="F100" s="31">
        <v>0.96</v>
      </c>
      <c r="G100" s="31">
        <v>0.98410764751845092</v>
      </c>
      <c r="H100" s="31">
        <v>0.99</v>
      </c>
      <c r="I100" s="31">
        <v>0.90577586047143255</v>
      </c>
      <c r="J100" s="31">
        <v>0.995</v>
      </c>
      <c r="K100" s="31">
        <v>0.98</v>
      </c>
      <c r="L100" s="31">
        <v>0.99</v>
      </c>
      <c r="M100" s="31">
        <v>1.0049999999999999</v>
      </c>
      <c r="N100" s="32">
        <v>0.99</v>
      </c>
      <c r="P100" s="25">
        <f t="shared" si="4"/>
        <v>39114</v>
      </c>
      <c r="Q100" s="26">
        <f t="shared" si="5"/>
        <v>98</v>
      </c>
    </row>
    <row r="101" spans="1:17" x14ac:dyDescent="0.25">
      <c r="A101" s="191">
        <v>39142</v>
      </c>
      <c r="B101" s="31">
        <f t="shared" si="3"/>
        <v>0.98497430320438317</v>
      </c>
      <c r="C101" s="31">
        <v>0.98497430320438317</v>
      </c>
      <c r="D101" s="31">
        <v>0.995</v>
      </c>
      <c r="E101" s="31">
        <v>0.96</v>
      </c>
      <c r="F101" s="31">
        <v>0.96</v>
      </c>
      <c r="G101" s="31">
        <v>0.98410764751845092</v>
      </c>
      <c r="H101" s="31">
        <v>0.99</v>
      </c>
      <c r="I101" s="31">
        <v>0.90577586047143255</v>
      </c>
      <c r="J101" s="31">
        <v>0.995</v>
      </c>
      <c r="K101" s="31">
        <v>0.98</v>
      </c>
      <c r="L101" s="31">
        <v>0.99</v>
      </c>
      <c r="M101" s="31">
        <v>1.0049999999999999</v>
      </c>
      <c r="N101" s="32">
        <v>0.99</v>
      </c>
      <c r="P101" s="25">
        <f t="shared" si="4"/>
        <v>39142</v>
      </c>
      <c r="Q101" s="26">
        <f t="shared" si="5"/>
        <v>99</v>
      </c>
    </row>
    <row r="102" spans="1:17" x14ac:dyDescent="0.25">
      <c r="A102" s="191">
        <v>39173</v>
      </c>
      <c r="B102" s="31">
        <f t="shared" si="3"/>
        <v>0.93059999999999998</v>
      </c>
      <c r="C102" s="31">
        <v>0.93059999999999998</v>
      </c>
      <c r="D102" s="31">
        <v>0.995</v>
      </c>
      <c r="E102" s="31">
        <v>0.96</v>
      </c>
      <c r="F102" s="31">
        <v>0.96</v>
      </c>
      <c r="G102" s="31">
        <v>0.93059999999999998</v>
      </c>
      <c r="H102" s="31">
        <v>0.99</v>
      </c>
      <c r="I102" s="31">
        <v>0.93059999999999998</v>
      </c>
      <c r="J102" s="31">
        <v>0.995</v>
      </c>
      <c r="K102" s="31">
        <v>0.98</v>
      </c>
      <c r="L102" s="31">
        <v>0.99</v>
      </c>
      <c r="M102" s="31">
        <v>1.0049999999999999</v>
      </c>
      <c r="N102" s="32">
        <v>0.99</v>
      </c>
      <c r="P102" s="25">
        <f t="shared" si="4"/>
        <v>39173</v>
      </c>
      <c r="Q102" s="26">
        <f t="shared" si="5"/>
        <v>100</v>
      </c>
    </row>
    <row r="103" spans="1:17" x14ac:dyDescent="0.25">
      <c r="A103" s="191">
        <v>39203</v>
      </c>
      <c r="B103" s="31">
        <f t="shared" si="3"/>
        <v>0.93059999999999998</v>
      </c>
      <c r="C103" s="31">
        <v>0.93059999999999998</v>
      </c>
      <c r="D103" s="31">
        <v>0.995</v>
      </c>
      <c r="E103" s="31">
        <v>0.96</v>
      </c>
      <c r="F103" s="31">
        <v>0.96</v>
      </c>
      <c r="G103" s="31">
        <v>0.93059999999999998</v>
      </c>
      <c r="H103" s="31">
        <v>0.99</v>
      </c>
      <c r="I103" s="31">
        <v>0.93059999999999998</v>
      </c>
      <c r="J103" s="31">
        <v>0.995</v>
      </c>
      <c r="K103" s="31">
        <v>0.98</v>
      </c>
      <c r="L103" s="31">
        <v>0.99</v>
      </c>
      <c r="M103" s="31">
        <v>1.0049999999999999</v>
      </c>
      <c r="N103" s="32">
        <v>0.99</v>
      </c>
      <c r="P103" s="25">
        <f t="shared" si="4"/>
        <v>39203</v>
      </c>
      <c r="Q103" s="26">
        <f t="shared" si="5"/>
        <v>101</v>
      </c>
    </row>
    <row r="104" spans="1:17" x14ac:dyDescent="0.25">
      <c r="A104" s="191">
        <v>39234</v>
      </c>
      <c r="B104" s="31">
        <f t="shared" si="3"/>
        <v>0.93059999999999998</v>
      </c>
      <c r="C104" s="31">
        <v>0.93059999999999998</v>
      </c>
      <c r="D104" s="31">
        <v>0.995</v>
      </c>
      <c r="E104" s="31">
        <v>0.96</v>
      </c>
      <c r="F104" s="31">
        <v>0.96</v>
      </c>
      <c r="G104" s="31">
        <v>0.93059999999999998</v>
      </c>
      <c r="H104" s="31">
        <v>0.99</v>
      </c>
      <c r="I104" s="31">
        <v>0.93059999999999998</v>
      </c>
      <c r="J104" s="31">
        <v>0.995</v>
      </c>
      <c r="K104" s="31">
        <v>0.98</v>
      </c>
      <c r="L104" s="31">
        <v>0.99</v>
      </c>
      <c r="M104" s="31">
        <v>1.0049999999999999</v>
      </c>
      <c r="N104" s="32">
        <v>0.99</v>
      </c>
      <c r="P104" s="25">
        <f t="shared" si="4"/>
        <v>39234</v>
      </c>
      <c r="Q104" s="26">
        <f t="shared" si="5"/>
        <v>102</v>
      </c>
    </row>
    <row r="105" spans="1:17" x14ac:dyDescent="0.25">
      <c r="A105" s="191">
        <v>39264</v>
      </c>
      <c r="B105" s="31">
        <f t="shared" si="3"/>
        <v>0.93059999999999998</v>
      </c>
      <c r="C105" s="31">
        <v>0.93059999999999998</v>
      </c>
      <c r="D105" s="31">
        <v>0.995</v>
      </c>
      <c r="E105" s="31">
        <v>0.96</v>
      </c>
      <c r="F105" s="31">
        <v>0.96</v>
      </c>
      <c r="G105" s="31">
        <v>0.93059999999999998</v>
      </c>
      <c r="H105" s="31">
        <v>0.99</v>
      </c>
      <c r="I105" s="31">
        <v>0.93059999999999998</v>
      </c>
      <c r="J105" s="31">
        <v>0.995</v>
      </c>
      <c r="K105" s="31">
        <v>0.98</v>
      </c>
      <c r="L105" s="31">
        <v>0.99</v>
      </c>
      <c r="M105" s="31">
        <v>1.0049999999999999</v>
      </c>
      <c r="N105" s="32">
        <v>0.99</v>
      </c>
      <c r="P105" s="25">
        <f t="shared" si="4"/>
        <v>39264</v>
      </c>
      <c r="Q105" s="26">
        <f t="shared" si="5"/>
        <v>103</v>
      </c>
    </row>
    <row r="106" spans="1:17" x14ac:dyDescent="0.25">
      <c r="A106" s="191">
        <v>39295</v>
      </c>
      <c r="B106" s="31">
        <f t="shared" si="3"/>
        <v>0.93059999999999998</v>
      </c>
      <c r="C106" s="31">
        <v>0.93059999999999998</v>
      </c>
      <c r="D106" s="31">
        <v>0.995</v>
      </c>
      <c r="E106" s="31">
        <v>0.96</v>
      </c>
      <c r="F106" s="31">
        <v>0.96</v>
      </c>
      <c r="G106" s="31">
        <v>0.93059999999999998</v>
      </c>
      <c r="H106" s="31">
        <v>0.99</v>
      </c>
      <c r="I106" s="31">
        <v>0.93059999999999998</v>
      </c>
      <c r="J106" s="31">
        <v>0.995</v>
      </c>
      <c r="K106" s="31">
        <v>0.98</v>
      </c>
      <c r="L106" s="31">
        <v>0.99</v>
      </c>
      <c r="M106" s="31">
        <v>1.0049999999999999</v>
      </c>
      <c r="N106" s="32">
        <v>0.99</v>
      </c>
      <c r="P106" s="25">
        <f t="shared" si="4"/>
        <v>39295</v>
      </c>
      <c r="Q106" s="26">
        <f t="shared" si="5"/>
        <v>104</v>
      </c>
    </row>
    <row r="107" spans="1:17" x14ac:dyDescent="0.25">
      <c r="A107" s="191">
        <v>39326</v>
      </c>
      <c r="B107" s="31">
        <f t="shared" si="3"/>
        <v>0.93059999999999998</v>
      </c>
      <c r="C107" s="31">
        <v>0.93059999999999998</v>
      </c>
      <c r="D107" s="31">
        <v>0.995</v>
      </c>
      <c r="E107" s="31">
        <v>0.96</v>
      </c>
      <c r="F107" s="31">
        <v>0.96</v>
      </c>
      <c r="G107" s="31">
        <v>0.93059999999999998</v>
      </c>
      <c r="H107" s="31">
        <v>0.99</v>
      </c>
      <c r="I107" s="31">
        <v>0.93059999999999998</v>
      </c>
      <c r="J107" s="31">
        <v>0.995</v>
      </c>
      <c r="K107" s="31">
        <v>0.98</v>
      </c>
      <c r="L107" s="31">
        <v>0.99</v>
      </c>
      <c r="M107" s="31">
        <v>1.0049999999999999</v>
      </c>
      <c r="N107" s="32">
        <v>0.99</v>
      </c>
      <c r="P107" s="25">
        <f t="shared" si="4"/>
        <v>39326</v>
      </c>
      <c r="Q107" s="26">
        <f t="shared" si="5"/>
        <v>105</v>
      </c>
    </row>
    <row r="108" spans="1:17" x14ac:dyDescent="0.25">
      <c r="A108" s="191">
        <v>39356</v>
      </c>
      <c r="B108" s="31">
        <f t="shared" si="3"/>
        <v>0.93059999999999998</v>
      </c>
      <c r="C108" s="31">
        <v>0.93059999999999998</v>
      </c>
      <c r="D108" s="31">
        <v>0.995</v>
      </c>
      <c r="E108" s="31">
        <v>0.96</v>
      </c>
      <c r="F108" s="31">
        <v>0.96</v>
      </c>
      <c r="G108" s="31">
        <v>0.93059999999999998</v>
      </c>
      <c r="H108" s="31">
        <v>0.99</v>
      </c>
      <c r="I108" s="31">
        <v>0.93059999999999998</v>
      </c>
      <c r="J108" s="31">
        <v>0.995</v>
      </c>
      <c r="K108" s="31">
        <v>0.98</v>
      </c>
      <c r="L108" s="31">
        <v>0.99</v>
      </c>
      <c r="M108" s="31">
        <v>1.0049999999999999</v>
      </c>
      <c r="N108" s="32">
        <v>0.99</v>
      </c>
      <c r="P108" s="25">
        <f t="shared" si="4"/>
        <v>39356</v>
      </c>
      <c r="Q108" s="26">
        <f t="shared" si="5"/>
        <v>106</v>
      </c>
    </row>
    <row r="109" spans="1:17" x14ac:dyDescent="0.25">
      <c r="A109" s="191">
        <v>39387</v>
      </c>
      <c r="B109" s="31">
        <f t="shared" si="3"/>
        <v>0.93059999999999998</v>
      </c>
      <c r="C109" s="31">
        <v>0.93059999999999998</v>
      </c>
      <c r="D109" s="31">
        <v>0.995</v>
      </c>
      <c r="E109" s="31">
        <v>0.96</v>
      </c>
      <c r="F109" s="31">
        <v>0.96</v>
      </c>
      <c r="G109" s="31">
        <v>0.93059999999999998</v>
      </c>
      <c r="H109" s="31">
        <v>0.99</v>
      </c>
      <c r="I109" s="31">
        <v>0.93059999999999998</v>
      </c>
      <c r="J109" s="31">
        <v>0.995</v>
      </c>
      <c r="K109" s="31">
        <v>0.98</v>
      </c>
      <c r="L109" s="31">
        <v>0.99</v>
      </c>
      <c r="M109" s="31">
        <v>1.0049999999999999</v>
      </c>
      <c r="N109" s="32">
        <v>0.99</v>
      </c>
      <c r="P109" s="25">
        <f t="shared" si="4"/>
        <v>39387</v>
      </c>
      <c r="Q109" s="26">
        <f t="shared" si="5"/>
        <v>107</v>
      </c>
    </row>
    <row r="110" spans="1:17" x14ac:dyDescent="0.25">
      <c r="A110" s="191">
        <v>39417</v>
      </c>
      <c r="B110" s="31">
        <f t="shared" si="3"/>
        <v>0.93059999999999998</v>
      </c>
      <c r="C110" s="31">
        <v>0.93059999999999998</v>
      </c>
      <c r="D110" s="31">
        <v>0.995</v>
      </c>
      <c r="E110" s="31">
        <v>0.96</v>
      </c>
      <c r="F110" s="31">
        <v>0.96</v>
      </c>
      <c r="G110" s="31">
        <v>0.93059999999999998</v>
      </c>
      <c r="H110" s="31">
        <v>0.99</v>
      </c>
      <c r="I110" s="31">
        <v>0.93059999999999998</v>
      </c>
      <c r="J110" s="31">
        <v>0.995</v>
      </c>
      <c r="K110" s="31">
        <v>0.98</v>
      </c>
      <c r="L110" s="31">
        <v>0.99</v>
      </c>
      <c r="M110" s="31">
        <v>1.0049999999999999</v>
      </c>
      <c r="N110" s="32">
        <v>0.99</v>
      </c>
      <c r="P110" s="25">
        <f t="shared" si="4"/>
        <v>39417</v>
      </c>
      <c r="Q110" s="26">
        <f t="shared" si="5"/>
        <v>108</v>
      </c>
    </row>
    <row r="111" spans="1:17" x14ac:dyDescent="0.25">
      <c r="A111" s="191">
        <v>39448</v>
      </c>
      <c r="B111" s="31">
        <f t="shared" si="3"/>
        <v>0.93059999999999998</v>
      </c>
      <c r="C111" s="31">
        <v>0.93059999999999998</v>
      </c>
      <c r="D111" s="31">
        <v>0.995</v>
      </c>
      <c r="E111" s="31">
        <v>0.96</v>
      </c>
      <c r="F111" s="31">
        <v>0.96</v>
      </c>
      <c r="G111" s="31">
        <v>0.93059999999999998</v>
      </c>
      <c r="H111" s="31">
        <v>0.99</v>
      </c>
      <c r="I111" s="31">
        <v>0.93059999999999998</v>
      </c>
      <c r="J111" s="31">
        <v>0.995</v>
      </c>
      <c r="K111" s="31">
        <v>0.98</v>
      </c>
      <c r="L111" s="31">
        <v>0.99</v>
      </c>
      <c r="M111" s="31">
        <v>1.0049999999999999</v>
      </c>
      <c r="N111" s="32">
        <v>0.99</v>
      </c>
      <c r="P111" s="25">
        <f t="shared" si="4"/>
        <v>39448</v>
      </c>
      <c r="Q111" s="26">
        <f t="shared" si="5"/>
        <v>109</v>
      </c>
    </row>
    <row r="112" spans="1:17" x14ac:dyDescent="0.25">
      <c r="A112" s="191">
        <v>39479</v>
      </c>
      <c r="B112" s="31">
        <f t="shared" si="3"/>
        <v>0.93059999999999998</v>
      </c>
      <c r="C112" s="31">
        <v>0.93059999999999998</v>
      </c>
      <c r="D112" s="31">
        <v>0.995</v>
      </c>
      <c r="E112" s="31">
        <v>0.96</v>
      </c>
      <c r="F112" s="31">
        <v>0.96</v>
      </c>
      <c r="G112" s="31">
        <v>0.93059999999999998</v>
      </c>
      <c r="H112" s="31">
        <v>0.99</v>
      </c>
      <c r="I112" s="31">
        <v>0.93059999999999998</v>
      </c>
      <c r="J112" s="31">
        <v>0.995</v>
      </c>
      <c r="K112" s="31">
        <v>0.98</v>
      </c>
      <c r="L112" s="31">
        <v>0.99</v>
      </c>
      <c r="M112" s="31">
        <v>1.0049999999999999</v>
      </c>
      <c r="N112" s="32">
        <v>0.99</v>
      </c>
      <c r="P112" s="25">
        <f t="shared" si="4"/>
        <v>39479</v>
      </c>
      <c r="Q112" s="26">
        <f t="shared" si="5"/>
        <v>110</v>
      </c>
    </row>
    <row r="113" spans="1:17" x14ac:dyDescent="0.25">
      <c r="A113" s="191">
        <v>39508</v>
      </c>
      <c r="B113" s="31">
        <f t="shared" si="3"/>
        <v>0.93059999999999998</v>
      </c>
      <c r="C113" s="31">
        <v>0.93059999999999998</v>
      </c>
      <c r="D113" s="31">
        <v>0.995</v>
      </c>
      <c r="E113" s="31">
        <v>0.96</v>
      </c>
      <c r="F113" s="31">
        <v>0.96</v>
      </c>
      <c r="G113" s="31">
        <v>0.93059999999999998</v>
      </c>
      <c r="H113" s="31">
        <v>0.99</v>
      </c>
      <c r="I113" s="31">
        <v>0.93059999999999998</v>
      </c>
      <c r="J113" s="31">
        <v>0.995</v>
      </c>
      <c r="K113" s="31">
        <v>0.98</v>
      </c>
      <c r="L113" s="31">
        <v>0.99</v>
      </c>
      <c r="M113" s="31">
        <v>1.0049999999999999</v>
      </c>
      <c r="N113" s="32">
        <v>0.99</v>
      </c>
      <c r="P113" s="25">
        <f t="shared" si="4"/>
        <v>39508</v>
      </c>
      <c r="Q113" s="26">
        <f t="shared" si="5"/>
        <v>111</v>
      </c>
    </row>
    <row r="114" spans="1:17" x14ac:dyDescent="0.25">
      <c r="A114" s="191">
        <v>39539</v>
      </c>
      <c r="B114" s="31">
        <f t="shared" si="3"/>
        <v>0.93059999999999998</v>
      </c>
      <c r="C114" s="31">
        <v>0.93059999999999998</v>
      </c>
      <c r="D114" s="31">
        <v>0.995</v>
      </c>
      <c r="E114" s="31">
        <v>0.96</v>
      </c>
      <c r="F114" s="31">
        <v>0.96</v>
      </c>
      <c r="G114" s="31">
        <v>0.93059999999999998</v>
      </c>
      <c r="H114" s="31">
        <v>0.99</v>
      </c>
      <c r="I114" s="31">
        <v>0.93059999999999998</v>
      </c>
      <c r="J114" s="31">
        <v>0.995</v>
      </c>
      <c r="K114" s="31">
        <v>0.98</v>
      </c>
      <c r="L114" s="31">
        <v>0.99</v>
      </c>
      <c r="M114" s="31">
        <v>1.0049999999999999</v>
      </c>
      <c r="N114" s="32">
        <v>0.99</v>
      </c>
      <c r="P114" s="25">
        <f t="shared" si="4"/>
        <v>39539</v>
      </c>
      <c r="Q114" s="26">
        <f t="shared" si="5"/>
        <v>112</v>
      </c>
    </row>
    <row r="115" spans="1:17" x14ac:dyDescent="0.25">
      <c r="A115" s="191">
        <v>39569</v>
      </c>
      <c r="B115" s="31">
        <f t="shared" si="3"/>
        <v>0.93059999999999998</v>
      </c>
      <c r="C115" s="31">
        <v>0.93059999999999998</v>
      </c>
      <c r="D115" s="31">
        <v>0.995</v>
      </c>
      <c r="E115" s="31">
        <v>0.96</v>
      </c>
      <c r="F115" s="31">
        <v>0.96</v>
      </c>
      <c r="G115" s="31">
        <v>0.93059999999999998</v>
      </c>
      <c r="H115" s="31">
        <v>0.99</v>
      </c>
      <c r="I115" s="31">
        <v>0.93059999999999998</v>
      </c>
      <c r="J115" s="31">
        <v>0.995</v>
      </c>
      <c r="K115" s="31">
        <v>0.98</v>
      </c>
      <c r="L115" s="31">
        <v>0.99</v>
      </c>
      <c r="M115" s="31">
        <v>1.0049999999999999</v>
      </c>
      <c r="N115" s="32">
        <v>0.99</v>
      </c>
      <c r="P115" s="25">
        <f t="shared" si="4"/>
        <v>39569</v>
      </c>
      <c r="Q115" s="26">
        <f t="shared" si="5"/>
        <v>113</v>
      </c>
    </row>
    <row r="116" spans="1:17" x14ac:dyDescent="0.25">
      <c r="A116" s="191">
        <v>39600</v>
      </c>
      <c r="B116" s="31">
        <f t="shared" si="3"/>
        <v>0.93059999999999998</v>
      </c>
      <c r="C116" s="31">
        <v>0.93059999999999998</v>
      </c>
      <c r="D116" s="31">
        <v>0.995</v>
      </c>
      <c r="E116" s="31">
        <v>0.96</v>
      </c>
      <c r="F116" s="31">
        <v>0.96</v>
      </c>
      <c r="G116" s="31">
        <v>0.93059999999999998</v>
      </c>
      <c r="H116" s="31">
        <v>0.99</v>
      </c>
      <c r="I116" s="31">
        <v>0.93059999999999998</v>
      </c>
      <c r="J116" s="31">
        <v>0.995</v>
      </c>
      <c r="K116" s="31">
        <v>0.98</v>
      </c>
      <c r="L116" s="31">
        <v>0.99</v>
      </c>
      <c r="M116" s="31">
        <v>1.0049999999999999</v>
      </c>
      <c r="N116" s="32">
        <v>0.99</v>
      </c>
      <c r="P116" s="25">
        <f t="shared" si="4"/>
        <v>39600</v>
      </c>
      <c r="Q116" s="26">
        <f t="shared" si="5"/>
        <v>114</v>
      </c>
    </row>
    <row r="117" spans="1:17" x14ac:dyDescent="0.25">
      <c r="A117" s="191">
        <v>39630</v>
      </c>
      <c r="B117" s="31">
        <f t="shared" si="3"/>
        <v>0.93059999999999998</v>
      </c>
      <c r="C117" s="31">
        <v>0.93059999999999998</v>
      </c>
      <c r="D117" s="31">
        <v>0.995</v>
      </c>
      <c r="E117" s="31">
        <v>0.96</v>
      </c>
      <c r="F117" s="31">
        <v>0.96</v>
      </c>
      <c r="G117" s="31">
        <v>0.93059999999999998</v>
      </c>
      <c r="H117" s="31">
        <v>0.99</v>
      </c>
      <c r="I117" s="31">
        <v>0.93059999999999998</v>
      </c>
      <c r="J117" s="31">
        <v>0.995</v>
      </c>
      <c r="K117" s="31">
        <v>0.98</v>
      </c>
      <c r="L117" s="31">
        <v>0.99</v>
      </c>
      <c r="M117" s="31">
        <v>1.0049999999999999</v>
      </c>
      <c r="N117" s="32">
        <v>0.99</v>
      </c>
      <c r="P117" s="25">
        <f t="shared" si="4"/>
        <v>39630</v>
      </c>
      <c r="Q117" s="26">
        <f t="shared" si="5"/>
        <v>115</v>
      </c>
    </row>
    <row r="118" spans="1:17" x14ac:dyDescent="0.25">
      <c r="A118" s="191">
        <v>39661</v>
      </c>
      <c r="B118" s="31">
        <f t="shared" si="3"/>
        <v>0.93059999999999998</v>
      </c>
      <c r="C118" s="31">
        <v>0.93059999999999998</v>
      </c>
      <c r="D118" s="31">
        <v>0.995</v>
      </c>
      <c r="E118" s="31">
        <v>0.96</v>
      </c>
      <c r="F118" s="31">
        <v>0.96</v>
      </c>
      <c r="G118" s="31">
        <v>0.93059999999999998</v>
      </c>
      <c r="H118" s="31">
        <v>0.99</v>
      </c>
      <c r="I118" s="31">
        <v>0.93059999999999998</v>
      </c>
      <c r="J118" s="31">
        <v>0.995</v>
      </c>
      <c r="K118" s="31">
        <v>0.98</v>
      </c>
      <c r="L118" s="31">
        <v>0.99</v>
      </c>
      <c r="M118" s="31">
        <v>1.0049999999999999</v>
      </c>
      <c r="N118" s="32">
        <v>0.99</v>
      </c>
      <c r="P118" s="25">
        <f t="shared" si="4"/>
        <v>39661</v>
      </c>
      <c r="Q118" s="26">
        <f t="shared" si="5"/>
        <v>116</v>
      </c>
    </row>
    <row r="119" spans="1:17" x14ac:dyDescent="0.25">
      <c r="A119" s="191">
        <v>39692</v>
      </c>
      <c r="B119" s="31">
        <f t="shared" si="3"/>
        <v>0.93059999999999998</v>
      </c>
      <c r="C119" s="31">
        <v>0.93059999999999998</v>
      </c>
      <c r="D119" s="31">
        <v>0.995</v>
      </c>
      <c r="E119" s="31">
        <v>0.96</v>
      </c>
      <c r="F119" s="31">
        <v>0.96</v>
      </c>
      <c r="G119" s="31">
        <v>0.93059999999999998</v>
      </c>
      <c r="H119" s="31">
        <v>0.99</v>
      </c>
      <c r="I119" s="31">
        <v>0.93059999999999998</v>
      </c>
      <c r="J119" s="31">
        <v>0.995</v>
      </c>
      <c r="K119" s="31">
        <v>0.98</v>
      </c>
      <c r="L119" s="31">
        <v>0.99</v>
      </c>
      <c r="M119" s="31">
        <v>1.0049999999999999</v>
      </c>
      <c r="N119" s="32">
        <v>0.99</v>
      </c>
      <c r="P119" s="25">
        <f t="shared" si="4"/>
        <v>39692</v>
      </c>
      <c r="Q119" s="26">
        <f t="shared" si="5"/>
        <v>117</v>
      </c>
    </row>
    <row r="120" spans="1:17" x14ac:dyDescent="0.25">
      <c r="A120" s="191">
        <v>39722</v>
      </c>
      <c r="B120" s="31">
        <f t="shared" si="3"/>
        <v>0.93059999999999998</v>
      </c>
      <c r="C120" s="31">
        <v>0.93059999999999998</v>
      </c>
      <c r="D120" s="31">
        <v>0.995</v>
      </c>
      <c r="E120" s="31">
        <v>0.96</v>
      </c>
      <c r="F120" s="31">
        <v>0.96</v>
      </c>
      <c r="G120" s="31">
        <v>0.93059999999999998</v>
      </c>
      <c r="H120" s="31">
        <v>0.99</v>
      </c>
      <c r="I120" s="31">
        <v>0.93059999999999998</v>
      </c>
      <c r="J120" s="31">
        <v>0.995</v>
      </c>
      <c r="K120" s="31">
        <v>0.98</v>
      </c>
      <c r="L120" s="31">
        <v>0.99</v>
      </c>
      <c r="M120" s="31">
        <v>1.0049999999999999</v>
      </c>
      <c r="N120" s="32">
        <v>0.99</v>
      </c>
      <c r="P120" s="25">
        <f t="shared" si="4"/>
        <v>39722</v>
      </c>
      <c r="Q120" s="26">
        <f t="shared" si="5"/>
        <v>118</v>
      </c>
    </row>
    <row r="121" spans="1:17" x14ac:dyDescent="0.25">
      <c r="A121" s="191">
        <v>39753</v>
      </c>
      <c r="B121" s="31">
        <f t="shared" si="3"/>
        <v>0.93059999999999998</v>
      </c>
      <c r="C121" s="31">
        <v>0.93059999999999998</v>
      </c>
      <c r="D121" s="31">
        <v>0.995</v>
      </c>
      <c r="E121" s="31">
        <v>0.96</v>
      </c>
      <c r="F121" s="31">
        <v>0.96</v>
      </c>
      <c r="G121" s="31">
        <v>0.93059999999999998</v>
      </c>
      <c r="H121" s="31">
        <v>0.99</v>
      </c>
      <c r="I121" s="31">
        <v>0.93059999999999998</v>
      </c>
      <c r="J121" s="31">
        <v>0.995</v>
      </c>
      <c r="K121" s="31">
        <v>0.98</v>
      </c>
      <c r="L121" s="31">
        <v>0.99</v>
      </c>
      <c r="M121" s="31">
        <v>1.0049999999999999</v>
      </c>
      <c r="N121" s="32">
        <v>0.99</v>
      </c>
      <c r="P121" s="25">
        <f t="shared" si="4"/>
        <v>39753</v>
      </c>
      <c r="Q121" s="26">
        <f t="shared" si="5"/>
        <v>119</v>
      </c>
    </row>
    <row r="122" spans="1:17" x14ac:dyDescent="0.25">
      <c r="A122" s="191">
        <v>39783</v>
      </c>
      <c r="B122" s="31">
        <f t="shared" si="3"/>
        <v>0.93059999999999998</v>
      </c>
      <c r="C122" s="31">
        <v>0.93059999999999998</v>
      </c>
      <c r="D122" s="31">
        <v>0.995</v>
      </c>
      <c r="E122" s="31">
        <v>0.96</v>
      </c>
      <c r="F122" s="31">
        <v>0.96</v>
      </c>
      <c r="G122" s="31">
        <v>0.93059999999999998</v>
      </c>
      <c r="H122" s="31">
        <v>0.99</v>
      </c>
      <c r="I122" s="31">
        <v>0.93059999999999998</v>
      </c>
      <c r="J122" s="31">
        <v>0.995</v>
      </c>
      <c r="K122" s="31">
        <v>0.98</v>
      </c>
      <c r="L122" s="31">
        <v>0.99</v>
      </c>
      <c r="M122" s="31">
        <v>1.0049999999999999</v>
      </c>
      <c r="N122" s="32">
        <v>0.99</v>
      </c>
      <c r="P122" s="25">
        <f t="shared" si="4"/>
        <v>39783</v>
      </c>
      <c r="Q122" s="26">
        <f t="shared" si="5"/>
        <v>120</v>
      </c>
    </row>
    <row r="123" spans="1:17" x14ac:dyDescent="0.25">
      <c r="A123" s="191">
        <v>39814</v>
      </c>
      <c r="B123" s="31">
        <f t="shared" si="3"/>
        <v>0.93059999999999998</v>
      </c>
      <c r="C123" s="31">
        <v>0.93059999999999998</v>
      </c>
      <c r="D123" s="31">
        <v>0.995</v>
      </c>
      <c r="E123" s="31">
        <v>0.96</v>
      </c>
      <c r="F123" s="31">
        <v>0.96</v>
      </c>
      <c r="G123" s="31">
        <v>0.93059999999999998</v>
      </c>
      <c r="H123" s="31">
        <v>0.99</v>
      </c>
      <c r="I123" s="31">
        <v>0.93059999999999998</v>
      </c>
      <c r="J123" s="31">
        <v>0.995</v>
      </c>
      <c r="K123" s="31">
        <v>0.98</v>
      </c>
      <c r="L123" s="31">
        <v>0.99</v>
      </c>
      <c r="M123" s="31">
        <v>1.0049999999999999</v>
      </c>
      <c r="N123" s="32">
        <v>0.99</v>
      </c>
      <c r="P123" s="25">
        <f t="shared" si="4"/>
        <v>39814</v>
      </c>
      <c r="Q123" s="26">
        <f t="shared" si="5"/>
        <v>121</v>
      </c>
    </row>
    <row r="124" spans="1:17" x14ac:dyDescent="0.25">
      <c r="A124" s="191">
        <v>39845</v>
      </c>
      <c r="B124" s="31">
        <f t="shared" si="3"/>
        <v>0.93059999999999998</v>
      </c>
      <c r="C124" s="31">
        <v>0.93059999999999998</v>
      </c>
      <c r="D124" s="31">
        <v>0.995</v>
      </c>
      <c r="E124" s="31">
        <v>0.96</v>
      </c>
      <c r="F124" s="31">
        <v>0.96</v>
      </c>
      <c r="G124" s="31">
        <v>0.93059999999999998</v>
      </c>
      <c r="H124" s="31">
        <v>0.99</v>
      </c>
      <c r="I124" s="31">
        <v>0.93059999999999998</v>
      </c>
      <c r="J124" s="31">
        <v>0.995</v>
      </c>
      <c r="K124" s="31">
        <v>0.98</v>
      </c>
      <c r="L124" s="31">
        <v>0.99</v>
      </c>
      <c r="M124" s="31">
        <v>1.0049999999999999</v>
      </c>
      <c r="N124" s="32">
        <v>0.99</v>
      </c>
      <c r="P124" s="25">
        <f t="shared" si="4"/>
        <v>39845</v>
      </c>
      <c r="Q124" s="26">
        <f t="shared" si="5"/>
        <v>122</v>
      </c>
    </row>
    <row r="125" spans="1:17" x14ac:dyDescent="0.25">
      <c r="A125" s="191">
        <v>39873</v>
      </c>
      <c r="B125" s="31">
        <f t="shared" si="3"/>
        <v>0.93059999999999998</v>
      </c>
      <c r="C125" s="31">
        <v>0.93059999999999998</v>
      </c>
      <c r="D125" s="31">
        <v>0.995</v>
      </c>
      <c r="E125" s="31">
        <v>0.96</v>
      </c>
      <c r="F125" s="31">
        <v>0.96</v>
      </c>
      <c r="G125" s="31">
        <v>0.93059999999999998</v>
      </c>
      <c r="H125" s="31">
        <v>0.99</v>
      </c>
      <c r="I125" s="31">
        <v>0.93059999999999998</v>
      </c>
      <c r="J125" s="31">
        <v>0.995</v>
      </c>
      <c r="K125" s="31">
        <v>0.98</v>
      </c>
      <c r="L125" s="31">
        <v>0.99</v>
      </c>
      <c r="M125" s="31">
        <v>1.0049999999999999</v>
      </c>
      <c r="N125" s="32">
        <v>0.99</v>
      </c>
      <c r="P125" s="25">
        <f t="shared" si="4"/>
        <v>39873</v>
      </c>
      <c r="Q125" s="26">
        <f t="shared" si="5"/>
        <v>123</v>
      </c>
    </row>
    <row r="126" spans="1:17" x14ac:dyDescent="0.25">
      <c r="A126" s="191">
        <v>39904</v>
      </c>
      <c r="B126" s="31">
        <f t="shared" si="3"/>
        <v>0.93059999999999998</v>
      </c>
      <c r="C126" s="31">
        <v>0.93059999999999998</v>
      </c>
      <c r="D126" s="31">
        <v>0.995</v>
      </c>
      <c r="E126" s="31">
        <v>0.96</v>
      </c>
      <c r="F126" s="31">
        <v>0.96</v>
      </c>
      <c r="G126" s="31">
        <v>0.93059999999999998</v>
      </c>
      <c r="H126" s="31">
        <v>0.99</v>
      </c>
      <c r="I126" s="31">
        <v>0.93059999999999998</v>
      </c>
      <c r="J126" s="31">
        <v>0.995</v>
      </c>
      <c r="K126" s="31">
        <v>0.98</v>
      </c>
      <c r="L126" s="31">
        <v>0.99</v>
      </c>
      <c r="M126" s="31">
        <v>1.0049999999999999</v>
      </c>
      <c r="N126" s="32">
        <v>0.99</v>
      </c>
      <c r="P126" s="25">
        <f t="shared" si="4"/>
        <v>39904</v>
      </c>
      <c r="Q126" s="26">
        <f t="shared" si="5"/>
        <v>124</v>
      </c>
    </row>
    <row r="127" spans="1:17" x14ac:dyDescent="0.25">
      <c r="A127" s="191">
        <v>39934</v>
      </c>
      <c r="B127" s="31">
        <f t="shared" si="3"/>
        <v>0.93059999999999998</v>
      </c>
      <c r="C127" s="31">
        <v>0.93059999999999998</v>
      </c>
      <c r="D127" s="31">
        <v>0.995</v>
      </c>
      <c r="E127" s="31">
        <v>0.96</v>
      </c>
      <c r="F127" s="31">
        <v>0.96</v>
      </c>
      <c r="G127" s="31">
        <v>0.93059999999999998</v>
      </c>
      <c r="H127" s="31">
        <v>0.99</v>
      </c>
      <c r="I127" s="31">
        <v>0.93059999999999998</v>
      </c>
      <c r="J127" s="31">
        <v>0.995</v>
      </c>
      <c r="K127" s="31">
        <v>0.98</v>
      </c>
      <c r="L127" s="31">
        <v>0.99</v>
      </c>
      <c r="M127" s="31">
        <v>1.0049999999999999</v>
      </c>
      <c r="N127" s="32">
        <v>0.99</v>
      </c>
      <c r="P127" s="25">
        <f t="shared" si="4"/>
        <v>39934</v>
      </c>
      <c r="Q127" s="26">
        <f t="shared" si="5"/>
        <v>125</v>
      </c>
    </row>
    <row r="128" spans="1:17" x14ac:dyDescent="0.25">
      <c r="A128" s="191">
        <v>39965</v>
      </c>
      <c r="B128" s="31">
        <f t="shared" si="3"/>
        <v>0.93059999999999998</v>
      </c>
      <c r="C128" s="31">
        <v>0.93059999999999998</v>
      </c>
      <c r="D128" s="31">
        <v>0.995</v>
      </c>
      <c r="E128" s="31">
        <v>0.96</v>
      </c>
      <c r="F128" s="31">
        <v>0.96</v>
      </c>
      <c r="G128" s="31">
        <v>0.93059999999999998</v>
      </c>
      <c r="H128" s="31">
        <v>0.99</v>
      </c>
      <c r="I128" s="31">
        <v>0.93059999999999998</v>
      </c>
      <c r="J128" s="31">
        <v>0.995</v>
      </c>
      <c r="K128" s="31">
        <v>0.98</v>
      </c>
      <c r="L128" s="31">
        <v>0.99</v>
      </c>
      <c r="M128" s="31">
        <v>1.0049999999999999</v>
      </c>
      <c r="N128" s="32">
        <v>0.99</v>
      </c>
      <c r="P128" s="25">
        <f t="shared" si="4"/>
        <v>39965</v>
      </c>
      <c r="Q128" s="26">
        <f t="shared" si="5"/>
        <v>126</v>
      </c>
    </row>
    <row r="129" spans="1:17" x14ac:dyDescent="0.25">
      <c r="A129" s="191">
        <v>39995</v>
      </c>
      <c r="B129" s="31">
        <f t="shared" si="3"/>
        <v>0.93059999999999998</v>
      </c>
      <c r="C129" s="31">
        <v>0.93059999999999998</v>
      </c>
      <c r="D129" s="31">
        <v>0.995</v>
      </c>
      <c r="E129" s="31">
        <v>0.96</v>
      </c>
      <c r="F129" s="31">
        <v>0.96</v>
      </c>
      <c r="G129" s="31">
        <v>0.93059999999999998</v>
      </c>
      <c r="H129" s="31">
        <v>0.99</v>
      </c>
      <c r="I129" s="31">
        <v>0.93059999999999998</v>
      </c>
      <c r="J129" s="31">
        <v>0.995</v>
      </c>
      <c r="K129" s="31">
        <v>0.98</v>
      </c>
      <c r="L129" s="31">
        <v>0.99</v>
      </c>
      <c r="M129" s="31">
        <v>1.0049999999999999</v>
      </c>
      <c r="N129" s="32">
        <v>0.99</v>
      </c>
      <c r="P129" s="25">
        <f t="shared" si="4"/>
        <v>39995</v>
      </c>
      <c r="Q129" s="26">
        <f t="shared" si="5"/>
        <v>127</v>
      </c>
    </row>
    <row r="130" spans="1:17" x14ac:dyDescent="0.25">
      <c r="A130" s="191">
        <v>40026</v>
      </c>
      <c r="B130" s="31">
        <f t="shared" si="3"/>
        <v>0.93059999999999998</v>
      </c>
      <c r="C130" s="31">
        <v>0.93059999999999998</v>
      </c>
      <c r="D130" s="31">
        <v>0.995</v>
      </c>
      <c r="E130" s="31">
        <v>0.96</v>
      </c>
      <c r="F130" s="31">
        <v>0.96</v>
      </c>
      <c r="G130" s="31">
        <v>0.93059999999999998</v>
      </c>
      <c r="H130" s="31">
        <v>0.99</v>
      </c>
      <c r="I130" s="31">
        <v>0.93059999999999998</v>
      </c>
      <c r="J130" s="31">
        <v>0.995</v>
      </c>
      <c r="K130" s="31">
        <v>0.98</v>
      </c>
      <c r="L130" s="31">
        <v>0.99</v>
      </c>
      <c r="M130" s="31">
        <v>1.0049999999999999</v>
      </c>
      <c r="N130" s="32">
        <v>0.99</v>
      </c>
      <c r="P130" s="25">
        <f t="shared" si="4"/>
        <v>40026</v>
      </c>
      <c r="Q130" s="26">
        <f t="shared" si="5"/>
        <v>128</v>
      </c>
    </row>
    <row r="131" spans="1:17" x14ac:dyDescent="0.25">
      <c r="A131" s="191">
        <v>40057</v>
      </c>
      <c r="B131" s="31">
        <f t="shared" si="3"/>
        <v>0.93059999999999998</v>
      </c>
      <c r="C131" s="31">
        <v>0.93059999999999998</v>
      </c>
      <c r="D131" s="31">
        <v>0.995</v>
      </c>
      <c r="E131" s="31">
        <v>0.96</v>
      </c>
      <c r="F131" s="31">
        <v>0.96</v>
      </c>
      <c r="G131" s="31">
        <v>0.93059999999999998</v>
      </c>
      <c r="H131" s="31">
        <v>0.99</v>
      </c>
      <c r="I131" s="31">
        <v>0.93059999999999998</v>
      </c>
      <c r="J131" s="31">
        <v>0.995</v>
      </c>
      <c r="K131" s="31">
        <v>0.98</v>
      </c>
      <c r="L131" s="31">
        <v>0.99</v>
      </c>
      <c r="M131" s="31">
        <v>1.0049999999999999</v>
      </c>
      <c r="N131" s="32">
        <v>0.99</v>
      </c>
      <c r="P131" s="25">
        <f t="shared" si="4"/>
        <v>40057</v>
      </c>
      <c r="Q131" s="26">
        <f t="shared" si="5"/>
        <v>129</v>
      </c>
    </row>
    <row r="132" spans="1:17" x14ac:dyDescent="0.25">
      <c r="A132" s="191">
        <v>40087</v>
      </c>
      <c r="B132" s="31">
        <f t="shared" si="3"/>
        <v>0.93059999999999998</v>
      </c>
      <c r="C132" s="31">
        <v>0.93059999999999998</v>
      </c>
      <c r="D132" s="31">
        <v>0.995</v>
      </c>
      <c r="E132" s="31">
        <v>0.96</v>
      </c>
      <c r="F132" s="31">
        <v>0.96</v>
      </c>
      <c r="G132" s="31">
        <v>0.93059999999999998</v>
      </c>
      <c r="H132" s="31">
        <v>0.99</v>
      </c>
      <c r="I132" s="31">
        <v>0.93059999999999998</v>
      </c>
      <c r="J132" s="31">
        <v>0.995</v>
      </c>
      <c r="K132" s="31">
        <v>0.98</v>
      </c>
      <c r="L132" s="31">
        <v>0.99</v>
      </c>
      <c r="M132" s="31">
        <v>1.0049999999999999</v>
      </c>
      <c r="N132" s="32">
        <v>0.99</v>
      </c>
      <c r="P132" s="25">
        <f t="shared" si="4"/>
        <v>40087</v>
      </c>
      <c r="Q132" s="26">
        <f t="shared" si="5"/>
        <v>130</v>
      </c>
    </row>
    <row r="133" spans="1:17" x14ac:dyDescent="0.25">
      <c r="A133" s="191">
        <v>40118</v>
      </c>
      <c r="B133" s="31">
        <f t="shared" ref="B133:B196" si="6">C133</f>
        <v>0.93059999999999998</v>
      </c>
      <c r="C133" s="31">
        <v>0.93059999999999998</v>
      </c>
      <c r="D133" s="31">
        <v>0.995</v>
      </c>
      <c r="E133" s="31">
        <v>0.96</v>
      </c>
      <c r="F133" s="31">
        <v>0.96</v>
      </c>
      <c r="G133" s="31">
        <v>0.93059999999999998</v>
      </c>
      <c r="H133" s="31">
        <v>0.99</v>
      </c>
      <c r="I133" s="31">
        <v>0.93059999999999998</v>
      </c>
      <c r="J133" s="31">
        <v>0.995</v>
      </c>
      <c r="K133" s="31">
        <v>0.98</v>
      </c>
      <c r="L133" s="31">
        <v>0.99</v>
      </c>
      <c r="M133" s="31">
        <v>1.0049999999999999</v>
      </c>
      <c r="N133" s="32">
        <v>0.99</v>
      </c>
      <c r="P133" s="25">
        <f t="shared" ref="P133:P196" si="7">A133</f>
        <v>40118</v>
      </c>
      <c r="Q133" s="26">
        <f t="shared" si="5"/>
        <v>131</v>
      </c>
    </row>
    <row r="134" spans="1:17" x14ac:dyDescent="0.25">
      <c r="A134" s="191">
        <v>40148</v>
      </c>
      <c r="B134" s="31">
        <f t="shared" si="6"/>
        <v>0.93059999999999998</v>
      </c>
      <c r="C134" s="31">
        <v>0.93059999999999998</v>
      </c>
      <c r="D134" s="31">
        <v>0.995</v>
      </c>
      <c r="E134" s="31">
        <v>0.96</v>
      </c>
      <c r="F134" s="31">
        <v>0.96</v>
      </c>
      <c r="G134" s="31">
        <v>0.93059999999999998</v>
      </c>
      <c r="H134" s="31">
        <v>0.99</v>
      </c>
      <c r="I134" s="31">
        <v>0.93059999999999998</v>
      </c>
      <c r="J134" s="31">
        <v>0.995</v>
      </c>
      <c r="K134" s="31">
        <v>0.98</v>
      </c>
      <c r="L134" s="31">
        <v>0.99</v>
      </c>
      <c r="M134" s="31">
        <v>1.0049999999999999</v>
      </c>
      <c r="N134" s="32">
        <v>0.99</v>
      </c>
      <c r="P134" s="25">
        <f t="shared" si="7"/>
        <v>40148</v>
      </c>
      <c r="Q134" s="26">
        <f t="shared" ref="Q134:Q197" si="8">Q133+1</f>
        <v>132</v>
      </c>
    </row>
    <row r="135" spans="1:17" x14ac:dyDescent="0.25">
      <c r="A135" s="191">
        <v>40179</v>
      </c>
      <c r="B135" s="31">
        <f t="shared" si="6"/>
        <v>0.93059999999999998</v>
      </c>
      <c r="C135" s="31">
        <v>0.93059999999999998</v>
      </c>
      <c r="D135" s="31">
        <v>0.995</v>
      </c>
      <c r="E135" s="31">
        <v>0.96</v>
      </c>
      <c r="F135" s="31">
        <v>0.96</v>
      </c>
      <c r="G135" s="31">
        <v>0.93059999999999998</v>
      </c>
      <c r="H135" s="31">
        <v>0.99</v>
      </c>
      <c r="I135" s="31">
        <v>0.93059999999999998</v>
      </c>
      <c r="J135" s="31">
        <v>0.995</v>
      </c>
      <c r="K135" s="31">
        <v>0.98</v>
      </c>
      <c r="L135" s="31">
        <v>0.99</v>
      </c>
      <c r="M135" s="31">
        <v>1.0049999999999999</v>
      </c>
      <c r="N135" s="32">
        <v>0.99</v>
      </c>
      <c r="P135" s="25">
        <f t="shared" si="7"/>
        <v>40179</v>
      </c>
      <c r="Q135" s="26">
        <f t="shared" si="8"/>
        <v>133</v>
      </c>
    </row>
    <row r="136" spans="1:17" x14ac:dyDescent="0.25">
      <c r="A136" s="191">
        <v>40210</v>
      </c>
      <c r="B136" s="31">
        <f t="shared" si="6"/>
        <v>0.93059999999999998</v>
      </c>
      <c r="C136" s="31">
        <v>0.93059999999999998</v>
      </c>
      <c r="D136" s="31">
        <v>0.995</v>
      </c>
      <c r="E136" s="31">
        <v>0.96</v>
      </c>
      <c r="F136" s="31">
        <v>0.96</v>
      </c>
      <c r="G136" s="31">
        <v>0.93059999999999998</v>
      </c>
      <c r="H136" s="31">
        <v>0.99</v>
      </c>
      <c r="I136" s="31">
        <v>0.93059999999999998</v>
      </c>
      <c r="J136" s="31">
        <v>0.995</v>
      </c>
      <c r="K136" s="31">
        <v>0.98</v>
      </c>
      <c r="L136" s="31">
        <v>0.99</v>
      </c>
      <c r="M136" s="31">
        <v>1.0049999999999999</v>
      </c>
      <c r="N136" s="32">
        <v>0.99</v>
      </c>
      <c r="P136" s="25">
        <f t="shared" si="7"/>
        <v>40210</v>
      </c>
      <c r="Q136" s="26">
        <f t="shared" si="8"/>
        <v>134</v>
      </c>
    </row>
    <row r="137" spans="1:17" x14ac:dyDescent="0.25">
      <c r="A137" s="191">
        <v>40238</v>
      </c>
      <c r="B137" s="31">
        <f t="shared" si="6"/>
        <v>0.93059999999999998</v>
      </c>
      <c r="C137" s="31">
        <v>0.93059999999999998</v>
      </c>
      <c r="D137" s="31">
        <v>0.995</v>
      </c>
      <c r="E137" s="31">
        <v>0.96</v>
      </c>
      <c r="F137" s="31">
        <v>0.96</v>
      </c>
      <c r="G137" s="31">
        <v>0.93059999999999998</v>
      </c>
      <c r="H137" s="31">
        <v>0.99</v>
      </c>
      <c r="I137" s="31">
        <v>0.93059999999999998</v>
      </c>
      <c r="J137" s="31">
        <v>0.995</v>
      </c>
      <c r="K137" s="31">
        <v>0.98</v>
      </c>
      <c r="L137" s="31">
        <v>0.99</v>
      </c>
      <c r="M137" s="31">
        <v>1.0049999999999999</v>
      </c>
      <c r="N137" s="32">
        <v>0.99</v>
      </c>
      <c r="P137" s="25">
        <f t="shared" si="7"/>
        <v>40238</v>
      </c>
      <c r="Q137" s="26">
        <f t="shared" si="8"/>
        <v>135</v>
      </c>
    </row>
    <row r="138" spans="1:17" x14ac:dyDescent="0.25">
      <c r="A138" s="191">
        <v>40269</v>
      </c>
      <c r="B138" s="31">
        <f t="shared" si="6"/>
        <v>0.93059999999999998</v>
      </c>
      <c r="C138" s="31">
        <v>0.93059999999999998</v>
      </c>
      <c r="D138" s="31">
        <v>0.995</v>
      </c>
      <c r="E138" s="31">
        <v>0.96</v>
      </c>
      <c r="F138" s="31">
        <v>0.96</v>
      </c>
      <c r="G138" s="31">
        <v>0.93059999999999998</v>
      </c>
      <c r="H138" s="31">
        <v>0.99</v>
      </c>
      <c r="I138" s="31">
        <v>0.93059999999999998</v>
      </c>
      <c r="J138" s="31">
        <v>0.995</v>
      </c>
      <c r="K138" s="31">
        <v>0.98</v>
      </c>
      <c r="L138" s="31">
        <v>0.99</v>
      </c>
      <c r="M138" s="31">
        <v>1.0049999999999999</v>
      </c>
      <c r="N138" s="32">
        <v>0.99</v>
      </c>
      <c r="P138" s="25">
        <f t="shared" si="7"/>
        <v>40269</v>
      </c>
      <c r="Q138" s="26">
        <f t="shared" si="8"/>
        <v>136</v>
      </c>
    </row>
    <row r="139" spans="1:17" x14ac:dyDescent="0.25">
      <c r="A139" s="191">
        <v>40299</v>
      </c>
      <c r="B139" s="31">
        <f t="shared" si="6"/>
        <v>0.93059999999999998</v>
      </c>
      <c r="C139" s="31">
        <v>0.93059999999999998</v>
      </c>
      <c r="D139" s="31">
        <v>0.995</v>
      </c>
      <c r="E139" s="31">
        <v>0.96</v>
      </c>
      <c r="F139" s="31">
        <v>0.96</v>
      </c>
      <c r="G139" s="31">
        <v>0.93059999999999998</v>
      </c>
      <c r="H139" s="31">
        <v>0.99</v>
      </c>
      <c r="I139" s="31">
        <v>0.93059999999999998</v>
      </c>
      <c r="J139" s="31">
        <v>0.995</v>
      </c>
      <c r="K139" s="31">
        <v>0.98</v>
      </c>
      <c r="L139" s="31">
        <v>0.99</v>
      </c>
      <c r="M139" s="31">
        <v>1.0049999999999999</v>
      </c>
      <c r="N139" s="32">
        <v>0.99</v>
      </c>
      <c r="P139" s="25">
        <f t="shared" si="7"/>
        <v>40299</v>
      </c>
      <c r="Q139" s="26">
        <f t="shared" si="8"/>
        <v>137</v>
      </c>
    </row>
    <row r="140" spans="1:17" x14ac:dyDescent="0.25">
      <c r="A140" s="191">
        <v>40330</v>
      </c>
      <c r="B140" s="31">
        <f t="shared" si="6"/>
        <v>0.93059999999999998</v>
      </c>
      <c r="C140" s="31">
        <v>0.93059999999999998</v>
      </c>
      <c r="D140" s="31">
        <v>0.995</v>
      </c>
      <c r="E140" s="31">
        <v>0.96</v>
      </c>
      <c r="F140" s="31">
        <v>0.96</v>
      </c>
      <c r="G140" s="31">
        <v>0.93059999999999998</v>
      </c>
      <c r="H140" s="31">
        <v>0.99</v>
      </c>
      <c r="I140" s="31">
        <v>0.93059999999999998</v>
      </c>
      <c r="J140" s="31">
        <v>0.995</v>
      </c>
      <c r="K140" s="31">
        <v>0.98</v>
      </c>
      <c r="L140" s="31">
        <v>0.99</v>
      </c>
      <c r="M140" s="31">
        <v>1.0049999999999999</v>
      </c>
      <c r="N140" s="32">
        <v>0.99</v>
      </c>
      <c r="P140" s="25">
        <f t="shared" si="7"/>
        <v>40330</v>
      </c>
      <c r="Q140" s="26">
        <f t="shared" si="8"/>
        <v>138</v>
      </c>
    </row>
    <row r="141" spans="1:17" x14ac:dyDescent="0.25">
      <c r="A141" s="191">
        <v>40360</v>
      </c>
      <c r="B141" s="31">
        <f t="shared" si="6"/>
        <v>0.93059999999999998</v>
      </c>
      <c r="C141" s="31">
        <v>0.93059999999999998</v>
      </c>
      <c r="D141" s="31">
        <v>0.995</v>
      </c>
      <c r="E141" s="31">
        <v>0.96</v>
      </c>
      <c r="F141" s="31">
        <v>0.96</v>
      </c>
      <c r="G141" s="31">
        <v>0.93059999999999998</v>
      </c>
      <c r="H141" s="31">
        <v>0.99</v>
      </c>
      <c r="I141" s="31">
        <v>0.93059999999999998</v>
      </c>
      <c r="J141" s="31">
        <v>0.995</v>
      </c>
      <c r="K141" s="31">
        <v>0.98</v>
      </c>
      <c r="L141" s="31">
        <v>0.99</v>
      </c>
      <c r="M141" s="31">
        <v>1.0049999999999999</v>
      </c>
      <c r="N141" s="32">
        <v>0.99</v>
      </c>
      <c r="P141" s="25">
        <f t="shared" si="7"/>
        <v>40360</v>
      </c>
      <c r="Q141" s="26">
        <f t="shared" si="8"/>
        <v>139</v>
      </c>
    </row>
    <row r="142" spans="1:17" x14ac:dyDescent="0.25">
      <c r="A142" s="191">
        <v>40391</v>
      </c>
      <c r="B142" s="31">
        <f t="shared" si="6"/>
        <v>0.93059999999999998</v>
      </c>
      <c r="C142" s="31">
        <v>0.93059999999999998</v>
      </c>
      <c r="D142" s="31">
        <v>0.995</v>
      </c>
      <c r="E142" s="31">
        <v>0.96</v>
      </c>
      <c r="F142" s="31">
        <v>0.96</v>
      </c>
      <c r="G142" s="31">
        <v>0.93059999999999998</v>
      </c>
      <c r="H142" s="31">
        <v>0.99</v>
      </c>
      <c r="I142" s="31">
        <v>0.93059999999999998</v>
      </c>
      <c r="J142" s="31">
        <v>0.995</v>
      </c>
      <c r="K142" s="31">
        <v>0.98</v>
      </c>
      <c r="L142" s="31">
        <v>0.99</v>
      </c>
      <c r="M142" s="31">
        <v>1.0049999999999999</v>
      </c>
      <c r="N142" s="32">
        <v>0.99</v>
      </c>
      <c r="P142" s="25">
        <f t="shared" si="7"/>
        <v>40391</v>
      </c>
      <c r="Q142" s="26">
        <f t="shared" si="8"/>
        <v>140</v>
      </c>
    </row>
    <row r="143" spans="1:17" x14ac:dyDescent="0.25">
      <c r="A143" s="191">
        <v>40422</v>
      </c>
      <c r="B143" s="31">
        <f t="shared" si="6"/>
        <v>0.93059999999999998</v>
      </c>
      <c r="C143" s="31">
        <v>0.93059999999999998</v>
      </c>
      <c r="D143" s="31">
        <v>0.995</v>
      </c>
      <c r="E143" s="31">
        <v>0.96</v>
      </c>
      <c r="F143" s="31">
        <v>0.96</v>
      </c>
      <c r="G143" s="31">
        <v>0.93059999999999998</v>
      </c>
      <c r="H143" s="31">
        <v>0.99</v>
      </c>
      <c r="I143" s="31">
        <v>0.93059999999999998</v>
      </c>
      <c r="J143" s="31">
        <v>0.995</v>
      </c>
      <c r="K143" s="31">
        <v>0.98</v>
      </c>
      <c r="L143" s="31">
        <v>0.99</v>
      </c>
      <c r="M143" s="31">
        <v>1.0049999999999999</v>
      </c>
      <c r="N143" s="32">
        <v>0.99</v>
      </c>
      <c r="P143" s="25">
        <f t="shared" si="7"/>
        <v>40422</v>
      </c>
      <c r="Q143" s="26">
        <f t="shared" si="8"/>
        <v>141</v>
      </c>
    </row>
    <row r="144" spans="1:17" x14ac:dyDescent="0.25">
      <c r="A144" s="191">
        <v>40452</v>
      </c>
      <c r="B144" s="31">
        <f t="shared" si="6"/>
        <v>0.93059999999999998</v>
      </c>
      <c r="C144" s="31">
        <v>0.93059999999999998</v>
      </c>
      <c r="D144" s="31">
        <v>0.995</v>
      </c>
      <c r="E144" s="31">
        <v>0.96</v>
      </c>
      <c r="F144" s="31">
        <v>0.96</v>
      </c>
      <c r="G144" s="31">
        <v>0.93059999999999998</v>
      </c>
      <c r="H144" s="31">
        <v>0.99</v>
      </c>
      <c r="I144" s="31">
        <v>0.93059999999999998</v>
      </c>
      <c r="J144" s="31">
        <v>0.995</v>
      </c>
      <c r="K144" s="31">
        <v>0.98</v>
      </c>
      <c r="L144" s="31">
        <v>0.99</v>
      </c>
      <c r="M144" s="31">
        <v>1.0049999999999999</v>
      </c>
      <c r="N144" s="32">
        <v>0.99</v>
      </c>
      <c r="P144" s="25">
        <f t="shared" si="7"/>
        <v>40452</v>
      </c>
      <c r="Q144" s="26">
        <f t="shared" si="8"/>
        <v>142</v>
      </c>
    </row>
    <row r="145" spans="1:17" x14ac:dyDescent="0.25">
      <c r="A145" s="191">
        <v>40483</v>
      </c>
      <c r="B145" s="31">
        <f t="shared" si="6"/>
        <v>0.93059999999999998</v>
      </c>
      <c r="C145" s="31">
        <v>0.93059999999999998</v>
      </c>
      <c r="D145" s="31">
        <v>0.995</v>
      </c>
      <c r="E145" s="31">
        <v>0.96</v>
      </c>
      <c r="F145" s="31">
        <v>0.96</v>
      </c>
      <c r="G145" s="31">
        <v>0.93059999999999998</v>
      </c>
      <c r="H145" s="31">
        <v>0.99</v>
      </c>
      <c r="I145" s="31">
        <v>0.93059999999999998</v>
      </c>
      <c r="J145" s="31">
        <v>0.995</v>
      </c>
      <c r="K145" s="31">
        <v>0.98</v>
      </c>
      <c r="L145" s="31">
        <v>0.99</v>
      </c>
      <c r="M145" s="31">
        <v>1.0049999999999999</v>
      </c>
      <c r="N145" s="32">
        <v>0.99</v>
      </c>
      <c r="P145" s="25">
        <f t="shared" si="7"/>
        <v>40483</v>
      </c>
      <c r="Q145" s="26">
        <f t="shared" si="8"/>
        <v>143</v>
      </c>
    </row>
    <row r="146" spans="1:17" x14ac:dyDescent="0.25">
      <c r="A146" s="191">
        <v>40513</v>
      </c>
      <c r="B146" s="31">
        <f t="shared" si="6"/>
        <v>0.93059999999999998</v>
      </c>
      <c r="C146" s="31">
        <v>0.93059999999999998</v>
      </c>
      <c r="D146" s="31">
        <v>0.995</v>
      </c>
      <c r="E146" s="31">
        <v>0.96</v>
      </c>
      <c r="F146" s="31">
        <v>0.96</v>
      </c>
      <c r="G146" s="31">
        <v>0.93059999999999998</v>
      </c>
      <c r="H146" s="31">
        <v>0.99</v>
      </c>
      <c r="I146" s="31">
        <v>0.93059999999999998</v>
      </c>
      <c r="J146" s="31">
        <v>0.995</v>
      </c>
      <c r="K146" s="31">
        <v>0.98</v>
      </c>
      <c r="L146" s="31">
        <v>0.99</v>
      </c>
      <c r="M146" s="31">
        <v>1.0049999999999999</v>
      </c>
      <c r="N146" s="32">
        <v>0.99</v>
      </c>
      <c r="P146" s="25">
        <f t="shared" si="7"/>
        <v>40513</v>
      </c>
      <c r="Q146" s="26">
        <f t="shared" si="8"/>
        <v>144</v>
      </c>
    </row>
    <row r="147" spans="1:17" x14ac:dyDescent="0.25">
      <c r="A147" s="191">
        <v>40544</v>
      </c>
      <c r="B147" s="31">
        <f t="shared" si="6"/>
        <v>0.93059999999999998</v>
      </c>
      <c r="C147" s="31">
        <v>0.93059999999999998</v>
      </c>
      <c r="D147" s="31">
        <v>0.995</v>
      </c>
      <c r="E147" s="31">
        <v>0.96</v>
      </c>
      <c r="F147" s="31">
        <v>0.96</v>
      </c>
      <c r="G147" s="31">
        <v>0.93059999999999998</v>
      </c>
      <c r="H147" s="31">
        <v>0.99</v>
      </c>
      <c r="I147" s="31">
        <v>0.93059999999999998</v>
      </c>
      <c r="J147" s="31">
        <v>0.995</v>
      </c>
      <c r="K147" s="31">
        <v>0.98</v>
      </c>
      <c r="L147" s="31">
        <v>0.99</v>
      </c>
      <c r="M147" s="31">
        <v>1.0049999999999999</v>
      </c>
      <c r="N147" s="32">
        <v>0.99</v>
      </c>
      <c r="P147" s="25">
        <f t="shared" si="7"/>
        <v>40544</v>
      </c>
      <c r="Q147" s="26">
        <f t="shared" si="8"/>
        <v>145</v>
      </c>
    </row>
    <row r="148" spans="1:17" x14ac:dyDescent="0.25">
      <c r="A148" s="191">
        <v>40575</v>
      </c>
      <c r="B148" s="31">
        <f t="shared" si="6"/>
        <v>0.93059999999999998</v>
      </c>
      <c r="C148" s="31">
        <v>0.93059999999999998</v>
      </c>
      <c r="D148" s="31">
        <v>0.995</v>
      </c>
      <c r="E148" s="31">
        <v>0.96</v>
      </c>
      <c r="F148" s="31">
        <v>0.96</v>
      </c>
      <c r="G148" s="31">
        <v>0.93059999999999998</v>
      </c>
      <c r="H148" s="31">
        <v>0.99</v>
      </c>
      <c r="I148" s="31">
        <v>0.93059999999999998</v>
      </c>
      <c r="J148" s="31">
        <v>0.995</v>
      </c>
      <c r="K148" s="31">
        <v>0.98</v>
      </c>
      <c r="L148" s="31">
        <v>0.99</v>
      </c>
      <c r="M148" s="31">
        <v>1.0049999999999999</v>
      </c>
      <c r="N148" s="32">
        <v>0.99</v>
      </c>
      <c r="P148" s="25">
        <f t="shared" si="7"/>
        <v>40575</v>
      </c>
      <c r="Q148" s="26">
        <f t="shared" si="8"/>
        <v>146</v>
      </c>
    </row>
    <row r="149" spans="1:17" x14ac:dyDescent="0.25">
      <c r="A149" s="191">
        <v>40603</v>
      </c>
      <c r="B149" s="31">
        <f t="shared" si="6"/>
        <v>0.93059999999999998</v>
      </c>
      <c r="C149" s="31">
        <v>0.93059999999999998</v>
      </c>
      <c r="D149" s="31">
        <v>0.995</v>
      </c>
      <c r="E149" s="31">
        <v>0.96</v>
      </c>
      <c r="F149" s="31">
        <v>0.96</v>
      </c>
      <c r="G149" s="31">
        <v>0.93059999999999998</v>
      </c>
      <c r="H149" s="31">
        <v>0.99</v>
      </c>
      <c r="I149" s="31">
        <v>0.93059999999999998</v>
      </c>
      <c r="J149" s="31">
        <v>0.995</v>
      </c>
      <c r="K149" s="31">
        <v>0.98</v>
      </c>
      <c r="L149" s="31">
        <v>0.99</v>
      </c>
      <c r="M149" s="31">
        <v>1.0049999999999999</v>
      </c>
      <c r="N149" s="32">
        <v>0.99</v>
      </c>
      <c r="P149" s="25">
        <f t="shared" si="7"/>
        <v>40603</v>
      </c>
      <c r="Q149" s="26">
        <f t="shared" si="8"/>
        <v>147</v>
      </c>
    </row>
    <row r="150" spans="1:17" x14ac:dyDescent="0.25">
      <c r="A150" s="191">
        <v>40634</v>
      </c>
      <c r="B150" s="31">
        <f t="shared" si="6"/>
        <v>0.93059999999999998</v>
      </c>
      <c r="C150" s="31">
        <v>0.93059999999999998</v>
      </c>
      <c r="D150" s="31">
        <v>0.995</v>
      </c>
      <c r="E150" s="31">
        <v>0.96</v>
      </c>
      <c r="F150" s="31">
        <v>0.96</v>
      </c>
      <c r="G150" s="31">
        <v>0.93059999999999998</v>
      </c>
      <c r="H150" s="31">
        <v>0.99</v>
      </c>
      <c r="I150" s="31">
        <v>0.93059999999999998</v>
      </c>
      <c r="J150" s="31">
        <v>0.995</v>
      </c>
      <c r="K150" s="31">
        <v>0.98</v>
      </c>
      <c r="L150" s="31">
        <v>0.99</v>
      </c>
      <c r="M150" s="31">
        <v>1.0049999999999999</v>
      </c>
      <c r="N150" s="32">
        <v>0.99</v>
      </c>
      <c r="P150" s="25">
        <f t="shared" si="7"/>
        <v>40634</v>
      </c>
      <c r="Q150" s="26">
        <f t="shared" si="8"/>
        <v>148</v>
      </c>
    </row>
    <row r="151" spans="1:17" x14ac:dyDescent="0.25">
      <c r="A151" s="191">
        <v>40664</v>
      </c>
      <c r="B151" s="31">
        <f t="shared" si="6"/>
        <v>0.93059999999999998</v>
      </c>
      <c r="C151" s="31">
        <v>0.93059999999999998</v>
      </c>
      <c r="D151" s="31">
        <v>0.995</v>
      </c>
      <c r="E151" s="31">
        <v>0.96</v>
      </c>
      <c r="F151" s="31">
        <v>0.96</v>
      </c>
      <c r="G151" s="31">
        <v>0.93059999999999998</v>
      </c>
      <c r="H151" s="31">
        <v>0.99</v>
      </c>
      <c r="I151" s="31">
        <v>0.93059999999999998</v>
      </c>
      <c r="J151" s="31">
        <v>0.995</v>
      </c>
      <c r="K151" s="31">
        <v>0.98</v>
      </c>
      <c r="L151" s="31">
        <v>0.99</v>
      </c>
      <c r="M151" s="31">
        <v>1.0049999999999999</v>
      </c>
      <c r="N151" s="32">
        <v>0.99</v>
      </c>
      <c r="P151" s="25">
        <f t="shared" si="7"/>
        <v>40664</v>
      </c>
      <c r="Q151" s="26">
        <f t="shared" si="8"/>
        <v>149</v>
      </c>
    </row>
    <row r="152" spans="1:17" x14ac:dyDescent="0.25">
      <c r="A152" s="191">
        <v>40695</v>
      </c>
      <c r="B152" s="31">
        <f t="shared" si="6"/>
        <v>0.93059999999999998</v>
      </c>
      <c r="C152" s="31">
        <v>0.93059999999999998</v>
      </c>
      <c r="D152" s="31">
        <v>0.995</v>
      </c>
      <c r="E152" s="31">
        <v>0.96</v>
      </c>
      <c r="F152" s="31">
        <v>0.96</v>
      </c>
      <c r="G152" s="31">
        <v>0.93059999999999998</v>
      </c>
      <c r="H152" s="31">
        <v>0.99</v>
      </c>
      <c r="I152" s="31">
        <v>0.93059999999999998</v>
      </c>
      <c r="J152" s="31">
        <v>0.995</v>
      </c>
      <c r="K152" s="31">
        <v>0.98</v>
      </c>
      <c r="L152" s="31">
        <v>0.99</v>
      </c>
      <c r="M152" s="31">
        <v>1.0049999999999999</v>
      </c>
      <c r="N152" s="32">
        <v>0.99</v>
      </c>
      <c r="P152" s="25">
        <f t="shared" si="7"/>
        <v>40695</v>
      </c>
      <c r="Q152" s="26">
        <f t="shared" si="8"/>
        <v>150</v>
      </c>
    </row>
    <row r="153" spans="1:17" x14ac:dyDescent="0.25">
      <c r="A153" s="191">
        <v>40725</v>
      </c>
      <c r="B153" s="31">
        <f t="shared" si="6"/>
        <v>0.93059999999999998</v>
      </c>
      <c r="C153" s="31">
        <v>0.93059999999999998</v>
      </c>
      <c r="D153" s="31">
        <v>0.995</v>
      </c>
      <c r="E153" s="31">
        <v>0.96</v>
      </c>
      <c r="F153" s="31">
        <v>0.96</v>
      </c>
      <c r="G153" s="31">
        <v>0.93059999999999998</v>
      </c>
      <c r="H153" s="31">
        <v>0.99</v>
      </c>
      <c r="I153" s="31">
        <v>0.93059999999999998</v>
      </c>
      <c r="J153" s="31">
        <v>0.995</v>
      </c>
      <c r="K153" s="31">
        <v>0.98</v>
      </c>
      <c r="L153" s="31">
        <v>0.99</v>
      </c>
      <c r="M153" s="31">
        <v>1.0049999999999999</v>
      </c>
      <c r="N153" s="32">
        <v>0.99</v>
      </c>
      <c r="P153" s="25">
        <f t="shared" si="7"/>
        <v>40725</v>
      </c>
      <c r="Q153" s="26">
        <f t="shared" si="8"/>
        <v>151</v>
      </c>
    </row>
    <row r="154" spans="1:17" x14ac:dyDescent="0.25">
      <c r="A154" s="191">
        <v>40756</v>
      </c>
      <c r="B154" s="31">
        <f t="shared" si="6"/>
        <v>0.93059999999999998</v>
      </c>
      <c r="C154" s="31">
        <v>0.93059999999999998</v>
      </c>
      <c r="D154" s="31">
        <v>0.995</v>
      </c>
      <c r="E154" s="31">
        <v>0.96</v>
      </c>
      <c r="F154" s="31">
        <v>0.96</v>
      </c>
      <c r="G154" s="31">
        <v>0.93059999999999998</v>
      </c>
      <c r="H154" s="31">
        <v>0.99</v>
      </c>
      <c r="I154" s="31">
        <v>0.93059999999999998</v>
      </c>
      <c r="J154" s="31">
        <v>0.995</v>
      </c>
      <c r="K154" s="31">
        <v>0.98</v>
      </c>
      <c r="L154" s="31">
        <v>0.99</v>
      </c>
      <c r="M154" s="31">
        <v>1.0049999999999999</v>
      </c>
      <c r="N154" s="32">
        <v>0.99</v>
      </c>
      <c r="P154" s="25">
        <f t="shared" si="7"/>
        <v>40756</v>
      </c>
      <c r="Q154" s="26">
        <f t="shared" si="8"/>
        <v>152</v>
      </c>
    </row>
    <row r="155" spans="1:17" x14ac:dyDescent="0.25">
      <c r="A155" s="191">
        <v>40787</v>
      </c>
      <c r="B155" s="31">
        <f t="shared" si="6"/>
        <v>0.93059999999999998</v>
      </c>
      <c r="C155" s="31">
        <v>0.93059999999999998</v>
      </c>
      <c r="D155" s="31">
        <v>0.995</v>
      </c>
      <c r="E155" s="31">
        <v>0.96</v>
      </c>
      <c r="F155" s="31">
        <v>0.96</v>
      </c>
      <c r="G155" s="31">
        <v>0.93059999999999998</v>
      </c>
      <c r="H155" s="31">
        <v>0.99</v>
      </c>
      <c r="I155" s="31">
        <v>0.93059999999999998</v>
      </c>
      <c r="J155" s="31">
        <v>0.995</v>
      </c>
      <c r="K155" s="31">
        <v>0.98</v>
      </c>
      <c r="L155" s="31">
        <v>0.99</v>
      </c>
      <c r="M155" s="31">
        <v>1.0049999999999999</v>
      </c>
      <c r="N155" s="32">
        <v>0.99</v>
      </c>
      <c r="P155" s="25">
        <f t="shared" si="7"/>
        <v>40787</v>
      </c>
      <c r="Q155" s="26">
        <f t="shared" si="8"/>
        <v>153</v>
      </c>
    </row>
    <row r="156" spans="1:17" x14ac:dyDescent="0.25">
      <c r="A156" s="191">
        <v>40817</v>
      </c>
      <c r="B156" s="31">
        <f t="shared" si="6"/>
        <v>0.93059999999999998</v>
      </c>
      <c r="C156" s="31">
        <v>0.93059999999999998</v>
      </c>
      <c r="D156" s="31">
        <v>0.995</v>
      </c>
      <c r="E156" s="31">
        <v>0.96</v>
      </c>
      <c r="F156" s="31">
        <v>0.96</v>
      </c>
      <c r="G156" s="31">
        <v>0.93059999999999998</v>
      </c>
      <c r="H156" s="31">
        <v>0.99</v>
      </c>
      <c r="I156" s="31">
        <v>0.93059999999999998</v>
      </c>
      <c r="J156" s="31">
        <v>0.995</v>
      </c>
      <c r="K156" s="31">
        <v>0.98</v>
      </c>
      <c r="L156" s="31">
        <v>0.99</v>
      </c>
      <c r="M156" s="31">
        <v>1.0049999999999999</v>
      </c>
      <c r="N156" s="32">
        <v>0.99</v>
      </c>
      <c r="P156" s="25">
        <f t="shared" si="7"/>
        <v>40817</v>
      </c>
      <c r="Q156" s="26">
        <f t="shared" si="8"/>
        <v>154</v>
      </c>
    </row>
    <row r="157" spans="1:17" x14ac:dyDescent="0.25">
      <c r="A157" s="191">
        <v>40848</v>
      </c>
      <c r="B157" s="31">
        <f t="shared" si="6"/>
        <v>0.93059999999999998</v>
      </c>
      <c r="C157" s="31">
        <v>0.93059999999999998</v>
      </c>
      <c r="D157" s="31">
        <v>0.995</v>
      </c>
      <c r="E157" s="31">
        <v>0.96</v>
      </c>
      <c r="F157" s="31">
        <v>0.96</v>
      </c>
      <c r="G157" s="31">
        <v>0.93059999999999998</v>
      </c>
      <c r="H157" s="31">
        <v>0.99</v>
      </c>
      <c r="I157" s="31">
        <v>0.93059999999999998</v>
      </c>
      <c r="J157" s="31">
        <v>0.995</v>
      </c>
      <c r="K157" s="31">
        <v>0.98</v>
      </c>
      <c r="L157" s="31">
        <v>0.99</v>
      </c>
      <c r="M157" s="31">
        <v>1.0049999999999999</v>
      </c>
      <c r="N157" s="32">
        <v>0.99</v>
      </c>
      <c r="P157" s="25">
        <f t="shared" si="7"/>
        <v>40848</v>
      </c>
      <c r="Q157" s="26">
        <f t="shared" si="8"/>
        <v>155</v>
      </c>
    </row>
    <row r="158" spans="1:17" x14ac:dyDescent="0.25">
      <c r="A158" s="191">
        <v>40878</v>
      </c>
      <c r="B158" s="31">
        <f t="shared" si="6"/>
        <v>0.93059999999999998</v>
      </c>
      <c r="C158" s="31">
        <v>0.93059999999999998</v>
      </c>
      <c r="D158" s="31">
        <v>0.995</v>
      </c>
      <c r="E158" s="31">
        <v>0.96</v>
      </c>
      <c r="F158" s="31">
        <v>0.96</v>
      </c>
      <c r="G158" s="31">
        <v>0.93059999999999998</v>
      </c>
      <c r="H158" s="31">
        <v>0.99</v>
      </c>
      <c r="I158" s="31">
        <v>0.93059999999999998</v>
      </c>
      <c r="J158" s="31">
        <v>0.995</v>
      </c>
      <c r="K158" s="31">
        <v>0.98</v>
      </c>
      <c r="L158" s="31">
        <v>0.99</v>
      </c>
      <c r="M158" s="31">
        <v>1.0049999999999999</v>
      </c>
      <c r="N158" s="32">
        <v>0.99</v>
      </c>
      <c r="P158" s="25">
        <f t="shared" si="7"/>
        <v>40878</v>
      </c>
      <c r="Q158" s="26">
        <f t="shared" si="8"/>
        <v>156</v>
      </c>
    </row>
    <row r="159" spans="1:17" x14ac:dyDescent="0.25">
      <c r="A159" s="191">
        <v>40909</v>
      </c>
      <c r="B159" s="31">
        <f t="shared" si="6"/>
        <v>0.93059999999999998</v>
      </c>
      <c r="C159" s="31">
        <v>0.93059999999999998</v>
      </c>
      <c r="D159" s="31">
        <v>0.995</v>
      </c>
      <c r="E159" s="31">
        <v>0.96</v>
      </c>
      <c r="F159" s="31">
        <v>0.96</v>
      </c>
      <c r="G159" s="31">
        <v>0.93059999999999998</v>
      </c>
      <c r="H159" s="31">
        <v>0.99</v>
      </c>
      <c r="I159" s="31">
        <v>0.93059999999999998</v>
      </c>
      <c r="J159" s="31">
        <v>0.995</v>
      </c>
      <c r="K159" s="31">
        <v>0.98</v>
      </c>
      <c r="L159" s="31">
        <v>0.99</v>
      </c>
      <c r="M159" s="31">
        <v>1.0049999999999999</v>
      </c>
      <c r="N159" s="32">
        <v>0.99</v>
      </c>
      <c r="P159" s="25">
        <f t="shared" si="7"/>
        <v>40909</v>
      </c>
      <c r="Q159" s="26">
        <f t="shared" si="8"/>
        <v>157</v>
      </c>
    </row>
    <row r="160" spans="1:17" x14ac:dyDescent="0.25">
      <c r="A160" s="191">
        <v>40940</v>
      </c>
      <c r="B160" s="31">
        <f t="shared" si="6"/>
        <v>0.93059999999999998</v>
      </c>
      <c r="C160" s="31">
        <v>0.93059999999999998</v>
      </c>
      <c r="D160" s="31">
        <v>0.995</v>
      </c>
      <c r="E160" s="31">
        <v>0.96</v>
      </c>
      <c r="F160" s="31">
        <v>0.96</v>
      </c>
      <c r="G160" s="31">
        <v>0.93059999999999998</v>
      </c>
      <c r="H160" s="31">
        <v>0.99</v>
      </c>
      <c r="I160" s="31">
        <v>0.93059999999999998</v>
      </c>
      <c r="J160" s="31">
        <v>0.995</v>
      </c>
      <c r="K160" s="31">
        <v>0.98</v>
      </c>
      <c r="L160" s="31">
        <v>0.99</v>
      </c>
      <c r="M160" s="31">
        <v>1.0049999999999999</v>
      </c>
      <c r="N160" s="32">
        <v>0.99</v>
      </c>
      <c r="P160" s="25">
        <f t="shared" si="7"/>
        <v>40940</v>
      </c>
      <c r="Q160" s="26">
        <f t="shared" si="8"/>
        <v>158</v>
      </c>
    </row>
    <row r="161" spans="1:17" x14ac:dyDescent="0.25">
      <c r="A161" s="191">
        <v>40969</v>
      </c>
      <c r="B161" s="31">
        <f t="shared" si="6"/>
        <v>0.93059999999999998</v>
      </c>
      <c r="C161" s="31">
        <v>0.93059999999999998</v>
      </c>
      <c r="D161" s="31">
        <v>0.995</v>
      </c>
      <c r="E161" s="31">
        <v>0.96</v>
      </c>
      <c r="F161" s="31">
        <v>0.96</v>
      </c>
      <c r="G161" s="31">
        <v>0.93059999999999998</v>
      </c>
      <c r="H161" s="31">
        <v>0.99</v>
      </c>
      <c r="I161" s="31">
        <v>0.93059999999999998</v>
      </c>
      <c r="J161" s="31">
        <v>0.995</v>
      </c>
      <c r="K161" s="31">
        <v>0.98</v>
      </c>
      <c r="L161" s="31">
        <v>0.99</v>
      </c>
      <c r="M161" s="31">
        <v>1.0049999999999999</v>
      </c>
      <c r="N161" s="32">
        <v>0.99</v>
      </c>
      <c r="P161" s="25">
        <f t="shared" si="7"/>
        <v>40969</v>
      </c>
      <c r="Q161" s="26">
        <f t="shared" si="8"/>
        <v>159</v>
      </c>
    </row>
    <row r="162" spans="1:17" x14ac:dyDescent="0.25">
      <c r="A162" s="191">
        <v>41000</v>
      </c>
      <c r="B162" s="31">
        <f t="shared" si="6"/>
        <v>0.93059999999999998</v>
      </c>
      <c r="C162" s="31">
        <v>0.93059999999999998</v>
      </c>
      <c r="D162" s="31">
        <v>0.995</v>
      </c>
      <c r="E162" s="31">
        <v>0.96</v>
      </c>
      <c r="F162" s="31">
        <v>0.96</v>
      </c>
      <c r="G162" s="31">
        <v>0.93059999999999998</v>
      </c>
      <c r="H162" s="31">
        <v>0.99</v>
      </c>
      <c r="I162" s="31">
        <v>0.93059999999999998</v>
      </c>
      <c r="J162" s="31">
        <v>0.995</v>
      </c>
      <c r="K162" s="31">
        <v>0.98</v>
      </c>
      <c r="L162" s="31">
        <v>0.99</v>
      </c>
      <c r="M162" s="31">
        <v>1.0049999999999999</v>
      </c>
      <c r="N162" s="32">
        <v>0.99</v>
      </c>
      <c r="P162" s="25">
        <f t="shared" si="7"/>
        <v>41000</v>
      </c>
      <c r="Q162" s="26">
        <f t="shared" si="8"/>
        <v>160</v>
      </c>
    </row>
    <row r="163" spans="1:17" x14ac:dyDescent="0.25">
      <c r="A163" s="191">
        <v>41030</v>
      </c>
      <c r="B163" s="31">
        <f t="shared" si="6"/>
        <v>0.93059999999999998</v>
      </c>
      <c r="C163" s="31">
        <v>0.93059999999999998</v>
      </c>
      <c r="D163" s="31">
        <v>0.995</v>
      </c>
      <c r="E163" s="31">
        <v>0.96</v>
      </c>
      <c r="F163" s="31">
        <v>0.96</v>
      </c>
      <c r="G163" s="31">
        <v>0.93059999999999998</v>
      </c>
      <c r="H163" s="31">
        <v>0.99</v>
      </c>
      <c r="I163" s="31">
        <v>0.93059999999999998</v>
      </c>
      <c r="J163" s="31">
        <v>0.995</v>
      </c>
      <c r="K163" s="31">
        <v>0.98</v>
      </c>
      <c r="L163" s="31">
        <v>0.99</v>
      </c>
      <c r="M163" s="31">
        <v>1.0049999999999999</v>
      </c>
      <c r="N163" s="32">
        <v>0.99</v>
      </c>
      <c r="P163" s="25">
        <f t="shared" si="7"/>
        <v>41030</v>
      </c>
      <c r="Q163" s="26">
        <f t="shared" si="8"/>
        <v>161</v>
      </c>
    </row>
    <row r="164" spans="1:17" x14ac:dyDescent="0.25">
      <c r="A164" s="191">
        <v>41061</v>
      </c>
      <c r="B164" s="31">
        <f t="shared" si="6"/>
        <v>0.93059999999999998</v>
      </c>
      <c r="C164" s="31">
        <v>0.93059999999999998</v>
      </c>
      <c r="D164" s="31">
        <v>0.995</v>
      </c>
      <c r="E164" s="31">
        <v>0.96</v>
      </c>
      <c r="F164" s="31">
        <v>0.96</v>
      </c>
      <c r="G164" s="31">
        <v>0.93059999999999998</v>
      </c>
      <c r="H164" s="31">
        <v>0.99</v>
      </c>
      <c r="I164" s="31">
        <v>0.93059999999999998</v>
      </c>
      <c r="J164" s="31">
        <v>0.995</v>
      </c>
      <c r="K164" s="31">
        <v>0.98</v>
      </c>
      <c r="L164" s="31">
        <v>0.99</v>
      </c>
      <c r="M164" s="31">
        <v>1.0049999999999999</v>
      </c>
      <c r="N164" s="32">
        <v>0.99</v>
      </c>
      <c r="P164" s="25">
        <f t="shared" si="7"/>
        <v>41061</v>
      </c>
      <c r="Q164" s="26">
        <f t="shared" si="8"/>
        <v>162</v>
      </c>
    </row>
    <row r="165" spans="1:17" x14ac:dyDescent="0.25">
      <c r="A165" s="191">
        <v>41091</v>
      </c>
      <c r="B165" s="31">
        <f t="shared" si="6"/>
        <v>0.93059999999999998</v>
      </c>
      <c r="C165" s="31">
        <v>0.93059999999999998</v>
      </c>
      <c r="D165" s="31">
        <v>0.995</v>
      </c>
      <c r="E165" s="31">
        <v>0.96</v>
      </c>
      <c r="F165" s="31">
        <v>0.96</v>
      </c>
      <c r="G165" s="31">
        <v>0.93059999999999998</v>
      </c>
      <c r="H165" s="31">
        <v>0.99</v>
      </c>
      <c r="I165" s="31">
        <v>0.93059999999999998</v>
      </c>
      <c r="J165" s="31">
        <v>0.995</v>
      </c>
      <c r="K165" s="31">
        <v>0.98</v>
      </c>
      <c r="L165" s="31">
        <v>0.99</v>
      </c>
      <c r="M165" s="31">
        <v>1.0049999999999999</v>
      </c>
      <c r="N165" s="32">
        <v>0.99</v>
      </c>
      <c r="P165" s="25">
        <f t="shared" si="7"/>
        <v>41091</v>
      </c>
      <c r="Q165" s="26">
        <f t="shared" si="8"/>
        <v>163</v>
      </c>
    </row>
    <row r="166" spans="1:17" x14ac:dyDescent="0.25">
      <c r="A166" s="191">
        <v>41122</v>
      </c>
      <c r="B166" s="31">
        <f t="shared" si="6"/>
        <v>0.93059999999999998</v>
      </c>
      <c r="C166" s="31">
        <v>0.93059999999999998</v>
      </c>
      <c r="D166" s="31">
        <v>0.995</v>
      </c>
      <c r="E166" s="31">
        <v>0.96</v>
      </c>
      <c r="F166" s="31">
        <v>0.96</v>
      </c>
      <c r="G166" s="31">
        <v>0.93059999999999998</v>
      </c>
      <c r="H166" s="31">
        <v>0.99</v>
      </c>
      <c r="I166" s="31">
        <v>0.93059999999999998</v>
      </c>
      <c r="J166" s="31">
        <v>0.995</v>
      </c>
      <c r="K166" s="31">
        <v>0.98</v>
      </c>
      <c r="L166" s="31">
        <v>0.99</v>
      </c>
      <c r="M166" s="31">
        <v>1.0049999999999999</v>
      </c>
      <c r="N166" s="32">
        <v>0.99</v>
      </c>
      <c r="P166" s="25">
        <f t="shared" si="7"/>
        <v>41122</v>
      </c>
      <c r="Q166" s="26">
        <f t="shared" si="8"/>
        <v>164</v>
      </c>
    </row>
    <row r="167" spans="1:17" x14ac:dyDescent="0.25">
      <c r="A167" s="191">
        <v>41153</v>
      </c>
      <c r="B167" s="31">
        <f t="shared" si="6"/>
        <v>0.93059999999999998</v>
      </c>
      <c r="C167" s="31">
        <v>0.93059999999999998</v>
      </c>
      <c r="D167" s="31">
        <v>0.995</v>
      </c>
      <c r="E167" s="31">
        <v>0.96</v>
      </c>
      <c r="F167" s="31">
        <v>0.96</v>
      </c>
      <c r="G167" s="31">
        <v>0.93059999999999998</v>
      </c>
      <c r="H167" s="31">
        <v>0.99</v>
      </c>
      <c r="I167" s="31">
        <v>0.93059999999999998</v>
      </c>
      <c r="J167" s="31">
        <v>0.995</v>
      </c>
      <c r="K167" s="31">
        <v>0.98</v>
      </c>
      <c r="L167" s="31">
        <v>0.99</v>
      </c>
      <c r="M167" s="31">
        <v>1.0049999999999999</v>
      </c>
      <c r="N167" s="32">
        <v>0.99</v>
      </c>
      <c r="P167" s="25">
        <f t="shared" si="7"/>
        <v>41153</v>
      </c>
      <c r="Q167" s="26">
        <f t="shared" si="8"/>
        <v>165</v>
      </c>
    </row>
    <row r="168" spans="1:17" x14ac:dyDescent="0.25">
      <c r="A168" s="191">
        <v>41183</v>
      </c>
      <c r="B168" s="31">
        <f t="shared" si="6"/>
        <v>0.93059999999999998</v>
      </c>
      <c r="C168" s="31">
        <v>0.93059999999999998</v>
      </c>
      <c r="D168" s="31">
        <v>0.995</v>
      </c>
      <c r="E168" s="31">
        <v>0.96</v>
      </c>
      <c r="F168" s="31">
        <v>0.96</v>
      </c>
      <c r="G168" s="31">
        <v>0.93059999999999998</v>
      </c>
      <c r="H168" s="31">
        <v>0.99</v>
      </c>
      <c r="I168" s="31">
        <v>0.93059999999999998</v>
      </c>
      <c r="J168" s="31">
        <v>0.995</v>
      </c>
      <c r="K168" s="31">
        <v>0.98</v>
      </c>
      <c r="L168" s="31">
        <v>0.99</v>
      </c>
      <c r="M168" s="31">
        <v>1.0049999999999999</v>
      </c>
      <c r="N168" s="32">
        <v>0.99</v>
      </c>
      <c r="P168" s="25">
        <f t="shared" si="7"/>
        <v>41183</v>
      </c>
      <c r="Q168" s="26">
        <f t="shared" si="8"/>
        <v>166</v>
      </c>
    </row>
    <row r="169" spans="1:17" x14ac:dyDescent="0.25">
      <c r="A169" s="191">
        <v>41214</v>
      </c>
      <c r="B169" s="31">
        <f t="shared" si="6"/>
        <v>0.93059999999999998</v>
      </c>
      <c r="C169" s="31">
        <v>0.93059999999999998</v>
      </c>
      <c r="D169" s="31">
        <v>0.995</v>
      </c>
      <c r="E169" s="31">
        <v>0.96</v>
      </c>
      <c r="F169" s="31">
        <v>0.96</v>
      </c>
      <c r="G169" s="31">
        <v>0.93059999999999998</v>
      </c>
      <c r="H169" s="31">
        <v>0.99</v>
      </c>
      <c r="I169" s="31">
        <v>0.93059999999999998</v>
      </c>
      <c r="J169" s="31">
        <v>0.995</v>
      </c>
      <c r="K169" s="31">
        <v>0.98</v>
      </c>
      <c r="L169" s="31">
        <v>0.99</v>
      </c>
      <c r="M169" s="31">
        <v>1.0049999999999999</v>
      </c>
      <c r="N169" s="32">
        <v>0.99</v>
      </c>
      <c r="P169" s="25">
        <f t="shared" si="7"/>
        <v>41214</v>
      </c>
      <c r="Q169" s="26">
        <f t="shared" si="8"/>
        <v>167</v>
      </c>
    </row>
    <row r="170" spans="1:17" x14ac:dyDescent="0.25">
      <c r="A170" s="191">
        <v>41244</v>
      </c>
      <c r="B170" s="31">
        <f t="shared" si="6"/>
        <v>0.93059999999999998</v>
      </c>
      <c r="C170" s="31">
        <v>0.93059999999999998</v>
      </c>
      <c r="D170" s="31">
        <v>0.995</v>
      </c>
      <c r="E170" s="31">
        <v>0.96</v>
      </c>
      <c r="F170" s="31">
        <v>0.96</v>
      </c>
      <c r="G170" s="31">
        <v>0.93059999999999998</v>
      </c>
      <c r="H170" s="31">
        <v>0.99</v>
      </c>
      <c r="I170" s="31">
        <v>0.93059999999999998</v>
      </c>
      <c r="J170" s="31">
        <v>0.995</v>
      </c>
      <c r="K170" s="31">
        <v>0.98</v>
      </c>
      <c r="L170" s="31">
        <v>0.99</v>
      </c>
      <c r="M170" s="31">
        <v>1.0049999999999999</v>
      </c>
      <c r="N170" s="32">
        <v>0.99</v>
      </c>
      <c r="P170" s="25">
        <f t="shared" si="7"/>
        <v>41244</v>
      </c>
      <c r="Q170" s="26">
        <f t="shared" si="8"/>
        <v>168</v>
      </c>
    </row>
    <row r="171" spans="1:17" x14ac:dyDescent="0.25">
      <c r="A171" s="191">
        <v>41275</v>
      </c>
      <c r="B171" s="31">
        <f t="shared" si="6"/>
        <v>0.93059999999999998</v>
      </c>
      <c r="C171" s="31">
        <v>0.93059999999999998</v>
      </c>
      <c r="D171" s="31">
        <v>0.995</v>
      </c>
      <c r="E171" s="31">
        <v>0.96</v>
      </c>
      <c r="F171" s="31">
        <v>0.96</v>
      </c>
      <c r="G171" s="31">
        <v>0.93059999999999998</v>
      </c>
      <c r="H171" s="31">
        <v>0.99</v>
      </c>
      <c r="I171" s="31">
        <v>0.93059999999999998</v>
      </c>
      <c r="J171" s="31">
        <v>0.995</v>
      </c>
      <c r="K171" s="31">
        <v>0.98</v>
      </c>
      <c r="L171" s="31">
        <v>0.99</v>
      </c>
      <c r="M171" s="31">
        <v>1.0049999999999999</v>
      </c>
      <c r="N171" s="32">
        <v>0.99</v>
      </c>
      <c r="P171" s="25">
        <f t="shared" si="7"/>
        <v>41275</v>
      </c>
      <c r="Q171" s="26">
        <f t="shared" si="8"/>
        <v>169</v>
      </c>
    </row>
    <row r="172" spans="1:17" x14ac:dyDescent="0.25">
      <c r="A172" s="191">
        <v>41306</v>
      </c>
      <c r="B172" s="31">
        <f t="shared" si="6"/>
        <v>0.93059999999999998</v>
      </c>
      <c r="C172" s="31">
        <v>0.93059999999999998</v>
      </c>
      <c r="D172" s="31">
        <v>0.995</v>
      </c>
      <c r="E172" s="31">
        <v>0.96</v>
      </c>
      <c r="F172" s="31">
        <v>0.96</v>
      </c>
      <c r="G172" s="31">
        <v>0.93059999999999998</v>
      </c>
      <c r="H172" s="31">
        <v>0.99</v>
      </c>
      <c r="I172" s="31">
        <v>0.93059999999999998</v>
      </c>
      <c r="J172" s="31">
        <v>0.995</v>
      </c>
      <c r="K172" s="31">
        <v>0.98</v>
      </c>
      <c r="L172" s="31">
        <v>0.99</v>
      </c>
      <c r="M172" s="31">
        <v>1.0049999999999999</v>
      </c>
      <c r="N172" s="32">
        <v>0.99</v>
      </c>
      <c r="P172" s="25">
        <f t="shared" si="7"/>
        <v>41306</v>
      </c>
      <c r="Q172" s="26">
        <f t="shared" si="8"/>
        <v>170</v>
      </c>
    </row>
    <row r="173" spans="1:17" x14ac:dyDescent="0.25">
      <c r="A173" s="191">
        <v>41334</v>
      </c>
      <c r="B173" s="31">
        <f t="shared" si="6"/>
        <v>0.93059999999999998</v>
      </c>
      <c r="C173" s="31">
        <v>0.93059999999999998</v>
      </c>
      <c r="D173" s="31">
        <v>0.995</v>
      </c>
      <c r="E173" s="31">
        <v>0.96</v>
      </c>
      <c r="F173" s="31">
        <v>0.96</v>
      </c>
      <c r="G173" s="31">
        <v>0.93059999999999998</v>
      </c>
      <c r="H173" s="31">
        <v>0.99</v>
      </c>
      <c r="I173" s="31">
        <v>0.93059999999999998</v>
      </c>
      <c r="J173" s="31">
        <v>0.995</v>
      </c>
      <c r="K173" s="31">
        <v>0.98</v>
      </c>
      <c r="L173" s="31">
        <v>0.99</v>
      </c>
      <c r="M173" s="31">
        <v>1.0049999999999999</v>
      </c>
      <c r="N173" s="32">
        <v>0.99</v>
      </c>
      <c r="P173" s="25">
        <f t="shared" si="7"/>
        <v>41334</v>
      </c>
      <c r="Q173" s="26">
        <f t="shared" si="8"/>
        <v>171</v>
      </c>
    </row>
    <row r="174" spans="1:17" x14ac:dyDescent="0.25">
      <c r="A174" s="191">
        <v>41365</v>
      </c>
      <c r="B174" s="31">
        <f t="shared" si="6"/>
        <v>0.93059999999999998</v>
      </c>
      <c r="C174" s="31">
        <v>0.93059999999999998</v>
      </c>
      <c r="D174" s="31">
        <v>0.995</v>
      </c>
      <c r="E174" s="31">
        <v>0.96</v>
      </c>
      <c r="F174" s="31">
        <v>0.96</v>
      </c>
      <c r="G174" s="31">
        <v>0.93059999999999998</v>
      </c>
      <c r="H174" s="31">
        <v>0.99</v>
      </c>
      <c r="I174" s="31">
        <v>0.93059999999999998</v>
      </c>
      <c r="J174" s="31">
        <v>0.995</v>
      </c>
      <c r="K174" s="31">
        <v>0.98</v>
      </c>
      <c r="L174" s="31">
        <v>0.99</v>
      </c>
      <c r="M174" s="31">
        <v>1.0049999999999999</v>
      </c>
      <c r="N174" s="32">
        <v>0.99</v>
      </c>
      <c r="P174" s="25">
        <f t="shared" si="7"/>
        <v>41365</v>
      </c>
      <c r="Q174" s="26">
        <f t="shared" si="8"/>
        <v>172</v>
      </c>
    </row>
    <row r="175" spans="1:17" x14ac:dyDescent="0.25">
      <c r="A175" s="191">
        <v>41395</v>
      </c>
      <c r="B175" s="31">
        <f t="shared" si="6"/>
        <v>0.93059999999999998</v>
      </c>
      <c r="C175" s="31">
        <v>0.93059999999999998</v>
      </c>
      <c r="D175" s="31">
        <v>0.995</v>
      </c>
      <c r="E175" s="31">
        <v>0.96</v>
      </c>
      <c r="F175" s="31">
        <v>0.96</v>
      </c>
      <c r="G175" s="31">
        <v>0.93059999999999998</v>
      </c>
      <c r="H175" s="31">
        <v>0.99</v>
      </c>
      <c r="I175" s="31">
        <v>0.93059999999999998</v>
      </c>
      <c r="J175" s="31">
        <v>0.995</v>
      </c>
      <c r="K175" s="31">
        <v>0.98</v>
      </c>
      <c r="L175" s="31">
        <v>0.99</v>
      </c>
      <c r="M175" s="31">
        <v>1.0049999999999999</v>
      </c>
      <c r="N175" s="32">
        <v>0.99</v>
      </c>
      <c r="P175" s="25">
        <f t="shared" si="7"/>
        <v>41395</v>
      </c>
      <c r="Q175" s="26">
        <f t="shared" si="8"/>
        <v>173</v>
      </c>
    </row>
    <row r="176" spans="1:17" x14ac:dyDescent="0.25">
      <c r="A176" s="191">
        <v>41426</v>
      </c>
      <c r="B176" s="31">
        <f t="shared" si="6"/>
        <v>0.93059999999999998</v>
      </c>
      <c r="C176" s="31">
        <v>0.93059999999999998</v>
      </c>
      <c r="D176" s="31">
        <v>0.995</v>
      </c>
      <c r="E176" s="31">
        <v>0.96</v>
      </c>
      <c r="F176" s="31">
        <v>0.96</v>
      </c>
      <c r="G176" s="31">
        <v>0.93059999999999998</v>
      </c>
      <c r="H176" s="31">
        <v>0.99</v>
      </c>
      <c r="I176" s="31">
        <v>0.93059999999999998</v>
      </c>
      <c r="J176" s="31">
        <v>0.995</v>
      </c>
      <c r="K176" s="31">
        <v>0.98</v>
      </c>
      <c r="L176" s="31">
        <v>0.99</v>
      </c>
      <c r="M176" s="31">
        <v>1.0049999999999999</v>
      </c>
      <c r="N176" s="32">
        <v>0.99</v>
      </c>
      <c r="P176" s="25">
        <f t="shared" si="7"/>
        <v>41426</v>
      </c>
      <c r="Q176" s="26">
        <f t="shared" si="8"/>
        <v>174</v>
      </c>
    </row>
    <row r="177" spans="1:17" x14ac:dyDescent="0.25">
      <c r="A177" s="191">
        <v>41456</v>
      </c>
      <c r="B177" s="31">
        <f t="shared" si="6"/>
        <v>0.93059999999999998</v>
      </c>
      <c r="C177" s="31">
        <v>0.93059999999999998</v>
      </c>
      <c r="D177" s="31">
        <v>0.995</v>
      </c>
      <c r="E177" s="31">
        <v>0.96</v>
      </c>
      <c r="F177" s="31">
        <v>0.96</v>
      </c>
      <c r="G177" s="31">
        <v>0.93059999999999998</v>
      </c>
      <c r="H177" s="31">
        <v>0.99</v>
      </c>
      <c r="I177" s="31">
        <v>0.93059999999999998</v>
      </c>
      <c r="J177" s="31">
        <v>0.995</v>
      </c>
      <c r="K177" s="31">
        <v>0.98</v>
      </c>
      <c r="L177" s="31">
        <v>0.99</v>
      </c>
      <c r="M177" s="31">
        <v>1.0049999999999999</v>
      </c>
      <c r="N177" s="32">
        <v>0.99</v>
      </c>
      <c r="P177" s="25">
        <f t="shared" si="7"/>
        <v>41456</v>
      </c>
      <c r="Q177" s="26">
        <f t="shared" si="8"/>
        <v>175</v>
      </c>
    </row>
    <row r="178" spans="1:17" x14ac:dyDescent="0.25">
      <c r="A178" s="191">
        <v>41487</v>
      </c>
      <c r="B178" s="31">
        <f t="shared" si="6"/>
        <v>0.93059999999999998</v>
      </c>
      <c r="C178" s="31">
        <v>0.93059999999999998</v>
      </c>
      <c r="D178" s="31">
        <v>0.995</v>
      </c>
      <c r="E178" s="31">
        <v>0.96</v>
      </c>
      <c r="F178" s="31">
        <v>0.96</v>
      </c>
      <c r="G178" s="31">
        <v>0.93059999999999998</v>
      </c>
      <c r="H178" s="31">
        <v>0.99</v>
      </c>
      <c r="I178" s="31">
        <v>0.93059999999999998</v>
      </c>
      <c r="J178" s="31">
        <v>0.995</v>
      </c>
      <c r="K178" s="31">
        <v>0.98</v>
      </c>
      <c r="L178" s="31">
        <v>0.99</v>
      </c>
      <c r="M178" s="31">
        <v>1.0049999999999999</v>
      </c>
      <c r="N178" s="32">
        <v>0.99</v>
      </c>
      <c r="P178" s="25">
        <f t="shared" si="7"/>
        <v>41487</v>
      </c>
      <c r="Q178" s="26">
        <f t="shared" si="8"/>
        <v>176</v>
      </c>
    </row>
    <row r="179" spans="1:17" x14ac:dyDescent="0.25">
      <c r="A179" s="191">
        <v>41518</v>
      </c>
      <c r="B179" s="31">
        <f t="shared" si="6"/>
        <v>0.93059999999999998</v>
      </c>
      <c r="C179" s="31">
        <v>0.93059999999999998</v>
      </c>
      <c r="D179" s="31">
        <v>0.995</v>
      </c>
      <c r="E179" s="31">
        <v>0.96</v>
      </c>
      <c r="F179" s="31">
        <v>0.96</v>
      </c>
      <c r="G179" s="31">
        <v>0.93059999999999998</v>
      </c>
      <c r="H179" s="31">
        <v>0.99</v>
      </c>
      <c r="I179" s="31">
        <v>0.93059999999999998</v>
      </c>
      <c r="J179" s="31">
        <v>0.995</v>
      </c>
      <c r="K179" s="31">
        <v>0.98</v>
      </c>
      <c r="L179" s="31">
        <v>0.99</v>
      </c>
      <c r="M179" s="31">
        <v>1.0049999999999999</v>
      </c>
      <c r="N179" s="32">
        <v>0.99</v>
      </c>
      <c r="P179" s="25">
        <f t="shared" si="7"/>
        <v>41518</v>
      </c>
      <c r="Q179" s="26">
        <f t="shared" si="8"/>
        <v>177</v>
      </c>
    </row>
    <row r="180" spans="1:17" x14ac:dyDescent="0.25">
      <c r="A180" s="191">
        <v>41548</v>
      </c>
      <c r="B180" s="31">
        <f t="shared" si="6"/>
        <v>0.93059999999999998</v>
      </c>
      <c r="C180" s="31">
        <v>0.93059999999999998</v>
      </c>
      <c r="D180" s="31">
        <v>0.995</v>
      </c>
      <c r="E180" s="31">
        <v>0.96</v>
      </c>
      <c r="F180" s="31">
        <v>0.96</v>
      </c>
      <c r="G180" s="31">
        <v>0.93059999999999998</v>
      </c>
      <c r="H180" s="31">
        <v>0.99</v>
      </c>
      <c r="I180" s="31">
        <v>0.93059999999999998</v>
      </c>
      <c r="J180" s="31">
        <v>0.995</v>
      </c>
      <c r="K180" s="31">
        <v>0.98</v>
      </c>
      <c r="L180" s="31">
        <v>0.99</v>
      </c>
      <c r="M180" s="31">
        <v>1.0049999999999999</v>
      </c>
      <c r="N180" s="32">
        <v>0.99</v>
      </c>
      <c r="P180" s="25">
        <f t="shared" si="7"/>
        <v>41548</v>
      </c>
      <c r="Q180" s="26">
        <f t="shared" si="8"/>
        <v>178</v>
      </c>
    </row>
    <row r="181" spans="1:17" x14ac:dyDescent="0.25">
      <c r="A181" s="191">
        <v>41579</v>
      </c>
      <c r="B181" s="31">
        <f t="shared" si="6"/>
        <v>0.93059999999999998</v>
      </c>
      <c r="C181" s="31">
        <v>0.93059999999999998</v>
      </c>
      <c r="D181" s="31">
        <v>0.995</v>
      </c>
      <c r="E181" s="31">
        <v>0.96</v>
      </c>
      <c r="F181" s="31">
        <v>0.96</v>
      </c>
      <c r="G181" s="31">
        <v>0.93059999999999998</v>
      </c>
      <c r="H181" s="31">
        <v>0.99</v>
      </c>
      <c r="I181" s="31">
        <v>0.93059999999999998</v>
      </c>
      <c r="J181" s="31">
        <v>0.995</v>
      </c>
      <c r="K181" s="31">
        <v>0.98</v>
      </c>
      <c r="L181" s="31">
        <v>0.99</v>
      </c>
      <c r="M181" s="31">
        <v>1.0049999999999999</v>
      </c>
      <c r="N181" s="32">
        <v>0.99</v>
      </c>
      <c r="P181" s="25">
        <f t="shared" si="7"/>
        <v>41579</v>
      </c>
      <c r="Q181" s="26">
        <f t="shared" si="8"/>
        <v>179</v>
      </c>
    </row>
    <row r="182" spans="1:17" x14ac:dyDescent="0.25">
      <c r="A182" s="191">
        <v>41609</v>
      </c>
      <c r="B182" s="31">
        <f t="shared" si="6"/>
        <v>0.93059999999999998</v>
      </c>
      <c r="C182" s="31">
        <v>0.93059999999999998</v>
      </c>
      <c r="D182" s="31">
        <v>0.995</v>
      </c>
      <c r="E182" s="31">
        <v>0.96</v>
      </c>
      <c r="F182" s="31">
        <v>0.96</v>
      </c>
      <c r="G182" s="31">
        <v>0.93059999999999998</v>
      </c>
      <c r="H182" s="31">
        <v>0.99</v>
      </c>
      <c r="I182" s="31">
        <v>0.93059999999999998</v>
      </c>
      <c r="J182" s="31">
        <v>0.995</v>
      </c>
      <c r="K182" s="31">
        <v>0.98</v>
      </c>
      <c r="L182" s="31">
        <v>0.99</v>
      </c>
      <c r="M182" s="31">
        <v>1.0049999999999999</v>
      </c>
      <c r="N182" s="32">
        <v>0.99</v>
      </c>
      <c r="P182" s="25">
        <f t="shared" si="7"/>
        <v>41609</v>
      </c>
      <c r="Q182" s="26">
        <f t="shared" si="8"/>
        <v>180</v>
      </c>
    </row>
    <row r="183" spans="1:17" x14ac:dyDescent="0.25">
      <c r="A183" s="191">
        <v>41640</v>
      </c>
      <c r="B183" s="31">
        <f t="shared" si="6"/>
        <v>0.93059999999999998</v>
      </c>
      <c r="C183" s="31">
        <v>0.93059999999999998</v>
      </c>
      <c r="D183" s="31">
        <v>0.995</v>
      </c>
      <c r="E183" s="31">
        <v>0.96</v>
      </c>
      <c r="F183" s="31">
        <v>0.96</v>
      </c>
      <c r="G183" s="31">
        <v>0.93059999999999998</v>
      </c>
      <c r="H183" s="31">
        <v>0.99</v>
      </c>
      <c r="I183" s="31">
        <v>0.93059999999999998</v>
      </c>
      <c r="J183" s="31">
        <v>0.995</v>
      </c>
      <c r="K183" s="31">
        <v>0.98</v>
      </c>
      <c r="L183" s="31">
        <v>0.99</v>
      </c>
      <c r="M183" s="31">
        <v>1.0049999999999999</v>
      </c>
      <c r="N183" s="32">
        <v>0.99</v>
      </c>
      <c r="P183" s="25">
        <f t="shared" si="7"/>
        <v>41640</v>
      </c>
      <c r="Q183" s="26">
        <f t="shared" si="8"/>
        <v>181</v>
      </c>
    </row>
    <row r="184" spans="1:17" x14ac:dyDescent="0.25">
      <c r="A184" s="191">
        <v>41671</v>
      </c>
      <c r="B184" s="31">
        <f t="shared" si="6"/>
        <v>0.93059999999999998</v>
      </c>
      <c r="C184" s="31">
        <v>0.93059999999999998</v>
      </c>
      <c r="D184" s="31">
        <v>0.995</v>
      </c>
      <c r="E184" s="31">
        <v>0.96</v>
      </c>
      <c r="F184" s="31">
        <v>0.96</v>
      </c>
      <c r="G184" s="31">
        <v>0.93059999999999998</v>
      </c>
      <c r="H184" s="31">
        <v>0.99</v>
      </c>
      <c r="I184" s="31">
        <v>0.93059999999999998</v>
      </c>
      <c r="J184" s="31">
        <v>0.995</v>
      </c>
      <c r="K184" s="31">
        <v>0.98</v>
      </c>
      <c r="L184" s="31">
        <v>0.99</v>
      </c>
      <c r="M184" s="31">
        <v>1.0049999999999999</v>
      </c>
      <c r="N184" s="32">
        <v>0.99</v>
      </c>
      <c r="P184" s="25">
        <f t="shared" si="7"/>
        <v>41671</v>
      </c>
      <c r="Q184" s="26">
        <f t="shared" si="8"/>
        <v>182</v>
      </c>
    </row>
    <row r="185" spans="1:17" x14ac:dyDescent="0.25">
      <c r="A185" s="191">
        <v>41699</v>
      </c>
      <c r="B185" s="31">
        <f t="shared" si="6"/>
        <v>0.93059999999999998</v>
      </c>
      <c r="C185" s="31">
        <v>0.93059999999999998</v>
      </c>
      <c r="D185" s="31">
        <v>0.995</v>
      </c>
      <c r="E185" s="31">
        <v>0.96</v>
      </c>
      <c r="F185" s="31">
        <v>0.96</v>
      </c>
      <c r="G185" s="31">
        <v>0.93059999999999998</v>
      </c>
      <c r="H185" s="31">
        <v>0.99</v>
      </c>
      <c r="I185" s="31">
        <v>0.93059999999999998</v>
      </c>
      <c r="J185" s="31">
        <v>0.995</v>
      </c>
      <c r="K185" s="31">
        <v>0.98</v>
      </c>
      <c r="L185" s="31">
        <v>0.99</v>
      </c>
      <c r="M185" s="31">
        <v>1.0049999999999999</v>
      </c>
      <c r="N185" s="32">
        <v>0.99</v>
      </c>
      <c r="P185" s="25">
        <f t="shared" si="7"/>
        <v>41699</v>
      </c>
      <c r="Q185" s="26">
        <f t="shared" si="8"/>
        <v>183</v>
      </c>
    </row>
    <row r="186" spans="1:17" x14ac:dyDescent="0.25">
      <c r="A186" s="191">
        <v>41730</v>
      </c>
      <c r="B186" s="31">
        <f t="shared" si="6"/>
        <v>0.93059999999999998</v>
      </c>
      <c r="C186" s="31">
        <v>0.93059999999999998</v>
      </c>
      <c r="D186" s="31">
        <v>0.995</v>
      </c>
      <c r="E186" s="31">
        <v>0.96</v>
      </c>
      <c r="F186" s="31">
        <v>0.96</v>
      </c>
      <c r="G186" s="31">
        <v>0.93059999999999998</v>
      </c>
      <c r="H186" s="31">
        <v>0.99</v>
      </c>
      <c r="I186" s="31">
        <v>0.93059999999999998</v>
      </c>
      <c r="J186" s="31">
        <v>0.995</v>
      </c>
      <c r="K186" s="31">
        <v>0.98</v>
      </c>
      <c r="L186" s="31">
        <v>0.99</v>
      </c>
      <c r="M186" s="31">
        <v>1.0049999999999999</v>
      </c>
      <c r="N186" s="32">
        <v>0.99</v>
      </c>
      <c r="P186" s="25">
        <f t="shared" si="7"/>
        <v>41730</v>
      </c>
      <c r="Q186" s="26">
        <f t="shared" si="8"/>
        <v>184</v>
      </c>
    </row>
    <row r="187" spans="1:17" x14ac:dyDescent="0.25">
      <c r="A187" s="191">
        <v>41760</v>
      </c>
      <c r="B187" s="31">
        <f t="shared" si="6"/>
        <v>0.93059999999999998</v>
      </c>
      <c r="C187" s="31">
        <v>0.93059999999999998</v>
      </c>
      <c r="D187" s="31">
        <v>0.995</v>
      </c>
      <c r="E187" s="31">
        <v>0.96</v>
      </c>
      <c r="F187" s="31">
        <v>0.96</v>
      </c>
      <c r="G187" s="31">
        <v>0.93059999999999998</v>
      </c>
      <c r="H187" s="31">
        <v>0.99</v>
      </c>
      <c r="I187" s="31">
        <v>0.93059999999999998</v>
      </c>
      <c r="J187" s="31">
        <v>0.995</v>
      </c>
      <c r="K187" s="31">
        <v>0.98</v>
      </c>
      <c r="L187" s="31">
        <v>0.99</v>
      </c>
      <c r="M187" s="31">
        <v>1.0049999999999999</v>
      </c>
      <c r="N187" s="32">
        <v>0.99</v>
      </c>
      <c r="P187" s="25">
        <f t="shared" si="7"/>
        <v>41760</v>
      </c>
      <c r="Q187" s="26">
        <f t="shared" si="8"/>
        <v>185</v>
      </c>
    </row>
    <row r="188" spans="1:17" x14ac:dyDescent="0.25">
      <c r="A188" s="191">
        <v>41791</v>
      </c>
      <c r="B188" s="31">
        <f t="shared" si="6"/>
        <v>0.93059999999999998</v>
      </c>
      <c r="C188" s="31">
        <v>0.93059999999999998</v>
      </c>
      <c r="D188" s="31">
        <v>0.995</v>
      </c>
      <c r="E188" s="31">
        <v>0.96</v>
      </c>
      <c r="F188" s="31">
        <v>0.96</v>
      </c>
      <c r="G188" s="31">
        <v>0.93059999999999998</v>
      </c>
      <c r="H188" s="31">
        <v>0.99</v>
      </c>
      <c r="I188" s="31">
        <v>0.93059999999999998</v>
      </c>
      <c r="J188" s="31">
        <v>0.995</v>
      </c>
      <c r="K188" s="31">
        <v>0.98</v>
      </c>
      <c r="L188" s="31">
        <v>0.99</v>
      </c>
      <c r="M188" s="31">
        <v>1.0049999999999999</v>
      </c>
      <c r="N188" s="32">
        <v>0.99</v>
      </c>
      <c r="P188" s="25">
        <f t="shared" si="7"/>
        <v>41791</v>
      </c>
      <c r="Q188" s="26">
        <f t="shared" si="8"/>
        <v>186</v>
      </c>
    </row>
    <row r="189" spans="1:17" x14ac:dyDescent="0.25">
      <c r="A189" s="191">
        <v>41821</v>
      </c>
      <c r="B189" s="31">
        <f t="shared" si="6"/>
        <v>0.93059999999999998</v>
      </c>
      <c r="C189" s="31">
        <v>0.93059999999999998</v>
      </c>
      <c r="D189" s="31">
        <v>0.995</v>
      </c>
      <c r="E189" s="31">
        <v>0.96</v>
      </c>
      <c r="F189" s="31">
        <v>0.96</v>
      </c>
      <c r="G189" s="31">
        <v>0.93059999999999998</v>
      </c>
      <c r="H189" s="31">
        <v>0.99</v>
      </c>
      <c r="I189" s="31">
        <v>0.93059999999999998</v>
      </c>
      <c r="J189" s="31">
        <v>0.995</v>
      </c>
      <c r="K189" s="31">
        <v>0.98</v>
      </c>
      <c r="L189" s="31">
        <v>0.99</v>
      </c>
      <c r="M189" s="31">
        <v>1.0049999999999999</v>
      </c>
      <c r="N189" s="32">
        <v>0.99</v>
      </c>
      <c r="P189" s="25">
        <f t="shared" si="7"/>
        <v>41821</v>
      </c>
      <c r="Q189" s="26">
        <f t="shared" si="8"/>
        <v>187</v>
      </c>
    </row>
    <row r="190" spans="1:17" x14ac:dyDescent="0.25">
      <c r="A190" s="191">
        <v>41852</v>
      </c>
      <c r="B190" s="31">
        <f t="shared" si="6"/>
        <v>0.93059999999999998</v>
      </c>
      <c r="C190" s="31">
        <v>0.93059999999999998</v>
      </c>
      <c r="D190" s="31">
        <v>0.995</v>
      </c>
      <c r="E190" s="31">
        <v>0.96</v>
      </c>
      <c r="F190" s="31">
        <v>0.96</v>
      </c>
      <c r="G190" s="31">
        <v>0.93059999999999998</v>
      </c>
      <c r="H190" s="31">
        <v>0.99</v>
      </c>
      <c r="I190" s="31">
        <v>0.93059999999999998</v>
      </c>
      <c r="J190" s="31">
        <v>0.995</v>
      </c>
      <c r="K190" s="31">
        <v>0.98</v>
      </c>
      <c r="L190" s="31">
        <v>0.99</v>
      </c>
      <c r="M190" s="31">
        <v>1.0049999999999999</v>
      </c>
      <c r="N190" s="32">
        <v>0.99</v>
      </c>
      <c r="P190" s="25">
        <f t="shared" si="7"/>
        <v>41852</v>
      </c>
      <c r="Q190" s="26">
        <f t="shared" si="8"/>
        <v>188</v>
      </c>
    </row>
    <row r="191" spans="1:17" x14ac:dyDescent="0.25">
      <c r="A191" s="191">
        <v>41883</v>
      </c>
      <c r="B191" s="31">
        <f t="shared" si="6"/>
        <v>0.93059999999999998</v>
      </c>
      <c r="C191" s="31">
        <v>0.93059999999999998</v>
      </c>
      <c r="D191" s="31">
        <v>0.995</v>
      </c>
      <c r="E191" s="31">
        <v>0.96</v>
      </c>
      <c r="F191" s="31">
        <v>0.96</v>
      </c>
      <c r="G191" s="31">
        <v>0.93059999999999998</v>
      </c>
      <c r="H191" s="31">
        <v>0.99</v>
      </c>
      <c r="I191" s="31">
        <v>0.93059999999999998</v>
      </c>
      <c r="J191" s="31">
        <v>0.995</v>
      </c>
      <c r="K191" s="31">
        <v>0.98</v>
      </c>
      <c r="L191" s="31">
        <v>0.99</v>
      </c>
      <c r="M191" s="31">
        <v>1.0049999999999999</v>
      </c>
      <c r="N191" s="32">
        <v>0.99</v>
      </c>
      <c r="P191" s="25">
        <f t="shared" si="7"/>
        <v>41883</v>
      </c>
      <c r="Q191" s="26">
        <f t="shared" si="8"/>
        <v>189</v>
      </c>
    </row>
    <row r="192" spans="1:17" x14ac:dyDescent="0.25">
      <c r="A192" s="191">
        <v>41913</v>
      </c>
      <c r="B192" s="31">
        <f t="shared" si="6"/>
        <v>0.93059999999999998</v>
      </c>
      <c r="C192" s="31">
        <v>0.93059999999999998</v>
      </c>
      <c r="D192" s="31">
        <v>0.995</v>
      </c>
      <c r="E192" s="31">
        <v>0.96</v>
      </c>
      <c r="F192" s="31">
        <v>0.96</v>
      </c>
      <c r="G192" s="31">
        <v>0.93059999999999998</v>
      </c>
      <c r="H192" s="31">
        <v>0.99</v>
      </c>
      <c r="I192" s="31">
        <v>0.93059999999999998</v>
      </c>
      <c r="J192" s="31">
        <v>0.995</v>
      </c>
      <c r="K192" s="31">
        <v>0.98</v>
      </c>
      <c r="L192" s="31">
        <v>0.99</v>
      </c>
      <c r="M192" s="31">
        <v>1.0049999999999999</v>
      </c>
      <c r="N192" s="32">
        <v>0.99</v>
      </c>
      <c r="P192" s="25">
        <f t="shared" si="7"/>
        <v>41913</v>
      </c>
      <c r="Q192" s="26">
        <f t="shared" si="8"/>
        <v>190</v>
      </c>
    </row>
    <row r="193" spans="1:17" x14ac:dyDescent="0.25">
      <c r="A193" s="191">
        <v>41944</v>
      </c>
      <c r="B193" s="31">
        <f t="shared" si="6"/>
        <v>0.93059999999999998</v>
      </c>
      <c r="C193" s="31">
        <v>0.93059999999999998</v>
      </c>
      <c r="D193" s="31">
        <v>0.995</v>
      </c>
      <c r="E193" s="31">
        <v>0.96</v>
      </c>
      <c r="F193" s="31">
        <v>0.96</v>
      </c>
      <c r="G193" s="31">
        <v>0.93059999999999998</v>
      </c>
      <c r="H193" s="31">
        <v>0.99</v>
      </c>
      <c r="I193" s="31">
        <v>0.93059999999999998</v>
      </c>
      <c r="J193" s="31">
        <v>0.995</v>
      </c>
      <c r="K193" s="31">
        <v>0.98</v>
      </c>
      <c r="L193" s="31">
        <v>0.99</v>
      </c>
      <c r="M193" s="31">
        <v>1.0049999999999999</v>
      </c>
      <c r="N193" s="32">
        <v>0.99</v>
      </c>
      <c r="P193" s="25">
        <f t="shared" si="7"/>
        <v>41944</v>
      </c>
      <c r="Q193" s="26">
        <f t="shared" si="8"/>
        <v>191</v>
      </c>
    </row>
    <row r="194" spans="1:17" x14ac:dyDescent="0.25">
      <c r="A194" s="191">
        <v>41974</v>
      </c>
      <c r="B194" s="31">
        <f t="shared" si="6"/>
        <v>0.93059999999999998</v>
      </c>
      <c r="C194" s="31">
        <v>0.93059999999999998</v>
      </c>
      <c r="D194" s="31">
        <v>0.995</v>
      </c>
      <c r="E194" s="31">
        <v>0.96</v>
      </c>
      <c r="F194" s="31">
        <v>0.96</v>
      </c>
      <c r="G194" s="31">
        <v>0.93059999999999998</v>
      </c>
      <c r="H194" s="31">
        <v>0.99</v>
      </c>
      <c r="I194" s="31">
        <v>0.93059999999999998</v>
      </c>
      <c r="J194" s="31">
        <v>0.995</v>
      </c>
      <c r="K194" s="31">
        <v>0.98</v>
      </c>
      <c r="L194" s="31">
        <v>0.99</v>
      </c>
      <c r="M194" s="31">
        <v>1.0049999999999999</v>
      </c>
      <c r="N194" s="32">
        <v>0.99</v>
      </c>
      <c r="P194" s="25">
        <f t="shared" si="7"/>
        <v>41974</v>
      </c>
      <c r="Q194" s="26">
        <f t="shared" si="8"/>
        <v>192</v>
      </c>
    </row>
    <row r="195" spans="1:17" x14ac:dyDescent="0.25">
      <c r="A195" s="191">
        <v>42005</v>
      </c>
      <c r="B195" s="31">
        <f t="shared" si="6"/>
        <v>0.93059999999999998</v>
      </c>
      <c r="C195" s="31">
        <v>0.93059999999999998</v>
      </c>
      <c r="D195" s="31">
        <v>0.995</v>
      </c>
      <c r="E195" s="31">
        <v>0.96</v>
      </c>
      <c r="F195" s="31">
        <v>0.96</v>
      </c>
      <c r="G195" s="31">
        <v>0.93059999999999998</v>
      </c>
      <c r="H195" s="31">
        <v>0.99</v>
      </c>
      <c r="I195" s="31">
        <v>0.93059999999999998</v>
      </c>
      <c r="J195" s="31">
        <v>0.995</v>
      </c>
      <c r="K195" s="31">
        <v>0.98</v>
      </c>
      <c r="L195" s="31">
        <v>0.99</v>
      </c>
      <c r="M195" s="31">
        <v>1.0049999999999999</v>
      </c>
      <c r="N195" s="32">
        <v>0.99</v>
      </c>
      <c r="P195" s="25">
        <f t="shared" si="7"/>
        <v>42005</v>
      </c>
      <c r="Q195" s="26">
        <f t="shared" si="8"/>
        <v>193</v>
      </c>
    </row>
    <row r="196" spans="1:17" x14ac:dyDescent="0.25">
      <c r="A196" s="191">
        <v>42036</v>
      </c>
      <c r="B196" s="31">
        <f t="shared" si="6"/>
        <v>0.93059999999999998</v>
      </c>
      <c r="C196" s="31">
        <v>0.93059999999999998</v>
      </c>
      <c r="D196" s="31">
        <v>0.995</v>
      </c>
      <c r="E196" s="31">
        <v>0.96</v>
      </c>
      <c r="F196" s="31">
        <v>0.96</v>
      </c>
      <c r="G196" s="31">
        <v>0.93059999999999998</v>
      </c>
      <c r="H196" s="31">
        <v>0.99</v>
      </c>
      <c r="I196" s="31">
        <v>0.93059999999999998</v>
      </c>
      <c r="J196" s="31">
        <v>0.995</v>
      </c>
      <c r="K196" s="31">
        <v>0.98</v>
      </c>
      <c r="L196" s="31">
        <v>0.99</v>
      </c>
      <c r="M196" s="31">
        <v>1.0049999999999999</v>
      </c>
      <c r="N196" s="32">
        <v>0.99</v>
      </c>
      <c r="P196" s="25">
        <f t="shared" si="7"/>
        <v>42036</v>
      </c>
      <c r="Q196" s="26">
        <f t="shared" si="8"/>
        <v>194</v>
      </c>
    </row>
    <row r="197" spans="1:17" x14ac:dyDescent="0.25">
      <c r="A197" s="191">
        <v>42064</v>
      </c>
      <c r="B197" s="31">
        <f t="shared" ref="B197:B229" si="9">C197</f>
        <v>0.93059999999999998</v>
      </c>
      <c r="C197" s="31">
        <v>0.93059999999999998</v>
      </c>
      <c r="D197" s="31">
        <v>0.995</v>
      </c>
      <c r="E197" s="31">
        <v>0.96</v>
      </c>
      <c r="F197" s="31">
        <v>0.96</v>
      </c>
      <c r="G197" s="31">
        <v>0.93059999999999998</v>
      </c>
      <c r="H197" s="31">
        <v>0.99</v>
      </c>
      <c r="I197" s="31">
        <v>0.93059999999999998</v>
      </c>
      <c r="J197" s="31">
        <v>0.995</v>
      </c>
      <c r="K197" s="31">
        <v>0.98</v>
      </c>
      <c r="L197" s="31">
        <v>0.99</v>
      </c>
      <c r="M197" s="31">
        <v>1.0049999999999999</v>
      </c>
      <c r="N197" s="32">
        <v>0.99</v>
      </c>
      <c r="P197" s="25">
        <f t="shared" ref="P197:P229" si="10">A197</f>
        <v>42064</v>
      </c>
      <c r="Q197" s="26">
        <f t="shared" si="8"/>
        <v>195</v>
      </c>
    </row>
    <row r="198" spans="1:17" x14ac:dyDescent="0.25">
      <c r="A198" s="191">
        <v>42095</v>
      </c>
      <c r="B198" s="31">
        <f t="shared" si="9"/>
        <v>0.93059999999999998</v>
      </c>
      <c r="C198" s="31">
        <v>0.93059999999999998</v>
      </c>
      <c r="D198" s="31">
        <v>0.995</v>
      </c>
      <c r="E198" s="31">
        <v>0.96</v>
      </c>
      <c r="F198" s="31">
        <v>0.96</v>
      </c>
      <c r="G198" s="31">
        <v>0.93059999999999998</v>
      </c>
      <c r="H198" s="31">
        <v>0.99</v>
      </c>
      <c r="I198" s="31">
        <v>0.93059999999999998</v>
      </c>
      <c r="J198" s="31">
        <v>0.995</v>
      </c>
      <c r="K198" s="31">
        <v>0.98</v>
      </c>
      <c r="L198" s="31">
        <v>0.99</v>
      </c>
      <c r="M198" s="31">
        <v>1.0049999999999999</v>
      </c>
      <c r="N198" s="32">
        <v>0.99</v>
      </c>
      <c r="P198" s="25">
        <f t="shared" si="10"/>
        <v>42095</v>
      </c>
      <c r="Q198" s="26">
        <f t="shared" ref="Q198:Q229" si="11">Q197+1</f>
        <v>196</v>
      </c>
    </row>
    <row r="199" spans="1:17" x14ac:dyDescent="0.25">
      <c r="A199" s="191">
        <v>42125</v>
      </c>
      <c r="B199" s="31">
        <f t="shared" si="9"/>
        <v>0.93059999999999998</v>
      </c>
      <c r="C199" s="31">
        <v>0.93059999999999998</v>
      </c>
      <c r="D199" s="31">
        <v>0.995</v>
      </c>
      <c r="E199" s="31">
        <v>0.96</v>
      </c>
      <c r="F199" s="31">
        <v>0.96</v>
      </c>
      <c r="G199" s="31">
        <v>0.93059999999999998</v>
      </c>
      <c r="H199" s="31">
        <v>0.99</v>
      </c>
      <c r="I199" s="31">
        <v>0.93059999999999998</v>
      </c>
      <c r="J199" s="31">
        <v>0.995</v>
      </c>
      <c r="K199" s="31">
        <v>0.98</v>
      </c>
      <c r="L199" s="31">
        <v>0.99</v>
      </c>
      <c r="M199" s="31">
        <v>1.0049999999999999</v>
      </c>
      <c r="N199" s="32">
        <v>0.99</v>
      </c>
      <c r="P199" s="25">
        <f t="shared" si="10"/>
        <v>42125</v>
      </c>
      <c r="Q199" s="26">
        <f t="shared" si="11"/>
        <v>197</v>
      </c>
    </row>
    <row r="200" spans="1:17" x14ac:dyDescent="0.25">
      <c r="A200" s="191">
        <v>42156</v>
      </c>
      <c r="B200" s="31">
        <f t="shared" si="9"/>
        <v>0.93059999999999998</v>
      </c>
      <c r="C200" s="31">
        <v>0.93059999999999998</v>
      </c>
      <c r="D200" s="31">
        <v>0.995</v>
      </c>
      <c r="E200" s="31">
        <v>0.96</v>
      </c>
      <c r="F200" s="31">
        <v>0.96</v>
      </c>
      <c r="G200" s="31">
        <v>0.93059999999999998</v>
      </c>
      <c r="H200" s="31">
        <v>0.99</v>
      </c>
      <c r="I200" s="31">
        <v>0.93059999999999998</v>
      </c>
      <c r="J200" s="31">
        <v>0.995</v>
      </c>
      <c r="K200" s="31">
        <v>0.98</v>
      </c>
      <c r="L200" s="31">
        <v>0.99</v>
      </c>
      <c r="M200" s="31">
        <v>1.0049999999999999</v>
      </c>
      <c r="N200" s="32">
        <v>0.99</v>
      </c>
      <c r="P200" s="25">
        <f t="shared" si="10"/>
        <v>42156</v>
      </c>
      <c r="Q200" s="26">
        <f t="shared" si="11"/>
        <v>198</v>
      </c>
    </row>
    <row r="201" spans="1:17" x14ac:dyDescent="0.25">
      <c r="A201" s="191">
        <v>42186</v>
      </c>
      <c r="B201" s="31">
        <f t="shared" si="9"/>
        <v>0.93059999999999998</v>
      </c>
      <c r="C201" s="31">
        <v>0.93059999999999998</v>
      </c>
      <c r="D201" s="31">
        <v>0.995</v>
      </c>
      <c r="E201" s="31">
        <v>0.96</v>
      </c>
      <c r="F201" s="31">
        <v>0.96</v>
      </c>
      <c r="G201" s="31">
        <v>0.93059999999999998</v>
      </c>
      <c r="H201" s="31">
        <v>0.99</v>
      </c>
      <c r="I201" s="31">
        <v>0.93059999999999998</v>
      </c>
      <c r="J201" s="31">
        <v>0.995</v>
      </c>
      <c r="K201" s="31">
        <v>0.98</v>
      </c>
      <c r="L201" s="31">
        <v>0.99</v>
      </c>
      <c r="M201" s="31">
        <v>1.0049999999999999</v>
      </c>
      <c r="N201" s="32">
        <v>0.99</v>
      </c>
      <c r="P201" s="25">
        <f t="shared" si="10"/>
        <v>42186</v>
      </c>
      <c r="Q201" s="26">
        <f t="shared" si="11"/>
        <v>199</v>
      </c>
    </row>
    <row r="202" spans="1:17" x14ac:dyDescent="0.25">
      <c r="A202" s="191">
        <v>42217</v>
      </c>
      <c r="B202" s="31">
        <f t="shared" si="9"/>
        <v>0.93059999999999998</v>
      </c>
      <c r="C202" s="31">
        <v>0.93059999999999998</v>
      </c>
      <c r="D202" s="31">
        <v>0.995</v>
      </c>
      <c r="E202" s="31">
        <v>0.96</v>
      </c>
      <c r="F202" s="31">
        <v>0.96</v>
      </c>
      <c r="G202" s="31">
        <v>0.93059999999999998</v>
      </c>
      <c r="H202" s="31">
        <v>0.99</v>
      </c>
      <c r="I202" s="31">
        <v>0.93059999999999998</v>
      </c>
      <c r="J202" s="31">
        <v>0.995</v>
      </c>
      <c r="K202" s="31">
        <v>0.98</v>
      </c>
      <c r="L202" s="31">
        <v>0.99</v>
      </c>
      <c r="M202" s="31">
        <v>1.0049999999999999</v>
      </c>
      <c r="N202" s="32">
        <v>0.99</v>
      </c>
      <c r="P202" s="25">
        <f t="shared" si="10"/>
        <v>42217</v>
      </c>
      <c r="Q202" s="26">
        <f t="shared" si="11"/>
        <v>200</v>
      </c>
    </row>
    <row r="203" spans="1:17" x14ac:dyDescent="0.25">
      <c r="A203" s="191">
        <v>42248</v>
      </c>
      <c r="B203" s="31">
        <f t="shared" si="9"/>
        <v>0.93059999999999998</v>
      </c>
      <c r="C203" s="31">
        <v>0.93059999999999998</v>
      </c>
      <c r="D203" s="31">
        <v>0.995</v>
      </c>
      <c r="E203" s="31">
        <v>0.96</v>
      </c>
      <c r="F203" s="31">
        <v>0.96</v>
      </c>
      <c r="G203" s="31">
        <v>0.93059999999999998</v>
      </c>
      <c r="H203" s="31">
        <v>0.99</v>
      </c>
      <c r="I203" s="31">
        <v>0.93059999999999998</v>
      </c>
      <c r="J203" s="31">
        <v>0.995</v>
      </c>
      <c r="K203" s="31">
        <v>0.98</v>
      </c>
      <c r="L203" s="31">
        <v>0.99</v>
      </c>
      <c r="M203" s="31">
        <v>1.0049999999999999</v>
      </c>
      <c r="N203" s="32">
        <v>0.99</v>
      </c>
      <c r="P203" s="25">
        <f t="shared" si="10"/>
        <v>42248</v>
      </c>
      <c r="Q203" s="26">
        <f t="shared" si="11"/>
        <v>201</v>
      </c>
    </row>
    <row r="204" spans="1:17" x14ac:dyDescent="0.25">
      <c r="A204" s="191">
        <v>42278</v>
      </c>
      <c r="B204" s="31">
        <f t="shared" si="9"/>
        <v>0.93059999999999998</v>
      </c>
      <c r="C204" s="31">
        <v>0.93059999999999998</v>
      </c>
      <c r="D204" s="31">
        <v>0.995</v>
      </c>
      <c r="E204" s="31">
        <v>0.96</v>
      </c>
      <c r="F204" s="31">
        <v>0.96</v>
      </c>
      <c r="G204" s="31">
        <v>0.93059999999999998</v>
      </c>
      <c r="H204" s="31">
        <v>0.99</v>
      </c>
      <c r="I204" s="31">
        <v>0.93059999999999998</v>
      </c>
      <c r="J204" s="31">
        <v>0.995</v>
      </c>
      <c r="K204" s="31">
        <v>0.98</v>
      </c>
      <c r="L204" s="31">
        <v>0.99</v>
      </c>
      <c r="M204" s="31">
        <v>1.0049999999999999</v>
      </c>
      <c r="N204" s="32">
        <v>0.99</v>
      </c>
      <c r="P204" s="25">
        <f t="shared" si="10"/>
        <v>42278</v>
      </c>
      <c r="Q204" s="26">
        <f t="shared" si="11"/>
        <v>202</v>
      </c>
    </row>
    <row r="205" spans="1:17" x14ac:dyDescent="0.25">
      <c r="A205" s="191">
        <v>42309</v>
      </c>
      <c r="B205" s="31">
        <f t="shared" si="9"/>
        <v>0.93059999999999998</v>
      </c>
      <c r="C205" s="31">
        <v>0.93059999999999998</v>
      </c>
      <c r="D205" s="31">
        <v>0.995</v>
      </c>
      <c r="E205" s="31">
        <v>0.96</v>
      </c>
      <c r="F205" s="31">
        <v>0.96</v>
      </c>
      <c r="G205" s="31">
        <v>0.93059999999999998</v>
      </c>
      <c r="H205" s="31">
        <v>0.99</v>
      </c>
      <c r="I205" s="31">
        <v>0.93059999999999998</v>
      </c>
      <c r="J205" s="31">
        <v>0.995</v>
      </c>
      <c r="K205" s="31">
        <v>0.98</v>
      </c>
      <c r="L205" s="31">
        <v>0.99</v>
      </c>
      <c r="M205" s="31">
        <v>1.0049999999999999</v>
      </c>
      <c r="N205" s="32">
        <v>0.99</v>
      </c>
      <c r="P205" s="25">
        <f t="shared" si="10"/>
        <v>42309</v>
      </c>
      <c r="Q205" s="26">
        <f t="shared" si="11"/>
        <v>203</v>
      </c>
    </row>
    <row r="206" spans="1:17" x14ac:dyDescent="0.25">
      <c r="A206" s="191">
        <v>42339</v>
      </c>
      <c r="B206" s="31">
        <f t="shared" si="9"/>
        <v>0.93059999999999998</v>
      </c>
      <c r="C206" s="31">
        <v>0.93059999999999998</v>
      </c>
      <c r="D206" s="31">
        <v>0.995</v>
      </c>
      <c r="E206" s="31">
        <v>0.96</v>
      </c>
      <c r="F206" s="31">
        <v>0.96</v>
      </c>
      <c r="G206" s="31">
        <v>0.93059999999999998</v>
      </c>
      <c r="H206" s="31">
        <v>0.99</v>
      </c>
      <c r="I206" s="31">
        <v>0.93059999999999998</v>
      </c>
      <c r="J206" s="31">
        <v>0.995</v>
      </c>
      <c r="K206" s="31">
        <v>0.98</v>
      </c>
      <c r="L206" s="31">
        <v>0.99</v>
      </c>
      <c r="M206" s="31">
        <v>1.0049999999999999</v>
      </c>
      <c r="N206" s="32">
        <v>0.99</v>
      </c>
      <c r="P206" s="25">
        <f t="shared" si="10"/>
        <v>42339</v>
      </c>
      <c r="Q206" s="26">
        <f t="shared" si="11"/>
        <v>204</v>
      </c>
    </row>
    <row r="207" spans="1:17" x14ac:dyDescent="0.25">
      <c r="A207" s="191">
        <v>42370</v>
      </c>
      <c r="B207" s="31">
        <f t="shared" si="9"/>
        <v>0.93059999999999998</v>
      </c>
      <c r="C207" s="31">
        <v>0.93059999999999998</v>
      </c>
      <c r="D207" s="31">
        <v>0.995</v>
      </c>
      <c r="E207" s="31">
        <v>0.96</v>
      </c>
      <c r="F207" s="31">
        <v>0.96</v>
      </c>
      <c r="G207" s="31">
        <v>0.93059999999999998</v>
      </c>
      <c r="H207" s="31">
        <v>0.99</v>
      </c>
      <c r="I207" s="31">
        <v>0.93059999999999998</v>
      </c>
      <c r="J207" s="31">
        <v>0.995</v>
      </c>
      <c r="K207" s="31">
        <v>0.98</v>
      </c>
      <c r="L207" s="31">
        <v>0.99</v>
      </c>
      <c r="M207" s="31">
        <v>1.0049999999999999</v>
      </c>
      <c r="N207" s="32">
        <v>0.99</v>
      </c>
      <c r="P207" s="25">
        <f t="shared" si="10"/>
        <v>42370</v>
      </c>
      <c r="Q207" s="26">
        <f t="shared" si="11"/>
        <v>205</v>
      </c>
    </row>
    <row r="208" spans="1:17" x14ac:dyDescent="0.25">
      <c r="A208" s="191">
        <v>42401</v>
      </c>
      <c r="B208" s="31">
        <f t="shared" si="9"/>
        <v>0.93059999999999998</v>
      </c>
      <c r="C208" s="31">
        <v>0.93059999999999998</v>
      </c>
      <c r="D208" s="31">
        <v>0.995</v>
      </c>
      <c r="E208" s="31">
        <v>0.96</v>
      </c>
      <c r="F208" s="31">
        <v>0.96</v>
      </c>
      <c r="G208" s="31">
        <v>0.93059999999999998</v>
      </c>
      <c r="H208" s="31">
        <v>0.99</v>
      </c>
      <c r="I208" s="31">
        <v>0.93059999999999998</v>
      </c>
      <c r="J208" s="31">
        <v>0.995</v>
      </c>
      <c r="K208" s="31">
        <v>0.98</v>
      </c>
      <c r="L208" s="31">
        <v>0.99</v>
      </c>
      <c r="M208" s="31">
        <v>1.0049999999999999</v>
      </c>
      <c r="N208" s="32">
        <v>0.99</v>
      </c>
      <c r="P208" s="25">
        <f t="shared" si="10"/>
        <v>42401</v>
      </c>
      <c r="Q208" s="26">
        <f t="shared" si="11"/>
        <v>206</v>
      </c>
    </row>
    <row r="209" spans="1:17" x14ac:dyDescent="0.25">
      <c r="A209" s="191">
        <v>42430</v>
      </c>
      <c r="B209" s="31">
        <f t="shared" si="9"/>
        <v>0.93059999999999998</v>
      </c>
      <c r="C209" s="31">
        <v>0.93059999999999998</v>
      </c>
      <c r="D209" s="31">
        <v>0.995</v>
      </c>
      <c r="E209" s="31">
        <v>0.96</v>
      </c>
      <c r="F209" s="31">
        <v>0.96</v>
      </c>
      <c r="G209" s="31">
        <v>0.93059999999999998</v>
      </c>
      <c r="H209" s="31">
        <v>0.99</v>
      </c>
      <c r="I209" s="31">
        <v>0.93059999999999998</v>
      </c>
      <c r="J209" s="31">
        <v>0.995</v>
      </c>
      <c r="K209" s="31">
        <v>0.98</v>
      </c>
      <c r="L209" s="31">
        <v>0.99</v>
      </c>
      <c r="M209" s="31">
        <v>1.0049999999999999</v>
      </c>
      <c r="N209" s="32">
        <v>0.99</v>
      </c>
      <c r="P209" s="25">
        <f t="shared" si="10"/>
        <v>42430</v>
      </c>
      <c r="Q209" s="26">
        <f t="shared" si="11"/>
        <v>207</v>
      </c>
    </row>
    <row r="210" spans="1:17" x14ac:dyDescent="0.25">
      <c r="A210" s="191">
        <v>42461</v>
      </c>
      <c r="B210" s="31">
        <f t="shared" si="9"/>
        <v>0.93059999999999998</v>
      </c>
      <c r="C210" s="31">
        <v>0.93059999999999998</v>
      </c>
      <c r="D210" s="31">
        <v>0.995</v>
      </c>
      <c r="E210" s="31">
        <v>0.96</v>
      </c>
      <c r="F210" s="31">
        <v>0.96</v>
      </c>
      <c r="G210" s="31">
        <v>0.93059999999999998</v>
      </c>
      <c r="H210" s="31">
        <v>0.99</v>
      </c>
      <c r="I210" s="31">
        <v>0.93059999999999998</v>
      </c>
      <c r="J210" s="31">
        <v>0.995</v>
      </c>
      <c r="K210" s="31">
        <v>0.98</v>
      </c>
      <c r="L210" s="31">
        <v>0.99</v>
      </c>
      <c r="M210" s="31">
        <v>1.0049999999999999</v>
      </c>
      <c r="N210" s="32">
        <v>0.99</v>
      </c>
      <c r="P210" s="25">
        <f t="shared" si="10"/>
        <v>42461</v>
      </c>
      <c r="Q210" s="26">
        <f t="shared" si="11"/>
        <v>208</v>
      </c>
    </row>
    <row r="211" spans="1:17" x14ac:dyDescent="0.25">
      <c r="A211" s="191">
        <v>42491</v>
      </c>
      <c r="B211" s="31">
        <f t="shared" si="9"/>
        <v>0.93059999999999998</v>
      </c>
      <c r="C211" s="31">
        <v>0.93059999999999998</v>
      </c>
      <c r="D211" s="31">
        <v>0.995</v>
      </c>
      <c r="E211" s="31">
        <v>0.96</v>
      </c>
      <c r="F211" s="31">
        <v>0.96</v>
      </c>
      <c r="G211" s="31">
        <v>0.93059999999999998</v>
      </c>
      <c r="H211" s="31">
        <v>0.99</v>
      </c>
      <c r="I211" s="31">
        <v>0.93059999999999998</v>
      </c>
      <c r="J211" s="31">
        <v>0.995</v>
      </c>
      <c r="K211" s="31">
        <v>0.98</v>
      </c>
      <c r="L211" s="31">
        <v>0.99</v>
      </c>
      <c r="M211" s="31">
        <v>1.0049999999999999</v>
      </c>
      <c r="N211" s="32">
        <v>0.99</v>
      </c>
      <c r="P211" s="25">
        <f t="shared" si="10"/>
        <v>42491</v>
      </c>
      <c r="Q211" s="26">
        <f t="shared" si="11"/>
        <v>209</v>
      </c>
    </row>
    <row r="212" spans="1:17" x14ac:dyDescent="0.25">
      <c r="A212" s="191">
        <v>42522</v>
      </c>
      <c r="B212" s="31">
        <f t="shared" si="9"/>
        <v>0.93059999999999998</v>
      </c>
      <c r="C212" s="31">
        <v>0.93059999999999998</v>
      </c>
      <c r="D212" s="31">
        <v>0.995</v>
      </c>
      <c r="E212" s="31">
        <v>0.96</v>
      </c>
      <c r="F212" s="31">
        <v>0.96</v>
      </c>
      <c r="G212" s="31">
        <v>0.93059999999999998</v>
      </c>
      <c r="H212" s="31">
        <v>0.99</v>
      </c>
      <c r="I212" s="31">
        <v>0.93059999999999998</v>
      </c>
      <c r="J212" s="31">
        <v>0.995</v>
      </c>
      <c r="K212" s="31">
        <v>0.98</v>
      </c>
      <c r="L212" s="31">
        <v>0.99</v>
      </c>
      <c r="M212" s="31">
        <v>1.0049999999999999</v>
      </c>
      <c r="N212" s="32">
        <v>0.99</v>
      </c>
      <c r="P212" s="25">
        <f t="shared" si="10"/>
        <v>42522</v>
      </c>
      <c r="Q212" s="26">
        <f t="shared" si="11"/>
        <v>210</v>
      </c>
    </row>
    <row r="213" spans="1:17" x14ac:dyDescent="0.25">
      <c r="A213" s="191">
        <v>42552</v>
      </c>
      <c r="B213" s="31">
        <f t="shared" si="9"/>
        <v>0.93059999999999998</v>
      </c>
      <c r="C213" s="31">
        <v>0.93059999999999998</v>
      </c>
      <c r="D213" s="31">
        <v>0.995</v>
      </c>
      <c r="E213" s="31">
        <v>0.96</v>
      </c>
      <c r="F213" s="31">
        <v>0.96</v>
      </c>
      <c r="G213" s="31">
        <v>0.93059999999999998</v>
      </c>
      <c r="H213" s="31">
        <v>0.99</v>
      </c>
      <c r="I213" s="31">
        <v>0.93059999999999998</v>
      </c>
      <c r="J213" s="31">
        <v>0.995</v>
      </c>
      <c r="K213" s="31">
        <v>0.98</v>
      </c>
      <c r="L213" s="31">
        <v>0.99</v>
      </c>
      <c r="M213" s="31">
        <v>1.0049999999999999</v>
      </c>
      <c r="N213" s="32">
        <v>0.99</v>
      </c>
      <c r="P213" s="25">
        <f t="shared" si="10"/>
        <v>42552</v>
      </c>
      <c r="Q213" s="26">
        <f t="shared" si="11"/>
        <v>211</v>
      </c>
    </row>
    <row r="214" spans="1:17" x14ac:dyDescent="0.25">
      <c r="A214" s="191">
        <v>42583</v>
      </c>
      <c r="B214" s="31">
        <f t="shared" si="9"/>
        <v>0.93059999999999998</v>
      </c>
      <c r="C214" s="31">
        <v>0.93059999999999998</v>
      </c>
      <c r="D214" s="31">
        <v>0.995</v>
      </c>
      <c r="E214" s="31">
        <v>0.96</v>
      </c>
      <c r="F214" s="31">
        <v>0.96</v>
      </c>
      <c r="G214" s="31">
        <v>0.93059999999999998</v>
      </c>
      <c r="H214" s="31">
        <v>0.99</v>
      </c>
      <c r="I214" s="31">
        <v>0.93059999999999998</v>
      </c>
      <c r="J214" s="31">
        <v>0.995</v>
      </c>
      <c r="K214" s="31">
        <v>0.98</v>
      </c>
      <c r="L214" s="31">
        <v>0.99</v>
      </c>
      <c r="M214" s="31">
        <v>1.0049999999999999</v>
      </c>
      <c r="N214" s="32">
        <v>0.99</v>
      </c>
      <c r="P214" s="25">
        <f t="shared" si="10"/>
        <v>42583</v>
      </c>
      <c r="Q214" s="26">
        <f t="shared" si="11"/>
        <v>212</v>
      </c>
    </row>
    <row r="215" spans="1:17" x14ac:dyDescent="0.25">
      <c r="A215" s="191">
        <v>42614</v>
      </c>
      <c r="B215" s="31">
        <f t="shared" si="9"/>
        <v>0.93059999999999998</v>
      </c>
      <c r="C215" s="31">
        <v>0.93059999999999998</v>
      </c>
      <c r="D215" s="31">
        <v>0.995</v>
      </c>
      <c r="E215" s="31">
        <v>0.96</v>
      </c>
      <c r="F215" s="31">
        <v>0.96</v>
      </c>
      <c r="G215" s="31">
        <v>0.93059999999999998</v>
      </c>
      <c r="H215" s="31">
        <v>0.99</v>
      </c>
      <c r="I215" s="31">
        <v>0.93059999999999998</v>
      </c>
      <c r="J215" s="31">
        <v>0.995</v>
      </c>
      <c r="K215" s="31">
        <v>0.98</v>
      </c>
      <c r="L215" s="31">
        <v>0.99</v>
      </c>
      <c r="M215" s="31">
        <v>1.0049999999999999</v>
      </c>
      <c r="N215" s="32">
        <v>0.99</v>
      </c>
      <c r="P215" s="25">
        <f t="shared" si="10"/>
        <v>42614</v>
      </c>
      <c r="Q215" s="26">
        <f t="shared" si="11"/>
        <v>213</v>
      </c>
    </row>
    <row r="216" spans="1:17" x14ac:dyDescent="0.25">
      <c r="A216" s="191">
        <v>42644</v>
      </c>
      <c r="B216" s="31">
        <f t="shared" si="9"/>
        <v>0.93059999999999998</v>
      </c>
      <c r="C216" s="31">
        <v>0.93059999999999998</v>
      </c>
      <c r="D216" s="31">
        <v>0.995</v>
      </c>
      <c r="E216" s="31">
        <v>0.96</v>
      </c>
      <c r="F216" s="31">
        <v>0.96</v>
      </c>
      <c r="G216" s="31">
        <v>0.93059999999999998</v>
      </c>
      <c r="H216" s="31">
        <v>0.99</v>
      </c>
      <c r="I216" s="31">
        <v>0.93059999999999998</v>
      </c>
      <c r="J216" s="31">
        <v>0.995</v>
      </c>
      <c r="K216" s="31">
        <v>0.98</v>
      </c>
      <c r="L216" s="31">
        <v>0.99</v>
      </c>
      <c r="M216" s="31">
        <v>1.0049999999999999</v>
      </c>
      <c r="N216" s="32">
        <v>0.99</v>
      </c>
      <c r="P216" s="25">
        <f t="shared" si="10"/>
        <v>42644</v>
      </c>
      <c r="Q216" s="26">
        <f t="shared" si="11"/>
        <v>214</v>
      </c>
    </row>
    <row r="217" spans="1:17" x14ac:dyDescent="0.25">
      <c r="A217" s="191">
        <v>42675</v>
      </c>
      <c r="B217" s="31">
        <f t="shared" si="9"/>
        <v>0.93059999999999998</v>
      </c>
      <c r="C217" s="31">
        <v>0.93059999999999998</v>
      </c>
      <c r="D217" s="31">
        <v>0.995</v>
      </c>
      <c r="E217" s="31">
        <v>0.96</v>
      </c>
      <c r="F217" s="31">
        <v>0.96</v>
      </c>
      <c r="G217" s="31">
        <v>0.93059999999999998</v>
      </c>
      <c r="H217" s="31">
        <v>0.99</v>
      </c>
      <c r="I217" s="31">
        <v>0.93059999999999998</v>
      </c>
      <c r="J217" s="31">
        <v>0.995</v>
      </c>
      <c r="K217" s="31">
        <v>0.98</v>
      </c>
      <c r="L217" s="31">
        <v>0.99</v>
      </c>
      <c r="M217" s="31">
        <v>1.0049999999999999</v>
      </c>
      <c r="N217" s="32">
        <v>0.99</v>
      </c>
      <c r="P217" s="25">
        <f t="shared" si="10"/>
        <v>42675</v>
      </c>
      <c r="Q217" s="26">
        <f t="shared" si="11"/>
        <v>215</v>
      </c>
    </row>
    <row r="218" spans="1:17" x14ac:dyDescent="0.25">
      <c r="A218" s="191">
        <v>42705</v>
      </c>
      <c r="B218" s="31">
        <f t="shared" si="9"/>
        <v>0.93059999999999998</v>
      </c>
      <c r="C218" s="31">
        <v>0.93059999999999998</v>
      </c>
      <c r="D218" s="31">
        <v>0.995</v>
      </c>
      <c r="E218" s="31">
        <v>0.96</v>
      </c>
      <c r="F218" s="31">
        <v>0.96</v>
      </c>
      <c r="G218" s="31">
        <v>0.93059999999999998</v>
      </c>
      <c r="H218" s="31">
        <v>0.99</v>
      </c>
      <c r="I218" s="31">
        <v>0.93059999999999998</v>
      </c>
      <c r="J218" s="31">
        <v>0.995</v>
      </c>
      <c r="K218" s="31">
        <v>0.98</v>
      </c>
      <c r="L218" s="31">
        <v>0.99</v>
      </c>
      <c r="M218" s="31">
        <v>1.0049999999999999</v>
      </c>
      <c r="N218" s="32">
        <v>0.99</v>
      </c>
      <c r="P218" s="25">
        <f t="shared" si="10"/>
        <v>42705</v>
      </c>
      <c r="Q218" s="26">
        <f t="shared" si="11"/>
        <v>216</v>
      </c>
    </row>
    <row r="219" spans="1:17" x14ac:dyDescent="0.25">
      <c r="A219" s="191">
        <v>42736</v>
      </c>
      <c r="B219" s="31">
        <f t="shared" si="9"/>
        <v>0.93059999999999998</v>
      </c>
      <c r="C219" s="31">
        <v>0.93059999999999998</v>
      </c>
      <c r="D219" s="31">
        <v>0.995</v>
      </c>
      <c r="E219" s="31">
        <v>0.96</v>
      </c>
      <c r="F219" s="31">
        <v>0.96</v>
      </c>
      <c r="G219" s="31">
        <v>0.93059999999999998</v>
      </c>
      <c r="H219" s="31">
        <v>0.99</v>
      </c>
      <c r="I219" s="31">
        <v>0.93059999999999998</v>
      </c>
      <c r="J219" s="31">
        <v>0.995</v>
      </c>
      <c r="K219" s="31">
        <v>0.98</v>
      </c>
      <c r="L219" s="31">
        <v>0.99</v>
      </c>
      <c r="M219" s="31">
        <v>1.0049999999999999</v>
      </c>
      <c r="N219" s="32">
        <v>0.99</v>
      </c>
      <c r="P219" s="25">
        <f t="shared" si="10"/>
        <v>42736</v>
      </c>
      <c r="Q219" s="26">
        <f t="shared" si="11"/>
        <v>217</v>
      </c>
    </row>
    <row r="220" spans="1:17" x14ac:dyDescent="0.25">
      <c r="A220" s="191">
        <v>42767</v>
      </c>
      <c r="B220" s="31">
        <f t="shared" si="9"/>
        <v>0.93059999999999998</v>
      </c>
      <c r="C220" s="31">
        <v>0.93059999999999998</v>
      </c>
      <c r="D220" s="31">
        <v>0.995</v>
      </c>
      <c r="E220" s="31">
        <v>0.96</v>
      </c>
      <c r="F220" s="31">
        <v>0.96</v>
      </c>
      <c r="G220" s="31">
        <v>0.93059999999999998</v>
      </c>
      <c r="H220" s="31">
        <v>0.99</v>
      </c>
      <c r="I220" s="31">
        <v>0.93059999999999998</v>
      </c>
      <c r="J220" s="31">
        <v>0.995</v>
      </c>
      <c r="K220" s="31">
        <v>0.98</v>
      </c>
      <c r="L220" s="31">
        <v>0.99</v>
      </c>
      <c r="M220" s="31">
        <v>1.0049999999999999</v>
      </c>
      <c r="N220" s="32">
        <v>0.99</v>
      </c>
      <c r="P220" s="25">
        <f t="shared" si="10"/>
        <v>42767</v>
      </c>
      <c r="Q220" s="26">
        <f t="shared" si="11"/>
        <v>218</v>
      </c>
    </row>
    <row r="221" spans="1:17" x14ac:dyDescent="0.25">
      <c r="A221" s="191">
        <v>42795</v>
      </c>
      <c r="B221" s="31">
        <f t="shared" si="9"/>
        <v>0.93059999999999998</v>
      </c>
      <c r="C221" s="31">
        <v>0.93059999999999998</v>
      </c>
      <c r="D221" s="31">
        <v>0.995</v>
      </c>
      <c r="E221" s="31">
        <v>0.96</v>
      </c>
      <c r="F221" s="31">
        <v>0.96</v>
      </c>
      <c r="G221" s="31">
        <v>0.93059999999999998</v>
      </c>
      <c r="H221" s="31">
        <v>0.99</v>
      </c>
      <c r="I221" s="31">
        <v>0.93059999999999998</v>
      </c>
      <c r="J221" s="31">
        <v>0.995</v>
      </c>
      <c r="K221" s="31">
        <v>0.98</v>
      </c>
      <c r="L221" s="31">
        <v>0.99</v>
      </c>
      <c r="M221" s="31">
        <v>1.0049999999999999</v>
      </c>
      <c r="N221" s="32">
        <v>0.99</v>
      </c>
      <c r="P221" s="25">
        <f t="shared" si="10"/>
        <v>42795</v>
      </c>
      <c r="Q221" s="26">
        <f t="shared" si="11"/>
        <v>219</v>
      </c>
    </row>
    <row r="222" spans="1:17" x14ac:dyDescent="0.25">
      <c r="A222" s="191">
        <v>42826</v>
      </c>
      <c r="B222" s="31">
        <f t="shared" si="9"/>
        <v>0.93059999999999998</v>
      </c>
      <c r="C222" s="31">
        <v>0.93059999999999998</v>
      </c>
      <c r="D222" s="31">
        <v>0.995</v>
      </c>
      <c r="E222" s="31">
        <v>0.96</v>
      </c>
      <c r="F222" s="31">
        <v>0.96</v>
      </c>
      <c r="G222" s="31">
        <v>0.93059999999999998</v>
      </c>
      <c r="H222" s="31">
        <v>0.99</v>
      </c>
      <c r="I222" s="31">
        <v>0.93059999999999998</v>
      </c>
      <c r="J222" s="31">
        <v>0.995</v>
      </c>
      <c r="K222" s="31">
        <v>0.98</v>
      </c>
      <c r="L222" s="31">
        <v>0.99</v>
      </c>
      <c r="M222" s="31">
        <v>1.0049999999999999</v>
      </c>
      <c r="N222" s="32">
        <v>0.99</v>
      </c>
      <c r="P222" s="25">
        <f t="shared" si="10"/>
        <v>42826</v>
      </c>
      <c r="Q222" s="26">
        <f t="shared" si="11"/>
        <v>220</v>
      </c>
    </row>
    <row r="223" spans="1:17" x14ac:dyDescent="0.25">
      <c r="A223" s="191">
        <v>42856</v>
      </c>
      <c r="B223" s="31">
        <f t="shared" si="9"/>
        <v>0.93059999999999998</v>
      </c>
      <c r="C223" s="31">
        <v>0.93059999999999998</v>
      </c>
      <c r="D223" s="31">
        <v>0.995</v>
      </c>
      <c r="E223" s="31">
        <v>0.96</v>
      </c>
      <c r="F223" s="31">
        <v>0.96</v>
      </c>
      <c r="G223" s="31">
        <v>0.93059999999999998</v>
      </c>
      <c r="H223" s="31">
        <v>0.99</v>
      </c>
      <c r="I223" s="31">
        <v>0.93059999999999998</v>
      </c>
      <c r="J223" s="31">
        <v>0.995</v>
      </c>
      <c r="K223" s="31">
        <v>0.98</v>
      </c>
      <c r="L223" s="31">
        <v>0.99</v>
      </c>
      <c r="M223" s="31">
        <v>1.0049999999999999</v>
      </c>
      <c r="N223" s="32">
        <v>0.99</v>
      </c>
      <c r="P223" s="25">
        <f t="shared" si="10"/>
        <v>42856</v>
      </c>
      <c r="Q223" s="26">
        <f t="shared" si="11"/>
        <v>221</v>
      </c>
    </row>
    <row r="224" spans="1:17" x14ac:dyDescent="0.25">
      <c r="A224" s="191">
        <v>42887</v>
      </c>
      <c r="B224" s="31">
        <f t="shared" si="9"/>
        <v>0.93059999999999998</v>
      </c>
      <c r="C224" s="31">
        <v>0.93059999999999998</v>
      </c>
      <c r="D224" s="31">
        <v>0.995</v>
      </c>
      <c r="E224" s="31">
        <v>0.96</v>
      </c>
      <c r="F224" s="31">
        <v>0.96</v>
      </c>
      <c r="G224" s="31">
        <v>0.93059999999999998</v>
      </c>
      <c r="H224" s="31">
        <v>0.99</v>
      </c>
      <c r="I224" s="31">
        <v>0.93059999999999998</v>
      </c>
      <c r="J224" s="31">
        <v>0.995</v>
      </c>
      <c r="K224" s="31">
        <v>0.98</v>
      </c>
      <c r="L224" s="31">
        <v>0.99</v>
      </c>
      <c r="M224" s="31">
        <v>1.0049999999999999</v>
      </c>
      <c r="N224" s="32">
        <v>0.99</v>
      </c>
      <c r="P224" s="25">
        <f t="shared" si="10"/>
        <v>42887</v>
      </c>
      <c r="Q224" s="26">
        <f t="shared" si="11"/>
        <v>222</v>
      </c>
    </row>
    <row r="225" spans="1:17" x14ac:dyDescent="0.25">
      <c r="A225" s="191">
        <v>42917</v>
      </c>
      <c r="B225" s="31">
        <f t="shared" si="9"/>
        <v>0.93059999999999998</v>
      </c>
      <c r="C225" s="31">
        <v>0.93059999999999998</v>
      </c>
      <c r="D225" s="31">
        <v>0.995</v>
      </c>
      <c r="E225" s="31">
        <v>0.96</v>
      </c>
      <c r="F225" s="31">
        <v>0.96</v>
      </c>
      <c r="G225" s="31">
        <v>0.93059999999999998</v>
      </c>
      <c r="H225" s="31">
        <v>0.99</v>
      </c>
      <c r="I225" s="31">
        <v>0.93059999999999998</v>
      </c>
      <c r="J225" s="31">
        <v>0.995</v>
      </c>
      <c r="K225" s="31">
        <v>0.98</v>
      </c>
      <c r="L225" s="31">
        <v>0.99</v>
      </c>
      <c r="M225" s="31">
        <v>1.0049999999999999</v>
      </c>
      <c r="N225" s="32">
        <v>0.99</v>
      </c>
      <c r="P225" s="25">
        <f t="shared" si="10"/>
        <v>42917</v>
      </c>
      <c r="Q225" s="26">
        <f t="shared" si="11"/>
        <v>223</v>
      </c>
    </row>
    <row r="226" spans="1:17" x14ac:dyDescent="0.25">
      <c r="A226" s="191">
        <v>42948</v>
      </c>
      <c r="B226" s="31">
        <f t="shared" si="9"/>
        <v>0.93059999999999998</v>
      </c>
      <c r="C226" s="31">
        <v>0.93059999999999998</v>
      </c>
      <c r="D226" s="31">
        <v>0.995</v>
      </c>
      <c r="E226" s="31">
        <v>0.96</v>
      </c>
      <c r="F226" s="31">
        <v>0.96</v>
      </c>
      <c r="G226" s="31">
        <v>0.93059999999999998</v>
      </c>
      <c r="H226" s="31">
        <v>0.99</v>
      </c>
      <c r="I226" s="31">
        <v>0.93059999999999998</v>
      </c>
      <c r="J226" s="31">
        <v>0.995</v>
      </c>
      <c r="K226" s="31">
        <v>0.98</v>
      </c>
      <c r="L226" s="31">
        <v>0.99</v>
      </c>
      <c r="M226" s="31">
        <v>1.0049999999999999</v>
      </c>
      <c r="N226" s="32">
        <v>0.99</v>
      </c>
      <c r="P226" s="25">
        <f t="shared" si="10"/>
        <v>42948</v>
      </c>
      <c r="Q226" s="26">
        <f t="shared" si="11"/>
        <v>224</v>
      </c>
    </row>
    <row r="227" spans="1:17" x14ac:dyDescent="0.25">
      <c r="A227" s="191">
        <v>42979</v>
      </c>
      <c r="B227" s="31">
        <f t="shared" si="9"/>
        <v>0.93059999999999998</v>
      </c>
      <c r="C227" s="31">
        <v>0.93059999999999998</v>
      </c>
      <c r="D227" s="31">
        <v>0.995</v>
      </c>
      <c r="E227" s="31">
        <v>0.96</v>
      </c>
      <c r="F227" s="31">
        <v>0.96</v>
      </c>
      <c r="G227" s="31">
        <v>0.93059999999999998</v>
      </c>
      <c r="H227" s="31">
        <v>0.99</v>
      </c>
      <c r="I227" s="31">
        <v>0.93059999999999998</v>
      </c>
      <c r="J227" s="31">
        <v>0.995</v>
      </c>
      <c r="K227" s="31">
        <v>0.98</v>
      </c>
      <c r="L227" s="31">
        <v>0.99</v>
      </c>
      <c r="M227" s="31">
        <v>1.0049999999999999</v>
      </c>
      <c r="N227" s="32">
        <v>0.99</v>
      </c>
      <c r="P227" s="25">
        <f t="shared" si="10"/>
        <v>42979</v>
      </c>
      <c r="Q227" s="26">
        <f t="shared" si="11"/>
        <v>225</v>
      </c>
    </row>
    <row r="228" spans="1:17" x14ac:dyDescent="0.25">
      <c r="A228" s="191">
        <v>43009</v>
      </c>
      <c r="B228" s="31">
        <f t="shared" si="9"/>
        <v>0.93059999999999998</v>
      </c>
      <c r="C228" s="31">
        <v>0.93059999999999998</v>
      </c>
      <c r="D228" s="31">
        <v>0.995</v>
      </c>
      <c r="E228" s="31">
        <v>0.96</v>
      </c>
      <c r="F228" s="31">
        <v>0.96</v>
      </c>
      <c r="G228" s="31">
        <v>0.93059999999999998</v>
      </c>
      <c r="H228" s="31">
        <v>0.99</v>
      </c>
      <c r="I228" s="31">
        <v>0.93059999999999998</v>
      </c>
      <c r="J228" s="31">
        <v>0.995</v>
      </c>
      <c r="K228" s="31">
        <v>0.98</v>
      </c>
      <c r="L228" s="31">
        <v>0.99</v>
      </c>
      <c r="M228" s="31">
        <v>1.0049999999999999</v>
      </c>
      <c r="N228" s="32">
        <v>0.99</v>
      </c>
      <c r="P228" s="25">
        <f t="shared" si="10"/>
        <v>43009</v>
      </c>
      <c r="Q228" s="26">
        <f t="shared" si="11"/>
        <v>226</v>
      </c>
    </row>
    <row r="229" spans="1:17" x14ac:dyDescent="0.25">
      <c r="A229" s="192">
        <v>43040</v>
      </c>
      <c r="B229" s="33">
        <f t="shared" si="9"/>
        <v>0.93059999999999998</v>
      </c>
      <c r="C229" s="33">
        <v>0.93059999999999998</v>
      </c>
      <c r="D229" s="33">
        <v>0.995</v>
      </c>
      <c r="E229" s="33">
        <v>0.96</v>
      </c>
      <c r="F229" s="33">
        <v>0.96</v>
      </c>
      <c r="G229" s="33">
        <v>0.93059999999999998</v>
      </c>
      <c r="H229" s="33">
        <v>0.99</v>
      </c>
      <c r="I229" s="33">
        <v>0.93059999999999998</v>
      </c>
      <c r="J229" s="33">
        <v>0.995</v>
      </c>
      <c r="K229" s="33">
        <v>0.98</v>
      </c>
      <c r="L229" s="33">
        <v>0.99</v>
      </c>
      <c r="M229" s="33">
        <v>1.0049999999999999</v>
      </c>
      <c r="N229" s="34">
        <v>0.99</v>
      </c>
      <c r="P229" s="27">
        <f t="shared" si="10"/>
        <v>43040</v>
      </c>
      <c r="Q229" s="28">
        <f t="shared" si="11"/>
        <v>227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B1:AA272"/>
  <sheetViews>
    <sheetView topLeftCell="I1" workbookViewId="0">
      <selection activeCell="S42" sqref="R3:S42"/>
    </sheetView>
  </sheetViews>
  <sheetFormatPr defaultRowHeight="13.2" x14ac:dyDescent="0.25"/>
  <cols>
    <col min="1" max="1" width="2.109375" customWidth="1"/>
    <col min="2" max="2" width="13" customWidth="1"/>
    <col min="3" max="3" width="15.33203125" customWidth="1"/>
    <col min="4" max="4" width="12.33203125" bestFit="1" customWidth="1"/>
    <col min="5" max="5" width="14.5546875" bestFit="1" customWidth="1"/>
    <col min="6" max="6" width="15.6640625" customWidth="1"/>
    <col min="7" max="8" width="14.5546875" bestFit="1" customWidth="1"/>
    <col min="9" max="9" width="18.6640625" customWidth="1"/>
    <col min="10" max="10" width="13.109375" customWidth="1"/>
    <col min="12" max="15" width="12.5546875" customWidth="1"/>
    <col min="17" max="17" width="11.88671875" customWidth="1"/>
    <col min="18" max="18" width="14.44140625" customWidth="1"/>
    <col min="19" max="19" width="11" customWidth="1"/>
  </cols>
  <sheetData>
    <row r="1" spans="2:27" x14ac:dyDescent="0.25">
      <c r="V1" t="s">
        <v>376</v>
      </c>
    </row>
    <row r="2" spans="2:27" ht="13.8" thickBot="1" x14ac:dyDescent="0.3">
      <c r="B2" s="143" t="s">
        <v>110</v>
      </c>
    </row>
    <row r="3" spans="2:27" ht="13.8" thickBot="1" x14ac:dyDescent="0.3">
      <c r="B3" s="164"/>
      <c r="C3" s="165" t="s">
        <v>112</v>
      </c>
      <c r="D3" s="165"/>
      <c r="E3" s="165"/>
      <c r="F3" s="165"/>
      <c r="G3" s="165"/>
      <c r="H3" s="165"/>
      <c r="I3" s="165"/>
      <c r="J3" s="166" t="s">
        <v>113</v>
      </c>
      <c r="R3" s="176" t="s">
        <v>116</v>
      </c>
      <c r="S3" s="177"/>
    </row>
    <row r="4" spans="2:27" ht="13.8" thickBot="1" x14ac:dyDescent="0.3">
      <c r="B4" s="167" t="s">
        <v>111</v>
      </c>
      <c r="C4" s="168" t="str">
        <f>'Extendible Collars'!AA6</f>
        <v>IF-PAN/TX/OK</v>
      </c>
      <c r="D4" s="168" t="str">
        <f>'Extendible Collars'!AB6</f>
        <v>IF-SONAT/LA</v>
      </c>
      <c r="E4" s="168" t="str">
        <f>'Extendible Collars'!AC6</f>
        <v>IF-COLGULF/LA</v>
      </c>
      <c r="F4" s="168" t="str">
        <f>'Extendible Collars'!AD6</f>
        <v>IF-TRANSCO/Z1</v>
      </c>
      <c r="G4" s="168" t="str">
        <f>'Extendible Collars'!AE6</f>
        <v>IF-TRANSCO/Z2</v>
      </c>
      <c r="H4" s="168" t="str">
        <f>'Extendible Collars'!AF6</f>
        <v>IF-TRANSCO/Z3</v>
      </c>
      <c r="I4" s="168" t="str">
        <f>'Extendible Collars'!AG6</f>
        <v>IF-HPL/SHPCHAN</v>
      </c>
      <c r="J4" s="169" t="s">
        <v>118</v>
      </c>
      <c r="R4" s="174"/>
      <c r="S4" s="172" t="s">
        <v>114</v>
      </c>
    </row>
    <row r="5" spans="2:27" ht="13.8" thickBot="1" x14ac:dyDescent="0.3">
      <c r="B5" s="162">
        <f>'Extendible Collars'!Z16</f>
        <v>36465</v>
      </c>
      <c r="C5" s="179">
        <f>'Extendible Collars'!AA16/10000</f>
        <v>0</v>
      </c>
      <c r="D5" s="161">
        <f>'Extendible Collars'!AB16/10000</f>
        <v>0</v>
      </c>
      <c r="E5" s="161">
        <f>'Extendible Collars'!AC16/10000</f>
        <v>0</v>
      </c>
      <c r="F5" s="161">
        <f>'Extendible Collars'!AD16/10000</f>
        <v>0</v>
      </c>
      <c r="G5" s="161">
        <f>'Extendible Collars'!AE16/10000</f>
        <v>0</v>
      </c>
      <c r="H5" s="161">
        <f>'Extendible Collars'!AF16/10000</f>
        <v>0</v>
      </c>
      <c r="I5" s="161">
        <f>'Extendible Collars'!AG16/10000</f>
        <v>0</v>
      </c>
      <c r="J5" s="183">
        <f t="shared" ref="J5:J30" si="0">SUM(C5:I5)</f>
        <v>0</v>
      </c>
      <c r="R5" s="175"/>
      <c r="S5" s="169" t="s">
        <v>117</v>
      </c>
      <c r="Y5" s="143" t="s">
        <v>264</v>
      </c>
    </row>
    <row r="6" spans="2:27" x14ac:dyDescent="0.25">
      <c r="B6" s="162">
        <f>'Extendible Collars'!Z17</f>
        <v>36495</v>
      </c>
      <c r="C6" s="179">
        <f>'Extendible Collars'!AA17/10000</f>
        <v>0</v>
      </c>
      <c r="D6" s="161">
        <f>'Extendible Collars'!AB17/10000</f>
        <v>0</v>
      </c>
      <c r="E6" s="161">
        <f>'Extendible Collars'!AC17/10000</f>
        <v>0</v>
      </c>
      <c r="F6" s="161">
        <f>'Extendible Collars'!AD17/10000</f>
        <v>0</v>
      </c>
      <c r="G6" s="161">
        <f>'Extendible Collars'!AE17/10000</f>
        <v>0</v>
      </c>
      <c r="H6" s="161">
        <f>'Extendible Collars'!AF17/10000</f>
        <v>0</v>
      </c>
      <c r="I6" s="161">
        <f>'Extendible Collars'!AG17/10000</f>
        <v>0</v>
      </c>
      <c r="J6" s="183">
        <f t="shared" si="0"/>
        <v>0</v>
      </c>
      <c r="R6" s="286">
        <v>36739</v>
      </c>
      <c r="S6" s="370">
        <f>P36</f>
        <v>0</v>
      </c>
      <c r="Y6" s="371" t="s">
        <v>260</v>
      </c>
      <c r="Z6" s="372"/>
      <c r="AA6" s="373">
        <f>COUNT(B5:J5)</f>
        <v>9</v>
      </c>
    </row>
    <row r="7" spans="2:27" x14ac:dyDescent="0.25">
      <c r="B7" s="162">
        <f>'Extendible Collars'!Z18</f>
        <v>36526</v>
      </c>
      <c r="C7" s="179">
        <f>'Extendible Collars'!AA18/10000</f>
        <v>0</v>
      </c>
      <c r="D7" s="161">
        <f>'Extendible Collars'!AB18/10000</f>
        <v>0</v>
      </c>
      <c r="E7" s="161">
        <f>'Extendible Collars'!AC18/10000</f>
        <v>0</v>
      </c>
      <c r="F7" s="161">
        <f>'Extendible Collars'!AD18/10000</f>
        <v>0</v>
      </c>
      <c r="G7" s="161">
        <f>'Extendible Collars'!AE18/10000</f>
        <v>0</v>
      </c>
      <c r="H7" s="161">
        <f>'Extendible Collars'!AF18/10000</f>
        <v>0</v>
      </c>
      <c r="I7" s="161">
        <f>'Extendible Collars'!AG18/10000</f>
        <v>0</v>
      </c>
      <c r="J7" s="183">
        <f t="shared" si="0"/>
        <v>0</v>
      </c>
      <c r="R7" s="286">
        <f>B37</f>
        <v>36770</v>
      </c>
      <c r="S7" s="370">
        <f t="shared" ref="S7:S32" si="1">INDEX(extendiblecollarpos,MATCH(R7,extendiblecollarmonths),extdcollarcount)+INDEX(basisoptpos,MATCH(R7,basisoptmonths),basisoptcount)+INDEX(basketoptpos,MATCH(R7,basketoptmonths),basketoptcount)+INDEX(digitaloptpos,MATCH(R7,digitaloptmonths),digitaloptcount)+INDEX(gdspreadoptpos,MATCH(R7,gdspreadoptmonths),gdspreadoptcount)</f>
        <v>-0.8627620712878431</v>
      </c>
      <c r="Y7" s="374" t="s">
        <v>261</v>
      </c>
      <c r="Z7" s="375"/>
      <c r="AA7" s="376">
        <f>COUNT(B36:P36)</f>
        <v>15</v>
      </c>
    </row>
    <row r="8" spans="2:27" x14ac:dyDescent="0.25">
      <c r="B8" s="162">
        <f>'Extendible Collars'!Z19</f>
        <v>36557</v>
      </c>
      <c r="C8" s="179">
        <f>'Extendible Collars'!AA19/10000</f>
        <v>0</v>
      </c>
      <c r="D8" s="161">
        <f>'Extendible Collars'!AB19/10000</f>
        <v>0</v>
      </c>
      <c r="E8" s="161">
        <f>'Extendible Collars'!AC19/10000</f>
        <v>0</v>
      </c>
      <c r="F8" s="161">
        <f>'Extendible Collars'!AD19/10000</f>
        <v>0</v>
      </c>
      <c r="G8" s="161">
        <f>'Extendible Collars'!AE19/10000</f>
        <v>0</v>
      </c>
      <c r="H8" s="161">
        <f>'Extendible Collars'!AF19/10000</f>
        <v>0</v>
      </c>
      <c r="I8" s="161">
        <f>'Extendible Collars'!AG19/10000</f>
        <v>0</v>
      </c>
      <c r="J8" s="183">
        <f t="shared" si="0"/>
        <v>0</v>
      </c>
      <c r="R8" s="286">
        <f t="shared" ref="R8:R41" si="2">B38</f>
        <v>36800</v>
      </c>
      <c r="S8" s="370">
        <f t="shared" si="1"/>
        <v>16.907321821416513</v>
      </c>
      <c r="Y8" s="374" t="s">
        <v>262</v>
      </c>
      <c r="Z8" s="375"/>
      <c r="AA8" s="376">
        <f>COUNT(B83:C83)</f>
        <v>2</v>
      </c>
    </row>
    <row r="9" spans="2:27" x14ac:dyDescent="0.25">
      <c r="B9" s="162">
        <f>'Extendible Collars'!Z20</f>
        <v>36586</v>
      </c>
      <c r="C9" s="179">
        <f>'Extendible Collars'!AA20/10000</f>
        <v>0</v>
      </c>
      <c r="D9" s="161">
        <f>'Extendible Collars'!AB20/10000</f>
        <v>0</v>
      </c>
      <c r="E9" s="161">
        <f>'Extendible Collars'!AC20/10000</f>
        <v>0</v>
      </c>
      <c r="F9" s="161">
        <f>'Extendible Collars'!AD20/10000</f>
        <v>0</v>
      </c>
      <c r="G9" s="161">
        <f>'Extendible Collars'!AE20/10000</f>
        <v>0</v>
      </c>
      <c r="H9" s="161">
        <f>'Extendible Collars'!AF20/10000</f>
        <v>0</v>
      </c>
      <c r="I9" s="161">
        <f>'Extendible Collars'!AG20/10000</f>
        <v>0</v>
      </c>
      <c r="J9" s="183">
        <f t="shared" si="0"/>
        <v>0</v>
      </c>
      <c r="R9" s="286">
        <f t="shared" si="2"/>
        <v>36831</v>
      </c>
      <c r="S9" s="370">
        <f t="shared" si="1"/>
        <v>66.424580033556396</v>
      </c>
      <c r="Y9" s="374" t="s">
        <v>413</v>
      </c>
      <c r="Z9" s="375"/>
      <c r="AA9" s="376">
        <f>COUNT(K83:L83)</f>
        <v>2</v>
      </c>
    </row>
    <row r="10" spans="2:27" ht="13.8" thickBot="1" x14ac:dyDescent="0.3">
      <c r="B10" s="162">
        <f>'Extendible Collars'!Z21</f>
        <v>36617</v>
      </c>
      <c r="C10" s="179">
        <f>'Extendible Collars'!AA21/10000</f>
        <v>0</v>
      </c>
      <c r="D10" s="161">
        <f>'Extendible Collars'!AB21/10000</f>
        <v>0</v>
      </c>
      <c r="E10" s="161">
        <f>'Extendible Collars'!AC21/10000</f>
        <v>0</v>
      </c>
      <c r="F10" s="161">
        <f>'Extendible Collars'!AD21/10000</f>
        <v>0</v>
      </c>
      <c r="G10" s="161">
        <f>'Extendible Collars'!AE21/10000</f>
        <v>0</v>
      </c>
      <c r="H10" s="161">
        <f>'Extendible Collars'!AF21/10000</f>
        <v>0</v>
      </c>
      <c r="I10" s="161">
        <f>'Extendible Collars'!AG21/10000</f>
        <v>0</v>
      </c>
      <c r="J10" s="183">
        <f t="shared" si="0"/>
        <v>0</v>
      </c>
      <c r="R10" s="286">
        <f t="shared" si="2"/>
        <v>36861</v>
      </c>
      <c r="S10" s="370">
        <f t="shared" si="1"/>
        <v>17.173934112885679</v>
      </c>
      <c r="Y10" s="377" t="s">
        <v>263</v>
      </c>
      <c r="Z10" s="378"/>
      <c r="AA10" s="379">
        <f>COUNT(E83:I83)</f>
        <v>5</v>
      </c>
    </row>
    <row r="11" spans="2:27" x14ac:dyDescent="0.25">
      <c r="B11" s="162">
        <f>'Extendible Collars'!Z22</f>
        <v>36647</v>
      </c>
      <c r="C11" s="179">
        <f>'Extendible Collars'!AA22/10000</f>
        <v>0</v>
      </c>
      <c r="D11" s="161">
        <f>'Extendible Collars'!AB22/10000</f>
        <v>0</v>
      </c>
      <c r="E11" s="161">
        <f>'Extendible Collars'!AC22/10000</f>
        <v>0</v>
      </c>
      <c r="F11" s="161">
        <f>'Extendible Collars'!AD22/10000</f>
        <v>0</v>
      </c>
      <c r="G11" s="161">
        <f>'Extendible Collars'!AE22/10000</f>
        <v>0</v>
      </c>
      <c r="H11" s="161">
        <f>'Extendible Collars'!AF22/10000</f>
        <v>0</v>
      </c>
      <c r="I11" s="161">
        <f>'Extendible Collars'!AG22/10000</f>
        <v>0</v>
      </c>
      <c r="J11" s="183">
        <f t="shared" si="0"/>
        <v>0</v>
      </c>
      <c r="R11" s="286">
        <f t="shared" si="2"/>
        <v>36892</v>
      </c>
      <c r="S11" s="370">
        <f t="shared" si="1"/>
        <v>8.5919249322160205</v>
      </c>
    </row>
    <row r="12" spans="2:27" x14ac:dyDescent="0.25">
      <c r="B12" s="162">
        <f>'Extendible Collars'!Z23</f>
        <v>36678</v>
      </c>
      <c r="C12" s="179">
        <f>'Extendible Collars'!AA23/10000</f>
        <v>0</v>
      </c>
      <c r="D12" s="161">
        <f>'Extendible Collars'!AB23/10000</f>
        <v>0</v>
      </c>
      <c r="E12" s="161">
        <f>'Extendible Collars'!AC23/10000</f>
        <v>0</v>
      </c>
      <c r="F12" s="161">
        <f>'Extendible Collars'!AD23/10000</f>
        <v>0</v>
      </c>
      <c r="G12" s="161">
        <f>'Extendible Collars'!AE23/10000</f>
        <v>0</v>
      </c>
      <c r="H12" s="161">
        <f>'Extendible Collars'!AF23/10000</f>
        <v>0</v>
      </c>
      <c r="I12" s="161">
        <f>'Extendible Collars'!AG23/10000</f>
        <v>0</v>
      </c>
      <c r="J12" s="183">
        <f t="shared" si="0"/>
        <v>0</v>
      </c>
      <c r="R12" s="286">
        <f t="shared" si="2"/>
        <v>36923</v>
      </c>
      <c r="S12" s="370">
        <f t="shared" si="1"/>
        <v>12.82488674477171</v>
      </c>
    </row>
    <row r="13" spans="2:27" x14ac:dyDescent="0.25">
      <c r="B13" s="162">
        <f>'Extendible Collars'!Z26</f>
        <v>36708</v>
      </c>
      <c r="C13" s="179">
        <f>'Extendible Collars'!AA26/10000</f>
        <v>0</v>
      </c>
      <c r="D13" s="161">
        <f>'Extendible Collars'!AB26/10000</f>
        <v>0</v>
      </c>
      <c r="E13" s="161">
        <f>'Extendible Collars'!AC26/10000</f>
        <v>0</v>
      </c>
      <c r="F13" s="161">
        <f>'Extendible Collars'!AD26/10000</f>
        <v>0</v>
      </c>
      <c r="G13" s="161">
        <f>'Extendible Collars'!AE26/10000</f>
        <v>0</v>
      </c>
      <c r="H13" s="161">
        <f>'Extendible Collars'!AF26/10000</f>
        <v>0</v>
      </c>
      <c r="I13" s="161">
        <f>'Extendible Collars'!AG26/10000</f>
        <v>0</v>
      </c>
      <c r="J13" s="183">
        <f t="shared" si="0"/>
        <v>0</v>
      </c>
      <c r="R13" s="286">
        <f t="shared" si="2"/>
        <v>36951</v>
      </c>
      <c r="S13" s="370">
        <f t="shared" si="1"/>
        <v>90.184483623577364</v>
      </c>
    </row>
    <row r="14" spans="2:27" x14ac:dyDescent="0.25">
      <c r="B14" s="162">
        <f>'Extendible Collars'!Z27</f>
        <v>36739</v>
      </c>
      <c r="C14" s="179">
        <f>'Extendible Collars'!AA27/10000</f>
        <v>0</v>
      </c>
      <c r="D14" s="161">
        <f>'Extendible Collars'!AB27/10000</f>
        <v>0</v>
      </c>
      <c r="E14" s="161">
        <f>'Extendible Collars'!AC27/10000</f>
        <v>0</v>
      </c>
      <c r="F14" s="161">
        <f>'Extendible Collars'!AD27/10000</f>
        <v>0</v>
      </c>
      <c r="G14" s="161">
        <f>'Extendible Collars'!AE27/10000</f>
        <v>0</v>
      </c>
      <c r="H14" s="161">
        <f>'Extendible Collars'!AF27/10000</f>
        <v>0</v>
      </c>
      <c r="I14" s="161">
        <f>'Extendible Collars'!AG27/10000</f>
        <v>0</v>
      </c>
      <c r="J14" s="183">
        <f t="shared" si="0"/>
        <v>0</v>
      </c>
      <c r="R14" s="286">
        <f t="shared" si="2"/>
        <v>36982</v>
      </c>
      <c r="S14" s="370">
        <f t="shared" si="1"/>
        <v>-7.5920631082173751</v>
      </c>
    </row>
    <row r="15" spans="2:27" x14ac:dyDescent="0.25">
      <c r="B15" s="162">
        <f>'Extendible Collars'!Z28</f>
        <v>36770</v>
      </c>
      <c r="C15" s="179">
        <f>'Extendible Collars'!AA28/10000</f>
        <v>0</v>
      </c>
      <c r="D15" s="161">
        <f>'Extendible Collars'!AB28/10000</f>
        <v>0</v>
      </c>
      <c r="E15" s="161">
        <f>'Extendible Collars'!AC28/10000</f>
        <v>0</v>
      </c>
      <c r="F15" s="161">
        <f>'Extendible Collars'!AD28/10000</f>
        <v>0</v>
      </c>
      <c r="G15" s="161">
        <f>'Extendible Collars'!AE28/10000</f>
        <v>0</v>
      </c>
      <c r="H15" s="161">
        <f>'Extendible Collars'!AF28/10000</f>
        <v>0</v>
      </c>
      <c r="I15" s="161">
        <f>'Extendible Collars'!AG28/10000</f>
        <v>0</v>
      </c>
      <c r="J15" s="183">
        <f t="shared" si="0"/>
        <v>0</v>
      </c>
      <c r="R15" s="286">
        <f t="shared" si="2"/>
        <v>37012</v>
      </c>
      <c r="S15" s="370">
        <f t="shared" si="1"/>
        <v>6.3759952009895997</v>
      </c>
    </row>
    <row r="16" spans="2:27" x14ac:dyDescent="0.25">
      <c r="B16" s="162">
        <f>'Extendible Collars'!Z29</f>
        <v>36800</v>
      </c>
      <c r="C16" s="179">
        <f>'Extendible Collars'!AA29/10000</f>
        <v>0</v>
      </c>
      <c r="D16" s="161">
        <f>'Extendible Collars'!AB29/10000</f>
        <v>0</v>
      </c>
      <c r="E16" s="161">
        <f>'Extendible Collars'!AC29/10000</f>
        <v>0</v>
      </c>
      <c r="F16" s="161">
        <f>'Extendible Collars'!AD29/10000</f>
        <v>0</v>
      </c>
      <c r="G16" s="161">
        <f>'Extendible Collars'!AE29/10000</f>
        <v>0</v>
      </c>
      <c r="H16" s="161">
        <f>'Extendible Collars'!AF29/10000</f>
        <v>0</v>
      </c>
      <c r="I16" s="161">
        <f>'Extendible Collars'!AG29/10000</f>
        <v>0</v>
      </c>
      <c r="J16" s="183">
        <f t="shared" si="0"/>
        <v>0</v>
      </c>
      <c r="R16" s="286">
        <f t="shared" si="2"/>
        <v>37043</v>
      </c>
      <c r="S16" s="370">
        <f t="shared" si="1"/>
        <v>6.2738136033272749</v>
      </c>
    </row>
    <row r="17" spans="2:19" x14ac:dyDescent="0.25">
      <c r="B17" s="162">
        <f>'Extendible Collars'!Z30</f>
        <v>36831</v>
      </c>
      <c r="C17" s="179">
        <f>'Extendible Collars'!AA30/10000</f>
        <v>0</v>
      </c>
      <c r="D17" s="161">
        <f>'Extendible Collars'!AB30/10000</f>
        <v>0</v>
      </c>
      <c r="E17" s="161">
        <f>'Extendible Collars'!AC30/10000</f>
        <v>0</v>
      </c>
      <c r="F17" s="161">
        <f>'Extendible Collars'!AD30/10000</f>
        <v>0</v>
      </c>
      <c r="G17" s="161">
        <f>'Extendible Collars'!AE30/10000</f>
        <v>0</v>
      </c>
      <c r="H17" s="161">
        <f>'Extendible Collars'!AF30/10000</f>
        <v>0</v>
      </c>
      <c r="I17" s="161">
        <f>'Extendible Collars'!AG30/10000</f>
        <v>0</v>
      </c>
      <c r="J17" s="183">
        <f t="shared" si="0"/>
        <v>0</v>
      </c>
      <c r="R17" s="286">
        <f t="shared" si="2"/>
        <v>37073</v>
      </c>
      <c r="S17" s="370">
        <f t="shared" si="1"/>
        <v>3.1918279498971049</v>
      </c>
    </row>
    <row r="18" spans="2:19" x14ac:dyDescent="0.25">
      <c r="B18" s="162">
        <f>'Extendible Collars'!Z31</f>
        <v>36861</v>
      </c>
      <c r="C18" s="179">
        <f>'Extendible Collars'!AA31/10000</f>
        <v>0</v>
      </c>
      <c r="D18" s="161">
        <f>'Extendible Collars'!AB31/10000</f>
        <v>0</v>
      </c>
      <c r="E18" s="161">
        <f>'Extendible Collars'!AC31/10000</f>
        <v>0</v>
      </c>
      <c r="F18" s="161">
        <f>'Extendible Collars'!AD31/10000</f>
        <v>0</v>
      </c>
      <c r="G18" s="161">
        <f>'Extendible Collars'!AE31/10000</f>
        <v>0</v>
      </c>
      <c r="H18" s="161">
        <f>'Extendible Collars'!AF31/10000</f>
        <v>0</v>
      </c>
      <c r="I18" s="161">
        <f>'Extendible Collars'!AG31/10000</f>
        <v>0</v>
      </c>
      <c r="J18" s="183">
        <f t="shared" si="0"/>
        <v>0</v>
      </c>
      <c r="R18" s="286">
        <f t="shared" si="2"/>
        <v>37104</v>
      </c>
      <c r="S18" s="370">
        <f t="shared" si="1"/>
        <v>3.2667617259341575</v>
      </c>
    </row>
    <row r="19" spans="2:19" x14ac:dyDescent="0.25">
      <c r="B19" s="162">
        <f>'Extendible Collars'!Z32</f>
        <v>36892</v>
      </c>
      <c r="C19" s="179">
        <f>'Extendible Collars'!AA32/10000</f>
        <v>0</v>
      </c>
      <c r="D19" s="161">
        <f>'Extendible Collars'!AB32/10000</f>
        <v>0</v>
      </c>
      <c r="E19" s="161">
        <f>'Extendible Collars'!AC32/10000</f>
        <v>0</v>
      </c>
      <c r="F19" s="161">
        <f>'Extendible Collars'!AD32/10000</f>
        <v>0</v>
      </c>
      <c r="G19" s="161">
        <f>'Extendible Collars'!AE32/10000</f>
        <v>0</v>
      </c>
      <c r="H19" s="161">
        <f>'Extendible Collars'!AF32/10000</f>
        <v>0</v>
      </c>
      <c r="I19" s="161">
        <f>'Extendible Collars'!AG32/10000</f>
        <v>0</v>
      </c>
      <c r="J19" s="183">
        <f t="shared" si="0"/>
        <v>0</v>
      </c>
      <c r="R19" s="286">
        <f t="shared" si="2"/>
        <v>37135</v>
      </c>
      <c r="S19" s="370">
        <f t="shared" si="1"/>
        <v>3.7009482346041986</v>
      </c>
    </row>
    <row r="20" spans="2:19" x14ac:dyDescent="0.25">
      <c r="B20" s="162">
        <f>'Extendible Collars'!Z33</f>
        <v>36923</v>
      </c>
      <c r="C20" s="179">
        <f>'Extendible Collars'!AA33/10000</f>
        <v>0</v>
      </c>
      <c r="D20" s="161">
        <f>'Extendible Collars'!AB33/10000</f>
        <v>0</v>
      </c>
      <c r="E20" s="161">
        <f>'Extendible Collars'!AC33/10000</f>
        <v>0</v>
      </c>
      <c r="F20" s="161">
        <f>'Extendible Collars'!AD33/10000</f>
        <v>0</v>
      </c>
      <c r="G20" s="161">
        <f>'Extendible Collars'!AE33/10000</f>
        <v>0</v>
      </c>
      <c r="H20" s="161">
        <f>'Extendible Collars'!AF33/10000</f>
        <v>0</v>
      </c>
      <c r="I20" s="161">
        <f>'Extendible Collars'!AG33/10000</f>
        <v>0</v>
      </c>
      <c r="J20" s="183">
        <f t="shared" si="0"/>
        <v>0</v>
      </c>
      <c r="R20" s="286">
        <f t="shared" si="2"/>
        <v>37165</v>
      </c>
      <c r="S20" s="370">
        <f t="shared" si="1"/>
        <v>5.4204305450343471</v>
      </c>
    </row>
    <row r="21" spans="2:19" x14ac:dyDescent="0.25">
      <c r="B21" s="162">
        <f>'Extendible Collars'!Z34</f>
        <v>36951</v>
      </c>
      <c r="C21" s="179">
        <f>'Extendible Collars'!AA34/10000</f>
        <v>0</v>
      </c>
      <c r="D21" s="161">
        <f>'Extendible Collars'!AB34/10000</f>
        <v>0</v>
      </c>
      <c r="E21" s="161">
        <f>'Extendible Collars'!AC34/10000</f>
        <v>0</v>
      </c>
      <c r="F21" s="161">
        <f>'Extendible Collars'!AD34/10000</f>
        <v>0</v>
      </c>
      <c r="G21" s="161">
        <f>'Extendible Collars'!AE34/10000</f>
        <v>0</v>
      </c>
      <c r="H21" s="161">
        <f>'Extendible Collars'!AF34/10000</f>
        <v>0</v>
      </c>
      <c r="I21" s="161">
        <f>'Extendible Collars'!AG34/10000</f>
        <v>0</v>
      </c>
      <c r="J21" s="183">
        <f t="shared" si="0"/>
        <v>0</v>
      </c>
      <c r="R21" s="286">
        <f t="shared" si="2"/>
        <v>37196</v>
      </c>
      <c r="S21" s="370">
        <f t="shared" si="1"/>
        <v>-5.4900440800240204</v>
      </c>
    </row>
    <row r="22" spans="2:19" x14ac:dyDescent="0.25">
      <c r="B22" s="162">
        <f>'Extendible Collars'!Z35</f>
        <v>36982</v>
      </c>
      <c r="C22" s="179">
        <f>'Extendible Collars'!AA35/10000</f>
        <v>0</v>
      </c>
      <c r="D22" s="161">
        <f>'Extendible Collars'!AB35/10000</f>
        <v>0</v>
      </c>
      <c r="E22" s="161">
        <f>'Extendible Collars'!AC35/10000</f>
        <v>0</v>
      </c>
      <c r="F22" s="161">
        <f>'Extendible Collars'!AD35/10000</f>
        <v>0</v>
      </c>
      <c r="G22" s="161">
        <f>'Extendible Collars'!AE35/10000</f>
        <v>0</v>
      </c>
      <c r="H22" s="161">
        <f>'Extendible Collars'!AF35/10000</f>
        <v>0</v>
      </c>
      <c r="I22" s="161">
        <f>'Extendible Collars'!AG35/10000</f>
        <v>0</v>
      </c>
      <c r="J22" s="183">
        <f t="shared" si="0"/>
        <v>0</v>
      </c>
      <c r="R22" s="286">
        <f t="shared" si="2"/>
        <v>37226</v>
      </c>
      <c r="S22" s="370">
        <f t="shared" si="1"/>
        <v>-4.4325558047186702</v>
      </c>
    </row>
    <row r="23" spans="2:19" x14ac:dyDescent="0.25">
      <c r="B23" s="162">
        <f>'Extendible Collars'!Z36</f>
        <v>37012</v>
      </c>
      <c r="C23" s="179">
        <f>'Extendible Collars'!AA36/10000</f>
        <v>0</v>
      </c>
      <c r="D23" s="161">
        <f>'Extendible Collars'!AB36/10000</f>
        <v>0</v>
      </c>
      <c r="E23" s="161">
        <f>'Extendible Collars'!AC36/10000</f>
        <v>0</v>
      </c>
      <c r="F23" s="161">
        <f>'Extendible Collars'!AD36/10000</f>
        <v>0</v>
      </c>
      <c r="G23" s="161">
        <f>'Extendible Collars'!AE36/10000</f>
        <v>0</v>
      </c>
      <c r="H23" s="161">
        <f>'Extendible Collars'!AF36/10000</f>
        <v>0</v>
      </c>
      <c r="I23" s="161">
        <f>'Extendible Collars'!AG36/10000</f>
        <v>0</v>
      </c>
      <c r="J23" s="183">
        <f t="shared" si="0"/>
        <v>0</v>
      </c>
      <c r="R23" s="286">
        <f t="shared" si="2"/>
        <v>37257</v>
      </c>
      <c r="S23" s="370">
        <f t="shared" si="1"/>
        <v>-3.7005597425922896</v>
      </c>
    </row>
    <row r="24" spans="2:19" x14ac:dyDescent="0.25">
      <c r="B24" s="162">
        <f>'Extendible Collars'!Z37</f>
        <v>37043</v>
      </c>
      <c r="C24" s="179">
        <f>'Extendible Collars'!AA37/10000</f>
        <v>0</v>
      </c>
      <c r="D24" s="161">
        <f>'Extendible Collars'!AB37/10000</f>
        <v>0</v>
      </c>
      <c r="E24" s="161">
        <f>'Extendible Collars'!AC37/10000</f>
        <v>0</v>
      </c>
      <c r="F24" s="161">
        <f>'Extendible Collars'!AD37/10000</f>
        <v>0</v>
      </c>
      <c r="G24" s="161">
        <f>'Extendible Collars'!AE37/10000</f>
        <v>0</v>
      </c>
      <c r="H24" s="161">
        <f>'Extendible Collars'!AF37/10000</f>
        <v>0</v>
      </c>
      <c r="I24" s="161">
        <f>'Extendible Collars'!AG37/10000</f>
        <v>0</v>
      </c>
      <c r="J24" s="183">
        <f t="shared" si="0"/>
        <v>0</v>
      </c>
      <c r="R24" s="286">
        <f t="shared" si="2"/>
        <v>37288</v>
      </c>
      <c r="S24" s="370">
        <f t="shared" si="1"/>
        <v>-3.5086060442525748</v>
      </c>
    </row>
    <row r="25" spans="2:19" x14ac:dyDescent="0.25">
      <c r="B25" s="162">
        <f>'Extendible Collars'!Z38</f>
        <v>37073</v>
      </c>
      <c r="C25" s="179">
        <f>'Extendible Collars'!AA38/10000</f>
        <v>0</v>
      </c>
      <c r="D25" s="161">
        <f>'Extendible Collars'!AB38/10000</f>
        <v>0</v>
      </c>
      <c r="E25" s="161">
        <f>'Extendible Collars'!AC38/10000</f>
        <v>0</v>
      </c>
      <c r="F25" s="161">
        <f>'Extendible Collars'!AD38/10000</f>
        <v>0</v>
      </c>
      <c r="G25" s="161">
        <f>'Extendible Collars'!AE38/10000</f>
        <v>0</v>
      </c>
      <c r="H25" s="161">
        <f>'Extendible Collars'!AF38/10000</f>
        <v>0</v>
      </c>
      <c r="I25" s="161">
        <f>'Extendible Collars'!AG38/10000</f>
        <v>0</v>
      </c>
      <c r="J25" s="183">
        <f t="shared" si="0"/>
        <v>0</v>
      </c>
      <c r="R25" s="286">
        <f t="shared" si="2"/>
        <v>37316</v>
      </c>
      <c r="S25" s="370">
        <f t="shared" si="1"/>
        <v>-5.2249916281309039</v>
      </c>
    </row>
    <row r="26" spans="2:19" x14ac:dyDescent="0.25">
      <c r="B26" s="162">
        <f>'Extendible Collars'!Z39</f>
        <v>37104</v>
      </c>
      <c r="C26" s="179">
        <f>'Extendible Collars'!AA39/10000</f>
        <v>0</v>
      </c>
      <c r="D26" s="161">
        <f>'Extendible Collars'!AB39/10000</f>
        <v>0</v>
      </c>
      <c r="E26" s="161">
        <f>'Extendible Collars'!AC39/10000</f>
        <v>0</v>
      </c>
      <c r="F26" s="161">
        <f>'Extendible Collars'!AD39/10000</f>
        <v>0</v>
      </c>
      <c r="G26" s="161">
        <f>'Extendible Collars'!AE39/10000</f>
        <v>0</v>
      </c>
      <c r="H26" s="161">
        <f>'Extendible Collars'!AF39/10000</f>
        <v>0</v>
      </c>
      <c r="I26" s="161">
        <f>'Extendible Collars'!AG39/10000</f>
        <v>0</v>
      </c>
      <c r="J26" s="183">
        <f t="shared" si="0"/>
        <v>0</v>
      </c>
      <c r="R26" s="286">
        <f t="shared" si="2"/>
        <v>37347</v>
      </c>
      <c r="S26" s="370">
        <f t="shared" si="1"/>
        <v>0</v>
      </c>
    </row>
    <row r="27" spans="2:19" x14ac:dyDescent="0.25">
      <c r="B27" s="162">
        <f>'Extendible Collars'!Z40</f>
        <v>37135</v>
      </c>
      <c r="C27" s="179">
        <f>'Extendible Collars'!AA40/10000</f>
        <v>0</v>
      </c>
      <c r="D27" s="161">
        <f>'Extendible Collars'!AB40/10000</f>
        <v>0</v>
      </c>
      <c r="E27" s="161">
        <f>'Extendible Collars'!AC40/10000</f>
        <v>0</v>
      </c>
      <c r="F27" s="161">
        <f>'Extendible Collars'!AD40/10000</f>
        <v>0</v>
      </c>
      <c r="G27" s="161">
        <f>'Extendible Collars'!AE40/10000</f>
        <v>0</v>
      </c>
      <c r="H27" s="161">
        <f>'Extendible Collars'!AF40/10000</f>
        <v>0</v>
      </c>
      <c r="I27" s="161">
        <f>'Extendible Collars'!AG40/10000</f>
        <v>0</v>
      </c>
      <c r="J27" s="183">
        <f t="shared" si="0"/>
        <v>0</v>
      </c>
      <c r="R27" s="286">
        <f t="shared" si="2"/>
        <v>37377</v>
      </c>
      <c r="S27" s="370">
        <f t="shared" si="1"/>
        <v>0</v>
      </c>
    </row>
    <row r="28" spans="2:19" x14ac:dyDescent="0.25">
      <c r="B28" s="162">
        <f>'Extendible Collars'!Z41</f>
        <v>37165</v>
      </c>
      <c r="C28" s="179">
        <f>'Extendible Collars'!AA41/10000</f>
        <v>0</v>
      </c>
      <c r="D28" s="161">
        <f>'Extendible Collars'!AB41/10000</f>
        <v>0</v>
      </c>
      <c r="E28" s="161">
        <f>'Extendible Collars'!AC41/10000</f>
        <v>0</v>
      </c>
      <c r="F28" s="161">
        <f>'Extendible Collars'!AD41/10000</f>
        <v>0</v>
      </c>
      <c r="G28" s="161">
        <f>'Extendible Collars'!AE41/10000</f>
        <v>0</v>
      </c>
      <c r="H28" s="161">
        <f>'Extendible Collars'!AF41/10000</f>
        <v>0</v>
      </c>
      <c r="I28" s="161">
        <f>'Extendible Collars'!AG41/10000</f>
        <v>0</v>
      </c>
      <c r="J28" s="183">
        <f t="shared" si="0"/>
        <v>0</v>
      </c>
      <c r="R28" s="286">
        <f t="shared" si="2"/>
        <v>37408</v>
      </c>
      <c r="S28" s="370">
        <f t="shared" si="1"/>
        <v>0</v>
      </c>
    </row>
    <row r="29" spans="2:19" x14ac:dyDescent="0.25">
      <c r="B29" s="162">
        <f>'Extendible Collars'!Z42</f>
        <v>37196</v>
      </c>
      <c r="C29" s="179">
        <f>'Extendible Collars'!AA42/10000</f>
        <v>0</v>
      </c>
      <c r="D29" s="161">
        <f>'Extendible Collars'!AB42/10000</f>
        <v>0</v>
      </c>
      <c r="E29" s="161">
        <f>'Extendible Collars'!AC42/10000</f>
        <v>0</v>
      </c>
      <c r="F29" s="161">
        <f>'Extendible Collars'!AD42/10000</f>
        <v>0</v>
      </c>
      <c r="G29" s="161">
        <f>'Extendible Collars'!AE42/10000</f>
        <v>0</v>
      </c>
      <c r="H29" s="161">
        <f>'Extendible Collars'!AF42/10000</f>
        <v>0</v>
      </c>
      <c r="I29" s="161">
        <f>'Extendible Collars'!AG42/10000</f>
        <v>0</v>
      </c>
      <c r="J29" s="183">
        <f t="shared" si="0"/>
        <v>0</v>
      </c>
      <c r="R29" s="286">
        <f t="shared" si="2"/>
        <v>37438</v>
      </c>
      <c r="S29" s="370">
        <f t="shared" si="1"/>
        <v>0</v>
      </c>
    </row>
    <row r="30" spans="2:19" ht="13.8" thickBot="1" x14ac:dyDescent="0.3">
      <c r="B30" s="162">
        <f>'Extendible Collars'!Z43</f>
        <v>37226</v>
      </c>
      <c r="C30" s="180">
        <f>'Extendible Collars'!AA43/10000</f>
        <v>0</v>
      </c>
      <c r="D30" s="181">
        <f>'Extendible Collars'!AB43/10000</f>
        <v>0</v>
      </c>
      <c r="E30" s="181">
        <f>'Extendible Collars'!AC43/10000</f>
        <v>0</v>
      </c>
      <c r="F30" s="181">
        <f>'Extendible Collars'!AD43/10000</f>
        <v>0</v>
      </c>
      <c r="G30" s="181">
        <f>'Extendible Collars'!AE43/10000</f>
        <v>0</v>
      </c>
      <c r="H30" s="181">
        <f>'Extendible Collars'!AF43/10000</f>
        <v>0</v>
      </c>
      <c r="I30" s="181">
        <f>'Extendible Collars'!AG43/10000</f>
        <v>0</v>
      </c>
      <c r="J30" s="184">
        <f t="shared" si="0"/>
        <v>0</v>
      </c>
      <c r="R30" s="286">
        <f t="shared" si="2"/>
        <v>37469</v>
      </c>
      <c r="S30" s="370">
        <f t="shared" si="1"/>
        <v>0</v>
      </c>
    </row>
    <row r="31" spans="2:19" ht="13.8" thickBot="1" x14ac:dyDescent="0.3">
      <c r="B31" s="163" t="s">
        <v>113</v>
      </c>
      <c r="C31" s="182">
        <f t="shared" ref="C31:J31" si="3">SUM(C5:C30)</f>
        <v>0</v>
      </c>
      <c r="D31" s="178">
        <f t="shared" si="3"/>
        <v>0</v>
      </c>
      <c r="E31" s="178">
        <f t="shared" si="3"/>
        <v>0</v>
      </c>
      <c r="F31" s="178">
        <f t="shared" si="3"/>
        <v>0</v>
      </c>
      <c r="G31" s="178">
        <f t="shared" si="3"/>
        <v>0</v>
      </c>
      <c r="H31" s="178">
        <f t="shared" si="3"/>
        <v>0</v>
      </c>
      <c r="I31" s="178">
        <f t="shared" si="3"/>
        <v>0</v>
      </c>
      <c r="J31" s="188">
        <f t="shared" si="3"/>
        <v>0</v>
      </c>
      <c r="R31" s="286">
        <f t="shared" si="2"/>
        <v>37500</v>
      </c>
      <c r="S31" s="370">
        <f t="shared" si="1"/>
        <v>0</v>
      </c>
    </row>
    <row r="32" spans="2:19" ht="13.8" thickBot="1" x14ac:dyDescent="0.3">
      <c r="R32" s="286">
        <f t="shared" si="2"/>
        <v>37530</v>
      </c>
      <c r="S32" s="370">
        <f t="shared" si="1"/>
        <v>0</v>
      </c>
    </row>
    <row r="33" spans="2:19" ht="13.8" thickBot="1" x14ac:dyDescent="0.3">
      <c r="B33" s="390"/>
      <c r="C33" s="470"/>
      <c r="D33" s="470"/>
      <c r="E33" s="470"/>
      <c r="F33" s="470" t="s">
        <v>386</v>
      </c>
      <c r="G33" s="470"/>
      <c r="H33" s="470"/>
      <c r="I33" s="470"/>
      <c r="J33" s="470"/>
      <c r="K33" s="470"/>
      <c r="L33" s="470"/>
      <c r="M33" s="470"/>
      <c r="N33" s="470"/>
      <c r="O33" s="470"/>
      <c r="P33" s="409"/>
      <c r="R33" s="286">
        <f t="shared" si="2"/>
        <v>37561</v>
      </c>
      <c r="S33" s="370">
        <f t="shared" ref="S33:S41" si="4">INDEX(extendiblecollarpos,MATCH(R33,extendiblecollarmonths),extdcollarcount)+INDEX(basisoptpos,MATCH(R33,basisoptmonths),basisoptcount)+INDEX(basketoptpos,MATCH(R33,basketoptmonths),basketoptcount)+INDEX(digitaloptpos,MATCH(R33,digitaloptmonths),digitaloptcount)+INDEX(gdspreadoptpos,MATCH(R33,gdspreadoptmonths),gdspreadoptcount)</f>
        <v>0.70401903702535784</v>
      </c>
    </row>
    <row r="34" spans="2:19" x14ac:dyDescent="0.25">
      <c r="B34" s="170"/>
      <c r="C34" s="171"/>
      <c r="D34" s="171"/>
      <c r="E34" s="171"/>
      <c r="F34" s="171"/>
      <c r="G34" s="171"/>
      <c r="H34" s="171"/>
      <c r="I34" s="171"/>
      <c r="J34" s="171"/>
      <c r="K34" s="171"/>
      <c r="L34" s="171"/>
      <c r="M34" s="171"/>
      <c r="N34" s="171"/>
      <c r="O34" s="171"/>
      <c r="P34" s="172" t="s">
        <v>113</v>
      </c>
      <c r="R34" s="286">
        <f t="shared" si="2"/>
        <v>37591</v>
      </c>
      <c r="S34" s="370">
        <f t="shared" si="4"/>
        <v>0.77761519463270379</v>
      </c>
    </row>
    <row r="35" spans="2:19" ht="12.75" customHeight="1" thickBot="1" x14ac:dyDescent="0.3">
      <c r="B35" s="167" t="s">
        <v>111</v>
      </c>
      <c r="C35" s="168" t="str">
        <f>'Basis Options'!AO6</f>
        <v>IF-TRANSCO/Z6</v>
      </c>
      <c r="D35" s="168" t="str">
        <f>'Basis Options'!AP6</f>
        <v>IF-CGT/APPALAC</v>
      </c>
      <c r="E35" s="168" t="str">
        <f>'Basis Options'!AQ6</f>
        <v>IF-NWPL_ROCKY_M</v>
      </c>
      <c r="F35" s="168" t="str">
        <f>'Basis Options'!AR6</f>
        <v>NGI/CHI. GATE</v>
      </c>
      <c r="G35" s="168" t="str">
        <f>'Basis Options'!AS6</f>
        <v>IF-HPL/SHPCHAN</v>
      </c>
      <c r="H35" s="168" t="s">
        <v>190</v>
      </c>
      <c r="I35" s="168" t="s">
        <v>331</v>
      </c>
      <c r="J35" s="448" t="s">
        <v>119</v>
      </c>
      <c r="K35" s="448" t="s">
        <v>384</v>
      </c>
      <c r="L35" s="448" t="s">
        <v>6</v>
      </c>
      <c r="M35" s="448" t="s">
        <v>487</v>
      </c>
      <c r="N35" s="448" t="s">
        <v>526</v>
      </c>
      <c r="O35" s="448" t="s">
        <v>617</v>
      </c>
      <c r="P35" s="169" t="s">
        <v>118</v>
      </c>
      <c r="R35" s="286">
        <f t="shared" si="2"/>
        <v>37622</v>
      </c>
      <c r="S35" s="370">
        <f t="shared" si="4"/>
        <v>0.76105299685399808</v>
      </c>
    </row>
    <row r="36" spans="2:19" x14ac:dyDescent="0.25">
      <c r="B36" s="162">
        <f>'Basis Options'!BE7</f>
        <v>36739</v>
      </c>
      <c r="C36" s="161">
        <f>'Basis Options'!BF7/10000</f>
        <v>0</v>
      </c>
      <c r="D36" s="161">
        <f>'Basis Options'!BG7/10000</f>
        <v>0</v>
      </c>
      <c r="E36" s="161">
        <f>'Basis Options'!BH7/10000</f>
        <v>0</v>
      </c>
      <c r="F36" s="161">
        <f>'Basis Options'!BI7/10000</f>
        <v>0</v>
      </c>
      <c r="G36" s="161">
        <f>'Basis Options'!BJ7/10000</f>
        <v>0</v>
      </c>
      <c r="H36" s="161">
        <f>'Basis Options'!BK7/10000</f>
        <v>0</v>
      </c>
      <c r="I36" s="161">
        <f>'Basis Options'!BL7/10000</f>
        <v>0</v>
      </c>
      <c r="J36" s="161">
        <f>'Basis Options'!BM7/10000</f>
        <v>0</v>
      </c>
      <c r="K36" s="161">
        <f>'Basis Options'!BN7/10000</f>
        <v>0</v>
      </c>
      <c r="L36" s="161">
        <f>'Basis Options'!BO7/10000</f>
        <v>0</v>
      </c>
      <c r="M36" s="161">
        <f>'Basis Options'!BP7/10000</f>
        <v>0</v>
      </c>
      <c r="N36" s="161">
        <f>'Basis Options'!BQ7/10000</f>
        <v>0</v>
      </c>
      <c r="O36" s="161">
        <f>'Basis Options'!BR7/10000</f>
        <v>0</v>
      </c>
      <c r="P36" s="183">
        <f>SUM(C36:O36)</f>
        <v>0</v>
      </c>
      <c r="R36" s="286">
        <f t="shared" si="2"/>
        <v>37653</v>
      </c>
      <c r="S36" s="370">
        <f t="shared" si="4"/>
        <v>0.68097018070475168</v>
      </c>
    </row>
    <row r="37" spans="2:19" x14ac:dyDescent="0.25">
      <c r="B37" s="162">
        <f>'Basis Options'!BE8</f>
        <v>36770</v>
      </c>
      <c r="C37" s="161">
        <f>'Basis Options'!BF8/10000</f>
        <v>-0.41073382898757244</v>
      </c>
      <c r="D37" s="161">
        <f>'Basis Options'!BG8/10000</f>
        <v>6.6421435472150916E-2</v>
      </c>
      <c r="E37" s="161">
        <f>'Basis Options'!BH8/10000</f>
        <v>-0.54501767642040078</v>
      </c>
      <c r="F37" s="161">
        <f>'Basis Options'!BI8/10000</f>
        <v>0</v>
      </c>
      <c r="G37" s="161">
        <f>'Basis Options'!BJ8/10000</f>
        <v>0</v>
      </c>
      <c r="H37" s="161">
        <f>'Basis Options'!BK8/10000</f>
        <v>1.796647904651394E-6</v>
      </c>
      <c r="I37" s="161">
        <f>'Basis Options'!BL8/10000</f>
        <v>-1.3630715507204779E-57</v>
      </c>
      <c r="J37" s="161">
        <f>'Basis Options'!BM8/10000</f>
        <v>0</v>
      </c>
      <c r="K37" s="161">
        <f>'Basis Options'!BN8/10000</f>
        <v>2.6566202000074556E-2</v>
      </c>
      <c r="L37" s="161">
        <f>'Basis Options'!BO8/10000</f>
        <v>0</v>
      </c>
      <c r="M37" s="161">
        <f>'Basis Options'!BP8/10000</f>
        <v>0</v>
      </c>
      <c r="N37" s="161">
        <f>'Basis Options'!BQ8/10000</f>
        <v>0</v>
      </c>
      <c r="O37" s="161">
        <f>'Basis Options'!BR8/10000</f>
        <v>0</v>
      </c>
      <c r="P37" s="183">
        <f t="shared" ref="P37:P77" si="5">SUM(C37:O37)</f>
        <v>-0.8627620712878431</v>
      </c>
      <c r="R37" s="286">
        <f t="shared" si="2"/>
        <v>37681</v>
      </c>
      <c r="S37" s="370">
        <f t="shared" si="4"/>
        <v>0.72606719568657141</v>
      </c>
    </row>
    <row r="38" spans="2:19" x14ac:dyDescent="0.25">
      <c r="B38" s="162">
        <f>'Basis Options'!BE9</f>
        <v>36800</v>
      </c>
      <c r="C38" s="161">
        <f>'Basis Options'!BF9/10000</f>
        <v>-2.4134080886749234</v>
      </c>
      <c r="D38" s="161">
        <f>'Basis Options'!BG9/10000</f>
        <v>0.73817860018368953</v>
      </c>
      <c r="E38" s="161">
        <f>'Basis Options'!BH9/10000</f>
        <v>18.134907694504108</v>
      </c>
      <c r="F38" s="161">
        <f>'Basis Options'!BI9/10000</f>
        <v>0</v>
      </c>
      <c r="G38" s="161">
        <f>'Basis Options'!BJ9/10000</f>
        <v>0</v>
      </c>
      <c r="H38" s="161">
        <f>'Basis Options'!BK9/10000</f>
        <v>0.72614507630889136</v>
      </c>
      <c r="I38" s="161">
        <f>'Basis Options'!BL9/10000</f>
        <v>-0.46457829797116429</v>
      </c>
      <c r="J38" s="161">
        <f>'Basis Options'!BM9/10000</f>
        <v>0</v>
      </c>
      <c r="K38" s="161">
        <f>'Basis Options'!BN9/10000</f>
        <v>0.18607683706591197</v>
      </c>
      <c r="L38" s="161">
        <f>'Basis Options'!BO9/10000</f>
        <v>0</v>
      </c>
      <c r="M38" s="161">
        <f>'Basis Options'!BP9/10000</f>
        <v>0</v>
      </c>
      <c r="N38" s="161">
        <f>'Basis Options'!BQ9/10000</f>
        <v>0</v>
      </c>
      <c r="O38" s="161">
        <f>'Basis Options'!BR9/10000</f>
        <v>0</v>
      </c>
      <c r="P38" s="183">
        <f t="shared" si="5"/>
        <v>16.907321821416513</v>
      </c>
      <c r="R38" s="286">
        <f t="shared" si="2"/>
        <v>37712</v>
      </c>
      <c r="S38" s="370">
        <f t="shared" si="4"/>
        <v>0</v>
      </c>
    </row>
    <row r="39" spans="2:19" x14ac:dyDescent="0.25">
      <c r="B39" s="162">
        <f>'Basis Options'!BE10</f>
        <v>36831</v>
      </c>
      <c r="C39" s="161">
        <f>'Basis Options'!BF10/10000</f>
        <v>61.901617510026867</v>
      </c>
      <c r="D39" s="161">
        <f>'Basis Options'!BG10/10000</f>
        <v>6.5297676307387878E-2</v>
      </c>
      <c r="E39" s="161">
        <f>'Basis Options'!BH10/10000</f>
        <v>0.93194885003597883</v>
      </c>
      <c r="F39" s="161">
        <f>'Basis Options'!BI10/10000</f>
        <v>-1.84258316560444</v>
      </c>
      <c r="G39" s="161">
        <f>'Basis Options'!BJ10/10000</f>
        <v>0</v>
      </c>
      <c r="H39" s="161">
        <f>'Basis Options'!BK10/10000</f>
        <v>1.4010212234768979</v>
      </c>
      <c r="I39" s="161">
        <f>'Basis Options'!BL10/10000</f>
        <v>-3.4128506333262427</v>
      </c>
      <c r="J39" s="161">
        <f>'Basis Options'!BM10/10000</f>
        <v>0</v>
      </c>
      <c r="K39" s="161">
        <f>'Basis Options'!BN10/10000</f>
        <v>0</v>
      </c>
      <c r="L39" s="161">
        <f>'Basis Options'!BO10/10000</f>
        <v>-0.57148947448467224</v>
      </c>
      <c r="M39" s="161">
        <f>'Basis Options'!BP10/10000</f>
        <v>-0.18974525866401601</v>
      </c>
      <c r="N39" s="161">
        <f>'Basis Options'!BQ10/10000</f>
        <v>-0.12754891442729277</v>
      </c>
      <c r="O39" s="161">
        <f>'Basis Options'!BR10/10000</f>
        <v>8.2689122202159364</v>
      </c>
      <c r="P39" s="183">
        <f t="shared" si="5"/>
        <v>66.424580033556396</v>
      </c>
      <c r="R39" s="286">
        <f t="shared" si="2"/>
        <v>37742</v>
      </c>
      <c r="S39" s="370">
        <f t="shared" si="4"/>
        <v>0</v>
      </c>
    </row>
    <row r="40" spans="2:19" x14ac:dyDescent="0.25">
      <c r="B40" s="162">
        <f>'Basis Options'!BE11</f>
        <v>36861</v>
      </c>
      <c r="C40" s="161">
        <f>'Basis Options'!BF11/10000</f>
        <v>6.7456299504875439</v>
      </c>
      <c r="D40" s="161">
        <f>'Basis Options'!BG11/10000</f>
        <v>4.7029919787302789E-2</v>
      </c>
      <c r="E40" s="161">
        <f>'Basis Options'!BH11/10000</f>
        <v>1.3881823468684888</v>
      </c>
      <c r="F40" s="161">
        <f>'Basis Options'!BI11/10000</f>
        <v>-2.4637647437750316</v>
      </c>
      <c r="G40" s="161">
        <f>'Basis Options'!BJ11/10000</f>
        <v>0</v>
      </c>
      <c r="H40" s="161">
        <f>'Basis Options'!BK11/10000</f>
        <v>6.3056448416401807</v>
      </c>
      <c r="I40" s="161">
        <f>'Basis Options'!BL11/10000</f>
        <v>-4.1190108483929189</v>
      </c>
      <c r="J40" s="161">
        <f>'Basis Options'!BM11/10000</f>
        <v>0</v>
      </c>
      <c r="K40" s="161">
        <f>'Basis Options'!BN11/10000</f>
        <v>0</v>
      </c>
      <c r="L40" s="161">
        <f>'Basis Options'!BO11/10000</f>
        <v>-0.93378989974115689</v>
      </c>
      <c r="M40" s="161">
        <f>'Basis Options'!BP11/10000</f>
        <v>-0.34659754075245436</v>
      </c>
      <c r="N40" s="161">
        <f>'Basis Options'!BQ11/10000</f>
        <v>-0.23640826233524567</v>
      </c>
      <c r="O40" s="161">
        <f>'Basis Options'!BR11/10000</f>
        <v>10.787018349098972</v>
      </c>
      <c r="P40" s="183">
        <f t="shared" si="5"/>
        <v>17.173934112885679</v>
      </c>
      <c r="R40" s="286">
        <f t="shared" si="2"/>
        <v>37773</v>
      </c>
      <c r="S40" s="370">
        <f t="shared" si="4"/>
        <v>0</v>
      </c>
    </row>
    <row r="41" spans="2:19" ht="13.8" thickBot="1" x14ac:dyDescent="0.3">
      <c r="B41" s="162">
        <f>'Basis Options'!BE12</f>
        <v>36892</v>
      </c>
      <c r="C41" s="161">
        <f>'Basis Options'!BF12/10000</f>
        <v>-4.546829745605633</v>
      </c>
      <c r="D41" s="161">
        <f>'Basis Options'!BG12/10000</f>
        <v>4.2230507723428311E-2</v>
      </c>
      <c r="E41" s="161">
        <f>'Basis Options'!BH12/10000</f>
        <v>1.5756620997740189</v>
      </c>
      <c r="F41" s="161">
        <f>'Basis Options'!BI12/10000</f>
        <v>-4.9826924146484615</v>
      </c>
      <c r="G41" s="161">
        <f>'Basis Options'!BJ12/10000</f>
        <v>0</v>
      </c>
      <c r="H41" s="161">
        <f>'Basis Options'!BK12/10000</f>
        <v>10.107697302186196</v>
      </c>
      <c r="I41" s="161">
        <f>'Basis Options'!BL12/10000</f>
        <v>-4.6684398989370672</v>
      </c>
      <c r="J41" s="161">
        <f>'Basis Options'!BM12/10000</f>
        <v>0</v>
      </c>
      <c r="K41" s="161">
        <f>'Basis Options'!BN12/10000</f>
        <v>0</v>
      </c>
      <c r="L41" s="161">
        <f>'Basis Options'!BO12/10000</f>
        <v>-1.1923544548228528</v>
      </c>
      <c r="M41" s="161">
        <f>'Basis Options'!BP12/10000</f>
        <v>-0.47873872720614746</v>
      </c>
      <c r="N41" s="161">
        <f>'Basis Options'!BQ12/10000</f>
        <v>-0.30605768832999747</v>
      </c>
      <c r="O41" s="161">
        <f>'Basis Options'!BR12/10000</f>
        <v>13.041447952082537</v>
      </c>
      <c r="P41" s="183">
        <f t="shared" si="5"/>
        <v>8.5919249322160205</v>
      </c>
      <c r="R41" s="286">
        <f t="shared" si="2"/>
        <v>37803</v>
      </c>
      <c r="S41" s="370">
        <f t="shared" si="4"/>
        <v>0</v>
      </c>
    </row>
    <row r="42" spans="2:19" ht="13.8" thickBot="1" x14ac:dyDescent="0.3">
      <c r="B42" s="162">
        <f>'Basis Options'!BE13</f>
        <v>36923</v>
      </c>
      <c r="C42" s="161">
        <f>'Basis Options'!BF13/10000</f>
        <v>-2.0042641708076188</v>
      </c>
      <c r="D42" s="161">
        <f>'Basis Options'!BG13/10000</f>
        <v>-1.9134786061540421</v>
      </c>
      <c r="E42" s="161">
        <f>'Basis Options'!BH13/10000</f>
        <v>1.538626782288363</v>
      </c>
      <c r="F42" s="161">
        <f>'Basis Options'!BI13/10000</f>
        <v>-5.931671630783101</v>
      </c>
      <c r="G42" s="161">
        <f>'Basis Options'!BJ13/10000</f>
        <v>0</v>
      </c>
      <c r="H42" s="161">
        <f>'Basis Options'!BK13/10000</f>
        <v>12.072011991074397</v>
      </c>
      <c r="I42" s="161">
        <f>'Basis Options'!BL13/10000</f>
        <v>-5.1058556471969121</v>
      </c>
      <c r="J42" s="161">
        <f>'Basis Options'!BM13/10000</f>
        <v>0</v>
      </c>
      <c r="K42" s="161">
        <f>'Basis Options'!BN13/10000</f>
        <v>0</v>
      </c>
      <c r="L42" s="161">
        <f>'Basis Options'!BO13/10000</f>
        <v>-1.1450514496245043</v>
      </c>
      <c r="M42" s="161">
        <f>'Basis Options'!BP13/10000</f>
        <v>-0.55902095972437527</v>
      </c>
      <c r="N42" s="161">
        <f>'Basis Options'!BQ13/10000</f>
        <v>-0.29567578958685625</v>
      </c>
      <c r="O42" s="161">
        <f>'Basis Options'!BR13/10000</f>
        <v>16.169266225286361</v>
      </c>
      <c r="P42" s="183">
        <f t="shared" si="5"/>
        <v>12.82488674477171</v>
      </c>
      <c r="R42" s="457" t="s">
        <v>113</v>
      </c>
      <c r="S42" s="187">
        <f>SUM(S6:S41)</f>
        <v>213.17505065389005</v>
      </c>
    </row>
    <row r="43" spans="2:19" x14ac:dyDescent="0.25">
      <c r="B43" s="162">
        <f>'Basis Options'!BE14</f>
        <v>36951</v>
      </c>
      <c r="C43" s="161">
        <f>'Basis Options'!BF14/10000</f>
        <v>73.832860870325874</v>
      </c>
      <c r="D43" s="161">
        <f>'Basis Options'!BG14/10000</f>
        <v>5.7298108822249921E-2</v>
      </c>
      <c r="E43" s="161">
        <f>'Basis Options'!BH14/10000</f>
        <v>1.639421109120117</v>
      </c>
      <c r="F43" s="161">
        <f>'Basis Options'!BI14/10000</f>
        <v>-5.9703317100846176</v>
      </c>
      <c r="G43" s="161">
        <f>'Basis Options'!BJ14/10000</f>
        <v>0</v>
      </c>
      <c r="H43" s="161">
        <f>'Basis Options'!BK14/10000</f>
        <v>11.876703395361016</v>
      </c>
      <c r="I43" s="161">
        <f>'Basis Options'!BL14/10000</f>
        <v>-4.9581342293144317</v>
      </c>
      <c r="J43" s="161">
        <f>'Basis Options'!BM14/10000</f>
        <v>0</v>
      </c>
      <c r="K43" s="161">
        <f>'Basis Options'!BN14/10000</f>
        <v>0</v>
      </c>
      <c r="L43" s="161">
        <f>'Basis Options'!BO14/10000</f>
        <v>-1.1403336750366215</v>
      </c>
      <c r="M43" s="161">
        <f>'Basis Options'!BP14/10000</f>
        <v>-0.51177754707519785</v>
      </c>
      <c r="N43" s="161">
        <f>'Basis Options'!BQ14/10000</f>
        <v>-0.28797729698531183</v>
      </c>
      <c r="O43" s="161">
        <f>'Basis Options'!BR14/10000</f>
        <v>15.646754598444275</v>
      </c>
      <c r="P43" s="183">
        <f t="shared" si="5"/>
        <v>90.184483623577364</v>
      </c>
    </row>
    <row r="44" spans="2:19" x14ac:dyDescent="0.25">
      <c r="B44" s="162">
        <f>'Basis Options'!BE15</f>
        <v>36982</v>
      </c>
      <c r="C44" s="161">
        <f>'Basis Options'!BF15/10000</f>
        <v>-4.3824371041495427</v>
      </c>
      <c r="D44" s="161">
        <f>'Basis Options'!BG15/10000</f>
        <v>0</v>
      </c>
      <c r="E44" s="161">
        <f>'Basis Options'!BH15/10000</f>
        <v>0</v>
      </c>
      <c r="F44" s="161">
        <f>'Basis Options'!BI15/10000</f>
        <v>0</v>
      </c>
      <c r="G44" s="161">
        <f>'Basis Options'!BJ15/10000</f>
        <v>0</v>
      </c>
      <c r="H44" s="161">
        <f>'Basis Options'!BK15/10000</f>
        <v>-4.647051636715501</v>
      </c>
      <c r="I44" s="161">
        <f>'Basis Options'!BL15/10000</f>
        <v>0</v>
      </c>
      <c r="J44" s="161">
        <f>'Basis Options'!BM15/10000</f>
        <v>0</v>
      </c>
      <c r="K44" s="161">
        <f>'Basis Options'!BN15/10000</f>
        <v>1.4374256326476693</v>
      </c>
      <c r="L44" s="161">
        <f>'Basis Options'!BO15/10000</f>
        <v>0</v>
      </c>
      <c r="M44" s="161">
        <f>'Basis Options'!BP15/10000</f>
        <v>0</v>
      </c>
      <c r="N44" s="161">
        <f>'Basis Options'!BQ15/10000</f>
        <v>0</v>
      </c>
      <c r="O44" s="161">
        <f>'Basis Options'!BR15/10000</f>
        <v>0</v>
      </c>
      <c r="P44" s="183">
        <f t="shared" si="5"/>
        <v>-7.5920631082173751</v>
      </c>
    </row>
    <row r="45" spans="2:19" x14ac:dyDescent="0.25">
      <c r="B45" s="162">
        <f>'Basis Options'!BE16</f>
        <v>37012</v>
      </c>
      <c r="C45" s="161">
        <f>'Basis Options'!BF16/10000</f>
        <v>9.1555472759743726</v>
      </c>
      <c r="D45" s="161">
        <f>'Basis Options'!BG16/10000</f>
        <v>0</v>
      </c>
      <c r="E45" s="161">
        <f>'Basis Options'!BH16/10000</f>
        <v>0</v>
      </c>
      <c r="F45" s="161">
        <f>'Basis Options'!BI16/10000</f>
        <v>0</v>
      </c>
      <c r="G45" s="161">
        <f>'Basis Options'!BJ16/10000</f>
        <v>0</v>
      </c>
      <c r="H45" s="161">
        <f>'Basis Options'!BK16/10000</f>
        <v>-4.3183352843413454</v>
      </c>
      <c r="I45" s="161">
        <f>'Basis Options'!BL16/10000</f>
        <v>0</v>
      </c>
      <c r="J45" s="161">
        <f>'Basis Options'!BM16/10000</f>
        <v>0</v>
      </c>
      <c r="K45" s="161">
        <f>'Basis Options'!BN16/10000</f>
        <v>1.5387832093565725</v>
      </c>
      <c r="L45" s="161">
        <f>'Basis Options'!BO16/10000</f>
        <v>0</v>
      </c>
      <c r="M45" s="161">
        <f>'Basis Options'!BP16/10000</f>
        <v>0</v>
      </c>
      <c r="N45" s="161">
        <f>'Basis Options'!BQ16/10000</f>
        <v>0</v>
      </c>
      <c r="O45" s="161">
        <f>'Basis Options'!BR16/10000</f>
        <v>0</v>
      </c>
      <c r="P45" s="183">
        <f t="shared" si="5"/>
        <v>6.3759952009895997</v>
      </c>
    </row>
    <row r="46" spans="2:19" x14ac:dyDescent="0.25">
      <c r="B46" s="162">
        <f>'Basis Options'!BE17</f>
        <v>37043</v>
      </c>
      <c r="C46" s="161">
        <f>'Basis Options'!BF17/10000</f>
        <v>9.5820211785420586</v>
      </c>
      <c r="D46" s="161">
        <f>'Basis Options'!BG17/10000</f>
        <v>0</v>
      </c>
      <c r="E46" s="161">
        <f>'Basis Options'!BH17/10000</f>
        <v>0</v>
      </c>
      <c r="F46" s="161">
        <f>'Basis Options'!BI17/10000</f>
        <v>0</v>
      </c>
      <c r="G46" s="161">
        <f>'Basis Options'!BJ17/10000</f>
        <v>0</v>
      </c>
      <c r="H46" s="161">
        <f>'Basis Options'!BK17/10000</f>
        <v>-4.9190739316374197</v>
      </c>
      <c r="I46" s="161">
        <f>'Basis Options'!BL17/10000</f>
        <v>0</v>
      </c>
      <c r="J46" s="161">
        <f>'Basis Options'!BM17/10000</f>
        <v>0</v>
      </c>
      <c r="K46" s="161">
        <f>'Basis Options'!BN17/10000</f>
        <v>1.6108663564226358</v>
      </c>
      <c r="L46" s="161">
        <f>'Basis Options'!BO17/10000</f>
        <v>0</v>
      </c>
      <c r="M46" s="161">
        <f>'Basis Options'!BP17/10000</f>
        <v>0</v>
      </c>
      <c r="N46" s="161">
        <f>'Basis Options'!BQ17/10000</f>
        <v>0</v>
      </c>
      <c r="O46" s="161">
        <f>'Basis Options'!BR17/10000</f>
        <v>0</v>
      </c>
      <c r="P46" s="183">
        <f t="shared" si="5"/>
        <v>6.2738136033272749</v>
      </c>
    </row>
    <row r="47" spans="2:19" x14ac:dyDescent="0.25">
      <c r="B47" s="162">
        <f>'Basis Options'!BE18</f>
        <v>37073</v>
      </c>
      <c r="C47" s="161">
        <f>'Basis Options'!BF18/10000</f>
        <v>9.7862074208627003</v>
      </c>
      <c r="D47" s="161">
        <f>'Basis Options'!BG18/10000</f>
        <v>0</v>
      </c>
      <c r="E47" s="161">
        <f>'Basis Options'!BH18/10000</f>
        <v>0</v>
      </c>
      <c r="F47" s="161">
        <f>'Basis Options'!BI18/10000</f>
        <v>0</v>
      </c>
      <c r="G47" s="161">
        <f>'Basis Options'!BJ18/10000</f>
        <v>0</v>
      </c>
      <c r="H47" s="161">
        <f>'Basis Options'!BK18/10000</f>
        <v>-8.2580175475074071</v>
      </c>
      <c r="I47" s="161">
        <f>'Basis Options'!BL18/10000</f>
        <v>0</v>
      </c>
      <c r="J47" s="161">
        <f>'Basis Options'!BM18/10000</f>
        <v>0</v>
      </c>
      <c r="K47" s="161">
        <f>'Basis Options'!BN18/10000</f>
        <v>1.6636380765418115</v>
      </c>
      <c r="L47" s="161">
        <f>'Basis Options'!BO18/10000</f>
        <v>0</v>
      </c>
      <c r="M47" s="161">
        <f>'Basis Options'!BP18/10000</f>
        <v>0</v>
      </c>
      <c r="N47" s="161">
        <f>'Basis Options'!BQ18/10000</f>
        <v>0</v>
      </c>
      <c r="O47" s="161">
        <f>'Basis Options'!BR18/10000</f>
        <v>0</v>
      </c>
      <c r="P47" s="183">
        <f t="shared" si="5"/>
        <v>3.1918279498971049</v>
      </c>
    </row>
    <row r="48" spans="2:19" x14ac:dyDescent="0.25">
      <c r="B48" s="162">
        <f>'Basis Options'!BE19</f>
        <v>37104</v>
      </c>
      <c r="C48" s="161">
        <f>'Basis Options'!BF19/10000</f>
        <v>10.285727352384116</v>
      </c>
      <c r="D48" s="161">
        <f>'Basis Options'!BG19/10000</f>
        <v>0</v>
      </c>
      <c r="E48" s="161">
        <f>'Basis Options'!BH19/10000</f>
        <v>0</v>
      </c>
      <c r="F48" s="161">
        <f>'Basis Options'!BI19/10000</f>
        <v>0</v>
      </c>
      <c r="G48" s="161">
        <f>'Basis Options'!BJ19/10000</f>
        <v>0</v>
      </c>
      <c r="H48" s="161">
        <f>'Basis Options'!BK19/10000</f>
        <v>-8.7624500736858231</v>
      </c>
      <c r="I48" s="161">
        <f>'Basis Options'!BL19/10000</f>
        <v>0</v>
      </c>
      <c r="J48" s="161">
        <f>'Basis Options'!BM19/10000</f>
        <v>0</v>
      </c>
      <c r="K48" s="161">
        <f>'Basis Options'!BN19/10000</f>
        <v>1.7434844472358644</v>
      </c>
      <c r="L48" s="161">
        <f>'Basis Options'!BO19/10000</f>
        <v>0</v>
      </c>
      <c r="M48" s="161">
        <f>'Basis Options'!BP19/10000</f>
        <v>0</v>
      </c>
      <c r="N48" s="161">
        <f>'Basis Options'!BQ19/10000</f>
        <v>0</v>
      </c>
      <c r="O48" s="161">
        <f>'Basis Options'!BR19/10000</f>
        <v>0</v>
      </c>
      <c r="P48" s="183">
        <f t="shared" si="5"/>
        <v>3.2667617259341575</v>
      </c>
    </row>
    <row r="49" spans="2:16" x14ac:dyDescent="0.25">
      <c r="B49" s="162">
        <f>'Basis Options'!BE20</f>
        <v>37135</v>
      </c>
      <c r="C49" s="161">
        <f>'Basis Options'!BF20/10000</f>
        <v>10.954102335092506</v>
      </c>
      <c r="D49" s="161">
        <f>'Basis Options'!BG20/10000</f>
        <v>0</v>
      </c>
      <c r="E49" s="161">
        <f>'Basis Options'!BH20/10000</f>
        <v>0</v>
      </c>
      <c r="F49" s="161">
        <f>'Basis Options'!BI20/10000</f>
        <v>0</v>
      </c>
      <c r="G49" s="161">
        <f>'Basis Options'!BJ20/10000</f>
        <v>0</v>
      </c>
      <c r="H49" s="161">
        <f>'Basis Options'!BK20/10000</f>
        <v>-9.0824528698192797</v>
      </c>
      <c r="I49" s="161">
        <f>'Basis Options'!BL20/10000</f>
        <v>0</v>
      </c>
      <c r="J49" s="161">
        <f>'Basis Options'!BM20/10000</f>
        <v>0</v>
      </c>
      <c r="K49" s="161">
        <f>'Basis Options'!BN20/10000</f>
        <v>1.8292987693309726</v>
      </c>
      <c r="L49" s="161">
        <f>'Basis Options'!BO20/10000</f>
        <v>0</v>
      </c>
      <c r="M49" s="161">
        <f>'Basis Options'!BP20/10000</f>
        <v>0</v>
      </c>
      <c r="N49" s="161">
        <f>'Basis Options'!BQ20/10000</f>
        <v>0</v>
      </c>
      <c r="O49" s="161">
        <f>'Basis Options'!BR20/10000</f>
        <v>0</v>
      </c>
      <c r="P49" s="183">
        <f t="shared" si="5"/>
        <v>3.7009482346041986</v>
      </c>
    </row>
    <row r="50" spans="2:16" x14ac:dyDescent="0.25">
      <c r="B50" s="162">
        <f>'Basis Options'!BE21</f>
        <v>37165</v>
      </c>
      <c r="C50" s="161">
        <f>'Basis Options'!BF21/10000</f>
        <v>11.154156768444748</v>
      </c>
      <c r="D50" s="161">
        <f>'Basis Options'!BG21/10000</f>
        <v>0</v>
      </c>
      <c r="E50" s="161">
        <f>'Basis Options'!BH21/10000</f>
        <v>0</v>
      </c>
      <c r="F50" s="161">
        <f>'Basis Options'!BI21/10000</f>
        <v>0</v>
      </c>
      <c r="G50" s="161">
        <f>'Basis Options'!BJ21/10000</f>
        <v>0</v>
      </c>
      <c r="H50" s="161">
        <f>'Basis Options'!BK21/10000</f>
        <v>-7.6129417874723293</v>
      </c>
      <c r="I50" s="161">
        <f>'Basis Options'!BL21/10000</f>
        <v>0</v>
      </c>
      <c r="J50" s="161">
        <f>'Basis Options'!BM21/10000</f>
        <v>0</v>
      </c>
      <c r="K50" s="161">
        <f>'Basis Options'!BN21/10000</f>
        <v>1.8792155640619284</v>
      </c>
      <c r="L50" s="161">
        <f>'Basis Options'!BO21/10000</f>
        <v>0</v>
      </c>
      <c r="M50" s="161">
        <f>'Basis Options'!BP21/10000</f>
        <v>0</v>
      </c>
      <c r="N50" s="161">
        <f>'Basis Options'!BQ21/10000</f>
        <v>0</v>
      </c>
      <c r="O50" s="161">
        <f>'Basis Options'!BR21/10000</f>
        <v>0</v>
      </c>
      <c r="P50" s="183">
        <f t="shared" si="5"/>
        <v>5.4204305450343471</v>
      </c>
    </row>
    <row r="51" spans="2:16" x14ac:dyDescent="0.25">
      <c r="B51" s="162">
        <f>'Basis Options'!BE22</f>
        <v>37196</v>
      </c>
      <c r="C51" s="161">
        <f>'Basis Options'!BF22/10000</f>
        <v>-5.4900440800240204</v>
      </c>
      <c r="D51" s="161">
        <f>'Basis Options'!BG22/10000</f>
        <v>0</v>
      </c>
      <c r="E51" s="161">
        <f>'Basis Options'!BH22/10000</f>
        <v>0</v>
      </c>
      <c r="F51" s="161">
        <f>'Basis Options'!BI22/10000</f>
        <v>0</v>
      </c>
      <c r="G51" s="161">
        <f>'Basis Options'!BJ22/10000</f>
        <v>0</v>
      </c>
      <c r="H51" s="161">
        <f>'Basis Options'!BK22/10000</f>
        <v>0</v>
      </c>
      <c r="I51" s="161">
        <f>'Basis Options'!BL22/10000</f>
        <v>0</v>
      </c>
      <c r="J51" s="161">
        <f>'Basis Options'!BM22/10000</f>
        <v>0</v>
      </c>
      <c r="K51" s="161">
        <f>'Basis Options'!BN22/10000</f>
        <v>0</v>
      </c>
      <c r="L51" s="161">
        <f>'Basis Options'!BO22/10000</f>
        <v>0</v>
      </c>
      <c r="M51" s="161">
        <f>'Basis Options'!BP22/10000</f>
        <v>0</v>
      </c>
      <c r="N51" s="161">
        <f>'Basis Options'!BQ22/10000</f>
        <v>0</v>
      </c>
      <c r="O51" s="161">
        <f>'Basis Options'!BR22/10000</f>
        <v>0</v>
      </c>
      <c r="P51" s="183">
        <f t="shared" si="5"/>
        <v>-5.4900440800240204</v>
      </c>
    </row>
    <row r="52" spans="2:16" x14ac:dyDescent="0.25">
      <c r="B52" s="162">
        <f>'Basis Options'!BE23</f>
        <v>37226</v>
      </c>
      <c r="C52" s="161">
        <f>'Basis Options'!BF23/10000</f>
        <v>-4.4325558047186702</v>
      </c>
      <c r="D52" s="161">
        <f>'Basis Options'!BG23/10000</f>
        <v>0</v>
      </c>
      <c r="E52" s="161">
        <f>'Basis Options'!BH23/10000</f>
        <v>0</v>
      </c>
      <c r="F52" s="161">
        <f>'Basis Options'!BI23/10000</f>
        <v>0</v>
      </c>
      <c r="G52" s="161">
        <f>'Basis Options'!BJ23/10000</f>
        <v>0</v>
      </c>
      <c r="H52" s="161">
        <f>'Basis Options'!BK23/10000</f>
        <v>0</v>
      </c>
      <c r="I52" s="161">
        <f>'Basis Options'!BL23/10000</f>
        <v>0</v>
      </c>
      <c r="J52" s="161">
        <f>'Basis Options'!BM23/10000</f>
        <v>0</v>
      </c>
      <c r="K52" s="161">
        <f>'Basis Options'!BN23/10000</f>
        <v>0</v>
      </c>
      <c r="L52" s="161">
        <f>'Basis Options'!BO23/10000</f>
        <v>0</v>
      </c>
      <c r="M52" s="161">
        <f>'Basis Options'!BP23/10000</f>
        <v>0</v>
      </c>
      <c r="N52" s="161">
        <f>'Basis Options'!BQ23/10000</f>
        <v>0</v>
      </c>
      <c r="O52" s="161">
        <f>'Basis Options'!BR23/10000</f>
        <v>0</v>
      </c>
      <c r="P52" s="183">
        <f t="shared" si="5"/>
        <v>-4.4325558047186702</v>
      </c>
    </row>
    <row r="53" spans="2:16" x14ac:dyDescent="0.25">
      <c r="B53" s="162">
        <f>'Basis Options'!BE24</f>
        <v>37257</v>
      </c>
      <c r="C53" s="161">
        <f>'Basis Options'!BF24/10000</f>
        <v>-3.7005597425922896</v>
      </c>
      <c r="D53" s="161">
        <f>'Basis Options'!BG24/10000</f>
        <v>0</v>
      </c>
      <c r="E53" s="161">
        <f>'Basis Options'!BH24/10000</f>
        <v>0</v>
      </c>
      <c r="F53" s="161">
        <f>'Basis Options'!BI24/10000</f>
        <v>0</v>
      </c>
      <c r="G53" s="161">
        <f>'Basis Options'!BJ24/10000</f>
        <v>0</v>
      </c>
      <c r="H53" s="161">
        <f>'Basis Options'!BK24/10000</f>
        <v>0</v>
      </c>
      <c r="I53" s="161">
        <f>'Basis Options'!BL24/10000</f>
        <v>0</v>
      </c>
      <c r="J53" s="161">
        <f>'Basis Options'!BM24/10000</f>
        <v>0</v>
      </c>
      <c r="K53" s="161">
        <f>'Basis Options'!BN24/10000</f>
        <v>0</v>
      </c>
      <c r="L53" s="161">
        <f>'Basis Options'!BO24/10000</f>
        <v>0</v>
      </c>
      <c r="M53" s="161">
        <f>'Basis Options'!BP24/10000</f>
        <v>0</v>
      </c>
      <c r="N53" s="161">
        <f>'Basis Options'!BQ24/10000</f>
        <v>0</v>
      </c>
      <c r="O53" s="161">
        <f>'Basis Options'!BR24/10000</f>
        <v>0</v>
      </c>
      <c r="P53" s="183">
        <f t="shared" si="5"/>
        <v>-3.7005597425922896</v>
      </c>
    </row>
    <row r="54" spans="2:16" x14ac:dyDescent="0.25">
      <c r="B54" s="162">
        <f>'Basis Options'!BE25</f>
        <v>37288</v>
      </c>
      <c r="C54" s="161">
        <f>'Basis Options'!BF25/10000</f>
        <v>-3.5086060442525748</v>
      </c>
      <c r="D54" s="161">
        <f>'Basis Options'!BG25/10000</f>
        <v>0</v>
      </c>
      <c r="E54" s="161">
        <f>'Basis Options'!BH25/10000</f>
        <v>0</v>
      </c>
      <c r="F54" s="161">
        <f>'Basis Options'!BI25/10000</f>
        <v>0</v>
      </c>
      <c r="G54" s="161">
        <f>'Basis Options'!BJ25/10000</f>
        <v>0</v>
      </c>
      <c r="H54" s="161">
        <f>'Basis Options'!BK25/10000</f>
        <v>0</v>
      </c>
      <c r="I54" s="161">
        <f>'Basis Options'!BL25/10000</f>
        <v>0</v>
      </c>
      <c r="J54" s="161">
        <f>'Basis Options'!BM25/10000</f>
        <v>0</v>
      </c>
      <c r="K54" s="161">
        <f>'Basis Options'!BN25/10000</f>
        <v>0</v>
      </c>
      <c r="L54" s="161">
        <f>'Basis Options'!BO25/10000</f>
        <v>0</v>
      </c>
      <c r="M54" s="161">
        <f>'Basis Options'!BP25/10000</f>
        <v>0</v>
      </c>
      <c r="N54" s="161">
        <f>'Basis Options'!BQ25/10000</f>
        <v>0</v>
      </c>
      <c r="O54" s="161">
        <f>'Basis Options'!BR25/10000</f>
        <v>0</v>
      </c>
      <c r="P54" s="183">
        <f t="shared" si="5"/>
        <v>-3.5086060442525748</v>
      </c>
    </row>
    <row r="55" spans="2:16" x14ac:dyDescent="0.25">
      <c r="B55" s="162">
        <f>'Basis Options'!BE26</f>
        <v>37316</v>
      </c>
      <c r="C55" s="161">
        <f>'Basis Options'!BF26/10000</f>
        <v>-5.2249916281309039</v>
      </c>
      <c r="D55" s="161">
        <f>'Basis Options'!BG26/10000</f>
        <v>0</v>
      </c>
      <c r="E55" s="161">
        <f>'Basis Options'!BH26/10000</f>
        <v>0</v>
      </c>
      <c r="F55" s="161">
        <f>'Basis Options'!BI26/10000</f>
        <v>0</v>
      </c>
      <c r="G55" s="161">
        <f>'Basis Options'!BJ26/10000</f>
        <v>0</v>
      </c>
      <c r="H55" s="161">
        <f>'Basis Options'!BK26/10000</f>
        <v>0</v>
      </c>
      <c r="I55" s="161">
        <f>'Basis Options'!BL26/10000</f>
        <v>0</v>
      </c>
      <c r="J55" s="161">
        <f>'Basis Options'!BM26/10000</f>
        <v>0</v>
      </c>
      <c r="K55" s="161">
        <f>'Basis Options'!BN26/10000</f>
        <v>0</v>
      </c>
      <c r="L55" s="161">
        <f>'Basis Options'!BO26/10000</f>
        <v>0</v>
      </c>
      <c r="M55" s="161">
        <f>'Basis Options'!BP26/10000</f>
        <v>0</v>
      </c>
      <c r="N55" s="161">
        <f>'Basis Options'!BQ26/10000</f>
        <v>0</v>
      </c>
      <c r="O55" s="161">
        <f>'Basis Options'!BR26/10000</f>
        <v>0</v>
      </c>
      <c r="P55" s="183">
        <f t="shared" si="5"/>
        <v>-5.2249916281309039</v>
      </c>
    </row>
    <row r="56" spans="2:16" x14ac:dyDescent="0.25">
      <c r="B56" s="162">
        <f>'Basis Options'!BE27</f>
        <v>37347</v>
      </c>
      <c r="C56" s="161">
        <f>'Basis Options'!BF27/10000</f>
        <v>0</v>
      </c>
      <c r="D56" s="161">
        <f>'Basis Options'!BG27/10000</f>
        <v>0</v>
      </c>
      <c r="E56" s="161">
        <f>'Basis Options'!BH27/10000</f>
        <v>0</v>
      </c>
      <c r="F56" s="161">
        <f>'Basis Options'!BI27/10000</f>
        <v>0</v>
      </c>
      <c r="G56" s="161">
        <f>'Basis Options'!BJ27/10000</f>
        <v>0</v>
      </c>
      <c r="H56" s="161">
        <f>'Basis Options'!BK27/10000</f>
        <v>0</v>
      </c>
      <c r="I56" s="161">
        <f>'Basis Options'!BL27/10000</f>
        <v>0</v>
      </c>
      <c r="J56" s="161">
        <f>'Basis Options'!BM27/10000</f>
        <v>0</v>
      </c>
      <c r="K56" s="161">
        <f>'Basis Options'!BN27/10000</f>
        <v>0</v>
      </c>
      <c r="L56" s="161">
        <f>'Basis Options'!BO27/10000</f>
        <v>0</v>
      </c>
      <c r="M56" s="161">
        <f>'Basis Options'!BP27/10000</f>
        <v>0</v>
      </c>
      <c r="N56" s="161">
        <f>'Basis Options'!BQ27/10000</f>
        <v>0</v>
      </c>
      <c r="O56" s="161">
        <f>'Basis Options'!BR27/10000</f>
        <v>0</v>
      </c>
      <c r="P56" s="183">
        <f t="shared" si="5"/>
        <v>0</v>
      </c>
    </row>
    <row r="57" spans="2:16" x14ac:dyDescent="0.25">
      <c r="B57" s="162">
        <f>'Basis Options'!BE28</f>
        <v>37377</v>
      </c>
      <c r="C57" s="161">
        <f>'Basis Options'!BF28/10000</f>
        <v>0</v>
      </c>
      <c r="D57" s="161">
        <f>'Basis Options'!BG28/10000</f>
        <v>0</v>
      </c>
      <c r="E57" s="161">
        <f>'Basis Options'!BH28/10000</f>
        <v>0</v>
      </c>
      <c r="F57" s="161">
        <f>'Basis Options'!BI28/10000</f>
        <v>0</v>
      </c>
      <c r="G57" s="161">
        <f>'Basis Options'!BJ28/10000</f>
        <v>0</v>
      </c>
      <c r="H57" s="161">
        <f>'Basis Options'!BK28/10000</f>
        <v>0</v>
      </c>
      <c r="I57" s="161">
        <f>'Basis Options'!BL28/10000</f>
        <v>0</v>
      </c>
      <c r="J57" s="161">
        <f>'Basis Options'!BM28/10000</f>
        <v>0</v>
      </c>
      <c r="K57" s="161">
        <f>'Basis Options'!BN28/10000</f>
        <v>0</v>
      </c>
      <c r="L57" s="161">
        <f>'Basis Options'!BO28/10000</f>
        <v>0</v>
      </c>
      <c r="M57" s="161">
        <f>'Basis Options'!BP28/10000</f>
        <v>0</v>
      </c>
      <c r="N57" s="161">
        <f>'Basis Options'!BQ28/10000</f>
        <v>0</v>
      </c>
      <c r="O57" s="161">
        <f>'Basis Options'!BR28/10000</f>
        <v>0</v>
      </c>
      <c r="P57" s="183">
        <f t="shared" si="5"/>
        <v>0</v>
      </c>
    </row>
    <row r="58" spans="2:16" x14ac:dyDescent="0.25">
      <c r="B58" s="162">
        <f>'Basis Options'!BE29</f>
        <v>37408</v>
      </c>
      <c r="C58" s="161">
        <f>'Basis Options'!BF29/10000</f>
        <v>0</v>
      </c>
      <c r="D58" s="161">
        <f>'Basis Options'!BG29/10000</f>
        <v>0</v>
      </c>
      <c r="E58" s="161">
        <f>'Basis Options'!BH29/10000</f>
        <v>0</v>
      </c>
      <c r="F58" s="161">
        <f>'Basis Options'!BI29/10000</f>
        <v>0</v>
      </c>
      <c r="G58" s="161">
        <f>'Basis Options'!BJ29/10000</f>
        <v>0</v>
      </c>
      <c r="H58" s="161">
        <f>'Basis Options'!BK29/10000</f>
        <v>0</v>
      </c>
      <c r="I58" s="161">
        <f>'Basis Options'!BL29/10000</f>
        <v>0</v>
      </c>
      <c r="J58" s="161">
        <f>'Basis Options'!BM29/10000</f>
        <v>0</v>
      </c>
      <c r="K58" s="161">
        <f>'Basis Options'!BN29/10000</f>
        <v>0</v>
      </c>
      <c r="L58" s="161">
        <f>'Basis Options'!BO29/10000</f>
        <v>0</v>
      </c>
      <c r="M58" s="161">
        <f>'Basis Options'!BP29/10000</f>
        <v>0</v>
      </c>
      <c r="N58" s="161">
        <f>'Basis Options'!BQ29/10000</f>
        <v>0</v>
      </c>
      <c r="O58" s="161">
        <f>'Basis Options'!BR29/10000</f>
        <v>0</v>
      </c>
      <c r="P58" s="183">
        <f t="shared" si="5"/>
        <v>0</v>
      </c>
    </row>
    <row r="59" spans="2:16" x14ac:dyDescent="0.25">
      <c r="B59" s="162">
        <f>'Basis Options'!BE30</f>
        <v>37438</v>
      </c>
      <c r="C59" s="161">
        <f>'Basis Options'!BF30/10000</f>
        <v>0</v>
      </c>
      <c r="D59" s="161">
        <f>'Basis Options'!BG30/10000</f>
        <v>0</v>
      </c>
      <c r="E59" s="161">
        <f>'Basis Options'!BH30/10000</f>
        <v>0</v>
      </c>
      <c r="F59" s="161">
        <f>'Basis Options'!BI30/10000</f>
        <v>0</v>
      </c>
      <c r="G59" s="161">
        <f>'Basis Options'!BJ30/10000</f>
        <v>0</v>
      </c>
      <c r="H59" s="161">
        <f>'Basis Options'!BK30/10000</f>
        <v>0</v>
      </c>
      <c r="I59" s="161">
        <f>'Basis Options'!BL30/10000</f>
        <v>0</v>
      </c>
      <c r="J59" s="161">
        <f>'Basis Options'!BM30/10000</f>
        <v>0</v>
      </c>
      <c r="K59" s="161">
        <f>'Basis Options'!BN30/10000</f>
        <v>0</v>
      </c>
      <c r="L59" s="161">
        <f>'Basis Options'!BO30/10000</f>
        <v>0</v>
      </c>
      <c r="M59" s="161">
        <f>'Basis Options'!BP30/10000</f>
        <v>0</v>
      </c>
      <c r="N59" s="161">
        <f>'Basis Options'!BQ30/10000</f>
        <v>0</v>
      </c>
      <c r="O59" s="161">
        <f>'Basis Options'!BR30/10000</f>
        <v>0</v>
      </c>
      <c r="P59" s="183">
        <f t="shared" si="5"/>
        <v>0</v>
      </c>
    </row>
    <row r="60" spans="2:16" x14ac:dyDescent="0.25">
      <c r="B60" s="162">
        <f>'Basis Options'!BE31</f>
        <v>37469</v>
      </c>
      <c r="C60" s="161">
        <f>'Basis Options'!BF31/10000</f>
        <v>0</v>
      </c>
      <c r="D60" s="161">
        <f>'Basis Options'!BG31/10000</f>
        <v>0</v>
      </c>
      <c r="E60" s="161">
        <f>'Basis Options'!BH31/10000</f>
        <v>0</v>
      </c>
      <c r="F60" s="161">
        <f>'Basis Options'!BI31/10000</f>
        <v>0</v>
      </c>
      <c r="G60" s="161">
        <f>'Basis Options'!BJ31/10000</f>
        <v>0</v>
      </c>
      <c r="H60" s="161">
        <f>'Basis Options'!BK31/10000</f>
        <v>0</v>
      </c>
      <c r="I60" s="161">
        <f>'Basis Options'!BL31/10000</f>
        <v>0</v>
      </c>
      <c r="J60" s="161">
        <f>'Basis Options'!BM31/10000</f>
        <v>0</v>
      </c>
      <c r="K60" s="161">
        <f>'Basis Options'!BN31/10000</f>
        <v>0</v>
      </c>
      <c r="L60" s="161">
        <f>'Basis Options'!BO31/10000</f>
        <v>0</v>
      </c>
      <c r="M60" s="161">
        <f>'Basis Options'!BP31/10000</f>
        <v>0</v>
      </c>
      <c r="N60" s="161">
        <f>'Basis Options'!BQ31/10000</f>
        <v>0</v>
      </c>
      <c r="O60" s="161">
        <f>'Basis Options'!BR31/10000</f>
        <v>0</v>
      </c>
      <c r="P60" s="183">
        <f t="shared" si="5"/>
        <v>0</v>
      </c>
    </row>
    <row r="61" spans="2:16" x14ac:dyDescent="0.25">
      <c r="B61" s="162">
        <f>'Basis Options'!BE32</f>
        <v>37500</v>
      </c>
      <c r="C61" s="161">
        <f>'Basis Options'!BF32/10000</f>
        <v>0</v>
      </c>
      <c r="D61" s="161">
        <f>'Basis Options'!BG32/10000</f>
        <v>0</v>
      </c>
      <c r="E61" s="161">
        <f>'Basis Options'!BH32/10000</f>
        <v>0</v>
      </c>
      <c r="F61" s="161">
        <f>'Basis Options'!BI32/10000</f>
        <v>0</v>
      </c>
      <c r="G61" s="161">
        <f>'Basis Options'!BJ32/10000</f>
        <v>0</v>
      </c>
      <c r="H61" s="161">
        <f>'Basis Options'!BK32/10000</f>
        <v>0</v>
      </c>
      <c r="I61" s="161">
        <f>'Basis Options'!BL32/10000</f>
        <v>0</v>
      </c>
      <c r="J61" s="161">
        <f>'Basis Options'!BM32/10000</f>
        <v>0</v>
      </c>
      <c r="K61" s="161">
        <f>'Basis Options'!BN32/10000</f>
        <v>0</v>
      </c>
      <c r="L61" s="161">
        <f>'Basis Options'!BO32/10000</f>
        <v>0</v>
      </c>
      <c r="M61" s="161">
        <f>'Basis Options'!BP32/10000</f>
        <v>0</v>
      </c>
      <c r="N61" s="161">
        <f>'Basis Options'!BQ32/10000</f>
        <v>0</v>
      </c>
      <c r="O61" s="161">
        <f>'Basis Options'!BR32/10000</f>
        <v>0</v>
      </c>
      <c r="P61" s="183">
        <f t="shared" si="5"/>
        <v>0</v>
      </c>
    </row>
    <row r="62" spans="2:16" x14ac:dyDescent="0.25">
      <c r="B62" s="162">
        <f>'Basis Options'!BE33</f>
        <v>37530</v>
      </c>
      <c r="C62" s="161">
        <f>'Basis Options'!BF33/10000</f>
        <v>0</v>
      </c>
      <c r="D62" s="161">
        <f>'Basis Options'!BG33/10000</f>
        <v>0</v>
      </c>
      <c r="E62" s="161">
        <f>'Basis Options'!BH33/10000</f>
        <v>0</v>
      </c>
      <c r="F62" s="161">
        <f>'Basis Options'!BI33/10000</f>
        <v>0</v>
      </c>
      <c r="G62" s="161">
        <f>'Basis Options'!BJ33/10000</f>
        <v>0</v>
      </c>
      <c r="H62" s="161">
        <f>'Basis Options'!BK33/10000</f>
        <v>0</v>
      </c>
      <c r="I62" s="161">
        <f>'Basis Options'!BL33/10000</f>
        <v>0</v>
      </c>
      <c r="J62" s="161">
        <f>'Basis Options'!BM33/10000</f>
        <v>0</v>
      </c>
      <c r="K62" s="161">
        <f>'Basis Options'!BN33/10000</f>
        <v>0</v>
      </c>
      <c r="L62" s="161">
        <f>'Basis Options'!BO33/10000</f>
        <v>0</v>
      </c>
      <c r="M62" s="161">
        <f>'Basis Options'!BP33/10000</f>
        <v>0</v>
      </c>
      <c r="N62" s="161">
        <f>'Basis Options'!BQ33/10000</f>
        <v>0</v>
      </c>
      <c r="O62" s="161">
        <f>'Basis Options'!BR33/10000</f>
        <v>0</v>
      </c>
      <c r="P62" s="183">
        <f t="shared" si="5"/>
        <v>0</v>
      </c>
    </row>
    <row r="63" spans="2:16" x14ac:dyDescent="0.25">
      <c r="B63" s="162">
        <f>'Basis Options'!BE34</f>
        <v>37561</v>
      </c>
      <c r="C63" s="161">
        <f>'Basis Options'!BF34/10000</f>
        <v>0</v>
      </c>
      <c r="D63" s="161">
        <f>'Basis Options'!BG34/10000</f>
        <v>0</v>
      </c>
      <c r="E63" s="161">
        <f>'Basis Options'!BH34/10000</f>
        <v>0</v>
      </c>
      <c r="F63" s="161">
        <f>'Basis Options'!BI34/10000</f>
        <v>0.70401903702535784</v>
      </c>
      <c r="G63" s="161">
        <f>'Basis Options'!BJ34/10000</f>
        <v>0</v>
      </c>
      <c r="H63" s="161">
        <f>'Basis Options'!BK34/10000</f>
        <v>0</v>
      </c>
      <c r="I63" s="161">
        <f>'Basis Options'!BL34/10000</f>
        <v>0</v>
      </c>
      <c r="J63" s="161">
        <f>'Basis Options'!BM34/10000</f>
        <v>0</v>
      </c>
      <c r="K63" s="161">
        <f>'Basis Options'!BN34/10000</f>
        <v>0</v>
      </c>
      <c r="L63" s="161">
        <f>'Basis Options'!BO34/10000</f>
        <v>0</v>
      </c>
      <c r="M63" s="161">
        <f>'Basis Options'!BP34/10000</f>
        <v>0</v>
      </c>
      <c r="N63" s="161">
        <f>'Basis Options'!BQ34/10000</f>
        <v>0</v>
      </c>
      <c r="O63" s="161">
        <f>'Basis Options'!BR34/10000</f>
        <v>0</v>
      </c>
      <c r="P63" s="183">
        <f t="shared" si="5"/>
        <v>0.70401903702535784</v>
      </c>
    </row>
    <row r="64" spans="2:16" x14ac:dyDescent="0.25">
      <c r="B64" s="162">
        <f>'Basis Options'!BE35</f>
        <v>37591</v>
      </c>
      <c r="C64" s="161">
        <f>'Basis Options'!BF35/10000</f>
        <v>0</v>
      </c>
      <c r="D64" s="161">
        <f>'Basis Options'!BG35/10000</f>
        <v>0</v>
      </c>
      <c r="E64" s="161">
        <f>'Basis Options'!BH35/10000</f>
        <v>0</v>
      </c>
      <c r="F64" s="161">
        <f>'Basis Options'!BI35/10000</f>
        <v>0.77761519463270379</v>
      </c>
      <c r="G64" s="161">
        <f>'Basis Options'!BJ35/10000</f>
        <v>0</v>
      </c>
      <c r="H64" s="161">
        <f>'Basis Options'!BK35/10000</f>
        <v>0</v>
      </c>
      <c r="I64" s="161">
        <f>'Basis Options'!BL35/10000</f>
        <v>0</v>
      </c>
      <c r="J64" s="161">
        <f>'Basis Options'!BM35/10000</f>
        <v>0</v>
      </c>
      <c r="K64" s="161">
        <f>'Basis Options'!BN35/10000</f>
        <v>0</v>
      </c>
      <c r="L64" s="161">
        <f>'Basis Options'!BO35/10000</f>
        <v>0</v>
      </c>
      <c r="M64" s="161">
        <f>'Basis Options'!BP35/10000</f>
        <v>0</v>
      </c>
      <c r="N64" s="161">
        <f>'Basis Options'!BQ35/10000</f>
        <v>0</v>
      </c>
      <c r="O64" s="161">
        <f>'Basis Options'!BR35/10000</f>
        <v>0</v>
      </c>
      <c r="P64" s="183">
        <f t="shared" si="5"/>
        <v>0.77761519463270379</v>
      </c>
    </row>
    <row r="65" spans="2:16" x14ac:dyDescent="0.25">
      <c r="B65" s="162">
        <f>'Basis Options'!BE36</f>
        <v>37622</v>
      </c>
      <c r="C65" s="161">
        <f>'Basis Options'!BF36/10000</f>
        <v>0</v>
      </c>
      <c r="D65" s="161">
        <f>'Basis Options'!BG36/10000</f>
        <v>0</v>
      </c>
      <c r="E65" s="161">
        <f>'Basis Options'!BH36/10000</f>
        <v>0</v>
      </c>
      <c r="F65" s="161">
        <f>'Basis Options'!BI36/10000</f>
        <v>0.76105299685399808</v>
      </c>
      <c r="G65" s="161">
        <f>'Basis Options'!BJ36/10000</f>
        <v>0</v>
      </c>
      <c r="H65" s="161">
        <f>'Basis Options'!BK36/10000</f>
        <v>0</v>
      </c>
      <c r="I65" s="161">
        <f>'Basis Options'!BL36/10000</f>
        <v>0</v>
      </c>
      <c r="J65" s="161">
        <f>'Basis Options'!BM36/10000</f>
        <v>0</v>
      </c>
      <c r="K65" s="161">
        <f>'Basis Options'!BN36/10000</f>
        <v>0</v>
      </c>
      <c r="L65" s="161">
        <f>'Basis Options'!BO36/10000</f>
        <v>0</v>
      </c>
      <c r="M65" s="161">
        <f>'Basis Options'!BP36/10000</f>
        <v>0</v>
      </c>
      <c r="N65" s="161">
        <f>'Basis Options'!BQ36/10000</f>
        <v>0</v>
      </c>
      <c r="O65" s="161">
        <f>'Basis Options'!BR36/10000</f>
        <v>0</v>
      </c>
      <c r="P65" s="183">
        <f t="shared" si="5"/>
        <v>0.76105299685399808</v>
      </c>
    </row>
    <row r="66" spans="2:16" x14ac:dyDescent="0.25">
      <c r="B66" s="162">
        <f>'Basis Options'!BE37</f>
        <v>37653</v>
      </c>
      <c r="C66" s="161">
        <f>'Basis Options'!BF37/10000</f>
        <v>0</v>
      </c>
      <c r="D66" s="161">
        <f>'Basis Options'!BG37/10000</f>
        <v>0</v>
      </c>
      <c r="E66" s="161">
        <f>'Basis Options'!BH37/10000</f>
        <v>0</v>
      </c>
      <c r="F66" s="161">
        <f>'Basis Options'!BI37/10000</f>
        <v>0.68097018070475168</v>
      </c>
      <c r="G66" s="161">
        <f>'Basis Options'!BJ37/10000</f>
        <v>0</v>
      </c>
      <c r="H66" s="161">
        <f>'Basis Options'!BK37/10000</f>
        <v>0</v>
      </c>
      <c r="I66" s="161">
        <f>'Basis Options'!BL37/10000</f>
        <v>0</v>
      </c>
      <c r="J66" s="161">
        <f>'Basis Options'!BM37/10000</f>
        <v>0</v>
      </c>
      <c r="K66" s="161">
        <f>'Basis Options'!BN37/10000</f>
        <v>0</v>
      </c>
      <c r="L66" s="161">
        <f>'Basis Options'!BO37/10000</f>
        <v>0</v>
      </c>
      <c r="M66" s="161">
        <f>'Basis Options'!BP37/10000</f>
        <v>0</v>
      </c>
      <c r="N66" s="161">
        <f>'Basis Options'!BQ37/10000</f>
        <v>0</v>
      </c>
      <c r="O66" s="161">
        <f>'Basis Options'!BR37/10000</f>
        <v>0</v>
      </c>
      <c r="P66" s="183">
        <f t="shared" si="5"/>
        <v>0.68097018070475168</v>
      </c>
    </row>
    <row r="67" spans="2:16" x14ac:dyDescent="0.25">
      <c r="B67" s="162">
        <f>'Basis Options'!BE38</f>
        <v>37681</v>
      </c>
      <c r="C67" s="161">
        <f>'Basis Options'!BF38/10000</f>
        <v>0</v>
      </c>
      <c r="D67" s="161">
        <f>'Basis Options'!BG38/10000</f>
        <v>0</v>
      </c>
      <c r="E67" s="161">
        <f>'Basis Options'!BH38/10000</f>
        <v>0</v>
      </c>
      <c r="F67" s="161">
        <f>'Basis Options'!BI38/10000</f>
        <v>0.72606719568657141</v>
      </c>
      <c r="G67" s="161">
        <f>'Basis Options'!BJ38/10000</f>
        <v>0</v>
      </c>
      <c r="H67" s="161">
        <f>'Basis Options'!BK38/10000</f>
        <v>0</v>
      </c>
      <c r="I67" s="161">
        <f>'Basis Options'!BL38/10000</f>
        <v>0</v>
      </c>
      <c r="J67" s="161">
        <f>'Basis Options'!BM38/10000</f>
        <v>0</v>
      </c>
      <c r="K67" s="161">
        <f>'Basis Options'!BN38/10000</f>
        <v>0</v>
      </c>
      <c r="L67" s="161">
        <f>'Basis Options'!BO38/10000</f>
        <v>0</v>
      </c>
      <c r="M67" s="161">
        <f>'Basis Options'!BP38/10000</f>
        <v>0</v>
      </c>
      <c r="N67" s="161">
        <f>'Basis Options'!BQ38/10000</f>
        <v>0</v>
      </c>
      <c r="O67" s="161">
        <f>'Basis Options'!BR38/10000</f>
        <v>0</v>
      </c>
      <c r="P67" s="183">
        <f t="shared" si="5"/>
        <v>0.72606719568657141</v>
      </c>
    </row>
    <row r="68" spans="2:16" x14ac:dyDescent="0.25">
      <c r="B68" s="162">
        <f>'Basis Options'!BE39</f>
        <v>37712</v>
      </c>
      <c r="C68" s="161">
        <f>'Basis Options'!BF39/10000</f>
        <v>0</v>
      </c>
      <c r="D68" s="161">
        <f>'Basis Options'!BG39/10000</f>
        <v>0</v>
      </c>
      <c r="E68" s="161">
        <f>'Basis Options'!BH39/10000</f>
        <v>0</v>
      </c>
      <c r="F68" s="161">
        <f>'Basis Options'!BI39/10000</f>
        <v>0</v>
      </c>
      <c r="G68" s="161">
        <f>'Basis Options'!BJ39/10000</f>
        <v>0</v>
      </c>
      <c r="H68" s="161">
        <f>'Basis Options'!BK39/10000</f>
        <v>0</v>
      </c>
      <c r="I68" s="161">
        <f>'Basis Options'!BL39/10000</f>
        <v>0</v>
      </c>
      <c r="J68" s="161">
        <f>'Basis Options'!BM39/10000</f>
        <v>0</v>
      </c>
      <c r="K68" s="161">
        <f>'Basis Options'!BN39/10000</f>
        <v>0</v>
      </c>
      <c r="L68" s="161">
        <f>'Basis Options'!BO39/10000</f>
        <v>0</v>
      </c>
      <c r="M68" s="161">
        <f>'Basis Options'!BP39/10000</f>
        <v>0</v>
      </c>
      <c r="N68" s="161">
        <f>'Basis Options'!BQ39/10000</f>
        <v>0</v>
      </c>
      <c r="O68" s="161">
        <f>'Basis Options'!BR39/10000</f>
        <v>0</v>
      </c>
      <c r="P68" s="183">
        <f t="shared" si="5"/>
        <v>0</v>
      </c>
    </row>
    <row r="69" spans="2:16" x14ac:dyDescent="0.25">
      <c r="B69" s="162">
        <f>'Basis Options'!BE40</f>
        <v>37742</v>
      </c>
      <c r="C69" s="161">
        <f>'Basis Options'!BF40/10000</f>
        <v>0</v>
      </c>
      <c r="D69" s="161">
        <f>'Basis Options'!BG40/10000</f>
        <v>0</v>
      </c>
      <c r="E69" s="161">
        <f>'Basis Options'!BH40/10000</f>
        <v>0</v>
      </c>
      <c r="F69" s="161">
        <f>'Basis Options'!BI40/10000</f>
        <v>0</v>
      </c>
      <c r="G69" s="161">
        <f>'Basis Options'!BJ40/10000</f>
        <v>0</v>
      </c>
      <c r="H69" s="161">
        <f>'Basis Options'!BK40/10000</f>
        <v>0</v>
      </c>
      <c r="I69" s="161">
        <f>'Basis Options'!BL40/10000</f>
        <v>0</v>
      </c>
      <c r="J69" s="161">
        <f>'Basis Options'!BM40/10000</f>
        <v>0</v>
      </c>
      <c r="K69" s="161">
        <f>'Basis Options'!BN40/10000</f>
        <v>0</v>
      </c>
      <c r="L69" s="161">
        <f>'Basis Options'!BO40/10000</f>
        <v>0</v>
      </c>
      <c r="M69" s="161">
        <f>'Basis Options'!BP40/10000</f>
        <v>0</v>
      </c>
      <c r="N69" s="161">
        <f>'Basis Options'!BQ40/10000</f>
        <v>0</v>
      </c>
      <c r="O69" s="161">
        <f>'Basis Options'!BR40/10000</f>
        <v>0</v>
      </c>
      <c r="P69" s="183">
        <f t="shared" si="5"/>
        <v>0</v>
      </c>
    </row>
    <row r="70" spans="2:16" x14ac:dyDescent="0.25">
      <c r="B70" s="162">
        <f>'Basis Options'!BE41</f>
        <v>37773</v>
      </c>
      <c r="C70" s="161">
        <f>'Basis Options'!BF41/10000</f>
        <v>0</v>
      </c>
      <c r="D70" s="161">
        <f>'Basis Options'!BG41/10000</f>
        <v>0</v>
      </c>
      <c r="E70" s="161">
        <f>'Basis Options'!BH41/10000</f>
        <v>0</v>
      </c>
      <c r="F70" s="161">
        <f>'Basis Options'!BI41/10000</f>
        <v>0</v>
      </c>
      <c r="G70" s="161">
        <f>'Basis Options'!BJ41/10000</f>
        <v>0</v>
      </c>
      <c r="H70" s="161">
        <f>'Basis Options'!BK41/10000</f>
        <v>0</v>
      </c>
      <c r="I70" s="161">
        <f>'Basis Options'!BL41/10000</f>
        <v>0</v>
      </c>
      <c r="J70" s="161">
        <f>'Basis Options'!BM41/10000</f>
        <v>0</v>
      </c>
      <c r="K70" s="161">
        <f>'Basis Options'!BN41/10000</f>
        <v>0</v>
      </c>
      <c r="L70" s="161">
        <f>'Basis Options'!BO41/10000</f>
        <v>0</v>
      </c>
      <c r="M70" s="161">
        <f>'Basis Options'!BP41/10000</f>
        <v>0</v>
      </c>
      <c r="N70" s="161">
        <f>'Basis Options'!BQ41/10000</f>
        <v>0</v>
      </c>
      <c r="O70" s="161">
        <f>'Basis Options'!BR41/10000</f>
        <v>0</v>
      </c>
      <c r="P70" s="183">
        <f t="shared" si="5"/>
        <v>0</v>
      </c>
    </row>
    <row r="71" spans="2:16" x14ac:dyDescent="0.25">
      <c r="B71" s="162">
        <f>'Basis Options'!BE42</f>
        <v>37803</v>
      </c>
      <c r="C71" s="161">
        <f>'Basis Options'!BF42/10000</f>
        <v>0</v>
      </c>
      <c r="D71" s="161">
        <f>'Basis Options'!BG42/10000</f>
        <v>0</v>
      </c>
      <c r="E71" s="161">
        <f>'Basis Options'!BH42/10000</f>
        <v>0</v>
      </c>
      <c r="F71" s="161">
        <f>'Basis Options'!BI42/10000</f>
        <v>0</v>
      </c>
      <c r="G71" s="161">
        <f>'Basis Options'!BJ42/10000</f>
        <v>0</v>
      </c>
      <c r="H71" s="161">
        <f>'Basis Options'!BK42/10000</f>
        <v>0</v>
      </c>
      <c r="I71" s="161">
        <f>'Basis Options'!BL42/10000</f>
        <v>0</v>
      </c>
      <c r="J71" s="161">
        <f>'Basis Options'!BM42/10000</f>
        <v>0</v>
      </c>
      <c r="K71" s="161">
        <f>'Basis Options'!BN42/10000</f>
        <v>0</v>
      </c>
      <c r="L71" s="161">
        <f>'Basis Options'!BO42/10000</f>
        <v>0</v>
      </c>
      <c r="M71" s="161">
        <f>'Basis Options'!BP42/10000</f>
        <v>0</v>
      </c>
      <c r="N71" s="161">
        <f>'Basis Options'!BQ42/10000</f>
        <v>0</v>
      </c>
      <c r="O71" s="161">
        <f>'Basis Options'!BR42/10000</f>
        <v>0</v>
      </c>
      <c r="P71" s="183">
        <f t="shared" si="5"/>
        <v>0</v>
      </c>
    </row>
    <row r="72" spans="2:16" x14ac:dyDescent="0.25">
      <c r="B72" s="162">
        <f>'Basis Options'!BE43</f>
        <v>37834</v>
      </c>
      <c r="C72" s="161">
        <f>'Basis Options'!BF43/10000</f>
        <v>0</v>
      </c>
      <c r="D72" s="161">
        <f>'Basis Options'!BG43/10000</f>
        <v>0</v>
      </c>
      <c r="E72" s="161">
        <f>'Basis Options'!BH43/10000</f>
        <v>0</v>
      </c>
      <c r="F72" s="161">
        <f>'Basis Options'!BI43/10000</f>
        <v>0</v>
      </c>
      <c r="G72" s="161">
        <f>'Basis Options'!BJ43/10000</f>
        <v>0</v>
      </c>
      <c r="H72" s="161">
        <f>'Basis Options'!BK43/10000</f>
        <v>0</v>
      </c>
      <c r="I72" s="161">
        <f>'Basis Options'!BL43/10000</f>
        <v>0</v>
      </c>
      <c r="J72" s="161">
        <f>'Basis Options'!BM43/10000</f>
        <v>0</v>
      </c>
      <c r="K72" s="161">
        <f>'Basis Options'!BN43/10000</f>
        <v>0</v>
      </c>
      <c r="L72" s="161">
        <f>'Basis Options'!BO43/10000</f>
        <v>0</v>
      </c>
      <c r="M72" s="161">
        <f>'Basis Options'!BP43/10000</f>
        <v>0</v>
      </c>
      <c r="N72" s="161">
        <f>'Basis Options'!BQ43/10000</f>
        <v>0</v>
      </c>
      <c r="O72" s="161">
        <f>'Basis Options'!BR43/10000</f>
        <v>0</v>
      </c>
      <c r="P72" s="183">
        <f t="shared" si="5"/>
        <v>0</v>
      </c>
    </row>
    <row r="73" spans="2:16" x14ac:dyDescent="0.25">
      <c r="B73" s="162">
        <f>'Basis Options'!BE44</f>
        <v>37865</v>
      </c>
      <c r="C73" s="161">
        <f>'Basis Options'!BF44/10000</f>
        <v>0</v>
      </c>
      <c r="D73" s="161">
        <f>'Basis Options'!BG44/10000</f>
        <v>0</v>
      </c>
      <c r="E73" s="161">
        <f>'Basis Options'!BH44/10000</f>
        <v>0</v>
      </c>
      <c r="F73" s="161">
        <f>'Basis Options'!BI44/10000</f>
        <v>0</v>
      </c>
      <c r="G73" s="161">
        <f>'Basis Options'!BJ44/10000</f>
        <v>0</v>
      </c>
      <c r="H73" s="161">
        <f>'Basis Options'!BK44/10000</f>
        <v>0</v>
      </c>
      <c r="I73" s="161">
        <f>'Basis Options'!BL44/10000</f>
        <v>0</v>
      </c>
      <c r="J73" s="161">
        <f>'Basis Options'!BM44/10000</f>
        <v>0</v>
      </c>
      <c r="K73" s="161">
        <f>'Basis Options'!BN44/10000</f>
        <v>0</v>
      </c>
      <c r="L73" s="161">
        <f>'Basis Options'!BO44/10000</f>
        <v>0</v>
      </c>
      <c r="M73" s="161">
        <f>'Basis Options'!BP44/10000</f>
        <v>0</v>
      </c>
      <c r="N73" s="161">
        <f>'Basis Options'!BQ44/10000</f>
        <v>0</v>
      </c>
      <c r="O73" s="161">
        <f>'Basis Options'!BR44/10000</f>
        <v>0</v>
      </c>
      <c r="P73" s="183">
        <f t="shared" si="5"/>
        <v>0</v>
      </c>
    </row>
    <row r="74" spans="2:16" x14ac:dyDescent="0.25">
      <c r="B74" s="162">
        <f>'Basis Options'!BE45</f>
        <v>37895</v>
      </c>
      <c r="C74" s="161">
        <f>'Basis Options'!BF45/10000</f>
        <v>0</v>
      </c>
      <c r="D74" s="161">
        <f>'Basis Options'!BG45/10000</f>
        <v>0</v>
      </c>
      <c r="E74" s="161">
        <f>'Basis Options'!BH45/10000</f>
        <v>0</v>
      </c>
      <c r="F74" s="161">
        <f>'Basis Options'!BI45/10000</f>
        <v>0</v>
      </c>
      <c r="G74" s="161">
        <f>'Basis Options'!BJ45/10000</f>
        <v>0</v>
      </c>
      <c r="H74" s="161">
        <f>'Basis Options'!BK45/10000</f>
        <v>0</v>
      </c>
      <c r="I74" s="161">
        <f>'Basis Options'!BL45/10000</f>
        <v>0</v>
      </c>
      <c r="J74" s="161">
        <f>'Basis Options'!BM45/10000</f>
        <v>0</v>
      </c>
      <c r="K74" s="161">
        <f>'Basis Options'!BN45/10000</f>
        <v>0</v>
      </c>
      <c r="L74" s="161">
        <f>'Basis Options'!BO45/10000</f>
        <v>0</v>
      </c>
      <c r="M74" s="161">
        <f>'Basis Options'!BP45/10000</f>
        <v>0</v>
      </c>
      <c r="N74" s="161">
        <f>'Basis Options'!BQ45/10000</f>
        <v>0</v>
      </c>
      <c r="O74" s="161">
        <f>'Basis Options'!BR45/10000</f>
        <v>0</v>
      </c>
      <c r="P74" s="183">
        <f t="shared" si="5"/>
        <v>0</v>
      </c>
    </row>
    <row r="75" spans="2:16" x14ac:dyDescent="0.25">
      <c r="B75" s="162">
        <f>'Basis Options'!BE46</f>
        <v>37926</v>
      </c>
      <c r="C75" s="161">
        <f>'Basis Options'!BF46/10000</f>
        <v>0</v>
      </c>
      <c r="D75" s="161">
        <f>'Basis Options'!BG46/10000</f>
        <v>0</v>
      </c>
      <c r="E75" s="161">
        <f>'Basis Options'!BH46/10000</f>
        <v>0</v>
      </c>
      <c r="F75" s="161">
        <f>'Basis Options'!BI46/10000</f>
        <v>0</v>
      </c>
      <c r="G75" s="161">
        <f>'Basis Options'!BJ46/10000</f>
        <v>0</v>
      </c>
      <c r="H75" s="161">
        <f>'Basis Options'!BK46/10000</f>
        <v>0</v>
      </c>
      <c r="I75" s="161">
        <f>'Basis Options'!BL46/10000</f>
        <v>0</v>
      </c>
      <c r="J75" s="161">
        <f>'Basis Options'!BM46/10000</f>
        <v>0</v>
      </c>
      <c r="K75" s="161">
        <f>'Basis Options'!BN46/10000</f>
        <v>0</v>
      </c>
      <c r="L75" s="161">
        <f>'Basis Options'!BO46/10000</f>
        <v>0</v>
      </c>
      <c r="M75" s="161">
        <f>'Basis Options'!BP46/10000</f>
        <v>0</v>
      </c>
      <c r="N75" s="161">
        <f>'Basis Options'!BQ46/10000</f>
        <v>0</v>
      </c>
      <c r="O75" s="161">
        <f>'Basis Options'!BR46/10000</f>
        <v>0</v>
      </c>
      <c r="P75" s="183">
        <f t="shared" si="5"/>
        <v>0</v>
      </c>
    </row>
    <row r="76" spans="2:16" x14ac:dyDescent="0.25">
      <c r="B76" s="162">
        <f>'Basis Options'!BE47</f>
        <v>37956</v>
      </c>
      <c r="C76" s="161">
        <f>'Basis Options'!BF47/10000</f>
        <v>0</v>
      </c>
      <c r="D76" s="161">
        <f>'Basis Options'!BG47/10000</f>
        <v>0</v>
      </c>
      <c r="E76" s="161">
        <f>'Basis Options'!BH47/10000</f>
        <v>0</v>
      </c>
      <c r="F76" s="161">
        <f>'Basis Options'!BI47/10000</f>
        <v>0</v>
      </c>
      <c r="G76" s="161">
        <f>'Basis Options'!BJ47/10000</f>
        <v>0</v>
      </c>
      <c r="H76" s="161">
        <f>'Basis Options'!BK47/10000</f>
        <v>0</v>
      </c>
      <c r="I76" s="161">
        <f>'Basis Options'!BL47/10000</f>
        <v>0</v>
      </c>
      <c r="J76" s="161">
        <f>'Basis Options'!BM47/10000</f>
        <v>0</v>
      </c>
      <c r="K76" s="161">
        <f>'Basis Options'!BN47/10000</f>
        <v>0</v>
      </c>
      <c r="L76" s="161">
        <f>'Basis Options'!BO47/10000</f>
        <v>0</v>
      </c>
      <c r="M76" s="161">
        <f>'Basis Options'!BP47/10000</f>
        <v>0</v>
      </c>
      <c r="N76" s="161">
        <f>'Basis Options'!BQ47/10000</f>
        <v>0</v>
      </c>
      <c r="O76" s="161">
        <f>'Basis Options'!BR47/10000</f>
        <v>0</v>
      </c>
      <c r="P76" s="183">
        <f t="shared" si="5"/>
        <v>0</v>
      </c>
    </row>
    <row r="77" spans="2:16" ht="13.8" thickBot="1" x14ac:dyDescent="0.3">
      <c r="B77" s="162">
        <f>'Basis Options'!BE48</f>
        <v>37987</v>
      </c>
      <c r="C77" s="161">
        <f>'Basis Options'!BF48/10000</f>
        <v>0</v>
      </c>
      <c r="D77" s="161">
        <f>'Basis Options'!BG48/10000</f>
        <v>0</v>
      </c>
      <c r="E77" s="161">
        <f>'Basis Options'!BH48/10000</f>
        <v>0</v>
      </c>
      <c r="F77" s="161">
        <f>'Basis Options'!BI48/10000</f>
        <v>0</v>
      </c>
      <c r="G77" s="161">
        <f>'Basis Options'!BJ48/10000</f>
        <v>0</v>
      </c>
      <c r="H77" s="161">
        <f>'Basis Options'!BK48/10000</f>
        <v>0</v>
      </c>
      <c r="I77" s="161">
        <f>'Basis Options'!BL48/10000</f>
        <v>0</v>
      </c>
      <c r="J77" s="161">
        <f>'Basis Options'!BM48/10000</f>
        <v>0</v>
      </c>
      <c r="K77" s="161">
        <f>'Basis Options'!BN48/10000</f>
        <v>0</v>
      </c>
      <c r="L77" s="161">
        <f>'Basis Options'!BO48/10000</f>
        <v>0</v>
      </c>
      <c r="M77" s="161">
        <f>'Basis Options'!BP48/10000</f>
        <v>0</v>
      </c>
      <c r="N77" s="161">
        <f>'Basis Options'!BQ48/10000</f>
        <v>0</v>
      </c>
      <c r="O77" s="161">
        <f>'Basis Options'!BR48/10000</f>
        <v>0</v>
      </c>
      <c r="P77" s="183">
        <f t="shared" si="5"/>
        <v>0</v>
      </c>
    </row>
    <row r="78" spans="2:16" ht="13.8" thickBot="1" x14ac:dyDescent="0.3">
      <c r="B78" s="173" t="s">
        <v>113</v>
      </c>
      <c r="C78" s="452">
        <f t="shared" ref="C78:K78" si="6">SUM(C36:C77)</f>
        <v>167.28344042419704</v>
      </c>
      <c r="D78" s="452">
        <f t="shared" si="6"/>
        <v>-0.89702235785783269</v>
      </c>
      <c r="E78" s="452">
        <f t="shared" si="6"/>
        <v>24.663731206170677</v>
      </c>
      <c r="F78" s="452">
        <f t="shared" si="6"/>
        <v>-17.541319059992269</v>
      </c>
      <c r="G78" s="452">
        <f t="shared" si="6"/>
        <v>0</v>
      </c>
      <c r="H78" s="452">
        <f t="shared" si="6"/>
        <v>-5.1110975044836211</v>
      </c>
      <c r="I78" s="452">
        <f t="shared" si="6"/>
        <v>-22.728869555138736</v>
      </c>
      <c r="J78" s="452">
        <f t="shared" si="6"/>
        <v>0</v>
      </c>
      <c r="K78" s="452">
        <f t="shared" si="6"/>
        <v>11.91535509466344</v>
      </c>
      <c r="L78" s="452">
        <f>SUM(L36:L77)</f>
        <v>-4.9830189537098075</v>
      </c>
      <c r="M78" s="452">
        <f>SUM(M36:M77)</f>
        <v>-2.0858800334221912</v>
      </c>
      <c r="N78" s="452">
        <f>SUM(N36:N77)</f>
        <v>-1.253667951664704</v>
      </c>
      <c r="O78" s="452"/>
      <c r="P78" s="453">
        <f>SUM(C78:N78)</f>
        <v>149.26165130876197</v>
      </c>
    </row>
    <row r="79" spans="2:16" ht="13.8" thickBot="1" x14ac:dyDescent="0.3">
      <c r="K79" s="337"/>
      <c r="L79" s="337"/>
      <c r="M79" s="337"/>
      <c r="N79" s="337"/>
      <c r="O79" s="337"/>
    </row>
    <row r="80" spans="2:16" x14ac:dyDescent="0.25">
      <c r="B80" s="164" t="s">
        <v>115</v>
      </c>
      <c r="C80" s="166"/>
      <c r="E80" s="164" t="s">
        <v>243</v>
      </c>
      <c r="F80" s="165"/>
      <c r="G80" s="165"/>
      <c r="H80" s="165"/>
      <c r="I80" s="166"/>
      <c r="K80" s="164" t="s">
        <v>408</v>
      </c>
      <c r="L80" s="166"/>
      <c r="M80" s="171"/>
      <c r="N80" s="171"/>
      <c r="O80" s="171"/>
    </row>
    <row r="81" spans="2:15" x14ac:dyDescent="0.25">
      <c r="B81" s="170"/>
      <c r="C81" s="172" t="s">
        <v>113</v>
      </c>
      <c r="E81" s="170"/>
      <c r="F81" s="171"/>
      <c r="G81" s="171"/>
      <c r="H81" s="171"/>
      <c r="I81" s="172"/>
      <c r="K81" s="170"/>
      <c r="L81" s="172" t="s">
        <v>113</v>
      </c>
      <c r="M81" s="171"/>
      <c r="N81" s="171"/>
      <c r="O81" s="171"/>
    </row>
    <row r="82" spans="2:15" ht="13.8" thickBot="1" x14ac:dyDescent="0.3">
      <c r="B82" s="167" t="s">
        <v>111</v>
      </c>
      <c r="C82" s="169" t="s">
        <v>118</v>
      </c>
      <c r="E82" s="167" t="s">
        <v>111</v>
      </c>
      <c r="F82" s="168" t="s">
        <v>237</v>
      </c>
      <c r="G82" s="168" t="s">
        <v>248</v>
      </c>
      <c r="H82" s="168" t="s">
        <v>97</v>
      </c>
      <c r="I82" s="169" t="s">
        <v>113</v>
      </c>
      <c r="K82" s="167" t="s">
        <v>111</v>
      </c>
      <c r="L82" s="169" t="s">
        <v>118</v>
      </c>
      <c r="M82" s="171"/>
      <c r="N82" s="171"/>
      <c r="O82" s="171"/>
    </row>
    <row r="83" spans="2:15" x14ac:dyDescent="0.25">
      <c r="B83" s="162">
        <f>'Basket Options'!S14</f>
        <v>36434</v>
      </c>
      <c r="C83" s="185">
        <f>'Basket Options'!T14/10000</f>
        <v>0</v>
      </c>
      <c r="E83" s="197">
        <f>Digital!W7</f>
        <v>36770</v>
      </c>
      <c r="F83" s="198">
        <f>Digital!X7/10000</f>
        <v>0</v>
      </c>
      <c r="G83" s="198">
        <f>Digital!Y7/10000</f>
        <v>0</v>
      </c>
      <c r="H83" s="199">
        <f>Digital!Z7/10000</f>
        <v>0</v>
      </c>
      <c r="I83" s="200">
        <f>SUM(F83:H83)</f>
        <v>0</v>
      </c>
      <c r="K83" s="162">
        <f>'GD Spread Options'!AZ19</f>
        <v>36526</v>
      </c>
      <c r="L83" s="185">
        <f>'GD Spread Options'!BA19/10000</f>
        <v>0</v>
      </c>
      <c r="M83" s="488"/>
      <c r="N83" s="471"/>
      <c r="O83" s="471"/>
    </row>
    <row r="84" spans="2:15" ht="12" customHeight="1" x14ac:dyDescent="0.25">
      <c r="B84" s="162">
        <f>'Basket Options'!S15</f>
        <v>36465</v>
      </c>
      <c r="C84" s="185">
        <f>'Basket Options'!T15/10000</f>
        <v>0</v>
      </c>
      <c r="E84" s="197">
        <f>Digital!W8</f>
        <v>36800</v>
      </c>
      <c r="F84" s="198">
        <f>Digital!X8/10000</f>
        <v>0</v>
      </c>
      <c r="G84" s="198">
        <f>Digital!Y8/10000</f>
        <v>0</v>
      </c>
      <c r="H84" s="199">
        <f>Digital!Z8/10000</f>
        <v>0</v>
      </c>
      <c r="I84" s="200">
        <f t="shared" ref="I84:I96" si="7">SUM(F84:H84)</f>
        <v>0</v>
      </c>
      <c r="K84" s="162">
        <f>'GD Spread Options'!AZ20</f>
        <v>36557</v>
      </c>
      <c r="L84" s="185">
        <f>'GD Spread Options'!BA20/10000</f>
        <v>0</v>
      </c>
      <c r="M84" s="488"/>
      <c r="N84" s="471"/>
      <c r="O84" s="471"/>
    </row>
    <row r="85" spans="2:15" x14ac:dyDescent="0.25">
      <c r="B85" s="162">
        <f>'Basket Options'!S16</f>
        <v>36495</v>
      </c>
      <c r="C85" s="185">
        <f>'Basket Options'!T16/10000</f>
        <v>0</v>
      </c>
      <c r="E85" s="197">
        <f>Digital!W9</f>
        <v>36831</v>
      </c>
      <c r="F85" s="198">
        <f>Digital!X9/10000</f>
        <v>0</v>
      </c>
      <c r="G85" s="198">
        <f>Digital!Y9/10000</f>
        <v>0</v>
      </c>
      <c r="H85" s="199">
        <f>Digital!Z9/10000</f>
        <v>0</v>
      </c>
      <c r="I85" s="200">
        <f t="shared" si="7"/>
        <v>0</v>
      </c>
      <c r="K85" s="162">
        <f>'GD Spread Options'!AZ21</f>
        <v>36586</v>
      </c>
      <c r="L85" s="185">
        <f>'GD Spread Options'!BA21/10000</f>
        <v>0</v>
      </c>
      <c r="M85" s="488"/>
      <c r="N85" s="471"/>
      <c r="O85" s="471"/>
    </row>
    <row r="86" spans="2:15" x14ac:dyDescent="0.25">
      <c r="B86" s="162">
        <f>'Basket Options'!S17</f>
        <v>36526</v>
      </c>
      <c r="C86" s="185">
        <f>'Basket Options'!T17/10000</f>
        <v>0</v>
      </c>
      <c r="E86" s="197">
        <f>Digital!W10</f>
        <v>36861</v>
      </c>
      <c r="F86" s="198">
        <f>Digital!X10/10000</f>
        <v>0</v>
      </c>
      <c r="G86" s="198">
        <f>Digital!Y10/10000</f>
        <v>0</v>
      </c>
      <c r="H86" s="199">
        <f>Digital!Z10/10000</f>
        <v>0</v>
      </c>
      <c r="I86" s="200">
        <f t="shared" si="7"/>
        <v>0</v>
      </c>
      <c r="K86" s="162">
        <f>'GD Spread Options'!AZ22</f>
        <v>36617</v>
      </c>
      <c r="L86" s="185">
        <f>'GD Spread Options'!BA22/10000</f>
        <v>0</v>
      </c>
      <c r="M86" s="488"/>
      <c r="N86" s="471"/>
      <c r="O86" s="471"/>
    </row>
    <row r="87" spans="2:15" x14ac:dyDescent="0.25">
      <c r="B87" s="162">
        <f>'Basket Options'!S18</f>
        <v>36557</v>
      </c>
      <c r="C87" s="185">
        <f>'Basket Options'!T18/10000</f>
        <v>0</v>
      </c>
      <c r="E87" s="197">
        <f>Digital!W11</f>
        <v>36892</v>
      </c>
      <c r="F87" s="198">
        <f>Digital!X11/10000</f>
        <v>0</v>
      </c>
      <c r="G87" s="198">
        <f>Digital!Y11/10000</f>
        <v>0</v>
      </c>
      <c r="H87" s="199">
        <f>Digital!Z11/10000</f>
        <v>0</v>
      </c>
      <c r="I87" s="200">
        <f t="shared" si="7"/>
        <v>0</v>
      </c>
      <c r="K87" s="162">
        <f>'GD Spread Options'!AZ23</f>
        <v>36647</v>
      </c>
      <c r="L87" s="185">
        <f>'GD Spread Options'!BA23/10000</f>
        <v>0</v>
      </c>
      <c r="M87" s="488"/>
      <c r="N87" s="471"/>
      <c r="O87" s="471"/>
    </row>
    <row r="88" spans="2:15" x14ac:dyDescent="0.25">
      <c r="B88" s="162">
        <f>'Basket Options'!S19</f>
        <v>36586</v>
      </c>
      <c r="C88" s="185">
        <f>'Basket Options'!T19/10000</f>
        <v>0</v>
      </c>
      <c r="E88" s="197">
        <f>Digital!W12</f>
        <v>36923</v>
      </c>
      <c r="F88" s="198">
        <f>Digital!X12/10000</f>
        <v>0</v>
      </c>
      <c r="G88" s="198">
        <f>Digital!Y12/10000</f>
        <v>0</v>
      </c>
      <c r="H88" s="199">
        <f>Digital!Z12/10000</f>
        <v>0</v>
      </c>
      <c r="I88" s="200">
        <f t="shared" si="7"/>
        <v>0</v>
      </c>
      <c r="K88" s="162">
        <f>'GD Spread Options'!AZ24</f>
        <v>36678</v>
      </c>
      <c r="L88" s="185">
        <f>'GD Spread Options'!BA24/10000</f>
        <v>3.7127912860886236</v>
      </c>
      <c r="M88" s="488"/>
      <c r="N88" s="471"/>
      <c r="O88" s="471"/>
    </row>
    <row r="89" spans="2:15" x14ac:dyDescent="0.25">
      <c r="B89" s="162">
        <f>'Basket Options'!S20</f>
        <v>36617</v>
      </c>
      <c r="C89" s="185">
        <f>'Basket Options'!T20/10000</f>
        <v>0</v>
      </c>
      <c r="E89" s="197">
        <f>Digital!W13</f>
        <v>36951</v>
      </c>
      <c r="F89" s="198">
        <f>Digital!X13/10000</f>
        <v>0</v>
      </c>
      <c r="G89" s="198">
        <f>Digital!Y13/10000</f>
        <v>0</v>
      </c>
      <c r="H89" s="199">
        <f>Digital!Z13/10000</f>
        <v>0</v>
      </c>
      <c r="I89" s="200">
        <f t="shared" si="7"/>
        <v>0</v>
      </c>
      <c r="K89" s="162">
        <f>'GD Spread Options'!AZ25</f>
        <v>36708</v>
      </c>
      <c r="L89" s="185">
        <f>'GD Spread Options'!BA25/10000</f>
        <v>0</v>
      </c>
      <c r="M89" s="488"/>
      <c r="N89" s="471"/>
      <c r="O89" s="471"/>
    </row>
    <row r="90" spans="2:15" x14ac:dyDescent="0.25">
      <c r="B90" s="162">
        <f>'Basket Options'!S21</f>
        <v>36647</v>
      </c>
      <c r="C90" s="185">
        <f>'Basket Options'!T21/10000</f>
        <v>0</v>
      </c>
      <c r="E90" s="197">
        <f>Digital!W14</f>
        <v>36982</v>
      </c>
      <c r="F90" s="198">
        <f>Digital!X14/10000</f>
        <v>0</v>
      </c>
      <c r="G90" s="198">
        <f>Digital!Y14/10000</f>
        <v>0</v>
      </c>
      <c r="H90" s="199">
        <f>Digital!Z14/10000</f>
        <v>0</v>
      </c>
      <c r="I90" s="200">
        <f t="shared" si="7"/>
        <v>0</v>
      </c>
      <c r="K90" s="162">
        <f>'GD Spread Options'!AZ26</f>
        <v>36739</v>
      </c>
      <c r="L90" s="185">
        <f>'GD Spread Options'!BA26/10000</f>
        <v>0</v>
      </c>
      <c r="M90" s="488"/>
      <c r="N90" s="471"/>
      <c r="O90" s="471"/>
    </row>
    <row r="91" spans="2:15" x14ac:dyDescent="0.25">
      <c r="B91" s="162">
        <f>'Basket Options'!S22</f>
        <v>36678</v>
      </c>
      <c r="C91" s="185" t="e">
        <f>'Basket Options'!T22/10000</f>
        <v>#N/A</v>
      </c>
      <c r="E91" s="197">
        <f>Digital!W15</f>
        <v>37012</v>
      </c>
      <c r="F91" s="198">
        <f>Digital!X15/10000</f>
        <v>0</v>
      </c>
      <c r="G91" s="198">
        <f>Digital!Y15/10000</f>
        <v>0</v>
      </c>
      <c r="H91" s="199">
        <f>Digital!Z15/10000</f>
        <v>0</v>
      </c>
      <c r="I91" s="200">
        <f t="shared" si="7"/>
        <v>0</v>
      </c>
      <c r="K91" s="162">
        <f>'GD Spread Options'!AZ27</f>
        <v>36770</v>
      </c>
      <c r="L91" s="185">
        <f>'GD Spread Options'!BA27/10000</f>
        <v>0</v>
      </c>
      <c r="M91" s="488"/>
      <c r="N91" s="471"/>
      <c r="O91" s="471"/>
    </row>
    <row r="92" spans="2:15" x14ac:dyDescent="0.25">
      <c r="B92" s="162">
        <f>'Basket Options'!S23</f>
        <v>36708</v>
      </c>
      <c r="C92" s="185">
        <f>'Basket Options'!T23/10000</f>
        <v>0</v>
      </c>
      <c r="E92" s="197">
        <f>Digital!W16</f>
        <v>37043</v>
      </c>
      <c r="F92" s="198">
        <f>Digital!X16/10000</f>
        <v>0</v>
      </c>
      <c r="G92" s="198">
        <f>Digital!Y16/10000</f>
        <v>0</v>
      </c>
      <c r="H92" s="199">
        <f>Digital!Z16/10000</f>
        <v>0</v>
      </c>
      <c r="I92" s="200">
        <f t="shared" si="7"/>
        <v>0</v>
      </c>
      <c r="K92" s="162">
        <f>'GD Spread Options'!AZ28</f>
        <v>36800</v>
      </c>
      <c r="L92" s="185">
        <f>'GD Spread Options'!BA28/10000</f>
        <v>0</v>
      </c>
      <c r="M92" s="488"/>
      <c r="N92" s="471"/>
      <c r="O92" s="471"/>
    </row>
    <row r="93" spans="2:15" x14ac:dyDescent="0.25">
      <c r="B93" s="162">
        <f>'Basket Options'!S24</f>
        <v>36739</v>
      </c>
      <c r="C93" s="185">
        <f>'Basket Options'!T24/10000</f>
        <v>0</v>
      </c>
      <c r="E93" s="197">
        <f>Digital!W17</f>
        <v>37073</v>
      </c>
      <c r="F93" s="198">
        <f>Digital!X17/10000</f>
        <v>0</v>
      </c>
      <c r="G93" s="198">
        <f>Digital!Y17/10000</f>
        <v>0</v>
      </c>
      <c r="H93" s="199">
        <f>Digital!Z17/10000</f>
        <v>0</v>
      </c>
      <c r="I93" s="200">
        <f t="shared" si="7"/>
        <v>0</v>
      </c>
      <c r="K93" s="162">
        <f>'GD Spread Options'!AZ29</f>
        <v>36831</v>
      </c>
      <c r="L93" s="185">
        <f>'GD Spread Options'!BA29/10000</f>
        <v>0</v>
      </c>
      <c r="M93" s="488"/>
      <c r="N93" s="471"/>
      <c r="O93" s="471"/>
    </row>
    <row r="94" spans="2:15" x14ac:dyDescent="0.25">
      <c r="B94" s="162">
        <f>'Basket Options'!S25</f>
        <v>36770</v>
      </c>
      <c r="C94" s="185">
        <f>'Basket Options'!T25/10000</f>
        <v>0</v>
      </c>
      <c r="E94" s="197">
        <f>Digital!W18</f>
        <v>37104</v>
      </c>
      <c r="F94" s="198">
        <f>Digital!X18/10000</f>
        <v>0</v>
      </c>
      <c r="G94" s="198">
        <f>Digital!Y18/10000</f>
        <v>0</v>
      </c>
      <c r="H94" s="199">
        <f>Digital!Z18/10000</f>
        <v>0</v>
      </c>
      <c r="I94" s="200">
        <f t="shared" si="7"/>
        <v>0</v>
      </c>
      <c r="K94" s="162">
        <f>'GD Spread Options'!AZ30</f>
        <v>36861</v>
      </c>
      <c r="L94" s="185">
        <f>'GD Spread Options'!BA30/10000</f>
        <v>0</v>
      </c>
      <c r="M94" s="488"/>
      <c r="N94" s="471"/>
      <c r="O94" s="471"/>
    </row>
    <row r="95" spans="2:15" x14ac:dyDescent="0.25">
      <c r="B95" s="162">
        <f>'Basket Options'!S26</f>
        <v>36800</v>
      </c>
      <c r="C95" s="185">
        <f>'Basket Options'!T26/10000</f>
        <v>0</v>
      </c>
      <c r="E95" s="197">
        <f>Digital!W19</f>
        <v>37135</v>
      </c>
      <c r="F95" s="198">
        <f>Digital!X19/10000</f>
        <v>0</v>
      </c>
      <c r="G95" s="198">
        <f>Digital!Y19/10000</f>
        <v>0</v>
      </c>
      <c r="H95" s="199">
        <f>Digital!Z19/10000</f>
        <v>0</v>
      </c>
      <c r="I95" s="200">
        <f t="shared" si="7"/>
        <v>0</v>
      </c>
      <c r="K95" s="162">
        <f>'GD Spread Options'!AZ31</f>
        <v>36892</v>
      </c>
      <c r="L95" s="185">
        <f>'GD Spread Options'!BA31/10000</f>
        <v>0</v>
      </c>
      <c r="M95" s="488"/>
      <c r="N95" s="471"/>
      <c r="O95" s="471"/>
    </row>
    <row r="96" spans="2:15" x14ac:dyDescent="0.25">
      <c r="B96" s="162">
        <f>'Basket Options'!S27</f>
        <v>36831</v>
      </c>
      <c r="C96" s="185">
        <f>'Basket Options'!T27/10000</f>
        <v>0</v>
      </c>
      <c r="E96" s="197">
        <f>Digital!W20</f>
        <v>37165</v>
      </c>
      <c r="F96" s="198">
        <f>Digital!X20/10000</f>
        <v>0</v>
      </c>
      <c r="G96" s="198">
        <f>Digital!Y20/10000</f>
        <v>0</v>
      </c>
      <c r="H96" s="199">
        <f>Digital!Z20/10000</f>
        <v>0</v>
      </c>
      <c r="I96" s="200">
        <f t="shared" si="7"/>
        <v>0</v>
      </c>
      <c r="K96" s="162">
        <f>'GD Spread Options'!AZ32</f>
        <v>36923</v>
      </c>
      <c r="L96" s="185">
        <f>'GD Spread Options'!BA32/10000</f>
        <v>0</v>
      </c>
      <c r="M96" s="488"/>
      <c r="N96" s="471"/>
      <c r="O96" s="471"/>
    </row>
    <row r="97" spans="2:15" x14ac:dyDescent="0.25">
      <c r="B97" s="162">
        <f>'Basket Options'!S28</f>
        <v>36861</v>
      </c>
      <c r="C97" s="185">
        <f>'Basket Options'!T28/10000</f>
        <v>0</v>
      </c>
      <c r="E97" s="197"/>
      <c r="F97" s="198"/>
      <c r="G97" s="198"/>
      <c r="H97" s="199"/>
      <c r="I97" s="200"/>
      <c r="K97" s="162">
        <f>'GD Spread Options'!AZ33</f>
        <v>36951</v>
      </c>
      <c r="L97" s="185">
        <f>'GD Spread Options'!BA33/10000</f>
        <v>0</v>
      </c>
      <c r="M97" s="488"/>
      <c r="N97" s="471"/>
      <c r="O97" s="471"/>
    </row>
    <row r="98" spans="2:15" x14ac:dyDescent="0.25">
      <c r="B98" s="162">
        <f>'Basket Options'!S29</f>
        <v>36892</v>
      </c>
      <c r="C98" s="185">
        <f>'Basket Options'!T29/10000</f>
        <v>0</v>
      </c>
      <c r="E98" s="197"/>
      <c r="F98" s="198"/>
      <c r="G98" s="198"/>
      <c r="H98" s="199"/>
      <c r="I98" s="200"/>
      <c r="K98" s="162">
        <f>'GD Spread Options'!AZ34</f>
        <v>36982</v>
      </c>
      <c r="L98" s="185">
        <f>'GD Spread Options'!BA34/10000</f>
        <v>0</v>
      </c>
      <c r="M98" s="488"/>
      <c r="N98" s="471"/>
      <c r="O98" s="471"/>
    </row>
    <row r="99" spans="2:15" x14ac:dyDescent="0.25">
      <c r="B99" s="162">
        <f>'Basket Options'!S30</f>
        <v>36923</v>
      </c>
      <c r="C99" s="185">
        <f>'Basket Options'!T30/10000</f>
        <v>0</v>
      </c>
      <c r="E99" s="197"/>
      <c r="F99" s="198"/>
      <c r="G99" s="198"/>
      <c r="H99" s="199"/>
      <c r="I99" s="200"/>
      <c r="K99" s="162">
        <f>'GD Spread Options'!AZ35</f>
        <v>37012</v>
      </c>
      <c r="L99" s="185">
        <f>'GD Spread Options'!BA35/10000</f>
        <v>0</v>
      </c>
      <c r="M99" s="488"/>
      <c r="N99" s="471"/>
      <c r="O99" s="471"/>
    </row>
    <row r="100" spans="2:15" x14ac:dyDescent="0.25">
      <c r="B100" s="162">
        <f>'Basket Options'!S31</f>
        <v>36951</v>
      </c>
      <c r="C100" s="185">
        <f>'Basket Options'!T31/10000</f>
        <v>0</v>
      </c>
      <c r="E100" s="197"/>
      <c r="F100" s="198"/>
      <c r="G100" s="198"/>
      <c r="H100" s="199"/>
      <c r="I100" s="200"/>
      <c r="K100" s="162">
        <f>'GD Spread Options'!AZ36</f>
        <v>37043</v>
      </c>
      <c r="L100" s="185">
        <f>'GD Spread Options'!BA36/10000</f>
        <v>0</v>
      </c>
      <c r="M100" s="488"/>
      <c r="N100" s="471"/>
      <c r="O100" s="471"/>
    </row>
    <row r="101" spans="2:15" x14ac:dyDescent="0.25">
      <c r="B101" s="162">
        <f>'Basket Options'!S32</f>
        <v>36982</v>
      </c>
      <c r="C101" s="185">
        <f>'Basket Options'!T32/10000</f>
        <v>0</v>
      </c>
      <c r="E101" s="197"/>
      <c r="F101" s="198"/>
      <c r="G101" s="198"/>
      <c r="H101" s="199"/>
      <c r="I101" s="200"/>
      <c r="K101" s="162">
        <f>'GD Spread Options'!AZ37</f>
        <v>37073</v>
      </c>
      <c r="L101" s="185">
        <f>'GD Spread Options'!BA37/10000</f>
        <v>0</v>
      </c>
      <c r="M101" s="488"/>
      <c r="N101" s="471"/>
      <c r="O101" s="471"/>
    </row>
    <row r="102" spans="2:15" x14ac:dyDescent="0.25">
      <c r="B102" s="162">
        <f>'Basket Options'!S33</f>
        <v>37012</v>
      </c>
      <c r="C102" s="185">
        <f>'Basket Options'!T33/10000</f>
        <v>0</v>
      </c>
      <c r="E102" s="197"/>
      <c r="F102" s="198"/>
      <c r="G102" s="198"/>
      <c r="H102" s="199"/>
      <c r="I102" s="200"/>
      <c r="K102" s="162">
        <f>'GD Spread Options'!AZ38</f>
        <v>37104</v>
      </c>
      <c r="L102" s="185">
        <f>'GD Spread Options'!BA38/10000</f>
        <v>0</v>
      </c>
      <c r="M102" s="488"/>
      <c r="N102" s="471"/>
      <c r="O102" s="471"/>
    </row>
    <row r="103" spans="2:15" x14ac:dyDescent="0.25">
      <c r="B103" s="162">
        <f>'Basket Options'!S34</f>
        <v>37043</v>
      </c>
      <c r="C103" s="185">
        <f>'Basket Options'!T34/10000</f>
        <v>0</v>
      </c>
      <c r="E103" s="197"/>
      <c r="F103" s="198"/>
      <c r="G103" s="198"/>
      <c r="H103" s="199"/>
      <c r="I103" s="200"/>
      <c r="K103" s="162">
        <f>'GD Spread Options'!AZ39</f>
        <v>37135</v>
      </c>
      <c r="L103" s="185">
        <f>'GD Spread Options'!BA39/10000</f>
        <v>0</v>
      </c>
      <c r="M103" s="488"/>
      <c r="N103" s="471"/>
      <c r="O103" s="471"/>
    </row>
    <row r="104" spans="2:15" x14ac:dyDescent="0.25">
      <c r="B104" s="162">
        <f>'Basket Options'!S35</f>
        <v>37073</v>
      </c>
      <c r="C104" s="185">
        <f>'Basket Options'!T35/10000</f>
        <v>0</v>
      </c>
      <c r="E104" s="197"/>
      <c r="F104" s="198"/>
      <c r="G104" s="198"/>
      <c r="H104" s="199"/>
      <c r="I104" s="200"/>
      <c r="K104" s="162">
        <f>'GD Spread Options'!AZ40</f>
        <v>37165</v>
      </c>
      <c r="L104" s="185">
        <f>'GD Spread Options'!BA40/10000</f>
        <v>0</v>
      </c>
      <c r="M104" s="488"/>
      <c r="N104" s="471"/>
      <c r="O104" s="471"/>
    </row>
    <row r="105" spans="2:15" x14ac:dyDescent="0.25">
      <c r="B105" s="162">
        <f>'Basket Options'!S36</f>
        <v>37104</v>
      </c>
      <c r="C105" s="185">
        <f>'Basket Options'!T36/10000</f>
        <v>0</v>
      </c>
      <c r="E105" s="197"/>
      <c r="F105" s="198"/>
      <c r="G105" s="198"/>
      <c r="H105" s="199"/>
      <c r="I105" s="200"/>
      <c r="K105" s="162">
        <f>'GD Spread Options'!AZ41</f>
        <v>37196</v>
      </c>
      <c r="L105" s="185">
        <f>'GD Spread Options'!BA41/10000</f>
        <v>0</v>
      </c>
      <c r="M105" s="488"/>
      <c r="N105" s="471"/>
      <c r="O105" s="471"/>
    </row>
    <row r="106" spans="2:15" x14ac:dyDescent="0.25">
      <c r="B106" s="162">
        <f>'Basket Options'!S37</f>
        <v>37135</v>
      </c>
      <c r="C106" s="185">
        <f>'Basket Options'!T37/10000</f>
        <v>0</v>
      </c>
      <c r="E106" s="197"/>
      <c r="F106" s="198"/>
      <c r="G106" s="198"/>
      <c r="H106" s="199"/>
      <c r="I106" s="200"/>
      <c r="K106" s="162">
        <f>'GD Spread Options'!AZ42</f>
        <v>37226</v>
      </c>
      <c r="L106" s="185">
        <f>'GD Spread Options'!BA42/10000</f>
        <v>0</v>
      </c>
      <c r="M106" s="488"/>
      <c r="N106" s="471"/>
      <c r="O106" s="471"/>
    </row>
    <row r="107" spans="2:15" x14ac:dyDescent="0.25">
      <c r="B107" s="162">
        <f>'Basket Options'!S38</f>
        <v>37165</v>
      </c>
      <c r="C107" s="185">
        <f>'Basket Options'!T38/10000</f>
        <v>0</v>
      </c>
      <c r="E107" s="197"/>
      <c r="F107" s="198"/>
      <c r="G107" s="198"/>
      <c r="H107" s="199"/>
      <c r="I107" s="200"/>
      <c r="K107" s="162">
        <f>'GD Spread Options'!AZ43</f>
        <v>37257</v>
      </c>
      <c r="L107" s="185">
        <f>'GD Spread Options'!BA43/10000</f>
        <v>0</v>
      </c>
      <c r="M107" s="488"/>
      <c r="N107" s="471"/>
      <c r="O107" s="471"/>
    </row>
    <row r="108" spans="2:15" x14ac:dyDescent="0.25">
      <c r="B108" s="162">
        <f>'Basket Options'!S39</f>
        <v>37196</v>
      </c>
      <c r="C108" s="185">
        <f>'Basket Options'!T39/10000</f>
        <v>0</v>
      </c>
      <c r="E108" s="197"/>
      <c r="F108" s="198"/>
      <c r="G108" s="198"/>
      <c r="H108" s="199"/>
      <c r="I108" s="200"/>
      <c r="K108" s="162">
        <f>'GD Spread Options'!AZ44</f>
        <v>37288</v>
      </c>
      <c r="L108" s="185">
        <f>'GD Spread Options'!BA44/10000</f>
        <v>0</v>
      </c>
      <c r="M108" s="488"/>
      <c r="N108" s="471"/>
      <c r="O108" s="471"/>
    </row>
    <row r="109" spans="2:15" ht="13.8" thickBot="1" x14ac:dyDescent="0.3">
      <c r="B109" s="162">
        <f>'Basket Options'!S40</f>
        <v>37226</v>
      </c>
      <c r="C109" s="185">
        <f>'Basket Options'!T40/10000</f>
        <v>0</v>
      </c>
      <c r="E109" s="197"/>
      <c r="F109" s="198"/>
      <c r="G109" s="198"/>
      <c r="H109" s="201"/>
      <c r="I109" s="200"/>
      <c r="K109" s="162">
        <f>'GD Spread Options'!AZ45</f>
        <v>37316</v>
      </c>
      <c r="L109" s="185">
        <f>'GD Spread Options'!BA45/10000</f>
        <v>0</v>
      </c>
      <c r="M109" s="488"/>
      <c r="N109" s="471"/>
      <c r="O109" s="471"/>
    </row>
    <row r="110" spans="2:15" ht="13.8" thickBot="1" x14ac:dyDescent="0.3">
      <c r="B110" s="173" t="s">
        <v>113</v>
      </c>
      <c r="C110" s="186" t="e">
        <f>SUM(C83:C109)</f>
        <v>#N/A</v>
      </c>
      <c r="E110" s="176" t="s">
        <v>113</v>
      </c>
      <c r="F110" s="202">
        <f>SUM(F83:F109)</f>
        <v>0</v>
      </c>
      <c r="G110" s="202">
        <f>SUM(G83:G109)</f>
        <v>0</v>
      </c>
      <c r="H110" s="202"/>
      <c r="I110" s="203">
        <f>SUM(I83:I109)</f>
        <v>0</v>
      </c>
      <c r="K110" s="173" t="s">
        <v>113</v>
      </c>
      <c r="L110" s="186">
        <f>SUM(L83:L109)</f>
        <v>3.7127912860886236</v>
      </c>
      <c r="M110" s="488"/>
      <c r="N110" s="471"/>
      <c r="O110" s="471"/>
    </row>
    <row r="111" spans="2:15" x14ac:dyDescent="0.25">
      <c r="K111" s="258"/>
      <c r="L111" s="235"/>
      <c r="M111" s="235"/>
      <c r="N111" s="235"/>
      <c r="O111" s="235"/>
    </row>
    <row r="112" spans="2:15" x14ac:dyDescent="0.25">
      <c r="K112" s="258"/>
      <c r="L112" s="235"/>
      <c r="M112" s="235"/>
      <c r="N112" s="235"/>
      <c r="O112" s="235"/>
    </row>
    <row r="116" spans="2:3" ht="13.8" thickBot="1" x14ac:dyDescent="0.3"/>
    <row r="117" spans="2:3" ht="13.8" thickBot="1" x14ac:dyDescent="0.3">
      <c r="B117" s="176" t="s">
        <v>3</v>
      </c>
      <c r="C117" s="204" t="s">
        <v>41</v>
      </c>
    </row>
    <row r="118" spans="2:3" x14ac:dyDescent="0.25">
      <c r="B118" s="286">
        <v>36434</v>
      </c>
      <c r="C118" s="287" t="e">
        <f>VLOOKUP(B118,TotalPos,9)</f>
        <v>#N/A</v>
      </c>
    </row>
    <row r="119" spans="2:3" x14ac:dyDescent="0.25">
      <c r="B119" s="286">
        <v>36465</v>
      </c>
      <c r="C119" s="287" t="e">
        <f t="shared" ref="C119:C182" si="8">VLOOKUP(B119,TotalPos,9)</f>
        <v>#N/A</v>
      </c>
    </row>
    <row r="120" spans="2:3" x14ac:dyDescent="0.25">
      <c r="B120" s="286">
        <v>36495</v>
      </c>
      <c r="C120" s="287" t="e">
        <f t="shared" si="8"/>
        <v>#N/A</v>
      </c>
    </row>
    <row r="121" spans="2:3" x14ac:dyDescent="0.25">
      <c r="B121" s="286">
        <v>36526</v>
      </c>
      <c r="C121" s="287" t="e">
        <f t="shared" si="8"/>
        <v>#N/A</v>
      </c>
    </row>
    <row r="122" spans="2:3" x14ac:dyDescent="0.25">
      <c r="B122" s="286">
        <v>36557</v>
      </c>
      <c r="C122" s="287" t="e">
        <f t="shared" si="8"/>
        <v>#N/A</v>
      </c>
    </row>
    <row r="123" spans="2:3" x14ac:dyDescent="0.25">
      <c r="B123" s="286">
        <v>36586</v>
      </c>
      <c r="C123" s="287" t="e">
        <f t="shared" si="8"/>
        <v>#N/A</v>
      </c>
    </row>
    <row r="124" spans="2:3" x14ac:dyDescent="0.25">
      <c r="B124" s="286">
        <v>36617</v>
      </c>
      <c r="C124" s="287" t="e">
        <f t="shared" si="8"/>
        <v>#N/A</v>
      </c>
    </row>
    <row r="125" spans="2:3" x14ac:dyDescent="0.25">
      <c r="B125" s="286">
        <v>36647</v>
      </c>
      <c r="C125" s="287" t="e">
        <f t="shared" si="8"/>
        <v>#N/A</v>
      </c>
    </row>
    <row r="126" spans="2:3" x14ac:dyDescent="0.25">
      <c r="B126" s="286">
        <v>36678</v>
      </c>
      <c r="C126" s="287">
        <f t="shared" si="8"/>
        <v>0</v>
      </c>
    </row>
    <row r="127" spans="2:3" x14ac:dyDescent="0.25">
      <c r="B127" s="286">
        <v>36708</v>
      </c>
      <c r="C127" s="287">
        <f t="shared" si="8"/>
        <v>0</v>
      </c>
    </row>
    <row r="128" spans="2:3" x14ac:dyDescent="0.25">
      <c r="B128" s="286">
        <v>36739</v>
      </c>
      <c r="C128" s="287">
        <f t="shared" si="8"/>
        <v>0</v>
      </c>
    </row>
    <row r="129" spans="2:3" x14ac:dyDescent="0.25">
      <c r="B129" s="286">
        <v>36770</v>
      </c>
      <c r="C129" s="287">
        <f t="shared" si="8"/>
        <v>-8627.6207128784317</v>
      </c>
    </row>
    <row r="130" spans="2:3" x14ac:dyDescent="0.25">
      <c r="B130" s="286">
        <v>36800</v>
      </c>
      <c r="C130" s="287">
        <f t="shared" si="8"/>
        <v>169073.2182141651</v>
      </c>
    </row>
    <row r="131" spans="2:3" x14ac:dyDescent="0.25">
      <c r="B131" s="286">
        <v>36831</v>
      </c>
      <c r="C131" s="287">
        <f t="shared" si="8"/>
        <v>664245.80033556418</v>
      </c>
    </row>
    <row r="132" spans="2:3" x14ac:dyDescent="0.25">
      <c r="B132" s="286">
        <v>36861</v>
      </c>
      <c r="C132" s="287">
        <f t="shared" si="8"/>
        <v>171739.34112885682</v>
      </c>
    </row>
    <row r="133" spans="2:3" x14ac:dyDescent="0.25">
      <c r="B133" s="286">
        <v>36892</v>
      </c>
      <c r="C133" s="287">
        <f t="shared" si="8"/>
        <v>85919.249322160205</v>
      </c>
    </row>
    <row r="134" spans="2:3" x14ac:dyDescent="0.25">
      <c r="B134" s="286">
        <v>36923</v>
      </c>
      <c r="C134" s="287">
        <f t="shared" si="8"/>
        <v>128248.86744771712</v>
      </c>
    </row>
    <row r="135" spans="2:3" x14ac:dyDescent="0.25">
      <c r="B135" s="286">
        <v>36951</v>
      </c>
      <c r="C135" s="287">
        <f t="shared" si="8"/>
        <v>901844.83623577328</v>
      </c>
    </row>
    <row r="136" spans="2:3" x14ac:dyDescent="0.25">
      <c r="B136" s="286">
        <v>36982</v>
      </c>
      <c r="C136" s="287">
        <f t="shared" si="8"/>
        <v>-75920.631082173742</v>
      </c>
    </row>
    <row r="137" spans="2:3" x14ac:dyDescent="0.25">
      <c r="B137" s="286">
        <v>37012</v>
      </c>
      <c r="C137" s="287">
        <f t="shared" si="8"/>
        <v>63759.952009895998</v>
      </c>
    </row>
    <row r="138" spans="2:3" x14ac:dyDescent="0.25">
      <c r="B138" s="286">
        <v>37043</v>
      </c>
      <c r="C138" s="287">
        <f t="shared" si="8"/>
        <v>62738.136033272749</v>
      </c>
    </row>
    <row r="139" spans="2:3" x14ac:dyDescent="0.25">
      <c r="B139" s="286">
        <v>37073</v>
      </c>
      <c r="C139" s="287">
        <f t="shared" si="8"/>
        <v>31918.279498971053</v>
      </c>
    </row>
    <row r="140" spans="2:3" x14ac:dyDescent="0.25">
      <c r="B140" s="286">
        <v>37104</v>
      </c>
      <c r="C140" s="287">
        <f t="shared" si="8"/>
        <v>32667.617259341569</v>
      </c>
    </row>
    <row r="141" spans="2:3" x14ac:dyDescent="0.25">
      <c r="B141" s="286">
        <v>37135</v>
      </c>
      <c r="C141" s="287">
        <f t="shared" si="8"/>
        <v>37009.482346041987</v>
      </c>
    </row>
    <row r="142" spans="2:3" x14ac:dyDescent="0.25">
      <c r="B142" s="286">
        <v>37165</v>
      </c>
      <c r="C142" s="287">
        <f t="shared" si="8"/>
        <v>54204.305450343469</v>
      </c>
    </row>
    <row r="143" spans="2:3" x14ac:dyDescent="0.25">
      <c r="B143" s="286">
        <v>37196</v>
      </c>
      <c r="C143" s="287">
        <f t="shared" si="8"/>
        <v>-54900.440800240205</v>
      </c>
    </row>
    <row r="144" spans="2:3" x14ac:dyDescent="0.25">
      <c r="B144" s="286">
        <v>37226</v>
      </c>
      <c r="C144" s="287">
        <f t="shared" si="8"/>
        <v>-44325.5580471867</v>
      </c>
    </row>
    <row r="145" spans="2:3" x14ac:dyDescent="0.25">
      <c r="B145" s="286">
        <v>37257</v>
      </c>
      <c r="C145" s="287">
        <f t="shared" si="8"/>
        <v>-37005.597425922897</v>
      </c>
    </row>
    <row r="146" spans="2:3" x14ac:dyDescent="0.25">
      <c r="B146" s="286">
        <v>37288</v>
      </c>
      <c r="C146" s="287">
        <f t="shared" si="8"/>
        <v>-35086.060442525748</v>
      </c>
    </row>
    <row r="147" spans="2:3" x14ac:dyDescent="0.25">
      <c r="B147" s="286">
        <v>37316</v>
      </c>
      <c r="C147" s="287">
        <f t="shared" si="8"/>
        <v>-52249.916281309037</v>
      </c>
    </row>
    <row r="148" spans="2:3" x14ac:dyDescent="0.25">
      <c r="B148" s="286">
        <v>37347</v>
      </c>
      <c r="C148" s="287">
        <f t="shared" si="8"/>
        <v>0</v>
      </c>
    </row>
    <row r="149" spans="2:3" x14ac:dyDescent="0.25">
      <c r="B149" s="286">
        <v>37377</v>
      </c>
      <c r="C149" s="287">
        <f t="shared" si="8"/>
        <v>0</v>
      </c>
    </row>
    <row r="150" spans="2:3" x14ac:dyDescent="0.25">
      <c r="B150" s="286">
        <v>37408</v>
      </c>
      <c r="C150" s="287">
        <f t="shared" si="8"/>
        <v>0</v>
      </c>
    </row>
    <row r="151" spans="2:3" x14ac:dyDescent="0.25">
      <c r="B151" s="286">
        <v>37438</v>
      </c>
      <c r="C151" s="287">
        <f t="shared" si="8"/>
        <v>0</v>
      </c>
    </row>
    <row r="152" spans="2:3" x14ac:dyDescent="0.25">
      <c r="B152" s="286">
        <v>37469</v>
      </c>
      <c r="C152" s="287">
        <f t="shared" si="8"/>
        <v>0</v>
      </c>
    </row>
    <row r="153" spans="2:3" x14ac:dyDescent="0.25">
      <c r="B153" s="286">
        <v>37500</v>
      </c>
      <c r="C153" s="287">
        <f t="shared" si="8"/>
        <v>0</v>
      </c>
    </row>
    <row r="154" spans="2:3" x14ac:dyDescent="0.25">
      <c r="B154" s="286">
        <v>37530</v>
      </c>
      <c r="C154" s="287">
        <f t="shared" si="8"/>
        <v>0</v>
      </c>
    </row>
    <row r="155" spans="2:3" x14ac:dyDescent="0.25">
      <c r="B155" s="286">
        <v>37561</v>
      </c>
      <c r="C155" s="287">
        <f t="shared" si="8"/>
        <v>7040.1903702535783</v>
      </c>
    </row>
    <row r="156" spans="2:3" x14ac:dyDescent="0.25">
      <c r="B156" s="286">
        <v>37591</v>
      </c>
      <c r="C156" s="287">
        <f t="shared" si="8"/>
        <v>7776.1519463270379</v>
      </c>
    </row>
    <row r="157" spans="2:3" x14ac:dyDescent="0.25">
      <c r="B157" s="286">
        <v>37622</v>
      </c>
      <c r="C157" s="287">
        <f t="shared" si="8"/>
        <v>7610.5299685399805</v>
      </c>
    </row>
    <row r="158" spans="2:3" x14ac:dyDescent="0.25">
      <c r="B158" s="286">
        <v>37653</v>
      </c>
      <c r="C158" s="287">
        <f t="shared" si="8"/>
        <v>6809.7018070475169</v>
      </c>
    </row>
    <row r="159" spans="2:3" x14ac:dyDescent="0.25">
      <c r="B159" s="286">
        <v>37681</v>
      </c>
      <c r="C159" s="287">
        <f t="shared" si="8"/>
        <v>7260.6719568657136</v>
      </c>
    </row>
    <row r="160" spans="2:3" x14ac:dyDescent="0.25">
      <c r="B160" s="286">
        <v>37712</v>
      </c>
      <c r="C160" s="287">
        <f t="shared" si="8"/>
        <v>0</v>
      </c>
    </row>
    <row r="161" spans="2:3" x14ac:dyDescent="0.25">
      <c r="B161" s="286">
        <v>37742</v>
      </c>
      <c r="C161" s="287">
        <f t="shared" si="8"/>
        <v>0</v>
      </c>
    </row>
    <row r="162" spans="2:3" x14ac:dyDescent="0.25">
      <c r="B162" s="286">
        <v>37773</v>
      </c>
      <c r="C162" s="287">
        <f t="shared" si="8"/>
        <v>0</v>
      </c>
    </row>
    <row r="163" spans="2:3" x14ac:dyDescent="0.25">
      <c r="B163" s="286">
        <v>37803</v>
      </c>
      <c r="C163" s="287">
        <f t="shared" si="8"/>
        <v>0</v>
      </c>
    </row>
    <row r="164" spans="2:3" x14ac:dyDescent="0.25">
      <c r="B164" s="286">
        <v>37834</v>
      </c>
      <c r="C164" s="287">
        <f t="shared" si="8"/>
        <v>0</v>
      </c>
    </row>
    <row r="165" spans="2:3" x14ac:dyDescent="0.25">
      <c r="B165" s="286">
        <v>37865</v>
      </c>
      <c r="C165" s="287">
        <f t="shared" si="8"/>
        <v>0</v>
      </c>
    </row>
    <row r="166" spans="2:3" x14ac:dyDescent="0.25">
      <c r="B166" s="286">
        <v>37895</v>
      </c>
      <c r="C166" s="287">
        <f t="shared" si="8"/>
        <v>0</v>
      </c>
    </row>
    <row r="167" spans="2:3" x14ac:dyDescent="0.25">
      <c r="B167" s="286">
        <v>37926</v>
      </c>
      <c r="C167" s="287">
        <f t="shared" si="8"/>
        <v>0</v>
      </c>
    </row>
    <row r="168" spans="2:3" x14ac:dyDescent="0.25">
      <c r="B168" s="286">
        <v>37956</v>
      </c>
      <c r="C168" s="287">
        <f t="shared" si="8"/>
        <v>0</v>
      </c>
    </row>
    <row r="169" spans="2:3" x14ac:dyDescent="0.25">
      <c r="B169" s="286">
        <v>37987</v>
      </c>
      <c r="C169" s="287">
        <f t="shared" si="8"/>
        <v>0</v>
      </c>
    </row>
    <row r="170" spans="2:3" x14ac:dyDescent="0.25">
      <c r="B170" s="286">
        <v>38018</v>
      </c>
      <c r="C170" s="287">
        <f t="shared" si="8"/>
        <v>0</v>
      </c>
    </row>
    <row r="171" spans="2:3" x14ac:dyDescent="0.25">
      <c r="B171" s="286">
        <v>38047</v>
      </c>
      <c r="C171" s="287">
        <f t="shared" si="8"/>
        <v>0</v>
      </c>
    </row>
    <row r="172" spans="2:3" x14ac:dyDescent="0.25">
      <c r="B172" s="286">
        <v>38078</v>
      </c>
      <c r="C172" s="287">
        <f t="shared" si="8"/>
        <v>0</v>
      </c>
    </row>
    <row r="173" spans="2:3" x14ac:dyDescent="0.25">
      <c r="B173" s="286">
        <v>38108</v>
      </c>
      <c r="C173" s="287">
        <f t="shared" si="8"/>
        <v>0</v>
      </c>
    </row>
    <row r="174" spans="2:3" x14ac:dyDescent="0.25">
      <c r="B174" s="286">
        <v>38139</v>
      </c>
      <c r="C174" s="287">
        <f t="shared" si="8"/>
        <v>0</v>
      </c>
    </row>
    <row r="175" spans="2:3" x14ac:dyDescent="0.25">
      <c r="B175" s="286">
        <v>38169</v>
      </c>
      <c r="C175" s="287">
        <f t="shared" si="8"/>
        <v>0</v>
      </c>
    </row>
    <row r="176" spans="2:3" x14ac:dyDescent="0.25">
      <c r="B176" s="286">
        <v>38200</v>
      </c>
      <c r="C176" s="287">
        <f t="shared" si="8"/>
        <v>0</v>
      </c>
    </row>
    <row r="177" spans="2:3" x14ac:dyDescent="0.25">
      <c r="B177" s="286">
        <v>38231</v>
      </c>
      <c r="C177" s="287">
        <f t="shared" si="8"/>
        <v>0</v>
      </c>
    </row>
    <row r="178" spans="2:3" x14ac:dyDescent="0.25">
      <c r="B178" s="286">
        <v>38261</v>
      </c>
      <c r="C178" s="287">
        <f t="shared" si="8"/>
        <v>0</v>
      </c>
    </row>
    <row r="179" spans="2:3" x14ac:dyDescent="0.25">
      <c r="B179" s="286">
        <v>38292</v>
      </c>
      <c r="C179" s="287">
        <f t="shared" si="8"/>
        <v>0</v>
      </c>
    </row>
    <row r="180" spans="2:3" x14ac:dyDescent="0.25">
      <c r="B180" s="286">
        <v>38322</v>
      </c>
      <c r="C180" s="287">
        <f t="shared" si="8"/>
        <v>0</v>
      </c>
    </row>
    <row r="181" spans="2:3" x14ac:dyDescent="0.25">
      <c r="B181" s="286">
        <v>38353</v>
      </c>
      <c r="C181" s="287">
        <f t="shared" si="8"/>
        <v>0</v>
      </c>
    </row>
    <row r="182" spans="2:3" x14ac:dyDescent="0.25">
      <c r="B182" s="286">
        <v>38384</v>
      </c>
      <c r="C182" s="287">
        <f t="shared" si="8"/>
        <v>0</v>
      </c>
    </row>
    <row r="183" spans="2:3" x14ac:dyDescent="0.25">
      <c r="B183" s="286">
        <v>38412</v>
      </c>
      <c r="C183" s="287">
        <f t="shared" ref="C183:C246" si="9">VLOOKUP(B183,TotalPos,9)</f>
        <v>0</v>
      </c>
    </row>
    <row r="184" spans="2:3" x14ac:dyDescent="0.25">
      <c r="B184" s="286">
        <v>38443</v>
      </c>
      <c r="C184" s="287">
        <f t="shared" si="9"/>
        <v>0</v>
      </c>
    </row>
    <row r="185" spans="2:3" x14ac:dyDescent="0.25">
      <c r="B185" s="286">
        <v>38473</v>
      </c>
      <c r="C185" s="287">
        <f t="shared" si="9"/>
        <v>0</v>
      </c>
    </row>
    <row r="186" spans="2:3" x14ac:dyDescent="0.25">
      <c r="B186" s="286">
        <v>38504</v>
      </c>
      <c r="C186" s="287">
        <f t="shared" si="9"/>
        <v>0</v>
      </c>
    </row>
    <row r="187" spans="2:3" x14ac:dyDescent="0.25">
      <c r="B187" s="286">
        <v>38534</v>
      </c>
      <c r="C187" s="287">
        <f t="shared" si="9"/>
        <v>0</v>
      </c>
    </row>
    <row r="188" spans="2:3" x14ac:dyDescent="0.25">
      <c r="B188" s="286">
        <v>38565</v>
      </c>
      <c r="C188" s="287">
        <f t="shared" si="9"/>
        <v>0</v>
      </c>
    </row>
    <row r="189" spans="2:3" x14ac:dyDescent="0.25">
      <c r="B189" s="286">
        <v>38596</v>
      </c>
      <c r="C189" s="287">
        <f t="shared" si="9"/>
        <v>0</v>
      </c>
    </row>
    <row r="190" spans="2:3" x14ac:dyDescent="0.25">
      <c r="B190" s="286">
        <v>38626</v>
      </c>
      <c r="C190" s="287">
        <f t="shared" si="9"/>
        <v>0</v>
      </c>
    </row>
    <row r="191" spans="2:3" x14ac:dyDescent="0.25">
      <c r="B191" s="286">
        <v>38657</v>
      </c>
      <c r="C191" s="287">
        <f t="shared" si="9"/>
        <v>0</v>
      </c>
    </row>
    <row r="192" spans="2:3" x14ac:dyDescent="0.25">
      <c r="B192" s="286">
        <v>38687</v>
      </c>
      <c r="C192" s="287">
        <f t="shared" si="9"/>
        <v>0</v>
      </c>
    </row>
    <row r="193" spans="2:3" x14ac:dyDescent="0.25">
      <c r="B193" s="286">
        <v>38718</v>
      </c>
      <c r="C193" s="287">
        <f t="shared" si="9"/>
        <v>0</v>
      </c>
    </row>
    <row r="194" spans="2:3" x14ac:dyDescent="0.25">
      <c r="B194" s="286">
        <v>38749</v>
      </c>
      <c r="C194" s="287">
        <f t="shared" si="9"/>
        <v>0</v>
      </c>
    </row>
    <row r="195" spans="2:3" x14ac:dyDescent="0.25">
      <c r="B195" s="286">
        <v>38777</v>
      </c>
      <c r="C195" s="287">
        <f t="shared" si="9"/>
        <v>0</v>
      </c>
    </row>
    <row r="196" spans="2:3" x14ac:dyDescent="0.25">
      <c r="B196" s="286">
        <v>38808</v>
      </c>
      <c r="C196" s="287">
        <f t="shared" si="9"/>
        <v>0</v>
      </c>
    </row>
    <row r="197" spans="2:3" x14ac:dyDescent="0.25">
      <c r="B197" s="286">
        <v>38838</v>
      </c>
      <c r="C197" s="287">
        <f t="shared" si="9"/>
        <v>0</v>
      </c>
    </row>
    <row r="198" spans="2:3" x14ac:dyDescent="0.25">
      <c r="B198" s="286">
        <v>38869</v>
      </c>
      <c r="C198" s="287">
        <f t="shared" si="9"/>
        <v>0</v>
      </c>
    </row>
    <row r="199" spans="2:3" x14ac:dyDescent="0.25">
      <c r="B199" s="286">
        <v>38899</v>
      </c>
      <c r="C199" s="287">
        <f t="shared" si="9"/>
        <v>0</v>
      </c>
    </row>
    <row r="200" spans="2:3" x14ac:dyDescent="0.25">
      <c r="B200" s="286">
        <v>38930</v>
      </c>
      <c r="C200" s="287">
        <f t="shared" si="9"/>
        <v>0</v>
      </c>
    </row>
    <row r="201" spans="2:3" x14ac:dyDescent="0.25">
      <c r="B201" s="286">
        <v>38961</v>
      </c>
      <c r="C201" s="287">
        <f t="shared" si="9"/>
        <v>0</v>
      </c>
    </row>
    <row r="202" spans="2:3" x14ac:dyDescent="0.25">
      <c r="B202" s="286">
        <v>38991</v>
      </c>
      <c r="C202" s="287">
        <f t="shared" si="9"/>
        <v>0</v>
      </c>
    </row>
    <row r="203" spans="2:3" x14ac:dyDescent="0.25">
      <c r="B203" s="286">
        <v>39022</v>
      </c>
      <c r="C203" s="287">
        <f t="shared" si="9"/>
        <v>0</v>
      </c>
    </row>
    <row r="204" spans="2:3" x14ac:dyDescent="0.25">
      <c r="B204" s="286">
        <v>39052</v>
      </c>
      <c r="C204" s="287">
        <f t="shared" si="9"/>
        <v>0</v>
      </c>
    </row>
    <row r="205" spans="2:3" x14ac:dyDescent="0.25">
      <c r="B205" s="286">
        <v>39083</v>
      </c>
      <c r="C205" s="287">
        <f t="shared" si="9"/>
        <v>0</v>
      </c>
    </row>
    <row r="206" spans="2:3" x14ac:dyDescent="0.25">
      <c r="B206" s="286">
        <v>39114</v>
      </c>
      <c r="C206" s="287">
        <f t="shared" si="9"/>
        <v>0</v>
      </c>
    </row>
    <row r="207" spans="2:3" x14ac:dyDescent="0.25">
      <c r="B207" s="286">
        <v>39142</v>
      </c>
      <c r="C207" s="287">
        <f t="shared" si="9"/>
        <v>0</v>
      </c>
    </row>
    <row r="208" spans="2:3" x14ac:dyDescent="0.25">
      <c r="B208" s="286">
        <v>39173</v>
      </c>
      <c r="C208" s="287">
        <f t="shared" si="9"/>
        <v>0</v>
      </c>
    </row>
    <row r="209" spans="2:3" x14ac:dyDescent="0.25">
      <c r="B209" s="286">
        <v>39203</v>
      </c>
      <c r="C209" s="287">
        <f t="shared" si="9"/>
        <v>0</v>
      </c>
    </row>
    <row r="210" spans="2:3" x14ac:dyDescent="0.25">
      <c r="B210" s="286">
        <v>39234</v>
      </c>
      <c r="C210" s="287">
        <f t="shared" si="9"/>
        <v>0</v>
      </c>
    </row>
    <row r="211" spans="2:3" x14ac:dyDescent="0.25">
      <c r="B211" s="286">
        <v>39264</v>
      </c>
      <c r="C211" s="287">
        <f t="shared" si="9"/>
        <v>0</v>
      </c>
    </row>
    <row r="212" spans="2:3" x14ac:dyDescent="0.25">
      <c r="B212" s="286">
        <v>39295</v>
      </c>
      <c r="C212" s="287">
        <f t="shared" si="9"/>
        <v>0</v>
      </c>
    </row>
    <row r="213" spans="2:3" x14ac:dyDescent="0.25">
      <c r="B213" s="286">
        <v>39326</v>
      </c>
      <c r="C213" s="287">
        <f t="shared" si="9"/>
        <v>0</v>
      </c>
    </row>
    <row r="214" spans="2:3" x14ac:dyDescent="0.25">
      <c r="B214" s="286">
        <v>39356</v>
      </c>
      <c r="C214" s="287">
        <f t="shared" si="9"/>
        <v>0</v>
      </c>
    </row>
    <row r="215" spans="2:3" x14ac:dyDescent="0.25">
      <c r="B215" s="286">
        <v>39387</v>
      </c>
      <c r="C215" s="287">
        <f t="shared" si="9"/>
        <v>0</v>
      </c>
    </row>
    <row r="216" spans="2:3" x14ac:dyDescent="0.25">
      <c r="B216" s="286">
        <v>39417</v>
      </c>
      <c r="C216" s="287">
        <f t="shared" si="9"/>
        <v>0</v>
      </c>
    </row>
    <row r="217" spans="2:3" x14ac:dyDescent="0.25">
      <c r="B217" s="286">
        <v>39448</v>
      </c>
      <c r="C217" s="287">
        <f t="shared" si="9"/>
        <v>0</v>
      </c>
    </row>
    <row r="218" spans="2:3" x14ac:dyDescent="0.25">
      <c r="B218" s="286">
        <v>39479</v>
      </c>
      <c r="C218" s="287">
        <f t="shared" si="9"/>
        <v>0</v>
      </c>
    </row>
    <row r="219" spans="2:3" x14ac:dyDescent="0.25">
      <c r="B219" s="286">
        <v>39508</v>
      </c>
      <c r="C219" s="287">
        <f t="shared" si="9"/>
        <v>0</v>
      </c>
    </row>
    <row r="220" spans="2:3" x14ac:dyDescent="0.25">
      <c r="B220" s="286">
        <v>39539</v>
      </c>
      <c r="C220" s="287">
        <f t="shared" si="9"/>
        <v>0</v>
      </c>
    </row>
    <row r="221" spans="2:3" x14ac:dyDescent="0.25">
      <c r="B221" s="286">
        <v>39569</v>
      </c>
      <c r="C221" s="287">
        <f t="shared" si="9"/>
        <v>0</v>
      </c>
    </row>
    <row r="222" spans="2:3" x14ac:dyDescent="0.25">
      <c r="B222" s="286">
        <v>39600</v>
      </c>
      <c r="C222" s="287">
        <f t="shared" si="9"/>
        <v>0</v>
      </c>
    </row>
    <row r="223" spans="2:3" x14ac:dyDescent="0.25">
      <c r="B223" s="286">
        <v>39630</v>
      </c>
      <c r="C223" s="287">
        <f t="shared" si="9"/>
        <v>0</v>
      </c>
    </row>
    <row r="224" spans="2:3" x14ac:dyDescent="0.25">
      <c r="B224" s="286">
        <v>39661</v>
      </c>
      <c r="C224" s="287">
        <f t="shared" si="9"/>
        <v>0</v>
      </c>
    </row>
    <row r="225" spans="2:3" x14ac:dyDescent="0.25">
      <c r="B225" s="286">
        <v>39692</v>
      </c>
      <c r="C225" s="287">
        <f t="shared" si="9"/>
        <v>0</v>
      </c>
    </row>
    <row r="226" spans="2:3" x14ac:dyDescent="0.25">
      <c r="B226" s="286">
        <v>39722</v>
      </c>
      <c r="C226" s="287">
        <f t="shared" si="9"/>
        <v>0</v>
      </c>
    </row>
    <row r="227" spans="2:3" x14ac:dyDescent="0.25">
      <c r="B227" s="286">
        <v>39753</v>
      </c>
      <c r="C227" s="287">
        <f t="shared" si="9"/>
        <v>0</v>
      </c>
    </row>
    <row r="228" spans="2:3" x14ac:dyDescent="0.25">
      <c r="B228" s="286">
        <v>39783</v>
      </c>
      <c r="C228" s="287">
        <f t="shared" si="9"/>
        <v>0</v>
      </c>
    </row>
    <row r="229" spans="2:3" x14ac:dyDescent="0.25">
      <c r="B229" s="286">
        <v>39814</v>
      </c>
      <c r="C229" s="287">
        <f t="shared" si="9"/>
        <v>0</v>
      </c>
    </row>
    <row r="230" spans="2:3" x14ac:dyDescent="0.25">
      <c r="B230" s="286">
        <v>39845</v>
      </c>
      <c r="C230" s="287">
        <f t="shared" si="9"/>
        <v>0</v>
      </c>
    </row>
    <row r="231" spans="2:3" x14ac:dyDescent="0.25">
      <c r="B231" s="286">
        <v>39873</v>
      </c>
      <c r="C231" s="287">
        <f t="shared" si="9"/>
        <v>0</v>
      </c>
    </row>
    <row r="232" spans="2:3" x14ac:dyDescent="0.25">
      <c r="B232" s="286">
        <v>39904</v>
      </c>
      <c r="C232" s="287">
        <f t="shared" si="9"/>
        <v>0</v>
      </c>
    </row>
    <row r="233" spans="2:3" x14ac:dyDescent="0.25">
      <c r="B233" s="286">
        <v>39934</v>
      </c>
      <c r="C233" s="287">
        <f t="shared" si="9"/>
        <v>0</v>
      </c>
    </row>
    <row r="234" spans="2:3" x14ac:dyDescent="0.25">
      <c r="B234" s="286">
        <v>39965</v>
      </c>
      <c r="C234" s="287">
        <f t="shared" si="9"/>
        <v>0</v>
      </c>
    </row>
    <row r="235" spans="2:3" x14ac:dyDescent="0.25">
      <c r="B235" s="286">
        <v>39995</v>
      </c>
      <c r="C235" s="287">
        <f t="shared" si="9"/>
        <v>0</v>
      </c>
    </row>
    <row r="236" spans="2:3" x14ac:dyDescent="0.25">
      <c r="B236" s="286">
        <v>40026</v>
      </c>
      <c r="C236" s="287">
        <f t="shared" si="9"/>
        <v>0</v>
      </c>
    </row>
    <row r="237" spans="2:3" x14ac:dyDescent="0.25">
      <c r="B237" s="286">
        <v>40057</v>
      </c>
      <c r="C237" s="287">
        <f t="shared" si="9"/>
        <v>0</v>
      </c>
    </row>
    <row r="238" spans="2:3" x14ac:dyDescent="0.25">
      <c r="B238" s="286">
        <v>40087</v>
      </c>
      <c r="C238" s="287">
        <f t="shared" si="9"/>
        <v>0</v>
      </c>
    </row>
    <row r="239" spans="2:3" x14ac:dyDescent="0.25">
      <c r="B239" s="286">
        <v>40118</v>
      </c>
      <c r="C239" s="287">
        <f t="shared" si="9"/>
        <v>0</v>
      </c>
    </row>
    <row r="240" spans="2:3" x14ac:dyDescent="0.25">
      <c r="B240" s="286">
        <v>40148</v>
      </c>
      <c r="C240" s="287">
        <f t="shared" si="9"/>
        <v>0</v>
      </c>
    </row>
    <row r="241" spans="2:3" x14ac:dyDescent="0.25">
      <c r="B241" s="286">
        <v>40179</v>
      </c>
      <c r="C241" s="287">
        <f t="shared" si="9"/>
        <v>0</v>
      </c>
    </row>
    <row r="242" spans="2:3" x14ac:dyDescent="0.25">
      <c r="B242" s="286">
        <v>40210</v>
      </c>
      <c r="C242" s="287">
        <f t="shared" si="9"/>
        <v>0</v>
      </c>
    </row>
    <row r="243" spans="2:3" x14ac:dyDescent="0.25">
      <c r="B243" s="286">
        <v>40238</v>
      </c>
      <c r="C243" s="287">
        <f t="shared" si="9"/>
        <v>0</v>
      </c>
    </row>
    <row r="244" spans="2:3" x14ac:dyDescent="0.25">
      <c r="B244" s="286">
        <v>40269</v>
      </c>
      <c r="C244" s="287">
        <f t="shared" si="9"/>
        <v>0</v>
      </c>
    </row>
    <row r="245" spans="2:3" x14ac:dyDescent="0.25">
      <c r="B245" s="286">
        <v>40299</v>
      </c>
      <c r="C245" s="287">
        <f t="shared" si="9"/>
        <v>0</v>
      </c>
    </row>
    <row r="246" spans="2:3" x14ac:dyDescent="0.25">
      <c r="B246" s="286">
        <v>40330</v>
      </c>
      <c r="C246" s="287">
        <f t="shared" si="9"/>
        <v>0</v>
      </c>
    </row>
    <row r="247" spans="2:3" x14ac:dyDescent="0.25">
      <c r="B247" s="286">
        <v>40360</v>
      </c>
      <c r="C247" s="287">
        <f t="shared" ref="C247:C272" si="10">VLOOKUP(B247,TotalPos,9)</f>
        <v>0</v>
      </c>
    </row>
    <row r="248" spans="2:3" x14ac:dyDescent="0.25">
      <c r="B248" s="286">
        <v>40391</v>
      </c>
      <c r="C248" s="287">
        <f t="shared" si="10"/>
        <v>0</v>
      </c>
    </row>
    <row r="249" spans="2:3" x14ac:dyDescent="0.25">
      <c r="B249" s="286">
        <v>40422</v>
      </c>
      <c r="C249" s="287">
        <f t="shared" si="10"/>
        <v>0</v>
      </c>
    </row>
    <row r="250" spans="2:3" x14ac:dyDescent="0.25">
      <c r="B250" s="286">
        <v>40452</v>
      </c>
      <c r="C250" s="287">
        <f t="shared" si="10"/>
        <v>0</v>
      </c>
    </row>
    <row r="251" spans="2:3" x14ac:dyDescent="0.25">
      <c r="B251" s="286">
        <v>40483</v>
      </c>
      <c r="C251" s="287">
        <f t="shared" si="10"/>
        <v>0</v>
      </c>
    </row>
    <row r="252" spans="2:3" x14ac:dyDescent="0.25">
      <c r="B252" s="286">
        <v>40513</v>
      </c>
      <c r="C252" s="287">
        <f t="shared" si="10"/>
        <v>0</v>
      </c>
    </row>
    <row r="253" spans="2:3" x14ac:dyDescent="0.25">
      <c r="B253" s="286">
        <v>40544</v>
      </c>
      <c r="C253" s="287">
        <f t="shared" si="10"/>
        <v>0</v>
      </c>
    </row>
    <row r="254" spans="2:3" x14ac:dyDescent="0.25">
      <c r="B254" s="286">
        <v>40575</v>
      </c>
      <c r="C254" s="287">
        <f t="shared" si="10"/>
        <v>0</v>
      </c>
    </row>
    <row r="255" spans="2:3" x14ac:dyDescent="0.25">
      <c r="B255" s="286">
        <v>40603</v>
      </c>
      <c r="C255" s="287">
        <f t="shared" si="10"/>
        <v>0</v>
      </c>
    </row>
    <row r="256" spans="2:3" x14ac:dyDescent="0.25">
      <c r="B256" s="286">
        <v>40634</v>
      </c>
      <c r="C256" s="287">
        <f t="shared" si="10"/>
        <v>0</v>
      </c>
    </row>
    <row r="257" spans="2:3" x14ac:dyDescent="0.25">
      <c r="B257" s="286">
        <v>40664</v>
      </c>
      <c r="C257" s="287">
        <f t="shared" si="10"/>
        <v>0</v>
      </c>
    </row>
    <row r="258" spans="2:3" x14ac:dyDescent="0.25">
      <c r="B258" s="286">
        <v>40695</v>
      </c>
      <c r="C258" s="287">
        <f t="shared" si="10"/>
        <v>0</v>
      </c>
    </row>
    <row r="259" spans="2:3" x14ac:dyDescent="0.25">
      <c r="B259" s="286">
        <v>40725</v>
      </c>
      <c r="C259" s="287">
        <f t="shared" si="10"/>
        <v>0</v>
      </c>
    </row>
    <row r="260" spans="2:3" x14ac:dyDescent="0.25">
      <c r="B260" s="286">
        <v>40756</v>
      </c>
      <c r="C260" s="287">
        <f t="shared" si="10"/>
        <v>0</v>
      </c>
    </row>
    <row r="261" spans="2:3" x14ac:dyDescent="0.25">
      <c r="B261" s="286">
        <v>40787</v>
      </c>
      <c r="C261" s="287">
        <f t="shared" si="10"/>
        <v>0</v>
      </c>
    </row>
    <row r="262" spans="2:3" x14ac:dyDescent="0.25">
      <c r="B262" s="286">
        <v>40817</v>
      </c>
      <c r="C262" s="287">
        <f t="shared" si="10"/>
        <v>0</v>
      </c>
    </row>
    <row r="263" spans="2:3" x14ac:dyDescent="0.25">
      <c r="B263" s="286">
        <v>40848</v>
      </c>
      <c r="C263" s="287">
        <f t="shared" si="10"/>
        <v>0</v>
      </c>
    </row>
    <row r="264" spans="2:3" x14ac:dyDescent="0.25">
      <c r="B264" s="286">
        <v>40878</v>
      </c>
      <c r="C264" s="287">
        <f t="shared" si="10"/>
        <v>0</v>
      </c>
    </row>
    <row r="265" spans="2:3" x14ac:dyDescent="0.25">
      <c r="B265" s="286">
        <v>40909</v>
      </c>
      <c r="C265" s="287">
        <f t="shared" si="10"/>
        <v>0</v>
      </c>
    </row>
    <row r="266" spans="2:3" x14ac:dyDescent="0.25">
      <c r="B266" s="286">
        <v>40940</v>
      </c>
      <c r="C266" s="287">
        <f t="shared" si="10"/>
        <v>0</v>
      </c>
    </row>
    <row r="267" spans="2:3" x14ac:dyDescent="0.25">
      <c r="B267" s="286">
        <v>40969</v>
      </c>
      <c r="C267" s="287">
        <f t="shared" si="10"/>
        <v>0</v>
      </c>
    </row>
    <row r="268" spans="2:3" x14ac:dyDescent="0.25">
      <c r="B268" s="286">
        <v>41000</v>
      </c>
      <c r="C268" s="287">
        <f t="shared" si="10"/>
        <v>0</v>
      </c>
    </row>
    <row r="269" spans="2:3" x14ac:dyDescent="0.25">
      <c r="B269" s="286">
        <v>41030</v>
      </c>
      <c r="C269" s="287">
        <f t="shared" si="10"/>
        <v>0</v>
      </c>
    </row>
    <row r="270" spans="2:3" x14ac:dyDescent="0.25">
      <c r="B270" s="286">
        <v>41061</v>
      </c>
      <c r="C270" s="287">
        <f t="shared" si="10"/>
        <v>0</v>
      </c>
    </row>
    <row r="271" spans="2:3" x14ac:dyDescent="0.25">
      <c r="B271" s="286">
        <v>41091</v>
      </c>
      <c r="C271" s="287">
        <f t="shared" si="10"/>
        <v>0</v>
      </c>
    </row>
    <row r="272" spans="2:3" ht="13.8" thickBot="1" x14ac:dyDescent="0.3">
      <c r="B272" s="327">
        <v>41122</v>
      </c>
      <c r="C272" s="287">
        <f t="shared" si="10"/>
        <v>0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9" r:id="rId4" name="Button 5">
              <controlPr defaultSize="0" print="0" autoFill="0" autoPict="0" macro="[0]!PRINTEXOTIC">
                <anchor moveWithCells="1" sizeWithCells="1">
                  <from>
                    <xdr:col>19</xdr:col>
                    <xdr:colOff>182880</xdr:colOff>
                    <xdr:row>2</xdr:row>
                    <xdr:rowOff>91440</xdr:rowOff>
                  </from>
                  <to>
                    <xdr:col>22</xdr:col>
                    <xdr:colOff>190500</xdr:colOff>
                    <xdr:row>5</xdr:row>
                    <xdr:rowOff>160020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BN375"/>
  <sheetViews>
    <sheetView workbookViewId="0">
      <selection activeCell="B5" sqref="B5"/>
    </sheetView>
  </sheetViews>
  <sheetFormatPr defaultColWidth="9.109375" defaultRowHeight="12" x14ac:dyDescent="0.25"/>
  <cols>
    <col min="1" max="1" width="9.88671875" style="291" bestFit="1" customWidth="1"/>
    <col min="2" max="2" width="11.5546875" style="296" bestFit="1" customWidth="1"/>
    <col min="3" max="3" width="19.5546875" style="294" customWidth="1"/>
    <col min="4" max="4" width="7.6640625" style="294" customWidth="1"/>
    <col min="5" max="5" width="10.44140625" style="294" bestFit="1" customWidth="1"/>
    <col min="6" max="6" width="9" style="294" bestFit="1" customWidth="1"/>
    <col min="7" max="7" width="13.88671875" style="294" bestFit="1" customWidth="1"/>
    <col min="8" max="8" width="11.6640625" style="294" bestFit="1" customWidth="1"/>
    <col min="9" max="9" width="12" style="294" bestFit="1" customWidth="1"/>
    <col min="10" max="10" width="14" style="294" bestFit="1" customWidth="1"/>
    <col min="11" max="11" width="15.109375" style="294" bestFit="1" customWidth="1"/>
    <col min="12" max="13" width="12.5546875" style="294" bestFit="1" customWidth="1"/>
    <col min="14" max="14" width="16.33203125" style="294" bestFit="1" customWidth="1"/>
    <col min="15" max="15" width="16.33203125" style="294" customWidth="1"/>
    <col min="16" max="16" width="12.5546875" style="294" bestFit="1" customWidth="1"/>
    <col min="17" max="17" width="10.88671875" style="294" bestFit="1" customWidth="1"/>
    <col min="18" max="18" width="12.6640625" style="291" bestFit="1" customWidth="1"/>
    <col min="19" max="19" width="9.6640625" style="291" bestFit="1" customWidth="1"/>
    <col min="20" max="21" width="11" style="291" bestFit="1" customWidth="1"/>
    <col min="22" max="22" width="10.109375" style="291" bestFit="1" customWidth="1"/>
    <col min="23" max="23" width="14.88671875" style="291" bestFit="1" customWidth="1"/>
    <col min="24" max="24" width="12.5546875" style="291" bestFit="1" customWidth="1"/>
    <col min="25" max="25" width="9.109375" style="291" bestFit="1"/>
    <col min="26" max="26" width="9.6640625" style="291" bestFit="1" customWidth="1"/>
    <col min="27" max="27" width="11" style="291" bestFit="1" customWidth="1"/>
    <col min="28" max="28" width="10.44140625" style="291" bestFit="1" customWidth="1"/>
    <col min="29" max="31" width="12" style="291" bestFit="1" customWidth="1"/>
    <col min="32" max="32" width="13.88671875" style="291" bestFit="1" customWidth="1"/>
    <col min="33" max="33" width="14.109375" style="291" bestFit="1" customWidth="1"/>
    <col min="34" max="34" width="18" style="291" bestFit="1" customWidth="1"/>
    <col min="35" max="35" width="18" style="291" customWidth="1"/>
    <col min="36" max="36" width="13.109375" style="291" bestFit="1" customWidth="1"/>
    <col min="37" max="37" width="15.5546875" style="291" bestFit="1" customWidth="1"/>
    <col min="38" max="38" width="17" style="291" bestFit="1" customWidth="1"/>
    <col min="39" max="39" width="14.109375" style="291" bestFit="1" customWidth="1"/>
    <col min="40" max="40" width="14" style="291" bestFit="1" customWidth="1"/>
    <col min="41" max="41" width="13" style="291" bestFit="1" customWidth="1"/>
    <col min="42" max="42" width="9.109375" style="291"/>
    <col min="43" max="43" width="9.6640625" style="291" bestFit="1" customWidth="1"/>
    <col min="44" max="44" width="16.109375" style="291" bestFit="1" customWidth="1"/>
    <col min="45" max="45" width="12" style="291" bestFit="1" customWidth="1"/>
    <col min="46" max="46" width="9" style="291" bestFit="1" customWidth="1"/>
    <col min="47" max="47" width="9.33203125" style="291" bestFit="1" customWidth="1"/>
    <col min="48" max="48" width="11.109375" style="291" bestFit="1" customWidth="1"/>
    <col min="49" max="49" width="10.44140625" style="291" bestFit="1" customWidth="1"/>
    <col min="50" max="50" width="9.109375" style="291"/>
    <col min="51" max="52" width="14.109375" style="291" bestFit="1" customWidth="1"/>
    <col min="53" max="53" width="12.33203125" style="291" bestFit="1" customWidth="1"/>
    <col min="54" max="54" width="7.88671875" style="291" bestFit="1" customWidth="1"/>
    <col min="55" max="55" width="17.6640625" style="291" bestFit="1" customWidth="1"/>
    <col min="56" max="56" width="15.5546875" style="291" bestFit="1" customWidth="1"/>
    <col min="57" max="57" width="9.109375" style="291"/>
    <col min="58" max="58" width="7.88671875" style="291" bestFit="1" customWidth="1"/>
    <col min="59" max="59" width="3.5546875" style="291" bestFit="1" customWidth="1"/>
    <col min="60" max="16384" width="9.109375" style="291"/>
  </cols>
  <sheetData>
    <row r="1" spans="1:66" x14ac:dyDescent="0.25">
      <c r="A1" s="291" t="s">
        <v>180</v>
      </c>
      <c r="B1" s="292" t="s">
        <v>181</v>
      </c>
      <c r="C1" s="293" t="s">
        <v>182</v>
      </c>
    </row>
    <row r="2" spans="1:66" x14ac:dyDescent="0.25">
      <c r="A2" s="291" t="s">
        <v>183</v>
      </c>
      <c r="B2" s="292" t="s">
        <v>181</v>
      </c>
      <c r="C2" s="293" t="s">
        <v>184</v>
      </c>
    </row>
    <row r="3" spans="1:66" x14ac:dyDescent="0.25">
      <c r="A3" s="291" t="s">
        <v>185</v>
      </c>
      <c r="B3" s="292" t="s">
        <v>186</v>
      </c>
      <c r="C3" s="293" t="s">
        <v>187</v>
      </c>
      <c r="AF3" s="299"/>
      <c r="AG3" s="299"/>
    </row>
    <row r="4" spans="1:66" ht="13.2" x14ac:dyDescent="0.25">
      <c r="B4" s="292"/>
      <c r="C4" s="293"/>
      <c r="AF4" s="292"/>
      <c r="AG4" s="292"/>
      <c r="BD4" s="302"/>
      <c r="BE4" s="302"/>
      <c r="BF4" s="302"/>
    </row>
    <row r="5" spans="1:66" ht="13.2" x14ac:dyDescent="0.25">
      <c r="A5" s="291" t="s">
        <v>188</v>
      </c>
      <c r="B5" s="295">
        <v>36767</v>
      </c>
      <c r="C5" s="293" t="s">
        <v>189</v>
      </c>
      <c r="AF5" s="302"/>
      <c r="AG5" s="302"/>
      <c r="BD5" s="304"/>
      <c r="BE5" s="304"/>
      <c r="BF5" s="304"/>
    </row>
    <row r="6" spans="1:66" ht="13.2" x14ac:dyDescent="0.25">
      <c r="B6" s="292"/>
      <c r="C6" s="293"/>
      <c r="G6" s="460"/>
      <c r="AF6" s="304"/>
      <c r="AG6" s="304"/>
      <c r="BD6" s="304"/>
      <c r="BE6" s="304"/>
      <c r="BF6" s="304"/>
    </row>
    <row r="7" spans="1:66" ht="13.2" x14ac:dyDescent="0.25">
      <c r="B7" s="292"/>
      <c r="C7" s="293"/>
      <c r="G7" s="460"/>
      <c r="AF7" s="304"/>
      <c r="AG7" s="304"/>
    </row>
    <row r="8" spans="1:66" x14ac:dyDescent="0.25">
      <c r="C8" s="297"/>
    </row>
    <row r="10" spans="1:66" x14ac:dyDescent="0.25">
      <c r="C10" s="489">
        <v>1</v>
      </c>
      <c r="D10" s="294">
        <v>2</v>
      </c>
      <c r="E10" s="294">
        <v>3</v>
      </c>
      <c r="F10" s="294">
        <v>4</v>
      </c>
      <c r="G10" s="294">
        <v>5</v>
      </c>
      <c r="H10" s="294">
        <v>6</v>
      </c>
      <c r="I10" s="294">
        <v>7</v>
      </c>
      <c r="J10" s="294">
        <v>8</v>
      </c>
      <c r="K10" s="294">
        <v>9</v>
      </c>
      <c r="L10" s="294">
        <v>10</v>
      </c>
      <c r="M10" s="294">
        <v>11</v>
      </c>
      <c r="N10" s="294">
        <v>12</v>
      </c>
      <c r="O10" s="294">
        <v>13</v>
      </c>
      <c r="P10" s="294">
        <v>14</v>
      </c>
      <c r="Q10" s="294">
        <v>15</v>
      </c>
      <c r="R10" s="294">
        <v>16</v>
      </c>
      <c r="S10" s="294">
        <v>17</v>
      </c>
      <c r="T10" s="294">
        <v>18</v>
      </c>
      <c r="U10" s="294">
        <v>19</v>
      </c>
      <c r="V10" s="294">
        <v>20</v>
      </c>
      <c r="W10" s="294">
        <v>21</v>
      </c>
      <c r="X10" s="294">
        <v>22</v>
      </c>
      <c r="Y10" s="294">
        <v>23</v>
      </c>
      <c r="Z10" s="294">
        <v>24</v>
      </c>
      <c r="AA10" s="294">
        <v>25</v>
      </c>
      <c r="AB10" s="294">
        <v>26</v>
      </c>
      <c r="AC10" s="294">
        <v>27</v>
      </c>
      <c r="AD10" s="294">
        <v>28</v>
      </c>
      <c r="AE10" s="294">
        <v>29</v>
      </c>
      <c r="AF10" s="294">
        <v>30</v>
      </c>
      <c r="AG10" s="294">
        <v>31</v>
      </c>
      <c r="AH10" s="294">
        <v>32</v>
      </c>
      <c r="AI10" s="294">
        <v>33</v>
      </c>
      <c r="AJ10" s="294">
        <v>34</v>
      </c>
      <c r="AK10" s="294">
        <v>35</v>
      </c>
      <c r="AL10" s="294">
        <v>36</v>
      </c>
      <c r="AM10" s="294">
        <v>37</v>
      </c>
      <c r="AN10" s="294">
        <v>38</v>
      </c>
      <c r="AO10" s="294">
        <v>39</v>
      </c>
      <c r="AP10" s="294">
        <v>40</v>
      </c>
      <c r="AQ10" s="294">
        <v>41</v>
      </c>
      <c r="AR10" s="294">
        <v>42</v>
      </c>
      <c r="AS10" s="294">
        <v>43</v>
      </c>
      <c r="AT10" s="294">
        <v>44</v>
      </c>
      <c r="AU10" s="294">
        <v>45</v>
      </c>
      <c r="AV10" s="294">
        <v>46</v>
      </c>
      <c r="AW10" s="294">
        <v>47</v>
      </c>
      <c r="AX10" s="294"/>
      <c r="AY10" s="294"/>
      <c r="AZ10" s="294"/>
      <c r="BA10" s="294"/>
      <c r="BB10" s="294"/>
      <c r="BI10" s="490" t="s">
        <v>546</v>
      </c>
      <c r="BJ10" s="490" t="s">
        <v>547</v>
      </c>
    </row>
    <row r="11" spans="1:66" x14ac:dyDescent="0.25">
      <c r="B11" s="298" t="s">
        <v>123</v>
      </c>
      <c r="C11" s="299">
        <f t="shared" ref="C11:BD11" si="0">EffDt</f>
        <v>36767</v>
      </c>
      <c r="D11" s="299">
        <f t="shared" si="0"/>
        <v>36767</v>
      </c>
      <c r="E11" s="299">
        <f t="shared" si="0"/>
        <v>36767</v>
      </c>
      <c r="F11" s="299">
        <f t="shared" si="0"/>
        <v>36767</v>
      </c>
      <c r="G11" s="299">
        <f t="shared" si="0"/>
        <v>36767</v>
      </c>
      <c r="H11" s="299">
        <f t="shared" si="0"/>
        <v>36767</v>
      </c>
      <c r="I11" s="299">
        <f t="shared" si="0"/>
        <v>36767</v>
      </c>
      <c r="J11" s="299">
        <f t="shared" si="0"/>
        <v>36767</v>
      </c>
      <c r="K11" s="299">
        <f t="shared" si="0"/>
        <v>36767</v>
      </c>
      <c r="L11" s="299">
        <f t="shared" si="0"/>
        <v>36767</v>
      </c>
      <c r="M11" s="299">
        <f t="shared" si="0"/>
        <v>36767</v>
      </c>
      <c r="N11" s="299">
        <f t="shared" si="0"/>
        <v>36767</v>
      </c>
      <c r="O11" s="299">
        <f t="shared" si="0"/>
        <v>36767</v>
      </c>
      <c r="P11" s="299">
        <f t="shared" si="0"/>
        <v>36767</v>
      </c>
      <c r="Q11" s="299">
        <f t="shared" si="0"/>
        <v>36767</v>
      </c>
      <c r="R11" s="299">
        <f t="shared" si="0"/>
        <v>36767</v>
      </c>
      <c r="S11" s="299">
        <f t="shared" si="0"/>
        <v>36767</v>
      </c>
      <c r="T11" s="299">
        <f t="shared" si="0"/>
        <v>36767</v>
      </c>
      <c r="U11" s="299">
        <f t="shared" si="0"/>
        <v>36767</v>
      </c>
      <c r="V11" s="299">
        <f t="shared" si="0"/>
        <v>36767</v>
      </c>
      <c r="W11" s="299">
        <f t="shared" si="0"/>
        <v>36767</v>
      </c>
      <c r="X11" s="299">
        <f t="shared" si="0"/>
        <v>36767</v>
      </c>
      <c r="Y11" s="299">
        <f t="shared" si="0"/>
        <v>36767</v>
      </c>
      <c r="Z11" s="299">
        <f t="shared" si="0"/>
        <v>36767</v>
      </c>
      <c r="AA11" s="299">
        <f t="shared" si="0"/>
        <v>36767</v>
      </c>
      <c r="AB11" s="299">
        <f t="shared" si="0"/>
        <v>36767</v>
      </c>
      <c r="AC11" s="299">
        <f t="shared" si="0"/>
        <v>36767</v>
      </c>
      <c r="AD11" s="299">
        <f t="shared" si="0"/>
        <v>36767</v>
      </c>
      <c r="AE11" s="299">
        <f t="shared" si="0"/>
        <v>36767</v>
      </c>
      <c r="AF11" s="299">
        <f t="shared" si="0"/>
        <v>36767</v>
      </c>
      <c r="AG11" s="299">
        <f t="shared" si="0"/>
        <v>36767</v>
      </c>
      <c r="AH11" s="299">
        <f t="shared" si="0"/>
        <v>36767</v>
      </c>
      <c r="AI11" s="299">
        <f t="shared" si="0"/>
        <v>36767</v>
      </c>
      <c r="AJ11" s="299">
        <f t="shared" si="0"/>
        <v>36767</v>
      </c>
      <c r="AK11" s="299">
        <f t="shared" si="0"/>
        <v>36767</v>
      </c>
      <c r="AL11" s="299">
        <f t="shared" si="0"/>
        <v>36767</v>
      </c>
      <c r="AM11" s="299">
        <f t="shared" si="0"/>
        <v>36767</v>
      </c>
      <c r="AN11" s="299">
        <f t="shared" si="0"/>
        <v>36767</v>
      </c>
      <c r="AO11" s="299">
        <f t="shared" si="0"/>
        <v>36767</v>
      </c>
      <c r="AP11" s="299">
        <f t="shared" si="0"/>
        <v>36767</v>
      </c>
      <c r="AQ11" s="299">
        <f t="shared" si="0"/>
        <v>36767</v>
      </c>
      <c r="AR11" s="299">
        <f t="shared" si="0"/>
        <v>36767</v>
      </c>
      <c r="AS11" s="299">
        <f t="shared" si="0"/>
        <v>36767</v>
      </c>
      <c r="AT11" s="299">
        <f t="shared" si="0"/>
        <v>36767</v>
      </c>
      <c r="AU11" s="299">
        <f t="shared" si="0"/>
        <v>36767</v>
      </c>
      <c r="AV11" s="299">
        <f t="shared" si="0"/>
        <v>36767</v>
      </c>
      <c r="AW11" s="299">
        <f>WORKDAY(AT11,-3)</f>
        <v>36762</v>
      </c>
      <c r="AX11" s="299"/>
      <c r="AY11" s="299">
        <f t="shared" si="0"/>
        <v>36767</v>
      </c>
      <c r="AZ11" s="299">
        <f t="shared" si="0"/>
        <v>36767</v>
      </c>
      <c r="BA11" s="299">
        <f t="shared" si="0"/>
        <v>36767</v>
      </c>
      <c r="BB11" s="299"/>
      <c r="BC11" s="299">
        <f>EffDt-1</f>
        <v>36766</v>
      </c>
      <c r="BD11" s="299">
        <f t="shared" si="0"/>
        <v>36767</v>
      </c>
      <c r="BI11" s="291" t="s">
        <v>548</v>
      </c>
      <c r="BJ11" s="291" t="s">
        <v>549</v>
      </c>
    </row>
    <row r="12" spans="1:66" x14ac:dyDescent="0.25">
      <c r="B12" s="298" t="s">
        <v>124</v>
      </c>
      <c r="C12" s="292">
        <f t="shared" ref="C12:AW12" si="1">EOMONTH(C11,0)+1</f>
        <v>36770</v>
      </c>
      <c r="D12" s="292">
        <f t="shared" si="1"/>
        <v>36770</v>
      </c>
      <c r="E12" s="292">
        <f t="shared" si="1"/>
        <v>36770</v>
      </c>
      <c r="F12" s="292">
        <f t="shared" si="1"/>
        <v>36770</v>
      </c>
      <c r="G12" s="292">
        <f t="shared" si="1"/>
        <v>36770</v>
      </c>
      <c r="H12" s="292">
        <f t="shared" si="1"/>
        <v>36770</v>
      </c>
      <c r="I12" s="292">
        <f t="shared" si="1"/>
        <v>36770</v>
      </c>
      <c r="J12" s="292">
        <f t="shared" si="1"/>
        <v>36770</v>
      </c>
      <c r="K12" s="292">
        <f t="shared" si="1"/>
        <v>36770</v>
      </c>
      <c r="L12" s="292">
        <f t="shared" si="1"/>
        <v>36770</v>
      </c>
      <c r="M12" s="292">
        <f t="shared" si="1"/>
        <v>36770</v>
      </c>
      <c r="N12" s="292">
        <f t="shared" si="1"/>
        <v>36770</v>
      </c>
      <c r="O12" s="292">
        <f t="shared" si="1"/>
        <v>36770</v>
      </c>
      <c r="P12" s="292">
        <f t="shared" si="1"/>
        <v>36770</v>
      </c>
      <c r="Q12" s="292">
        <f t="shared" si="1"/>
        <v>36770</v>
      </c>
      <c r="R12" s="292">
        <f t="shared" si="1"/>
        <v>36770</v>
      </c>
      <c r="S12" s="292">
        <f t="shared" si="1"/>
        <v>36770</v>
      </c>
      <c r="T12" s="292">
        <f t="shared" si="1"/>
        <v>36770</v>
      </c>
      <c r="U12" s="292">
        <f t="shared" si="1"/>
        <v>36770</v>
      </c>
      <c r="V12" s="292">
        <f t="shared" si="1"/>
        <v>36770</v>
      </c>
      <c r="W12" s="292">
        <f t="shared" si="1"/>
        <v>36770</v>
      </c>
      <c r="X12" s="292">
        <f t="shared" si="1"/>
        <v>36770</v>
      </c>
      <c r="Y12" s="292">
        <f t="shared" si="1"/>
        <v>36770</v>
      </c>
      <c r="Z12" s="292">
        <f t="shared" si="1"/>
        <v>36770</v>
      </c>
      <c r="AA12" s="292">
        <f t="shared" si="1"/>
        <v>36770</v>
      </c>
      <c r="AB12" s="292">
        <f t="shared" si="1"/>
        <v>36770</v>
      </c>
      <c r="AC12" s="292">
        <f t="shared" si="1"/>
        <v>36770</v>
      </c>
      <c r="AD12" s="292">
        <f t="shared" si="1"/>
        <v>36770</v>
      </c>
      <c r="AE12" s="292">
        <f t="shared" si="1"/>
        <v>36770</v>
      </c>
      <c r="AF12" s="292">
        <f t="shared" si="1"/>
        <v>36770</v>
      </c>
      <c r="AG12" s="292">
        <f t="shared" si="1"/>
        <v>36770</v>
      </c>
      <c r="AH12" s="292">
        <f t="shared" si="1"/>
        <v>36770</v>
      </c>
      <c r="AI12" s="292">
        <f t="shared" si="1"/>
        <v>36770</v>
      </c>
      <c r="AJ12" s="292">
        <f t="shared" si="1"/>
        <v>36770</v>
      </c>
      <c r="AK12" s="292">
        <f t="shared" si="1"/>
        <v>36770</v>
      </c>
      <c r="AL12" s="292">
        <f t="shared" si="1"/>
        <v>36770</v>
      </c>
      <c r="AM12" s="292">
        <f t="shared" si="1"/>
        <v>36770</v>
      </c>
      <c r="AN12" s="292">
        <f t="shared" si="1"/>
        <v>36770</v>
      </c>
      <c r="AO12" s="292">
        <f t="shared" si="1"/>
        <v>36770</v>
      </c>
      <c r="AP12" s="292">
        <f t="shared" si="1"/>
        <v>36770</v>
      </c>
      <c r="AQ12" s="292">
        <f t="shared" si="1"/>
        <v>36770</v>
      </c>
      <c r="AR12" s="292">
        <f t="shared" si="1"/>
        <v>36770</v>
      </c>
      <c r="AS12" s="292">
        <f t="shared" si="1"/>
        <v>36770</v>
      </c>
      <c r="AT12" s="292">
        <f t="shared" si="1"/>
        <v>36770</v>
      </c>
      <c r="AU12" s="292">
        <f t="shared" si="1"/>
        <v>36770</v>
      </c>
      <c r="AV12" s="292">
        <f t="shared" si="1"/>
        <v>36770</v>
      </c>
      <c r="AW12" s="292">
        <f t="shared" si="1"/>
        <v>36770</v>
      </c>
      <c r="AX12" s="292"/>
      <c r="AY12" s="292">
        <f>EOMONTH(AY11,0)+1</f>
        <v>36770</v>
      </c>
      <c r="AZ12" s="292">
        <f>EOMONTH(AZ11,0)+1</f>
        <v>36770</v>
      </c>
      <c r="BA12" s="292">
        <f>EOMONTH(BA11,0)+1</f>
        <v>36770</v>
      </c>
      <c r="BB12" s="292"/>
    </row>
    <row r="13" spans="1:66" ht="13.2" x14ac:dyDescent="0.25">
      <c r="B13" s="298" t="s">
        <v>131</v>
      </c>
      <c r="C13" s="294" t="s">
        <v>132</v>
      </c>
      <c r="D13" s="300" t="s">
        <v>132</v>
      </c>
      <c r="E13" s="300" t="s">
        <v>133</v>
      </c>
      <c r="F13" s="300" t="s">
        <v>248</v>
      </c>
      <c r="G13" s="300" t="s">
        <v>0</v>
      </c>
      <c r="H13" s="300" t="s">
        <v>6</v>
      </c>
      <c r="I13" s="300" t="s">
        <v>74</v>
      </c>
      <c r="J13" s="300" t="s">
        <v>10</v>
      </c>
      <c r="K13" s="300" t="s">
        <v>526</v>
      </c>
      <c r="L13" s="300" t="s">
        <v>45</v>
      </c>
      <c r="M13" s="301" t="s">
        <v>44</v>
      </c>
      <c r="N13" s="300" t="s">
        <v>9</v>
      </c>
      <c r="O13" s="300" t="s">
        <v>617</v>
      </c>
      <c r="P13" s="300" t="s">
        <v>46</v>
      </c>
      <c r="Q13" s="300" t="s">
        <v>47</v>
      </c>
      <c r="R13" s="300" t="s">
        <v>48</v>
      </c>
      <c r="S13" s="300" t="s">
        <v>94</v>
      </c>
      <c r="T13" s="300" t="s">
        <v>325</v>
      </c>
      <c r="U13" s="300" t="s">
        <v>95</v>
      </c>
      <c r="V13" s="300" t="s">
        <v>96</v>
      </c>
      <c r="W13" s="300" t="s">
        <v>97</v>
      </c>
      <c r="X13" s="300" t="s">
        <v>7</v>
      </c>
      <c r="Y13" s="302" t="s">
        <v>119</v>
      </c>
      <c r="Z13" s="302" t="s">
        <v>237</v>
      </c>
      <c r="AA13" s="302" t="s">
        <v>257</v>
      </c>
      <c r="AB13" s="302" t="s">
        <v>190</v>
      </c>
      <c r="AC13" s="302" t="s">
        <v>384</v>
      </c>
      <c r="AD13" s="302" t="s">
        <v>487</v>
      </c>
      <c r="AE13" s="302" t="s">
        <v>487</v>
      </c>
      <c r="AF13" s="300" t="s">
        <v>0</v>
      </c>
      <c r="AG13" s="302" t="s">
        <v>7</v>
      </c>
      <c r="AH13" s="302" t="s">
        <v>9</v>
      </c>
      <c r="AI13" s="300" t="s">
        <v>617</v>
      </c>
      <c r="AJ13" s="302" t="s">
        <v>74</v>
      </c>
      <c r="AK13" s="302" t="s">
        <v>10</v>
      </c>
      <c r="AL13" s="302" t="s">
        <v>526</v>
      </c>
      <c r="AM13" s="302" t="s">
        <v>46</v>
      </c>
      <c r="AN13" s="302" t="s">
        <v>48</v>
      </c>
      <c r="AO13" s="302" t="s">
        <v>6</v>
      </c>
      <c r="AP13" s="302" t="s">
        <v>119</v>
      </c>
      <c r="AQ13" s="302" t="s">
        <v>237</v>
      </c>
      <c r="AR13" s="302" t="s">
        <v>97</v>
      </c>
      <c r="AS13" s="302" t="s">
        <v>325</v>
      </c>
      <c r="AT13" s="303" t="s">
        <v>248</v>
      </c>
      <c r="AU13" s="303" t="s">
        <v>190</v>
      </c>
      <c r="AV13" s="303" t="s">
        <v>384</v>
      </c>
      <c r="AW13" s="300" t="s">
        <v>133</v>
      </c>
      <c r="AX13" s="303"/>
      <c r="AY13" s="302" t="s">
        <v>45</v>
      </c>
      <c r="AZ13" s="302" t="s">
        <v>44</v>
      </c>
      <c r="BA13" s="302" t="s">
        <v>47</v>
      </c>
      <c r="BB13" s="302"/>
      <c r="BC13" s="330" t="s">
        <v>192</v>
      </c>
      <c r="BD13" s="330" t="s">
        <v>193</v>
      </c>
      <c r="BE13" s="300"/>
      <c r="BF13" s="302"/>
      <c r="BG13" s="302"/>
      <c r="BH13" s="302"/>
      <c r="BI13" s="302"/>
      <c r="BJ13" s="302"/>
      <c r="BK13" s="302"/>
      <c r="BL13" s="302"/>
      <c r="BM13" s="302"/>
      <c r="BN13" s="302"/>
    </row>
    <row r="14" spans="1:66" ht="13.2" x14ac:dyDescent="0.25">
      <c r="B14" s="298" t="s">
        <v>125</v>
      </c>
      <c r="C14" s="294" t="s">
        <v>120</v>
      </c>
      <c r="D14" s="294" t="s">
        <v>126</v>
      </c>
      <c r="E14" s="294" t="s">
        <v>127</v>
      </c>
      <c r="F14" s="294" t="s">
        <v>120</v>
      </c>
      <c r="G14" s="294" t="s">
        <v>120</v>
      </c>
      <c r="H14" s="294" t="s">
        <v>120</v>
      </c>
      <c r="I14" s="294" t="s">
        <v>120</v>
      </c>
      <c r="J14" s="294" t="s">
        <v>120</v>
      </c>
      <c r="K14" s="294" t="s">
        <v>120</v>
      </c>
      <c r="L14" s="294" t="s">
        <v>120</v>
      </c>
      <c r="M14" s="294" t="s">
        <v>120</v>
      </c>
      <c r="N14" s="294" t="s">
        <v>120</v>
      </c>
      <c r="O14" s="294" t="s">
        <v>120</v>
      </c>
      <c r="P14" s="294" t="s">
        <v>120</v>
      </c>
      <c r="Q14" s="294" t="s">
        <v>120</v>
      </c>
      <c r="R14" s="294" t="s">
        <v>120</v>
      </c>
      <c r="S14" s="294" t="s">
        <v>120</v>
      </c>
      <c r="T14" s="294" t="s">
        <v>120</v>
      </c>
      <c r="U14" s="294" t="s">
        <v>120</v>
      </c>
      <c r="V14" s="294" t="s">
        <v>120</v>
      </c>
      <c r="W14" s="294" t="s">
        <v>120</v>
      </c>
      <c r="X14" s="294" t="s">
        <v>120</v>
      </c>
      <c r="Y14" s="304" t="s">
        <v>120</v>
      </c>
      <c r="Z14" s="304" t="s">
        <v>120</v>
      </c>
      <c r="AA14" s="304" t="s">
        <v>120</v>
      </c>
      <c r="AB14" s="304" t="s">
        <v>120</v>
      </c>
      <c r="AC14" s="304" t="s">
        <v>120</v>
      </c>
      <c r="AD14" s="304" t="s">
        <v>120</v>
      </c>
      <c r="AE14" s="294" t="s">
        <v>126</v>
      </c>
      <c r="AF14" s="294" t="s">
        <v>126</v>
      </c>
      <c r="AG14" s="304" t="s">
        <v>126</v>
      </c>
      <c r="AH14" s="304" t="s">
        <v>126</v>
      </c>
      <c r="AI14" s="304" t="s">
        <v>126</v>
      </c>
      <c r="AJ14" s="304" t="s">
        <v>126</v>
      </c>
      <c r="AK14" s="304" t="s">
        <v>126</v>
      </c>
      <c r="AL14" s="304" t="s">
        <v>126</v>
      </c>
      <c r="AM14" s="304" t="s">
        <v>126</v>
      </c>
      <c r="AN14" s="304" t="s">
        <v>126</v>
      </c>
      <c r="AO14" s="304" t="s">
        <v>126</v>
      </c>
      <c r="AP14" s="304" t="s">
        <v>126</v>
      </c>
      <c r="AQ14" s="304" t="s">
        <v>126</v>
      </c>
      <c r="AR14" s="304" t="s">
        <v>126</v>
      </c>
      <c r="AS14" s="304" t="s">
        <v>126</v>
      </c>
      <c r="AT14" s="294" t="s">
        <v>126</v>
      </c>
      <c r="AU14" s="294" t="s">
        <v>126</v>
      </c>
      <c r="AV14" s="294" t="s">
        <v>126</v>
      </c>
      <c r="AW14" s="294" t="s">
        <v>127</v>
      </c>
      <c r="AX14" s="294"/>
      <c r="AY14" s="304" t="s">
        <v>126</v>
      </c>
      <c r="AZ14" s="304" t="s">
        <v>126</v>
      </c>
      <c r="BA14" s="304" t="s">
        <v>126</v>
      </c>
      <c r="BB14" s="304"/>
      <c r="BE14" s="294"/>
      <c r="BF14" s="304"/>
      <c r="BG14" s="304"/>
      <c r="BH14" s="304"/>
      <c r="BI14" s="304"/>
      <c r="BJ14" s="304"/>
      <c r="BK14" s="304"/>
      <c r="BL14" s="304"/>
      <c r="BM14" s="304"/>
      <c r="BN14" s="304"/>
    </row>
    <row r="15" spans="1:66" ht="13.8" thickBot="1" x14ac:dyDescent="0.3">
      <c r="B15" s="298" t="s">
        <v>128</v>
      </c>
      <c r="C15" s="294" t="s">
        <v>1</v>
      </c>
      <c r="D15" s="294" t="s">
        <v>1</v>
      </c>
      <c r="E15" s="294" t="s">
        <v>130</v>
      </c>
      <c r="F15" s="294" t="s">
        <v>121</v>
      </c>
      <c r="G15" s="294" t="s">
        <v>121</v>
      </c>
      <c r="H15" s="294" t="s">
        <v>121</v>
      </c>
      <c r="I15" s="294" t="s">
        <v>121</v>
      </c>
      <c r="J15" s="294" t="s">
        <v>121</v>
      </c>
      <c r="K15" s="294" t="s">
        <v>121</v>
      </c>
      <c r="L15" s="294" t="s">
        <v>121</v>
      </c>
      <c r="M15" s="294" t="s">
        <v>121</v>
      </c>
      <c r="N15" s="294" t="s">
        <v>121</v>
      </c>
      <c r="O15" s="294" t="s">
        <v>121</v>
      </c>
      <c r="P15" s="294" t="s">
        <v>121</v>
      </c>
      <c r="Q15" s="294" t="s">
        <v>121</v>
      </c>
      <c r="R15" s="294" t="s">
        <v>121</v>
      </c>
      <c r="S15" s="294" t="s">
        <v>121</v>
      </c>
      <c r="T15" s="294" t="s">
        <v>121</v>
      </c>
      <c r="U15" s="294" t="s">
        <v>121</v>
      </c>
      <c r="V15" s="294" t="s">
        <v>121</v>
      </c>
      <c r="W15" s="294" t="s">
        <v>121</v>
      </c>
      <c r="X15" s="294" t="s">
        <v>121</v>
      </c>
      <c r="Y15" s="304" t="s">
        <v>121</v>
      </c>
      <c r="Z15" s="304" t="s">
        <v>121</v>
      </c>
      <c r="AA15" s="304" t="s">
        <v>121</v>
      </c>
      <c r="AB15" s="304" t="s">
        <v>121</v>
      </c>
      <c r="AC15" s="304" t="s">
        <v>121</v>
      </c>
      <c r="AD15" s="304" t="s">
        <v>121</v>
      </c>
      <c r="AE15" s="294" t="s">
        <v>1</v>
      </c>
      <c r="AF15" s="294" t="s">
        <v>1</v>
      </c>
      <c r="AG15" s="304" t="s">
        <v>1</v>
      </c>
      <c r="AH15" s="304" t="s">
        <v>1</v>
      </c>
      <c r="AI15" s="304" t="s">
        <v>1</v>
      </c>
      <c r="AJ15" s="304" t="s">
        <v>1</v>
      </c>
      <c r="AK15" s="304" t="s">
        <v>1</v>
      </c>
      <c r="AL15" s="304" t="s">
        <v>1</v>
      </c>
      <c r="AM15" s="304" t="s">
        <v>1</v>
      </c>
      <c r="AN15" s="304" t="s">
        <v>1</v>
      </c>
      <c r="AO15" s="304" t="s">
        <v>1</v>
      </c>
      <c r="AP15" s="304" t="s">
        <v>1</v>
      </c>
      <c r="AQ15" s="304" t="s">
        <v>1</v>
      </c>
      <c r="AR15" s="304" t="s">
        <v>1</v>
      </c>
      <c r="AS15" s="304" t="s">
        <v>1</v>
      </c>
      <c r="AT15" s="294" t="s">
        <v>1</v>
      </c>
      <c r="AU15" s="294" t="s">
        <v>1</v>
      </c>
      <c r="AV15" s="294" t="s">
        <v>1</v>
      </c>
      <c r="AW15" s="294" t="s">
        <v>130</v>
      </c>
      <c r="AX15" s="294"/>
      <c r="AY15" s="304" t="s">
        <v>1</v>
      </c>
      <c r="AZ15" s="304" t="s">
        <v>1</v>
      </c>
      <c r="BA15" s="304" t="s">
        <v>1</v>
      </c>
      <c r="BB15" s="304"/>
      <c r="BE15" s="294"/>
      <c r="BF15" s="304"/>
      <c r="BG15" s="304"/>
      <c r="BH15" s="304"/>
      <c r="BI15" s="304"/>
      <c r="BJ15" s="304"/>
      <c r="BK15" s="304"/>
      <c r="BL15" s="304"/>
      <c r="BM15" s="304"/>
      <c r="BN15" s="304"/>
    </row>
    <row r="16" spans="1:66" x14ac:dyDescent="0.25">
      <c r="B16" s="296">
        <f>EOMONTH(EffDt,0)+1</f>
        <v>36770</v>
      </c>
      <c r="C16" s="294">
        <v>4.6849999999999996</v>
      </c>
      <c r="D16" s="294">
        <v>0.4</v>
      </c>
      <c r="E16" s="294">
        <v>6.7216196212184998E-2</v>
      </c>
      <c r="F16" s="294">
        <v>-0.14000000000000001</v>
      </c>
      <c r="G16" s="388">
        <v>0</v>
      </c>
      <c r="H16" s="294">
        <v>-0.14000000000000001</v>
      </c>
      <c r="I16" s="388">
        <v>0.05</v>
      </c>
      <c r="J16" s="294">
        <v>0.17</v>
      </c>
      <c r="K16" s="294">
        <v>0.2</v>
      </c>
      <c r="L16" s="294">
        <v>-0.06</v>
      </c>
      <c r="M16" s="294">
        <v>-4.7500000000000001E-2</v>
      </c>
      <c r="N16" s="294">
        <v>-1.24</v>
      </c>
      <c r="O16" s="294">
        <v>-1.24</v>
      </c>
      <c r="P16" s="294">
        <v>-7.4999999999999997E-3</v>
      </c>
      <c r="Q16" s="294">
        <v>-1.2500000000000001E-2</v>
      </c>
      <c r="R16" s="291">
        <v>-3.2500000000000001E-2</v>
      </c>
      <c r="S16" s="389">
        <v>-7.4999999999999997E-2</v>
      </c>
      <c r="T16" s="291">
        <v>-0.11</v>
      </c>
      <c r="U16" s="291">
        <v>-3.7499999999999999E-2</v>
      </c>
      <c r="V16" s="291">
        <v>-0.13500000000000001</v>
      </c>
      <c r="W16" s="291">
        <v>-0.16500000000000001</v>
      </c>
      <c r="X16" s="291">
        <v>0.315</v>
      </c>
      <c r="Y16" s="291">
        <v>-7.4999999999999997E-3</v>
      </c>
      <c r="Z16" s="291">
        <v>-1.24</v>
      </c>
      <c r="AA16" s="291">
        <v>-0.03</v>
      </c>
      <c r="AB16" s="306">
        <v>2.5</v>
      </c>
      <c r="AC16" s="306">
        <v>0.30499999999999999</v>
      </c>
      <c r="AD16" s="306">
        <v>0.11</v>
      </c>
      <c r="AE16" s="431">
        <v>0.4</v>
      </c>
      <c r="AF16" s="431">
        <v>0.4</v>
      </c>
      <c r="AG16" s="431">
        <v>0.39200000000000002</v>
      </c>
      <c r="AH16" s="431">
        <v>0.38400000000000001</v>
      </c>
      <c r="AI16" s="431">
        <v>0.40799999999999997</v>
      </c>
      <c r="AJ16" s="431">
        <v>0.4</v>
      </c>
      <c r="AK16" s="431">
        <v>0.39200000000000002</v>
      </c>
      <c r="AL16" s="431">
        <v>0.39200000000000002</v>
      </c>
      <c r="AM16" s="431">
        <v>0.4</v>
      </c>
      <c r="AN16" s="431">
        <v>0.4</v>
      </c>
      <c r="AO16" s="431">
        <v>0.4</v>
      </c>
      <c r="AP16" s="432">
        <v>0.4</v>
      </c>
      <c r="AQ16" s="432">
        <v>0.38400000000000001</v>
      </c>
      <c r="AR16" s="432">
        <v>0.4</v>
      </c>
      <c r="AS16" s="432">
        <v>0.4</v>
      </c>
      <c r="AT16" s="431">
        <v>0.4</v>
      </c>
      <c r="AU16" s="431">
        <v>0.376</v>
      </c>
      <c r="AV16" s="431">
        <v>0.39200000000000002</v>
      </c>
      <c r="AW16" s="305">
        <v>6.7633985079410999E-2</v>
      </c>
      <c r="AX16" s="305"/>
      <c r="AY16" s="306">
        <f>AG16</f>
        <v>0.39200000000000002</v>
      </c>
      <c r="AZ16" s="306">
        <f>AG16</f>
        <v>0.39200000000000002</v>
      </c>
      <c r="BA16" s="309">
        <f>AG16</f>
        <v>0.39200000000000002</v>
      </c>
      <c r="BB16" s="308">
        <f>B16</f>
        <v>36770</v>
      </c>
      <c r="BC16" s="306">
        <f t="shared" ref="BC16:BC79" si="2">(1+$AW16/2)^(-2*($B16-$BC$11)/365.25)</f>
        <v>0.99927182673927195</v>
      </c>
      <c r="BD16" s="306">
        <f t="shared" ref="BD16:BD79" si="3">(1+$AW16/2)^(-2*($B16-$BD$11)/365.25)</f>
        <v>0.99945382032971275</v>
      </c>
      <c r="BF16" s="308">
        <f>B16</f>
        <v>36770</v>
      </c>
      <c r="BG16" s="291">
        <v>4</v>
      </c>
      <c r="BI16" s="491">
        <f>$C16+X16</f>
        <v>5</v>
      </c>
      <c r="BJ16" s="492">
        <f>$C16+Y16</f>
        <v>4.6774999999999993</v>
      </c>
    </row>
    <row r="17" spans="2:62" x14ac:dyDescent="0.25">
      <c r="B17" s="296">
        <f t="shared" ref="B17:B80" si="4">EOMONTH(B16,0)+1</f>
        <v>36800</v>
      </c>
      <c r="C17" s="294">
        <v>4.6920000000000002</v>
      </c>
      <c r="D17" s="294">
        <v>0.57499999999999996</v>
      </c>
      <c r="E17" s="294">
        <v>6.8050789414654006E-2</v>
      </c>
      <c r="F17" s="294">
        <v>-0.14749999999999999</v>
      </c>
      <c r="G17" s="388">
        <v>-0.01</v>
      </c>
      <c r="H17" s="294">
        <v>-0.14749999999999999</v>
      </c>
      <c r="I17" s="294">
        <v>5.5E-2</v>
      </c>
      <c r="J17" s="294">
        <v>0.185</v>
      </c>
      <c r="K17" s="294">
        <v>0.24</v>
      </c>
      <c r="L17" s="294">
        <v>-7.0000000000000007E-2</v>
      </c>
      <c r="M17" s="294">
        <v>-0.04</v>
      </c>
      <c r="N17" s="294">
        <v>-0.80500000000000005</v>
      </c>
      <c r="O17" s="294">
        <v>-0.55000000000000004</v>
      </c>
      <c r="P17" s="294">
        <v>0</v>
      </c>
      <c r="Q17" s="294">
        <v>-0.01</v>
      </c>
      <c r="R17" s="291">
        <v>-2.75E-2</v>
      </c>
      <c r="S17" s="291">
        <v>-7.4999999999999997E-2</v>
      </c>
      <c r="T17" s="291">
        <v>-0.09</v>
      </c>
      <c r="U17" s="291">
        <v>-0.03</v>
      </c>
      <c r="V17" s="291">
        <v>-0.13500000000000001</v>
      </c>
      <c r="W17" s="291">
        <v>-0.17</v>
      </c>
      <c r="X17" s="291">
        <v>0.41499999999999998</v>
      </c>
      <c r="Y17" s="291">
        <v>0</v>
      </c>
      <c r="Z17" s="291">
        <v>-0.80500000000000005</v>
      </c>
      <c r="AA17" s="291">
        <v>-2.75E-2</v>
      </c>
      <c r="AB17" s="306">
        <v>1.99</v>
      </c>
      <c r="AC17" s="306">
        <v>0.36</v>
      </c>
      <c r="AD17" s="306">
        <v>0.115</v>
      </c>
      <c r="AE17" s="431">
        <v>0.57499999999999996</v>
      </c>
      <c r="AF17" s="431">
        <v>0.57499999999999996</v>
      </c>
      <c r="AG17" s="431">
        <v>0.56399999999999995</v>
      </c>
      <c r="AH17" s="431">
        <v>0.55200000000000005</v>
      </c>
      <c r="AI17" s="431">
        <v>0.58699999999999997</v>
      </c>
      <c r="AJ17" s="431">
        <v>0.57499999999999996</v>
      </c>
      <c r="AK17" s="431">
        <v>0.56399999999999995</v>
      </c>
      <c r="AL17" s="431">
        <v>0.56399999999999995</v>
      </c>
      <c r="AM17" s="431">
        <v>0.57499999999999996</v>
      </c>
      <c r="AN17" s="431">
        <v>0.57499999999999996</v>
      </c>
      <c r="AO17" s="431">
        <v>0.57499999999999996</v>
      </c>
      <c r="AP17" s="432">
        <v>0.57499999999999996</v>
      </c>
      <c r="AQ17" s="432">
        <v>0.55200000000000005</v>
      </c>
      <c r="AR17" s="432">
        <v>0.57499999999999996</v>
      </c>
      <c r="AS17" s="432">
        <v>0.57499999999999996</v>
      </c>
      <c r="AT17" s="431">
        <v>0.57499999999999996</v>
      </c>
      <c r="AU17" s="431">
        <v>0.54100000000000004</v>
      </c>
      <c r="AV17" s="431">
        <v>0.56399999999999995</v>
      </c>
      <c r="AW17" s="305">
        <v>6.8056178914902996E-2</v>
      </c>
      <c r="AX17" s="305"/>
      <c r="AY17" s="306">
        <f t="shared" ref="AY17:AY80" si="5">AG17</f>
        <v>0.56399999999999995</v>
      </c>
      <c r="AZ17" s="306">
        <f t="shared" ref="AZ17:AZ80" si="6">AG17</f>
        <v>0.56399999999999995</v>
      </c>
      <c r="BA17" s="309">
        <f t="shared" ref="BA17:BA80" si="7">AG17</f>
        <v>0.56399999999999995</v>
      </c>
      <c r="BB17" s="308">
        <f t="shared" ref="BB17:BB80" si="8">B17</f>
        <v>36800</v>
      </c>
      <c r="BC17" s="306">
        <f t="shared" si="2"/>
        <v>0.99378962598621035</v>
      </c>
      <c r="BD17" s="306">
        <f t="shared" si="3"/>
        <v>0.99397173236314718</v>
      </c>
      <c r="BF17" s="308">
        <f t="shared" ref="BF17:BF80" si="9">B17</f>
        <v>36800</v>
      </c>
      <c r="BG17" s="291">
        <v>5</v>
      </c>
      <c r="BI17" s="493">
        <f t="shared" ref="BI17:BI80" si="10">$C17+X17</f>
        <v>5.1070000000000002</v>
      </c>
      <c r="BJ17" s="494">
        <f>$C16+Y17</f>
        <v>4.6849999999999996</v>
      </c>
    </row>
    <row r="18" spans="2:62" x14ac:dyDescent="0.25">
      <c r="B18" s="497">
        <f t="shared" si="4"/>
        <v>36831</v>
      </c>
      <c r="C18" s="294">
        <v>4.7359999999999998</v>
      </c>
      <c r="D18" s="294">
        <v>0.59499999999999997</v>
      </c>
      <c r="E18" s="294">
        <v>6.810675983792E-2</v>
      </c>
      <c r="F18" s="294">
        <v>-0.14249999999999999</v>
      </c>
      <c r="G18" s="294">
        <v>-0.03</v>
      </c>
      <c r="H18" s="294">
        <v>-0.14249999999999999</v>
      </c>
      <c r="I18" s="294">
        <v>8.7499999999999994E-2</v>
      </c>
      <c r="J18" s="294">
        <v>0.26500000000000001</v>
      </c>
      <c r="K18" s="294">
        <v>0.32150000000000001</v>
      </c>
      <c r="L18" s="294">
        <v>-0.08</v>
      </c>
      <c r="M18" s="294">
        <v>-2.2499999999999999E-2</v>
      </c>
      <c r="N18" s="294">
        <v>-0.46750000000000003</v>
      </c>
      <c r="O18" s="294">
        <v>-0.17499999999999999</v>
      </c>
      <c r="P18" s="294">
        <v>1.2500000000000001E-2</v>
      </c>
      <c r="Q18" s="294">
        <v>-0.02</v>
      </c>
      <c r="R18" s="291">
        <v>-2.75E-2</v>
      </c>
      <c r="S18" s="291">
        <v>-7.4999999999999997E-2</v>
      </c>
      <c r="T18" s="291">
        <v>-2.5000000000000001E-3</v>
      </c>
      <c r="U18" s="291">
        <v>-0.04</v>
      </c>
      <c r="V18" s="291">
        <v>-0.1125</v>
      </c>
      <c r="W18" s="291">
        <v>-0.185</v>
      </c>
      <c r="X18" s="291">
        <v>0.77</v>
      </c>
      <c r="Y18" s="291">
        <v>5.0000000000000001E-3</v>
      </c>
      <c r="Z18" s="291">
        <v>-0.4</v>
      </c>
      <c r="AA18" s="291">
        <v>-2.75E-2</v>
      </c>
      <c r="AB18" s="306">
        <v>1.5449999999999999</v>
      </c>
      <c r="AC18" s="306">
        <v>0.5</v>
      </c>
      <c r="AD18" s="306">
        <v>0.17</v>
      </c>
      <c r="AE18" s="431">
        <v>0.59499999999999997</v>
      </c>
      <c r="AF18" s="431">
        <v>0.59499999999999997</v>
      </c>
      <c r="AG18" s="431">
        <v>0.625</v>
      </c>
      <c r="AH18" s="431">
        <v>0.57099999999999995</v>
      </c>
      <c r="AI18" s="431">
        <v>0.60699999999999998</v>
      </c>
      <c r="AJ18" s="431">
        <v>0.59499999999999997</v>
      </c>
      <c r="AK18" s="431">
        <v>0.59499999999999997</v>
      </c>
      <c r="AL18" s="431">
        <v>0.59499999999999997</v>
      </c>
      <c r="AM18" s="431">
        <v>0.59499999999999997</v>
      </c>
      <c r="AN18" s="431">
        <v>0.59499999999999997</v>
      </c>
      <c r="AO18" s="431">
        <v>0.59499999999999997</v>
      </c>
      <c r="AP18" s="432">
        <v>0.59499999999999997</v>
      </c>
      <c r="AQ18" s="432">
        <v>0.57099999999999995</v>
      </c>
      <c r="AR18" s="432">
        <v>0.59499999999999997</v>
      </c>
      <c r="AS18" s="432">
        <v>0.625</v>
      </c>
      <c r="AT18" s="431">
        <v>0.59499999999999997</v>
      </c>
      <c r="AU18" s="431">
        <v>0.57699999999999996</v>
      </c>
      <c r="AV18" s="431">
        <v>0.65500000000000003</v>
      </c>
      <c r="AW18" s="305">
        <v>6.8168606297117004E-2</v>
      </c>
      <c r="AX18" s="305"/>
      <c r="AY18" s="306">
        <f t="shared" si="5"/>
        <v>0.625</v>
      </c>
      <c r="AZ18" s="306">
        <f t="shared" si="6"/>
        <v>0.625</v>
      </c>
      <c r="BA18" s="309">
        <f t="shared" si="7"/>
        <v>0.625</v>
      </c>
      <c r="BB18" s="308">
        <f t="shared" si="8"/>
        <v>36831</v>
      </c>
      <c r="BC18" s="331">
        <f t="shared" si="2"/>
        <v>0.98814172708484904</v>
      </c>
      <c r="BD18" s="332">
        <f t="shared" si="3"/>
        <v>0.98832309271187579</v>
      </c>
      <c r="BF18" s="308">
        <f t="shared" si="9"/>
        <v>36831</v>
      </c>
      <c r="BG18" s="291">
        <v>6</v>
      </c>
      <c r="BI18" s="495">
        <f t="shared" si="10"/>
        <v>5.5060000000000002</v>
      </c>
      <c r="BJ18" s="494">
        <f t="shared" ref="BJ18:BJ81" si="11">$C17+Y18</f>
        <v>4.6970000000000001</v>
      </c>
    </row>
    <row r="19" spans="2:62" x14ac:dyDescent="0.25">
      <c r="B19" s="296">
        <f t="shared" si="4"/>
        <v>36861</v>
      </c>
      <c r="C19" s="294">
        <v>4.8</v>
      </c>
      <c r="D19" s="294">
        <v>0.6</v>
      </c>
      <c r="E19" s="294">
        <v>6.8314027999354002E-2</v>
      </c>
      <c r="F19" s="294">
        <v>-0.1525</v>
      </c>
      <c r="G19" s="388">
        <v>-6.5000000000000002E-2</v>
      </c>
      <c r="H19" s="294">
        <v>-0.1525</v>
      </c>
      <c r="I19" s="294">
        <v>0.1</v>
      </c>
      <c r="J19" s="294">
        <v>0.29499999999999998</v>
      </c>
      <c r="K19" s="294">
        <v>0.375</v>
      </c>
      <c r="L19" s="294">
        <v>-0.08</v>
      </c>
      <c r="M19" s="294">
        <v>-2.2499999999999999E-2</v>
      </c>
      <c r="N19" s="294">
        <v>-0.35749999999999998</v>
      </c>
      <c r="O19" s="294">
        <v>0.53</v>
      </c>
      <c r="P19" s="294">
        <v>1.2500000000000001E-2</v>
      </c>
      <c r="Q19" s="294">
        <v>-0.02</v>
      </c>
      <c r="R19" s="291">
        <v>-2.75E-2</v>
      </c>
      <c r="S19" s="291">
        <v>-7.4999999999999997E-2</v>
      </c>
      <c r="T19" s="291">
        <v>1.7500000000000002E-2</v>
      </c>
      <c r="U19" s="291">
        <v>-0.04</v>
      </c>
      <c r="V19" s="291">
        <v>-0.14749999999999999</v>
      </c>
      <c r="W19" s="291">
        <v>-0.18</v>
      </c>
      <c r="X19" s="291">
        <v>1.645</v>
      </c>
      <c r="Y19" s="291">
        <v>5.0000000000000001E-3</v>
      </c>
      <c r="Z19" s="291">
        <v>-0.35249999999999998</v>
      </c>
      <c r="AA19" s="291">
        <v>-2.75E-2</v>
      </c>
      <c r="AB19" s="306">
        <v>1.0049999999999999</v>
      </c>
      <c r="AC19" s="306">
        <v>0.83</v>
      </c>
      <c r="AD19" s="306">
        <v>0.1925</v>
      </c>
      <c r="AE19" s="431">
        <v>0.6</v>
      </c>
      <c r="AF19" s="431">
        <v>0.6</v>
      </c>
      <c r="AG19" s="431">
        <v>0.69</v>
      </c>
      <c r="AH19" s="431">
        <v>0.57599999999999996</v>
      </c>
      <c r="AI19" s="431">
        <v>0.61199999999999999</v>
      </c>
      <c r="AJ19" s="431">
        <v>0.6</v>
      </c>
      <c r="AK19" s="431">
        <v>0.6</v>
      </c>
      <c r="AL19" s="431">
        <v>0.6</v>
      </c>
      <c r="AM19" s="431">
        <v>0.6</v>
      </c>
      <c r="AN19" s="431">
        <v>0.6</v>
      </c>
      <c r="AO19" s="431">
        <v>0.6</v>
      </c>
      <c r="AP19" s="432">
        <v>0.6</v>
      </c>
      <c r="AQ19" s="432">
        <v>0.57599999999999996</v>
      </c>
      <c r="AR19" s="432">
        <v>0.6</v>
      </c>
      <c r="AS19" s="432">
        <v>0.63</v>
      </c>
      <c r="AT19" s="431">
        <v>0.6</v>
      </c>
      <c r="AU19" s="431">
        <v>0.58199999999999996</v>
      </c>
      <c r="AV19" s="431">
        <v>0.66</v>
      </c>
      <c r="AW19" s="305">
        <v>6.8388259024858997E-2</v>
      </c>
      <c r="AX19" s="305"/>
      <c r="AY19" s="306">
        <f t="shared" si="5"/>
        <v>0.69</v>
      </c>
      <c r="AZ19" s="306">
        <f t="shared" si="6"/>
        <v>0.69</v>
      </c>
      <c r="BA19" s="309">
        <f t="shared" si="7"/>
        <v>0.69</v>
      </c>
      <c r="BB19" s="308">
        <f t="shared" si="8"/>
        <v>36861</v>
      </c>
      <c r="BC19" s="306">
        <f t="shared" si="2"/>
        <v>0.98266191863619079</v>
      </c>
      <c r="BD19" s="306">
        <f t="shared" si="3"/>
        <v>0.9828428500337385</v>
      </c>
      <c r="BF19" s="308">
        <f t="shared" si="9"/>
        <v>36861</v>
      </c>
      <c r="BG19" s="291">
        <v>7</v>
      </c>
      <c r="BI19" s="495">
        <f t="shared" si="10"/>
        <v>6.4450000000000003</v>
      </c>
      <c r="BJ19" s="494">
        <f t="shared" si="11"/>
        <v>4.7409999999999997</v>
      </c>
    </row>
    <row r="20" spans="2:62" x14ac:dyDescent="0.25">
      <c r="B20" s="296">
        <f t="shared" si="4"/>
        <v>36892</v>
      </c>
      <c r="C20" s="294">
        <v>4.7439999999999998</v>
      </c>
      <c r="D20" s="294">
        <v>0.60499999999999998</v>
      </c>
      <c r="E20" s="294">
        <v>6.8374831148490994E-2</v>
      </c>
      <c r="F20" s="294">
        <v>-0.16</v>
      </c>
      <c r="G20" s="294">
        <v>-7.0000000000000007E-2</v>
      </c>
      <c r="H20" s="294">
        <v>-0.16</v>
      </c>
      <c r="I20" s="294">
        <v>0.1275</v>
      </c>
      <c r="J20" s="294">
        <v>0.3</v>
      </c>
      <c r="K20" s="294">
        <v>0.45500000000000002</v>
      </c>
      <c r="L20" s="294">
        <v>-0.08</v>
      </c>
      <c r="M20" s="294">
        <v>-2.2499999999999999E-2</v>
      </c>
      <c r="N20" s="294">
        <v>-0.36749999999999999</v>
      </c>
      <c r="O20" s="294">
        <v>0.53</v>
      </c>
      <c r="P20" s="294">
        <v>1.2500000000000001E-2</v>
      </c>
      <c r="Q20" s="294">
        <v>-0.02</v>
      </c>
      <c r="R20" s="291">
        <v>-2.75E-2</v>
      </c>
      <c r="S20" s="291">
        <v>-7.4999999999999997E-2</v>
      </c>
      <c r="T20" s="291">
        <v>0.03</v>
      </c>
      <c r="U20" s="291">
        <v>-0.04</v>
      </c>
      <c r="V20" s="291">
        <v>-0.1525</v>
      </c>
      <c r="W20" s="291">
        <v>-0.18</v>
      </c>
      <c r="X20" s="291">
        <v>2.17</v>
      </c>
      <c r="Y20" s="291">
        <v>5.0000000000000001E-3</v>
      </c>
      <c r="Z20" s="291">
        <v>-0.33750000000000002</v>
      </c>
      <c r="AA20" s="291">
        <v>-2.75E-2</v>
      </c>
      <c r="AB20" s="306">
        <v>0.76749999999999996</v>
      </c>
      <c r="AC20" s="306">
        <v>1.05</v>
      </c>
      <c r="AD20" s="306">
        <v>0.22</v>
      </c>
      <c r="AE20" s="431">
        <v>0.60499999999999998</v>
      </c>
      <c r="AF20" s="431">
        <v>0.60499999999999998</v>
      </c>
      <c r="AG20" s="431">
        <v>0.69599999999999995</v>
      </c>
      <c r="AH20" s="431">
        <v>0.58099999999999996</v>
      </c>
      <c r="AI20" s="431">
        <v>0.61699999999999999</v>
      </c>
      <c r="AJ20" s="431">
        <v>0.60499999999999998</v>
      </c>
      <c r="AK20" s="431">
        <v>0.60499999999999998</v>
      </c>
      <c r="AL20" s="431">
        <v>0.60499999999999998</v>
      </c>
      <c r="AM20" s="431">
        <v>0.60499999999999998</v>
      </c>
      <c r="AN20" s="431">
        <v>0.60499999999999998</v>
      </c>
      <c r="AO20" s="431">
        <v>0.60499999999999998</v>
      </c>
      <c r="AP20" s="432">
        <v>0.60499999999999998</v>
      </c>
      <c r="AQ20" s="432">
        <v>0.58099999999999996</v>
      </c>
      <c r="AR20" s="432">
        <v>0.60499999999999998</v>
      </c>
      <c r="AS20" s="432">
        <v>0.63500000000000001</v>
      </c>
      <c r="AT20" s="431">
        <v>0.60499999999999998</v>
      </c>
      <c r="AU20" s="431">
        <v>0.58699999999999997</v>
      </c>
      <c r="AV20" s="431">
        <v>0.60499999999999998</v>
      </c>
      <c r="AW20" s="305">
        <v>6.8399434497720998E-2</v>
      </c>
      <c r="AX20" s="305"/>
      <c r="AY20" s="306">
        <f t="shared" si="5"/>
        <v>0.69599999999999995</v>
      </c>
      <c r="AZ20" s="306">
        <f t="shared" si="6"/>
        <v>0.69599999999999995</v>
      </c>
      <c r="BA20" s="309">
        <f t="shared" si="7"/>
        <v>0.69599999999999995</v>
      </c>
      <c r="BB20" s="308">
        <f t="shared" si="8"/>
        <v>36892</v>
      </c>
      <c r="BC20" s="306">
        <f t="shared" si="2"/>
        <v>0.97706589329446858</v>
      </c>
      <c r="BD20" s="306">
        <f t="shared" si="3"/>
        <v>0.97724582324272002</v>
      </c>
      <c r="BF20" s="308">
        <f t="shared" si="9"/>
        <v>36892</v>
      </c>
      <c r="BG20" s="291">
        <v>8</v>
      </c>
      <c r="BI20" s="495">
        <f t="shared" si="10"/>
        <v>6.9139999999999997</v>
      </c>
      <c r="BJ20" s="494">
        <f t="shared" si="11"/>
        <v>4.8049999999999997</v>
      </c>
    </row>
    <row r="21" spans="2:62" x14ac:dyDescent="0.25">
      <c r="B21" s="296">
        <f t="shared" si="4"/>
        <v>36923</v>
      </c>
      <c r="C21" s="294">
        <v>4.4800000000000004</v>
      </c>
      <c r="D21" s="294">
        <v>0.59250000000000003</v>
      </c>
      <c r="E21" s="294">
        <v>6.8640161611372E-2</v>
      </c>
      <c r="F21" s="294">
        <v>-0.14499999999999999</v>
      </c>
      <c r="G21" s="294">
        <v>-5.2499999999999998E-2</v>
      </c>
      <c r="H21" s="294">
        <v>-0.14499999999999999</v>
      </c>
      <c r="I21" s="294">
        <v>0.13750000000000001</v>
      </c>
      <c r="J21" s="294">
        <v>0.29499999999999998</v>
      </c>
      <c r="K21" s="294">
        <v>0.41499999999999998</v>
      </c>
      <c r="L21" s="294">
        <v>-0.08</v>
      </c>
      <c r="M21" s="294">
        <v>-2.2499999999999999E-2</v>
      </c>
      <c r="N21" s="294">
        <v>-0.38750000000000001</v>
      </c>
      <c r="O21" s="294">
        <v>0.34499999999999997</v>
      </c>
      <c r="P21" s="294">
        <v>1.2500000000000001E-2</v>
      </c>
      <c r="Q21" s="294">
        <v>-0.02</v>
      </c>
      <c r="R21" s="291">
        <v>-2.75E-2</v>
      </c>
      <c r="S21" s="291">
        <v>-7.4999999999999997E-2</v>
      </c>
      <c r="T21" s="389">
        <v>3.5000000000000003E-2</v>
      </c>
      <c r="U21" s="291">
        <v>-0.04</v>
      </c>
      <c r="V21" s="291">
        <v>-0.13500000000000001</v>
      </c>
      <c r="W21" s="291">
        <v>-0.18</v>
      </c>
      <c r="X21" s="291">
        <v>2.09</v>
      </c>
      <c r="Y21" s="291">
        <v>5.0000000000000001E-3</v>
      </c>
      <c r="Z21" s="291">
        <v>-0.34250000000000003</v>
      </c>
      <c r="AA21" s="291">
        <v>-2.75E-2</v>
      </c>
      <c r="AB21" s="306">
        <v>0.61750000000000005</v>
      </c>
      <c r="AC21" s="306">
        <v>1.05</v>
      </c>
      <c r="AD21" s="306">
        <v>0.24</v>
      </c>
      <c r="AE21" s="431">
        <v>0.59299999999999997</v>
      </c>
      <c r="AF21" s="431">
        <v>0.59299999999999997</v>
      </c>
      <c r="AG21" s="431">
        <v>0.68100000000000005</v>
      </c>
      <c r="AH21" s="431">
        <v>0.56899999999999995</v>
      </c>
      <c r="AI21" s="431">
        <v>0.60399999999999998</v>
      </c>
      <c r="AJ21" s="431">
        <v>0.59299999999999997</v>
      </c>
      <c r="AK21" s="431">
        <v>0.59299999999999997</v>
      </c>
      <c r="AL21" s="431">
        <v>0.59299999999999997</v>
      </c>
      <c r="AM21" s="431">
        <v>0.59299999999999997</v>
      </c>
      <c r="AN21" s="431">
        <v>0.59299999999999997</v>
      </c>
      <c r="AO21" s="431">
        <v>0.59299999999999997</v>
      </c>
      <c r="AP21" s="432">
        <v>0.59299999999999997</v>
      </c>
      <c r="AQ21" s="432">
        <v>0.56899999999999995</v>
      </c>
      <c r="AR21" s="432">
        <v>0.59299999999999997</v>
      </c>
      <c r="AS21" s="432">
        <v>0.622</v>
      </c>
      <c r="AT21" s="431">
        <v>0.59299999999999997</v>
      </c>
      <c r="AU21" s="431">
        <v>0.57499999999999996</v>
      </c>
      <c r="AV21" s="431">
        <v>0.65200000000000002</v>
      </c>
      <c r="AW21" s="305">
        <v>6.8637921506616004E-2</v>
      </c>
      <c r="AX21" s="305"/>
      <c r="AY21" s="306">
        <f t="shared" si="5"/>
        <v>0.68100000000000005</v>
      </c>
      <c r="AZ21" s="306">
        <f t="shared" si="6"/>
        <v>0.68100000000000005</v>
      </c>
      <c r="BA21" s="309">
        <f t="shared" si="7"/>
        <v>0.68100000000000005</v>
      </c>
      <c r="BB21" s="308">
        <f t="shared" si="8"/>
        <v>36923</v>
      </c>
      <c r="BC21" s="306">
        <f t="shared" si="2"/>
        <v>0.97140817939812563</v>
      </c>
      <c r="BD21" s="306">
        <f t="shared" si="3"/>
        <v>0.97158768083565339</v>
      </c>
      <c r="BF21" s="308">
        <f t="shared" si="9"/>
        <v>36923</v>
      </c>
      <c r="BG21" s="291">
        <v>9</v>
      </c>
      <c r="BI21" s="495">
        <f t="shared" si="10"/>
        <v>6.57</v>
      </c>
      <c r="BJ21" s="494">
        <f t="shared" si="11"/>
        <v>4.7489999999999997</v>
      </c>
    </row>
    <row r="22" spans="2:62" x14ac:dyDescent="0.25">
      <c r="B22" s="296">
        <f t="shared" si="4"/>
        <v>36951</v>
      </c>
      <c r="C22" s="294">
        <v>4.2130000000000001</v>
      </c>
      <c r="D22" s="294">
        <v>0.53249999999999997</v>
      </c>
      <c r="E22" s="294">
        <v>6.8879814952706994E-2</v>
      </c>
      <c r="F22" s="294">
        <v>-0.13750000000000001</v>
      </c>
      <c r="G22" s="294">
        <v>-3.5000000000000003E-2</v>
      </c>
      <c r="H22" s="294">
        <v>-0.13750000000000001</v>
      </c>
      <c r="I22" s="294">
        <v>0.1225</v>
      </c>
      <c r="J22" s="294">
        <v>0.27</v>
      </c>
      <c r="K22" s="294">
        <v>0.36</v>
      </c>
      <c r="L22" s="294">
        <v>-0.08</v>
      </c>
      <c r="M22" s="294">
        <v>-2.2499999999999999E-2</v>
      </c>
      <c r="N22" s="294">
        <v>-0.39750000000000002</v>
      </c>
      <c r="O22" s="294">
        <v>-0.03</v>
      </c>
      <c r="P22" s="294">
        <v>1.2500000000000001E-2</v>
      </c>
      <c r="Q22" s="294">
        <v>-0.02</v>
      </c>
      <c r="R22" s="291">
        <v>-2.75E-2</v>
      </c>
      <c r="S22" s="291">
        <v>-7.4999999999999997E-2</v>
      </c>
      <c r="T22" s="291">
        <v>3.2500000000000001E-2</v>
      </c>
      <c r="U22" s="291">
        <v>-0.04</v>
      </c>
      <c r="V22" s="291">
        <v>-0.11749999999999999</v>
      </c>
      <c r="W22" s="291">
        <v>-0.185</v>
      </c>
      <c r="X22" s="291">
        <v>1.075</v>
      </c>
      <c r="Y22" s="291">
        <v>5.0000000000000001E-3</v>
      </c>
      <c r="Z22" s="291">
        <v>-0.41499999999999998</v>
      </c>
      <c r="AA22" s="291">
        <v>-2.75E-2</v>
      </c>
      <c r="AB22" s="306">
        <v>0.59750000000000003</v>
      </c>
      <c r="AC22" s="306">
        <v>0.72</v>
      </c>
      <c r="AD22" s="306">
        <v>0.22750000000000001</v>
      </c>
      <c r="AE22" s="431">
        <v>0.53300000000000003</v>
      </c>
      <c r="AF22" s="431">
        <v>0.53300000000000003</v>
      </c>
      <c r="AG22" s="431">
        <v>0.61199999999999999</v>
      </c>
      <c r="AH22" s="431">
        <v>0.51100000000000001</v>
      </c>
      <c r="AI22" s="431">
        <v>0.54300000000000004</v>
      </c>
      <c r="AJ22" s="431">
        <v>0.53300000000000003</v>
      </c>
      <c r="AK22" s="431">
        <v>0.53300000000000003</v>
      </c>
      <c r="AL22" s="431">
        <v>0.53300000000000003</v>
      </c>
      <c r="AM22" s="431">
        <v>0.53300000000000003</v>
      </c>
      <c r="AN22" s="431">
        <v>0.53300000000000003</v>
      </c>
      <c r="AO22" s="431">
        <v>0.53300000000000003</v>
      </c>
      <c r="AP22" s="432">
        <v>0.53300000000000003</v>
      </c>
      <c r="AQ22" s="432">
        <v>0.51100000000000001</v>
      </c>
      <c r="AR22" s="432">
        <v>0.53300000000000003</v>
      </c>
      <c r="AS22" s="432">
        <v>0.55900000000000005</v>
      </c>
      <c r="AT22" s="431">
        <v>0.53300000000000003</v>
      </c>
      <c r="AU22" s="431">
        <v>0.51700000000000002</v>
      </c>
      <c r="AV22" s="431">
        <v>0.58599999999999997</v>
      </c>
      <c r="AW22" s="305">
        <v>6.8853329143729006E-2</v>
      </c>
      <c r="AX22" s="305"/>
      <c r="AY22" s="306">
        <f t="shared" si="5"/>
        <v>0.61199999999999999</v>
      </c>
      <c r="AZ22" s="306">
        <f t="shared" si="6"/>
        <v>0.61199999999999999</v>
      </c>
      <c r="BA22" s="309">
        <f t="shared" si="7"/>
        <v>0.61199999999999999</v>
      </c>
      <c r="BB22" s="308">
        <f t="shared" si="8"/>
        <v>36951</v>
      </c>
      <c r="BC22" s="306">
        <f t="shared" si="2"/>
        <v>0.96629365201977369</v>
      </c>
      <c r="BD22" s="306">
        <f t="shared" si="3"/>
        <v>0.96647275941071598</v>
      </c>
      <c r="BF22" s="308">
        <f t="shared" si="9"/>
        <v>36951</v>
      </c>
      <c r="BG22" s="291">
        <v>10</v>
      </c>
      <c r="BI22" s="495">
        <f t="shared" si="10"/>
        <v>5.2880000000000003</v>
      </c>
      <c r="BJ22" s="494">
        <f t="shared" si="11"/>
        <v>4.4850000000000003</v>
      </c>
    </row>
    <row r="23" spans="2:62" x14ac:dyDescent="0.25">
      <c r="B23" s="296">
        <f t="shared" si="4"/>
        <v>36982</v>
      </c>
      <c r="C23" s="294">
        <v>3.9380000000000002</v>
      </c>
      <c r="D23" s="294">
        <v>0.4425</v>
      </c>
      <c r="E23" s="294">
        <v>6.9061726541120999E-2</v>
      </c>
      <c r="F23" s="294">
        <v>-0.1525</v>
      </c>
      <c r="G23" s="294">
        <v>5.0000000000000001E-3</v>
      </c>
      <c r="H23" s="294">
        <v>-0.1525</v>
      </c>
      <c r="I23" s="294">
        <v>6.5000000000000002E-2</v>
      </c>
      <c r="J23" s="294">
        <v>0.19500000000000001</v>
      </c>
      <c r="K23" s="294">
        <v>0.23</v>
      </c>
      <c r="L23" s="294">
        <v>-7.8E-2</v>
      </c>
      <c r="M23" s="294">
        <v>-0.03</v>
      </c>
      <c r="N23" s="294">
        <v>-0.65</v>
      </c>
      <c r="O23" s="294">
        <v>-0.375</v>
      </c>
      <c r="P23" s="294">
        <v>5.0000000000000001E-3</v>
      </c>
      <c r="Q23" s="294">
        <v>-7.4999999999999997E-3</v>
      </c>
      <c r="R23" s="291">
        <v>-2.5000000000000001E-2</v>
      </c>
      <c r="S23" s="291">
        <v>-0.06</v>
      </c>
      <c r="T23" s="291">
        <v>-0.11749999999999999</v>
      </c>
      <c r="U23" s="291">
        <v>-2.2499999999999999E-2</v>
      </c>
      <c r="V23" s="291">
        <v>-0.11</v>
      </c>
      <c r="W23" s="291">
        <v>-0.14000000000000001</v>
      </c>
      <c r="X23" s="291">
        <v>0.52</v>
      </c>
      <c r="Y23" s="291">
        <v>5.0000000000000001E-3</v>
      </c>
      <c r="Z23" s="291">
        <v>-0.4425</v>
      </c>
      <c r="AA23" s="291">
        <v>-2.5000000000000001E-2</v>
      </c>
      <c r="AB23" s="306">
        <v>0.59</v>
      </c>
      <c r="AC23" s="306">
        <v>0.3775</v>
      </c>
      <c r="AD23" s="306">
        <v>0.13750000000000001</v>
      </c>
      <c r="AE23" s="431">
        <v>0.443</v>
      </c>
      <c r="AF23" s="431">
        <v>0.443</v>
      </c>
      <c r="AG23" s="431">
        <v>0.434</v>
      </c>
      <c r="AH23" s="431">
        <v>0.42899999999999999</v>
      </c>
      <c r="AI23" s="431">
        <v>0.45100000000000001</v>
      </c>
      <c r="AJ23" s="431">
        <v>0.443</v>
      </c>
      <c r="AK23" s="431">
        <v>0.434</v>
      </c>
      <c r="AL23" s="431">
        <v>0.434</v>
      </c>
      <c r="AM23" s="431">
        <v>0.443</v>
      </c>
      <c r="AN23" s="431">
        <v>0.443</v>
      </c>
      <c r="AO23" s="431">
        <v>0.443</v>
      </c>
      <c r="AP23" s="432">
        <v>0.443</v>
      </c>
      <c r="AQ23" s="432">
        <v>0.42899999999999999</v>
      </c>
      <c r="AR23" s="432">
        <v>0.443</v>
      </c>
      <c r="AS23" s="432">
        <v>0.443</v>
      </c>
      <c r="AT23" s="431">
        <v>0.443</v>
      </c>
      <c r="AU23" s="431">
        <v>0.443</v>
      </c>
      <c r="AV23" s="431">
        <v>0.434</v>
      </c>
      <c r="AW23" s="305">
        <v>6.9015986222381004E-2</v>
      </c>
      <c r="AX23" s="305"/>
      <c r="AY23" s="306">
        <f t="shared" si="5"/>
        <v>0.434</v>
      </c>
      <c r="AZ23" s="306">
        <f t="shared" si="6"/>
        <v>0.434</v>
      </c>
      <c r="BA23" s="309">
        <f t="shared" si="7"/>
        <v>0.434</v>
      </c>
      <c r="BB23" s="308">
        <f t="shared" si="8"/>
        <v>36982</v>
      </c>
      <c r="BC23" s="306">
        <f t="shared" si="2"/>
        <v>0.9606684225047244</v>
      </c>
      <c r="BD23" s="306">
        <f t="shared" si="3"/>
        <v>0.96084690086872149</v>
      </c>
      <c r="BF23" s="308">
        <f t="shared" si="9"/>
        <v>36982</v>
      </c>
      <c r="BG23" s="291">
        <v>11</v>
      </c>
      <c r="BI23" s="493">
        <f t="shared" si="10"/>
        <v>4.4580000000000002</v>
      </c>
      <c r="BJ23" s="494">
        <f t="shared" si="11"/>
        <v>4.218</v>
      </c>
    </row>
    <row r="24" spans="2:62" x14ac:dyDescent="0.25">
      <c r="B24" s="296">
        <f t="shared" si="4"/>
        <v>37012</v>
      </c>
      <c r="C24" s="294">
        <v>3.8380000000000001</v>
      </c>
      <c r="D24" s="294">
        <v>0.40500000000000003</v>
      </c>
      <c r="E24" s="294">
        <v>6.9101151218999998E-2</v>
      </c>
      <c r="F24" s="294">
        <v>-0.14749999999999999</v>
      </c>
      <c r="G24" s="294">
        <v>7.4999999999999997E-3</v>
      </c>
      <c r="H24" s="294">
        <v>-0.14749999999999999</v>
      </c>
      <c r="I24" s="294">
        <v>5.2499999999999998E-2</v>
      </c>
      <c r="J24" s="294">
        <v>0.185</v>
      </c>
      <c r="K24" s="294">
        <v>0.22</v>
      </c>
      <c r="L24" s="294">
        <v>-7.8E-2</v>
      </c>
      <c r="M24" s="294">
        <v>-0.03</v>
      </c>
      <c r="N24" s="294">
        <v>-0.65</v>
      </c>
      <c r="O24" s="294">
        <v>-0.375</v>
      </c>
      <c r="P24" s="294">
        <v>5.0000000000000001E-3</v>
      </c>
      <c r="Q24" s="294">
        <v>-7.4999999999999997E-3</v>
      </c>
      <c r="R24" s="291">
        <v>-2.5000000000000001E-2</v>
      </c>
      <c r="S24" s="291">
        <v>-0.06</v>
      </c>
      <c r="T24" s="291">
        <v>-0.1125</v>
      </c>
      <c r="U24" s="291">
        <v>-2.2749999999999999E-2</v>
      </c>
      <c r="V24" s="291">
        <v>-0.1075</v>
      </c>
      <c r="W24" s="291">
        <v>-0.14000000000000001</v>
      </c>
      <c r="X24" s="291">
        <v>0.40500000000000003</v>
      </c>
      <c r="Y24" s="291">
        <v>5.0000000000000001E-3</v>
      </c>
      <c r="Z24" s="291">
        <v>-0.4425</v>
      </c>
      <c r="AA24" s="291">
        <v>-2.5000000000000001E-2</v>
      </c>
      <c r="AB24" s="306">
        <v>0.6</v>
      </c>
      <c r="AC24" s="306">
        <v>0.315</v>
      </c>
      <c r="AD24" s="306">
        <v>0.125</v>
      </c>
      <c r="AE24" s="431">
        <v>0.40500000000000003</v>
      </c>
      <c r="AF24" s="431">
        <v>0.40500000000000003</v>
      </c>
      <c r="AG24" s="431">
        <v>0.39700000000000002</v>
      </c>
      <c r="AH24" s="431">
        <v>0.39300000000000002</v>
      </c>
      <c r="AI24" s="431">
        <v>0.41299999999999998</v>
      </c>
      <c r="AJ24" s="431">
        <v>0.40500000000000003</v>
      </c>
      <c r="AK24" s="431">
        <v>0.39700000000000002</v>
      </c>
      <c r="AL24" s="431">
        <v>0.39700000000000002</v>
      </c>
      <c r="AM24" s="431">
        <v>0.40500000000000003</v>
      </c>
      <c r="AN24" s="431">
        <v>0.40500000000000003</v>
      </c>
      <c r="AO24" s="431">
        <v>0.40500000000000003</v>
      </c>
      <c r="AP24" s="432">
        <v>0.40500000000000003</v>
      </c>
      <c r="AQ24" s="432">
        <v>0.39300000000000002</v>
      </c>
      <c r="AR24" s="432">
        <v>0.40500000000000003</v>
      </c>
      <c r="AS24" s="432">
        <v>0.40500000000000003</v>
      </c>
      <c r="AT24" s="431">
        <v>0.40500000000000003</v>
      </c>
      <c r="AU24" s="431">
        <v>0.40500000000000003</v>
      </c>
      <c r="AV24" s="431">
        <v>0.39700000000000002</v>
      </c>
      <c r="AW24" s="305">
        <v>6.9048876789720007E-2</v>
      </c>
      <c r="AX24" s="305"/>
      <c r="AY24" s="306">
        <f t="shared" si="5"/>
        <v>0.39700000000000002</v>
      </c>
      <c r="AZ24" s="306">
        <f t="shared" si="6"/>
        <v>0.39700000000000002</v>
      </c>
      <c r="BA24" s="309">
        <f t="shared" si="7"/>
        <v>0.39700000000000002</v>
      </c>
      <c r="BB24" s="308">
        <f t="shared" si="8"/>
        <v>37012</v>
      </c>
      <c r="BC24" s="306">
        <f t="shared" si="2"/>
        <v>0.95530900355851245</v>
      </c>
      <c r="BD24" s="306">
        <f t="shared" si="3"/>
        <v>0.95548656938994492</v>
      </c>
      <c r="BF24" s="308">
        <f t="shared" si="9"/>
        <v>37012</v>
      </c>
      <c r="BG24" s="291">
        <v>12</v>
      </c>
      <c r="BI24" s="493">
        <f t="shared" si="10"/>
        <v>4.2430000000000003</v>
      </c>
      <c r="BJ24" s="494">
        <f t="shared" si="11"/>
        <v>3.9430000000000001</v>
      </c>
    </row>
    <row r="25" spans="2:62" x14ac:dyDescent="0.25">
      <c r="B25" s="296">
        <f t="shared" si="4"/>
        <v>37043</v>
      </c>
      <c r="C25" s="294">
        <v>3.8180000000000001</v>
      </c>
      <c r="D25" s="294">
        <v>0.4</v>
      </c>
      <c r="E25" s="294">
        <v>6.9141890053328006E-2</v>
      </c>
      <c r="F25" s="294">
        <v>-0.14249999999999999</v>
      </c>
      <c r="G25" s="294">
        <v>1.4999999999999999E-2</v>
      </c>
      <c r="H25" s="294">
        <v>-0.14249999999999999</v>
      </c>
      <c r="I25" s="294">
        <v>0.05</v>
      </c>
      <c r="J25" s="294">
        <v>0.185</v>
      </c>
      <c r="K25" s="294">
        <v>0.22</v>
      </c>
      <c r="L25" s="294">
        <v>-9.4E-2</v>
      </c>
      <c r="M25" s="294">
        <v>-0.03</v>
      </c>
      <c r="N25" s="294">
        <v>-0.65</v>
      </c>
      <c r="O25" s="294">
        <v>-0.375</v>
      </c>
      <c r="P25" s="294">
        <v>5.0000000000000001E-3</v>
      </c>
      <c r="Q25" s="294">
        <v>-7.4999999999999997E-3</v>
      </c>
      <c r="R25" s="291">
        <v>-2.5000000000000001E-2</v>
      </c>
      <c r="S25" s="291">
        <v>-0.06</v>
      </c>
      <c r="T25" s="291">
        <v>-0.1075</v>
      </c>
      <c r="U25" s="291">
        <v>-2.2749999999999999E-2</v>
      </c>
      <c r="V25" s="291">
        <v>-0.1</v>
      </c>
      <c r="W25" s="291">
        <v>-0.14000000000000001</v>
      </c>
      <c r="X25" s="291">
        <v>0.39500000000000002</v>
      </c>
      <c r="Y25" s="291">
        <v>5.0000000000000001E-3</v>
      </c>
      <c r="Z25" s="291">
        <v>-0.4425</v>
      </c>
      <c r="AA25" s="291">
        <v>-2.5000000000000001E-2</v>
      </c>
      <c r="AB25" s="306">
        <v>0.62</v>
      </c>
      <c r="AC25" s="306">
        <v>0.315</v>
      </c>
      <c r="AD25" s="306">
        <v>0.12</v>
      </c>
      <c r="AE25" s="431">
        <v>0.4</v>
      </c>
      <c r="AF25" s="431">
        <v>0.4</v>
      </c>
      <c r="AG25" s="431">
        <v>0.39200000000000002</v>
      </c>
      <c r="AH25" s="431">
        <v>0.38800000000000001</v>
      </c>
      <c r="AI25" s="431">
        <v>0.40799999999999997</v>
      </c>
      <c r="AJ25" s="431">
        <v>0.4</v>
      </c>
      <c r="AK25" s="431">
        <v>0.39200000000000002</v>
      </c>
      <c r="AL25" s="431">
        <v>0.39200000000000002</v>
      </c>
      <c r="AM25" s="431">
        <v>0.4</v>
      </c>
      <c r="AN25" s="431">
        <v>0.4</v>
      </c>
      <c r="AO25" s="431">
        <v>0.4</v>
      </c>
      <c r="AP25" s="432">
        <v>0.4</v>
      </c>
      <c r="AQ25" s="432">
        <v>0.38800000000000001</v>
      </c>
      <c r="AR25" s="432">
        <v>0.4</v>
      </c>
      <c r="AS25" s="432">
        <v>0.4</v>
      </c>
      <c r="AT25" s="431">
        <v>0.4</v>
      </c>
      <c r="AU25" s="431">
        <v>0.4</v>
      </c>
      <c r="AV25" s="431">
        <v>0.39200000000000002</v>
      </c>
      <c r="AW25" s="305">
        <v>6.9082863709679004E-2</v>
      </c>
      <c r="AX25" s="305"/>
      <c r="AY25" s="306">
        <f t="shared" si="5"/>
        <v>0.39200000000000002</v>
      </c>
      <c r="AZ25" s="306">
        <f t="shared" si="6"/>
        <v>0.39200000000000002</v>
      </c>
      <c r="BA25" s="309">
        <f t="shared" si="7"/>
        <v>0.39200000000000002</v>
      </c>
      <c r="BB25" s="308">
        <f t="shared" si="8"/>
        <v>37043</v>
      </c>
      <c r="BC25" s="306">
        <f t="shared" si="2"/>
        <v>0.94979713538480304</v>
      </c>
      <c r="BD25" s="306">
        <f t="shared" si="3"/>
        <v>0.94997376215603579</v>
      </c>
      <c r="BF25" s="308">
        <f t="shared" si="9"/>
        <v>37043</v>
      </c>
      <c r="BG25" s="291">
        <v>13</v>
      </c>
      <c r="BI25" s="493">
        <f t="shared" si="10"/>
        <v>4.2130000000000001</v>
      </c>
      <c r="BJ25" s="494">
        <f t="shared" si="11"/>
        <v>3.843</v>
      </c>
    </row>
    <row r="26" spans="2:62" x14ac:dyDescent="0.25">
      <c r="B26" s="296">
        <f t="shared" si="4"/>
        <v>37073</v>
      </c>
      <c r="C26" s="294">
        <v>3.8029999999999999</v>
      </c>
      <c r="D26" s="294">
        <v>0.4</v>
      </c>
      <c r="E26" s="294">
        <v>6.9181571268567998E-2</v>
      </c>
      <c r="F26" s="294">
        <v>-0.13750000000000001</v>
      </c>
      <c r="G26" s="294">
        <v>0.02</v>
      </c>
      <c r="H26" s="294">
        <v>-0.13750000000000001</v>
      </c>
      <c r="I26" s="294">
        <v>0.04</v>
      </c>
      <c r="J26" s="294">
        <v>0.185</v>
      </c>
      <c r="K26" s="294">
        <v>0.23250000000000001</v>
      </c>
      <c r="L26" s="294">
        <v>-8.6999999999999994E-2</v>
      </c>
      <c r="M26" s="294">
        <v>-0.03</v>
      </c>
      <c r="N26" s="294">
        <v>-0.68500000000000005</v>
      </c>
      <c r="O26" s="294">
        <v>-0.375</v>
      </c>
      <c r="P26" s="294">
        <v>5.0000000000000001E-3</v>
      </c>
      <c r="Q26" s="294">
        <v>-7.4999999999999997E-3</v>
      </c>
      <c r="R26" s="291">
        <v>-2.5000000000000001E-2</v>
      </c>
      <c r="S26" s="291">
        <v>-0.06</v>
      </c>
      <c r="T26" s="291">
        <v>-0.10249999999999999</v>
      </c>
      <c r="U26" s="291">
        <v>-2.2749999999999999E-2</v>
      </c>
      <c r="V26" s="291">
        <v>-9.5000000000000001E-2</v>
      </c>
      <c r="W26" s="291">
        <v>-0.14000000000000001</v>
      </c>
      <c r="X26" s="291">
        <v>0.46</v>
      </c>
      <c r="Y26" s="291">
        <v>5.0000000000000001E-3</v>
      </c>
      <c r="Z26" s="291">
        <v>-0.4425</v>
      </c>
      <c r="AA26" s="291">
        <v>-2.5000000000000001E-2</v>
      </c>
      <c r="AB26" s="306">
        <v>1.2250000000000001</v>
      </c>
      <c r="AC26" s="306">
        <v>0.32750000000000001</v>
      </c>
      <c r="AD26" s="306">
        <v>0.1125</v>
      </c>
      <c r="AE26" s="431">
        <v>0.4</v>
      </c>
      <c r="AF26" s="431">
        <v>0.4</v>
      </c>
      <c r="AG26" s="431">
        <v>0.39200000000000002</v>
      </c>
      <c r="AH26" s="431">
        <v>0.38800000000000001</v>
      </c>
      <c r="AI26" s="431">
        <v>0.40799999999999997</v>
      </c>
      <c r="AJ26" s="431">
        <v>0.4</v>
      </c>
      <c r="AK26" s="431">
        <v>0.39200000000000002</v>
      </c>
      <c r="AL26" s="431">
        <v>0.39200000000000002</v>
      </c>
      <c r="AM26" s="431">
        <v>0.4</v>
      </c>
      <c r="AN26" s="431">
        <v>0.4</v>
      </c>
      <c r="AO26" s="431">
        <v>0.4</v>
      </c>
      <c r="AP26" s="432">
        <v>0.4</v>
      </c>
      <c r="AQ26" s="432">
        <v>0.38800000000000001</v>
      </c>
      <c r="AR26" s="432">
        <v>0.4</v>
      </c>
      <c r="AS26" s="432">
        <v>0.4</v>
      </c>
      <c r="AT26" s="431">
        <v>0.4</v>
      </c>
      <c r="AU26" s="431">
        <v>0.4</v>
      </c>
      <c r="AV26" s="431">
        <v>0.39200000000000002</v>
      </c>
      <c r="AW26" s="305">
        <v>6.9112852033843E-2</v>
      </c>
      <c r="AX26" s="305"/>
      <c r="AY26" s="306">
        <f t="shared" si="5"/>
        <v>0.39200000000000002</v>
      </c>
      <c r="AZ26" s="306">
        <f t="shared" si="6"/>
        <v>0.39200000000000002</v>
      </c>
      <c r="BA26" s="309">
        <f t="shared" si="7"/>
        <v>0.39200000000000002</v>
      </c>
      <c r="BB26" s="308">
        <f t="shared" si="8"/>
        <v>37073</v>
      </c>
      <c r="BC26" s="306">
        <f t="shared" si="2"/>
        <v>0.94449056349131477</v>
      </c>
      <c r="BD26" s="306">
        <f t="shared" si="3"/>
        <v>0.94466627840880768</v>
      </c>
      <c r="BF26" s="308">
        <f t="shared" si="9"/>
        <v>37073</v>
      </c>
      <c r="BG26" s="291">
        <v>14</v>
      </c>
      <c r="BI26" s="493">
        <f t="shared" si="10"/>
        <v>4.2629999999999999</v>
      </c>
      <c r="BJ26" s="494">
        <f t="shared" si="11"/>
        <v>3.823</v>
      </c>
    </row>
    <row r="27" spans="2:62" x14ac:dyDescent="0.25">
      <c r="B27" s="296">
        <f t="shared" si="4"/>
        <v>37104</v>
      </c>
      <c r="C27" s="294">
        <v>3.8079999999999998</v>
      </c>
      <c r="D27" s="294">
        <v>0.4</v>
      </c>
      <c r="E27" s="294">
        <v>6.9223060737754999E-2</v>
      </c>
      <c r="F27" s="294">
        <v>-0.13250000000000001</v>
      </c>
      <c r="G27" s="388">
        <v>0.02</v>
      </c>
      <c r="H27" s="294">
        <v>-0.13250000000000001</v>
      </c>
      <c r="I27" s="294">
        <v>5.2499999999999998E-2</v>
      </c>
      <c r="J27" s="294">
        <v>0.185</v>
      </c>
      <c r="K27" s="294">
        <v>0.23250000000000001</v>
      </c>
      <c r="L27" s="294">
        <v>-7.8E-2</v>
      </c>
      <c r="M27" s="294">
        <v>-0.03</v>
      </c>
      <c r="N27" s="294">
        <v>-0.68500000000000005</v>
      </c>
      <c r="O27" s="294">
        <v>-0.375</v>
      </c>
      <c r="P27" s="294">
        <v>5.0000000000000001E-3</v>
      </c>
      <c r="Q27" s="294">
        <v>-7.4999999999999997E-3</v>
      </c>
      <c r="R27" s="291">
        <v>-2.5000000000000001E-2</v>
      </c>
      <c r="S27" s="291">
        <v>-0.06</v>
      </c>
      <c r="T27" s="291">
        <v>-9.7500000000000003E-2</v>
      </c>
      <c r="U27" s="291">
        <v>-2.2749999999999999E-2</v>
      </c>
      <c r="V27" s="291">
        <v>-9.5000000000000001E-2</v>
      </c>
      <c r="W27" s="291">
        <v>-0.14000000000000001</v>
      </c>
      <c r="X27" s="291">
        <v>0.46</v>
      </c>
      <c r="Y27" s="291">
        <v>5.0000000000000001E-3</v>
      </c>
      <c r="Z27" s="291">
        <v>-0.4425</v>
      </c>
      <c r="AA27" s="291">
        <v>-2.5000000000000001E-2</v>
      </c>
      <c r="AB27" s="306">
        <v>1.2749999999999999</v>
      </c>
      <c r="AC27" s="306">
        <v>0.32750000000000001</v>
      </c>
      <c r="AD27" s="306">
        <v>0.11</v>
      </c>
      <c r="AE27" s="431">
        <v>0.4</v>
      </c>
      <c r="AF27" s="431">
        <v>0.4</v>
      </c>
      <c r="AG27" s="431">
        <v>0.39200000000000002</v>
      </c>
      <c r="AH27" s="431">
        <v>0.38800000000000001</v>
      </c>
      <c r="AI27" s="431">
        <v>0.40799999999999997</v>
      </c>
      <c r="AJ27" s="431">
        <v>0.4</v>
      </c>
      <c r="AK27" s="431">
        <v>0.39200000000000002</v>
      </c>
      <c r="AL27" s="431">
        <v>0.39200000000000002</v>
      </c>
      <c r="AM27" s="431">
        <v>0.4</v>
      </c>
      <c r="AN27" s="431">
        <v>0.4</v>
      </c>
      <c r="AO27" s="431">
        <v>0.4</v>
      </c>
      <c r="AP27" s="432">
        <v>0.4</v>
      </c>
      <c r="AQ27" s="432">
        <v>0.38800000000000001</v>
      </c>
      <c r="AR27" s="432">
        <v>0.4</v>
      </c>
      <c r="AS27" s="432">
        <v>0.4</v>
      </c>
      <c r="AT27" s="431">
        <v>0.4</v>
      </c>
      <c r="AU27" s="431">
        <v>0.4</v>
      </c>
      <c r="AV27" s="431">
        <v>0.39200000000000002</v>
      </c>
      <c r="AW27" s="305">
        <v>6.9138395475161998E-2</v>
      </c>
      <c r="AX27" s="305"/>
      <c r="AY27" s="306">
        <f t="shared" si="5"/>
        <v>0.39200000000000002</v>
      </c>
      <c r="AZ27" s="306">
        <f t="shared" si="6"/>
        <v>0.39200000000000002</v>
      </c>
      <c r="BA27" s="309">
        <f t="shared" si="7"/>
        <v>0.39200000000000002</v>
      </c>
      <c r="BB27" s="308">
        <f t="shared" si="8"/>
        <v>37104</v>
      </c>
      <c r="BC27" s="306">
        <f t="shared" si="2"/>
        <v>0.93903812690635768</v>
      </c>
      <c r="BD27" s="306">
        <f t="shared" si="3"/>
        <v>0.93921289093030769</v>
      </c>
      <c r="BF27" s="308">
        <f t="shared" si="9"/>
        <v>37104</v>
      </c>
      <c r="BG27" s="291">
        <v>15</v>
      </c>
      <c r="BI27" s="493">
        <f t="shared" si="10"/>
        <v>4.2679999999999998</v>
      </c>
      <c r="BJ27" s="494">
        <f t="shared" si="11"/>
        <v>3.8079999999999998</v>
      </c>
    </row>
    <row r="28" spans="2:62" x14ac:dyDescent="0.25">
      <c r="B28" s="296">
        <f t="shared" si="4"/>
        <v>37135</v>
      </c>
      <c r="C28" s="294">
        <v>3.7879999999999998</v>
      </c>
      <c r="D28" s="294">
        <v>0.4</v>
      </c>
      <c r="E28" s="294">
        <v>6.9264550207512002E-2</v>
      </c>
      <c r="F28" s="294">
        <v>-0.1275</v>
      </c>
      <c r="G28" s="294">
        <v>1.4999999999999999E-2</v>
      </c>
      <c r="H28" s="294">
        <v>-0.1275</v>
      </c>
      <c r="I28" s="294">
        <v>5.2499999999999998E-2</v>
      </c>
      <c r="J28" s="294">
        <v>0.18</v>
      </c>
      <c r="K28" s="294">
        <v>0.21</v>
      </c>
      <c r="L28" s="294">
        <v>-5.8000000000000003E-2</v>
      </c>
      <c r="M28" s="294">
        <v>-0.03</v>
      </c>
      <c r="N28" s="294">
        <v>-0.68500000000000005</v>
      </c>
      <c r="O28" s="294">
        <v>-0.375</v>
      </c>
      <c r="P28" s="294">
        <v>5.0000000000000001E-3</v>
      </c>
      <c r="Q28" s="294">
        <v>-7.4999999999999997E-3</v>
      </c>
      <c r="R28" s="291">
        <v>-2.5000000000000001E-2</v>
      </c>
      <c r="S28" s="291">
        <v>-0.06</v>
      </c>
      <c r="T28" s="291">
        <v>-9.2499999999999999E-2</v>
      </c>
      <c r="U28" s="291">
        <v>-2.2749999999999999E-2</v>
      </c>
      <c r="V28" s="291">
        <v>-0.11</v>
      </c>
      <c r="W28" s="291">
        <v>-0.14000000000000001</v>
      </c>
      <c r="X28" s="291">
        <v>0.39500000000000002</v>
      </c>
      <c r="Y28" s="291">
        <v>5.0000000000000001E-3</v>
      </c>
      <c r="Z28" s="291">
        <v>-0.4425</v>
      </c>
      <c r="AA28" s="291">
        <v>-2.5000000000000001E-2</v>
      </c>
      <c r="AB28" s="306">
        <v>1.2524999999999999</v>
      </c>
      <c r="AC28" s="306">
        <v>0.3175</v>
      </c>
      <c r="AD28" s="306">
        <v>0.11</v>
      </c>
      <c r="AE28" s="431">
        <v>0.4</v>
      </c>
      <c r="AF28" s="431">
        <v>0.4</v>
      </c>
      <c r="AG28" s="431">
        <v>0.39200000000000002</v>
      </c>
      <c r="AH28" s="431">
        <v>0.38800000000000001</v>
      </c>
      <c r="AI28" s="431">
        <v>0.40799999999999997</v>
      </c>
      <c r="AJ28" s="431">
        <v>0.4</v>
      </c>
      <c r="AK28" s="431">
        <v>0.39200000000000002</v>
      </c>
      <c r="AL28" s="431">
        <v>0.39200000000000002</v>
      </c>
      <c r="AM28" s="431">
        <v>0.4</v>
      </c>
      <c r="AN28" s="431">
        <v>0.4</v>
      </c>
      <c r="AO28" s="431">
        <v>0.4</v>
      </c>
      <c r="AP28" s="432">
        <v>0.4</v>
      </c>
      <c r="AQ28" s="432">
        <v>0.38800000000000001</v>
      </c>
      <c r="AR28" s="432">
        <v>0.4</v>
      </c>
      <c r="AS28" s="432">
        <v>0.4</v>
      </c>
      <c r="AT28" s="431">
        <v>0.4</v>
      </c>
      <c r="AU28" s="431">
        <v>0.4</v>
      </c>
      <c r="AV28" s="431">
        <v>0.39200000000000002</v>
      </c>
      <c r="AW28" s="305">
        <v>6.9163938916697004E-2</v>
      </c>
      <c r="AX28" s="305"/>
      <c r="AY28" s="306">
        <f t="shared" si="5"/>
        <v>0.39200000000000002</v>
      </c>
      <c r="AZ28" s="306">
        <f t="shared" si="6"/>
        <v>0.39200000000000002</v>
      </c>
      <c r="BA28" s="309">
        <f t="shared" si="7"/>
        <v>0.39200000000000002</v>
      </c>
      <c r="BB28" s="308">
        <f t="shared" si="8"/>
        <v>37135</v>
      </c>
      <c r="BC28" s="306">
        <f t="shared" si="2"/>
        <v>0.93361325406632978</v>
      </c>
      <c r="BD28" s="306">
        <f t="shared" si="3"/>
        <v>0.93378707159042118</v>
      </c>
      <c r="BF28" s="308">
        <f t="shared" si="9"/>
        <v>37135</v>
      </c>
      <c r="BG28" s="291">
        <v>16</v>
      </c>
      <c r="BI28" s="493">
        <f t="shared" si="10"/>
        <v>4.1829999999999998</v>
      </c>
      <c r="BJ28" s="494">
        <f t="shared" si="11"/>
        <v>3.8129999999999997</v>
      </c>
    </row>
    <row r="29" spans="2:62" x14ac:dyDescent="0.25">
      <c r="B29" s="296">
        <f t="shared" si="4"/>
        <v>37165</v>
      </c>
      <c r="C29" s="294">
        <v>3.7730000000000001</v>
      </c>
      <c r="D29" s="294">
        <v>0.40250000000000002</v>
      </c>
      <c r="E29" s="294">
        <v>6.9300944538363995E-2</v>
      </c>
      <c r="F29" s="294">
        <v>-0.1225</v>
      </c>
      <c r="G29" s="294">
        <v>5.0000000000000001E-3</v>
      </c>
      <c r="H29" s="294">
        <v>-0.1225</v>
      </c>
      <c r="I29" s="294">
        <v>7.2499999999999995E-2</v>
      </c>
      <c r="J29" s="294">
        <v>0.185</v>
      </c>
      <c r="K29" s="294">
        <v>0.23</v>
      </c>
      <c r="L29" s="294">
        <v>-6.8000000000000005E-2</v>
      </c>
      <c r="M29" s="294">
        <v>-0.03</v>
      </c>
      <c r="N29" s="294">
        <v>-0.68500000000000005</v>
      </c>
      <c r="O29" s="294">
        <v>-0.375</v>
      </c>
      <c r="P29" s="294">
        <v>5.0000000000000001E-3</v>
      </c>
      <c r="Q29" s="294">
        <v>-7.4999999999999997E-3</v>
      </c>
      <c r="R29" s="291">
        <v>-2.5000000000000001E-2</v>
      </c>
      <c r="S29" s="291">
        <v>-0.06</v>
      </c>
      <c r="T29" s="291">
        <v>-8.7499999999999994E-2</v>
      </c>
      <c r="U29" s="291">
        <v>-2.2749999999999999E-2</v>
      </c>
      <c r="V29" s="291">
        <v>-0.1125</v>
      </c>
      <c r="W29" s="291">
        <v>-0.14000000000000001</v>
      </c>
      <c r="X29" s="291">
        <v>0.46100000000000002</v>
      </c>
      <c r="Y29" s="291">
        <v>5.0000000000000001E-3</v>
      </c>
      <c r="Z29" s="291">
        <v>-0.4425</v>
      </c>
      <c r="AA29" s="291">
        <v>-2.5000000000000001E-2</v>
      </c>
      <c r="AB29" s="306">
        <v>0.74750000000000005</v>
      </c>
      <c r="AC29" s="306">
        <v>0.33</v>
      </c>
      <c r="AD29" s="306">
        <v>0.125</v>
      </c>
      <c r="AE29" s="431">
        <v>0.40300000000000002</v>
      </c>
      <c r="AF29" s="431">
        <v>0.40300000000000002</v>
      </c>
      <c r="AG29" s="431">
        <v>0.39400000000000002</v>
      </c>
      <c r="AH29" s="431">
        <v>0.39</v>
      </c>
      <c r="AI29" s="431">
        <v>0.41099999999999998</v>
      </c>
      <c r="AJ29" s="431">
        <v>0.40300000000000002</v>
      </c>
      <c r="AK29" s="431">
        <v>0.39400000000000002</v>
      </c>
      <c r="AL29" s="431">
        <v>0.39400000000000002</v>
      </c>
      <c r="AM29" s="431">
        <v>0.40300000000000002</v>
      </c>
      <c r="AN29" s="431">
        <v>0.40300000000000002</v>
      </c>
      <c r="AO29" s="431">
        <v>0.40300000000000002</v>
      </c>
      <c r="AP29" s="432">
        <v>0.40300000000000002</v>
      </c>
      <c r="AQ29" s="432">
        <v>0.39</v>
      </c>
      <c r="AR29" s="432">
        <v>0.40300000000000002</v>
      </c>
      <c r="AS29" s="432">
        <v>0.40300000000000002</v>
      </c>
      <c r="AT29" s="431">
        <v>0.40300000000000002</v>
      </c>
      <c r="AU29" s="431">
        <v>0.40300000000000002</v>
      </c>
      <c r="AV29" s="431">
        <v>0.39400000000000002</v>
      </c>
      <c r="AW29" s="305">
        <v>6.9185955527668999E-2</v>
      </c>
      <c r="AX29" s="305"/>
      <c r="AY29" s="306">
        <f t="shared" si="5"/>
        <v>0.39400000000000002</v>
      </c>
      <c r="AZ29" s="306">
        <f t="shared" si="6"/>
        <v>0.39400000000000002</v>
      </c>
      <c r="BA29" s="309">
        <f t="shared" si="7"/>
        <v>0.39400000000000002</v>
      </c>
      <c r="BB29" s="308">
        <f t="shared" si="8"/>
        <v>37165</v>
      </c>
      <c r="BC29" s="306">
        <f t="shared" si="2"/>
        <v>0.92839216377375999</v>
      </c>
      <c r="BD29" s="306">
        <f t="shared" si="3"/>
        <v>0.9285650633507615</v>
      </c>
      <c r="BF29" s="308">
        <f t="shared" si="9"/>
        <v>37165</v>
      </c>
      <c r="BG29" s="291">
        <v>17</v>
      </c>
      <c r="BI29" s="493">
        <f t="shared" si="10"/>
        <v>4.234</v>
      </c>
      <c r="BJ29" s="494">
        <f t="shared" si="11"/>
        <v>3.7929999999999997</v>
      </c>
    </row>
    <row r="30" spans="2:62" x14ac:dyDescent="0.25">
      <c r="B30" s="296">
        <f t="shared" si="4"/>
        <v>37196</v>
      </c>
      <c r="C30" s="294">
        <v>3.8780000000000001</v>
      </c>
      <c r="D30" s="294">
        <v>0.40250000000000002</v>
      </c>
      <c r="E30" s="294">
        <v>6.9332408860558997E-2</v>
      </c>
      <c r="F30" s="294">
        <v>-0.13</v>
      </c>
      <c r="G30" s="294">
        <v>-4.2500000000000003E-2</v>
      </c>
      <c r="H30" s="294">
        <v>-0.13</v>
      </c>
      <c r="I30" s="294">
        <v>0.09</v>
      </c>
      <c r="J30" s="294">
        <v>0.26750000000000002</v>
      </c>
      <c r="K30" s="294">
        <v>0.28499999999999998</v>
      </c>
      <c r="L30" s="294">
        <v>-8.5000000000000006E-2</v>
      </c>
      <c r="M30" s="294">
        <v>-2.2499999999999999E-2</v>
      </c>
      <c r="N30" s="294">
        <v>-0.33</v>
      </c>
      <c r="O30" s="294">
        <v>0.19</v>
      </c>
      <c r="P30" s="294">
        <v>1.2500000000000001E-2</v>
      </c>
      <c r="Q30" s="294">
        <v>-1.7500000000000002E-2</v>
      </c>
      <c r="R30" s="291">
        <v>-2.8000000000000001E-2</v>
      </c>
      <c r="S30" s="291">
        <v>-7.7499999999999999E-2</v>
      </c>
      <c r="T30" s="291">
        <v>2.5000000000000001E-3</v>
      </c>
      <c r="U30" s="291">
        <v>-3.7499999999999999E-2</v>
      </c>
      <c r="V30" s="291">
        <v>-0.11</v>
      </c>
      <c r="W30" s="291">
        <v>-0.14000000000000001</v>
      </c>
      <c r="X30" s="291">
        <v>0.89</v>
      </c>
      <c r="Y30" s="291">
        <v>5.0000000000000001E-3</v>
      </c>
      <c r="Z30" s="291">
        <v>-0.26750000000000002</v>
      </c>
      <c r="AA30" s="291">
        <v>-2.6499999999999999E-2</v>
      </c>
      <c r="AB30" s="306">
        <v>-1.0225</v>
      </c>
      <c r="AC30" s="306">
        <v>0.55000000000000004</v>
      </c>
      <c r="AD30" s="306">
        <v>0.18</v>
      </c>
      <c r="AE30" s="431">
        <v>0.40300000000000002</v>
      </c>
      <c r="AF30" s="431">
        <v>0.40300000000000002</v>
      </c>
      <c r="AG30" s="431">
        <v>0.443</v>
      </c>
      <c r="AH30" s="431">
        <v>0.39</v>
      </c>
      <c r="AI30" s="431">
        <v>0.41099999999999998</v>
      </c>
      <c r="AJ30" s="431">
        <v>0.40300000000000002</v>
      </c>
      <c r="AK30" s="431">
        <v>0.40300000000000002</v>
      </c>
      <c r="AL30" s="431">
        <v>0.40300000000000002</v>
      </c>
      <c r="AM30" s="431">
        <v>0.40300000000000002</v>
      </c>
      <c r="AN30" s="431">
        <v>0.40300000000000002</v>
      </c>
      <c r="AO30" s="431">
        <v>0.40300000000000002</v>
      </c>
      <c r="AP30" s="432">
        <v>0.40300000000000002</v>
      </c>
      <c r="AQ30" s="432">
        <v>0.39</v>
      </c>
      <c r="AR30" s="432">
        <v>0.40300000000000002</v>
      </c>
      <c r="AS30" s="432">
        <v>0.40300000000000002</v>
      </c>
      <c r="AT30" s="431">
        <v>0.40300000000000002</v>
      </c>
      <c r="AU30" s="431">
        <v>0.40300000000000002</v>
      </c>
      <c r="AV30" s="431">
        <v>0.443</v>
      </c>
      <c r="AW30" s="305">
        <v>6.9204285342737995E-2</v>
      </c>
      <c r="AX30" s="305"/>
      <c r="AY30" s="306">
        <f t="shared" si="5"/>
        <v>0.443</v>
      </c>
      <c r="AZ30" s="306">
        <f t="shared" si="6"/>
        <v>0.443</v>
      </c>
      <c r="BA30" s="309">
        <f t="shared" si="7"/>
        <v>0.443</v>
      </c>
      <c r="BB30" s="308">
        <f t="shared" si="8"/>
        <v>37196</v>
      </c>
      <c r="BC30" s="306">
        <f t="shared" si="2"/>
        <v>0.92302896304604309</v>
      </c>
      <c r="BD30" s="306">
        <f t="shared" si="3"/>
        <v>0.9232009085855658</v>
      </c>
      <c r="BF30" s="308">
        <f t="shared" si="9"/>
        <v>37196</v>
      </c>
      <c r="BG30" s="291">
        <v>18</v>
      </c>
      <c r="BI30" s="493">
        <f t="shared" si="10"/>
        <v>4.7679999999999998</v>
      </c>
      <c r="BJ30" s="494">
        <f t="shared" si="11"/>
        <v>3.778</v>
      </c>
    </row>
    <row r="31" spans="2:62" x14ac:dyDescent="0.25">
      <c r="B31" s="296">
        <f t="shared" si="4"/>
        <v>37226</v>
      </c>
      <c r="C31" s="294">
        <v>3.968</v>
      </c>
      <c r="D31" s="294">
        <v>0.40749999999999997</v>
      </c>
      <c r="E31" s="294">
        <v>6.9362858204931002E-2</v>
      </c>
      <c r="F31" s="294">
        <v>-0.13250000000000001</v>
      </c>
      <c r="G31" s="294">
        <v>-6.5000000000000002E-2</v>
      </c>
      <c r="H31" s="294">
        <v>-0.13250000000000001</v>
      </c>
      <c r="I31" s="294">
        <v>0.13</v>
      </c>
      <c r="J31" s="294">
        <v>0.30249999999999999</v>
      </c>
      <c r="K31" s="294">
        <v>0.375</v>
      </c>
      <c r="L31" s="294">
        <v>-8.5000000000000006E-2</v>
      </c>
      <c r="M31" s="294">
        <v>-2.2499999999999999E-2</v>
      </c>
      <c r="N31" s="294">
        <v>-0.33</v>
      </c>
      <c r="O31" s="294">
        <v>0.28999999999999998</v>
      </c>
      <c r="P31" s="294">
        <v>1.2500000000000001E-2</v>
      </c>
      <c r="Q31" s="294">
        <v>-1.7500000000000002E-2</v>
      </c>
      <c r="R31" s="291">
        <v>-2.5499999999999998E-2</v>
      </c>
      <c r="S31" s="291">
        <v>-7.7499999999999999E-2</v>
      </c>
      <c r="T31" s="291">
        <v>2.2499999999999999E-2</v>
      </c>
      <c r="U31" s="291">
        <v>-3.7499999999999999E-2</v>
      </c>
      <c r="V31" s="291">
        <v>-0.14499999999999999</v>
      </c>
      <c r="W31" s="291">
        <v>-0.13500000000000001</v>
      </c>
      <c r="X31" s="291">
        <v>1.31</v>
      </c>
      <c r="Y31" s="291">
        <v>5.0000000000000001E-3</v>
      </c>
      <c r="Z31" s="291">
        <v>-0.26750000000000002</v>
      </c>
      <c r="AA31" s="291">
        <v>-2.6499999999999999E-2</v>
      </c>
      <c r="AB31" s="306">
        <v>-1.0225</v>
      </c>
      <c r="AC31" s="306">
        <v>0.87</v>
      </c>
      <c r="AD31" s="306">
        <v>0.22</v>
      </c>
      <c r="AE31" s="431">
        <v>0.40799999999999997</v>
      </c>
      <c r="AF31" s="431">
        <v>0.40799999999999997</v>
      </c>
      <c r="AG31" s="431">
        <v>0.44800000000000001</v>
      </c>
      <c r="AH31" s="431">
        <v>0.39500000000000002</v>
      </c>
      <c r="AI31" s="431">
        <v>0.41599999999999998</v>
      </c>
      <c r="AJ31" s="431">
        <v>0.40799999999999997</v>
      </c>
      <c r="AK31" s="431">
        <v>0.40799999999999997</v>
      </c>
      <c r="AL31" s="431">
        <v>0.40799999999999997</v>
      </c>
      <c r="AM31" s="431">
        <v>0.40799999999999997</v>
      </c>
      <c r="AN31" s="431">
        <v>0.40799999999999997</v>
      </c>
      <c r="AO31" s="431">
        <v>0.40799999999999997</v>
      </c>
      <c r="AP31" s="432">
        <v>0.40799999999999997</v>
      </c>
      <c r="AQ31" s="432">
        <v>0.39500000000000002</v>
      </c>
      <c r="AR31" s="432">
        <v>0.40799999999999997</v>
      </c>
      <c r="AS31" s="432">
        <v>0.40799999999999997</v>
      </c>
      <c r="AT31" s="431">
        <v>0.40799999999999997</v>
      </c>
      <c r="AU31" s="431">
        <v>0.40799999999999997</v>
      </c>
      <c r="AV31" s="431">
        <v>0.44800000000000001</v>
      </c>
      <c r="AW31" s="305">
        <v>6.9222023873555E-2</v>
      </c>
      <c r="AX31" s="305"/>
      <c r="AY31" s="306">
        <f t="shared" si="5"/>
        <v>0.44800000000000001</v>
      </c>
      <c r="AZ31" s="306">
        <f t="shared" si="6"/>
        <v>0.44800000000000001</v>
      </c>
      <c r="BA31" s="309">
        <f t="shared" si="7"/>
        <v>0.44800000000000001</v>
      </c>
      <c r="BB31" s="308">
        <f t="shared" si="8"/>
        <v>37226</v>
      </c>
      <c r="BC31" s="306">
        <f t="shared" si="2"/>
        <v>0.91786564203687993</v>
      </c>
      <c r="BD31" s="306">
        <f t="shared" si="3"/>
        <v>0.91803666882578694</v>
      </c>
      <c r="BF31" s="308">
        <f t="shared" si="9"/>
        <v>37226</v>
      </c>
      <c r="BG31" s="291">
        <v>19</v>
      </c>
      <c r="BI31" s="493">
        <f t="shared" si="10"/>
        <v>5.2780000000000005</v>
      </c>
      <c r="BJ31" s="494">
        <f t="shared" si="11"/>
        <v>3.883</v>
      </c>
    </row>
    <row r="32" spans="2:62" x14ac:dyDescent="0.25">
      <c r="B32" s="296">
        <f t="shared" si="4"/>
        <v>37257</v>
      </c>
      <c r="C32" s="294">
        <v>3.94</v>
      </c>
      <c r="D32" s="294">
        <v>0.41249999999999998</v>
      </c>
      <c r="E32" s="294">
        <v>6.9402566234750995E-2</v>
      </c>
      <c r="F32" s="294">
        <v>-0.13500000000000001</v>
      </c>
      <c r="G32" s="294">
        <v>-6.7500000000000004E-2</v>
      </c>
      <c r="H32" s="294">
        <v>-0.13500000000000001</v>
      </c>
      <c r="I32" s="294">
        <v>0.14249999999999999</v>
      </c>
      <c r="J32" s="294">
        <v>0.3075</v>
      </c>
      <c r="K32" s="294">
        <v>0.45500000000000002</v>
      </c>
      <c r="L32" s="294">
        <v>-8.5000000000000006E-2</v>
      </c>
      <c r="M32" s="294">
        <v>-2.0500000000000001E-2</v>
      </c>
      <c r="N32" s="294">
        <v>-0.33</v>
      </c>
      <c r="O32" s="294">
        <v>0.3</v>
      </c>
      <c r="P32" s="294">
        <v>1.2500000000000001E-2</v>
      </c>
      <c r="Q32" s="294">
        <v>-1.7500000000000002E-2</v>
      </c>
      <c r="R32" s="291">
        <v>-2.5499999999999998E-2</v>
      </c>
      <c r="S32" s="291">
        <v>-7.7499999999999999E-2</v>
      </c>
      <c r="T32" s="291">
        <v>3.5000000000000003E-2</v>
      </c>
      <c r="U32" s="291">
        <v>-3.7499999999999999E-2</v>
      </c>
      <c r="V32" s="291">
        <v>-0.15</v>
      </c>
      <c r="W32" s="291">
        <v>-0.13500000000000001</v>
      </c>
      <c r="X32" s="291">
        <v>1.56</v>
      </c>
      <c r="Y32" s="291">
        <v>5.0000000000000001E-3</v>
      </c>
      <c r="Z32" s="291">
        <v>-0.26750000000000002</v>
      </c>
      <c r="AA32" s="291">
        <v>-2.6499999999999999E-2</v>
      </c>
      <c r="AB32" s="306">
        <v>1.0625</v>
      </c>
      <c r="AC32" s="306">
        <v>1.02</v>
      </c>
      <c r="AD32" s="306">
        <v>0.23250000000000001</v>
      </c>
      <c r="AE32" s="431">
        <v>0.41299999999999998</v>
      </c>
      <c r="AF32" s="431">
        <v>0.41299999999999998</v>
      </c>
      <c r="AG32" s="431">
        <v>0.45400000000000001</v>
      </c>
      <c r="AH32" s="431">
        <v>0.4</v>
      </c>
      <c r="AI32" s="431">
        <v>0.42099999999999999</v>
      </c>
      <c r="AJ32" s="431">
        <v>0.41299999999999998</v>
      </c>
      <c r="AK32" s="431">
        <v>0.41299999999999998</v>
      </c>
      <c r="AL32" s="431">
        <v>0.41299999999999998</v>
      </c>
      <c r="AM32" s="431">
        <v>0.41299999999999998</v>
      </c>
      <c r="AN32" s="431">
        <v>0.41299999999999998</v>
      </c>
      <c r="AO32" s="431">
        <v>0.41299999999999998</v>
      </c>
      <c r="AP32" s="432">
        <v>0.41299999999999998</v>
      </c>
      <c r="AQ32" s="432">
        <v>0.4</v>
      </c>
      <c r="AR32" s="432">
        <v>0.41299999999999998</v>
      </c>
      <c r="AS32" s="432">
        <v>0.41299999999999998</v>
      </c>
      <c r="AT32" s="431">
        <v>0.41299999999999998</v>
      </c>
      <c r="AU32" s="431">
        <v>0.41299999999999998</v>
      </c>
      <c r="AV32" s="431">
        <v>0.41299999999999998</v>
      </c>
      <c r="AW32" s="305">
        <v>6.9246747982447995E-2</v>
      </c>
      <c r="AX32" s="305"/>
      <c r="AY32" s="306">
        <f t="shared" si="5"/>
        <v>0.45400000000000001</v>
      </c>
      <c r="AZ32" s="306">
        <f t="shared" si="6"/>
        <v>0.45400000000000001</v>
      </c>
      <c r="BA32" s="309">
        <f t="shared" si="7"/>
        <v>0.45400000000000001</v>
      </c>
      <c r="BB32" s="308">
        <f t="shared" si="8"/>
        <v>37257</v>
      </c>
      <c r="BC32" s="306">
        <f t="shared" si="2"/>
        <v>0.91255027014580492</v>
      </c>
      <c r="BD32" s="306">
        <f t="shared" si="3"/>
        <v>0.91272036623203978</v>
      </c>
      <c r="BF32" s="308">
        <f t="shared" si="9"/>
        <v>37257</v>
      </c>
      <c r="BG32" s="291">
        <v>20</v>
      </c>
      <c r="BI32" s="493">
        <f t="shared" si="10"/>
        <v>5.5</v>
      </c>
      <c r="BJ32" s="494">
        <f t="shared" si="11"/>
        <v>3.9729999999999999</v>
      </c>
    </row>
    <row r="33" spans="2:62" x14ac:dyDescent="0.25">
      <c r="B33" s="296">
        <f t="shared" si="4"/>
        <v>37288</v>
      </c>
      <c r="C33" s="294">
        <v>3.77</v>
      </c>
      <c r="D33" s="294">
        <v>0.39500000000000002</v>
      </c>
      <c r="E33" s="294">
        <v>6.9453688628792004E-2</v>
      </c>
      <c r="F33" s="294">
        <v>-0.13750000000000001</v>
      </c>
      <c r="G33" s="294">
        <v>-0.05</v>
      </c>
      <c r="H33" s="294">
        <v>-0.13750000000000001</v>
      </c>
      <c r="I33" s="294">
        <v>0.12</v>
      </c>
      <c r="J33" s="294">
        <v>0.3075</v>
      </c>
      <c r="K33" s="294">
        <v>0.45</v>
      </c>
      <c r="L33" s="294">
        <v>-8.5000000000000006E-2</v>
      </c>
      <c r="M33" s="294">
        <v>-2.0500000000000001E-2</v>
      </c>
      <c r="N33" s="294">
        <v>-0.33</v>
      </c>
      <c r="O33" s="294">
        <v>0.22</v>
      </c>
      <c r="P33" s="294">
        <v>1.2500000000000001E-2</v>
      </c>
      <c r="Q33" s="294">
        <v>-1.7500000000000002E-2</v>
      </c>
      <c r="R33" s="291">
        <v>-2.5499999999999998E-2</v>
      </c>
      <c r="S33" s="291">
        <v>-7.7499999999999999E-2</v>
      </c>
      <c r="T33" s="291">
        <v>0.04</v>
      </c>
      <c r="U33" s="291">
        <v>-3.7499999999999999E-2</v>
      </c>
      <c r="V33" s="291">
        <v>-0.13250000000000001</v>
      </c>
      <c r="W33" s="291">
        <v>-0.13500000000000001</v>
      </c>
      <c r="X33" s="291">
        <v>1.56</v>
      </c>
      <c r="Y33" s="291">
        <v>5.0000000000000001E-3</v>
      </c>
      <c r="Z33" s="291">
        <v>-0.26750000000000002</v>
      </c>
      <c r="AA33" s="291">
        <v>-2.6499999999999999E-2</v>
      </c>
      <c r="AB33" s="306">
        <v>1.0625</v>
      </c>
      <c r="AC33" s="306">
        <v>1.02</v>
      </c>
      <c r="AD33" s="306">
        <v>0.21</v>
      </c>
      <c r="AE33" s="431">
        <v>0.39500000000000002</v>
      </c>
      <c r="AF33" s="431">
        <v>0.39500000000000002</v>
      </c>
      <c r="AG33" s="431">
        <v>0.435</v>
      </c>
      <c r="AH33" s="431">
        <v>0.38300000000000001</v>
      </c>
      <c r="AI33" s="431">
        <v>0.40300000000000002</v>
      </c>
      <c r="AJ33" s="431">
        <v>0.39500000000000002</v>
      </c>
      <c r="AK33" s="431">
        <v>0.39500000000000002</v>
      </c>
      <c r="AL33" s="431">
        <v>0.39500000000000002</v>
      </c>
      <c r="AM33" s="431">
        <v>0.39500000000000002</v>
      </c>
      <c r="AN33" s="431">
        <v>0.39500000000000002</v>
      </c>
      <c r="AO33" s="431">
        <v>0.39500000000000002</v>
      </c>
      <c r="AP33" s="432">
        <v>0.39500000000000002</v>
      </c>
      <c r="AQ33" s="432">
        <v>0.38300000000000001</v>
      </c>
      <c r="AR33" s="432">
        <v>0.39500000000000002</v>
      </c>
      <c r="AS33" s="432">
        <v>0.39500000000000002</v>
      </c>
      <c r="AT33" s="431">
        <v>0.39500000000000002</v>
      </c>
      <c r="AU33" s="431">
        <v>0.39500000000000002</v>
      </c>
      <c r="AV33" s="431">
        <v>0.435</v>
      </c>
      <c r="AW33" s="305">
        <v>6.9280325728938996E-2</v>
      </c>
      <c r="AX33" s="305"/>
      <c r="AY33" s="306">
        <f t="shared" si="5"/>
        <v>0.435</v>
      </c>
      <c r="AZ33" s="306">
        <f t="shared" si="6"/>
        <v>0.435</v>
      </c>
      <c r="BA33" s="309">
        <f t="shared" si="7"/>
        <v>0.435</v>
      </c>
      <c r="BB33" s="308">
        <f t="shared" si="8"/>
        <v>37288</v>
      </c>
      <c r="BC33" s="306">
        <f t="shared" si="2"/>
        <v>0.90725090435548761</v>
      </c>
      <c r="BD33" s="306">
        <f t="shared" si="3"/>
        <v>0.90742009328663886</v>
      </c>
      <c r="BF33" s="308">
        <f t="shared" si="9"/>
        <v>37288</v>
      </c>
      <c r="BG33" s="291">
        <v>21</v>
      </c>
      <c r="BI33" s="493">
        <f t="shared" si="10"/>
        <v>5.33</v>
      </c>
      <c r="BJ33" s="494">
        <f t="shared" si="11"/>
        <v>3.9449999999999998</v>
      </c>
    </row>
    <row r="34" spans="2:62" x14ac:dyDescent="0.25">
      <c r="B34" s="296">
        <f t="shared" si="4"/>
        <v>37316</v>
      </c>
      <c r="C34" s="294">
        <v>3.605</v>
      </c>
      <c r="D34" s="294">
        <v>0.36499999999999999</v>
      </c>
      <c r="E34" s="294">
        <v>6.9499863695118999E-2</v>
      </c>
      <c r="F34" s="294">
        <v>-0.14000000000000001</v>
      </c>
      <c r="G34" s="294">
        <v>-3.7499999999999999E-2</v>
      </c>
      <c r="H34" s="294">
        <v>-0.14000000000000001</v>
      </c>
      <c r="I34" s="294">
        <v>0.11749999999999999</v>
      </c>
      <c r="J34" s="294">
        <v>0.26650000000000001</v>
      </c>
      <c r="K34" s="294">
        <v>0.34</v>
      </c>
      <c r="L34" s="294">
        <v>-8.5000000000000006E-2</v>
      </c>
      <c r="M34" s="294">
        <v>-2.0500000000000001E-2</v>
      </c>
      <c r="N34" s="294">
        <v>-0.33</v>
      </c>
      <c r="O34" s="294">
        <v>0</v>
      </c>
      <c r="P34" s="294">
        <v>1.2500000000000001E-2</v>
      </c>
      <c r="Q34" s="294">
        <v>-1.7500000000000002E-2</v>
      </c>
      <c r="R34" s="291">
        <v>-2.5499999999999998E-2</v>
      </c>
      <c r="S34" s="291">
        <v>-7.7499999999999999E-2</v>
      </c>
      <c r="T34" s="291">
        <v>3.7499999999999999E-2</v>
      </c>
      <c r="U34" s="291">
        <v>-3.7499999999999999E-2</v>
      </c>
      <c r="V34" s="291">
        <v>-0.115</v>
      </c>
      <c r="W34" s="291">
        <v>-0.14000000000000001</v>
      </c>
      <c r="X34" s="291">
        <v>0.99</v>
      </c>
      <c r="Y34" s="291">
        <v>5.0000000000000001E-3</v>
      </c>
      <c r="Z34" s="291">
        <v>-0.26750000000000002</v>
      </c>
      <c r="AA34" s="291">
        <v>-2.6499999999999999E-2</v>
      </c>
      <c r="AB34" s="306">
        <v>1.0625</v>
      </c>
      <c r="AC34" s="306">
        <v>0.70250000000000001</v>
      </c>
      <c r="AD34" s="306">
        <v>0.20749999999999999</v>
      </c>
      <c r="AE34" s="431">
        <v>0.36499999999999999</v>
      </c>
      <c r="AF34" s="431">
        <v>0.36499999999999999</v>
      </c>
      <c r="AG34" s="431">
        <v>0.40200000000000002</v>
      </c>
      <c r="AH34" s="431">
        <v>0.35399999999999998</v>
      </c>
      <c r="AI34" s="431">
        <v>0.372</v>
      </c>
      <c r="AJ34" s="431">
        <v>0.36499999999999999</v>
      </c>
      <c r="AK34" s="431">
        <v>0.36499999999999999</v>
      </c>
      <c r="AL34" s="431">
        <v>0.36499999999999999</v>
      </c>
      <c r="AM34" s="431">
        <v>0.36499999999999999</v>
      </c>
      <c r="AN34" s="431">
        <v>0.36499999999999999</v>
      </c>
      <c r="AO34" s="431">
        <v>0.36499999999999999</v>
      </c>
      <c r="AP34" s="432">
        <v>0.36499999999999999</v>
      </c>
      <c r="AQ34" s="432">
        <v>0.35399999999999998</v>
      </c>
      <c r="AR34" s="432">
        <v>0.36499999999999999</v>
      </c>
      <c r="AS34" s="432">
        <v>0.36499999999999999</v>
      </c>
      <c r="AT34" s="431">
        <v>0.36499999999999999</v>
      </c>
      <c r="AU34" s="431">
        <v>0.36499999999999999</v>
      </c>
      <c r="AV34" s="431">
        <v>0.40200000000000002</v>
      </c>
      <c r="AW34" s="305">
        <v>6.9310654016412995E-2</v>
      </c>
      <c r="AX34" s="305"/>
      <c r="AY34" s="306">
        <f t="shared" si="5"/>
        <v>0.40200000000000002</v>
      </c>
      <c r="AZ34" s="306">
        <f t="shared" si="6"/>
        <v>0.40200000000000002</v>
      </c>
      <c r="BA34" s="309">
        <f t="shared" si="7"/>
        <v>0.40200000000000002</v>
      </c>
      <c r="BB34" s="308">
        <f t="shared" si="8"/>
        <v>37316</v>
      </c>
      <c r="BC34" s="306">
        <f t="shared" si="2"/>
        <v>0.90248656401016791</v>
      </c>
      <c r="BD34" s="306">
        <f t="shared" si="3"/>
        <v>0.90265493690342646</v>
      </c>
      <c r="BF34" s="308">
        <f t="shared" si="9"/>
        <v>37316</v>
      </c>
      <c r="BG34" s="291">
        <v>22</v>
      </c>
      <c r="BI34" s="493">
        <f t="shared" si="10"/>
        <v>4.5949999999999998</v>
      </c>
      <c r="BJ34" s="494">
        <f t="shared" si="11"/>
        <v>3.7749999999999999</v>
      </c>
    </row>
    <row r="35" spans="2:62" x14ac:dyDescent="0.25">
      <c r="B35" s="296">
        <f t="shared" si="4"/>
        <v>37347</v>
      </c>
      <c r="C35" s="294">
        <v>3.43</v>
      </c>
      <c r="D35" s="294">
        <v>0.3</v>
      </c>
      <c r="E35" s="294">
        <v>6.9530816323868996E-2</v>
      </c>
      <c r="F35" s="294">
        <v>-0.13250000000000001</v>
      </c>
      <c r="G35" s="294">
        <v>1.4999999999999999E-2</v>
      </c>
      <c r="H35" s="294">
        <v>-0.13250000000000001</v>
      </c>
      <c r="I35" s="294">
        <v>6.7500000000000004E-2</v>
      </c>
      <c r="J35" s="294">
        <v>0.19500000000000001</v>
      </c>
      <c r="K35" s="294">
        <v>0.25</v>
      </c>
      <c r="L35" s="294">
        <v>-7.8E-2</v>
      </c>
      <c r="M35" s="294">
        <v>-2.8000000000000001E-2</v>
      </c>
      <c r="N35" s="294">
        <v>-0.52</v>
      </c>
      <c r="O35" s="294">
        <v>-0.38500000000000001</v>
      </c>
      <c r="P35" s="294">
        <v>6.0000000000000001E-3</v>
      </c>
      <c r="Q35" s="294">
        <v>-7.4999999999999997E-3</v>
      </c>
      <c r="R35" s="291">
        <v>-2.5000000000000001E-2</v>
      </c>
      <c r="S35" s="291">
        <v>-0.06</v>
      </c>
      <c r="T35" s="291">
        <v>-0.06</v>
      </c>
      <c r="U35" s="291">
        <v>-0.02</v>
      </c>
      <c r="V35" s="291">
        <v>-0.1075</v>
      </c>
      <c r="W35" s="291">
        <v>-0.1275</v>
      </c>
      <c r="X35" s="291">
        <v>0.45</v>
      </c>
      <c r="Y35" s="291">
        <v>6.0000000000000001E-3</v>
      </c>
      <c r="Z35" s="291">
        <v>-0.25</v>
      </c>
      <c r="AA35" s="291">
        <v>-2.4E-2</v>
      </c>
      <c r="AB35" s="306">
        <v>-0.32</v>
      </c>
      <c r="AC35" s="306">
        <v>0.33500000000000002</v>
      </c>
      <c r="AD35" s="306">
        <v>0.13750000000000001</v>
      </c>
      <c r="AE35" s="431">
        <v>0.3</v>
      </c>
      <c r="AF35" s="431">
        <v>0.3</v>
      </c>
      <c r="AG35" s="431">
        <v>0.29399999999999998</v>
      </c>
      <c r="AH35" s="431">
        <v>0.3</v>
      </c>
      <c r="AI35" s="431">
        <v>0.30599999999999999</v>
      </c>
      <c r="AJ35" s="431">
        <v>0.3</v>
      </c>
      <c r="AK35" s="431">
        <v>0.29399999999999998</v>
      </c>
      <c r="AL35" s="431">
        <v>0.29399999999999998</v>
      </c>
      <c r="AM35" s="431">
        <v>0.3</v>
      </c>
      <c r="AN35" s="431">
        <v>0.3</v>
      </c>
      <c r="AO35" s="431">
        <v>0.3</v>
      </c>
      <c r="AP35" s="432">
        <v>0.3</v>
      </c>
      <c r="AQ35" s="432">
        <v>0.3</v>
      </c>
      <c r="AR35" s="432">
        <v>0.3</v>
      </c>
      <c r="AS35" s="432">
        <v>0.3</v>
      </c>
      <c r="AT35" s="431">
        <v>0.3</v>
      </c>
      <c r="AU35" s="431">
        <v>0.3</v>
      </c>
      <c r="AV35" s="431">
        <v>0.29399999999999998</v>
      </c>
      <c r="AW35" s="305">
        <v>6.9327187093251003E-2</v>
      </c>
      <c r="AX35" s="305"/>
      <c r="AY35" s="306">
        <f t="shared" si="5"/>
        <v>0.29399999999999998</v>
      </c>
      <c r="AZ35" s="306">
        <f t="shared" si="6"/>
        <v>0.29399999999999998</v>
      </c>
      <c r="BA35" s="309">
        <f t="shared" si="7"/>
        <v>0.29399999999999998</v>
      </c>
      <c r="BB35" s="308">
        <f t="shared" si="8"/>
        <v>37347</v>
      </c>
      <c r="BC35" s="306">
        <f t="shared" si="2"/>
        <v>0.89725974615522031</v>
      </c>
      <c r="BD35" s="306">
        <f t="shared" si="3"/>
        <v>0.89742718316573333</v>
      </c>
      <c r="BF35" s="308">
        <f t="shared" si="9"/>
        <v>37347</v>
      </c>
      <c r="BG35" s="291">
        <v>23</v>
      </c>
      <c r="BI35" s="493">
        <f t="shared" si="10"/>
        <v>3.8800000000000003</v>
      </c>
      <c r="BJ35" s="494">
        <f t="shared" si="11"/>
        <v>3.6109999999999998</v>
      </c>
    </row>
    <row r="36" spans="2:62" x14ac:dyDescent="0.25">
      <c r="B36" s="296">
        <f t="shared" si="4"/>
        <v>37377</v>
      </c>
      <c r="C36" s="294">
        <v>3.3479999999999999</v>
      </c>
      <c r="D36" s="294">
        <v>0.28499999999999998</v>
      </c>
      <c r="E36" s="294">
        <v>6.9531303989146004E-2</v>
      </c>
      <c r="F36" s="294">
        <v>-0.13250000000000001</v>
      </c>
      <c r="G36" s="294">
        <v>1.4999999999999999E-2</v>
      </c>
      <c r="H36" s="294">
        <v>-0.13250000000000001</v>
      </c>
      <c r="I36" s="294">
        <v>5.7500000000000002E-2</v>
      </c>
      <c r="J36" s="294">
        <v>0.1825</v>
      </c>
      <c r="K36" s="294">
        <v>0.20250000000000001</v>
      </c>
      <c r="L36" s="294">
        <v>-7.8E-2</v>
      </c>
      <c r="M36" s="294">
        <v>-2.8000000000000001E-2</v>
      </c>
      <c r="N36" s="294">
        <v>-0.52</v>
      </c>
      <c r="O36" s="294">
        <v>-0.38500000000000001</v>
      </c>
      <c r="P36" s="294">
        <v>6.0000000000000001E-3</v>
      </c>
      <c r="Q36" s="294">
        <v>-7.4999999999999997E-3</v>
      </c>
      <c r="R36" s="291">
        <v>-2.5000000000000001E-2</v>
      </c>
      <c r="S36" s="291">
        <v>-0.06</v>
      </c>
      <c r="T36" s="291">
        <v>-7.4999999999999997E-2</v>
      </c>
      <c r="U36" s="291">
        <v>-2.0250000000000001E-2</v>
      </c>
      <c r="V36" s="291">
        <v>-0.1075</v>
      </c>
      <c r="W36" s="291">
        <v>-0.1275</v>
      </c>
      <c r="X36" s="291">
        <v>0.40500000000000003</v>
      </c>
      <c r="Y36" s="291">
        <v>6.0000000000000001E-3</v>
      </c>
      <c r="Z36" s="291">
        <v>-0.25</v>
      </c>
      <c r="AA36" s="291">
        <v>-2.4E-2</v>
      </c>
      <c r="AB36" s="306">
        <v>-0.32</v>
      </c>
      <c r="AC36" s="306">
        <v>0.26750000000000002</v>
      </c>
      <c r="AD36" s="306">
        <v>0.1275</v>
      </c>
      <c r="AE36" s="431">
        <v>0.28499999999999998</v>
      </c>
      <c r="AF36" s="431">
        <v>0.28499999999999998</v>
      </c>
      <c r="AG36" s="431">
        <v>0.27900000000000003</v>
      </c>
      <c r="AH36" s="431">
        <v>0.28499999999999998</v>
      </c>
      <c r="AI36" s="431">
        <v>0.29099999999999998</v>
      </c>
      <c r="AJ36" s="431">
        <v>0.28499999999999998</v>
      </c>
      <c r="AK36" s="431">
        <v>0.27900000000000003</v>
      </c>
      <c r="AL36" s="431">
        <v>0.27900000000000003</v>
      </c>
      <c r="AM36" s="431">
        <v>0.28499999999999998</v>
      </c>
      <c r="AN36" s="431">
        <v>0.28499999999999998</v>
      </c>
      <c r="AO36" s="431">
        <v>0.28499999999999998</v>
      </c>
      <c r="AP36" s="432">
        <v>0.28499999999999998</v>
      </c>
      <c r="AQ36" s="432">
        <v>0.28499999999999998</v>
      </c>
      <c r="AR36" s="432">
        <v>0.28499999999999998</v>
      </c>
      <c r="AS36" s="432">
        <v>0.28499999999999998</v>
      </c>
      <c r="AT36" s="431">
        <v>0.28499999999999998</v>
      </c>
      <c r="AU36" s="431">
        <v>0.28499999999999998</v>
      </c>
      <c r="AV36" s="431">
        <v>0.27900000000000003</v>
      </c>
      <c r="AW36" s="305">
        <v>6.931807604022E-2</v>
      </c>
      <c r="AX36" s="305"/>
      <c r="AY36" s="306">
        <f t="shared" si="5"/>
        <v>0.27900000000000003</v>
      </c>
      <c r="AZ36" s="306">
        <f t="shared" si="6"/>
        <v>0.27900000000000003</v>
      </c>
      <c r="BA36" s="309">
        <f t="shared" si="7"/>
        <v>0.27900000000000003</v>
      </c>
      <c r="BB36" s="308">
        <f t="shared" si="8"/>
        <v>37377</v>
      </c>
      <c r="BC36" s="306">
        <f t="shared" si="2"/>
        <v>0.89226427954899801</v>
      </c>
      <c r="BD36" s="306">
        <f t="shared" si="3"/>
        <v>0.892430762843339</v>
      </c>
      <c r="BF36" s="308">
        <f t="shared" si="9"/>
        <v>37377</v>
      </c>
      <c r="BG36" s="291">
        <v>24</v>
      </c>
      <c r="BI36" s="493">
        <f t="shared" si="10"/>
        <v>3.7530000000000001</v>
      </c>
      <c r="BJ36" s="494">
        <f t="shared" si="11"/>
        <v>3.4359999999999999</v>
      </c>
    </row>
    <row r="37" spans="2:62" x14ac:dyDescent="0.25">
      <c r="B37" s="296">
        <f t="shared" si="4"/>
        <v>37408</v>
      </c>
      <c r="C37" s="294">
        <v>3.3250000000000002</v>
      </c>
      <c r="D37" s="294">
        <v>0.28249999999999997</v>
      </c>
      <c r="E37" s="294">
        <v>6.9531807909932006E-2</v>
      </c>
      <c r="F37" s="294">
        <v>-0.13250000000000001</v>
      </c>
      <c r="G37" s="294">
        <v>0.02</v>
      </c>
      <c r="H37" s="294">
        <v>-0.13250000000000001</v>
      </c>
      <c r="I37" s="294">
        <v>5.2499999999999998E-2</v>
      </c>
      <c r="J37" s="294">
        <v>0.1825</v>
      </c>
      <c r="K37" s="294">
        <v>0.20250000000000001</v>
      </c>
      <c r="L37" s="294">
        <v>-9.4E-2</v>
      </c>
      <c r="M37" s="294">
        <v>-2.8000000000000001E-2</v>
      </c>
      <c r="N37" s="294">
        <v>-0.52</v>
      </c>
      <c r="O37" s="294">
        <v>-0.38500000000000001</v>
      </c>
      <c r="P37" s="294">
        <v>6.0000000000000001E-3</v>
      </c>
      <c r="Q37" s="294">
        <v>-7.4999999999999997E-3</v>
      </c>
      <c r="R37" s="291">
        <v>-2.5000000000000001E-2</v>
      </c>
      <c r="S37" s="291">
        <v>-0.06</v>
      </c>
      <c r="T37" s="291">
        <v>-8.5000000000000006E-2</v>
      </c>
      <c r="U37" s="291">
        <v>-2.0250000000000001E-2</v>
      </c>
      <c r="V37" s="291">
        <v>-9.7500000000000003E-2</v>
      </c>
      <c r="W37" s="291">
        <v>-0.1275</v>
      </c>
      <c r="X37" s="291">
        <v>0.39500000000000002</v>
      </c>
      <c r="Y37" s="291">
        <v>6.0000000000000001E-3</v>
      </c>
      <c r="Z37" s="291">
        <v>-0.25</v>
      </c>
      <c r="AA37" s="291">
        <v>-2.4E-2</v>
      </c>
      <c r="AB37" s="306">
        <v>-0.32</v>
      </c>
      <c r="AC37" s="306">
        <v>0.26750000000000002</v>
      </c>
      <c r="AD37" s="306">
        <v>0.1225</v>
      </c>
      <c r="AE37" s="431">
        <v>0.28299999999999997</v>
      </c>
      <c r="AF37" s="431">
        <v>0.28299999999999997</v>
      </c>
      <c r="AG37" s="431">
        <v>0.27700000000000002</v>
      </c>
      <c r="AH37" s="431">
        <v>0.28299999999999997</v>
      </c>
      <c r="AI37" s="431">
        <v>0.28799999999999998</v>
      </c>
      <c r="AJ37" s="431">
        <v>0.28299999999999997</v>
      </c>
      <c r="AK37" s="431">
        <v>0.27700000000000002</v>
      </c>
      <c r="AL37" s="431">
        <v>0.27700000000000002</v>
      </c>
      <c r="AM37" s="431">
        <v>0.28299999999999997</v>
      </c>
      <c r="AN37" s="431">
        <v>0.28299999999999997</v>
      </c>
      <c r="AO37" s="431">
        <v>0.28299999999999997</v>
      </c>
      <c r="AP37" s="432">
        <v>0.28299999999999997</v>
      </c>
      <c r="AQ37" s="432">
        <v>0.28299999999999997</v>
      </c>
      <c r="AR37" s="432">
        <v>0.28299999999999997</v>
      </c>
      <c r="AS37" s="432">
        <v>0.28299999999999997</v>
      </c>
      <c r="AT37" s="431">
        <v>0.28299999999999997</v>
      </c>
      <c r="AU37" s="431">
        <v>0.28299999999999997</v>
      </c>
      <c r="AV37" s="431">
        <v>0.27700000000000002</v>
      </c>
      <c r="AW37" s="305">
        <v>6.9308661285450004E-2</v>
      </c>
      <c r="AX37" s="305"/>
      <c r="AY37" s="306">
        <f t="shared" si="5"/>
        <v>0.27700000000000002</v>
      </c>
      <c r="AZ37" s="306">
        <f t="shared" si="6"/>
        <v>0.27700000000000002</v>
      </c>
      <c r="BA37" s="309">
        <f t="shared" si="7"/>
        <v>0.27700000000000002</v>
      </c>
      <c r="BB37" s="308">
        <f t="shared" si="8"/>
        <v>37408</v>
      </c>
      <c r="BC37" s="306">
        <f t="shared" si="2"/>
        <v>0.88713286196096686</v>
      </c>
      <c r="BD37" s="306">
        <f t="shared" si="3"/>
        <v>0.88729836570372944</v>
      </c>
      <c r="BF37" s="308">
        <f t="shared" si="9"/>
        <v>37408</v>
      </c>
      <c r="BG37" s="291">
        <v>25</v>
      </c>
      <c r="BI37" s="493">
        <f t="shared" si="10"/>
        <v>3.72</v>
      </c>
      <c r="BJ37" s="494">
        <f t="shared" si="11"/>
        <v>3.3539999999999996</v>
      </c>
    </row>
    <row r="38" spans="2:62" x14ac:dyDescent="0.25">
      <c r="B38" s="296">
        <f t="shared" si="4"/>
        <v>37438</v>
      </c>
      <c r="C38" s="294">
        <v>3.3130000000000002</v>
      </c>
      <c r="D38" s="294">
        <v>0.28249999999999997</v>
      </c>
      <c r="E38" s="294">
        <v>6.9530816511164995E-2</v>
      </c>
      <c r="F38" s="294">
        <v>-0.13250000000000001</v>
      </c>
      <c r="G38" s="294">
        <v>2.2499999999999999E-2</v>
      </c>
      <c r="H38" s="294">
        <v>-0.13250000000000001</v>
      </c>
      <c r="I38" s="294">
        <v>4.2500000000000003E-2</v>
      </c>
      <c r="J38" s="294">
        <v>0.1825</v>
      </c>
      <c r="K38" s="294">
        <v>0.215</v>
      </c>
      <c r="L38" s="294">
        <v>-8.6999999999999994E-2</v>
      </c>
      <c r="M38" s="294">
        <v>-2.8000000000000001E-2</v>
      </c>
      <c r="N38" s="294">
        <v>-0.52</v>
      </c>
      <c r="O38" s="294">
        <v>-0.38500000000000001</v>
      </c>
      <c r="P38" s="294">
        <v>6.0000000000000001E-3</v>
      </c>
      <c r="Q38" s="294">
        <v>-7.4999999999999997E-3</v>
      </c>
      <c r="R38" s="291">
        <v>-2.5000000000000001E-2</v>
      </c>
      <c r="S38" s="291">
        <v>-0.06</v>
      </c>
      <c r="T38" s="291">
        <v>-8.5000000000000006E-2</v>
      </c>
      <c r="U38" s="291">
        <v>-2.0250000000000001E-2</v>
      </c>
      <c r="V38" s="291">
        <v>-9.2499999999999999E-2</v>
      </c>
      <c r="W38" s="291">
        <v>-0.1275</v>
      </c>
      <c r="X38" s="291">
        <v>0.43</v>
      </c>
      <c r="Y38" s="291">
        <v>6.0000000000000001E-3</v>
      </c>
      <c r="Z38" s="291">
        <v>-0.25</v>
      </c>
      <c r="AA38" s="291">
        <v>-2.4E-2</v>
      </c>
      <c r="AB38" s="306">
        <v>-0.32</v>
      </c>
      <c r="AC38" s="306">
        <v>0.28000000000000003</v>
      </c>
      <c r="AD38" s="306">
        <v>0.1125</v>
      </c>
      <c r="AE38" s="431">
        <v>0.28299999999999997</v>
      </c>
      <c r="AF38" s="431">
        <v>0.28299999999999997</v>
      </c>
      <c r="AG38" s="431">
        <v>0.27700000000000002</v>
      </c>
      <c r="AH38" s="431">
        <v>0.28299999999999997</v>
      </c>
      <c r="AI38" s="431">
        <v>0.28799999999999998</v>
      </c>
      <c r="AJ38" s="431">
        <v>0.28299999999999997</v>
      </c>
      <c r="AK38" s="431">
        <v>0.27700000000000002</v>
      </c>
      <c r="AL38" s="431">
        <v>0.27700000000000002</v>
      </c>
      <c r="AM38" s="431">
        <v>0.28299999999999997</v>
      </c>
      <c r="AN38" s="431">
        <v>0.28299999999999997</v>
      </c>
      <c r="AO38" s="431">
        <v>0.28299999999999997</v>
      </c>
      <c r="AP38" s="432">
        <v>0.28299999999999997</v>
      </c>
      <c r="AQ38" s="432">
        <v>0.28299999999999997</v>
      </c>
      <c r="AR38" s="432">
        <v>0.28299999999999997</v>
      </c>
      <c r="AS38" s="432">
        <v>0.28299999999999997</v>
      </c>
      <c r="AT38" s="431">
        <v>0.28299999999999997</v>
      </c>
      <c r="AU38" s="431">
        <v>0.28299999999999997</v>
      </c>
      <c r="AV38" s="431">
        <v>0.27700000000000002</v>
      </c>
      <c r="AW38" s="305">
        <v>6.9298174796183998E-2</v>
      </c>
      <c r="AX38" s="305"/>
      <c r="AY38" s="306">
        <f t="shared" si="5"/>
        <v>0.27700000000000002</v>
      </c>
      <c r="AZ38" s="306">
        <f t="shared" si="6"/>
        <v>0.27700000000000002</v>
      </c>
      <c r="BA38" s="309">
        <f t="shared" si="7"/>
        <v>0.27700000000000002</v>
      </c>
      <c r="BB38" s="308">
        <f t="shared" si="8"/>
        <v>37438</v>
      </c>
      <c r="BC38" s="306">
        <f t="shared" si="2"/>
        <v>0.88219852911763641</v>
      </c>
      <c r="BD38" s="306">
        <f t="shared" si="3"/>
        <v>0.882363087825349</v>
      </c>
      <c r="BF38" s="308">
        <f t="shared" si="9"/>
        <v>37438</v>
      </c>
      <c r="BG38" s="291">
        <v>26</v>
      </c>
      <c r="BI38" s="493">
        <f t="shared" si="10"/>
        <v>3.7430000000000003</v>
      </c>
      <c r="BJ38" s="494">
        <f t="shared" si="11"/>
        <v>3.331</v>
      </c>
    </row>
    <row r="39" spans="2:62" x14ac:dyDescent="0.25">
      <c r="B39" s="296">
        <f t="shared" si="4"/>
        <v>37469</v>
      </c>
      <c r="C39" s="294">
        <v>3.3180000000000001</v>
      </c>
      <c r="D39" s="294">
        <v>0.28249999999999997</v>
      </c>
      <c r="E39" s="294">
        <v>6.9527358699475003E-2</v>
      </c>
      <c r="F39" s="294">
        <v>-0.13250000000000001</v>
      </c>
      <c r="G39" s="294">
        <v>2.5000000000000001E-2</v>
      </c>
      <c r="H39" s="294">
        <v>-0.13250000000000001</v>
      </c>
      <c r="I39" s="294">
        <v>0.04</v>
      </c>
      <c r="J39" s="294">
        <v>0.1825</v>
      </c>
      <c r="K39" s="294">
        <v>0.215</v>
      </c>
      <c r="L39" s="294">
        <v>-7.8E-2</v>
      </c>
      <c r="M39" s="294">
        <v>-2.8000000000000001E-2</v>
      </c>
      <c r="N39" s="294">
        <v>-0.52</v>
      </c>
      <c r="O39" s="294">
        <v>-0.38500000000000001</v>
      </c>
      <c r="P39" s="294">
        <v>6.0000000000000001E-3</v>
      </c>
      <c r="Q39" s="294">
        <v>-7.4999999999999997E-3</v>
      </c>
      <c r="R39" s="291">
        <v>-2.5000000000000001E-2</v>
      </c>
      <c r="S39" s="291">
        <v>-0.06</v>
      </c>
      <c r="T39" s="291">
        <v>-8.5000000000000006E-2</v>
      </c>
      <c r="U39" s="291">
        <v>-2.0250000000000001E-2</v>
      </c>
      <c r="V39" s="291">
        <v>-9.2499999999999999E-2</v>
      </c>
      <c r="W39" s="291">
        <v>-0.1275</v>
      </c>
      <c r="X39" s="291">
        <v>0.495</v>
      </c>
      <c r="Y39" s="291">
        <v>6.0000000000000001E-3</v>
      </c>
      <c r="Z39" s="291">
        <v>-0.25</v>
      </c>
      <c r="AA39" s="291">
        <v>-2.4E-2</v>
      </c>
      <c r="AB39" s="306">
        <v>-0.32</v>
      </c>
      <c r="AC39" s="306">
        <v>0.28000000000000003</v>
      </c>
      <c r="AD39" s="306">
        <v>0.11</v>
      </c>
      <c r="AE39" s="431">
        <v>0.28299999999999997</v>
      </c>
      <c r="AF39" s="431">
        <v>0.28299999999999997</v>
      </c>
      <c r="AG39" s="431">
        <v>0.27700000000000002</v>
      </c>
      <c r="AH39" s="431">
        <v>0.28299999999999997</v>
      </c>
      <c r="AI39" s="431">
        <v>0.28799999999999998</v>
      </c>
      <c r="AJ39" s="431">
        <v>0.28299999999999997</v>
      </c>
      <c r="AK39" s="431">
        <v>0.27700000000000002</v>
      </c>
      <c r="AL39" s="431">
        <v>0.27700000000000002</v>
      </c>
      <c r="AM39" s="431">
        <v>0.28299999999999997</v>
      </c>
      <c r="AN39" s="431">
        <v>0.28299999999999997</v>
      </c>
      <c r="AO39" s="431">
        <v>0.28299999999999997</v>
      </c>
      <c r="AP39" s="432">
        <v>0.28299999999999997</v>
      </c>
      <c r="AQ39" s="432">
        <v>0.28299999999999997</v>
      </c>
      <c r="AR39" s="432">
        <v>0.28299999999999997</v>
      </c>
      <c r="AS39" s="432">
        <v>0.28299999999999997</v>
      </c>
      <c r="AT39" s="431">
        <v>0.28299999999999997</v>
      </c>
      <c r="AU39" s="431">
        <v>0.28299999999999997</v>
      </c>
      <c r="AV39" s="431">
        <v>0.27700000000000002</v>
      </c>
      <c r="AW39" s="305">
        <v>6.9285074601954003E-2</v>
      </c>
      <c r="AX39" s="305"/>
      <c r="AY39" s="306">
        <f t="shared" si="5"/>
        <v>0.27700000000000002</v>
      </c>
      <c r="AZ39" s="306">
        <f t="shared" si="6"/>
        <v>0.27700000000000002</v>
      </c>
      <c r="BA39" s="309">
        <f t="shared" si="7"/>
        <v>0.27700000000000002</v>
      </c>
      <c r="BB39" s="308">
        <f t="shared" si="8"/>
        <v>37469</v>
      </c>
      <c r="BC39" s="306">
        <f t="shared" si="2"/>
        <v>0.87713377825409755</v>
      </c>
      <c r="BD39" s="306">
        <f t="shared" si="3"/>
        <v>0.8772973618092732</v>
      </c>
      <c r="BF39" s="308">
        <f t="shared" si="9"/>
        <v>37469</v>
      </c>
      <c r="BG39" s="291">
        <v>27</v>
      </c>
      <c r="BI39" s="493">
        <f t="shared" si="10"/>
        <v>3.8130000000000002</v>
      </c>
      <c r="BJ39" s="494">
        <f t="shared" si="11"/>
        <v>3.319</v>
      </c>
    </row>
    <row r="40" spans="2:62" x14ac:dyDescent="0.25">
      <c r="B40" s="296">
        <f t="shared" si="4"/>
        <v>37500</v>
      </c>
      <c r="C40" s="294">
        <v>3.3109999999999999</v>
      </c>
      <c r="D40" s="294">
        <v>0.28249999999999997</v>
      </c>
      <c r="E40" s="294">
        <v>6.9523900887789994E-2</v>
      </c>
      <c r="F40" s="294">
        <v>-0.13250000000000001</v>
      </c>
      <c r="G40" s="294">
        <v>1.7500000000000002E-2</v>
      </c>
      <c r="H40" s="294">
        <v>-0.13250000000000001</v>
      </c>
      <c r="I40" s="294">
        <v>3.7499999999999999E-2</v>
      </c>
      <c r="J40" s="294">
        <v>0.1825</v>
      </c>
      <c r="K40" s="294">
        <v>0.19500000000000001</v>
      </c>
      <c r="L40" s="294">
        <v>-5.8000000000000003E-2</v>
      </c>
      <c r="M40" s="294">
        <v>-2.8000000000000001E-2</v>
      </c>
      <c r="N40" s="294">
        <v>-0.52</v>
      </c>
      <c r="O40" s="294">
        <v>-0.38500000000000001</v>
      </c>
      <c r="P40" s="294">
        <v>6.0000000000000001E-3</v>
      </c>
      <c r="Q40" s="294">
        <v>-7.4999999999999997E-3</v>
      </c>
      <c r="R40" s="291">
        <v>-2.5000000000000001E-2</v>
      </c>
      <c r="S40" s="291">
        <v>-0.06</v>
      </c>
      <c r="T40" s="291">
        <v>-7.4999999999999997E-2</v>
      </c>
      <c r="U40" s="291">
        <v>-2.0250000000000001E-2</v>
      </c>
      <c r="V40" s="291">
        <v>-0.1075</v>
      </c>
      <c r="W40" s="291">
        <v>-0.1275</v>
      </c>
      <c r="X40" s="291">
        <v>0.39500000000000002</v>
      </c>
      <c r="Y40" s="291">
        <v>6.0000000000000001E-3</v>
      </c>
      <c r="Z40" s="291">
        <v>-0.25</v>
      </c>
      <c r="AA40" s="291">
        <v>-2.4E-2</v>
      </c>
      <c r="AB40" s="306">
        <v>-0.32</v>
      </c>
      <c r="AC40" s="306">
        <v>0.27</v>
      </c>
      <c r="AD40" s="306">
        <v>0.1075</v>
      </c>
      <c r="AE40" s="431">
        <v>0.28299999999999997</v>
      </c>
      <c r="AF40" s="431">
        <v>0.28299999999999997</v>
      </c>
      <c r="AG40" s="431">
        <v>0.27700000000000002</v>
      </c>
      <c r="AH40" s="431">
        <v>0.28299999999999997</v>
      </c>
      <c r="AI40" s="431">
        <v>0.28799999999999998</v>
      </c>
      <c r="AJ40" s="431">
        <v>0.28299999999999997</v>
      </c>
      <c r="AK40" s="431">
        <v>0.27700000000000002</v>
      </c>
      <c r="AL40" s="431">
        <v>0.27700000000000002</v>
      </c>
      <c r="AM40" s="431">
        <v>0.28299999999999997</v>
      </c>
      <c r="AN40" s="431">
        <v>0.28299999999999997</v>
      </c>
      <c r="AO40" s="431">
        <v>0.28299999999999997</v>
      </c>
      <c r="AP40" s="432">
        <v>0.28299999999999997</v>
      </c>
      <c r="AQ40" s="432">
        <v>0.28299999999999997</v>
      </c>
      <c r="AR40" s="432">
        <v>0.28299999999999997</v>
      </c>
      <c r="AS40" s="432">
        <v>0.28299999999999997</v>
      </c>
      <c r="AT40" s="431">
        <v>0.28299999999999997</v>
      </c>
      <c r="AU40" s="431">
        <v>0.28299999999999997</v>
      </c>
      <c r="AV40" s="431">
        <v>0.27700000000000002</v>
      </c>
      <c r="AW40" s="305">
        <v>6.9271974407780004E-2</v>
      </c>
      <c r="AX40" s="305"/>
      <c r="AY40" s="306">
        <f t="shared" si="5"/>
        <v>0.27700000000000002</v>
      </c>
      <c r="AZ40" s="306">
        <f t="shared" si="6"/>
        <v>0.27700000000000002</v>
      </c>
      <c r="BA40" s="309">
        <f t="shared" si="7"/>
        <v>0.27700000000000002</v>
      </c>
      <c r="BB40" s="308">
        <f t="shared" si="8"/>
        <v>37500</v>
      </c>
      <c r="BC40" s="306">
        <f t="shared" si="2"/>
        <v>0.8720999789088657</v>
      </c>
      <c r="BD40" s="306">
        <f t="shared" si="3"/>
        <v>0.87226259343384061</v>
      </c>
      <c r="BF40" s="308">
        <f t="shared" si="9"/>
        <v>37500</v>
      </c>
      <c r="BG40" s="291">
        <v>28</v>
      </c>
      <c r="BI40" s="493">
        <f t="shared" si="10"/>
        <v>3.706</v>
      </c>
      <c r="BJ40" s="494">
        <f t="shared" si="11"/>
        <v>3.3239999999999998</v>
      </c>
    </row>
    <row r="41" spans="2:62" x14ac:dyDescent="0.25">
      <c r="B41" s="296">
        <f t="shared" si="4"/>
        <v>37530</v>
      </c>
      <c r="C41" s="294">
        <v>3.3260000000000001</v>
      </c>
      <c r="D41" s="294">
        <v>0.28499999999999998</v>
      </c>
      <c r="E41" s="294">
        <v>6.9518630269067003E-2</v>
      </c>
      <c r="F41" s="294">
        <v>-0.13250000000000001</v>
      </c>
      <c r="G41" s="294">
        <v>7.4999999999999997E-3</v>
      </c>
      <c r="H41" s="294">
        <v>-0.13250000000000001</v>
      </c>
      <c r="I41" s="294">
        <v>5.2499999999999998E-2</v>
      </c>
      <c r="J41" s="294">
        <v>0.1875</v>
      </c>
      <c r="K41" s="294">
        <v>0.215</v>
      </c>
      <c r="L41" s="294">
        <v>-6.8000000000000005E-2</v>
      </c>
      <c r="M41" s="294">
        <v>-2.8000000000000001E-2</v>
      </c>
      <c r="N41" s="294">
        <v>-0.52</v>
      </c>
      <c r="O41" s="294">
        <v>-0.38500000000000001</v>
      </c>
      <c r="P41" s="294">
        <v>6.0000000000000001E-3</v>
      </c>
      <c r="Q41" s="294">
        <v>-7.4999999999999997E-3</v>
      </c>
      <c r="R41" s="291">
        <v>-2.5000000000000001E-2</v>
      </c>
      <c r="S41" s="291">
        <v>-0.06</v>
      </c>
      <c r="T41" s="291">
        <v>-0.06</v>
      </c>
      <c r="U41" s="291">
        <v>-2.0250000000000001E-2</v>
      </c>
      <c r="V41" s="291">
        <v>-0.11</v>
      </c>
      <c r="W41" s="291">
        <v>-0.1275</v>
      </c>
      <c r="X41" s="291">
        <v>0.46100000000000002</v>
      </c>
      <c r="Y41" s="291">
        <v>6.0000000000000001E-3</v>
      </c>
      <c r="Z41" s="291">
        <v>-0.25</v>
      </c>
      <c r="AA41" s="291">
        <v>-2.4E-2</v>
      </c>
      <c r="AB41" s="306">
        <v>-0.32</v>
      </c>
      <c r="AC41" s="306">
        <v>0.34250000000000003</v>
      </c>
      <c r="AD41" s="306">
        <v>0.1225</v>
      </c>
      <c r="AE41" s="431">
        <v>0.28499999999999998</v>
      </c>
      <c r="AF41" s="431">
        <v>0.28499999999999998</v>
      </c>
      <c r="AG41" s="431">
        <v>0.27900000000000003</v>
      </c>
      <c r="AH41" s="431">
        <v>0.28499999999999998</v>
      </c>
      <c r="AI41" s="431">
        <v>0.29099999999999998</v>
      </c>
      <c r="AJ41" s="431">
        <v>0.28499999999999998</v>
      </c>
      <c r="AK41" s="431">
        <v>0.27900000000000003</v>
      </c>
      <c r="AL41" s="431">
        <v>0.27900000000000003</v>
      </c>
      <c r="AM41" s="431">
        <v>0.28499999999999998</v>
      </c>
      <c r="AN41" s="431">
        <v>0.28499999999999998</v>
      </c>
      <c r="AO41" s="431">
        <v>0.28499999999999998</v>
      </c>
      <c r="AP41" s="432">
        <v>0.28499999999999998</v>
      </c>
      <c r="AQ41" s="432">
        <v>0.28499999999999998</v>
      </c>
      <c r="AR41" s="432">
        <v>0.28499999999999998</v>
      </c>
      <c r="AS41" s="432">
        <v>0.28499999999999998</v>
      </c>
      <c r="AT41" s="431">
        <v>0.28499999999999998</v>
      </c>
      <c r="AU41" s="431">
        <v>0.28499999999999998</v>
      </c>
      <c r="AV41" s="431">
        <v>0.27900000000000003</v>
      </c>
      <c r="AW41" s="305">
        <v>6.9258999075703001E-2</v>
      </c>
      <c r="AX41" s="305"/>
      <c r="AY41" s="306">
        <f t="shared" si="5"/>
        <v>0.27900000000000003</v>
      </c>
      <c r="AZ41" s="306">
        <f t="shared" si="6"/>
        <v>0.27900000000000003</v>
      </c>
      <c r="BA41" s="309">
        <f t="shared" si="7"/>
        <v>0.27900000000000003</v>
      </c>
      <c r="BB41" s="308">
        <f t="shared" si="8"/>
        <v>37530</v>
      </c>
      <c r="BC41" s="306">
        <f t="shared" si="2"/>
        <v>0.86725836454481342</v>
      </c>
      <c r="BD41" s="306">
        <f t="shared" si="3"/>
        <v>0.86742004650382554</v>
      </c>
      <c r="BF41" s="308">
        <f t="shared" si="9"/>
        <v>37530</v>
      </c>
      <c r="BG41" s="291">
        <v>29</v>
      </c>
      <c r="BI41" s="493">
        <f t="shared" si="10"/>
        <v>3.7869999999999999</v>
      </c>
      <c r="BJ41" s="494">
        <f t="shared" si="11"/>
        <v>3.3169999999999997</v>
      </c>
    </row>
    <row r="42" spans="2:62" x14ac:dyDescent="0.25">
      <c r="B42" s="296">
        <f t="shared" si="4"/>
        <v>37561</v>
      </c>
      <c r="C42" s="294">
        <v>3.4180000000000001</v>
      </c>
      <c r="D42" s="294">
        <v>0.29249999999999998</v>
      </c>
      <c r="E42" s="294">
        <v>6.9510422951367001E-2</v>
      </c>
      <c r="F42" s="294">
        <v>-0.125</v>
      </c>
      <c r="G42" s="294">
        <v>-3.2500000000000001E-2</v>
      </c>
      <c r="H42" s="294">
        <v>-0.125</v>
      </c>
      <c r="I42" s="294">
        <v>9.2499999999999999E-2</v>
      </c>
      <c r="J42" s="294">
        <v>0.27</v>
      </c>
      <c r="K42" s="294">
        <v>0.28749999999999998</v>
      </c>
      <c r="L42" s="294">
        <v>-8.3000000000000004E-2</v>
      </c>
      <c r="M42" s="294">
        <v>-2.0500000000000001E-2</v>
      </c>
      <c r="N42" s="294">
        <v>-0.29499999999999998</v>
      </c>
      <c r="O42" s="294">
        <v>0</v>
      </c>
      <c r="P42" s="294">
        <v>1.2500000000000001E-2</v>
      </c>
      <c r="Q42" s="294">
        <v>-1.55E-2</v>
      </c>
      <c r="R42" s="291">
        <v>-2.8000000000000001E-2</v>
      </c>
      <c r="S42" s="291">
        <v>-0.06</v>
      </c>
      <c r="T42" s="291">
        <v>-5.0000000000000001E-3</v>
      </c>
      <c r="U42" s="291">
        <v>-0.04</v>
      </c>
      <c r="V42" s="291">
        <v>-0.1075</v>
      </c>
      <c r="W42" s="291">
        <v>-0.14000000000000001</v>
      </c>
      <c r="X42" s="291">
        <v>0.75249999999999995</v>
      </c>
      <c r="Y42" s="291">
        <v>6.0000000000000001E-3</v>
      </c>
      <c r="Z42" s="291">
        <v>-0.2</v>
      </c>
      <c r="AA42" s="291">
        <v>-2.5499999999999998E-2</v>
      </c>
      <c r="AB42" s="306">
        <v>0.95499999999999996</v>
      </c>
      <c r="AC42" s="306">
        <v>0.47</v>
      </c>
      <c r="AD42" s="306">
        <v>0.1875</v>
      </c>
      <c r="AE42" s="431">
        <v>0.29299999999999998</v>
      </c>
      <c r="AF42" s="431">
        <v>0.29299999999999998</v>
      </c>
      <c r="AG42" s="431">
        <v>0.32200000000000001</v>
      </c>
      <c r="AH42" s="431">
        <v>0.29299999999999998</v>
      </c>
      <c r="AI42" s="431">
        <v>0.29799999999999999</v>
      </c>
      <c r="AJ42" s="431">
        <v>0.29299999999999998</v>
      </c>
      <c r="AK42" s="431">
        <v>0.29299999999999998</v>
      </c>
      <c r="AL42" s="431">
        <v>0.29299999999999998</v>
      </c>
      <c r="AM42" s="431">
        <v>0.29299999999999998</v>
      </c>
      <c r="AN42" s="431">
        <v>0.29299999999999998</v>
      </c>
      <c r="AO42" s="431">
        <v>0.29299999999999998</v>
      </c>
      <c r="AP42" s="432">
        <v>0.29299999999999998</v>
      </c>
      <c r="AQ42" s="432">
        <v>0.29299999999999998</v>
      </c>
      <c r="AR42" s="432">
        <v>0.29299999999999998</v>
      </c>
      <c r="AS42" s="432">
        <v>0.29299999999999998</v>
      </c>
      <c r="AT42" s="431">
        <v>0.29299999999999998</v>
      </c>
      <c r="AU42" s="431">
        <v>0.29299999999999998</v>
      </c>
      <c r="AV42" s="431">
        <v>0.32200000000000001</v>
      </c>
      <c r="AW42" s="305">
        <v>6.9245164042116003E-2</v>
      </c>
      <c r="AX42" s="305"/>
      <c r="AY42" s="306">
        <f t="shared" si="5"/>
        <v>0.32200000000000001</v>
      </c>
      <c r="AZ42" s="306">
        <f t="shared" si="6"/>
        <v>0.32200000000000001</v>
      </c>
      <c r="BA42" s="309">
        <f t="shared" si="7"/>
        <v>0.32200000000000001</v>
      </c>
      <c r="BB42" s="308">
        <f t="shared" si="8"/>
        <v>37561</v>
      </c>
      <c r="BC42" s="306">
        <f t="shared" si="2"/>
        <v>0.86228624055395875</v>
      </c>
      <c r="BD42" s="306">
        <f t="shared" si="3"/>
        <v>0.86244696399104837</v>
      </c>
      <c r="BF42" s="308">
        <f t="shared" si="9"/>
        <v>37561</v>
      </c>
      <c r="BG42" s="291">
        <v>30</v>
      </c>
      <c r="BI42" s="493">
        <f t="shared" si="10"/>
        <v>4.1705000000000005</v>
      </c>
      <c r="BJ42" s="494">
        <f t="shared" si="11"/>
        <v>3.3319999999999999</v>
      </c>
    </row>
    <row r="43" spans="2:62" x14ac:dyDescent="0.25">
      <c r="B43" s="296">
        <f t="shared" si="4"/>
        <v>37591</v>
      </c>
      <c r="C43" s="294">
        <v>3.504</v>
      </c>
      <c r="D43" s="294">
        <v>0.29499999999999998</v>
      </c>
      <c r="E43" s="294">
        <v>6.9502480385870993E-2</v>
      </c>
      <c r="F43" s="294">
        <v>-0.1275</v>
      </c>
      <c r="G43" s="294">
        <v>-5.5E-2</v>
      </c>
      <c r="H43" s="294">
        <v>-0.1275</v>
      </c>
      <c r="I43" s="294">
        <v>0.13250000000000001</v>
      </c>
      <c r="J43" s="294">
        <v>0.30499999999999999</v>
      </c>
      <c r="K43" s="294">
        <v>0.33750000000000002</v>
      </c>
      <c r="L43" s="294">
        <v>-8.3000000000000004E-2</v>
      </c>
      <c r="M43" s="294">
        <v>-2.0500000000000001E-2</v>
      </c>
      <c r="N43" s="294">
        <v>-0.29499999999999998</v>
      </c>
      <c r="O43" s="294">
        <v>0.06</v>
      </c>
      <c r="P43" s="294">
        <v>1.2500000000000001E-2</v>
      </c>
      <c r="Q43" s="294">
        <v>-1.55E-2</v>
      </c>
      <c r="R43" s="291">
        <v>-2.8000000000000001E-2</v>
      </c>
      <c r="S43" s="291">
        <v>-0.06</v>
      </c>
      <c r="T43" s="291">
        <v>2.5000000000000001E-3</v>
      </c>
      <c r="U43" s="291">
        <v>-0.04</v>
      </c>
      <c r="V43" s="291">
        <v>-0.14249999999999999</v>
      </c>
      <c r="W43" s="291">
        <v>-0.13500000000000001</v>
      </c>
      <c r="X43" s="291">
        <v>1.1599999999999999</v>
      </c>
      <c r="Y43" s="291">
        <v>6.0000000000000001E-3</v>
      </c>
      <c r="Z43" s="291">
        <v>-0.2</v>
      </c>
      <c r="AA43" s="291">
        <v>-2.5499999999999998E-2</v>
      </c>
      <c r="AB43" s="306">
        <v>0.95499999999999996</v>
      </c>
      <c r="AC43" s="306">
        <v>0.81</v>
      </c>
      <c r="AD43" s="306">
        <v>0.22750000000000001</v>
      </c>
      <c r="AE43" s="431">
        <v>0.29499999999999998</v>
      </c>
      <c r="AF43" s="431">
        <v>0.29499999999999998</v>
      </c>
      <c r="AG43" s="431">
        <v>0.32500000000000001</v>
      </c>
      <c r="AH43" s="431">
        <v>0.29499999999999998</v>
      </c>
      <c r="AI43" s="431">
        <v>0.30099999999999999</v>
      </c>
      <c r="AJ43" s="431">
        <v>0.29499999999999998</v>
      </c>
      <c r="AK43" s="431">
        <v>0.29499999999999998</v>
      </c>
      <c r="AL43" s="431">
        <v>0.29499999999999998</v>
      </c>
      <c r="AM43" s="431">
        <v>0.29499999999999998</v>
      </c>
      <c r="AN43" s="431">
        <v>0.29499999999999998</v>
      </c>
      <c r="AO43" s="431">
        <v>0.29499999999999998</v>
      </c>
      <c r="AP43" s="432">
        <v>0.29499999999999998</v>
      </c>
      <c r="AQ43" s="432">
        <v>0.29499999999999998</v>
      </c>
      <c r="AR43" s="432">
        <v>0.29499999999999998</v>
      </c>
      <c r="AS43" s="432">
        <v>0.29499999999999998</v>
      </c>
      <c r="AT43" s="431">
        <v>0.29499999999999998</v>
      </c>
      <c r="AU43" s="431">
        <v>0.29499999999999998</v>
      </c>
      <c r="AV43" s="431">
        <v>0.32500000000000001</v>
      </c>
      <c r="AW43" s="305">
        <v>6.9231775300000006E-2</v>
      </c>
      <c r="AX43" s="305"/>
      <c r="AY43" s="306">
        <f t="shared" si="5"/>
        <v>0.32500000000000001</v>
      </c>
      <c r="AZ43" s="306">
        <f t="shared" si="6"/>
        <v>0.32500000000000001</v>
      </c>
      <c r="BA43" s="309">
        <f t="shared" si="7"/>
        <v>0.32500000000000001</v>
      </c>
      <c r="BB43" s="308">
        <f t="shared" si="8"/>
        <v>37591</v>
      </c>
      <c r="BC43" s="306">
        <f t="shared" si="2"/>
        <v>0.85750350419294563</v>
      </c>
      <c r="BD43" s="306">
        <f t="shared" si="3"/>
        <v>0.85766330577837901</v>
      </c>
      <c r="BF43" s="308">
        <f t="shared" si="9"/>
        <v>37591</v>
      </c>
      <c r="BG43" s="291">
        <v>31</v>
      </c>
      <c r="BI43" s="493">
        <f t="shared" si="10"/>
        <v>4.6639999999999997</v>
      </c>
      <c r="BJ43" s="494">
        <f t="shared" si="11"/>
        <v>3.4239999999999999</v>
      </c>
    </row>
    <row r="44" spans="2:62" x14ac:dyDescent="0.25">
      <c r="B44" s="296">
        <f t="shared" si="4"/>
        <v>37622</v>
      </c>
      <c r="C44" s="294">
        <v>3.4969999999999999</v>
      </c>
      <c r="D44" s="294">
        <v>0.28249999999999997</v>
      </c>
      <c r="E44" s="294">
        <v>6.9501922465244004E-2</v>
      </c>
      <c r="F44" s="294">
        <v>-0.13</v>
      </c>
      <c r="G44" s="294">
        <v>-5.7500000000000002E-2</v>
      </c>
      <c r="H44" s="294">
        <v>-0.13</v>
      </c>
      <c r="I44" s="294">
        <v>0.14499999999999999</v>
      </c>
      <c r="J44" s="294">
        <v>0.30499999999999999</v>
      </c>
      <c r="K44" s="294">
        <v>0.4375</v>
      </c>
      <c r="L44" s="294">
        <v>-8.3000000000000004E-2</v>
      </c>
      <c r="M44" s="294">
        <v>-1.8499999999999999E-2</v>
      </c>
      <c r="N44" s="294">
        <v>-0.29499999999999998</v>
      </c>
      <c r="O44" s="294">
        <v>0.13</v>
      </c>
      <c r="P44" s="294">
        <v>1.2500000000000001E-2</v>
      </c>
      <c r="Q44" s="294">
        <v>-1.55E-2</v>
      </c>
      <c r="R44" s="291">
        <v>-2.5499999999999998E-2</v>
      </c>
      <c r="S44" s="291">
        <v>-0.06</v>
      </c>
      <c r="T44" s="291">
        <v>1.7500000000000002E-2</v>
      </c>
      <c r="U44" s="291">
        <v>-0.04</v>
      </c>
      <c r="V44" s="291">
        <v>-0.14749999999999999</v>
      </c>
      <c r="W44" s="291">
        <v>-0.13500000000000001</v>
      </c>
      <c r="X44" s="291">
        <v>1.48</v>
      </c>
      <c r="Y44" s="291">
        <v>5.0000000000000001E-3</v>
      </c>
      <c r="Z44" s="291">
        <v>-0.2</v>
      </c>
      <c r="AA44" s="291">
        <v>-2.5499999999999998E-2</v>
      </c>
      <c r="AB44" s="306">
        <v>-0.435</v>
      </c>
      <c r="AC44" s="306">
        <v>0.97</v>
      </c>
      <c r="AD44" s="306">
        <v>0.24</v>
      </c>
      <c r="AE44" s="431">
        <v>0.28299999999999997</v>
      </c>
      <c r="AF44" s="431">
        <v>0.28299999999999997</v>
      </c>
      <c r="AG44" s="431">
        <v>0.311</v>
      </c>
      <c r="AH44" s="431">
        <v>0.28299999999999997</v>
      </c>
      <c r="AI44" s="431">
        <v>0.28799999999999998</v>
      </c>
      <c r="AJ44" s="431">
        <v>0.28299999999999997</v>
      </c>
      <c r="AK44" s="431">
        <v>0.28299999999999997</v>
      </c>
      <c r="AL44" s="431">
        <v>0.28299999999999997</v>
      </c>
      <c r="AM44" s="431">
        <v>0.28299999999999997</v>
      </c>
      <c r="AN44" s="431">
        <v>0.28299999999999997</v>
      </c>
      <c r="AO44" s="431">
        <v>0.28299999999999997</v>
      </c>
      <c r="AP44" s="432">
        <v>0.28299999999999997</v>
      </c>
      <c r="AQ44" s="432">
        <v>0.28299999999999997</v>
      </c>
      <c r="AR44" s="432">
        <v>0.28299999999999997</v>
      </c>
      <c r="AS44" s="432">
        <v>0.28299999999999997</v>
      </c>
      <c r="AT44" s="431">
        <v>0.28299999999999997</v>
      </c>
      <c r="AU44" s="431">
        <v>0.28299999999999997</v>
      </c>
      <c r="AV44" s="431">
        <v>0.311</v>
      </c>
      <c r="AW44" s="305">
        <v>6.9226802546413002E-2</v>
      </c>
      <c r="AX44" s="305"/>
      <c r="AY44" s="306">
        <f t="shared" si="5"/>
        <v>0.311</v>
      </c>
      <c r="AZ44" s="306">
        <f t="shared" si="6"/>
        <v>0.311</v>
      </c>
      <c r="BA44" s="309">
        <f t="shared" si="7"/>
        <v>0.311</v>
      </c>
      <c r="BB44" s="308">
        <f t="shared" si="8"/>
        <v>37622</v>
      </c>
      <c r="BC44" s="306">
        <f t="shared" si="2"/>
        <v>0.85257399928976729</v>
      </c>
      <c r="BD44" s="306">
        <f t="shared" si="3"/>
        <v>0.85273287100733064</v>
      </c>
      <c r="BF44" s="308">
        <f t="shared" si="9"/>
        <v>37622</v>
      </c>
      <c r="BG44" s="291">
        <v>32</v>
      </c>
      <c r="BI44" s="493">
        <f t="shared" si="10"/>
        <v>4.9770000000000003</v>
      </c>
      <c r="BJ44" s="494">
        <f t="shared" si="11"/>
        <v>3.5089999999999999</v>
      </c>
    </row>
    <row r="45" spans="2:62" x14ac:dyDescent="0.25">
      <c r="B45" s="296">
        <f t="shared" si="4"/>
        <v>37653</v>
      </c>
      <c r="C45" s="294">
        <v>3.355</v>
      </c>
      <c r="D45" s="294">
        <v>0.28249999999999997</v>
      </c>
      <c r="E45" s="294">
        <v>6.9510653098179997E-2</v>
      </c>
      <c r="F45" s="294">
        <v>-0.13250000000000001</v>
      </c>
      <c r="G45" s="294">
        <v>-0.04</v>
      </c>
      <c r="H45" s="294">
        <v>-0.13250000000000001</v>
      </c>
      <c r="I45" s="294">
        <v>0.1225</v>
      </c>
      <c r="J45" s="294">
        <v>0.30499999999999999</v>
      </c>
      <c r="K45" s="294">
        <v>0.435</v>
      </c>
      <c r="L45" s="294">
        <v>-8.3000000000000004E-2</v>
      </c>
      <c r="M45" s="294">
        <v>-1.8499999999999999E-2</v>
      </c>
      <c r="N45" s="294">
        <v>-0.29499999999999998</v>
      </c>
      <c r="O45" s="294">
        <v>0</v>
      </c>
      <c r="P45" s="294">
        <v>1.2500000000000001E-2</v>
      </c>
      <c r="Q45" s="294">
        <v>-1.55E-2</v>
      </c>
      <c r="R45" s="291">
        <v>-2.5499999999999998E-2</v>
      </c>
      <c r="S45" s="291">
        <v>-0.06</v>
      </c>
      <c r="T45" s="291">
        <v>1.7500000000000002E-2</v>
      </c>
      <c r="U45" s="291">
        <v>-0.04</v>
      </c>
      <c r="V45" s="291">
        <v>-0.13</v>
      </c>
      <c r="W45" s="291">
        <v>-0.13500000000000001</v>
      </c>
      <c r="X45" s="291">
        <v>1.41</v>
      </c>
      <c r="Y45" s="291">
        <v>5.0000000000000001E-3</v>
      </c>
      <c r="Z45" s="291">
        <v>-0.2</v>
      </c>
      <c r="AA45" s="291">
        <v>-2.5499999999999998E-2</v>
      </c>
      <c r="AB45" s="306">
        <v>-0.435</v>
      </c>
      <c r="AC45" s="306">
        <v>0.97</v>
      </c>
      <c r="AD45" s="306">
        <v>0.2175</v>
      </c>
      <c r="AE45" s="431">
        <v>0.28299999999999997</v>
      </c>
      <c r="AF45" s="431">
        <v>0.28299999999999997</v>
      </c>
      <c r="AG45" s="431">
        <v>0.311</v>
      </c>
      <c r="AH45" s="431">
        <v>0.28299999999999997</v>
      </c>
      <c r="AI45" s="431">
        <v>0.28799999999999998</v>
      </c>
      <c r="AJ45" s="431">
        <v>0.28299999999999997</v>
      </c>
      <c r="AK45" s="431">
        <v>0.28299999999999997</v>
      </c>
      <c r="AL45" s="431">
        <v>0.28299999999999997</v>
      </c>
      <c r="AM45" s="431">
        <v>0.28299999999999997</v>
      </c>
      <c r="AN45" s="431">
        <v>0.28299999999999997</v>
      </c>
      <c r="AO45" s="431">
        <v>0.28299999999999997</v>
      </c>
      <c r="AP45" s="432">
        <v>0.28299999999999997</v>
      </c>
      <c r="AQ45" s="432">
        <v>0.28299999999999997</v>
      </c>
      <c r="AR45" s="432">
        <v>0.28299999999999997</v>
      </c>
      <c r="AS45" s="432">
        <v>0.28299999999999997</v>
      </c>
      <c r="AT45" s="431">
        <v>0.28299999999999997</v>
      </c>
      <c r="AU45" s="431">
        <v>0.28299999999999997</v>
      </c>
      <c r="AV45" s="431">
        <v>0.311</v>
      </c>
      <c r="AW45" s="305">
        <v>6.9232591132705995E-2</v>
      </c>
      <c r="AX45" s="305"/>
      <c r="AY45" s="306">
        <f t="shared" si="5"/>
        <v>0.311</v>
      </c>
      <c r="AZ45" s="306">
        <f t="shared" si="6"/>
        <v>0.311</v>
      </c>
      <c r="BA45" s="309">
        <f t="shared" si="7"/>
        <v>0.311</v>
      </c>
      <c r="BB45" s="308">
        <f t="shared" si="8"/>
        <v>37653</v>
      </c>
      <c r="BC45" s="306">
        <f t="shared" si="2"/>
        <v>0.84765211271627827</v>
      </c>
      <c r="BD45" s="306">
        <f t="shared" si="3"/>
        <v>0.84781008025852522</v>
      </c>
      <c r="BF45" s="308">
        <f t="shared" si="9"/>
        <v>37653</v>
      </c>
      <c r="BG45" s="291">
        <v>33</v>
      </c>
      <c r="BI45" s="493">
        <f t="shared" si="10"/>
        <v>4.7649999999999997</v>
      </c>
      <c r="BJ45" s="494">
        <f t="shared" si="11"/>
        <v>3.5019999999999998</v>
      </c>
    </row>
    <row r="46" spans="2:62" x14ac:dyDescent="0.25">
      <c r="B46" s="296">
        <f t="shared" si="4"/>
        <v>37681</v>
      </c>
      <c r="C46" s="294">
        <v>3.1850000000000001</v>
      </c>
      <c r="D46" s="294">
        <v>0.27250000000000002</v>
      </c>
      <c r="E46" s="294">
        <v>6.9518538831174995E-2</v>
      </c>
      <c r="F46" s="294">
        <v>-0.13500000000000001</v>
      </c>
      <c r="G46" s="294">
        <v>-2.75E-2</v>
      </c>
      <c r="H46" s="294">
        <v>-0.13500000000000001</v>
      </c>
      <c r="I46" s="294">
        <v>0.12</v>
      </c>
      <c r="J46" s="294">
        <v>0.26500000000000001</v>
      </c>
      <c r="K46" s="294">
        <v>0.30249999999999999</v>
      </c>
      <c r="L46" s="294">
        <v>-8.3000000000000004E-2</v>
      </c>
      <c r="M46" s="294">
        <v>-1.8499999999999999E-2</v>
      </c>
      <c r="N46" s="294">
        <v>-0.29499999999999998</v>
      </c>
      <c r="O46" s="294">
        <v>-0.2</v>
      </c>
      <c r="P46" s="294">
        <v>1.2500000000000001E-2</v>
      </c>
      <c r="Q46" s="294">
        <v>-1.55E-2</v>
      </c>
      <c r="R46" s="291">
        <v>-2.5499999999999998E-2</v>
      </c>
      <c r="S46" s="291">
        <v>-0.06</v>
      </c>
      <c r="T46" s="291">
        <v>1.7500000000000002E-2</v>
      </c>
      <c r="U46" s="291">
        <v>-0.04</v>
      </c>
      <c r="V46" s="291">
        <v>-0.1125</v>
      </c>
      <c r="W46" s="291">
        <v>-0.14000000000000001</v>
      </c>
      <c r="X46" s="291">
        <v>0.82</v>
      </c>
      <c r="Y46" s="291">
        <v>5.0000000000000001E-3</v>
      </c>
      <c r="Z46" s="291">
        <v>-0.2</v>
      </c>
      <c r="AA46" s="291">
        <v>-2.5499999999999998E-2</v>
      </c>
      <c r="AB46" s="306">
        <v>-0.435</v>
      </c>
      <c r="AC46" s="306">
        <v>0.63249999999999995</v>
      </c>
      <c r="AD46" s="306">
        <v>0.215</v>
      </c>
      <c r="AE46" s="431">
        <v>0.27300000000000002</v>
      </c>
      <c r="AF46" s="431">
        <v>0.27300000000000002</v>
      </c>
      <c r="AG46" s="431">
        <v>0.3</v>
      </c>
      <c r="AH46" s="431">
        <v>0.27300000000000002</v>
      </c>
      <c r="AI46" s="431">
        <v>0.27800000000000002</v>
      </c>
      <c r="AJ46" s="431">
        <v>0.27300000000000002</v>
      </c>
      <c r="AK46" s="431">
        <v>0.27300000000000002</v>
      </c>
      <c r="AL46" s="431">
        <v>0.27300000000000002</v>
      </c>
      <c r="AM46" s="431">
        <v>0.27300000000000002</v>
      </c>
      <c r="AN46" s="431">
        <v>0.27300000000000002</v>
      </c>
      <c r="AO46" s="431">
        <v>0.27300000000000002</v>
      </c>
      <c r="AP46" s="432">
        <v>0.27300000000000002</v>
      </c>
      <c r="AQ46" s="432">
        <v>0.27300000000000002</v>
      </c>
      <c r="AR46" s="432">
        <v>0.27300000000000002</v>
      </c>
      <c r="AS46" s="432">
        <v>0.27300000000000002</v>
      </c>
      <c r="AT46" s="431">
        <v>0.27300000000000002</v>
      </c>
      <c r="AU46" s="431">
        <v>0.27300000000000002</v>
      </c>
      <c r="AV46" s="431">
        <v>0.3</v>
      </c>
      <c r="AW46" s="305">
        <v>6.9237819533238001E-2</v>
      </c>
      <c r="AX46" s="305"/>
      <c r="AY46" s="306">
        <f t="shared" si="5"/>
        <v>0.3</v>
      </c>
      <c r="AZ46" s="306">
        <f t="shared" si="6"/>
        <v>0.3</v>
      </c>
      <c r="BA46" s="309">
        <f t="shared" si="7"/>
        <v>0.3</v>
      </c>
      <c r="BB46" s="308">
        <f t="shared" si="8"/>
        <v>37681</v>
      </c>
      <c r="BC46" s="306">
        <f t="shared" si="2"/>
        <v>0.84323027636618875</v>
      </c>
      <c r="BD46" s="306">
        <f t="shared" si="3"/>
        <v>0.84338743152852869</v>
      </c>
      <c r="BF46" s="308">
        <f t="shared" si="9"/>
        <v>37681</v>
      </c>
      <c r="BG46" s="291">
        <v>34</v>
      </c>
      <c r="BI46" s="493">
        <f t="shared" si="10"/>
        <v>4.0049999999999999</v>
      </c>
      <c r="BJ46" s="494">
        <f t="shared" si="11"/>
        <v>3.36</v>
      </c>
    </row>
    <row r="47" spans="2:62" x14ac:dyDescent="0.25">
      <c r="B47" s="296">
        <f t="shared" si="4"/>
        <v>37712</v>
      </c>
      <c r="C47" s="294">
        <v>3.0070000000000001</v>
      </c>
      <c r="D47" s="294">
        <v>0.26250000000000001</v>
      </c>
      <c r="E47" s="294">
        <v>6.9517808408011E-2</v>
      </c>
      <c r="F47" s="294">
        <v>-0.185</v>
      </c>
      <c r="G47" s="294">
        <v>1.4999999999999999E-2</v>
      </c>
      <c r="H47" s="294">
        <v>-0.185</v>
      </c>
      <c r="I47" s="294">
        <v>7.0000000000000007E-2</v>
      </c>
      <c r="J47" s="294">
        <v>0.19500000000000001</v>
      </c>
      <c r="K47" s="294">
        <v>0.25</v>
      </c>
      <c r="L47" s="294">
        <v>-7.5999999999999998E-2</v>
      </c>
      <c r="M47" s="294">
        <v>-2.5999999999999999E-2</v>
      </c>
      <c r="N47" s="294">
        <v>-0.36</v>
      </c>
      <c r="O47" s="294">
        <v>-0.34</v>
      </c>
      <c r="P47" s="294">
        <v>6.0000000000000001E-3</v>
      </c>
      <c r="Q47" s="294">
        <v>-5.4999999999999997E-3</v>
      </c>
      <c r="R47" s="291">
        <v>-2.5000000000000001E-2</v>
      </c>
      <c r="S47" s="291">
        <v>-5.7500000000000002E-2</v>
      </c>
      <c r="T47" s="291">
        <v>-6.5000000000000002E-2</v>
      </c>
      <c r="U47" s="291">
        <v>-0.02</v>
      </c>
      <c r="V47" s="291">
        <v>-0.105</v>
      </c>
      <c r="W47" s="291">
        <v>-0.125</v>
      </c>
      <c r="X47" s="291">
        <v>0.45</v>
      </c>
      <c r="Y47" s="291">
        <v>5.0000000000000001E-3</v>
      </c>
      <c r="Z47" s="291">
        <v>-0.20499999999999999</v>
      </c>
      <c r="AA47" s="291">
        <v>-2.3E-2</v>
      </c>
      <c r="AB47" s="306">
        <v>0.29499999999999998</v>
      </c>
      <c r="AC47" s="306">
        <v>0.35499999999999998</v>
      </c>
      <c r="AD47" s="306">
        <v>0.16500000000000001</v>
      </c>
      <c r="AE47" s="431">
        <v>0.26300000000000001</v>
      </c>
      <c r="AF47" s="431">
        <v>0.26300000000000001</v>
      </c>
      <c r="AG47" s="431">
        <v>0.25700000000000001</v>
      </c>
      <c r="AH47" s="431">
        <v>0.26300000000000001</v>
      </c>
      <c r="AI47" s="431">
        <v>0.26800000000000002</v>
      </c>
      <c r="AJ47" s="431">
        <v>0.26300000000000001</v>
      </c>
      <c r="AK47" s="431">
        <v>0.25700000000000001</v>
      </c>
      <c r="AL47" s="431">
        <v>0.25700000000000001</v>
      </c>
      <c r="AM47" s="431">
        <v>0.26300000000000001</v>
      </c>
      <c r="AN47" s="431">
        <v>0.26300000000000001</v>
      </c>
      <c r="AO47" s="431">
        <v>0.26300000000000001</v>
      </c>
      <c r="AP47" s="432">
        <v>0.26300000000000001</v>
      </c>
      <c r="AQ47" s="432">
        <v>0.26300000000000001</v>
      </c>
      <c r="AR47" s="432">
        <v>0.26300000000000001</v>
      </c>
      <c r="AS47" s="432">
        <v>0.26300000000000001</v>
      </c>
      <c r="AT47" s="431">
        <v>0.26300000000000001</v>
      </c>
      <c r="AU47" s="431">
        <v>0.26300000000000001</v>
      </c>
      <c r="AV47" s="431">
        <v>0.25700000000000001</v>
      </c>
      <c r="AW47" s="305">
        <v>6.9235120641372994E-2</v>
      </c>
      <c r="AX47" s="305"/>
      <c r="AY47" s="306">
        <f t="shared" si="5"/>
        <v>0.25700000000000001</v>
      </c>
      <c r="AZ47" s="306">
        <f t="shared" si="6"/>
        <v>0.25700000000000001</v>
      </c>
      <c r="BA47" s="309">
        <f t="shared" si="7"/>
        <v>0.25700000000000001</v>
      </c>
      <c r="BB47" s="308">
        <f t="shared" si="8"/>
        <v>37712</v>
      </c>
      <c r="BC47" s="306">
        <f t="shared" si="2"/>
        <v>0.83837862844522637</v>
      </c>
      <c r="BD47" s="306">
        <f t="shared" si="3"/>
        <v>0.8385348734037531</v>
      </c>
      <c r="BF47" s="308">
        <f t="shared" si="9"/>
        <v>37712</v>
      </c>
      <c r="BG47" s="291">
        <v>35</v>
      </c>
      <c r="BI47" s="493">
        <f t="shared" si="10"/>
        <v>3.4570000000000003</v>
      </c>
      <c r="BJ47" s="494">
        <f t="shared" si="11"/>
        <v>3.19</v>
      </c>
    </row>
    <row r="48" spans="2:62" x14ac:dyDescent="0.25">
      <c r="B48" s="296">
        <f t="shared" si="4"/>
        <v>37742</v>
      </c>
      <c r="C48" s="294">
        <v>2.9950000000000001</v>
      </c>
      <c r="D48" s="294">
        <v>0.25750000000000001</v>
      </c>
      <c r="E48" s="294">
        <v>6.9504716741150996E-2</v>
      </c>
      <c r="F48" s="294">
        <v>-0.185</v>
      </c>
      <c r="G48" s="294">
        <v>1.4999999999999999E-2</v>
      </c>
      <c r="H48" s="294">
        <v>-0.185</v>
      </c>
      <c r="I48" s="294">
        <v>0.06</v>
      </c>
      <c r="J48" s="294">
        <v>0.1825</v>
      </c>
      <c r="K48" s="294">
        <v>0.20250000000000001</v>
      </c>
      <c r="L48" s="294">
        <v>-7.5999999999999998E-2</v>
      </c>
      <c r="M48" s="294">
        <v>-2.5999999999999999E-2</v>
      </c>
      <c r="N48" s="294">
        <v>-0.36</v>
      </c>
      <c r="O48" s="294">
        <v>-0.34</v>
      </c>
      <c r="P48" s="294">
        <v>6.0000000000000001E-3</v>
      </c>
      <c r="Q48" s="294">
        <v>-5.4999999999999997E-3</v>
      </c>
      <c r="R48" s="291">
        <v>-2.5000000000000001E-2</v>
      </c>
      <c r="S48" s="291">
        <v>-5.7500000000000002E-2</v>
      </c>
      <c r="T48" s="291">
        <v>-0.08</v>
      </c>
      <c r="U48" s="291">
        <v>-2.0250000000000001E-2</v>
      </c>
      <c r="V48" s="291">
        <v>-0.105</v>
      </c>
      <c r="W48" s="291">
        <v>-0.125</v>
      </c>
      <c r="X48" s="291">
        <v>0.40500000000000003</v>
      </c>
      <c r="Y48" s="291">
        <v>5.0000000000000001E-3</v>
      </c>
      <c r="Z48" s="291">
        <v>-0.20499999999999999</v>
      </c>
      <c r="AA48" s="291">
        <v>-2.3E-2</v>
      </c>
      <c r="AB48" s="306">
        <v>0.29499999999999998</v>
      </c>
      <c r="AC48" s="306">
        <v>0.28749999999999998</v>
      </c>
      <c r="AD48" s="306">
        <v>0.155</v>
      </c>
      <c r="AE48" s="431">
        <v>0.25800000000000001</v>
      </c>
      <c r="AF48" s="431">
        <v>0.25800000000000001</v>
      </c>
      <c r="AG48" s="431">
        <v>0.252</v>
      </c>
      <c r="AH48" s="431">
        <v>0.25800000000000001</v>
      </c>
      <c r="AI48" s="431">
        <v>0.26300000000000001</v>
      </c>
      <c r="AJ48" s="431">
        <v>0.25800000000000001</v>
      </c>
      <c r="AK48" s="431">
        <v>0.252</v>
      </c>
      <c r="AL48" s="431">
        <v>0.252</v>
      </c>
      <c r="AM48" s="431">
        <v>0.25800000000000001</v>
      </c>
      <c r="AN48" s="431">
        <v>0.25800000000000001</v>
      </c>
      <c r="AO48" s="431">
        <v>0.25800000000000001</v>
      </c>
      <c r="AP48" s="432">
        <v>0.25800000000000001</v>
      </c>
      <c r="AQ48" s="432">
        <v>0.25800000000000001</v>
      </c>
      <c r="AR48" s="432">
        <v>0.25800000000000001</v>
      </c>
      <c r="AS48" s="432">
        <v>0.25800000000000001</v>
      </c>
      <c r="AT48" s="431">
        <v>0.25800000000000001</v>
      </c>
      <c r="AU48" s="431">
        <v>0.25800000000000001</v>
      </c>
      <c r="AV48" s="431">
        <v>0.252</v>
      </c>
      <c r="AW48" s="305">
        <v>6.9221292115571001E-2</v>
      </c>
      <c r="AX48" s="305"/>
      <c r="AY48" s="306">
        <f t="shared" si="5"/>
        <v>0.252</v>
      </c>
      <c r="AZ48" s="306">
        <f t="shared" si="6"/>
        <v>0.252</v>
      </c>
      <c r="BA48" s="309">
        <f t="shared" si="7"/>
        <v>0.252</v>
      </c>
      <c r="BB48" s="308">
        <f t="shared" si="8"/>
        <v>37742</v>
      </c>
      <c r="BC48" s="306">
        <f t="shared" si="2"/>
        <v>0.83373456974407967</v>
      </c>
      <c r="BD48" s="306">
        <f t="shared" si="3"/>
        <v>0.83388991869451168</v>
      </c>
      <c r="BF48" s="308">
        <f t="shared" si="9"/>
        <v>37742</v>
      </c>
      <c r="BG48" s="291">
        <v>36</v>
      </c>
      <c r="BI48" s="493">
        <f t="shared" si="10"/>
        <v>3.4000000000000004</v>
      </c>
      <c r="BJ48" s="494">
        <f t="shared" si="11"/>
        <v>3.012</v>
      </c>
    </row>
    <row r="49" spans="2:62" x14ac:dyDescent="0.25">
      <c r="B49" s="296">
        <f t="shared" si="4"/>
        <v>37773</v>
      </c>
      <c r="C49" s="294">
        <v>3.0150000000000001</v>
      </c>
      <c r="D49" s="294">
        <v>0.255</v>
      </c>
      <c r="E49" s="294">
        <v>6.9491188685456007E-2</v>
      </c>
      <c r="F49" s="294">
        <v>-0.185</v>
      </c>
      <c r="G49" s="294">
        <v>0.02</v>
      </c>
      <c r="H49" s="294">
        <v>-0.185</v>
      </c>
      <c r="I49" s="294">
        <v>5.5E-2</v>
      </c>
      <c r="J49" s="294">
        <v>0.1825</v>
      </c>
      <c r="K49" s="294">
        <v>0.20250000000000001</v>
      </c>
      <c r="L49" s="294">
        <v>-9.1999999999999998E-2</v>
      </c>
      <c r="M49" s="294">
        <v>-2.5999999999999999E-2</v>
      </c>
      <c r="N49" s="294">
        <v>-0.36</v>
      </c>
      <c r="O49" s="294">
        <v>-0.34</v>
      </c>
      <c r="P49" s="294">
        <v>6.0000000000000001E-3</v>
      </c>
      <c r="Q49" s="294">
        <v>-5.4999999999999997E-3</v>
      </c>
      <c r="R49" s="291">
        <v>-2.5000000000000001E-2</v>
      </c>
      <c r="S49" s="291">
        <v>-5.7500000000000002E-2</v>
      </c>
      <c r="T49" s="291">
        <v>-0.09</v>
      </c>
      <c r="U49" s="291">
        <v>-2.0250000000000001E-2</v>
      </c>
      <c r="V49" s="291">
        <v>-9.5000000000000001E-2</v>
      </c>
      <c r="W49" s="291">
        <v>-0.125</v>
      </c>
      <c r="X49" s="291">
        <v>0.39500000000000002</v>
      </c>
      <c r="Y49" s="291">
        <v>5.0000000000000001E-3</v>
      </c>
      <c r="Z49" s="291">
        <v>-0.20499999999999999</v>
      </c>
      <c r="AA49" s="291">
        <v>-2.3E-2</v>
      </c>
      <c r="AB49" s="306">
        <v>0.29499999999999998</v>
      </c>
      <c r="AC49" s="306">
        <v>0.28749999999999998</v>
      </c>
      <c r="AD49" s="306">
        <v>0.15</v>
      </c>
      <c r="AE49" s="431">
        <v>0.255</v>
      </c>
      <c r="AF49" s="431">
        <v>0.255</v>
      </c>
      <c r="AG49" s="431">
        <v>0.25</v>
      </c>
      <c r="AH49" s="431">
        <v>0.255</v>
      </c>
      <c r="AI49" s="431">
        <v>0.26</v>
      </c>
      <c r="AJ49" s="431">
        <v>0.255</v>
      </c>
      <c r="AK49" s="431">
        <v>0.25</v>
      </c>
      <c r="AL49" s="431">
        <v>0.25</v>
      </c>
      <c r="AM49" s="431">
        <v>0.255</v>
      </c>
      <c r="AN49" s="431">
        <v>0.255</v>
      </c>
      <c r="AO49" s="431">
        <v>0.255</v>
      </c>
      <c r="AP49" s="432">
        <v>0.255</v>
      </c>
      <c r="AQ49" s="432">
        <v>0.255</v>
      </c>
      <c r="AR49" s="432">
        <v>0.255</v>
      </c>
      <c r="AS49" s="432">
        <v>0.255</v>
      </c>
      <c r="AT49" s="431">
        <v>0.255</v>
      </c>
      <c r="AU49" s="431">
        <v>0.255</v>
      </c>
      <c r="AV49" s="431">
        <v>0.25</v>
      </c>
      <c r="AW49" s="305">
        <v>6.9207002638976001E-2</v>
      </c>
      <c r="AX49" s="305"/>
      <c r="AY49" s="306">
        <f t="shared" si="5"/>
        <v>0.25</v>
      </c>
      <c r="AZ49" s="306">
        <f t="shared" si="6"/>
        <v>0.25</v>
      </c>
      <c r="BA49" s="309">
        <f t="shared" si="7"/>
        <v>0.25</v>
      </c>
      <c r="BB49" s="308">
        <f t="shared" si="8"/>
        <v>37773</v>
      </c>
      <c r="BC49" s="306">
        <f t="shared" si="2"/>
        <v>0.82896464527610636</v>
      </c>
      <c r="BD49" s="306">
        <f t="shared" si="3"/>
        <v>0.82911907409899022</v>
      </c>
      <c r="BF49" s="308">
        <f t="shared" si="9"/>
        <v>37773</v>
      </c>
      <c r="BG49" s="291">
        <v>37</v>
      </c>
      <c r="BI49" s="493">
        <f t="shared" si="10"/>
        <v>3.41</v>
      </c>
      <c r="BJ49" s="494">
        <f t="shared" si="11"/>
        <v>3</v>
      </c>
    </row>
    <row r="50" spans="2:62" x14ac:dyDescent="0.25">
      <c r="B50" s="296">
        <f t="shared" si="4"/>
        <v>37803</v>
      </c>
      <c r="C50" s="294">
        <v>3.0369999999999999</v>
      </c>
      <c r="D50" s="294">
        <v>0.255</v>
      </c>
      <c r="E50" s="294">
        <v>6.9478647267651003E-2</v>
      </c>
      <c r="F50" s="294">
        <v>-0.185</v>
      </c>
      <c r="G50" s="294">
        <v>2.2499999999999999E-2</v>
      </c>
      <c r="H50" s="294">
        <v>-0.185</v>
      </c>
      <c r="I50" s="294">
        <v>4.4999999999999998E-2</v>
      </c>
      <c r="J50" s="294">
        <v>0.1825</v>
      </c>
      <c r="K50" s="294">
        <v>0.215</v>
      </c>
      <c r="L50" s="294">
        <v>-8.5000000000000006E-2</v>
      </c>
      <c r="M50" s="294">
        <v>-2.5999999999999999E-2</v>
      </c>
      <c r="N50" s="294">
        <v>-0.36</v>
      </c>
      <c r="O50" s="294">
        <v>-0.34</v>
      </c>
      <c r="P50" s="294">
        <v>6.0000000000000001E-3</v>
      </c>
      <c r="Q50" s="294">
        <v>-5.4999999999999997E-3</v>
      </c>
      <c r="R50" s="291">
        <v>-2.5000000000000001E-2</v>
      </c>
      <c r="S50" s="291">
        <v>-5.7500000000000002E-2</v>
      </c>
      <c r="T50" s="291">
        <v>-0.09</v>
      </c>
      <c r="U50" s="291">
        <v>-2.0250000000000001E-2</v>
      </c>
      <c r="V50" s="291">
        <v>-0.09</v>
      </c>
      <c r="W50" s="291">
        <v>-0.125</v>
      </c>
      <c r="X50" s="291">
        <v>0.43</v>
      </c>
      <c r="Y50" s="291">
        <v>5.0000000000000001E-3</v>
      </c>
      <c r="Z50" s="291">
        <v>-0.20499999999999999</v>
      </c>
      <c r="AA50" s="291">
        <v>-2.3E-2</v>
      </c>
      <c r="AB50" s="306">
        <v>0.29499999999999998</v>
      </c>
      <c r="AC50" s="306">
        <v>0.3</v>
      </c>
      <c r="AD50" s="306">
        <v>0.14000000000000001</v>
      </c>
      <c r="AE50" s="431">
        <v>0.255</v>
      </c>
      <c r="AF50" s="431">
        <v>0.255</v>
      </c>
      <c r="AG50" s="431">
        <v>0.25</v>
      </c>
      <c r="AH50" s="431">
        <v>0.255</v>
      </c>
      <c r="AI50" s="431">
        <v>0.26</v>
      </c>
      <c r="AJ50" s="431">
        <v>0.255</v>
      </c>
      <c r="AK50" s="431">
        <v>0.25</v>
      </c>
      <c r="AL50" s="431">
        <v>0.25</v>
      </c>
      <c r="AM50" s="431">
        <v>0.255</v>
      </c>
      <c r="AN50" s="431">
        <v>0.255</v>
      </c>
      <c r="AO50" s="431">
        <v>0.255</v>
      </c>
      <c r="AP50" s="432">
        <v>0.255</v>
      </c>
      <c r="AQ50" s="432">
        <v>0.255</v>
      </c>
      <c r="AR50" s="432">
        <v>0.255</v>
      </c>
      <c r="AS50" s="432">
        <v>0.255</v>
      </c>
      <c r="AT50" s="431">
        <v>0.255</v>
      </c>
      <c r="AU50" s="431">
        <v>0.255</v>
      </c>
      <c r="AV50" s="431">
        <v>0.25</v>
      </c>
      <c r="AW50" s="305">
        <v>6.9194353161541003E-2</v>
      </c>
      <c r="AX50" s="305"/>
      <c r="AY50" s="306">
        <f t="shared" si="5"/>
        <v>0.25</v>
      </c>
      <c r="AZ50" s="306">
        <f t="shared" si="6"/>
        <v>0.25</v>
      </c>
      <c r="BA50" s="309">
        <f t="shared" si="7"/>
        <v>0.25</v>
      </c>
      <c r="BB50" s="308">
        <f t="shared" si="8"/>
        <v>37803</v>
      </c>
      <c r="BC50" s="306">
        <f t="shared" si="2"/>
        <v>0.82437374725695856</v>
      </c>
      <c r="BD50" s="306">
        <f t="shared" si="3"/>
        <v>0.82452729323555463</v>
      </c>
      <c r="BF50" s="308">
        <f t="shared" si="9"/>
        <v>37803</v>
      </c>
      <c r="BG50" s="291">
        <v>38</v>
      </c>
      <c r="BI50" s="493">
        <f t="shared" si="10"/>
        <v>3.4670000000000001</v>
      </c>
      <c r="BJ50" s="494">
        <f t="shared" si="11"/>
        <v>3.02</v>
      </c>
    </row>
    <row r="51" spans="2:62" x14ac:dyDescent="0.25">
      <c r="B51" s="296">
        <f t="shared" si="4"/>
        <v>37834</v>
      </c>
      <c r="C51" s="294">
        <v>3.0579999999999998</v>
      </c>
      <c r="D51" s="294">
        <v>0.255</v>
      </c>
      <c r="E51" s="294">
        <v>6.946647893763E-2</v>
      </c>
      <c r="F51" s="294">
        <v>-0.185</v>
      </c>
      <c r="G51" s="294">
        <v>2.5000000000000001E-2</v>
      </c>
      <c r="H51" s="294">
        <v>-0.185</v>
      </c>
      <c r="I51" s="294">
        <v>4.2500000000000003E-2</v>
      </c>
      <c r="J51" s="294">
        <v>0.1825</v>
      </c>
      <c r="K51" s="294">
        <v>0.215</v>
      </c>
      <c r="L51" s="294">
        <v>-7.5999999999999998E-2</v>
      </c>
      <c r="M51" s="294">
        <v>-2.5999999999999999E-2</v>
      </c>
      <c r="N51" s="294">
        <v>-0.36</v>
      </c>
      <c r="O51" s="294">
        <v>-0.34</v>
      </c>
      <c r="P51" s="294">
        <v>6.0000000000000001E-3</v>
      </c>
      <c r="Q51" s="294">
        <v>-5.4999999999999997E-3</v>
      </c>
      <c r="R51" s="291">
        <v>-2.5000000000000001E-2</v>
      </c>
      <c r="S51" s="291">
        <v>-5.7500000000000002E-2</v>
      </c>
      <c r="T51" s="291">
        <v>-0.09</v>
      </c>
      <c r="U51" s="291">
        <v>-2.0250000000000001E-2</v>
      </c>
      <c r="V51" s="291">
        <v>-0.09</v>
      </c>
      <c r="W51" s="291">
        <v>-0.125</v>
      </c>
      <c r="X51" s="291">
        <v>0.495</v>
      </c>
      <c r="Y51" s="291">
        <v>5.0000000000000001E-3</v>
      </c>
      <c r="Z51" s="291">
        <v>-0.20499999999999999</v>
      </c>
      <c r="AA51" s="291">
        <v>-2.3E-2</v>
      </c>
      <c r="AB51" s="306">
        <v>0.29499999999999998</v>
      </c>
      <c r="AC51" s="306">
        <v>0.3</v>
      </c>
      <c r="AD51" s="306">
        <v>0.13750000000000001</v>
      </c>
      <c r="AE51" s="431">
        <v>0.255</v>
      </c>
      <c r="AF51" s="431">
        <v>0.255</v>
      </c>
      <c r="AG51" s="431">
        <v>0.25</v>
      </c>
      <c r="AH51" s="431">
        <v>0.255</v>
      </c>
      <c r="AI51" s="431">
        <v>0.26</v>
      </c>
      <c r="AJ51" s="431">
        <v>0.255</v>
      </c>
      <c r="AK51" s="431">
        <v>0.25</v>
      </c>
      <c r="AL51" s="431">
        <v>0.25</v>
      </c>
      <c r="AM51" s="431">
        <v>0.255</v>
      </c>
      <c r="AN51" s="431">
        <v>0.255</v>
      </c>
      <c r="AO51" s="431">
        <v>0.255</v>
      </c>
      <c r="AP51" s="432">
        <v>0.255</v>
      </c>
      <c r="AQ51" s="432">
        <v>0.255</v>
      </c>
      <c r="AR51" s="432">
        <v>0.255</v>
      </c>
      <c r="AS51" s="432">
        <v>0.255</v>
      </c>
      <c r="AT51" s="431">
        <v>0.255</v>
      </c>
      <c r="AU51" s="431">
        <v>0.255</v>
      </c>
      <c r="AV51" s="431">
        <v>0.25</v>
      </c>
      <c r="AW51" s="305">
        <v>6.9182977019875996E-2</v>
      </c>
      <c r="AX51" s="305"/>
      <c r="AY51" s="306">
        <f t="shared" si="5"/>
        <v>0.25</v>
      </c>
      <c r="AZ51" s="306">
        <f t="shared" si="6"/>
        <v>0.25</v>
      </c>
      <c r="BA51" s="309">
        <f t="shared" si="7"/>
        <v>0.25</v>
      </c>
      <c r="BB51" s="308">
        <f t="shared" si="8"/>
        <v>37834</v>
      </c>
      <c r="BC51" s="306">
        <f t="shared" si="2"/>
        <v>0.81965433104606455</v>
      </c>
      <c r="BD51" s="306">
        <f t="shared" si="3"/>
        <v>0.81980697331687036</v>
      </c>
      <c r="BF51" s="308">
        <f t="shared" si="9"/>
        <v>37834</v>
      </c>
      <c r="BG51" s="291">
        <v>39</v>
      </c>
      <c r="BI51" s="493">
        <f t="shared" si="10"/>
        <v>3.5529999999999999</v>
      </c>
      <c r="BJ51" s="494">
        <f t="shared" si="11"/>
        <v>3.0419999999999998</v>
      </c>
    </row>
    <row r="52" spans="2:62" x14ac:dyDescent="0.25">
      <c r="B52" s="296">
        <f t="shared" si="4"/>
        <v>37865</v>
      </c>
      <c r="C52" s="294">
        <v>3.0409999999999999</v>
      </c>
      <c r="D52" s="294">
        <v>0.255</v>
      </c>
      <c r="E52" s="294">
        <v>6.9454310607657999E-2</v>
      </c>
      <c r="F52" s="294">
        <v>-0.185</v>
      </c>
      <c r="G52" s="294">
        <v>1.7500000000000002E-2</v>
      </c>
      <c r="H52" s="294">
        <v>-0.185</v>
      </c>
      <c r="I52" s="294">
        <v>0.04</v>
      </c>
      <c r="J52" s="294">
        <v>0.1825</v>
      </c>
      <c r="K52" s="294">
        <v>0.19500000000000001</v>
      </c>
      <c r="L52" s="294">
        <v>-5.6000000000000001E-2</v>
      </c>
      <c r="M52" s="294">
        <v>-2.5999999999999999E-2</v>
      </c>
      <c r="N52" s="294">
        <v>-0.36</v>
      </c>
      <c r="O52" s="294">
        <v>-0.34</v>
      </c>
      <c r="P52" s="294">
        <v>6.0000000000000001E-3</v>
      </c>
      <c r="Q52" s="294">
        <v>-5.4999999999999997E-3</v>
      </c>
      <c r="R52" s="291">
        <v>-2.5000000000000001E-2</v>
      </c>
      <c r="S52" s="291">
        <v>-5.7500000000000002E-2</v>
      </c>
      <c r="T52" s="291">
        <v>-0.08</v>
      </c>
      <c r="U52" s="291">
        <v>-2.0250000000000001E-2</v>
      </c>
      <c r="V52" s="291">
        <v>-0.105</v>
      </c>
      <c r="W52" s="291">
        <v>-0.125</v>
      </c>
      <c r="X52" s="291">
        <v>0.39500000000000002</v>
      </c>
      <c r="Y52" s="291">
        <v>5.0000000000000001E-3</v>
      </c>
      <c r="Z52" s="291">
        <v>-0.20499999999999999</v>
      </c>
      <c r="AA52" s="291">
        <v>-2.3E-2</v>
      </c>
      <c r="AB52" s="306">
        <v>0.29499999999999998</v>
      </c>
      <c r="AC52" s="306">
        <v>0.28999999999999998</v>
      </c>
      <c r="AD52" s="306">
        <v>0.13500000000000001</v>
      </c>
      <c r="AE52" s="431">
        <v>0.255</v>
      </c>
      <c r="AF52" s="431">
        <v>0.255</v>
      </c>
      <c r="AG52" s="431">
        <v>0.25</v>
      </c>
      <c r="AH52" s="431">
        <v>0.255</v>
      </c>
      <c r="AI52" s="431">
        <v>0.26</v>
      </c>
      <c r="AJ52" s="431">
        <v>0.255</v>
      </c>
      <c r="AK52" s="431">
        <v>0.25</v>
      </c>
      <c r="AL52" s="431">
        <v>0.25</v>
      </c>
      <c r="AM52" s="431">
        <v>0.255</v>
      </c>
      <c r="AN52" s="431">
        <v>0.255</v>
      </c>
      <c r="AO52" s="431">
        <v>0.255</v>
      </c>
      <c r="AP52" s="432">
        <v>0.255</v>
      </c>
      <c r="AQ52" s="432">
        <v>0.255</v>
      </c>
      <c r="AR52" s="432">
        <v>0.255</v>
      </c>
      <c r="AS52" s="432">
        <v>0.255</v>
      </c>
      <c r="AT52" s="431">
        <v>0.255</v>
      </c>
      <c r="AU52" s="431">
        <v>0.255</v>
      </c>
      <c r="AV52" s="431">
        <v>0.25</v>
      </c>
      <c r="AW52" s="305">
        <v>6.9171600878252998E-2</v>
      </c>
      <c r="AX52" s="305"/>
      <c r="AY52" s="306">
        <f t="shared" si="5"/>
        <v>0.25</v>
      </c>
      <c r="AZ52" s="306">
        <f t="shared" si="6"/>
        <v>0.25</v>
      </c>
      <c r="BA52" s="309">
        <f t="shared" si="7"/>
        <v>0.25</v>
      </c>
      <c r="BB52" s="308">
        <f t="shared" si="8"/>
        <v>37865</v>
      </c>
      <c r="BC52" s="306">
        <f t="shared" si="2"/>
        <v>0.81496345405629489</v>
      </c>
      <c r="BD52" s="306">
        <f t="shared" si="3"/>
        <v>0.81511519821731426</v>
      </c>
      <c r="BF52" s="308">
        <f t="shared" si="9"/>
        <v>37865</v>
      </c>
      <c r="BG52" s="291">
        <v>40</v>
      </c>
      <c r="BI52" s="493">
        <f t="shared" si="10"/>
        <v>3.4359999999999999</v>
      </c>
      <c r="BJ52" s="494">
        <f t="shared" si="11"/>
        <v>3.0629999999999997</v>
      </c>
    </row>
    <row r="53" spans="2:62" x14ac:dyDescent="0.25">
      <c r="B53" s="296">
        <f t="shared" si="4"/>
        <v>37895</v>
      </c>
      <c r="C53" s="294">
        <v>3.056</v>
      </c>
      <c r="D53" s="294">
        <v>0.255</v>
      </c>
      <c r="E53" s="294">
        <v>6.9442592308780998E-2</v>
      </c>
      <c r="F53" s="294">
        <v>-0.185</v>
      </c>
      <c r="G53" s="294">
        <v>7.4999999999999997E-3</v>
      </c>
      <c r="H53" s="294">
        <v>-0.185</v>
      </c>
      <c r="I53" s="294">
        <v>5.5E-2</v>
      </c>
      <c r="J53" s="294">
        <v>0.1875</v>
      </c>
      <c r="K53" s="294">
        <v>0.215</v>
      </c>
      <c r="L53" s="294">
        <v>-6.6000000000000003E-2</v>
      </c>
      <c r="M53" s="294">
        <v>-2.5999999999999999E-2</v>
      </c>
      <c r="N53" s="294">
        <v>-0.36</v>
      </c>
      <c r="O53" s="294">
        <v>-0.34</v>
      </c>
      <c r="P53" s="294">
        <v>6.0000000000000001E-3</v>
      </c>
      <c r="Q53" s="294">
        <v>-5.4999999999999997E-3</v>
      </c>
      <c r="R53" s="291">
        <v>-2.5000000000000001E-2</v>
      </c>
      <c r="S53" s="291">
        <v>-5.7500000000000002E-2</v>
      </c>
      <c r="T53" s="291">
        <v>-6.5000000000000002E-2</v>
      </c>
      <c r="U53" s="291">
        <v>-2.0250000000000001E-2</v>
      </c>
      <c r="V53" s="291">
        <v>-0.1075</v>
      </c>
      <c r="W53" s="291">
        <v>-0.125</v>
      </c>
      <c r="X53" s="291">
        <v>0.46100000000000002</v>
      </c>
      <c r="Y53" s="291">
        <v>5.0000000000000001E-3</v>
      </c>
      <c r="Z53" s="291">
        <v>-0.20499999999999999</v>
      </c>
      <c r="AA53" s="291">
        <v>-2.3E-2</v>
      </c>
      <c r="AB53" s="306">
        <v>0.29499999999999998</v>
      </c>
      <c r="AC53" s="306">
        <v>0.36249999999999999</v>
      </c>
      <c r="AD53" s="306">
        <v>0.15</v>
      </c>
      <c r="AE53" s="431">
        <v>0.255</v>
      </c>
      <c r="AF53" s="431">
        <v>0.255</v>
      </c>
      <c r="AG53" s="431">
        <v>0.25</v>
      </c>
      <c r="AH53" s="431">
        <v>0.255</v>
      </c>
      <c r="AI53" s="431">
        <v>0.26</v>
      </c>
      <c r="AJ53" s="431">
        <v>0.255</v>
      </c>
      <c r="AK53" s="431">
        <v>0.25</v>
      </c>
      <c r="AL53" s="431">
        <v>0.25</v>
      </c>
      <c r="AM53" s="431">
        <v>0.255</v>
      </c>
      <c r="AN53" s="431">
        <v>0.255</v>
      </c>
      <c r="AO53" s="431">
        <v>0.255</v>
      </c>
      <c r="AP53" s="432">
        <v>0.255</v>
      </c>
      <c r="AQ53" s="432">
        <v>0.255</v>
      </c>
      <c r="AR53" s="432">
        <v>0.255</v>
      </c>
      <c r="AS53" s="432">
        <v>0.255</v>
      </c>
      <c r="AT53" s="431">
        <v>0.255</v>
      </c>
      <c r="AU53" s="431">
        <v>0.255</v>
      </c>
      <c r="AV53" s="431">
        <v>0.25</v>
      </c>
      <c r="AW53" s="305">
        <v>6.9161176466710994E-2</v>
      </c>
      <c r="AX53" s="305"/>
      <c r="AY53" s="306">
        <f t="shared" si="5"/>
        <v>0.25</v>
      </c>
      <c r="AZ53" s="306">
        <f t="shared" si="6"/>
        <v>0.25</v>
      </c>
      <c r="BA53" s="309">
        <f t="shared" si="7"/>
        <v>0.25</v>
      </c>
      <c r="BB53" s="308">
        <f t="shared" si="8"/>
        <v>37895</v>
      </c>
      <c r="BC53" s="306">
        <f t="shared" si="2"/>
        <v>0.81044948260416338</v>
      </c>
      <c r="BD53" s="306">
        <f t="shared" si="3"/>
        <v>0.81060036391337387</v>
      </c>
      <c r="BF53" s="308">
        <f t="shared" si="9"/>
        <v>37895</v>
      </c>
      <c r="BG53" s="291">
        <v>41</v>
      </c>
      <c r="BI53" s="493">
        <f t="shared" si="10"/>
        <v>3.5169999999999999</v>
      </c>
      <c r="BJ53" s="494">
        <f t="shared" si="11"/>
        <v>3.0459999999999998</v>
      </c>
    </row>
    <row r="54" spans="2:62" x14ac:dyDescent="0.25">
      <c r="B54" s="296">
        <f t="shared" si="4"/>
        <v>37926</v>
      </c>
      <c r="C54" s="294">
        <v>3.1480000000000001</v>
      </c>
      <c r="D54" s="294">
        <v>0.26500000000000001</v>
      </c>
      <c r="E54" s="294">
        <v>6.9430555630712001E-2</v>
      </c>
      <c r="F54" s="294">
        <v>-0.19</v>
      </c>
      <c r="G54" s="294">
        <v>-3.2500000000000001E-2</v>
      </c>
      <c r="H54" s="294">
        <v>-0.19</v>
      </c>
      <c r="I54" s="294">
        <v>0.1075</v>
      </c>
      <c r="J54" s="294">
        <v>0.27</v>
      </c>
      <c r="K54" s="294">
        <v>0.28749999999999998</v>
      </c>
      <c r="L54" s="294">
        <v>-8.1000000000000003E-2</v>
      </c>
      <c r="M54" s="294">
        <v>-1.8499999999999999E-2</v>
      </c>
      <c r="N54" s="294">
        <v>-0.28999999999999998</v>
      </c>
      <c r="O54" s="294">
        <v>0</v>
      </c>
      <c r="P54" s="294">
        <v>1.2500000000000001E-2</v>
      </c>
      <c r="Q54" s="294">
        <v>-1.35E-2</v>
      </c>
      <c r="R54" s="291">
        <v>-2.8000000000000001E-2</v>
      </c>
      <c r="S54" s="291">
        <v>-0.06</v>
      </c>
      <c r="T54" s="291">
        <v>-0.02</v>
      </c>
      <c r="U54" s="291">
        <v>-3.4500000000000003E-2</v>
      </c>
      <c r="V54" s="291">
        <v>-0.105</v>
      </c>
      <c r="W54" s="291">
        <v>-0.13750000000000001</v>
      </c>
      <c r="X54" s="291">
        <v>0.75749999999999995</v>
      </c>
      <c r="Y54" s="291">
        <v>5.0000000000000001E-3</v>
      </c>
      <c r="Z54" s="291">
        <v>-0.19500000000000001</v>
      </c>
      <c r="AA54" s="291">
        <v>-2.4500000000000001E-2</v>
      </c>
      <c r="AB54" s="306">
        <v>0.115</v>
      </c>
      <c r="AC54" s="306">
        <v>0.495</v>
      </c>
      <c r="AD54" s="306">
        <v>0.20250000000000001</v>
      </c>
      <c r="AE54" s="431">
        <v>0.26500000000000001</v>
      </c>
      <c r="AF54" s="431">
        <v>0.26500000000000001</v>
      </c>
      <c r="AG54" s="431">
        <v>0.29199999999999998</v>
      </c>
      <c r="AH54" s="431">
        <v>0.26500000000000001</v>
      </c>
      <c r="AI54" s="431">
        <v>0.27</v>
      </c>
      <c r="AJ54" s="431">
        <v>0.26500000000000001</v>
      </c>
      <c r="AK54" s="431">
        <v>0.26500000000000001</v>
      </c>
      <c r="AL54" s="431">
        <v>0.26500000000000001</v>
      </c>
      <c r="AM54" s="431">
        <v>0.26500000000000001</v>
      </c>
      <c r="AN54" s="431">
        <v>0.26500000000000001</v>
      </c>
      <c r="AO54" s="431">
        <v>0.26500000000000001</v>
      </c>
      <c r="AP54" s="432">
        <v>0.26500000000000001</v>
      </c>
      <c r="AQ54" s="432">
        <v>0.26500000000000001</v>
      </c>
      <c r="AR54" s="432">
        <v>0.26500000000000001</v>
      </c>
      <c r="AS54" s="432">
        <v>0.26500000000000001</v>
      </c>
      <c r="AT54" s="431">
        <v>0.26500000000000001</v>
      </c>
      <c r="AU54" s="431">
        <v>0.26500000000000001</v>
      </c>
      <c r="AV54" s="431">
        <v>0.29199999999999998</v>
      </c>
      <c r="AW54" s="305">
        <v>6.9151139097126002E-2</v>
      </c>
      <c r="AX54" s="305"/>
      <c r="AY54" s="306">
        <f t="shared" si="5"/>
        <v>0.29199999999999998</v>
      </c>
      <c r="AZ54" s="306">
        <f t="shared" si="6"/>
        <v>0.29199999999999998</v>
      </c>
      <c r="BA54" s="309">
        <f t="shared" si="7"/>
        <v>0.29199999999999998</v>
      </c>
      <c r="BB54" s="308">
        <f t="shared" si="8"/>
        <v>37926</v>
      </c>
      <c r="BC54" s="306">
        <f t="shared" si="2"/>
        <v>0.80581089447488374</v>
      </c>
      <c r="BD54" s="306">
        <f t="shared" si="3"/>
        <v>0.80596089081033673</v>
      </c>
      <c r="BF54" s="308">
        <f t="shared" si="9"/>
        <v>37926</v>
      </c>
      <c r="BG54" s="291">
        <v>42</v>
      </c>
      <c r="BI54" s="493">
        <f t="shared" si="10"/>
        <v>3.9055</v>
      </c>
      <c r="BJ54" s="494">
        <f t="shared" si="11"/>
        <v>3.0609999999999999</v>
      </c>
    </row>
    <row r="55" spans="2:62" x14ac:dyDescent="0.25">
      <c r="B55" s="296">
        <f t="shared" si="4"/>
        <v>37956</v>
      </c>
      <c r="C55" s="294">
        <v>3.234</v>
      </c>
      <c r="D55" s="294">
        <v>0.27</v>
      </c>
      <c r="E55" s="294">
        <v>6.9418907232626004E-2</v>
      </c>
      <c r="F55" s="294">
        <v>-0.19750000000000001</v>
      </c>
      <c r="G55" s="294">
        <v>-5.5E-2</v>
      </c>
      <c r="H55" s="294">
        <v>-0.19750000000000001</v>
      </c>
      <c r="I55" s="294">
        <v>0.14749999999999999</v>
      </c>
      <c r="J55" s="294">
        <v>0.30499999999999999</v>
      </c>
      <c r="K55" s="294">
        <v>0.33750000000000002</v>
      </c>
      <c r="L55" s="294">
        <v>-8.1000000000000003E-2</v>
      </c>
      <c r="M55" s="294">
        <v>-1.8499999999999999E-2</v>
      </c>
      <c r="N55" s="294">
        <v>-0.28999999999999998</v>
      </c>
      <c r="O55" s="294">
        <v>0.06</v>
      </c>
      <c r="P55" s="294">
        <v>1.2500000000000001E-2</v>
      </c>
      <c r="Q55" s="294">
        <v>-1.35E-2</v>
      </c>
      <c r="R55" s="291">
        <v>-2.8000000000000001E-2</v>
      </c>
      <c r="S55" s="291">
        <v>-0.06</v>
      </c>
      <c r="T55" s="291">
        <v>-1.2500000000000001E-2</v>
      </c>
      <c r="U55" s="291">
        <v>-3.4500000000000003E-2</v>
      </c>
      <c r="V55" s="291">
        <v>-0.14000000000000001</v>
      </c>
      <c r="W55" s="291">
        <v>-0.13250000000000001</v>
      </c>
      <c r="X55" s="291">
        <v>1.17</v>
      </c>
      <c r="Y55" s="291">
        <v>5.0000000000000001E-3</v>
      </c>
      <c r="Z55" s="291">
        <v>-0.19500000000000001</v>
      </c>
      <c r="AA55" s="291">
        <v>-2.4500000000000001E-2</v>
      </c>
      <c r="AB55" s="306">
        <v>0.115</v>
      </c>
      <c r="AC55" s="306">
        <v>0.84</v>
      </c>
      <c r="AD55" s="306">
        <v>0.24249999999999999</v>
      </c>
      <c r="AE55" s="431">
        <v>0.27</v>
      </c>
      <c r="AF55" s="431">
        <v>0.27</v>
      </c>
      <c r="AG55" s="431">
        <v>0.29699999999999999</v>
      </c>
      <c r="AH55" s="431">
        <v>0.27</v>
      </c>
      <c r="AI55" s="431">
        <v>0.27500000000000002</v>
      </c>
      <c r="AJ55" s="431">
        <v>0.27</v>
      </c>
      <c r="AK55" s="431">
        <v>0.27</v>
      </c>
      <c r="AL55" s="431">
        <v>0.27</v>
      </c>
      <c r="AM55" s="431">
        <v>0.27</v>
      </c>
      <c r="AN55" s="431">
        <v>0.27</v>
      </c>
      <c r="AO55" s="431">
        <v>0.27</v>
      </c>
      <c r="AP55" s="432">
        <v>0.27</v>
      </c>
      <c r="AQ55" s="432">
        <v>0.27</v>
      </c>
      <c r="AR55" s="432">
        <v>0.27</v>
      </c>
      <c r="AS55" s="432">
        <v>0.27</v>
      </c>
      <c r="AT55" s="431">
        <v>0.27</v>
      </c>
      <c r="AU55" s="431">
        <v>0.27</v>
      </c>
      <c r="AV55" s="431">
        <v>0.29699999999999999</v>
      </c>
      <c r="AW55" s="305">
        <v>6.9141425513687002E-2</v>
      </c>
      <c r="AX55" s="305"/>
      <c r="AY55" s="306">
        <f t="shared" si="5"/>
        <v>0.29699999999999999</v>
      </c>
      <c r="AZ55" s="306">
        <f t="shared" si="6"/>
        <v>0.29699999999999999</v>
      </c>
      <c r="BA55" s="309">
        <f t="shared" si="7"/>
        <v>0.29699999999999999</v>
      </c>
      <c r="BB55" s="308">
        <f t="shared" si="8"/>
        <v>37956</v>
      </c>
      <c r="BC55" s="306">
        <f t="shared" si="2"/>
        <v>0.80134847447640833</v>
      </c>
      <c r="BD55" s="306">
        <f t="shared" si="3"/>
        <v>0.80149761955908339</v>
      </c>
      <c r="BF55" s="308">
        <f t="shared" si="9"/>
        <v>37956</v>
      </c>
      <c r="BG55" s="291">
        <v>43</v>
      </c>
      <c r="BI55" s="493">
        <f t="shared" si="10"/>
        <v>4.4039999999999999</v>
      </c>
      <c r="BJ55" s="494">
        <f t="shared" si="11"/>
        <v>3.153</v>
      </c>
    </row>
    <row r="56" spans="2:62" x14ac:dyDescent="0.25">
      <c r="B56" s="296">
        <f t="shared" si="4"/>
        <v>37987</v>
      </c>
      <c r="C56" s="294">
        <v>3.3740000000000001</v>
      </c>
      <c r="D56" s="294">
        <v>0.28749999999999998</v>
      </c>
      <c r="E56" s="294">
        <v>6.9413894764454004E-2</v>
      </c>
      <c r="F56" s="294">
        <v>-0.2</v>
      </c>
      <c r="G56" s="294">
        <v>-5.7500000000000002E-2</v>
      </c>
      <c r="H56" s="294">
        <v>-0.2</v>
      </c>
      <c r="I56" s="294">
        <v>0.1825</v>
      </c>
      <c r="J56" s="294">
        <v>0.30499999999999999</v>
      </c>
      <c r="K56" s="294">
        <v>0.4375</v>
      </c>
      <c r="L56" s="294">
        <v>-8.1000000000000003E-2</v>
      </c>
      <c r="M56" s="294">
        <v>-1.6500000000000001E-2</v>
      </c>
      <c r="N56" s="294">
        <v>-0.28999999999999998</v>
      </c>
      <c r="O56" s="294">
        <v>0.13</v>
      </c>
      <c r="P56" s="294">
        <v>1.2500000000000001E-2</v>
      </c>
      <c r="Q56" s="294">
        <v>-1.35E-2</v>
      </c>
      <c r="R56" s="291">
        <v>-2.8000000000000001E-2</v>
      </c>
      <c r="S56" s="291">
        <v>-0.06</v>
      </c>
      <c r="T56" s="291">
        <v>2.5000000000000001E-3</v>
      </c>
      <c r="U56" s="291">
        <v>-3.4500000000000003E-2</v>
      </c>
      <c r="V56" s="291">
        <v>-0.14499999999999999</v>
      </c>
      <c r="W56" s="291">
        <v>-0.13250000000000001</v>
      </c>
      <c r="X56" s="291">
        <v>1.4950000000000001</v>
      </c>
      <c r="Y56" s="291">
        <v>5.0000000000000001E-3</v>
      </c>
      <c r="Z56" s="291">
        <v>-0.19500000000000001</v>
      </c>
      <c r="AA56" s="291">
        <v>-2.4500000000000001E-2</v>
      </c>
      <c r="AB56" s="306">
        <v>0.115</v>
      </c>
      <c r="AC56" s="306">
        <v>0.98499999999999999</v>
      </c>
      <c r="AD56" s="306">
        <v>0.27750000000000002</v>
      </c>
      <c r="AE56" s="431">
        <v>0.28799999999999998</v>
      </c>
      <c r="AF56" s="431">
        <v>0.28799999999999998</v>
      </c>
      <c r="AG56" s="431">
        <v>0.316</v>
      </c>
      <c r="AH56" s="431">
        <v>0.28799999999999998</v>
      </c>
      <c r="AI56" s="431">
        <v>0.29299999999999998</v>
      </c>
      <c r="AJ56" s="431">
        <v>0.28799999999999998</v>
      </c>
      <c r="AK56" s="431">
        <v>0.28799999999999998</v>
      </c>
      <c r="AL56" s="431">
        <v>0.28799999999999998</v>
      </c>
      <c r="AM56" s="431">
        <v>0.28799999999999998</v>
      </c>
      <c r="AN56" s="431">
        <v>0.28799999999999998</v>
      </c>
      <c r="AO56" s="431">
        <v>0.28799999999999998</v>
      </c>
      <c r="AP56" s="432">
        <v>0.28799999999999998</v>
      </c>
      <c r="AQ56" s="432">
        <v>0.28799999999999998</v>
      </c>
      <c r="AR56" s="432">
        <v>0.28799999999999998</v>
      </c>
      <c r="AS56" s="432">
        <v>0.28799999999999998</v>
      </c>
      <c r="AT56" s="431">
        <v>0.28799999999999998</v>
      </c>
      <c r="AU56" s="431">
        <v>0.28799999999999998</v>
      </c>
      <c r="AV56" s="431">
        <v>0.316</v>
      </c>
      <c r="AW56" s="305">
        <v>6.9138841546617993E-2</v>
      </c>
      <c r="AX56" s="305"/>
      <c r="AY56" s="306">
        <f t="shared" si="5"/>
        <v>0.316</v>
      </c>
      <c r="AZ56" s="306">
        <f t="shared" si="6"/>
        <v>0.316</v>
      </c>
      <c r="BA56" s="309">
        <f t="shared" si="7"/>
        <v>0.316</v>
      </c>
      <c r="BB56" s="308">
        <f t="shared" si="8"/>
        <v>37987</v>
      </c>
      <c r="BC56" s="306">
        <f t="shared" si="2"/>
        <v>0.79674536927699502</v>
      </c>
      <c r="BD56" s="306">
        <f t="shared" si="3"/>
        <v>0.79689365219136177</v>
      </c>
      <c r="BF56" s="308">
        <f t="shared" si="9"/>
        <v>37987</v>
      </c>
      <c r="BG56" s="291">
        <v>44</v>
      </c>
      <c r="BI56" s="493">
        <f t="shared" si="10"/>
        <v>4.8689999999999998</v>
      </c>
      <c r="BJ56" s="494">
        <f t="shared" si="11"/>
        <v>3.2389999999999999</v>
      </c>
    </row>
    <row r="57" spans="2:62" x14ac:dyDescent="0.25">
      <c r="B57" s="296">
        <f t="shared" si="4"/>
        <v>38018</v>
      </c>
      <c r="C57" s="294">
        <v>3.2360000000000002</v>
      </c>
      <c r="D57" s="294">
        <v>0.27500000000000002</v>
      </c>
      <c r="E57" s="294">
        <v>6.9416374786753998E-2</v>
      </c>
      <c r="F57" s="294">
        <v>-0.20250000000000001</v>
      </c>
      <c r="G57" s="294">
        <v>-0.04</v>
      </c>
      <c r="H57" s="294">
        <v>-0.20250000000000001</v>
      </c>
      <c r="I57" s="294">
        <v>0.1575</v>
      </c>
      <c r="J57" s="294">
        <v>0.30499999999999999</v>
      </c>
      <c r="K57" s="294">
        <v>0.435</v>
      </c>
      <c r="L57" s="294">
        <v>-8.1000000000000003E-2</v>
      </c>
      <c r="M57" s="294">
        <v>-1.6500000000000001E-2</v>
      </c>
      <c r="N57" s="294">
        <v>-0.28999999999999998</v>
      </c>
      <c r="O57" s="294">
        <v>0</v>
      </c>
      <c r="P57" s="294">
        <v>1.2500000000000001E-2</v>
      </c>
      <c r="Q57" s="294">
        <v>-1.35E-2</v>
      </c>
      <c r="R57" s="291">
        <v>-2.8000000000000001E-2</v>
      </c>
      <c r="S57" s="291">
        <v>-0.06</v>
      </c>
      <c r="T57" s="291">
        <v>2.5000000000000001E-3</v>
      </c>
      <c r="U57" s="291">
        <v>-3.4500000000000003E-2</v>
      </c>
      <c r="V57" s="291">
        <v>-0.1275</v>
      </c>
      <c r="W57" s="291">
        <v>-0.13250000000000001</v>
      </c>
      <c r="X57" s="291">
        <v>1.425</v>
      </c>
      <c r="Y57" s="291">
        <v>5.0000000000000001E-3</v>
      </c>
      <c r="Z57" s="291">
        <v>-0.19500000000000001</v>
      </c>
      <c r="AA57" s="291">
        <v>-2.4500000000000001E-2</v>
      </c>
      <c r="AB57" s="306">
        <v>0.115</v>
      </c>
      <c r="AC57" s="306">
        <v>0.98499999999999999</v>
      </c>
      <c r="AD57" s="306">
        <v>0.2525</v>
      </c>
      <c r="AE57" s="431">
        <v>0.27500000000000002</v>
      </c>
      <c r="AF57" s="431">
        <v>0.27500000000000002</v>
      </c>
      <c r="AG57" s="431">
        <v>0.30299999999999999</v>
      </c>
      <c r="AH57" s="431">
        <v>0.27500000000000002</v>
      </c>
      <c r="AI57" s="431">
        <v>0.28100000000000003</v>
      </c>
      <c r="AJ57" s="431">
        <v>0.27500000000000002</v>
      </c>
      <c r="AK57" s="431">
        <v>0.27500000000000002</v>
      </c>
      <c r="AL57" s="431">
        <v>0.27500000000000002</v>
      </c>
      <c r="AM57" s="431">
        <v>0.27500000000000002</v>
      </c>
      <c r="AN57" s="431">
        <v>0.27500000000000002</v>
      </c>
      <c r="AO57" s="431">
        <v>0.27500000000000002</v>
      </c>
      <c r="AP57" s="432">
        <v>0.27500000000000002</v>
      </c>
      <c r="AQ57" s="432">
        <v>0.27500000000000002</v>
      </c>
      <c r="AR57" s="432">
        <v>0.27500000000000002</v>
      </c>
      <c r="AS57" s="432">
        <v>0.27500000000000002</v>
      </c>
      <c r="AT57" s="431">
        <v>0.27500000000000002</v>
      </c>
      <c r="AU57" s="431">
        <v>0.27500000000000002</v>
      </c>
      <c r="AV57" s="431">
        <v>0.30299999999999999</v>
      </c>
      <c r="AW57" s="305">
        <v>6.9144207875511995E-2</v>
      </c>
      <c r="AX57" s="305"/>
      <c r="AY57" s="306">
        <f t="shared" si="5"/>
        <v>0.30299999999999999</v>
      </c>
      <c r="AZ57" s="306">
        <f t="shared" si="6"/>
        <v>0.30299999999999999</v>
      </c>
      <c r="BA57" s="309">
        <f t="shared" si="7"/>
        <v>0.30299999999999999</v>
      </c>
      <c r="BB57" s="308">
        <f t="shared" si="8"/>
        <v>38018</v>
      </c>
      <c r="BC57" s="306">
        <f t="shared" si="2"/>
        <v>0.79214817458927189</v>
      </c>
      <c r="BD57" s="306">
        <f t="shared" si="3"/>
        <v>0.7922956131676745</v>
      </c>
      <c r="BF57" s="308">
        <f t="shared" si="9"/>
        <v>38018</v>
      </c>
      <c r="BG57" s="291">
        <v>45</v>
      </c>
      <c r="BI57" s="493">
        <f t="shared" si="10"/>
        <v>4.6610000000000005</v>
      </c>
      <c r="BJ57" s="494">
        <f t="shared" si="11"/>
        <v>3.379</v>
      </c>
    </row>
    <row r="58" spans="2:62" x14ac:dyDescent="0.25">
      <c r="B58" s="296">
        <f t="shared" si="4"/>
        <v>38047</v>
      </c>
      <c r="C58" s="294">
        <v>3.069</v>
      </c>
      <c r="D58" s="294">
        <v>0.27250000000000002</v>
      </c>
      <c r="E58" s="294">
        <v>6.9418694807617004E-2</v>
      </c>
      <c r="F58" s="294">
        <v>-0.20499999999999999</v>
      </c>
      <c r="G58" s="294">
        <v>-2.75E-2</v>
      </c>
      <c r="H58" s="294">
        <v>-0.20499999999999999</v>
      </c>
      <c r="I58" s="294">
        <v>0.155</v>
      </c>
      <c r="J58" s="294">
        <v>0.26500000000000001</v>
      </c>
      <c r="K58" s="294">
        <v>0.30249999999999999</v>
      </c>
      <c r="L58" s="294">
        <v>-8.1000000000000003E-2</v>
      </c>
      <c r="M58" s="294">
        <v>-1.6500000000000001E-2</v>
      </c>
      <c r="N58" s="294">
        <v>-0.28999999999999998</v>
      </c>
      <c r="O58" s="294">
        <v>-0.18</v>
      </c>
      <c r="P58" s="294">
        <v>1.2500000000000001E-2</v>
      </c>
      <c r="Q58" s="294">
        <v>-1.35E-2</v>
      </c>
      <c r="R58" s="291">
        <v>-2.8000000000000001E-2</v>
      </c>
      <c r="S58" s="291">
        <v>-0.06</v>
      </c>
      <c r="T58" s="291">
        <v>2.5000000000000001E-3</v>
      </c>
      <c r="U58" s="291">
        <v>-3.4500000000000003E-2</v>
      </c>
      <c r="V58" s="291">
        <v>-0.11</v>
      </c>
      <c r="W58" s="291">
        <v>-0.13750000000000001</v>
      </c>
      <c r="X58" s="291">
        <v>0.82499999999999996</v>
      </c>
      <c r="Y58" s="291">
        <v>5.0000000000000001E-3</v>
      </c>
      <c r="Z58" s="291">
        <v>-0.19500000000000001</v>
      </c>
      <c r="AA58" s="291">
        <v>-2.4500000000000001E-2</v>
      </c>
      <c r="AB58" s="306">
        <v>0.115</v>
      </c>
      <c r="AC58" s="306">
        <v>0.63749999999999996</v>
      </c>
      <c r="AD58" s="306">
        <v>0.25</v>
      </c>
      <c r="AE58" s="431">
        <v>0.27300000000000002</v>
      </c>
      <c r="AF58" s="431">
        <v>0.27300000000000002</v>
      </c>
      <c r="AG58" s="431">
        <v>0.3</v>
      </c>
      <c r="AH58" s="431">
        <v>0.27300000000000002</v>
      </c>
      <c r="AI58" s="431">
        <v>0.27800000000000002</v>
      </c>
      <c r="AJ58" s="431">
        <v>0.27300000000000002</v>
      </c>
      <c r="AK58" s="431">
        <v>0.27300000000000002</v>
      </c>
      <c r="AL58" s="431">
        <v>0.27300000000000002</v>
      </c>
      <c r="AM58" s="431">
        <v>0.27300000000000002</v>
      </c>
      <c r="AN58" s="431">
        <v>0.27300000000000002</v>
      </c>
      <c r="AO58" s="431">
        <v>0.27300000000000002</v>
      </c>
      <c r="AP58" s="432">
        <v>0.27300000000000002</v>
      </c>
      <c r="AQ58" s="432">
        <v>0.27300000000000002</v>
      </c>
      <c r="AR58" s="432">
        <v>0.27300000000000002</v>
      </c>
      <c r="AS58" s="432">
        <v>0.27300000000000002</v>
      </c>
      <c r="AT58" s="431">
        <v>0.27300000000000002</v>
      </c>
      <c r="AU58" s="431">
        <v>0.27300000000000002</v>
      </c>
      <c r="AV58" s="431">
        <v>0.3</v>
      </c>
      <c r="AW58" s="305">
        <v>6.9149227989647996E-2</v>
      </c>
      <c r="AX58" s="305"/>
      <c r="AY58" s="306">
        <f t="shared" si="5"/>
        <v>0.3</v>
      </c>
      <c r="AZ58" s="306">
        <f t="shared" si="6"/>
        <v>0.3</v>
      </c>
      <c r="BA58" s="309">
        <f t="shared" si="7"/>
        <v>0.3</v>
      </c>
      <c r="BB58" s="308">
        <f t="shared" si="8"/>
        <v>38047</v>
      </c>
      <c r="BC58" s="306">
        <f t="shared" si="2"/>
        <v>0.78787096197813444</v>
      </c>
      <c r="BD58" s="306">
        <f t="shared" si="3"/>
        <v>0.78801761492916922</v>
      </c>
      <c r="BF58" s="308">
        <f t="shared" si="9"/>
        <v>38047</v>
      </c>
      <c r="BG58" s="291">
        <v>46</v>
      </c>
      <c r="BI58" s="493">
        <f t="shared" si="10"/>
        <v>3.8940000000000001</v>
      </c>
      <c r="BJ58" s="494">
        <f t="shared" si="11"/>
        <v>3.2410000000000001</v>
      </c>
    </row>
    <row r="59" spans="2:62" x14ac:dyDescent="0.25">
      <c r="B59" s="296">
        <f t="shared" si="4"/>
        <v>38078</v>
      </c>
      <c r="C59" s="294">
        <v>2.8940000000000001</v>
      </c>
      <c r="D59" s="294">
        <v>0.2525</v>
      </c>
      <c r="E59" s="294">
        <v>6.9415039312736002E-2</v>
      </c>
      <c r="F59" s="294">
        <v>-0.19500000000000001</v>
      </c>
      <c r="G59" s="294">
        <v>1.4999999999999999E-2</v>
      </c>
      <c r="H59" s="294">
        <v>-0.19500000000000001</v>
      </c>
      <c r="I59" s="294">
        <v>7.2499999999999995E-2</v>
      </c>
      <c r="J59" s="294">
        <v>0.19500000000000001</v>
      </c>
      <c r="K59" s="294">
        <v>0.25</v>
      </c>
      <c r="L59" s="294">
        <v>-7.3999999999999996E-2</v>
      </c>
      <c r="M59" s="294">
        <v>-2.4E-2</v>
      </c>
      <c r="N59" s="294">
        <v>-0.37</v>
      </c>
      <c r="O59" s="294">
        <v>-0.33</v>
      </c>
      <c r="P59" s="294">
        <v>6.0000000000000001E-3</v>
      </c>
      <c r="Q59" s="294">
        <v>-3.5000000000000001E-3</v>
      </c>
      <c r="R59" s="291">
        <v>-2.75E-2</v>
      </c>
      <c r="S59" s="291">
        <v>-5.7500000000000002E-2</v>
      </c>
      <c r="T59" s="291">
        <v>-8.5000000000000006E-2</v>
      </c>
      <c r="U59" s="291">
        <v>-1.35E-2</v>
      </c>
      <c r="V59" s="291">
        <v>-0.10249999999999999</v>
      </c>
      <c r="W59" s="291">
        <v>-0.1225</v>
      </c>
      <c r="X59" s="291">
        <v>0.45</v>
      </c>
      <c r="Y59" s="291">
        <v>5.0000000000000001E-3</v>
      </c>
      <c r="Z59" s="291">
        <v>-0.2</v>
      </c>
      <c r="AA59" s="291">
        <v>-2.1999999999999999E-2</v>
      </c>
      <c r="AB59" s="306">
        <v>0.28499999999999998</v>
      </c>
      <c r="AC59" s="306">
        <v>0.35499999999999998</v>
      </c>
      <c r="AD59" s="306">
        <v>0.16750000000000001</v>
      </c>
      <c r="AE59" s="431">
        <v>0.253</v>
      </c>
      <c r="AF59" s="431">
        <v>0.253</v>
      </c>
      <c r="AG59" s="431">
        <v>0.247</v>
      </c>
      <c r="AH59" s="431">
        <v>0.253</v>
      </c>
      <c r="AI59" s="431">
        <v>0.25800000000000001</v>
      </c>
      <c r="AJ59" s="431">
        <v>0.253</v>
      </c>
      <c r="AK59" s="431">
        <v>0.247</v>
      </c>
      <c r="AL59" s="431">
        <v>0.247</v>
      </c>
      <c r="AM59" s="431">
        <v>0.253</v>
      </c>
      <c r="AN59" s="431">
        <v>0.253</v>
      </c>
      <c r="AO59" s="431">
        <v>0.253</v>
      </c>
      <c r="AP59" s="432">
        <v>0.253</v>
      </c>
      <c r="AQ59" s="432">
        <v>0.253</v>
      </c>
      <c r="AR59" s="432">
        <v>0.253</v>
      </c>
      <c r="AS59" s="432">
        <v>0.253</v>
      </c>
      <c r="AT59" s="431">
        <v>0.253</v>
      </c>
      <c r="AU59" s="431">
        <v>0.253</v>
      </c>
      <c r="AV59" s="431">
        <v>0.247</v>
      </c>
      <c r="AW59" s="305">
        <v>6.9147743120809999E-2</v>
      </c>
      <c r="AX59" s="305"/>
      <c r="AY59" s="306">
        <f t="shared" si="5"/>
        <v>0.247</v>
      </c>
      <c r="AZ59" s="306">
        <f t="shared" si="6"/>
        <v>0.247</v>
      </c>
      <c r="BA59" s="309">
        <f t="shared" si="7"/>
        <v>0.247</v>
      </c>
      <c r="BB59" s="308">
        <f t="shared" si="8"/>
        <v>38078</v>
      </c>
      <c r="BC59" s="306">
        <f t="shared" si="2"/>
        <v>0.78334227099439768</v>
      </c>
      <c r="BD59" s="306">
        <f t="shared" si="3"/>
        <v>0.78348807790394304</v>
      </c>
      <c r="BF59" s="308">
        <f t="shared" si="9"/>
        <v>38078</v>
      </c>
      <c r="BG59" s="291">
        <v>47</v>
      </c>
      <c r="BI59" s="493">
        <f t="shared" si="10"/>
        <v>3.3440000000000003</v>
      </c>
      <c r="BJ59" s="494">
        <f t="shared" si="11"/>
        <v>3.0739999999999998</v>
      </c>
    </row>
    <row r="60" spans="2:62" x14ac:dyDescent="0.25">
      <c r="B60" s="296">
        <f t="shared" si="4"/>
        <v>38108</v>
      </c>
      <c r="C60" s="294">
        <v>2.883</v>
      </c>
      <c r="D60" s="294">
        <v>0.2525</v>
      </c>
      <c r="E60" s="294">
        <v>6.9405168299975006E-2</v>
      </c>
      <c r="F60" s="294">
        <v>-0.19500000000000001</v>
      </c>
      <c r="G60" s="294">
        <v>1.4999999999999999E-2</v>
      </c>
      <c r="H60" s="294">
        <v>-0.19500000000000001</v>
      </c>
      <c r="I60" s="294">
        <v>6.25E-2</v>
      </c>
      <c r="J60" s="294">
        <v>0.1825</v>
      </c>
      <c r="K60" s="294">
        <v>0.20250000000000001</v>
      </c>
      <c r="L60" s="294">
        <v>-7.3999999999999996E-2</v>
      </c>
      <c r="M60" s="294">
        <v>-2.4E-2</v>
      </c>
      <c r="N60" s="294">
        <v>-0.37</v>
      </c>
      <c r="O60" s="294">
        <v>-0.33</v>
      </c>
      <c r="P60" s="294">
        <v>6.0000000000000001E-3</v>
      </c>
      <c r="Q60" s="294">
        <v>-3.5000000000000001E-3</v>
      </c>
      <c r="R60" s="291">
        <v>-2.75E-2</v>
      </c>
      <c r="S60" s="291">
        <v>-5.7500000000000002E-2</v>
      </c>
      <c r="T60" s="291">
        <v>-0.1</v>
      </c>
      <c r="U60" s="291">
        <v>-1.375E-2</v>
      </c>
      <c r="V60" s="291">
        <v>-0.10249999999999999</v>
      </c>
      <c r="W60" s="291">
        <v>-0.1225</v>
      </c>
      <c r="X60" s="291">
        <v>0.40500000000000003</v>
      </c>
      <c r="Y60" s="291">
        <v>5.0000000000000001E-3</v>
      </c>
      <c r="Z60" s="291">
        <v>-0.2</v>
      </c>
      <c r="AA60" s="291">
        <v>-2.1999999999999999E-2</v>
      </c>
      <c r="AB60" s="306">
        <v>0.28499999999999998</v>
      </c>
      <c r="AC60" s="306">
        <v>0.28749999999999998</v>
      </c>
      <c r="AD60" s="306">
        <v>0.1575</v>
      </c>
      <c r="AE60" s="431">
        <v>0.253</v>
      </c>
      <c r="AF60" s="431">
        <v>0.253</v>
      </c>
      <c r="AG60" s="431">
        <v>0.247</v>
      </c>
      <c r="AH60" s="431">
        <v>0.253</v>
      </c>
      <c r="AI60" s="431">
        <v>0.25800000000000001</v>
      </c>
      <c r="AJ60" s="431">
        <v>0.253</v>
      </c>
      <c r="AK60" s="431">
        <v>0.247</v>
      </c>
      <c r="AL60" s="431">
        <v>0.247</v>
      </c>
      <c r="AM60" s="431">
        <v>0.253</v>
      </c>
      <c r="AN60" s="431">
        <v>0.253</v>
      </c>
      <c r="AO60" s="431">
        <v>0.253</v>
      </c>
      <c r="AP60" s="432">
        <v>0.253</v>
      </c>
      <c r="AQ60" s="432">
        <v>0.253</v>
      </c>
      <c r="AR60" s="432">
        <v>0.253</v>
      </c>
      <c r="AS60" s="432">
        <v>0.253</v>
      </c>
      <c r="AT60" s="431">
        <v>0.253</v>
      </c>
      <c r="AU60" s="431">
        <v>0.253</v>
      </c>
      <c r="AV60" s="431">
        <v>0.247</v>
      </c>
      <c r="AW60" s="305">
        <v>6.9139233946856005E-2</v>
      </c>
      <c r="AX60" s="305"/>
      <c r="AY60" s="306">
        <f t="shared" si="5"/>
        <v>0.247</v>
      </c>
      <c r="AZ60" s="306">
        <f t="shared" si="6"/>
        <v>0.247</v>
      </c>
      <c r="BA60" s="309">
        <f t="shared" si="7"/>
        <v>0.247</v>
      </c>
      <c r="BB60" s="308">
        <f t="shared" si="8"/>
        <v>38108</v>
      </c>
      <c r="BC60" s="306">
        <f t="shared" si="2"/>
        <v>0.77900419949900623</v>
      </c>
      <c r="BD60" s="306">
        <f t="shared" si="3"/>
        <v>0.77914918139925093</v>
      </c>
      <c r="BF60" s="308">
        <f t="shared" si="9"/>
        <v>38108</v>
      </c>
      <c r="BG60" s="291">
        <v>48</v>
      </c>
      <c r="BI60" s="493">
        <f t="shared" si="10"/>
        <v>3.2880000000000003</v>
      </c>
      <c r="BJ60" s="494">
        <f t="shared" si="11"/>
        <v>2.899</v>
      </c>
    </row>
    <row r="61" spans="2:62" x14ac:dyDescent="0.25">
      <c r="B61" s="296">
        <f t="shared" si="4"/>
        <v>38139</v>
      </c>
      <c r="C61" s="294">
        <v>2.9039999999999999</v>
      </c>
      <c r="D61" s="294">
        <v>0.2525</v>
      </c>
      <c r="E61" s="294">
        <v>6.9394968253489994E-2</v>
      </c>
      <c r="F61" s="294">
        <v>-0.19500000000000001</v>
      </c>
      <c r="G61" s="294">
        <v>0.02</v>
      </c>
      <c r="H61" s="294">
        <v>-0.19500000000000001</v>
      </c>
      <c r="I61" s="294">
        <v>5.7500000000000002E-2</v>
      </c>
      <c r="J61" s="294">
        <v>0.1825</v>
      </c>
      <c r="K61" s="294">
        <v>0.20250000000000001</v>
      </c>
      <c r="L61" s="294">
        <v>-0.09</v>
      </c>
      <c r="M61" s="294">
        <v>-2.4E-2</v>
      </c>
      <c r="N61" s="294">
        <v>-0.37</v>
      </c>
      <c r="O61" s="294">
        <v>-0.33</v>
      </c>
      <c r="P61" s="294">
        <v>6.0000000000000001E-3</v>
      </c>
      <c r="Q61" s="294">
        <v>-3.5000000000000001E-3</v>
      </c>
      <c r="R61" s="291">
        <v>-2.75E-2</v>
      </c>
      <c r="S61" s="291">
        <v>-5.7500000000000002E-2</v>
      </c>
      <c r="T61" s="291">
        <v>-0.11</v>
      </c>
      <c r="U61" s="291">
        <v>-1.375E-2</v>
      </c>
      <c r="V61" s="291">
        <v>-9.2499999999999999E-2</v>
      </c>
      <c r="W61" s="291">
        <v>-0.1225</v>
      </c>
      <c r="X61" s="291">
        <v>0.39500000000000002</v>
      </c>
      <c r="Y61" s="291">
        <v>5.0000000000000001E-3</v>
      </c>
      <c r="Z61" s="291">
        <v>-0.2</v>
      </c>
      <c r="AA61" s="291">
        <v>-2.1999999999999999E-2</v>
      </c>
      <c r="AB61" s="306">
        <v>0.28499999999999998</v>
      </c>
      <c r="AC61" s="306">
        <v>0.28749999999999998</v>
      </c>
      <c r="AD61" s="306">
        <v>0.1525</v>
      </c>
      <c r="AE61" s="431">
        <v>0.253</v>
      </c>
      <c r="AF61" s="431">
        <v>0.253</v>
      </c>
      <c r="AG61" s="431">
        <v>0.247</v>
      </c>
      <c r="AH61" s="431">
        <v>0.253</v>
      </c>
      <c r="AI61" s="431">
        <v>0.25800000000000001</v>
      </c>
      <c r="AJ61" s="431">
        <v>0.253</v>
      </c>
      <c r="AK61" s="431">
        <v>0.247</v>
      </c>
      <c r="AL61" s="431">
        <v>0.247</v>
      </c>
      <c r="AM61" s="431">
        <v>0.253</v>
      </c>
      <c r="AN61" s="431">
        <v>0.253</v>
      </c>
      <c r="AO61" s="431">
        <v>0.253</v>
      </c>
      <c r="AP61" s="432">
        <v>0.253</v>
      </c>
      <c r="AQ61" s="432">
        <v>0.253</v>
      </c>
      <c r="AR61" s="432">
        <v>0.253</v>
      </c>
      <c r="AS61" s="432">
        <v>0.253</v>
      </c>
      <c r="AT61" s="431">
        <v>0.253</v>
      </c>
      <c r="AU61" s="431">
        <v>0.253</v>
      </c>
      <c r="AV61" s="431">
        <v>0.247</v>
      </c>
      <c r="AW61" s="305">
        <v>6.9130441133797002E-2</v>
      </c>
      <c r="AX61" s="305"/>
      <c r="AY61" s="306">
        <f t="shared" si="5"/>
        <v>0.247</v>
      </c>
      <c r="AZ61" s="306">
        <f t="shared" si="6"/>
        <v>0.247</v>
      </c>
      <c r="BA61" s="309">
        <f t="shared" si="7"/>
        <v>0.247</v>
      </c>
      <c r="BB61" s="308">
        <f t="shared" si="8"/>
        <v>38139</v>
      </c>
      <c r="BC61" s="306">
        <f t="shared" si="2"/>
        <v>0.77454786191131508</v>
      </c>
      <c r="BD61" s="306">
        <f t="shared" si="3"/>
        <v>0.77469199640804476</v>
      </c>
      <c r="BF61" s="308">
        <f t="shared" si="9"/>
        <v>38139</v>
      </c>
      <c r="BG61" s="291">
        <v>49</v>
      </c>
      <c r="BI61" s="493">
        <f t="shared" si="10"/>
        <v>3.2989999999999999</v>
      </c>
      <c r="BJ61" s="494">
        <f t="shared" si="11"/>
        <v>2.8879999999999999</v>
      </c>
    </row>
    <row r="62" spans="2:62" x14ac:dyDescent="0.25">
      <c r="B62" s="296">
        <f t="shared" si="4"/>
        <v>38169</v>
      </c>
      <c r="C62" s="294">
        <v>2.9260000000000002</v>
      </c>
      <c r="D62" s="294">
        <v>0.25</v>
      </c>
      <c r="E62" s="294">
        <v>6.9403952211430003E-2</v>
      </c>
      <c r="F62" s="294">
        <v>-0.19500000000000001</v>
      </c>
      <c r="G62" s="294">
        <v>2.2499999999999999E-2</v>
      </c>
      <c r="H62" s="294">
        <v>-0.19500000000000001</v>
      </c>
      <c r="I62" s="294">
        <v>4.7500000000000001E-2</v>
      </c>
      <c r="J62" s="294">
        <v>0.1825</v>
      </c>
      <c r="K62" s="294">
        <v>0.215</v>
      </c>
      <c r="L62" s="294">
        <v>-8.3000000000000004E-2</v>
      </c>
      <c r="M62" s="294">
        <v>-2.4E-2</v>
      </c>
      <c r="N62" s="294">
        <v>-0.37</v>
      </c>
      <c r="O62" s="294">
        <v>-0.33</v>
      </c>
      <c r="P62" s="294">
        <v>6.0000000000000001E-3</v>
      </c>
      <c r="Q62" s="294">
        <v>-3.5000000000000001E-3</v>
      </c>
      <c r="R62" s="291">
        <v>-2.75E-2</v>
      </c>
      <c r="S62" s="291">
        <v>-5.7500000000000002E-2</v>
      </c>
      <c r="T62" s="291">
        <v>-0.11</v>
      </c>
      <c r="U62" s="291">
        <v>-1.375E-2</v>
      </c>
      <c r="V62" s="291">
        <v>-8.7499999999999994E-2</v>
      </c>
      <c r="W62" s="291">
        <v>-0.1225</v>
      </c>
      <c r="X62" s="291">
        <v>0.43</v>
      </c>
      <c r="Y62" s="291">
        <v>5.0000000000000001E-3</v>
      </c>
      <c r="Z62" s="291">
        <v>-0.2</v>
      </c>
      <c r="AA62" s="291">
        <v>-2.1999999999999999E-2</v>
      </c>
      <c r="AB62" s="306">
        <v>0.28499999999999998</v>
      </c>
      <c r="AC62" s="306">
        <v>0.3</v>
      </c>
      <c r="AD62" s="306">
        <v>0.14249999999999999</v>
      </c>
      <c r="AE62" s="431">
        <v>0.25</v>
      </c>
      <c r="AF62" s="431">
        <v>0.25</v>
      </c>
      <c r="AG62" s="431">
        <v>0.245</v>
      </c>
      <c r="AH62" s="431">
        <v>0.25</v>
      </c>
      <c r="AI62" s="431">
        <v>0.255</v>
      </c>
      <c r="AJ62" s="431">
        <v>0.25</v>
      </c>
      <c r="AK62" s="431">
        <v>0.245</v>
      </c>
      <c r="AL62" s="431">
        <v>0.245</v>
      </c>
      <c r="AM62" s="431">
        <v>0.25</v>
      </c>
      <c r="AN62" s="431">
        <v>0.25</v>
      </c>
      <c r="AO62" s="431">
        <v>0.25</v>
      </c>
      <c r="AP62" s="432">
        <v>0.25</v>
      </c>
      <c r="AQ62" s="432">
        <v>0.25</v>
      </c>
      <c r="AR62" s="432">
        <v>0.25</v>
      </c>
      <c r="AS62" s="432">
        <v>0.25</v>
      </c>
      <c r="AT62" s="431">
        <v>0.25</v>
      </c>
      <c r="AU62" s="431">
        <v>0.25</v>
      </c>
      <c r="AV62" s="431">
        <v>0.245</v>
      </c>
      <c r="AW62" s="305">
        <v>6.9134503944114994E-2</v>
      </c>
      <c r="AX62" s="305"/>
      <c r="AY62" s="306">
        <f t="shared" si="5"/>
        <v>0.245</v>
      </c>
      <c r="AZ62" s="306">
        <f t="shared" si="6"/>
        <v>0.245</v>
      </c>
      <c r="BA62" s="309">
        <f t="shared" si="7"/>
        <v>0.245</v>
      </c>
      <c r="BB62" s="308">
        <f t="shared" si="8"/>
        <v>38169</v>
      </c>
      <c r="BC62" s="306">
        <f t="shared" si="2"/>
        <v>0.77022465574993648</v>
      </c>
      <c r="BD62" s="306">
        <f t="shared" si="3"/>
        <v>0.77036799403023692</v>
      </c>
      <c r="BF62" s="308">
        <f t="shared" si="9"/>
        <v>38169</v>
      </c>
      <c r="BG62" s="291">
        <v>50</v>
      </c>
      <c r="BI62" s="493">
        <f t="shared" si="10"/>
        <v>3.3560000000000003</v>
      </c>
      <c r="BJ62" s="494">
        <f t="shared" si="11"/>
        <v>2.9089999999999998</v>
      </c>
    </row>
    <row r="63" spans="2:62" x14ac:dyDescent="0.25">
      <c r="B63" s="296">
        <f t="shared" si="4"/>
        <v>38200</v>
      </c>
      <c r="C63" s="294">
        <v>2.9470000000000001</v>
      </c>
      <c r="D63" s="294">
        <v>0.25</v>
      </c>
      <c r="E63" s="294">
        <v>6.9435502457345005E-2</v>
      </c>
      <c r="F63" s="294">
        <v>-0.19500000000000001</v>
      </c>
      <c r="G63" s="294">
        <v>2.5000000000000001E-2</v>
      </c>
      <c r="H63" s="294">
        <v>-0.19500000000000001</v>
      </c>
      <c r="I63" s="294">
        <v>4.4999999999999998E-2</v>
      </c>
      <c r="J63" s="294">
        <v>0.1825</v>
      </c>
      <c r="K63" s="294">
        <v>0.215</v>
      </c>
      <c r="L63" s="294">
        <v>-7.3999999999999996E-2</v>
      </c>
      <c r="M63" s="294">
        <v>-2.4E-2</v>
      </c>
      <c r="N63" s="294">
        <v>-0.37</v>
      </c>
      <c r="O63" s="294">
        <v>-0.33</v>
      </c>
      <c r="P63" s="294">
        <v>6.0000000000000001E-3</v>
      </c>
      <c r="Q63" s="294">
        <v>-3.5000000000000001E-3</v>
      </c>
      <c r="R63" s="291">
        <v>-2.75E-2</v>
      </c>
      <c r="S63" s="291">
        <v>-5.7500000000000002E-2</v>
      </c>
      <c r="T63" s="291">
        <v>-0.11</v>
      </c>
      <c r="U63" s="291">
        <v>-1.375E-2</v>
      </c>
      <c r="V63" s="291">
        <v>-8.7499999999999994E-2</v>
      </c>
      <c r="W63" s="291">
        <v>-0.1225</v>
      </c>
      <c r="X63" s="291">
        <v>0.495</v>
      </c>
      <c r="Y63" s="291">
        <v>5.0000000000000001E-3</v>
      </c>
      <c r="Z63" s="291">
        <v>-0.2</v>
      </c>
      <c r="AA63" s="291">
        <v>-2.1999999999999999E-2</v>
      </c>
      <c r="AB63" s="306">
        <v>0.28499999999999998</v>
      </c>
      <c r="AC63" s="306">
        <v>0.3</v>
      </c>
      <c r="AD63" s="306">
        <v>0.14000000000000001</v>
      </c>
      <c r="AE63" s="431">
        <v>0.25</v>
      </c>
      <c r="AF63" s="431">
        <v>0.25</v>
      </c>
      <c r="AG63" s="431">
        <v>0.245</v>
      </c>
      <c r="AH63" s="431">
        <v>0.25</v>
      </c>
      <c r="AI63" s="431">
        <v>0.255</v>
      </c>
      <c r="AJ63" s="431">
        <v>0.25</v>
      </c>
      <c r="AK63" s="431">
        <v>0.245</v>
      </c>
      <c r="AL63" s="431">
        <v>0.245</v>
      </c>
      <c r="AM63" s="431">
        <v>0.25</v>
      </c>
      <c r="AN63" s="431">
        <v>0.25</v>
      </c>
      <c r="AO63" s="431">
        <v>0.25</v>
      </c>
      <c r="AP63" s="432">
        <v>0.25</v>
      </c>
      <c r="AQ63" s="432">
        <v>0.25</v>
      </c>
      <c r="AR63" s="432">
        <v>0.25</v>
      </c>
      <c r="AS63" s="432">
        <v>0.25</v>
      </c>
      <c r="AT63" s="431">
        <v>0.25</v>
      </c>
      <c r="AU63" s="431">
        <v>0.25</v>
      </c>
      <c r="AV63" s="431">
        <v>0.245</v>
      </c>
      <c r="AW63" s="305">
        <v>6.9153549096238998E-2</v>
      </c>
      <c r="AX63" s="305"/>
      <c r="AY63" s="306">
        <f t="shared" si="5"/>
        <v>0.245</v>
      </c>
      <c r="AZ63" s="306">
        <f t="shared" si="6"/>
        <v>0.245</v>
      </c>
      <c r="BA63" s="309">
        <f t="shared" si="7"/>
        <v>0.245</v>
      </c>
      <c r="BB63" s="308">
        <f t="shared" si="8"/>
        <v>38200</v>
      </c>
      <c r="BC63" s="306">
        <f t="shared" si="2"/>
        <v>0.76573902780254599</v>
      </c>
      <c r="BD63" s="306">
        <f t="shared" si="3"/>
        <v>0.76588156991125422</v>
      </c>
      <c r="BF63" s="308">
        <f t="shared" si="9"/>
        <v>38200</v>
      </c>
      <c r="BG63" s="291">
        <v>51</v>
      </c>
      <c r="BI63" s="493">
        <f t="shared" si="10"/>
        <v>3.4420000000000002</v>
      </c>
      <c r="BJ63" s="494">
        <f t="shared" si="11"/>
        <v>2.931</v>
      </c>
    </row>
    <row r="64" spans="2:62" x14ac:dyDescent="0.25">
      <c r="B64" s="296">
        <f t="shared" si="4"/>
        <v>38231</v>
      </c>
      <c r="C64" s="294">
        <v>2.9289999999999998</v>
      </c>
      <c r="D64" s="294">
        <v>0.25</v>
      </c>
      <c r="E64" s="294">
        <v>6.9467052703591006E-2</v>
      </c>
      <c r="F64" s="294">
        <v>-0.19500000000000001</v>
      </c>
      <c r="G64" s="294">
        <v>1.7500000000000002E-2</v>
      </c>
      <c r="H64" s="294">
        <v>-0.19500000000000001</v>
      </c>
      <c r="I64" s="294">
        <v>4.2500000000000003E-2</v>
      </c>
      <c r="J64" s="294">
        <v>0.1825</v>
      </c>
      <c r="K64" s="294">
        <v>0.19500000000000001</v>
      </c>
      <c r="L64" s="294">
        <v>-5.3999999999999999E-2</v>
      </c>
      <c r="M64" s="294">
        <v>-2.4E-2</v>
      </c>
      <c r="N64" s="294">
        <v>-0.37</v>
      </c>
      <c r="O64" s="294">
        <v>-0.33</v>
      </c>
      <c r="P64" s="294">
        <v>6.0000000000000001E-3</v>
      </c>
      <c r="Q64" s="294">
        <v>-3.5000000000000001E-3</v>
      </c>
      <c r="R64" s="291">
        <v>-2.75E-2</v>
      </c>
      <c r="S64" s="291">
        <v>-5.7500000000000002E-2</v>
      </c>
      <c r="T64" s="291">
        <v>-0.1</v>
      </c>
      <c r="U64" s="291">
        <v>-1.375E-2</v>
      </c>
      <c r="V64" s="291">
        <v>-0.10249999999999999</v>
      </c>
      <c r="W64" s="291">
        <v>-0.1225</v>
      </c>
      <c r="X64" s="291">
        <v>0.39500000000000002</v>
      </c>
      <c r="Y64" s="291">
        <v>5.0000000000000001E-3</v>
      </c>
      <c r="Z64" s="291">
        <v>-0.2</v>
      </c>
      <c r="AA64" s="291">
        <v>-2.1999999999999999E-2</v>
      </c>
      <c r="AB64" s="306">
        <v>0.28499999999999998</v>
      </c>
      <c r="AC64" s="306">
        <v>0.28999999999999998</v>
      </c>
      <c r="AD64" s="306">
        <v>0.13750000000000001</v>
      </c>
      <c r="AE64" s="431">
        <v>0.25</v>
      </c>
      <c r="AF64" s="431">
        <v>0.25</v>
      </c>
      <c r="AG64" s="431">
        <v>0.245</v>
      </c>
      <c r="AH64" s="431">
        <v>0.25</v>
      </c>
      <c r="AI64" s="431">
        <v>0.255</v>
      </c>
      <c r="AJ64" s="431">
        <v>0.25</v>
      </c>
      <c r="AK64" s="431">
        <v>0.245</v>
      </c>
      <c r="AL64" s="431">
        <v>0.245</v>
      </c>
      <c r="AM64" s="431">
        <v>0.25</v>
      </c>
      <c r="AN64" s="431">
        <v>0.25</v>
      </c>
      <c r="AO64" s="431">
        <v>0.25</v>
      </c>
      <c r="AP64" s="432">
        <v>0.25</v>
      </c>
      <c r="AQ64" s="432">
        <v>0.25</v>
      </c>
      <c r="AR64" s="432">
        <v>0.25</v>
      </c>
      <c r="AS64" s="432">
        <v>0.25</v>
      </c>
      <c r="AT64" s="431">
        <v>0.25</v>
      </c>
      <c r="AU64" s="431">
        <v>0.25</v>
      </c>
      <c r="AV64" s="431">
        <v>0.245</v>
      </c>
      <c r="AW64" s="305">
        <v>6.9172594248482003E-2</v>
      </c>
      <c r="AX64" s="305"/>
      <c r="AY64" s="306">
        <f t="shared" si="5"/>
        <v>0.245</v>
      </c>
      <c r="AZ64" s="306">
        <f t="shared" si="6"/>
        <v>0.245</v>
      </c>
      <c r="BA64" s="309">
        <f t="shared" si="7"/>
        <v>0.245</v>
      </c>
      <c r="BB64" s="308">
        <f t="shared" si="8"/>
        <v>38231</v>
      </c>
      <c r="BC64" s="306">
        <f t="shared" si="2"/>
        <v>0.76127714487618448</v>
      </c>
      <c r="BD64" s="306">
        <f t="shared" si="3"/>
        <v>0.76141889478203706</v>
      </c>
      <c r="BF64" s="308">
        <f t="shared" si="9"/>
        <v>38231</v>
      </c>
      <c r="BG64" s="291">
        <v>52</v>
      </c>
      <c r="BI64" s="493">
        <f t="shared" si="10"/>
        <v>3.3239999999999998</v>
      </c>
      <c r="BJ64" s="494">
        <f t="shared" si="11"/>
        <v>2.952</v>
      </c>
    </row>
    <row r="65" spans="2:62" x14ac:dyDescent="0.25">
      <c r="B65" s="296">
        <f t="shared" si="4"/>
        <v>38261</v>
      </c>
      <c r="C65" s="294">
        <v>2.9430000000000001</v>
      </c>
      <c r="D65" s="294">
        <v>0.25</v>
      </c>
      <c r="E65" s="294">
        <v>6.9497585200270995E-2</v>
      </c>
      <c r="F65" s="294">
        <v>-0.19500000000000001</v>
      </c>
      <c r="G65" s="294">
        <v>7.4999999999999997E-3</v>
      </c>
      <c r="H65" s="294">
        <v>-0.19500000000000001</v>
      </c>
      <c r="I65" s="294">
        <v>5.7500000000000002E-2</v>
      </c>
      <c r="J65" s="294">
        <v>0.1875</v>
      </c>
      <c r="K65" s="294">
        <v>0.215</v>
      </c>
      <c r="L65" s="294">
        <v>-6.4000000000000001E-2</v>
      </c>
      <c r="M65" s="294">
        <v>-2.4E-2</v>
      </c>
      <c r="N65" s="294">
        <v>-0.37</v>
      </c>
      <c r="O65" s="294">
        <v>-0.33</v>
      </c>
      <c r="P65" s="294">
        <v>6.0000000000000001E-3</v>
      </c>
      <c r="Q65" s="294">
        <v>-3.5000000000000001E-3</v>
      </c>
      <c r="R65" s="291">
        <v>-2.75E-2</v>
      </c>
      <c r="S65" s="291">
        <v>-5.7500000000000002E-2</v>
      </c>
      <c r="T65" s="291">
        <v>-8.5000000000000006E-2</v>
      </c>
      <c r="U65" s="291">
        <v>-1.375E-2</v>
      </c>
      <c r="V65" s="291">
        <v>-0.105</v>
      </c>
      <c r="W65" s="291">
        <v>-0.1225</v>
      </c>
      <c r="X65" s="291">
        <v>0.46100000000000002</v>
      </c>
      <c r="Y65" s="291">
        <v>5.0000000000000001E-3</v>
      </c>
      <c r="Z65" s="291">
        <v>-0.2</v>
      </c>
      <c r="AA65" s="291">
        <v>-2.1999999999999999E-2</v>
      </c>
      <c r="AB65" s="306">
        <v>0.28499999999999998</v>
      </c>
      <c r="AC65" s="306">
        <v>0.36249999999999999</v>
      </c>
      <c r="AD65" s="306">
        <v>0.1525</v>
      </c>
      <c r="AE65" s="431">
        <v>0.25</v>
      </c>
      <c r="AF65" s="431">
        <v>0.25</v>
      </c>
      <c r="AG65" s="431">
        <v>0.245</v>
      </c>
      <c r="AH65" s="431">
        <v>0.25</v>
      </c>
      <c r="AI65" s="431">
        <v>0.255</v>
      </c>
      <c r="AJ65" s="431">
        <v>0.25</v>
      </c>
      <c r="AK65" s="431">
        <v>0.245</v>
      </c>
      <c r="AL65" s="431">
        <v>0.245</v>
      </c>
      <c r="AM65" s="431">
        <v>0.25</v>
      </c>
      <c r="AN65" s="431">
        <v>0.25</v>
      </c>
      <c r="AO65" s="431">
        <v>0.25</v>
      </c>
      <c r="AP65" s="432">
        <v>0.25</v>
      </c>
      <c r="AQ65" s="432">
        <v>0.25</v>
      </c>
      <c r="AR65" s="432">
        <v>0.25</v>
      </c>
      <c r="AS65" s="432">
        <v>0.25</v>
      </c>
      <c r="AT65" s="431">
        <v>0.25</v>
      </c>
      <c r="AU65" s="431">
        <v>0.25</v>
      </c>
      <c r="AV65" s="431">
        <v>0.245</v>
      </c>
      <c r="AW65" s="305">
        <v>6.9191025041089996E-2</v>
      </c>
      <c r="AX65" s="305"/>
      <c r="AY65" s="306">
        <f t="shared" si="5"/>
        <v>0.245</v>
      </c>
      <c r="AZ65" s="306">
        <f t="shared" si="6"/>
        <v>0.245</v>
      </c>
      <c r="BA65" s="309">
        <f t="shared" si="7"/>
        <v>0.245</v>
      </c>
      <c r="BB65" s="308">
        <f t="shared" si="8"/>
        <v>38261</v>
      </c>
      <c r="BC65" s="306">
        <f t="shared" si="2"/>
        <v>0.75698169796957715</v>
      </c>
      <c r="BD65" s="306">
        <f t="shared" si="3"/>
        <v>0.75712268499026836</v>
      </c>
      <c r="BF65" s="308">
        <f t="shared" si="9"/>
        <v>38261</v>
      </c>
      <c r="BG65" s="291">
        <v>53</v>
      </c>
      <c r="BI65" s="493">
        <f t="shared" si="10"/>
        <v>3.4039999999999999</v>
      </c>
      <c r="BJ65" s="494">
        <f t="shared" si="11"/>
        <v>2.9339999999999997</v>
      </c>
    </row>
    <row r="66" spans="2:62" x14ac:dyDescent="0.25">
      <c r="B66" s="296">
        <f t="shared" si="4"/>
        <v>38292</v>
      </c>
      <c r="C66" s="294">
        <v>3.03</v>
      </c>
      <c r="D66" s="294">
        <v>0.2525</v>
      </c>
      <c r="E66" s="294">
        <v>6.9529135447163007E-2</v>
      </c>
      <c r="F66" s="294">
        <v>-0.19</v>
      </c>
      <c r="G66" s="294">
        <v>-3.2500000000000001E-2</v>
      </c>
      <c r="H66" s="294">
        <v>-0.19</v>
      </c>
      <c r="I66" s="294">
        <v>0.1075</v>
      </c>
      <c r="J66" s="294">
        <v>0.27</v>
      </c>
      <c r="K66" s="294">
        <v>0.28749999999999998</v>
      </c>
      <c r="L66" s="294">
        <v>-7.9000000000000001E-2</v>
      </c>
      <c r="M66" s="294">
        <v>-1.6500000000000001E-2</v>
      </c>
      <c r="N66" s="294">
        <v>-0.28000000000000003</v>
      </c>
      <c r="O66" s="294">
        <v>0</v>
      </c>
      <c r="P66" s="294">
        <v>1.2500000000000001E-2</v>
      </c>
      <c r="Q66" s="294">
        <v>-1.15E-2</v>
      </c>
      <c r="R66" s="291">
        <v>-3.0499999999999999E-2</v>
      </c>
      <c r="S66" s="291">
        <v>-5.2499999999999998E-2</v>
      </c>
      <c r="T66" s="291">
        <v>-2.5000000000000001E-2</v>
      </c>
      <c r="U66" s="291">
        <v>-3.1E-2</v>
      </c>
      <c r="V66" s="291">
        <v>-0.10249999999999999</v>
      </c>
      <c r="W66" s="291">
        <v>-0.13500000000000001</v>
      </c>
      <c r="X66" s="291">
        <v>0.76249999999999996</v>
      </c>
      <c r="Y66" s="291">
        <v>5.0000000000000001E-3</v>
      </c>
      <c r="Z66" s="291">
        <v>-0.19</v>
      </c>
      <c r="AA66" s="291">
        <v>-2.35E-2</v>
      </c>
      <c r="AB66" s="306">
        <v>0.12</v>
      </c>
      <c r="AC66" s="306">
        <v>0.46</v>
      </c>
      <c r="AD66" s="306">
        <v>0.20250000000000001</v>
      </c>
      <c r="AE66" s="431">
        <v>0.253</v>
      </c>
      <c r="AF66" s="431">
        <v>0.253</v>
      </c>
      <c r="AG66" s="431">
        <v>0.27800000000000002</v>
      </c>
      <c r="AH66" s="431">
        <v>0.253</v>
      </c>
      <c r="AI66" s="431">
        <v>0.25800000000000001</v>
      </c>
      <c r="AJ66" s="431">
        <v>0.253</v>
      </c>
      <c r="AK66" s="431">
        <v>0.253</v>
      </c>
      <c r="AL66" s="431">
        <v>0.253</v>
      </c>
      <c r="AM66" s="431">
        <v>0.253</v>
      </c>
      <c r="AN66" s="431">
        <v>0.253</v>
      </c>
      <c r="AO66" s="431">
        <v>0.253</v>
      </c>
      <c r="AP66" s="432">
        <v>0.253</v>
      </c>
      <c r="AQ66" s="432">
        <v>0.253</v>
      </c>
      <c r="AR66" s="432">
        <v>0.253</v>
      </c>
      <c r="AS66" s="432">
        <v>0.253</v>
      </c>
      <c r="AT66" s="431">
        <v>0.253</v>
      </c>
      <c r="AU66" s="431">
        <v>0.253</v>
      </c>
      <c r="AV66" s="431">
        <v>0.27800000000000002</v>
      </c>
      <c r="AW66" s="305">
        <v>6.9210070193570006E-2</v>
      </c>
      <c r="AX66" s="305"/>
      <c r="AY66" s="306">
        <f t="shared" si="5"/>
        <v>0.27800000000000002</v>
      </c>
      <c r="AZ66" s="306">
        <f t="shared" si="6"/>
        <v>0.27800000000000002</v>
      </c>
      <c r="BA66" s="309">
        <f t="shared" si="7"/>
        <v>0.27800000000000002</v>
      </c>
      <c r="BB66" s="308">
        <f t="shared" si="8"/>
        <v>38292</v>
      </c>
      <c r="BC66" s="306">
        <f t="shared" si="2"/>
        <v>0.7525662167831868</v>
      </c>
      <c r="BD66" s="306">
        <f t="shared" si="3"/>
        <v>0.75270641936091887</v>
      </c>
      <c r="BF66" s="308">
        <f t="shared" si="9"/>
        <v>38292</v>
      </c>
      <c r="BG66" s="291">
        <v>54</v>
      </c>
      <c r="BI66" s="493">
        <f t="shared" si="10"/>
        <v>3.7924999999999995</v>
      </c>
      <c r="BJ66" s="494">
        <f t="shared" si="11"/>
        <v>2.948</v>
      </c>
    </row>
    <row r="67" spans="2:62" x14ac:dyDescent="0.25">
      <c r="B67" s="296">
        <f t="shared" si="4"/>
        <v>38322</v>
      </c>
      <c r="C67" s="294">
        <v>3.113</v>
      </c>
      <c r="D67" s="294">
        <v>0.255</v>
      </c>
      <c r="E67" s="294">
        <v>6.9559667944469994E-2</v>
      </c>
      <c r="F67" s="294">
        <v>-0.19750000000000001</v>
      </c>
      <c r="G67" s="294">
        <v>-5.5E-2</v>
      </c>
      <c r="H67" s="294">
        <v>-0.19750000000000001</v>
      </c>
      <c r="I67" s="294">
        <v>0.14749999999999999</v>
      </c>
      <c r="J67" s="294">
        <v>0.30499999999999999</v>
      </c>
      <c r="K67" s="294">
        <v>0.33750000000000002</v>
      </c>
      <c r="L67" s="294">
        <v>-7.9000000000000001E-2</v>
      </c>
      <c r="M67" s="294">
        <v>-1.6500000000000001E-2</v>
      </c>
      <c r="N67" s="294">
        <v>-0.28000000000000003</v>
      </c>
      <c r="O67" s="294">
        <v>0.06</v>
      </c>
      <c r="P67" s="294">
        <v>1.2500000000000001E-2</v>
      </c>
      <c r="Q67" s="294">
        <v>-1.15E-2</v>
      </c>
      <c r="R67" s="291">
        <v>-3.0499999999999999E-2</v>
      </c>
      <c r="S67" s="291">
        <v>-5.2499999999999998E-2</v>
      </c>
      <c r="T67" s="291">
        <v>-1.7500000000000002E-2</v>
      </c>
      <c r="U67" s="291">
        <v>-3.1E-2</v>
      </c>
      <c r="V67" s="291">
        <v>-0.13750000000000001</v>
      </c>
      <c r="W67" s="291">
        <v>-0.13</v>
      </c>
      <c r="X67" s="291">
        <v>1.18</v>
      </c>
      <c r="Y67" s="291">
        <v>5.0000000000000001E-3</v>
      </c>
      <c r="Z67" s="291">
        <v>-0.19</v>
      </c>
      <c r="AA67" s="291">
        <v>-2.35E-2</v>
      </c>
      <c r="AB67" s="306">
        <v>0.12</v>
      </c>
      <c r="AC67" s="306">
        <v>0.79</v>
      </c>
      <c r="AD67" s="306">
        <v>0.24249999999999999</v>
      </c>
      <c r="AE67" s="431">
        <v>0.255</v>
      </c>
      <c r="AF67" s="431">
        <v>0.255</v>
      </c>
      <c r="AG67" s="431">
        <v>0.28100000000000003</v>
      </c>
      <c r="AH67" s="431">
        <v>0.255</v>
      </c>
      <c r="AI67" s="431">
        <v>0.26</v>
      </c>
      <c r="AJ67" s="431">
        <v>0.255</v>
      </c>
      <c r="AK67" s="431">
        <v>0.255</v>
      </c>
      <c r="AL67" s="431">
        <v>0.255</v>
      </c>
      <c r="AM67" s="431">
        <v>0.255</v>
      </c>
      <c r="AN67" s="431">
        <v>0.255</v>
      </c>
      <c r="AO67" s="431">
        <v>0.255</v>
      </c>
      <c r="AP67" s="432">
        <v>0.255</v>
      </c>
      <c r="AQ67" s="432">
        <v>0.255</v>
      </c>
      <c r="AR67" s="432">
        <v>0.255</v>
      </c>
      <c r="AS67" s="432">
        <v>0.255</v>
      </c>
      <c r="AT67" s="431">
        <v>0.255</v>
      </c>
      <c r="AU67" s="431">
        <v>0.255</v>
      </c>
      <c r="AV67" s="431">
        <v>0.28100000000000003</v>
      </c>
      <c r="AW67" s="305">
        <v>6.9228500986405997E-2</v>
      </c>
      <c r="AX67" s="305"/>
      <c r="AY67" s="306">
        <f t="shared" si="5"/>
        <v>0.28100000000000003</v>
      </c>
      <c r="AZ67" s="306">
        <f t="shared" si="6"/>
        <v>0.28100000000000003</v>
      </c>
      <c r="BA67" s="309">
        <f t="shared" si="7"/>
        <v>0.28100000000000003</v>
      </c>
      <c r="BB67" s="308">
        <f t="shared" si="8"/>
        <v>38322</v>
      </c>
      <c r="BC67" s="306">
        <f t="shared" si="2"/>
        <v>0.74831546886962019</v>
      </c>
      <c r="BD67" s="306">
        <f t="shared" si="3"/>
        <v>0.74845491604009384</v>
      </c>
      <c r="BF67" s="308">
        <f t="shared" si="9"/>
        <v>38322</v>
      </c>
      <c r="BG67" s="291">
        <v>55</v>
      </c>
      <c r="BI67" s="493">
        <f t="shared" si="10"/>
        <v>4.2930000000000001</v>
      </c>
      <c r="BJ67" s="494">
        <f t="shared" si="11"/>
        <v>3.0349999999999997</v>
      </c>
    </row>
    <row r="68" spans="2:62" x14ac:dyDescent="0.25">
      <c r="B68" s="296">
        <f t="shared" si="4"/>
        <v>38353</v>
      </c>
      <c r="C68" s="294">
        <v>3.3109999999999999</v>
      </c>
      <c r="D68" s="294">
        <v>0.26</v>
      </c>
      <c r="E68" s="294">
        <v>6.9591218192011001E-2</v>
      </c>
      <c r="F68" s="294">
        <v>-0.2</v>
      </c>
      <c r="G68" s="294">
        <v>-5.7500000000000002E-2</v>
      </c>
      <c r="H68" s="294">
        <v>-0.2</v>
      </c>
      <c r="I68" s="294">
        <v>0.1825</v>
      </c>
      <c r="J68" s="294">
        <v>0.30499999999999999</v>
      </c>
      <c r="K68" s="294">
        <v>0.4375</v>
      </c>
      <c r="L68" s="294">
        <v>-7.9000000000000001E-2</v>
      </c>
      <c r="M68" s="294">
        <v>-1.4500000000000001E-2</v>
      </c>
      <c r="N68" s="294">
        <v>-0.28000000000000003</v>
      </c>
      <c r="O68" s="294">
        <v>0.13</v>
      </c>
      <c r="P68" s="294">
        <v>1.2500000000000001E-2</v>
      </c>
      <c r="Q68" s="294">
        <v>-1.15E-2</v>
      </c>
      <c r="R68" s="291">
        <v>-2.8000000000000001E-2</v>
      </c>
      <c r="S68" s="291">
        <v>-5.2499999999999998E-2</v>
      </c>
      <c r="T68" s="291">
        <v>-2.5000000000000001E-3</v>
      </c>
      <c r="U68" s="291">
        <v>-3.1E-2</v>
      </c>
      <c r="V68" s="291">
        <v>-0.14299999999999999</v>
      </c>
      <c r="W68" s="291">
        <v>-0.13</v>
      </c>
      <c r="X68" s="291">
        <v>1.51</v>
      </c>
      <c r="Y68" s="291">
        <v>5.0000000000000001E-3</v>
      </c>
      <c r="Z68" s="291">
        <v>-0.19</v>
      </c>
      <c r="AA68" s="291">
        <v>-2.35E-2</v>
      </c>
      <c r="AB68" s="306">
        <v>0.12</v>
      </c>
      <c r="AC68" s="306">
        <v>0.96</v>
      </c>
      <c r="AD68" s="306">
        <v>0.27750000000000002</v>
      </c>
      <c r="AE68" s="431">
        <v>0.26</v>
      </c>
      <c r="AF68" s="431">
        <v>0.26</v>
      </c>
      <c r="AG68" s="431">
        <v>0.28599999999999998</v>
      </c>
      <c r="AH68" s="431">
        <v>0.26</v>
      </c>
      <c r="AI68" s="431">
        <v>0.26500000000000001</v>
      </c>
      <c r="AJ68" s="431">
        <v>0.26</v>
      </c>
      <c r="AK68" s="431">
        <v>0.26</v>
      </c>
      <c r="AL68" s="431">
        <v>0.26</v>
      </c>
      <c r="AM68" s="431">
        <v>0.26</v>
      </c>
      <c r="AN68" s="431">
        <v>0.26</v>
      </c>
      <c r="AO68" s="431">
        <v>0.26</v>
      </c>
      <c r="AP68" s="432">
        <v>0.26</v>
      </c>
      <c r="AQ68" s="432">
        <v>0.26</v>
      </c>
      <c r="AR68" s="432">
        <v>0.26</v>
      </c>
      <c r="AS68" s="432">
        <v>0.26</v>
      </c>
      <c r="AT68" s="431">
        <v>0.26</v>
      </c>
      <c r="AU68" s="431">
        <v>0.26</v>
      </c>
      <c r="AV68" s="431">
        <v>0.28599999999999998</v>
      </c>
      <c r="AW68" s="305">
        <v>6.9247546139121999E-2</v>
      </c>
      <c r="AX68" s="305"/>
      <c r="AY68" s="306">
        <f t="shared" si="5"/>
        <v>0.28599999999999998</v>
      </c>
      <c r="AZ68" s="306">
        <f t="shared" si="6"/>
        <v>0.28599999999999998</v>
      </c>
      <c r="BA68" s="309">
        <f t="shared" si="7"/>
        <v>0.28599999999999998</v>
      </c>
      <c r="BB68" s="308">
        <f t="shared" si="8"/>
        <v>38353</v>
      </c>
      <c r="BC68" s="306">
        <f t="shared" si="2"/>
        <v>0.74394596466884355</v>
      </c>
      <c r="BD68" s="306">
        <f t="shared" si="3"/>
        <v>0.74408463509090206</v>
      </c>
      <c r="BF68" s="308">
        <f t="shared" si="9"/>
        <v>38353</v>
      </c>
      <c r="BG68" s="291">
        <v>56</v>
      </c>
      <c r="BI68" s="493">
        <f t="shared" si="10"/>
        <v>4.8209999999999997</v>
      </c>
      <c r="BJ68" s="494">
        <f t="shared" si="11"/>
        <v>3.1179999999999999</v>
      </c>
    </row>
    <row r="69" spans="2:62" x14ac:dyDescent="0.25">
      <c r="B69" s="296">
        <f t="shared" si="4"/>
        <v>38384</v>
      </c>
      <c r="C69" s="294">
        <v>3.177</v>
      </c>
      <c r="D69" s="294">
        <v>0.2475</v>
      </c>
      <c r="E69" s="294">
        <v>6.9622768439880994E-2</v>
      </c>
      <c r="F69" s="294">
        <v>-0.20250000000000001</v>
      </c>
      <c r="G69" s="294">
        <v>-0.04</v>
      </c>
      <c r="H69" s="294">
        <v>-0.20250000000000001</v>
      </c>
      <c r="I69" s="294">
        <v>0.16250000000000001</v>
      </c>
      <c r="J69" s="294">
        <v>0.30499999999999999</v>
      </c>
      <c r="K69" s="294">
        <v>0.435</v>
      </c>
      <c r="L69" s="294">
        <v>-7.9000000000000001E-2</v>
      </c>
      <c r="M69" s="294">
        <v>-1.4500000000000001E-2</v>
      </c>
      <c r="N69" s="294">
        <v>-0.28000000000000003</v>
      </c>
      <c r="O69" s="294">
        <v>0</v>
      </c>
      <c r="P69" s="294">
        <v>1.2500000000000001E-2</v>
      </c>
      <c r="Q69" s="294">
        <v>-1.15E-2</v>
      </c>
      <c r="R69" s="291">
        <v>-2.8000000000000001E-2</v>
      </c>
      <c r="S69" s="291">
        <v>-5.2499999999999998E-2</v>
      </c>
      <c r="T69" s="291">
        <v>-2.5000000000000001E-3</v>
      </c>
      <c r="U69" s="291">
        <v>-3.1E-2</v>
      </c>
      <c r="V69" s="291">
        <v>-0.1255</v>
      </c>
      <c r="W69" s="291">
        <v>-0.13</v>
      </c>
      <c r="X69" s="291">
        <v>1.44</v>
      </c>
      <c r="Y69" s="291">
        <v>5.0000000000000001E-3</v>
      </c>
      <c r="Z69" s="291">
        <v>-0.19</v>
      </c>
      <c r="AA69" s="291">
        <v>-2.35E-2</v>
      </c>
      <c r="AB69" s="306">
        <v>0.12</v>
      </c>
      <c r="AC69" s="306">
        <v>0.96</v>
      </c>
      <c r="AD69" s="306">
        <v>0.25750000000000001</v>
      </c>
      <c r="AE69" s="431">
        <v>0.248</v>
      </c>
      <c r="AF69" s="431">
        <v>0.248</v>
      </c>
      <c r="AG69" s="431">
        <v>0.27200000000000002</v>
      </c>
      <c r="AH69" s="431">
        <v>0.248</v>
      </c>
      <c r="AI69" s="431">
        <v>0.252</v>
      </c>
      <c r="AJ69" s="431">
        <v>0.248</v>
      </c>
      <c r="AK69" s="431">
        <v>0.248</v>
      </c>
      <c r="AL69" s="431">
        <v>0.248</v>
      </c>
      <c r="AM69" s="431">
        <v>0.248</v>
      </c>
      <c r="AN69" s="431">
        <v>0.248</v>
      </c>
      <c r="AO69" s="431">
        <v>0.248</v>
      </c>
      <c r="AP69" s="432">
        <v>0.248</v>
      </c>
      <c r="AQ69" s="432">
        <v>0.248</v>
      </c>
      <c r="AR69" s="432">
        <v>0.248</v>
      </c>
      <c r="AS69" s="432">
        <v>0.248</v>
      </c>
      <c r="AT69" s="431">
        <v>0.248</v>
      </c>
      <c r="AU69" s="431">
        <v>0.248</v>
      </c>
      <c r="AV69" s="431">
        <v>0.27200000000000002</v>
      </c>
      <c r="AW69" s="305">
        <v>6.9266591291958002E-2</v>
      </c>
      <c r="AX69" s="305"/>
      <c r="AY69" s="306">
        <f t="shared" si="5"/>
        <v>0.27200000000000002</v>
      </c>
      <c r="AZ69" s="306">
        <f t="shared" si="6"/>
        <v>0.27200000000000002</v>
      </c>
      <c r="BA69" s="309">
        <f t="shared" si="7"/>
        <v>0.27200000000000002</v>
      </c>
      <c r="BB69" s="308">
        <f t="shared" si="8"/>
        <v>38384</v>
      </c>
      <c r="BC69" s="306">
        <f t="shared" si="2"/>
        <v>0.739599664068889</v>
      </c>
      <c r="BD69" s="306">
        <f t="shared" si="3"/>
        <v>0.73973756162796667</v>
      </c>
      <c r="BF69" s="308">
        <f t="shared" si="9"/>
        <v>38384</v>
      </c>
      <c r="BG69" s="291">
        <v>57</v>
      </c>
      <c r="BI69" s="493">
        <f t="shared" si="10"/>
        <v>4.617</v>
      </c>
      <c r="BJ69" s="494">
        <f t="shared" si="11"/>
        <v>3.3159999999999998</v>
      </c>
    </row>
    <row r="70" spans="2:62" x14ac:dyDescent="0.25">
      <c r="B70" s="296">
        <f t="shared" si="4"/>
        <v>38412</v>
      </c>
      <c r="C70" s="294">
        <v>3.0129999999999999</v>
      </c>
      <c r="D70" s="294">
        <v>0.24249999999999999</v>
      </c>
      <c r="E70" s="294">
        <v>6.9651265438239005E-2</v>
      </c>
      <c r="F70" s="294">
        <v>-0.20499999999999999</v>
      </c>
      <c r="G70" s="294">
        <v>-2.75E-2</v>
      </c>
      <c r="H70" s="294">
        <v>-0.20499999999999999</v>
      </c>
      <c r="I70" s="294">
        <v>0.16250000000000001</v>
      </c>
      <c r="J70" s="294">
        <v>0.26500000000000001</v>
      </c>
      <c r="K70" s="294">
        <v>0.30249999999999999</v>
      </c>
      <c r="L70" s="294">
        <v>-7.9000000000000001E-2</v>
      </c>
      <c r="M70" s="294">
        <v>-1.4500000000000001E-2</v>
      </c>
      <c r="N70" s="294">
        <v>-0.28000000000000003</v>
      </c>
      <c r="O70" s="294">
        <v>-0.18</v>
      </c>
      <c r="P70" s="294">
        <v>1.2500000000000001E-2</v>
      </c>
      <c r="Q70" s="294">
        <v>-1.15E-2</v>
      </c>
      <c r="R70" s="291">
        <v>-2.8000000000000001E-2</v>
      </c>
      <c r="S70" s="291">
        <v>-5.2499999999999998E-2</v>
      </c>
      <c r="T70" s="291">
        <v>-2.5000000000000001E-3</v>
      </c>
      <c r="U70" s="291">
        <v>-3.1E-2</v>
      </c>
      <c r="V70" s="291">
        <v>-0.108</v>
      </c>
      <c r="W70" s="291">
        <v>-0.13500000000000001</v>
      </c>
      <c r="X70" s="291">
        <v>0.83</v>
      </c>
      <c r="Y70" s="291">
        <v>5.0000000000000001E-3</v>
      </c>
      <c r="Z70" s="291">
        <v>-0.19</v>
      </c>
      <c r="AA70" s="291">
        <v>-2.35E-2</v>
      </c>
      <c r="AB70" s="306">
        <v>0.12</v>
      </c>
      <c r="AC70" s="306">
        <v>0.60250000000000004</v>
      </c>
      <c r="AD70" s="306">
        <v>0.25750000000000001</v>
      </c>
      <c r="AE70" s="431">
        <v>0.24299999999999999</v>
      </c>
      <c r="AF70" s="431">
        <v>0.24299999999999999</v>
      </c>
      <c r="AG70" s="431">
        <v>0.26700000000000002</v>
      </c>
      <c r="AH70" s="431">
        <v>0.24299999999999999</v>
      </c>
      <c r="AI70" s="431">
        <v>0.247</v>
      </c>
      <c r="AJ70" s="431">
        <v>0.24299999999999999</v>
      </c>
      <c r="AK70" s="431">
        <v>0.24299999999999999</v>
      </c>
      <c r="AL70" s="431">
        <v>0.24299999999999999</v>
      </c>
      <c r="AM70" s="431">
        <v>0.24299999999999999</v>
      </c>
      <c r="AN70" s="431">
        <v>0.24299999999999999</v>
      </c>
      <c r="AO70" s="431">
        <v>0.24299999999999999</v>
      </c>
      <c r="AP70" s="432">
        <v>0.24299999999999999</v>
      </c>
      <c r="AQ70" s="432">
        <v>0.24299999999999999</v>
      </c>
      <c r="AR70" s="432">
        <v>0.24299999999999999</v>
      </c>
      <c r="AS70" s="432">
        <v>0.24299999999999999</v>
      </c>
      <c r="AT70" s="431">
        <v>0.24299999999999999</v>
      </c>
      <c r="AU70" s="431">
        <v>0.24299999999999999</v>
      </c>
      <c r="AV70" s="431">
        <v>0.26700000000000002</v>
      </c>
      <c r="AW70" s="305">
        <v>6.9283793365589999E-2</v>
      </c>
      <c r="AX70" s="305"/>
      <c r="AY70" s="306">
        <f t="shared" si="5"/>
        <v>0.26700000000000002</v>
      </c>
      <c r="AZ70" s="306">
        <f t="shared" si="6"/>
        <v>0.26700000000000002</v>
      </c>
      <c r="BA70" s="309">
        <f t="shared" si="7"/>
        <v>0.26700000000000002</v>
      </c>
      <c r="BB70" s="308">
        <f t="shared" si="8"/>
        <v>38412</v>
      </c>
      <c r="BC70" s="306">
        <f t="shared" si="2"/>
        <v>0.73569382697500518</v>
      </c>
      <c r="BD70" s="306">
        <f t="shared" si="3"/>
        <v>0.73583102979000548</v>
      </c>
      <c r="BF70" s="308">
        <f t="shared" si="9"/>
        <v>38412</v>
      </c>
      <c r="BG70" s="291">
        <v>58</v>
      </c>
      <c r="BI70" s="493">
        <f t="shared" si="10"/>
        <v>3.843</v>
      </c>
      <c r="BJ70" s="494">
        <f t="shared" si="11"/>
        <v>3.1819999999999999</v>
      </c>
    </row>
    <row r="71" spans="2:62" x14ac:dyDescent="0.25">
      <c r="B71" s="296">
        <f t="shared" si="4"/>
        <v>38443</v>
      </c>
      <c r="C71" s="294">
        <v>2.8410000000000002</v>
      </c>
      <c r="D71" s="294">
        <v>0.23</v>
      </c>
      <c r="E71" s="294">
        <v>6.9682815686735997E-2</v>
      </c>
      <c r="F71" s="294">
        <v>-0.19500000000000001</v>
      </c>
      <c r="G71" s="294">
        <v>1.4999999999999999E-2</v>
      </c>
      <c r="H71" s="294">
        <v>-0.19500000000000001</v>
      </c>
      <c r="I71" s="294">
        <v>6.7500000000000004E-2</v>
      </c>
      <c r="J71" s="294">
        <v>0.19500000000000001</v>
      </c>
      <c r="K71" s="294">
        <v>0.25</v>
      </c>
      <c r="L71" s="294">
        <v>-7.1999999999999995E-2</v>
      </c>
      <c r="M71" s="294">
        <v>-2.1999999999999999E-2</v>
      </c>
      <c r="N71" s="294">
        <v>-0.36</v>
      </c>
      <c r="O71" s="294">
        <v>-0.28999999999999998</v>
      </c>
      <c r="P71" s="294">
        <v>6.0000000000000001E-3</v>
      </c>
      <c r="Q71" s="294">
        <v>-1.5E-3</v>
      </c>
      <c r="R71" s="291">
        <v>-2.75E-2</v>
      </c>
      <c r="S71" s="291">
        <v>-5.5E-2</v>
      </c>
      <c r="T71" s="291">
        <v>-0.09</v>
      </c>
      <c r="U71" s="291">
        <v>-1.2500000000000001E-2</v>
      </c>
      <c r="V71" s="291">
        <v>-0.10050000000000001</v>
      </c>
      <c r="W71" s="291">
        <v>-0.12</v>
      </c>
      <c r="X71" s="291">
        <v>0.45</v>
      </c>
      <c r="Y71" s="291">
        <v>5.0000000000000001E-3</v>
      </c>
      <c r="Z71" s="291">
        <v>-0.19500000000000001</v>
      </c>
      <c r="AA71" s="291">
        <v>-2.1000000000000001E-2</v>
      </c>
      <c r="AB71" s="306">
        <v>0.28999999999999998</v>
      </c>
      <c r="AC71" s="306">
        <v>0.35499999999999998</v>
      </c>
      <c r="AD71" s="306">
        <v>0.16250000000000001</v>
      </c>
      <c r="AE71" s="431">
        <v>0.23</v>
      </c>
      <c r="AF71" s="431">
        <v>0.23</v>
      </c>
      <c r="AG71" s="431">
        <v>0.22500000000000001</v>
      </c>
      <c r="AH71" s="431">
        <v>0.23</v>
      </c>
      <c r="AI71" s="431">
        <v>0.23499999999999999</v>
      </c>
      <c r="AJ71" s="431">
        <v>0.23</v>
      </c>
      <c r="AK71" s="431">
        <v>0.22500000000000001</v>
      </c>
      <c r="AL71" s="431">
        <v>0.22500000000000001</v>
      </c>
      <c r="AM71" s="431">
        <v>0.23</v>
      </c>
      <c r="AN71" s="431">
        <v>0.23</v>
      </c>
      <c r="AO71" s="431">
        <v>0.23</v>
      </c>
      <c r="AP71" s="432">
        <v>0.23</v>
      </c>
      <c r="AQ71" s="432">
        <v>0.23</v>
      </c>
      <c r="AR71" s="432">
        <v>0.23</v>
      </c>
      <c r="AS71" s="432">
        <v>0.23</v>
      </c>
      <c r="AT71" s="431">
        <v>0.23</v>
      </c>
      <c r="AU71" s="431">
        <v>0.23</v>
      </c>
      <c r="AV71" s="431">
        <v>0.22500000000000001</v>
      </c>
      <c r="AW71" s="305">
        <v>6.9302838518654E-2</v>
      </c>
      <c r="AX71" s="305"/>
      <c r="AY71" s="306">
        <f t="shared" si="5"/>
        <v>0.22500000000000001</v>
      </c>
      <c r="AZ71" s="306">
        <f t="shared" si="6"/>
        <v>0.22500000000000001</v>
      </c>
      <c r="BA71" s="309">
        <f t="shared" si="7"/>
        <v>0.22500000000000001</v>
      </c>
      <c r="BB71" s="308">
        <f t="shared" si="8"/>
        <v>38443</v>
      </c>
      <c r="BC71" s="306">
        <f t="shared" si="2"/>
        <v>0.73139138878513976</v>
      </c>
      <c r="BD71" s="306">
        <f t="shared" si="3"/>
        <v>0.73152782608589451</v>
      </c>
      <c r="BF71" s="308">
        <f t="shared" si="9"/>
        <v>38443</v>
      </c>
      <c r="BG71" s="291">
        <v>59</v>
      </c>
      <c r="BI71" s="493">
        <f t="shared" si="10"/>
        <v>3.2910000000000004</v>
      </c>
      <c r="BJ71" s="494">
        <f t="shared" si="11"/>
        <v>3.0179999999999998</v>
      </c>
    </row>
    <row r="72" spans="2:62" x14ac:dyDescent="0.25">
      <c r="B72" s="296">
        <f t="shared" si="4"/>
        <v>38473</v>
      </c>
      <c r="C72" s="294">
        <v>2.831</v>
      </c>
      <c r="D72" s="294">
        <v>0.23</v>
      </c>
      <c r="E72" s="294">
        <v>6.9713348185594007E-2</v>
      </c>
      <c r="F72" s="294">
        <v>-0.19500000000000001</v>
      </c>
      <c r="G72" s="294">
        <v>1.4999999999999999E-2</v>
      </c>
      <c r="H72" s="294">
        <v>-0.19500000000000001</v>
      </c>
      <c r="I72" s="294">
        <v>7.7499999999999999E-2</v>
      </c>
      <c r="J72" s="294">
        <v>0.1825</v>
      </c>
      <c r="K72" s="294">
        <v>0.20250000000000001</v>
      </c>
      <c r="L72" s="294">
        <v>-7.1999999999999995E-2</v>
      </c>
      <c r="M72" s="294">
        <v>-2.1999999999999999E-2</v>
      </c>
      <c r="N72" s="294">
        <v>-0.36</v>
      </c>
      <c r="O72" s="294">
        <v>-0.28999999999999998</v>
      </c>
      <c r="P72" s="294">
        <v>6.0000000000000001E-3</v>
      </c>
      <c r="Q72" s="294">
        <v>-1.5E-3</v>
      </c>
      <c r="R72" s="291">
        <v>-2.75E-2</v>
      </c>
      <c r="S72" s="291">
        <v>-5.5E-2</v>
      </c>
      <c r="T72" s="291">
        <v>-0.105</v>
      </c>
      <c r="U72" s="291">
        <v>-1.2749999999999999E-2</v>
      </c>
      <c r="V72" s="291">
        <v>-0.10050000000000001</v>
      </c>
      <c r="W72" s="291">
        <v>-0.12</v>
      </c>
      <c r="X72" s="291">
        <v>0.40500000000000003</v>
      </c>
      <c r="Y72" s="291">
        <v>5.0000000000000001E-3</v>
      </c>
      <c r="Z72" s="291">
        <v>-0.19500000000000001</v>
      </c>
      <c r="AA72" s="291">
        <v>-2.1000000000000001E-2</v>
      </c>
      <c r="AB72" s="306">
        <v>0.28999999999999998</v>
      </c>
      <c r="AC72" s="306">
        <v>0.28749999999999998</v>
      </c>
      <c r="AD72" s="306">
        <v>0.17249999999999999</v>
      </c>
      <c r="AE72" s="431">
        <v>0.23</v>
      </c>
      <c r="AF72" s="431">
        <v>0.23</v>
      </c>
      <c r="AG72" s="431">
        <v>0.22500000000000001</v>
      </c>
      <c r="AH72" s="431">
        <v>0.23</v>
      </c>
      <c r="AI72" s="431">
        <v>0.23499999999999999</v>
      </c>
      <c r="AJ72" s="431">
        <v>0.23</v>
      </c>
      <c r="AK72" s="431">
        <v>0.22500000000000001</v>
      </c>
      <c r="AL72" s="431">
        <v>0.22500000000000001</v>
      </c>
      <c r="AM72" s="431">
        <v>0.23</v>
      </c>
      <c r="AN72" s="431">
        <v>0.23</v>
      </c>
      <c r="AO72" s="431">
        <v>0.23</v>
      </c>
      <c r="AP72" s="432">
        <v>0.23</v>
      </c>
      <c r="AQ72" s="432">
        <v>0.23</v>
      </c>
      <c r="AR72" s="432">
        <v>0.23</v>
      </c>
      <c r="AS72" s="432">
        <v>0.23</v>
      </c>
      <c r="AT72" s="431">
        <v>0.23</v>
      </c>
      <c r="AU72" s="431">
        <v>0.23</v>
      </c>
      <c r="AV72" s="431">
        <v>0.22500000000000001</v>
      </c>
      <c r="AW72" s="305">
        <v>6.9321269312055997E-2</v>
      </c>
      <c r="AX72" s="305"/>
      <c r="AY72" s="306">
        <f t="shared" si="5"/>
        <v>0.22500000000000001</v>
      </c>
      <c r="AZ72" s="306">
        <f t="shared" si="6"/>
        <v>0.22500000000000001</v>
      </c>
      <c r="BA72" s="309">
        <f t="shared" si="7"/>
        <v>0.22500000000000001</v>
      </c>
      <c r="BB72" s="308">
        <f t="shared" si="8"/>
        <v>38473</v>
      </c>
      <c r="BC72" s="306">
        <f t="shared" si="2"/>
        <v>0.72724953424591754</v>
      </c>
      <c r="BD72" s="306">
        <f t="shared" si="3"/>
        <v>0.72738523438000691</v>
      </c>
      <c r="BF72" s="308">
        <f t="shared" si="9"/>
        <v>38473</v>
      </c>
      <c r="BG72" s="291">
        <v>60</v>
      </c>
      <c r="BI72" s="493">
        <f t="shared" si="10"/>
        <v>3.2359999999999998</v>
      </c>
      <c r="BJ72" s="494">
        <f t="shared" si="11"/>
        <v>2.8460000000000001</v>
      </c>
    </row>
    <row r="73" spans="2:62" x14ac:dyDescent="0.25">
      <c r="B73" s="296">
        <f t="shared" si="4"/>
        <v>38504</v>
      </c>
      <c r="C73" s="294">
        <v>2.8530000000000002</v>
      </c>
      <c r="D73" s="294">
        <v>0.23</v>
      </c>
      <c r="E73" s="294">
        <v>6.9744898434738994E-2</v>
      </c>
      <c r="F73" s="294">
        <v>-0.19500000000000001</v>
      </c>
      <c r="G73" s="294">
        <v>0.02</v>
      </c>
      <c r="H73" s="294">
        <v>-0.19500000000000001</v>
      </c>
      <c r="I73" s="294">
        <v>7.2499999999999995E-2</v>
      </c>
      <c r="J73" s="294">
        <v>0.1825</v>
      </c>
      <c r="K73" s="294">
        <v>0.20250000000000001</v>
      </c>
      <c r="L73" s="294">
        <v>-8.7999999999999995E-2</v>
      </c>
      <c r="M73" s="294">
        <v>-2.1999999999999999E-2</v>
      </c>
      <c r="N73" s="294">
        <v>-0.36</v>
      </c>
      <c r="O73" s="294">
        <v>-0.28999999999999998</v>
      </c>
      <c r="P73" s="294">
        <v>6.0000000000000001E-3</v>
      </c>
      <c r="Q73" s="294">
        <v>-1.5E-3</v>
      </c>
      <c r="R73" s="291">
        <v>-2.75E-2</v>
      </c>
      <c r="S73" s="291">
        <v>-5.5E-2</v>
      </c>
      <c r="T73" s="291">
        <v>-0.115</v>
      </c>
      <c r="U73" s="291">
        <v>-1.2749999999999999E-2</v>
      </c>
      <c r="V73" s="291">
        <v>-9.0499999999999997E-2</v>
      </c>
      <c r="W73" s="291">
        <v>-0.12</v>
      </c>
      <c r="X73" s="291">
        <v>0.39500000000000002</v>
      </c>
      <c r="Y73" s="291">
        <v>5.0000000000000001E-3</v>
      </c>
      <c r="Z73" s="291">
        <v>-0.19500000000000001</v>
      </c>
      <c r="AA73" s="291">
        <v>-2.1000000000000001E-2</v>
      </c>
      <c r="AB73" s="306">
        <v>0.28999999999999998</v>
      </c>
      <c r="AC73" s="306">
        <v>0.28749999999999998</v>
      </c>
      <c r="AD73" s="306">
        <v>0.16750000000000001</v>
      </c>
      <c r="AE73" s="431">
        <v>0.23</v>
      </c>
      <c r="AF73" s="431">
        <v>0.23</v>
      </c>
      <c r="AG73" s="431">
        <v>0.22500000000000001</v>
      </c>
      <c r="AH73" s="431">
        <v>0.23</v>
      </c>
      <c r="AI73" s="431">
        <v>0.23499999999999999</v>
      </c>
      <c r="AJ73" s="431">
        <v>0.23</v>
      </c>
      <c r="AK73" s="431">
        <v>0.22500000000000001</v>
      </c>
      <c r="AL73" s="431">
        <v>0.22500000000000001</v>
      </c>
      <c r="AM73" s="431">
        <v>0.23</v>
      </c>
      <c r="AN73" s="431">
        <v>0.23</v>
      </c>
      <c r="AO73" s="431">
        <v>0.23</v>
      </c>
      <c r="AP73" s="432">
        <v>0.23</v>
      </c>
      <c r="AQ73" s="432">
        <v>0.23</v>
      </c>
      <c r="AR73" s="432">
        <v>0.23</v>
      </c>
      <c r="AS73" s="432">
        <v>0.23</v>
      </c>
      <c r="AT73" s="431">
        <v>0.23</v>
      </c>
      <c r="AU73" s="431">
        <v>0.23</v>
      </c>
      <c r="AV73" s="431">
        <v>0.22500000000000001</v>
      </c>
      <c r="AW73" s="305">
        <v>6.9340314465356004E-2</v>
      </c>
      <c r="AX73" s="305"/>
      <c r="AY73" s="306">
        <f t="shared" si="5"/>
        <v>0.22500000000000001</v>
      </c>
      <c r="AZ73" s="306">
        <f t="shared" si="6"/>
        <v>0.22500000000000001</v>
      </c>
      <c r="BA73" s="309">
        <f t="shared" si="7"/>
        <v>0.22500000000000001</v>
      </c>
      <c r="BB73" s="308">
        <f t="shared" si="8"/>
        <v>38504</v>
      </c>
      <c r="BC73" s="306">
        <f t="shared" si="2"/>
        <v>0.72299203533474155</v>
      </c>
      <c r="BD73" s="306">
        <f t="shared" si="3"/>
        <v>0.72312697748919341</v>
      </c>
      <c r="BF73" s="308">
        <f t="shared" si="9"/>
        <v>38504</v>
      </c>
      <c r="BG73" s="291">
        <v>61</v>
      </c>
      <c r="BI73" s="493">
        <f t="shared" si="10"/>
        <v>3.2480000000000002</v>
      </c>
      <c r="BJ73" s="494">
        <f t="shared" si="11"/>
        <v>2.8359999999999999</v>
      </c>
    </row>
    <row r="74" spans="2:62" x14ac:dyDescent="0.25">
      <c r="B74" s="296">
        <f t="shared" si="4"/>
        <v>38534</v>
      </c>
      <c r="C74" s="294">
        <v>2.875</v>
      </c>
      <c r="D74" s="294">
        <v>0.23</v>
      </c>
      <c r="E74" s="294">
        <v>6.9775430934224003E-2</v>
      </c>
      <c r="F74" s="294">
        <v>-0.19500000000000001</v>
      </c>
      <c r="G74" s="294">
        <v>2.2499999999999999E-2</v>
      </c>
      <c r="H74" s="294">
        <v>-0.19500000000000001</v>
      </c>
      <c r="I74" s="294">
        <v>6.25E-2</v>
      </c>
      <c r="J74" s="294">
        <v>0.1825</v>
      </c>
      <c r="K74" s="294">
        <v>0.215</v>
      </c>
      <c r="L74" s="294">
        <v>-8.1000000000000003E-2</v>
      </c>
      <c r="M74" s="294">
        <v>-2.1999999999999999E-2</v>
      </c>
      <c r="N74" s="294">
        <v>-0.36</v>
      </c>
      <c r="O74" s="294">
        <v>-0.28999999999999998</v>
      </c>
      <c r="P74" s="294">
        <v>6.0000000000000001E-3</v>
      </c>
      <c r="Q74" s="294">
        <v>-1.5E-3</v>
      </c>
      <c r="R74" s="291">
        <v>-2.75E-2</v>
      </c>
      <c r="S74" s="291">
        <v>-5.5E-2</v>
      </c>
      <c r="T74" s="291">
        <v>-0.115</v>
      </c>
      <c r="U74" s="291">
        <v>-1.2749999999999999E-2</v>
      </c>
      <c r="V74" s="291">
        <v>-8.5500000000000007E-2</v>
      </c>
      <c r="W74" s="291">
        <v>-0.12</v>
      </c>
      <c r="X74" s="291">
        <v>0.43</v>
      </c>
      <c r="Y74" s="291">
        <v>5.0000000000000001E-3</v>
      </c>
      <c r="Z74" s="291">
        <v>-0.19500000000000001</v>
      </c>
      <c r="AA74" s="291">
        <v>-2.1000000000000001E-2</v>
      </c>
      <c r="AB74" s="306">
        <v>0.28999999999999998</v>
      </c>
      <c r="AC74" s="306">
        <v>0.3</v>
      </c>
      <c r="AD74" s="306">
        <v>0.1575</v>
      </c>
      <c r="AE74" s="431">
        <v>0.23</v>
      </c>
      <c r="AF74" s="431">
        <v>0.23</v>
      </c>
      <c r="AG74" s="431">
        <v>0.22500000000000001</v>
      </c>
      <c r="AH74" s="431">
        <v>0.23</v>
      </c>
      <c r="AI74" s="431">
        <v>0.23499999999999999</v>
      </c>
      <c r="AJ74" s="431">
        <v>0.23</v>
      </c>
      <c r="AK74" s="431">
        <v>0.22500000000000001</v>
      </c>
      <c r="AL74" s="431">
        <v>0.22500000000000001</v>
      </c>
      <c r="AM74" s="431">
        <v>0.23</v>
      </c>
      <c r="AN74" s="431">
        <v>0.23</v>
      </c>
      <c r="AO74" s="431">
        <v>0.23</v>
      </c>
      <c r="AP74" s="432">
        <v>0.23</v>
      </c>
      <c r="AQ74" s="432">
        <v>0.23</v>
      </c>
      <c r="AR74" s="432">
        <v>0.23</v>
      </c>
      <c r="AS74" s="432">
        <v>0.23</v>
      </c>
      <c r="AT74" s="431">
        <v>0.23</v>
      </c>
      <c r="AU74" s="431">
        <v>0.23</v>
      </c>
      <c r="AV74" s="431">
        <v>0.22500000000000001</v>
      </c>
      <c r="AW74" s="305">
        <v>6.9358745258986998E-2</v>
      </c>
      <c r="AX74" s="305"/>
      <c r="AY74" s="306">
        <f t="shared" si="5"/>
        <v>0.22500000000000001</v>
      </c>
      <c r="AZ74" s="306">
        <f t="shared" si="6"/>
        <v>0.22500000000000001</v>
      </c>
      <c r="BA74" s="309">
        <f t="shared" si="7"/>
        <v>0.22500000000000001</v>
      </c>
      <c r="BB74" s="308">
        <f t="shared" si="8"/>
        <v>38534</v>
      </c>
      <c r="BC74" s="306">
        <f t="shared" si="2"/>
        <v>0.71889346985915237</v>
      </c>
      <c r="BD74" s="306">
        <f t="shared" si="3"/>
        <v>0.7190276821075382</v>
      </c>
      <c r="BF74" s="308">
        <f t="shared" si="9"/>
        <v>38534</v>
      </c>
      <c r="BG74" s="291">
        <v>62</v>
      </c>
      <c r="BI74" s="493">
        <f t="shared" si="10"/>
        <v>3.3050000000000002</v>
      </c>
      <c r="BJ74" s="494">
        <f t="shared" si="11"/>
        <v>2.8580000000000001</v>
      </c>
    </row>
    <row r="75" spans="2:62" x14ac:dyDescent="0.25">
      <c r="B75" s="296">
        <f t="shared" si="4"/>
        <v>38565</v>
      </c>
      <c r="C75" s="294">
        <v>2.8959999999999999</v>
      </c>
      <c r="D75" s="294">
        <v>0.23</v>
      </c>
      <c r="E75" s="294">
        <v>6.9806981184016001E-2</v>
      </c>
      <c r="F75" s="294">
        <v>-0.19500000000000001</v>
      </c>
      <c r="G75" s="294">
        <v>2.5000000000000001E-2</v>
      </c>
      <c r="H75" s="294">
        <v>-0.19500000000000001</v>
      </c>
      <c r="I75" s="294">
        <v>0.06</v>
      </c>
      <c r="J75" s="294">
        <v>0.1825</v>
      </c>
      <c r="K75" s="294">
        <v>0.215</v>
      </c>
      <c r="L75" s="294">
        <v>-7.1999999999999995E-2</v>
      </c>
      <c r="M75" s="294">
        <v>-2.1999999999999999E-2</v>
      </c>
      <c r="N75" s="294">
        <v>-0.36</v>
      </c>
      <c r="O75" s="294">
        <v>-0.28999999999999998</v>
      </c>
      <c r="P75" s="294">
        <v>6.0000000000000001E-3</v>
      </c>
      <c r="Q75" s="294">
        <v>-1.5E-3</v>
      </c>
      <c r="R75" s="291">
        <v>-2.75E-2</v>
      </c>
      <c r="S75" s="291">
        <v>-5.5E-2</v>
      </c>
      <c r="T75" s="291">
        <v>-0.115</v>
      </c>
      <c r="U75" s="291">
        <v>-1.2749999999999999E-2</v>
      </c>
      <c r="V75" s="291">
        <v>-8.5500000000000007E-2</v>
      </c>
      <c r="W75" s="291">
        <v>-0.12</v>
      </c>
      <c r="X75" s="291">
        <v>0.495</v>
      </c>
      <c r="Y75" s="291">
        <v>5.0000000000000001E-3</v>
      </c>
      <c r="Z75" s="291">
        <v>-0.19500000000000001</v>
      </c>
      <c r="AA75" s="291">
        <v>-2.1000000000000001E-2</v>
      </c>
      <c r="AB75" s="306">
        <v>0.28999999999999998</v>
      </c>
      <c r="AC75" s="306">
        <v>0.3</v>
      </c>
      <c r="AD75" s="306">
        <v>0.155</v>
      </c>
      <c r="AE75" s="431">
        <v>0.23</v>
      </c>
      <c r="AF75" s="431">
        <v>0.23</v>
      </c>
      <c r="AG75" s="431">
        <v>0.22500000000000001</v>
      </c>
      <c r="AH75" s="431">
        <v>0.23</v>
      </c>
      <c r="AI75" s="431">
        <v>0.23499999999999999</v>
      </c>
      <c r="AJ75" s="431">
        <v>0.23</v>
      </c>
      <c r="AK75" s="431">
        <v>0.22500000000000001</v>
      </c>
      <c r="AL75" s="431">
        <v>0.22500000000000001</v>
      </c>
      <c r="AM75" s="431">
        <v>0.23</v>
      </c>
      <c r="AN75" s="431">
        <v>0.23</v>
      </c>
      <c r="AO75" s="431">
        <v>0.23</v>
      </c>
      <c r="AP75" s="432">
        <v>0.23</v>
      </c>
      <c r="AQ75" s="432">
        <v>0.23</v>
      </c>
      <c r="AR75" s="432">
        <v>0.23</v>
      </c>
      <c r="AS75" s="432">
        <v>0.23</v>
      </c>
      <c r="AT75" s="431">
        <v>0.23</v>
      </c>
      <c r="AU75" s="431">
        <v>0.23</v>
      </c>
      <c r="AV75" s="431">
        <v>0.22500000000000001</v>
      </c>
      <c r="AW75" s="305">
        <v>6.9377790412522997E-2</v>
      </c>
      <c r="AX75" s="305"/>
      <c r="AY75" s="306">
        <f t="shared" si="5"/>
        <v>0.22500000000000001</v>
      </c>
      <c r="AZ75" s="306">
        <f t="shared" si="6"/>
        <v>0.22500000000000001</v>
      </c>
      <c r="BA75" s="309">
        <f t="shared" si="7"/>
        <v>0.22500000000000001</v>
      </c>
      <c r="BB75" s="308">
        <f t="shared" si="8"/>
        <v>38565</v>
      </c>
      <c r="BC75" s="306">
        <f t="shared" si="2"/>
        <v>0.71468049652652954</v>
      </c>
      <c r="BD75" s="306">
        <f t="shared" si="3"/>
        <v>0.71481395826601468</v>
      </c>
      <c r="BF75" s="308">
        <f t="shared" si="9"/>
        <v>38565</v>
      </c>
      <c r="BG75" s="291">
        <v>63</v>
      </c>
      <c r="BI75" s="493">
        <f t="shared" si="10"/>
        <v>3.391</v>
      </c>
      <c r="BJ75" s="494">
        <f t="shared" si="11"/>
        <v>2.88</v>
      </c>
    </row>
    <row r="76" spans="2:62" x14ac:dyDescent="0.25">
      <c r="B76" s="296">
        <f t="shared" si="4"/>
        <v>38596</v>
      </c>
      <c r="C76" s="294">
        <v>2.8769999999999998</v>
      </c>
      <c r="D76" s="294">
        <v>0.23</v>
      </c>
      <c r="E76" s="294">
        <v>6.9837238133672E-2</v>
      </c>
      <c r="F76" s="294">
        <v>-0.19500000000000001</v>
      </c>
      <c r="G76" s="294">
        <v>1.7500000000000002E-2</v>
      </c>
      <c r="H76" s="294">
        <v>-0.19500000000000001</v>
      </c>
      <c r="I76" s="294">
        <v>5.7500000000000002E-2</v>
      </c>
      <c r="J76" s="294">
        <v>0.1825</v>
      </c>
      <c r="K76" s="294">
        <v>0.19500000000000001</v>
      </c>
      <c r="L76" s="294">
        <v>-5.1999999999999998E-2</v>
      </c>
      <c r="M76" s="294">
        <v>-2.1999999999999999E-2</v>
      </c>
      <c r="N76" s="294">
        <v>-0.36</v>
      </c>
      <c r="O76" s="294">
        <v>-0.28999999999999998</v>
      </c>
      <c r="P76" s="294">
        <v>6.0000000000000001E-3</v>
      </c>
      <c r="Q76" s="294">
        <v>-1.5E-3</v>
      </c>
      <c r="R76" s="291">
        <v>-2.75E-2</v>
      </c>
      <c r="S76" s="291">
        <v>-5.5E-2</v>
      </c>
      <c r="T76" s="291">
        <v>-0.105</v>
      </c>
      <c r="U76" s="291">
        <v>-1.2749999999999999E-2</v>
      </c>
      <c r="V76" s="291">
        <v>-0.10050000000000001</v>
      </c>
      <c r="W76" s="291">
        <v>-0.12</v>
      </c>
      <c r="X76" s="291">
        <v>0.39500000000000002</v>
      </c>
      <c r="Y76" s="291">
        <v>5.0000000000000001E-3</v>
      </c>
      <c r="Z76" s="291">
        <v>-0.19500000000000001</v>
      </c>
      <c r="AA76" s="291">
        <v>-2.1000000000000001E-2</v>
      </c>
      <c r="AB76" s="306">
        <v>0.28999999999999998</v>
      </c>
      <c r="AC76" s="306">
        <v>0.28999999999999998</v>
      </c>
      <c r="AD76" s="306">
        <v>0.1525</v>
      </c>
      <c r="AE76" s="431">
        <v>0.23</v>
      </c>
      <c r="AF76" s="431">
        <v>0.23</v>
      </c>
      <c r="AG76" s="431">
        <v>0.22500000000000001</v>
      </c>
      <c r="AH76" s="431">
        <v>0.23</v>
      </c>
      <c r="AI76" s="431">
        <v>0.23499999999999999</v>
      </c>
      <c r="AJ76" s="431">
        <v>0.23</v>
      </c>
      <c r="AK76" s="431">
        <v>0.22500000000000001</v>
      </c>
      <c r="AL76" s="431">
        <v>0.22500000000000001</v>
      </c>
      <c r="AM76" s="431">
        <v>0.23</v>
      </c>
      <c r="AN76" s="431">
        <v>0.23</v>
      </c>
      <c r="AO76" s="431">
        <v>0.23</v>
      </c>
      <c r="AP76" s="432">
        <v>0.23</v>
      </c>
      <c r="AQ76" s="432">
        <v>0.23</v>
      </c>
      <c r="AR76" s="432">
        <v>0.23</v>
      </c>
      <c r="AS76" s="432">
        <v>0.23</v>
      </c>
      <c r="AT76" s="431">
        <v>0.23</v>
      </c>
      <c r="AU76" s="431">
        <v>0.23</v>
      </c>
      <c r="AV76" s="431">
        <v>0.22500000000000001</v>
      </c>
      <c r="AW76" s="305">
        <v>6.9398003258867996E-2</v>
      </c>
      <c r="AX76" s="305"/>
      <c r="AY76" s="306">
        <f t="shared" si="5"/>
        <v>0.22500000000000001</v>
      </c>
      <c r="AZ76" s="306">
        <f t="shared" si="6"/>
        <v>0.22500000000000001</v>
      </c>
      <c r="BA76" s="309">
        <f t="shared" si="7"/>
        <v>0.22500000000000001</v>
      </c>
      <c r="BB76" s="308">
        <f t="shared" si="8"/>
        <v>38596</v>
      </c>
      <c r="BC76" s="306">
        <f t="shared" si="2"/>
        <v>0.7104859761311425</v>
      </c>
      <c r="BD76" s="306">
        <f t="shared" si="3"/>
        <v>0.71061869257922616</v>
      </c>
      <c r="BF76" s="308">
        <f t="shared" si="9"/>
        <v>38596</v>
      </c>
      <c r="BG76" s="291">
        <v>64</v>
      </c>
      <c r="BI76" s="493">
        <f t="shared" si="10"/>
        <v>3.2719999999999998</v>
      </c>
      <c r="BJ76" s="494">
        <f t="shared" si="11"/>
        <v>2.9009999999999998</v>
      </c>
    </row>
    <row r="77" spans="2:62" x14ac:dyDescent="0.25">
      <c r="B77" s="296">
        <f t="shared" si="4"/>
        <v>38626</v>
      </c>
      <c r="C77" s="294">
        <v>2.89</v>
      </c>
      <c r="D77" s="294">
        <v>0.23</v>
      </c>
      <c r="E77" s="294">
        <v>6.9848371126985997E-2</v>
      </c>
      <c r="F77" s="294">
        <v>-0.19500000000000001</v>
      </c>
      <c r="G77" s="294">
        <v>7.4999999999999997E-3</v>
      </c>
      <c r="H77" s="294">
        <v>-0.19500000000000001</v>
      </c>
      <c r="I77" s="294">
        <v>7.2499999999999995E-2</v>
      </c>
      <c r="J77" s="294">
        <v>0.1875</v>
      </c>
      <c r="K77" s="294">
        <v>0.215</v>
      </c>
      <c r="L77" s="294">
        <v>-6.2E-2</v>
      </c>
      <c r="M77" s="294">
        <v>-2.1999999999999999E-2</v>
      </c>
      <c r="N77" s="294">
        <v>-0.36</v>
      </c>
      <c r="O77" s="294">
        <v>-0.28999999999999998</v>
      </c>
      <c r="P77" s="294">
        <v>6.0000000000000001E-3</v>
      </c>
      <c r="Q77" s="294">
        <v>-1.5E-3</v>
      </c>
      <c r="R77" s="291">
        <v>-2.75E-2</v>
      </c>
      <c r="S77" s="291">
        <v>-5.5E-2</v>
      </c>
      <c r="T77" s="291">
        <v>-0.09</v>
      </c>
      <c r="U77" s="291">
        <v>-1.2749999999999999E-2</v>
      </c>
      <c r="V77" s="291">
        <v>-0.10299999999999999</v>
      </c>
      <c r="W77" s="291">
        <v>-0.12</v>
      </c>
      <c r="X77" s="291">
        <v>0.46100000000000002</v>
      </c>
      <c r="Y77" s="291">
        <v>5.0000000000000001E-3</v>
      </c>
      <c r="Z77" s="291">
        <v>-0.19500000000000001</v>
      </c>
      <c r="AA77" s="291">
        <v>-2.1000000000000001E-2</v>
      </c>
      <c r="AB77" s="306">
        <v>0.28999999999999998</v>
      </c>
      <c r="AC77" s="306">
        <v>0.36249999999999999</v>
      </c>
      <c r="AD77" s="306">
        <v>0.16750000000000001</v>
      </c>
      <c r="AE77" s="431">
        <v>0.23</v>
      </c>
      <c r="AF77" s="431">
        <v>0.23</v>
      </c>
      <c r="AG77" s="431">
        <v>0.22500000000000001</v>
      </c>
      <c r="AH77" s="431">
        <v>0.23</v>
      </c>
      <c r="AI77" s="431">
        <v>0.23499999999999999</v>
      </c>
      <c r="AJ77" s="431">
        <v>0.23</v>
      </c>
      <c r="AK77" s="431">
        <v>0.22500000000000001</v>
      </c>
      <c r="AL77" s="431">
        <v>0.22500000000000001</v>
      </c>
      <c r="AM77" s="431">
        <v>0.23</v>
      </c>
      <c r="AN77" s="431">
        <v>0.23</v>
      </c>
      <c r="AO77" s="431">
        <v>0.23</v>
      </c>
      <c r="AP77" s="432">
        <v>0.23</v>
      </c>
      <c r="AQ77" s="432">
        <v>0.23</v>
      </c>
      <c r="AR77" s="432">
        <v>0.23</v>
      </c>
      <c r="AS77" s="432">
        <v>0.23</v>
      </c>
      <c r="AT77" s="431">
        <v>0.23</v>
      </c>
      <c r="AU77" s="431">
        <v>0.23</v>
      </c>
      <c r="AV77" s="431">
        <v>0.22500000000000001</v>
      </c>
      <c r="AW77" s="305">
        <v>6.9421438450125994E-2</v>
      </c>
      <c r="AX77" s="305"/>
      <c r="AY77" s="306">
        <f t="shared" si="5"/>
        <v>0.22500000000000001</v>
      </c>
      <c r="AZ77" s="306">
        <f t="shared" si="6"/>
        <v>0.22500000000000001</v>
      </c>
      <c r="BA77" s="309">
        <f t="shared" si="7"/>
        <v>0.22500000000000001</v>
      </c>
      <c r="BB77" s="308">
        <f t="shared" si="8"/>
        <v>38626</v>
      </c>
      <c r="BC77" s="306">
        <f t="shared" si="2"/>
        <v>0.70643450369197613</v>
      </c>
      <c r="BD77" s="306">
        <f t="shared" si="3"/>
        <v>0.70656650715250113</v>
      </c>
      <c r="BF77" s="308">
        <f t="shared" si="9"/>
        <v>38626</v>
      </c>
      <c r="BG77" s="291">
        <v>65</v>
      </c>
      <c r="BI77" s="493">
        <f t="shared" si="10"/>
        <v>3.351</v>
      </c>
      <c r="BJ77" s="494">
        <f t="shared" si="11"/>
        <v>2.8819999999999997</v>
      </c>
    </row>
    <row r="78" spans="2:62" x14ac:dyDescent="0.25">
      <c r="B78" s="296">
        <f t="shared" si="4"/>
        <v>38657</v>
      </c>
      <c r="C78" s="294">
        <v>2.972</v>
      </c>
      <c r="D78" s="294">
        <v>0.23</v>
      </c>
      <c r="E78" s="294">
        <v>6.9859875220119994E-2</v>
      </c>
      <c r="F78" s="294">
        <v>-0.19</v>
      </c>
      <c r="G78" s="294">
        <v>-3.2500000000000001E-2</v>
      </c>
      <c r="H78" s="294">
        <v>-0.19</v>
      </c>
      <c r="I78" s="294">
        <v>0.13</v>
      </c>
      <c r="J78" s="294">
        <v>0.27</v>
      </c>
      <c r="K78" s="294">
        <v>0.28749999999999998</v>
      </c>
      <c r="L78" s="294">
        <v>-7.6999999999999999E-2</v>
      </c>
      <c r="M78" s="294">
        <v>-1.4500000000000001E-2</v>
      </c>
      <c r="N78" s="294">
        <v>-0.28000000000000003</v>
      </c>
      <c r="O78" s="294">
        <v>0</v>
      </c>
      <c r="P78" s="294">
        <v>1.35E-2</v>
      </c>
      <c r="Q78" s="294">
        <v>-9.4999999999999998E-3</v>
      </c>
      <c r="R78" s="291">
        <v>-3.0499999999999999E-2</v>
      </c>
      <c r="S78" s="291">
        <v>-0.06</v>
      </c>
      <c r="T78" s="291">
        <v>-2.5000000000000001E-2</v>
      </c>
      <c r="U78" s="291">
        <v>-3.1E-2</v>
      </c>
      <c r="V78" s="291">
        <v>-0.10050000000000001</v>
      </c>
      <c r="W78" s="291">
        <v>-0.13250000000000001</v>
      </c>
      <c r="X78" s="291">
        <v>0.76749999999999996</v>
      </c>
      <c r="Y78" s="291">
        <v>5.0000000000000001E-3</v>
      </c>
      <c r="Z78" s="291">
        <v>-0.19</v>
      </c>
      <c r="AA78" s="291">
        <v>-2.2499999999999999E-2</v>
      </c>
      <c r="AB78" s="306">
        <v>0.12</v>
      </c>
      <c r="AC78" s="306">
        <v>0.46500000000000002</v>
      </c>
      <c r="AD78" s="306">
        <v>0.22500000000000001</v>
      </c>
      <c r="AE78" s="431">
        <v>0.23</v>
      </c>
      <c r="AF78" s="431">
        <v>0.23</v>
      </c>
      <c r="AG78" s="431">
        <v>0.253</v>
      </c>
      <c r="AH78" s="431">
        <v>0.23</v>
      </c>
      <c r="AI78" s="431">
        <v>0.23499999999999999</v>
      </c>
      <c r="AJ78" s="431">
        <v>0.23</v>
      </c>
      <c r="AK78" s="431">
        <v>0.23</v>
      </c>
      <c r="AL78" s="431">
        <v>0.23</v>
      </c>
      <c r="AM78" s="431">
        <v>0.23</v>
      </c>
      <c r="AN78" s="431">
        <v>0.23</v>
      </c>
      <c r="AO78" s="431">
        <v>0.23</v>
      </c>
      <c r="AP78" s="432">
        <v>0.23</v>
      </c>
      <c r="AQ78" s="432">
        <v>0.23</v>
      </c>
      <c r="AR78" s="432">
        <v>0.23</v>
      </c>
      <c r="AS78" s="432">
        <v>0.23</v>
      </c>
      <c r="AT78" s="431">
        <v>0.23</v>
      </c>
      <c r="AU78" s="431">
        <v>0.23</v>
      </c>
      <c r="AV78" s="431">
        <v>0.253</v>
      </c>
      <c r="AW78" s="305">
        <v>6.9445654814615995E-2</v>
      </c>
      <c r="AX78" s="305"/>
      <c r="AY78" s="306">
        <f t="shared" si="5"/>
        <v>0.253</v>
      </c>
      <c r="AZ78" s="306">
        <f t="shared" si="6"/>
        <v>0.253</v>
      </c>
      <c r="BA78" s="309">
        <f t="shared" si="7"/>
        <v>0.253</v>
      </c>
      <c r="BB78" s="308">
        <f t="shared" si="8"/>
        <v>38657</v>
      </c>
      <c r="BC78" s="306">
        <f t="shared" si="2"/>
        <v>0.70226950773676244</v>
      </c>
      <c r="BD78" s="306">
        <f t="shared" si="3"/>
        <v>0.70240077793861666</v>
      </c>
      <c r="BF78" s="308">
        <f t="shared" si="9"/>
        <v>38657</v>
      </c>
      <c r="BG78" s="291">
        <v>66</v>
      </c>
      <c r="BI78" s="493">
        <f t="shared" si="10"/>
        <v>3.7395</v>
      </c>
      <c r="BJ78" s="494">
        <f t="shared" si="11"/>
        <v>2.895</v>
      </c>
    </row>
    <row r="79" spans="2:62" x14ac:dyDescent="0.25">
      <c r="B79" s="296">
        <f t="shared" si="4"/>
        <v>38687</v>
      </c>
      <c r="C79" s="294">
        <v>3.052</v>
      </c>
      <c r="D79" s="294">
        <v>0.23250000000000001</v>
      </c>
      <c r="E79" s="294">
        <v>6.9871008213517993E-2</v>
      </c>
      <c r="F79" s="294">
        <v>-0.19750000000000001</v>
      </c>
      <c r="G79" s="294">
        <v>-5.5E-2</v>
      </c>
      <c r="H79" s="294">
        <v>-0.19750000000000001</v>
      </c>
      <c r="I79" s="294">
        <v>0.17</v>
      </c>
      <c r="J79" s="294">
        <v>0.30499999999999999</v>
      </c>
      <c r="K79" s="294">
        <v>0.33750000000000002</v>
      </c>
      <c r="L79" s="294">
        <v>-7.6999999999999999E-2</v>
      </c>
      <c r="M79" s="294">
        <v>-1.4500000000000001E-2</v>
      </c>
      <c r="N79" s="294">
        <v>-0.28000000000000003</v>
      </c>
      <c r="O79" s="294">
        <v>0.06</v>
      </c>
      <c r="P79" s="294">
        <v>1.35E-2</v>
      </c>
      <c r="Q79" s="294">
        <v>-9.4999999999999998E-3</v>
      </c>
      <c r="R79" s="291">
        <v>-3.0499999999999999E-2</v>
      </c>
      <c r="S79" s="291">
        <v>-0.06</v>
      </c>
      <c r="T79" s="291">
        <v>-1.7500000000000002E-2</v>
      </c>
      <c r="U79" s="291">
        <v>-3.1E-2</v>
      </c>
      <c r="V79" s="291">
        <v>-0.13550000000000001</v>
      </c>
      <c r="W79" s="291">
        <v>-0.1275</v>
      </c>
      <c r="X79" s="291">
        <v>1.19</v>
      </c>
      <c r="Y79" s="291">
        <v>5.0000000000000001E-3</v>
      </c>
      <c r="Z79" s="291">
        <v>-0.19</v>
      </c>
      <c r="AA79" s="291">
        <v>-2.2499999999999999E-2</v>
      </c>
      <c r="AB79" s="306">
        <v>0.12</v>
      </c>
      <c r="AC79" s="306">
        <v>0.8</v>
      </c>
      <c r="AD79" s="306">
        <v>0.26500000000000001</v>
      </c>
      <c r="AE79" s="431">
        <v>0.23300000000000001</v>
      </c>
      <c r="AF79" s="431">
        <v>0.23300000000000001</v>
      </c>
      <c r="AG79" s="431">
        <v>0.25600000000000001</v>
      </c>
      <c r="AH79" s="431">
        <v>0.23300000000000001</v>
      </c>
      <c r="AI79" s="431">
        <v>0.23699999999999999</v>
      </c>
      <c r="AJ79" s="431">
        <v>0.23300000000000001</v>
      </c>
      <c r="AK79" s="431">
        <v>0.23300000000000001</v>
      </c>
      <c r="AL79" s="431">
        <v>0.23300000000000001</v>
      </c>
      <c r="AM79" s="431">
        <v>0.23300000000000001</v>
      </c>
      <c r="AN79" s="431">
        <v>0.23300000000000001</v>
      </c>
      <c r="AO79" s="431">
        <v>0.23300000000000001</v>
      </c>
      <c r="AP79" s="432">
        <v>0.23300000000000001</v>
      </c>
      <c r="AQ79" s="432">
        <v>0.23300000000000001</v>
      </c>
      <c r="AR79" s="432">
        <v>0.23300000000000001</v>
      </c>
      <c r="AS79" s="432">
        <v>0.23300000000000001</v>
      </c>
      <c r="AT79" s="431">
        <v>0.23300000000000001</v>
      </c>
      <c r="AU79" s="431">
        <v>0.23300000000000001</v>
      </c>
      <c r="AV79" s="431">
        <v>0.25600000000000001</v>
      </c>
      <c r="AW79" s="305">
        <v>6.9469090006243003E-2</v>
      </c>
      <c r="AX79" s="305"/>
      <c r="AY79" s="306">
        <f t="shared" si="5"/>
        <v>0.25600000000000001</v>
      </c>
      <c r="AZ79" s="306">
        <f t="shared" si="6"/>
        <v>0.25600000000000001</v>
      </c>
      <c r="BA79" s="309">
        <f t="shared" si="7"/>
        <v>0.25600000000000001</v>
      </c>
      <c r="BB79" s="308">
        <f t="shared" si="8"/>
        <v>38687</v>
      </c>
      <c r="BC79" s="306">
        <f t="shared" si="2"/>
        <v>0.69825960827586353</v>
      </c>
      <c r="BD79" s="306">
        <f t="shared" si="3"/>
        <v>0.69839017224215605</v>
      </c>
      <c r="BF79" s="308">
        <f t="shared" si="9"/>
        <v>38687</v>
      </c>
      <c r="BG79" s="291">
        <v>67</v>
      </c>
      <c r="BI79" s="493">
        <f t="shared" si="10"/>
        <v>4.242</v>
      </c>
      <c r="BJ79" s="494">
        <f t="shared" si="11"/>
        <v>2.9769999999999999</v>
      </c>
    </row>
    <row r="80" spans="2:62" x14ac:dyDescent="0.25">
      <c r="B80" s="296">
        <f t="shared" si="4"/>
        <v>38718</v>
      </c>
      <c r="C80" s="294">
        <v>3.298</v>
      </c>
      <c r="D80" s="294">
        <v>0.23250000000000001</v>
      </c>
      <c r="E80" s="294">
        <v>6.9882512306738004E-2</v>
      </c>
      <c r="F80" s="294">
        <v>-0.2</v>
      </c>
      <c r="G80" s="294">
        <v>-5.7500000000000002E-2</v>
      </c>
      <c r="H80" s="294">
        <v>-0.2</v>
      </c>
      <c r="I80" s="294">
        <v>0.215</v>
      </c>
      <c r="J80" s="294">
        <v>0.30499999999999999</v>
      </c>
      <c r="K80" s="294">
        <v>0.4375</v>
      </c>
      <c r="L80" s="294">
        <v>-7.6999999999999999E-2</v>
      </c>
      <c r="M80" s="294">
        <v>-1.2500000000000001E-2</v>
      </c>
      <c r="N80" s="294">
        <v>-0.28000000000000003</v>
      </c>
      <c r="O80" s="294">
        <v>0.13</v>
      </c>
      <c r="P80" s="294">
        <v>1.35E-2</v>
      </c>
      <c r="Q80" s="294">
        <v>-9.4999999999999998E-3</v>
      </c>
      <c r="R80" s="291">
        <v>-2.5999999999999999E-2</v>
      </c>
      <c r="S80" s="291">
        <v>-0.06</v>
      </c>
      <c r="T80" s="291">
        <v>-2.5000000000000001E-3</v>
      </c>
      <c r="U80" s="291">
        <v>-3.1E-2</v>
      </c>
      <c r="V80" s="291">
        <v>-0.14099999999999999</v>
      </c>
      <c r="W80" s="291">
        <v>-0.1275</v>
      </c>
      <c r="X80" s="291">
        <v>1.5249999999999999</v>
      </c>
      <c r="Y80" s="291">
        <v>5.0000000000000001E-3</v>
      </c>
      <c r="Z80" s="291">
        <v>-0.19</v>
      </c>
      <c r="AA80" s="291">
        <v>-2.2499999999999999E-2</v>
      </c>
      <c r="AB80" s="306">
        <v>0.12</v>
      </c>
      <c r="AC80" s="306">
        <v>0.97499999999999998</v>
      </c>
      <c r="AD80" s="306">
        <v>0.31</v>
      </c>
      <c r="AE80" s="431">
        <v>0.23300000000000001</v>
      </c>
      <c r="AF80" s="431">
        <v>0.23300000000000001</v>
      </c>
      <c r="AG80" s="431">
        <v>0.25600000000000001</v>
      </c>
      <c r="AH80" s="431">
        <v>0.23300000000000001</v>
      </c>
      <c r="AI80" s="431">
        <v>0.23699999999999999</v>
      </c>
      <c r="AJ80" s="431">
        <v>0.23300000000000001</v>
      </c>
      <c r="AK80" s="431">
        <v>0.23300000000000001</v>
      </c>
      <c r="AL80" s="431">
        <v>0.23300000000000001</v>
      </c>
      <c r="AM80" s="431">
        <v>0.23300000000000001</v>
      </c>
      <c r="AN80" s="431">
        <v>0.23300000000000001</v>
      </c>
      <c r="AO80" s="431">
        <v>0.23300000000000001</v>
      </c>
      <c r="AP80" s="432">
        <v>0.23300000000000001</v>
      </c>
      <c r="AQ80" s="432">
        <v>0.23300000000000001</v>
      </c>
      <c r="AR80" s="432">
        <v>0.23300000000000001</v>
      </c>
      <c r="AS80" s="432">
        <v>0.23300000000000001</v>
      </c>
      <c r="AT80" s="431">
        <v>0.23300000000000001</v>
      </c>
      <c r="AU80" s="431">
        <v>0.23300000000000001</v>
      </c>
      <c r="AV80" s="431">
        <v>0.25600000000000001</v>
      </c>
      <c r="AW80" s="305">
        <v>6.9493306371115005E-2</v>
      </c>
      <c r="AX80" s="305"/>
      <c r="AY80" s="306">
        <f t="shared" si="5"/>
        <v>0.25600000000000001</v>
      </c>
      <c r="AZ80" s="306">
        <f t="shared" si="6"/>
        <v>0.25600000000000001</v>
      </c>
      <c r="BA80" s="309">
        <f t="shared" si="7"/>
        <v>0.25600000000000001</v>
      </c>
      <c r="BB80" s="308">
        <f t="shared" si="8"/>
        <v>38718</v>
      </c>
      <c r="BC80" s="306">
        <f t="shared" ref="BC80:BC143" si="12">(1+$AW80/2)^(-2*($B80-$BC$11)/365.25)</f>
        <v>0.69413738557038607</v>
      </c>
      <c r="BD80" s="306">
        <f t="shared" ref="BD80:BD143" si="13">(1+$AW80/2)^(-2*($B80-$BD$11)/365.25)</f>
        <v>0.69426722322852497</v>
      </c>
      <c r="BF80" s="308">
        <f t="shared" si="9"/>
        <v>38718</v>
      </c>
      <c r="BG80" s="291">
        <v>68</v>
      </c>
      <c r="BI80" s="493">
        <f t="shared" si="10"/>
        <v>4.8230000000000004</v>
      </c>
      <c r="BJ80" s="494">
        <f t="shared" si="11"/>
        <v>3.0569999999999999</v>
      </c>
    </row>
    <row r="81" spans="2:62" x14ac:dyDescent="0.25">
      <c r="B81" s="296">
        <f t="shared" ref="B81:B144" si="14">EOMONTH(B80,0)+1</f>
        <v>38749</v>
      </c>
      <c r="C81" s="294">
        <v>3.1680000000000001</v>
      </c>
      <c r="D81" s="294">
        <v>0.23</v>
      </c>
      <c r="E81" s="294">
        <v>6.9894016400001993E-2</v>
      </c>
      <c r="F81" s="294">
        <v>-0.20250000000000001</v>
      </c>
      <c r="G81" s="294">
        <v>-0.04</v>
      </c>
      <c r="H81" s="294">
        <v>-0.20250000000000001</v>
      </c>
      <c r="I81" s="294">
        <v>0.19</v>
      </c>
      <c r="J81" s="294">
        <v>0.30499999999999999</v>
      </c>
      <c r="K81" s="294">
        <v>0.435</v>
      </c>
      <c r="L81" s="294">
        <v>-7.6999999999999999E-2</v>
      </c>
      <c r="M81" s="294">
        <v>-1.2500000000000001E-2</v>
      </c>
      <c r="N81" s="294">
        <v>-0.28000000000000003</v>
      </c>
      <c r="O81" s="294">
        <v>0</v>
      </c>
      <c r="P81" s="294">
        <v>1.35E-2</v>
      </c>
      <c r="Q81" s="294">
        <v>-9.4999999999999998E-3</v>
      </c>
      <c r="R81" s="291">
        <v>-2.5999999999999999E-2</v>
      </c>
      <c r="S81" s="291">
        <v>-0.06</v>
      </c>
      <c r="T81" s="291">
        <v>-2.5000000000000001E-3</v>
      </c>
      <c r="U81" s="291">
        <v>-3.1E-2</v>
      </c>
      <c r="V81" s="291">
        <v>-0.1235</v>
      </c>
      <c r="W81" s="291">
        <v>-0.1275</v>
      </c>
      <c r="X81" s="291">
        <v>1.4550000000000001</v>
      </c>
      <c r="Y81" s="291">
        <v>5.0000000000000001E-3</v>
      </c>
      <c r="Z81" s="291">
        <v>-0.19</v>
      </c>
      <c r="AA81" s="291">
        <v>-2.2499999999999999E-2</v>
      </c>
      <c r="AB81" s="306">
        <v>0.12</v>
      </c>
      <c r="AC81" s="306">
        <v>0.97499999999999998</v>
      </c>
      <c r="AD81" s="306">
        <v>0.28499999999999998</v>
      </c>
      <c r="AE81" s="431">
        <v>0.23</v>
      </c>
      <c r="AF81" s="431">
        <v>0.23</v>
      </c>
      <c r="AG81" s="431">
        <v>0.253</v>
      </c>
      <c r="AH81" s="431">
        <v>0.23</v>
      </c>
      <c r="AI81" s="431">
        <v>0.23499999999999999</v>
      </c>
      <c r="AJ81" s="431">
        <v>0.23</v>
      </c>
      <c r="AK81" s="431">
        <v>0.23</v>
      </c>
      <c r="AL81" s="431">
        <v>0.23</v>
      </c>
      <c r="AM81" s="431">
        <v>0.23</v>
      </c>
      <c r="AN81" s="431">
        <v>0.23</v>
      </c>
      <c r="AO81" s="431">
        <v>0.23</v>
      </c>
      <c r="AP81" s="432">
        <v>0.23</v>
      </c>
      <c r="AQ81" s="432">
        <v>0.23</v>
      </c>
      <c r="AR81" s="432">
        <v>0.23</v>
      </c>
      <c r="AS81" s="432">
        <v>0.23</v>
      </c>
      <c r="AT81" s="431">
        <v>0.23</v>
      </c>
      <c r="AU81" s="431">
        <v>0.23</v>
      </c>
      <c r="AV81" s="431">
        <v>0.253</v>
      </c>
      <c r="AW81" s="305">
        <v>6.9517522736181003E-2</v>
      </c>
      <c r="AX81" s="305"/>
      <c r="AY81" s="306">
        <f t="shared" ref="AY81:AY144" si="15">AG81</f>
        <v>0.253</v>
      </c>
      <c r="AZ81" s="306">
        <f t="shared" ref="AZ81:AZ144" si="16">AG81</f>
        <v>0.253</v>
      </c>
      <c r="BA81" s="309">
        <f t="shared" ref="BA81:BA144" si="17">AG81</f>
        <v>0.253</v>
      </c>
      <c r="BB81" s="308">
        <f t="shared" ref="BB81:BB144" si="18">B81</f>
        <v>38749</v>
      </c>
      <c r="BC81" s="306">
        <f t="shared" si="12"/>
        <v>0.69003675843872492</v>
      </c>
      <c r="BD81" s="306">
        <f t="shared" si="13"/>
        <v>0.69016587330064905</v>
      </c>
      <c r="BF81" s="308">
        <f t="shared" ref="BF81:BF144" si="19">B81</f>
        <v>38749</v>
      </c>
      <c r="BG81" s="291">
        <v>69</v>
      </c>
      <c r="BI81" s="493">
        <f t="shared" ref="BI81:BI86" si="20">$C81+X81</f>
        <v>4.6230000000000002</v>
      </c>
      <c r="BJ81" s="494">
        <f t="shared" si="11"/>
        <v>3.3029999999999999</v>
      </c>
    </row>
    <row r="82" spans="2:62" x14ac:dyDescent="0.25">
      <c r="B82" s="296">
        <f t="shared" si="14"/>
        <v>38777</v>
      </c>
      <c r="C82" s="294">
        <v>3.0070000000000001</v>
      </c>
      <c r="D82" s="294">
        <v>0.22750000000000001</v>
      </c>
      <c r="E82" s="294">
        <v>6.9904407193956006E-2</v>
      </c>
      <c r="F82" s="294">
        <v>-0.20499999999999999</v>
      </c>
      <c r="G82" s="294">
        <v>-2.75E-2</v>
      </c>
      <c r="H82" s="294">
        <v>-0.20499999999999999</v>
      </c>
      <c r="I82" s="294">
        <v>0.1875</v>
      </c>
      <c r="J82" s="294">
        <v>0.26500000000000001</v>
      </c>
      <c r="K82" s="294">
        <v>0.30249999999999999</v>
      </c>
      <c r="L82" s="294">
        <v>-7.6999999999999999E-2</v>
      </c>
      <c r="M82" s="294">
        <v>-1.2500000000000001E-2</v>
      </c>
      <c r="N82" s="294">
        <v>-0.28000000000000003</v>
      </c>
      <c r="O82" s="294">
        <v>-0.18</v>
      </c>
      <c r="P82" s="294">
        <v>1.35E-2</v>
      </c>
      <c r="Q82" s="294">
        <v>-9.4999999999999998E-3</v>
      </c>
      <c r="R82" s="291">
        <v>-2.5999999999999999E-2</v>
      </c>
      <c r="S82" s="291">
        <v>-0.06</v>
      </c>
      <c r="T82" s="291">
        <v>-2.5000000000000001E-3</v>
      </c>
      <c r="U82" s="291">
        <v>-1.2500000000000001E-2</v>
      </c>
      <c r="V82" s="291">
        <v>-0.106</v>
      </c>
      <c r="W82" s="291">
        <v>-0.13250000000000001</v>
      </c>
      <c r="X82" s="291">
        <v>0.83499999999999996</v>
      </c>
      <c r="Y82" s="291">
        <v>5.0000000000000001E-3</v>
      </c>
      <c r="Z82" s="291">
        <v>-0.19</v>
      </c>
      <c r="AA82" s="291">
        <v>-2.2499999999999999E-2</v>
      </c>
      <c r="AB82" s="306">
        <v>0.12</v>
      </c>
      <c r="AC82" s="306">
        <v>0.60750000000000004</v>
      </c>
      <c r="AD82" s="306">
        <v>0.28249999999999997</v>
      </c>
      <c r="AE82" s="431">
        <v>0.22800000000000001</v>
      </c>
      <c r="AF82" s="431">
        <v>0.22800000000000001</v>
      </c>
      <c r="AG82" s="431">
        <v>0.25</v>
      </c>
      <c r="AH82" s="431">
        <v>0.22800000000000001</v>
      </c>
      <c r="AI82" s="431">
        <v>0.23200000000000001</v>
      </c>
      <c r="AJ82" s="431">
        <v>0.22800000000000001</v>
      </c>
      <c r="AK82" s="431">
        <v>0.22800000000000001</v>
      </c>
      <c r="AL82" s="431">
        <v>0.22800000000000001</v>
      </c>
      <c r="AM82" s="431">
        <v>0.22800000000000001</v>
      </c>
      <c r="AN82" s="431">
        <v>0.22800000000000001</v>
      </c>
      <c r="AO82" s="431">
        <v>0.22800000000000001</v>
      </c>
      <c r="AP82" s="432">
        <v>0.22800000000000001</v>
      </c>
      <c r="AQ82" s="432">
        <v>0.22800000000000001</v>
      </c>
      <c r="AR82" s="432">
        <v>0.22800000000000001</v>
      </c>
      <c r="AS82" s="432">
        <v>0.22800000000000001</v>
      </c>
      <c r="AT82" s="431">
        <v>0.22800000000000001</v>
      </c>
      <c r="AU82" s="431">
        <v>0.22800000000000001</v>
      </c>
      <c r="AV82" s="431">
        <v>0.25</v>
      </c>
      <c r="AW82" s="305">
        <v>6.9539395582214003E-2</v>
      </c>
      <c r="AX82" s="305"/>
      <c r="AY82" s="306">
        <f t="shared" si="15"/>
        <v>0.25</v>
      </c>
      <c r="AZ82" s="306">
        <f t="shared" si="16"/>
        <v>0.25</v>
      </c>
      <c r="BA82" s="309">
        <f t="shared" si="17"/>
        <v>0.25</v>
      </c>
      <c r="BB82" s="308">
        <f t="shared" si="18"/>
        <v>38777</v>
      </c>
      <c r="BC82" s="306">
        <f t="shared" si="12"/>
        <v>0.68635144897369738</v>
      </c>
      <c r="BD82" s="306">
        <f t="shared" si="13"/>
        <v>0.68647991399467478</v>
      </c>
      <c r="BF82" s="308">
        <f t="shared" si="19"/>
        <v>38777</v>
      </c>
      <c r="BG82" s="291">
        <v>70</v>
      </c>
      <c r="BI82" s="493">
        <f t="shared" si="20"/>
        <v>3.8420000000000001</v>
      </c>
      <c r="BJ82" s="494">
        <f>$C81+Y82</f>
        <v>3.173</v>
      </c>
    </row>
    <row r="83" spans="2:62" x14ac:dyDescent="0.25">
      <c r="B83" s="296">
        <f t="shared" si="14"/>
        <v>38808</v>
      </c>
      <c r="C83" s="294">
        <v>2.8380000000000001</v>
      </c>
      <c r="D83" s="294">
        <v>0.22750000000000001</v>
      </c>
      <c r="E83" s="294">
        <v>6.9915911287302998E-2</v>
      </c>
      <c r="F83" s="294">
        <v>-0.19500000000000001</v>
      </c>
      <c r="G83" s="294">
        <v>1.4999999999999999E-2</v>
      </c>
      <c r="H83" s="294">
        <v>-0.19500000000000001</v>
      </c>
      <c r="I83" s="294">
        <v>8.7499999999999994E-2</v>
      </c>
      <c r="J83" s="294">
        <v>0.19500000000000001</v>
      </c>
      <c r="K83" s="294">
        <v>0.25</v>
      </c>
      <c r="L83" s="294">
        <v>-7.0000000000000007E-2</v>
      </c>
      <c r="M83" s="294">
        <v>-0.02</v>
      </c>
      <c r="N83" s="294">
        <v>-0.36</v>
      </c>
      <c r="O83" s="294">
        <v>-0.28999999999999998</v>
      </c>
      <c r="P83" s="294">
        <v>6.4999999999999997E-3</v>
      </c>
      <c r="Q83" s="294">
        <v>5.0000000000000001E-4</v>
      </c>
      <c r="R83" s="291">
        <v>-2.5499999999999998E-2</v>
      </c>
      <c r="S83" s="291">
        <v>-5.7500000000000002E-2</v>
      </c>
      <c r="T83" s="291">
        <v>-0.13</v>
      </c>
      <c r="U83" s="291">
        <v>-1.2749999999999999E-2</v>
      </c>
      <c r="V83" s="291">
        <v>-9.8500000000000004E-2</v>
      </c>
      <c r="W83" s="291">
        <v>-0.12</v>
      </c>
      <c r="X83" s="291">
        <v>0.45</v>
      </c>
      <c r="Y83" s="291">
        <v>5.0000000000000001E-3</v>
      </c>
      <c r="Z83" s="291">
        <v>-0.19500000000000001</v>
      </c>
      <c r="AA83" s="291">
        <v>-0.02</v>
      </c>
      <c r="AB83" s="306">
        <v>0.28999999999999998</v>
      </c>
      <c r="AC83" s="306">
        <v>0.35499999999999998</v>
      </c>
      <c r="AD83" s="306">
        <v>0.1825</v>
      </c>
      <c r="AE83" s="431">
        <v>0.22800000000000001</v>
      </c>
      <c r="AF83" s="431">
        <v>0.22800000000000001</v>
      </c>
      <c r="AG83" s="431">
        <v>0.223</v>
      </c>
      <c r="AH83" s="431">
        <v>0.22800000000000001</v>
      </c>
      <c r="AI83" s="431">
        <v>0.23200000000000001</v>
      </c>
      <c r="AJ83" s="431">
        <v>0.22800000000000001</v>
      </c>
      <c r="AK83" s="431">
        <v>0.223</v>
      </c>
      <c r="AL83" s="431">
        <v>0.223</v>
      </c>
      <c r="AM83" s="431">
        <v>0.22800000000000001</v>
      </c>
      <c r="AN83" s="431">
        <v>0.22800000000000001</v>
      </c>
      <c r="AO83" s="431">
        <v>0.22800000000000001</v>
      </c>
      <c r="AP83" s="432">
        <v>0.22800000000000001</v>
      </c>
      <c r="AQ83" s="432">
        <v>0.22800000000000001</v>
      </c>
      <c r="AR83" s="432">
        <v>0.22800000000000001</v>
      </c>
      <c r="AS83" s="432">
        <v>0.22800000000000001</v>
      </c>
      <c r="AT83" s="431">
        <v>0.22800000000000001</v>
      </c>
      <c r="AU83" s="431">
        <v>0.22800000000000001</v>
      </c>
      <c r="AV83" s="431">
        <v>0.223</v>
      </c>
      <c r="AW83" s="305">
        <v>6.9563611947648998E-2</v>
      </c>
      <c r="AX83" s="305"/>
      <c r="AY83" s="306">
        <f t="shared" si="15"/>
        <v>0.223</v>
      </c>
      <c r="AZ83" s="306">
        <f t="shared" si="16"/>
        <v>0.223</v>
      </c>
      <c r="BA83" s="309">
        <f t="shared" si="17"/>
        <v>0.223</v>
      </c>
      <c r="BB83" s="308">
        <f t="shared" si="18"/>
        <v>38808</v>
      </c>
      <c r="BC83" s="306">
        <f t="shared" si="12"/>
        <v>0.68229166073317238</v>
      </c>
      <c r="BD83" s="306">
        <f t="shared" si="13"/>
        <v>0.68241940960431491</v>
      </c>
      <c r="BF83" s="308">
        <f t="shared" si="19"/>
        <v>38808</v>
      </c>
      <c r="BG83" s="291">
        <v>71</v>
      </c>
      <c r="BI83" s="493">
        <f t="shared" si="20"/>
        <v>3.2880000000000003</v>
      </c>
      <c r="BJ83" s="494">
        <f>$C82+Y83</f>
        <v>3.012</v>
      </c>
    </row>
    <row r="84" spans="2:62" x14ac:dyDescent="0.25">
      <c r="B84" s="296">
        <f t="shared" si="14"/>
        <v>38838</v>
      </c>
      <c r="C84" s="294">
        <v>2.8290000000000002</v>
      </c>
      <c r="D84" s="294">
        <v>0.22750000000000001</v>
      </c>
      <c r="E84" s="294">
        <v>6.9927044280907E-2</v>
      </c>
      <c r="F84" s="294">
        <v>-0.19500000000000001</v>
      </c>
      <c r="G84" s="294">
        <v>1.4999999999999999E-2</v>
      </c>
      <c r="H84" s="294">
        <v>-0.19500000000000001</v>
      </c>
      <c r="I84" s="294">
        <v>9.7500000000000003E-2</v>
      </c>
      <c r="J84" s="294">
        <v>0.1825</v>
      </c>
      <c r="K84" s="294">
        <v>0.20250000000000001</v>
      </c>
      <c r="L84" s="294">
        <v>-7.0000000000000007E-2</v>
      </c>
      <c r="M84" s="294">
        <v>-0.02</v>
      </c>
      <c r="N84" s="294">
        <v>-0.36</v>
      </c>
      <c r="O84" s="294">
        <v>-0.28999999999999998</v>
      </c>
      <c r="P84" s="294">
        <v>6.4999999999999997E-3</v>
      </c>
      <c r="Q84" s="294">
        <v>5.0000000000000001E-4</v>
      </c>
      <c r="R84" s="291">
        <v>-2.5499999999999998E-2</v>
      </c>
      <c r="S84" s="291">
        <v>-5.7500000000000002E-2</v>
      </c>
      <c r="T84" s="291">
        <v>-0.14499999999999999</v>
      </c>
      <c r="U84" s="291">
        <v>-1.2749999999999999E-2</v>
      </c>
      <c r="V84" s="291">
        <v>-9.8500000000000004E-2</v>
      </c>
      <c r="W84" s="291">
        <v>-0.12</v>
      </c>
      <c r="X84" s="291">
        <v>0.40500000000000003</v>
      </c>
      <c r="Y84" s="291">
        <v>5.0000000000000001E-3</v>
      </c>
      <c r="Z84" s="291">
        <v>-0.19500000000000001</v>
      </c>
      <c r="AA84" s="291">
        <v>-0.02</v>
      </c>
      <c r="AB84" s="306">
        <v>0.28999999999999998</v>
      </c>
      <c r="AC84" s="306">
        <v>0.28749999999999998</v>
      </c>
      <c r="AD84" s="306">
        <v>0.1925</v>
      </c>
      <c r="AE84" s="431">
        <v>0.22800000000000001</v>
      </c>
      <c r="AF84" s="431">
        <v>0.22800000000000001</v>
      </c>
      <c r="AG84" s="431">
        <v>0.223</v>
      </c>
      <c r="AH84" s="431">
        <v>0.22800000000000001</v>
      </c>
      <c r="AI84" s="431">
        <v>0.23200000000000001</v>
      </c>
      <c r="AJ84" s="431">
        <v>0.22800000000000001</v>
      </c>
      <c r="AK84" s="431">
        <v>0.223</v>
      </c>
      <c r="AL84" s="431">
        <v>0.223</v>
      </c>
      <c r="AM84" s="431">
        <v>0.22800000000000001</v>
      </c>
      <c r="AN84" s="431">
        <v>0.22800000000000001</v>
      </c>
      <c r="AO84" s="431">
        <v>0.22800000000000001</v>
      </c>
      <c r="AP84" s="432">
        <v>0.22800000000000001</v>
      </c>
      <c r="AQ84" s="432">
        <v>0.22800000000000001</v>
      </c>
      <c r="AR84" s="432">
        <v>0.22800000000000001</v>
      </c>
      <c r="AS84" s="432">
        <v>0.22800000000000001</v>
      </c>
      <c r="AT84" s="431">
        <v>0.22800000000000001</v>
      </c>
      <c r="AU84" s="431">
        <v>0.22800000000000001</v>
      </c>
      <c r="AV84" s="431">
        <v>0.223</v>
      </c>
      <c r="AW84" s="305">
        <v>6.9587047140189998E-2</v>
      </c>
      <c r="AX84" s="305"/>
      <c r="AY84" s="306">
        <f t="shared" si="15"/>
        <v>0.223</v>
      </c>
      <c r="AZ84" s="306">
        <f t="shared" si="16"/>
        <v>0.223</v>
      </c>
      <c r="BA84" s="309">
        <f t="shared" si="17"/>
        <v>0.223</v>
      </c>
      <c r="BB84" s="308">
        <f t="shared" si="18"/>
        <v>38838</v>
      </c>
      <c r="BC84" s="306">
        <f t="shared" si="12"/>
        <v>0.67838313427465957</v>
      </c>
      <c r="BD84" s="306">
        <f t="shared" si="13"/>
        <v>0.67851019340395313</v>
      </c>
      <c r="BF84" s="308">
        <f t="shared" si="19"/>
        <v>38838</v>
      </c>
      <c r="BG84" s="291">
        <v>72</v>
      </c>
      <c r="BI84" s="493">
        <f t="shared" si="20"/>
        <v>3.234</v>
      </c>
      <c r="BJ84" s="494">
        <f>$C83+Y84</f>
        <v>2.843</v>
      </c>
    </row>
    <row r="85" spans="2:62" x14ac:dyDescent="0.25">
      <c r="B85" s="296">
        <f t="shared" si="14"/>
        <v>38869</v>
      </c>
      <c r="C85" s="294">
        <v>2.8519999999999999</v>
      </c>
      <c r="D85" s="294">
        <v>0.22750000000000001</v>
      </c>
      <c r="E85" s="294">
        <v>6.9938548374340007E-2</v>
      </c>
      <c r="F85" s="294">
        <v>-0.19500000000000001</v>
      </c>
      <c r="G85" s="294">
        <v>0.02</v>
      </c>
      <c r="H85" s="294">
        <v>-0.19500000000000001</v>
      </c>
      <c r="I85" s="294">
        <v>9.2499999999999999E-2</v>
      </c>
      <c r="J85" s="294">
        <v>0.1825</v>
      </c>
      <c r="K85" s="294">
        <v>0.20250000000000001</v>
      </c>
      <c r="L85" s="294">
        <v>-8.5999999999999993E-2</v>
      </c>
      <c r="M85" s="294">
        <v>-0.02</v>
      </c>
      <c r="N85" s="294">
        <v>-0.36</v>
      </c>
      <c r="O85" s="294">
        <v>-0.28999999999999998</v>
      </c>
      <c r="P85" s="294">
        <v>6.4999999999999997E-3</v>
      </c>
      <c r="Q85" s="294">
        <v>5.0000000000000001E-4</v>
      </c>
      <c r="R85" s="291">
        <v>-2.5499999999999998E-2</v>
      </c>
      <c r="S85" s="291">
        <v>-5.7500000000000002E-2</v>
      </c>
      <c r="T85" s="291">
        <v>-0.155</v>
      </c>
      <c r="U85" s="291">
        <v>-1.2749999999999999E-2</v>
      </c>
      <c r="V85" s="291">
        <v>-8.8499999999999995E-2</v>
      </c>
      <c r="W85" s="291">
        <v>-0.12</v>
      </c>
      <c r="X85" s="291">
        <v>0.39500000000000002</v>
      </c>
      <c r="Y85" s="291">
        <v>5.0000000000000001E-3</v>
      </c>
      <c r="Z85" s="291">
        <v>-0.19500000000000001</v>
      </c>
      <c r="AA85" s="291">
        <v>-0.02</v>
      </c>
      <c r="AB85" s="306">
        <v>0.28999999999999998</v>
      </c>
      <c r="AC85" s="306">
        <v>0.28749999999999998</v>
      </c>
      <c r="AD85" s="306">
        <v>0.1875</v>
      </c>
      <c r="AE85" s="431">
        <v>0.22800000000000001</v>
      </c>
      <c r="AF85" s="431">
        <v>0.22800000000000001</v>
      </c>
      <c r="AG85" s="431">
        <v>0.223</v>
      </c>
      <c r="AH85" s="431">
        <v>0.22800000000000001</v>
      </c>
      <c r="AI85" s="431">
        <v>0.23200000000000001</v>
      </c>
      <c r="AJ85" s="431">
        <v>0.22800000000000001</v>
      </c>
      <c r="AK85" s="431">
        <v>0.223</v>
      </c>
      <c r="AL85" s="431">
        <v>0.223</v>
      </c>
      <c r="AM85" s="431">
        <v>0.22800000000000001</v>
      </c>
      <c r="AN85" s="431">
        <v>0.22800000000000001</v>
      </c>
      <c r="AO85" s="431">
        <v>0.22800000000000001</v>
      </c>
      <c r="AP85" s="432">
        <v>0.22800000000000001</v>
      </c>
      <c r="AQ85" s="432">
        <v>0.22800000000000001</v>
      </c>
      <c r="AR85" s="432">
        <v>0.22800000000000001</v>
      </c>
      <c r="AS85" s="432">
        <v>0.22800000000000001</v>
      </c>
      <c r="AT85" s="431">
        <v>0.22800000000000001</v>
      </c>
      <c r="AU85" s="431">
        <v>0.22800000000000001</v>
      </c>
      <c r="AV85" s="431">
        <v>0.223</v>
      </c>
      <c r="AW85" s="305">
        <v>6.9611263506007007E-2</v>
      </c>
      <c r="AX85" s="305"/>
      <c r="AY85" s="306">
        <f t="shared" si="15"/>
        <v>0.223</v>
      </c>
      <c r="AZ85" s="306">
        <f t="shared" si="16"/>
        <v>0.223</v>
      </c>
      <c r="BA85" s="309">
        <f t="shared" si="17"/>
        <v>0.223</v>
      </c>
      <c r="BB85" s="308">
        <f t="shared" si="18"/>
        <v>38869</v>
      </c>
      <c r="BC85" s="306">
        <f t="shared" si="12"/>
        <v>0.67436520950778578</v>
      </c>
      <c r="BD85" s="306">
        <f t="shared" si="13"/>
        <v>0.6744915593072508</v>
      </c>
      <c r="BF85" s="308">
        <f t="shared" si="19"/>
        <v>38869</v>
      </c>
      <c r="BG85" s="291">
        <v>73</v>
      </c>
      <c r="BI85" s="493">
        <f t="shared" si="20"/>
        <v>3.2469999999999999</v>
      </c>
      <c r="BJ85" s="494">
        <f>$C84+Y85</f>
        <v>2.8340000000000001</v>
      </c>
    </row>
    <row r="86" spans="2:62" ht="12.6" thickBot="1" x14ac:dyDescent="0.3">
      <c r="B86" s="296">
        <f t="shared" si="14"/>
        <v>38899</v>
      </c>
      <c r="C86" s="294">
        <v>2.8740000000000001</v>
      </c>
      <c r="D86" s="294">
        <v>0.22750000000000001</v>
      </c>
      <c r="E86" s="294">
        <v>6.9949681368026997E-2</v>
      </c>
      <c r="F86" s="294">
        <v>-0.19500000000000001</v>
      </c>
      <c r="G86" s="294">
        <v>2.2499999999999999E-2</v>
      </c>
      <c r="H86" s="294">
        <v>-0.19500000000000001</v>
      </c>
      <c r="I86" s="294">
        <v>8.2500000000000004E-2</v>
      </c>
      <c r="J86" s="294">
        <v>0.1825</v>
      </c>
      <c r="K86" s="294">
        <v>0.215</v>
      </c>
      <c r="L86" s="294">
        <v>-7.9000000000000001E-2</v>
      </c>
      <c r="M86" s="294">
        <v>-0.02</v>
      </c>
      <c r="N86" s="294">
        <v>-0.36</v>
      </c>
      <c r="O86" s="294">
        <v>-0.28999999999999998</v>
      </c>
      <c r="P86" s="294">
        <v>6.4999999999999997E-3</v>
      </c>
      <c r="Q86" s="294">
        <v>5.0000000000000001E-4</v>
      </c>
      <c r="R86" s="291">
        <v>-2.5499999999999998E-2</v>
      </c>
      <c r="S86" s="291">
        <v>-5.7500000000000002E-2</v>
      </c>
      <c r="T86" s="291">
        <v>-0.155</v>
      </c>
      <c r="U86" s="291">
        <v>-1.2749999999999999E-2</v>
      </c>
      <c r="V86" s="291">
        <v>-8.3500000000000005E-2</v>
      </c>
      <c r="W86" s="291">
        <v>-0.12</v>
      </c>
      <c r="X86" s="291">
        <v>0.43</v>
      </c>
      <c r="Y86" s="291">
        <v>5.0000000000000001E-3</v>
      </c>
      <c r="Z86" s="291">
        <v>-0.19500000000000001</v>
      </c>
      <c r="AA86" s="291">
        <v>-0.02</v>
      </c>
      <c r="AB86" s="306">
        <v>0.28999999999999998</v>
      </c>
      <c r="AC86" s="306">
        <v>0.3</v>
      </c>
      <c r="AD86" s="306">
        <v>0.17749999999999999</v>
      </c>
      <c r="AE86" s="431">
        <v>0.22800000000000001</v>
      </c>
      <c r="AF86" s="431">
        <v>0.22800000000000001</v>
      </c>
      <c r="AG86" s="431">
        <v>0.223</v>
      </c>
      <c r="AH86" s="431">
        <v>0.22800000000000001</v>
      </c>
      <c r="AI86" s="431">
        <v>0.23200000000000001</v>
      </c>
      <c r="AJ86" s="431">
        <v>0.22800000000000001</v>
      </c>
      <c r="AK86" s="431">
        <v>0.223</v>
      </c>
      <c r="AL86" s="431">
        <v>0.223</v>
      </c>
      <c r="AM86" s="431">
        <v>0.22800000000000001</v>
      </c>
      <c r="AN86" s="431">
        <v>0.22800000000000001</v>
      </c>
      <c r="AO86" s="431">
        <v>0.22800000000000001</v>
      </c>
      <c r="AP86" s="432">
        <v>0.22800000000000001</v>
      </c>
      <c r="AQ86" s="432">
        <v>0.22800000000000001</v>
      </c>
      <c r="AR86" s="432">
        <v>0.22800000000000001</v>
      </c>
      <c r="AS86" s="432">
        <v>0.22800000000000001</v>
      </c>
      <c r="AT86" s="431">
        <v>0.22800000000000001</v>
      </c>
      <c r="AU86" s="431">
        <v>0.22800000000000001</v>
      </c>
      <c r="AV86" s="431">
        <v>0.223</v>
      </c>
      <c r="AW86" s="291">
        <v>6.9634698698918002E-2</v>
      </c>
      <c r="AY86" s="306">
        <f t="shared" si="15"/>
        <v>0.223</v>
      </c>
      <c r="AZ86" s="306">
        <f t="shared" si="16"/>
        <v>0.223</v>
      </c>
      <c r="BA86" s="309">
        <f t="shared" si="17"/>
        <v>0.223</v>
      </c>
      <c r="BB86" s="308">
        <f t="shared" si="18"/>
        <v>38899</v>
      </c>
      <c r="BC86" s="306">
        <f t="shared" si="12"/>
        <v>0.67049701992561983</v>
      </c>
      <c r="BD86" s="306">
        <f t="shared" si="13"/>
        <v>0.67062268655791035</v>
      </c>
      <c r="BF86" s="308">
        <f t="shared" si="19"/>
        <v>38899</v>
      </c>
      <c r="BG86" s="291">
        <v>74</v>
      </c>
      <c r="BI86" s="496">
        <f t="shared" si="20"/>
        <v>3.3040000000000003</v>
      </c>
      <c r="BJ86" s="494">
        <f>$C85+Y86</f>
        <v>2.8569999999999998</v>
      </c>
    </row>
    <row r="87" spans="2:62" x14ac:dyDescent="0.25">
      <c r="B87" s="296">
        <f t="shared" si="14"/>
        <v>38930</v>
      </c>
      <c r="C87" s="294">
        <v>2.895</v>
      </c>
      <c r="D87" s="294">
        <v>0.22750000000000001</v>
      </c>
      <c r="E87" s="294">
        <v>6.9961185461547004E-2</v>
      </c>
      <c r="F87" s="294">
        <v>-0.19500000000000001</v>
      </c>
      <c r="G87" s="294">
        <v>2.5000000000000001E-2</v>
      </c>
      <c r="H87" s="294">
        <v>-0.19500000000000001</v>
      </c>
      <c r="I87" s="294">
        <v>0.08</v>
      </c>
      <c r="J87" s="294">
        <v>0.1825</v>
      </c>
      <c r="K87" s="294">
        <v>0.215</v>
      </c>
      <c r="L87" s="294">
        <v>-7.0000000000000007E-2</v>
      </c>
      <c r="M87" s="294">
        <v>-0.02</v>
      </c>
      <c r="N87" s="294">
        <v>-0.36</v>
      </c>
      <c r="O87" s="294">
        <v>-0.28999999999999998</v>
      </c>
      <c r="P87" s="294">
        <v>6.4999999999999997E-3</v>
      </c>
      <c r="Q87" s="294">
        <v>5.0000000000000001E-4</v>
      </c>
      <c r="R87" s="291">
        <v>-2.5499999999999998E-2</v>
      </c>
      <c r="S87" s="291">
        <v>-5.7500000000000002E-2</v>
      </c>
      <c r="T87" s="291">
        <v>-0.155</v>
      </c>
      <c r="U87" s="291">
        <v>-1.2749999999999999E-2</v>
      </c>
      <c r="V87" s="291">
        <v>-8.3500000000000005E-2</v>
      </c>
      <c r="W87" s="291">
        <v>-0.12</v>
      </c>
      <c r="X87" s="291">
        <v>0.495</v>
      </c>
      <c r="Y87" s="291">
        <v>5.0000000000000001E-3</v>
      </c>
      <c r="Z87" s="291">
        <v>-0.19500000000000001</v>
      </c>
      <c r="AA87" s="291">
        <v>-0.02</v>
      </c>
      <c r="AB87" s="306">
        <v>0.28999999999999998</v>
      </c>
      <c r="AC87" s="306">
        <v>0.3</v>
      </c>
      <c r="AD87" s="306">
        <v>0.17499999999999999</v>
      </c>
      <c r="AE87" s="431">
        <v>0.22800000000000001</v>
      </c>
      <c r="AF87" s="431">
        <v>0.22800000000000001</v>
      </c>
      <c r="AG87" s="431">
        <v>0.223</v>
      </c>
      <c r="AH87" s="431">
        <v>0.22800000000000001</v>
      </c>
      <c r="AI87" s="431">
        <v>0.23200000000000001</v>
      </c>
      <c r="AJ87" s="431">
        <v>0.22800000000000001</v>
      </c>
      <c r="AK87" s="431">
        <v>0.223</v>
      </c>
      <c r="AL87" s="431">
        <v>0.223</v>
      </c>
      <c r="AM87" s="431">
        <v>0.22800000000000001</v>
      </c>
      <c r="AN87" s="431">
        <v>0.22800000000000001</v>
      </c>
      <c r="AO87" s="431">
        <v>0.22800000000000001</v>
      </c>
      <c r="AP87" s="432">
        <v>0.22800000000000001</v>
      </c>
      <c r="AQ87" s="432">
        <v>0.22800000000000001</v>
      </c>
      <c r="AR87" s="432">
        <v>0.22800000000000001</v>
      </c>
      <c r="AS87" s="432">
        <v>0.22800000000000001</v>
      </c>
      <c r="AT87" s="431">
        <v>0.22800000000000001</v>
      </c>
      <c r="AU87" s="431">
        <v>0.22800000000000001</v>
      </c>
      <c r="AV87" s="431">
        <v>0.223</v>
      </c>
      <c r="AW87" s="291">
        <v>6.9658915065115998E-2</v>
      </c>
      <c r="AY87" s="306">
        <f t="shared" si="15"/>
        <v>0.223</v>
      </c>
      <c r="AZ87" s="306">
        <f t="shared" si="16"/>
        <v>0.223</v>
      </c>
      <c r="BA87" s="309">
        <f t="shared" si="17"/>
        <v>0.223</v>
      </c>
      <c r="BB87" s="308">
        <f t="shared" si="18"/>
        <v>38930</v>
      </c>
      <c r="BC87" s="306">
        <f t="shared" si="12"/>
        <v>0.66652059514602369</v>
      </c>
      <c r="BD87" s="306">
        <f t="shared" si="13"/>
        <v>0.66664555921620339</v>
      </c>
      <c r="BF87" s="308">
        <f t="shared" si="19"/>
        <v>38930</v>
      </c>
      <c r="BG87" s="291">
        <v>75</v>
      </c>
    </row>
    <row r="88" spans="2:62" x14ac:dyDescent="0.25">
      <c r="B88" s="296">
        <f t="shared" si="14"/>
        <v>38961</v>
      </c>
      <c r="C88" s="294">
        <v>2.875</v>
      </c>
      <c r="D88" s="294">
        <v>0.22750000000000001</v>
      </c>
      <c r="E88" s="294">
        <v>6.9972689555111003E-2</v>
      </c>
      <c r="F88" s="294">
        <v>-0.19500000000000001</v>
      </c>
      <c r="G88" s="294">
        <v>1.7500000000000002E-2</v>
      </c>
      <c r="H88" s="294">
        <v>-0.19500000000000001</v>
      </c>
      <c r="I88" s="294">
        <v>7.7499999999999999E-2</v>
      </c>
      <c r="J88" s="294">
        <v>0.1825</v>
      </c>
      <c r="K88" s="294">
        <v>0.19500000000000001</v>
      </c>
      <c r="L88" s="294">
        <v>-0.05</v>
      </c>
      <c r="M88" s="294">
        <v>-0.02</v>
      </c>
      <c r="N88" s="294">
        <v>-0.36</v>
      </c>
      <c r="O88" s="294">
        <v>-0.28999999999999998</v>
      </c>
      <c r="P88" s="294">
        <v>6.4999999999999997E-3</v>
      </c>
      <c r="Q88" s="294">
        <v>5.0000000000000001E-4</v>
      </c>
      <c r="R88" s="291">
        <v>-2.5499999999999998E-2</v>
      </c>
      <c r="S88" s="291">
        <v>-5.7500000000000002E-2</v>
      </c>
      <c r="T88" s="291">
        <v>-0.14499999999999999</v>
      </c>
      <c r="U88" s="291">
        <v>-1.2749999999999999E-2</v>
      </c>
      <c r="V88" s="291">
        <v>-9.8500000000000004E-2</v>
      </c>
      <c r="W88" s="291">
        <v>-0.12</v>
      </c>
      <c r="X88" s="291">
        <v>0.39500000000000002</v>
      </c>
      <c r="Y88" s="291">
        <v>5.0000000000000001E-3</v>
      </c>
      <c r="Z88" s="291">
        <v>-0.19500000000000001</v>
      </c>
      <c r="AA88" s="291">
        <v>-0.02</v>
      </c>
      <c r="AB88" s="306">
        <v>0.28999999999999998</v>
      </c>
      <c r="AC88" s="306">
        <v>0.28999999999999998</v>
      </c>
      <c r="AD88" s="306">
        <v>0.17249999999999999</v>
      </c>
      <c r="AE88" s="431">
        <v>0.22800000000000001</v>
      </c>
      <c r="AF88" s="431">
        <v>0.22800000000000001</v>
      </c>
      <c r="AG88" s="431">
        <v>0.223</v>
      </c>
      <c r="AH88" s="431">
        <v>0.22800000000000001</v>
      </c>
      <c r="AI88" s="431">
        <v>0.23200000000000001</v>
      </c>
      <c r="AJ88" s="431">
        <v>0.22800000000000001</v>
      </c>
      <c r="AK88" s="431">
        <v>0.223</v>
      </c>
      <c r="AL88" s="431">
        <v>0.223</v>
      </c>
      <c r="AM88" s="431">
        <v>0.22800000000000001</v>
      </c>
      <c r="AN88" s="431">
        <v>0.22800000000000001</v>
      </c>
      <c r="AO88" s="431">
        <v>0.22800000000000001</v>
      </c>
      <c r="AP88" s="432">
        <v>0.22800000000000001</v>
      </c>
      <c r="AQ88" s="432">
        <v>0.22800000000000001</v>
      </c>
      <c r="AR88" s="432">
        <v>0.22800000000000001</v>
      </c>
      <c r="AS88" s="432">
        <v>0.22800000000000001</v>
      </c>
      <c r="AT88" s="431">
        <v>0.22800000000000001</v>
      </c>
      <c r="AU88" s="431">
        <v>0.22800000000000001</v>
      </c>
      <c r="AV88" s="431">
        <v>0.223</v>
      </c>
      <c r="AW88" s="291">
        <v>6.9683131431508005E-2</v>
      </c>
      <c r="AY88" s="306">
        <f t="shared" si="15"/>
        <v>0.223</v>
      </c>
      <c r="AZ88" s="306">
        <f t="shared" si="16"/>
        <v>0.223</v>
      </c>
      <c r="BA88" s="309">
        <f t="shared" si="17"/>
        <v>0.223</v>
      </c>
      <c r="BB88" s="308">
        <f t="shared" si="18"/>
        <v>38961</v>
      </c>
      <c r="BC88" s="306">
        <f t="shared" si="12"/>
        <v>0.66256512196763362</v>
      </c>
      <c r="BD88" s="306">
        <f t="shared" si="13"/>
        <v>0.66268938689507606</v>
      </c>
      <c r="BF88" s="308">
        <f t="shared" si="19"/>
        <v>38961</v>
      </c>
      <c r="BG88" s="291">
        <v>76</v>
      </c>
    </row>
    <row r="89" spans="2:62" x14ac:dyDescent="0.25">
      <c r="B89" s="296">
        <f t="shared" si="14"/>
        <v>38991</v>
      </c>
      <c r="C89" s="294">
        <v>2.887</v>
      </c>
      <c r="D89" s="294">
        <v>0.22750000000000001</v>
      </c>
      <c r="E89" s="294">
        <v>6.9983822548923005E-2</v>
      </c>
      <c r="F89" s="294">
        <v>-0.19500000000000001</v>
      </c>
      <c r="G89" s="294">
        <v>7.4999999999999997E-3</v>
      </c>
      <c r="H89" s="294">
        <v>-0.19500000000000001</v>
      </c>
      <c r="I89" s="294">
        <v>9.2499999999999999E-2</v>
      </c>
      <c r="J89" s="294">
        <v>0.1875</v>
      </c>
      <c r="K89" s="294">
        <v>0.215</v>
      </c>
      <c r="L89" s="294">
        <v>-0.06</v>
      </c>
      <c r="M89" s="294">
        <v>-0.02</v>
      </c>
      <c r="N89" s="294">
        <v>-0.36</v>
      </c>
      <c r="O89" s="294">
        <v>-0.28999999999999998</v>
      </c>
      <c r="P89" s="294">
        <v>6.4999999999999997E-3</v>
      </c>
      <c r="Q89" s="294">
        <v>5.0000000000000001E-4</v>
      </c>
      <c r="R89" s="291">
        <v>-2.5499999999999998E-2</v>
      </c>
      <c r="S89" s="291">
        <v>-5.7500000000000002E-2</v>
      </c>
      <c r="T89" s="291">
        <v>-0.13</v>
      </c>
      <c r="U89" s="291">
        <v>-3.1E-2</v>
      </c>
      <c r="V89" s="291">
        <v>-0.10100000000000001</v>
      </c>
      <c r="W89" s="291">
        <v>-0.12</v>
      </c>
      <c r="X89" s="291">
        <v>0.46100000000000002</v>
      </c>
      <c r="Y89" s="291">
        <v>5.0000000000000001E-3</v>
      </c>
      <c r="Z89" s="291">
        <v>-0.19500000000000001</v>
      </c>
      <c r="AA89" s="291">
        <v>-0.02</v>
      </c>
      <c r="AB89" s="306">
        <v>0.28999999999999998</v>
      </c>
      <c r="AC89" s="306">
        <v>0.36249999999999999</v>
      </c>
      <c r="AD89" s="306">
        <v>0.1875</v>
      </c>
      <c r="AE89" s="431">
        <v>0.22800000000000001</v>
      </c>
      <c r="AF89" s="431">
        <v>0.22800000000000001</v>
      </c>
      <c r="AG89" s="431">
        <v>0.223</v>
      </c>
      <c r="AH89" s="431">
        <v>0.22800000000000001</v>
      </c>
      <c r="AI89" s="431">
        <v>0.23200000000000001</v>
      </c>
      <c r="AJ89" s="431">
        <v>0.22800000000000001</v>
      </c>
      <c r="AK89" s="431">
        <v>0.223</v>
      </c>
      <c r="AL89" s="431">
        <v>0.223</v>
      </c>
      <c r="AM89" s="431">
        <v>0.22800000000000001</v>
      </c>
      <c r="AN89" s="431">
        <v>0.22800000000000001</v>
      </c>
      <c r="AO89" s="431">
        <v>0.22800000000000001</v>
      </c>
      <c r="AP89" s="432">
        <v>0.22800000000000001</v>
      </c>
      <c r="AQ89" s="432">
        <v>0.22800000000000001</v>
      </c>
      <c r="AR89" s="432">
        <v>0.22800000000000001</v>
      </c>
      <c r="AS89" s="432">
        <v>0.22800000000000001</v>
      </c>
      <c r="AT89" s="431">
        <v>0.22800000000000001</v>
      </c>
      <c r="AU89" s="431">
        <v>0.22800000000000001</v>
      </c>
      <c r="AV89" s="431">
        <v>0.223</v>
      </c>
      <c r="AW89" s="291">
        <v>6.9706566624975999E-2</v>
      </c>
      <c r="AY89" s="306">
        <f t="shared" si="15"/>
        <v>0.223</v>
      </c>
      <c r="AZ89" s="306">
        <f t="shared" si="16"/>
        <v>0.223</v>
      </c>
      <c r="BA89" s="309">
        <f t="shared" si="17"/>
        <v>0.223</v>
      </c>
      <c r="BB89" s="308">
        <f t="shared" si="18"/>
        <v>38991</v>
      </c>
      <c r="BC89" s="306">
        <f t="shared" si="12"/>
        <v>0.65875710583998859</v>
      </c>
      <c r="BD89" s="306">
        <f t="shared" si="13"/>
        <v>0.65888069742075661</v>
      </c>
      <c r="BF89" s="308">
        <f t="shared" si="19"/>
        <v>38991</v>
      </c>
      <c r="BG89" s="291">
        <v>77</v>
      </c>
    </row>
    <row r="90" spans="2:62" x14ac:dyDescent="0.25">
      <c r="B90" s="296">
        <f t="shared" si="14"/>
        <v>39022</v>
      </c>
      <c r="C90" s="294">
        <v>2.964</v>
      </c>
      <c r="D90" s="294">
        <v>0.23</v>
      </c>
      <c r="E90" s="294">
        <v>6.9995326642573005E-2</v>
      </c>
      <c r="F90" s="294">
        <v>-0.19</v>
      </c>
      <c r="G90" s="294">
        <v>-3.2500000000000001E-2</v>
      </c>
      <c r="H90" s="294">
        <v>-0.19</v>
      </c>
      <c r="I90" s="294">
        <v>0.13500000000000001</v>
      </c>
      <c r="J90" s="294">
        <v>0.27</v>
      </c>
      <c r="K90" s="294">
        <v>0.28749999999999998</v>
      </c>
      <c r="L90" s="294">
        <v>-7.4999999999999997E-2</v>
      </c>
      <c r="M90" s="294">
        <v>-1.2500000000000001E-2</v>
      </c>
      <c r="N90" s="294">
        <v>-0.28000000000000003</v>
      </c>
      <c r="O90" s="294">
        <v>0</v>
      </c>
      <c r="P90" s="294">
        <v>1.4E-2</v>
      </c>
      <c r="Q90" s="294">
        <v>-7.4999999999999997E-3</v>
      </c>
      <c r="R90" s="291">
        <v>-2.8500000000000001E-2</v>
      </c>
      <c r="S90" s="291">
        <v>-5.7500000000000002E-2</v>
      </c>
      <c r="T90" s="291">
        <v>-9.2499999999999999E-2</v>
      </c>
      <c r="U90" s="291">
        <v>-0.03</v>
      </c>
      <c r="V90" s="291">
        <v>-9.8500000000000004E-2</v>
      </c>
      <c r="W90" s="291">
        <v>-0.13250000000000001</v>
      </c>
      <c r="X90" s="291">
        <v>0.76749999999999996</v>
      </c>
      <c r="Y90" s="291">
        <v>5.0000000000000001E-3</v>
      </c>
      <c r="Z90" s="291">
        <v>-0.19</v>
      </c>
      <c r="AA90" s="291">
        <v>-2.1499999999999998E-2</v>
      </c>
      <c r="AB90" s="306">
        <v>0.12</v>
      </c>
      <c r="AC90" s="306">
        <v>0.46500000000000002</v>
      </c>
      <c r="AD90" s="306">
        <v>0.23</v>
      </c>
      <c r="AE90" s="431">
        <v>0.23</v>
      </c>
      <c r="AF90" s="431">
        <v>0.23</v>
      </c>
      <c r="AG90" s="431">
        <v>0.253</v>
      </c>
      <c r="AH90" s="431">
        <v>0.23</v>
      </c>
      <c r="AI90" s="431">
        <v>0.23499999999999999</v>
      </c>
      <c r="AJ90" s="431">
        <v>0.23</v>
      </c>
      <c r="AK90" s="431">
        <v>0.23</v>
      </c>
      <c r="AL90" s="431">
        <v>0.23</v>
      </c>
      <c r="AM90" s="431">
        <v>0.23</v>
      </c>
      <c r="AN90" s="431">
        <v>0.23</v>
      </c>
      <c r="AO90" s="431">
        <v>0.23</v>
      </c>
      <c r="AP90" s="432">
        <v>0.23</v>
      </c>
      <c r="AQ90" s="432">
        <v>0.23</v>
      </c>
      <c r="AR90" s="432">
        <v>0.23</v>
      </c>
      <c r="AS90" s="432">
        <v>0.23</v>
      </c>
      <c r="AT90" s="431">
        <v>0.23</v>
      </c>
      <c r="AU90" s="431">
        <v>0.23</v>
      </c>
      <c r="AV90" s="431">
        <v>0.253</v>
      </c>
      <c r="AW90" s="291">
        <v>6.9730782991750007E-2</v>
      </c>
      <c r="AY90" s="306">
        <f t="shared" si="15"/>
        <v>0.253</v>
      </c>
      <c r="AZ90" s="306">
        <f t="shared" si="16"/>
        <v>0.253</v>
      </c>
      <c r="BA90" s="309">
        <f t="shared" si="17"/>
        <v>0.253</v>
      </c>
      <c r="BB90" s="308">
        <f t="shared" si="18"/>
        <v>39022</v>
      </c>
      <c r="BC90" s="306">
        <f t="shared" si="12"/>
        <v>0.65484258882182944</v>
      </c>
      <c r="BD90" s="306">
        <f t="shared" si="13"/>
        <v>0.65496548794919096</v>
      </c>
      <c r="BF90" s="308">
        <f t="shared" si="19"/>
        <v>39022</v>
      </c>
      <c r="BG90" s="291">
        <v>78</v>
      </c>
    </row>
    <row r="91" spans="2:62" x14ac:dyDescent="0.25">
      <c r="B91" s="296">
        <f t="shared" si="14"/>
        <v>39052</v>
      </c>
      <c r="C91" s="294">
        <v>3.0409999999999999</v>
      </c>
      <c r="D91" s="294">
        <v>0.24</v>
      </c>
      <c r="E91" s="294">
        <v>7.0006459636468996E-2</v>
      </c>
      <c r="F91" s="294">
        <v>-0.19750000000000001</v>
      </c>
      <c r="G91" s="294">
        <v>-5.5E-2</v>
      </c>
      <c r="H91" s="294">
        <v>-0.19750000000000001</v>
      </c>
      <c r="I91" s="294">
        <v>0.17499999999999999</v>
      </c>
      <c r="J91" s="294">
        <v>0.30499999999999999</v>
      </c>
      <c r="K91" s="294">
        <v>0.33750000000000002</v>
      </c>
      <c r="L91" s="294">
        <v>-7.4999999999999997E-2</v>
      </c>
      <c r="M91" s="294">
        <v>-1.2500000000000001E-2</v>
      </c>
      <c r="N91" s="294">
        <v>-0.28000000000000003</v>
      </c>
      <c r="O91" s="294">
        <v>0.06</v>
      </c>
      <c r="P91" s="294">
        <v>1.4E-2</v>
      </c>
      <c r="Q91" s="294">
        <v>-7.4999999999999997E-3</v>
      </c>
      <c r="R91" s="291">
        <v>-2.8500000000000001E-2</v>
      </c>
      <c r="S91" s="291">
        <v>-5.7500000000000002E-2</v>
      </c>
      <c r="T91" s="291">
        <v>-8.5000000000000006E-2</v>
      </c>
      <c r="U91" s="291">
        <v>-0.03</v>
      </c>
      <c r="V91" s="291">
        <v>-0.13350000000000001</v>
      </c>
      <c r="W91" s="291">
        <v>-0.1275</v>
      </c>
      <c r="X91" s="291">
        <v>1.19</v>
      </c>
      <c r="Y91" s="291">
        <v>5.0000000000000001E-3</v>
      </c>
      <c r="Z91" s="291">
        <v>-0.19</v>
      </c>
      <c r="AA91" s="291">
        <v>-2.1499999999999998E-2</v>
      </c>
      <c r="AB91" s="306">
        <v>0.12</v>
      </c>
      <c r="AC91" s="306">
        <v>0.8</v>
      </c>
      <c r="AD91" s="306">
        <v>0.27</v>
      </c>
      <c r="AE91" s="431">
        <v>0.24</v>
      </c>
      <c r="AF91" s="431">
        <v>0.24</v>
      </c>
      <c r="AG91" s="431">
        <v>0.26400000000000001</v>
      </c>
      <c r="AH91" s="431">
        <v>0.24</v>
      </c>
      <c r="AI91" s="431">
        <v>0.245</v>
      </c>
      <c r="AJ91" s="431">
        <v>0.24</v>
      </c>
      <c r="AK91" s="431">
        <v>0.24</v>
      </c>
      <c r="AL91" s="431">
        <v>0.24</v>
      </c>
      <c r="AM91" s="431">
        <v>0.24</v>
      </c>
      <c r="AN91" s="431">
        <v>0.24</v>
      </c>
      <c r="AO91" s="431">
        <v>0.24</v>
      </c>
      <c r="AP91" s="432">
        <v>0.24</v>
      </c>
      <c r="AQ91" s="432">
        <v>0.24</v>
      </c>
      <c r="AR91" s="432">
        <v>0.24</v>
      </c>
      <c r="AS91" s="432">
        <v>0.24</v>
      </c>
      <c r="AT91" s="431">
        <v>0.24</v>
      </c>
      <c r="AU91" s="431">
        <v>0.24</v>
      </c>
      <c r="AV91" s="431">
        <v>0.26400000000000001</v>
      </c>
      <c r="AW91" s="291">
        <v>6.9754218185585998E-2</v>
      </c>
      <c r="AY91" s="306">
        <f t="shared" si="15"/>
        <v>0.26400000000000001</v>
      </c>
      <c r="AZ91" s="306">
        <f t="shared" si="16"/>
        <v>0.26400000000000001</v>
      </c>
      <c r="BA91" s="309">
        <f t="shared" si="17"/>
        <v>0.26400000000000001</v>
      </c>
      <c r="BB91" s="308">
        <f t="shared" si="18"/>
        <v>39052</v>
      </c>
      <c r="BC91" s="306">
        <f t="shared" si="12"/>
        <v>0.65107403433504063</v>
      </c>
      <c r="BD91" s="306">
        <f t="shared" si="13"/>
        <v>0.65119626656424678</v>
      </c>
      <c r="BF91" s="308">
        <f t="shared" si="19"/>
        <v>39052</v>
      </c>
      <c r="BG91" s="291">
        <v>79</v>
      </c>
    </row>
    <row r="92" spans="2:62" x14ac:dyDescent="0.25">
      <c r="B92" s="296">
        <f t="shared" si="14"/>
        <v>39083</v>
      </c>
      <c r="C92" s="294">
        <v>3.3050000000000002</v>
      </c>
      <c r="D92" s="294">
        <v>0.245</v>
      </c>
      <c r="E92" s="294">
        <v>7.0017963730203997E-2</v>
      </c>
      <c r="F92" s="294">
        <v>-0.2</v>
      </c>
      <c r="G92" s="294">
        <v>-5.7500000000000002E-2</v>
      </c>
      <c r="H92" s="294">
        <v>-0.2</v>
      </c>
      <c r="I92" s="294">
        <v>0.22</v>
      </c>
      <c r="J92" s="294">
        <v>0.30499999999999999</v>
      </c>
      <c r="K92" s="294">
        <v>0.4375</v>
      </c>
      <c r="L92" s="294">
        <v>-7.4999999999999997E-2</v>
      </c>
      <c r="M92" s="294">
        <v>-1.0500000000000001E-2</v>
      </c>
      <c r="N92" s="294">
        <v>-0.28000000000000003</v>
      </c>
      <c r="O92" s="294">
        <v>0.13</v>
      </c>
      <c r="P92" s="294">
        <v>1.4E-2</v>
      </c>
      <c r="Q92" s="294">
        <v>-7.4999999999999997E-3</v>
      </c>
      <c r="R92" s="291">
        <v>-2.4E-2</v>
      </c>
      <c r="S92" s="291">
        <v>-5.7500000000000002E-2</v>
      </c>
      <c r="T92" s="291">
        <v>-7.0000000000000007E-2</v>
      </c>
      <c r="U92" s="291">
        <v>-0.03</v>
      </c>
      <c r="V92" s="291">
        <v>-0.13900000000000001</v>
      </c>
      <c r="W92" s="291">
        <v>-0.1275</v>
      </c>
      <c r="X92" s="291">
        <v>1.5249999999999999</v>
      </c>
      <c r="Y92" s="291">
        <v>5.0000000000000001E-3</v>
      </c>
      <c r="Z92" s="291">
        <v>-0.19</v>
      </c>
      <c r="AA92" s="291">
        <v>-2.1499999999999998E-2</v>
      </c>
      <c r="AB92" s="306">
        <v>0.12</v>
      </c>
      <c r="AC92" s="306">
        <v>0.97499999999999998</v>
      </c>
      <c r="AD92" s="306">
        <v>0.315</v>
      </c>
      <c r="AE92" s="431">
        <v>0.245</v>
      </c>
      <c r="AF92" s="431">
        <v>0.245</v>
      </c>
      <c r="AG92" s="431">
        <v>0.27</v>
      </c>
      <c r="AH92" s="431">
        <v>0.245</v>
      </c>
      <c r="AI92" s="431">
        <v>0.25</v>
      </c>
      <c r="AJ92" s="431">
        <v>0.245</v>
      </c>
      <c r="AK92" s="431">
        <v>0.245</v>
      </c>
      <c r="AL92" s="431">
        <v>0.245</v>
      </c>
      <c r="AM92" s="431">
        <v>0.245</v>
      </c>
      <c r="AN92" s="431">
        <v>0.245</v>
      </c>
      <c r="AO92" s="431">
        <v>0.245</v>
      </c>
      <c r="AP92" s="432">
        <v>0.245</v>
      </c>
      <c r="AQ92" s="432">
        <v>0.245</v>
      </c>
      <c r="AR92" s="432">
        <v>0.245</v>
      </c>
      <c r="AS92" s="432">
        <v>0.245</v>
      </c>
      <c r="AT92" s="431">
        <v>0.245</v>
      </c>
      <c r="AU92" s="431">
        <v>0.245</v>
      </c>
      <c r="AV92" s="431">
        <v>0.27</v>
      </c>
      <c r="AW92" s="291">
        <v>6.9778434552742005E-2</v>
      </c>
      <c r="AY92" s="306">
        <f t="shared" si="15"/>
        <v>0.27</v>
      </c>
      <c r="AZ92" s="306">
        <f t="shared" si="16"/>
        <v>0.27</v>
      </c>
      <c r="BA92" s="309">
        <f t="shared" si="17"/>
        <v>0.27</v>
      </c>
      <c r="BB92" s="308">
        <f t="shared" si="18"/>
        <v>39083</v>
      </c>
      <c r="BC92" s="306">
        <f t="shared" si="12"/>
        <v>0.64720011579452597</v>
      </c>
      <c r="BD92" s="306">
        <f t="shared" si="13"/>
        <v>0.64732166220799758</v>
      </c>
      <c r="BF92" s="308">
        <f t="shared" si="19"/>
        <v>39083</v>
      </c>
      <c r="BG92" s="291">
        <v>80</v>
      </c>
    </row>
    <row r="93" spans="2:62" x14ac:dyDescent="0.25">
      <c r="B93" s="296">
        <f t="shared" si="14"/>
        <v>39114</v>
      </c>
      <c r="C93" s="294">
        <v>3.1789999999999998</v>
      </c>
      <c r="D93" s="294">
        <v>0.23</v>
      </c>
      <c r="E93" s="294">
        <v>7.0029467823984004E-2</v>
      </c>
      <c r="F93" s="294">
        <v>-0.20250000000000001</v>
      </c>
      <c r="G93" s="294">
        <v>-0.04</v>
      </c>
      <c r="H93" s="294">
        <v>-0.20250000000000001</v>
      </c>
      <c r="I93" s="294">
        <v>0.19500000000000001</v>
      </c>
      <c r="J93" s="294">
        <v>0.30499999999999999</v>
      </c>
      <c r="K93" s="294">
        <v>0.435</v>
      </c>
      <c r="L93" s="294">
        <v>-7.4999999999999997E-2</v>
      </c>
      <c r="M93" s="294">
        <v>-1.0500000000000001E-2</v>
      </c>
      <c r="N93" s="294">
        <v>-0.28000000000000003</v>
      </c>
      <c r="O93" s="294">
        <v>0</v>
      </c>
      <c r="P93" s="294">
        <v>1.4E-2</v>
      </c>
      <c r="Q93" s="294">
        <v>-7.4999999999999997E-3</v>
      </c>
      <c r="R93" s="291">
        <v>-2.4E-2</v>
      </c>
      <c r="S93" s="291">
        <v>-5.7500000000000002E-2</v>
      </c>
      <c r="T93" s="291">
        <v>-7.0000000000000007E-2</v>
      </c>
      <c r="U93" s="291">
        <v>-0.03</v>
      </c>
      <c r="V93" s="291">
        <v>-0.1215</v>
      </c>
      <c r="W93" s="291">
        <v>-0.1275</v>
      </c>
      <c r="X93" s="291">
        <v>1.4550000000000001</v>
      </c>
      <c r="Y93" s="291">
        <v>5.0000000000000001E-3</v>
      </c>
      <c r="Z93" s="291">
        <v>-0.19</v>
      </c>
      <c r="AA93" s="291">
        <v>-2.1499999999999998E-2</v>
      </c>
      <c r="AB93" s="306">
        <v>0.12</v>
      </c>
      <c r="AC93" s="306">
        <v>0.97499999999999998</v>
      </c>
      <c r="AD93" s="306">
        <v>0.28999999999999998</v>
      </c>
      <c r="AE93" s="431">
        <v>0.23</v>
      </c>
      <c r="AF93" s="431">
        <v>0.23</v>
      </c>
      <c r="AG93" s="431">
        <v>0.253</v>
      </c>
      <c r="AH93" s="431">
        <v>0.23</v>
      </c>
      <c r="AI93" s="431">
        <v>0.23499999999999999</v>
      </c>
      <c r="AJ93" s="431">
        <v>0.23</v>
      </c>
      <c r="AK93" s="431">
        <v>0.23</v>
      </c>
      <c r="AL93" s="431">
        <v>0.23</v>
      </c>
      <c r="AM93" s="431">
        <v>0.23</v>
      </c>
      <c r="AN93" s="431">
        <v>0.23</v>
      </c>
      <c r="AO93" s="431">
        <v>0.23</v>
      </c>
      <c r="AP93" s="432">
        <v>0.23</v>
      </c>
      <c r="AQ93" s="432">
        <v>0.23</v>
      </c>
      <c r="AR93" s="432">
        <v>0.23</v>
      </c>
      <c r="AS93" s="432">
        <v>0.23</v>
      </c>
      <c r="AT93" s="431">
        <v>0.23</v>
      </c>
      <c r="AU93" s="431">
        <v>0.23</v>
      </c>
      <c r="AV93" s="431">
        <v>0.253</v>
      </c>
      <c r="AW93" s="291">
        <v>6.9802650920090997E-2</v>
      </c>
      <c r="AY93" s="306">
        <f t="shared" si="15"/>
        <v>0.253</v>
      </c>
      <c r="AZ93" s="306">
        <f t="shared" si="16"/>
        <v>0.253</v>
      </c>
      <c r="BA93" s="309">
        <f t="shared" si="17"/>
        <v>0.253</v>
      </c>
      <c r="BB93" s="308">
        <f t="shared" si="18"/>
        <v>39114</v>
      </c>
      <c r="BC93" s="306">
        <f t="shared" si="12"/>
        <v>0.6433466929312871</v>
      </c>
      <c r="BD93" s="306">
        <f t="shared" si="13"/>
        <v>0.64346755688255097</v>
      </c>
      <c r="BF93" s="308">
        <f t="shared" si="19"/>
        <v>39114</v>
      </c>
      <c r="BG93" s="291">
        <v>81</v>
      </c>
    </row>
    <row r="94" spans="2:62" x14ac:dyDescent="0.25">
      <c r="B94" s="296">
        <f t="shared" si="14"/>
        <v>39142</v>
      </c>
      <c r="C94" s="294">
        <v>3.0209999999999999</v>
      </c>
      <c r="D94" s="294">
        <v>0.22</v>
      </c>
      <c r="E94" s="294">
        <v>7.0039858618403006E-2</v>
      </c>
      <c r="F94" s="294">
        <v>-0.20499999999999999</v>
      </c>
      <c r="G94" s="294">
        <v>-2.75E-2</v>
      </c>
      <c r="H94" s="294">
        <v>-0.20499999999999999</v>
      </c>
      <c r="I94" s="294">
        <v>0.1925</v>
      </c>
      <c r="J94" s="294">
        <v>0.26500000000000001</v>
      </c>
      <c r="K94" s="294">
        <v>0.30249999999999999</v>
      </c>
      <c r="L94" s="294">
        <v>-7.4999999999999997E-2</v>
      </c>
      <c r="M94" s="294">
        <v>-1.0500000000000001E-2</v>
      </c>
      <c r="N94" s="294">
        <v>-0.28000000000000003</v>
      </c>
      <c r="O94" s="294">
        <v>-0.18</v>
      </c>
      <c r="P94" s="294">
        <v>1.4E-2</v>
      </c>
      <c r="Q94" s="294">
        <v>-7.4999999999999997E-3</v>
      </c>
      <c r="R94" s="291">
        <v>-2.4E-2</v>
      </c>
      <c r="S94" s="291">
        <v>-5.7500000000000002E-2</v>
      </c>
      <c r="T94" s="291">
        <v>-7.0000000000000007E-2</v>
      </c>
      <c r="U94" s="291">
        <v>-1.15E-2</v>
      </c>
      <c r="V94" s="291">
        <v>-0.104</v>
      </c>
      <c r="W94" s="291">
        <v>-0.13250000000000001</v>
      </c>
      <c r="X94" s="291">
        <v>0.83499999999999996</v>
      </c>
      <c r="Y94" s="291">
        <v>5.0000000000000001E-3</v>
      </c>
      <c r="Z94" s="291">
        <v>-0.19</v>
      </c>
      <c r="AA94" s="291">
        <v>-2.1499999999999998E-2</v>
      </c>
      <c r="AB94" s="306">
        <v>0.12</v>
      </c>
      <c r="AC94" s="306">
        <v>0.60750000000000004</v>
      </c>
      <c r="AD94" s="306">
        <v>0.28749999999999998</v>
      </c>
      <c r="AE94" s="431">
        <v>0.22</v>
      </c>
      <c r="AF94" s="431">
        <v>0.22</v>
      </c>
      <c r="AG94" s="431">
        <v>0.24199999999999999</v>
      </c>
      <c r="AH94" s="431">
        <v>0.22</v>
      </c>
      <c r="AI94" s="431">
        <v>0.224</v>
      </c>
      <c r="AJ94" s="431">
        <v>0.22</v>
      </c>
      <c r="AK94" s="431">
        <v>0.22</v>
      </c>
      <c r="AL94" s="431">
        <v>0.22</v>
      </c>
      <c r="AM94" s="431">
        <v>0.22</v>
      </c>
      <c r="AN94" s="431">
        <v>0.22</v>
      </c>
      <c r="AO94" s="431">
        <v>0.22</v>
      </c>
      <c r="AP94" s="432">
        <v>0.22</v>
      </c>
      <c r="AQ94" s="432">
        <v>0.22</v>
      </c>
      <c r="AR94" s="432">
        <v>0.22</v>
      </c>
      <c r="AS94" s="432">
        <v>0.22</v>
      </c>
      <c r="AT94" s="431">
        <v>0.22</v>
      </c>
      <c r="AU94" s="431">
        <v>0.22</v>
      </c>
      <c r="AV94" s="431">
        <v>0.24199999999999999</v>
      </c>
      <c r="AW94" s="291">
        <v>6.9824523768187E-2</v>
      </c>
      <c r="AY94" s="306">
        <f t="shared" si="15"/>
        <v>0.24199999999999999</v>
      </c>
      <c r="AZ94" s="306">
        <f t="shared" si="16"/>
        <v>0.24199999999999999</v>
      </c>
      <c r="BA94" s="309">
        <f t="shared" si="17"/>
        <v>0.24199999999999999</v>
      </c>
      <c r="BB94" s="308">
        <f t="shared" si="18"/>
        <v>39142</v>
      </c>
      <c r="BC94" s="306">
        <f t="shared" si="12"/>
        <v>0.63988372233206892</v>
      </c>
      <c r="BD94" s="306">
        <f t="shared" si="13"/>
        <v>0.6400039727372665</v>
      </c>
      <c r="BF94" s="308">
        <f t="shared" si="19"/>
        <v>39142</v>
      </c>
      <c r="BG94" s="291">
        <v>82</v>
      </c>
    </row>
    <row r="95" spans="2:62" x14ac:dyDescent="0.25">
      <c r="B95" s="296">
        <f t="shared" si="14"/>
        <v>39173</v>
      </c>
      <c r="C95" s="294">
        <v>2.855</v>
      </c>
      <c r="D95" s="294">
        <v>0.22</v>
      </c>
      <c r="E95" s="294">
        <v>7.0051362712266002E-2</v>
      </c>
      <c r="F95" s="294">
        <v>-0.19500000000000001</v>
      </c>
      <c r="G95" s="294">
        <v>1.4999999999999999E-2</v>
      </c>
      <c r="H95" s="294">
        <v>-0.19500000000000001</v>
      </c>
      <c r="I95" s="294">
        <v>9.7500000000000003E-2</v>
      </c>
      <c r="J95" s="294">
        <v>0.19500000000000001</v>
      </c>
      <c r="K95" s="294">
        <v>0.25</v>
      </c>
      <c r="L95" s="294">
        <v>-6.8000000000000005E-2</v>
      </c>
      <c r="M95" s="294">
        <v>-1.7999999999999999E-2</v>
      </c>
      <c r="N95" s="294">
        <v>-0.36</v>
      </c>
      <c r="O95" s="294">
        <v>-0.28999999999999998</v>
      </c>
      <c r="P95" s="294">
        <v>6.4999999999999997E-3</v>
      </c>
      <c r="Q95" s="294">
        <v>2.5000000000000001E-3</v>
      </c>
      <c r="R95" s="291">
        <v>-2.35E-2</v>
      </c>
      <c r="S95" s="291">
        <v>-5.5E-2</v>
      </c>
      <c r="T95" s="291">
        <v>-0.15</v>
      </c>
      <c r="U95" s="291">
        <v>-1.15E-2</v>
      </c>
      <c r="V95" s="291">
        <v>-9.6500000000000002E-2</v>
      </c>
      <c r="W95" s="291">
        <v>-0.12</v>
      </c>
      <c r="X95" s="291">
        <v>0.45</v>
      </c>
      <c r="Y95" s="291">
        <v>5.0000000000000001E-3</v>
      </c>
      <c r="Z95" s="291">
        <v>-0.19500000000000001</v>
      </c>
      <c r="AA95" s="291">
        <v>-1.9E-2</v>
      </c>
      <c r="AB95" s="306">
        <v>0.28999999999999998</v>
      </c>
      <c r="AC95" s="306">
        <v>0.35499999999999998</v>
      </c>
      <c r="AD95" s="306">
        <v>0.1925</v>
      </c>
      <c r="AE95" s="431">
        <v>0.22</v>
      </c>
      <c r="AF95" s="431">
        <v>0.22</v>
      </c>
      <c r="AG95" s="431">
        <v>0.216</v>
      </c>
      <c r="AH95" s="431">
        <v>0.22</v>
      </c>
      <c r="AI95" s="431">
        <v>0.224</v>
      </c>
      <c r="AJ95" s="431">
        <v>0.22</v>
      </c>
      <c r="AK95" s="431">
        <v>0.216</v>
      </c>
      <c r="AL95" s="431">
        <v>0.216</v>
      </c>
      <c r="AM95" s="431">
        <v>0.22</v>
      </c>
      <c r="AN95" s="431">
        <v>0.22</v>
      </c>
      <c r="AO95" s="431">
        <v>0.22</v>
      </c>
      <c r="AP95" s="432">
        <v>0.22</v>
      </c>
      <c r="AQ95" s="432">
        <v>0.22</v>
      </c>
      <c r="AR95" s="432">
        <v>0.22</v>
      </c>
      <c r="AS95" s="432">
        <v>0.22</v>
      </c>
      <c r="AT95" s="431">
        <v>0.22</v>
      </c>
      <c r="AU95" s="431">
        <v>0.22</v>
      </c>
      <c r="AV95" s="431">
        <v>0.216</v>
      </c>
      <c r="AW95" s="291">
        <v>6.9848740135905002E-2</v>
      </c>
      <c r="AY95" s="306">
        <f t="shared" si="15"/>
        <v>0.216</v>
      </c>
      <c r="AZ95" s="306">
        <f t="shared" si="16"/>
        <v>0.216</v>
      </c>
      <c r="BA95" s="309">
        <f t="shared" si="17"/>
        <v>0.216</v>
      </c>
      <c r="BB95" s="308">
        <f t="shared" si="18"/>
        <v>39173</v>
      </c>
      <c r="BC95" s="306">
        <f t="shared" si="12"/>
        <v>0.63606905488852206</v>
      </c>
      <c r="BD95" s="306">
        <f t="shared" si="13"/>
        <v>0.63618862917747088</v>
      </c>
      <c r="BF95" s="308">
        <f t="shared" si="19"/>
        <v>39173</v>
      </c>
      <c r="BG95" s="291">
        <v>83</v>
      </c>
    </row>
    <row r="96" spans="2:62" x14ac:dyDescent="0.25">
      <c r="B96" s="296">
        <f t="shared" si="14"/>
        <v>39203</v>
      </c>
      <c r="C96" s="294">
        <v>2.847</v>
      </c>
      <c r="D96" s="294">
        <v>0.22</v>
      </c>
      <c r="E96" s="294">
        <v>7.0062495706367994E-2</v>
      </c>
      <c r="F96" s="294">
        <v>-0.19500000000000001</v>
      </c>
      <c r="G96" s="294">
        <v>1.4999999999999999E-2</v>
      </c>
      <c r="H96" s="294">
        <v>-0.19500000000000001</v>
      </c>
      <c r="I96" s="294">
        <v>0.1075</v>
      </c>
      <c r="J96" s="294">
        <v>0.1825</v>
      </c>
      <c r="K96" s="294">
        <v>0.20250000000000001</v>
      </c>
      <c r="L96" s="294">
        <v>-6.8000000000000005E-2</v>
      </c>
      <c r="M96" s="294">
        <v>-1.7999999999999999E-2</v>
      </c>
      <c r="N96" s="294">
        <v>-0.36</v>
      </c>
      <c r="O96" s="294">
        <v>-0.28999999999999998</v>
      </c>
      <c r="P96" s="294">
        <v>6.4999999999999997E-3</v>
      </c>
      <c r="Q96" s="294">
        <v>2.5000000000000001E-3</v>
      </c>
      <c r="R96" s="291">
        <v>-2.35E-2</v>
      </c>
      <c r="S96" s="291">
        <v>-5.5E-2</v>
      </c>
      <c r="T96" s="291">
        <v>-0.16500000000000001</v>
      </c>
      <c r="U96" s="291">
        <v>-1.175E-2</v>
      </c>
      <c r="V96" s="291">
        <v>-9.6500000000000002E-2</v>
      </c>
      <c r="W96" s="291">
        <v>-0.12</v>
      </c>
      <c r="X96" s="291">
        <v>0.40500000000000003</v>
      </c>
      <c r="Y96" s="291">
        <v>5.0000000000000001E-3</v>
      </c>
      <c r="Z96" s="291">
        <v>-0.19500000000000001</v>
      </c>
      <c r="AA96" s="291">
        <v>-1.9E-2</v>
      </c>
      <c r="AB96" s="306">
        <v>0.28999999999999998</v>
      </c>
      <c r="AC96" s="306">
        <v>0.28749999999999998</v>
      </c>
      <c r="AD96" s="306">
        <v>0.20250000000000001</v>
      </c>
      <c r="AE96" s="431">
        <v>0.22</v>
      </c>
      <c r="AF96" s="431">
        <v>0.22</v>
      </c>
      <c r="AG96" s="431">
        <v>0.216</v>
      </c>
      <c r="AH96" s="431">
        <v>0.22</v>
      </c>
      <c r="AI96" s="431">
        <v>0.224</v>
      </c>
      <c r="AJ96" s="431">
        <v>0.22</v>
      </c>
      <c r="AK96" s="431">
        <v>0.216</v>
      </c>
      <c r="AL96" s="431">
        <v>0.216</v>
      </c>
      <c r="AM96" s="431">
        <v>0.22</v>
      </c>
      <c r="AN96" s="431">
        <v>0.22</v>
      </c>
      <c r="AO96" s="431">
        <v>0.22</v>
      </c>
      <c r="AP96" s="432">
        <v>0.22</v>
      </c>
      <c r="AQ96" s="432">
        <v>0.22</v>
      </c>
      <c r="AR96" s="432">
        <v>0.22</v>
      </c>
      <c r="AS96" s="432">
        <v>0.22</v>
      </c>
      <c r="AT96" s="431">
        <v>0.22</v>
      </c>
      <c r="AU96" s="431">
        <v>0.22</v>
      </c>
      <c r="AV96" s="431">
        <v>0.216</v>
      </c>
      <c r="AW96" s="291">
        <v>6.9872175330655997E-2</v>
      </c>
      <c r="AY96" s="306">
        <f t="shared" si="15"/>
        <v>0.216</v>
      </c>
      <c r="AZ96" s="306">
        <f t="shared" si="16"/>
        <v>0.216</v>
      </c>
      <c r="BA96" s="309">
        <f t="shared" si="17"/>
        <v>0.216</v>
      </c>
      <c r="BB96" s="308">
        <f t="shared" si="18"/>
        <v>39203</v>
      </c>
      <c r="BC96" s="306">
        <f t="shared" si="12"/>
        <v>0.63239670469861142</v>
      </c>
      <c r="BD96" s="306">
        <f t="shared" si="13"/>
        <v>0.63251562783813153</v>
      </c>
      <c r="BF96" s="308">
        <f t="shared" si="19"/>
        <v>39203</v>
      </c>
      <c r="BG96" s="291">
        <v>84</v>
      </c>
    </row>
    <row r="97" spans="2:59" x14ac:dyDescent="0.25">
      <c r="B97" s="296">
        <f t="shared" si="14"/>
        <v>39234</v>
      </c>
      <c r="C97" s="294">
        <v>2.871</v>
      </c>
      <c r="D97" s="294">
        <v>0.21</v>
      </c>
      <c r="E97" s="294">
        <v>7.0073999800317005E-2</v>
      </c>
      <c r="F97" s="294">
        <v>-0.19500000000000001</v>
      </c>
      <c r="G97" s="294">
        <v>0.02</v>
      </c>
      <c r="H97" s="294">
        <v>-0.19500000000000001</v>
      </c>
      <c r="I97" s="294">
        <v>0.10249999999999999</v>
      </c>
      <c r="J97" s="294">
        <v>0.1825</v>
      </c>
      <c r="K97" s="294">
        <v>0.20250000000000001</v>
      </c>
      <c r="L97" s="294">
        <v>-8.4000000000000005E-2</v>
      </c>
      <c r="M97" s="294">
        <v>-1.7999999999999999E-2</v>
      </c>
      <c r="N97" s="294">
        <v>-0.36</v>
      </c>
      <c r="O97" s="294">
        <v>-0.28999999999999998</v>
      </c>
      <c r="P97" s="294">
        <v>6.4999999999999997E-3</v>
      </c>
      <c r="Q97" s="294">
        <v>2.5000000000000001E-3</v>
      </c>
      <c r="R97" s="291">
        <v>-2.35E-2</v>
      </c>
      <c r="S97" s="291">
        <v>-5.5E-2</v>
      </c>
      <c r="T97" s="291">
        <v>-0.17499999999999999</v>
      </c>
      <c r="U97" s="291">
        <v>-1.175E-2</v>
      </c>
      <c r="V97" s="291">
        <v>-8.6499999999999994E-2</v>
      </c>
      <c r="W97" s="291">
        <v>-0.12</v>
      </c>
      <c r="X97" s="291">
        <v>0.39500000000000002</v>
      </c>
      <c r="Y97" s="291">
        <v>5.0000000000000001E-3</v>
      </c>
      <c r="Z97" s="291">
        <v>-0.19500000000000001</v>
      </c>
      <c r="AA97" s="291">
        <v>-1.9E-2</v>
      </c>
      <c r="AB97" s="306">
        <v>0.28999999999999998</v>
      </c>
      <c r="AC97" s="306">
        <v>0.28749999999999998</v>
      </c>
      <c r="AD97" s="306">
        <v>0.19750000000000001</v>
      </c>
      <c r="AE97" s="431">
        <v>0.21</v>
      </c>
      <c r="AF97" s="431">
        <v>0.21</v>
      </c>
      <c r="AG97" s="431">
        <v>0.20599999999999999</v>
      </c>
      <c r="AH97" s="431">
        <v>0.21</v>
      </c>
      <c r="AI97" s="431">
        <v>0.214</v>
      </c>
      <c r="AJ97" s="431">
        <v>0.21</v>
      </c>
      <c r="AK97" s="431">
        <v>0.20599999999999999</v>
      </c>
      <c r="AL97" s="431">
        <v>0.20599999999999999</v>
      </c>
      <c r="AM97" s="431">
        <v>0.21</v>
      </c>
      <c r="AN97" s="431">
        <v>0.21</v>
      </c>
      <c r="AO97" s="431">
        <v>0.21</v>
      </c>
      <c r="AP97" s="432">
        <v>0.21</v>
      </c>
      <c r="AQ97" s="432">
        <v>0.21</v>
      </c>
      <c r="AR97" s="432">
        <v>0.21</v>
      </c>
      <c r="AS97" s="432">
        <v>0.21</v>
      </c>
      <c r="AT97" s="431">
        <v>0.21</v>
      </c>
      <c r="AU97" s="431">
        <v>0.21</v>
      </c>
      <c r="AV97" s="431">
        <v>0.20599999999999999</v>
      </c>
      <c r="AW97" s="291">
        <v>6.9896391698756E-2</v>
      </c>
      <c r="AY97" s="306">
        <f t="shared" si="15"/>
        <v>0.20599999999999999</v>
      </c>
      <c r="AZ97" s="306">
        <f t="shared" si="16"/>
        <v>0.20599999999999999</v>
      </c>
      <c r="BA97" s="309">
        <f t="shared" si="17"/>
        <v>0.20599999999999999</v>
      </c>
      <c r="BB97" s="308">
        <f t="shared" si="18"/>
        <v>39234</v>
      </c>
      <c r="BC97" s="306">
        <f t="shared" si="12"/>
        <v>0.62862176022760641</v>
      </c>
      <c r="BD97" s="306">
        <f t="shared" si="13"/>
        <v>0.62874001376175981</v>
      </c>
      <c r="BF97" s="308">
        <f t="shared" si="19"/>
        <v>39234</v>
      </c>
      <c r="BG97" s="291">
        <v>85</v>
      </c>
    </row>
    <row r="98" spans="2:59" x14ac:dyDescent="0.25">
      <c r="B98" s="296">
        <f t="shared" si="14"/>
        <v>39264</v>
      </c>
      <c r="C98" s="294">
        <v>2.8929999999999998</v>
      </c>
      <c r="D98" s="294">
        <v>0.21</v>
      </c>
      <c r="E98" s="294">
        <v>7.0085132794502E-2</v>
      </c>
      <c r="F98" s="294">
        <v>-0.19500000000000001</v>
      </c>
      <c r="G98" s="294">
        <v>2.2499999999999999E-2</v>
      </c>
      <c r="H98" s="294">
        <v>-0.19500000000000001</v>
      </c>
      <c r="I98" s="294">
        <v>9.2499999999999999E-2</v>
      </c>
      <c r="J98" s="294">
        <v>0.1825</v>
      </c>
      <c r="K98" s="294">
        <v>0.215</v>
      </c>
      <c r="L98" s="294">
        <v>-7.6999999999999999E-2</v>
      </c>
      <c r="M98" s="294">
        <v>-1.7999999999999999E-2</v>
      </c>
      <c r="N98" s="294">
        <v>-0.36</v>
      </c>
      <c r="O98" s="294">
        <v>-0.28999999999999998</v>
      </c>
      <c r="P98" s="294">
        <v>6.4999999999999997E-3</v>
      </c>
      <c r="Q98" s="294">
        <v>2.5000000000000001E-3</v>
      </c>
      <c r="R98" s="291">
        <v>-2.35E-2</v>
      </c>
      <c r="S98" s="291">
        <v>-5.5E-2</v>
      </c>
      <c r="T98" s="291">
        <v>-0.17499999999999999</v>
      </c>
      <c r="U98" s="291">
        <v>-1.175E-2</v>
      </c>
      <c r="V98" s="291">
        <v>-8.1500000000000003E-2</v>
      </c>
      <c r="W98" s="291">
        <v>-0.12</v>
      </c>
      <c r="X98" s="291">
        <v>0.43</v>
      </c>
      <c r="Y98" s="291">
        <v>5.0000000000000001E-3</v>
      </c>
      <c r="Z98" s="291">
        <v>-0.19500000000000001</v>
      </c>
      <c r="AA98" s="291">
        <v>-1.9E-2</v>
      </c>
      <c r="AB98" s="306">
        <v>0.28999999999999998</v>
      </c>
      <c r="AC98" s="306">
        <v>0.3</v>
      </c>
      <c r="AD98" s="306">
        <v>0.1875</v>
      </c>
      <c r="AE98" s="431">
        <v>0.21</v>
      </c>
      <c r="AF98" s="431">
        <v>0.21</v>
      </c>
      <c r="AG98" s="431">
        <v>0.20599999999999999</v>
      </c>
      <c r="AH98" s="431">
        <v>0.21</v>
      </c>
      <c r="AI98" s="431">
        <v>0.214</v>
      </c>
      <c r="AJ98" s="431">
        <v>0.21</v>
      </c>
      <c r="AK98" s="431">
        <v>0.20599999999999999</v>
      </c>
      <c r="AL98" s="431">
        <v>0.20599999999999999</v>
      </c>
      <c r="AM98" s="431">
        <v>0.21</v>
      </c>
      <c r="AN98" s="431">
        <v>0.21</v>
      </c>
      <c r="AO98" s="431">
        <v>0.21</v>
      </c>
      <c r="AP98" s="432">
        <v>0.21</v>
      </c>
      <c r="AQ98" s="432">
        <v>0.21</v>
      </c>
      <c r="AR98" s="432">
        <v>0.21</v>
      </c>
      <c r="AS98" s="432">
        <v>0.21</v>
      </c>
      <c r="AT98" s="431">
        <v>0.21</v>
      </c>
      <c r="AU98" s="431">
        <v>0.21</v>
      </c>
      <c r="AV98" s="431">
        <v>0.20599999999999999</v>
      </c>
      <c r="AW98" s="291">
        <v>6.9919826893877005E-2</v>
      </c>
      <c r="AY98" s="306">
        <f t="shared" si="15"/>
        <v>0.20599999999999999</v>
      </c>
      <c r="AZ98" s="306">
        <f t="shared" si="16"/>
        <v>0.20599999999999999</v>
      </c>
      <c r="BA98" s="309">
        <f t="shared" si="17"/>
        <v>0.20599999999999999</v>
      </c>
      <c r="BB98" s="308">
        <f t="shared" si="18"/>
        <v>39264</v>
      </c>
      <c r="BC98" s="306">
        <f t="shared" si="12"/>
        <v>0.6249876821394551</v>
      </c>
      <c r="BD98" s="306">
        <f t="shared" si="13"/>
        <v>0.62510529080043165</v>
      </c>
      <c r="BF98" s="308">
        <f t="shared" si="19"/>
        <v>39264</v>
      </c>
      <c r="BG98" s="291">
        <v>86</v>
      </c>
    </row>
    <row r="99" spans="2:59" x14ac:dyDescent="0.25">
      <c r="B99" s="296">
        <f t="shared" si="14"/>
        <v>39295</v>
      </c>
      <c r="C99" s="294">
        <v>2.9140000000000001</v>
      </c>
      <c r="D99" s="294">
        <v>0.21</v>
      </c>
      <c r="E99" s="294">
        <v>7.0096636888536998E-2</v>
      </c>
      <c r="F99" s="294">
        <v>-0.19500000000000001</v>
      </c>
      <c r="G99" s="294">
        <v>2.5000000000000001E-2</v>
      </c>
      <c r="H99" s="294">
        <v>-0.19500000000000001</v>
      </c>
      <c r="I99" s="294">
        <v>0.09</v>
      </c>
      <c r="J99" s="294">
        <v>0.1825</v>
      </c>
      <c r="K99" s="294">
        <v>0.215</v>
      </c>
      <c r="L99" s="294">
        <v>-6.8000000000000005E-2</v>
      </c>
      <c r="M99" s="294">
        <v>-1.7999999999999999E-2</v>
      </c>
      <c r="N99" s="294">
        <v>-0.36</v>
      </c>
      <c r="O99" s="294">
        <v>-0.28999999999999998</v>
      </c>
      <c r="P99" s="294">
        <v>6.4999999999999997E-3</v>
      </c>
      <c r="Q99" s="294">
        <v>2.5000000000000001E-3</v>
      </c>
      <c r="R99" s="291">
        <v>-2.35E-2</v>
      </c>
      <c r="S99" s="291">
        <v>-5.5E-2</v>
      </c>
      <c r="T99" s="291">
        <v>-0.17499999999999999</v>
      </c>
      <c r="U99" s="291">
        <v>-1.175E-2</v>
      </c>
      <c r="V99" s="291">
        <v>-8.1500000000000003E-2</v>
      </c>
      <c r="W99" s="291">
        <v>-0.12</v>
      </c>
      <c r="X99" s="291">
        <v>0.495</v>
      </c>
      <c r="Y99" s="291">
        <v>5.0000000000000001E-3</v>
      </c>
      <c r="Z99" s="291">
        <v>-0.19500000000000001</v>
      </c>
      <c r="AA99" s="291">
        <v>-1.9E-2</v>
      </c>
      <c r="AB99" s="306">
        <v>0.28999999999999998</v>
      </c>
      <c r="AC99" s="306">
        <v>0.3</v>
      </c>
      <c r="AD99" s="306">
        <v>0.185</v>
      </c>
      <c r="AE99" s="431">
        <v>0.21</v>
      </c>
      <c r="AF99" s="431">
        <v>0.21</v>
      </c>
      <c r="AG99" s="431">
        <v>0.20599999999999999</v>
      </c>
      <c r="AH99" s="431">
        <v>0.21</v>
      </c>
      <c r="AI99" s="431">
        <v>0.214</v>
      </c>
      <c r="AJ99" s="431">
        <v>0.21</v>
      </c>
      <c r="AK99" s="431">
        <v>0.20599999999999999</v>
      </c>
      <c r="AL99" s="431">
        <v>0.20599999999999999</v>
      </c>
      <c r="AM99" s="431">
        <v>0.21</v>
      </c>
      <c r="AN99" s="431">
        <v>0.21</v>
      </c>
      <c r="AO99" s="431">
        <v>0.21</v>
      </c>
      <c r="AP99" s="432">
        <v>0.21</v>
      </c>
      <c r="AQ99" s="432">
        <v>0.21</v>
      </c>
      <c r="AR99" s="432">
        <v>0.21</v>
      </c>
      <c r="AS99" s="432">
        <v>0.21</v>
      </c>
      <c r="AT99" s="431">
        <v>0.21</v>
      </c>
      <c r="AU99" s="431">
        <v>0.21</v>
      </c>
      <c r="AV99" s="431">
        <v>0.20599999999999999</v>
      </c>
      <c r="AW99" s="291">
        <v>6.9944043262359007E-2</v>
      </c>
      <c r="AY99" s="306">
        <f t="shared" si="15"/>
        <v>0.20599999999999999</v>
      </c>
      <c r="AZ99" s="306">
        <f t="shared" si="16"/>
        <v>0.20599999999999999</v>
      </c>
      <c r="BA99" s="309">
        <f t="shared" si="17"/>
        <v>0.20599999999999999</v>
      </c>
      <c r="BB99" s="308">
        <f t="shared" si="18"/>
        <v>39295</v>
      </c>
      <c r="BC99" s="306">
        <f t="shared" si="12"/>
        <v>0.62125211094850097</v>
      </c>
      <c r="BD99" s="306">
        <f t="shared" si="13"/>
        <v>0.62136905646421325</v>
      </c>
      <c r="BF99" s="308">
        <f t="shared" si="19"/>
        <v>39295</v>
      </c>
      <c r="BG99" s="291">
        <v>87</v>
      </c>
    </row>
    <row r="100" spans="2:59" x14ac:dyDescent="0.25">
      <c r="B100" s="296">
        <f t="shared" si="14"/>
        <v>39326</v>
      </c>
      <c r="C100" s="294">
        <v>2.8929999999999998</v>
      </c>
      <c r="D100" s="294">
        <v>0.21</v>
      </c>
      <c r="E100" s="294">
        <v>7.0108227565382999E-2</v>
      </c>
      <c r="F100" s="294">
        <v>-0.19500000000000001</v>
      </c>
      <c r="G100" s="294">
        <v>1.7500000000000002E-2</v>
      </c>
      <c r="H100" s="294">
        <v>-0.19500000000000001</v>
      </c>
      <c r="I100" s="294">
        <v>8.7499999999999994E-2</v>
      </c>
      <c r="J100" s="294">
        <v>0.1825</v>
      </c>
      <c r="K100" s="294">
        <v>0.19500000000000001</v>
      </c>
      <c r="L100" s="294">
        <v>-4.8000000000000001E-2</v>
      </c>
      <c r="M100" s="294">
        <v>-1.7999999999999999E-2</v>
      </c>
      <c r="N100" s="294">
        <v>-0.36</v>
      </c>
      <c r="O100" s="294">
        <v>-0.28999999999999998</v>
      </c>
      <c r="P100" s="294">
        <v>6.4999999999999997E-3</v>
      </c>
      <c r="Q100" s="294">
        <v>2.5000000000000001E-3</v>
      </c>
      <c r="R100" s="291">
        <v>-2.35E-2</v>
      </c>
      <c r="S100" s="291">
        <v>-5.5E-2</v>
      </c>
      <c r="T100" s="291">
        <v>-0.16500000000000001</v>
      </c>
      <c r="U100" s="291">
        <v>-1.175E-2</v>
      </c>
      <c r="V100" s="291">
        <v>-9.6500000000000002E-2</v>
      </c>
      <c r="W100" s="291">
        <v>-0.12</v>
      </c>
      <c r="X100" s="291">
        <v>0.39500000000000002</v>
      </c>
      <c r="Y100" s="291">
        <v>5.0000000000000001E-3</v>
      </c>
      <c r="Z100" s="291">
        <v>-0.19500000000000001</v>
      </c>
      <c r="AA100" s="291">
        <v>-1.9E-2</v>
      </c>
      <c r="AB100" s="306">
        <v>0.28999999999999998</v>
      </c>
      <c r="AC100" s="306">
        <v>0.28999999999999998</v>
      </c>
      <c r="AD100" s="306">
        <v>0.1825</v>
      </c>
      <c r="AE100" s="431">
        <v>0.21</v>
      </c>
      <c r="AF100" s="431">
        <v>0.21</v>
      </c>
      <c r="AG100" s="431">
        <v>0.20599999999999999</v>
      </c>
      <c r="AH100" s="431">
        <v>0.21</v>
      </c>
      <c r="AI100" s="431">
        <v>0.214</v>
      </c>
      <c r="AJ100" s="431">
        <v>0.21</v>
      </c>
      <c r="AK100" s="431">
        <v>0.20599999999999999</v>
      </c>
      <c r="AL100" s="431">
        <v>0.20599999999999999</v>
      </c>
      <c r="AM100" s="431">
        <v>0.21</v>
      </c>
      <c r="AN100" s="431">
        <v>0.21</v>
      </c>
      <c r="AO100" s="431">
        <v>0.21</v>
      </c>
      <c r="AP100" s="432">
        <v>0.21</v>
      </c>
      <c r="AQ100" s="432">
        <v>0.21</v>
      </c>
      <c r="AR100" s="432">
        <v>0.21</v>
      </c>
      <c r="AS100" s="432">
        <v>0.21</v>
      </c>
      <c r="AT100" s="431">
        <v>0.21</v>
      </c>
      <c r="AU100" s="431">
        <v>0.21</v>
      </c>
      <c r="AV100" s="431">
        <v>0.20599999999999999</v>
      </c>
      <c r="AW100" s="291">
        <v>6.9965115938064995E-2</v>
      </c>
      <c r="AY100" s="306">
        <f t="shared" si="15"/>
        <v>0.20599999999999999</v>
      </c>
      <c r="AZ100" s="306">
        <f t="shared" si="16"/>
        <v>0.20599999999999999</v>
      </c>
      <c r="BA100" s="309">
        <f t="shared" si="17"/>
        <v>0.20599999999999999</v>
      </c>
      <c r="BB100" s="308">
        <f t="shared" si="18"/>
        <v>39326</v>
      </c>
      <c r="BC100" s="306">
        <f t="shared" si="12"/>
        <v>0.61754956275997785</v>
      </c>
      <c r="BD100" s="306">
        <f t="shared" si="13"/>
        <v>0.61766584573315431</v>
      </c>
      <c r="BF100" s="308">
        <f t="shared" si="19"/>
        <v>39326</v>
      </c>
      <c r="BG100" s="291">
        <v>88</v>
      </c>
    </row>
    <row r="101" spans="2:59" x14ac:dyDescent="0.25">
      <c r="B101" s="296">
        <f t="shared" si="14"/>
        <v>39356</v>
      </c>
      <c r="C101" s="294">
        <v>2.9039999999999999</v>
      </c>
      <c r="D101" s="294">
        <v>0.2</v>
      </c>
      <c r="E101" s="294">
        <v>7.0120659301209004E-2</v>
      </c>
      <c r="F101" s="294">
        <v>-0.19500000000000001</v>
      </c>
      <c r="G101" s="294">
        <v>7.4999999999999997E-3</v>
      </c>
      <c r="H101" s="294">
        <v>-0.19500000000000001</v>
      </c>
      <c r="I101" s="294">
        <v>0.10249999999999999</v>
      </c>
      <c r="J101" s="294">
        <v>0.1875</v>
      </c>
      <c r="K101" s="294">
        <v>0.215</v>
      </c>
      <c r="L101" s="294">
        <v>-5.8000000000000003E-2</v>
      </c>
      <c r="M101" s="294">
        <v>-1.7999999999999999E-2</v>
      </c>
      <c r="N101" s="294">
        <v>-0.36</v>
      </c>
      <c r="O101" s="294">
        <v>-0.28999999999999998</v>
      </c>
      <c r="P101" s="294">
        <v>6.4999999999999997E-3</v>
      </c>
      <c r="Q101" s="294">
        <v>2.5000000000000001E-3</v>
      </c>
      <c r="R101" s="291">
        <v>-2.35E-2</v>
      </c>
      <c r="S101" s="291">
        <v>-5.5E-2</v>
      </c>
      <c r="T101" s="291">
        <v>-0.15</v>
      </c>
      <c r="U101" s="291">
        <v>-0.03</v>
      </c>
      <c r="V101" s="291">
        <v>-9.9000000000000005E-2</v>
      </c>
      <c r="W101" s="291">
        <v>-0.12</v>
      </c>
      <c r="X101" s="291">
        <v>0.46100000000000002</v>
      </c>
      <c r="Y101" s="291">
        <v>5.0000000000000001E-3</v>
      </c>
      <c r="Z101" s="291">
        <v>-0.19500000000000001</v>
      </c>
      <c r="AA101" s="291">
        <v>-1.9E-2</v>
      </c>
      <c r="AB101" s="306">
        <v>0.28999999999999998</v>
      </c>
      <c r="AC101" s="306">
        <v>0.36249999999999999</v>
      </c>
      <c r="AD101" s="306">
        <v>0.19750000000000001</v>
      </c>
      <c r="AE101" s="431">
        <v>0.2</v>
      </c>
      <c r="AF101" s="431">
        <v>0.2</v>
      </c>
      <c r="AG101" s="431">
        <v>0.19600000000000001</v>
      </c>
      <c r="AH101" s="431">
        <v>0.2</v>
      </c>
      <c r="AI101" s="431">
        <v>0.20399999999999999</v>
      </c>
      <c r="AJ101" s="431">
        <v>0.2</v>
      </c>
      <c r="AK101" s="431">
        <v>0.19600000000000001</v>
      </c>
      <c r="AL101" s="431">
        <v>0.19600000000000001</v>
      </c>
      <c r="AM101" s="431">
        <v>0.2</v>
      </c>
      <c r="AN101" s="431">
        <v>0.2</v>
      </c>
      <c r="AO101" s="431">
        <v>0.2</v>
      </c>
      <c r="AP101" s="432">
        <v>0.2</v>
      </c>
      <c r="AQ101" s="432">
        <v>0.2</v>
      </c>
      <c r="AR101" s="432">
        <v>0.2</v>
      </c>
      <c r="AS101" s="432">
        <v>0.2</v>
      </c>
      <c r="AT101" s="431">
        <v>0.2</v>
      </c>
      <c r="AU101" s="431">
        <v>0.2</v>
      </c>
      <c r="AV101" s="431">
        <v>0.19600000000000001</v>
      </c>
      <c r="AW101" s="291">
        <v>6.9964973436369995E-2</v>
      </c>
      <c r="AY101" s="306">
        <f t="shared" si="15"/>
        <v>0.19600000000000001</v>
      </c>
      <c r="AZ101" s="306">
        <f t="shared" si="16"/>
        <v>0.19600000000000001</v>
      </c>
      <c r="BA101" s="309">
        <f t="shared" si="17"/>
        <v>0.19600000000000001</v>
      </c>
      <c r="BB101" s="308">
        <f t="shared" si="18"/>
        <v>39356</v>
      </c>
      <c r="BC101" s="306">
        <f t="shared" si="12"/>
        <v>0.61407183422115375</v>
      </c>
      <c r="BD101" s="306">
        <f t="shared" si="13"/>
        <v>0.61418746211558528</v>
      </c>
      <c r="BF101" s="308">
        <f t="shared" si="19"/>
        <v>39356</v>
      </c>
      <c r="BG101" s="291">
        <v>89</v>
      </c>
    </row>
    <row r="102" spans="2:59" x14ac:dyDescent="0.25">
      <c r="B102" s="296">
        <f t="shared" si="14"/>
        <v>39387</v>
      </c>
      <c r="C102" s="294">
        <v>2.976</v>
      </c>
      <c r="D102" s="294">
        <v>0.2</v>
      </c>
      <c r="E102" s="294">
        <v>7.0133505428283005E-2</v>
      </c>
      <c r="F102" s="294">
        <v>-0.19</v>
      </c>
      <c r="G102" s="294">
        <v>-3.2500000000000001E-2</v>
      </c>
      <c r="H102" s="294">
        <v>-0.19</v>
      </c>
      <c r="I102" s="294">
        <v>0.16500000000000001</v>
      </c>
      <c r="J102" s="294">
        <v>0.27</v>
      </c>
      <c r="K102" s="294">
        <v>0.28749999999999998</v>
      </c>
      <c r="L102" s="294">
        <v>-7.2999999999999995E-2</v>
      </c>
      <c r="M102" s="294">
        <v>-1.0500000000000001E-2</v>
      </c>
      <c r="N102" s="294">
        <v>-0.28000000000000003</v>
      </c>
      <c r="O102" s="294">
        <v>0</v>
      </c>
      <c r="P102" s="294">
        <v>1.4999999999999999E-2</v>
      </c>
      <c r="Q102" s="294">
        <v>-5.4999999999999997E-3</v>
      </c>
      <c r="R102" s="291">
        <v>-2.6499999999999999E-2</v>
      </c>
      <c r="S102" s="291">
        <v>-5.5E-2</v>
      </c>
      <c r="T102" s="291">
        <v>-0.1125</v>
      </c>
      <c r="U102" s="291">
        <v>-2.9000000000000001E-2</v>
      </c>
      <c r="V102" s="291">
        <v>-9.6500000000000002E-2</v>
      </c>
      <c r="W102" s="291">
        <v>-0.13250000000000001</v>
      </c>
      <c r="X102" s="291">
        <v>0.76749999999999996</v>
      </c>
      <c r="Y102" s="291">
        <v>5.0000000000000001E-3</v>
      </c>
      <c r="Z102" s="291">
        <v>-0.19</v>
      </c>
      <c r="AA102" s="291">
        <v>-2.0500000000000001E-2</v>
      </c>
      <c r="AB102" s="306">
        <v>0.12</v>
      </c>
      <c r="AC102" s="306">
        <v>0.46500000000000002</v>
      </c>
      <c r="AD102" s="306">
        <v>0.26</v>
      </c>
      <c r="AE102" s="431">
        <v>0.2</v>
      </c>
      <c r="AF102" s="431">
        <v>0.2</v>
      </c>
      <c r="AG102" s="431">
        <v>0.22</v>
      </c>
      <c r="AH102" s="431">
        <v>0.2</v>
      </c>
      <c r="AI102" s="431">
        <v>0.20399999999999999</v>
      </c>
      <c r="AJ102" s="431">
        <v>0.2</v>
      </c>
      <c r="AK102" s="431">
        <v>0.2</v>
      </c>
      <c r="AL102" s="431">
        <v>0.2</v>
      </c>
      <c r="AM102" s="431">
        <v>0.2</v>
      </c>
      <c r="AN102" s="431">
        <v>0.2</v>
      </c>
      <c r="AO102" s="431">
        <v>0.2</v>
      </c>
      <c r="AP102" s="432">
        <v>0.2</v>
      </c>
      <c r="AQ102" s="432">
        <v>0.2</v>
      </c>
      <c r="AR102" s="432">
        <v>0.2</v>
      </c>
      <c r="AS102" s="432">
        <v>0.2</v>
      </c>
      <c r="AT102" s="431">
        <v>0.2</v>
      </c>
      <c r="AU102" s="431">
        <v>0.2</v>
      </c>
      <c r="AV102" s="431">
        <v>0.22</v>
      </c>
      <c r="AW102" s="291">
        <v>6.9964826184618994E-2</v>
      </c>
      <c r="AY102" s="306">
        <f t="shared" si="15"/>
        <v>0.22</v>
      </c>
      <c r="AZ102" s="306">
        <f t="shared" si="16"/>
        <v>0.22</v>
      </c>
      <c r="BA102" s="309">
        <f t="shared" si="17"/>
        <v>0.22</v>
      </c>
      <c r="BB102" s="308">
        <f t="shared" si="18"/>
        <v>39387</v>
      </c>
      <c r="BC102" s="306">
        <f t="shared" si="12"/>
        <v>0.61049876955405546</v>
      </c>
      <c r="BD102" s="306">
        <f t="shared" si="13"/>
        <v>0.61061372441321937</v>
      </c>
      <c r="BF102" s="308">
        <f t="shared" si="19"/>
        <v>39387</v>
      </c>
      <c r="BG102" s="291">
        <v>90</v>
      </c>
    </row>
    <row r="103" spans="2:59" x14ac:dyDescent="0.25">
      <c r="B103" s="296">
        <f t="shared" si="14"/>
        <v>39417</v>
      </c>
      <c r="C103" s="294">
        <v>3.05</v>
      </c>
      <c r="D103" s="294">
        <v>0.2</v>
      </c>
      <c r="E103" s="294">
        <v>7.0145937164212996E-2</v>
      </c>
      <c r="F103" s="294">
        <v>-0.19750000000000001</v>
      </c>
      <c r="G103" s="294">
        <v>-5.5E-2</v>
      </c>
      <c r="H103" s="294">
        <v>-0.19750000000000001</v>
      </c>
      <c r="I103" s="294">
        <v>0.20499999999999999</v>
      </c>
      <c r="J103" s="294">
        <v>0.30499999999999999</v>
      </c>
      <c r="K103" s="294">
        <v>0.33750000000000002</v>
      </c>
      <c r="L103" s="294">
        <v>-7.2999999999999995E-2</v>
      </c>
      <c r="M103" s="294">
        <v>-1.0500000000000001E-2</v>
      </c>
      <c r="N103" s="294">
        <v>-0.28000000000000003</v>
      </c>
      <c r="O103" s="294">
        <v>0.06</v>
      </c>
      <c r="P103" s="294">
        <v>1.4999999999999999E-2</v>
      </c>
      <c r="Q103" s="388">
        <v>-5.4999999999999997E-3</v>
      </c>
      <c r="R103" s="291">
        <v>-2.6499999999999999E-2</v>
      </c>
      <c r="S103" s="291">
        <v>-5.5E-2</v>
      </c>
      <c r="T103" s="291">
        <v>-0.105</v>
      </c>
      <c r="U103" s="291">
        <v>-2.9000000000000001E-2</v>
      </c>
      <c r="V103" s="291">
        <v>-0.13150000000000001</v>
      </c>
      <c r="W103" s="291">
        <v>-0.1275</v>
      </c>
      <c r="X103" s="291">
        <v>1.19</v>
      </c>
      <c r="Y103" s="291">
        <v>5.0000000000000001E-3</v>
      </c>
      <c r="Z103" s="291">
        <v>-0.19</v>
      </c>
      <c r="AA103" s="291">
        <v>-2.0500000000000001E-2</v>
      </c>
      <c r="AB103" s="306">
        <v>0.12</v>
      </c>
      <c r="AC103" s="306">
        <v>0.8</v>
      </c>
      <c r="AD103" s="306">
        <v>0.3</v>
      </c>
      <c r="AE103" s="431">
        <v>0.2</v>
      </c>
      <c r="AF103" s="431">
        <v>0.2</v>
      </c>
      <c r="AG103" s="431">
        <v>0.22</v>
      </c>
      <c r="AH103" s="431">
        <v>0.2</v>
      </c>
      <c r="AI103" s="431">
        <v>0.20399999999999999</v>
      </c>
      <c r="AJ103" s="431">
        <v>0.2</v>
      </c>
      <c r="AK103" s="431">
        <v>0.2</v>
      </c>
      <c r="AL103" s="431">
        <v>0.2</v>
      </c>
      <c r="AM103" s="431">
        <v>0.2</v>
      </c>
      <c r="AN103" s="431">
        <v>0.2</v>
      </c>
      <c r="AO103" s="431">
        <v>0.2</v>
      </c>
      <c r="AP103" s="432">
        <v>0.2</v>
      </c>
      <c r="AQ103" s="432">
        <v>0.2</v>
      </c>
      <c r="AR103" s="432">
        <v>0.2</v>
      </c>
      <c r="AS103" s="432">
        <v>0.2</v>
      </c>
      <c r="AT103" s="431">
        <v>0.2</v>
      </c>
      <c r="AU103" s="431">
        <v>0.2</v>
      </c>
      <c r="AV103" s="431">
        <v>0.22</v>
      </c>
      <c r="AW103" s="291">
        <v>6.9964683682924994E-2</v>
      </c>
      <c r="AY103" s="306">
        <f t="shared" si="15"/>
        <v>0.22</v>
      </c>
      <c r="AZ103" s="306">
        <f t="shared" si="16"/>
        <v>0.22</v>
      </c>
      <c r="BA103" s="309">
        <f t="shared" si="17"/>
        <v>0.22</v>
      </c>
      <c r="BB103" s="308">
        <f t="shared" si="18"/>
        <v>39417</v>
      </c>
      <c r="BC103" s="306">
        <f t="shared" si="12"/>
        <v>0.6070607754547146</v>
      </c>
      <c r="BD103" s="306">
        <f t="shared" si="13"/>
        <v>0.60717508272230392</v>
      </c>
      <c r="BF103" s="308">
        <f t="shared" si="19"/>
        <v>39417</v>
      </c>
      <c r="BG103" s="291">
        <v>91</v>
      </c>
    </row>
    <row r="104" spans="2:59" x14ac:dyDescent="0.25">
      <c r="B104" s="296">
        <f t="shared" si="14"/>
        <v>39448</v>
      </c>
      <c r="C104" s="294">
        <v>3.327</v>
      </c>
      <c r="D104" s="294">
        <v>0.2</v>
      </c>
      <c r="E104" s="294">
        <v>7.0158783291393995E-2</v>
      </c>
      <c r="F104" s="294">
        <v>-0.2</v>
      </c>
      <c r="G104" s="294">
        <v>-5.7500000000000002E-2</v>
      </c>
      <c r="H104" s="294">
        <v>-0.2</v>
      </c>
      <c r="I104" s="294">
        <v>0.26</v>
      </c>
      <c r="J104" s="294">
        <v>0.30499999999999999</v>
      </c>
      <c r="K104" s="294">
        <v>0.4375</v>
      </c>
      <c r="L104" s="294">
        <v>-7.2999999999999995E-2</v>
      </c>
      <c r="M104" s="294">
        <v>-8.5000000000000006E-3</v>
      </c>
      <c r="N104" s="294">
        <v>-0.28000000000000003</v>
      </c>
      <c r="O104" s="294">
        <v>0.13</v>
      </c>
      <c r="P104" s="294">
        <v>1.4999999999999999E-2</v>
      </c>
      <c r="Q104" s="388">
        <v>-5.4999999999999997E-3</v>
      </c>
      <c r="R104" s="291">
        <v>-2.1999999999999999E-2</v>
      </c>
      <c r="S104" s="291">
        <v>-5.5E-2</v>
      </c>
      <c r="T104" s="291">
        <v>-0.09</v>
      </c>
      <c r="U104" s="291">
        <v>-2.9000000000000001E-2</v>
      </c>
      <c r="V104" s="291">
        <v>-0.13700000000000001</v>
      </c>
      <c r="W104" s="291">
        <v>-0.1275</v>
      </c>
      <c r="X104" s="291">
        <v>1.5249999999999999</v>
      </c>
      <c r="Y104" s="291">
        <v>5.0000000000000001E-3</v>
      </c>
      <c r="Z104" s="291">
        <v>-0.19</v>
      </c>
      <c r="AA104" s="291">
        <v>-2.0500000000000001E-2</v>
      </c>
      <c r="AB104" s="306">
        <v>0.12</v>
      </c>
      <c r="AC104" s="306">
        <v>0.97499999999999998</v>
      </c>
      <c r="AD104" s="306">
        <v>0.35499999999999998</v>
      </c>
      <c r="AE104" s="431">
        <v>0.2</v>
      </c>
      <c r="AF104" s="431">
        <v>0.2</v>
      </c>
      <c r="AG104" s="431">
        <v>0.22</v>
      </c>
      <c r="AH104" s="431">
        <v>0.2</v>
      </c>
      <c r="AI104" s="431">
        <v>0.20399999999999999</v>
      </c>
      <c r="AJ104" s="431">
        <v>0.2</v>
      </c>
      <c r="AK104" s="431">
        <v>0.2</v>
      </c>
      <c r="AL104" s="431">
        <v>0.2</v>
      </c>
      <c r="AM104" s="431">
        <v>0.2</v>
      </c>
      <c r="AN104" s="431">
        <v>0.2</v>
      </c>
      <c r="AO104" s="431">
        <v>0.2</v>
      </c>
      <c r="AP104" s="432">
        <v>0.2</v>
      </c>
      <c r="AQ104" s="432">
        <v>0.2</v>
      </c>
      <c r="AR104" s="432">
        <v>0.2</v>
      </c>
      <c r="AS104" s="432">
        <v>0.2</v>
      </c>
      <c r="AT104" s="431">
        <v>0.2</v>
      </c>
      <c r="AU104" s="431">
        <v>0.2</v>
      </c>
      <c r="AV104" s="431">
        <v>0.22</v>
      </c>
      <c r="AW104" s="291">
        <v>6.9964536431173993E-2</v>
      </c>
      <c r="AY104" s="306">
        <f t="shared" si="15"/>
        <v>0.22</v>
      </c>
      <c r="AZ104" s="306">
        <f t="shared" si="16"/>
        <v>0.22</v>
      </c>
      <c r="BA104" s="309">
        <f t="shared" si="17"/>
        <v>0.22</v>
      </c>
      <c r="BB104" s="308">
        <f t="shared" si="18"/>
        <v>39448</v>
      </c>
      <c r="BC104" s="306">
        <f t="shared" si="12"/>
        <v>0.60352853431547482</v>
      </c>
      <c r="BD104" s="306">
        <f t="shared" si="13"/>
        <v>0.60364217624016836</v>
      </c>
      <c r="BF104" s="308">
        <f t="shared" si="19"/>
        <v>39448</v>
      </c>
      <c r="BG104" s="291">
        <v>92</v>
      </c>
    </row>
    <row r="105" spans="2:59" x14ac:dyDescent="0.25">
      <c r="B105" s="296">
        <f t="shared" si="14"/>
        <v>39479</v>
      </c>
      <c r="C105" s="294">
        <v>3.2050000000000001</v>
      </c>
      <c r="D105" s="294">
        <v>0.2</v>
      </c>
      <c r="E105" s="294">
        <v>7.0171629418630005E-2</v>
      </c>
      <c r="F105" s="294">
        <v>-0.20250000000000001</v>
      </c>
      <c r="G105" s="294">
        <v>-0.04</v>
      </c>
      <c r="H105" s="294">
        <v>-0.20250000000000001</v>
      </c>
      <c r="I105" s="294">
        <v>0.23499999999999999</v>
      </c>
      <c r="J105" s="294">
        <v>0.30499999999999999</v>
      </c>
      <c r="K105" s="294">
        <v>0.435</v>
      </c>
      <c r="L105" s="294">
        <v>-7.2999999999999995E-2</v>
      </c>
      <c r="M105" s="294">
        <v>-8.5000000000000006E-3</v>
      </c>
      <c r="N105" s="294">
        <v>-0.28000000000000003</v>
      </c>
      <c r="O105" s="294">
        <v>0</v>
      </c>
      <c r="P105" s="294">
        <v>1.4999999999999999E-2</v>
      </c>
      <c r="Q105" s="388">
        <v>-5.4999999999999997E-3</v>
      </c>
      <c r="R105" s="291">
        <v>-2.1999999999999999E-2</v>
      </c>
      <c r="S105" s="291">
        <v>-5.5E-2</v>
      </c>
      <c r="T105" s="291">
        <v>-0.09</v>
      </c>
      <c r="U105" s="291">
        <v>-2.9000000000000001E-2</v>
      </c>
      <c r="V105" s="291">
        <v>-0.1195</v>
      </c>
      <c r="W105" s="291">
        <v>-0.1275</v>
      </c>
      <c r="X105" s="291">
        <v>1.4550000000000001</v>
      </c>
      <c r="Y105" s="291">
        <v>5.0000000000000001E-3</v>
      </c>
      <c r="Z105" s="291">
        <v>-0.19</v>
      </c>
      <c r="AA105" s="291">
        <v>-2.0500000000000001E-2</v>
      </c>
      <c r="AB105" s="306">
        <v>0.12</v>
      </c>
      <c r="AC105" s="306">
        <v>0.97499999999999998</v>
      </c>
      <c r="AD105" s="306">
        <v>0.33</v>
      </c>
      <c r="AE105" s="431">
        <v>0.2</v>
      </c>
      <c r="AF105" s="431">
        <v>0.2</v>
      </c>
      <c r="AG105" s="431">
        <v>0.22</v>
      </c>
      <c r="AH105" s="431">
        <v>0.2</v>
      </c>
      <c r="AI105" s="431">
        <v>0.20399999999999999</v>
      </c>
      <c r="AJ105" s="431">
        <v>0.2</v>
      </c>
      <c r="AK105" s="431">
        <v>0.2</v>
      </c>
      <c r="AL105" s="431">
        <v>0.2</v>
      </c>
      <c r="AM105" s="431">
        <v>0.2</v>
      </c>
      <c r="AN105" s="431">
        <v>0.2</v>
      </c>
      <c r="AO105" s="431">
        <v>0.2</v>
      </c>
      <c r="AP105" s="432">
        <v>0.2</v>
      </c>
      <c r="AQ105" s="432">
        <v>0.2</v>
      </c>
      <c r="AR105" s="432">
        <v>0.2</v>
      </c>
      <c r="AS105" s="432">
        <v>0.2</v>
      </c>
      <c r="AT105" s="431">
        <v>0.2</v>
      </c>
      <c r="AU105" s="431">
        <v>0.2</v>
      </c>
      <c r="AV105" s="431">
        <v>0.22</v>
      </c>
      <c r="AW105" s="291">
        <v>6.9964389179423006E-2</v>
      </c>
      <c r="AY105" s="306">
        <f t="shared" si="15"/>
        <v>0.22</v>
      </c>
      <c r="AZ105" s="306">
        <f t="shared" si="16"/>
        <v>0.22</v>
      </c>
      <c r="BA105" s="309">
        <f t="shared" si="17"/>
        <v>0.22</v>
      </c>
      <c r="BB105" s="308">
        <f t="shared" si="18"/>
        <v>39479</v>
      </c>
      <c r="BC105" s="306">
        <f t="shared" si="12"/>
        <v>0.60001686034972901</v>
      </c>
      <c r="BD105" s="306">
        <f t="shared" si="13"/>
        <v>0.60012984080698484</v>
      </c>
      <c r="BF105" s="308">
        <f t="shared" si="19"/>
        <v>39479</v>
      </c>
      <c r="BG105" s="291">
        <v>93</v>
      </c>
    </row>
    <row r="106" spans="2:59" x14ac:dyDescent="0.25">
      <c r="B106" s="296">
        <f t="shared" si="14"/>
        <v>39508</v>
      </c>
      <c r="C106" s="294">
        <v>3.05</v>
      </c>
      <c r="D106" s="294">
        <v>0.2</v>
      </c>
      <c r="E106" s="294">
        <v>7.0183646763513005E-2</v>
      </c>
      <c r="F106" s="294">
        <v>-0.20499999999999999</v>
      </c>
      <c r="G106" s="294">
        <v>-2.75E-2</v>
      </c>
      <c r="H106" s="294">
        <v>-0.20499999999999999</v>
      </c>
      <c r="I106" s="294">
        <v>0.23250000000000001</v>
      </c>
      <c r="J106" s="294">
        <v>0.26500000000000001</v>
      </c>
      <c r="K106" s="294">
        <v>0.30249999999999999</v>
      </c>
      <c r="L106" s="294">
        <v>-7.2999999999999995E-2</v>
      </c>
      <c r="M106" s="294">
        <v>-8.5000000000000006E-3</v>
      </c>
      <c r="N106" s="294">
        <v>-0.28000000000000003</v>
      </c>
      <c r="O106" s="294">
        <v>-0.18</v>
      </c>
      <c r="P106" s="294">
        <v>1.4999999999999999E-2</v>
      </c>
      <c r="Q106" s="388">
        <v>-5.4999999999999997E-3</v>
      </c>
      <c r="R106" s="291">
        <v>-2.1999999999999999E-2</v>
      </c>
      <c r="S106" s="291">
        <v>-5.5E-2</v>
      </c>
      <c r="T106" s="291">
        <v>-0.09</v>
      </c>
      <c r="U106" s="291">
        <v>-1.0500000000000001E-2</v>
      </c>
      <c r="V106" s="291">
        <v>-0.10199999999999999</v>
      </c>
      <c r="W106" s="291">
        <v>-0.13250000000000001</v>
      </c>
      <c r="X106" s="291">
        <v>0.83499999999999996</v>
      </c>
      <c r="Y106" s="291">
        <v>5.0000000000000001E-3</v>
      </c>
      <c r="Z106" s="291">
        <v>-0.19</v>
      </c>
      <c r="AA106" s="291">
        <v>-2.0500000000000001E-2</v>
      </c>
      <c r="AB106" s="306">
        <v>0.12</v>
      </c>
      <c r="AC106" s="306">
        <v>0.60750000000000004</v>
      </c>
      <c r="AD106" s="306">
        <v>0.32750000000000001</v>
      </c>
      <c r="AE106" s="431">
        <v>0.2</v>
      </c>
      <c r="AF106" s="431">
        <v>0.2</v>
      </c>
      <c r="AG106" s="431">
        <v>0.22</v>
      </c>
      <c r="AH106" s="431">
        <v>0.2</v>
      </c>
      <c r="AI106" s="431">
        <v>0.20399999999999999</v>
      </c>
      <c r="AJ106" s="431">
        <v>0.2</v>
      </c>
      <c r="AK106" s="431">
        <v>0.2</v>
      </c>
      <c r="AL106" s="431">
        <v>0.2</v>
      </c>
      <c r="AM106" s="431">
        <v>0.2</v>
      </c>
      <c r="AN106" s="431">
        <v>0.2</v>
      </c>
      <c r="AO106" s="431">
        <v>0.2</v>
      </c>
      <c r="AP106" s="432">
        <v>0.2</v>
      </c>
      <c r="AQ106" s="432">
        <v>0.2</v>
      </c>
      <c r="AR106" s="432">
        <v>0.2</v>
      </c>
      <c r="AS106" s="432">
        <v>0.2</v>
      </c>
      <c r="AT106" s="431">
        <v>0.2</v>
      </c>
      <c r="AU106" s="431">
        <v>0.2</v>
      </c>
      <c r="AV106" s="431">
        <v>0.22</v>
      </c>
      <c r="AW106" s="291">
        <v>6.9964251427784993E-2</v>
      </c>
      <c r="AY106" s="306">
        <f t="shared" si="15"/>
        <v>0.22</v>
      </c>
      <c r="AZ106" s="306">
        <f t="shared" si="16"/>
        <v>0.22</v>
      </c>
      <c r="BA106" s="309">
        <f t="shared" si="17"/>
        <v>0.22</v>
      </c>
      <c r="BB106" s="308">
        <f t="shared" si="18"/>
        <v>39508</v>
      </c>
      <c r="BC106" s="306">
        <f t="shared" si="12"/>
        <v>0.5967502594307974</v>
      </c>
      <c r="BD106" s="306">
        <f t="shared" si="13"/>
        <v>0.59686262458440065</v>
      </c>
      <c r="BF106" s="308">
        <f t="shared" si="19"/>
        <v>39508</v>
      </c>
      <c r="BG106" s="291">
        <v>94</v>
      </c>
    </row>
    <row r="107" spans="2:59" x14ac:dyDescent="0.25">
      <c r="B107" s="296">
        <f t="shared" si="14"/>
        <v>39539</v>
      </c>
      <c r="C107" s="294">
        <v>2.887</v>
      </c>
      <c r="D107" s="294">
        <v>0.2</v>
      </c>
      <c r="E107" s="294">
        <v>7.0196492890854001E-2</v>
      </c>
      <c r="F107" s="294">
        <v>-0.19500000000000001</v>
      </c>
      <c r="G107" s="294">
        <v>1.4999999999999999E-2</v>
      </c>
      <c r="H107" s="294">
        <v>-0.19500000000000001</v>
      </c>
      <c r="I107" s="294">
        <v>0.13750000000000001</v>
      </c>
      <c r="J107" s="294">
        <v>0.19500000000000001</v>
      </c>
      <c r="K107" s="294">
        <v>0.25</v>
      </c>
      <c r="L107" s="294">
        <v>-6.6000000000000003E-2</v>
      </c>
      <c r="M107" s="294">
        <v>-1.6E-2</v>
      </c>
      <c r="N107" s="294">
        <v>-0.36</v>
      </c>
      <c r="O107" s="294">
        <v>-0.28999999999999998</v>
      </c>
      <c r="P107" s="294">
        <v>6.4999999999999997E-3</v>
      </c>
      <c r="Q107" s="388">
        <v>4.4999999999999997E-3</v>
      </c>
      <c r="R107" s="291">
        <v>-2.1499999999999998E-2</v>
      </c>
      <c r="S107" s="291">
        <v>-5.2499999999999998E-2</v>
      </c>
      <c r="T107" s="291">
        <v>-0.17</v>
      </c>
      <c r="U107" s="291">
        <v>-1.0500000000000001E-2</v>
      </c>
      <c r="V107" s="291">
        <v>-9.4500000000000001E-2</v>
      </c>
      <c r="W107" s="291">
        <v>-0.12</v>
      </c>
      <c r="X107" s="291">
        <v>0.45</v>
      </c>
      <c r="Y107" s="291">
        <v>5.0000000000000001E-3</v>
      </c>
      <c r="Z107" s="291">
        <v>-0.19500000000000001</v>
      </c>
      <c r="AA107" s="291">
        <v>-1.7999999999999999E-2</v>
      </c>
      <c r="AB107" s="306">
        <v>0.28999999999999998</v>
      </c>
      <c r="AC107" s="306">
        <v>0.35499999999999998</v>
      </c>
      <c r="AD107" s="306">
        <v>0.23250000000000001</v>
      </c>
      <c r="AE107" s="431">
        <v>0.2</v>
      </c>
      <c r="AF107" s="431">
        <v>0.2</v>
      </c>
      <c r="AG107" s="431">
        <v>0.19600000000000001</v>
      </c>
      <c r="AH107" s="431">
        <v>0.2</v>
      </c>
      <c r="AI107" s="431">
        <v>0.20399999999999999</v>
      </c>
      <c r="AJ107" s="431">
        <v>0.2</v>
      </c>
      <c r="AK107" s="431">
        <v>0.19600000000000001</v>
      </c>
      <c r="AL107" s="431">
        <v>0.19600000000000001</v>
      </c>
      <c r="AM107" s="431">
        <v>0.2</v>
      </c>
      <c r="AN107" s="431">
        <v>0.2</v>
      </c>
      <c r="AO107" s="431">
        <v>0.2</v>
      </c>
      <c r="AP107" s="432">
        <v>0.2</v>
      </c>
      <c r="AQ107" s="432">
        <v>0.2</v>
      </c>
      <c r="AR107" s="432">
        <v>0.2</v>
      </c>
      <c r="AS107" s="432">
        <v>0.2</v>
      </c>
      <c r="AT107" s="431">
        <v>0.2</v>
      </c>
      <c r="AU107" s="431">
        <v>0.2</v>
      </c>
      <c r="AV107" s="431">
        <v>0.19600000000000001</v>
      </c>
      <c r="AW107" s="291">
        <v>6.9964104176034006E-2</v>
      </c>
      <c r="AY107" s="306">
        <f t="shared" si="15"/>
        <v>0.19600000000000001</v>
      </c>
      <c r="AZ107" s="306">
        <f t="shared" si="16"/>
        <v>0.19600000000000001</v>
      </c>
      <c r="BA107" s="309">
        <f t="shared" si="17"/>
        <v>0.19600000000000001</v>
      </c>
      <c r="BB107" s="308">
        <f t="shared" si="18"/>
        <v>39539</v>
      </c>
      <c r="BC107" s="306">
        <f t="shared" si="12"/>
        <v>0.59327805307433767</v>
      </c>
      <c r="BD107" s="306">
        <f t="shared" si="13"/>
        <v>0.59338976419733425</v>
      </c>
      <c r="BF107" s="308">
        <f t="shared" si="19"/>
        <v>39539</v>
      </c>
      <c r="BG107" s="291">
        <v>95</v>
      </c>
    </row>
    <row r="108" spans="2:59" x14ac:dyDescent="0.25">
      <c r="B108" s="296">
        <f t="shared" si="14"/>
        <v>39569</v>
      </c>
      <c r="C108" s="294">
        <v>2.88</v>
      </c>
      <c r="D108" s="294">
        <v>0.2</v>
      </c>
      <c r="E108" s="294">
        <v>7.0208924627043007E-2</v>
      </c>
      <c r="F108" s="294">
        <v>-0.19500000000000001</v>
      </c>
      <c r="G108" s="294">
        <v>1.4999999999999999E-2</v>
      </c>
      <c r="H108" s="294">
        <v>-0.19500000000000001</v>
      </c>
      <c r="I108" s="294">
        <v>0.14749999999999999</v>
      </c>
      <c r="J108" s="294">
        <v>0.1825</v>
      </c>
      <c r="K108" s="294">
        <v>0.20250000000000001</v>
      </c>
      <c r="L108" s="294">
        <v>-6.6000000000000003E-2</v>
      </c>
      <c r="M108" s="294">
        <v>-1.6E-2</v>
      </c>
      <c r="N108" s="294">
        <v>-0.36</v>
      </c>
      <c r="O108" s="294">
        <v>-0.28999999999999998</v>
      </c>
      <c r="P108" s="294">
        <v>6.4999999999999997E-3</v>
      </c>
      <c r="Q108" s="294">
        <v>4.4999999999999997E-3</v>
      </c>
      <c r="R108" s="291">
        <v>-2.1499999999999998E-2</v>
      </c>
      <c r="S108" s="291">
        <v>-5.2499999999999998E-2</v>
      </c>
      <c r="T108" s="291">
        <v>-0.185</v>
      </c>
      <c r="U108" s="291">
        <v>-1.0749999999999999E-2</v>
      </c>
      <c r="V108" s="291">
        <v>-9.4500000000000001E-2</v>
      </c>
      <c r="W108" s="291">
        <v>-0.12</v>
      </c>
      <c r="X108" s="291">
        <v>0.40500000000000003</v>
      </c>
      <c r="Y108" s="291">
        <v>5.0000000000000001E-3</v>
      </c>
      <c r="Z108" s="291">
        <v>-0.19500000000000001</v>
      </c>
      <c r="AA108" s="291">
        <v>-1.7999999999999999E-2</v>
      </c>
      <c r="AB108" s="306">
        <v>0.28999999999999998</v>
      </c>
      <c r="AC108" s="306">
        <v>0.28749999999999998</v>
      </c>
      <c r="AD108" s="306">
        <v>0.24249999999999999</v>
      </c>
      <c r="AE108" s="431">
        <v>0.2</v>
      </c>
      <c r="AF108" s="431">
        <v>0.2</v>
      </c>
      <c r="AG108" s="431">
        <v>0.19600000000000001</v>
      </c>
      <c r="AH108" s="431">
        <v>0.2</v>
      </c>
      <c r="AI108" s="431">
        <v>0.20399999999999999</v>
      </c>
      <c r="AJ108" s="431">
        <v>0.2</v>
      </c>
      <c r="AK108" s="431">
        <v>0.19600000000000001</v>
      </c>
      <c r="AL108" s="431">
        <v>0.19600000000000001</v>
      </c>
      <c r="AM108" s="431">
        <v>0.2</v>
      </c>
      <c r="AN108" s="431">
        <v>0.2</v>
      </c>
      <c r="AO108" s="431">
        <v>0.2</v>
      </c>
      <c r="AP108" s="432">
        <v>0.2</v>
      </c>
      <c r="AQ108" s="432">
        <v>0.2</v>
      </c>
      <c r="AR108" s="432">
        <v>0.2</v>
      </c>
      <c r="AS108" s="432">
        <v>0.2</v>
      </c>
      <c r="AT108" s="431">
        <v>0.2</v>
      </c>
      <c r="AU108" s="431">
        <v>0.2</v>
      </c>
      <c r="AV108" s="431">
        <v>0.19600000000000001</v>
      </c>
      <c r="AW108" s="291">
        <v>6.9963961674339006E-2</v>
      </c>
      <c r="AY108" s="306">
        <f t="shared" si="15"/>
        <v>0.19600000000000001</v>
      </c>
      <c r="AZ108" s="306">
        <f t="shared" si="16"/>
        <v>0.19600000000000001</v>
      </c>
      <c r="BA108" s="309">
        <f t="shared" si="17"/>
        <v>0.19600000000000001</v>
      </c>
      <c r="BB108" s="308">
        <f t="shared" si="18"/>
        <v>39569</v>
      </c>
      <c r="BC108" s="306">
        <f t="shared" si="12"/>
        <v>0.5899371042062902</v>
      </c>
      <c r="BD108" s="306">
        <f t="shared" si="13"/>
        <v>0.59004818602384035</v>
      </c>
      <c r="BF108" s="308">
        <f t="shared" si="19"/>
        <v>39569</v>
      </c>
      <c r="BG108" s="291">
        <v>96</v>
      </c>
    </row>
    <row r="109" spans="2:59" x14ac:dyDescent="0.25">
      <c r="B109" s="296">
        <f t="shared" si="14"/>
        <v>39600</v>
      </c>
      <c r="C109" s="294">
        <v>2.9049999999999998</v>
      </c>
      <c r="D109" s="294">
        <v>0.2</v>
      </c>
      <c r="E109" s="294">
        <v>7.0221770754491E-2</v>
      </c>
      <c r="F109" s="294">
        <v>-0.19500000000000001</v>
      </c>
      <c r="G109" s="294">
        <v>0.02</v>
      </c>
      <c r="H109" s="294">
        <v>-0.19500000000000001</v>
      </c>
      <c r="I109" s="294">
        <v>0.14249999999999999</v>
      </c>
      <c r="J109" s="294">
        <v>0.1825</v>
      </c>
      <c r="K109" s="294">
        <v>0.20250000000000001</v>
      </c>
      <c r="L109" s="294">
        <v>-8.2000000000000003E-2</v>
      </c>
      <c r="M109" s="294">
        <v>-1.6E-2</v>
      </c>
      <c r="N109" s="294">
        <v>-0.36</v>
      </c>
      <c r="O109" s="294">
        <v>-0.28999999999999998</v>
      </c>
      <c r="P109" s="294">
        <v>6.4999999999999997E-3</v>
      </c>
      <c r="Q109" s="294">
        <v>4.4999999999999997E-3</v>
      </c>
      <c r="R109" s="291">
        <v>-2.1499999999999998E-2</v>
      </c>
      <c r="S109" s="291">
        <v>-5.2499999999999998E-2</v>
      </c>
      <c r="T109" s="291">
        <v>-0.19500000000000001</v>
      </c>
      <c r="U109" s="291">
        <v>-1.0749999999999999E-2</v>
      </c>
      <c r="V109" s="291">
        <v>-8.4500000000000006E-2</v>
      </c>
      <c r="W109" s="291">
        <v>-0.12</v>
      </c>
      <c r="X109" s="291">
        <v>0.39500000000000002</v>
      </c>
      <c r="Y109" s="291">
        <v>5.0000000000000001E-3</v>
      </c>
      <c r="Z109" s="291">
        <v>-0.19500000000000001</v>
      </c>
      <c r="AA109" s="291">
        <v>-1.7999999999999999E-2</v>
      </c>
      <c r="AB109" s="306">
        <v>0.28999999999999998</v>
      </c>
      <c r="AC109" s="306">
        <v>0.28749999999999998</v>
      </c>
      <c r="AD109" s="306">
        <v>0.23749999999999999</v>
      </c>
      <c r="AE109" s="431">
        <v>0.2</v>
      </c>
      <c r="AF109" s="431">
        <v>0.2</v>
      </c>
      <c r="AG109" s="431">
        <v>0.19600000000000001</v>
      </c>
      <c r="AH109" s="431">
        <v>0.2</v>
      </c>
      <c r="AI109" s="431">
        <v>0.20399999999999999</v>
      </c>
      <c r="AJ109" s="431">
        <v>0.2</v>
      </c>
      <c r="AK109" s="431">
        <v>0.19600000000000001</v>
      </c>
      <c r="AL109" s="431">
        <v>0.19600000000000001</v>
      </c>
      <c r="AM109" s="431">
        <v>0.2</v>
      </c>
      <c r="AN109" s="431">
        <v>0.2</v>
      </c>
      <c r="AO109" s="431">
        <v>0.2</v>
      </c>
      <c r="AP109" s="432">
        <v>0.2</v>
      </c>
      <c r="AQ109" s="432">
        <v>0.2</v>
      </c>
      <c r="AR109" s="432">
        <v>0.2</v>
      </c>
      <c r="AS109" s="432">
        <v>0.2</v>
      </c>
      <c r="AT109" s="431">
        <v>0.2</v>
      </c>
      <c r="AU109" s="431">
        <v>0.2</v>
      </c>
      <c r="AV109" s="431">
        <v>0.19600000000000001</v>
      </c>
      <c r="AW109" s="291">
        <v>6.9963814422588005E-2</v>
      </c>
      <c r="AY109" s="306">
        <f t="shared" si="15"/>
        <v>0.19600000000000001</v>
      </c>
      <c r="AZ109" s="306">
        <f t="shared" si="16"/>
        <v>0.19600000000000001</v>
      </c>
      <c r="BA109" s="309">
        <f t="shared" si="17"/>
        <v>0.19600000000000001</v>
      </c>
      <c r="BB109" s="308">
        <f t="shared" si="18"/>
        <v>39600</v>
      </c>
      <c r="BC109" s="306">
        <f t="shared" si="12"/>
        <v>0.58650456823656361</v>
      </c>
      <c r="BD109" s="306">
        <f t="shared" si="13"/>
        <v>0.58661500349851725</v>
      </c>
      <c r="BF109" s="308">
        <f t="shared" si="19"/>
        <v>39600</v>
      </c>
      <c r="BG109" s="291">
        <v>97</v>
      </c>
    </row>
    <row r="110" spans="2:59" x14ac:dyDescent="0.25">
      <c r="B110" s="296">
        <f t="shared" si="14"/>
        <v>39630</v>
      </c>
      <c r="C110" s="294">
        <v>2.927</v>
      </c>
      <c r="D110" s="294">
        <v>0.18</v>
      </c>
      <c r="E110" s="294">
        <v>7.0234202490785005E-2</v>
      </c>
      <c r="F110" s="294">
        <v>-0.19500000000000001</v>
      </c>
      <c r="G110" s="294">
        <v>2.2499999999999999E-2</v>
      </c>
      <c r="H110" s="294">
        <v>-0.19500000000000001</v>
      </c>
      <c r="I110" s="294">
        <v>0.13250000000000001</v>
      </c>
      <c r="J110" s="294">
        <v>0.1825</v>
      </c>
      <c r="K110" s="294">
        <v>0.215</v>
      </c>
      <c r="L110" s="294">
        <v>-7.4999999999999997E-2</v>
      </c>
      <c r="M110" s="294">
        <v>-1.6E-2</v>
      </c>
      <c r="N110" s="294">
        <v>-0.36</v>
      </c>
      <c r="O110" s="294">
        <v>-0.28999999999999998</v>
      </c>
      <c r="P110" s="294">
        <v>6.4999999999999997E-3</v>
      </c>
      <c r="Q110" s="294">
        <v>4.4999999999999997E-3</v>
      </c>
      <c r="R110" s="291">
        <v>-2.1499999999999998E-2</v>
      </c>
      <c r="S110" s="291">
        <v>-5.2499999999999998E-2</v>
      </c>
      <c r="T110" s="291">
        <v>-0.19500000000000001</v>
      </c>
      <c r="U110" s="291">
        <v>-1.0749999999999999E-2</v>
      </c>
      <c r="V110" s="291">
        <v>-7.9500000000000001E-2</v>
      </c>
      <c r="W110" s="291">
        <v>-0.12</v>
      </c>
      <c r="X110" s="291">
        <v>0.43</v>
      </c>
      <c r="Y110" s="291">
        <v>5.0000000000000001E-3</v>
      </c>
      <c r="Z110" s="291">
        <v>-0.19500000000000001</v>
      </c>
      <c r="AA110" s="291">
        <v>-1.7999999999999999E-2</v>
      </c>
      <c r="AB110" s="306">
        <v>0.28999999999999998</v>
      </c>
      <c r="AC110" s="306">
        <v>0.3</v>
      </c>
      <c r="AD110" s="306">
        <v>0.22750000000000001</v>
      </c>
      <c r="AE110" s="431">
        <v>0.18</v>
      </c>
      <c r="AF110" s="431">
        <v>0.18</v>
      </c>
      <c r="AG110" s="431">
        <v>0.17599999999999999</v>
      </c>
      <c r="AH110" s="431">
        <v>0.18</v>
      </c>
      <c r="AI110" s="431">
        <v>0.184</v>
      </c>
      <c r="AJ110" s="431">
        <v>0.18</v>
      </c>
      <c r="AK110" s="431">
        <v>0.17599999999999999</v>
      </c>
      <c r="AL110" s="431">
        <v>0.17599999999999999</v>
      </c>
      <c r="AM110" s="431">
        <v>0.18</v>
      </c>
      <c r="AN110" s="431">
        <v>0.18</v>
      </c>
      <c r="AO110" s="431">
        <v>0.18</v>
      </c>
      <c r="AP110" s="432">
        <v>0.18</v>
      </c>
      <c r="AQ110" s="432">
        <v>0.18</v>
      </c>
      <c r="AR110" s="432">
        <v>0.18</v>
      </c>
      <c r="AS110" s="432">
        <v>0.18</v>
      </c>
      <c r="AT110" s="431">
        <v>0.18</v>
      </c>
      <c r="AU110" s="431">
        <v>0.18</v>
      </c>
      <c r="AV110" s="431">
        <v>0.17599999999999999</v>
      </c>
      <c r="AW110" s="291">
        <v>6.9963671920894005E-2</v>
      </c>
      <c r="AY110" s="306">
        <f t="shared" si="15"/>
        <v>0.17599999999999999</v>
      </c>
      <c r="AZ110" s="306">
        <f t="shared" si="16"/>
        <v>0.17599999999999999</v>
      </c>
      <c r="BA110" s="309">
        <f t="shared" si="17"/>
        <v>0.17599999999999999</v>
      </c>
      <c r="BB110" s="308">
        <f t="shared" si="18"/>
        <v>39630</v>
      </c>
      <c r="BC110" s="306">
        <f t="shared" si="12"/>
        <v>0.58320178996789984</v>
      </c>
      <c r="BD110" s="306">
        <f t="shared" si="13"/>
        <v>0.58331160311680064</v>
      </c>
      <c r="BF110" s="308">
        <f t="shared" si="19"/>
        <v>39630</v>
      </c>
      <c r="BG110" s="291">
        <v>98</v>
      </c>
    </row>
    <row r="111" spans="2:59" x14ac:dyDescent="0.25">
      <c r="B111" s="296">
        <f t="shared" si="14"/>
        <v>39661</v>
      </c>
      <c r="C111" s="294">
        <v>2.948</v>
      </c>
      <c r="D111" s="294">
        <v>0.18</v>
      </c>
      <c r="E111" s="294">
        <v>7.0247048618340996E-2</v>
      </c>
      <c r="F111" s="294">
        <v>-0.19500000000000001</v>
      </c>
      <c r="G111" s="294">
        <v>2.5000000000000001E-2</v>
      </c>
      <c r="H111" s="294">
        <v>-0.19500000000000001</v>
      </c>
      <c r="I111" s="294">
        <v>0.13</v>
      </c>
      <c r="J111" s="294">
        <v>0.1825</v>
      </c>
      <c r="K111" s="294">
        <v>0.215</v>
      </c>
      <c r="L111" s="294">
        <v>-6.6000000000000003E-2</v>
      </c>
      <c r="M111" s="294">
        <v>-1.6E-2</v>
      </c>
      <c r="N111" s="294">
        <v>-0.36</v>
      </c>
      <c r="O111" s="294">
        <v>-0.28999999999999998</v>
      </c>
      <c r="P111" s="294">
        <v>6.4999999999999997E-3</v>
      </c>
      <c r="Q111" s="294">
        <v>4.4999999999999997E-3</v>
      </c>
      <c r="R111" s="291">
        <v>-2.1499999999999998E-2</v>
      </c>
      <c r="S111" s="291">
        <v>-5.2499999999999998E-2</v>
      </c>
      <c r="T111" s="291">
        <v>-0.19500000000000001</v>
      </c>
      <c r="U111" s="291">
        <v>-1.0749999999999999E-2</v>
      </c>
      <c r="V111" s="291">
        <v>-7.9500000000000001E-2</v>
      </c>
      <c r="W111" s="291">
        <v>-0.12</v>
      </c>
      <c r="X111" s="291">
        <v>0.495</v>
      </c>
      <c r="Y111" s="291">
        <v>5.0000000000000001E-3</v>
      </c>
      <c r="Z111" s="291">
        <v>-0.19500000000000001</v>
      </c>
      <c r="AA111" s="291">
        <v>-1.7999999999999999E-2</v>
      </c>
      <c r="AB111" s="306">
        <v>0.28999999999999998</v>
      </c>
      <c r="AC111" s="306">
        <v>0.3</v>
      </c>
      <c r="AD111" s="306">
        <v>0.22500000000000001</v>
      </c>
      <c r="AE111" s="431">
        <v>0.18</v>
      </c>
      <c r="AF111" s="431">
        <v>0.18</v>
      </c>
      <c r="AG111" s="431">
        <v>0.17599999999999999</v>
      </c>
      <c r="AH111" s="431">
        <v>0.18</v>
      </c>
      <c r="AI111" s="431">
        <v>0.184</v>
      </c>
      <c r="AJ111" s="431">
        <v>0.18</v>
      </c>
      <c r="AK111" s="431">
        <v>0.17599999999999999</v>
      </c>
      <c r="AL111" s="431">
        <v>0.17599999999999999</v>
      </c>
      <c r="AM111" s="431">
        <v>0.18</v>
      </c>
      <c r="AN111" s="431">
        <v>0.18</v>
      </c>
      <c r="AO111" s="431">
        <v>0.18</v>
      </c>
      <c r="AP111" s="432">
        <v>0.18</v>
      </c>
      <c r="AQ111" s="432">
        <v>0.18</v>
      </c>
      <c r="AR111" s="432">
        <v>0.18</v>
      </c>
      <c r="AS111" s="432">
        <v>0.18</v>
      </c>
      <c r="AT111" s="431">
        <v>0.18</v>
      </c>
      <c r="AU111" s="431">
        <v>0.18</v>
      </c>
      <c r="AV111" s="431">
        <v>0.17599999999999999</v>
      </c>
      <c r="AW111" s="291">
        <v>6.9963524669143004E-2</v>
      </c>
      <c r="AY111" s="306">
        <f t="shared" si="15"/>
        <v>0.17599999999999999</v>
      </c>
      <c r="AZ111" s="306">
        <f t="shared" si="16"/>
        <v>0.17599999999999999</v>
      </c>
      <c r="BA111" s="309">
        <f t="shared" si="17"/>
        <v>0.17599999999999999</v>
      </c>
      <c r="BB111" s="308">
        <f t="shared" si="18"/>
        <v>39661</v>
      </c>
      <c r="BC111" s="306">
        <f t="shared" si="12"/>
        <v>0.57980847082875231</v>
      </c>
      <c r="BD111" s="306">
        <f t="shared" si="13"/>
        <v>0.57991764481157393</v>
      </c>
      <c r="BF111" s="308">
        <f t="shared" si="19"/>
        <v>39661</v>
      </c>
      <c r="BG111" s="291">
        <v>99</v>
      </c>
    </row>
    <row r="112" spans="2:59" x14ac:dyDescent="0.25">
      <c r="B112" s="296">
        <f t="shared" si="14"/>
        <v>39692</v>
      </c>
      <c r="C112" s="294">
        <v>2.9260000000000002</v>
      </c>
      <c r="D112" s="294">
        <v>0.18</v>
      </c>
      <c r="E112" s="294">
        <v>7.0259894745951998E-2</v>
      </c>
      <c r="F112" s="294">
        <v>-0.19500000000000001</v>
      </c>
      <c r="G112" s="294">
        <v>1.7500000000000002E-2</v>
      </c>
      <c r="H112" s="294">
        <v>-0.19500000000000001</v>
      </c>
      <c r="I112" s="294">
        <v>0.1275</v>
      </c>
      <c r="J112" s="294">
        <v>0.1825</v>
      </c>
      <c r="K112" s="294">
        <v>0.19500000000000001</v>
      </c>
      <c r="L112" s="294">
        <v>-4.5999999999999999E-2</v>
      </c>
      <c r="M112" s="294">
        <v>-1.6E-2</v>
      </c>
      <c r="N112" s="294">
        <v>-0.36</v>
      </c>
      <c r="O112" s="294">
        <v>-0.28999999999999998</v>
      </c>
      <c r="P112" s="294">
        <v>6.4999999999999997E-3</v>
      </c>
      <c r="Q112" s="294">
        <v>4.4999999999999997E-3</v>
      </c>
      <c r="R112" s="291">
        <v>-2.1499999999999998E-2</v>
      </c>
      <c r="S112" s="291">
        <v>-5.2499999999999998E-2</v>
      </c>
      <c r="T112" s="291">
        <v>-0.185</v>
      </c>
      <c r="U112" s="291">
        <v>-1.0749999999999999E-2</v>
      </c>
      <c r="V112" s="291">
        <v>-9.4500000000000001E-2</v>
      </c>
      <c r="W112" s="291">
        <v>-0.12</v>
      </c>
      <c r="X112" s="291">
        <v>0.39500000000000002</v>
      </c>
      <c r="Y112" s="291">
        <v>5.0000000000000001E-3</v>
      </c>
      <c r="Z112" s="291">
        <v>-0.19500000000000001</v>
      </c>
      <c r="AA112" s="291">
        <v>-1.7999999999999999E-2</v>
      </c>
      <c r="AB112" s="306">
        <v>0.28999999999999998</v>
      </c>
      <c r="AC112" s="306">
        <v>0.28999999999999998</v>
      </c>
      <c r="AD112" s="306">
        <v>0.2225</v>
      </c>
      <c r="AE112" s="431">
        <v>0.18</v>
      </c>
      <c r="AF112" s="431">
        <v>0.18</v>
      </c>
      <c r="AG112" s="431">
        <v>0.17599999999999999</v>
      </c>
      <c r="AH112" s="431">
        <v>0.18</v>
      </c>
      <c r="AI112" s="431">
        <v>0.184</v>
      </c>
      <c r="AJ112" s="431">
        <v>0.18</v>
      </c>
      <c r="AK112" s="431">
        <v>0.17599999999999999</v>
      </c>
      <c r="AL112" s="431">
        <v>0.17599999999999999</v>
      </c>
      <c r="AM112" s="431">
        <v>0.18</v>
      </c>
      <c r="AN112" s="431">
        <v>0.18</v>
      </c>
      <c r="AO112" s="431">
        <v>0.18</v>
      </c>
      <c r="AP112" s="432">
        <v>0.18</v>
      </c>
      <c r="AQ112" s="432">
        <v>0.18</v>
      </c>
      <c r="AR112" s="432">
        <v>0.18</v>
      </c>
      <c r="AS112" s="432">
        <v>0.18</v>
      </c>
      <c r="AT112" s="431">
        <v>0.18</v>
      </c>
      <c r="AU112" s="431">
        <v>0.18</v>
      </c>
      <c r="AV112" s="431">
        <v>0.17599999999999999</v>
      </c>
      <c r="AW112" s="291">
        <v>6.9963377417392003E-2</v>
      </c>
      <c r="AY112" s="306">
        <f t="shared" si="15"/>
        <v>0.17599999999999999</v>
      </c>
      <c r="AZ112" s="306">
        <f t="shared" si="16"/>
        <v>0.17599999999999999</v>
      </c>
      <c r="BA112" s="309">
        <f t="shared" si="17"/>
        <v>0.17599999999999999</v>
      </c>
      <c r="BB112" s="308">
        <f t="shared" si="18"/>
        <v>39692</v>
      </c>
      <c r="BC112" s="306">
        <f t="shared" si="12"/>
        <v>0.57643490940284536</v>
      </c>
      <c r="BD112" s="306">
        <f t="shared" si="13"/>
        <v>0.57654344794246692</v>
      </c>
      <c r="BF112" s="308">
        <f t="shared" si="19"/>
        <v>39692</v>
      </c>
      <c r="BG112" s="291">
        <v>100</v>
      </c>
    </row>
    <row r="113" spans="2:59" x14ac:dyDescent="0.25">
      <c r="B113" s="296">
        <f t="shared" si="14"/>
        <v>39722</v>
      </c>
      <c r="C113" s="294">
        <v>2.9359999999999999</v>
      </c>
      <c r="D113" s="294">
        <v>0.18</v>
      </c>
      <c r="E113" s="294">
        <v>7.0272326482401004E-2</v>
      </c>
      <c r="F113" s="294">
        <v>-0.19500000000000001</v>
      </c>
      <c r="G113" s="294">
        <v>7.4999999999999997E-3</v>
      </c>
      <c r="H113" s="294">
        <v>-0.19500000000000001</v>
      </c>
      <c r="I113" s="294">
        <v>0.14249999999999999</v>
      </c>
      <c r="J113" s="294">
        <v>0.1875</v>
      </c>
      <c r="K113" s="294">
        <v>0.215</v>
      </c>
      <c r="L113" s="294">
        <v>-5.6000000000000001E-2</v>
      </c>
      <c r="M113" s="294">
        <v>-1.6E-2</v>
      </c>
      <c r="N113" s="294">
        <v>-0.36</v>
      </c>
      <c r="O113" s="294">
        <v>-0.28999999999999998</v>
      </c>
      <c r="P113" s="294">
        <v>6.4999999999999997E-3</v>
      </c>
      <c r="Q113" s="294">
        <v>4.4999999999999997E-3</v>
      </c>
      <c r="R113" s="291">
        <v>-2.1499999999999998E-2</v>
      </c>
      <c r="S113" s="291">
        <v>-5.2499999999999998E-2</v>
      </c>
      <c r="T113" s="291">
        <v>-0.17</v>
      </c>
      <c r="U113" s="291">
        <v>-2.9000000000000001E-2</v>
      </c>
      <c r="V113" s="291">
        <v>-9.7000000000000003E-2</v>
      </c>
      <c r="W113" s="291">
        <v>-0.12</v>
      </c>
      <c r="X113" s="291">
        <v>0.46100000000000002</v>
      </c>
      <c r="Y113" s="291">
        <v>5.0000000000000001E-3</v>
      </c>
      <c r="Z113" s="291">
        <v>-0.19500000000000001</v>
      </c>
      <c r="AA113" s="291">
        <v>-1.7999999999999999E-2</v>
      </c>
      <c r="AB113" s="306">
        <v>0.28999999999999998</v>
      </c>
      <c r="AC113" s="306">
        <v>0.36249999999999999</v>
      </c>
      <c r="AD113" s="306">
        <v>0.23749999999999999</v>
      </c>
      <c r="AE113" s="431">
        <v>0.18</v>
      </c>
      <c r="AF113" s="431">
        <v>0.18</v>
      </c>
      <c r="AG113" s="431">
        <v>0.17599999999999999</v>
      </c>
      <c r="AH113" s="431">
        <v>0.18</v>
      </c>
      <c r="AI113" s="431">
        <v>0.184</v>
      </c>
      <c r="AJ113" s="431">
        <v>0.18</v>
      </c>
      <c r="AK113" s="431">
        <v>0.17599999999999999</v>
      </c>
      <c r="AL113" s="431">
        <v>0.17599999999999999</v>
      </c>
      <c r="AM113" s="431">
        <v>0.18</v>
      </c>
      <c r="AN113" s="431">
        <v>0.18</v>
      </c>
      <c r="AO113" s="431">
        <v>0.18</v>
      </c>
      <c r="AP113" s="432">
        <v>0.18</v>
      </c>
      <c r="AQ113" s="432">
        <v>0.18</v>
      </c>
      <c r="AR113" s="432">
        <v>0.18</v>
      </c>
      <c r="AS113" s="432">
        <v>0.18</v>
      </c>
      <c r="AT113" s="431">
        <v>0.18</v>
      </c>
      <c r="AU113" s="431">
        <v>0.18</v>
      </c>
      <c r="AV113" s="431">
        <v>0.17599999999999999</v>
      </c>
      <c r="AW113" s="291">
        <v>6.9963234915698003E-2</v>
      </c>
      <c r="AY113" s="306">
        <f t="shared" si="15"/>
        <v>0.17599999999999999</v>
      </c>
      <c r="AZ113" s="306">
        <f t="shared" si="16"/>
        <v>0.17599999999999999</v>
      </c>
      <c r="BA113" s="309">
        <f t="shared" si="17"/>
        <v>0.17599999999999999</v>
      </c>
      <c r="BB113" s="308">
        <f t="shared" si="18"/>
        <v>39722</v>
      </c>
      <c r="BC113" s="306">
        <f t="shared" si="12"/>
        <v>0.5731888760767796</v>
      </c>
      <c r="BD113" s="306">
        <f t="shared" si="13"/>
        <v>0.57329680319560616</v>
      </c>
      <c r="BF113" s="308">
        <f t="shared" si="19"/>
        <v>39722</v>
      </c>
      <c r="BG113" s="291">
        <v>101</v>
      </c>
    </row>
    <row r="114" spans="2:59" x14ac:dyDescent="0.25">
      <c r="B114" s="296">
        <f t="shared" si="14"/>
        <v>39753</v>
      </c>
      <c r="C114" s="294">
        <v>3.0030000000000001</v>
      </c>
      <c r="D114" s="294">
        <v>0.18</v>
      </c>
      <c r="E114" s="294">
        <v>7.0285172610119004E-2</v>
      </c>
      <c r="F114" s="294">
        <v>-0.19</v>
      </c>
      <c r="G114" s="294">
        <v>-3.2500000000000001E-2</v>
      </c>
      <c r="H114" s="294">
        <v>-0.19</v>
      </c>
      <c r="I114" s="294">
        <v>0.20499999999999999</v>
      </c>
      <c r="J114" s="294">
        <v>0.27</v>
      </c>
      <c r="K114" s="294">
        <v>0.28749999999999998</v>
      </c>
      <c r="L114" s="294">
        <v>-7.0999999999999994E-2</v>
      </c>
      <c r="M114" s="294">
        <v>-8.5000000000000006E-3</v>
      </c>
      <c r="N114" s="294">
        <v>-0.28000000000000003</v>
      </c>
      <c r="O114" s="294">
        <v>0</v>
      </c>
      <c r="P114" s="294">
        <v>1.6E-2</v>
      </c>
      <c r="Q114" s="294">
        <v>-3.5000000000000001E-3</v>
      </c>
      <c r="R114" s="291">
        <v>-2.4500000000000001E-2</v>
      </c>
      <c r="S114" s="291">
        <v>-5.2499999999999998E-2</v>
      </c>
      <c r="T114" s="291">
        <v>-0.13250000000000001</v>
      </c>
      <c r="U114" s="291">
        <v>-3.0499999999999999E-2</v>
      </c>
      <c r="V114" s="291">
        <v>-9.4500000000000001E-2</v>
      </c>
      <c r="W114" s="291">
        <v>-0.13250000000000001</v>
      </c>
      <c r="X114" s="291">
        <v>0.76749999999999996</v>
      </c>
      <c r="Y114" s="291">
        <v>5.0000000000000001E-3</v>
      </c>
      <c r="Z114" s="291">
        <v>-0.19</v>
      </c>
      <c r="AA114" s="291">
        <v>-1.95E-2</v>
      </c>
      <c r="AB114" s="306">
        <v>0.12</v>
      </c>
      <c r="AC114" s="306">
        <v>0.46500000000000002</v>
      </c>
      <c r="AD114" s="306">
        <v>0.3</v>
      </c>
      <c r="AE114" s="431">
        <v>0.18</v>
      </c>
      <c r="AF114" s="431">
        <v>0.18</v>
      </c>
      <c r="AG114" s="431">
        <v>0.19800000000000001</v>
      </c>
      <c r="AH114" s="431">
        <v>0.18</v>
      </c>
      <c r="AI114" s="431">
        <v>0.184</v>
      </c>
      <c r="AJ114" s="431">
        <v>0.18</v>
      </c>
      <c r="AK114" s="431">
        <v>0.18</v>
      </c>
      <c r="AL114" s="431">
        <v>0.18</v>
      </c>
      <c r="AM114" s="431">
        <v>0.18</v>
      </c>
      <c r="AN114" s="431">
        <v>0.18</v>
      </c>
      <c r="AO114" s="431">
        <v>0.18</v>
      </c>
      <c r="AP114" s="432">
        <v>0.18</v>
      </c>
      <c r="AQ114" s="432">
        <v>0.18</v>
      </c>
      <c r="AR114" s="432">
        <v>0.18</v>
      </c>
      <c r="AS114" s="432">
        <v>0.18</v>
      </c>
      <c r="AT114" s="431">
        <v>0.18</v>
      </c>
      <c r="AU114" s="431">
        <v>0.18</v>
      </c>
      <c r="AV114" s="431">
        <v>0.19800000000000001</v>
      </c>
      <c r="AW114" s="291">
        <v>6.9963087663946003E-2</v>
      </c>
      <c r="AY114" s="306">
        <f t="shared" si="15"/>
        <v>0.19800000000000001</v>
      </c>
      <c r="AZ114" s="306">
        <f t="shared" si="16"/>
        <v>0.19800000000000001</v>
      </c>
      <c r="BA114" s="309">
        <f t="shared" si="17"/>
        <v>0.19800000000000001</v>
      </c>
      <c r="BB114" s="308">
        <f t="shared" si="18"/>
        <v>39753</v>
      </c>
      <c r="BC114" s="306">
        <f t="shared" si="12"/>
        <v>0.56985385722544213</v>
      </c>
      <c r="BD114" s="306">
        <f t="shared" si="13"/>
        <v>0.56996115616349341</v>
      </c>
      <c r="BF114" s="308">
        <f t="shared" si="19"/>
        <v>39753</v>
      </c>
      <c r="BG114" s="291">
        <v>102</v>
      </c>
    </row>
    <row r="115" spans="2:59" x14ac:dyDescent="0.25">
      <c r="B115" s="296">
        <f t="shared" si="14"/>
        <v>39783</v>
      </c>
      <c r="C115" s="294">
        <v>3.0739999999999998</v>
      </c>
      <c r="D115" s="294">
        <v>0.18</v>
      </c>
      <c r="E115" s="294">
        <v>7.0297604346671996E-2</v>
      </c>
      <c r="F115" s="294">
        <v>-0.19750000000000001</v>
      </c>
      <c r="G115" s="294">
        <v>-5.5E-2</v>
      </c>
      <c r="H115" s="294">
        <v>-0.19750000000000001</v>
      </c>
      <c r="I115" s="294">
        <v>0.245</v>
      </c>
      <c r="J115" s="294">
        <v>0.30499999999999999</v>
      </c>
      <c r="K115" s="294">
        <v>0.33750000000000002</v>
      </c>
      <c r="L115" s="294">
        <v>-7.0999999999999994E-2</v>
      </c>
      <c r="M115" s="294">
        <v>-8.5000000000000006E-3</v>
      </c>
      <c r="N115" s="294">
        <v>-0.28000000000000003</v>
      </c>
      <c r="O115" s="294">
        <v>0.06</v>
      </c>
      <c r="P115" s="294">
        <v>1.6E-2</v>
      </c>
      <c r="Q115" s="294">
        <v>-3.5000000000000001E-3</v>
      </c>
      <c r="R115" s="291">
        <v>-2.4500000000000001E-2</v>
      </c>
      <c r="S115" s="291">
        <v>-5.2499999999999998E-2</v>
      </c>
      <c r="T115" s="291">
        <v>-0.125</v>
      </c>
      <c r="U115" s="291">
        <v>-3.0499999999999999E-2</v>
      </c>
      <c r="V115" s="291">
        <v>-0.1295</v>
      </c>
      <c r="W115" s="291">
        <v>-0.1275</v>
      </c>
      <c r="X115" s="291">
        <v>1.19</v>
      </c>
      <c r="Y115" s="291">
        <v>5.0000000000000001E-3</v>
      </c>
      <c r="Z115" s="291">
        <v>-0.19</v>
      </c>
      <c r="AA115" s="291">
        <v>-1.95E-2</v>
      </c>
      <c r="AB115" s="306">
        <v>0.12</v>
      </c>
      <c r="AC115" s="306">
        <v>0.8</v>
      </c>
      <c r="AD115" s="306">
        <v>0.34</v>
      </c>
      <c r="AE115" s="431">
        <v>0.18</v>
      </c>
      <c r="AF115" s="431">
        <v>0.18</v>
      </c>
      <c r="AG115" s="431">
        <v>0.19800000000000001</v>
      </c>
      <c r="AH115" s="431">
        <v>0.18</v>
      </c>
      <c r="AI115" s="431">
        <v>0.184</v>
      </c>
      <c r="AJ115" s="431">
        <v>0.18</v>
      </c>
      <c r="AK115" s="431">
        <v>0.18</v>
      </c>
      <c r="AL115" s="431">
        <v>0.18</v>
      </c>
      <c r="AM115" s="431">
        <v>0.18</v>
      </c>
      <c r="AN115" s="431">
        <v>0.18</v>
      </c>
      <c r="AO115" s="431">
        <v>0.18</v>
      </c>
      <c r="AP115" s="432">
        <v>0.18</v>
      </c>
      <c r="AQ115" s="432">
        <v>0.18</v>
      </c>
      <c r="AR115" s="432">
        <v>0.18</v>
      </c>
      <c r="AS115" s="432">
        <v>0.18</v>
      </c>
      <c r="AT115" s="431">
        <v>0.18</v>
      </c>
      <c r="AU115" s="431">
        <v>0.18</v>
      </c>
      <c r="AV115" s="431">
        <v>0.19800000000000001</v>
      </c>
      <c r="AW115" s="291">
        <v>6.9962945162252002E-2</v>
      </c>
      <c r="AY115" s="306">
        <f t="shared" si="15"/>
        <v>0.19800000000000001</v>
      </c>
      <c r="AZ115" s="306">
        <f t="shared" si="16"/>
        <v>0.19800000000000001</v>
      </c>
      <c r="BA115" s="309">
        <f t="shared" si="17"/>
        <v>0.19800000000000001</v>
      </c>
      <c r="BB115" s="308">
        <f t="shared" si="18"/>
        <v>39783</v>
      </c>
      <c r="BC115" s="306">
        <f t="shared" si="12"/>
        <v>0.56664490932925371</v>
      </c>
      <c r="BD115" s="306">
        <f t="shared" si="13"/>
        <v>0.5667516038343563</v>
      </c>
      <c r="BF115" s="308">
        <f t="shared" si="19"/>
        <v>39783</v>
      </c>
      <c r="BG115" s="291">
        <v>103</v>
      </c>
    </row>
    <row r="116" spans="2:59" x14ac:dyDescent="0.25">
      <c r="B116" s="296">
        <f t="shared" si="14"/>
        <v>39814</v>
      </c>
      <c r="C116" s="294">
        <v>3.359</v>
      </c>
      <c r="D116" s="294">
        <v>0.18</v>
      </c>
      <c r="E116" s="294">
        <v>7.0310450474496994E-2</v>
      </c>
      <c r="F116" s="294">
        <v>-0.2</v>
      </c>
      <c r="G116" s="294">
        <v>-5.7500000000000002E-2</v>
      </c>
      <c r="H116" s="294">
        <v>-0.2</v>
      </c>
      <c r="I116" s="294">
        <v>0.31</v>
      </c>
      <c r="J116" s="294">
        <v>0.30499999999999999</v>
      </c>
      <c r="K116" s="294">
        <v>0.4375</v>
      </c>
      <c r="L116" s="294">
        <v>-7.0999999999999994E-2</v>
      </c>
      <c r="M116" s="294">
        <v>-6.4999999999999997E-3</v>
      </c>
      <c r="N116" s="294">
        <v>-0.28000000000000003</v>
      </c>
      <c r="O116" s="294">
        <v>0.13</v>
      </c>
      <c r="P116" s="294">
        <v>1.6E-2</v>
      </c>
      <c r="Q116" s="294">
        <v>-3.5000000000000001E-3</v>
      </c>
      <c r="R116" s="291">
        <v>-0.02</v>
      </c>
      <c r="S116" s="291">
        <v>-5.2499999999999998E-2</v>
      </c>
      <c r="T116" s="291">
        <v>-0.11</v>
      </c>
      <c r="U116" s="291">
        <v>-3.0499999999999999E-2</v>
      </c>
      <c r="V116" s="291">
        <v>-0.13500000000000001</v>
      </c>
      <c r="W116" s="291">
        <v>-0.1275</v>
      </c>
      <c r="X116" s="291">
        <v>1.5249999999999999</v>
      </c>
      <c r="Y116" s="291">
        <v>5.0000000000000001E-3</v>
      </c>
      <c r="Z116" s="291">
        <v>-0.19</v>
      </c>
      <c r="AA116" s="291">
        <v>-1.95E-2</v>
      </c>
      <c r="AB116" s="306">
        <v>0.12</v>
      </c>
      <c r="AC116" s="306">
        <v>0.97499999999999998</v>
      </c>
      <c r="AD116" s="306">
        <v>0.40500000000000003</v>
      </c>
      <c r="AE116" s="431">
        <v>0.18</v>
      </c>
      <c r="AF116" s="431">
        <v>0.18</v>
      </c>
      <c r="AG116" s="431">
        <v>0.19800000000000001</v>
      </c>
      <c r="AH116" s="431">
        <v>0.18</v>
      </c>
      <c r="AI116" s="431">
        <v>0.184</v>
      </c>
      <c r="AJ116" s="431">
        <v>0.18</v>
      </c>
      <c r="AK116" s="431">
        <v>0.18</v>
      </c>
      <c r="AL116" s="431">
        <v>0.18</v>
      </c>
      <c r="AM116" s="431">
        <v>0.18</v>
      </c>
      <c r="AN116" s="431">
        <v>0.18</v>
      </c>
      <c r="AO116" s="431">
        <v>0.18</v>
      </c>
      <c r="AP116" s="432">
        <v>0.18</v>
      </c>
      <c r="AQ116" s="432">
        <v>0.18</v>
      </c>
      <c r="AR116" s="432">
        <v>0.18</v>
      </c>
      <c r="AS116" s="432">
        <v>0.18</v>
      </c>
      <c r="AT116" s="431">
        <v>0.18</v>
      </c>
      <c r="AU116" s="431">
        <v>0.18</v>
      </c>
      <c r="AV116" s="431">
        <v>0.19800000000000001</v>
      </c>
      <c r="AW116" s="291">
        <v>6.9962797910501001E-2</v>
      </c>
      <c r="AY116" s="306">
        <f t="shared" si="15"/>
        <v>0.19800000000000001</v>
      </c>
      <c r="AZ116" s="306">
        <f t="shared" si="16"/>
        <v>0.19800000000000001</v>
      </c>
      <c r="BA116" s="309">
        <f t="shared" si="17"/>
        <v>0.19800000000000001</v>
      </c>
      <c r="BB116" s="308">
        <f t="shared" si="18"/>
        <v>39814</v>
      </c>
      <c r="BC116" s="306">
        <f t="shared" si="12"/>
        <v>0.5633479923996495</v>
      </c>
      <c r="BD116" s="306">
        <f t="shared" si="13"/>
        <v>0.56345406590334191</v>
      </c>
      <c r="BF116" s="308">
        <f t="shared" si="19"/>
        <v>39814</v>
      </c>
      <c r="BG116" s="291">
        <v>104</v>
      </c>
    </row>
    <row r="117" spans="2:59" x14ac:dyDescent="0.25">
      <c r="B117" s="296">
        <f t="shared" si="14"/>
        <v>39845</v>
      </c>
      <c r="C117" s="294">
        <v>3.2410000000000001</v>
      </c>
      <c r="D117" s="294">
        <v>0.18</v>
      </c>
      <c r="E117" s="294">
        <v>7.0323296602377003E-2</v>
      </c>
      <c r="F117" s="294">
        <v>-0.20250000000000001</v>
      </c>
      <c r="G117" s="294">
        <v>-0.04</v>
      </c>
      <c r="H117" s="294">
        <v>-0.20250000000000001</v>
      </c>
      <c r="I117" s="294">
        <v>0.28499999999999998</v>
      </c>
      <c r="J117" s="294">
        <v>0.30499999999999999</v>
      </c>
      <c r="K117" s="294">
        <v>0.435</v>
      </c>
      <c r="L117" s="294">
        <v>-7.0999999999999994E-2</v>
      </c>
      <c r="M117" s="294">
        <v>-6.4999999999999997E-3</v>
      </c>
      <c r="N117" s="294">
        <v>-0.28000000000000003</v>
      </c>
      <c r="O117" s="294">
        <v>0</v>
      </c>
      <c r="P117" s="294">
        <v>1.6E-2</v>
      </c>
      <c r="Q117" s="294">
        <v>-3.5000000000000001E-3</v>
      </c>
      <c r="R117" s="291">
        <v>-0.02</v>
      </c>
      <c r="S117" s="291">
        <v>-5.2499999999999998E-2</v>
      </c>
      <c r="T117" s="291">
        <v>-0.11</v>
      </c>
      <c r="U117" s="291">
        <v>-3.0499999999999999E-2</v>
      </c>
      <c r="V117" s="291">
        <v>-0.11749999999999999</v>
      </c>
      <c r="W117" s="291">
        <v>-0.1275</v>
      </c>
      <c r="X117" s="291">
        <v>1.4550000000000001</v>
      </c>
      <c r="Y117" s="291">
        <v>5.0000000000000001E-3</v>
      </c>
      <c r="Z117" s="291">
        <v>-0.19</v>
      </c>
      <c r="AA117" s="291">
        <v>-1.95E-2</v>
      </c>
      <c r="AB117" s="306">
        <v>0.12</v>
      </c>
      <c r="AC117" s="306">
        <v>0.97499999999999998</v>
      </c>
      <c r="AD117" s="306">
        <v>0.38</v>
      </c>
      <c r="AE117" s="431">
        <v>0.18</v>
      </c>
      <c r="AF117" s="431">
        <v>0.18</v>
      </c>
      <c r="AG117" s="431">
        <v>0.19800000000000001</v>
      </c>
      <c r="AH117" s="431">
        <v>0.18</v>
      </c>
      <c r="AI117" s="431">
        <v>0.184</v>
      </c>
      <c r="AJ117" s="431">
        <v>0.18</v>
      </c>
      <c r="AK117" s="431">
        <v>0.18</v>
      </c>
      <c r="AL117" s="431">
        <v>0.18</v>
      </c>
      <c r="AM117" s="431">
        <v>0.18</v>
      </c>
      <c r="AN117" s="431">
        <v>0.18</v>
      </c>
      <c r="AO117" s="431">
        <v>0.18</v>
      </c>
      <c r="AP117" s="432">
        <v>0.18</v>
      </c>
      <c r="AQ117" s="432">
        <v>0.18</v>
      </c>
      <c r="AR117" s="432">
        <v>0.18</v>
      </c>
      <c r="AS117" s="432">
        <v>0.18</v>
      </c>
      <c r="AT117" s="431">
        <v>0.18</v>
      </c>
      <c r="AU117" s="431">
        <v>0.18</v>
      </c>
      <c r="AV117" s="431">
        <v>0.19800000000000001</v>
      </c>
      <c r="AW117" s="291">
        <v>6.996265065875E-2</v>
      </c>
      <c r="AY117" s="306">
        <f t="shared" si="15"/>
        <v>0.19800000000000001</v>
      </c>
      <c r="AZ117" s="306">
        <f t="shared" si="16"/>
        <v>0.19800000000000001</v>
      </c>
      <c r="BA117" s="309">
        <f t="shared" si="17"/>
        <v>0.19800000000000001</v>
      </c>
      <c r="BB117" s="308">
        <f t="shared" si="18"/>
        <v>39845</v>
      </c>
      <c r="BC117" s="306">
        <f t="shared" si="12"/>
        <v>0.56007027148782118</v>
      </c>
      <c r="BD117" s="306">
        <f t="shared" si="13"/>
        <v>0.56017572760710732</v>
      </c>
      <c r="BF117" s="308">
        <f t="shared" si="19"/>
        <v>39845</v>
      </c>
      <c r="BG117" s="291">
        <v>105</v>
      </c>
    </row>
    <row r="118" spans="2:59" x14ac:dyDescent="0.25">
      <c r="B118" s="296">
        <f t="shared" si="14"/>
        <v>39873</v>
      </c>
      <c r="C118" s="294">
        <v>3.089</v>
      </c>
      <c r="D118" s="294">
        <v>0.17</v>
      </c>
      <c r="E118" s="294">
        <v>7.0334899556638006E-2</v>
      </c>
      <c r="F118" s="294">
        <v>-0.20499999999999999</v>
      </c>
      <c r="G118" s="294">
        <v>-2.75E-2</v>
      </c>
      <c r="H118" s="294">
        <v>-0.20499999999999999</v>
      </c>
      <c r="I118" s="294">
        <v>0.28249999999999997</v>
      </c>
      <c r="J118" s="294">
        <v>0.26500000000000001</v>
      </c>
      <c r="K118" s="294">
        <v>0.30249999999999999</v>
      </c>
      <c r="L118" s="294">
        <v>-7.0999999999999994E-2</v>
      </c>
      <c r="M118" s="294">
        <v>-6.4999999999999997E-3</v>
      </c>
      <c r="N118" s="294">
        <v>-0.28000000000000003</v>
      </c>
      <c r="O118" s="294">
        <v>-0.18</v>
      </c>
      <c r="P118" s="294">
        <v>1.6E-2</v>
      </c>
      <c r="Q118" s="294">
        <v>-3.5000000000000001E-3</v>
      </c>
      <c r="R118" s="291">
        <v>-0.02</v>
      </c>
      <c r="S118" s="291">
        <v>-5.2499999999999998E-2</v>
      </c>
      <c r="T118" s="291">
        <v>-0.11</v>
      </c>
      <c r="U118" s="291">
        <v>-1.2E-2</v>
      </c>
      <c r="V118" s="291">
        <v>-0.1</v>
      </c>
      <c r="W118" s="291">
        <v>-0.13250000000000001</v>
      </c>
      <c r="X118" s="291">
        <v>0.83499999999999996</v>
      </c>
      <c r="Y118" s="291">
        <v>5.0000000000000001E-3</v>
      </c>
      <c r="Z118" s="291">
        <v>-0.19</v>
      </c>
      <c r="AA118" s="291">
        <v>-1.95E-2</v>
      </c>
      <c r="AB118" s="306">
        <v>0.12</v>
      </c>
      <c r="AC118" s="306">
        <v>0.60750000000000004</v>
      </c>
      <c r="AD118" s="306">
        <v>0.3775</v>
      </c>
      <c r="AE118" s="431">
        <v>0.17</v>
      </c>
      <c r="AF118" s="431">
        <v>0.17</v>
      </c>
      <c r="AG118" s="431">
        <v>0.187</v>
      </c>
      <c r="AH118" s="431">
        <v>0.17</v>
      </c>
      <c r="AI118" s="431">
        <v>0.17299999999999999</v>
      </c>
      <c r="AJ118" s="431">
        <v>0.17</v>
      </c>
      <c r="AK118" s="431">
        <v>0.17</v>
      </c>
      <c r="AL118" s="431">
        <v>0.17</v>
      </c>
      <c r="AM118" s="431">
        <v>0.17</v>
      </c>
      <c r="AN118" s="431">
        <v>0.17</v>
      </c>
      <c r="AO118" s="431">
        <v>0.17</v>
      </c>
      <c r="AP118" s="432">
        <v>0.17</v>
      </c>
      <c r="AQ118" s="432">
        <v>0.17</v>
      </c>
      <c r="AR118" s="432">
        <v>0.17</v>
      </c>
      <c r="AS118" s="432">
        <v>0.17</v>
      </c>
      <c r="AT118" s="431">
        <v>0.17</v>
      </c>
      <c r="AU118" s="431">
        <v>0.17</v>
      </c>
      <c r="AV118" s="431">
        <v>0.187</v>
      </c>
      <c r="AW118" s="291">
        <v>6.9962517657169002E-2</v>
      </c>
      <c r="AY118" s="306">
        <f t="shared" si="15"/>
        <v>0.187</v>
      </c>
      <c r="AZ118" s="306">
        <f t="shared" si="16"/>
        <v>0.187</v>
      </c>
      <c r="BA118" s="309">
        <f t="shared" si="17"/>
        <v>0.187</v>
      </c>
      <c r="BB118" s="308">
        <f t="shared" si="18"/>
        <v>39873</v>
      </c>
      <c r="BC118" s="306">
        <f t="shared" si="12"/>
        <v>0.55712615571475821</v>
      </c>
      <c r="BD118" s="306">
        <f t="shared" si="13"/>
        <v>0.55723105728786981</v>
      </c>
      <c r="BF118" s="308">
        <f t="shared" si="19"/>
        <v>39873</v>
      </c>
      <c r="BG118" s="291">
        <v>106</v>
      </c>
    </row>
    <row r="119" spans="2:59" x14ac:dyDescent="0.25">
      <c r="B119" s="296">
        <f t="shared" si="14"/>
        <v>39904</v>
      </c>
      <c r="C119" s="294">
        <v>2.9289999999999998</v>
      </c>
      <c r="D119" s="294">
        <v>0.17</v>
      </c>
      <c r="E119" s="294">
        <v>7.0347745684622001E-2</v>
      </c>
      <c r="F119" s="294">
        <v>-0.19500000000000001</v>
      </c>
      <c r="G119" s="294">
        <v>1.4999999999999999E-2</v>
      </c>
      <c r="H119" s="294">
        <v>-0.19500000000000001</v>
      </c>
      <c r="I119" s="294">
        <v>0.1875</v>
      </c>
      <c r="J119" s="294">
        <v>0.19500000000000001</v>
      </c>
      <c r="K119" s="294">
        <v>0.25</v>
      </c>
      <c r="L119" s="294">
        <v>-6.4000000000000001E-2</v>
      </c>
      <c r="M119" s="294">
        <v>-1.4E-2</v>
      </c>
      <c r="N119" s="294">
        <v>-0.36</v>
      </c>
      <c r="O119" s="294">
        <v>-0.28999999999999998</v>
      </c>
      <c r="P119" s="294">
        <v>6.4999999999999997E-3</v>
      </c>
      <c r="Q119" s="294">
        <v>6.4999999999999997E-3</v>
      </c>
      <c r="R119" s="291">
        <v>-1.95E-2</v>
      </c>
      <c r="S119" s="291">
        <v>-0.05</v>
      </c>
      <c r="T119" s="291">
        <v>-0.155</v>
      </c>
      <c r="U119" s="291">
        <v>-1.2E-2</v>
      </c>
      <c r="V119" s="291">
        <v>-9.2499999999999999E-2</v>
      </c>
      <c r="W119" s="291">
        <v>-0.12</v>
      </c>
      <c r="X119" s="291">
        <v>0.45</v>
      </c>
      <c r="Y119" s="291">
        <v>5.0000000000000001E-3</v>
      </c>
      <c r="Z119" s="291">
        <v>-0.19500000000000001</v>
      </c>
      <c r="AA119" s="291">
        <v>-1.7000000000000001E-2</v>
      </c>
      <c r="AB119" s="306">
        <v>0.28999999999999998</v>
      </c>
      <c r="AC119" s="306">
        <v>0.35499999999999998</v>
      </c>
      <c r="AD119" s="306">
        <v>0.28249999999999997</v>
      </c>
      <c r="AE119" s="431">
        <v>0.17</v>
      </c>
      <c r="AF119" s="431">
        <v>0.17</v>
      </c>
      <c r="AG119" s="431">
        <v>0.16700000000000001</v>
      </c>
      <c r="AH119" s="431">
        <v>0.17</v>
      </c>
      <c r="AI119" s="431">
        <v>0.17299999999999999</v>
      </c>
      <c r="AJ119" s="431">
        <v>0.17</v>
      </c>
      <c r="AK119" s="431">
        <v>0.16700000000000001</v>
      </c>
      <c r="AL119" s="431">
        <v>0.16700000000000001</v>
      </c>
      <c r="AM119" s="431">
        <v>0.17</v>
      </c>
      <c r="AN119" s="431">
        <v>0.17</v>
      </c>
      <c r="AO119" s="431">
        <v>0.17</v>
      </c>
      <c r="AP119" s="432">
        <v>0.17</v>
      </c>
      <c r="AQ119" s="432">
        <v>0.17</v>
      </c>
      <c r="AR119" s="432">
        <v>0.17</v>
      </c>
      <c r="AS119" s="432">
        <v>0.17</v>
      </c>
      <c r="AT119" s="431">
        <v>0.17</v>
      </c>
      <c r="AU119" s="431">
        <v>0.17</v>
      </c>
      <c r="AV119" s="431">
        <v>0.16700000000000001</v>
      </c>
      <c r="AW119" s="291">
        <v>6.9962370405418001E-2</v>
      </c>
      <c r="AY119" s="306">
        <f t="shared" si="15"/>
        <v>0.16700000000000001</v>
      </c>
      <c r="AZ119" s="306">
        <f t="shared" si="16"/>
        <v>0.16700000000000001</v>
      </c>
      <c r="BA119" s="309">
        <f t="shared" si="17"/>
        <v>0.16700000000000001</v>
      </c>
      <c r="BB119" s="308">
        <f t="shared" si="18"/>
        <v>39904</v>
      </c>
      <c r="BC119" s="306">
        <f t="shared" si="12"/>
        <v>0.55388466070013553</v>
      </c>
      <c r="BD119" s="306">
        <f t="shared" si="13"/>
        <v>0.5539889517146741</v>
      </c>
      <c r="BF119" s="308">
        <f t="shared" si="19"/>
        <v>39904</v>
      </c>
      <c r="BG119" s="291">
        <v>107</v>
      </c>
    </row>
    <row r="120" spans="2:59" x14ac:dyDescent="0.25">
      <c r="B120" s="296">
        <f t="shared" si="14"/>
        <v>39934</v>
      </c>
      <c r="C120" s="294">
        <v>2.923</v>
      </c>
      <c r="D120" s="294">
        <v>0.17</v>
      </c>
      <c r="E120" s="294">
        <v>7.0360177421432996E-2</v>
      </c>
      <c r="F120" s="294">
        <v>-0.19500000000000001</v>
      </c>
      <c r="G120" s="294">
        <v>1.4999999999999999E-2</v>
      </c>
      <c r="H120" s="294">
        <v>-0.19500000000000001</v>
      </c>
      <c r="I120" s="294">
        <v>0.19750000000000001</v>
      </c>
      <c r="J120" s="294">
        <v>0.1825</v>
      </c>
      <c r="K120" s="294">
        <v>0.20250000000000001</v>
      </c>
      <c r="L120" s="294">
        <v>-6.4000000000000001E-2</v>
      </c>
      <c r="M120" s="294">
        <v>-1.4E-2</v>
      </c>
      <c r="N120" s="294">
        <v>-0.36</v>
      </c>
      <c r="O120" s="294">
        <v>-0.28999999999999998</v>
      </c>
      <c r="P120" s="294">
        <v>6.4999999999999997E-3</v>
      </c>
      <c r="Q120" s="388">
        <v>6.4999999999999997E-3</v>
      </c>
      <c r="R120" s="291">
        <v>-1.95E-2</v>
      </c>
      <c r="S120" s="291">
        <v>-0.05</v>
      </c>
      <c r="T120" s="291">
        <v>-0.17</v>
      </c>
      <c r="U120" s="291">
        <v>-1.225E-2</v>
      </c>
      <c r="V120" s="291">
        <v>-9.2499999999999999E-2</v>
      </c>
      <c r="W120" s="291">
        <v>-0.12</v>
      </c>
      <c r="X120" s="291">
        <v>0.40500000000000003</v>
      </c>
      <c r="Y120" s="291">
        <v>5.0000000000000001E-3</v>
      </c>
      <c r="Z120" s="291">
        <v>-0.19500000000000001</v>
      </c>
      <c r="AA120" s="291">
        <v>-1.7000000000000001E-2</v>
      </c>
      <c r="AB120" s="306">
        <v>0.28999999999999998</v>
      </c>
      <c r="AC120" s="306">
        <v>0.28749999999999998</v>
      </c>
      <c r="AD120" s="306">
        <v>0.29249999999999998</v>
      </c>
      <c r="AE120" s="431">
        <v>0.17</v>
      </c>
      <c r="AF120" s="431">
        <v>0.17</v>
      </c>
      <c r="AG120" s="431">
        <v>0.16700000000000001</v>
      </c>
      <c r="AH120" s="431">
        <v>0.17</v>
      </c>
      <c r="AI120" s="431">
        <v>0.17299999999999999</v>
      </c>
      <c r="AJ120" s="431">
        <v>0.17</v>
      </c>
      <c r="AK120" s="431">
        <v>0.16700000000000001</v>
      </c>
      <c r="AL120" s="431">
        <v>0.16700000000000001</v>
      </c>
      <c r="AM120" s="431">
        <v>0.17</v>
      </c>
      <c r="AN120" s="431">
        <v>0.17</v>
      </c>
      <c r="AO120" s="431">
        <v>0.17</v>
      </c>
      <c r="AP120" s="432">
        <v>0.17</v>
      </c>
      <c r="AQ120" s="432">
        <v>0.17</v>
      </c>
      <c r="AR120" s="432">
        <v>0.17</v>
      </c>
      <c r="AS120" s="432">
        <v>0.17</v>
      </c>
      <c r="AT120" s="431">
        <v>0.17</v>
      </c>
      <c r="AU120" s="431">
        <v>0.17</v>
      </c>
      <c r="AV120" s="431">
        <v>0.16700000000000001</v>
      </c>
      <c r="AW120" s="291">
        <v>6.9962227903724E-2</v>
      </c>
      <c r="AY120" s="306">
        <f t="shared" si="15"/>
        <v>0.16700000000000001</v>
      </c>
      <c r="AZ120" s="306">
        <f t="shared" si="16"/>
        <v>0.16700000000000001</v>
      </c>
      <c r="BA120" s="309">
        <f t="shared" si="17"/>
        <v>0.16700000000000001</v>
      </c>
      <c r="BB120" s="308">
        <f t="shared" si="18"/>
        <v>39934</v>
      </c>
      <c r="BC120" s="306">
        <f t="shared" si="12"/>
        <v>0.55076570087579868</v>
      </c>
      <c r="BD120" s="306">
        <f t="shared" si="13"/>
        <v>0.5508694044133311</v>
      </c>
      <c r="BF120" s="308">
        <f t="shared" si="19"/>
        <v>39934</v>
      </c>
      <c r="BG120" s="291">
        <v>108</v>
      </c>
    </row>
    <row r="121" spans="2:59" x14ac:dyDescent="0.25">
      <c r="B121" s="296">
        <f t="shared" si="14"/>
        <v>39965</v>
      </c>
      <c r="C121" s="294">
        <v>2.9489999999999998</v>
      </c>
      <c r="D121" s="294">
        <v>0.17</v>
      </c>
      <c r="E121" s="294">
        <v>7.0373023549524003E-2</v>
      </c>
      <c r="F121" s="294">
        <v>-0.19500000000000001</v>
      </c>
      <c r="G121" s="294">
        <v>0.02</v>
      </c>
      <c r="H121" s="294">
        <v>-0.19500000000000001</v>
      </c>
      <c r="I121" s="294">
        <v>0.1925</v>
      </c>
      <c r="J121" s="294">
        <v>0.1825</v>
      </c>
      <c r="K121" s="294">
        <v>0.20250000000000001</v>
      </c>
      <c r="L121" s="294">
        <v>-0.08</v>
      </c>
      <c r="M121" s="294">
        <v>-1.4E-2</v>
      </c>
      <c r="N121" s="294">
        <v>-0.36</v>
      </c>
      <c r="O121" s="294">
        <v>-0.28999999999999998</v>
      </c>
      <c r="P121" s="294">
        <v>6.4999999999999997E-3</v>
      </c>
      <c r="Q121" s="388">
        <v>6.4999999999999997E-3</v>
      </c>
      <c r="R121" s="291">
        <v>-1.95E-2</v>
      </c>
      <c r="S121" s="291">
        <v>-0.05</v>
      </c>
      <c r="T121" s="291">
        <v>-0.18</v>
      </c>
      <c r="U121" s="291">
        <v>-1.225E-2</v>
      </c>
      <c r="V121" s="291">
        <v>-8.2500000000000004E-2</v>
      </c>
      <c r="W121" s="291">
        <v>-0.12</v>
      </c>
      <c r="X121" s="291">
        <v>0.39500000000000002</v>
      </c>
      <c r="Y121" s="291">
        <v>5.0000000000000001E-3</v>
      </c>
      <c r="Z121" s="291">
        <v>-0.19500000000000001</v>
      </c>
      <c r="AA121" s="291">
        <v>-1.7000000000000001E-2</v>
      </c>
      <c r="AB121" s="306">
        <v>0.28999999999999998</v>
      </c>
      <c r="AC121" s="306">
        <v>0.28749999999999998</v>
      </c>
      <c r="AD121" s="306">
        <v>0.28749999999999998</v>
      </c>
      <c r="AE121" s="431">
        <v>0.17</v>
      </c>
      <c r="AF121" s="431">
        <v>0.17</v>
      </c>
      <c r="AG121" s="431">
        <v>0.16700000000000001</v>
      </c>
      <c r="AH121" s="431">
        <v>0.17</v>
      </c>
      <c r="AI121" s="431">
        <v>0.17299999999999999</v>
      </c>
      <c r="AJ121" s="431">
        <v>0.17</v>
      </c>
      <c r="AK121" s="431">
        <v>0.16700000000000001</v>
      </c>
      <c r="AL121" s="431">
        <v>0.16700000000000001</v>
      </c>
      <c r="AM121" s="431">
        <v>0.17</v>
      </c>
      <c r="AN121" s="431">
        <v>0.17</v>
      </c>
      <c r="AO121" s="431">
        <v>0.17</v>
      </c>
      <c r="AP121" s="432">
        <v>0.17</v>
      </c>
      <c r="AQ121" s="432">
        <v>0.17</v>
      </c>
      <c r="AR121" s="432">
        <v>0.17</v>
      </c>
      <c r="AS121" s="432">
        <v>0.17</v>
      </c>
      <c r="AT121" s="431">
        <v>0.17</v>
      </c>
      <c r="AU121" s="431">
        <v>0.17</v>
      </c>
      <c r="AV121" s="431">
        <v>0.16700000000000001</v>
      </c>
      <c r="AW121" s="291">
        <v>6.9962080651972999E-2</v>
      </c>
      <c r="AY121" s="306">
        <f t="shared" si="15"/>
        <v>0.16700000000000001</v>
      </c>
      <c r="AZ121" s="306">
        <f t="shared" si="16"/>
        <v>0.16700000000000001</v>
      </c>
      <c r="BA121" s="309">
        <f t="shared" si="17"/>
        <v>0.16700000000000001</v>
      </c>
      <c r="BB121" s="308">
        <f t="shared" si="18"/>
        <v>39965</v>
      </c>
      <c r="BC121" s="306">
        <f t="shared" si="12"/>
        <v>0.54756123855060257</v>
      </c>
      <c r="BD121" s="306">
        <f t="shared" si="13"/>
        <v>0.54766433850738661</v>
      </c>
      <c r="BF121" s="308">
        <f t="shared" si="19"/>
        <v>39965</v>
      </c>
      <c r="BG121" s="291">
        <v>109</v>
      </c>
    </row>
    <row r="122" spans="2:59" x14ac:dyDescent="0.25">
      <c r="B122" s="296">
        <f t="shared" si="14"/>
        <v>39995</v>
      </c>
      <c r="C122" s="294">
        <v>2.9710000000000001</v>
      </c>
      <c r="D122" s="294">
        <v>0.17</v>
      </c>
      <c r="E122" s="294">
        <v>7.0385455286437998E-2</v>
      </c>
      <c r="F122" s="294">
        <v>-0.19500000000000001</v>
      </c>
      <c r="G122" s="294">
        <v>2.2499999999999999E-2</v>
      </c>
      <c r="H122" s="294">
        <v>-0.19500000000000001</v>
      </c>
      <c r="I122" s="294">
        <v>0.1825</v>
      </c>
      <c r="J122" s="294">
        <v>0.1825</v>
      </c>
      <c r="K122" s="294">
        <v>0.215</v>
      </c>
      <c r="L122" s="294">
        <v>-7.2999999999999995E-2</v>
      </c>
      <c r="M122" s="294">
        <v>-1.4E-2</v>
      </c>
      <c r="N122" s="294">
        <v>-0.36</v>
      </c>
      <c r="O122" s="294">
        <v>-0.28999999999999998</v>
      </c>
      <c r="P122" s="294">
        <v>6.4999999999999997E-3</v>
      </c>
      <c r="Q122" s="388">
        <v>6.4999999999999997E-3</v>
      </c>
      <c r="R122" s="291">
        <v>-1.95E-2</v>
      </c>
      <c r="S122" s="291">
        <v>-0.05</v>
      </c>
      <c r="T122" s="291">
        <v>-0.18</v>
      </c>
      <c r="U122" s="291">
        <v>-1.225E-2</v>
      </c>
      <c r="V122" s="291">
        <v>-7.7499999999999999E-2</v>
      </c>
      <c r="W122" s="291">
        <v>-0.12</v>
      </c>
      <c r="X122" s="291">
        <v>0.43</v>
      </c>
      <c r="Y122" s="291">
        <v>5.0000000000000001E-3</v>
      </c>
      <c r="Z122" s="291">
        <v>-0.19500000000000001</v>
      </c>
      <c r="AA122" s="291">
        <v>-1.7000000000000001E-2</v>
      </c>
      <c r="AB122" s="306">
        <v>0.28999999999999998</v>
      </c>
      <c r="AC122" s="306">
        <v>0.3</v>
      </c>
      <c r="AD122" s="306">
        <v>0.27750000000000002</v>
      </c>
      <c r="AE122" s="431">
        <v>0.17</v>
      </c>
      <c r="AF122" s="431">
        <v>0.17</v>
      </c>
      <c r="AG122" s="431">
        <v>0.16700000000000001</v>
      </c>
      <c r="AH122" s="431">
        <v>0.17</v>
      </c>
      <c r="AI122" s="431">
        <v>0.17299999999999999</v>
      </c>
      <c r="AJ122" s="431">
        <v>0.17</v>
      </c>
      <c r="AK122" s="431">
        <v>0.16700000000000001</v>
      </c>
      <c r="AL122" s="431">
        <v>0.16700000000000001</v>
      </c>
      <c r="AM122" s="431">
        <v>0.17</v>
      </c>
      <c r="AN122" s="431">
        <v>0.17</v>
      </c>
      <c r="AO122" s="431">
        <v>0.17</v>
      </c>
      <c r="AP122" s="432">
        <v>0.17</v>
      </c>
      <c r="AQ122" s="432">
        <v>0.17</v>
      </c>
      <c r="AR122" s="432">
        <v>0.17</v>
      </c>
      <c r="AS122" s="432">
        <v>0.17</v>
      </c>
      <c r="AT122" s="431">
        <v>0.17</v>
      </c>
      <c r="AU122" s="431">
        <v>0.17</v>
      </c>
      <c r="AV122" s="431">
        <v>0.16700000000000001</v>
      </c>
      <c r="AW122" s="291">
        <v>6.9961938150278E-2</v>
      </c>
      <c r="AY122" s="306">
        <f t="shared" si="15"/>
        <v>0.16700000000000001</v>
      </c>
      <c r="AZ122" s="306">
        <f t="shared" si="16"/>
        <v>0.16700000000000001</v>
      </c>
      <c r="BA122" s="309">
        <f t="shared" si="17"/>
        <v>0.16700000000000001</v>
      </c>
      <c r="BB122" s="308">
        <f t="shared" si="18"/>
        <v>39995</v>
      </c>
      <c r="BC122" s="306">
        <f t="shared" si="12"/>
        <v>0.54447791135966894</v>
      </c>
      <c r="BD122" s="306">
        <f t="shared" si="13"/>
        <v>0.54458043055345418</v>
      </c>
      <c r="BF122" s="308">
        <f t="shared" si="19"/>
        <v>39995</v>
      </c>
      <c r="BG122" s="291">
        <v>110</v>
      </c>
    </row>
    <row r="123" spans="2:59" x14ac:dyDescent="0.25">
      <c r="B123" s="296">
        <f t="shared" si="14"/>
        <v>40026</v>
      </c>
      <c r="C123" s="294">
        <v>2.992</v>
      </c>
      <c r="D123" s="294">
        <v>0.17</v>
      </c>
      <c r="E123" s="294">
        <v>7.0398301414636003E-2</v>
      </c>
      <c r="F123" s="294">
        <v>-0.19500000000000001</v>
      </c>
      <c r="G123" s="294">
        <v>2.5000000000000001E-2</v>
      </c>
      <c r="H123" s="294">
        <v>-0.19500000000000001</v>
      </c>
      <c r="I123" s="294">
        <v>0.18</v>
      </c>
      <c r="J123" s="294">
        <v>0.1825</v>
      </c>
      <c r="K123" s="294">
        <v>0.215</v>
      </c>
      <c r="L123" s="294">
        <v>-6.4000000000000001E-2</v>
      </c>
      <c r="M123" s="294">
        <v>-1.4E-2</v>
      </c>
      <c r="N123" s="294">
        <v>-0.36</v>
      </c>
      <c r="O123" s="294">
        <v>-0.28999999999999998</v>
      </c>
      <c r="P123" s="294">
        <v>6.4999999999999997E-3</v>
      </c>
      <c r="Q123" s="388">
        <v>6.4999999999999997E-3</v>
      </c>
      <c r="R123" s="291">
        <v>-1.95E-2</v>
      </c>
      <c r="S123" s="291">
        <v>-0.05</v>
      </c>
      <c r="T123" s="291">
        <v>-0.18</v>
      </c>
      <c r="U123" s="291">
        <v>-1.225E-2</v>
      </c>
      <c r="V123" s="291">
        <v>-7.7499999999999999E-2</v>
      </c>
      <c r="W123" s="291">
        <v>-0.12</v>
      </c>
      <c r="X123" s="291">
        <v>0.495</v>
      </c>
      <c r="Y123" s="291">
        <v>5.0000000000000001E-3</v>
      </c>
      <c r="Z123" s="291">
        <v>-0.19500000000000001</v>
      </c>
      <c r="AA123" s="291">
        <v>-1.7000000000000001E-2</v>
      </c>
      <c r="AB123" s="306">
        <v>0.28999999999999998</v>
      </c>
      <c r="AC123" s="306">
        <v>0.3</v>
      </c>
      <c r="AD123" s="306">
        <v>0.27500000000000002</v>
      </c>
      <c r="AE123" s="431">
        <v>0.17</v>
      </c>
      <c r="AF123" s="431">
        <v>0.17</v>
      </c>
      <c r="AG123" s="431">
        <v>0.16700000000000001</v>
      </c>
      <c r="AH123" s="431">
        <v>0.17</v>
      </c>
      <c r="AI123" s="431">
        <v>0.17299999999999999</v>
      </c>
      <c r="AJ123" s="431">
        <v>0.17</v>
      </c>
      <c r="AK123" s="431">
        <v>0.16700000000000001</v>
      </c>
      <c r="AL123" s="431">
        <v>0.16700000000000001</v>
      </c>
      <c r="AM123" s="431">
        <v>0.17</v>
      </c>
      <c r="AN123" s="431">
        <v>0.17</v>
      </c>
      <c r="AO123" s="431">
        <v>0.17</v>
      </c>
      <c r="AP123" s="432">
        <v>0.17</v>
      </c>
      <c r="AQ123" s="432">
        <v>0.17</v>
      </c>
      <c r="AR123" s="432">
        <v>0.17</v>
      </c>
      <c r="AS123" s="432">
        <v>0.17</v>
      </c>
      <c r="AT123" s="431">
        <v>0.17</v>
      </c>
      <c r="AU123" s="431">
        <v>0.17</v>
      </c>
      <c r="AV123" s="431">
        <v>0.16700000000000001</v>
      </c>
      <c r="AW123" s="291">
        <v>6.9961790898526999E-2</v>
      </c>
      <c r="AY123" s="306">
        <f t="shared" si="15"/>
        <v>0.16700000000000001</v>
      </c>
      <c r="AZ123" s="306">
        <f t="shared" si="16"/>
        <v>0.16700000000000001</v>
      </c>
      <c r="BA123" s="309">
        <f t="shared" si="17"/>
        <v>0.16700000000000001</v>
      </c>
      <c r="BB123" s="308">
        <f t="shared" si="18"/>
        <v>40026</v>
      </c>
      <c r="BC123" s="306">
        <f t="shared" si="12"/>
        <v>0.541310058345297</v>
      </c>
      <c r="BD123" s="306">
        <f t="shared" si="13"/>
        <v>0.54141198085635589</v>
      </c>
      <c r="BF123" s="308">
        <f t="shared" si="19"/>
        <v>40026</v>
      </c>
      <c r="BG123" s="291">
        <v>111</v>
      </c>
    </row>
    <row r="124" spans="2:59" x14ac:dyDescent="0.25">
      <c r="B124" s="296">
        <f t="shared" si="14"/>
        <v>40057</v>
      </c>
      <c r="C124" s="294">
        <v>2.9689999999999999</v>
      </c>
      <c r="D124" s="294">
        <v>0.17</v>
      </c>
      <c r="E124" s="294">
        <v>7.0411147542890004E-2</v>
      </c>
      <c r="F124" s="294">
        <v>-0.19500000000000001</v>
      </c>
      <c r="G124" s="294">
        <v>1.7500000000000002E-2</v>
      </c>
      <c r="H124" s="294">
        <v>-0.19500000000000001</v>
      </c>
      <c r="I124" s="294">
        <v>0.17749999999999999</v>
      </c>
      <c r="J124" s="294">
        <v>0.1825</v>
      </c>
      <c r="K124" s="294">
        <v>0.19500000000000001</v>
      </c>
      <c r="L124" s="294">
        <v>-4.3999999999999997E-2</v>
      </c>
      <c r="M124" s="294">
        <v>-1.4E-2</v>
      </c>
      <c r="N124" s="294">
        <v>-0.36</v>
      </c>
      <c r="O124" s="294">
        <v>-0.28999999999999998</v>
      </c>
      <c r="P124" s="294">
        <v>6.4999999999999997E-3</v>
      </c>
      <c r="Q124" s="388">
        <v>6.4999999999999997E-3</v>
      </c>
      <c r="R124" s="291">
        <v>-1.95E-2</v>
      </c>
      <c r="S124" s="291">
        <v>-0.05</v>
      </c>
      <c r="T124" s="291">
        <v>-0.17</v>
      </c>
      <c r="U124" s="291">
        <v>-1.225E-2</v>
      </c>
      <c r="V124" s="291">
        <v>-9.2499999999999999E-2</v>
      </c>
      <c r="W124" s="291">
        <v>-0.12</v>
      </c>
      <c r="X124" s="291">
        <v>0.39500000000000002</v>
      </c>
      <c r="Y124" s="291">
        <v>5.0000000000000001E-3</v>
      </c>
      <c r="Z124" s="291">
        <v>-0.19500000000000001</v>
      </c>
      <c r="AA124" s="291">
        <v>-1.7000000000000001E-2</v>
      </c>
      <c r="AB124" s="306">
        <v>0.28999999999999998</v>
      </c>
      <c r="AC124" s="306">
        <v>0.28999999999999998</v>
      </c>
      <c r="AD124" s="306">
        <v>0.27250000000000002</v>
      </c>
      <c r="AE124" s="431">
        <v>0.17</v>
      </c>
      <c r="AF124" s="431">
        <v>0.17</v>
      </c>
      <c r="AG124" s="431">
        <v>0.16700000000000001</v>
      </c>
      <c r="AH124" s="431">
        <v>0.17</v>
      </c>
      <c r="AI124" s="431">
        <v>0.17299999999999999</v>
      </c>
      <c r="AJ124" s="431">
        <v>0.17</v>
      </c>
      <c r="AK124" s="431">
        <v>0.16700000000000001</v>
      </c>
      <c r="AL124" s="431">
        <v>0.16700000000000001</v>
      </c>
      <c r="AM124" s="431">
        <v>0.17</v>
      </c>
      <c r="AN124" s="431">
        <v>0.17</v>
      </c>
      <c r="AO124" s="431">
        <v>0.17</v>
      </c>
      <c r="AP124" s="432">
        <v>0.17</v>
      </c>
      <c r="AQ124" s="432">
        <v>0.17</v>
      </c>
      <c r="AR124" s="432">
        <v>0.17</v>
      </c>
      <c r="AS124" s="432">
        <v>0.17</v>
      </c>
      <c r="AT124" s="431">
        <v>0.17</v>
      </c>
      <c r="AU124" s="431">
        <v>0.17</v>
      </c>
      <c r="AV124" s="431">
        <v>0.16700000000000001</v>
      </c>
      <c r="AW124" s="291">
        <v>6.9961643646775998E-2</v>
      </c>
      <c r="AY124" s="306">
        <f t="shared" si="15"/>
        <v>0.16700000000000001</v>
      </c>
      <c r="AZ124" s="306">
        <f t="shared" si="16"/>
        <v>0.16700000000000001</v>
      </c>
      <c r="BA124" s="309">
        <f t="shared" si="17"/>
        <v>0.16700000000000001</v>
      </c>
      <c r="BB124" s="308">
        <f t="shared" si="18"/>
        <v>40057</v>
      </c>
      <c r="BC124" s="306">
        <f t="shared" si="12"/>
        <v>0.53816064936527452</v>
      </c>
      <c r="BD124" s="306">
        <f t="shared" si="13"/>
        <v>0.53826197866886949</v>
      </c>
      <c r="BF124" s="308">
        <f t="shared" si="19"/>
        <v>40057</v>
      </c>
      <c r="BG124" s="291">
        <v>112</v>
      </c>
    </row>
    <row r="125" spans="2:59" x14ac:dyDescent="0.25">
      <c r="B125" s="296">
        <f t="shared" si="14"/>
        <v>40087</v>
      </c>
      <c r="C125" s="294">
        <v>2.9780000000000002</v>
      </c>
      <c r="D125" s="294">
        <v>0.17</v>
      </c>
      <c r="E125" s="294">
        <v>7.0423579279960999E-2</v>
      </c>
      <c r="F125" s="294">
        <v>-0.19500000000000001</v>
      </c>
      <c r="G125" s="294">
        <v>7.4999999999999997E-3</v>
      </c>
      <c r="H125" s="294">
        <v>-0.19500000000000001</v>
      </c>
      <c r="I125" s="294">
        <v>0.1925</v>
      </c>
      <c r="J125" s="294">
        <v>0.1875</v>
      </c>
      <c r="K125" s="294">
        <v>0.215</v>
      </c>
      <c r="L125" s="294">
        <v>-5.3999999999999999E-2</v>
      </c>
      <c r="M125" s="294">
        <v>-1.4E-2</v>
      </c>
      <c r="N125" s="294">
        <v>-0.36</v>
      </c>
      <c r="O125" s="294">
        <v>-0.28999999999999998</v>
      </c>
      <c r="P125" s="294">
        <v>6.4999999999999997E-3</v>
      </c>
      <c r="Q125" s="388">
        <v>6.4999999999999997E-3</v>
      </c>
      <c r="R125" s="291">
        <v>-1.95E-2</v>
      </c>
      <c r="S125" s="291">
        <v>-0.05</v>
      </c>
      <c r="T125" s="291">
        <v>-0.155</v>
      </c>
      <c r="U125" s="291">
        <v>-3.0499999999999999E-2</v>
      </c>
      <c r="V125" s="291">
        <v>-9.5000000000000001E-2</v>
      </c>
      <c r="W125" s="291">
        <v>-0.12</v>
      </c>
      <c r="X125" s="291">
        <v>0.46100000000000002</v>
      </c>
      <c r="Y125" s="291">
        <v>5.0000000000000001E-3</v>
      </c>
      <c r="Z125" s="291">
        <v>-0.19500000000000001</v>
      </c>
      <c r="AA125" s="291">
        <v>-1.7000000000000001E-2</v>
      </c>
      <c r="AB125" s="306">
        <v>0.28999999999999998</v>
      </c>
      <c r="AC125" s="306">
        <v>0.36249999999999999</v>
      </c>
      <c r="AD125" s="306">
        <v>0.28749999999999998</v>
      </c>
      <c r="AE125" s="431">
        <v>0.17</v>
      </c>
      <c r="AF125" s="431">
        <v>0.17</v>
      </c>
      <c r="AG125" s="431">
        <v>0.16700000000000001</v>
      </c>
      <c r="AH125" s="431">
        <v>0.17</v>
      </c>
      <c r="AI125" s="431">
        <v>0.17299999999999999</v>
      </c>
      <c r="AJ125" s="431">
        <v>0.17</v>
      </c>
      <c r="AK125" s="431">
        <v>0.16700000000000001</v>
      </c>
      <c r="AL125" s="431">
        <v>0.16700000000000001</v>
      </c>
      <c r="AM125" s="431">
        <v>0.17</v>
      </c>
      <c r="AN125" s="431">
        <v>0.17</v>
      </c>
      <c r="AO125" s="431">
        <v>0.17</v>
      </c>
      <c r="AP125" s="432">
        <v>0.17</v>
      </c>
      <c r="AQ125" s="432">
        <v>0.17</v>
      </c>
      <c r="AR125" s="432">
        <v>0.17</v>
      </c>
      <c r="AS125" s="432">
        <v>0.17</v>
      </c>
      <c r="AT125" s="431">
        <v>0.17</v>
      </c>
      <c r="AU125" s="431">
        <v>0.17</v>
      </c>
      <c r="AV125" s="431">
        <v>0.16700000000000001</v>
      </c>
      <c r="AW125" s="291">
        <v>6.9961501145081997E-2</v>
      </c>
      <c r="AY125" s="306">
        <f t="shared" si="15"/>
        <v>0.16700000000000001</v>
      </c>
      <c r="AZ125" s="306">
        <f t="shared" si="16"/>
        <v>0.16700000000000001</v>
      </c>
      <c r="BA125" s="309">
        <f t="shared" si="17"/>
        <v>0.16700000000000001</v>
      </c>
      <c r="BB125" s="308">
        <f t="shared" si="18"/>
        <v>40087</v>
      </c>
      <c r="BC125" s="306">
        <f t="shared" si="12"/>
        <v>0.53513029417856472</v>
      </c>
      <c r="BD125" s="306">
        <f t="shared" si="13"/>
        <v>0.53523105270025428</v>
      </c>
      <c r="BF125" s="308">
        <f t="shared" si="19"/>
        <v>40087</v>
      </c>
      <c r="BG125" s="291">
        <v>113</v>
      </c>
    </row>
    <row r="126" spans="2:59" x14ac:dyDescent="0.25">
      <c r="B126" s="296">
        <f t="shared" si="14"/>
        <v>40118</v>
      </c>
      <c r="C126" s="294">
        <v>3.04</v>
      </c>
      <c r="D126" s="294">
        <v>0.17</v>
      </c>
      <c r="E126" s="294">
        <v>7.0436425408320999E-2</v>
      </c>
      <c r="F126" s="294">
        <v>-0.19</v>
      </c>
      <c r="G126" s="294">
        <v>-3.2500000000000001E-2</v>
      </c>
      <c r="H126" s="294">
        <v>-0.19</v>
      </c>
      <c r="I126" s="294">
        <v>0.255</v>
      </c>
      <c r="J126" s="294">
        <v>0.27</v>
      </c>
      <c r="K126" s="294">
        <v>0.28749999999999998</v>
      </c>
      <c r="L126" s="294">
        <v>-6.9000000000000006E-2</v>
      </c>
      <c r="M126" s="294">
        <v>-6.4999999999999997E-3</v>
      </c>
      <c r="N126" s="294">
        <v>-0.28000000000000003</v>
      </c>
      <c r="O126" s="294">
        <v>0</v>
      </c>
      <c r="P126" s="294">
        <v>1.6E-2</v>
      </c>
      <c r="Q126" s="388">
        <v>-1.5E-3</v>
      </c>
      <c r="R126" s="291">
        <v>-2.2499999999999999E-2</v>
      </c>
      <c r="S126" s="291">
        <v>-4.9500000000000002E-2</v>
      </c>
      <c r="T126" s="291">
        <v>-0.11749999999999999</v>
      </c>
      <c r="U126" s="291">
        <v>-2.7E-2</v>
      </c>
      <c r="V126" s="291">
        <v>-9.2499999999999999E-2</v>
      </c>
      <c r="W126" s="291">
        <v>-0.13250000000000001</v>
      </c>
      <c r="X126" s="291">
        <v>0.76749999999999996</v>
      </c>
      <c r="Y126" s="291">
        <v>5.0000000000000001E-3</v>
      </c>
      <c r="Z126" s="291">
        <v>-0.19</v>
      </c>
      <c r="AA126" s="291">
        <v>-1.8499999999999999E-2</v>
      </c>
      <c r="AB126" s="306">
        <v>0.12</v>
      </c>
      <c r="AC126" s="306">
        <v>0.46500000000000002</v>
      </c>
      <c r="AD126" s="306">
        <v>0.35</v>
      </c>
      <c r="AE126" s="431">
        <v>0.17</v>
      </c>
      <c r="AF126" s="431">
        <v>0.17</v>
      </c>
      <c r="AG126" s="431">
        <v>0.187</v>
      </c>
      <c r="AH126" s="431">
        <v>0.17</v>
      </c>
      <c r="AI126" s="431">
        <v>0.17299999999999999</v>
      </c>
      <c r="AJ126" s="431">
        <v>0.17</v>
      </c>
      <c r="AK126" s="431">
        <v>0.17</v>
      </c>
      <c r="AL126" s="431">
        <v>0.17</v>
      </c>
      <c r="AM126" s="431">
        <v>0.17</v>
      </c>
      <c r="AN126" s="431">
        <v>0.17</v>
      </c>
      <c r="AO126" s="431">
        <v>0.17</v>
      </c>
      <c r="AP126" s="432">
        <v>0.17</v>
      </c>
      <c r="AQ126" s="432">
        <v>0.17</v>
      </c>
      <c r="AR126" s="432">
        <v>0.17</v>
      </c>
      <c r="AS126" s="432">
        <v>0.17</v>
      </c>
      <c r="AT126" s="431">
        <v>0.17</v>
      </c>
      <c r="AU126" s="431">
        <v>0.17</v>
      </c>
      <c r="AV126" s="431">
        <v>0.187</v>
      </c>
      <c r="AW126" s="291">
        <v>6.9961353893330996E-2</v>
      </c>
      <c r="AY126" s="306">
        <f t="shared" si="15"/>
        <v>0.187</v>
      </c>
      <c r="AZ126" s="306">
        <f t="shared" si="16"/>
        <v>0.187</v>
      </c>
      <c r="BA126" s="309">
        <f t="shared" si="17"/>
        <v>0.187</v>
      </c>
      <c r="BB126" s="308">
        <f t="shared" si="18"/>
        <v>40118</v>
      </c>
      <c r="BC126" s="306">
        <f t="shared" si="12"/>
        <v>0.53201686511483048</v>
      </c>
      <c r="BD126" s="306">
        <f t="shared" si="13"/>
        <v>0.5321170372084445</v>
      </c>
      <c r="BF126" s="308">
        <f t="shared" si="19"/>
        <v>40118</v>
      </c>
      <c r="BG126" s="291">
        <v>114</v>
      </c>
    </row>
    <row r="127" spans="2:59" x14ac:dyDescent="0.25">
      <c r="B127" s="296">
        <f t="shared" si="14"/>
        <v>40148</v>
      </c>
      <c r="C127" s="294">
        <v>3.1080000000000001</v>
      </c>
      <c r="D127" s="294">
        <v>0.17</v>
      </c>
      <c r="E127" s="294">
        <v>7.0448857145495994E-2</v>
      </c>
      <c r="F127" s="294">
        <v>-0.19750000000000001</v>
      </c>
      <c r="G127" s="294">
        <v>-5.5E-2</v>
      </c>
      <c r="H127" s="294">
        <v>-0.19750000000000001</v>
      </c>
      <c r="I127" s="294">
        <v>0.29499999999999998</v>
      </c>
      <c r="J127" s="294">
        <v>0.30499999999999999</v>
      </c>
      <c r="K127" s="294">
        <v>0.33750000000000002</v>
      </c>
      <c r="L127" s="294">
        <v>-6.9000000000000006E-2</v>
      </c>
      <c r="M127" s="294">
        <v>-6.4999999999999997E-3</v>
      </c>
      <c r="N127" s="294">
        <v>-0.28000000000000003</v>
      </c>
      <c r="O127" s="294">
        <v>0.06</v>
      </c>
      <c r="P127" s="294">
        <v>1.6E-2</v>
      </c>
      <c r="Q127" s="388">
        <v>-1.5E-3</v>
      </c>
      <c r="R127" s="291">
        <v>-2.2499999999999999E-2</v>
      </c>
      <c r="S127" s="291">
        <v>-4.9500000000000002E-2</v>
      </c>
      <c r="T127" s="291">
        <v>-0.11</v>
      </c>
      <c r="U127" s="291">
        <v>-2.7E-2</v>
      </c>
      <c r="V127" s="291">
        <v>-0.1275</v>
      </c>
      <c r="W127" s="291">
        <v>-0.1275</v>
      </c>
      <c r="X127" s="291">
        <v>1.19</v>
      </c>
      <c r="Y127" s="291">
        <v>5.0000000000000001E-3</v>
      </c>
      <c r="Z127" s="291">
        <v>-0.19</v>
      </c>
      <c r="AA127" s="291">
        <v>-1.8499999999999999E-2</v>
      </c>
      <c r="AB127" s="306">
        <v>0.12</v>
      </c>
      <c r="AC127" s="306">
        <v>0.8</v>
      </c>
      <c r="AD127" s="306">
        <v>0.39</v>
      </c>
      <c r="AE127" s="431">
        <v>0.17</v>
      </c>
      <c r="AF127" s="431">
        <v>0.17</v>
      </c>
      <c r="AG127" s="431">
        <v>0.187</v>
      </c>
      <c r="AH127" s="431">
        <v>0.17</v>
      </c>
      <c r="AI127" s="431">
        <v>0.17299999999999999</v>
      </c>
      <c r="AJ127" s="431">
        <v>0.17</v>
      </c>
      <c r="AK127" s="431">
        <v>0.17</v>
      </c>
      <c r="AL127" s="431">
        <v>0.17</v>
      </c>
      <c r="AM127" s="431">
        <v>0.17</v>
      </c>
      <c r="AN127" s="431">
        <v>0.17</v>
      </c>
      <c r="AO127" s="431">
        <v>0.17</v>
      </c>
      <c r="AP127" s="432">
        <v>0.17</v>
      </c>
      <c r="AQ127" s="432">
        <v>0.17</v>
      </c>
      <c r="AR127" s="432">
        <v>0.17</v>
      </c>
      <c r="AS127" s="432">
        <v>0.17</v>
      </c>
      <c r="AT127" s="431">
        <v>0.17</v>
      </c>
      <c r="AU127" s="431">
        <v>0.17</v>
      </c>
      <c r="AV127" s="431">
        <v>0.187</v>
      </c>
      <c r="AW127" s="291">
        <v>6.9961211391636996E-2</v>
      </c>
      <c r="AY127" s="306">
        <f t="shared" si="15"/>
        <v>0.187</v>
      </c>
      <c r="AZ127" s="306">
        <f t="shared" si="16"/>
        <v>0.187</v>
      </c>
      <c r="BA127" s="309">
        <f t="shared" si="17"/>
        <v>0.187</v>
      </c>
      <c r="BB127" s="308">
        <f t="shared" si="18"/>
        <v>40148</v>
      </c>
      <c r="BC127" s="306">
        <f t="shared" si="12"/>
        <v>0.52902112959352476</v>
      </c>
      <c r="BD127" s="306">
        <f t="shared" si="13"/>
        <v>0.52912073742830801</v>
      </c>
      <c r="BF127" s="308">
        <f t="shared" si="19"/>
        <v>40148</v>
      </c>
      <c r="BG127" s="291">
        <v>115</v>
      </c>
    </row>
    <row r="128" spans="2:59" x14ac:dyDescent="0.25">
      <c r="B128" s="296">
        <f t="shared" si="14"/>
        <v>40179</v>
      </c>
      <c r="C128" s="294">
        <v>3.4009999999999998</v>
      </c>
      <c r="D128" s="294">
        <v>0.17</v>
      </c>
      <c r="E128" s="294">
        <v>7.0461703273964005E-2</v>
      </c>
      <c r="F128" s="294">
        <v>-0.2</v>
      </c>
      <c r="G128" s="294">
        <v>-5.7500000000000002E-2</v>
      </c>
      <c r="H128" s="294">
        <v>-0.2</v>
      </c>
      <c r="I128" s="294">
        <v>0.30499999999999999</v>
      </c>
      <c r="J128" s="294">
        <v>0.30499999999999999</v>
      </c>
      <c r="K128" s="294">
        <v>0.4375</v>
      </c>
      <c r="L128" s="294">
        <v>-6.9000000000000006E-2</v>
      </c>
      <c r="M128" s="294">
        <v>-4.4999999999999997E-3</v>
      </c>
      <c r="N128" s="294">
        <v>-0.28000000000000003</v>
      </c>
      <c r="O128" s="294">
        <v>0.13</v>
      </c>
      <c r="P128" s="294">
        <v>1.6E-2</v>
      </c>
      <c r="Q128" s="388">
        <v>-1.5E-3</v>
      </c>
      <c r="R128" s="291">
        <v>-1.7999999999999999E-2</v>
      </c>
      <c r="S128" s="291">
        <v>-4.9500000000000002E-2</v>
      </c>
      <c r="T128" s="291">
        <v>-9.5000000000000001E-2</v>
      </c>
      <c r="U128" s="291">
        <v>-2.7E-2</v>
      </c>
      <c r="V128" s="291">
        <v>-0.13300000000000001</v>
      </c>
      <c r="W128" s="291">
        <v>-0.1275</v>
      </c>
      <c r="X128" s="291">
        <v>1.5249999999999999</v>
      </c>
      <c r="Y128" s="291">
        <v>5.0000000000000001E-3</v>
      </c>
      <c r="Z128" s="291">
        <v>-0.19</v>
      </c>
      <c r="AA128" s="291">
        <v>-1.8499999999999999E-2</v>
      </c>
      <c r="AB128" s="306">
        <v>0.12</v>
      </c>
      <c r="AC128" s="306">
        <v>0.97499999999999998</v>
      </c>
      <c r="AD128" s="306">
        <v>0.4</v>
      </c>
      <c r="AE128" s="431">
        <v>0.17</v>
      </c>
      <c r="AF128" s="431">
        <v>0.17</v>
      </c>
      <c r="AG128" s="431">
        <v>0.187</v>
      </c>
      <c r="AH128" s="431">
        <v>0.17</v>
      </c>
      <c r="AI128" s="431">
        <v>0.17299999999999999</v>
      </c>
      <c r="AJ128" s="431">
        <v>0.17</v>
      </c>
      <c r="AK128" s="431">
        <v>0.17</v>
      </c>
      <c r="AL128" s="431">
        <v>0.17</v>
      </c>
      <c r="AM128" s="431">
        <v>0.17</v>
      </c>
      <c r="AN128" s="431">
        <v>0.17</v>
      </c>
      <c r="AO128" s="431">
        <v>0.17</v>
      </c>
      <c r="AP128" s="432">
        <v>0.17</v>
      </c>
      <c r="AQ128" s="432">
        <v>0.17</v>
      </c>
      <c r="AR128" s="432">
        <v>0.17</v>
      </c>
      <c r="AS128" s="432">
        <v>0.17</v>
      </c>
      <c r="AT128" s="431">
        <v>0.17</v>
      </c>
      <c r="AU128" s="431">
        <v>0.17</v>
      </c>
      <c r="AV128" s="431">
        <v>0.187</v>
      </c>
      <c r="AW128" s="291">
        <v>6.9961064139885995E-2</v>
      </c>
      <c r="AY128" s="306">
        <f t="shared" si="15"/>
        <v>0.187</v>
      </c>
      <c r="AZ128" s="306">
        <f t="shared" si="16"/>
        <v>0.187</v>
      </c>
      <c r="BA128" s="309">
        <f t="shared" si="17"/>
        <v>0.187</v>
      </c>
      <c r="BB128" s="308">
        <f t="shared" si="18"/>
        <v>40179</v>
      </c>
      <c r="BC128" s="306">
        <f t="shared" si="12"/>
        <v>0.52594326911170097</v>
      </c>
      <c r="BD128" s="306">
        <f t="shared" si="13"/>
        <v>0.52604229722026574</v>
      </c>
      <c r="BF128" s="308">
        <f t="shared" si="19"/>
        <v>40179</v>
      </c>
      <c r="BG128" s="291">
        <v>116</v>
      </c>
    </row>
    <row r="129" spans="2:59" x14ac:dyDescent="0.25">
      <c r="B129" s="296">
        <f t="shared" si="14"/>
        <v>40210</v>
      </c>
      <c r="C129" s="294">
        <v>3.2869999999999999</v>
      </c>
      <c r="D129" s="294">
        <v>0.17</v>
      </c>
      <c r="E129" s="294">
        <v>7.0474549402486E-2</v>
      </c>
      <c r="F129" s="294">
        <v>-0.20250000000000001</v>
      </c>
      <c r="G129" s="294">
        <v>-0.04</v>
      </c>
      <c r="H129" s="294">
        <v>-0.20250000000000001</v>
      </c>
      <c r="I129" s="294">
        <v>0.28000000000000003</v>
      </c>
      <c r="J129" s="294">
        <v>0.30499999999999999</v>
      </c>
      <c r="K129" s="294">
        <v>0.435</v>
      </c>
      <c r="L129" s="294">
        <v>-6.9000000000000006E-2</v>
      </c>
      <c r="M129" s="294">
        <v>-4.4999999999999997E-3</v>
      </c>
      <c r="N129" s="294">
        <v>-0.28000000000000003</v>
      </c>
      <c r="O129" s="294">
        <v>0</v>
      </c>
      <c r="P129" s="294">
        <v>1.6E-2</v>
      </c>
      <c r="Q129" s="388">
        <v>-1.5E-3</v>
      </c>
      <c r="R129" s="291">
        <v>-1.7999999999999999E-2</v>
      </c>
      <c r="S129" s="291">
        <v>-4.9500000000000002E-2</v>
      </c>
      <c r="T129" s="291">
        <v>-9.5000000000000001E-2</v>
      </c>
      <c r="U129" s="291">
        <v>-2.7E-2</v>
      </c>
      <c r="V129" s="291">
        <v>-0.11550000000000001</v>
      </c>
      <c r="W129" s="291">
        <v>-0.1275</v>
      </c>
      <c r="X129" s="291">
        <v>1.4550000000000001</v>
      </c>
      <c r="Y129" s="291">
        <v>5.0000000000000001E-3</v>
      </c>
      <c r="Z129" s="291">
        <v>-0.19</v>
      </c>
      <c r="AA129" s="291">
        <v>-1.8499999999999999E-2</v>
      </c>
      <c r="AB129" s="306">
        <v>0.12</v>
      </c>
      <c r="AC129" s="306">
        <v>0.97499999999999998</v>
      </c>
      <c r="AD129" s="306">
        <v>0.375</v>
      </c>
      <c r="AE129" s="431">
        <v>0.17</v>
      </c>
      <c r="AF129" s="431">
        <v>0.17</v>
      </c>
      <c r="AG129" s="431">
        <v>0.187</v>
      </c>
      <c r="AH129" s="431">
        <v>0.17</v>
      </c>
      <c r="AI129" s="431">
        <v>0.17299999999999999</v>
      </c>
      <c r="AJ129" s="431">
        <v>0.17</v>
      </c>
      <c r="AK129" s="431">
        <v>0.17</v>
      </c>
      <c r="AL129" s="431">
        <v>0.17</v>
      </c>
      <c r="AM129" s="431">
        <v>0.17</v>
      </c>
      <c r="AN129" s="431">
        <v>0.17</v>
      </c>
      <c r="AO129" s="431">
        <v>0.17</v>
      </c>
      <c r="AP129" s="432">
        <v>0.17</v>
      </c>
      <c r="AQ129" s="432">
        <v>0.17</v>
      </c>
      <c r="AR129" s="432">
        <v>0.17</v>
      </c>
      <c r="AS129" s="432">
        <v>0.17</v>
      </c>
      <c r="AT129" s="431">
        <v>0.17</v>
      </c>
      <c r="AU129" s="431">
        <v>0.17</v>
      </c>
      <c r="AV129" s="431">
        <v>0.187</v>
      </c>
      <c r="AW129" s="291">
        <v>6.9960916888134994E-2</v>
      </c>
      <c r="AY129" s="306">
        <f t="shared" si="15"/>
        <v>0.187</v>
      </c>
      <c r="AZ129" s="306">
        <f t="shared" si="16"/>
        <v>0.187</v>
      </c>
      <c r="BA129" s="309">
        <f t="shared" si="17"/>
        <v>0.187</v>
      </c>
      <c r="BB129" s="308">
        <f t="shared" si="18"/>
        <v>40210</v>
      </c>
      <c r="BC129" s="306">
        <f t="shared" si="12"/>
        <v>0.52288332834067841</v>
      </c>
      <c r="BD129" s="306">
        <f t="shared" si="13"/>
        <v>0.52298178009945873</v>
      </c>
      <c r="BF129" s="308">
        <f t="shared" si="19"/>
        <v>40210</v>
      </c>
      <c r="BG129" s="291">
        <v>117</v>
      </c>
    </row>
    <row r="130" spans="2:59" x14ac:dyDescent="0.25">
      <c r="B130" s="296">
        <f t="shared" si="14"/>
        <v>40238</v>
      </c>
      <c r="C130" s="294">
        <v>3.1379999999999999</v>
      </c>
      <c r="D130" s="294">
        <v>0.16</v>
      </c>
      <c r="E130" s="294">
        <v>7.0486152357326998E-2</v>
      </c>
      <c r="F130" s="294">
        <v>-0.20499999999999999</v>
      </c>
      <c r="G130" s="294">
        <v>-2.75E-2</v>
      </c>
      <c r="H130" s="294">
        <v>-0.20499999999999999</v>
      </c>
      <c r="I130" s="294">
        <v>0.27800000000000002</v>
      </c>
      <c r="J130" s="294">
        <v>0.26500000000000001</v>
      </c>
      <c r="K130" s="294">
        <v>0.30249999999999999</v>
      </c>
      <c r="L130" s="294">
        <v>-6.9000000000000006E-2</v>
      </c>
      <c r="M130" s="294">
        <v>-4.4999999999999997E-3</v>
      </c>
      <c r="N130" s="294">
        <v>-0.28000000000000003</v>
      </c>
      <c r="O130" s="294">
        <v>-0.18</v>
      </c>
      <c r="P130" s="294">
        <v>1.6E-2</v>
      </c>
      <c r="Q130" s="388">
        <v>-1.5E-3</v>
      </c>
      <c r="R130" s="291">
        <v>-1.7999999999999999E-2</v>
      </c>
      <c r="S130" s="291">
        <v>-4.9500000000000002E-2</v>
      </c>
      <c r="T130" s="291">
        <v>-9.5000000000000001E-2</v>
      </c>
      <c r="U130" s="291">
        <v>-8.5000000000000006E-3</v>
      </c>
      <c r="V130" s="291">
        <v>-9.8000000000000004E-2</v>
      </c>
      <c r="W130" s="291">
        <v>-0.13250000000000001</v>
      </c>
      <c r="X130" s="291">
        <v>0.83499999999999996</v>
      </c>
      <c r="Y130" s="291">
        <v>5.0000000000000001E-3</v>
      </c>
      <c r="Z130" s="291">
        <v>-0.19</v>
      </c>
      <c r="AA130" s="291">
        <v>-1.8499999999999999E-2</v>
      </c>
      <c r="AB130" s="306">
        <v>0.12</v>
      </c>
      <c r="AC130" s="306">
        <v>0.60750000000000004</v>
      </c>
      <c r="AD130" s="306">
        <v>0.373</v>
      </c>
      <c r="AE130" s="431">
        <v>0.16</v>
      </c>
      <c r="AF130" s="431">
        <v>0.16</v>
      </c>
      <c r="AG130" s="431">
        <v>0.17599999999999999</v>
      </c>
      <c r="AH130" s="431">
        <v>0.16</v>
      </c>
      <c r="AI130" s="431">
        <v>0.16300000000000001</v>
      </c>
      <c r="AJ130" s="431">
        <v>0.16</v>
      </c>
      <c r="AK130" s="431">
        <v>0.16</v>
      </c>
      <c r="AL130" s="431">
        <v>0.16</v>
      </c>
      <c r="AM130" s="431">
        <v>0.16</v>
      </c>
      <c r="AN130" s="431">
        <v>0.16</v>
      </c>
      <c r="AO130" s="431">
        <v>0.16</v>
      </c>
      <c r="AP130" s="432">
        <v>0.16</v>
      </c>
      <c r="AQ130" s="432">
        <v>0.16</v>
      </c>
      <c r="AR130" s="432">
        <v>0.16</v>
      </c>
      <c r="AS130" s="432">
        <v>0.16</v>
      </c>
      <c r="AT130" s="431">
        <v>0.16</v>
      </c>
      <c r="AU130" s="431">
        <v>0.16</v>
      </c>
      <c r="AV130" s="431">
        <v>0.17599999999999999</v>
      </c>
      <c r="AW130" s="291">
        <v>6.9960783886553995E-2</v>
      </c>
      <c r="AY130" s="306">
        <f t="shared" si="15"/>
        <v>0.17599999999999999</v>
      </c>
      <c r="AZ130" s="306">
        <f t="shared" si="16"/>
        <v>0.17599999999999999</v>
      </c>
      <c r="BA130" s="309">
        <f t="shared" si="17"/>
        <v>0.17599999999999999</v>
      </c>
      <c r="BB130" s="308">
        <f t="shared" si="18"/>
        <v>40238</v>
      </c>
      <c r="BC130" s="306">
        <f t="shared" si="12"/>
        <v>0.52013482638851449</v>
      </c>
      <c r="BD130" s="306">
        <f t="shared" si="13"/>
        <v>0.52023276045904188</v>
      </c>
      <c r="BF130" s="308">
        <f t="shared" si="19"/>
        <v>40238</v>
      </c>
      <c r="BG130" s="291">
        <v>118</v>
      </c>
    </row>
    <row r="131" spans="2:59" x14ac:dyDescent="0.25">
      <c r="B131" s="296">
        <f t="shared" si="14"/>
        <v>40269</v>
      </c>
      <c r="C131" s="294">
        <v>2.9809999999999999</v>
      </c>
      <c r="D131" s="294">
        <v>0.16</v>
      </c>
      <c r="E131" s="294">
        <v>7.0498998485952993E-2</v>
      </c>
      <c r="F131" s="294">
        <v>-0.19500000000000001</v>
      </c>
      <c r="G131" s="294">
        <v>1.4999999999999999E-2</v>
      </c>
      <c r="H131" s="294">
        <v>-0.19500000000000001</v>
      </c>
      <c r="I131" s="294">
        <v>0.183</v>
      </c>
      <c r="J131" s="294">
        <v>0.19500000000000001</v>
      </c>
      <c r="K131" s="294">
        <v>0.25</v>
      </c>
      <c r="L131" s="294">
        <v>-6.2E-2</v>
      </c>
      <c r="M131" s="294">
        <v>-1.2E-2</v>
      </c>
      <c r="N131" s="294">
        <v>-0.36</v>
      </c>
      <c r="O131" s="294">
        <v>-0.28999999999999998</v>
      </c>
      <c r="P131" s="294">
        <v>6.4999999999999997E-3</v>
      </c>
      <c r="Q131" s="388">
        <v>8.5000000000000006E-3</v>
      </c>
      <c r="R131" s="291">
        <v>-1.7500000000000002E-2</v>
      </c>
      <c r="S131" s="291">
        <v>-4.7E-2</v>
      </c>
      <c r="T131" s="291">
        <v>-0.14000000000000001</v>
      </c>
      <c r="U131" s="291">
        <v>-8.5000000000000006E-3</v>
      </c>
      <c r="V131" s="291">
        <v>-9.0499999999999997E-2</v>
      </c>
      <c r="W131" s="291">
        <v>-0.12</v>
      </c>
      <c r="X131" s="291">
        <v>0.45</v>
      </c>
      <c r="Y131" s="291">
        <v>5.0000000000000001E-3</v>
      </c>
      <c r="Z131" s="291">
        <v>-0.19500000000000001</v>
      </c>
      <c r="AA131" s="291">
        <v>-1.6E-2</v>
      </c>
      <c r="AB131" s="306">
        <v>0.28999999999999998</v>
      </c>
      <c r="AC131" s="306">
        <v>0.35499999999999998</v>
      </c>
      <c r="AD131" s="306">
        <v>0.27800000000000002</v>
      </c>
      <c r="AE131" s="431">
        <v>0.16</v>
      </c>
      <c r="AF131" s="431">
        <v>0.16</v>
      </c>
      <c r="AG131" s="431">
        <v>0.157</v>
      </c>
      <c r="AH131" s="431">
        <v>0.16</v>
      </c>
      <c r="AI131" s="431">
        <v>0.16300000000000001</v>
      </c>
      <c r="AJ131" s="431">
        <v>0.16</v>
      </c>
      <c r="AK131" s="431">
        <v>0.157</v>
      </c>
      <c r="AL131" s="431">
        <v>0.157</v>
      </c>
      <c r="AM131" s="431">
        <v>0.16</v>
      </c>
      <c r="AN131" s="431">
        <v>0.16</v>
      </c>
      <c r="AO131" s="431">
        <v>0.16</v>
      </c>
      <c r="AP131" s="432">
        <v>0.16</v>
      </c>
      <c r="AQ131" s="432">
        <v>0.16</v>
      </c>
      <c r="AR131" s="432">
        <v>0.16</v>
      </c>
      <c r="AS131" s="432">
        <v>0.16</v>
      </c>
      <c r="AT131" s="431">
        <v>0.16</v>
      </c>
      <c r="AU131" s="431">
        <v>0.16</v>
      </c>
      <c r="AV131" s="431">
        <v>0.157</v>
      </c>
      <c r="AW131" s="291">
        <v>6.9960636634802995E-2</v>
      </c>
      <c r="AY131" s="306">
        <f t="shared" si="15"/>
        <v>0.157</v>
      </c>
      <c r="AZ131" s="306">
        <f t="shared" si="16"/>
        <v>0.157</v>
      </c>
      <c r="BA131" s="309">
        <f t="shared" si="17"/>
        <v>0.157</v>
      </c>
      <c r="BB131" s="308">
        <f t="shared" si="18"/>
        <v>40269</v>
      </c>
      <c r="BC131" s="306">
        <f t="shared" si="12"/>
        <v>0.5171087029371283</v>
      </c>
      <c r="BD131" s="306">
        <f t="shared" si="13"/>
        <v>0.51720606702971539</v>
      </c>
      <c r="BF131" s="308">
        <f t="shared" si="19"/>
        <v>40269</v>
      </c>
      <c r="BG131" s="291">
        <v>119</v>
      </c>
    </row>
    <row r="132" spans="2:59" x14ac:dyDescent="0.25">
      <c r="B132" s="296">
        <f t="shared" si="14"/>
        <v>40299</v>
      </c>
      <c r="C132" s="294">
        <v>2.976</v>
      </c>
      <c r="D132" s="294">
        <v>0.16</v>
      </c>
      <c r="E132" s="294">
        <v>7.0511430223386004E-2</v>
      </c>
      <c r="F132" s="294">
        <v>-0.19500000000000001</v>
      </c>
      <c r="G132" s="294">
        <v>1.4999999999999999E-2</v>
      </c>
      <c r="H132" s="294">
        <v>-0.19500000000000001</v>
      </c>
      <c r="I132" s="294">
        <v>0.193</v>
      </c>
      <c r="J132" s="294">
        <v>0.1825</v>
      </c>
      <c r="K132" s="294">
        <v>0.20250000000000001</v>
      </c>
      <c r="L132" s="294">
        <v>-6.2E-2</v>
      </c>
      <c r="M132" s="294">
        <v>-1.2E-2</v>
      </c>
      <c r="N132" s="294">
        <v>-0.36</v>
      </c>
      <c r="O132" s="294">
        <v>-0.28999999999999998</v>
      </c>
      <c r="P132" s="294">
        <v>6.4999999999999997E-3</v>
      </c>
      <c r="Q132" s="294">
        <v>8.5000000000000006E-3</v>
      </c>
      <c r="R132" s="291">
        <v>-1.7500000000000002E-2</v>
      </c>
      <c r="S132" s="291">
        <v>-4.7E-2</v>
      </c>
      <c r="T132" s="291">
        <v>-0.155</v>
      </c>
      <c r="U132" s="291">
        <v>-8.7500000000000008E-3</v>
      </c>
      <c r="V132" s="291">
        <v>-9.0499999999999997E-2</v>
      </c>
      <c r="W132" s="291">
        <v>-0.12</v>
      </c>
      <c r="X132" s="291">
        <v>0.40500000000000003</v>
      </c>
      <c r="Y132" s="291">
        <v>5.0000000000000001E-3</v>
      </c>
      <c r="Z132" s="291">
        <v>-0.19500000000000001</v>
      </c>
      <c r="AA132" s="291">
        <v>-1.6E-2</v>
      </c>
      <c r="AB132" s="306">
        <v>0.28999999999999998</v>
      </c>
      <c r="AC132" s="306">
        <v>0.28749999999999998</v>
      </c>
      <c r="AD132" s="306">
        <v>0.28799999999999998</v>
      </c>
      <c r="AE132" s="431">
        <v>0.16</v>
      </c>
      <c r="AF132" s="431">
        <v>0.16</v>
      </c>
      <c r="AG132" s="431">
        <v>0.157</v>
      </c>
      <c r="AH132" s="431">
        <v>0.16</v>
      </c>
      <c r="AI132" s="431">
        <v>0.16300000000000001</v>
      </c>
      <c r="AJ132" s="431">
        <v>0.16</v>
      </c>
      <c r="AK132" s="431">
        <v>0.157</v>
      </c>
      <c r="AL132" s="431">
        <v>0.157</v>
      </c>
      <c r="AM132" s="431">
        <v>0.16</v>
      </c>
      <c r="AN132" s="431">
        <v>0.16</v>
      </c>
      <c r="AO132" s="431">
        <v>0.16</v>
      </c>
      <c r="AP132" s="432">
        <v>0.16</v>
      </c>
      <c r="AQ132" s="432">
        <v>0.16</v>
      </c>
      <c r="AR132" s="432">
        <v>0.16</v>
      </c>
      <c r="AS132" s="432">
        <v>0.16</v>
      </c>
      <c r="AT132" s="431">
        <v>0.16</v>
      </c>
      <c r="AU132" s="431">
        <v>0.16</v>
      </c>
      <c r="AV132" s="431">
        <v>0.157</v>
      </c>
      <c r="AW132" s="291">
        <v>6.9960494133108994E-2</v>
      </c>
      <c r="AY132" s="306">
        <f t="shared" si="15"/>
        <v>0.157</v>
      </c>
      <c r="AZ132" s="306">
        <f t="shared" si="16"/>
        <v>0.157</v>
      </c>
      <c r="BA132" s="309">
        <f t="shared" si="17"/>
        <v>0.157</v>
      </c>
      <c r="BB132" s="308">
        <f t="shared" si="18"/>
        <v>40299</v>
      </c>
      <c r="BC132" s="306">
        <f t="shared" si="12"/>
        <v>0.51419697237314199</v>
      </c>
      <c r="BD132" s="306">
        <f t="shared" si="13"/>
        <v>0.5142937880350914</v>
      </c>
      <c r="BF132" s="308">
        <f t="shared" si="19"/>
        <v>40299</v>
      </c>
      <c r="BG132" s="291">
        <v>120</v>
      </c>
    </row>
    <row r="133" spans="2:59" x14ac:dyDescent="0.25">
      <c r="B133" s="296">
        <f t="shared" si="14"/>
        <v>40330</v>
      </c>
      <c r="C133" s="294">
        <v>3.0030000000000001</v>
      </c>
      <c r="D133" s="294">
        <v>0.16</v>
      </c>
      <c r="E133" s="294">
        <v>7.0524276352118997E-2</v>
      </c>
      <c r="F133" s="294">
        <v>-0.19500000000000001</v>
      </c>
      <c r="G133" s="294">
        <v>0.02</v>
      </c>
      <c r="H133" s="294">
        <v>-0.19500000000000001</v>
      </c>
      <c r="I133" s="294">
        <v>0.188</v>
      </c>
      <c r="J133" s="294">
        <v>0.1825</v>
      </c>
      <c r="K133" s="294">
        <v>0.20250000000000001</v>
      </c>
      <c r="L133" s="294">
        <v>-7.8E-2</v>
      </c>
      <c r="M133" s="294">
        <v>-1.2E-2</v>
      </c>
      <c r="N133" s="294">
        <v>-0.36</v>
      </c>
      <c r="O133" s="294">
        <v>-0.28999999999999998</v>
      </c>
      <c r="P133" s="294">
        <v>6.4999999999999997E-3</v>
      </c>
      <c r="Q133" s="294">
        <v>8.5000000000000006E-3</v>
      </c>
      <c r="R133" s="291">
        <v>-1.7500000000000002E-2</v>
      </c>
      <c r="S133" s="291">
        <v>-4.7E-2</v>
      </c>
      <c r="T133" s="291">
        <v>-0.16500000000000001</v>
      </c>
      <c r="U133" s="291">
        <v>-8.7500000000000008E-3</v>
      </c>
      <c r="V133" s="291">
        <v>-8.0500000000000002E-2</v>
      </c>
      <c r="W133" s="291">
        <v>-0.12</v>
      </c>
      <c r="X133" s="291">
        <v>0.39500000000000002</v>
      </c>
      <c r="Y133" s="291">
        <v>5.0000000000000001E-3</v>
      </c>
      <c r="Z133" s="291">
        <v>-0.19500000000000001</v>
      </c>
      <c r="AA133" s="291">
        <v>-1.6E-2</v>
      </c>
      <c r="AB133" s="306">
        <v>0.28999999999999998</v>
      </c>
      <c r="AC133" s="306">
        <v>0.28749999999999998</v>
      </c>
      <c r="AD133" s="306">
        <v>0.28299999999999997</v>
      </c>
      <c r="AE133" s="431">
        <v>0.16</v>
      </c>
      <c r="AF133" s="431">
        <v>0.16</v>
      </c>
      <c r="AG133" s="431">
        <v>0.157</v>
      </c>
      <c r="AH133" s="431">
        <v>0.16</v>
      </c>
      <c r="AI133" s="431">
        <v>0.16300000000000001</v>
      </c>
      <c r="AJ133" s="431">
        <v>0.16</v>
      </c>
      <c r="AK133" s="431">
        <v>0.157</v>
      </c>
      <c r="AL133" s="431">
        <v>0.157</v>
      </c>
      <c r="AM133" s="431">
        <v>0.16</v>
      </c>
      <c r="AN133" s="431">
        <v>0.16</v>
      </c>
      <c r="AO133" s="431">
        <v>0.16</v>
      </c>
      <c r="AP133" s="432">
        <v>0.16</v>
      </c>
      <c r="AQ133" s="432">
        <v>0.16</v>
      </c>
      <c r="AR133" s="432">
        <v>0.16</v>
      </c>
      <c r="AS133" s="432">
        <v>0.16</v>
      </c>
      <c r="AT133" s="431">
        <v>0.16</v>
      </c>
      <c r="AU133" s="431">
        <v>0.16</v>
      </c>
      <c r="AV133" s="431">
        <v>0.157</v>
      </c>
      <c r="AW133" s="291">
        <v>6.9960346881357993E-2</v>
      </c>
      <c r="AY133" s="306">
        <f t="shared" si="15"/>
        <v>0.157</v>
      </c>
      <c r="AZ133" s="306">
        <f t="shared" si="16"/>
        <v>0.157</v>
      </c>
      <c r="BA133" s="309">
        <f t="shared" si="17"/>
        <v>0.157</v>
      </c>
      <c r="BB133" s="308">
        <f t="shared" si="18"/>
        <v>40330</v>
      </c>
      <c r="BC133" s="306">
        <f t="shared" si="12"/>
        <v>0.51120541941082798</v>
      </c>
      <c r="BD133" s="306">
        <f t="shared" si="13"/>
        <v>0.51130167160856721</v>
      </c>
      <c r="BF133" s="308">
        <f t="shared" si="19"/>
        <v>40330</v>
      </c>
      <c r="BG133" s="291">
        <v>121</v>
      </c>
    </row>
    <row r="134" spans="2:59" x14ac:dyDescent="0.25">
      <c r="B134" s="296">
        <f t="shared" si="14"/>
        <v>40360</v>
      </c>
      <c r="C134" s="294">
        <v>3.0249999999999999</v>
      </c>
      <c r="D134" s="294">
        <v>0.16</v>
      </c>
      <c r="E134" s="294">
        <v>7.0536708089654995E-2</v>
      </c>
      <c r="F134" s="294">
        <v>-0.19500000000000001</v>
      </c>
      <c r="G134" s="294">
        <v>2.2499999999999999E-2</v>
      </c>
      <c r="H134" s="294">
        <v>-0.19500000000000001</v>
      </c>
      <c r="I134" s="294">
        <v>0.17799999999999999</v>
      </c>
      <c r="J134" s="294">
        <v>0.1825</v>
      </c>
      <c r="K134" s="294">
        <v>0.215</v>
      </c>
      <c r="L134" s="294">
        <v>-7.0999999999999994E-2</v>
      </c>
      <c r="M134" s="294">
        <v>-1.2E-2</v>
      </c>
      <c r="N134" s="294">
        <v>-0.36</v>
      </c>
      <c r="O134" s="294">
        <v>-0.28999999999999998</v>
      </c>
      <c r="P134" s="294">
        <v>6.4999999999999997E-3</v>
      </c>
      <c r="Q134" s="294">
        <v>8.5000000000000006E-3</v>
      </c>
      <c r="R134" s="291">
        <v>-1.7500000000000002E-2</v>
      </c>
      <c r="S134" s="291">
        <v>-4.7E-2</v>
      </c>
      <c r="T134" s="291">
        <v>-0.16500000000000001</v>
      </c>
      <c r="U134" s="291">
        <v>-8.7500000000000008E-3</v>
      </c>
      <c r="V134" s="291">
        <v>-7.5499999999999998E-2</v>
      </c>
      <c r="W134" s="291">
        <v>-0.12</v>
      </c>
      <c r="X134" s="291">
        <v>0.43</v>
      </c>
      <c r="Y134" s="291">
        <v>5.0000000000000001E-3</v>
      </c>
      <c r="Z134" s="291">
        <v>-0.19500000000000001</v>
      </c>
      <c r="AA134" s="291">
        <v>-1.6E-2</v>
      </c>
      <c r="AB134" s="306">
        <v>0.28999999999999998</v>
      </c>
      <c r="AC134" s="306">
        <v>0.3</v>
      </c>
      <c r="AD134" s="306">
        <v>0.27300000000000002</v>
      </c>
      <c r="AE134" s="431">
        <v>0.16</v>
      </c>
      <c r="AF134" s="431">
        <v>0.16</v>
      </c>
      <c r="AG134" s="431">
        <v>0.157</v>
      </c>
      <c r="AH134" s="431">
        <v>0.16</v>
      </c>
      <c r="AI134" s="431">
        <v>0.16300000000000001</v>
      </c>
      <c r="AJ134" s="431">
        <v>0.16</v>
      </c>
      <c r="AK134" s="431">
        <v>0.157</v>
      </c>
      <c r="AL134" s="431">
        <v>0.157</v>
      </c>
      <c r="AM134" s="431">
        <v>0.16</v>
      </c>
      <c r="AN134" s="431">
        <v>0.16</v>
      </c>
      <c r="AO134" s="431">
        <v>0.16</v>
      </c>
      <c r="AP134" s="432">
        <v>0.16</v>
      </c>
      <c r="AQ134" s="432">
        <v>0.16</v>
      </c>
      <c r="AR134" s="432">
        <v>0.16</v>
      </c>
      <c r="AS134" s="432">
        <v>0.16</v>
      </c>
      <c r="AT134" s="431">
        <v>0.16</v>
      </c>
      <c r="AU134" s="431">
        <v>0.16</v>
      </c>
      <c r="AV134" s="431">
        <v>0.157</v>
      </c>
      <c r="AW134" s="291">
        <v>6.9960204379662994E-2</v>
      </c>
      <c r="AY134" s="306">
        <f t="shared" si="15"/>
        <v>0.157</v>
      </c>
      <c r="AZ134" s="306">
        <f t="shared" si="16"/>
        <v>0.157</v>
      </c>
      <c r="BA134" s="309">
        <f t="shared" si="17"/>
        <v>0.157</v>
      </c>
      <c r="BB134" s="308">
        <f t="shared" si="18"/>
        <v>40360</v>
      </c>
      <c r="BC134" s="306">
        <f t="shared" si="12"/>
        <v>0.50832695237500825</v>
      </c>
      <c r="BD134" s="306">
        <f t="shared" si="13"/>
        <v>0.50842266240957112</v>
      </c>
      <c r="BF134" s="308">
        <f t="shared" si="19"/>
        <v>40360</v>
      </c>
      <c r="BG134" s="291">
        <v>122</v>
      </c>
    </row>
    <row r="135" spans="2:59" x14ac:dyDescent="0.25">
      <c r="B135" s="296">
        <f t="shared" si="14"/>
        <v>40391</v>
      </c>
      <c r="C135" s="294">
        <v>3.0459999999999998</v>
      </c>
      <c r="D135" s="294">
        <v>0.16</v>
      </c>
      <c r="E135" s="294">
        <v>7.0549554218496E-2</v>
      </c>
      <c r="F135" s="294">
        <v>-0.19500000000000001</v>
      </c>
      <c r="G135" s="294">
        <v>2.5000000000000001E-2</v>
      </c>
      <c r="H135" s="294">
        <v>-0.19500000000000001</v>
      </c>
      <c r="I135" s="294">
        <v>0.17499999999999999</v>
      </c>
      <c r="J135" s="294">
        <v>0.1825</v>
      </c>
      <c r="K135" s="294">
        <v>0.215</v>
      </c>
      <c r="L135" s="294">
        <v>-6.2E-2</v>
      </c>
      <c r="M135" s="294">
        <v>-1.2E-2</v>
      </c>
      <c r="N135" s="294">
        <v>-0.36</v>
      </c>
      <c r="O135" s="294">
        <v>-0.28999999999999998</v>
      </c>
      <c r="P135" s="294">
        <v>6.4999999999999997E-3</v>
      </c>
      <c r="Q135" s="294">
        <v>8.5000000000000006E-3</v>
      </c>
      <c r="R135" s="291">
        <v>-1.7500000000000002E-2</v>
      </c>
      <c r="S135" s="291">
        <v>-4.7E-2</v>
      </c>
      <c r="T135" s="291">
        <v>-0.16500000000000001</v>
      </c>
      <c r="U135" s="291">
        <v>-8.7500000000000008E-3</v>
      </c>
      <c r="V135" s="291">
        <v>-7.5499999999999998E-2</v>
      </c>
      <c r="W135" s="291">
        <v>-0.12</v>
      </c>
      <c r="X135" s="291">
        <v>0.495</v>
      </c>
      <c r="Y135" s="291">
        <v>5.0000000000000001E-3</v>
      </c>
      <c r="Z135" s="291">
        <v>-0.19500000000000001</v>
      </c>
      <c r="AA135" s="291">
        <v>-1.6E-2</v>
      </c>
      <c r="AB135" s="306">
        <v>0.28999999999999998</v>
      </c>
      <c r="AC135" s="306">
        <v>0.3</v>
      </c>
      <c r="AD135" s="306">
        <v>0.27</v>
      </c>
      <c r="AE135" s="431">
        <v>0.16</v>
      </c>
      <c r="AF135" s="431">
        <v>0.16</v>
      </c>
      <c r="AG135" s="431">
        <v>0.157</v>
      </c>
      <c r="AH135" s="431">
        <v>0.16</v>
      </c>
      <c r="AI135" s="431">
        <v>0.16300000000000001</v>
      </c>
      <c r="AJ135" s="431">
        <v>0.16</v>
      </c>
      <c r="AK135" s="431">
        <v>0.157</v>
      </c>
      <c r="AL135" s="431">
        <v>0.157</v>
      </c>
      <c r="AM135" s="431">
        <v>0.16</v>
      </c>
      <c r="AN135" s="431">
        <v>0.16</v>
      </c>
      <c r="AO135" s="431">
        <v>0.16</v>
      </c>
      <c r="AP135" s="432">
        <v>0.16</v>
      </c>
      <c r="AQ135" s="432">
        <v>0.16</v>
      </c>
      <c r="AR135" s="432">
        <v>0.16</v>
      </c>
      <c r="AS135" s="432">
        <v>0.16</v>
      </c>
      <c r="AT135" s="431">
        <v>0.16</v>
      </c>
      <c r="AU135" s="431">
        <v>0.16</v>
      </c>
      <c r="AV135" s="431">
        <v>0.157</v>
      </c>
      <c r="AW135" s="291">
        <v>6.9960057127913006E-2</v>
      </c>
      <c r="AY135" s="306">
        <f t="shared" si="15"/>
        <v>0.157</v>
      </c>
      <c r="AZ135" s="306">
        <f t="shared" si="16"/>
        <v>0.157</v>
      </c>
      <c r="BA135" s="309">
        <f t="shared" si="17"/>
        <v>0.157</v>
      </c>
      <c r="BB135" s="308">
        <f t="shared" si="18"/>
        <v>40391</v>
      </c>
      <c r="BC135" s="306">
        <f t="shared" si="12"/>
        <v>0.50536957469151567</v>
      </c>
      <c r="BD135" s="306">
        <f t="shared" si="13"/>
        <v>0.50546472770110717</v>
      </c>
      <c r="BF135" s="308">
        <f t="shared" si="19"/>
        <v>40391</v>
      </c>
      <c r="BG135" s="291">
        <v>123</v>
      </c>
    </row>
    <row r="136" spans="2:59" x14ac:dyDescent="0.25">
      <c r="B136" s="296">
        <f t="shared" si="14"/>
        <v>40422</v>
      </c>
      <c r="C136" s="294">
        <v>3.0219999999999998</v>
      </c>
      <c r="D136" s="294">
        <v>0.16</v>
      </c>
      <c r="E136" s="294">
        <v>7.0562023569541998E-2</v>
      </c>
      <c r="F136" s="294">
        <v>-0.19500000000000001</v>
      </c>
      <c r="G136" s="294">
        <v>1.7500000000000002E-2</v>
      </c>
      <c r="H136" s="294">
        <v>-0.19500000000000001</v>
      </c>
      <c r="I136" s="294">
        <v>0.17299999999999999</v>
      </c>
      <c r="J136" s="294">
        <v>0.1825</v>
      </c>
      <c r="K136" s="294">
        <v>0.19500000000000001</v>
      </c>
      <c r="L136" s="294">
        <v>-4.2000000000000003E-2</v>
      </c>
      <c r="M136" s="388">
        <v>-1.2E-2</v>
      </c>
      <c r="N136" s="294">
        <v>-0.36</v>
      </c>
      <c r="O136" s="294">
        <v>-0.28999999999999998</v>
      </c>
      <c r="P136" s="294">
        <v>6.4999999999999997E-3</v>
      </c>
      <c r="Q136" s="294">
        <v>8.5000000000000006E-3</v>
      </c>
      <c r="R136" s="291">
        <v>-1.7500000000000002E-2</v>
      </c>
      <c r="S136" s="291">
        <v>-4.7E-2</v>
      </c>
      <c r="T136" s="291">
        <v>-0.155</v>
      </c>
      <c r="U136" s="291">
        <v>-8.7500000000000008E-3</v>
      </c>
      <c r="V136" s="291">
        <v>-9.0499999999999997E-2</v>
      </c>
      <c r="W136" s="291">
        <v>-0.12</v>
      </c>
      <c r="X136" s="291">
        <v>0.39500000000000002</v>
      </c>
      <c r="Y136" s="291">
        <v>5.0000000000000001E-3</v>
      </c>
      <c r="Z136" s="291">
        <v>-0.19500000000000001</v>
      </c>
      <c r="AA136" s="291">
        <v>-1.6E-2</v>
      </c>
      <c r="AB136" s="306">
        <v>0.28999999999999998</v>
      </c>
      <c r="AC136" s="306">
        <v>0.28999999999999998</v>
      </c>
      <c r="AD136" s="306">
        <v>0.26800000000000002</v>
      </c>
      <c r="AE136" s="431">
        <v>0.16</v>
      </c>
      <c r="AF136" s="431">
        <v>0.16</v>
      </c>
      <c r="AG136" s="431">
        <v>0.157</v>
      </c>
      <c r="AH136" s="431">
        <v>0.16</v>
      </c>
      <c r="AI136" s="431">
        <v>0.16300000000000001</v>
      </c>
      <c r="AJ136" s="431">
        <v>0.16</v>
      </c>
      <c r="AK136" s="431">
        <v>0.157</v>
      </c>
      <c r="AL136" s="431">
        <v>0.157</v>
      </c>
      <c r="AM136" s="431">
        <v>0.16</v>
      </c>
      <c r="AN136" s="431">
        <v>0.16</v>
      </c>
      <c r="AO136" s="431">
        <v>0.16</v>
      </c>
      <c r="AP136" s="432">
        <v>0.16</v>
      </c>
      <c r="AQ136" s="432">
        <v>0.16</v>
      </c>
      <c r="AR136" s="432">
        <v>0.16</v>
      </c>
      <c r="AS136" s="432">
        <v>0.16</v>
      </c>
      <c r="AT136" s="431">
        <v>0.16</v>
      </c>
      <c r="AU136" s="431">
        <v>0.16</v>
      </c>
      <c r="AV136" s="431">
        <v>0.157</v>
      </c>
      <c r="AW136" s="291">
        <v>6.9961513275416998E-2</v>
      </c>
      <c r="AY136" s="306">
        <f t="shared" si="15"/>
        <v>0.157</v>
      </c>
      <c r="AZ136" s="306">
        <f t="shared" si="16"/>
        <v>0.157</v>
      </c>
      <c r="BA136" s="309">
        <f t="shared" si="17"/>
        <v>0.157</v>
      </c>
      <c r="BB136" s="308">
        <f t="shared" si="18"/>
        <v>40422</v>
      </c>
      <c r="BC136" s="306">
        <f t="shared" si="12"/>
        <v>0.50242162369470456</v>
      </c>
      <c r="BD136" s="306">
        <f t="shared" si="13"/>
        <v>0.5025162235879419</v>
      </c>
      <c r="BF136" s="308">
        <f t="shared" si="19"/>
        <v>40422</v>
      </c>
      <c r="BG136" s="291">
        <v>124</v>
      </c>
    </row>
    <row r="137" spans="2:59" x14ac:dyDescent="0.25">
      <c r="B137" s="296">
        <f t="shared" si="14"/>
        <v>40452</v>
      </c>
      <c r="C137" s="294">
        <v>3.03</v>
      </c>
      <c r="D137" s="294">
        <v>0.16</v>
      </c>
      <c r="E137" s="294">
        <v>7.0563151971762994E-2</v>
      </c>
      <c r="F137" s="294">
        <v>-0.19500000000000001</v>
      </c>
      <c r="G137" s="294">
        <v>7.4999999999999997E-3</v>
      </c>
      <c r="H137" s="294">
        <v>-0.19500000000000001</v>
      </c>
      <c r="I137" s="294">
        <v>0.188</v>
      </c>
      <c r="J137" s="294">
        <v>0.1875</v>
      </c>
      <c r="K137" s="294">
        <v>0.215</v>
      </c>
      <c r="L137" s="294">
        <v>-5.1999999999999998E-2</v>
      </c>
      <c r="M137" s="388">
        <v>-1.2E-2</v>
      </c>
      <c r="N137" s="294">
        <v>-0.36</v>
      </c>
      <c r="O137" s="294">
        <v>-0.28999999999999998</v>
      </c>
      <c r="P137" s="294">
        <v>6.4999999999999997E-3</v>
      </c>
      <c r="Q137" s="294">
        <v>8.5000000000000006E-3</v>
      </c>
      <c r="R137" s="291">
        <v>-1.7500000000000002E-2</v>
      </c>
      <c r="S137" s="291">
        <v>-4.7E-2</v>
      </c>
      <c r="T137" s="291">
        <v>-0.14000000000000001</v>
      </c>
      <c r="U137" s="291">
        <v>-2.7E-2</v>
      </c>
      <c r="V137" s="291">
        <v>-9.2999999999999999E-2</v>
      </c>
      <c r="W137" s="291">
        <v>-0.12</v>
      </c>
      <c r="X137" s="291">
        <v>0.46100000000000002</v>
      </c>
      <c r="Y137" s="291">
        <v>5.0000000000000001E-3</v>
      </c>
      <c r="Z137" s="291">
        <v>-0.19500000000000001</v>
      </c>
      <c r="AA137" s="291">
        <v>-1.6E-2</v>
      </c>
      <c r="AB137" s="306">
        <v>0.28999999999999998</v>
      </c>
      <c r="AC137" s="306">
        <v>0.36249999999999999</v>
      </c>
      <c r="AD137" s="306">
        <v>0.28299999999999997</v>
      </c>
      <c r="AE137" s="431">
        <v>0.16</v>
      </c>
      <c r="AF137" s="431">
        <v>0.16</v>
      </c>
      <c r="AG137" s="431">
        <v>0.157</v>
      </c>
      <c r="AH137" s="431">
        <v>0.16</v>
      </c>
      <c r="AI137" s="431">
        <v>0.16300000000000001</v>
      </c>
      <c r="AJ137" s="431">
        <v>0.16</v>
      </c>
      <c r="AK137" s="431">
        <v>0.157</v>
      </c>
      <c r="AL137" s="431">
        <v>0.157</v>
      </c>
      <c r="AM137" s="431">
        <v>0.16</v>
      </c>
      <c r="AN137" s="431">
        <v>0.16</v>
      </c>
      <c r="AO137" s="431">
        <v>0.16</v>
      </c>
      <c r="AP137" s="432">
        <v>0.16</v>
      </c>
      <c r="AQ137" s="432">
        <v>0.16</v>
      </c>
      <c r="AR137" s="432">
        <v>0.16</v>
      </c>
      <c r="AS137" s="432">
        <v>0.16</v>
      </c>
      <c r="AT137" s="431">
        <v>0.16</v>
      </c>
      <c r="AU137" s="431">
        <v>0.16</v>
      </c>
      <c r="AV137" s="431">
        <v>0.157</v>
      </c>
      <c r="AW137" s="291">
        <v>6.9968242484824E-2</v>
      </c>
      <c r="AY137" s="306">
        <f t="shared" si="15"/>
        <v>0.157</v>
      </c>
      <c r="AZ137" s="306">
        <f t="shared" si="16"/>
        <v>0.157</v>
      </c>
      <c r="BA137" s="309">
        <f t="shared" si="17"/>
        <v>0.157</v>
      </c>
      <c r="BB137" s="308">
        <f t="shared" si="18"/>
        <v>40452</v>
      </c>
      <c r="BC137" s="306">
        <f t="shared" si="12"/>
        <v>0.49955911375304335</v>
      </c>
      <c r="BD137" s="306">
        <f t="shared" si="13"/>
        <v>0.4996531835646576</v>
      </c>
      <c r="BF137" s="308">
        <f t="shared" si="19"/>
        <v>40452</v>
      </c>
      <c r="BG137" s="291">
        <v>125</v>
      </c>
    </row>
    <row r="138" spans="2:59" x14ac:dyDescent="0.25">
      <c r="B138" s="296">
        <f t="shared" si="14"/>
        <v>40483</v>
      </c>
      <c r="C138" s="294">
        <v>3.0870000000000002</v>
      </c>
      <c r="D138" s="294">
        <v>0.16</v>
      </c>
      <c r="E138" s="294">
        <v>7.0564317987390004E-2</v>
      </c>
      <c r="F138" s="294">
        <v>-0.19</v>
      </c>
      <c r="G138" s="294">
        <v>-3.2500000000000001E-2</v>
      </c>
      <c r="H138" s="294">
        <v>-0.19</v>
      </c>
      <c r="I138" s="294">
        <v>0.25</v>
      </c>
      <c r="J138" s="294">
        <v>0.27</v>
      </c>
      <c r="K138" s="294">
        <v>0.28749999999999998</v>
      </c>
      <c r="L138" s="294">
        <v>-6.7000000000000004E-2</v>
      </c>
      <c r="M138" s="388">
        <v>-4.4999999999999997E-3</v>
      </c>
      <c r="N138" s="294">
        <v>-0.28000000000000003</v>
      </c>
      <c r="O138" s="294">
        <v>0</v>
      </c>
      <c r="P138" s="294">
        <v>1.6E-2</v>
      </c>
      <c r="Q138" s="388">
        <v>4.9999999999999903E-4</v>
      </c>
      <c r="R138" s="291">
        <v>-2.0500000000000001E-2</v>
      </c>
      <c r="S138" s="291">
        <v>-4.65E-2</v>
      </c>
      <c r="T138" s="291">
        <v>-0.10249999999999999</v>
      </c>
      <c r="U138" s="291">
        <v>-2.5999999999999999E-2</v>
      </c>
      <c r="V138" s="291">
        <v>-9.0499999999999997E-2</v>
      </c>
      <c r="W138" s="291">
        <v>-0.13250000000000001</v>
      </c>
      <c r="X138" s="291">
        <v>0.76749999999999996</v>
      </c>
      <c r="Y138" s="291">
        <v>5.0000000000000001E-3</v>
      </c>
      <c r="Z138" s="291">
        <v>-0.19</v>
      </c>
      <c r="AA138" s="291">
        <v>-1.7500000000000002E-2</v>
      </c>
      <c r="AB138" s="306">
        <v>0.12</v>
      </c>
      <c r="AC138" s="306">
        <v>0.46500000000000002</v>
      </c>
      <c r="AD138" s="306">
        <v>0.34499999999999997</v>
      </c>
      <c r="AE138" s="431">
        <v>0.16</v>
      </c>
      <c r="AF138" s="431">
        <v>0.16</v>
      </c>
      <c r="AG138" s="431">
        <v>0.17599999999999999</v>
      </c>
      <c r="AH138" s="431">
        <v>0.16</v>
      </c>
      <c r="AI138" s="431">
        <v>0.16300000000000001</v>
      </c>
      <c r="AJ138" s="431">
        <v>0.16</v>
      </c>
      <c r="AK138" s="431">
        <v>0.16</v>
      </c>
      <c r="AL138" s="431">
        <v>0.16</v>
      </c>
      <c r="AM138" s="431">
        <v>0.16</v>
      </c>
      <c r="AN138" s="431">
        <v>0.16</v>
      </c>
      <c r="AO138" s="431">
        <v>0.16</v>
      </c>
      <c r="AP138" s="432">
        <v>0.16</v>
      </c>
      <c r="AQ138" s="432">
        <v>0.16</v>
      </c>
      <c r="AR138" s="432">
        <v>0.16</v>
      </c>
      <c r="AS138" s="432">
        <v>0.16</v>
      </c>
      <c r="AT138" s="431">
        <v>0.16</v>
      </c>
      <c r="AU138" s="431">
        <v>0.16</v>
      </c>
      <c r="AV138" s="431">
        <v>0.17599999999999999</v>
      </c>
      <c r="AW138" s="291">
        <v>6.9975196001225995E-2</v>
      </c>
      <c r="AY138" s="306">
        <f t="shared" si="15"/>
        <v>0.17599999999999999</v>
      </c>
      <c r="AZ138" s="306">
        <f t="shared" si="16"/>
        <v>0.17599999999999999</v>
      </c>
      <c r="BA138" s="309">
        <f t="shared" si="17"/>
        <v>0.17599999999999999</v>
      </c>
      <c r="BB138" s="308">
        <f t="shared" si="18"/>
        <v>40483</v>
      </c>
      <c r="BC138" s="306">
        <f t="shared" si="12"/>
        <v>0.49661776205602548</v>
      </c>
      <c r="BD138" s="306">
        <f t="shared" si="13"/>
        <v>0.49671128713103396</v>
      </c>
      <c r="BF138" s="308">
        <f t="shared" si="19"/>
        <v>40483</v>
      </c>
      <c r="BG138" s="291">
        <v>126</v>
      </c>
    </row>
    <row r="139" spans="2:59" x14ac:dyDescent="0.25">
      <c r="B139" s="296">
        <f t="shared" si="14"/>
        <v>40513</v>
      </c>
      <c r="C139" s="294">
        <v>3.1520000000000001</v>
      </c>
      <c r="D139" s="294">
        <v>0.16</v>
      </c>
      <c r="E139" s="294">
        <v>7.0565446389611E-2</v>
      </c>
      <c r="F139" s="294">
        <v>-0.19750000000000001</v>
      </c>
      <c r="G139" s="294">
        <v>-5.5E-2</v>
      </c>
      <c r="H139" s="294">
        <v>-0.19750000000000001</v>
      </c>
      <c r="I139" s="294">
        <v>0.28999999999999998</v>
      </c>
      <c r="J139" s="294">
        <v>0.30499999999999999</v>
      </c>
      <c r="K139" s="294">
        <v>0.33750000000000002</v>
      </c>
      <c r="L139" s="294">
        <v>-6.7000000000000004E-2</v>
      </c>
      <c r="M139" s="388">
        <v>-4.4999999999999997E-3</v>
      </c>
      <c r="N139" s="294">
        <v>-0.28000000000000003</v>
      </c>
      <c r="O139" s="294">
        <v>0.06</v>
      </c>
      <c r="P139" s="294">
        <v>1.6E-2</v>
      </c>
      <c r="Q139" s="388">
        <v>4.9999999999999903E-4</v>
      </c>
      <c r="R139" s="291">
        <v>-2.0500000000000001E-2</v>
      </c>
      <c r="S139" s="291">
        <v>-4.65E-2</v>
      </c>
      <c r="T139" s="291">
        <v>-9.5000000000000001E-2</v>
      </c>
      <c r="U139" s="291">
        <v>-2.5999999999999999E-2</v>
      </c>
      <c r="V139" s="291">
        <v>-0.1255</v>
      </c>
      <c r="W139" s="291">
        <v>-0.1275</v>
      </c>
      <c r="X139" s="291">
        <v>1.19</v>
      </c>
      <c r="Y139" s="291">
        <v>5.0000000000000001E-3</v>
      </c>
      <c r="Z139" s="291">
        <v>-0.19</v>
      </c>
      <c r="AA139" s="291">
        <v>-1.7500000000000002E-2</v>
      </c>
      <c r="AB139" s="306">
        <v>0.12</v>
      </c>
      <c r="AC139" s="306">
        <v>0.8</v>
      </c>
      <c r="AD139" s="306">
        <v>0.38500000000000001</v>
      </c>
      <c r="AE139" s="431">
        <v>0.16</v>
      </c>
      <c r="AF139" s="431">
        <v>0.16</v>
      </c>
      <c r="AG139" s="431">
        <v>0.17599999999999999</v>
      </c>
      <c r="AH139" s="431">
        <v>0.16</v>
      </c>
      <c r="AI139" s="431">
        <v>0.16300000000000001</v>
      </c>
      <c r="AJ139" s="431">
        <v>0.16</v>
      </c>
      <c r="AK139" s="431">
        <v>0.16</v>
      </c>
      <c r="AL139" s="431">
        <v>0.16</v>
      </c>
      <c r="AM139" s="431">
        <v>0.16</v>
      </c>
      <c r="AN139" s="431">
        <v>0.16</v>
      </c>
      <c r="AO139" s="431">
        <v>0.16</v>
      </c>
      <c r="AP139" s="432">
        <v>0.16</v>
      </c>
      <c r="AQ139" s="432">
        <v>0.16</v>
      </c>
      <c r="AR139" s="432">
        <v>0.16</v>
      </c>
      <c r="AS139" s="432">
        <v>0.16</v>
      </c>
      <c r="AT139" s="431">
        <v>0.16</v>
      </c>
      <c r="AU139" s="431">
        <v>0.16</v>
      </c>
      <c r="AV139" s="431">
        <v>0.17599999999999999</v>
      </c>
      <c r="AW139" s="291">
        <v>6.9981925210664001E-2</v>
      </c>
      <c r="AY139" s="306">
        <f t="shared" si="15"/>
        <v>0.17599999999999999</v>
      </c>
      <c r="AZ139" s="306">
        <f t="shared" si="16"/>
        <v>0.17599999999999999</v>
      </c>
      <c r="BA139" s="309">
        <f t="shared" si="17"/>
        <v>0.17599999999999999</v>
      </c>
      <c r="BB139" s="308">
        <f t="shared" si="18"/>
        <v>40513</v>
      </c>
      <c r="BC139" s="306">
        <f t="shared" si="12"/>
        <v>0.49378724704309807</v>
      </c>
      <c r="BD139" s="306">
        <f t="shared" si="13"/>
        <v>0.49388024785544915</v>
      </c>
      <c r="BF139" s="308">
        <f t="shared" si="19"/>
        <v>40513</v>
      </c>
      <c r="BG139" s="291">
        <v>127</v>
      </c>
    </row>
    <row r="140" spans="2:59" x14ac:dyDescent="0.25">
      <c r="B140" s="296">
        <f t="shared" si="14"/>
        <v>40544</v>
      </c>
      <c r="C140" s="294">
        <v>3.4529999999999998</v>
      </c>
      <c r="D140" s="294">
        <v>0.16</v>
      </c>
      <c r="E140" s="294">
        <v>7.0566612405239995E-2</v>
      </c>
      <c r="F140" s="294">
        <v>-0.2</v>
      </c>
      <c r="G140" s="294">
        <v>-5.7500000000000002E-2</v>
      </c>
      <c r="H140" s="294">
        <v>-0.2</v>
      </c>
      <c r="I140" s="294">
        <v>0.3</v>
      </c>
      <c r="J140" s="294">
        <v>0.30499999999999999</v>
      </c>
      <c r="K140" s="294">
        <v>0.4375</v>
      </c>
      <c r="L140" s="294">
        <v>-6.7000000000000004E-2</v>
      </c>
      <c r="M140" s="388">
        <v>-2.5000000000000001E-3</v>
      </c>
      <c r="N140" s="294">
        <v>-0.28000000000000003</v>
      </c>
      <c r="O140" s="294">
        <v>0.13</v>
      </c>
      <c r="P140" s="294">
        <v>1.6E-2</v>
      </c>
      <c r="Q140" s="388">
        <v>4.9999999999999903E-4</v>
      </c>
      <c r="R140" s="291">
        <v>-1.6E-2</v>
      </c>
      <c r="S140" s="291">
        <v>-4.65E-2</v>
      </c>
      <c r="T140" s="291">
        <v>-0.08</v>
      </c>
      <c r="U140" s="291">
        <v>-2.35E-2</v>
      </c>
      <c r="V140" s="291">
        <v>-0.13100000000000001</v>
      </c>
      <c r="W140" s="291">
        <v>-0.1275</v>
      </c>
      <c r="X140" s="291">
        <v>1.5249999999999999</v>
      </c>
      <c r="Y140" s="291">
        <v>5.0000000000000001E-3</v>
      </c>
      <c r="Z140" s="291">
        <v>-0.19</v>
      </c>
      <c r="AA140" s="291">
        <v>-1.7500000000000002E-2</v>
      </c>
      <c r="AB140" s="306">
        <v>0.12</v>
      </c>
      <c r="AC140" s="306">
        <v>0.97499999999999998</v>
      </c>
      <c r="AD140" s="306">
        <v>0.39500000000000002</v>
      </c>
      <c r="AE140" s="431">
        <v>0.16</v>
      </c>
      <c r="AF140" s="431">
        <v>0.16</v>
      </c>
      <c r="AG140" s="431">
        <v>0.17599999999999999</v>
      </c>
      <c r="AH140" s="431">
        <v>0.16</v>
      </c>
      <c r="AI140" s="431">
        <v>0.16300000000000001</v>
      </c>
      <c r="AJ140" s="431">
        <v>0.16</v>
      </c>
      <c r="AK140" s="431">
        <v>0.16</v>
      </c>
      <c r="AL140" s="431">
        <v>0.16</v>
      </c>
      <c r="AM140" s="431">
        <v>0.16</v>
      </c>
      <c r="AN140" s="431">
        <v>0.16</v>
      </c>
      <c r="AO140" s="431">
        <v>0.16</v>
      </c>
      <c r="AP140" s="432">
        <v>0.16</v>
      </c>
      <c r="AQ140" s="432">
        <v>0.16</v>
      </c>
      <c r="AR140" s="432">
        <v>0.16</v>
      </c>
      <c r="AS140" s="432">
        <v>0.16</v>
      </c>
      <c r="AT140" s="431">
        <v>0.16</v>
      </c>
      <c r="AU140" s="431">
        <v>0.16</v>
      </c>
      <c r="AV140" s="431">
        <v>0.17599999999999999</v>
      </c>
      <c r="AW140" s="291">
        <v>6.9988878727097997E-2</v>
      </c>
      <c r="AY140" s="306">
        <f t="shared" si="15"/>
        <v>0.17599999999999999</v>
      </c>
      <c r="AZ140" s="306">
        <f t="shared" si="16"/>
        <v>0.17599999999999999</v>
      </c>
      <c r="BA140" s="309">
        <f t="shared" si="17"/>
        <v>0.17599999999999999</v>
      </c>
      <c r="BB140" s="308">
        <f t="shared" si="18"/>
        <v>40544</v>
      </c>
      <c r="BC140" s="306">
        <f t="shared" si="12"/>
        <v>0.49087877814259484</v>
      </c>
      <c r="BD140" s="306">
        <f t="shared" si="13"/>
        <v>0.49097124019942245</v>
      </c>
      <c r="BF140" s="308">
        <f t="shared" si="19"/>
        <v>40544</v>
      </c>
      <c r="BG140" s="291">
        <v>128</v>
      </c>
    </row>
    <row r="141" spans="2:59" x14ac:dyDescent="0.25">
      <c r="B141" s="296">
        <f t="shared" si="14"/>
        <v>40575</v>
      </c>
      <c r="C141" s="294">
        <v>3.343</v>
      </c>
      <c r="D141" s="294">
        <v>0.16</v>
      </c>
      <c r="E141" s="294">
        <v>7.0567778420869004E-2</v>
      </c>
      <c r="F141" s="294">
        <v>-0.20250000000000001</v>
      </c>
      <c r="G141" s="294">
        <v>-0.04</v>
      </c>
      <c r="H141" s="294">
        <v>-0.20250000000000001</v>
      </c>
      <c r="I141" s="294">
        <v>0.27500000000000002</v>
      </c>
      <c r="J141" s="294">
        <v>0.30499999999999999</v>
      </c>
      <c r="K141" s="294">
        <v>0.435</v>
      </c>
      <c r="L141" s="294">
        <v>-6.7000000000000004E-2</v>
      </c>
      <c r="M141" s="388">
        <v>-2.5000000000000001E-3</v>
      </c>
      <c r="N141" s="294">
        <v>-0.28000000000000003</v>
      </c>
      <c r="O141" s="294">
        <v>0</v>
      </c>
      <c r="P141" s="294">
        <v>1.6E-2</v>
      </c>
      <c r="Q141" s="388">
        <v>4.9999999999999903E-4</v>
      </c>
      <c r="R141" s="291">
        <v>-1.6E-2</v>
      </c>
      <c r="S141" s="291">
        <v>-4.65E-2</v>
      </c>
      <c r="T141" s="291">
        <v>-0.08</v>
      </c>
      <c r="U141" s="291">
        <v>-2.35E-2</v>
      </c>
      <c r="V141" s="291">
        <v>-0.1135</v>
      </c>
      <c r="W141" s="291">
        <v>-0.1275</v>
      </c>
      <c r="X141" s="291">
        <v>1.4550000000000001</v>
      </c>
      <c r="Y141" s="291">
        <v>5.0000000000000001E-3</v>
      </c>
      <c r="Z141" s="291">
        <v>-0.19</v>
      </c>
      <c r="AA141" s="291">
        <v>-1.7500000000000002E-2</v>
      </c>
      <c r="AB141" s="306">
        <v>0.12</v>
      </c>
      <c r="AC141" s="306">
        <v>0.97499999999999998</v>
      </c>
      <c r="AD141" s="306">
        <v>0.37</v>
      </c>
      <c r="AE141" s="431">
        <v>0.16</v>
      </c>
      <c r="AF141" s="431">
        <v>0.16</v>
      </c>
      <c r="AG141" s="431">
        <v>0.17599999999999999</v>
      </c>
      <c r="AH141" s="431">
        <v>0.16</v>
      </c>
      <c r="AI141" s="431">
        <v>0.16300000000000001</v>
      </c>
      <c r="AJ141" s="431">
        <v>0.16</v>
      </c>
      <c r="AK141" s="431">
        <v>0.16</v>
      </c>
      <c r="AL141" s="431">
        <v>0.16</v>
      </c>
      <c r="AM141" s="431">
        <v>0.16</v>
      </c>
      <c r="AN141" s="431">
        <v>0.16</v>
      </c>
      <c r="AO141" s="431">
        <v>0.16</v>
      </c>
      <c r="AP141" s="432">
        <v>0.16</v>
      </c>
      <c r="AQ141" s="432">
        <v>0.16</v>
      </c>
      <c r="AR141" s="432">
        <v>0.16</v>
      </c>
      <c r="AS141" s="432">
        <v>0.16</v>
      </c>
      <c r="AT141" s="431">
        <v>0.16</v>
      </c>
      <c r="AU141" s="431">
        <v>0.16</v>
      </c>
      <c r="AV141" s="431">
        <v>0.17599999999999999</v>
      </c>
      <c r="AW141" s="291">
        <v>6.9995832243548994E-2</v>
      </c>
      <c r="AY141" s="306">
        <f t="shared" si="15"/>
        <v>0.17599999999999999</v>
      </c>
      <c r="AZ141" s="306">
        <f t="shared" si="16"/>
        <v>0.17599999999999999</v>
      </c>
      <c r="BA141" s="309">
        <f t="shared" si="17"/>
        <v>0.17599999999999999</v>
      </c>
      <c r="BB141" s="308">
        <f t="shared" si="18"/>
        <v>40575</v>
      </c>
      <c r="BC141" s="306">
        <f t="shared" si="12"/>
        <v>0.48798688408872376</v>
      </c>
      <c r="BD141" s="306">
        <f t="shared" si="13"/>
        <v>0.48807881040532819</v>
      </c>
      <c r="BF141" s="308">
        <f t="shared" si="19"/>
        <v>40575</v>
      </c>
      <c r="BG141" s="291">
        <v>129</v>
      </c>
    </row>
    <row r="142" spans="2:59" x14ac:dyDescent="0.25">
      <c r="B142" s="296">
        <f t="shared" si="14"/>
        <v>40603</v>
      </c>
      <c r="C142" s="294">
        <v>3.1970000000000001</v>
      </c>
      <c r="D142" s="294">
        <v>0.155</v>
      </c>
      <c r="E142" s="294">
        <v>7.0568831596275999E-2</v>
      </c>
      <c r="F142" s="294">
        <v>-0.20499999999999999</v>
      </c>
      <c r="G142" s="294">
        <v>-2.75E-2</v>
      </c>
      <c r="H142" s="294">
        <v>-0.20499999999999999</v>
      </c>
      <c r="I142" s="294">
        <v>0.27300000000000002</v>
      </c>
      <c r="J142" s="294">
        <v>0.26500000000000001</v>
      </c>
      <c r="K142" s="294">
        <v>0.30249999999999999</v>
      </c>
      <c r="L142" s="294">
        <v>-6.7000000000000004E-2</v>
      </c>
      <c r="M142" s="388">
        <v>-2.5000000000000001E-3</v>
      </c>
      <c r="N142" s="294">
        <v>-0.28000000000000003</v>
      </c>
      <c r="O142" s="294">
        <v>-0.18</v>
      </c>
      <c r="P142" s="294">
        <v>1.6E-2</v>
      </c>
      <c r="Q142" s="388">
        <v>4.9999999999999903E-4</v>
      </c>
      <c r="R142" s="291">
        <v>-1.6E-2</v>
      </c>
      <c r="S142" s="291">
        <v>-4.65E-2</v>
      </c>
      <c r="T142" s="291">
        <v>-0.08</v>
      </c>
      <c r="U142" s="291">
        <v>-5.0000000000000001E-3</v>
      </c>
      <c r="V142" s="291">
        <v>-9.6000000000000002E-2</v>
      </c>
      <c r="W142" s="291">
        <v>-0.13250000000000001</v>
      </c>
      <c r="X142" s="291">
        <v>0.83499999999999996</v>
      </c>
      <c r="Y142" s="291">
        <v>5.0000000000000001E-3</v>
      </c>
      <c r="Z142" s="291">
        <v>-0.19</v>
      </c>
      <c r="AA142" s="291">
        <v>-1.7500000000000002E-2</v>
      </c>
      <c r="AB142" s="306">
        <v>0.12</v>
      </c>
      <c r="AC142" s="306">
        <v>0.60750000000000004</v>
      </c>
      <c r="AD142" s="306">
        <v>0.36799999999999999</v>
      </c>
      <c r="AE142" s="431">
        <v>0.155</v>
      </c>
      <c r="AF142" s="431">
        <v>0.155</v>
      </c>
      <c r="AG142" s="431">
        <v>0.17100000000000001</v>
      </c>
      <c r="AH142" s="431">
        <v>0.155</v>
      </c>
      <c r="AI142" s="431">
        <v>0.158</v>
      </c>
      <c r="AJ142" s="431">
        <v>0.155</v>
      </c>
      <c r="AK142" s="431">
        <v>0.155</v>
      </c>
      <c r="AL142" s="431">
        <v>0.155</v>
      </c>
      <c r="AM142" s="431">
        <v>0.155</v>
      </c>
      <c r="AN142" s="431">
        <v>0.155</v>
      </c>
      <c r="AO142" s="431">
        <v>0.155</v>
      </c>
      <c r="AP142" s="432">
        <v>0.155</v>
      </c>
      <c r="AQ142" s="432">
        <v>0.155</v>
      </c>
      <c r="AR142" s="432">
        <v>0.155</v>
      </c>
      <c r="AS142" s="432">
        <v>0.155</v>
      </c>
      <c r="AT142" s="431">
        <v>0.155</v>
      </c>
      <c r="AU142" s="431">
        <v>0.155</v>
      </c>
      <c r="AV142" s="431">
        <v>0.17100000000000001</v>
      </c>
      <c r="AW142" s="291">
        <v>7.0002112839066002E-2</v>
      </c>
      <c r="AY142" s="306">
        <f t="shared" si="15"/>
        <v>0.17100000000000001</v>
      </c>
      <c r="AZ142" s="306">
        <f t="shared" si="16"/>
        <v>0.17100000000000001</v>
      </c>
      <c r="BA142" s="309">
        <f t="shared" si="17"/>
        <v>0.17100000000000001</v>
      </c>
      <c r="BB142" s="308">
        <f t="shared" si="18"/>
        <v>40603</v>
      </c>
      <c r="BC142" s="306">
        <f t="shared" si="12"/>
        <v>0.48538902142384321</v>
      </c>
      <c r="BD142" s="306">
        <f t="shared" si="13"/>
        <v>0.48548046642425624</v>
      </c>
      <c r="BF142" s="308">
        <f t="shared" si="19"/>
        <v>40603</v>
      </c>
      <c r="BG142" s="291">
        <v>130</v>
      </c>
    </row>
    <row r="143" spans="2:59" x14ac:dyDescent="0.25">
      <c r="B143" s="296">
        <f t="shared" si="14"/>
        <v>40634</v>
      </c>
      <c r="C143" s="294">
        <v>3.0430000000000001</v>
      </c>
      <c r="D143" s="294">
        <v>0.155</v>
      </c>
      <c r="E143" s="294">
        <v>7.0569997611904994E-2</v>
      </c>
      <c r="F143" s="294">
        <v>-0.19500000000000001</v>
      </c>
      <c r="G143" s="294">
        <v>1.4999999999999999E-2</v>
      </c>
      <c r="H143" s="294">
        <v>-0.19500000000000001</v>
      </c>
      <c r="I143" s="294">
        <v>0.17799999999999999</v>
      </c>
      <c r="J143" s="294">
        <v>0.19500000000000001</v>
      </c>
      <c r="K143" s="294">
        <v>0.25</v>
      </c>
      <c r="L143" s="294">
        <v>-0.06</v>
      </c>
      <c r="M143" s="294">
        <v>-9.9999990000000007E-3</v>
      </c>
      <c r="N143" s="294">
        <v>0</v>
      </c>
      <c r="O143" s="294">
        <v>-0.28999999999999998</v>
      </c>
      <c r="P143" s="294">
        <v>6.4999999999999997E-3</v>
      </c>
      <c r="Q143" s="294">
        <v>1.0500000000000001E-2</v>
      </c>
      <c r="R143" s="291">
        <v>-1.55E-2</v>
      </c>
      <c r="S143" s="291">
        <v>-4.3999999999999997E-2</v>
      </c>
      <c r="T143" s="291">
        <v>-0.125</v>
      </c>
      <c r="U143" s="291">
        <v>-5.0000000000000001E-3</v>
      </c>
      <c r="V143" s="291">
        <v>-8.8499999999999995E-2</v>
      </c>
      <c r="W143" s="291">
        <v>-0.12</v>
      </c>
      <c r="X143" s="291">
        <v>0.45</v>
      </c>
      <c r="Y143" s="291">
        <v>5.0000000000000001E-3</v>
      </c>
      <c r="Z143" s="291">
        <v>-0.19</v>
      </c>
      <c r="AA143" s="291">
        <v>-1.4999999999999999E-2</v>
      </c>
      <c r="AB143" s="306">
        <v>0.29499999999999998</v>
      </c>
      <c r="AC143" s="306">
        <v>0.35499999999999998</v>
      </c>
      <c r="AD143" s="306">
        <v>0.27300000000000002</v>
      </c>
      <c r="AE143" s="431">
        <v>0.155</v>
      </c>
      <c r="AF143" s="431">
        <v>0.155</v>
      </c>
      <c r="AG143" s="431">
        <v>0.152</v>
      </c>
      <c r="AH143" s="431">
        <v>0.155</v>
      </c>
      <c r="AI143" s="431">
        <v>0.158</v>
      </c>
      <c r="AJ143" s="431">
        <v>0.155</v>
      </c>
      <c r="AK143" s="431">
        <v>0.152</v>
      </c>
      <c r="AL143" s="431">
        <v>0.152</v>
      </c>
      <c r="AM143" s="431">
        <v>0.155</v>
      </c>
      <c r="AN143" s="431">
        <v>0.155</v>
      </c>
      <c r="AO143" s="431">
        <v>0.155</v>
      </c>
      <c r="AP143" s="432">
        <v>0.155</v>
      </c>
      <c r="AQ143" s="432">
        <v>0.155</v>
      </c>
      <c r="AR143" s="432">
        <v>0.155</v>
      </c>
      <c r="AS143" s="432">
        <v>0.155</v>
      </c>
      <c r="AT143" s="431">
        <v>0.155</v>
      </c>
      <c r="AU143" s="431">
        <v>0.155</v>
      </c>
      <c r="AV143" s="431">
        <v>0.152</v>
      </c>
      <c r="AW143" s="291">
        <v>7.0009066355547003E-2</v>
      </c>
      <c r="AY143" s="306">
        <f t="shared" si="15"/>
        <v>0.152</v>
      </c>
      <c r="AZ143" s="306">
        <f t="shared" si="16"/>
        <v>0.152</v>
      </c>
      <c r="BA143" s="309">
        <f t="shared" si="17"/>
        <v>0.152</v>
      </c>
      <c r="BB143" s="308">
        <f t="shared" si="18"/>
        <v>40634</v>
      </c>
      <c r="BC143" s="306">
        <f t="shared" si="12"/>
        <v>0.48252842184555678</v>
      </c>
      <c r="BD143" s="306">
        <f t="shared" si="13"/>
        <v>0.482619336799742</v>
      </c>
      <c r="BF143" s="308">
        <f t="shared" si="19"/>
        <v>40634</v>
      </c>
      <c r="BG143" s="291">
        <v>131</v>
      </c>
    </row>
    <row r="144" spans="2:59" x14ac:dyDescent="0.25">
      <c r="B144" s="296">
        <f t="shared" si="14"/>
        <v>40664</v>
      </c>
      <c r="C144" s="294">
        <v>3.0390000000000001</v>
      </c>
      <c r="D144" s="294">
        <v>0.155</v>
      </c>
      <c r="E144" s="294">
        <v>7.0571126014129001E-2</v>
      </c>
      <c r="F144" s="294">
        <v>-0.19500000000000001</v>
      </c>
      <c r="G144" s="294">
        <v>1.4999999999999999E-2</v>
      </c>
      <c r="H144" s="294">
        <v>-0.19500000000000001</v>
      </c>
      <c r="I144" s="294">
        <v>0.188</v>
      </c>
      <c r="J144" s="294">
        <v>0.1825</v>
      </c>
      <c r="K144" s="294">
        <v>0.20250000000000001</v>
      </c>
      <c r="L144" s="294">
        <v>-0.06</v>
      </c>
      <c r="M144" s="388">
        <v>-9.9999990000000007E-3</v>
      </c>
      <c r="N144" s="294">
        <v>0</v>
      </c>
      <c r="O144" s="294">
        <v>-0.28999999999999998</v>
      </c>
      <c r="P144" s="294">
        <v>6.4999999999999997E-3</v>
      </c>
      <c r="Q144" s="294">
        <v>1.0500000000000001E-2</v>
      </c>
      <c r="R144" s="291">
        <v>-1.55E-2</v>
      </c>
      <c r="S144" s="291">
        <v>-4.3999999999999997E-2</v>
      </c>
      <c r="T144" s="291">
        <v>-0.14000000000000001</v>
      </c>
      <c r="U144" s="291">
        <v>-5.2500000000000003E-3</v>
      </c>
      <c r="V144" s="291">
        <v>-8.8499999999999995E-2</v>
      </c>
      <c r="W144" s="291">
        <v>-0.12</v>
      </c>
      <c r="X144" s="291">
        <v>0.40500000000000003</v>
      </c>
      <c r="Y144" s="291">
        <v>5.0000000000000001E-3</v>
      </c>
      <c r="Z144" s="291">
        <v>-0.19</v>
      </c>
      <c r="AA144" s="291">
        <v>-1.4999999999999999E-2</v>
      </c>
      <c r="AB144" s="306">
        <v>0.29499999999999998</v>
      </c>
      <c r="AC144" s="306">
        <v>0.28749999999999998</v>
      </c>
      <c r="AD144" s="306">
        <v>0.28299999999999997</v>
      </c>
      <c r="AE144" s="431">
        <v>0.155</v>
      </c>
      <c r="AF144" s="431">
        <v>0.155</v>
      </c>
      <c r="AG144" s="431">
        <v>0.152</v>
      </c>
      <c r="AH144" s="431">
        <v>0.155</v>
      </c>
      <c r="AI144" s="431">
        <v>0.158</v>
      </c>
      <c r="AJ144" s="431">
        <v>0.155</v>
      </c>
      <c r="AK144" s="431">
        <v>0.152</v>
      </c>
      <c r="AL144" s="431">
        <v>0.152</v>
      </c>
      <c r="AM144" s="431">
        <v>0.155</v>
      </c>
      <c r="AN144" s="431">
        <v>0.155</v>
      </c>
      <c r="AO144" s="431">
        <v>0.155</v>
      </c>
      <c r="AP144" s="432">
        <v>0.155</v>
      </c>
      <c r="AQ144" s="432">
        <v>0.155</v>
      </c>
      <c r="AR144" s="432">
        <v>0.155</v>
      </c>
      <c r="AS144" s="432">
        <v>0.155</v>
      </c>
      <c r="AT144" s="431">
        <v>0.155</v>
      </c>
      <c r="AU144" s="431">
        <v>0.155</v>
      </c>
      <c r="AV144" s="431">
        <v>0.152</v>
      </c>
      <c r="AW144" s="291">
        <v>7.0015795565060004E-2</v>
      </c>
      <c r="AY144" s="306">
        <f t="shared" si="15"/>
        <v>0.152</v>
      </c>
      <c r="AZ144" s="306">
        <f t="shared" si="16"/>
        <v>0.152</v>
      </c>
      <c r="BA144" s="309">
        <f t="shared" si="17"/>
        <v>0.152</v>
      </c>
      <c r="BB144" s="308">
        <f t="shared" si="18"/>
        <v>40664</v>
      </c>
      <c r="BC144" s="306">
        <f t="shared" ref="BC144:BC207" si="21">(1+$AW144/2)^(-2*($B144-$BC$11)/365.25)</f>
        <v>0.47977563157821218</v>
      </c>
      <c r="BD144" s="306">
        <f t="shared" ref="BD144:BD207" si="22">(1+$AW144/2)^(-2*($B144-$BD$11)/365.25)</f>
        <v>0.47986603641089043</v>
      </c>
      <c r="BF144" s="308">
        <f t="shared" si="19"/>
        <v>40664</v>
      </c>
      <c r="BG144" s="291">
        <v>132</v>
      </c>
    </row>
    <row r="145" spans="2:59" x14ac:dyDescent="0.25">
      <c r="B145" s="296">
        <f t="shared" ref="B145:B208" si="23">EOMONTH(B144,0)+1</f>
        <v>40695</v>
      </c>
      <c r="C145" s="294">
        <v>3.0670000000000002</v>
      </c>
      <c r="D145" s="294">
        <v>0.155</v>
      </c>
      <c r="E145" s="294">
        <v>7.0572292029758996E-2</v>
      </c>
      <c r="F145" s="294">
        <v>-0.19500000000000001</v>
      </c>
      <c r="G145" s="294">
        <v>0.02</v>
      </c>
      <c r="H145" s="294">
        <v>-0.19500000000000001</v>
      </c>
      <c r="I145" s="294">
        <v>0.183</v>
      </c>
      <c r="J145" s="294">
        <v>0.1825</v>
      </c>
      <c r="K145" s="294">
        <v>0.20250000000000001</v>
      </c>
      <c r="L145" s="294">
        <v>-7.5999999999999998E-2</v>
      </c>
      <c r="M145" s="388">
        <v>-9.9999990000000007E-3</v>
      </c>
      <c r="N145" s="294">
        <v>0</v>
      </c>
      <c r="O145" s="294">
        <v>-0.28999999999999998</v>
      </c>
      <c r="P145" s="294">
        <v>6.4999999999999997E-3</v>
      </c>
      <c r="Q145" s="294">
        <v>1.0500000000000001E-2</v>
      </c>
      <c r="R145" s="291">
        <v>-1.55E-2</v>
      </c>
      <c r="S145" s="291">
        <v>-4.3999999999999997E-2</v>
      </c>
      <c r="T145" s="291">
        <v>-0.15</v>
      </c>
      <c r="U145" s="291">
        <v>-5.2500000000000003E-3</v>
      </c>
      <c r="V145" s="291">
        <v>-7.85E-2</v>
      </c>
      <c r="W145" s="291">
        <v>-0.12</v>
      </c>
      <c r="X145" s="291">
        <v>0.39500000000000002</v>
      </c>
      <c r="Y145" s="291">
        <v>5.0000000000000001E-3</v>
      </c>
      <c r="Z145" s="291">
        <v>-0.19</v>
      </c>
      <c r="AA145" s="291">
        <v>-1.4999999999999999E-2</v>
      </c>
      <c r="AB145" s="306">
        <v>0.29499999999999998</v>
      </c>
      <c r="AC145" s="306">
        <v>0.28749999999999998</v>
      </c>
      <c r="AD145" s="306">
        <v>0.27800000000000002</v>
      </c>
      <c r="AE145" s="431">
        <v>0.155</v>
      </c>
      <c r="AF145" s="431">
        <v>0.155</v>
      </c>
      <c r="AG145" s="431">
        <v>0.152</v>
      </c>
      <c r="AH145" s="431">
        <v>0.155</v>
      </c>
      <c r="AI145" s="431">
        <v>0.158</v>
      </c>
      <c r="AJ145" s="431">
        <v>0.155</v>
      </c>
      <c r="AK145" s="431">
        <v>0.152</v>
      </c>
      <c r="AL145" s="431">
        <v>0.152</v>
      </c>
      <c r="AM145" s="431">
        <v>0.155</v>
      </c>
      <c r="AN145" s="431">
        <v>0.155</v>
      </c>
      <c r="AO145" s="431">
        <v>0.155</v>
      </c>
      <c r="AP145" s="432">
        <v>0.155</v>
      </c>
      <c r="AQ145" s="432">
        <v>0.155</v>
      </c>
      <c r="AR145" s="432">
        <v>0.155</v>
      </c>
      <c r="AS145" s="432">
        <v>0.155</v>
      </c>
      <c r="AT145" s="431">
        <v>0.155</v>
      </c>
      <c r="AU145" s="431">
        <v>0.155</v>
      </c>
      <c r="AV145" s="431">
        <v>0.152</v>
      </c>
      <c r="AW145" s="291">
        <v>7.0022749081571994E-2</v>
      </c>
      <c r="AY145" s="306">
        <f t="shared" ref="AY145:AY208" si="24">AG145</f>
        <v>0.152</v>
      </c>
      <c r="AZ145" s="306">
        <f t="shared" ref="AZ145:AZ208" si="25">AG145</f>
        <v>0.152</v>
      </c>
      <c r="BA145" s="309">
        <f t="shared" ref="BA145:BA208" si="26">AG145</f>
        <v>0.152</v>
      </c>
      <c r="BB145" s="308">
        <f t="shared" ref="BB145:BB208" si="27">B145</f>
        <v>40695</v>
      </c>
      <c r="BC145" s="306">
        <f t="shared" si="21"/>
        <v>0.47694704397746007</v>
      </c>
      <c r="BD145" s="306">
        <f t="shared" si="22"/>
        <v>0.477036924589678</v>
      </c>
      <c r="BF145" s="308">
        <f t="shared" ref="BF145:BF208" si="28">B145</f>
        <v>40695</v>
      </c>
      <c r="BG145" s="291">
        <v>133</v>
      </c>
    </row>
    <row r="146" spans="2:59" x14ac:dyDescent="0.25">
      <c r="B146" s="296">
        <f t="shared" si="23"/>
        <v>40725</v>
      </c>
      <c r="C146" s="294">
        <v>3.089</v>
      </c>
      <c r="D146" s="294">
        <v>0.155</v>
      </c>
      <c r="E146" s="294">
        <v>7.0573420431983003E-2</v>
      </c>
      <c r="F146" s="294">
        <v>-0.19500000000000001</v>
      </c>
      <c r="G146" s="294">
        <v>2.2499999999999999E-2</v>
      </c>
      <c r="H146" s="294">
        <v>-0.19500000000000001</v>
      </c>
      <c r="I146" s="294">
        <v>0.17299999999999999</v>
      </c>
      <c r="J146" s="294">
        <v>0.1825</v>
      </c>
      <c r="K146" s="294">
        <v>0.215</v>
      </c>
      <c r="L146" s="294">
        <v>-6.9000000000000006E-2</v>
      </c>
      <c r="M146" s="388">
        <v>-9.9999990000000007E-3</v>
      </c>
      <c r="N146" s="294">
        <v>0</v>
      </c>
      <c r="O146" s="294">
        <v>-0.28999999999999998</v>
      </c>
      <c r="P146" s="294">
        <v>6.4999999999999997E-3</v>
      </c>
      <c r="Q146" s="294">
        <v>1.0500000000000001E-2</v>
      </c>
      <c r="R146" s="291">
        <v>-1.55E-2</v>
      </c>
      <c r="S146" s="291">
        <v>-4.3999999999999997E-2</v>
      </c>
      <c r="T146" s="291">
        <v>-0.15</v>
      </c>
      <c r="U146" s="291">
        <v>-5.2500000000000003E-3</v>
      </c>
      <c r="V146" s="291">
        <v>-7.3499999999999996E-2</v>
      </c>
      <c r="W146" s="291">
        <v>-0.12</v>
      </c>
      <c r="X146" s="291">
        <v>0.43</v>
      </c>
      <c r="Y146" s="291">
        <v>5.0000000000000001E-3</v>
      </c>
      <c r="Z146" s="291">
        <v>-0.19</v>
      </c>
      <c r="AA146" s="291">
        <v>-1.4999999999999999E-2</v>
      </c>
      <c r="AB146" s="306">
        <v>0.29499999999999998</v>
      </c>
      <c r="AC146" s="306">
        <v>0.3</v>
      </c>
      <c r="AD146" s="306">
        <v>0.26800000000000002</v>
      </c>
      <c r="AE146" s="431">
        <v>0.155</v>
      </c>
      <c r="AF146" s="431">
        <v>0.155</v>
      </c>
      <c r="AG146" s="431">
        <v>0.152</v>
      </c>
      <c r="AH146" s="431">
        <v>0.155</v>
      </c>
      <c r="AI146" s="431">
        <v>0.158</v>
      </c>
      <c r="AJ146" s="431">
        <v>0.155</v>
      </c>
      <c r="AK146" s="431">
        <v>0.152</v>
      </c>
      <c r="AL146" s="431">
        <v>0.152</v>
      </c>
      <c r="AM146" s="431">
        <v>0.155</v>
      </c>
      <c r="AN146" s="431">
        <v>0.155</v>
      </c>
      <c r="AO146" s="431">
        <v>0.155</v>
      </c>
      <c r="AP146" s="432">
        <v>0.155</v>
      </c>
      <c r="AQ146" s="432">
        <v>0.155</v>
      </c>
      <c r="AR146" s="432">
        <v>0.155</v>
      </c>
      <c r="AS146" s="432">
        <v>0.155</v>
      </c>
      <c r="AT146" s="431">
        <v>0.155</v>
      </c>
      <c r="AU146" s="431">
        <v>0.155</v>
      </c>
      <c r="AV146" s="431">
        <v>0.152</v>
      </c>
      <c r="AW146" s="291">
        <v>7.0029478291114999E-2</v>
      </c>
      <c r="AY146" s="306">
        <f t="shared" si="24"/>
        <v>0.152</v>
      </c>
      <c r="AZ146" s="306">
        <f t="shared" si="25"/>
        <v>0.152</v>
      </c>
      <c r="BA146" s="309">
        <f t="shared" si="26"/>
        <v>0.152</v>
      </c>
      <c r="BB146" s="308">
        <f t="shared" si="27"/>
        <v>40725</v>
      </c>
      <c r="BC146" s="306">
        <f t="shared" si="21"/>
        <v>0.47422506544077236</v>
      </c>
      <c r="BD146" s="306">
        <f t="shared" si="22"/>
        <v>0.47431444153941971</v>
      </c>
      <c r="BF146" s="308">
        <f t="shared" si="28"/>
        <v>40725</v>
      </c>
      <c r="BG146" s="291">
        <v>134</v>
      </c>
    </row>
    <row r="147" spans="2:59" x14ac:dyDescent="0.25">
      <c r="B147" s="296">
        <f t="shared" si="23"/>
        <v>40756</v>
      </c>
      <c r="C147" s="294">
        <v>3.11</v>
      </c>
      <c r="D147" s="294">
        <v>0.155</v>
      </c>
      <c r="E147" s="294">
        <v>7.0574586447613996E-2</v>
      </c>
      <c r="F147" s="294">
        <v>-0.19500000000000001</v>
      </c>
      <c r="G147" s="294">
        <v>2.5000000000000001E-2</v>
      </c>
      <c r="H147" s="294">
        <v>-0.19500000000000001</v>
      </c>
      <c r="I147" s="294">
        <v>0.17</v>
      </c>
      <c r="J147" s="294">
        <v>0.1825</v>
      </c>
      <c r="K147" s="294">
        <v>0.215</v>
      </c>
      <c r="L147" s="294">
        <v>-0.06</v>
      </c>
      <c r="M147" s="388">
        <v>-9.9999990000000007E-3</v>
      </c>
      <c r="N147" s="294">
        <v>0</v>
      </c>
      <c r="O147" s="294">
        <v>-0.28999999999999998</v>
      </c>
      <c r="P147" s="294">
        <v>6.4999999999999997E-3</v>
      </c>
      <c r="Q147" s="294">
        <v>1.0500000000000001E-2</v>
      </c>
      <c r="R147" s="291">
        <v>-1.55E-2</v>
      </c>
      <c r="S147" s="291">
        <v>-4.3999999999999997E-2</v>
      </c>
      <c r="T147" s="291">
        <v>-0.15</v>
      </c>
      <c r="U147" s="291">
        <v>-5.2500000000000003E-3</v>
      </c>
      <c r="V147" s="291">
        <v>-7.3499999999999996E-2</v>
      </c>
      <c r="W147" s="291">
        <v>-0.12</v>
      </c>
      <c r="X147" s="291">
        <v>0.495</v>
      </c>
      <c r="Y147" s="291">
        <v>5.0000000000000001E-3</v>
      </c>
      <c r="Z147" s="291">
        <v>-0.19</v>
      </c>
      <c r="AA147" s="291">
        <v>-1.4999999999999999E-2</v>
      </c>
      <c r="AB147" s="306">
        <v>0.29499999999999998</v>
      </c>
      <c r="AC147" s="306">
        <v>0.3</v>
      </c>
      <c r="AD147" s="306">
        <v>0.26500000000000001</v>
      </c>
      <c r="AE147" s="431">
        <v>0.155</v>
      </c>
      <c r="AF147" s="431">
        <v>0.155</v>
      </c>
      <c r="AG147" s="431">
        <v>0.152</v>
      </c>
      <c r="AH147" s="431">
        <v>0.155</v>
      </c>
      <c r="AI147" s="431">
        <v>0.158</v>
      </c>
      <c r="AJ147" s="431">
        <v>0.155</v>
      </c>
      <c r="AK147" s="431">
        <v>0.152</v>
      </c>
      <c r="AL147" s="431">
        <v>0.152</v>
      </c>
      <c r="AM147" s="431">
        <v>0.155</v>
      </c>
      <c r="AN147" s="431">
        <v>0.155</v>
      </c>
      <c r="AO147" s="431">
        <v>0.155</v>
      </c>
      <c r="AP147" s="432">
        <v>0.155</v>
      </c>
      <c r="AQ147" s="432">
        <v>0.155</v>
      </c>
      <c r="AR147" s="432">
        <v>0.155</v>
      </c>
      <c r="AS147" s="432">
        <v>0.155</v>
      </c>
      <c r="AT147" s="431">
        <v>0.155</v>
      </c>
      <c r="AU147" s="431">
        <v>0.155</v>
      </c>
      <c r="AV147" s="431">
        <v>0.152</v>
      </c>
      <c r="AW147" s="291">
        <v>7.0036431807659005E-2</v>
      </c>
      <c r="AY147" s="306">
        <f t="shared" si="24"/>
        <v>0.152</v>
      </c>
      <c r="AZ147" s="306">
        <f t="shared" si="25"/>
        <v>0.152</v>
      </c>
      <c r="BA147" s="309">
        <f t="shared" si="26"/>
        <v>0.152</v>
      </c>
      <c r="BB147" s="308">
        <f t="shared" si="27"/>
        <v>40756</v>
      </c>
      <c r="BC147" s="306">
        <f t="shared" si="21"/>
        <v>0.47142814434350377</v>
      </c>
      <c r="BD147" s="306">
        <f t="shared" si="22"/>
        <v>0.47151700198581659</v>
      </c>
      <c r="BF147" s="308">
        <f t="shared" si="28"/>
        <v>40756</v>
      </c>
      <c r="BG147" s="291">
        <v>135</v>
      </c>
    </row>
    <row r="148" spans="2:59" x14ac:dyDescent="0.25">
      <c r="B148" s="296">
        <f t="shared" si="23"/>
        <v>40787</v>
      </c>
      <c r="C148" s="294">
        <v>3.085</v>
      </c>
      <c r="D148" s="294">
        <v>0.155</v>
      </c>
      <c r="E148" s="294">
        <v>7.0575752463247002E-2</v>
      </c>
      <c r="F148" s="294">
        <v>-0.19500000000000001</v>
      </c>
      <c r="G148" s="294">
        <v>1.7500000000000002E-2</v>
      </c>
      <c r="H148" s="294">
        <v>-0.19500000000000001</v>
      </c>
      <c r="I148" s="294">
        <v>0.16800000000000001</v>
      </c>
      <c r="J148" s="294">
        <v>0.1825</v>
      </c>
      <c r="K148" s="294">
        <v>0.19500000000000001</v>
      </c>
      <c r="L148" s="294">
        <v>-0.04</v>
      </c>
      <c r="M148" s="388">
        <v>-9.9999990000000007E-3</v>
      </c>
      <c r="N148" s="294">
        <v>0</v>
      </c>
      <c r="O148" s="294">
        <v>-0.28999999999999998</v>
      </c>
      <c r="P148" s="294">
        <v>6.4999999999999997E-3</v>
      </c>
      <c r="Q148" s="294">
        <v>1.0500000000000001E-2</v>
      </c>
      <c r="R148" s="291">
        <v>-1.55E-2</v>
      </c>
      <c r="S148" s="291">
        <v>-4.3999999999999997E-2</v>
      </c>
      <c r="T148" s="291">
        <v>-0.14000000000000001</v>
      </c>
      <c r="U148" s="291">
        <v>-5.2500000000000003E-3</v>
      </c>
      <c r="V148" s="291">
        <v>-8.8499999999999995E-2</v>
      </c>
      <c r="W148" s="291">
        <v>-0.12</v>
      </c>
      <c r="X148" s="291">
        <v>0.39500000000000002</v>
      </c>
      <c r="Y148" s="291">
        <v>5.0000000000000001E-3</v>
      </c>
      <c r="Z148" s="291">
        <v>-0.19</v>
      </c>
      <c r="AA148" s="291">
        <v>-1.4999999999999999E-2</v>
      </c>
      <c r="AB148" s="306">
        <v>0.29499999999999998</v>
      </c>
      <c r="AC148" s="306">
        <v>0.28999999999999998</v>
      </c>
      <c r="AD148" s="306">
        <v>0.26300000000000001</v>
      </c>
      <c r="AE148" s="431">
        <v>0.155</v>
      </c>
      <c r="AF148" s="431">
        <v>0.155</v>
      </c>
      <c r="AG148" s="431">
        <v>0.152</v>
      </c>
      <c r="AH148" s="431">
        <v>0.155</v>
      </c>
      <c r="AI148" s="431">
        <v>0.158</v>
      </c>
      <c r="AJ148" s="431">
        <v>0.155</v>
      </c>
      <c r="AK148" s="431">
        <v>0.152</v>
      </c>
      <c r="AL148" s="431">
        <v>0.152</v>
      </c>
      <c r="AM148" s="431">
        <v>0.155</v>
      </c>
      <c r="AN148" s="431">
        <v>0.155</v>
      </c>
      <c r="AO148" s="431">
        <v>0.155</v>
      </c>
      <c r="AP148" s="432">
        <v>0.155</v>
      </c>
      <c r="AQ148" s="432">
        <v>0.155</v>
      </c>
      <c r="AR148" s="432">
        <v>0.155</v>
      </c>
      <c r="AS148" s="432">
        <v>0.155</v>
      </c>
      <c r="AT148" s="431">
        <v>0.155</v>
      </c>
      <c r="AU148" s="431">
        <v>0.155</v>
      </c>
      <c r="AV148" s="431">
        <v>0.152</v>
      </c>
      <c r="AW148" s="291">
        <v>7.0043385324218999E-2</v>
      </c>
      <c r="AY148" s="306">
        <f t="shared" si="24"/>
        <v>0.152</v>
      </c>
      <c r="AZ148" s="306">
        <f t="shared" si="25"/>
        <v>0.152</v>
      </c>
      <c r="BA148" s="309">
        <f t="shared" si="26"/>
        <v>0.152</v>
      </c>
      <c r="BB148" s="308">
        <f t="shared" si="27"/>
        <v>40787</v>
      </c>
      <c r="BC148" s="306">
        <f t="shared" si="21"/>
        <v>0.46864718481176365</v>
      </c>
      <c r="BD148" s="306">
        <f t="shared" si="22"/>
        <v>0.46873552690362935</v>
      </c>
      <c r="BF148" s="308">
        <f t="shared" si="28"/>
        <v>40787</v>
      </c>
      <c r="BG148" s="291">
        <v>136</v>
      </c>
    </row>
    <row r="149" spans="2:59" x14ac:dyDescent="0.25">
      <c r="B149" s="296">
        <f t="shared" si="23"/>
        <v>40817</v>
      </c>
      <c r="C149" s="294">
        <v>3.0920000000000001</v>
      </c>
      <c r="D149" s="294">
        <v>0.155</v>
      </c>
      <c r="E149" s="294">
        <v>7.0576880865471994E-2</v>
      </c>
      <c r="F149" s="294">
        <v>-0.19500000000000001</v>
      </c>
      <c r="G149" s="294">
        <v>7.4999999999999997E-3</v>
      </c>
      <c r="H149" s="294">
        <v>-0.19500000000000001</v>
      </c>
      <c r="I149" s="294">
        <v>0.183</v>
      </c>
      <c r="J149" s="294">
        <v>0.1875</v>
      </c>
      <c r="K149" s="294">
        <v>0.215</v>
      </c>
      <c r="L149" s="294">
        <v>-0.05</v>
      </c>
      <c r="M149" s="388">
        <v>-9.9999990000000007E-3</v>
      </c>
      <c r="N149" s="294">
        <v>0</v>
      </c>
      <c r="O149" s="294">
        <v>-0.28999999999999998</v>
      </c>
      <c r="P149" s="294">
        <v>6.4999999999999997E-3</v>
      </c>
      <c r="Q149" s="294">
        <v>1.0500000000000001E-2</v>
      </c>
      <c r="R149" s="291">
        <v>-1.55E-2</v>
      </c>
      <c r="S149" s="291">
        <v>-4.3999999999999997E-2</v>
      </c>
      <c r="T149" s="291">
        <v>-0.125</v>
      </c>
      <c r="U149" s="291">
        <v>-2.35E-2</v>
      </c>
      <c r="V149" s="291">
        <v>-9.0999999999999998E-2</v>
      </c>
      <c r="W149" s="291">
        <v>-0.12</v>
      </c>
      <c r="X149" s="291">
        <v>0.46100000000000002</v>
      </c>
      <c r="Y149" s="291">
        <v>5.0000000000000001E-3</v>
      </c>
      <c r="Z149" s="291">
        <v>-0.19</v>
      </c>
      <c r="AA149" s="291">
        <v>-1.4999999999999999E-2</v>
      </c>
      <c r="AB149" s="306">
        <v>0.29499999999999998</v>
      </c>
      <c r="AC149" s="306">
        <v>0.36249999999999999</v>
      </c>
      <c r="AD149" s="306">
        <v>0.27800000000000002</v>
      </c>
      <c r="AE149" s="431">
        <v>0.155</v>
      </c>
      <c r="AF149" s="431">
        <v>0.155</v>
      </c>
      <c r="AG149" s="431">
        <v>0.152</v>
      </c>
      <c r="AH149" s="431">
        <v>0.155</v>
      </c>
      <c r="AI149" s="431">
        <v>0.158</v>
      </c>
      <c r="AJ149" s="431">
        <v>0.155</v>
      </c>
      <c r="AK149" s="431">
        <v>0.152</v>
      </c>
      <c r="AL149" s="431">
        <v>0.152</v>
      </c>
      <c r="AM149" s="431">
        <v>0.155</v>
      </c>
      <c r="AN149" s="431">
        <v>0.155</v>
      </c>
      <c r="AO149" s="431">
        <v>0.155</v>
      </c>
      <c r="AP149" s="432">
        <v>0.155</v>
      </c>
      <c r="AQ149" s="432">
        <v>0.155</v>
      </c>
      <c r="AR149" s="432">
        <v>0.155</v>
      </c>
      <c r="AS149" s="432">
        <v>0.155</v>
      </c>
      <c r="AT149" s="431">
        <v>0.155</v>
      </c>
      <c r="AU149" s="431">
        <v>0.155</v>
      </c>
      <c r="AV149" s="431">
        <v>0.152</v>
      </c>
      <c r="AW149" s="291">
        <v>7.0050114533806995E-2</v>
      </c>
      <c r="AY149" s="306">
        <f t="shared" si="24"/>
        <v>0.152</v>
      </c>
      <c r="AZ149" s="306">
        <f t="shared" si="25"/>
        <v>0.152</v>
      </c>
      <c r="BA149" s="309">
        <f t="shared" si="26"/>
        <v>0.152</v>
      </c>
      <c r="BB149" s="308">
        <f t="shared" si="27"/>
        <v>40817</v>
      </c>
      <c r="BC149" s="306">
        <f t="shared" si="21"/>
        <v>0.46597104845631004</v>
      </c>
      <c r="BD149" s="306">
        <f t="shared" si="22"/>
        <v>0.46605889438041354</v>
      </c>
      <c r="BF149" s="308">
        <f t="shared" si="28"/>
        <v>40817</v>
      </c>
      <c r="BG149" s="291">
        <v>137</v>
      </c>
    </row>
    <row r="150" spans="2:59" x14ac:dyDescent="0.25">
      <c r="B150" s="296">
        <f t="shared" si="23"/>
        <v>40848</v>
      </c>
      <c r="C150" s="294">
        <v>3.1440000000000001</v>
      </c>
      <c r="D150" s="294">
        <v>0.155</v>
      </c>
      <c r="E150" s="294">
        <v>7.0578046881105E-2</v>
      </c>
      <c r="F150" s="294">
        <v>-0.19</v>
      </c>
      <c r="G150" s="294">
        <v>-3.2500000000000001E-2</v>
      </c>
      <c r="H150" s="294">
        <v>-0.19</v>
      </c>
      <c r="I150" s="294">
        <v>0.245</v>
      </c>
      <c r="J150" s="294">
        <v>0.27</v>
      </c>
      <c r="K150" s="294">
        <v>0.28749999999999998</v>
      </c>
      <c r="L150" s="294">
        <v>-6.5000000000000002E-2</v>
      </c>
      <c r="M150" s="388">
        <v>-2.5000000000000001E-3</v>
      </c>
      <c r="N150" s="294">
        <v>0</v>
      </c>
      <c r="O150" s="294">
        <v>0</v>
      </c>
      <c r="P150" s="294">
        <v>1.6E-2</v>
      </c>
      <c r="Q150" s="294">
        <v>2.5000000000000001E-3</v>
      </c>
      <c r="R150" s="291">
        <v>-1.8499999999999999E-2</v>
      </c>
      <c r="S150" s="291">
        <v>-4.3499999999999997E-2</v>
      </c>
      <c r="T150" s="291">
        <v>-8.7499999999999994E-2</v>
      </c>
      <c r="U150" s="291">
        <v>-2.2499999999999999E-2</v>
      </c>
      <c r="V150" s="291">
        <v>-8.8499999999999995E-2</v>
      </c>
      <c r="W150" s="291">
        <v>-0.13250000000000001</v>
      </c>
      <c r="X150" s="291">
        <v>0.76749999999999996</v>
      </c>
      <c r="Y150" s="291">
        <v>5.0000000000000001E-3</v>
      </c>
      <c r="Z150" s="291">
        <v>-0.19</v>
      </c>
      <c r="AA150" s="291">
        <v>-1.6500000000000001E-2</v>
      </c>
      <c r="AB150" s="306">
        <v>0.12</v>
      </c>
      <c r="AC150" s="306">
        <v>0.46500000000000002</v>
      </c>
      <c r="AD150" s="306">
        <v>0.34</v>
      </c>
      <c r="AE150" s="431">
        <v>0.155</v>
      </c>
      <c r="AF150" s="431">
        <v>0.155</v>
      </c>
      <c r="AG150" s="431">
        <v>0.17100000000000001</v>
      </c>
      <c r="AH150" s="431">
        <v>0.155</v>
      </c>
      <c r="AI150" s="431">
        <v>0.158</v>
      </c>
      <c r="AJ150" s="431">
        <v>0.155</v>
      </c>
      <c r="AK150" s="431">
        <v>0.155</v>
      </c>
      <c r="AL150" s="431">
        <v>0.155</v>
      </c>
      <c r="AM150" s="431">
        <v>0.155</v>
      </c>
      <c r="AN150" s="431">
        <v>0.155</v>
      </c>
      <c r="AO150" s="431">
        <v>0.155</v>
      </c>
      <c r="AP150" s="432">
        <v>0.155</v>
      </c>
      <c r="AQ150" s="432">
        <v>0.155</v>
      </c>
      <c r="AR150" s="432">
        <v>0.155</v>
      </c>
      <c r="AS150" s="432">
        <v>0.155</v>
      </c>
      <c r="AT150" s="431">
        <v>0.155</v>
      </c>
      <c r="AU150" s="431">
        <v>0.155</v>
      </c>
      <c r="AV150" s="431">
        <v>0.17100000000000001</v>
      </c>
      <c r="AW150" s="291">
        <v>7.0057068050398005E-2</v>
      </c>
      <c r="AY150" s="306">
        <f t="shared" si="24"/>
        <v>0.17100000000000001</v>
      </c>
      <c r="AZ150" s="306">
        <f t="shared" si="25"/>
        <v>0.17100000000000001</v>
      </c>
      <c r="BA150" s="309">
        <f t="shared" si="26"/>
        <v>0.17100000000000001</v>
      </c>
      <c r="BB150" s="308">
        <f t="shared" si="27"/>
        <v>40848</v>
      </c>
      <c r="BC150" s="306">
        <f t="shared" si="21"/>
        <v>0.46322124114493024</v>
      </c>
      <c r="BD150" s="306">
        <f t="shared" si="22"/>
        <v>0.46330857719092489</v>
      </c>
      <c r="BF150" s="308">
        <f t="shared" si="28"/>
        <v>40848</v>
      </c>
      <c r="BG150" s="291">
        <v>138</v>
      </c>
    </row>
    <row r="151" spans="2:59" x14ac:dyDescent="0.25">
      <c r="B151" s="296">
        <f t="shared" si="23"/>
        <v>40878</v>
      </c>
      <c r="C151" s="294">
        <v>3.206</v>
      </c>
      <c r="D151" s="294">
        <v>0.155</v>
      </c>
      <c r="E151" s="294">
        <v>7.0579175283330006E-2</v>
      </c>
      <c r="F151" s="294">
        <v>-0.19750000000000001</v>
      </c>
      <c r="G151" s="294">
        <v>-5.5E-2</v>
      </c>
      <c r="H151" s="294">
        <v>-0.19750000000000001</v>
      </c>
      <c r="I151" s="294">
        <v>0.28499999999999998</v>
      </c>
      <c r="J151" s="294">
        <v>0.30499999999999999</v>
      </c>
      <c r="K151" s="294">
        <v>0.33750000000000002</v>
      </c>
      <c r="L151" s="294">
        <v>-6.5000000000000002E-2</v>
      </c>
      <c r="M151" s="294">
        <v>-2.5000000000000001E-3</v>
      </c>
      <c r="N151" s="294">
        <v>0</v>
      </c>
      <c r="O151" s="294">
        <v>0.06</v>
      </c>
      <c r="P151" s="294">
        <v>1.6E-2</v>
      </c>
      <c r="Q151" s="294">
        <v>2.5000000000000001E-3</v>
      </c>
      <c r="R151" s="291">
        <v>-1.8499999999999999E-2</v>
      </c>
      <c r="S151" s="291">
        <v>-4.3499999999999997E-2</v>
      </c>
      <c r="T151" s="291">
        <v>-0.08</v>
      </c>
      <c r="U151" s="291">
        <v>-2.2499999999999999E-2</v>
      </c>
      <c r="V151" s="291">
        <v>-0.1235</v>
      </c>
      <c r="W151" s="291">
        <v>-0.1275</v>
      </c>
      <c r="X151" s="291">
        <v>1.19</v>
      </c>
      <c r="Y151" s="291">
        <v>5.0000000000000001E-3</v>
      </c>
      <c r="Z151" s="291">
        <v>-0.19</v>
      </c>
      <c r="AA151" s="291">
        <v>-1.6500000000000001E-2</v>
      </c>
      <c r="AB151" s="306">
        <v>0.12</v>
      </c>
      <c r="AC151" s="306">
        <v>0.8</v>
      </c>
      <c r="AD151" s="306">
        <v>0.38</v>
      </c>
      <c r="AE151" s="431">
        <v>0.155</v>
      </c>
      <c r="AF151" s="431">
        <v>0.155</v>
      </c>
      <c r="AG151" s="431">
        <v>0.17100000000000001</v>
      </c>
      <c r="AH151" s="431">
        <v>0.155</v>
      </c>
      <c r="AI151" s="431">
        <v>0.158</v>
      </c>
      <c r="AJ151" s="431">
        <v>0.155</v>
      </c>
      <c r="AK151" s="431">
        <v>0.155</v>
      </c>
      <c r="AL151" s="431">
        <v>0.155</v>
      </c>
      <c r="AM151" s="431">
        <v>0.155</v>
      </c>
      <c r="AN151" s="431">
        <v>0.155</v>
      </c>
      <c r="AO151" s="431">
        <v>0.155</v>
      </c>
      <c r="AP151" s="432">
        <v>0.155</v>
      </c>
      <c r="AQ151" s="432">
        <v>0.155</v>
      </c>
      <c r="AR151" s="432">
        <v>0.155</v>
      </c>
      <c r="AS151" s="432">
        <v>0.155</v>
      </c>
      <c r="AT151" s="431">
        <v>0.155</v>
      </c>
      <c r="AU151" s="431">
        <v>0.155</v>
      </c>
      <c r="AV151" s="431">
        <v>0.17100000000000001</v>
      </c>
      <c r="AW151" s="291">
        <v>7.0063797260018004E-2</v>
      </c>
      <c r="AY151" s="306">
        <f t="shared" si="24"/>
        <v>0.17100000000000001</v>
      </c>
      <c r="AZ151" s="306">
        <f t="shared" si="25"/>
        <v>0.17100000000000001</v>
      </c>
      <c r="BA151" s="309">
        <f t="shared" si="26"/>
        <v>0.17100000000000001</v>
      </c>
      <c r="BB151" s="308">
        <f t="shared" si="27"/>
        <v>40878</v>
      </c>
      <c r="BC151" s="306">
        <f t="shared" si="21"/>
        <v>0.46057508882015047</v>
      </c>
      <c r="BD151" s="306">
        <f t="shared" si="22"/>
        <v>0.46066193415859413</v>
      </c>
      <c r="BF151" s="308">
        <f t="shared" si="28"/>
        <v>40878</v>
      </c>
      <c r="BG151" s="291">
        <v>139</v>
      </c>
    </row>
    <row r="152" spans="2:59" x14ac:dyDescent="0.25">
      <c r="B152" s="296">
        <f t="shared" si="23"/>
        <v>40909</v>
      </c>
      <c r="C152" s="294">
        <v>3.5150000000000001</v>
      </c>
      <c r="D152" s="294">
        <v>0.155</v>
      </c>
      <c r="E152" s="294">
        <v>7.0580341298963997E-2</v>
      </c>
      <c r="F152" s="294">
        <v>-0.2</v>
      </c>
      <c r="G152" s="294">
        <v>-5.7500000000000002E-2</v>
      </c>
      <c r="H152" s="294">
        <v>-0.2</v>
      </c>
      <c r="I152" s="294">
        <v>0.29499999999999998</v>
      </c>
      <c r="J152" s="294">
        <v>0.30499999999999999</v>
      </c>
      <c r="K152" s="294">
        <v>0.4375</v>
      </c>
      <c r="L152" s="294">
        <v>-6.5000000000000002E-2</v>
      </c>
      <c r="M152" s="294">
        <v>-5.0000000000000001E-4</v>
      </c>
      <c r="N152" s="294">
        <v>0</v>
      </c>
      <c r="O152" s="294">
        <v>0.13</v>
      </c>
      <c r="P152" s="294">
        <v>1.6E-2</v>
      </c>
      <c r="Q152" s="294">
        <v>2.5000000000000001E-3</v>
      </c>
      <c r="R152" s="291">
        <v>-1.4E-2</v>
      </c>
      <c r="S152" s="291">
        <v>-4.3499999999999997E-2</v>
      </c>
      <c r="T152" s="291">
        <v>-6.5000000000000002E-2</v>
      </c>
      <c r="U152" s="291">
        <v>-2.2499999999999999E-2</v>
      </c>
      <c r="V152" s="291">
        <v>-0.129</v>
      </c>
      <c r="W152" s="291">
        <v>-0.1275</v>
      </c>
      <c r="X152" s="291">
        <v>1.5249999999999999</v>
      </c>
      <c r="Y152" s="291">
        <v>5.0000000000000001E-3</v>
      </c>
      <c r="Z152" s="291">
        <v>-0.19</v>
      </c>
      <c r="AA152" s="291">
        <v>-1.6500000000000001E-2</v>
      </c>
      <c r="AB152" s="306">
        <v>0.12</v>
      </c>
      <c r="AC152" s="306">
        <v>0.97499999999999998</v>
      </c>
      <c r="AD152" s="306">
        <v>0.39</v>
      </c>
      <c r="AE152" s="431">
        <v>0.155</v>
      </c>
      <c r="AF152" s="431">
        <v>0.155</v>
      </c>
      <c r="AG152" s="431">
        <v>0.17100000000000001</v>
      </c>
      <c r="AH152" s="431">
        <v>0.155</v>
      </c>
      <c r="AI152" s="431">
        <v>0.158</v>
      </c>
      <c r="AJ152" s="431">
        <v>0.155</v>
      </c>
      <c r="AK152" s="431">
        <v>0.155</v>
      </c>
      <c r="AL152" s="431">
        <v>0.155</v>
      </c>
      <c r="AM152" s="431">
        <v>0.155</v>
      </c>
      <c r="AN152" s="431">
        <v>0.155</v>
      </c>
      <c r="AO152" s="431">
        <v>0.155</v>
      </c>
      <c r="AP152" s="432">
        <v>0.155</v>
      </c>
      <c r="AQ152" s="432">
        <v>0.155</v>
      </c>
      <c r="AR152" s="432">
        <v>0.155</v>
      </c>
      <c r="AS152" s="432">
        <v>0.155</v>
      </c>
      <c r="AT152" s="431">
        <v>0.155</v>
      </c>
      <c r="AU152" s="431">
        <v>0.155</v>
      </c>
      <c r="AV152" s="431">
        <v>0.17100000000000001</v>
      </c>
      <c r="AW152" s="291">
        <v>7.0070750776641003E-2</v>
      </c>
      <c r="AY152" s="306">
        <f t="shared" si="24"/>
        <v>0.17100000000000001</v>
      </c>
      <c r="AZ152" s="306">
        <f t="shared" si="25"/>
        <v>0.17100000000000001</v>
      </c>
      <c r="BA152" s="309">
        <f t="shared" si="26"/>
        <v>0.17100000000000001</v>
      </c>
      <c r="BB152" s="308">
        <f t="shared" si="27"/>
        <v>40909</v>
      </c>
      <c r="BC152" s="306">
        <f t="shared" si="21"/>
        <v>0.45785609716720949</v>
      </c>
      <c r="BD152" s="306">
        <f t="shared" si="22"/>
        <v>0.45794243823979686</v>
      </c>
      <c r="BF152" s="308">
        <f t="shared" si="28"/>
        <v>40909</v>
      </c>
      <c r="BG152" s="291">
        <v>140</v>
      </c>
    </row>
    <row r="153" spans="2:59" x14ac:dyDescent="0.25">
      <c r="B153" s="296">
        <f t="shared" si="23"/>
        <v>40940</v>
      </c>
      <c r="C153" s="294">
        <v>3.4089999999999998</v>
      </c>
      <c r="D153" s="294">
        <v>0.155</v>
      </c>
      <c r="E153" s="294">
        <v>7.0581507314598002E-2</v>
      </c>
      <c r="F153" s="294">
        <v>-0.20250000000000001</v>
      </c>
      <c r="G153" s="294">
        <v>-0.04</v>
      </c>
      <c r="H153" s="294">
        <v>-0.20250000000000001</v>
      </c>
      <c r="I153" s="294">
        <v>0.27</v>
      </c>
      <c r="J153" s="294">
        <v>0.30499999999999999</v>
      </c>
      <c r="K153" s="294">
        <v>0.435</v>
      </c>
      <c r="L153" s="294">
        <v>-6.5000000000000002E-2</v>
      </c>
      <c r="M153" s="294">
        <v>-5.0000000000000001E-4</v>
      </c>
      <c r="N153" s="294">
        <v>0</v>
      </c>
      <c r="O153" s="294">
        <v>0</v>
      </c>
      <c r="P153" s="294">
        <v>1.6E-2</v>
      </c>
      <c r="Q153" s="294">
        <v>2.5000000000000001E-3</v>
      </c>
      <c r="R153" s="291">
        <v>-1.4E-2</v>
      </c>
      <c r="S153" s="291">
        <v>-4.3499999999999997E-2</v>
      </c>
      <c r="T153" s="291">
        <v>-6.5000000000000002E-2</v>
      </c>
      <c r="U153" s="291">
        <v>-2.2499999999999999E-2</v>
      </c>
      <c r="V153" s="291">
        <v>-0.1115</v>
      </c>
      <c r="W153" s="291">
        <v>-0.1275</v>
      </c>
      <c r="X153" s="291">
        <v>1.4550000000000001</v>
      </c>
      <c r="Y153" s="291">
        <v>5.0000000000000001E-3</v>
      </c>
      <c r="Z153" s="291">
        <v>-0.19</v>
      </c>
      <c r="AA153" s="291">
        <v>-1.6500000000000001E-2</v>
      </c>
      <c r="AB153" s="306">
        <v>0.12</v>
      </c>
      <c r="AC153" s="306">
        <v>0.97499999999999998</v>
      </c>
      <c r="AD153" s="306">
        <v>0.36499999999999999</v>
      </c>
      <c r="AE153" s="431">
        <v>0.155</v>
      </c>
      <c r="AF153" s="431">
        <v>0.155</v>
      </c>
      <c r="AG153" s="431">
        <v>0.17100000000000001</v>
      </c>
      <c r="AH153" s="431">
        <v>0.155</v>
      </c>
      <c r="AI153" s="431">
        <v>0.158</v>
      </c>
      <c r="AJ153" s="431">
        <v>0.155</v>
      </c>
      <c r="AK153" s="431">
        <v>0.155</v>
      </c>
      <c r="AL153" s="431">
        <v>0.155</v>
      </c>
      <c r="AM153" s="431">
        <v>0.155</v>
      </c>
      <c r="AN153" s="431">
        <v>0.155</v>
      </c>
      <c r="AO153" s="431">
        <v>0.155</v>
      </c>
      <c r="AP153" s="432">
        <v>0.155</v>
      </c>
      <c r="AQ153" s="432">
        <v>0.155</v>
      </c>
      <c r="AR153" s="432">
        <v>0.155</v>
      </c>
      <c r="AS153" s="432">
        <v>0.155</v>
      </c>
      <c r="AT153" s="431">
        <v>0.155</v>
      </c>
      <c r="AU153" s="431">
        <v>0.155</v>
      </c>
      <c r="AV153" s="431">
        <v>0.17100000000000001</v>
      </c>
      <c r="AW153" s="291">
        <v>7.0077704293280002E-2</v>
      </c>
      <c r="AY153" s="306">
        <f t="shared" si="24"/>
        <v>0.17100000000000001</v>
      </c>
      <c r="AZ153" s="306">
        <f t="shared" si="25"/>
        <v>0.17100000000000001</v>
      </c>
      <c r="BA153" s="309">
        <f t="shared" si="26"/>
        <v>0.17100000000000001</v>
      </c>
      <c r="BB153" s="308">
        <f t="shared" si="27"/>
        <v>40940</v>
      </c>
      <c r="BC153" s="306">
        <f t="shared" si="21"/>
        <v>0.45515263807023859</v>
      </c>
      <c r="BD153" s="306">
        <f t="shared" si="22"/>
        <v>0.45523847770626708</v>
      </c>
      <c r="BF153" s="308">
        <f t="shared" si="28"/>
        <v>40940</v>
      </c>
      <c r="BG153" s="291">
        <v>141</v>
      </c>
    </row>
    <row r="154" spans="2:59" x14ac:dyDescent="0.25">
      <c r="B154" s="296">
        <f t="shared" si="23"/>
        <v>40969</v>
      </c>
      <c r="C154" s="294">
        <v>3.266</v>
      </c>
      <c r="D154" s="294">
        <v>0.15</v>
      </c>
      <c r="E154" s="294">
        <v>7.0582598103418007E-2</v>
      </c>
      <c r="F154" s="294">
        <v>-0.20499999999999999</v>
      </c>
      <c r="G154" s="294">
        <v>-2.75E-2</v>
      </c>
      <c r="H154" s="294">
        <v>-0.20499999999999999</v>
      </c>
      <c r="I154" s="294">
        <v>0.26800000000000002</v>
      </c>
      <c r="J154" s="294">
        <v>0.26500000000000001</v>
      </c>
      <c r="K154" s="294">
        <v>0.30249999999999999</v>
      </c>
      <c r="L154" s="294">
        <v>-6.5000000000000002E-2</v>
      </c>
      <c r="M154" s="294">
        <v>-5.0000000000000001E-4</v>
      </c>
      <c r="N154" s="294">
        <v>0</v>
      </c>
      <c r="O154" s="294">
        <v>-0.18</v>
      </c>
      <c r="P154" s="294">
        <v>1.6E-2</v>
      </c>
      <c r="Q154" s="294">
        <v>2.5000000000000001E-3</v>
      </c>
      <c r="R154" s="291">
        <v>-1.4E-2</v>
      </c>
      <c r="S154" s="291">
        <v>-4.3499999999999997E-2</v>
      </c>
      <c r="T154" s="291">
        <v>-6.5000000000000002E-2</v>
      </c>
      <c r="U154" s="291">
        <v>-4.0000000000000001E-3</v>
      </c>
      <c r="V154" s="291">
        <v>-9.4E-2</v>
      </c>
      <c r="W154" s="291">
        <v>-0.13250000000000001</v>
      </c>
      <c r="X154" s="291">
        <v>0.83499999999999996</v>
      </c>
      <c r="Y154" s="291">
        <v>5.0000000000000001E-3</v>
      </c>
      <c r="Z154" s="291">
        <v>-0.19</v>
      </c>
      <c r="AA154" s="291">
        <v>-1.6500000000000001E-2</v>
      </c>
      <c r="AB154" s="306">
        <v>0.12</v>
      </c>
      <c r="AC154" s="306">
        <v>0.60750000000000004</v>
      </c>
      <c r="AD154" s="306">
        <v>0.36299999999999999</v>
      </c>
      <c r="AE154" s="431">
        <v>0.15</v>
      </c>
      <c r="AF154" s="431">
        <v>0.15</v>
      </c>
      <c r="AG154" s="431">
        <v>0.16500000000000001</v>
      </c>
      <c r="AH154" s="431">
        <v>0.15</v>
      </c>
      <c r="AI154" s="431">
        <v>0.153</v>
      </c>
      <c r="AJ154" s="431">
        <v>0.15</v>
      </c>
      <c r="AK154" s="431">
        <v>0.15</v>
      </c>
      <c r="AL154" s="431">
        <v>0.15</v>
      </c>
      <c r="AM154" s="431">
        <v>0.15</v>
      </c>
      <c r="AN154" s="431">
        <v>0.15</v>
      </c>
      <c r="AO154" s="431">
        <v>0.15</v>
      </c>
      <c r="AP154" s="432">
        <v>0.15</v>
      </c>
      <c r="AQ154" s="432">
        <v>0.15</v>
      </c>
      <c r="AR154" s="432">
        <v>0.15</v>
      </c>
      <c r="AS154" s="432">
        <v>0.15</v>
      </c>
      <c r="AT154" s="431">
        <v>0.15</v>
      </c>
      <c r="AU154" s="431">
        <v>0.15</v>
      </c>
      <c r="AV154" s="431">
        <v>0.16500000000000001</v>
      </c>
      <c r="AW154" s="291">
        <v>7.0084209195955996E-2</v>
      </c>
      <c r="AY154" s="306">
        <f t="shared" si="24"/>
        <v>0.16500000000000001</v>
      </c>
      <c r="AZ154" s="306">
        <f t="shared" si="25"/>
        <v>0.16500000000000001</v>
      </c>
      <c r="BA154" s="309">
        <f t="shared" si="26"/>
        <v>0.16500000000000001</v>
      </c>
      <c r="BB154" s="308">
        <f t="shared" si="27"/>
        <v>40969</v>
      </c>
      <c r="BC154" s="306">
        <f t="shared" si="21"/>
        <v>0.45263758161754358</v>
      </c>
      <c r="BD154" s="306">
        <f t="shared" si="22"/>
        <v>0.45272295471560398</v>
      </c>
      <c r="BF154" s="308">
        <f t="shared" si="28"/>
        <v>40969</v>
      </c>
      <c r="BG154" s="291">
        <v>142</v>
      </c>
    </row>
    <row r="155" spans="2:59" x14ac:dyDescent="0.25">
      <c r="B155" s="296">
        <f t="shared" si="23"/>
        <v>41000</v>
      </c>
      <c r="C155" s="294">
        <v>3.1150000000000002</v>
      </c>
      <c r="D155" s="294">
        <v>0.15</v>
      </c>
      <c r="E155" s="294">
        <v>7.0583764119052997E-2</v>
      </c>
      <c r="F155" s="294">
        <v>-0.19500000000000001</v>
      </c>
      <c r="G155" s="294">
        <v>1.4999999999999999E-2</v>
      </c>
      <c r="H155" s="294">
        <v>-0.19500000000000001</v>
      </c>
      <c r="I155" s="294">
        <v>0.17299999999999999</v>
      </c>
      <c r="J155" s="294">
        <v>0.19500000000000001</v>
      </c>
      <c r="K155" s="294">
        <v>0.25</v>
      </c>
      <c r="L155" s="294">
        <v>-5.8000000000000003E-2</v>
      </c>
      <c r="M155" s="294">
        <v>-7.9999990000000007E-3</v>
      </c>
      <c r="N155" s="294">
        <v>0</v>
      </c>
      <c r="O155" s="294">
        <v>-0.28999999999999998</v>
      </c>
      <c r="P155" s="294">
        <v>6.4999999999999997E-3</v>
      </c>
      <c r="Q155" s="294">
        <v>1.2500000000000001E-2</v>
      </c>
      <c r="R155" s="291">
        <v>-1.35E-2</v>
      </c>
      <c r="S155" s="291">
        <v>-4.1000000000000002E-2</v>
      </c>
      <c r="T155" s="291">
        <v>-0.11</v>
      </c>
      <c r="U155" s="291">
        <v>-4.0000000000000001E-3</v>
      </c>
      <c r="V155" s="291">
        <v>-8.6499999999999994E-2</v>
      </c>
      <c r="W155" s="291">
        <v>-0.12</v>
      </c>
      <c r="X155" s="291">
        <v>0.45</v>
      </c>
      <c r="Y155" s="291">
        <v>5.0000000000000001E-3</v>
      </c>
      <c r="Z155" s="291">
        <v>-0.19</v>
      </c>
      <c r="AA155" s="291">
        <v>-1.4E-2</v>
      </c>
      <c r="AB155" s="306">
        <v>0.29499999999999998</v>
      </c>
      <c r="AC155" s="306">
        <v>0.35499999999999998</v>
      </c>
      <c r="AD155" s="306">
        <v>0.26800000000000002</v>
      </c>
      <c r="AE155" s="431">
        <v>0.15</v>
      </c>
      <c r="AF155" s="431">
        <v>0.15</v>
      </c>
      <c r="AG155" s="431">
        <v>0.14699999999999999</v>
      </c>
      <c r="AH155" s="431">
        <v>0.15</v>
      </c>
      <c r="AI155" s="431">
        <v>0.153</v>
      </c>
      <c r="AJ155" s="431">
        <v>0.15</v>
      </c>
      <c r="AK155" s="431">
        <v>0.14699999999999999</v>
      </c>
      <c r="AL155" s="431">
        <v>0.14699999999999999</v>
      </c>
      <c r="AM155" s="431">
        <v>0.15</v>
      </c>
      <c r="AN155" s="431">
        <v>0.15</v>
      </c>
      <c r="AO155" s="431">
        <v>0.15</v>
      </c>
      <c r="AP155" s="432">
        <v>0.15</v>
      </c>
      <c r="AQ155" s="432">
        <v>0.15</v>
      </c>
      <c r="AR155" s="432">
        <v>0.15</v>
      </c>
      <c r="AS155" s="432">
        <v>0.15</v>
      </c>
      <c r="AT155" s="431">
        <v>0.15</v>
      </c>
      <c r="AU155" s="431">
        <v>0.15</v>
      </c>
      <c r="AV155" s="431">
        <v>0.14699999999999999</v>
      </c>
      <c r="AW155" s="291">
        <v>7.0091162712624999E-2</v>
      </c>
      <c r="AY155" s="306">
        <f t="shared" si="24"/>
        <v>0.14699999999999999</v>
      </c>
      <c r="AZ155" s="306">
        <f t="shared" si="25"/>
        <v>0.14699999999999999</v>
      </c>
      <c r="BA155" s="309">
        <f t="shared" si="26"/>
        <v>0.14699999999999999</v>
      </c>
      <c r="BB155" s="308">
        <f t="shared" si="27"/>
        <v>41000</v>
      </c>
      <c r="BC155" s="306">
        <f t="shared" si="21"/>
        <v>0.44996394286183977</v>
      </c>
      <c r="BD155" s="306">
        <f t="shared" si="22"/>
        <v>0.45004881995606066</v>
      </c>
      <c r="BF155" s="308">
        <f t="shared" si="28"/>
        <v>41000</v>
      </c>
      <c r="BG155" s="291">
        <v>143</v>
      </c>
    </row>
    <row r="156" spans="2:59" x14ac:dyDescent="0.25">
      <c r="B156" s="296">
        <f t="shared" si="23"/>
        <v>41030</v>
      </c>
      <c r="C156" s="294">
        <v>3.1120000000000001</v>
      </c>
      <c r="D156" s="294">
        <v>0.15</v>
      </c>
      <c r="E156" s="294">
        <v>7.0584892521281001E-2</v>
      </c>
      <c r="F156" s="294">
        <v>-0.19500000000000001</v>
      </c>
      <c r="G156" s="294">
        <v>1.4999999999999999E-2</v>
      </c>
      <c r="H156" s="294">
        <v>-0.19500000000000001</v>
      </c>
      <c r="I156" s="294">
        <v>0.183</v>
      </c>
      <c r="J156" s="294">
        <v>0.1825</v>
      </c>
      <c r="K156" s="294">
        <v>0.20250000000000001</v>
      </c>
      <c r="L156" s="294">
        <v>-5.8000000000000003E-2</v>
      </c>
      <c r="M156" s="388">
        <v>-7.9999990000000007E-3</v>
      </c>
      <c r="N156" s="294">
        <v>0</v>
      </c>
      <c r="O156" s="294">
        <v>-0.28999999999999998</v>
      </c>
      <c r="P156" s="294">
        <v>6.4999999999999997E-3</v>
      </c>
      <c r="Q156" s="294">
        <v>1.2500000000000001E-2</v>
      </c>
      <c r="R156" s="291">
        <v>-1.35E-2</v>
      </c>
      <c r="S156" s="291">
        <v>-4.1000000000000002E-2</v>
      </c>
      <c r="T156" s="291">
        <v>-0.125</v>
      </c>
      <c r="U156" s="291">
        <v>-4.2500000000000003E-3</v>
      </c>
      <c r="V156" s="291">
        <v>-8.6499999999999994E-2</v>
      </c>
      <c r="W156" s="291">
        <v>-0.12</v>
      </c>
      <c r="X156" s="291">
        <v>0.40500000000000003</v>
      </c>
      <c r="Y156" s="291">
        <v>5.0000000000000001E-3</v>
      </c>
      <c r="Z156" s="291">
        <v>-0.19</v>
      </c>
      <c r="AA156" s="291">
        <v>-1.4E-2</v>
      </c>
      <c r="AB156" s="306">
        <v>0.29499999999999998</v>
      </c>
      <c r="AC156" s="306">
        <v>0.28749999999999998</v>
      </c>
      <c r="AD156" s="306">
        <v>0.27800000000000002</v>
      </c>
      <c r="AE156" s="431">
        <v>0.15</v>
      </c>
      <c r="AF156" s="431">
        <v>0.15</v>
      </c>
      <c r="AG156" s="431">
        <v>0.14699999999999999</v>
      </c>
      <c r="AH156" s="431">
        <v>0.15</v>
      </c>
      <c r="AI156" s="431">
        <v>0.153</v>
      </c>
      <c r="AJ156" s="431">
        <v>0.15</v>
      </c>
      <c r="AK156" s="431">
        <v>0.14699999999999999</v>
      </c>
      <c r="AL156" s="431">
        <v>0.14699999999999999</v>
      </c>
      <c r="AM156" s="431">
        <v>0.15</v>
      </c>
      <c r="AN156" s="431">
        <v>0.15</v>
      </c>
      <c r="AO156" s="431">
        <v>0.15</v>
      </c>
      <c r="AP156" s="432">
        <v>0.15</v>
      </c>
      <c r="AQ156" s="432">
        <v>0.15</v>
      </c>
      <c r="AR156" s="432">
        <v>0.15</v>
      </c>
      <c r="AS156" s="432">
        <v>0.15</v>
      </c>
      <c r="AT156" s="431">
        <v>0.15</v>
      </c>
      <c r="AU156" s="431">
        <v>0.15</v>
      </c>
      <c r="AV156" s="431">
        <v>0.14699999999999999</v>
      </c>
      <c r="AW156" s="291">
        <v>7.0097891922321007E-2</v>
      </c>
      <c r="AY156" s="306">
        <f t="shared" si="24"/>
        <v>0.14699999999999999</v>
      </c>
      <c r="AZ156" s="306">
        <f t="shared" si="25"/>
        <v>0.14699999999999999</v>
      </c>
      <c r="BA156" s="309">
        <f t="shared" si="26"/>
        <v>0.14699999999999999</v>
      </c>
      <c r="BB156" s="308">
        <f t="shared" si="27"/>
        <v>41030</v>
      </c>
      <c r="BC156" s="306">
        <f t="shared" si="21"/>
        <v>0.44739110251481812</v>
      </c>
      <c r="BD156" s="306">
        <f t="shared" si="22"/>
        <v>0.44747550225684934</v>
      </c>
      <c r="BF156" s="308">
        <f t="shared" si="28"/>
        <v>41030</v>
      </c>
      <c r="BG156" s="291">
        <v>144</v>
      </c>
    </row>
    <row r="157" spans="2:59" x14ac:dyDescent="0.25">
      <c r="B157" s="296">
        <f t="shared" si="23"/>
        <v>41061</v>
      </c>
      <c r="C157" s="294">
        <v>3.141</v>
      </c>
      <c r="D157" s="294">
        <v>0.15</v>
      </c>
      <c r="E157" s="294">
        <v>7.0586058536917004E-2</v>
      </c>
      <c r="F157" s="294">
        <v>-0.19500000000000001</v>
      </c>
      <c r="G157" s="294">
        <v>0.02</v>
      </c>
      <c r="H157" s="294">
        <v>-0.19500000000000001</v>
      </c>
      <c r="I157" s="294">
        <v>0.17799999999999999</v>
      </c>
      <c r="J157" s="294">
        <v>0.1825</v>
      </c>
      <c r="K157" s="294">
        <v>0.20250000000000001</v>
      </c>
      <c r="L157" s="294">
        <v>-7.3999999999999996E-2</v>
      </c>
      <c r="M157" s="388">
        <v>-7.9999990000000007E-3</v>
      </c>
      <c r="N157" s="294">
        <v>0</v>
      </c>
      <c r="O157" s="294">
        <v>-0.28999999999999998</v>
      </c>
      <c r="P157" s="294">
        <v>6.4999999999999997E-3</v>
      </c>
      <c r="Q157" s="294">
        <v>1.2500000000000001E-2</v>
      </c>
      <c r="R157" s="291">
        <v>-1.35E-2</v>
      </c>
      <c r="S157" s="291">
        <v>-4.1000000000000002E-2</v>
      </c>
      <c r="T157" s="291">
        <v>-0.13500000000000001</v>
      </c>
      <c r="U157" s="291">
        <v>-4.2500000000000003E-3</v>
      </c>
      <c r="V157" s="291">
        <v>-7.6499999999999999E-2</v>
      </c>
      <c r="W157" s="291">
        <v>-0.12</v>
      </c>
      <c r="X157" s="291">
        <v>0.39500000000000002</v>
      </c>
      <c r="Y157" s="291">
        <v>5.0000000000000001E-3</v>
      </c>
      <c r="Z157" s="291">
        <v>-0.19</v>
      </c>
      <c r="AA157" s="291">
        <v>-1.4E-2</v>
      </c>
      <c r="AB157" s="306">
        <v>0.29499999999999998</v>
      </c>
      <c r="AC157" s="306">
        <v>0.28749999999999998</v>
      </c>
      <c r="AD157" s="306">
        <v>0.27300000000000002</v>
      </c>
      <c r="AE157" s="431">
        <v>0.15</v>
      </c>
      <c r="AF157" s="431">
        <v>0.15</v>
      </c>
      <c r="AG157" s="431">
        <v>0.14699999999999999</v>
      </c>
      <c r="AH157" s="431">
        <v>0.15</v>
      </c>
      <c r="AI157" s="431">
        <v>0.153</v>
      </c>
      <c r="AJ157" s="431">
        <v>0.15</v>
      </c>
      <c r="AK157" s="431">
        <v>0.14699999999999999</v>
      </c>
      <c r="AL157" s="431">
        <v>0.14699999999999999</v>
      </c>
      <c r="AM157" s="431">
        <v>0.15</v>
      </c>
      <c r="AN157" s="431">
        <v>0.15</v>
      </c>
      <c r="AO157" s="431">
        <v>0.15</v>
      </c>
      <c r="AP157" s="432">
        <v>0.15</v>
      </c>
      <c r="AQ157" s="432">
        <v>0.15</v>
      </c>
      <c r="AR157" s="432">
        <v>0.15</v>
      </c>
      <c r="AS157" s="432">
        <v>0.15</v>
      </c>
      <c r="AT157" s="431">
        <v>0.15</v>
      </c>
      <c r="AU157" s="431">
        <v>0.15</v>
      </c>
      <c r="AV157" s="431">
        <v>0.14699999999999999</v>
      </c>
      <c r="AW157" s="291">
        <v>7.0104845439021998E-2</v>
      </c>
      <c r="AY157" s="306">
        <f t="shared" si="24"/>
        <v>0.14699999999999999</v>
      </c>
      <c r="AZ157" s="306">
        <f t="shared" si="25"/>
        <v>0.14699999999999999</v>
      </c>
      <c r="BA157" s="309">
        <f t="shared" si="26"/>
        <v>0.14699999999999999</v>
      </c>
      <c r="BB157" s="308">
        <f t="shared" si="27"/>
        <v>41061</v>
      </c>
      <c r="BC157" s="306">
        <f t="shared" si="21"/>
        <v>0.44474745588699616</v>
      </c>
      <c r="BD157" s="306">
        <f t="shared" si="22"/>
        <v>0.44483136509035903</v>
      </c>
      <c r="BF157" s="308">
        <f t="shared" si="28"/>
        <v>41061</v>
      </c>
      <c r="BG157" s="291">
        <v>145</v>
      </c>
    </row>
    <row r="158" spans="2:59" x14ac:dyDescent="0.25">
      <c r="B158" s="296">
        <f t="shared" si="23"/>
        <v>41091</v>
      </c>
      <c r="C158" s="294">
        <v>3.1629999999999998</v>
      </c>
      <c r="D158" s="294">
        <v>0.15</v>
      </c>
      <c r="E158" s="294">
        <v>7.0587186939145993E-2</v>
      </c>
      <c r="F158" s="294">
        <v>-0.19500000000000001</v>
      </c>
      <c r="G158" s="294">
        <v>2.2499999999999999E-2</v>
      </c>
      <c r="H158" s="294">
        <v>-0.19500000000000001</v>
      </c>
      <c r="I158" s="294">
        <v>0.16800000000000001</v>
      </c>
      <c r="J158" s="294">
        <v>0.1825</v>
      </c>
      <c r="K158" s="294">
        <v>0.215</v>
      </c>
      <c r="L158" s="294">
        <v>-6.7000000000000004E-2</v>
      </c>
      <c r="M158" s="388">
        <v>-7.9999990000000007E-3</v>
      </c>
      <c r="N158" s="294">
        <v>0</v>
      </c>
      <c r="O158" s="294">
        <v>-0.28999999999999998</v>
      </c>
      <c r="P158" s="294">
        <v>6.4999999999999997E-3</v>
      </c>
      <c r="Q158" s="294">
        <v>1.2500000000000001E-2</v>
      </c>
      <c r="R158" s="291">
        <v>-1.35E-2</v>
      </c>
      <c r="S158" s="291">
        <v>-4.1000000000000002E-2</v>
      </c>
      <c r="T158" s="291">
        <v>-0.13500000000000001</v>
      </c>
      <c r="U158" s="291">
        <v>-4.2500000000000003E-3</v>
      </c>
      <c r="V158" s="291">
        <v>-7.1499999999999994E-2</v>
      </c>
      <c r="W158" s="291">
        <v>-0.12</v>
      </c>
      <c r="X158" s="291">
        <v>0.43</v>
      </c>
      <c r="Y158" s="291">
        <v>5.0000000000000001E-3</v>
      </c>
      <c r="Z158" s="291">
        <v>-0.19</v>
      </c>
      <c r="AA158" s="291">
        <v>-1.4E-2</v>
      </c>
      <c r="AB158" s="306">
        <v>0.29499999999999998</v>
      </c>
      <c r="AC158" s="306">
        <v>0.3</v>
      </c>
      <c r="AD158" s="306">
        <v>0.26300000000000001</v>
      </c>
      <c r="AE158" s="431">
        <v>0.15</v>
      </c>
      <c r="AF158" s="431">
        <v>0.15</v>
      </c>
      <c r="AG158" s="431">
        <v>0.14699999999999999</v>
      </c>
      <c r="AH158" s="431">
        <v>0.15</v>
      </c>
      <c r="AI158" s="431">
        <v>0.153</v>
      </c>
      <c r="AJ158" s="431">
        <v>0.15</v>
      </c>
      <c r="AK158" s="431">
        <v>0.14699999999999999</v>
      </c>
      <c r="AL158" s="431">
        <v>0.14699999999999999</v>
      </c>
      <c r="AM158" s="431">
        <v>0.15</v>
      </c>
      <c r="AN158" s="431">
        <v>0.15</v>
      </c>
      <c r="AO158" s="431">
        <v>0.15</v>
      </c>
      <c r="AP158" s="432">
        <v>0.15</v>
      </c>
      <c r="AQ158" s="432">
        <v>0.15</v>
      </c>
      <c r="AR158" s="432">
        <v>0.15</v>
      </c>
      <c r="AS158" s="432">
        <v>0.15</v>
      </c>
      <c r="AT158" s="431">
        <v>0.15</v>
      </c>
      <c r="AU158" s="431">
        <v>0.15</v>
      </c>
      <c r="AV158" s="431">
        <v>0.14699999999999999</v>
      </c>
      <c r="AW158" s="291">
        <v>7.0111574648747996E-2</v>
      </c>
      <c r="AY158" s="306">
        <f t="shared" si="24"/>
        <v>0.14699999999999999</v>
      </c>
      <c r="AZ158" s="306">
        <f t="shared" si="25"/>
        <v>0.14699999999999999</v>
      </c>
      <c r="BA158" s="309">
        <f t="shared" si="26"/>
        <v>0.14699999999999999</v>
      </c>
      <c r="BB158" s="308">
        <f t="shared" si="27"/>
        <v>41091</v>
      </c>
      <c r="BC158" s="306">
        <f t="shared" si="21"/>
        <v>0.44220348274208943</v>
      </c>
      <c r="BD158" s="306">
        <f t="shared" si="22"/>
        <v>0.4422869198540102</v>
      </c>
      <c r="BF158" s="308">
        <f t="shared" si="28"/>
        <v>41091</v>
      </c>
      <c r="BG158" s="291">
        <v>146</v>
      </c>
    </row>
    <row r="159" spans="2:59" x14ac:dyDescent="0.25">
      <c r="B159" s="296">
        <f t="shared" si="23"/>
        <v>41122</v>
      </c>
      <c r="C159" s="294">
        <v>3.1840000000000002</v>
      </c>
      <c r="D159" s="294">
        <v>0.15</v>
      </c>
      <c r="E159" s="294">
        <v>7.0588352954782996E-2</v>
      </c>
      <c r="F159" s="294">
        <v>-0.19500000000000001</v>
      </c>
      <c r="G159" s="294">
        <v>2.5000000000000001E-2</v>
      </c>
      <c r="H159" s="294">
        <v>-0.19500000000000001</v>
      </c>
      <c r="I159" s="294">
        <v>0.16500000000000001</v>
      </c>
      <c r="J159" s="294">
        <v>0.1825</v>
      </c>
      <c r="K159" s="294">
        <v>0.215</v>
      </c>
      <c r="L159" s="294">
        <v>-5.8000000000000003E-2</v>
      </c>
      <c r="M159" s="388">
        <v>-7.9999990000000007E-3</v>
      </c>
      <c r="N159" s="294">
        <v>0</v>
      </c>
      <c r="O159" s="294">
        <v>-0.28999999999999998</v>
      </c>
      <c r="P159" s="294">
        <v>6.4999999999999997E-3</v>
      </c>
      <c r="Q159" s="294">
        <v>1.2500000000000001E-2</v>
      </c>
      <c r="R159" s="291">
        <v>-1.35E-2</v>
      </c>
      <c r="S159" s="291">
        <v>-4.1000000000000002E-2</v>
      </c>
      <c r="T159" s="291">
        <v>-0.13500000000000001</v>
      </c>
      <c r="U159" s="291">
        <v>-4.2500000000000003E-3</v>
      </c>
      <c r="V159" s="291">
        <v>-7.1499999999999994E-2</v>
      </c>
      <c r="W159" s="291">
        <v>-0.12</v>
      </c>
      <c r="X159" s="291">
        <v>0.495</v>
      </c>
      <c r="Y159" s="291">
        <v>5.0000000000000001E-3</v>
      </c>
      <c r="Z159" s="291">
        <v>-0.19</v>
      </c>
      <c r="AA159" s="291">
        <v>-1.4E-2</v>
      </c>
      <c r="AB159" s="306">
        <v>0.29499999999999998</v>
      </c>
      <c r="AC159" s="306">
        <v>0.3</v>
      </c>
      <c r="AD159" s="306">
        <v>0.26</v>
      </c>
      <c r="AE159" s="431">
        <v>0.15</v>
      </c>
      <c r="AF159" s="431">
        <v>0.15</v>
      </c>
      <c r="AG159" s="431">
        <v>0.14699999999999999</v>
      </c>
      <c r="AH159" s="431">
        <v>0.15</v>
      </c>
      <c r="AI159" s="431">
        <v>0.153</v>
      </c>
      <c r="AJ159" s="431">
        <v>0.15</v>
      </c>
      <c r="AK159" s="431">
        <v>0.14699999999999999</v>
      </c>
      <c r="AL159" s="431">
        <v>0.14699999999999999</v>
      </c>
      <c r="AM159" s="431">
        <v>0.15</v>
      </c>
      <c r="AN159" s="431">
        <v>0.15</v>
      </c>
      <c r="AO159" s="431">
        <v>0.15</v>
      </c>
      <c r="AP159" s="432">
        <v>0.15</v>
      </c>
      <c r="AQ159" s="432">
        <v>0.15</v>
      </c>
      <c r="AR159" s="432">
        <v>0.15</v>
      </c>
      <c r="AS159" s="432">
        <v>0.15</v>
      </c>
      <c r="AT159" s="431">
        <v>0.15</v>
      </c>
      <c r="AU159" s="431">
        <v>0.15</v>
      </c>
      <c r="AV159" s="431">
        <v>0.14699999999999999</v>
      </c>
      <c r="AW159" s="291">
        <v>7.0118528165480004E-2</v>
      </c>
      <c r="AY159" s="306">
        <f t="shared" si="24"/>
        <v>0.14699999999999999</v>
      </c>
      <c r="AZ159" s="306">
        <f t="shared" si="25"/>
        <v>0.14699999999999999</v>
      </c>
      <c r="BA159" s="309">
        <f t="shared" si="26"/>
        <v>0.14699999999999999</v>
      </c>
      <c r="BB159" s="308">
        <f t="shared" si="27"/>
        <v>41122</v>
      </c>
      <c r="BC159" s="306">
        <f t="shared" si="21"/>
        <v>0.43958950372265626</v>
      </c>
      <c r="BD159" s="306">
        <f t="shared" si="22"/>
        <v>0.4396724557030981</v>
      </c>
      <c r="BF159" s="308">
        <f t="shared" si="28"/>
        <v>41122</v>
      </c>
      <c r="BG159" s="291">
        <v>147</v>
      </c>
    </row>
    <row r="160" spans="2:59" x14ac:dyDescent="0.25">
      <c r="B160" s="296">
        <f t="shared" si="23"/>
        <v>41153</v>
      </c>
      <c r="C160" s="294">
        <v>3.1579999999999999</v>
      </c>
      <c r="D160" s="294">
        <v>0.15</v>
      </c>
      <c r="E160" s="294">
        <v>7.0589518970419998E-2</v>
      </c>
      <c r="F160" s="294">
        <v>-0.19500000000000001</v>
      </c>
      <c r="G160" s="294">
        <v>1.7500000000000002E-2</v>
      </c>
      <c r="H160" s="294">
        <v>-0.19500000000000001</v>
      </c>
      <c r="I160" s="294">
        <v>0.16300000000000001</v>
      </c>
      <c r="J160" s="294">
        <v>0.1825</v>
      </c>
      <c r="K160" s="294">
        <v>0.19500000000000001</v>
      </c>
      <c r="L160" s="294">
        <v>-3.7999999999999999E-2</v>
      </c>
      <c r="M160" s="388">
        <v>-7.9999990000000007E-3</v>
      </c>
      <c r="N160" s="294">
        <v>0</v>
      </c>
      <c r="O160" s="294">
        <v>-0.28999999999999998</v>
      </c>
      <c r="P160" s="294">
        <v>6.4999999999999997E-3</v>
      </c>
      <c r="Q160" s="294">
        <v>1.2500000000000001E-2</v>
      </c>
      <c r="R160" s="291">
        <v>-1.35E-2</v>
      </c>
      <c r="S160" s="291">
        <v>-4.1000000000000002E-2</v>
      </c>
      <c r="T160" s="291">
        <v>-0.125</v>
      </c>
      <c r="U160" s="291">
        <v>-4.2500000000000003E-3</v>
      </c>
      <c r="V160" s="291">
        <v>-8.6499999999999994E-2</v>
      </c>
      <c r="W160" s="291">
        <v>-0.12</v>
      </c>
      <c r="X160" s="291">
        <v>0.39500000000000002</v>
      </c>
      <c r="Y160" s="291">
        <v>5.0000000000000001E-3</v>
      </c>
      <c r="Z160" s="291">
        <v>-0.19</v>
      </c>
      <c r="AA160" s="291">
        <v>-1.4E-2</v>
      </c>
      <c r="AB160" s="306">
        <v>0.29499999999999998</v>
      </c>
      <c r="AC160" s="306">
        <v>0.28999999999999998</v>
      </c>
      <c r="AD160" s="306">
        <v>0.25800000000000001</v>
      </c>
      <c r="AE160" s="431">
        <v>0.15</v>
      </c>
      <c r="AF160" s="431">
        <v>0.15</v>
      </c>
      <c r="AG160" s="431">
        <v>0.14699999999999999</v>
      </c>
      <c r="AH160" s="431">
        <v>0.15</v>
      </c>
      <c r="AI160" s="431">
        <v>0.153</v>
      </c>
      <c r="AJ160" s="431">
        <v>0.15</v>
      </c>
      <c r="AK160" s="431">
        <v>0.14699999999999999</v>
      </c>
      <c r="AL160" s="431">
        <v>0.14699999999999999</v>
      </c>
      <c r="AM160" s="431">
        <v>0.15</v>
      </c>
      <c r="AN160" s="431">
        <v>0.15</v>
      </c>
      <c r="AO160" s="431">
        <v>0.15</v>
      </c>
      <c r="AP160" s="432">
        <v>0.15</v>
      </c>
      <c r="AQ160" s="432">
        <v>0.15</v>
      </c>
      <c r="AR160" s="432">
        <v>0.15</v>
      </c>
      <c r="AS160" s="432">
        <v>0.15</v>
      </c>
      <c r="AT160" s="431">
        <v>0.15</v>
      </c>
      <c r="AU160" s="431">
        <v>0.15</v>
      </c>
      <c r="AV160" s="431">
        <v>0.14699999999999999</v>
      </c>
      <c r="AW160" s="291">
        <v>7.0125481682228E-2</v>
      </c>
      <c r="AY160" s="306">
        <f t="shared" si="24"/>
        <v>0.14699999999999999</v>
      </c>
      <c r="AZ160" s="306">
        <f t="shared" si="25"/>
        <v>0.14699999999999999</v>
      </c>
      <c r="BA160" s="309">
        <f t="shared" si="26"/>
        <v>0.14699999999999999</v>
      </c>
      <c r="BB160" s="308">
        <f t="shared" si="27"/>
        <v>41153</v>
      </c>
      <c r="BC160" s="306">
        <f t="shared" si="21"/>
        <v>0.43699047840064908</v>
      </c>
      <c r="BD160" s="306">
        <f t="shared" si="22"/>
        <v>0.43707294797549656</v>
      </c>
      <c r="BF160" s="308">
        <f t="shared" si="28"/>
        <v>41153</v>
      </c>
      <c r="BG160" s="291">
        <v>148</v>
      </c>
    </row>
    <row r="161" spans="2:59" x14ac:dyDescent="0.25">
      <c r="B161" s="296">
        <f t="shared" si="23"/>
        <v>41183</v>
      </c>
      <c r="C161" s="294">
        <v>3.1640000000000001</v>
      </c>
      <c r="D161" s="294">
        <v>0.15</v>
      </c>
      <c r="E161" s="294">
        <v>7.0590647372650001E-2</v>
      </c>
      <c r="F161" s="294">
        <v>-0.19500000000000001</v>
      </c>
      <c r="G161" s="294">
        <v>7.4999999999999997E-3</v>
      </c>
      <c r="H161" s="294">
        <v>-0.19500000000000001</v>
      </c>
      <c r="I161" s="294">
        <v>0.17799999999999999</v>
      </c>
      <c r="J161" s="294">
        <v>0.1875</v>
      </c>
      <c r="K161" s="294">
        <v>0.215</v>
      </c>
      <c r="L161" s="294">
        <v>-4.8000000000000001E-2</v>
      </c>
      <c r="M161" s="388">
        <v>-7.9999990000000007E-3</v>
      </c>
      <c r="N161" s="294">
        <v>0</v>
      </c>
      <c r="O161" s="294">
        <v>-0.28999999999999998</v>
      </c>
      <c r="P161" s="294">
        <v>6.4999999999999997E-3</v>
      </c>
      <c r="Q161" s="294">
        <v>1.2500000000000001E-2</v>
      </c>
      <c r="R161" s="291">
        <v>-1.35E-2</v>
      </c>
      <c r="S161" s="291">
        <v>-4.1000000000000002E-2</v>
      </c>
      <c r="T161" s="291">
        <v>-0.11</v>
      </c>
      <c r="U161" s="291">
        <v>-2.2499999999999999E-2</v>
      </c>
      <c r="V161" s="291">
        <v>-8.8999999999999996E-2</v>
      </c>
      <c r="W161" s="291">
        <v>-0.12</v>
      </c>
      <c r="X161" s="291">
        <v>0.46100000000000002</v>
      </c>
      <c r="Y161" s="291">
        <v>5.0000000000000001E-3</v>
      </c>
      <c r="Z161" s="291">
        <v>-0.19</v>
      </c>
      <c r="AA161" s="291">
        <v>-1.4E-2</v>
      </c>
      <c r="AB161" s="306">
        <v>0.29499999999999998</v>
      </c>
      <c r="AC161" s="306">
        <v>0.36249999999999999</v>
      </c>
      <c r="AD161" s="306">
        <v>0.27300000000000002</v>
      </c>
      <c r="AE161" s="431">
        <v>0.15</v>
      </c>
      <c r="AF161" s="431">
        <v>0.15</v>
      </c>
      <c r="AG161" s="431">
        <v>0.14699999999999999</v>
      </c>
      <c r="AH161" s="431">
        <v>0.15</v>
      </c>
      <c r="AI161" s="431">
        <v>0.153</v>
      </c>
      <c r="AJ161" s="431">
        <v>0.15</v>
      </c>
      <c r="AK161" s="431">
        <v>0.14699999999999999</v>
      </c>
      <c r="AL161" s="431">
        <v>0.14699999999999999</v>
      </c>
      <c r="AM161" s="431">
        <v>0.15</v>
      </c>
      <c r="AN161" s="431">
        <v>0.15</v>
      </c>
      <c r="AO161" s="431">
        <v>0.15</v>
      </c>
      <c r="AP161" s="432">
        <v>0.15</v>
      </c>
      <c r="AQ161" s="432">
        <v>0.15</v>
      </c>
      <c r="AR161" s="432">
        <v>0.15</v>
      </c>
      <c r="AS161" s="432">
        <v>0.15</v>
      </c>
      <c r="AT161" s="431">
        <v>0.15</v>
      </c>
      <c r="AU161" s="431">
        <v>0.15</v>
      </c>
      <c r="AV161" s="431">
        <v>0.14699999999999999</v>
      </c>
      <c r="AW161" s="291">
        <v>7.0132210892000002E-2</v>
      </c>
      <c r="AY161" s="306">
        <f t="shared" si="24"/>
        <v>0.14699999999999999</v>
      </c>
      <c r="AZ161" s="306">
        <f t="shared" si="25"/>
        <v>0.14699999999999999</v>
      </c>
      <c r="BA161" s="309">
        <f t="shared" si="26"/>
        <v>0.14699999999999999</v>
      </c>
      <c r="BB161" s="308">
        <f t="shared" si="27"/>
        <v>41183</v>
      </c>
      <c r="BC161" s="306">
        <f t="shared" si="21"/>
        <v>0.43448945280631673</v>
      </c>
      <c r="BD161" s="306">
        <f t="shared" si="22"/>
        <v>0.43457145811855685</v>
      </c>
      <c r="BF161" s="308">
        <f t="shared" si="28"/>
        <v>41183</v>
      </c>
      <c r="BG161" s="291">
        <v>149</v>
      </c>
    </row>
    <row r="162" spans="2:59" x14ac:dyDescent="0.25">
      <c r="B162" s="296">
        <f t="shared" si="23"/>
        <v>41214</v>
      </c>
      <c r="C162" s="294">
        <v>3.2109999999999999</v>
      </c>
      <c r="D162" s="294">
        <v>0.15</v>
      </c>
      <c r="E162" s="294">
        <v>7.0591813388288002E-2</v>
      </c>
      <c r="F162" s="294">
        <v>-0.19</v>
      </c>
      <c r="G162" s="294">
        <v>-3.2500000000000001E-2</v>
      </c>
      <c r="H162" s="294">
        <v>-0.19</v>
      </c>
      <c r="I162" s="294">
        <v>0.24</v>
      </c>
      <c r="J162" s="294">
        <v>0.27</v>
      </c>
      <c r="K162" s="294">
        <v>0.28749999999999998</v>
      </c>
      <c r="L162" s="294">
        <v>-6.3E-2</v>
      </c>
      <c r="M162" s="388">
        <v>-5.0000000000000001E-4</v>
      </c>
      <c r="N162" s="294">
        <v>0</v>
      </c>
      <c r="O162" s="294">
        <v>0</v>
      </c>
      <c r="P162" s="294">
        <v>1.6E-2</v>
      </c>
      <c r="Q162" s="294">
        <v>4.4999999999999997E-3</v>
      </c>
      <c r="R162" s="291">
        <v>-1.6500000000000001E-2</v>
      </c>
      <c r="S162" s="291">
        <v>-4.0500000000000001E-2</v>
      </c>
      <c r="T162" s="291">
        <v>-7.2499999999999995E-2</v>
      </c>
      <c r="U162" s="291">
        <v>-2.1499999999999998E-2</v>
      </c>
      <c r="V162" s="291">
        <v>-8.6499999999999994E-2</v>
      </c>
      <c r="W162" s="291">
        <v>-0.13250000000000001</v>
      </c>
      <c r="X162" s="291">
        <v>0.76749999999999996</v>
      </c>
      <c r="Y162" s="291">
        <v>5.0000000000000001E-3</v>
      </c>
      <c r="Z162" s="291">
        <v>-0.19</v>
      </c>
      <c r="AA162" s="291">
        <v>-1.55E-2</v>
      </c>
      <c r="AB162" s="306">
        <v>0.12</v>
      </c>
      <c r="AC162" s="306">
        <v>0.46500000000000002</v>
      </c>
      <c r="AD162" s="306">
        <v>0.33500000000000002</v>
      </c>
      <c r="AE162" s="431">
        <v>0.15</v>
      </c>
      <c r="AF162" s="431">
        <v>0.15</v>
      </c>
      <c r="AG162" s="431">
        <v>0.16500000000000001</v>
      </c>
      <c r="AH162" s="431">
        <v>0.15</v>
      </c>
      <c r="AI162" s="431">
        <v>0.153</v>
      </c>
      <c r="AJ162" s="431">
        <v>0.15</v>
      </c>
      <c r="AK162" s="431">
        <v>0.15</v>
      </c>
      <c r="AL162" s="431">
        <v>0.15</v>
      </c>
      <c r="AM162" s="431">
        <v>0.15</v>
      </c>
      <c r="AN162" s="431">
        <v>0.15</v>
      </c>
      <c r="AO162" s="431">
        <v>0.15</v>
      </c>
      <c r="AP162" s="432">
        <v>0.15</v>
      </c>
      <c r="AQ162" s="432">
        <v>0.15</v>
      </c>
      <c r="AR162" s="432">
        <v>0.15</v>
      </c>
      <c r="AS162" s="432">
        <v>0.15</v>
      </c>
      <c r="AT162" s="431">
        <v>0.15</v>
      </c>
      <c r="AU162" s="431">
        <v>0.15</v>
      </c>
      <c r="AV162" s="431">
        <v>0.16500000000000001</v>
      </c>
      <c r="AW162" s="291">
        <v>7.013916440878E-2</v>
      </c>
      <c r="AY162" s="306">
        <f t="shared" si="24"/>
        <v>0.16500000000000001</v>
      </c>
      <c r="AZ162" s="306">
        <f t="shared" si="25"/>
        <v>0.16500000000000001</v>
      </c>
      <c r="BA162" s="309">
        <f t="shared" si="26"/>
        <v>0.16500000000000001</v>
      </c>
      <c r="BB162" s="308">
        <f t="shared" si="27"/>
        <v>41214</v>
      </c>
      <c r="BC162" s="306">
        <f t="shared" si="21"/>
        <v>0.43191961202114676</v>
      </c>
      <c r="BD162" s="306">
        <f t="shared" si="22"/>
        <v>0.43200114024864694</v>
      </c>
      <c r="BF162" s="308">
        <f t="shared" si="28"/>
        <v>41214</v>
      </c>
      <c r="BG162" s="291">
        <v>150</v>
      </c>
    </row>
    <row r="163" spans="2:59" x14ac:dyDescent="0.25">
      <c r="B163" s="296">
        <f t="shared" si="23"/>
        <v>41244</v>
      </c>
      <c r="C163" s="294">
        <v>3.27</v>
      </c>
      <c r="D163" s="294">
        <v>0.15</v>
      </c>
      <c r="E163" s="294">
        <v>7.0592941790519004E-2</v>
      </c>
      <c r="F163" s="294">
        <v>-0.19750000000000001</v>
      </c>
      <c r="G163" s="294">
        <v>-5.5E-2</v>
      </c>
      <c r="H163" s="294">
        <v>-0.19750000000000001</v>
      </c>
      <c r="I163" s="294">
        <v>0.28000000000000003</v>
      </c>
      <c r="J163" s="294">
        <v>0.30499999999999999</v>
      </c>
      <c r="K163" s="294">
        <v>0.33750000000000002</v>
      </c>
      <c r="L163" s="294">
        <v>-6.3E-2</v>
      </c>
      <c r="M163" s="294">
        <v>-5.0000000000000001E-4</v>
      </c>
      <c r="N163" s="294">
        <v>0</v>
      </c>
      <c r="O163" s="294">
        <v>0.06</v>
      </c>
      <c r="P163" s="294">
        <v>1.6E-2</v>
      </c>
      <c r="Q163" s="294">
        <v>4.4999999999999997E-3</v>
      </c>
      <c r="R163" s="291">
        <v>-1.6500000000000001E-2</v>
      </c>
      <c r="S163" s="291">
        <v>-4.0500000000000001E-2</v>
      </c>
      <c r="T163" s="291">
        <v>-6.5000000000000002E-2</v>
      </c>
      <c r="U163" s="291">
        <v>-2.1499999999999998E-2</v>
      </c>
      <c r="V163" s="291">
        <v>-0.1215</v>
      </c>
      <c r="W163" s="291">
        <v>-0.1275</v>
      </c>
      <c r="X163" s="291">
        <v>1.19</v>
      </c>
      <c r="Y163" s="291">
        <v>5.0000000000000001E-3</v>
      </c>
      <c r="Z163" s="291">
        <v>-0.19</v>
      </c>
      <c r="AA163" s="291">
        <v>-1.55E-2</v>
      </c>
      <c r="AB163" s="306">
        <v>0.12</v>
      </c>
      <c r="AC163" s="306">
        <v>0.8</v>
      </c>
      <c r="AD163" s="306">
        <v>0.375</v>
      </c>
      <c r="AE163" s="431">
        <v>0.15</v>
      </c>
      <c r="AF163" s="431">
        <v>0.15</v>
      </c>
      <c r="AG163" s="431">
        <v>0.16500000000000001</v>
      </c>
      <c r="AH163" s="431">
        <v>0.15</v>
      </c>
      <c r="AI163" s="431">
        <v>0.153</v>
      </c>
      <c r="AJ163" s="431">
        <v>0.15</v>
      </c>
      <c r="AK163" s="431">
        <v>0.15</v>
      </c>
      <c r="AL163" s="431">
        <v>0.15</v>
      </c>
      <c r="AM163" s="431">
        <v>0.15</v>
      </c>
      <c r="AN163" s="431">
        <v>0.15</v>
      </c>
      <c r="AO163" s="431">
        <v>0.15</v>
      </c>
      <c r="AP163" s="432">
        <v>0.15</v>
      </c>
      <c r="AQ163" s="432">
        <v>0.15</v>
      </c>
      <c r="AR163" s="432">
        <v>0.15</v>
      </c>
      <c r="AS163" s="432">
        <v>0.15</v>
      </c>
      <c r="AT163" s="431">
        <v>0.15</v>
      </c>
      <c r="AU163" s="431">
        <v>0.15</v>
      </c>
      <c r="AV163" s="431">
        <v>0.16500000000000001</v>
      </c>
      <c r="AW163" s="291">
        <v>7.0145893618583005E-2</v>
      </c>
      <c r="AY163" s="306">
        <f t="shared" si="24"/>
        <v>0.16500000000000001</v>
      </c>
      <c r="AZ163" s="306">
        <f t="shared" si="25"/>
        <v>0.16500000000000001</v>
      </c>
      <c r="BA163" s="309">
        <f t="shared" si="26"/>
        <v>0.16500000000000001</v>
      </c>
      <c r="BB163" s="308">
        <f t="shared" si="27"/>
        <v>41244</v>
      </c>
      <c r="BC163" s="306">
        <f t="shared" si="21"/>
        <v>0.42944667616156396</v>
      </c>
      <c r="BD163" s="306">
        <f t="shared" si="22"/>
        <v>0.42952774524825488</v>
      </c>
      <c r="BF163" s="308">
        <f t="shared" si="28"/>
        <v>41244</v>
      </c>
      <c r="BG163" s="291">
        <v>151</v>
      </c>
    </row>
    <row r="164" spans="2:59" x14ac:dyDescent="0.25">
      <c r="B164" s="296">
        <f t="shared" si="23"/>
        <v>41275</v>
      </c>
      <c r="C164" s="294">
        <v>3.5819999999999999</v>
      </c>
      <c r="D164" s="294">
        <v>0.15</v>
      </c>
      <c r="E164" s="294">
        <v>7.0594107806159004E-2</v>
      </c>
      <c r="F164" s="294">
        <v>-0.2</v>
      </c>
      <c r="G164" s="294">
        <v>-5.7500000000000002E-2</v>
      </c>
      <c r="H164" s="294">
        <v>-0.2</v>
      </c>
      <c r="I164" s="294">
        <v>0.28999999999999998</v>
      </c>
      <c r="J164" s="294">
        <v>0.30499999999999999</v>
      </c>
      <c r="K164" s="294">
        <v>0.4375</v>
      </c>
      <c r="L164" s="294">
        <v>-6.3E-2</v>
      </c>
      <c r="M164" s="294">
        <v>1.5E-3</v>
      </c>
      <c r="N164" s="294">
        <v>0</v>
      </c>
      <c r="O164" s="294">
        <v>0.13</v>
      </c>
      <c r="P164" s="294">
        <v>1.6E-2</v>
      </c>
      <c r="Q164" s="294">
        <v>4.4999999999999997E-3</v>
      </c>
      <c r="R164" s="291">
        <v>-1.2E-2</v>
      </c>
      <c r="S164" s="291">
        <v>-4.0500000000000001E-2</v>
      </c>
      <c r="T164" s="291">
        <v>-0.05</v>
      </c>
      <c r="U164" s="291">
        <v>-2.1499999999999998E-2</v>
      </c>
      <c r="V164" s="291">
        <v>-0.127</v>
      </c>
      <c r="W164" s="291">
        <v>-0.1275</v>
      </c>
      <c r="X164" s="291">
        <v>1.5249999999999999</v>
      </c>
      <c r="Y164" s="291">
        <v>5.0000000000000001E-3</v>
      </c>
      <c r="Z164" s="291">
        <v>-0.19</v>
      </c>
      <c r="AA164" s="291">
        <v>-1.55E-2</v>
      </c>
      <c r="AB164" s="306">
        <v>0.12</v>
      </c>
      <c r="AC164" s="306">
        <v>0.97499999999999998</v>
      </c>
      <c r="AD164" s="306">
        <v>0.38500000000000001</v>
      </c>
      <c r="AE164" s="431">
        <v>0.15</v>
      </c>
      <c r="AF164" s="431">
        <v>0.15</v>
      </c>
      <c r="AG164" s="431">
        <v>0.16500000000000001</v>
      </c>
      <c r="AH164" s="431">
        <v>0.15</v>
      </c>
      <c r="AI164" s="431">
        <v>0.153</v>
      </c>
      <c r="AJ164" s="431">
        <v>0.15</v>
      </c>
      <c r="AK164" s="431">
        <v>0.15</v>
      </c>
      <c r="AL164" s="431">
        <v>0.15</v>
      </c>
      <c r="AM164" s="431">
        <v>0.15</v>
      </c>
      <c r="AN164" s="431">
        <v>0.15</v>
      </c>
      <c r="AO164" s="431">
        <v>0.15</v>
      </c>
      <c r="AP164" s="432">
        <v>0.15</v>
      </c>
      <c r="AQ164" s="432">
        <v>0.15</v>
      </c>
      <c r="AR164" s="432">
        <v>0.15</v>
      </c>
      <c r="AS164" s="432">
        <v>0.15</v>
      </c>
      <c r="AT164" s="431">
        <v>0.15</v>
      </c>
      <c r="AU164" s="431">
        <v>0.15</v>
      </c>
      <c r="AV164" s="431">
        <v>0.16500000000000001</v>
      </c>
      <c r="AW164" s="291">
        <v>7.0152847135394006E-2</v>
      </c>
      <c r="AY164" s="306">
        <f t="shared" si="24"/>
        <v>0.16500000000000001</v>
      </c>
      <c r="AZ164" s="306">
        <f t="shared" si="25"/>
        <v>0.16500000000000001</v>
      </c>
      <c r="BA164" s="309">
        <f t="shared" si="26"/>
        <v>0.16500000000000001</v>
      </c>
      <c r="BB164" s="308">
        <f t="shared" si="27"/>
        <v>41275</v>
      </c>
      <c r="BC164" s="306">
        <f t="shared" si="21"/>
        <v>0.42690570378889797</v>
      </c>
      <c r="BD164" s="306">
        <f t="shared" si="22"/>
        <v>0.42698630105518953</v>
      </c>
      <c r="BF164" s="308">
        <f t="shared" si="28"/>
        <v>41275</v>
      </c>
      <c r="BG164" s="291">
        <v>152</v>
      </c>
    </row>
    <row r="165" spans="2:59" x14ac:dyDescent="0.25">
      <c r="B165" s="296">
        <f t="shared" si="23"/>
        <v>41306</v>
      </c>
      <c r="C165" s="294">
        <v>3.48</v>
      </c>
      <c r="D165" s="294">
        <v>0.15</v>
      </c>
      <c r="E165" s="294">
        <v>7.0595273821798005E-2</v>
      </c>
      <c r="F165" s="294">
        <v>-0.20250000000000001</v>
      </c>
      <c r="G165" s="294">
        <v>-0.04</v>
      </c>
      <c r="H165" s="294">
        <v>-0.20250000000000001</v>
      </c>
      <c r="I165" s="294">
        <v>0.26500000000000001</v>
      </c>
      <c r="J165" s="294">
        <v>0.30499999999999999</v>
      </c>
      <c r="K165" s="294">
        <v>0.435</v>
      </c>
      <c r="L165" s="294">
        <v>-6.3E-2</v>
      </c>
      <c r="M165" s="294">
        <v>1.5E-3</v>
      </c>
      <c r="N165" s="294">
        <v>0</v>
      </c>
      <c r="O165" s="294">
        <v>0</v>
      </c>
      <c r="P165" s="294">
        <v>1.6E-2</v>
      </c>
      <c r="Q165" s="294">
        <v>4.4999999999999997E-3</v>
      </c>
      <c r="R165" s="291">
        <v>-1.2E-2</v>
      </c>
      <c r="S165" s="291">
        <v>-4.0500000000000001E-2</v>
      </c>
      <c r="T165" s="291">
        <v>-0.05</v>
      </c>
      <c r="U165" s="291">
        <v>-2.1499999999999998E-2</v>
      </c>
      <c r="V165" s="291">
        <v>-0.1095</v>
      </c>
      <c r="W165" s="291">
        <v>-0.1275</v>
      </c>
      <c r="X165" s="291">
        <v>1.4550000000000001</v>
      </c>
      <c r="Y165" s="291">
        <v>5.0000000000000001E-3</v>
      </c>
      <c r="Z165" s="291">
        <v>-0.19</v>
      </c>
      <c r="AA165" s="291">
        <v>-1.55E-2</v>
      </c>
      <c r="AB165" s="306">
        <v>0.12</v>
      </c>
      <c r="AC165" s="306">
        <v>0.97499999999999998</v>
      </c>
      <c r="AD165" s="306">
        <v>0.36</v>
      </c>
      <c r="AE165" s="431">
        <v>0.15</v>
      </c>
      <c r="AF165" s="431">
        <v>0.15</v>
      </c>
      <c r="AG165" s="431">
        <v>0.16500000000000001</v>
      </c>
      <c r="AH165" s="431">
        <v>0.15</v>
      </c>
      <c r="AI165" s="431">
        <v>0.153</v>
      </c>
      <c r="AJ165" s="431">
        <v>0.15</v>
      </c>
      <c r="AK165" s="431">
        <v>0.15</v>
      </c>
      <c r="AL165" s="431">
        <v>0.15</v>
      </c>
      <c r="AM165" s="431">
        <v>0.15</v>
      </c>
      <c r="AN165" s="431">
        <v>0.15</v>
      </c>
      <c r="AO165" s="431">
        <v>0.15</v>
      </c>
      <c r="AP165" s="432">
        <v>0.15</v>
      </c>
      <c r="AQ165" s="432">
        <v>0.15</v>
      </c>
      <c r="AR165" s="432">
        <v>0.15</v>
      </c>
      <c r="AS165" s="432">
        <v>0.15</v>
      </c>
      <c r="AT165" s="431">
        <v>0.15</v>
      </c>
      <c r="AU165" s="431">
        <v>0.15</v>
      </c>
      <c r="AV165" s="431">
        <v>0.16500000000000001</v>
      </c>
      <c r="AW165" s="291">
        <v>7.0159800652220994E-2</v>
      </c>
      <c r="AY165" s="306">
        <f t="shared" si="24"/>
        <v>0.16500000000000001</v>
      </c>
      <c r="AZ165" s="306">
        <f t="shared" si="25"/>
        <v>0.16500000000000001</v>
      </c>
      <c r="BA165" s="309">
        <f t="shared" si="26"/>
        <v>0.16500000000000001</v>
      </c>
      <c r="BB165" s="308">
        <f t="shared" si="27"/>
        <v>41306</v>
      </c>
      <c r="BC165" s="306">
        <f t="shared" si="21"/>
        <v>0.42437928215547266</v>
      </c>
      <c r="BD165" s="306">
        <f t="shared" si="22"/>
        <v>0.42445941025521222</v>
      </c>
      <c r="BF165" s="308">
        <f t="shared" si="28"/>
        <v>41306</v>
      </c>
      <c r="BG165" s="291">
        <v>153</v>
      </c>
    </row>
    <row r="166" spans="2:59" x14ac:dyDescent="0.25">
      <c r="B166" s="296">
        <f t="shared" si="23"/>
        <v>41334</v>
      </c>
      <c r="C166" s="294">
        <v>3.34</v>
      </c>
      <c r="D166" s="294">
        <v>0.15</v>
      </c>
      <c r="E166" s="294">
        <v>7.0596326997215006E-2</v>
      </c>
      <c r="F166" s="294">
        <v>-0.20499999999999999</v>
      </c>
      <c r="G166" s="294">
        <v>-2.75E-2</v>
      </c>
      <c r="H166" s="294">
        <v>-0.20499999999999999</v>
      </c>
      <c r="I166" s="294">
        <v>0.26300000000000001</v>
      </c>
      <c r="J166" s="294">
        <v>0.26500000000000001</v>
      </c>
      <c r="K166" s="294">
        <v>0.30249999999999999</v>
      </c>
      <c r="L166" s="294">
        <v>-6.3E-2</v>
      </c>
      <c r="M166" s="294">
        <v>1.5E-3</v>
      </c>
      <c r="N166" s="294">
        <v>0</v>
      </c>
      <c r="O166" s="294">
        <v>-0.18</v>
      </c>
      <c r="P166" s="294">
        <v>1.6E-2</v>
      </c>
      <c r="Q166" s="294">
        <v>4.4999999999999997E-3</v>
      </c>
      <c r="R166" s="291">
        <v>-1.2E-2</v>
      </c>
      <c r="S166" s="291">
        <v>-4.0500000000000001E-2</v>
      </c>
      <c r="T166" s="291">
        <v>-0.05</v>
      </c>
      <c r="U166" s="291">
        <v>-3.0000000000000001E-3</v>
      </c>
      <c r="V166" s="291">
        <v>-9.1999999999999998E-2</v>
      </c>
      <c r="W166" s="291">
        <v>-0.13250000000000001</v>
      </c>
      <c r="X166" s="291">
        <v>0.83499999999999996</v>
      </c>
      <c r="Y166" s="291">
        <v>5.0000000000000001E-3</v>
      </c>
      <c r="Z166" s="291">
        <v>-0.19</v>
      </c>
      <c r="AA166" s="291">
        <v>-1.55E-2</v>
      </c>
      <c r="AB166" s="306">
        <v>0.12</v>
      </c>
      <c r="AC166" s="306">
        <v>0.60750000000000004</v>
      </c>
      <c r="AD166" s="306">
        <v>0.35799999999999998</v>
      </c>
      <c r="AE166" s="431">
        <v>0.15</v>
      </c>
      <c r="AF166" s="431">
        <v>0.15</v>
      </c>
      <c r="AG166" s="431">
        <v>0.16500000000000001</v>
      </c>
      <c r="AH166" s="431">
        <v>0.15</v>
      </c>
      <c r="AI166" s="431">
        <v>0.153</v>
      </c>
      <c r="AJ166" s="431">
        <v>0.15</v>
      </c>
      <c r="AK166" s="431">
        <v>0.15</v>
      </c>
      <c r="AL166" s="431">
        <v>0.15</v>
      </c>
      <c r="AM166" s="431">
        <v>0.15</v>
      </c>
      <c r="AN166" s="431">
        <v>0.15</v>
      </c>
      <c r="AO166" s="431">
        <v>0.15</v>
      </c>
      <c r="AP166" s="432">
        <v>0.15</v>
      </c>
      <c r="AQ166" s="432">
        <v>0.15</v>
      </c>
      <c r="AR166" s="432">
        <v>0.15</v>
      </c>
      <c r="AS166" s="432">
        <v>0.15</v>
      </c>
      <c r="AT166" s="431">
        <v>0.15</v>
      </c>
      <c r="AU166" s="431">
        <v>0.15</v>
      </c>
      <c r="AV166" s="431">
        <v>0.16500000000000001</v>
      </c>
      <c r="AW166" s="291">
        <v>7.0166081248079007E-2</v>
      </c>
      <c r="AY166" s="306">
        <f t="shared" si="24"/>
        <v>0.16500000000000001</v>
      </c>
      <c r="AZ166" s="306">
        <f t="shared" si="25"/>
        <v>0.16500000000000001</v>
      </c>
      <c r="BA166" s="309">
        <f t="shared" si="26"/>
        <v>0.16500000000000001</v>
      </c>
      <c r="BB166" s="308">
        <f t="shared" si="27"/>
        <v>41334</v>
      </c>
      <c r="BC166" s="306">
        <f t="shared" si="21"/>
        <v>0.42210979275305244</v>
      </c>
      <c r="BD166" s="306">
        <f t="shared" si="22"/>
        <v>0.42218949935853706</v>
      </c>
      <c r="BF166" s="308">
        <f t="shared" si="28"/>
        <v>41334</v>
      </c>
      <c r="BG166" s="291">
        <v>154</v>
      </c>
    </row>
    <row r="167" spans="2:59" x14ac:dyDescent="0.25">
      <c r="B167" s="296">
        <f t="shared" si="23"/>
        <v>41365</v>
      </c>
      <c r="C167" s="294">
        <v>3.1920000000000002</v>
      </c>
      <c r="D167" s="294">
        <v>0.15</v>
      </c>
      <c r="E167" s="294">
        <v>7.0597493012855006E-2</v>
      </c>
      <c r="F167" s="294">
        <v>-0.19500000000000001</v>
      </c>
      <c r="G167" s="294">
        <v>1.4999999999999999E-2</v>
      </c>
      <c r="H167" s="294">
        <v>-0.19500000000000001</v>
      </c>
      <c r="I167" s="294">
        <v>0.16800000000000001</v>
      </c>
      <c r="J167" s="294">
        <v>0.19500000000000001</v>
      </c>
      <c r="K167" s="294">
        <v>0.25</v>
      </c>
      <c r="L167" s="294">
        <v>-5.6000000000000001E-2</v>
      </c>
      <c r="M167" s="294">
        <v>-5.9999989999999998E-3</v>
      </c>
      <c r="N167" s="294">
        <v>0</v>
      </c>
      <c r="O167" s="294">
        <v>-0.28999999999999998</v>
      </c>
      <c r="P167" s="294">
        <v>6.4999999999999997E-3</v>
      </c>
      <c r="Q167" s="294">
        <v>1.4500000000000001E-2</v>
      </c>
      <c r="R167" s="291">
        <v>-1.15E-2</v>
      </c>
      <c r="S167" s="291">
        <v>-3.7999999999999999E-2</v>
      </c>
      <c r="T167" s="291">
        <v>-9.5000000000000001E-2</v>
      </c>
      <c r="U167" s="291">
        <v>-3.0000000000000001E-3</v>
      </c>
      <c r="V167" s="291">
        <v>-8.4500000000000006E-2</v>
      </c>
      <c r="W167" s="291">
        <v>-0.12</v>
      </c>
      <c r="X167" s="291">
        <v>0.45</v>
      </c>
      <c r="Y167" s="291">
        <v>5.0000000000000001E-3</v>
      </c>
      <c r="Z167" s="291">
        <v>-0.19</v>
      </c>
      <c r="AA167" s="291">
        <v>-1.2999999999999999E-2</v>
      </c>
      <c r="AB167" s="306">
        <v>0.29499999999999998</v>
      </c>
      <c r="AC167" s="306">
        <v>0.35499999999999998</v>
      </c>
      <c r="AD167" s="306">
        <v>0.26300000000000001</v>
      </c>
      <c r="AE167" s="431">
        <v>0.15</v>
      </c>
      <c r="AF167" s="431">
        <v>0.15</v>
      </c>
      <c r="AG167" s="431">
        <v>0.14699999999999999</v>
      </c>
      <c r="AH167" s="431">
        <v>0.15</v>
      </c>
      <c r="AI167" s="431">
        <v>0.153</v>
      </c>
      <c r="AJ167" s="431">
        <v>0.15</v>
      </c>
      <c r="AK167" s="431">
        <v>0.14699999999999999</v>
      </c>
      <c r="AL167" s="431">
        <v>0.14699999999999999</v>
      </c>
      <c r="AM167" s="431">
        <v>0.15</v>
      </c>
      <c r="AN167" s="431">
        <v>0.15</v>
      </c>
      <c r="AO167" s="431">
        <v>0.15</v>
      </c>
      <c r="AP167" s="432">
        <v>0.15</v>
      </c>
      <c r="AQ167" s="432">
        <v>0.15</v>
      </c>
      <c r="AR167" s="432">
        <v>0.15</v>
      </c>
      <c r="AS167" s="432">
        <v>0.15</v>
      </c>
      <c r="AT167" s="431">
        <v>0.15</v>
      </c>
      <c r="AU167" s="431">
        <v>0.15</v>
      </c>
      <c r="AV167" s="431">
        <v>0.14699999999999999</v>
      </c>
      <c r="AW167" s="291">
        <v>7.0173034764936998E-2</v>
      </c>
      <c r="AY167" s="306">
        <f t="shared" si="24"/>
        <v>0.14699999999999999</v>
      </c>
      <c r="AZ167" s="306">
        <f t="shared" si="25"/>
        <v>0.14699999999999999</v>
      </c>
      <c r="BA167" s="309">
        <f t="shared" si="26"/>
        <v>0.14699999999999999</v>
      </c>
      <c r="BB167" s="308">
        <f t="shared" si="27"/>
        <v>41365</v>
      </c>
      <c r="BC167" s="306">
        <f t="shared" si="21"/>
        <v>0.41961084278807231</v>
      </c>
      <c r="BD167" s="306">
        <f t="shared" si="22"/>
        <v>0.41969008523823131</v>
      </c>
      <c r="BF167" s="308">
        <f t="shared" si="28"/>
        <v>41365</v>
      </c>
      <c r="BG167" s="291">
        <v>155</v>
      </c>
    </row>
    <row r="168" spans="2:59" x14ac:dyDescent="0.25">
      <c r="B168" s="296">
        <f t="shared" si="23"/>
        <v>41395</v>
      </c>
      <c r="C168" s="294">
        <v>3.19</v>
      </c>
      <c r="D168" s="294">
        <v>0.15</v>
      </c>
      <c r="E168" s="294">
        <v>7.0598621415089005E-2</v>
      </c>
      <c r="F168" s="294">
        <v>-0.19500000000000001</v>
      </c>
      <c r="G168" s="294">
        <v>1.4999999999999999E-2</v>
      </c>
      <c r="H168" s="294">
        <v>-0.19500000000000001</v>
      </c>
      <c r="I168" s="294">
        <v>0.17799999999999999</v>
      </c>
      <c r="J168" s="294">
        <v>0.1825</v>
      </c>
      <c r="K168" s="294">
        <v>0.20250000000000001</v>
      </c>
      <c r="L168" s="294">
        <v>-5.6000000000000001E-2</v>
      </c>
      <c r="M168" s="388">
        <v>-5.9999989999999998E-3</v>
      </c>
      <c r="N168" s="294">
        <v>0</v>
      </c>
      <c r="O168" s="294">
        <v>-0.28999999999999998</v>
      </c>
      <c r="P168" s="294">
        <v>6.4999999999999997E-3</v>
      </c>
      <c r="Q168" s="294">
        <v>1.4500000000000001E-2</v>
      </c>
      <c r="R168" s="291">
        <v>-1.15E-2</v>
      </c>
      <c r="S168" s="291">
        <v>-3.7999999999999999E-2</v>
      </c>
      <c r="T168" s="291">
        <v>-0.11</v>
      </c>
      <c r="U168" s="291">
        <v>-3.2499999999999999E-3</v>
      </c>
      <c r="V168" s="291">
        <v>-8.4500000000000006E-2</v>
      </c>
      <c r="W168" s="291">
        <v>-0.12</v>
      </c>
      <c r="X168" s="291">
        <v>0.40500000000000003</v>
      </c>
      <c r="Y168" s="291">
        <v>5.0000000000000001E-3</v>
      </c>
      <c r="Z168" s="291">
        <v>-0.19</v>
      </c>
      <c r="AA168" s="291">
        <v>-1.2999999999999999E-2</v>
      </c>
      <c r="AB168" s="306">
        <v>0.29499999999999998</v>
      </c>
      <c r="AC168" s="306">
        <v>0.28749999999999998</v>
      </c>
      <c r="AD168" s="306">
        <v>0.27300000000000002</v>
      </c>
      <c r="AE168" s="431">
        <v>0.15</v>
      </c>
      <c r="AF168" s="431">
        <v>0.15</v>
      </c>
      <c r="AG168" s="431">
        <v>0.14699999999999999</v>
      </c>
      <c r="AH168" s="431">
        <v>0.15</v>
      </c>
      <c r="AI168" s="431">
        <v>0.153</v>
      </c>
      <c r="AJ168" s="431">
        <v>0.15</v>
      </c>
      <c r="AK168" s="431">
        <v>0.14699999999999999</v>
      </c>
      <c r="AL168" s="431">
        <v>0.14699999999999999</v>
      </c>
      <c r="AM168" s="431">
        <v>0.15</v>
      </c>
      <c r="AN168" s="431">
        <v>0.15</v>
      </c>
      <c r="AO168" s="431">
        <v>0.15</v>
      </c>
      <c r="AP168" s="432">
        <v>0.15</v>
      </c>
      <c r="AQ168" s="432">
        <v>0.15</v>
      </c>
      <c r="AR168" s="432">
        <v>0.15</v>
      </c>
      <c r="AS168" s="432">
        <v>0.15</v>
      </c>
      <c r="AT168" s="431">
        <v>0.15</v>
      </c>
      <c r="AU168" s="431">
        <v>0.15</v>
      </c>
      <c r="AV168" s="431">
        <v>0.14699999999999999</v>
      </c>
      <c r="AW168" s="291">
        <v>7.0179763974814999E-2</v>
      </c>
      <c r="AY168" s="306">
        <f t="shared" si="24"/>
        <v>0.14699999999999999</v>
      </c>
      <c r="AZ168" s="306">
        <f t="shared" si="25"/>
        <v>0.14699999999999999</v>
      </c>
      <c r="BA168" s="309">
        <f t="shared" si="26"/>
        <v>0.14699999999999999</v>
      </c>
      <c r="BB168" s="308">
        <f t="shared" si="27"/>
        <v>41395</v>
      </c>
      <c r="BC168" s="306">
        <f t="shared" si="21"/>
        <v>0.41720613813499735</v>
      </c>
      <c r="BD168" s="306">
        <f t="shared" si="22"/>
        <v>0.41728493389001264</v>
      </c>
      <c r="BF168" s="308">
        <f t="shared" si="28"/>
        <v>41395</v>
      </c>
      <c r="BG168" s="291">
        <v>156</v>
      </c>
    </row>
    <row r="169" spans="2:59" x14ac:dyDescent="0.25">
      <c r="B169" s="296">
        <f t="shared" si="23"/>
        <v>41426</v>
      </c>
      <c r="C169" s="294">
        <v>3.22</v>
      </c>
      <c r="D169" s="294">
        <v>0.15</v>
      </c>
      <c r="E169" s="294">
        <v>7.0599787430730004E-2</v>
      </c>
      <c r="F169" s="294">
        <v>-0.19500000000000001</v>
      </c>
      <c r="G169" s="294">
        <v>0.02</v>
      </c>
      <c r="H169" s="294">
        <v>-0.19500000000000001</v>
      </c>
      <c r="I169" s="294">
        <v>0.17299999999999999</v>
      </c>
      <c r="J169" s="294">
        <v>0.1825</v>
      </c>
      <c r="K169" s="294">
        <v>0.20250000000000001</v>
      </c>
      <c r="L169" s="294">
        <v>-7.1999999999999995E-2</v>
      </c>
      <c r="M169" s="388">
        <v>-5.9999989999999998E-3</v>
      </c>
      <c r="N169" s="294">
        <v>0</v>
      </c>
      <c r="O169" s="294">
        <v>-0.28999999999999998</v>
      </c>
      <c r="P169" s="294">
        <v>6.4999999999999997E-3</v>
      </c>
      <c r="Q169" s="294">
        <v>1.4500000000000001E-2</v>
      </c>
      <c r="R169" s="291">
        <v>-1.15E-2</v>
      </c>
      <c r="S169" s="291">
        <v>-3.7999999999999999E-2</v>
      </c>
      <c r="T169" s="291">
        <v>-0.12</v>
      </c>
      <c r="U169" s="291">
        <v>-3.2499999999999999E-3</v>
      </c>
      <c r="V169" s="291">
        <v>-7.4499999999999997E-2</v>
      </c>
      <c r="W169" s="291">
        <v>-0.12</v>
      </c>
      <c r="X169" s="291">
        <v>0.39500000000000002</v>
      </c>
      <c r="Y169" s="291">
        <v>5.0000000000000001E-3</v>
      </c>
      <c r="Z169" s="291">
        <v>-0.19</v>
      </c>
      <c r="AA169" s="291">
        <v>-1.2999999999999999E-2</v>
      </c>
      <c r="AB169" s="306">
        <v>0.29499999999999998</v>
      </c>
      <c r="AC169" s="306">
        <v>0.28749999999999998</v>
      </c>
      <c r="AD169" s="306">
        <v>0.26800000000000002</v>
      </c>
      <c r="AE169" s="431">
        <v>0.15</v>
      </c>
      <c r="AF169" s="431">
        <v>0.15</v>
      </c>
      <c r="AG169" s="431">
        <v>0.14699999999999999</v>
      </c>
      <c r="AH169" s="431">
        <v>0.15</v>
      </c>
      <c r="AI169" s="431">
        <v>0.153</v>
      </c>
      <c r="AJ169" s="431">
        <v>0.15</v>
      </c>
      <c r="AK169" s="431">
        <v>0.14699999999999999</v>
      </c>
      <c r="AL169" s="431">
        <v>0.14699999999999999</v>
      </c>
      <c r="AM169" s="431">
        <v>0.15</v>
      </c>
      <c r="AN169" s="431">
        <v>0.15</v>
      </c>
      <c r="AO169" s="431">
        <v>0.15</v>
      </c>
      <c r="AP169" s="432">
        <v>0.15</v>
      </c>
      <c r="AQ169" s="432">
        <v>0.15</v>
      </c>
      <c r="AR169" s="432">
        <v>0.15</v>
      </c>
      <c r="AS169" s="432">
        <v>0.15</v>
      </c>
      <c r="AT169" s="431">
        <v>0.15</v>
      </c>
      <c r="AU169" s="431">
        <v>0.15</v>
      </c>
      <c r="AV169" s="431">
        <v>0.14699999999999999</v>
      </c>
      <c r="AW169" s="291">
        <v>7.0186717491702993E-2</v>
      </c>
      <c r="AY169" s="306">
        <f t="shared" si="24"/>
        <v>0.14699999999999999</v>
      </c>
      <c r="AZ169" s="306">
        <f t="shared" si="25"/>
        <v>0.14699999999999999</v>
      </c>
      <c r="BA169" s="309">
        <f t="shared" si="26"/>
        <v>0.14699999999999999</v>
      </c>
      <c r="BB169" s="308">
        <f t="shared" si="27"/>
        <v>41426</v>
      </c>
      <c r="BC169" s="306">
        <f t="shared" si="21"/>
        <v>0.41473528812363392</v>
      </c>
      <c r="BD169" s="306">
        <f t="shared" si="22"/>
        <v>0.41481362485023154</v>
      </c>
      <c r="BF169" s="308">
        <f t="shared" si="28"/>
        <v>41426</v>
      </c>
      <c r="BG169" s="291">
        <v>157</v>
      </c>
    </row>
    <row r="170" spans="2:59" x14ac:dyDescent="0.25">
      <c r="B170" s="296">
        <f t="shared" si="23"/>
        <v>41456</v>
      </c>
      <c r="C170" s="294">
        <v>3.242</v>
      </c>
      <c r="D170" s="294">
        <v>0.15</v>
      </c>
      <c r="E170" s="294">
        <v>7.0600915832963004E-2</v>
      </c>
      <c r="F170" s="294">
        <v>-0.19500000000000001</v>
      </c>
      <c r="G170" s="294">
        <v>2.2499999999999999E-2</v>
      </c>
      <c r="H170" s="294">
        <v>-0.19500000000000001</v>
      </c>
      <c r="I170" s="294">
        <v>0.16300000000000001</v>
      </c>
      <c r="J170" s="294">
        <v>0.1825</v>
      </c>
      <c r="K170" s="294">
        <v>0.215</v>
      </c>
      <c r="L170" s="294">
        <v>-6.5000000000000002E-2</v>
      </c>
      <c r="M170" s="388">
        <v>-5.9999989999999998E-3</v>
      </c>
      <c r="N170" s="294">
        <v>0</v>
      </c>
      <c r="O170" s="294">
        <v>-0.28999999999999998</v>
      </c>
      <c r="P170" s="294">
        <v>6.4999999999999997E-3</v>
      </c>
      <c r="Q170" s="294">
        <v>1.4500000000000001E-2</v>
      </c>
      <c r="R170" s="291">
        <v>-1.15E-2</v>
      </c>
      <c r="S170" s="291">
        <v>-3.7999999999999999E-2</v>
      </c>
      <c r="T170" s="291">
        <v>-0.12</v>
      </c>
      <c r="U170" s="291">
        <v>-3.2499999999999999E-3</v>
      </c>
      <c r="V170" s="291">
        <v>-6.9500000000000006E-2</v>
      </c>
      <c r="W170" s="291">
        <v>-0.12</v>
      </c>
      <c r="X170" s="291">
        <v>0.43</v>
      </c>
      <c r="Y170" s="291">
        <v>5.0000000000000001E-3</v>
      </c>
      <c r="Z170" s="291">
        <v>-0.19</v>
      </c>
      <c r="AA170" s="291">
        <v>-1.2999999999999999E-2</v>
      </c>
      <c r="AB170" s="306">
        <v>0.29499999999999998</v>
      </c>
      <c r="AC170" s="306">
        <v>0.3</v>
      </c>
      <c r="AD170" s="306">
        <v>0.25800000000000001</v>
      </c>
      <c r="AE170" s="431">
        <v>0.15</v>
      </c>
      <c r="AF170" s="431">
        <v>0.15</v>
      </c>
      <c r="AG170" s="431">
        <v>0.14699999999999999</v>
      </c>
      <c r="AH170" s="431">
        <v>0.15</v>
      </c>
      <c r="AI170" s="431">
        <v>0.153</v>
      </c>
      <c r="AJ170" s="431">
        <v>0.15</v>
      </c>
      <c r="AK170" s="431">
        <v>0.14699999999999999</v>
      </c>
      <c r="AL170" s="431">
        <v>0.14699999999999999</v>
      </c>
      <c r="AM170" s="431">
        <v>0.15</v>
      </c>
      <c r="AN170" s="431">
        <v>0.15</v>
      </c>
      <c r="AO170" s="431">
        <v>0.15</v>
      </c>
      <c r="AP170" s="432">
        <v>0.15</v>
      </c>
      <c r="AQ170" s="432">
        <v>0.15</v>
      </c>
      <c r="AR170" s="432">
        <v>0.15</v>
      </c>
      <c r="AS170" s="432">
        <v>0.15</v>
      </c>
      <c r="AT170" s="431">
        <v>0.15</v>
      </c>
      <c r="AU170" s="431">
        <v>0.15</v>
      </c>
      <c r="AV170" s="431">
        <v>0.14699999999999999</v>
      </c>
      <c r="AW170" s="291">
        <v>7.0193446701611997E-2</v>
      </c>
      <c r="AY170" s="306">
        <f t="shared" si="24"/>
        <v>0.14699999999999999</v>
      </c>
      <c r="AZ170" s="306">
        <f t="shared" si="25"/>
        <v>0.14699999999999999</v>
      </c>
      <c r="BA170" s="309">
        <f t="shared" si="26"/>
        <v>0.14699999999999999</v>
      </c>
      <c r="BB170" s="308">
        <f t="shared" si="27"/>
        <v>41456</v>
      </c>
      <c r="BC170" s="306">
        <f t="shared" si="21"/>
        <v>0.41235762908547796</v>
      </c>
      <c r="BD170" s="306">
        <f t="shared" si="22"/>
        <v>0.41243552405199796</v>
      </c>
      <c r="BF170" s="308">
        <f t="shared" si="28"/>
        <v>41456</v>
      </c>
      <c r="BG170" s="291">
        <v>158</v>
      </c>
    </row>
    <row r="171" spans="2:59" x14ac:dyDescent="0.25">
      <c r="B171" s="296">
        <f t="shared" si="23"/>
        <v>41487</v>
      </c>
      <c r="C171" s="294">
        <v>3.2629999999999999</v>
      </c>
      <c r="D171" s="294">
        <v>0.15</v>
      </c>
      <c r="E171" s="294">
        <v>7.0602081848606002E-2</v>
      </c>
      <c r="F171" s="294">
        <v>-0.19500000000000001</v>
      </c>
      <c r="G171" s="294">
        <v>2.5000000000000001E-2</v>
      </c>
      <c r="H171" s="294">
        <v>-0.19500000000000001</v>
      </c>
      <c r="I171" s="294">
        <v>0.16</v>
      </c>
      <c r="J171" s="294">
        <v>0.1825</v>
      </c>
      <c r="K171" s="294">
        <v>0.215</v>
      </c>
      <c r="L171" s="294">
        <v>-5.6000000000000001E-2</v>
      </c>
      <c r="M171" s="388">
        <v>-5.9999989999999998E-3</v>
      </c>
      <c r="N171" s="294">
        <v>0</v>
      </c>
      <c r="O171" s="294">
        <v>-0.28999999999999998</v>
      </c>
      <c r="P171" s="294">
        <v>6.4999999999999997E-3</v>
      </c>
      <c r="Q171" s="294">
        <v>1.4500000000000001E-2</v>
      </c>
      <c r="R171" s="291">
        <v>-1.15E-2</v>
      </c>
      <c r="S171" s="291">
        <v>-3.7999999999999999E-2</v>
      </c>
      <c r="T171" s="291">
        <v>-0.12</v>
      </c>
      <c r="U171" s="291">
        <v>-3.2499999999999999E-3</v>
      </c>
      <c r="V171" s="291">
        <v>-6.9500000000000006E-2</v>
      </c>
      <c r="W171" s="291">
        <v>-0.12</v>
      </c>
      <c r="X171" s="291">
        <v>0.495</v>
      </c>
      <c r="Y171" s="291">
        <v>5.0000000000000001E-3</v>
      </c>
      <c r="Z171" s="291">
        <v>-0.19</v>
      </c>
      <c r="AA171" s="291">
        <v>-1.2999999999999999E-2</v>
      </c>
      <c r="AB171" s="306">
        <v>0.29499999999999998</v>
      </c>
      <c r="AC171" s="306">
        <v>0.3</v>
      </c>
      <c r="AD171" s="306">
        <v>0.255</v>
      </c>
      <c r="AE171" s="431">
        <v>0.15</v>
      </c>
      <c r="AF171" s="431">
        <v>0.15</v>
      </c>
      <c r="AG171" s="431">
        <v>0.14699999999999999</v>
      </c>
      <c r="AH171" s="431">
        <v>0.15</v>
      </c>
      <c r="AI171" s="431">
        <v>0.153</v>
      </c>
      <c r="AJ171" s="431">
        <v>0.15</v>
      </c>
      <c r="AK171" s="431">
        <v>0.14699999999999999</v>
      </c>
      <c r="AL171" s="431">
        <v>0.14699999999999999</v>
      </c>
      <c r="AM171" s="431">
        <v>0.15</v>
      </c>
      <c r="AN171" s="431">
        <v>0.15</v>
      </c>
      <c r="AO171" s="431">
        <v>0.15</v>
      </c>
      <c r="AP171" s="432">
        <v>0.15</v>
      </c>
      <c r="AQ171" s="432">
        <v>0.15</v>
      </c>
      <c r="AR171" s="432">
        <v>0.15</v>
      </c>
      <c r="AS171" s="432">
        <v>0.15</v>
      </c>
      <c r="AT171" s="431">
        <v>0.15</v>
      </c>
      <c r="AU171" s="431">
        <v>0.15</v>
      </c>
      <c r="AV171" s="431">
        <v>0.14699999999999999</v>
      </c>
      <c r="AW171" s="291">
        <v>7.0200400218531994E-2</v>
      </c>
      <c r="AY171" s="306">
        <f t="shared" si="24"/>
        <v>0.14699999999999999</v>
      </c>
      <c r="AZ171" s="306">
        <f t="shared" si="25"/>
        <v>0.14699999999999999</v>
      </c>
      <c r="BA171" s="309">
        <f t="shared" si="26"/>
        <v>0.14699999999999999</v>
      </c>
      <c r="BB171" s="308">
        <f t="shared" si="27"/>
        <v>41487</v>
      </c>
      <c r="BC171" s="306">
        <f t="shared" si="21"/>
        <v>0.40991457419384802</v>
      </c>
      <c r="BD171" s="306">
        <f t="shared" si="22"/>
        <v>0.40999201520431938</v>
      </c>
      <c r="BF171" s="308">
        <f t="shared" si="28"/>
        <v>41487</v>
      </c>
      <c r="BG171" s="291">
        <v>159</v>
      </c>
    </row>
    <row r="172" spans="2:59" x14ac:dyDescent="0.25">
      <c r="B172" s="296">
        <f t="shared" si="23"/>
        <v>41518</v>
      </c>
      <c r="C172" s="294">
        <v>3.2360000000000002</v>
      </c>
      <c r="D172" s="294">
        <v>0.15</v>
      </c>
      <c r="E172" s="294">
        <v>7.0603247864249E-2</v>
      </c>
      <c r="F172" s="294">
        <v>-0.19500000000000001</v>
      </c>
      <c r="G172" s="294">
        <v>1.7500000000000002E-2</v>
      </c>
      <c r="H172" s="294">
        <v>-0.19500000000000001</v>
      </c>
      <c r="I172" s="294">
        <v>0.158</v>
      </c>
      <c r="J172" s="294">
        <v>0.1825</v>
      </c>
      <c r="K172" s="294">
        <v>0.19500000000000001</v>
      </c>
      <c r="L172" s="294">
        <v>-3.5999999999999997E-2</v>
      </c>
      <c r="M172" s="388">
        <v>-5.9999989999999998E-3</v>
      </c>
      <c r="N172" s="294">
        <v>0</v>
      </c>
      <c r="O172" s="294">
        <v>-0.28999999999999998</v>
      </c>
      <c r="P172" s="294">
        <v>6.4999999999999997E-3</v>
      </c>
      <c r="Q172" s="294">
        <v>1.4500000000000001E-2</v>
      </c>
      <c r="R172" s="291">
        <v>-1.15E-2</v>
      </c>
      <c r="S172" s="291">
        <v>-3.7999999999999999E-2</v>
      </c>
      <c r="T172" s="291">
        <v>-0.11</v>
      </c>
      <c r="U172" s="291">
        <v>-3.2499999999999999E-3</v>
      </c>
      <c r="V172" s="291">
        <v>-8.4500000000000006E-2</v>
      </c>
      <c r="W172" s="291">
        <v>-0.12</v>
      </c>
      <c r="X172" s="291">
        <v>0.39500000000000002</v>
      </c>
      <c r="Y172" s="291">
        <v>5.0000000000000001E-3</v>
      </c>
      <c r="Z172" s="291">
        <v>-0.19</v>
      </c>
      <c r="AA172" s="291">
        <v>-1.2999999999999999E-2</v>
      </c>
      <c r="AB172" s="306">
        <v>0.29499999999999998</v>
      </c>
      <c r="AC172" s="306">
        <v>0.28999999999999998</v>
      </c>
      <c r="AD172" s="306">
        <v>0.253</v>
      </c>
      <c r="AE172" s="431">
        <v>0.15</v>
      </c>
      <c r="AF172" s="431">
        <v>0.15</v>
      </c>
      <c r="AG172" s="431">
        <v>0.14699999999999999</v>
      </c>
      <c r="AH172" s="431">
        <v>0.15</v>
      </c>
      <c r="AI172" s="431">
        <v>0.153</v>
      </c>
      <c r="AJ172" s="431">
        <v>0.15</v>
      </c>
      <c r="AK172" s="431">
        <v>0.14699999999999999</v>
      </c>
      <c r="AL172" s="431">
        <v>0.14699999999999999</v>
      </c>
      <c r="AM172" s="431">
        <v>0.15</v>
      </c>
      <c r="AN172" s="431">
        <v>0.15</v>
      </c>
      <c r="AO172" s="431">
        <v>0.15</v>
      </c>
      <c r="AP172" s="432">
        <v>0.15</v>
      </c>
      <c r="AQ172" s="432">
        <v>0.15</v>
      </c>
      <c r="AR172" s="432">
        <v>0.15</v>
      </c>
      <c r="AS172" s="432">
        <v>0.15</v>
      </c>
      <c r="AT172" s="431">
        <v>0.15</v>
      </c>
      <c r="AU172" s="431">
        <v>0.15</v>
      </c>
      <c r="AV172" s="431">
        <v>0.14699999999999999</v>
      </c>
      <c r="AW172" s="291">
        <v>7.0207353735469005E-2</v>
      </c>
      <c r="AY172" s="306">
        <f t="shared" si="24"/>
        <v>0.14699999999999999</v>
      </c>
      <c r="AZ172" s="306">
        <f t="shared" si="25"/>
        <v>0.14699999999999999</v>
      </c>
      <c r="BA172" s="309">
        <f t="shared" si="26"/>
        <v>0.14699999999999999</v>
      </c>
      <c r="BB172" s="308">
        <f t="shared" si="27"/>
        <v>41518</v>
      </c>
      <c r="BC172" s="306">
        <f t="shared" si="21"/>
        <v>0.4074855288884231</v>
      </c>
      <c r="BD172" s="306">
        <f t="shared" si="22"/>
        <v>0.40756251849988484</v>
      </c>
      <c r="BF172" s="308">
        <f t="shared" si="28"/>
        <v>41518</v>
      </c>
      <c r="BG172" s="291">
        <v>160</v>
      </c>
    </row>
    <row r="173" spans="2:59" x14ac:dyDescent="0.25">
      <c r="B173" s="296">
        <f t="shared" si="23"/>
        <v>41548</v>
      </c>
      <c r="C173" s="294">
        <v>3.2410000000000001</v>
      </c>
      <c r="D173" s="294">
        <v>0.15</v>
      </c>
      <c r="E173" s="294">
        <v>7.0604376266483998E-2</v>
      </c>
      <c r="F173" s="294">
        <v>-0.19500000000000001</v>
      </c>
      <c r="G173" s="294">
        <v>7.4999999999999997E-3</v>
      </c>
      <c r="H173" s="294">
        <v>-0.19500000000000001</v>
      </c>
      <c r="I173" s="294">
        <v>0.17299999999999999</v>
      </c>
      <c r="J173" s="294">
        <v>0.1875</v>
      </c>
      <c r="K173" s="294">
        <v>0.215</v>
      </c>
      <c r="L173" s="294">
        <v>-4.5999999999999999E-2</v>
      </c>
      <c r="M173" s="388">
        <v>-5.9999989999999998E-3</v>
      </c>
      <c r="N173" s="294">
        <v>0</v>
      </c>
      <c r="O173" s="294">
        <v>-0.28999999999999998</v>
      </c>
      <c r="P173" s="294">
        <v>6.4999999999999997E-3</v>
      </c>
      <c r="Q173" s="294">
        <v>1.4500000000000001E-2</v>
      </c>
      <c r="R173" s="291">
        <v>-1.15E-2</v>
      </c>
      <c r="S173" s="291">
        <v>-3.7999999999999999E-2</v>
      </c>
      <c r="T173" s="291">
        <v>-9.5000000000000001E-2</v>
      </c>
      <c r="U173" s="291">
        <v>-2.1499999999999998E-2</v>
      </c>
      <c r="V173" s="291">
        <v>-8.6999999999999994E-2</v>
      </c>
      <c r="W173" s="291">
        <v>-0.12</v>
      </c>
      <c r="X173" s="291">
        <v>0.46100000000000002</v>
      </c>
      <c r="Y173" s="291">
        <v>5.0000000000000001E-3</v>
      </c>
      <c r="Z173" s="291">
        <v>-0.19</v>
      </c>
      <c r="AA173" s="291">
        <v>-1.2999999999999999E-2</v>
      </c>
      <c r="AB173" s="306">
        <v>0.29499999999999998</v>
      </c>
      <c r="AC173" s="306">
        <v>0.36249999999999999</v>
      </c>
      <c r="AD173" s="306">
        <v>0.26800000000000002</v>
      </c>
      <c r="AE173" s="431">
        <v>0.15</v>
      </c>
      <c r="AF173" s="431">
        <v>0.15</v>
      </c>
      <c r="AG173" s="431">
        <v>0.14699999999999999</v>
      </c>
      <c r="AH173" s="431">
        <v>0.15</v>
      </c>
      <c r="AI173" s="431">
        <v>0.153</v>
      </c>
      <c r="AJ173" s="431">
        <v>0.15</v>
      </c>
      <c r="AK173" s="431">
        <v>0.14699999999999999</v>
      </c>
      <c r="AL173" s="431">
        <v>0.14699999999999999</v>
      </c>
      <c r="AM173" s="431">
        <v>0.15</v>
      </c>
      <c r="AN173" s="431">
        <v>0.15</v>
      </c>
      <c r="AO173" s="431">
        <v>0.15</v>
      </c>
      <c r="AP173" s="432">
        <v>0.15</v>
      </c>
      <c r="AQ173" s="432">
        <v>0.15</v>
      </c>
      <c r="AR173" s="432">
        <v>0.15</v>
      </c>
      <c r="AS173" s="432">
        <v>0.15</v>
      </c>
      <c r="AT173" s="431">
        <v>0.15</v>
      </c>
      <c r="AU173" s="431">
        <v>0.15</v>
      </c>
      <c r="AV173" s="431">
        <v>0.14699999999999999</v>
      </c>
      <c r="AW173" s="291">
        <v>7.0214082945423001E-2</v>
      </c>
      <c r="AY173" s="306">
        <f t="shared" si="24"/>
        <v>0.14699999999999999</v>
      </c>
      <c r="AZ173" s="306">
        <f t="shared" si="25"/>
        <v>0.14699999999999999</v>
      </c>
      <c r="BA173" s="309">
        <f t="shared" si="26"/>
        <v>0.14699999999999999</v>
      </c>
      <c r="BB173" s="308">
        <f t="shared" si="27"/>
        <v>41548</v>
      </c>
      <c r="BC173" s="306">
        <f t="shared" si="21"/>
        <v>0.40514810588195566</v>
      </c>
      <c r="BD173" s="306">
        <f t="shared" si="22"/>
        <v>0.40522466107724392</v>
      </c>
      <c r="BF173" s="308">
        <f t="shared" si="28"/>
        <v>41548</v>
      </c>
      <c r="BG173" s="291">
        <v>161</v>
      </c>
    </row>
    <row r="174" spans="2:59" x14ac:dyDescent="0.25">
      <c r="B174" s="296">
        <f t="shared" si="23"/>
        <v>41579</v>
      </c>
      <c r="C174" s="294">
        <v>3.2829999999999999</v>
      </c>
      <c r="D174" s="294">
        <v>0.15</v>
      </c>
      <c r="E174" s="294">
        <v>7.0605542282126996E-2</v>
      </c>
      <c r="F174" s="294">
        <v>-0.19</v>
      </c>
      <c r="G174" s="294">
        <v>-3.2500000000000001E-2</v>
      </c>
      <c r="H174" s="294">
        <v>-0.19</v>
      </c>
      <c r="I174" s="294">
        <v>0.23499999999999999</v>
      </c>
      <c r="J174" s="294">
        <v>0.27</v>
      </c>
      <c r="K174" s="294">
        <v>0.28749999999999998</v>
      </c>
      <c r="L174" s="294">
        <v>-6.0999999999999999E-2</v>
      </c>
      <c r="M174" s="388">
        <v>1.5E-3</v>
      </c>
      <c r="N174" s="294">
        <v>0</v>
      </c>
      <c r="O174" s="294">
        <v>0</v>
      </c>
      <c r="P174" s="294">
        <v>1.6E-2</v>
      </c>
      <c r="Q174" s="294">
        <v>6.4999999999999997E-3</v>
      </c>
      <c r="R174" s="291">
        <v>-1.4500000000000001E-2</v>
      </c>
      <c r="S174" s="291">
        <v>-3.7499999999999999E-2</v>
      </c>
      <c r="T174" s="291">
        <v>-5.7500000000000002E-2</v>
      </c>
      <c r="U174" s="291">
        <v>-2.0500000000000001E-2</v>
      </c>
      <c r="V174" s="291">
        <v>-8.4500000000000006E-2</v>
      </c>
      <c r="W174" s="291">
        <v>-0.13250000000000001</v>
      </c>
      <c r="X174" s="291">
        <v>0.76749999999999996</v>
      </c>
      <c r="Y174" s="291">
        <v>5.0000000000000001E-3</v>
      </c>
      <c r="Z174" s="291">
        <v>-0.19</v>
      </c>
      <c r="AA174" s="291">
        <v>-1.4500000000000001E-2</v>
      </c>
      <c r="AB174" s="306">
        <v>0.12</v>
      </c>
      <c r="AC174" s="306">
        <v>0.46500000000000002</v>
      </c>
      <c r="AD174" s="306">
        <v>0.33</v>
      </c>
      <c r="AE174" s="431">
        <v>0.15</v>
      </c>
      <c r="AF174" s="431">
        <v>0.15</v>
      </c>
      <c r="AG174" s="431">
        <v>0.16500000000000001</v>
      </c>
      <c r="AH174" s="431">
        <v>0.15</v>
      </c>
      <c r="AI174" s="431">
        <v>0.153</v>
      </c>
      <c r="AJ174" s="431">
        <v>0.15</v>
      </c>
      <c r="AK174" s="431">
        <v>0.15</v>
      </c>
      <c r="AL174" s="431">
        <v>0.15</v>
      </c>
      <c r="AM174" s="431">
        <v>0.15</v>
      </c>
      <c r="AN174" s="431">
        <v>0.15</v>
      </c>
      <c r="AO174" s="431">
        <v>0.15</v>
      </c>
      <c r="AP174" s="432">
        <v>0.15</v>
      </c>
      <c r="AQ174" s="432">
        <v>0.15</v>
      </c>
      <c r="AR174" s="432">
        <v>0.15</v>
      </c>
      <c r="AS174" s="432">
        <v>0.15</v>
      </c>
      <c r="AT174" s="431">
        <v>0.15</v>
      </c>
      <c r="AU174" s="431">
        <v>0.15</v>
      </c>
      <c r="AV174" s="431">
        <v>0.16500000000000001</v>
      </c>
      <c r="AW174" s="291">
        <v>7.0221036462391001E-2</v>
      </c>
      <c r="AY174" s="306">
        <f t="shared" si="24"/>
        <v>0.16500000000000001</v>
      </c>
      <c r="AZ174" s="306">
        <f t="shared" si="25"/>
        <v>0.16500000000000001</v>
      </c>
      <c r="BA174" s="309">
        <f t="shared" si="26"/>
        <v>0.16500000000000001</v>
      </c>
      <c r="BB174" s="308">
        <f t="shared" si="27"/>
        <v>41579</v>
      </c>
      <c r="BC174" s="306">
        <f t="shared" si="21"/>
        <v>0.40274640194511258</v>
      </c>
      <c r="BD174" s="306">
        <f t="shared" si="22"/>
        <v>0.40282251073255548</v>
      </c>
      <c r="BF174" s="308">
        <f t="shared" si="28"/>
        <v>41579</v>
      </c>
      <c r="BG174" s="291">
        <v>162</v>
      </c>
    </row>
    <row r="175" spans="2:59" x14ac:dyDescent="0.25">
      <c r="B175" s="296">
        <f t="shared" si="23"/>
        <v>41609</v>
      </c>
      <c r="C175" s="294">
        <v>3.339</v>
      </c>
      <c r="D175" s="294">
        <v>0.15</v>
      </c>
      <c r="E175" s="294">
        <v>7.0606670684364006E-2</v>
      </c>
      <c r="F175" s="294">
        <v>-0.19750000000000001</v>
      </c>
      <c r="G175" s="294">
        <v>-5.5E-2</v>
      </c>
      <c r="H175" s="294">
        <v>-0.19750000000000001</v>
      </c>
      <c r="I175" s="294">
        <v>0.27500000000000002</v>
      </c>
      <c r="J175" s="294">
        <v>0.30499999999999999</v>
      </c>
      <c r="K175" s="294">
        <v>0.33750000000000002</v>
      </c>
      <c r="L175" s="294">
        <v>-6.0999999999999999E-2</v>
      </c>
      <c r="M175" s="294">
        <v>1.5E-3</v>
      </c>
      <c r="N175" s="294">
        <v>0</v>
      </c>
      <c r="O175" s="294">
        <v>0.06</v>
      </c>
      <c r="P175" s="294">
        <v>1.6E-2</v>
      </c>
      <c r="Q175" s="294">
        <v>6.4999999999999997E-3</v>
      </c>
      <c r="R175" s="291">
        <v>-1.4500000000000001E-2</v>
      </c>
      <c r="S175" s="291">
        <v>-3.7499999999999999E-2</v>
      </c>
      <c r="T175" s="291">
        <v>-0.05</v>
      </c>
      <c r="U175" s="291">
        <v>-2.0500000000000001E-2</v>
      </c>
      <c r="V175" s="291">
        <v>-0.1195</v>
      </c>
      <c r="W175" s="291">
        <v>-0.1275</v>
      </c>
      <c r="X175" s="291">
        <v>1.19</v>
      </c>
      <c r="Y175" s="291">
        <v>5.0000000000000001E-3</v>
      </c>
      <c r="Z175" s="291">
        <v>-0.19</v>
      </c>
      <c r="AA175" s="291">
        <v>-1.4500000000000001E-2</v>
      </c>
      <c r="AB175" s="306">
        <v>0.12</v>
      </c>
      <c r="AC175" s="306">
        <v>0.8</v>
      </c>
      <c r="AD175" s="306">
        <v>0.37</v>
      </c>
      <c r="AE175" s="431">
        <v>0.15</v>
      </c>
      <c r="AF175" s="431">
        <v>0.15</v>
      </c>
      <c r="AG175" s="431">
        <v>0.16500000000000001</v>
      </c>
      <c r="AH175" s="431">
        <v>0.15</v>
      </c>
      <c r="AI175" s="431">
        <v>0.153</v>
      </c>
      <c r="AJ175" s="431">
        <v>0.15</v>
      </c>
      <c r="AK175" s="431">
        <v>0.15</v>
      </c>
      <c r="AL175" s="431">
        <v>0.15</v>
      </c>
      <c r="AM175" s="431">
        <v>0.15</v>
      </c>
      <c r="AN175" s="431">
        <v>0.15</v>
      </c>
      <c r="AO175" s="431">
        <v>0.15</v>
      </c>
      <c r="AP175" s="432">
        <v>0.15</v>
      </c>
      <c r="AQ175" s="432">
        <v>0.15</v>
      </c>
      <c r="AR175" s="432">
        <v>0.15</v>
      </c>
      <c r="AS175" s="432">
        <v>0.15</v>
      </c>
      <c r="AT175" s="431">
        <v>0.15</v>
      </c>
      <c r="AU175" s="431">
        <v>0.15</v>
      </c>
      <c r="AV175" s="431">
        <v>0.16500000000000001</v>
      </c>
      <c r="AW175" s="291">
        <v>7.0227765672376E-2</v>
      </c>
      <c r="AY175" s="306">
        <f t="shared" si="24"/>
        <v>0.16500000000000001</v>
      </c>
      <c r="AZ175" s="306">
        <f t="shared" si="25"/>
        <v>0.16500000000000001</v>
      </c>
      <c r="BA175" s="309">
        <f t="shared" si="26"/>
        <v>0.16500000000000001</v>
      </c>
      <c r="BB175" s="308">
        <f t="shared" si="27"/>
        <v>41609</v>
      </c>
      <c r="BC175" s="306">
        <f t="shared" si="21"/>
        <v>0.40043529427509045</v>
      </c>
      <c r="BD175" s="306">
        <f t="shared" si="22"/>
        <v>0.40051097345073283</v>
      </c>
      <c r="BF175" s="308">
        <f t="shared" si="28"/>
        <v>41609</v>
      </c>
      <c r="BG175" s="291">
        <v>163</v>
      </c>
    </row>
    <row r="176" spans="2:59" x14ac:dyDescent="0.25">
      <c r="B176" s="296">
        <f t="shared" si="23"/>
        <v>41640</v>
      </c>
      <c r="C176" s="294">
        <v>3.6539999999999999</v>
      </c>
      <c r="D176" s="294">
        <v>0.15</v>
      </c>
      <c r="E176" s="294">
        <v>7.0607836700008003E-2</v>
      </c>
      <c r="F176" s="294">
        <v>-0.2</v>
      </c>
      <c r="G176" s="294">
        <v>-5.7500000000000002E-2</v>
      </c>
      <c r="H176" s="294">
        <v>-0.2</v>
      </c>
      <c r="I176" s="294">
        <v>0.28499999999999998</v>
      </c>
      <c r="J176" s="294">
        <v>0.30499999999999999</v>
      </c>
      <c r="K176" s="294">
        <v>0.4375</v>
      </c>
      <c r="L176" s="294">
        <v>-6.0999999999999999E-2</v>
      </c>
      <c r="M176" s="294">
        <v>3.5000000000000001E-3</v>
      </c>
      <c r="N176" s="294">
        <v>0</v>
      </c>
      <c r="O176" s="294">
        <v>0.13</v>
      </c>
      <c r="P176" s="294">
        <v>1.6E-2</v>
      </c>
      <c r="Q176" s="294">
        <v>6.4999999999999997E-3</v>
      </c>
      <c r="R176" s="291">
        <v>-9.9999990000000007E-3</v>
      </c>
      <c r="S176" s="291">
        <v>-3.7499999999999999E-2</v>
      </c>
      <c r="T176" s="291">
        <v>-3.5000000000000003E-2</v>
      </c>
      <c r="U176" s="291">
        <v>-2.0500000000000001E-2</v>
      </c>
      <c r="V176" s="291">
        <v>-0.125</v>
      </c>
      <c r="W176" s="291">
        <v>-0.1275</v>
      </c>
      <c r="X176" s="291">
        <v>1.5249999999999999</v>
      </c>
      <c r="Y176" s="291">
        <v>5.0000000000000001E-3</v>
      </c>
      <c r="Z176" s="291">
        <v>-0.19</v>
      </c>
      <c r="AA176" s="291">
        <v>-1.4500000000000001E-2</v>
      </c>
      <c r="AB176" s="306">
        <v>0.12</v>
      </c>
      <c r="AC176" s="306">
        <v>0.97499999999999998</v>
      </c>
      <c r="AD176" s="306">
        <v>0.38</v>
      </c>
      <c r="AE176" s="431">
        <v>0.15</v>
      </c>
      <c r="AF176" s="431">
        <v>0.15</v>
      </c>
      <c r="AG176" s="431">
        <v>0.16500000000000001</v>
      </c>
      <c r="AH176" s="431">
        <v>0.15</v>
      </c>
      <c r="AI176" s="431">
        <v>0.153</v>
      </c>
      <c r="AJ176" s="431">
        <v>0.15</v>
      </c>
      <c r="AK176" s="431">
        <v>0.15</v>
      </c>
      <c r="AL176" s="431">
        <v>0.15</v>
      </c>
      <c r="AM176" s="431">
        <v>0.15</v>
      </c>
      <c r="AN176" s="431">
        <v>0.15</v>
      </c>
      <c r="AO176" s="431">
        <v>0.15</v>
      </c>
      <c r="AP176" s="432">
        <v>0.15</v>
      </c>
      <c r="AQ176" s="432">
        <v>0.15</v>
      </c>
      <c r="AR176" s="432">
        <v>0.15</v>
      </c>
      <c r="AS176" s="432">
        <v>0.15</v>
      </c>
      <c r="AT176" s="431">
        <v>0.15</v>
      </c>
      <c r="AU176" s="431">
        <v>0.15</v>
      </c>
      <c r="AV176" s="431">
        <v>0.16500000000000001</v>
      </c>
      <c r="AW176" s="291">
        <v>7.0234719189375003E-2</v>
      </c>
      <c r="AY176" s="306">
        <f t="shared" si="24"/>
        <v>0.16500000000000001</v>
      </c>
      <c r="AZ176" s="306">
        <f t="shared" si="25"/>
        <v>0.16500000000000001</v>
      </c>
      <c r="BA176" s="309">
        <f t="shared" si="26"/>
        <v>0.16500000000000001</v>
      </c>
      <c r="BB176" s="308">
        <f t="shared" si="27"/>
        <v>41640</v>
      </c>
      <c r="BC176" s="306">
        <f t="shared" si="21"/>
        <v>0.39806063478094589</v>
      </c>
      <c r="BD176" s="306">
        <f t="shared" si="22"/>
        <v>0.39813587248675308</v>
      </c>
      <c r="BF176" s="308">
        <f t="shared" si="28"/>
        <v>41640</v>
      </c>
      <c r="BG176" s="291">
        <v>164</v>
      </c>
    </row>
    <row r="177" spans="2:59" x14ac:dyDescent="0.25">
      <c r="B177" s="296">
        <f t="shared" si="23"/>
        <v>41671</v>
      </c>
      <c r="C177" s="294">
        <v>3.556</v>
      </c>
      <c r="D177" s="294">
        <v>0.15</v>
      </c>
      <c r="E177" s="294">
        <v>7.0609002715652999E-2</v>
      </c>
      <c r="F177" s="294">
        <v>-0.20250000000000001</v>
      </c>
      <c r="G177" s="294">
        <v>-0.04</v>
      </c>
      <c r="H177" s="294">
        <v>-0.20250000000000001</v>
      </c>
      <c r="I177" s="294">
        <v>0.26</v>
      </c>
      <c r="J177" s="294">
        <v>0.30499999999999999</v>
      </c>
      <c r="K177" s="294">
        <v>0.435</v>
      </c>
      <c r="L177" s="294">
        <v>-6.0999999999999999E-2</v>
      </c>
      <c r="M177" s="294">
        <v>3.5000000000000001E-3</v>
      </c>
      <c r="N177" s="294">
        <v>0</v>
      </c>
      <c r="O177" s="294">
        <v>0</v>
      </c>
      <c r="P177" s="294">
        <v>1.6E-2</v>
      </c>
      <c r="Q177" s="294">
        <v>6.4999999999999997E-3</v>
      </c>
      <c r="R177" s="389">
        <v>-9.9999990000000007E-3</v>
      </c>
      <c r="S177" s="291">
        <v>-3.7499999999999999E-2</v>
      </c>
      <c r="T177" s="291">
        <v>-3.5000000000000003E-2</v>
      </c>
      <c r="U177" s="291">
        <v>-2.0500000000000001E-2</v>
      </c>
      <c r="V177" s="291">
        <v>-0.1075</v>
      </c>
      <c r="W177" s="291">
        <v>-0.1275</v>
      </c>
      <c r="X177" s="291">
        <v>1.4550000000000001</v>
      </c>
      <c r="Y177" s="291">
        <v>5.0000000000000001E-3</v>
      </c>
      <c r="Z177" s="291">
        <v>-0.19</v>
      </c>
      <c r="AA177" s="291">
        <v>-1.4500000000000001E-2</v>
      </c>
      <c r="AB177" s="306">
        <v>0.12</v>
      </c>
      <c r="AC177" s="306">
        <v>0.97499999999999998</v>
      </c>
      <c r="AD177" s="306">
        <v>0.35499999999999998</v>
      </c>
      <c r="AE177" s="431">
        <v>0.15</v>
      </c>
      <c r="AF177" s="431">
        <v>0.15</v>
      </c>
      <c r="AG177" s="431">
        <v>0.16500000000000001</v>
      </c>
      <c r="AH177" s="431">
        <v>0.15</v>
      </c>
      <c r="AI177" s="431">
        <v>0.153</v>
      </c>
      <c r="AJ177" s="431">
        <v>0.15</v>
      </c>
      <c r="AK177" s="431">
        <v>0.15</v>
      </c>
      <c r="AL177" s="431">
        <v>0.15</v>
      </c>
      <c r="AM177" s="431">
        <v>0.15</v>
      </c>
      <c r="AN177" s="431">
        <v>0.15</v>
      </c>
      <c r="AO177" s="431">
        <v>0.15</v>
      </c>
      <c r="AP177" s="432">
        <v>0.15</v>
      </c>
      <c r="AQ177" s="432">
        <v>0.15</v>
      </c>
      <c r="AR177" s="432">
        <v>0.15</v>
      </c>
      <c r="AS177" s="432">
        <v>0.15</v>
      </c>
      <c r="AT177" s="431">
        <v>0.15</v>
      </c>
      <c r="AU177" s="431">
        <v>0.15</v>
      </c>
      <c r="AV177" s="431">
        <v>0.16500000000000001</v>
      </c>
      <c r="AW177" s="291">
        <v>7.0241672706391006E-2</v>
      </c>
      <c r="AY177" s="306">
        <f t="shared" si="24"/>
        <v>0.16500000000000001</v>
      </c>
      <c r="AZ177" s="306">
        <f t="shared" si="25"/>
        <v>0.16500000000000001</v>
      </c>
      <c r="BA177" s="309">
        <f t="shared" si="26"/>
        <v>0.16500000000000001</v>
      </c>
      <c r="BB177" s="308">
        <f t="shared" si="27"/>
        <v>41671</v>
      </c>
      <c r="BC177" s="306">
        <f t="shared" si="21"/>
        <v>0.3956996063867082</v>
      </c>
      <c r="BD177" s="306">
        <f t="shared" si="22"/>
        <v>0.39577440511196477</v>
      </c>
      <c r="BF177" s="308">
        <f t="shared" si="28"/>
        <v>41671</v>
      </c>
      <c r="BG177" s="291">
        <v>165</v>
      </c>
    </row>
    <row r="178" spans="2:59" x14ac:dyDescent="0.25">
      <c r="B178" s="296">
        <f t="shared" si="23"/>
        <v>41699</v>
      </c>
      <c r="C178" s="294">
        <v>3.419</v>
      </c>
      <c r="D178" s="294">
        <v>0.15</v>
      </c>
      <c r="E178" s="294">
        <v>7.0610055891073997E-2</v>
      </c>
      <c r="F178" s="294">
        <v>-0.20499999999999999</v>
      </c>
      <c r="G178" s="294">
        <v>-2.75E-2</v>
      </c>
      <c r="H178" s="294">
        <v>-0.20499999999999999</v>
      </c>
      <c r="I178" s="294">
        <v>0.25800000000000001</v>
      </c>
      <c r="J178" s="294">
        <v>0.26500000000000001</v>
      </c>
      <c r="K178" s="294">
        <v>0.30249999999999999</v>
      </c>
      <c r="L178" s="294">
        <v>-6.0999999999999999E-2</v>
      </c>
      <c r="M178" s="294">
        <v>3.5000000000000001E-3</v>
      </c>
      <c r="N178" s="294">
        <v>0</v>
      </c>
      <c r="O178" s="294">
        <v>-0.18</v>
      </c>
      <c r="P178" s="294">
        <v>1.6E-2</v>
      </c>
      <c r="Q178" s="294">
        <v>6.4999999999999997E-3</v>
      </c>
      <c r="R178" s="389">
        <v>-9.9999990000000007E-3</v>
      </c>
      <c r="S178" s="291">
        <v>-3.7499999999999999E-2</v>
      </c>
      <c r="T178" s="291">
        <v>-3.5000000000000003E-2</v>
      </c>
      <c r="U178" s="291">
        <v>-1.9999990000000001E-3</v>
      </c>
      <c r="V178" s="291">
        <v>-0.09</v>
      </c>
      <c r="W178" s="291">
        <v>-0.13250000000000001</v>
      </c>
      <c r="X178" s="291">
        <v>0.83499999999999996</v>
      </c>
      <c r="Y178" s="291">
        <v>5.0000000000000001E-3</v>
      </c>
      <c r="Z178" s="291">
        <v>-0.19</v>
      </c>
      <c r="AA178" s="291">
        <v>-1.4500000000000001E-2</v>
      </c>
      <c r="AB178" s="306">
        <v>0.12</v>
      </c>
      <c r="AC178" s="306">
        <v>0.60750000000000004</v>
      </c>
      <c r="AD178" s="306">
        <v>0.35299999999999998</v>
      </c>
      <c r="AE178" s="431">
        <v>0.15</v>
      </c>
      <c r="AF178" s="431">
        <v>0.15</v>
      </c>
      <c r="AG178" s="431">
        <v>0.16500000000000001</v>
      </c>
      <c r="AH178" s="431">
        <v>0.15</v>
      </c>
      <c r="AI178" s="431">
        <v>0.153</v>
      </c>
      <c r="AJ178" s="431">
        <v>0.15</v>
      </c>
      <c r="AK178" s="431">
        <v>0.15</v>
      </c>
      <c r="AL178" s="431">
        <v>0.15</v>
      </c>
      <c r="AM178" s="431">
        <v>0.15</v>
      </c>
      <c r="AN178" s="431">
        <v>0.15</v>
      </c>
      <c r="AO178" s="431">
        <v>0.15</v>
      </c>
      <c r="AP178" s="432">
        <v>0.15</v>
      </c>
      <c r="AQ178" s="432">
        <v>0.15</v>
      </c>
      <c r="AR178" s="432">
        <v>0.15</v>
      </c>
      <c r="AS178" s="432">
        <v>0.15</v>
      </c>
      <c r="AT178" s="431">
        <v>0.15</v>
      </c>
      <c r="AU178" s="431">
        <v>0.15</v>
      </c>
      <c r="AV178" s="431">
        <v>0.16500000000000001</v>
      </c>
      <c r="AW178" s="291">
        <v>7.0247953302417995E-2</v>
      </c>
      <c r="AY178" s="306">
        <f t="shared" si="24"/>
        <v>0.16500000000000001</v>
      </c>
      <c r="AZ178" s="306">
        <f t="shared" si="25"/>
        <v>0.16500000000000001</v>
      </c>
      <c r="BA178" s="309">
        <f t="shared" si="26"/>
        <v>0.16500000000000001</v>
      </c>
      <c r="BB178" s="308">
        <f t="shared" si="27"/>
        <v>41699</v>
      </c>
      <c r="BC178" s="306">
        <f t="shared" si="21"/>
        <v>0.39357871803951944</v>
      </c>
      <c r="BD178" s="306">
        <f t="shared" si="22"/>
        <v>0.39365312239456257</v>
      </c>
      <c r="BF178" s="308">
        <f t="shared" si="28"/>
        <v>41699</v>
      </c>
      <c r="BG178" s="291">
        <v>166</v>
      </c>
    </row>
    <row r="179" spans="2:59" x14ac:dyDescent="0.25">
      <c r="B179" s="296">
        <f t="shared" si="23"/>
        <v>41730</v>
      </c>
      <c r="C179" s="294">
        <v>3.274</v>
      </c>
      <c r="D179" s="294">
        <v>0.15</v>
      </c>
      <c r="E179" s="294">
        <v>7.0611221906720006E-2</v>
      </c>
      <c r="F179" s="294">
        <v>-0.19500000000000001</v>
      </c>
      <c r="G179" s="294">
        <v>1.4999999999999999E-2</v>
      </c>
      <c r="H179" s="294">
        <v>-0.19500000000000001</v>
      </c>
      <c r="I179" s="294">
        <v>0.16300000000000001</v>
      </c>
      <c r="J179" s="294">
        <v>0.19500000000000001</v>
      </c>
      <c r="K179" s="294">
        <v>0.25</v>
      </c>
      <c r="L179" s="294">
        <v>-5.3999999999999999E-2</v>
      </c>
      <c r="M179" s="294">
        <v>-3.9999989999999997E-3</v>
      </c>
      <c r="N179" s="294">
        <v>0</v>
      </c>
      <c r="O179" s="294">
        <v>-0.28999999999999998</v>
      </c>
      <c r="P179" s="294">
        <v>6.4999999999999997E-3</v>
      </c>
      <c r="Q179" s="294">
        <v>1.6500000000000001E-2</v>
      </c>
      <c r="R179" s="389">
        <v>-9.4999990000000003E-3</v>
      </c>
      <c r="S179" s="291">
        <v>-0.03</v>
      </c>
      <c r="T179" s="291">
        <v>-0.08</v>
      </c>
      <c r="U179" s="389">
        <v>-1.9999990000000001E-3</v>
      </c>
      <c r="V179" s="291">
        <v>-8.2500000000000004E-2</v>
      </c>
      <c r="W179" s="291">
        <v>-0.12</v>
      </c>
      <c r="X179" s="291">
        <v>0.45</v>
      </c>
      <c r="Y179" s="291">
        <v>5.0000000000000001E-3</v>
      </c>
      <c r="Z179" s="291">
        <v>-0.19</v>
      </c>
      <c r="AA179" s="291">
        <v>-1.2E-2</v>
      </c>
      <c r="AB179" s="306">
        <v>0.29499999999999998</v>
      </c>
      <c r="AC179" s="306">
        <v>0.35499999999999998</v>
      </c>
      <c r="AD179" s="306">
        <v>0.25800000000000001</v>
      </c>
      <c r="AE179" s="431">
        <v>0.15</v>
      </c>
      <c r="AF179" s="431">
        <v>0.15</v>
      </c>
      <c r="AG179" s="431">
        <v>0.14699999999999999</v>
      </c>
      <c r="AH179" s="431">
        <v>0.15</v>
      </c>
      <c r="AI179" s="431">
        <v>0.153</v>
      </c>
      <c r="AJ179" s="431">
        <v>0.15</v>
      </c>
      <c r="AK179" s="431">
        <v>0.14699999999999999</v>
      </c>
      <c r="AL179" s="431">
        <v>0.14699999999999999</v>
      </c>
      <c r="AM179" s="431">
        <v>0.15</v>
      </c>
      <c r="AN179" s="431">
        <v>0.15</v>
      </c>
      <c r="AO179" s="431">
        <v>0.15</v>
      </c>
      <c r="AP179" s="432">
        <v>0.15</v>
      </c>
      <c r="AQ179" s="432">
        <v>0.15</v>
      </c>
      <c r="AR179" s="432">
        <v>0.15</v>
      </c>
      <c r="AS179" s="432">
        <v>0.15</v>
      </c>
      <c r="AT179" s="431">
        <v>0.15</v>
      </c>
      <c r="AU179" s="431">
        <v>0.15</v>
      </c>
      <c r="AV179" s="431">
        <v>0.14699999999999999</v>
      </c>
      <c r="AW179" s="291">
        <v>7.0254906819465002E-2</v>
      </c>
      <c r="AY179" s="306">
        <f t="shared" si="24"/>
        <v>0.14699999999999999</v>
      </c>
      <c r="AZ179" s="306">
        <f t="shared" si="25"/>
        <v>0.14699999999999999</v>
      </c>
      <c r="BA179" s="309">
        <f t="shared" si="26"/>
        <v>0.14699999999999999</v>
      </c>
      <c r="BB179" s="308">
        <f t="shared" si="27"/>
        <v>41730</v>
      </c>
      <c r="BC179" s="306">
        <f t="shared" si="21"/>
        <v>0.39124342450510835</v>
      </c>
      <c r="BD179" s="306">
        <f t="shared" si="22"/>
        <v>0.3913173945799861</v>
      </c>
      <c r="BF179" s="308">
        <f t="shared" si="28"/>
        <v>41730</v>
      </c>
      <c r="BG179" s="291">
        <v>167</v>
      </c>
    </row>
    <row r="180" spans="2:59" x14ac:dyDescent="0.25">
      <c r="B180" s="296">
        <f t="shared" si="23"/>
        <v>41760</v>
      </c>
      <c r="C180" s="294">
        <v>3.2730000000000001</v>
      </c>
      <c r="D180" s="294">
        <v>0.15</v>
      </c>
      <c r="E180" s="294">
        <v>7.0612350308958002E-2</v>
      </c>
      <c r="F180" s="294">
        <v>-0.19500000000000001</v>
      </c>
      <c r="G180" s="294">
        <v>1.4999999999999999E-2</v>
      </c>
      <c r="H180" s="294">
        <v>-0.19500000000000001</v>
      </c>
      <c r="I180" s="294">
        <v>0.17299999999999999</v>
      </c>
      <c r="J180" s="294">
        <v>0.1825</v>
      </c>
      <c r="K180" s="294">
        <v>0.20250000000000001</v>
      </c>
      <c r="L180" s="294">
        <v>-5.3999999999999999E-2</v>
      </c>
      <c r="M180" s="388">
        <v>-3.9999989999999997E-3</v>
      </c>
      <c r="N180" s="294">
        <v>0</v>
      </c>
      <c r="O180" s="294">
        <v>-0.28999999999999998</v>
      </c>
      <c r="P180" s="294">
        <v>6.4999999999999997E-3</v>
      </c>
      <c r="Q180" s="294">
        <v>1.6500000000000001E-2</v>
      </c>
      <c r="R180" s="389">
        <v>-9.4999990000000003E-3</v>
      </c>
      <c r="S180" s="291">
        <v>-0.03</v>
      </c>
      <c r="T180" s="291">
        <v>-9.5000000000000001E-2</v>
      </c>
      <c r="U180" s="389">
        <v>-2.2499999999999998E-3</v>
      </c>
      <c r="V180" s="291">
        <v>-8.2500000000000004E-2</v>
      </c>
      <c r="W180" s="291">
        <v>-0.12</v>
      </c>
      <c r="X180" s="291">
        <v>0.40500000000000003</v>
      </c>
      <c r="Y180" s="291">
        <v>5.0000000000000001E-3</v>
      </c>
      <c r="Z180" s="291">
        <v>-0.19</v>
      </c>
      <c r="AA180" s="291">
        <v>-1.2E-2</v>
      </c>
      <c r="AB180" s="306">
        <v>0.29499999999999998</v>
      </c>
      <c r="AC180" s="306">
        <v>0.28749999999999998</v>
      </c>
      <c r="AD180" s="306">
        <v>0.26800000000000002</v>
      </c>
      <c r="AE180" s="431">
        <v>0.15</v>
      </c>
      <c r="AF180" s="431">
        <v>0.15</v>
      </c>
      <c r="AG180" s="431">
        <v>0.14699999999999999</v>
      </c>
      <c r="AH180" s="431">
        <v>0.15</v>
      </c>
      <c r="AI180" s="431">
        <v>0.153</v>
      </c>
      <c r="AJ180" s="431">
        <v>0.15</v>
      </c>
      <c r="AK180" s="431">
        <v>0.14699999999999999</v>
      </c>
      <c r="AL180" s="431">
        <v>0.14699999999999999</v>
      </c>
      <c r="AM180" s="431">
        <v>0.15</v>
      </c>
      <c r="AN180" s="431">
        <v>0.15</v>
      </c>
      <c r="AO180" s="431">
        <v>0.15</v>
      </c>
      <c r="AP180" s="432">
        <v>0.15</v>
      </c>
      <c r="AQ180" s="432">
        <v>0.15</v>
      </c>
      <c r="AR180" s="432">
        <v>0.15</v>
      </c>
      <c r="AS180" s="432">
        <v>0.15</v>
      </c>
      <c r="AT180" s="431">
        <v>0.15</v>
      </c>
      <c r="AU180" s="431">
        <v>0.15</v>
      </c>
      <c r="AV180" s="431">
        <v>0.14699999999999999</v>
      </c>
      <c r="AW180" s="291">
        <v>7.0261636029523997E-2</v>
      </c>
      <c r="AY180" s="306">
        <f t="shared" si="24"/>
        <v>0.14699999999999999</v>
      </c>
      <c r="AZ180" s="306">
        <f t="shared" si="25"/>
        <v>0.14699999999999999</v>
      </c>
      <c r="BA180" s="309">
        <f t="shared" si="26"/>
        <v>0.14699999999999999</v>
      </c>
      <c r="BB180" s="308">
        <f t="shared" si="27"/>
        <v>41760</v>
      </c>
      <c r="BC180" s="306">
        <f t="shared" si="21"/>
        <v>0.38899623481003959</v>
      </c>
      <c r="BD180" s="306">
        <f t="shared" si="22"/>
        <v>0.38906978694687727</v>
      </c>
      <c r="BF180" s="308">
        <f t="shared" si="28"/>
        <v>41760</v>
      </c>
      <c r="BG180" s="291">
        <v>168</v>
      </c>
    </row>
    <row r="181" spans="2:59" x14ac:dyDescent="0.25">
      <c r="B181" s="296">
        <f t="shared" si="23"/>
        <v>41791</v>
      </c>
      <c r="C181" s="294">
        <v>3.3039999999999998</v>
      </c>
      <c r="D181" s="294">
        <v>0.15</v>
      </c>
      <c r="E181" s="294">
        <v>7.0613516324604997E-2</v>
      </c>
      <c r="F181" s="294">
        <v>-0.19500000000000001</v>
      </c>
      <c r="G181" s="294">
        <v>0.02</v>
      </c>
      <c r="H181" s="294">
        <v>-0.19500000000000001</v>
      </c>
      <c r="I181" s="294">
        <v>0.16800000000000001</v>
      </c>
      <c r="J181" s="294">
        <v>0.1825</v>
      </c>
      <c r="K181" s="294">
        <v>0.20250000000000001</v>
      </c>
      <c r="L181" s="294">
        <v>-7.0000000000000007E-2</v>
      </c>
      <c r="M181" s="388">
        <v>-3.9999989999999997E-3</v>
      </c>
      <c r="N181" s="294">
        <v>0</v>
      </c>
      <c r="O181" s="294">
        <v>-0.28999999999999998</v>
      </c>
      <c r="P181" s="294">
        <v>6.4999999999999997E-3</v>
      </c>
      <c r="Q181" s="294">
        <v>1.6500000000000001E-2</v>
      </c>
      <c r="R181" s="389">
        <v>-9.4999990000000003E-3</v>
      </c>
      <c r="S181" s="291">
        <v>-0.03</v>
      </c>
      <c r="T181" s="291">
        <v>-0.105</v>
      </c>
      <c r="U181" s="291">
        <v>-2.2499999999999998E-3</v>
      </c>
      <c r="V181" s="291">
        <v>-7.2499999999999995E-2</v>
      </c>
      <c r="W181" s="291">
        <v>-0.12</v>
      </c>
      <c r="X181" s="291">
        <v>0.39500000000000002</v>
      </c>
      <c r="Y181" s="291">
        <v>5.0000000000000001E-3</v>
      </c>
      <c r="Z181" s="291">
        <v>-0.19</v>
      </c>
      <c r="AA181" s="291">
        <v>-1.2E-2</v>
      </c>
      <c r="AB181" s="306">
        <v>0.29499999999999998</v>
      </c>
      <c r="AC181" s="306">
        <v>0.28749999999999998</v>
      </c>
      <c r="AD181" s="306">
        <v>0.26300000000000001</v>
      </c>
      <c r="AE181" s="431">
        <v>0.15</v>
      </c>
      <c r="AF181" s="431">
        <v>0.15</v>
      </c>
      <c r="AG181" s="431">
        <v>0.14699999999999999</v>
      </c>
      <c r="AH181" s="431">
        <v>0.15</v>
      </c>
      <c r="AI181" s="431">
        <v>0.153</v>
      </c>
      <c r="AJ181" s="431">
        <v>0.15</v>
      </c>
      <c r="AK181" s="431">
        <v>0.14699999999999999</v>
      </c>
      <c r="AL181" s="431">
        <v>0.14699999999999999</v>
      </c>
      <c r="AM181" s="431">
        <v>0.15</v>
      </c>
      <c r="AN181" s="431">
        <v>0.15</v>
      </c>
      <c r="AO181" s="431">
        <v>0.15</v>
      </c>
      <c r="AP181" s="432">
        <v>0.15</v>
      </c>
      <c r="AQ181" s="432">
        <v>0.15</v>
      </c>
      <c r="AR181" s="432">
        <v>0.15</v>
      </c>
      <c r="AS181" s="432">
        <v>0.15</v>
      </c>
      <c r="AT181" s="431">
        <v>0.15</v>
      </c>
      <c r="AU181" s="431">
        <v>0.15</v>
      </c>
      <c r="AV181" s="431">
        <v>0.14699999999999999</v>
      </c>
      <c r="AW181" s="291">
        <v>7.0268589546602006E-2</v>
      </c>
      <c r="AY181" s="306">
        <f t="shared" si="24"/>
        <v>0.14699999999999999</v>
      </c>
      <c r="AZ181" s="306">
        <f t="shared" si="25"/>
        <v>0.14699999999999999</v>
      </c>
      <c r="BA181" s="309">
        <f t="shared" si="26"/>
        <v>0.14699999999999999</v>
      </c>
      <c r="BB181" s="308">
        <f t="shared" si="27"/>
        <v>41791</v>
      </c>
      <c r="BC181" s="306">
        <f t="shared" si="21"/>
        <v>0.38668726396556447</v>
      </c>
      <c r="BD181" s="306">
        <f t="shared" si="22"/>
        <v>0.38676038663099199</v>
      </c>
      <c r="BF181" s="308">
        <f t="shared" si="28"/>
        <v>41791</v>
      </c>
      <c r="BG181" s="291">
        <v>169</v>
      </c>
    </row>
    <row r="182" spans="2:59" x14ac:dyDescent="0.25">
      <c r="B182" s="296">
        <f t="shared" si="23"/>
        <v>41821</v>
      </c>
      <c r="C182" s="294">
        <v>3.3260000000000001</v>
      </c>
      <c r="D182" s="294">
        <v>0.15</v>
      </c>
      <c r="E182" s="294">
        <v>7.0614644726844006E-2</v>
      </c>
      <c r="F182" s="294">
        <v>-0.19500000000000001</v>
      </c>
      <c r="G182" s="294">
        <v>2.2499999999999999E-2</v>
      </c>
      <c r="H182" s="294">
        <v>-0.19500000000000001</v>
      </c>
      <c r="I182" s="294">
        <v>0.158</v>
      </c>
      <c r="J182" s="294">
        <v>0.1825</v>
      </c>
      <c r="K182" s="294">
        <v>0.215</v>
      </c>
      <c r="L182" s="294">
        <v>-6.3E-2</v>
      </c>
      <c r="M182" s="388">
        <v>-3.9999989999999997E-3</v>
      </c>
      <c r="N182" s="294">
        <v>0</v>
      </c>
      <c r="O182" s="294">
        <v>-0.28999999999999998</v>
      </c>
      <c r="P182" s="294">
        <v>6.4999999999999997E-3</v>
      </c>
      <c r="Q182" s="294">
        <v>1.6500000000000001E-2</v>
      </c>
      <c r="R182" s="389">
        <v>-9.4999990000000003E-3</v>
      </c>
      <c r="S182" s="291">
        <v>-0.03</v>
      </c>
      <c r="T182" s="291">
        <v>-0.105</v>
      </c>
      <c r="U182" s="291">
        <v>-2.2499999999999998E-3</v>
      </c>
      <c r="V182" s="291">
        <v>-6.7500000000000004E-2</v>
      </c>
      <c r="W182" s="291">
        <v>-0.12</v>
      </c>
      <c r="X182" s="291">
        <v>0.43</v>
      </c>
      <c r="Y182" s="291">
        <v>5.0000000000000001E-3</v>
      </c>
      <c r="Z182" s="291">
        <v>-0.19</v>
      </c>
      <c r="AA182" s="291">
        <v>-1.2E-2</v>
      </c>
      <c r="AB182" s="306">
        <v>0.29499999999999998</v>
      </c>
      <c r="AC182" s="306">
        <v>0.3</v>
      </c>
      <c r="AD182" s="306">
        <v>0.253</v>
      </c>
      <c r="AE182" s="431">
        <v>0.15</v>
      </c>
      <c r="AF182" s="431">
        <v>0.15</v>
      </c>
      <c r="AG182" s="431">
        <v>0.14699999999999999</v>
      </c>
      <c r="AH182" s="431">
        <v>0.15</v>
      </c>
      <c r="AI182" s="431">
        <v>0.153</v>
      </c>
      <c r="AJ182" s="431">
        <v>0.15</v>
      </c>
      <c r="AK182" s="431">
        <v>0.14699999999999999</v>
      </c>
      <c r="AL182" s="431">
        <v>0.14699999999999999</v>
      </c>
      <c r="AM182" s="431">
        <v>0.15</v>
      </c>
      <c r="AN182" s="431">
        <v>0.15</v>
      </c>
      <c r="AO182" s="431">
        <v>0.15</v>
      </c>
      <c r="AP182" s="432">
        <v>0.15</v>
      </c>
      <c r="AQ182" s="432">
        <v>0.15</v>
      </c>
      <c r="AR182" s="432">
        <v>0.15</v>
      </c>
      <c r="AS182" s="432">
        <v>0.15</v>
      </c>
      <c r="AT182" s="431">
        <v>0.15</v>
      </c>
      <c r="AU182" s="431">
        <v>0.15</v>
      </c>
      <c r="AV182" s="431">
        <v>0.14699999999999999</v>
      </c>
      <c r="AW182" s="291">
        <v>7.0275318756692004E-2</v>
      </c>
      <c r="AY182" s="306">
        <f t="shared" si="24"/>
        <v>0.14699999999999999</v>
      </c>
      <c r="AZ182" s="306">
        <f t="shared" si="25"/>
        <v>0.14699999999999999</v>
      </c>
      <c r="BA182" s="309">
        <f t="shared" si="26"/>
        <v>0.14699999999999999</v>
      </c>
      <c r="BB182" s="308">
        <f t="shared" si="27"/>
        <v>41821</v>
      </c>
      <c r="BC182" s="306">
        <f t="shared" si="21"/>
        <v>0.38446540894748304</v>
      </c>
      <c r="BD182" s="306">
        <f t="shared" si="22"/>
        <v>0.3845381183036225</v>
      </c>
      <c r="BF182" s="308">
        <f t="shared" si="28"/>
        <v>41821</v>
      </c>
      <c r="BG182" s="291">
        <v>170</v>
      </c>
    </row>
    <row r="183" spans="2:59" x14ac:dyDescent="0.25">
      <c r="B183" s="296">
        <f t="shared" si="23"/>
        <v>41852</v>
      </c>
      <c r="C183" s="294">
        <v>3.347</v>
      </c>
      <c r="D183" s="294">
        <v>0.15</v>
      </c>
      <c r="E183" s="294">
        <v>7.0615810742491E-2</v>
      </c>
      <c r="F183" s="294">
        <v>-0.19500000000000001</v>
      </c>
      <c r="G183" s="294">
        <v>2.5000000000000001E-2</v>
      </c>
      <c r="H183" s="294">
        <v>-0.19500000000000001</v>
      </c>
      <c r="I183" s="294">
        <v>0.155</v>
      </c>
      <c r="J183" s="294">
        <v>0.1825</v>
      </c>
      <c r="K183" s="294">
        <v>0.215</v>
      </c>
      <c r="L183" s="294">
        <v>-5.3999999999999999E-2</v>
      </c>
      <c r="M183" s="388">
        <v>-3.9999989999999997E-3</v>
      </c>
      <c r="N183" s="294">
        <v>0</v>
      </c>
      <c r="O183" s="294">
        <v>-0.28999999999999998</v>
      </c>
      <c r="P183" s="294">
        <v>6.4999999999999997E-3</v>
      </c>
      <c r="Q183" s="294">
        <v>1.6500000000000001E-2</v>
      </c>
      <c r="R183" s="389">
        <v>-9.4999990000000003E-3</v>
      </c>
      <c r="S183" s="291">
        <v>-0.03</v>
      </c>
      <c r="T183" s="291">
        <v>-0.105</v>
      </c>
      <c r="U183" s="291">
        <v>-2.2499999999999998E-3</v>
      </c>
      <c r="V183" s="291">
        <v>-6.7500000000000004E-2</v>
      </c>
      <c r="W183" s="291">
        <v>-0.12</v>
      </c>
      <c r="X183" s="291">
        <v>0.495</v>
      </c>
      <c r="Y183" s="291">
        <v>5.0000000000000001E-3</v>
      </c>
      <c r="Z183" s="291">
        <v>-0.19</v>
      </c>
      <c r="AA183" s="291">
        <v>-1.2E-2</v>
      </c>
      <c r="AB183" s="306">
        <v>0.29499999999999998</v>
      </c>
      <c r="AC183" s="306">
        <v>0.3</v>
      </c>
      <c r="AD183" s="306">
        <v>0.25</v>
      </c>
      <c r="AE183" s="431">
        <v>0.15</v>
      </c>
      <c r="AF183" s="431">
        <v>0.15</v>
      </c>
      <c r="AG183" s="431">
        <v>0.14699999999999999</v>
      </c>
      <c r="AH183" s="431">
        <v>0.15</v>
      </c>
      <c r="AI183" s="431">
        <v>0.153</v>
      </c>
      <c r="AJ183" s="431">
        <v>0.15</v>
      </c>
      <c r="AK183" s="431">
        <v>0.14699999999999999</v>
      </c>
      <c r="AL183" s="431">
        <v>0.14699999999999999</v>
      </c>
      <c r="AM183" s="431">
        <v>0.15</v>
      </c>
      <c r="AN183" s="431">
        <v>0.15</v>
      </c>
      <c r="AO183" s="431">
        <v>0.15</v>
      </c>
      <c r="AP183" s="432">
        <v>0.15</v>
      </c>
      <c r="AQ183" s="432">
        <v>0.15</v>
      </c>
      <c r="AR183" s="432">
        <v>0.15</v>
      </c>
      <c r="AS183" s="432">
        <v>0.15</v>
      </c>
      <c r="AT183" s="431">
        <v>0.15</v>
      </c>
      <c r="AU183" s="431">
        <v>0.15</v>
      </c>
      <c r="AV183" s="431">
        <v>0.14699999999999999</v>
      </c>
      <c r="AW183" s="291">
        <v>7.0282272273801003E-2</v>
      </c>
      <c r="AY183" s="306">
        <f t="shared" si="24"/>
        <v>0.14699999999999999</v>
      </c>
      <c r="AZ183" s="306">
        <f t="shared" si="25"/>
        <v>0.14699999999999999</v>
      </c>
      <c r="BA183" s="309">
        <f t="shared" si="26"/>
        <v>0.14699999999999999</v>
      </c>
      <c r="BB183" s="308">
        <f t="shared" si="27"/>
        <v>41852</v>
      </c>
      <c r="BC183" s="306">
        <f t="shared" si="21"/>
        <v>0.38218247450134174</v>
      </c>
      <c r="BD183" s="306">
        <f t="shared" si="22"/>
        <v>0.38225475914353574</v>
      </c>
      <c r="BF183" s="308">
        <f t="shared" si="28"/>
        <v>41852</v>
      </c>
      <c r="BG183" s="291">
        <v>171</v>
      </c>
    </row>
    <row r="184" spans="2:59" x14ac:dyDescent="0.25">
      <c r="B184" s="296">
        <f t="shared" si="23"/>
        <v>41883</v>
      </c>
      <c r="C184" s="294">
        <v>3.319</v>
      </c>
      <c r="D184" s="294">
        <v>0.15</v>
      </c>
      <c r="E184" s="294">
        <v>7.0616976758138994E-2</v>
      </c>
      <c r="F184" s="294">
        <v>-0.19500000000000001</v>
      </c>
      <c r="G184" s="294">
        <v>1.7500000000000002E-2</v>
      </c>
      <c r="H184" s="294">
        <v>-0.19500000000000001</v>
      </c>
      <c r="I184" s="294">
        <v>0.153</v>
      </c>
      <c r="J184" s="294">
        <v>0.1825</v>
      </c>
      <c r="K184" s="294">
        <v>0.19500000000000001</v>
      </c>
      <c r="L184" s="294">
        <v>-3.4000000000000002E-2</v>
      </c>
      <c r="M184" s="388">
        <v>-3.9999989999999997E-3</v>
      </c>
      <c r="N184" s="294">
        <v>0</v>
      </c>
      <c r="O184" s="294">
        <v>-0.28999999999999998</v>
      </c>
      <c r="P184" s="294">
        <v>6.4999999999999997E-3</v>
      </c>
      <c r="Q184" s="294">
        <v>1.6500000000000001E-2</v>
      </c>
      <c r="R184" s="389">
        <v>-9.4999990000000003E-3</v>
      </c>
      <c r="S184" s="291">
        <v>-0.03</v>
      </c>
      <c r="T184" s="291">
        <v>-9.5000000000000001E-2</v>
      </c>
      <c r="U184" s="291">
        <v>-2.2499999999999998E-3</v>
      </c>
      <c r="V184" s="291">
        <v>-8.2500000000000004E-2</v>
      </c>
      <c r="W184" s="291">
        <v>-0.12</v>
      </c>
      <c r="X184" s="291">
        <v>0.39500000000000002</v>
      </c>
      <c r="Y184" s="291">
        <v>5.0000000000000001E-3</v>
      </c>
      <c r="Z184" s="291">
        <v>-0.19</v>
      </c>
      <c r="AA184" s="291">
        <v>-1.2E-2</v>
      </c>
      <c r="AB184" s="306">
        <v>0.29499999999999998</v>
      </c>
      <c r="AC184" s="306">
        <v>0.28999999999999998</v>
      </c>
      <c r="AD184" s="306">
        <v>0.248</v>
      </c>
      <c r="AE184" s="431">
        <v>0.15</v>
      </c>
      <c r="AF184" s="431">
        <v>0.15</v>
      </c>
      <c r="AG184" s="431">
        <v>0.14699999999999999</v>
      </c>
      <c r="AH184" s="431">
        <v>0.15</v>
      </c>
      <c r="AI184" s="431">
        <v>0.153</v>
      </c>
      <c r="AJ184" s="431">
        <v>0.15</v>
      </c>
      <c r="AK184" s="431">
        <v>0.14699999999999999</v>
      </c>
      <c r="AL184" s="431">
        <v>0.14699999999999999</v>
      </c>
      <c r="AM184" s="431">
        <v>0.15</v>
      </c>
      <c r="AN184" s="431">
        <v>0.15</v>
      </c>
      <c r="AO184" s="431">
        <v>0.15</v>
      </c>
      <c r="AP184" s="432">
        <v>0.15</v>
      </c>
      <c r="AQ184" s="432">
        <v>0.15</v>
      </c>
      <c r="AR184" s="432">
        <v>0.15</v>
      </c>
      <c r="AS184" s="432">
        <v>0.15</v>
      </c>
      <c r="AT184" s="431">
        <v>0.15</v>
      </c>
      <c r="AU184" s="431">
        <v>0.15</v>
      </c>
      <c r="AV184" s="431">
        <v>0.14699999999999999</v>
      </c>
      <c r="AW184" s="291">
        <v>7.0289225790926002E-2</v>
      </c>
      <c r="AY184" s="306">
        <f t="shared" si="24"/>
        <v>0.14699999999999999</v>
      </c>
      <c r="AZ184" s="306">
        <f t="shared" si="25"/>
        <v>0.14699999999999999</v>
      </c>
      <c r="BA184" s="309">
        <f t="shared" si="26"/>
        <v>0.14699999999999999</v>
      </c>
      <c r="BB184" s="308">
        <f t="shared" si="27"/>
        <v>41883</v>
      </c>
      <c r="BC184" s="306">
        <f t="shared" si="21"/>
        <v>0.37991266291162779</v>
      </c>
      <c r="BD184" s="306">
        <f t="shared" si="22"/>
        <v>0.37998452523811621</v>
      </c>
      <c r="BF184" s="308">
        <f t="shared" si="28"/>
        <v>41883</v>
      </c>
      <c r="BG184" s="291">
        <v>172</v>
      </c>
    </row>
    <row r="185" spans="2:59" x14ac:dyDescent="0.25">
      <c r="B185" s="296">
        <f t="shared" si="23"/>
        <v>41913</v>
      </c>
      <c r="C185" s="294">
        <v>3.323</v>
      </c>
      <c r="D185" s="294">
        <v>0.15</v>
      </c>
      <c r="E185" s="294">
        <v>7.0618105160380001E-2</v>
      </c>
      <c r="F185" s="294">
        <v>-0.19500000000000001</v>
      </c>
      <c r="G185" s="294">
        <v>7.4999999999999997E-3</v>
      </c>
      <c r="H185" s="294">
        <v>-0.19500000000000001</v>
      </c>
      <c r="I185" s="294">
        <v>0.16800000000000001</v>
      </c>
      <c r="J185" s="294">
        <v>0.1875</v>
      </c>
      <c r="K185" s="294">
        <v>0.215</v>
      </c>
      <c r="L185" s="294">
        <v>-4.3999999999999997E-2</v>
      </c>
      <c r="M185" s="388">
        <v>-3.9999989999999997E-3</v>
      </c>
      <c r="N185" s="294">
        <v>0</v>
      </c>
      <c r="O185" s="294">
        <v>-0.28999999999999998</v>
      </c>
      <c r="P185" s="294">
        <v>6.4999999999999997E-3</v>
      </c>
      <c r="Q185" s="294">
        <v>1.6500000000000001E-2</v>
      </c>
      <c r="R185" s="389">
        <v>-9.4999990000000003E-3</v>
      </c>
      <c r="S185" s="291">
        <v>-0.03</v>
      </c>
      <c r="T185" s="291">
        <v>-0.08</v>
      </c>
      <c r="U185" s="291">
        <v>-2.0500000000000001E-2</v>
      </c>
      <c r="V185" s="291">
        <v>-8.5000000000000006E-2</v>
      </c>
      <c r="W185" s="291">
        <v>-0.12</v>
      </c>
      <c r="X185" s="291">
        <v>0.46100000000000002</v>
      </c>
      <c r="Y185" s="291">
        <v>5.0000000000000001E-3</v>
      </c>
      <c r="Z185" s="291">
        <v>-0.19</v>
      </c>
      <c r="AA185" s="291">
        <v>-1.2E-2</v>
      </c>
      <c r="AB185" s="306">
        <v>0.29499999999999998</v>
      </c>
      <c r="AC185" s="306">
        <v>0.36249999999999999</v>
      </c>
      <c r="AD185" s="306">
        <v>0.26300000000000001</v>
      </c>
      <c r="AE185" s="431">
        <v>0.15</v>
      </c>
      <c r="AF185" s="431">
        <v>0.15</v>
      </c>
      <c r="AG185" s="431">
        <v>0.14699999999999999</v>
      </c>
      <c r="AH185" s="431">
        <v>0.15</v>
      </c>
      <c r="AI185" s="431">
        <v>0.153</v>
      </c>
      <c r="AJ185" s="431">
        <v>0.15</v>
      </c>
      <c r="AK185" s="431">
        <v>0.14699999999999999</v>
      </c>
      <c r="AL185" s="431">
        <v>0.14699999999999999</v>
      </c>
      <c r="AM185" s="431">
        <v>0.15</v>
      </c>
      <c r="AN185" s="431">
        <v>0.15</v>
      </c>
      <c r="AO185" s="431">
        <v>0.15</v>
      </c>
      <c r="AP185" s="432">
        <v>0.15</v>
      </c>
      <c r="AQ185" s="432">
        <v>0.15</v>
      </c>
      <c r="AR185" s="432">
        <v>0.15</v>
      </c>
      <c r="AS185" s="432">
        <v>0.15</v>
      </c>
      <c r="AT185" s="431">
        <v>0.15</v>
      </c>
      <c r="AU185" s="431">
        <v>0.15</v>
      </c>
      <c r="AV185" s="431">
        <v>0.14699999999999999</v>
      </c>
      <c r="AW185" s="291">
        <v>7.0295955001062005E-2</v>
      </c>
      <c r="AY185" s="306">
        <f t="shared" si="24"/>
        <v>0.14699999999999999</v>
      </c>
      <c r="AZ185" s="306">
        <f t="shared" si="25"/>
        <v>0.14699999999999999</v>
      </c>
      <c r="BA185" s="309">
        <f t="shared" si="26"/>
        <v>0.14699999999999999</v>
      </c>
      <c r="BB185" s="308">
        <f t="shared" si="27"/>
        <v>41913</v>
      </c>
      <c r="BC185" s="306">
        <f t="shared" si="21"/>
        <v>0.37772849720759405</v>
      </c>
      <c r="BD185" s="306">
        <f t="shared" si="22"/>
        <v>0.37779995311262293</v>
      </c>
      <c r="BF185" s="308">
        <f t="shared" si="28"/>
        <v>41913</v>
      </c>
      <c r="BG185" s="291">
        <v>173</v>
      </c>
    </row>
    <row r="186" spans="2:59" x14ac:dyDescent="0.25">
      <c r="B186" s="296">
        <f t="shared" si="23"/>
        <v>41944</v>
      </c>
      <c r="C186" s="294">
        <v>3.36</v>
      </c>
      <c r="D186" s="294">
        <v>0.15</v>
      </c>
      <c r="E186" s="294">
        <v>7.0619271176027995E-2</v>
      </c>
      <c r="F186" s="294">
        <v>-0.19</v>
      </c>
      <c r="G186" s="294">
        <v>-3.2500000000000001E-2</v>
      </c>
      <c r="H186" s="294">
        <v>-0.19</v>
      </c>
      <c r="I186" s="294">
        <v>0.23</v>
      </c>
      <c r="J186" s="294">
        <v>0.27</v>
      </c>
      <c r="K186" s="294">
        <v>0.28749999999999998</v>
      </c>
      <c r="L186" s="294">
        <v>-5.8999999999999997E-2</v>
      </c>
      <c r="M186" s="388">
        <v>3.5000000000000001E-3</v>
      </c>
      <c r="N186" s="294">
        <v>0</v>
      </c>
      <c r="O186" s="294">
        <v>0</v>
      </c>
      <c r="P186" s="294">
        <v>1.6E-2</v>
      </c>
      <c r="Q186" s="294">
        <v>8.5000000000000006E-3</v>
      </c>
      <c r="R186" s="389">
        <v>-1.2500000000000001E-2</v>
      </c>
      <c r="S186" s="291">
        <v>-0.03</v>
      </c>
      <c r="T186" s="291">
        <v>-4.2500000000000003E-2</v>
      </c>
      <c r="U186" s="291">
        <v>-1.95E-2</v>
      </c>
      <c r="V186" s="291">
        <v>-8.2500000000000004E-2</v>
      </c>
      <c r="W186" s="291">
        <v>-0.13250000000000001</v>
      </c>
      <c r="X186" s="291">
        <v>0.76749999999999996</v>
      </c>
      <c r="Y186" s="291">
        <v>5.0000000000000001E-3</v>
      </c>
      <c r="Z186" s="291">
        <v>-0.19</v>
      </c>
      <c r="AA186" s="291">
        <v>-1.35E-2</v>
      </c>
      <c r="AB186" s="306">
        <v>0.12</v>
      </c>
      <c r="AC186" s="306">
        <v>0.46500000000000002</v>
      </c>
      <c r="AD186" s="306">
        <v>0.32500000000000001</v>
      </c>
      <c r="AE186" s="431">
        <v>0.15</v>
      </c>
      <c r="AF186" s="431">
        <v>0.15</v>
      </c>
      <c r="AG186" s="431">
        <v>0.16500000000000001</v>
      </c>
      <c r="AH186" s="431">
        <v>0.15</v>
      </c>
      <c r="AI186" s="431">
        <v>0.153</v>
      </c>
      <c r="AJ186" s="431">
        <v>0.15</v>
      </c>
      <c r="AK186" s="431">
        <v>0.15</v>
      </c>
      <c r="AL186" s="431">
        <v>0.15</v>
      </c>
      <c r="AM186" s="431">
        <v>0.15</v>
      </c>
      <c r="AN186" s="431">
        <v>0.15</v>
      </c>
      <c r="AO186" s="431">
        <v>0.15</v>
      </c>
      <c r="AP186" s="432">
        <v>0.15</v>
      </c>
      <c r="AQ186" s="432">
        <v>0.15</v>
      </c>
      <c r="AR186" s="432">
        <v>0.15</v>
      </c>
      <c r="AS186" s="432">
        <v>0.15</v>
      </c>
      <c r="AT186" s="431">
        <v>0.15</v>
      </c>
      <c r="AU186" s="431">
        <v>0.15</v>
      </c>
      <c r="AV186" s="431">
        <v>0.16500000000000001</v>
      </c>
      <c r="AW186" s="291">
        <v>7.0302908518217994E-2</v>
      </c>
      <c r="AY186" s="306">
        <f t="shared" si="24"/>
        <v>0.16500000000000001</v>
      </c>
      <c r="AZ186" s="306">
        <f t="shared" si="25"/>
        <v>0.16500000000000001</v>
      </c>
      <c r="BA186" s="309">
        <f t="shared" si="26"/>
        <v>0.16500000000000001</v>
      </c>
      <c r="BB186" s="308">
        <f t="shared" si="27"/>
        <v>41944</v>
      </c>
      <c r="BC186" s="306">
        <f t="shared" si="21"/>
        <v>0.37548429588141247</v>
      </c>
      <c r="BD186" s="306">
        <f t="shared" si="22"/>
        <v>0.3755553341518344</v>
      </c>
      <c r="BF186" s="308">
        <f t="shared" si="28"/>
        <v>41944</v>
      </c>
      <c r="BG186" s="291">
        <v>174</v>
      </c>
    </row>
    <row r="187" spans="2:59" x14ac:dyDescent="0.25">
      <c r="B187" s="296">
        <f t="shared" si="23"/>
        <v>41974</v>
      </c>
      <c r="C187" s="294">
        <v>3.4129999999999998</v>
      </c>
      <c r="D187" s="294">
        <v>0.15</v>
      </c>
      <c r="E187" s="294">
        <v>7.0620399578269002E-2</v>
      </c>
      <c r="F187" s="294">
        <v>-0.19750000000000001</v>
      </c>
      <c r="G187" s="294">
        <v>-5.5E-2</v>
      </c>
      <c r="H187" s="294">
        <v>-0.19750000000000001</v>
      </c>
      <c r="I187" s="294">
        <v>0.27</v>
      </c>
      <c r="J187" s="294">
        <v>0.30499999999999999</v>
      </c>
      <c r="K187" s="294">
        <v>0.33750000000000002</v>
      </c>
      <c r="L187" s="294">
        <v>-5.8999999999999997E-2</v>
      </c>
      <c r="M187" s="294">
        <v>3.5000000000000001E-3</v>
      </c>
      <c r="N187" s="294">
        <v>0</v>
      </c>
      <c r="O187" s="294">
        <v>0.06</v>
      </c>
      <c r="P187" s="294">
        <v>1.6E-2</v>
      </c>
      <c r="Q187" s="294">
        <v>8.5000000000000006E-3</v>
      </c>
      <c r="R187" s="291">
        <v>-1.2500000000000001E-2</v>
      </c>
      <c r="S187" s="291">
        <v>-0.03</v>
      </c>
      <c r="T187" s="291">
        <v>-3.5000000000000003E-2</v>
      </c>
      <c r="U187" s="291">
        <v>-1.95E-2</v>
      </c>
      <c r="V187" s="291">
        <v>-0.11749999999999999</v>
      </c>
      <c r="W187" s="291">
        <v>-0.1275</v>
      </c>
      <c r="X187" s="291">
        <v>1.19</v>
      </c>
      <c r="Y187" s="291">
        <v>5.0000000000000001E-3</v>
      </c>
      <c r="Z187" s="291">
        <v>-0.19</v>
      </c>
      <c r="AA187" s="291">
        <v>-1.35E-2</v>
      </c>
      <c r="AB187" s="306">
        <v>0.12</v>
      </c>
      <c r="AC187" s="306">
        <v>0.8</v>
      </c>
      <c r="AD187" s="306">
        <v>0.36499999999999999</v>
      </c>
      <c r="AE187" s="431">
        <v>0.15</v>
      </c>
      <c r="AF187" s="431">
        <v>0.15</v>
      </c>
      <c r="AG187" s="431">
        <v>0.16500000000000001</v>
      </c>
      <c r="AH187" s="431">
        <v>0.15</v>
      </c>
      <c r="AI187" s="431">
        <v>0.153</v>
      </c>
      <c r="AJ187" s="431">
        <v>0.15</v>
      </c>
      <c r="AK187" s="431">
        <v>0.15</v>
      </c>
      <c r="AL187" s="431">
        <v>0.15</v>
      </c>
      <c r="AM187" s="431">
        <v>0.15</v>
      </c>
      <c r="AN187" s="431">
        <v>0.15</v>
      </c>
      <c r="AO187" s="431">
        <v>0.15</v>
      </c>
      <c r="AP187" s="432">
        <v>0.15</v>
      </c>
      <c r="AQ187" s="432">
        <v>0.15</v>
      </c>
      <c r="AR187" s="432">
        <v>0.15</v>
      </c>
      <c r="AS187" s="432">
        <v>0.15</v>
      </c>
      <c r="AT187" s="431">
        <v>0.15</v>
      </c>
      <c r="AU187" s="431">
        <v>0.15</v>
      </c>
      <c r="AV187" s="431">
        <v>0.16500000000000001</v>
      </c>
      <c r="AW187" s="291">
        <v>7.0309637728384999E-2</v>
      </c>
      <c r="AY187" s="306">
        <f t="shared" si="24"/>
        <v>0.16500000000000001</v>
      </c>
      <c r="AZ187" s="306">
        <f t="shared" si="25"/>
        <v>0.16500000000000001</v>
      </c>
      <c r="BA187" s="309">
        <f t="shared" si="26"/>
        <v>0.16500000000000001</v>
      </c>
      <c r="BB187" s="308">
        <f t="shared" si="27"/>
        <v>41974</v>
      </c>
      <c r="BC187" s="306">
        <f t="shared" si="21"/>
        <v>0.37332477902226557</v>
      </c>
      <c r="BD187" s="306">
        <f t="shared" si="22"/>
        <v>0.37339541537707449</v>
      </c>
      <c r="BF187" s="308">
        <f t="shared" si="28"/>
        <v>41974</v>
      </c>
      <c r="BG187" s="291">
        <v>175</v>
      </c>
    </row>
    <row r="188" spans="2:59" x14ac:dyDescent="0.25">
      <c r="B188" s="296">
        <f t="shared" si="23"/>
        <v>42005</v>
      </c>
      <c r="C188" s="294">
        <v>3.7309999999999999</v>
      </c>
      <c r="D188" s="294">
        <v>0.15</v>
      </c>
      <c r="E188" s="294">
        <v>7.0621565593918995E-2</v>
      </c>
      <c r="F188" s="294">
        <v>-0.2</v>
      </c>
      <c r="G188" s="294">
        <v>-5.7500000000000002E-2</v>
      </c>
      <c r="H188" s="294">
        <v>-0.2</v>
      </c>
      <c r="I188" s="294">
        <v>0.28000000000000003</v>
      </c>
      <c r="J188" s="294">
        <v>0.30499999999999999</v>
      </c>
      <c r="K188" s="294">
        <v>0.4375</v>
      </c>
      <c r="L188" s="294">
        <v>-5.8999999999999997E-2</v>
      </c>
      <c r="M188" s="294">
        <v>5.4999999999999997E-3</v>
      </c>
      <c r="N188" s="294">
        <v>0</v>
      </c>
      <c r="P188" s="294">
        <v>1.6E-2</v>
      </c>
      <c r="Q188" s="294">
        <v>8.5000000000000006E-3</v>
      </c>
      <c r="R188" s="291">
        <v>-7.9999990000000007E-3</v>
      </c>
      <c r="S188" s="291">
        <v>-0.03</v>
      </c>
      <c r="T188" s="291">
        <v>-0.02</v>
      </c>
      <c r="U188" s="291">
        <v>-1.95E-2</v>
      </c>
      <c r="V188" s="291">
        <v>-0.123</v>
      </c>
      <c r="W188" s="291">
        <v>-0.1275</v>
      </c>
      <c r="X188" s="291">
        <v>1.5249999999999999</v>
      </c>
      <c r="Y188" s="291">
        <v>5.0000000000000001E-3</v>
      </c>
      <c r="Z188" s="291">
        <v>-0.19</v>
      </c>
      <c r="AA188" s="291">
        <v>-1.35E-2</v>
      </c>
      <c r="AB188" s="306">
        <v>0.12</v>
      </c>
      <c r="AC188" s="306">
        <v>0.97499999999999998</v>
      </c>
      <c r="AD188" s="306">
        <v>0.375</v>
      </c>
      <c r="AE188" s="431">
        <v>0.15</v>
      </c>
      <c r="AF188" s="431">
        <v>0.15</v>
      </c>
      <c r="AG188" s="431">
        <v>0.16500000000000001</v>
      </c>
      <c r="AH188" s="431">
        <v>0.15</v>
      </c>
      <c r="AI188" s="431">
        <v>0.153</v>
      </c>
      <c r="AJ188" s="431">
        <v>0.15</v>
      </c>
      <c r="AK188" s="431">
        <v>0.15</v>
      </c>
      <c r="AL188" s="431">
        <v>0.15</v>
      </c>
      <c r="AM188" s="431">
        <v>0.15</v>
      </c>
      <c r="AN188" s="431">
        <v>0.15</v>
      </c>
      <c r="AO188" s="431">
        <v>0.15</v>
      </c>
      <c r="AP188" s="432">
        <v>0.15</v>
      </c>
      <c r="AQ188" s="432">
        <v>0.15</v>
      </c>
      <c r="AR188" s="432">
        <v>0.15</v>
      </c>
      <c r="AS188" s="432">
        <v>0.15</v>
      </c>
      <c r="AT188" s="431">
        <v>0.15</v>
      </c>
      <c r="AU188" s="431">
        <v>0.15</v>
      </c>
      <c r="AV188" s="431">
        <v>0.16500000000000001</v>
      </c>
      <c r="AW188" s="291">
        <v>7.0316591245573004E-2</v>
      </c>
      <c r="AY188" s="306">
        <f t="shared" si="24"/>
        <v>0.16500000000000001</v>
      </c>
      <c r="AZ188" s="306">
        <f t="shared" si="25"/>
        <v>0.16500000000000001</v>
      </c>
      <c r="BA188" s="309">
        <f t="shared" si="26"/>
        <v>0.16500000000000001</v>
      </c>
      <c r="BB188" s="308">
        <f t="shared" si="27"/>
        <v>42005</v>
      </c>
      <c r="BC188" s="306">
        <f t="shared" si="21"/>
        <v>0.37110590911569541</v>
      </c>
      <c r="BD188" s="306">
        <f t="shared" si="22"/>
        <v>0.3711761324670112</v>
      </c>
      <c r="BF188" s="308">
        <f t="shared" si="28"/>
        <v>42005</v>
      </c>
      <c r="BG188" s="291">
        <v>176</v>
      </c>
    </row>
    <row r="189" spans="2:59" x14ac:dyDescent="0.25">
      <c r="B189" s="296">
        <f t="shared" si="23"/>
        <v>42036</v>
      </c>
      <c r="C189" s="294">
        <v>3.637</v>
      </c>
      <c r="D189" s="294">
        <v>0.15</v>
      </c>
      <c r="E189" s="294">
        <v>7.0622731609569001E-2</v>
      </c>
      <c r="F189" s="294">
        <v>-0.20250000000000001</v>
      </c>
      <c r="G189" s="294">
        <v>-0.04</v>
      </c>
      <c r="H189" s="294">
        <v>-0.20250000000000001</v>
      </c>
      <c r="I189" s="294">
        <v>0.255</v>
      </c>
      <c r="J189" s="294">
        <v>0.30499999999999999</v>
      </c>
      <c r="K189" s="294">
        <v>0.435</v>
      </c>
      <c r="L189" s="294">
        <v>-5.8999999999999997E-2</v>
      </c>
      <c r="M189" s="294">
        <v>5.4999999999999997E-3</v>
      </c>
      <c r="N189" s="294">
        <v>0</v>
      </c>
      <c r="P189" s="294">
        <v>1.6E-2</v>
      </c>
      <c r="Q189" s="294">
        <v>8.5000000000000006E-3</v>
      </c>
      <c r="R189" s="389">
        <v>-7.9999990000000007E-3</v>
      </c>
      <c r="S189" s="291">
        <v>-0.03</v>
      </c>
      <c r="T189" s="291">
        <v>-0.02</v>
      </c>
      <c r="U189" s="291">
        <v>-1.95E-2</v>
      </c>
      <c r="V189" s="291">
        <v>-0.1055</v>
      </c>
      <c r="W189" s="291">
        <v>-0.1275</v>
      </c>
      <c r="X189" s="291">
        <v>1.4550000000000001</v>
      </c>
      <c r="Y189" s="291">
        <v>5.0000000000000001E-3</v>
      </c>
      <c r="Z189" s="291">
        <v>-0.19</v>
      </c>
      <c r="AA189" s="291">
        <v>-1.35E-2</v>
      </c>
      <c r="AB189" s="306">
        <v>0.12</v>
      </c>
      <c r="AC189" s="306">
        <v>0.97499999999999998</v>
      </c>
      <c r="AD189" s="306">
        <v>0.35</v>
      </c>
      <c r="AE189" s="431">
        <v>0.15</v>
      </c>
      <c r="AF189" s="431">
        <v>0.15</v>
      </c>
      <c r="AG189" s="431">
        <v>0.16500000000000001</v>
      </c>
      <c r="AH189" s="431">
        <v>0.15</v>
      </c>
      <c r="AI189" s="431">
        <v>0.153</v>
      </c>
      <c r="AJ189" s="431">
        <v>0.15</v>
      </c>
      <c r="AK189" s="431">
        <v>0.15</v>
      </c>
      <c r="AL189" s="431">
        <v>0.15</v>
      </c>
      <c r="AM189" s="431">
        <v>0.15</v>
      </c>
      <c r="AN189" s="431">
        <v>0.15</v>
      </c>
      <c r="AO189" s="431">
        <v>0.15</v>
      </c>
      <c r="AP189" s="432">
        <v>0.15</v>
      </c>
      <c r="AQ189" s="432">
        <v>0.15</v>
      </c>
      <c r="AR189" s="432">
        <v>0.15</v>
      </c>
      <c r="AS189" s="432">
        <v>0.15</v>
      </c>
      <c r="AT189" s="431">
        <v>0.15</v>
      </c>
      <c r="AU189" s="431">
        <v>0.15</v>
      </c>
      <c r="AV189" s="431">
        <v>0.16500000000000001</v>
      </c>
      <c r="AW189" s="291">
        <v>7.0323544762775997E-2</v>
      </c>
      <c r="AY189" s="306">
        <f t="shared" si="24"/>
        <v>0.16500000000000001</v>
      </c>
      <c r="AZ189" s="306">
        <f t="shared" si="25"/>
        <v>0.16500000000000001</v>
      </c>
      <c r="BA189" s="309">
        <f t="shared" si="26"/>
        <v>0.16500000000000001</v>
      </c>
      <c r="BB189" s="308">
        <f t="shared" si="27"/>
        <v>42036</v>
      </c>
      <c r="BC189" s="306">
        <f t="shared" si="21"/>
        <v>0.3688998066279966</v>
      </c>
      <c r="BD189" s="306">
        <f t="shared" si="22"/>
        <v>0.36896961931034455</v>
      </c>
      <c r="BF189" s="308">
        <f t="shared" si="28"/>
        <v>42036</v>
      </c>
      <c r="BG189" s="291">
        <v>177</v>
      </c>
    </row>
    <row r="190" spans="2:59" x14ac:dyDescent="0.25">
      <c r="B190" s="296">
        <f t="shared" si="23"/>
        <v>42064</v>
      </c>
      <c r="C190" s="294">
        <v>3.5030000000000001</v>
      </c>
      <c r="D190" s="294">
        <v>0.15</v>
      </c>
      <c r="E190" s="294">
        <v>7.0623784785000004E-2</v>
      </c>
      <c r="F190" s="294">
        <v>-0.20499999999999999</v>
      </c>
      <c r="G190" s="294">
        <v>-2.75E-2</v>
      </c>
      <c r="H190" s="294">
        <v>-0.20499999999999999</v>
      </c>
      <c r="I190" s="294">
        <v>0.253</v>
      </c>
      <c r="J190" s="294">
        <v>0.26500000000000001</v>
      </c>
      <c r="K190" s="294">
        <v>0.30249999999999999</v>
      </c>
      <c r="L190" s="294">
        <v>-5.8999999999999997E-2</v>
      </c>
      <c r="M190" s="294">
        <v>5.4999999999999997E-3</v>
      </c>
      <c r="N190" s="294">
        <v>0</v>
      </c>
      <c r="P190" s="294">
        <v>1.6E-2</v>
      </c>
      <c r="Q190" s="294">
        <v>8.5000000000000006E-3</v>
      </c>
      <c r="R190" s="389">
        <v>-7.9999990000000007E-3</v>
      </c>
      <c r="S190" s="291">
        <v>-0.03</v>
      </c>
      <c r="T190" s="291">
        <v>-0.02</v>
      </c>
      <c r="U190" s="389">
        <v>9.9999999999999395E-4</v>
      </c>
      <c r="V190" s="291">
        <v>-8.7999999999999995E-2</v>
      </c>
      <c r="W190" s="291">
        <v>-0.13250000000000001</v>
      </c>
      <c r="X190" s="291">
        <v>0.83499999999999996</v>
      </c>
      <c r="Y190" s="291">
        <v>5.0000000000000001E-3</v>
      </c>
      <c r="Z190" s="291">
        <v>-0.19</v>
      </c>
      <c r="AA190" s="291">
        <v>-1.35E-2</v>
      </c>
      <c r="AB190" s="306">
        <v>0.12</v>
      </c>
      <c r="AC190" s="306">
        <v>0.60750000000000004</v>
      </c>
      <c r="AD190" s="306">
        <v>0.34799999999999998</v>
      </c>
      <c r="AE190" s="431">
        <v>0.15</v>
      </c>
      <c r="AF190" s="431">
        <v>0.15</v>
      </c>
      <c r="AG190" s="431">
        <v>0.16500000000000001</v>
      </c>
      <c r="AH190" s="431">
        <v>0.15</v>
      </c>
      <c r="AI190" s="431">
        <v>0.153</v>
      </c>
      <c r="AJ190" s="431">
        <v>0.15</v>
      </c>
      <c r="AK190" s="431">
        <v>0.15</v>
      </c>
      <c r="AL190" s="431">
        <v>0.15</v>
      </c>
      <c r="AM190" s="431">
        <v>0.15</v>
      </c>
      <c r="AN190" s="431">
        <v>0.15</v>
      </c>
      <c r="AO190" s="431">
        <v>0.15</v>
      </c>
      <c r="AP190" s="432">
        <v>0.15</v>
      </c>
      <c r="AQ190" s="432">
        <v>0.15</v>
      </c>
      <c r="AR190" s="432">
        <v>0.15</v>
      </c>
      <c r="AS190" s="432">
        <v>0.15</v>
      </c>
      <c r="AT190" s="431">
        <v>0.15</v>
      </c>
      <c r="AU190" s="431">
        <v>0.15</v>
      </c>
      <c r="AV190" s="431">
        <v>0.16500000000000001</v>
      </c>
      <c r="AW190" s="291">
        <v>7.0329825358974002E-2</v>
      </c>
      <c r="AY190" s="306">
        <f t="shared" si="24"/>
        <v>0.16500000000000001</v>
      </c>
      <c r="AZ190" s="306">
        <f t="shared" si="25"/>
        <v>0.16500000000000001</v>
      </c>
      <c r="BA190" s="309">
        <f t="shared" si="26"/>
        <v>0.16500000000000001</v>
      </c>
      <c r="BB190" s="308">
        <f t="shared" si="27"/>
        <v>42064</v>
      </c>
      <c r="BC190" s="306">
        <f t="shared" si="21"/>
        <v>0.36691811283191805</v>
      </c>
      <c r="BD190" s="306">
        <f t="shared" si="22"/>
        <v>0.36698755658345694</v>
      </c>
      <c r="BF190" s="308">
        <f t="shared" si="28"/>
        <v>42064</v>
      </c>
      <c r="BG190" s="291">
        <v>178</v>
      </c>
    </row>
    <row r="191" spans="2:59" x14ac:dyDescent="0.25">
      <c r="B191" s="296">
        <f t="shared" si="23"/>
        <v>42095</v>
      </c>
      <c r="C191" s="294">
        <v>3.3610000000000002</v>
      </c>
      <c r="D191" s="294">
        <v>0.15</v>
      </c>
      <c r="E191" s="294">
        <v>7.0624950800646999E-2</v>
      </c>
      <c r="F191" s="294">
        <v>-0.19500000000000001</v>
      </c>
      <c r="G191" s="294">
        <v>1.4999999999999999E-2</v>
      </c>
      <c r="H191" s="294">
        <v>-0.19500000000000001</v>
      </c>
      <c r="I191" s="294">
        <v>0.158</v>
      </c>
      <c r="J191" s="294">
        <v>0.19500000000000001</v>
      </c>
      <c r="K191" s="294">
        <v>0.25</v>
      </c>
      <c r="L191" s="294">
        <v>-5.1999999999999998E-2</v>
      </c>
      <c r="M191" s="294">
        <v>-1.9999990000000001E-3</v>
      </c>
      <c r="N191" s="294">
        <v>0</v>
      </c>
      <c r="P191" s="294">
        <v>6.4999999999999997E-3</v>
      </c>
      <c r="Q191" s="294">
        <v>1.8499999999999999E-2</v>
      </c>
      <c r="R191" s="389">
        <v>-7.4999990000000002E-3</v>
      </c>
      <c r="S191" s="291">
        <v>-0.03</v>
      </c>
      <c r="T191" s="291">
        <v>-6.5000000000000002E-2</v>
      </c>
      <c r="U191" s="389">
        <v>9.9999999999999395E-4</v>
      </c>
      <c r="V191" s="291">
        <v>-8.0500000000000002E-2</v>
      </c>
      <c r="W191" s="291">
        <v>-0.12</v>
      </c>
      <c r="X191" s="291">
        <v>0.45</v>
      </c>
      <c r="Y191" s="291">
        <v>5.0000000000000001E-3</v>
      </c>
      <c r="Z191" s="291">
        <v>-0.19</v>
      </c>
      <c r="AA191" s="291">
        <v>-1.0999999999999999E-2</v>
      </c>
      <c r="AB191" s="306">
        <v>0.29499999999999998</v>
      </c>
      <c r="AC191" s="306">
        <v>0.35499999999999998</v>
      </c>
      <c r="AD191" s="306">
        <v>0.253</v>
      </c>
      <c r="AE191" s="431">
        <v>0.15</v>
      </c>
      <c r="AF191" s="431">
        <v>0.15</v>
      </c>
      <c r="AG191" s="431">
        <v>0.14699999999999999</v>
      </c>
      <c r="AH191" s="431">
        <v>0.15</v>
      </c>
      <c r="AI191" s="431">
        <v>0.153</v>
      </c>
      <c r="AJ191" s="431">
        <v>0.15</v>
      </c>
      <c r="AK191" s="431">
        <v>0.14699999999999999</v>
      </c>
      <c r="AL191" s="431">
        <v>0.14699999999999999</v>
      </c>
      <c r="AM191" s="431">
        <v>0.15</v>
      </c>
      <c r="AN191" s="431">
        <v>0.15</v>
      </c>
      <c r="AO191" s="431">
        <v>0.15</v>
      </c>
      <c r="AP191" s="432">
        <v>0.15</v>
      </c>
      <c r="AQ191" s="432">
        <v>0.15</v>
      </c>
      <c r="AR191" s="432">
        <v>0.15</v>
      </c>
      <c r="AS191" s="432">
        <v>0.15</v>
      </c>
      <c r="AT191" s="431">
        <v>0.15</v>
      </c>
      <c r="AU191" s="431">
        <v>0.15</v>
      </c>
      <c r="AV191" s="431">
        <v>0.14699999999999999</v>
      </c>
      <c r="AW191" s="291">
        <v>7.0336778876207998E-2</v>
      </c>
      <c r="AY191" s="306">
        <f t="shared" si="24"/>
        <v>0.14699999999999999</v>
      </c>
      <c r="AZ191" s="306">
        <f t="shared" si="25"/>
        <v>0.14699999999999999</v>
      </c>
      <c r="BA191" s="309">
        <f t="shared" si="26"/>
        <v>0.14699999999999999</v>
      </c>
      <c r="BB191" s="308">
        <f t="shared" si="27"/>
        <v>42095</v>
      </c>
      <c r="BC191" s="306">
        <f t="shared" si="21"/>
        <v>0.36473611411250217</v>
      </c>
      <c r="BD191" s="306">
        <f t="shared" si="22"/>
        <v>0.36480515160314192</v>
      </c>
      <c r="BF191" s="308">
        <f t="shared" si="28"/>
        <v>42095</v>
      </c>
      <c r="BG191" s="291">
        <v>179</v>
      </c>
    </row>
    <row r="192" spans="2:59" x14ac:dyDescent="0.25">
      <c r="B192" s="296">
        <f t="shared" si="23"/>
        <v>42125</v>
      </c>
      <c r="C192" s="294">
        <v>3.3610000000000002</v>
      </c>
      <c r="D192" s="294">
        <v>0.15</v>
      </c>
      <c r="E192" s="294">
        <v>7.0626079202890005E-2</v>
      </c>
      <c r="F192" s="294">
        <v>-0.19500000000000001</v>
      </c>
      <c r="G192" s="294">
        <v>1.4999999999999999E-2</v>
      </c>
      <c r="H192" s="294">
        <v>-0.19500000000000001</v>
      </c>
      <c r="I192" s="294">
        <v>0.16800000000000001</v>
      </c>
      <c r="J192" s="294">
        <v>0.1825</v>
      </c>
      <c r="K192" s="294">
        <v>0.20250000000000001</v>
      </c>
      <c r="L192" s="294">
        <v>-5.1999999999999998E-2</v>
      </c>
      <c r="M192" s="388">
        <v>-1.9999990000000001E-3</v>
      </c>
      <c r="N192" s="294">
        <v>0</v>
      </c>
      <c r="P192" s="294">
        <v>6.4999999999999997E-3</v>
      </c>
      <c r="Q192" s="294">
        <v>1.8499999999999999E-2</v>
      </c>
      <c r="R192" s="389">
        <v>-7.4999990000000002E-3</v>
      </c>
      <c r="S192" s="291">
        <v>-0.03</v>
      </c>
      <c r="T192" s="291">
        <v>-0.08</v>
      </c>
      <c r="U192" s="389">
        <v>-1.2499989999999999E-3</v>
      </c>
      <c r="V192" s="291">
        <v>-8.0500000000000002E-2</v>
      </c>
      <c r="W192" s="291">
        <v>-0.12</v>
      </c>
      <c r="X192" s="291">
        <v>0.40500000000000003</v>
      </c>
      <c r="Y192" s="291">
        <v>5.0000000000000001E-3</v>
      </c>
      <c r="Z192" s="291">
        <v>-0.19</v>
      </c>
      <c r="AA192" s="291">
        <v>-1.0999999999999999E-2</v>
      </c>
      <c r="AB192" s="306">
        <v>0.29499999999999998</v>
      </c>
      <c r="AC192" s="306">
        <v>0.28749999999999998</v>
      </c>
      <c r="AD192" s="306">
        <v>0.26300000000000001</v>
      </c>
      <c r="AE192" s="431">
        <v>0.15</v>
      </c>
      <c r="AF192" s="431">
        <v>0.15</v>
      </c>
      <c r="AG192" s="431">
        <v>0.14699999999999999</v>
      </c>
      <c r="AH192" s="431">
        <v>0.15</v>
      </c>
      <c r="AI192" s="431">
        <v>0.153</v>
      </c>
      <c r="AJ192" s="431">
        <v>0.15</v>
      </c>
      <c r="AK192" s="431">
        <v>0.14699999999999999</v>
      </c>
      <c r="AL192" s="431">
        <v>0.14699999999999999</v>
      </c>
      <c r="AM192" s="431">
        <v>0.15</v>
      </c>
      <c r="AN192" s="431">
        <v>0.15</v>
      </c>
      <c r="AO192" s="431">
        <v>0.15</v>
      </c>
      <c r="AP192" s="432">
        <v>0.15</v>
      </c>
      <c r="AQ192" s="432">
        <v>0.15</v>
      </c>
      <c r="AR192" s="432">
        <v>0.15</v>
      </c>
      <c r="AS192" s="432">
        <v>0.15</v>
      </c>
      <c r="AT192" s="431">
        <v>0.15</v>
      </c>
      <c r="AU192" s="431">
        <v>0.15</v>
      </c>
      <c r="AV192" s="431">
        <v>0.14699999999999999</v>
      </c>
      <c r="AW192" s="291">
        <v>7.0343508086450998E-2</v>
      </c>
      <c r="AY192" s="306">
        <f t="shared" si="24"/>
        <v>0.14699999999999999</v>
      </c>
      <c r="AZ192" s="306">
        <f t="shared" si="25"/>
        <v>0.14699999999999999</v>
      </c>
      <c r="BA192" s="309">
        <f t="shared" si="26"/>
        <v>0.14699999999999999</v>
      </c>
      <c r="BB192" s="308">
        <f t="shared" si="27"/>
        <v>42125</v>
      </c>
      <c r="BC192" s="306">
        <f t="shared" si="21"/>
        <v>0.36263646450598175</v>
      </c>
      <c r="BD192" s="306">
        <f t="shared" si="22"/>
        <v>0.36270511102885938</v>
      </c>
      <c r="BF192" s="308">
        <f t="shared" si="28"/>
        <v>42125</v>
      </c>
      <c r="BG192" s="291">
        <v>180</v>
      </c>
    </row>
    <row r="193" spans="2:59" x14ac:dyDescent="0.25">
      <c r="B193" s="296">
        <f t="shared" si="23"/>
        <v>42156</v>
      </c>
      <c r="C193" s="294">
        <v>3.3929999999999998</v>
      </c>
      <c r="D193" s="294">
        <v>0.15</v>
      </c>
      <c r="E193" s="294">
        <v>7.0627245218541995E-2</v>
      </c>
      <c r="F193" s="294">
        <v>-0.19500000000000001</v>
      </c>
      <c r="G193" s="294">
        <v>0.02</v>
      </c>
      <c r="H193" s="294">
        <v>-0.19500000000000001</v>
      </c>
      <c r="I193" s="294">
        <v>0.16300000000000001</v>
      </c>
      <c r="J193" s="294">
        <v>0.1825</v>
      </c>
      <c r="K193" s="294">
        <v>0.20250000000000001</v>
      </c>
      <c r="L193" s="294">
        <v>-6.8000000000000005E-2</v>
      </c>
      <c r="M193" s="388">
        <v>-1.9999990000000001E-3</v>
      </c>
      <c r="N193" s="294">
        <v>0</v>
      </c>
      <c r="P193" s="294">
        <v>6.4999999999999997E-3</v>
      </c>
      <c r="Q193" s="294">
        <v>1.8499999999999999E-2</v>
      </c>
      <c r="R193" s="389">
        <v>-7.4999990000000002E-3</v>
      </c>
      <c r="S193" s="291">
        <v>-0.03</v>
      </c>
      <c r="T193" s="291">
        <v>-0.09</v>
      </c>
      <c r="U193" s="389">
        <v>-1.2499989999999999E-3</v>
      </c>
      <c r="V193" s="291">
        <v>-7.0499999999999993E-2</v>
      </c>
      <c r="W193" s="291">
        <v>-0.12</v>
      </c>
      <c r="X193" s="291">
        <v>0.39500000000000002</v>
      </c>
      <c r="Y193" s="291">
        <v>5.0000000000000001E-3</v>
      </c>
      <c r="Z193" s="291">
        <v>-0.19</v>
      </c>
      <c r="AA193" s="291">
        <v>-1.0999999999999999E-2</v>
      </c>
      <c r="AB193" s="306">
        <v>0.29499999999999998</v>
      </c>
      <c r="AC193" s="306">
        <v>0.28749999999999998</v>
      </c>
      <c r="AD193" s="306">
        <v>0.25800000000000001</v>
      </c>
      <c r="AE193" s="431">
        <v>0.15</v>
      </c>
      <c r="AF193" s="431">
        <v>0.15</v>
      </c>
      <c r="AG193" s="431">
        <v>0.14699999999999999</v>
      </c>
      <c r="AH193" s="431">
        <v>0.15</v>
      </c>
      <c r="AI193" s="431">
        <v>0.153</v>
      </c>
      <c r="AJ193" s="431">
        <v>0.15</v>
      </c>
      <c r="AK193" s="431">
        <v>0.14699999999999999</v>
      </c>
      <c r="AL193" s="431">
        <v>0.14699999999999999</v>
      </c>
      <c r="AM193" s="431">
        <v>0.15</v>
      </c>
      <c r="AN193" s="431">
        <v>0.15</v>
      </c>
      <c r="AO193" s="431">
        <v>0.15</v>
      </c>
      <c r="AP193" s="432">
        <v>0.15</v>
      </c>
      <c r="AQ193" s="432">
        <v>0.15</v>
      </c>
      <c r="AR193" s="432">
        <v>0.15</v>
      </c>
      <c r="AS193" s="432">
        <v>0.15</v>
      </c>
      <c r="AT193" s="431">
        <v>0.15</v>
      </c>
      <c r="AU193" s="431">
        <v>0.15</v>
      </c>
      <c r="AV193" s="431">
        <v>0.14699999999999999</v>
      </c>
      <c r="AW193" s="291">
        <v>7.0350461603715997E-2</v>
      </c>
      <c r="AY193" s="306">
        <f t="shared" si="24"/>
        <v>0.14699999999999999</v>
      </c>
      <c r="AZ193" s="306">
        <f t="shared" si="25"/>
        <v>0.14699999999999999</v>
      </c>
      <c r="BA193" s="309">
        <f t="shared" si="26"/>
        <v>0.14699999999999999</v>
      </c>
      <c r="BB193" s="308">
        <f t="shared" si="27"/>
        <v>42156</v>
      </c>
      <c r="BC193" s="306">
        <f t="shared" si="21"/>
        <v>0.3604791194409856</v>
      </c>
      <c r="BD193" s="306">
        <f t="shared" si="22"/>
        <v>0.36054736421253586</v>
      </c>
      <c r="BF193" s="308">
        <f t="shared" si="28"/>
        <v>42156</v>
      </c>
      <c r="BG193" s="291">
        <v>181</v>
      </c>
    </row>
    <row r="194" spans="2:59" x14ac:dyDescent="0.25">
      <c r="B194" s="296">
        <f t="shared" si="23"/>
        <v>42186</v>
      </c>
      <c r="C194" s="294">
        <v>3.415</v>
      </c>
      <c r="D194" s="294">
        <v>0.15</v>
      </c>
      <c r="E194" s="294">
        <v>7.0628373620786E-2</v>
      </c>
      <c r="F194" s="294">
        <v>-0.19500000000000001</v>
      </c>
      <c r="G194" s="294">
        <v>2.2499999999999999E-2</v>
      </c>
      <c r="H194" s="294">
        <v>-0.19500000000000001</v>
      </c>
      <c r="I194" s="294">
        <v>0.153</v>
      </c>
      <c r="J194" s="294">
        <v>0.1825</v>
      </c>
      <c r="K194" s="294">
        <v>0.215</v>
      </c>
      <c r="L194" s="294">
        <v>-6.0999999999999999E-2</v>
      </c>
      <c r="M194" s="388">
        <v>-1.9999990000000001E-3</v>
      </c>
      <c r="N194" s="294">
        <v>0</v>
      </c>
      <c r="P194" s="294">
        <v>6.4999999999999997E-3</v>
      </c>
      <c r="Q194" s="294">
        <v>1.8499999999999999E-2</v>
      </c>
      <c r="R194" s="389">
        <v>-7.4999990000000002E-3</v>
      </c>
      <c r="S194" s="291">
        <v>-0.03</v>
      </c>
      <c r="T194" s="291">
        <v>-0.09</v>
      </c>
      <c r="U194" s="389">
        <v>-1.2499989999999999E-3</v>
      </c>
      <c r="V194" s="291">
        <v>-6.5500000000000003E-2</v>
      </c>
      <c r="W194" s="291">
        <v>-0.12</v>
      </c>
      <c r="X194" s="291">
        <v>0.43</v>
      </c>
      <c r="Y194" s="291">
        <v>5.0000000000000001E-3</v>
      </c>
      <c r="Z194" s="291">
        <v>-0.19</v>
      </c>
      <c r="AA194" s="291">
        <v>-1.0999999999999999E-2</v>
      </c>
      <c r="AB194" s="306">
        <v>0.29499999999999998</v>
      </c>
      <c r="AC194" s="306">
        <v>0.3</v>
      </c>
      <c r="AD194" s="306">
        <v>0.248</v>
      </c>
      <c r="AE194" s="431">
        <v>0.15</v>
      </c>
      <c r="AF194" s="431">
        <v>0.15</v>
      </c>
      <c r="AG194" s="431">
        <v>0.14699999999999999</v>
      </c>
      <c r="AH194" s="431">
        <v>0.15</v>
      </c>
      <c r="AI194" s="431">
        <v>0.153</v>
      </c>
      <c r="AJ194" s="431">
        <v>0.15</v>
      </c>
      <c r="AK194" s="431">
        <v>0.14699999999999999</v>
      </c>
      <c r="AL194" s="431">
        <v>0.14699999999999999</v>
      </c>
      <c r="AM194" s="431">
        <v>0.15</v>
      </c>
      <c r="AN194" s="431">
        <v>0.15</v>
      </c>
      <c r="AO194" s="431">
        <v>0.15</v>
      </c>
      <c r="AP194" s="432">
        <v>0.15</v>
      </c>
      <c r="AQ194" s="432">
        <v>0.15</v>
      </c>
      <c r="AR194" s="432">
        <v>0.15</v>
      </c>
      <c r="AS194" s="432">
        <v>0.15</v>
      </c>
      <c r="AT194" s="431">
        <v>0.15</v>
      </c>
      <c r="AU194" s="431">
        <v>0.15</v>
      </c>
      <c r="AV194" s="431">
        <v>0.14699999999999999</v>
      </c>
      <c r="AW194" s="291">
        <v>7.0357190813988002E-2</v>
      </c>
      <c r="AY194" s="306">
        <f t="shared" si="24"/>
        <v>0.14699999999999999</v>
      </c>
      <c r="AZ194" s="306">
        <f t="shared" si="25"/>
        <v>0.14699999999999999</v>
      </c>
      <c r="BA194" s="309">
        <f t="shared" si="26"/>
        <v>0.14699999999999999</v>
      </c>
      <c r="BB194" s="308">
        <f t="shared" si="27"/>
        <v>42186</v>
      </c>
      <c r="BC194" s="306">
        <f t="shared" si="21"/>
        <v>0.35840319778651564</v>
      </c>
      <c r="BD194" s="306">
        <f t="shared" si="22"/>
        <v>0.35847105593100953</v>
      </c>
      <c r="BF194" s="308">
        <f t="shared" si="28"/>
        <v>42186</v>
      </c>
      <c r="BG194" s="291">
        <v>182</v>
      </c>
    </row>
    <row r="195" spans="2:59" x14ac:dyDescent="0.25">
      <c r="B195" s="296">
        <f t="shared" si="23"/>
        <v>42217</v>
      </c>
      <c r="C195" s="294">
        <v>3.4359999999999999</v>
      </c>
      <c r="D195" s="294">
        <v>0.15</v>
      </c>
      <c r="E195" s="294">
        <v>7.0629539636439004E-2</v>
      </c>
      <c r="F195" s="294">
        <v>-0.19500000000000001</v>
      </c>
      <c r="G195" s="294">
        <v>2.5000000000000001E-2</v>
      </c>
      <c r="H195" s="294">
        <v>-0.19500000000000001</v>
      </c>
      <c r="I195" s="294">
        <v>0.15</v>
      </c>
      <c r="J195" s="294">
        <v>0.1825</v>
      </c>
      <c r="K195" s="294">
        <v>0.215</v>
      </c>
      <c r="L195" s="294">
        <v>-5.1999999999999998E-2</v>
      </c>
      <c r="M195" s="388">
        <v>-1.9999990000000001E-3</v>
      </c>
      <c r="N195" s="294">
        <v>0</v>
      </c>
      <c r="P195" s="294">
        <v>6.4999999999999997E-3</v>
      </c>
      <c r="Q195" s="294">
        <v>1.8499999999999999E-2</v>
      </c>
      <c r="R195" s="389">
        <v>-7.4999990000000002E-3</v>
      </c>
      <c r="S195" s="291">
        <v>-0.03</v>
      </c>
      <c r="T195" s="291">
        <v>-0.09</v>
      </c>
      <c r="U195" s="389">
        <v>-1.2499989999999999E-3</v>
      </c>
      <c r="V195" s="291">
        <v>-6.5500000000000003E-2</v>
      </c>
      <c r="W195" s="291">
        <v>0</v>
      </c>
      <c r="X195" s="291">
        <v>0.495</v>
      </c>
      <c r="Y195" s="291">
        <v>5.0000000000000001E-3</v>
      </c>
      <c r="Z195" s="291">
        <v>-0.19</v>
      </c>
      <c r="AA195" s="291">
        <v>-1.0999999999999999E-2</v>
      </c>
      <c r="AB195" s="306">
        <v>0.29499999999999998</v>
      </c>
      <c r="AC195" s="306">
        <v>0.3</v>
      </c>
      <c r="AD195" s="306">
        <v>0.245</v>
      </c>
      <c r="AE195" s="431">
        <v>0.15</v>
      </c>
      <c r="AF195" s="431">
        <v>0.15</v>
      </c>
      <c r="AG195" s="431">
        <v>0.14699999999999999</v>
      </c>
      <c r="AH195" s="431">
        <v>0.15</v>
      </c>
      <c r="AI195" s="431">
        <v>0.153</v>
      </c>
      <c r="AJ195" s="431">
        <v>0.15</v>
      </c>
      <c r="AK195" s="431">
        <v>0.14699999999999999</v>
      </c>
      <c r="AL195" s="431">
        <v>0.14699999999999999</v>
      </c>
      <c r="AM195" s="431">
        <v>0.15</v>
      </c>
      <c r="AN195" s="431">
        <v>0.15</v>
      </c>
      <c r="AO195" s="431">
        <v>0.15</v>
      </c>
      <c r="AP195" s="432">
        <v>0.15</v>
      </c>
      <c r="AQ195" s="432">
        <v>0.15</v>
      </c>
      <c r="AR195" s="432">
        <v>0.15</v>
      </c>
      <c r="AS195" s="432">
        <v>0.15</v>
      </c>
      <c r="AT195" s="431">
        <v>0.15</v>
      </c>
      <c r="AU195" s="431">
        <v>0.15</v>
      </c>
      <c r="AV195" s="431">
        <v>0.14699999999999999</v>
      </c>
      <c r="AW195" s="291">
        <v>7.0364144331286002E-2</v>
      </c>
      <c r="AY195" s="306">
        <f t="shared" si="24"/>
        <v>0.14699999999999999</v>
      </c>
      <c r="AZ195" s="306">
        <f t="shared" si="25"/>
        <v>0.14699999999999999</v>
      </c>
      <c r="BA195" s="309">
        <f t="shared" si="26"/>
        <v>0.14699999999999999</v>
      </c>
      <c r="BB195" s="308">
        <f t="shared" si="27"/>
        <v>42217</v>
      </c>
      <c r="BC195" s="306">
        <f t="shared" si="21"/>
        <v>0.35627023754637788</v>
      </c>
      <c r="BD195" s="306">
        <f t="shared" si="22"/>
        <v>0.35633769840088853</v>
      </c>
      <c r="BF195" s="308">
        <f t="shared" si="28"/>
        <v>42217</v>
      </c>
      <c r="BG195" s="291">
        <v>183</v>
      </c>
    </row>
    <row r="196" spans="2:59" x14ac:dyDescent="0.25">
      <c r="B196" s="296">
        <f t="shared" si="23"/>
        <v>42248</v>
      </c>
      <c r="C196" s="294">
        <v>3.407</v>
      </c>
      <c r="D196" s="294">
        <v>0.15</v>
      </c>
      <c r="E196" s="294">
        <v>7.0630705652091993E-2</v>
      </c>
      <c r="F196" s="294">
        <v>-0.19500000000000001</v>
      </c>
      <c r="G196" s="294">
        <v>1.7500000000000002E-2</v>
      </c>
      <c r="H196" s="294">
        <v>-0.19500000000000001</v>
      </c>
      <c r="I196" s="294">
        <v>0.14799999999999999</v>
      </c>
      <c r="J196" s="294">
        <v>0.1825</v>
      </c>
      <c r="K196" s="294">
        <v>0.19500000000000001</v>
      </c>
      <c r="L196" s="294">
        <v>-3.2000000000000001E-2</v>
      </c>
      <c r="M196" s="388">
        <v>-1.9999990000000001E-3</v>
      </c>
      <c r="N196" s="294">
        <v>0</v>
      </c>
      <c r="P196" s="294">
        <v>6.4999999999999997E-3</v>
      </c>
      <c r="Q196" s="294">
        <v>1.8499999999999999E-2</v>
      </c>
      <c r="R196" s="389">
        <v>-7.4999990000000002E-3</v>
      </c>
      <c r="S196" s="291">
        <v>0</v>
      </c>
      <c r="T196" s="291">
        <v>-0.08</v>
      </c>
      <c r="U196" s="291">
        <v>-1.2499989999999999E-3</v>
      </c>
      <c r="V196" s="291">
        <v>-8.0500000000000002E-2</v>
      </c>
      <c r="W196" s="291">
        <v>0</v>
      </c>
      <c r="X196" s="291">
        <v>0.39500000000000002</v>
      </c>
      <c r="Y196" s="291">
        <v>5.0000000000000001E-3</v>
      </c>
      <c r="Z196" s="291">
        <v>-0.19</v>
      </c>
      <c r="AA196" s="291">
        <v>-1.0999999999999999E-2</v>
      </c>
      <c r="AB196" s="306">
        <v>0.29499999999999998</v>
      </c>
      <c r="AC196" s="306">
        <v>0.28999999999999998</v>
      </c>
      <c r="AD196" s="306">
        <v>0.24299999999999999</v>
      </c>
      <c r="AE196" s="431">
        <v>0.15</v>
      </c>
      <c r="AF196" s="431">
        <v>0.15</v>
      </c>
      <c r="AG196" s="431">
        <v>0.14699999999999999</v>
      </c>
      <c r="AH196" s="431">
        <v>0.15</v>
      </c>
      <c r="AI196" s="431">
        <v>0.153</v>
      </c>
      <c r="AJ196" s="431">
        <v>0.15</v>
      </c>
      <c r="AK196" s="431">
        <v>0.14699999999999999</v>
      </c>
      <c r="AL196" s="431">
        <v>0.14699999999999999</v>
      </c>
      <c r="AM196" s="431">
        <v>0.15</v>
      </c>
      <c r="AN196" s="431">
        <v>0.15</v>
      </c>
      <c r="AO196" s="431">
        <v>0.15</v>
      </c>
      <c r="AP196" s="432">
        <v>0.15</v>
      </c>
      <c r="AQ196" s="432">
        <v>0.15</v>
      </c>
      <c r="AR196" s="432">
        <v>0.15</v>
      </c>
      <c r="AS196" s="432">
        <v>0.15</v>
      </c>
      <c r="AT196" s="431">
        <v>0.15</v>
      </c>
      <c r="AU196" s="431">
        <v>0.15</v>
      </c>
      <c r="AV196" s="431">
        <v>0.14699999999999999</v>
      </c>
      <c r="AW196" s="291">
        <v>7.0371097848598005E-2</v>
      </c>
      <c r="AY196" s="306">
        <f t="shared" si="24"/>
        <v>0.14699999999999999</v>
      </c>
      <c r="AZ196" s="306">
        <f t="shared" si="25"/>
        <v>0.14699999999999999</v>
      </c>
      <c r="BA196" s="309">
        <f t="shared" si="26"/>
        <v>0.14699999999999999</v>
      </c>
      <c r="BB196" s="308">
        <f t="shared" si="27"/>
        <v>42248</v>
      </c>
      <c r="BC196" s="306">
        <f t="shared" si="21"/>
        <v>0.35414956747443482</v>
      </c>
      <c r="BD196" s="306">
        <f t="shared" si="22"/>
        <v>0.35421663328787939</v>
      </c>
      <c r="BF196" s="308">
        <f t="shared" si="28"/>
        <v>42248</v>
      </c>
      <c r="BG196" s="291">
        <v>184</v>
      </c>
    </row>
    <row r="197" spans="2:59" x14ac:dyDescent="0.25">
      <c r="B197" s="296">
        <f t="shared" si="23"/>
        <v>42278</v>
      </c>
      <c r="C197" s="294">
        <v>3.41</v>
      </c>
      <c r="D197" s="294">
        <v>0.15</v>
      </c>
      <c r="E197" s="294">
        <v>7.0631834054337997E-2</v>
      </c>
      <c r="F197" s="294">
        <v>-0.19500000000000001</v>
      </c>
      <c r="G197" s="294">
        <v>7.4999999999999997E-3</v>
      </c>
      <c r="H197" s="294">
        <v>-0.19500000000000001</v>
      </c>
      <c r="I197" s="294">
        <v>0.16300000000000001</v>
      </c>
      <c r="J197" s="294">
        <v>0.1875</v>
      </c>
      <c r="K197" s="294">
        <v>0.215</v>
      </c>
      <c r="L197" s="294">
        <v>-4.2000000000000003E-2</v>
      </c>
      <c r="M197" s="388">
        <v>-1.9999990000000001E-3</v>
      </c>
      <c r="N197" s="294">
        <v>0</v>
      </c>
      <c r="P197" s="294">
        <v>6.4999999999999997E-3</v>
      </c>
      <c r="Q197" s="294">
        <v>1.8499999999999999E-2</v>
      </c>
      <c r="R197" s="389">
        <v>-7.4999990000000002E-3</v>
      </c>
      <c r="S197" s="291">
        <v>0</v>
      </c>
      <c r="T197" s="291">
        <v>-6.5000000000000002E-2</v>
      </c>
      <c r="U197" s="291">
        <v>-1.95E-2</v>
      </c>
      <c r="V197" s="291">
        <v>-8.3000000000000004E-2</v>
      </c>
      <c r="W197" s="291">
        <v>0</v>
      </c>
      <c r="X197" s="291">
        <v>0.46100000000000002</v>
      </c>
      <c r="Y197" s="291">
        <v>5.0000000000000001E-3</v>
      </c>
      <c r="Z197" s="291">
        <v>-0.19</v>
      </c>
      <c r="AA197" s="291">
        <v>-1.0999999999999999E-2</v>
      </c>
      <c r="AB197" s="306">
        <v>0.29499999999999998</v>
      </c>
      <c r="AC197" s="306">
        <v>0.36249999999999999</v>
      </c>
      <c r="AD197" s="306">
        <v>0.25800000000000001</v>
      </c>
      <c r="AE197" s="431">
        <v>0.15</v>
      </c>
      <c r="AF197" s="431">
        <v>0.15</v>
      </c>
      <c r="AG197" s="431">
        <v>0.14699999999999999</v>
      </c>
      <c r="AH197" s="431">
        <v>0.15</v>
      </c>
      <c r="AI197" s="431">
        <v>0.153</v>
      </c>
      <c r="AJ197" s="431">
        <v>0.15</v>
      </c>
      <c r="AK197" s="431">
        <v>0.14699999999999999</v>
      </c>
      <c r="AL197" s="431">
        <v>0.14699999999999999</v>
      </c>
      <c r="AM197" s="431">
        <v>0.15</v>
      </c>
      <c r="AN197" s="431">
        <v>0.15</v>
      </c>
      <c r="AO197" s="431">
        <v>0.15</v>
      </c>
      <c r="AP197" s="432">
        <v>0.15</v>
      </c>
      <c r="AQ197" s="432">
        <v>0.15</v>
      </c>
      <c r="AR197" s="432">
        <v>0.15</v>
      </c>
      <c r="AS197" s="432">
        <v>0.15</v>
      </c>
      <c r="AT197" s="431">
        <v>0.15</v>
      </c>
      <c r="AU197" s="431">
        <v>0.15</v>
      </c>
      <c r="AV197" s="431">
        <v>0.14699999999999999</v>
      </c>
      <c r="AW197" s="291">
        <v>7.0377827058917E-2</v>
      </c>
      <c r="AY197" s="306">
        <f t="shared" si="24"/>
        <v>0.14699999999999999</v>
      </c>
      <c r="AZ197" s="306">
        <f t="shared" si="25"/>
        <v>0.14699999999999999</v>
      </c>
      <c r="BA197" s="309">
        <f t="shared" si="26"/>
        <v>0.14699999999999999</v>
      </c>
      <c r="BB197" s="308">
        <f t="shared" si="27"/>
        <v>42278</v>
      </c>
      <c r="BC197" s="306">
        <f t="shared" si="21"/>
        <v>0.35210894362535472</v>
      </c>
      <c r="BD197" s="306">
        <f t="shared" si="22"/>
        <v>0.35217562927071078</v>
      </c>
      <c r="BF197" s="308">
        <f t="shared" si="28"/>
        <v>42278</v>
      </c>
      <c r="BG197" s="291">
        <v>185</v>
      </c>
    </row>
    <row r="198" spans="2:59" x14ac:dyDescent="0.25">
      <c r="B198" s="296">
        <f t="shared" si="23"/>
        <v>42309</v>
      </c>
      <c r="C198" s="294">
        <v>3.4420000000000002</v>
      </c>
      <c r="D198" s="294">
        <v>0.15</v>
      </c>
      <c r="E198" s="294">
        <v>7.0633000069999993E-2</v>
      </c>
      <c r="F198" s="294">
        <v>-0.19</v>
      </c>
      <c r="G198" s="294">
        <v>-3.2500000000000001E-2</v>
      </c>
      <c r="H198" s="294">
        <v>-0.19</v>
      </c>
      <c r="I198" s="294">
        <v>0.22500000000000001</v>
      </c>
      <c r="J198" s="294">
        <v>0.27</v>
      </c>
      <c r="K198" s="294">
        <v>0.28749999999999998</v>
      </c>
      <c r="L198" s="294">
        <v>-5.7000000000000002E-2</v>
      </c>
      <c r="M198" s="388">
        <v>5.4999999999999997E-3</v>
      </c>
      <c r="N198" s="294">
        <v>0</v>
      </c>
      <c r="P198" s="294">
        <v>1.6E-2</v>
      </c>
      <c r="Q198" s="294">
        <v>1.0500000000000001E-2</v>
      </c>
      <c r="R198" s="389">
        <v>-1.0500000000000001E-2</v>
      </c>
      <c r="S198" s="291">
        <v>0</v>
      </c>
      <c r="T198" s="291">
        <v>-2.75E-2</v>
      </c>
      <c r="U198" s="291">
        <v>-1.8499999999999999E-2</v>
      </c>
      <c r="V198" s="291">
        <v>-8.0500000000000002E-2</v>
      </c>
      <c r="W198" s="291">
        <v>0</v>
      </c>
      <c r="X198" s="291">
        <v>0.76749999999999996</v>
      </c>
      <c r="Y198" s="291">
        <v>5.0000000000000001E-3</v>
      </c>
      <c r="Z198" s="291">
        <v>-0.19</v>
      </c>
      <c r="AA198" s="389">
        <v>-1.2500000000000001E-2</v>
      </c>
      <c r="AB198" s="306">
        <v>0.12</v>
      </c>
      <c r="AC198" s="306">
        <v>0.46500000000000002</v>
      </c>
      <c r="AD198" s="306">
        <v>0.32</v>
      </c>
      <c r="AE198" s="431">
        <v>0.15</v>
      </c>
      <c r="AF198" s="431">
        <v>0.15</v>
      </c>
      <c r="AG198" s="431">
        <v>0.16500000000000001</v>
      </c>
      <c r="AH198" s="431">
        <v>0.15</v>
      </c>
      <c r="AI198" s="431">
        <v>0.153</v>
      </c>
      <c r="AJ198" s="431">
        <v>0.15</v>
      </c>
      <c r="AK198" s="431">
        <v>0.15</v>
      </c>
      <c r="AL198" s="431">
        <v>0.15</v>
      </c>
      <c r="AM198" s="431">
        <v>0.15</v>
      </c>
      <c r="AN198" s="431">
        <v>0.15</v>
      </c>
      <c r="AO198" s="431">
        <v>0.15</v>
      </c>
      <c r="AP198" s="432">
        <v>0.15</v>
      </c>
      <c r="AQ198" s="432">
        <v>0.15</v>
      </c>
      <c r="AR198" s="432">
        <v>0.15</v>
      </c>
      <c r="AS198" s="432">
        <v>0.15</v>
      </c>
      <c r="AT198" s="431">
        <v>0.15</v>
      </c>
      <c r="AU198" s="431">
        <v>0.15</v>
      </c>
      <c r="AV198" s="431">
        <v>0.16500000000000001</v>
      </c>
      <c r="AW198" s="291">
        <v>7.0384780576261005E-2</v>
      </c>
      <c r="AY198" s="306">
        <f t="shared" si="24"/>
        <v>0.16500000000000001</v>
      </c>
      <c r="AZ198" s="306">
        <f t="shared" si="25"/>
        <v>0.16500000000000001</v>
      </c>
      <c r="BA198" s="309">
        <f t="shared" si="26"/>
        <v>0.16500000000000001</v>
      </c>
      <c r="BB198" s="308">
        <f t="shared" si="27"/>
        <v>42309</v>
      </c>
      <c r="BC198" s="306">
        <f t="shared" si="21"/>
        <v>0.35001225824995219</v>
      </c>
      <c r="BD198" s="306">
        <f t="shared" si="22"/>
        <v>0.35007855324378367</v>
      </c>
      <c r="BF198" s="308">
        <f t="shared" si="28"/>
        <v>42309</v>
      </c>
      <c r="BG198" s="291">
        <v>186</v>
      </c>
    </row>
    <row r="199" spans="2:59" x14ac:dyDescent="0.25">
      <c r="B199" s="296">
        <f t="shared" si="23"/>
        <v>42339</v>
      </c>
      <c r="C199" s="294">
        <v>3.492</v>
      </c>
      <c r="D199" s="294">
        <v>0.15</v>
      </c>
      <c r="E199" s="294">
        <v>7.0634128472238003E-2</v>
      </c>
      <c r="F199" s="294">
        <v>-0.19750000000000001</v>
      </c>
      <c r="G199" s="294">
        <v>-5.5E-2</v>
      </c>
      <c r="H199" s="294">
        <v>-0.19750000000000001</v>
      </c>
      <c r="I199" s="294">
        <v>0.26500000000000001</v>
      </c>
      <c r="J199" s="294">
        <v>0.30499999999999999</v>
      </c>
      <c r="K199" s="294">
        <v>0.33750000000000002</v>
      </c>
      <c r="L199" s="294">
        <v>-5.7000000000000002E-2</v>
      </c>
      <c r="M199" s="294">
        <v>5.4999999999999997E-3</v>
      </c>
      <c r="N199" s="294">
        <v>0</v>
      </c>
      <c r="P199" s="294">
        <v>1.6E-2</v>
      </c>
      <c r="Q199" s="294">
        <v>1.0500000000000001E-2</v>
      </c>
      <c r="R199" s="291">
        <v>-1.0500000000000001E-2</v>
      </c>
      <c r="S199" s="291">
        <v>0</v>
      </c>
      <c r="T199" s="291">
        <v>-0.02</v>
      </c>
      <c r="U199" s="291">
        <v>-1.8499999999999999E-2</v>
      </c>
      <c r="V199" s="291">
        <v>-0.11550000000000001</v>
      </c>
      <c r="W199" s="291">
        <v>0</v>
      </c>
      <c r="X199" s="291">
        <v>1.19</v>
      </c>
      <c r="Y199" s="291">
        <v>5.0000000000000001E-3</v>
      </c>
      <c r="Z199" s="291">
        <v>-0.19</v>
      </c>
      <c r="AA199" s="389">
        <v>-1.2500000000000001E-2</v>
      </c>
      <c r="AB199" s="306">
        <v>0.12</v>
      </c>
      <c r="AC199" s="306">
        <v>0.8</v>
      </c>
      <c r="AD199" s="306">
        <v>0.36</v>
      </c>
      <c r="AE199" s="431">
        <v>0.15</v>
      </c>
      <c r="AF199" s="431">
        <v>0.15</v>
      </c>
      <c r="AG199" s="431">
        <v>0.16500000000000001</v>
      </c>
      <c r="AH199" s="431">
        <v>0.15</v>
      </c>
      <c r="AI199" s="431">
        <v>0.153</v>
      </c>
      <c r="AJ199" s="431">
        <v>0.15</v>
      </c>
      <c r="AK199" s="431">
        <v>0.15</v>
      </c>
      <c r="AL199" s="431">
        <v>0.15</v>
      </c>
      <c r="AM199" s="431">
        <v>0.15</v>
      </c>
      <c r="AN199" s="431">
        <v>0.15</v>
      </c>
      <c r="AO199" s="431">
        <v>0.15</v>
      </c>
      <c r="AP199" s="432">
        <v>0.15</v>
      </c>
      <c r="AQ199" s="432">
        <v>0.15</v>
      </c>
      <c r="AR199" s="432">
        <v>0.15</v>
      </c>
      <c r="AS199" s="432">
        <v>0.15</v>
      </c>
      <c r="AT199" s="431">
        <v>0.15</v>
      </c>
      <c r="AU199" s="431">
        <v>0.15</v>
      </c>
      <c r="AV199" s="431">
        <v>0.16500000000000001</v>
      </c>
      <c r="AW199" s="291">
        <v>7.0391509786610004E-2</v>
      </c>
      <c r="AY199" s="306">
        <f t="shared" si="24"/>
        <v>0.16500000000000001</v>
      </c>
      <c r="AZ199" s="306">
        <f t="shared" si="25"/>
        <v>0.16500000000000001</v>
      </c>
      <c r="BA199" s="309">
        <f t="shared" si="26"/>
        <v>0.16500000000000001</v>
      </c>
      <c r="BB199" s="308">
        <f t="shared" si="27"/>
        <v>42339</v>
      </c>
      <c r="BC199" s="306">
        <f t="shared" si="21"/>
        <v>0.34799471837624757</v>
      </c>
      <c r="BD199" s="306">
        <f t="shared" si="22"/>
        <v>0.34806063742713517</v>
      </c>
      <c r="BF199" s="308">
        <f t="shared" si="28"/>
        <v>42339</v>
      </c>
      <c r="BG199" s="291">
        <v>187</v>
      </c>
    </row>
    <row r="200" spans="2:59" x14ac:dyDescent="0.25">
      <c r="B200" s="296">
        <f t="shared" si="23"/>
        <v>42370</v>
      </c>
      <c r="C200" s="294">
        <v>3.8130000000000002</v>
      </c>
      <c r="D200" s="294">
        <v>0.15</v>
      </c>
      <c r="E200" s="294">
        <v>7.0635294487893005E-2</v>
      </c>
      <c r="F200" s="294">
        <v>-0.16</v>
      </c>
      <c r="G200" s="294">
        <v>-5.7500000000000002E-2</v>
      </c>
      <c r="H200" s="294">
        <v>-0.16</v>
      </c>
      <c r="I200" s="294">
        <v>0.27500000000000002</v>
      </c>
      <c r="J200" s="294">
        <v>0.30499999999999999</v>
      </c>
      <c r="K200" s="294">
        <v>0.4375</v>
      </c>
      <c r="L200" s="294">
        <v>-5.7000000000000002E-2</v>
      </c>
      <c r="M200" s="294">
        <v>7.4999999999999997E-3</v>
      </c>
      <c r="N200" s="294">
        <v>0</v>
      </c>
      <c r="P200" s="294">
        <v>1.6E-2</v>
      </c>
      <c r="Q200" s="294">
        <v>1.0500000000000001E-2</v>
      </c>
      <c r="R200" s="291">
        <v>-5.9999989999999998E-3</v>
      </c>
      <c r="S200" s="291">
        <v>0</v>
      </c>
      <c r="T200" s="291">
        <v>-5.0000000000000001E-3</v>
      </c>
      <c r="U200" s="291">
        <v>-1.8499999999999999E-2</v>
      </c>
      <c r="V200" s="291">
        <v>-0.121</v>
      </c>
      <c r="W200" s="291">
        <v>0</v>
      </c>
      <c r="X200" s="291">
        <v>1.5249999999999999</v>
      </c>
      <c r="Y200" s="291">
        <v>5.0000000000000001E-3</v>
      </c>
      <c r="Z200" s="291">
        <v>-0.19</v>
      </c>
      <c r="AA200" s="389">
        <v>-1.2500000000000001E-2</v>
      </c>
      <c r="AB200" s="306">
        <v>0.12</v>
      </c>
      <c r="AC200" s="306">
        <v>0.97499999999999998</v>
      </c>
      <c r="AD200" s="306">
        <v>0.37</v>
      </c>
      <c r="AE200" s="431">
        <v>0.15</v>
      </c>
      <c r="AF200" s="431">
        <v>0.15</v>
      </c>
      <c r="AG200" s="431">
        <v>0.16500000000000001</v>
      </c>
      <c r="AH200" s="431">
        <v>0.15</v>
      </c>
      <c r="AI200" s="431">
        <v>0.153</v>
      </c>
      <c r="AJ200" s="431">
        <v>0.15</v>
      </c>
      <c r="AK200" s="431">
        <v>0.15</v>
      </c>
      <c r="AL200" s="431">
        <v>0.15</v>
      </c>
      <c r="AM200" s="431">
        <v>0.15</v>
      </c>
      <c r="AN200" s="431">
        <v>0.15</v>
      </c>
      <c r="AO200" s="431">
        <v>0.15</v>
      </c>
      <c r="AP200" s="432">
        <v>0.15</v>
      </c>
      <c r="AQ200" s="432">
        <v>0.15</v>
      </c>
      <c r="AR200" s="432">
        <v>0.15</v>
      </c>
      <c r="AS200" s="432">
        <v>0.15</v>
      </c>
      <c r="AT200" s="431">
        <v>0.15</v>
      </c>
      <c r="AU200" s="431">
        <v>0.15</v>
      </c>
      <c r="AV200" s="431">
        <v>0.16500000000000001</v>
      </c>
      <c r="AW200" s="291">
        <v>7.0398463303985997E-2</v>
      </c>
      <c r="AY200" s="306">
        <f t="shared" si="24"/>
        <v>0.16500000000000001</v>
      </c>
      <c r="AZ200" s="306">
        <f t="shared" si="25"/>
        <v>0.16500000000000001</v>
      </c>
      <c r="BA200" s="309">
        <f t="shared" si="26"/>
        <v>0.16500000000000001</v>
      </c>
      <c r="BB200" s="308">
        <f t="shared" si="27"/>
        <v>42370</v>
      </c>
      <c r="BC200" s="306">
        <f t="shared" si="21"/>
        <v>0.34592175588070845</v>
      </c>
      <c r="BD200" s="306">
        <f t="shared" si="22"/>
        <v>0.34598728862261724</v>
      </c>
      <c r="BF200" s="308">
        <f t="shared" si="28"/>
        <v>42370</v>
      </c>
      <c r="BG200" s="291">
        <v>188</v>
      </c>
    </row>
    <row r="201" spans="2:59" x14ac:dyDescent="0.25">
      <c r="B201" s="296">
        <f t="shared" si="23"/>
        <v>42401</v>
      </c>
      <c r="C201" s="294">
        <v>3.7229999999999999</v>
      </c>
      <c r="D201" s="294">
        <v>0.15</v>
      </c>
      <c r="E201" s="294">
        <v>7.0636460503549006E-2</v>
      </c>
      <c r="F201" s="294">
        <v>-0.16</v>
      </c>
      <c r="G201" s="294">
        <v>-0.04</v>
      </c>
      <c r="H201" s="294">
        <v>-0.16</v>
      </c>
      <c r="I201" s="294">
        <v>0.25</v>
      </c>
      <c r="J201" s="294">
        <v>0.30499999999999999</v>
      </c>
      <c r="K201" s="294">
        <v>0.435</v>
      </c>
      <c r="L201" s="294">
        <v>-5.7000000000000002E-2</v>
      </c>
      <c r="M201" s="294">
        <v>7.4999999999999997E-3</v>
      </c>
      <c r="N201" s="294">
        <v>0</v>
      </c>
      <c r="P201" s="294">
        <v>1.6E-2</v>
      </c>
      <c r="Q201" s="294">
        <v>1.0500000000000001E-2</v>
      </c>
      <c r="R201" s="389">
        <v>-5.9999989999999998E-3</v>
      </c>
      <c r="S201" s="291">
        <v>0</v>
      </c>
      <c r="T201" s="389">
        <v>-5.0000000000000001E-3</v>
      </c>
      <c r="U201" s="291">
        <v>-1.8499999999999999E-2</v>
      </c>
      <c r="V201" s="291">
        <v>-0.10349999999999999</v>
      </c>
      <c r="W201" s="291">
        <v>0</v>
      </c>
      <c r="X201" s="291">
        <v>1.4550000000000001</v>
      </c>
      <c r="Y201" s="291">
        <v>5.0000000000000001E-3</v>
      </c>
      <c r="Z201" s="291">
        <v>-0.19</v>
      </c>
      <c r="AA201" s="389">
        <v>-1.2500000000000001E-2</v>
      </c>
      <c r="AB201" s="306">
        <v>0.12</v>
      </c>
      <c r="AC201" s="306">
        <v>0.97499999999999998</v>
      </c>
      <c r="AD201" s="306">
        <v>0.34499999999999997</v>
      </c>
      <c r="AE201" s="431">
        <v>0.15</v>
      </c>
      <c r="AF201" s="431">
        <v>0.15</v>
      </c>
      <c r="AG201" s="431">
        <v>0.16500000000000001</v>
      </c>
      <c r="AH201" s="431">
        <v>0.15</v>
      </c>
      <c r="AI201" s="431">
        <v>0.153</v>
      </c>
      <c r="AJ201" s="431">
        <v>0.15</v>
      </c>
      <c r="AK201" s="431">
        <v>0.15</v>
      </c>
      <c r="AL201" s="431">
        <v>0.15</v>
      </c>
      <c r="AM201" s="431">
        <v>0.15</v>
      </c>
      <c r="AN201" s="431">
        <v>0.15</v>
      </c>
      <c r="AO201" s="431">
        <v>0.15</v>
      </c>
      <c r="AP201" s="432">
        <v>0.15</v>
      </c>
      <c r="AQ201" s="432">
        <v>0.15</v>
      </c>
      <c r="AR201" s="432">
        <v>0.15</v>
      </c>
      <c r="AS201" s="432">
        <v>0.15</v>
      </c>
      <c r="AT201" s="431">
        <v>0.15</v>
      </c>
      <c r="AU201" s="431">
        <v>0.15</v>
      </c>
      <c r="AV201" s="431">
        <v>0.16500000000000001</v>
      </c>
      <c r="AW201" s="291">
        <v>7.0405416821378006E-2</v>
      </c>
      <c r="AY201" s="306">
        <f t="shared" si="24"/>
        <v>0.16500000000000001</v>
      </c>
      <c r="AZ201" s="306">
        <f t="shared" si="25"/>
        <v>0.16500000000000001</v>
      </c>
      <c r="BA201" s="309">
        <f t="shared" si="26"/>
        <v>0.16500000000000001</v>
      </c>
      <c r="BB201" s="308">
        <f t="shared" si="27"/>
        <v>42401</v>
      </c>
      <c r="BC201" s="306">
        <f t="shared" si="21"/>
        <v>0.34386074982007175</v>
      </c>
      <c r="BD201" s="306">
        <f t="shared" si="22"/>
        <v>0.34392589844201382</v>
      </c>
      <c r="BF201" s="308">
        <f t="shared" si="28"/>
        <v>42401</v>
      </c>
      <c r="BG201" s="291">
        <v>189</v>
      </c>
    </row>
    <row r="202" spans="2:59" x14ac:dyDescent="0.25">
      <c r="B202" s="296">
        <f t="shared" si="23"/>
        <v>42430</v>
      </c>
      <c r="C202" s="294">
        <v>3.5920000000000001</v>
      </c>
      <c r="D202" s="294">
        <v>0.15</v>
      </c>
      <c r="E202" s="294">
        <v>7.0637551292387996E-2</v>
      </c>
      <c r="F202" s="294">
        <v>-0.16</v>
      </c>
      <c r="G202" s="294">
        <v>-2.75E-2</v>
      </c>
      <c r="H202" s="294">
        <v>-0.16</v>
      </c>
      <c r="I202" s="294">
        <v>0.248</v>
      </c>
      <c r="J202" s="294">
        <v>0.26500000000000001</v>
      </c>
      <c r="K202" s="294">
        <v>0.30249999999999999</v>
      </c>
      <c r="L202" s="294">
        <v>-5.7000000000000002E-2</v>
      </c>
      <c r="M202" s="388">
        <v>7.4999999999999997E-3</v>
      </c>
      <c r="N202" s="294">
        <v>0</v>
      </c>
      <c r="P202" s="294">
        <v>1.6E-2</v>
      </c>
      <c r="Q202" s="294">
        <v>0</v>
      </c>
      <c r="R202" s="389">
        <v>-5.9999989999999998E-3</v>
      </c>
      <c r="S202" s="291">
        <v>0</v>
      </c>
      <c r="T202" s="389">
        <v>-5.0000000000000001E-3</v>
      </c>
      <c r="U202" s="291">
        <v>0</v>
      </c>
      <c r="V202" s="291">
        <v>-8.5999999999999993E-2</v>
      </c>
      <c r="W202" s="291">
        <v>0</v>
      </c>
      <c r="X202" s="291">
        <v>0.83499999999999996</v>
      </c>
      <c r="Y202" s="291">
        <v>5.0000000000000001E-3</v>
      </c>
      <c r="Z202" s="291">
        <v>-0.19</v>
      </c>
      <c r="AA202" s="389">
        <v>-1.2500000000000001E-2</v>
      </c>
      <c r="AB202" s="306">
        <v>0.12</v>
      </c>
      <c r="AC202" s="306">
        <v>0.60750000000000004</v>
      </c>
      <c r="AD202" s="306">
        <v>0.34300000000000003</v>
      </c>
      <c r="AE202" s="431">
        <v>0.15</v>
      </c>
      <c r="AF202" s="431">
        <v>0.15</v>
      </c>
      <c r="AG202" s="431">
        <v>0.16500000000000001</v>
      </c>
      <c r="AH202" s="431">
        <v>0.15</v>
      </c>
      <c r="AI202" s="431">
        <v>0.153</v>
      </c>
      <c r="AJ202" s="431">
        <v>0.15</v>
      </c>
      <c r="AK202" s="431">
        <v>0.15</v>
      </c>
      <c r="AL202" s="431">
        <v>0.15</v>
      </c>
      <c r="AM202" s="431">
        <v>0.15</v>
      </c>
      <c r="AN202" s="431">
        <v>0.15</v>
      </c>
      <c r="AO202" s="431">
        <v>0.15</v>
      </c>
      <c r="AP202" s="432">
        <v>0.15</v>
      </c>
      <c r="AQ202" s="432">
        <v>0.15</v>
      </c>
      <c r="AR202" s="432">
        <v>0.15</v>
      </c>
      <c r="AS202" s="432">
        <v>0.15</v>
      </c>
      <c r="AT202" s="431">
        <v>0.15</v>
      </c>
      <c r="AU202" s="431">
        <v>0.15</v>
      </c>
      <c r="AV202" s="431">
        <v>0.16500000000000001</v>
      </c>
      <c r="AW202" s="291">
        <v>7.0411921724759005E-2</v>
      </c>
      <c r="AY202" s="306">
        <f t="shared" si="24"/>
        <v>0.16500000000000001</v>
      </c>
      <c r="AZ202" s="306">
        <f t="shared" si="25"/>
        <v>0.16500000000000001</v>
      </c>
      <c r="BA202" s="309">
        <f t="shared" si="26"/>
        <v>0.16500000000000001</v>
      </c>
      <c r="BB202" s="308">
        <f t="shared" si="27"/>
        <v>42430</v>
      </c>
      <c r="BC202" s="306">
        <f t="shared" si="21"/>
        <v>0.34194347717854068</v>
      </c>
      <c r="BD202" s="306">
        <f t="shared" si="22"/>
        <v>0.34200826843359067</v>
      </c>
      <c r="BF202" s="308">
        <f t="shared" si="28"/>
        <v>42430</v>
      </c>
      <c r="BG202" s="291">
        <v>190</v>
      </c>
    </row>
    <row r="203" spans="2:59" x14ac:dyDescent="0.25">
      <c r="B203" s="296">
        <f t="shared" si="23"/>
        <v>42461</v>
      </c>
      <c r="C203" s="294">
        <v>3.4529999999999998</v>
      </c>
      <c r="D203" s="294">
        <v>0.15</v>
      </c>
      <c r="E203" s="294">
        <v>7.0638717308043997E-2</v>
      </c>
      <c r="F203" s="294">
        <v>-0.16</v>
      </c>
      <c r="G203" s="294">
        <v>1.4999999999999999E-2</v>
      </c>
      <c r="H203" s="294">
        <v>-0.16</v>
      </c>
      <c r="I203" s="294">
        <v>0.153</v>
      </c>
      <c r="J203" s="294">
        <v>0.19500000000000001</v>
      </c>
      <c r="K203" s="294">
        <v>0.25</v>
      </c>
      <c r="L203" s="294">
        <v>-0.05</v>
      </c>
      <c r="M203" s="388">
        <v>6.9388939039072299E-18</v>
      </c>
      <c r="N203" s="294">
        <v>0</v>
      </c>
      <c r="P203" s="294">
        <v>6.4999999999999997E-3</v>
      </c>
      <c r="Q203" s="294">
        <v>0</v>
      </c>
      <c r="R203" s="389">
        <v>-5.4999990000000002E-3</v>
      </c>
      <c r="S203" s="291">
        <v>0</v>
      </c>
      <c r="T203" s="389">
        <v>-0.05</v>
      </c>
      <c r="U203" s="291">
        <v>0</v>
      </c>
      <c r="V203" s="291">
        <v>-7.85E-2</v>
      </c>
      <c r="W203" s="291">
        <v>0</v>
      </c>
      <c r="X203" s="291">
        <v>0.45</v>
      </c>
      <c r="Y203" s="291">
        <v>5.0000000000000001E-3</v>
      </c>
      <c r="Z203" s="291">
        <v>-0.19</v>
      </c>
      <c r="AA203" s="389">
        <v>-9.9999990000000007E-3</v>
      </c>
      <c r="AB203" s="306">
        <v>0.29499999999999998</v>
      </c>
      <c r="AC203" s="306">
        <v>0.35499999999999998</v>
      </c>
      <c r="AD203" s="306">
        <v>0.248</v>
      </c>
      <c r="AE203" s="431">
        <v>0.15</v>
      </c>
      <c r="AF203" s="431">
        <v>0.15</v>
      </c>
      <c r="AG203" s="431">
        <v>0.14699999999999999</v>
      </c>
      <c r="AH203" s="431">
        <v>0.15</v>
      </c>
      <c r="AI203" s="431">
        <v>0.153</v>
      </c>
      <c r="AJ203" s="431">
        <v>0.15</v>
      </c>
      <c r="AK203" s="431">
        <v>0.14699999999999999</v>
      </c>
      <c r="AL203" s="431">
        <v>0.14699999999999999</v>
      </c>
      <c r="AM203" s="431">
        <v>0.15</v>
      </c>
      <c r="AN203" s="431">
        <v>0.15</v>
      </c>
      <c r="AO203" s="431">
        <v>0.15</v>
      </c>
      <c r="AP203" s="432">
        <v>0.15</v>
      </c>
      <c r="AQ203" s="432">
        <v>0.15</v>
      </c>
      <c r="AR203" s="432">
        <v>0.15</v>
      </c>
      <c r="AS203" s="432">
        <v>0.15</v>
      </c>
      <c r="AT203" s="431">
        <v>0.15</v>
      </c>
      <c r="AU203" s="431">
        <v>0.15</v>
      </c>
      <c r="AV203" s="431">
        <v>0.14699999999999999</v>
      </c>
      <c r="AW203" s="291">
        <v>7.0418875242182002E-2</v>
      </c>
      <c r="AY203" s="306">
        <f t="shared" si="24"/>
        <v>0.14699999999999999</v>
      </c>
      <c r="AZ203" s="306">
        <f t="shared" si="25"/>
        <v>0.14699999999999999</v>
      </c>
      <c r="BA203" s="309">
        <f t="shared" si="26"/>
        <v>0.14699999999999999</v>
      </c>
      <c r="BB203" s="308">
        <f t="shared" si="27"/>
        <v>42461</v>
      </c>
      <c r="BC203" s="306">
        <f t="shared" si="21"/>
        <v>0.33990542386520539</v>
      </c>
      <c r="BD203" s="306">
        <f t="shared" si="22"/>
        <v>0.33996983520319446</v>
      </c>
      <c r="BF203" s="308">
        <f t="shared" si="28"/>
        <v>42461</v>
      </c>
      <c r="BG203" s="291">
        <v>191</v>
      </c>
    </row>
    <row r="204" spans="2:59" x14ac:dyDescent="0.25">
      <c r="B204" s="296">
        <f t="shared" si="23"/>
        <v>42491</v>
      </c>
      <c r="C204" s="294">
        <v>3.4540000000000002</v>
      </c>
      <c r="D204" s="294">
        <v>0.15</v>
      </c>
      <c r="E204" s="294">
        <v>7.0639845710292998E-2</v>
      </c>
      <c r="F204" s="294">
        <v>0</v>
      </c>
      <c r="G204" s="294">
        <v>1.4999999999999999E-2</v>
      </c>
      <c r="H204" s="294">
        <v>0</v>
      </c>
      <c r="I204" s="294">
        <v>0</v>
      </c>
      <c r="J204" s="294">
        <v>0.1825</v>
      </c>
      <c r="K204" s="294">
        <v>0.20250000000000001</v>
      </c>
      <c r="L204" s="294">
        <v>-0.05</v>
      </c>
      <c r="M204" s="388">
        <v>6.9388939039072299E-18</v>
      </c>
      <c r="N204" s="294">
        <v>0</v>
      </c>
      <c r="P204" s="294">
        <v>6.4999999999999997E-3</v>
      </c>
      <c r="Q204" s="294">
        <v>0</v>
      </c>
      <c r="R204" s="389">
        <v>-5.4999990000000002E-3</v>
      </c>
      <c r="S204" s="291">
        <v>0</v>
      </c>
      <c r="T204" s="389">
        <v>0</v>
      </c>
      <c r="U204" s="389">
        <v>2.4999999999999301E-4</v>
      </c>
      <c r="V204" s="291">
        <v>-7.85E-2</v>
      </c>
      <c r="W204" s="291">
        <v>0</v>
      </c>
      <c r="X204" s="291">
        <v>0.40500000000000003</v>
      </c>
      <c r="Y204" s="291">
        <v>5.0000000000000001E-3</v>
      </c>
      <c r="Z204" s="291">
        <v>-0.19</v>
      </c>
      <c r="AA204" s="389">
        <v>-9.9999990000000007E-3</v>
      </c>
      <c r="AB204" s="306">
        <v>0.29499999999999998</v>
      </c>
      <c r="AC204" s="306">
        <v>0.28749999999999998</v>
      </c>
      <c r="AD204" s="306">
        <v>0</v>
      </c>
      <c r="AE204" s="431">
        <v>0.15</v>
      </c>
      <c r="AF204" s="431">
        <v>0.15</v>
      </c>
      <c r="AG204" s="431">
        <v>0.14699999999999999</v>
      </c>
      <c r="AH204" s="431">
        <v>0.15</v>
      </c>
      <c r="AI204" s="431">
        <v>0.153</v>
      </c>
      <c r="AJ204" s="431">
        <v>0.15</v>
      </c>
      <c r="AK204" s="431">
        <v>0.14699999999999999</v>
      </c>
      <c r="AL204" s="431">
        <v>0.14699999999999999</v>
      </c>
      <c r="AM204" s="431">
        <v>0.15</v>
      </c>
      <c r="AN204" s="431">
        <v>0.15</v>
      </c>
      <c r="AO204" s="431">
        <v>0.15</v>
      </c>
      <c r="AP204" s="432">
        <v>0.15</v>
      </c>
      <c r="AQ204" s="432">
        <v>0.15</v>
      </c>
      <c r="AR204" s="432">
        <v>0.15</v>
      </c>
      <c r="AS204" s="432">
        <v>0.15</v>
      </c>
      <c r="AT204" s="431">
        <v>0.15</v>
      </c>
      <c r="AU204" s="431">
        <v>0.15</v>
      </c>
      <c r="AV204" s="431">
        <v>0.14699999999999999</v>
      </c>
      <c r="AW204" s="291">
        <v>7.0425604452605997E-2</v>
      </c>
      <c r="AY204" s="306">
        <f t="shared" si="24"/>
        <v>0.14699999999999999</v>
      </c>
      <c r="AZ204" s="306">
        <f t="shared" si="25"/>
        <v>0.14699999999999999</v>
      </c>
      <c r="BA204" s="309">
        <f t="shared" si="26"/>
        <v>0.14699999999999999</v>
      </c>
      <c r="BB204" s="308">
        <f t="shared" si="27"/>
        <v>42491</v>
      </c>
      <c r="BC204" s="306">
        <f t="shared" si="21"/>
        <v>0.33794431395292823</v>
      </c>
      <c r="BD204" s="306">
        <f t="shared" si="22"/>
        <v>0.33800835968036647</v>
      </c>
      <c r="BF204" s="308">
        <f t="shared" si="28"/>
        <v>42491</v>
      </c>
      <c r="BG204" s="291">
        <v>192</v>
      </c>
    </row>
    <row r="205" spans="2:59" x14ac:dyDescent="0.25">
      <c r="B205" s="296">
        <f t="shared" si="23"/>
        <v>42522</v>
      </c>
      <c r="C205" s="294">
        <v>3.4870000000000001</v>
      </c>
      <c r="D205" s="294">
        <v>0.15</v>
      </c>
      <c r="E205" s="294">
        <v>7.0641011725949998E-2</v>
      </c>
      <c r="F205" s="294">
        <v>0</v>
      </c>
      <c r="G205" s="294">
        <v>0.02</v>
      </c>
      <c r="H205" s="294">
        <v>0</v>
      </c>
      <c r="I205" s="294">
        <v>0</v>
      </c>
      <c r="J205" s="294">
        <v>0.1825</v>
      </c>
      <c r="K205" s="294">
        <v>0.20250000000000001</v>
      </c>
      <c r="L205" s="294">
        <v>-6.6000000000000003E-2</v>
      </c>
      <c r="M205" s="388">
        <v>6.9388939039072299E-18</v>
      </c>
      <c r="N205" s="294">
        <v>0</v>
      </c>
      <c r="P205" s="294">
        <v>6.4999999999999997E-3</v>
      </c>
      <c r="Q205" s="294">
        <v>0</v>
      </c>
      <c r="R205" s="389">
        <v>-5.4999990000000002E-3</v>
      </c>
      <c r="S205" s="291">
        <v>0</v>
      </c>
      <c r="T205" s="389">
        <v>0</v>
      </c>
      <c r="U205" s="389">
        <v>2.4999999999999301E-4</v>
      </c>
      <c r="V205" s="291">
        <v>-6.8500000000000005E-2</v>
      </c>
      <c r="W205" s="291">
        <v>0</v>
      </c>
      <c r="X205" s="291">
        <v>0.39500000000000002</v>
      </c>
      <c r="Y205" s="291">
        <v>5.0000000000000001E-3</v>
      </c>
      <c r="Z205" s="291">
        <v>-0.19</v>
      </c>
      <c r="AA205" s="389">
        <v>-9.9999990000000007E-3</v>
      </c>
      <c r="AB205" s="306">
        <v>0.29499999999999998</v>
      </c>
      <c r="AC205" s="306">
        <v>0.28749999999999998</v>
      </c>
      <c r="AD205" s="306">
        <v>0</v>
      </c>
      <c r="AE205" s="431">
        <v>0.15</v>
      </c>
      <c r="AF205" s="431">
        <v>0.15</v>
      </c>
      <c r="AG205" s="431">
        <v>0.14699999999999999</v>
      </c>
      <c r="AH205" s="431">
        <v>0.15</v>
      </c>
      <c r="AI205" s="431">
        <v>0.153</v>
      </c>
      <c r="AJ205" s="431">
        <v>0.15</v>
      </c>
      <c r="AK205" s="431">
        <v>0.14699999999999999</v>
      </c>
      <c r="AL205" s="431">
        <v>0.14699999999999999</v>
      </c>
      <c r="AM205" s="431">
        <v>0.15</v>
      </c>
      <c r="AN205" s="431">
        <v>0.15</v>
      </c>
      <c r="AO205" s="431">
        <v>0.15</v>
      </c>
      <c r="AP205" s="432">
        <v>0.15</v>
      </c>
      <c r="AQ205" s="432">
        <v>0.15</v>
      </c>
      <c r="AR205" s="432">
        <v>0.15</v>
      </c>
      <c r="AS205" s="432">
        <v>0.15</v>
      </c>
      <c r="AT205" s="431">
        <v>0.15</v>
      </c>
      <c r="AU205" s="431">
        <v>0.15</v>
      </c>
      <c r="AV205" s="431">
        <v>0.14699999999999999</v>
      </c>
      <c r="AW205" s="291">
        <v>7.0432557970060997E-2</v>
      </c>
      <c r="AY205" s="306">
        <f t="shared" si="24"/>
        <v>0.14699999999999999</v>
      </c>
      <c r="AZ205" s="306">
        <f t="shared" si="25"/>
        <v>0.14699999999999999</v>
      </c>
      <c r="BA205" s="309">
        <f t="shared" si="26"/>
        <v>0.14699999999999999</v>
      </c>
      <c r="BB205" s="308">
        <f t="shared" si="27"/>
        <v>42522</v>
      </c>
      <c r="BC205" s="306">
        <f t="shared" si="21"/>
        <v>0.33592934301470473</v>
      </c>
      <c r="BD205" s="306">
        <f t="shared" si="22"/>
        <v>0.3359930130526122</v>
      </c>
      <c r="BF205" s="308">
        <f t="shared" si="28"/>
        <v>42522</v>
      </c>
      <c r="BG205" s="291">
        <v>193</v>
      </c>
    </row>
    <row r="206" spans="2:59" x14ac:dyDescent="0.25">
      <c r="B206" s="296">
        <f t="shared" si="23"/>
        <v>42552</v>
      </c>
      <c r="C206" s="294">
        <v>3.5089999999999999</v>
      </c>
      <c r="D206" s="294">
        <v>0.15</v>
      </c>
      <c r="E206" s="294">
        <v>7.0642140128198999E-2</v>
      </c>
      <c r="F206" s="294">
        <v>0</v>
      </c>
      <c r="G206" s="294">
        <v>2.2499999999999999E-2</v>
      </c>
      <c r="H206" s="294">
        <v>0</v>
      </c>
      <c r="I206" s="294">
        <v>0</v>
      </c>
      <c r="J206" s="294">
        <v>0.1825</v>
      </c>
      <c r="K206" s="294">
        <v>0.215</v>
      </c>
      <c r="L206" s="294">
        <v>-5.8999999999999997E-2</v>
      </c>
      <c r="M206" s="388">
        <v>6.9388939039072299E-18</v>
      </c>
      <c r="N206" s="294">
        <v>0</v>
      </c>
      <c r="P206" s="294">
        <v>6.4999999999999997E-3</v>
      </c>
      <c r="Q206" s="294">
        <v>0</v>
      </c>
      <c r="R206" s="389">
        <v>-5.4999990000000002E-3</v>
      </c>
      <c r="S206" s="291">
        <v>0</v>
      </c>
      <c r="T206" s="291">
        <v>0</v>
      </c>
      <c r="U206" s="389">
        <v>2.4999999999999301E-4</v>
      </c>
      <c r="V206" s="291">
        <v>-6.3500000000000001E-2</v>
      </c>
      <c r="W206" s="291">
        <v>0</v>
      </c>
      <c r="X206" s="291">
        <v>0.43</v>
      </c>
      <c r="Y206" s="291">
        <v>5.0000000000000001E-3</v>
      </c>
      <c r="Z206" s="291">
        <v>-0.19</v>
      </c>
      <c r="AA206" s="389">
        <v>-9.9999990000000007E-3</v>
      </c>
      <c r="AB206" s="306">
        <v>0.29499999999999998</v>
      </c>
      <c r="AC206" s="306">
        <v>0.3</v>
      </c>
      <c r="AD206" s="306">
        <v>0</v>
      </c>
      <c r="AE206" s="431">
        <v>0.15</v>
      </c>
      <c r="AF206" s="431">
        <v>0.15</v>
      </c>
      <c r="AG206" s="431">
        <v>0.14699999999999999</v>
      </c>
      <c r="AH206" s="431">
        <v>0.15</v>
      </c>
      <c r="AI206" s="431">
        <v>0.153</v>
      </c>
      <c r="AJ206" s="431">
        <v>0.15</v>
      </c>
      <c r="AK206" s="431">
        <v>0.14699999999999999</v>
      </c>
      <c r="AL206" s="431">
        <v>0.14699999999999999</v>
      </c>
      <c r="AM206" s="431">
        <v>0.15</v>
      </c>
      <c r="AN206" s="431">
        <v>0.15</v>
      </c>
      <c r="AO206" s="431">
        <v>0.15</v>
      </c>
      <c r="AP206" s="432">
        <v>0.15</v>
      </c>
      <c r="AQ206" s="432">
        <v>0.15</v>
      </c>
      <c r="AR206" s="432">
        <v>0.15</v>
      </c>
      <c r="AS206" s="432">
        <v>0.15</v>
      </c>
      <c r="AT206" s="431">
        <v>0.15</v>
      </c>
      <c r="AU206" s="431">
        <v>0.15</v>
      </c>
      <c r="AV206" s="431">
        <v>0.14699999999999999</v>
      </c>
      <c r="AW206" s="291">
        <v>7.0439287180515994E-2</v>
      </c>
      <c r="AY206" s="306">
        <f t="shared" si="24"/>
        <v>0.14699999999999999</v>
      </c>
      <c r="AZ206" s="306">
        <f t="shared" si="25"/>
        <v>0.14699999999999999</v>
      </c>
      <c r="BA206" s="309">
        <f t="shared" si="26"/>
        <v>0.14699999999999999</v>
      </c>
      <c r="BB206" s="308">
        <f t="shared" si="27"/>
        <v>42552</v>
      </c>
      <c r="BC206" s="306">
        <f t="shared" si="21"/>
        <v>0.33399044845860293</v>
      </c>
      <c r="BD206" s="306">
        <f t="shared" si="22"/>
        <v>0.33405375695512618</v>
      </c>
      <c r="BF206" s="308">
        <f t="shared" si="28"/>
        <v>42552</v>
      </c>
      <c r="BG206" s="291">
        <v>194</v>
      </c>
    </row>
    <row r="207" spans="2:59" x14ac:dyDescent="0.25">
      <c r="B207" s="296">
        <f t="shared" si="23"/>
        <v>42583</v>
      </c>
      <c r="C207" s="294">
        <v>3.53</v>
      </c>
      <c r="D207" s="294">
        <v>0.15</v>
      </c>
      <c r="E207" s="294">
        <v>7.0643306143856999E-2</v>
      </c>
      <c r="F207" s="294">
        <v>0</v>
      </c>
      <c r="G207" s="294">
        <v>2.5000000000000001E-2</v>
      </c>
      <c r="H207" s="294">
        <v>0</v>
      </c>
      <c r="I207" s="294">
        <v>0</v>
      </c>
      <c r="J207" s="294">
        <v>0.1825</v>
      </c>
      <c r="K207" s="294">
        <v>0.215</v>
      </c>
      <c r="L207" s="294">
        <v>-0.05</v>
      </c>
      <c r="M207" s="388">
        <v>6.9388939039072299E-18</v>
      </c>
      <c r="N207" s="294">
        <v>0</v>
      </c>
      <c r="P207" s="294">
        <v>6.4999999999999997E-3</v>
      </c>
      <c r="Q207" s="294">
        <v>0</v>
      </c>
      <c r="R207" s="389">
        <v>-5.4999990000000002E-3</v>
      </c>
      <c r="S207" s="291">
        <v>0</v>
      </c>
      <c r="T207" s="291">
        <v>0</v>
      </c>
      <c r="U207" s="389">
        <v>2.4999999999999301E-4</v>
      </c>
      <c r="V207" s="291">
        <v>-6.3500000000000001E-2</v>
      </c>
      <c r="W207" s="291">
        <v>0</v>
      </c>
      <c r="X207" s="291">
        <v>0.495</v>
      </c>
      <c r="Y207" s="291">
        <v>5.0000000000000001E-3</v>
      </c>
      <c r="Z207" s="291">
        <v>-0.19</v>
      </c>
      <c r="AA207" s="389">
        <v>-9.9999990000000007E-3</v>
      </c>
      <c r="AB207" s="306">
        <v>0.29499999999999998</v>
      </c>
      <c r="AC207" s="306">
        <v>0.3</v>
      </c>
      <c r="AD207" s="306">
        <v>0</v>
      </c>
      <c r="AE207" s="431">
        <v>0.15</v>
      </c>
      <c r="AF207" s="431">
        <v>0.15</v>
      </c>
      <c r="AG207" s="431">
        <v>0.14699999999999999</v>
      </c>
      <c r="AH207" s="431">
        <v>0.15</v>
      </c>
      <c r="AI207" s="431">
        <v>0.153</v>
      </c>
      <c r="AJ207" s="431">
        <v>0.15</v>
      </c>
      <c r="AK207" s="431">
        <v>0.14699999999999999</v>
      </c>
      <c r="AL207" s="431">
        <v>0.14699999999999999</v>
      </c>
      <c r="AM207" s="431">
        <v>0.15</v>
      </c>
      <c r="AN207" s="431">
        <v>0.15</v>
      </c>
      <c r="AO207" s="431">
        <v>0.15</v>
      </c>
      <c r="AP207" s="432">
        <v>0.15</v>
      </c>
      <c r="AQ207" s="432">
        <v>0.15</v>
      </c>
      <c r="AR207" s="432">
        <v>0.15</v>
      </c>
      <c r="AS207" s="432">
        <v>0.15</v>
      </c>
      <c r="AT207" s="431">
        <v>0.15</v>
      </c>
      <c r="AU207" s="431">
        <v>0.15</v>
      </c>
      <c r="AV207" s="431">
        <v>0.14699999999999999</v>
      </c>
      <c r="AW207" s="291">
        <v>7.0446240698001997E-2</v>
      </c>
      <c r="AY207" s="306">
        <f t="shared" si="24"/>
        <v>0.14699999999999999</v>
      </c>
      <c r="AZ207" s="306">
        <f t="shared" si="25"/>
        <v>0.14699999999999999</v>
      </c>
      <c r="BA207" s="309">
        <f t="shared" si="26"/>
        <v>0.14699999999999999</v>
      </c>
      <c r="BB207" s="308">
        <f t="shared" si="27"/>
        <v>42583</v>
      </c>
      <c r="BC207" s="306">
        <f t="shared" si="21"/>
        <v>0.33199830755133103</v>
      </c>
      <c r="BD207" s="306">
        <f t="shared" si="22"/>
        <v>0.33206124454052194</v>
      </c>
      <c r="BF207" s="308">
        <f t="shared" si="28"/>
        <v>42583</v>
      </c>
      <c r="BG207" s="291">
        <v>195</v>
      </c>
    </row>
    <row r="208" spans="2:59" x14ac:dyDescent="0.25">
      <c r="B208" s="296">
        <f t="shared" si="23"/>
        <v>42614</v>
      </c>
      <c r="C208" s="294">
        <v>3.5</v>
      </c>
      <c r="D208" s="294">
        <v>0.15</v>
      </c>
      <c r="E208" s="294">
        <v>7.0644472159515997E-2</v>
      </c>
      <c r="F208" s="294">
        <v>0</v>
      </c>
      <c r="G208" s="294">
        <v>1.7500000000000002E-2</v>
      </c>
      <c r="H208" s="294">
        <v>0</v>
      </c>
      <c r="I208" s="294">
        <v>0</v>
      </c>
      <c r="J208" s="294">
        <v>0.1825</v>
      </c>
      <c r="K208" s="294">
        <v>0.19500000000000001</v>
      </c>
      <c r="L208" s="294">
        <v>-0.03</v>
      </c>
      <c r="M208" s="388">
        <v>6.9388939039072299E-18</v>
      </c>
      <c r="N208" s="294">
        <v>0</v>
      </c>
      <c r="P208" s="294">
        <v>6.4999999999999997E-3</v>
      </c>
      <c r="Q208" s="294">
        <v>0</v>
      </c>
      <c r="R208" s="389">
        <v>-5.4999990000000002E-3</v>
      </c>
      <c r="S208" s="291">
        <v>0</v>
      </c>
      <c r="T208" s="291">
        <v>0</v>
      </c>
      <c r="U208" s="389">
        <v>2.4999999999999301E-4</v>
      </c>
      <c r="V208" s="291">
        <v>-7.85E-2</v>
      </c>
      <c r="W208" s="291">
        <v>0</v>
      </c>
      <c r="X208" s="291">
        <v>0.39500000000000002</v>
      </c>
      <c r="Y208" s="291">
        <v>5.0000000000000001E-3</v>
      </c>
      <c r="Z208" s="291">
        <v>-0.19</v>
      </c>
      <c r="AA208" s="291">
        <v>-9.9999990000000007E-3</v>
      </c>
      <c r="AB208" s="306">
        <v>0.29499999999999998</v>
      </c>
      <c r="AC208" s="306">
        <v>0.28999999999999998</v>
      </c>
      <c r="AD208" s="306">
        <v>0</v>
      </c>
      <c r="AE208" s="431">
        <v>0.15</v>
      </c>
      <c r="AF208" s="431">
        <v>0.15</v>
      </c>
      <c r="AG208" s="431">
        <v>0.14699999999999999</v>
      </c>
      <c r="AH208" s="431">
        <v>0.15</v>
      </c>
      <c r="AI208" s="431">
        <v>0.153</v>
      </c>
      <c r="AJ208" s="431">
        <v>0.15</v>
      </c>
      <c r="AK208" s="431">
        <v>0.14699999999999999</v>
      </c>
      <c r="AL208" s="431">
        <v>0.14699999999999999</v>
      </c>
      <c r="AM208" s="431">
        <v>0.15</v>
      </c>
      <c r="AN208" s="431">
        <v>0.15</v>
      </c>
      <c r="AO208" s="431">
        <v>0.15</v>
      </c>
      <c r="AP208" s="432">
        <v>0.15</v>
      </c>
      <c r="AQ208" s="432">
        <v>0.15</v>
      </c>
      <c r="AR208" s="432">
        <v>0.15</v>
      </c>
      <c r="AS208" s="432">
        <v>0.15</v>
      </c>
      <c r="AT208" s="431">
        <v>0.15</v>
      </c>
      <c r="AU208" s="431">
        <v>0.15</v>
      </c>
      <c r="AV208" s="431">
        <v>0.14699999999999999</v>
      </c>
      <c r="AW208" s="291">
        <v>7.0453194215504E-2</v>
      </c>
      <c r="AY208" s="306">
        <f t="shared" si="24"/>
        <v>0.14699999999999999</v>
      </c>
      <c r="AZ208" s="306">
        <f t="shared" si="25"/>
        <v>0.14699999999999999</v>
      </c>
      <c r="BA208" s="309">
        <f t="shared" si="26"/>
        <v>0.14699999999999999</v>
      </c>
      <c r="BB208" s="308">
        <f t="shared" si="27"/>
        <v>42614</v>
      </c>
      <c r="BC208" s="306">
        <f t="shared" ref="BC208:BC234" si="29">(1+$AW208/2)^(-2*($B208-$BC$11)/365.25)</f>
        <v>0.33001767293572809</v>
      </c>
      <c r="BD208" s="306">
        <f t="shared" ref="BD208:BD234" si="30">(1+$AW208/2)^(-2*($B208-$BD$11)/365.25)</f>
        <v>0.33008024052574342</v>
      </c>
      <c r="BF208" s="308">
        <f t="shared" si="28"/>
        <v>42614</v>
      </c>
      <c r="BG208" s="291">
        <v>196</v>
      </c>
    </row>
    <row r="209" spans="2:59" x14ac:dyDescent="0.25">
      <c r="B209" s="296">
        <f t="shared" ref="B209:B272" si="31">EOMONTH(B208,0)+1</f>
        <v>42644</v>
      </c>
      <c r="C209" s="294">
        <v>3.5019999999999998</v>
      </c>
      <c r="D209" s="294">
        <v>0.15</v>
      </c>
      <c r="E209" s="388">
        <v>7.0645600561766997E-2</v>
      </c>
      <c r="F209" s="294">
        <v>0</v>
      </c>
      <c r="G209" s="294">
        <v>7.4999999999999997E-3</v>
      </c>
      <c r="H209" s="294">
        <v>0</v>
      </c>
      <c r="I209" s="294">
        <v>0</v>
      </c>
      <c r="J209" s="294">
        <v>0.1875</v>
      </c>
      <c r="K209" s="294">
        <v>0.215</v>
      </c>
      <c r="L209" s="294">
        <v>-0.04</v>
      </c>
      <c r="M209" s="388">
        <v>6.9388939039072299E-18</v>
      </c>
      <c r="N209" s="294">
        <v>0</v>
      </c>
      <c r="P209" s="294">
        <v>6.4999999999999997E-3</v>
      </c>
      <c r="Q209" s="294">
        <v>0</v>
      </c>
      <c r="R209" s="389">
        <v>-5.4999990000000002E-3</v>
      </c>
      <c r="S209" s="291">
        <v>0</v>
      </c>
      <c r="T209" s="291">
        <v>0</v>
      </c>
      <c r="U209" s="291">
        <v>-1.8499999999999999E-2</v>
      </c>
      <c r="V209" s="291">
        <v>-8.1000000000000003E-2</v>
      </c>
      <c r="W209" s="291">
        <v>0</v>
      </c>
      <c r="X209" s="291">
        <v>0.46100000000000002</v>
      </c>
      <c r="Y209" s="291">
        <v>5.0000000000000001E-3</v>
      </c>
      <c r="Z209" s="291">
        <v>-0.19</v>
      </c>
      <c r="AA209" s="291">
        <v>-9.9999990000000007E-3</v>
      </c>
      <c r="AB209" s="306">
        <v>0.29499999999999998</v>
      </c>
      <c r="AC209" s="306">
        <v>0.36249999999999999</v>
      </c>
      <c r="AD209" s="306">
        <v>0</v>
      </c>
      <c r="AE209" s="431">
        <v>0.15</v>
      </c>
      <c r="AF209" s="431">
        <v>0.15</v>
      </c>
      <c r="AG209" s="431">
        <v>0.14699999999999999</v>
      </c>
      <c r="AH209" s="431">
        <v>0.15</v>
      </c>
      <c r="AI209" s="431">
        <v>0.153</v>
      </c>
      <c r="AJ209" s="431">
        <v>0.15</v>
      </c>
      <c r="AK209" s="431">
        <v>0.14699999999999999</v>
      </c>
      <c r="AL209" s="431">
        <v>0.14699999999999999</v>
      </c>
      <c r="AM209" s="431">
        <v>0.15</v>
      </c>
      <c r="AN209" s="431">
        <v>0.15</v>
      </c>
      <c r="AO209" s="431">
        <v>0.15</v>
      </c>
      <c r="AP209" s="432">
        <v>0.15</v>
      </c>
      <c r="AQ209" s="432">
        <v>0.15</v>
      </c>
      <c r="AR209" s="432">
        <v>0.15</v>
      </c>
      <c r="AS209" s="432">
        <v>0.15</v>
      </c>
      <c r="AT209" s="431">
        <v>0.15</v>
      </c>
      <c r="AU209" s="431">
        <v>0.15</v>
      </c>
      <c r="AV209" s="431">
        <v>0.14699999999999999</v>
      </c>
      <c r="AW209" s="389">
        <v>7.0459923426004004E-2</v>
      </c>
      <c r="AY209" s="306">
        <f t="shared" ref="AY209:AY235" si="32">AG209</f>
        <v>0.14699999999999999</v>
      </c>
      <c r="AZ209" s="306">
        <f t="shared" ref="AZ209:AZ235" si="33">AG209</f>
        <v>0.14699999999999999</v>
      </c>
      <c r="BA209" s="309">
        <f t="shared" ref="BA209:BA235" si="34">AG209</f>
        <v>0.14699999999999999</v>
      </c>
      <c r="BB209" s="308">
        <f t="shared" ref="BB209:BB272" si="35">B209</f>
        <v>42644</v>
      </c>
      <c r="BC209" s="306">
        <f t="shared" si="29"/>
        <v>0.32811182486518348</v>
      </c>
      <c r="BD209" s="306">
        <f t="shared" si="30"/>
        <v>0.32817403696851483</v>
      </c>
      <c r="BF209" s="308">
        <f t="shared" ref="BF209:BF235" si="36">B209</f>
        <v>42644</v>
      </c>
      <c r="BG209" s="291">
        <v>197</v>
      </c>
    </row>
    <row r="210" spans="2:59" x14ac:dyDescent="0.25">
      <c r="B210" s="296">
        <f t="shared" si="31"/>
        <v>42675</v>
      </c>
      <c r="C210" s="294">
        <v>3.5289999999999999</v>
      </c>
      <c r="D210" s="294">
        <v>0.15</v>
      </c>
      <c r="E210" s="294">
        <v>7.0646766577425996E-2</v>
      </c>
      <c r="F210" s="294">
        <v>0</v>
      </c>
      <c r="G210" s="294">
        <v>-3.2500000000000001E-2</v>
      </c>
      <c r="H210" s="294">
        <v>0</v>
      </c>
      <c r="I210" s="294">
        <v>0</v>
      </c>
      <c r="J210" s="294">
        <v>0.27</v>
      </c>
      <c r="K210" s="294">
        <v>0.28749999999999998</v>
      </c>
      <c r="L210" s="294">
        <v>-5.5E-2</v>
      </c>
      <c r="M210" s="388">
        <v>7.4999999999999997E-3</v>
      </c>
      <c r="N210" s="294">
        <v>0</v>
      </c>
      <c r="P210" s="294">
        <v>1.6E-2</v>
      </c>
      <c r="Q210" s="294">
        <v>0</v>
      </c>
      <c r="R210" s="389">
        <v>-8.4999989999999994E-3</v>
      </c>
      <c r="S210" s="291">
        <v>0</v>
      </c>
      <c r="T210" s="291">
        <v>0</v>
      </c>
      <c r="U210" s="291">
        <v>-1.7500000000000002E-2</v>
      </c>
      <c r="V210" s="291">
        <v>-7.85E-2</v>
      </c>
      <c r="W210" s="291">
        <v>0</v>
      </c>
      <c r="X210" s="291">
        <v>0.76749999999999996</v>
      </c>
      <c r="Y210" s="291">
        <v>5.0000000000000001E-3</v>
      </c>
      <c r="Z210" s="291">
        <v>-0.19</v>
      </c>
      <c r="AA210" s="291">
        <v>-1.15E-2</v>
      </c>
      <c r="AB210" s="306">
        <v>0.12</v>
      </c>
      <c r="AC210" s="306">
        <v>0.46500000000000002</v>
      </c>
      <c r="AD210" s="306">
        <v>0</v>
      </c>
      <c r="AE210" s="431">
        <v>0.15</v>
      </c>
      <c r="AF210" s="431">
        <v>0.15</v>
      </c>
      <c r="AG210" s="431">
        <v>0.16500000000000001</v>
      </c>
      <c r="AH210" s="431">
        <v>0.15</v>
      </c>
      <c r="AI210" s="431">
        <v>0.153</v>
      </c>
      <c r="AJ210" s="431">
        <v>0.15</v>
      </c>
      <c r="AK210" s="431">
        <v>0.15</v>
      </c>
      <c r="AL210" s="431">
        <v>0.15</v>
      </c>
      <c r="AM210" s="431">
        <v>0.15</v>
      </c>
      <c r="AN210" s="431">
        <v>0.15</v>
      </c>
      <c r="AO210" s="431">
        <v>0.15</v>
      </c>
      <c r="AP210" s="432">
        <v>0.15</v>
      </c>
      <c r="AQ210" s="432">
        <v>0.15</v>
      </c>
      <c r="AR210" s="432">
        <v>0.15</v>
      </c>
      <c r="AS210" s="432">
        <v>0.15</v>
      </c>
      <c r="AT210" s="431">
        <v>0.15</v>
      </c>
      <c r="AU210" s="431">
        <v>0.15</v>
      </c>
      <c r="AV210" s="431">
        <v>0.16500000000000001</v>
      </c>
      <c r="AW210" s="291">
        <v>7.0466876943537995E-2</v>
      </c>
      <c r="AY210" s="306">
        <f t="shared" si="32"/>
        <v>0.16500000000000001</v>
      </c>
      <c r="AZ210" s="306">
        <f t="shared" si="33"/>
        <v>0.16500000000000001</v>
      </c>
      <c r="BA210" s="309">
        <f t="shared" si="34"/>
        <v>0.16500000000000001</v>
      </c>
      <c r="BB210" s="308">
        <f t="shared" si="35"/>
        <v>42675</v>
      </c>
      <c r="BC210" s="306">
        <f t="shared" si="29"/>
        <v>0.32615364470316227</v>
      </c>
      <c r="BD210" s="306">
        <f t="shared" si="30"/>
        <v>0.32621549152202833</v>
      </c>
      <c r="BF210" s="308">
        <f t="shared" si="36"/>
        <v>42675</v>
      </c>
      <c r="BG210" s="291">
        <v>198</v>
      </c>
    </row>
    <row r="211" spans="2:59" x14ac:dyDescent="0.25">
      <c r="B211" s="296">
        <f t="shared" si="31"/>
        <v>42705</v>
      </c>
      <c r="C211" s="294">
        <v>3.5760000000000001</v>
      </c>
      <c r="D211" s="294">
        <v>0.15</v>
      </c>
      <c r="E211" s="294">
        <v>7.0647894979677994E-2</v>
      </c>
      <c r="F211" s="294">
        <v>0</v>
      </c>
      <c r="G211" s="294">
        <v>-5.5E-2</v>
      </c>
      <c r="H211" s="294">
        <v>0</v>
      </c>
      <c r="I211" s="294">
        <v>0</v>
      </c>
      <c r="J211" s="294">
        <v>0.30499999999999999</v>
      </c>
      <c r="K211" s="294">
        <v>0.33750000000000002</v>
      </c>
      <c r="L211" s="294">
        <v>-5.5E-2</v>
      </c>
      <c r="M211" s="388">
        <v>7.4999999999999997E-3</v>
      </c>
      <c r="N211" s="294">
        <v>0</v>
      </c>
      <c r="P211" s="294">
        <v>1.6E-2</v>
      </c>
      <c r="Q211" s="294">
        <v>0</v>
      </c>
      <c r="R211" s="389">
        <v>-8.4999989999999994E-3</v>
      </c>
      <c r="S211" s="291">
        <v>0</v>
      </c>
      <c r="T211" s="291">
        <v>0</v>
      </c>
      <c r="U211" s="291">
        <v>-1.7500000000000002E-2</v>
      </c>
      <c r="V211" s="291">
        <v>-0.1135</v>
      </c>
      <c r="W211" s="291">
        <v>0</v>
      </c>
      <c r="X211" s="291">
        <v>1.19</v>
      </c>
      <c r="Y211" s="291">
        <v>5.0000000000000001E-3</v>
      </c>
      <c r="Z211" s="291">
        <v>-0.19</v>
      </c>
      <c r="AA211" s="389">
        <v>-1.15E-2</v>
      </c>
      <c r="AB211" s="306">
        <v>0.12</v>
      </c>
      <c r="AC211" s="306">
        <v>0.8</v>
      </c>
      <c r="AD211" s="306">
        <v>0</v>
      </c>
      <c r="AE211" s="431">
        <v>0.15</v>
      </c>
      <c r="AF211" s="431">
        <v>0.15</v>
      </c>
      <c r="AG211" s="431">
        <v>0.16500000000000001</v>
      </c>
      <c r="AH211" s="431">
        <v>0.15</v>
      </c>
      <c r="AI211" s="431">
        <v>0.153</v>
      </c>
      <c r="AJ211" s="431">
        <v>0.15</v>
      </c>
      <c r="AK211" s="431">
        <v>0.15</v>
      </c>
      <c r="AL211" s="431">
        <v>0.15</v>
      </c>
      <c r="AM211" s="431">
        <v>0.15</v>
      </c>
      <c r="AN211" s="431">
        <v>0.15</v>
      </c>
      <c r="AO211" s="431">
        <v>0.15</v>
      </c>
      <c r="AP211" s="432">
        <v>0.15</v>
      </c>
      <c r="AQ211" s="432">
        <v>0.15</v>
      </c>
      <c r="AR211" s="432">
        <v>0.15</v>
      </c>
      <c r="AS211" s="432">
        <v>0.15</v>
      </c>
      <c r="AT211" s="431">
        <v>0.15</v>
      </c>
      <c r="AU211" s="431">
        <v>0.15</v>
      </c>
      <c r="AV211" s="431">
        <v>0.16500000000000001</v>
      </c>
      <c r="AW211" s="291">
        <v>7.0473606154069002E-2</v>
      </c>
      <c r="AY211" s="306">
        <f t="shared" si="32"/>
        <v>0.16500000000000001</v>
      </c>
      <c r="AZ211" s="306">
        <f t="shared" si="33"/>
        <v>0.16500000000000001</v>
      </c>
      <c r="BA211" s="309">
        <f t="shared" si="34"/>
        <v>0.16500000000000001</v>
      </c>
      <c r="BB211" s="308">
        <f t="shared" si="35"/>
        <v>42705</v>
      </c>
      <c r="BC211" s="306">
        <f t="shared" si="29"/>
        <v>0.32426940752499245</v>
      </c>
      <c r="BD211" s="306">
        <f t="shared" si="30"/>
        <v>0.32433090281772381</v>
      </c>
      <c r="BF211" s="308">
        <f t="shared" si="36"/>
        <v>42705</v>
      </c>
      <c r="BG211" s="291">
        <v>199</v>
      </c>
    </row>
    <row r="212" spans="2:59" x14ac:dyDescent="0.25">
      <c r="B212" s="296">
        <f t="shared" si="31"/>
        <v>42736</v>
      </c>
      <c r="C212" s="294">
        <v>3.8975</v>
      </c>
      <c r="D212" s="294">
        <v>0.15</v>
      </c>
      <c r="E212" s="294">
        <v>7.0649060995338006E-2</v>
      </c>
      <c r="F212" s="294">
        <v>0</v>
      </c>
      <c r="G212" s="294">
        <v>-5.7500000000000002E-2</v>
      </c>
      <c r="H212" s="294">
        <v>0</v>
      </c>
      <c r="I212" s="294">
        <v>0</v>
      </c>
      <c r="J212" s="294">
        <v>0.30499999999999999</v>
      </c>
      <c r="K212" s="294">
        <v>0.4375</v>
      </c>
      <c r="L212" s="294">
        <v>-5.5E-2</v>
      </c>
      <c r="M212" s="388">
        <v>9.4999999999999998E-3</v>
      </c>
      <c r="N212" s="294">
        <v>0</v>
      </c>
      <c r="P212" s="294">
        <v>1.6E-2</v>
      </c>
      <c r="Q212" s="294">
        <v>0</v>
      </c>
      <c r="R212" s="389">
        <v>-3.9999989999999997E-3</v>
      </c>
      <c r="S212" s="291">
        <v>0</v>
      </c>
      <c r="T212" s="291">
        <v>0</v>
      </c>
      <c r="U212" s="291">
        <v>-1.7500000000000002E-2</v>
      </c>
      <c r="V212" s="291">
        <v>-0.11899999999999999</v>
      </c>
      <c r="W212" s="291">
        <v>0</v>
      </c>
      <c r="X212" s="291">
        <v>1.5249999999999999</v>
      </c>
      <c r="Y212" s="291">
        <v>5.0000000000000001E-3</v>
      </c>
      <c r="Z212" s="291">
        <v>-0.19</v>
      </c>
      <c r="AA212" s="389">
        <v>-1.15E-2</v>
      </c>
      <c r="AB212" s="306">
        <v>0.12</v>
      </c>
      <c r="AC212" s="306">
        <v>0.97499999999999998</v>
      </c>
      <c r="AD212" s="306">
        <v>0</v>
      </c>
      <c r="AE212" s="431">
        <v>0.15</v>
      </c>
      <c r="AF212" s="431">
        <v>0.15</v>
      </c>
      <c r="AG212" s="431">
        <v>0.16500000000000001</v>
      </c>
      <c r="AH212" s="431">
        <v>0.15</v>
      </c>
      <c r="AI212" s="431">
        <v>0.153</v>
      </c>
      <c r="AJ212" s="431">
        <v>0.15</v>
      </c>
      <c r="AK212" s="431">
        <v>0.15</v>
      </c>
      <c r="AL212" s="431">
        <v>0.15</v>
      </c>
      <c r="AM212" s="431">
        <v>0.15</v>
      </c>
      <c r="AN212" s="431">
        <v>0.15</v>
      </c>
      <c r="AO212" s="431">
        <v>0.15</v>
      </c>
      <c r="AP212" s="432">
        <v>0.15</v>
      </c>
      <c r="AQ212" s="432">
        <v>0.15</v>
      </c>
      <c r="AR212" s="432">
        <v>0.15</v>
      </c>
      <c r="AS212" s="432">
        <v>0.15</v>
      </c>
      <c r="AT212" s="431">
        <v>0.15</v>
      </c>
      <c r="AU212" s="431">
        <v>0.15</v>
      </c>
      <c r="AV212" s="431">
        <v>0.16500000000000001</v>
      </c>
      <c r="AW212" s="291">
        <v>7.0480559671633997E-2</v>
      </c>
      <c r="AY212" s="306">
        <f t="shared" si="32"/>
        <v>0.16500000000000001</v>
      </c>
      <c r="AZ212" s="306">
        <f t="shared" si="33"/>
        <v>0.16500000000000001</v>
      </c>
      <c r="BA212" s="309">
        <f t="shared" si="34"/>
        <v>0.16500000000000001</v>
      </c>
      <c r="BB212" s="308">
        <f t="shared" si="35"/>
        <v>42736</v>
      </c>
      <c r="BC212" s="306">
        <f t="shared" si="29"/>
        <v>0.32233343607350057</v>
      </c>
      <c r="BD212" s="306">
        <f t="shared" si="30"/>
        <v>0.32239457015230638</v>
      </c>
      <c r="BF212" s="308">
        <f t="shared" si="36"/>
        <v>42736</v>
      </c>
      <c r="BG212" s="291">
        <v>200</v>
      </c>
    </row>
    <row r="213" spans="2:59" x14ac:dyDescent="0.25">
      <c r="B213" s="296">
        <f t="shared" si="31"/>
        <v>42767</v>
      </c>
      <c r="C213" s="294">
        <v>3.8115000000000001</v>
      </c>
      <c r="D213" s="294">
        <v>0.15</v>
      </c>
      <c r="E213" s="294">
        <v>7.0650227011000002E-2</v>
      </c>
      <c r="F213" s="294">
        <v>0</v>
      </c>
      <c r="G213" s="294">
        <v>-0.04</v>
      </c>
      <c r="H213" s="294">
        <v>0</v>
      </c>
      <c r="I213" s="294">
        <v>0</v>
      </c>
      <c r="J213" s="294">
        <v>0.30499999999999999</v>
      </c>
      <c r="K213" s="294">
        <v>0.435</v>
      </c>
      <c r="L213" s="294">
        <v>-5.5E-2</v>
      </c>
      <c r="M213" s="388">
        <v>9.4999999999999998E-3</v>
      </c>
      <c r="N213" s="294">
        <v>0</v>
      </c>
      <c r="P213" s="294">
        <v>1.6E-2</v>
      </c>
      <c r="Q213" s="294">
        <v>0</v>
      </c>
      <c r="R213" s="389">
        <v>-3.9999989999999997E-3</v>
      </c>
      <c r="S213" s="291">
        <v>0</v>
      </c>
      <c r="T213" s="291">
        <v>0</v>
      </c>
      <c r="U213" s="291">
        <v>-1.7500000000000002E-2</v>
      </c>
      <c r="V213" s="291">
        <v>-0.10150000000000001</v>
      </c>
      <c r="W213" s="291">
        <v>0</v>
      </c>
      <c r="X213" s="291">
        <v>1.4550000000000001</v>
      </c>
      <c r="Y213" s="291">
        <v>5.0000000000000001E-3</v>
      </c>
      <c r="Z213" s="291">
        <v>-0.19</v>
      </c>
      <c r="AA213" s="389">
        <v>-1.15E-2</v>
      </c>
      <c r="AB213" s="306">
        <v>0.12</v>
      </c>
      <c r="AC213" s="306">
        <v>0.97499999999999998</v>
      </c>
      <c r="AD213" s="306">
        <v>0</v>
      </c>
      <c r="AE213" s="431">
        <v>0.15</v>
      </c>
      <c r="AF213" s="431">
        <v>0.15</v>
      </c>
      <c r="AG213" s="431">
        <v>0.16500000000000001</v>
      </c>
      <c r="AH213" s="431">
        <v>0.15</v>
      </c>
      <c r="AI213" s="431">
        <v>0.153</v>
      </c>
      <c r="AJ213" s="431">
        <v>0.15</v>
      </c>
      <c r="AK213" s="431">
        <v>0.15</v>
      </c>
      <c r="AL213" s="431">
        <v>0.15</v>
      </c>
      <c r="AM213" s="431">
        <v>0.15</v>
      </c>
      <c r="AN213" s="431">
        <v>0.15</v>
      </c>
      <c r="AO213" s="431">
        <v>0.15</v>
      </c>
      <c r="AP213" s="432">
        <v>0.15</v>
      </c>
      <c r="AQ213" s="432">
        <v>0.15</v>
      </c>
      <c r="AR213" s="432">
        <v>0.15</v>
      </c>
      <c r="AS213" s="432">
        <v>0.15</v>
      </c>
      <c r="AT213" s="431">
        <v>0.15</v>
      </c>
      <c r="AU213" s="431">
        <v>0.15</v>
      </c>
      <c r="AV213" s="431">
        <v>0.16500000000000001</v>
      </c>
      <c r="AW213" s="291">
        <v>7.0487513189215006E-2</v>
      </c>
      <c r="AY213" s="306">
        <f t="shared" si="32"/>
        <v>0.16500000000000001</v>
      </c>
      <c r="AZ213" s="306">
        <f t="shared" si="33"/>
        <v>0.16500000000000001</v>
      </c>
      <c r="BA213" s="309">
        <f t="shared" si="34"/>
        <v>0.16500000000000001</v>
      </c>
      <c r="BB213" s="308">
        <f t="shared" si="35"/>
        <v>42767</v>
      </c>
      <c r="BC213" s="306">
        <f t="shared" si="29"/>
        <v>0.32040865766913584</v>
      </c>
      <c r="BD213" s="306">
        <f t="shared" si="30"/>
        <v>0.32046943258586946</v>
      </c>
      <c r="BF213" s="308">
        <f t="shared" si="36"/>
        <v>42767</v>
      </c>
      <c r="BG213" s="291">
        <v>201</v>
      </c>
    </row>
    <row r="214" spans="2:59" x14ac:dyDescent="0.25">
      <c r="B214" s="296">
        <f t="shared" si="31"/>
        <v>42795</v>
      </c>
      <c r="C214" s="294">
        <v>3.6835</v>
      </c>
      <c r="D214" s="294">
        <v>0.15</v>
      </c>
      <c r="E214" s="294">
        <v>7.0651280186435003E-2</v>
      </c>
      <c r="F214" s="294">
        <v>0</v>
      </c>
      <c r="G214" s="294">
        <v>-2.75E-2</v>
      </c>
      <c r="H214" s="294">
        <v>0</v>
      </c>
      <c r="I214" s="294">
        <v>0</v>
      </c>
      <c r="J214" s="294">
        <v>0.26500000000000001</v>
      </c>
      <c r="K214" s="294">
        <v>0.30249999999999999</v>
      </c>
      <c r="L214" s="294">
        <v>0</v>
      </c>
      <c r="M214" s="294">
        <v>0</v>
      </c>
      <c r="N214" s="294">
        <v>0</v>
      </c>
      <c r="P214" s="294">
        <v>0</v>
      </c>
      <c r="Q214" s="294">
        <v>0</v>
      </c>
      <c r="R214" s="389">
        <v>0</v>
      </c>
      <c r="S214" s="291">
        <v>0</v>
      </c>
      <c r="T214" s="291">
        <v>0</v>
      </c>
      <c r="U214" s="291">
        <v>1E-3</v>
      </c>
      <c r="V214" s="291">
        <v>0</v>
      </c>
      <c r="W214" s="291">
        <v>0</v>
      </c>
      <c r="X214" s="291">
        <v>0.83499999999999996</v>
      </c>
      <c r="Y214" s="291">
        <v>0</v>
      </c>
      <c r="Z214" s="291">
        <v>-0.19</v>
      </c>
      <c r="AA214" s="389">
        <v>0</v>
      </c>
      <c r="AB214" s="306">
        <v>0.12</v>
      </c>
      <c r="AC214" s="306">
        <v>0.60750000000000004</v>
      </c>
      <c r="AD214" s="306">
        <v>0</v>
      </c>
      <c r="AE214" s="431">
        <v>0.15</v>
      </c>
      <c r="AF214" s="431">
        <v>0.15</v>
      </c>
      <c r="AG214" s="431">
        <v>0.16500000000000001</v>
      </c>
      <c r="AH214" s="431">
        <v>0.15</v>
      </c>
      <c r="AI214" s="431">
        <v>0.153</v>
      </c>
      <c r="AJ214" s="431">
        <v>0.15</v>
      </c>
      <c r="AK214" s="431">
        <v>0.15</v>
      </c>
      <c r="AL214" s="431">
        <v>0.15</v>
      </c>
      <c r="AM214" s="431">
        <v>0.15</v>
      </c>
      <c r="AN214" s="431">
        <v>0.15</v>
      </c>
      <c r="AO214" s="431">
        <v>0.15</v>
      </c>
      <c r="AP214" s="432">
        <v>0.15</v>
      </c>
      <c r="AQ214" s="432">
        <v>0.15</v>
      </c>
      <c r="AR214" s="432">
        <v>0.15</v>
      </c>
      <c r="AS214" s="432">
        <v>0.15</v>
      </c>
      <c r="AT214" s="431">
        <v>0.15</v>
      </c>
      <c r="AU214" s="431">
        <v>0.15</v>
      </c>
      <c r="AV214" s="431">
        <v>0.16500000000000001</v>
      </c>
      <c r="AW214" s="291">
        <v>7.0493793785753003E-2</v>
      </c>
      <c r="AY214" s="306">
        <f t="shared" si="32"/>
        <v>0.16500000000000001</v>
      </c>
      <c r="AZ214" s="306">
        <f t="shared" si="33"/>
        <v>0.16500000000000001</v>
      </c>
      <c r="BA214" s="309">
        <f t="shared" si="34"/>
        <v>0.16500000000000001</v>
      </c>
      <c r="BB214" s="308">
        <f t="shared" si="35"/>
        <v>42795</v>
      </c>
      <c r="BC214" s="306">
        <f t="shared" si="29"/>
        <v>0.31867971684337998</v>
      </c>
      <c r="BD214" s="306">
        <f t="shared" si="30"/>
        <v>0.31874016910992997</v>
      </c>
      <c r="BF214" s="308">
        <f t="shared" si="36"/>
        <v>42795</v>
      </c>
      <c r="BG214" s="291">
        <v>202</v>
      </c>
    </row>
    <row r="215" spans="2:59" x14ac:dyDescent="0.25">
      <c r="B215" s="296">
        <f t="shared" si="31"/>
        <v>42826</v>
      </c>
      <c r="C215" s="294">
        <v>3.5474999999999999</v>
      </c>
      <c r="D215" s="294">
        <v>0.15</v>
      </c>
      <c r="E215" s="294">
        <v>7.0652446202096E-2</v>
      </c>
      <c r="F215" s="294">
        <v>0</v>
      </c>
      <c r="G215" s="294">
        <v>4.4976599999999999E-2</v>
      </c>
      <c r="H215" s="294">
        <v>0</v>
      </c>
      <c r="I215" s="294">
        <v>0</v>
      </c>
      <c r="J215" s="294">
        <v>0.19500000000000001</v>
      </c>
      <c r="K215" s="294">
        <v>0.25</v>
      </c>
      <c r="L215" s="294">
        <v>0</v>
      </c>
      <c r="M215" s="294">
        <v>0</v>
      </c>
      <c r="N215" s="294">
        <v>0</v>
      </c>
      <c r="P215" s="294">
        <v>0</v>
      </c>
      <c r="Q215" s="294">
        <v>0</v>
      </c>
      <c r="R215" s="291">
        <v>0</v>
      </c>
      <c r="S215" s="291">
        <v>0</v>
      </c>
      <c r="T215" s="291">
        <v>0</v>
      </c>
      <c r="U215" s="389">
        <v>1E-3</v>
      </c>
      <c r="V215" s="291">
        <v>0</v>
      </c>
      <c r="W215" s="291">
        <v>0</v>
      </c>
      <c r="X215" s="291">
        <v>0.45</v>
      </c>
      <c r="Y215" s="291">
        <v>0</v>
      </c>
      <c r="Z215" s="291">
        <v>-0.19</v>
      </c>
      <c r="AA215" s="291">
        <v>0</v>
      </c>
      <c r="AB215" s="306">
        <v>0.29499999999999998</v>
      </c>
      <c r="AC215" s="306">
        <v>0.35499999999999998</v>
      </c>
      <c r="AD215" s="306">
        <v>0</v>
      </c>
      <c r="AE215" s="431">
        <v>0.15</v>
      </c>
      <c r="AF215" s="431">
        <v>0.15</v>
      </c>
      <c r="AG215" s="431">
        <v>0.14699999999999999</v>
      </c>
      <c r="AH215" s="431">
        <v>0.15</v>
      </c>
      <c r="AI215" s="431">
        <v>0.153</v>
      </c>
      <c r="AJ215" s="431">
        <v>0.15</v>
      </c>
      <c r="AK215" s="431">
        <v>0.14699999999999999</v>
      </c>
      <c r="AL215" s="431">
        <v>0.14699999999999999</v>
      </c>
      <c r="AM215" s="431">
        <v>0.15</v>
      </c>
      <c r="AN215" s="431">
        <v>0.15</v>
      </c>
      <c r="AO215" s="431">
        <v>0.15</v>
      </c>
      <c r="AP215" s="432">
        <v>0.15</v>
      </c>
      <c r="AQ215" s="432">
        <v>0.15</v>
      </c>
      <c r="AR215" s="432">
        <v>0.15</v>
      </c>
      <c r="AS215" s="432">
        <v>0.15</v>
      </c>
      <c r="AT215" s="431">
        <v>0.15</v>
      </c>
      <c r="AU215" s="431">
        <v>0.15</v>
      </c>
      <c r="AV215" s="431">
        <v>0.14699999999999999</v>
      </c>
      <c r="AW215" s="291">
        <v>7.0500747303364003E-2</v>
      </c>
      <c r="AY215" s="306">
        <f t="shared" si="32"/>
        <v>0.14699999999999999</v>
      </c>
      <c r="AZ215" s="306">
        <f t="shared" si="33"/>
        <v>0.14699999999999999</v>
      </c>
      <c r="BA215" s="309">
        <f t="shared" si="34"/>
        <v>0.14699999999999999</v>
      </c>
      <c r="BB215" s="308">
        <f t="shared" si="35"/>
        <v>42826</v>
      </c>
      <c r="BC215" s="306">
        <f t="shared" si="29"/>
        <v>0.31677606904818739</v>
      </c>
      <c r="BD215" s="306">
        <f t="shared" si="30"/>
        <v>0.31683616602682652</v>
      </c>
      <c r="BF215" s="308">
        <f t="shared" si="36"/>
        <v>42826</v>
      </c>
      <c r="BG215" s="291">
        <v>203</v>
      </c>
    </row>
    <row r="216" spans="2:59" x14ac:dyDescent="0.25">
      <c r="B216" s="296">
        <f t="shared" si="31"/>
        <v>42856</v>
      </c>
      <c r="C216" s="294">
        <v>3.5495000000000001</v>
      </c>
      <c r="D216" s="294">
        <v>0.15</v>
      </c>
      <c r="E216" s="294">
        <v>7.0653574604349997E-2</v>
      </c>
      <c r="F216" s="294">
        <v>0</v>
      </c>
      <c r="G216" s="294">
        <v>4.4968099999999997E-2</v>
      </c>
      <c r="H216" s="294">
        <v>0</v>
      </c>
      <c r="I216" s="294">
        <v>0</v>
      </c>
      <c r="J216" s="294">
        <v>0.1825</v>
      </c>
      <c r="K216" s="294">
        <v>0.20250000000000001</v>
      </c>
      <c r="L216" s="294">
        <v>0</v>
      </c>
      <c r="M216" s="294">
        <v>0</v>
      </c>
      <c r="N216" s="294">
        <v>0</v>
      </c>
      <c r="P216" s="294">
        <v>0</v>
      </c>
      <c r="Q216" s="294">
        <v>0</v>
      </c>
      <c r="R216" s="291">
        <v>0</v>
      </c>
      <c r="S216" s="291">
        <v>0</v>
      </c>
      <c r="T216" s="291">
        <v>0</v>
      </c>
      <c r="U216" s="389">
        <v>7.5000000000000804E-4</v>
      </c>
      <c r="V216" s="291">
        <v>0</v>
      </c>
      <c r="W216" s="291">
        <v>0</v>
      </c>
      <c r="X216" s="291">
        <v>0.40500000000000003</v>
      </c>
      <c r="Y216" s="291">
        <v>0</v>
      </c>
      <c r="Z216" s="291">
        <v>-0.19</v>
      </c>
      <c r="AA216" s="291">
        <v>0</v>
      </c>
      <c r="AB216" s="306">
        <v>0.29499999999999998</v>
      </c>
      <c r="AC216" s="306">
        <v>0.28749999999999998</v>
      </c>
      <c r="AD216" s="306">
        <v>0</v>
      </c>
      <c r="AE216" s="431">
        <v>0.15</v>
      </c>
      <c r="AF216" s="431">
        <v>0.15</v>
      </c>
      <c r="AG216" s="431">
        <v>0.14699999999999999</v>
      </c>
      <c r="AH216" s="431">
        <v>0.15</v>
      </c>
      <c r="AI216" s="431">
        <v>0.153</v>
      </c>
      <c r="AJ216" s="431">
        <v>0.15</v>
      </c>
      <c r="AK216" s="431">
        <v>0.14699999999999999</v>
      </c>
      <c r="AL216" s="431">
        <v>0.14699999999999999</v>
      </c>
      <c r="AM216" s="431">
        <v>0.15</v>
      </c>
      <c r="AN216" s="431">
        <v>0.15</v>
      </c>
      <c r="AO216" s="431">
        <v>0.15</v>
      </c>
      <c r="AP216" s="432">
        <v>0.15</v>
      </c>
      <c r="AQ216" s="432">
        <v>0.15</v>
      </c>
      <c r="AR216" s="432">
        <v>0.15</v>
      </c>
      <c r="AS216" s="432">
        <v>0.15</v>
      </c>
      <c r="AT216" s="431">
        <v>0.15</v>
      </c>
      <c r="AU216" s="431">
        <v>0.15</v>
      </c>
      <c r="AV216" s="431">
        <v>0.14699999999999999</v>
      </c>
      <c r="AW216" s="291">
        <v>7.0507476513971004E-2</v>
      </c>
      <c r="AY216" s="306">
        <f t="shared" si="32"/>
        <v>0.14699999999999999</v>
      </c>
      <c r="AZ216" s="306">
        <f t="shared" si="33"/>
        <v>0.14699999999999999</v>
      </c>
      <c r="BA216" s="309">
        <f t="shared" si="34"/>
        <v>0.14699999999999999</v>
      </c>
      <c r="BB216" s="308">
        <f t="shared" si="35"/>
        <v>42856</v>
      </c>
      <c r="BC216" s="306">
        <f t="shared" si="29"/>
        <v>0.31494431536846423</v>
      </c>
      <c r="BD216" s="306">
        <f t="shared" si="30"/>
        <v>0.31500407044295392</v>
      </c>
      <c r="BF216" s="308">
        <f t="shared" si="36"/>
        <v>42856</v>
      </c>
      <c r="BG216" s="291">
        <v>204</v>
      </c>
    </row>
    <row r="217" spans="2:59" x14ac:dyDescent="0.25">
      <c r="B217" s="296">
        <f t="shared" si="31"/>
        <v>42887</v>
      </c>
      <c r="C217" s="294">
        <v>3.5834999999999999</v>
      </c>
      <c r="D217" s="294">
        <v>0.15</v>
      </c>
      <c r="E217" s="294">
        <v>7.0654740620011994E-2</v>
      </c>
      <c r="F217" s="294">
        <v>0</v>
      </c>
      <c r="G217" s="294">
        <v>4.4968099999999997E-2</v>
      </c>
      <c r="H217" s="294">
        <v>0</v>
      </c>
      <c r="I217" s="294">
        <v>0</v>
      </c>
      <c r="J217" s="294">
        <v>0.1825</v>
      </c>
      <c r="K217" s="294">
        <v>0.20250000000000001</v>
      </c>
      <c r="L217" s="294">
        <v>0</v>
      </c>
      <c r="M217" s="294">
        <v>0</v>
      </c>
      <c r="N217" s="294">
        <v>0</v>
      </c>
      <c r="P217" s="294">
        <v>0</v>
      </c>
      <c r="Q217" s="294">
        <v>0</v>
      </c>
      <c r="R217" s="291">
        <v>0</v>
      </c>
      <c r="S217" s="291">
        <v>0</v>
      </c>
      <c r="T217" s="291">
        <v>0</v>
      </c>
      <c r="U217" s="389">
        <v>7.5000000000000804E-4</v>
      </c>
      <c r="V217" s="291">
        <v>0</v>
      </c>
      <c r="W217" s="291">
        <v>0</v>
      </c>
      <c r="X217" s="291">
        <v>0.39500000000000002</v>
      </c>
      <c r="Y217" s="291">
        <v>0</v>
      </c>
      <c r="Z217" s="291">
        <v>-0.19</v>
      </c>
      <c r="AA217" s="291">
        <v>0</v>
      </c>
      <c r="AB217" s="306">
        <v>0.29499999999999998</v>
      </c>
      <c r="AC217" s="306">
        <v>0.28749999999999998</v>
      </c>
      <c r="AD217" s="306">
        <v>0</v>
      </c>
      <c r="AE217" s="431">
        <v>0.15</v>
      </c>
      <c r="AF217" s="431">
        <v>0.15</v>
      </c>
      <c r="AG217" s="431">
        <v>0.14699999999999999</v>
      </c>
      <c r="AH217" s="431">
        <v>0.15</v>
      </c>
      <c r="AI217" s="431">
        <v>0.153</v>
      </c>
      <c r="AJ217" s="431">
        <v>0.15</v>
      </c>
      <c r="AK217" s="431">
        <v>0.14699999999999999</v>
      </c>
      <c r="AL217" s="431">
        <v>0.14699999999999999</v>
      </c>
      <c r="AM217" s="431">
        <v>0.15</v>
      </c>
      <c r="AN217" s="431">
        <v>0.15</v>
      </c>
      <c r="AO217" s="431">
        <v>0.15</v>
      </c>
      <c r="AP217" s="432">
        <v>0.15</v>
      </c>
      <c r="AQ217" s="432">
        <v>0.15</v>
      </c>
      <c r="AR217" s="432">
        <v>0.15</v>
      </c>
      <c r="AS217" s="432">
        <v>0.15</v>
      </c>
      <c r="AT217" s="431">
        <v>0.15</v>
      </c>
      <c r="AU217" s="431">
        <v>0.15</v>
      </c>
      <c r="AV217" s="431">
        <v>0.14699999999999999</v>
      </c>
      <c r="AW217" s="291">
        <v>7.0514430031613007E-2</v>
      </c>
      <c r="AY217" s="306">
        <f t="shared" si="32"/>
        <v>0.14699999999999999</v>
      </c>
      <c r="AZ217" s="306">
        <f t="shared" si="33"/>
        <v>0.14699999999999999</v>
      </c>
      <c r="BA217" s="309">
        <f t="shared" si="34"/>
        <v>0.14699999999999999</v>
      </c>
      <c r="BB217" s="308">
        <f t="shared" si="35"/>
        <v>42887</v>
      </c>
      <c r="BC217" s="306">
        <f t="shared" si="29"/>
        <v>0.3130622790357579</v>
      </c>
      <c r="BD217" s="306">
        <f t="shared" si="30"/>
        <v>0.3131216827854833</v>
      </c>
      <c r="BF217" s="308">
        <f t="shared" si="36"/>
        <v>42887</v>
      </c>
      <c r="BG217" s="291">
        <v>205</v>
      </c>
    </row>
    <row r="218" spans="2:59" x14ac:dyDescent="0.25">
      <c r="B218" s="296">
        <f t="shared" si="31"/>
        <v>42917</v>
      </c>
      <c r="C218" s="294">
        <v>3.6055000000000001</v>
      </c>
      <c r="D218" s="294">
        <v>0.15</v>
      </c>
      <c r="E218" s="294">
        <v>7.0655869022267004E-2</v>
      </c>
      <c r="F218" s="294">
        <v>0</v>
      </c>
      <c r="G218" s="294">
        <v>4.4968099999999997E-2</v>
      </c>
      <c r="H218" s="294">
        <v>0</v>
      </c>
      <c r="I218" s="294">
        <v>0</v>
      </c>
      <c r="J218" s="294">
        <v>0.1825</v>
      </c>
      <c r="K218" s="294">
        <v>0.215</v>
      </c>
      <c r="L218" s="294">
        <v>0</v>
      </c>
      <c r="M218" s="294">
        <v>0</v>
      </c>
      <c r="N218" s="294">
        <v>0</v>
      </c>
      <c r="P218" s="294">
        <v>0</v>
      </c>
      <c r="Q218" s="294">
        <v>0</v>
      </c>
      <c r="R218" s="291">
        <v>0</v>
      </c>
      <c r="S218" s="291">
        <v>0</v>
      </c>
      <c r="T218" s="291">
        <v>0</v>
      </c>
      <c r="U218" s="389">
        <v>7.5000000000000804E-4</v>
      </c>
      <c r="V218" s="291">
        <v>0</v>
      </c>
      <c r="W218" s="291">
        <v>0</v>
      </c>
      <c r="X218" s="291">
        <v>0.43</v>
      </c>
      <c r="Y218" s="291">
        <v>0</v>
      </c>
      <c r="Z218" s="291">
        <v>-0.19</v>
      </c>
      <c r="AA218" s="291">
        <v>0</v>
      </c>
      <c r="AB218" s="306">
        <v>0.29499999999999998</v>
      </c>
      <c r="AC218" s="306">
        <v>0.3</v>
      </c>
      <c r="AD218" s="306">
        <v>0</v>
      </c>
      <c r="AE218" s="431">
        <v>0.15</v>
      </c>
      <c r="AF218" s="431">
        <v>0.15</v>
      </c>
      <c r="AG218" s="431">
        <v>0.14699999999999999</v>
      </c>
      <c r="AH218" s="431">
        <v>0.15</v>
      </c>
      <c r="AI218" s="431">
        <v>0.153</v>
      </c>
      <c r="AJ218" s="431">
        <v>0.15</v>
      </c>
      <c r="AK218" s="431">
        <v>0.14699999999999999</v>
      </c>
      <c r="AL218" s="431">
        <v>0.14699999999999999</v>
      </c>
      <c r="AM218" s="431">
        <v>0.15</v>
      </c>
      <c r="AN218" s="431">
        <v>0.15</v>
      </c>
      <c r="AO218" s="431">
        <v>0.15</v>
      </c>
      <c r="AP218" s="432">
        <v>0.15</v>
      </c>
      <c r="AQ218" s="432">
        <v>0.15</v>
      </c>
      <c r="AR218" s="432">
        <v>0.15</v>
      </c>
      <c r="AS218" s="432">
        <v>0.15</v>
      </c>
      <c r="AT218" s="431">
        <v>0.15</v>
      </c>
      <c r="AU218" s="431">
        <v>0.15</v>
      </c>
      <c r="AV218" s="431">
        <v>0.14699999999999999</v>
      </c>
      <c r="AW218" s="291">
        <v>7.0521159242249998E-2</v>
      </c>
      <c r="AY218" s="306">
        <f t="shared" si="32"/>
        <v>0.14699999999999999</v>
      </c>
      <c r="AZ218" s="306">
        <f t="shared" si="33"/>
        <v>0.14699999999999999</v>
      </c>
      <c r="BA218" s="309">
        <f t="shared" si="34"/>
        <v>0.14699999999999999</v>
      </c>
      <c r="BB218" s="308">
        <f t="shared" si="35"/>
        <v>42917</v>
      </c>
      <c r="BC218" s="306">
        <f t="shared" si="29"/>
        <v>0.31125132475554745</v>
      </c>
      <c r="BD218" s="306">
        <f t="shared" si="30"/>
        <v>0.31131039041575587</v>
      </c>
      <c r="BF218" s="308">
        <f t="shared" si="36"/>
        <v>42917</v>
      </c>
      <c r="BG218" s="291">
        <v>206</v>
      </c>
    </row>
    <row r="219" spans="2:59" x14ac:dyDescent="0.25">
      <c r="B219" s="296">
        <f t="shared" si="31"/>
        <v>42948</v>
      </c>
      <c r="C219" s="294">
        <v>3.6265000000000001</v>
      </c>
      <c r="D219" s="294">
        <v>0.15</v>
      </c>
      <c r="E219" s="294">
        <v>7.0657035037929999E-2</v>
      </c>
      <c r="F219" s="294">
        <v>0</v>
      </c>
      <c r="G219" s="294">
        <v>4.4968099999999997E-2</v>
      </c>
      <c r="H219" s="294">
        <v>0</v>
      </c>
      <c r="I219" s="294">
        <v>0</v>
      </c>
      <c r="J219" s="294">
        <v>0.1825</v>
      </c>
      <c r="K219" s="294">
        <v>0.215</v>
      </c>
      <c r="L219" s="294">
        <v>0</v>
      </c>
      <c r="M219" s="294">
        <v>0</v>
      </c>
      <c r="N219" s="294">
        <v>0</v>
      </c>
      <c r="P219" s="294">
        <v>0</v>
      </c>
      <c r="Q219" s="294">
        <v>0</v>
      </c>
      <c r="R219" s="291">
        <v>0</v>
      </c>
      <c r="S219" s="291">
        <v>0</v>
      </c>
      <c r="T219" s="291">
        <v>0</v>
      </c>
      <c r="U219" s="389">
        <v>7.5000000000000804E-4</v>
      </c>
      <c r="V219" s="291">
        <v>0</v>
      </c>
      <c r="W219" s="291">
        <v>0</v>
      </c>
      <c r="X219" s="291">
        <v>0.495</v>
      </c>
      <c r="Y219" s="291">
        <v>0</v>
      </c>
      <c r="Z219" s="291">
        <v>-0.19</v>
      </c>
      <c r="AA219" s="291">
        <v>0</v>
      </c>
      <c r="AB219" s="306">
        <v>0.29499999999999998</v>
      </c>
      <c r="AC219" s="306">
        <v>0.3</v>
      </c>
      <c r="AD219" s="306">
        <v>0</v>
      </c>
      <c r="AE219" s="431">
        <v>0.15</v>
      </c>
      <c r="AF219" s="431">
        <v>0.15</v>
      </c>
      <c r="AG219" s="431">
        <v>0.14699999999999999</v>
      </c>
      <c r="AH219" s="431">
        <v>0.15</v>
      </c>
      <c r="AI219" s="431">
        <v>0.153</v>
      </c>
      <c r="AJ219" s="431">
        <v>0.15</v>
      </c>
      <c r="AK219" s="431">
        <v>0.14699999999999999</v>
      </c>
      <c r="AL219" s="431">
        <v>0.14699999999999999</v>
      </c>
      <c r="AM219" s="431">
        <v>0.15</v>
      </c>
      <c r="AN219" s="431">
        <v>0.15</v>
      </c>
      <c r="AO219" s="431">
        <v>0.15</v>
      </c>
      <c r="AP219" s="432">
        <v>0.15</v>
      </c>
      <c r="AQ219" s="432">
        <v>0.15</v>
      </c>
      <c r="AR219" s="432">
        <v>0.15</v>
      </c>
      <c r="AS219" s="432">
        <v>0.15</v>
      </c>
      <c r="AT219" s="431">
        <v>0.15</v>
      </c>
      <c r="AU219" s="431">
        <v>0.15</v>
      </c>
      <c r="AV219" s="431">
        <v>0.14699999999999999</v>
      </c>
      <c r="AW219" s="291">
        <v>7.0528112759924003E-2</v>
      </c>
      <c r="AY219" s="306">
        <f t="shared" si="32"/>
        <v>0.14699999999999999</v>
      </c>
      <c r="AZ219" s="306">
        <f t="shared" si="33"/>
        <v>0.14699999999999999</v>
      </c>
      <c r="BA219" s="309">
        <f t="shared" si="34"/>
        <v>0.14699999999999999</v>
      </c>
      <c r="BB219" s="308">
        <f t="shared" si="35"/>
        <v>42948</v>
      </c>
      <c r="BC219" s="306">
        <f t="shared" si="29"/>
        <v>0.3093906630166422</v>
      </c>
      <c r="BD219" s="306">
        <f t="shared" si="30"/>
        <v>0.30944938127262434</v>
      </c>
      <c r="BF219" s="308">
        <f t="shared" si="36"/>
        <v>42948</v>
      </c>
      <c r="BG219" s="291">
        <v>207</v>
      </c>
    </row>
    <row r="220" spans="2:59" x14ac:dyDescent="0.25">
      <c r="B220" s="296">
        <f t="shared" si="31"/>
        <v>42979</v>
      </c>
      <c r="C220" s="294">
        <v>3.5954999999999999</v>
      </c>
      <c r="D220" s="294">
        <v>0.15</v>
      </c>
      <c r="E220" s="294">
        <v>7.0658201053593994E-2</v>
      </c>
      <c r="F220" s="294">
        <v>0</v>
      </c>
      <c r="G220" s="294">
        <v>4.4968099999999997E-2</v>
      </c>
      <c r="H220" s="294">
        <v>0</v>
      </c>
      <c r="I220" s="294">
        <v>0</v>
      </c>
      <c r="J220" s="294">
        <v>0.1825</v>
      </c>
      <c r="K220" s="294">
        <v>0.19500000000000001</v>
      </c>
      <c r="L220" s="294">
        <v>0</v>
      </c>
      <c r="M220" s="294">
        <v>0</v>
      </c>
      <c r="N220" s="294">
        <v>0</v>
      </c>
      <c r="P220" s="294">
        <v>0</v>
      </c>
      <c r="Q220" s="294">
        <v>0</v>
      </c>
      <c r="R220" s="291">
        <v>0</v>
      </c>
      <c r="S220" s="291">
        <v>0</v>
      </c>
      <c r="T220" s="291">
        <v>0</v>
      </c>
      <c r="U220" s="389">
        <v>7.5000000000000804E-4</v>
      </c>
      <c r="V220" s="291">
        <v>0</v>
      </c>
      <c r="W220" s="291">
        <v>0</v>
      </c>
      <c r="X220" s="291">
        <v>0.39500000000000002</v>
      </c>
      <c r="Y220" s="291">
        <v>0</v>
      </c>
      <c r="Z220" s="291">
        <v>-0.19</v>
      </c>
      <c r="AA220" s="291">
        <v>0</v>
      </c>
      <c r="AB220" s="306">
        <v>0.29499999999999998</v>
      </c>
      <c r="AC220" s="306">
        <v>0.28999999999999998</v>
      </c>
      <c r="AD220" s="306">
        <v>0</v>
      </c>
      <c r="AE220" s="431">
        <v>0.15</v>
      </c>
      <c r="AF220" s="431">
        <v>0.15</v>
      </c>
      <c r="AG220" s="431">
        <v>0.14699999999999999</v>
      </c>
      <c r="AH220" s="431">
        <v>0.15</v>
      </c>
      <c r="AI220" s="431">
        <v>0.153</v>
      </c>
      <c r="AJ220" s="431">
        <v>0.15</v>
      </c>
      <c r="AK220" s="431">
        <v>0.14699999999999999</v>
      </c>
      <c r="AL220" s="431">
        <v>0.14699999999999999</v>
      </c>
      <c r="AM220" s="431">
        <v>0.15</v>
      </c>
      <c r="AN220" s="431">
        <v>0.15</v>
      </c>
      <c r="AO220" s="431">
        <v>0.15</v>
      </c>
      <c r="AP220" s="432">
        <v>0.15</v>
      </c>
      <c r="AQ220" s="432">
        <v>0.15</v>
      </c>
      <c r="AR220" s="432">
        <v>0.15</v>
      </c>
      <c r="AS220" s="432">
        <v>0.15</v>
      </c>
      <c r="AT220" s="431">
        <v>0.15</v>
      </c>
      <c r="AU220" s="431">
        <v>0.15</v>
      </c>
      <c r="AV220" s="431">
        <v>0.14699999999999999</v>
      </c>
      <c r="AW220" s="291">
        <v>7.0535066277613995E-2</v>
      </c>
      <c r="AY220" s="306">
        <f t="shared" si="32"/>
        <v>0.14699999999999999</v>
      </c>
      <c r="AZ220" s="306">
        <f t="shared" si="33"/>
        <v>0.14699999999999999</v>
      </c>
      <c r="BA220" s="309">
        <f t="shared" si="34"/>
        <v>0.14699999999999999</v>
      </c>
      <c r="BB220" s="308">
        <f t="shared" si="35"/>
        <v>42979</v>
      </c>
      <c r="BC220" s="306">
        <f t="shared" si="29"/>
        <v>0.30754077380175232</v>
      </c>
      <c r="BD220" s="306">
        <f t="shared" si="30"/>
        <v>0.30759914662972465</v>
      </c>
      <c r="BF220" s="308">
        <f t="shared" si="36"/>
        <v>42979</v>
      </c>
      <c r="BG220" s="291">
        <v>208</v>
      </c>
    </row>
    <row r="221" spans="2:59" x14ac:dyDescent="0.25">
      <c r="B221" s="296">
        <f t="shared" si="31"/>
        <v>43009</v>
      </c>
      <c r="C221" s="294">
        <v>3.5964999999999998</v>
      </c>
      <c r="D221" s="294">
        <v>0.15</v>
      </c>
      <c r="E221" s="294">
        <v>7.0659329455849004E-2</v>
      </c>
      <c r="F221" s="294">
        <v>0</v>
      </c>
      <c r="G221" s="294">
        <v>4.4968099999999997E-2</v>
      </c>
      <c r="H221" s="294">
        <v>0</v>
      </c>
      <c r="I221" s="294">
        <v>0</v>
      </c>
      <c r="J221" s="294">
        <v>0.1875</v>
      </c>
      <c r="K221" s="294">
        <v>0.215</v>
      </c>
      <c r="L221" s="294">
        <v>0</v>
      </c>
      <c r="M221" s="294">
        <v>0</v>
      </c>
      <c r="N221" s="294">
        <v>0</v>
      </c>
      <c r="P221" s="294">
        <v>0</v>
      </c>
      <c r="Q221" s="294">
        <v>0</v>
      </c>
      <c r="R221" s="291">
        <v>0</v>
      </c>
      <c r="S221" s="291">
        <v>0</v>
      </c>
      <c r="T221" s="291">
        <v>0</v>
      </c>
      <c r="U221" s="389">
        <v>-1.7500000000000002E-2</v>
      </c>
      <c r="V221" s="291">
        <v>0</v>
      </c>
      <c r="W221" s="291">
        <v>0</v>
      </c>
      <c r="X221" s="291">
        <v>0.46100000000000002</v>
      </c>
      <c r="Y221" s="291">
        <v>0</v>
      </c>
      <c r="Z221" s="291">
        <v>-0.19</v>
      </c>
      <c r="AA221" s="291">
        <v>0</v>
      </c>
      <c r="AB221" s="306">
        <v>0.29499999999999998</v>
      </c>
      <c r="AC221" s="306">
        <v>0.36249999999999999</v>
      </c>
      <c r="AD221" s="306">
        <v>0</v>
      </c>
      <c r="AE221" s="431">
        <v>0.15</v>
      </c>
      <c r="AF221" s="431">
        <v>0.15</v>
      </c>
      <c r="AG221" s="431">
        <v>0.14699999999999999</v>
      </c>
      <c r="AH221" s="431">
        <v>0.15</v>
      </c>
      <c r="AI221" s="431">
        <v>0.153</v>
      </c>
      <c r="AJ221" s="431">
        <v>0.15</v>
      </c>
      <c r="AK221" s="431">
        <v>0.14699999999999999</v>
      </c>
      <c r="AL221" s="431">
        <v>0.14699999999999999</v>
      </c>
      <c r="AM221" s="431">
        <v>0.15</v>
      </c>
      <c r="AN221" s="431">
        <v>0.15</v>
      </c>
      <c r="AO221" s="431">
        <v>0.15</v>
      </c>
      <c r="AP221" s="432">
        <v>0.15</v>
      </c>
      <c r="AQ221" s="432">
        <v>0.15</v>
      </c>
      <c r="AR221" s="432">
        <v>0.15</v>
      </c>
      <c r="AS221" s="432">
        <v>0.15</v>
      </c>
      <c r="AT221" s="431">
        <v>0.15</v>
      </c>
      <c r="AU221" s="431">
        <v>0.15</v>
      </c>
      <c r="AV221" s="431">
        <v>0.14699999999999999</v>
      </c>
      <c r="AW221" s="291">
        <v>7.0541795488297004E-2</v>
      </c>
      <c r="AY221" s="306">
        <f t="shared" si="32"/>
        <v>0.14699999999999999</v>
      </c>
      <c r="AZ221" s="306">
        <f t="shared" si="33"/>
        <v>0.14699999999999999</v>
      </c>
      <c r="BA221" s="309">
        <f t="shared" si="34"/>
        <v>0.14699999999999999</v>
      </c>
      <c r="BB221" s="308">
        <f t="shared" si="35"/>
        <v>43009</v>
      </c>
      <c r="BC221" s="306">
        <f t="shared" si="29"/>
        <v>0.30576075860148377</v>
      </c>
      <c r="BD221" s="306">
        <f t="shared" si="30"/>
        <v>0.30581879901570236</v>
      </c>
      <c r="BF221" s="308">
        <f t="shared" si="36"/>
        <v>43009</v>
      </c>
      <c r="BG221" s="291">
        <v>209</v>
      </c>
    </row>
    <row r="222" spans="2:59" x14ac:dyDescent="0.25">
      <c r="B222" s="296">
        <f t="shared" si="31"/>
        <v>43040</v>
      </c>
      <c r="C222" s="294">
        <v>3.6185</v>
      </c>
      <c r="D222" s="294">
        <v>0.15</v>
      </c>
      <c r="E222" s="294">
        <v>7.0660495471513998E-2</v>
      </c>
      <c r="G222" s="294">
        <v>-3.4988699999999998E-2</v>
      </c>
      <c r="J222" s="294">
        <v>0.27</v>
      </c>
      <c r="K222" s="294">
        <v>0.28749999999999998</v>
      </c>
      <c r="L222" s="294">
        <v>0</v>
      </c>
      <c r="M222" s="294">
        <v>0</v>
      </c>
      <c r="N222" s="294">
        <v>0</v>
      </c>
      <c r="P222" s="294">
        <v>0</v>
      </c>
      <c r="Q222" s="294">
        <v>0</v>
      </c>
      <c r="R222" s="291">
        <v>0</v>
      </c>
      <c r="U222" s="291">
        <v>-1.6500000000000001E-2</v>
      </c>
      <c r="V222" s="291">
        <v>0</v>
      </c>
      <c r="W222" s="291">
        <v>0</v>
      </c>
      <c r="X222" s="291">
        <v>0.76749999999999996</v>
      </c>
      <c r="Y222" s="291">
        <v>0</v>
      </c>
      <c r="Z222" s="291">
        <v>-0.19</v>
      </c>
      <c r="AA222" s="291">
        <v>0</v>
      </c>
      <c r="AB222" s="306">
        <v>0.12</v>
      </c>
      <c r="AC222" s="306">
        <v>0.46500000000000002</v>
      </c>
      <c r="AD222" s="306"/>
      <c r="AE222" s="431">
        <v>0.15</v>
      </c>
      <c r="AF222" s="431">
        <v>0.15</v>
      </c>
      <c r="AG222" s="431">
        <v>0.16500000000000001</v>
      </c>
      <c r="AH222" s="431">
        <v>0.15</v>
      </c>
      <c r="AI222" s="431">
        <v>0.153</v>
      </c>
      <c r="AJ222" s="431">
        <v>0.15</v>
      </c>
      <c r="AK222" s="431">
        <v>0.15</v>
      </c>
      <c r="AL222" s="431">
        <v>0.15</v>
      </c>
      <c r="AM222" s="431">
        <v>0.15</v>
      </c>
      <c r="AN222" s="431">
        <v>0.15</v>
      </c>
      <c r="AO222" s="431">
        <v>0.15</v>
      </c>
      <c r="AP222" s="432">
        <v>0.15</v>
      </c>
      <c r="AQ222" s="432">
        <v>0.15</v>
      </c>
      <c r="AR222" s="432">
        <v>0.15</v>
      </c>
      <c r="AS222" s="432">
        <v>0.15</v>
      </c>
      <c r="AT222" s="431">
        <v>0.15</v>
      </c>
      <c r="AU222" s="431">
        <v>0.15</v>
      </c>
      <c r="AV222" s="431">
        <v>0.16500000000000001</v>
      </c>
      <c r="AW222" s="291">
        <v>7.0548749006018999E-2</v>
      </c>
      <c r="AY222" s="306">
        <f t="shared" si="32"/>
        <v>0.16500000000000001</v>
      </c>
      <c r="AZ222" s="306">
        <f t="shared" si="33"/>
        <v>0.16500000000000001</v>
      </c>
      <c r="BA222" s="309">
        <f t="shared" si="34"/>
        <v>0.16500000000000001</v>
      </c>
      <c r="BB222" s="308">
        <f t="shared" si="35"/>
        <v>43040</v>
      </c>
      <c r="BC222" s="306">
        <f t="shared" si="29"/>
        <v>0.3039318914490961</v>
      </c>
      <c r="BD222" s="306">
        <f t="shared" si="30"/>
        <v>0.30398959029241041</v>
      </c>
      <c r="BF222" s="308">
        <f t="shared" si="36"/>
        <v>43040</v>
      </c>
      <c r="BG222" s="291">
        <v>210</v>
      </c>
    </row>
    <row r="223" spans="2:59" x14ac:dyDescent="0.25">
      <c r="B223" s="296">
        <f t="shared" si="31"/>
        <v>43070</v>
      </c>
      <c r="C223" s="294">
        <v>3.6625000000000001</v>
      </c>
      <c r="D223" s="294">
        <v>0.15</v>
      </c>
      <c r="E223" s="294">
        <v>7.0661623873771007E-2</v>
      </c>
      <c r="G223" s="294">
        <v>-4.99519E-2</v>
      </c>
      <c r="J223" s="294">
        <v>0.30499999999999999</v>
      </c>
      <c r="K223" s="294">
        <v>0.33750000000000002</v>
      </c>
      <c r="L223" s="294">
        <v>0</v>
      </c>
      <c r="M223" s="294">
        <v>0</v>
      </c>
      <c r="N223" s="294">
        <v>0</v>
      </c>
      <c r="P223" s="294">
        <v>0</v>
      </c>
      <c r="Q223" s="294">
        <v>0</v>
      </c>
      <c r="R223" s="291">
        <v>0</v>
      </c>
      <c r="U223" s="291">
        <v>-1.6500000000000001E-2</v>
      </c>
      <c r="V223" s="291">
        <v>0</v>
      </c>
      <c r="W223" s="291">
        <v>0</v>
      </c>
      <c r="X223" s="291">
        <v>1.19</v>
      </c>
      <c r="Y223" s="291">
        <v>0</v>
      </c>
      <c r="Z223" s="291">
        <v>-0.19</v>
      </c>
      <c r="AA223" s="291">
        <v>0</v>
      </c>
      <c r="AB223" s="306">
        <v>0.12</v>
      </c>
      <c r="AC223" s="306">
        <v>0.8</v>
      </c>
      <c r="AD223" s="306"/>
      <c r="AE223" s="431">
        <v>0.15</v>
      </c>
      <c r="AF223" s="431">
        <v>0.15</v>
      </c>
      <c r="AG223" s="431">
        <v>0.16500000000000001</v>
      </c>
      <c r="AH223" s="431">
        <v>0.15</v>
      </c>
      <c r="AI223" s="431">
        <v>0.153</v>
      </c>
      <c r="AJ223" s="431">
        <v>0.15</v>
      </c>
      <c r="AK223" s="431">
        <v>0.15</v>
      </c>
      <c r="AL223" s="431">
        <v>0.15</v>
      </c>
      <c r="AM223" s="431">
        <v>0.15</v>
      </c>
      <c r="AN223" s="431">
        <v>0.15</v>
      </c>
      <c r="AO223" s="431">
        <v>0.15</v>
      </c>
      <c r="AP223" s="432">
        <v>0.15</v>
      </c>
      <c r="AQ223" s="432">
        <v>0.15</v>
      </c>
      <c r="AR223" s="432">
        <v>0.15</v>
      </c>
      <c r="AS223" s="432">
        <v>0.15</v>
      </c>
      <c r="AT223" s="431">
        <v>0.15</v>
      </c>
      <c r="AU223" s="431">
        <v>0.15</v>
      </c>
      <c r="AV223" s="431">
        <v>0.16500000000000001</v>
      </c>
      <c r="AW223" s="291">
        <v>7.0555478216731998E-2</v>
      </c>
      <c r="AY223" s="306">
        <f t="shared" si="32"/>
        <v>0.16500000000000001</v>
      </c>
      <c r="AZ223" s="306">
        <f t="shared" si="33"/>
        <v>0.16500000000000001</v>
      </c>
      <c r="BA223" s="309">
        <f t="shared" si="34"/>
        <v>0.16500000000000001</v>
      </c>
      <c r="BB223" s="308">
        <f t="shared" si="35"/>
        <v>43070</v>
      </c>
      <c r="BC223" s="306">
        <f t="shared" si="29"/>
        <v>0.30217210827540003</v>
      </c>
      <c r="BD223" s="306">
        <f t="shared" si="30"/>
        <v>0.30222947841750297</v>
      </c>
      <c r="BF223" s="308">
        <f t="shared" si="36"/>
        <v>43070</v>
      </c>
      <c r="BG223" s="291">
        <v>211</v>
      </c>
    </row>
    <row r="224" spans="2:59" x14ac:dyDescent="0.25">
      <c r="B224" s="296">
        <f t="shared" si="31"/>
        <v>43101</v>
      </c>
      <c r="C224" s="294">
        <v>3.9845000000000002</v>
      </c>
      <c r="D224" s="294">
        <v>0.15</v>
      </c>
      <c r="E224" s="294">
        <v>7.0662789889436001E-2</v>
      </c>
      <c r="G224" s="294">
        <v>-4.4955099999999998E-2</v>
      </c>
      <c r="J224" s="294">
        <v>0.30499999999999999</v>
      </c>
      <c r="K224" s="294">
        <v>0.4375</v>
      </c>
      <c r="L224" s="294">
        <v>0</v>
      </c>
      <c r="M224" s="294">
        <v>0</v>
      </c>
      <c r="N224" s="294">
        <v>0</v>
      </c>
      <c r="P224" s="294">
        <v>0</v>
      </c>
      <c r="Q224" s="294">
        <v>0</v>
      </c>
      <c r="R224" s="291">
        <v>0</v>
      </c>
      <c r="U224" s="291">
        <v>-1.6500000000000001E-2</v>
      </c>
      <c r="V224" s="291">
        <v>0</v>
      </c>
      <c r="W224" s="291">
        <v>0</v>
      </c>
      <c r="X224" s="291">
        <v>1.5249999999999999</v>
      </c>
      <c r="Y224" s="291">
        <v>0</v>
      </c>
      <c r="Z224" s="291">
        <v>-0.19</v>
      </c>
      <c r="AA224" s="291">
        <v>0</v>
      </c>
      <c r="AB224" s="306">
        <v>0.12</v>
      </c>
      <c r="AC224" s="306">
        <v>0.97499999999999998</v>
      </c>
      <c r="AD224" s="306"/>
      <c r="AE224" s="431">
        <v>0.15</v>
      </c>
      <c r="AF224" s="431">
        <v>0.15</v>
      </c>
      <c r="AG224" s="431">
        <v>0.16500000000000001</v>
      </c>
      <c r="AH224" s="431">
        <v>0.15</v>
      </c>
      <c r="AI224" s="431">
        <v>0.153</v>
      </c>
      <c r="AJ224" s="431">
        <v>0.15</v>
      </c>
      <c r="AK224" s="431">
        <v>0.15</v>
      </c>
      <c r="AL224" s="431">
        <v>0.15</v>
      </c>
      <c r="AM224" s="431">
        <v>0.15</v>
      </c>
      <c r="AN224" s="431">
        <v>0.15</v>
      </c>
      <c r="AO224" s="431">
        <v>0.15</v>
      </c>
      <c r="AP224" s="432">
        <v>0.15</v>
      </c>
      <c r="AQ224" s="432">
        <v>0.15</v>
      </c>
      <c r="AR224" s="432">
        <v>0.15</v>
      </c>
      <c r="AS224" s="432">
        <v>0.15</v>
      </c>
      <c r="AT224" s="431">
        <v>0.15</v>
      </c>
      <c r="AU224" s="431">
        <v>0.15</v>
      </c>
      <c r="AV224" s="431">
        <v>0.16500000000000001</v>
      </c>
      <c r="AW224" s="291">
        <v>7.0562431734484996E-2</v>
      </c>
      <c r="AY224" s="306">
        <f t="shared" si="32"/>
        <v>0.16500000000000001</v>
      </c>
      <c r="AZ224" s="306">
        <f t="shared" si="33"/>
        <v>0.16500000000000001</v>
      </c>
      <c r="BA224" s="309">
        <f t="shared" si="34"/>
        <v>0.16500000000000001</v>
      </c>
      <c r="BB224" s="308">
        <f t="shared" si="35"/>
        <v>43101</v>
      </c>
      <c r="BC224" s="306">
        <f t="shared" si="29"/>
        <v>0.3003640325302373</v>
      </c>
      <c r="BD224" s="306">
        <f t="shared" si="30"/>
        <v>0.30042106491702675</v>
      </c>
      <c r="BF224" s="308">
        <f t="shared" si="36"/>
        <v>43101</v>
      </c>
      <c r="BG224" s="291">
        <v>212</v>
      </c>
    </row>
    <row r="225" spans="2:59" x14ac:dyDescent="0.25">
      <c r="B225" s="296">
        <f t="shared" si="31"/>
        <v>43132</v>
      </c>
      <c r="C225" s="294">
        <v>3.9024999999999999</v>
      </c>
      <c r="D225" s="294">
        <v>0.15</v>
      </c>
      <c r="E225" s="294">
        <v>7.0663955905102993E-2</v>
      </c>
      <c r="G225" s="294">
        <v>-1.99574E-2</v>
      </c>
      <c r="J225" s="294">
        <v>0.30499999999999999</v>
      </c>
      <c r="K225" s="294">
        <v>0.435</v>
      </c>
      <c r="L225" s="294">
        <v>0</v>
      </c>
      <c r="M225" s="294">
        <v>0</v>
      </c>
      <c r="N225" s="294">
        <v>0</v>
      </c>
      <c r="P225" s="294">
        <v>0</v>
      </c>
      <c r="Q225" s="294">
        <v>0</v>
      </c>
      <c r="R225" s="291">
        <v>0</v>
      </c>
      <c r="U225" s="291">
        <v>-1.6500000000000001E-2</v>
      </c>
      <c r="V225" s="291">
        <v>0</v>
      </c>
      <c r="W225" s="291">
        <v>0</v>
      </c>
      <c r="X225" s="291">
        <v>1.4550000000000001</v>
      </c>
      <c r="Y225" s="291">
        <v>0</v>
      </c>
      <c r="Z225" s="291">
        <v>-0.19</v>
      </c>
      <c r="AA225" s="291">
        <v>0</v>
      </c>
      <c r="AB225" s="306">
        <v>0.12</v>
      </c>
      <c r="AC225" s="306">
        <v>0.97499999999999998</v>
      </c>
      <c r="AD225" s="306"/>
      <c r="AE225" s="431">
        <v>0.15</v>
      </c>
      <c r="AF225" s="431">
        <v>0.15</v>
      </c>
      <c r="AG225" s="431">
        <v>0.16500000000000001</v>
      </c>
      <c r="AH225" s="431">
        <v>0.15</v>
      </c>
      <c r="AI225" s="431">
        <v>0.153</v>
      </c>
      <c r="AJ225" s="431">
        <v>0.15</v>
      </c>
      <c r="AK225" s="431">
        <v>0.15</v>
      </c>
      <c r="AL225" s="431">
        <v>0.15</v>
      </c>
      <c r="AM225" s="431">
        <v>0.15</v>
      </c>
      <c r="AN225" s="431">
        <v>0.15</v>
      </c>
      <c r="AO225" s="431">
        <v>0.15</v>
      </c>
      <c r="AP225" s="432">
        <v>0.15</v>
      </c>
      <c r="AQ225" s="432">
        <v>0.15</v>
      </c>
      <c r="AR225" s="432">
        <v>0.15</v>
      </c>
      <c r="AS225" s="432">
        <v>0.15</v>
      </c>
      <c r="AT225" s="431">
        <v>0.15</v>
      </c>
      <c r="AU225" s="431">
        <v>0.15</v>
      </c>
      <c r="AV225" s="431">
        <v>0.16500000000000001</v>
      </c>
      <c r="AW225" s="291">
        <v>7.0569385252253994E-2</v>
      </c>
      <c r="AY225" s="306">
        <f t="shared" si="32"/>
        <v>0.16500000000000001</v>
      </c>
      <c r="AZ225" s="306">
        <f t="shared" si="33"/>
        <v>0.16500000000000001</v>
      </c>
      <c r="BA225" s="309">
        <f t="shared" si="34"/>
        <v>0.16500000000000001</v>
      </c>
      <c r="BB225" s="308">
        <f t="shared" si="35"/>
        <v>43132</v>
      </c>
      <c r="BC225" s="306">
        <f t="shared" si="29"/>
        <v>0.2985664352966429</v>
      </c>
      <c r="BD225" s="306">
        <f t="shared" si="30"/>
        <v>0.29862313185141753</v>
      </c>
      <c r="BF225" s="308">
        <f t="shared" si="36"/>
        <v>43132</v>
      </c>
      <c r="BG225" s="291">
        <v>213</v>
      </c>
    </row>
    <row r="226" spans="2:59" x14ac:dyDescent="0.25">
      <c r="B226" s="296">
        <f t="shared" si="31"/>
        <v>43160</v>
      </c>
      <c r="C226" s="294">
        <v>3.7774999999999999</v>
      </c>
      <c r="D226" s="294">
        <v>0.15</v>
      </c>
      <c r="E226" s="294">
        <v>7.0665009080543004E-2</v>
      </c>
      <c r="G226" s="294">
        <v>-9.9573999999999999E-3</v>
      </c>
      <c r="J226" s="294">
        <v>0.26500000000000001</v>
      </c>
      <c r="K226" s="294">
        <v>0.30249999999999999</v>
      </c>
      <c r="L226" s="294">
        <v>0</v>
      </c>
      <c r="M226" s="294">
        <v>0</v>
      </c>
      <c r="N226" s="294">
        <v>0</v>
      </c>
      <c r="P226" s="294">
        <v>0</v>
      </c>
      <c r="Q226" s="294">
        <v>0</v>
      </c>
      <c r="R226" s="291">
        <v>0</v>
      </c>
      <c r="U226" s="291">
        <v>2E-3</v>
      </c>
      <c r="V226" s="291">
        <v>0</v>
      </c>
      <c r="W226" s="291">
        <v>0</v>
      </c>
      <c r="X226" s="291">
        <v>0.83499999999999996</v>
      </c>
      <c r="Y226" s="291">
        <v>0</v>
      </c>
      <c r="Z226" s="291">
        <v>-0.19</v>
      </c>
      <c r="AA226" s="291">
        <v>0</v>
      </c>
      <c r="AB226" s="306">
        <v>0.12</v>
      </c>
      <c r="AC226" s="306">
        <v>0.60750000000000004</v>
      </c>
      <c r="AD226" s="306"/>
      <c r="AE226" s="431">
        <v>0.15</v>
      </c>
      <c r="AF226" s="431">
        <v>0.15</v>
      </c>
      <c r="AG226" s="431">
        <v>0.16500000000000001</v>
      </c>
      <c r="AH226" s="431">
        <v>0.15</v>
      </c>
      <c r="AI226" s="431">
        <v>0.153</v>
      </c>
      <c r="AJ226" s="431">
        <v>0.15</v>
      </c>
      <c r="AK226" s="431">
        <v>0.15</v>
      </c>
      <c r="AL226" s="431">
        <v>0.15</v>
      </c>
      <c r="AM226" s="431">
        <v>0.15</v>
      </c>
      <c r="AN226" s="431">
        <v>0.15</v>
      </c>
      <c r="AO226" s="431">
        <v>0.15</v>
      </c>
      <c r="AP226" s="432">
        <v>0.15</v>
      </c>
      <c r="AQ226" s="432">
        <v>0.15</v>
      </c>
      <c r="AR226" s="432">
        <v>0.15</v>
      </c>
      <c r="AS226" s="432">
        <v>0.15</v>
      </c>
      <c r="AT226" s="431">
        <v>0.15</v>
      </c>
      <c r="AU226" s="431">
        <v>0.15</v>
      </c>
      <c r="AV226" s="431">
        <v>0.16500000000000001</v>
      </c>
      <c r="AW226" s="291">
        <v>7.0575665848961994E-2</v>
      </c>
      <c r="AY226" s="306">
        <f t="shared" si="32"/>
        <v>0.16500000000000001</v>
      </c>
      <c r="AZ226" s="306">
        <f t="shared" si="33"/>
        <v>0.16500000000000001</v>
      </c>
      <c r="BA226" s="309">
        <f t="shared" si="34"/>
        <v>0.16500000000000001</v>
      </c>
      <c r="BB226" s="308">
        <f t="shared" si="35"/>
        <v>43160</v>
      </c>
      <c r="BC226" s="306">
        <f t="shared" si="29"/>
        <v>0.29695175682031077</v>
      </c>
      <c r="BD226" s="306">
        <f t="shared" si="30"/>
        <v>0.29700815168727862</v>
      </c>
      <c r="BF226" s="308">
        <f t="shared" si="36"/>
        <v>43160</v>
      </c>
      <c r="BG226" s="291">
        <v>214</v>
      </c>
    </row>
    <row r="227" spans="2:59" x14ac:dyDescent="0.25">
      <c r="B227" s="296">
        <f t="shared" si="31"/>
        <v>43191</v>
      </c>
      <c r="C227" s="294">
        <v>3.6444999999999999</v>
      </c>
      <c r="D227" s="294">
        <v>0.15</v>
      </c>
      <c r="E227" s="294">
        <v>7.0666175096209996E-2</v>
      </c>
      <c r="G227" s="294">
        <v>4.9976600000000003E-2</v>
      </c>
      <c r="J227" s="294">
        <v>0.19500000000000001</v>
      </c>
      <c r="K227" s="294">
        <v>0.25</v>
      </c>
      <c r="L227" s="294">
        <v>0</v>
      </c>
      <c r="M227" s="294">
        <v>0</v>
      </c>
      <c r="N227" s="294">
        <v>0</v>
      </c>
      <c r="P227" s="294">
        <v>0</v>
      </c>
      <c r="Q227" s="294">
        <v>0</v>
      </c>
      <c r="R227" s="291">
        <v>0</v>
      </c>
      <c r="U227" s="389">
        <v>2E-3</v>
      </c>
      <c r="V227" s="291">
        <v>0</v>
      </c>
      <c r="W227" s="291">
        <v>0</v>
      </c>
      <c r="X227" s="291">
        <v>0.45</v>
      </c>
      <c r="Y227" s="291">
        <v>0</v>
      </c>
      <c r="Z227" s="291">
        <v>-0.19</v>
      </c>
      <c r="AA227" s="291">
        <v>0</v>
      </c>
      <c r="AB227" s="306">
        <v>0.29499999999999998</v>
      </c>
      <c r="AC227" s="306">
        <v>0.35499999999999998</v>
      </c>
      <c r="AD227" s="306"/>
      <c r="AE227" s="306">
        <v>0.15</v>
      </c>
      <c r="AF227" s="431">
        <v>0.15</v>
      </c>
      <c r="AG227" s="431">
        <v>0.14699999999999999</v>
      </c>
      <c r="AH227" s="431">
        <v>0.15</v>
      </c>
      <c r="AI227" s="431">
        <v>0.153</v>
      </c>
      <c r="AJ227" s="431">
        <v>0.15</v>
      </c>
      <c r="AK227" s="431">
        <v>0.14699999999999999</v>
      </c>
      <c r="AL227" s="431">
        <v>0.14699999999999999</v>
      </c>
      <c r="AM227" s="431">
        <v>0.15</v>
      </c>
      <c r="AN227" s="431">
        <v>0.15</v>
      </c>
      <c r="AO227" s="431">
        <v>0.15</v>
      </c>
      <c r="AP227" s="432">
        <v>0.15</v>
      </c>
      <c r="AQ227" s="432">
        <v>0.15</v>
      </c>
      <c r="AR227" s="432">
        <v>0.15</v>
      </c>
      <c r="AS227" s="432">
        <v>0.15</v>
      </c>
      <c r="AT227" s="431">
        <v>0.15</v>
      </c>
      <c r="AU227" s="431">
        <v>0.15</v>
      </c>
      <c r="AV227" s="431">
        <v>0.14699999999999999</v>
      </c>
      <c r="AW227" s="291">
        <v>7.0582619366761995E-2</v>
      </c>
      <c r="AY227" s="306">
        <f t="shared" si="32"/>
        <v>0.14699999999999999</v>
      </c>
      <c r="AZ227" s="306">
        <f t="shared" si="33"/>
        <v>0.14699999999999999</v>
      </c>
      <c r="BA227" s="309">
        <f t="shared" si="34"/>
        <v>0.14699999999999999</v>
      </c>
      <c r="BB227" s="308">
        <f t="shared" si="35"/>
        <v>43191</v>
      </c>
      <c r="BC227" s="306">
        <f t="shared" si="29"/>
        <v>0.29517394085913878</v>
      </c>
      <c r="BD227" s="306">
        <f t="shared" si="30"/>
        <v>0.29523000352544881</v>
      </c>
      <c r="BF227" s="308">
        <f t="shared" si="36"/>
        <v>43191</v>
      </c>
      <c r="BG227" s="291">
        <v>215</v>
      </c>
    </row>
    <row r="228" spans="2:59" x14ac:dyDescent="0.25">
      <c r="B228" s="296">
        <f t="shared" si="31"/>
        <v>43221</v>
      </c>
      <c r="C228" s="294">
        <v>3.6475</v>
      </c>
      <c r="D228" s="294">
        <v>0.15</v>
      </c>
      <c r="E228" s="294">
        <v>7.0667303498469003E-2</v>
      </c>
      <c r="G228" s="294">
        <v>4.9968100000000001E-2</v>
      </c>
      <c r="J228" s="294">
        <v>0.1825</v>
      </c>
      <c r="K228" s="294">
        <v>0.20250000000000001</v>
      </c>
      <c r="L228" s="294">
        <v>0</v>
      </c>
      <c r="M228" s="294">
        <v>0</v>
      </c>
      <c r="N228" s="294">
        <v>0</v>
      </c>
      <c r="P228" s="294">
        <v>0</v>
      </c>
      <c r="Q228" s="294">
        <v>0</v>
      </c>
      <c r="R228" s="291">
        <v>0</v>
      </c>
      <c r="U228" s="389">
        <v>1.75E-3</v>
      </c>
      <c r="V228" s="291">
        <v>0</v>
      </c>
      <c r="W228" s="291">
        <v>0</v>
      </c>
      <c r="X228" s="291">
        <v>0.40500000000000003</v>
      </c>
      <c r="Y228" s="291">
        <v>0</v>
      </c>
      <c r="Z228" s="291">
        <v>-0.19</v>
      </c>
      <c r="AA228" s="291">
        <v>0</v>
      </c>
      <c r="AB228" s="306">
        <v>0.29499999999999998</v>
      </c>
      <c r="AC228" s="306">
        <v>0.28749999999999998</v>
      </c>
      <c r="AD228" s="306"/>
      <c r="AE228" s="306">
        <v>0.15</v>
      </c>
      <c r="AF228" s="291">
        <v>0.15</v>
      </c>
      <c r="AG228" s="291">
        <v>0.14699999999999999</v>
      </c>
      <c r="AH228" s="305">
        <v>0.15</v>
      </c>
      <c r="AI228" s="305">
        <v>0.153</v>
      </c>
      <c r="AJ228" s="305">
        <v>0.15</v>
      </c>
      <c r="AK228" s="291">
        <v>0.14699999999999999</v>
      </c>
      <c r="AL228" s="291">
        <v>0.14699999999999999</v>
      </c>
      <c r="AM228" s="305">
        <v>0.15</v>
      </c>
      <c r="AN228" s="291">
        <v>0.15</v>
      </c>
      <c r="AO228" s="291">
        <v>0.15</v>
      </c>
      <c r="AP228" s="306">
        <v>0.15</v>
      </c>
      <c r="AQ228" s="306">
        <v>0.15</v>
      </c>
      <c r="AR228" s="306">
        <v>0.15</v>
      </c>
      <c r="AS228" s="306">
        <v>0.15</v>
      </c>
      <c r="AT228" s="291">
        <v>0.15</v>
      </c>
      <c r="AU228" s="291">
        <v>0.15</v>
      </c>
      <c r="AV228" s="291">
        <v>0.14699999999999999</v>
      </c>
      <c r="AW228" s="291">
        <v>7.0589348577550004E-2</v>
      </c>
      <c r="AY228" s="306">
        <f t="shared" si="32"/>
        <v>0.14699999999999999</v>
      </c>
      <c r="AZ228" s="306">
        <f t="shared" si="33"/>
        <v>0.14699999999999999</v>
      </c>
      <c r="BA228" s="309">
        <f t="shared" si="34"/>
        <v>0.14699999999999999</v>
      </c>
      <c r="BB228" s="308">
        <f t="shared" si="35"/>
        <v>43221</v>
      </c>
      <c r="BC228" s="306">
        <f t="shared" si="29"/>
        <v>0.29346329010643779</v>
      </c>
      <c r="BD228" s="306">
        <f t="shared" si="30"/>
        <v>0.29351903309055238</v>
      </c>
      <c r="BF228" s="308">
        <f t="shared" si="36"/>
        <v>43221</v>
      </c>
      <c r="BG228" s="291">
        <v>216</v>
      </c>
    </row>
    <row r="229" spans="2:59" x14ac:dyDescent="0.25">
      <c r="B229" s="296">
        <f t="shared" si="31"/>
        <v>43252</v>
      </c>
      <c r="C229" s="294">
        <v>3.6825000000000001</v>
      </c>
      <c r="D229" s="294">
        <v>0.15</v>
      </c>
      <c r="E229" s="294">
        <v>7.0668469514135995E-2</v>
      </c>
      <c r="G229" s="294">
        <v>4.9968100000000001E-2</v>
      </c>
      <c r="J229" s="294">
        <v>0.1825</v>
      </c>
      <c r="K229" s="294">
        <v>0.20250000000000001</v>
      </c>
      <c r="L229" s="294">
        <v>0</v>
      </c>
      <c r="M229" s="294">
        <v>0</v>
      </c>
      <c r="N229" s="294">
        <v>0</v>
      </c>
      <c r="P229" s="294">
        <v>0</v>
      </c>
      <c r="Q229" s="294">
        <v>0</v>
      </c>
      <c r="R229" s="291">
        <v>0</v>
      </c>
      <c r="U229" s="389">
        <v>1.75E-3</v>
      </c>
      <c r="V229" s="291">
        <v>0</v>
      </c>
      <c r="W229" s="291">
        <v>0</v>
      </c>
      <c r="X229" s="291">
        <v>0.39500000000000002</v>
      </c>
      <c r="Y229" s="291">
        <v>0</v>
      </c>
      <c r="Z229" s="291">
        <v>-0.19</v>
      </c>
      <c r="AA229" s="291">
        <v>0</v>
      </c>
      <c r="AB229" s="306">
        <v>0.29499999999999998</v>
      </c>
      <c r="AC229" s="306">
        <v>0.28749999999999998</v>
      </c>
      <c r="AD229" s="306"/>
      <c r="AE229" s="306">
        <v>0.15</v>
      </c>
      <c r="AF229" s="291">
        <v>0.15</v>
      </c>
      <c r="AG229" s="291">
        <v>0.14699999999999999</v>
      </c>
      <c r="AH229" s="305">
        <v>0.15</v>
      </c>
      <c r="AI229" s="305">
        <v>0.153</v>
      </c>
      <c r="AJ229" s="305">
        <v>0.15</v>
      </c>
      <c r="AK229" s="291">
        <v>0.14699999999999999</v>
      </c>
      <c r="AL229" s="291">
        <v>0.14699999999999999</v>
      </c>
      <c r="AM229" s="305">
        <v>0.15</v>
      </c>
      <c r="AN229" s="291">
        <v>0.15</v>
      </c>
      <c r="AO229" s="291">
        <v>0.15</v>
      </c>
      <c r="AP229" s="306">
        <v>0.15</v>
      </c>
      <c r="AQ229" s="306">
        <v>0.15</v>
      </c>
      <c r="AR229" s="306">
        <v>0.15</v>
      </c>
      <c r="AS229" s="306">
        <v>0.15</v>
      </c>
      <c r="AT229" s="291">
        <v>0.15</v>
      </c>
      <c r="AU229" s="291">
        <v>0.15</v>
      </c>
      <c r="AV229" s="291">
        <v>0.14699999999999999</v>
      </c>
      <c r="AW229" s="291">
        <v>7.0596302095380994E-2</v>
      </c>
      <c r="AY229" s="306">
        <f t="shared" si="32"/>
        <v>0.14699999999999999</v>
      </c>
      <c r="AZ229" s="306">
        <f t="shared" si="33"/>
        <v>0.14699999999999999</v>
      </c>
      <c r="BA229" s="309">
        <f t="shared" si="34"/>
        <v>0.14699999999999999</v>
      </c>
      <c r="BB229" s="308">
        <f t="shared" si="35"/>
        <v>43252</v>
      </c>
      <c r="BC229" s="306">
        <f t="shared" si="29"/>
        <v>0.29170570500213239</v>
      </c>
      <c r="BD229" s="306">
        <f t="shared" si="30"/>
        <v>0.29176111950024997</v>
      </c>
      <c r="BF229" s="308">
        <f t="shared" si="36"/>
        <v>43252</v>
      </c>
      <c r="BG229" s="291">
        <v>217</v>
      </c>
    </row>
    <row r="230" spans="2:59" x14ac:dyDescent="0.25">
      <c r="B230" s="296">
        <f t="shared" si="31"/>
        <v>43282</v>
      </c>
      <c r="C230" s="294">
        <v>3.7044999999999999</v>
      </c>
      <c r="D230" s="294">
        <v>0.15</v>
      </c>
      <c r="E230" s="294">
        <v>7.0669597916396001E-2</v>
      </c>
      <c r="G230" s="294">
        <v>4.9968100000000001E-2</v>
      </c>
      <c r="J230" s="294">
        <v>0.1825</v>
      </c>
      <c r="K230" s="294">
        <v>0.215</v>
      </c>
      <c r="L230" s="294">
        <v>0</v>
      </c>
      <c r="M230" s="294">
        <v>0</v>
      </c>
      <c r="N230" s="294">
        <v>0</v>
      </c>
      <c r="P230" s="294">
        <v>0</v>
      </c>
      <c r="Q230" s="294">
        <v>0</v>
      </c>
      <c r="R230" s="291">
        <v>0</v>
      </c>
      <c r="U230" s="389">
        <v>1.75E-3</v>
      </c>
      <c r="V230" s="291">
        <v>0</v>
      </c>
      <c r="W230" s="291">
        <v>0</v>
      </c>
      <c r="X230" s="291">
        <v>0.43</v>
      </c>
      <c r="Y230" s="291">
        <v>0</v>
      </c>
      <c r="Z230" s="291">
        <v>-0.19</v>
      </c>
      <c r="AA230" s="291">
        <v>0</v>
      </c>
      <c r="AB230" s="306">
        <v>0.29499999999999998</v>
      </c>
      <c r="AC230" s="306">
        <v>0.3</v>
      </c>
      <c r="AD230" s="306"/>
      <c r="AE230" s="306"/>
      <c r="AH230" s="305"/>
      <c r="AI230" s="305"/>
      <c r="AJ230" s="305"/>
      <c r="AM230" s="305"/>
      <c r="AP230" s="306"/>
      <c r="AQ230" s="306"/>
      <c r="AR230" s="306"/>
      <c r="AS230" s="306"/>
      <c r="AW230" s="291">
        <v>7.0603031306200006E-2</v>
      </c>
      <c r="AY230" s="306">
        <f t="shared" si="32"/>
        <v>0</v>
      </c>
      <c r="AZ230" s="306">
        <f t="shared" si="33"/>
        <v>0</v>
      </c>
      <c r="BA230" s="309">
        <f t="shared" si="34"/>
        <v>0</v>
      </c>
      <c r="BB230" s="308">
        <f t="shared" si="35"/>
        <v>43282</v>
      </c>
      <c r="BC230" s="306">
        <f t="shared" si="29"/>
        <v>0.29001452464489585</v>
      </c>
      <c r="BD230" s="306">
        <f t="shared" si="30"/>
        <v>0.29006962303622502</v>
      </c>
      <c r="BF230" s="308">
        <f t="shared" si="36"/>
        <v>43282</v>
      </c>
      <c r="BG230" s="291">
        <v>218</v>
      </c>
    </row>
    <row r="231" spans="2:59" x14ac:dyDescent="0.25">
      <c r="B231" s="296">
        <f t="shared" si="31"/>
        <v>43313</v>
      </c>
      <c r="C231" s="294">
        <v>3.7254999999999998</v>
      </c>
      <c r="D231" s="294">
        <v>0.15</v>
      </c>
      <c r="E231" s="294">
        <v>7.0670763932065006E-2</v>
      </c>
      <c r="G231" s="294">
        <v>4.9968100000000001E-2</v>
      </c>
      <c r="J231" s="294">
        <v>0.1825</v>
      </c>
      <c r="K231" s="294">
        <v>0.215</v>
      </c>
      <c r="L231" s="294">
        <v>0</v>
      </c>
      <c r="M231" s="294">
        <v>0</v>
      </c>
      <c r="N231" s="294">
        <v>0</v>
      </c>
      <c r="P231" s="294">
        <v>0</v>
      </c>
      <c r="Q231" s="294">
        <v>0</v>
      </c>
      <c r="R231" s="291">
        <v>0</v>
      </c>
      <c r="U231" s="389">
        <v>1.75E-3</v>
      </c>
      <c r="V231" s="291">
        <v>0</v>
      </c>
      <c r="W231" s="291">
        <v>0</v>
      </c>
      <c r="X231" s="291">
        <v>0.495</v>
      </c>
      <c r="Y231" s="291">
        <v>0</v>
      </c>
      <c r="Z231" s="291">
        <v>-0.19</v>
      </c>
      <c r="AA231" s="291">
        <v>0</v>
      </c>
      <c r="AB231" s="306">
        <v>0.29499999999999998</v>
      </c>
      <c r="AC231" s="306">
        <v>0.3</v>
      </c>
      <c r="AD231" s="306"/>
      <c r="AE231" s="306"/>
      <c r="AH231" s="305"/>
      <c r="AI231" s="305"/>
      <c r="AJ231" s="305"/>
      <c r="AM231" s="305"/>
      <c r="AP231" s="306"/>
      <c r="AQ231" s="306"/>
      <c r="AR231" s="306"/>
      <c r="AS231" s="306"/>
      <c r="AW231" s="291">
        <v>7.0609984824062E-2</v>
      </c>
      <c r="AY231" s="306">
        <f t="shared" si="32"/>
        <v>0</v>
      </c>
      <c r="AZ231" s="306">
        <f t="shared" si="33"/>
        <v>0</v>
      </c>
      <c r="BA231" s="309">
        <f t="shared" si="34"/>
        <v>0</v>
      </c>
      <c r="BB231" s="308">
        <f t="shared" si="35"/>
        <v>43313</v>
      </c>
      <c r="BC231" s="306">
        <f t="shared" si="29"/>
        <v>0.28827694809453536</v>
      </c>
      <c r="BD231" s="306">
        <f t="shared" si="30"/>
        <v>0.28833172167448573</v>
      </c>
      <c r="BF231" s="308">
        <f t="shared" si="36"/>
        <v>43313</v>
      </c>
      <c r="BG231" s="291">
        <v>219</v>
      </c>
    </row>
    <row r="232" spans="2:59" x14ac:dyDescent="0.25">
      <c r="B232" s="296">
        <f t="shared" si="31"/>
        <v>43344</v>
      </c>
      <c r="C232" s="294">
        <v>3.6934999999999998</v>
      </c>
      <c r="D232" s="294">
        <v>0.15</v>
      </c>
      <c r="E232" s="294">
        <v>7.0671929947733997E-2</v>
      </c>
      <c r="G232" s="294">
        <v>4.9968100000000001E-2</v>
      </c>
      <c r="J232" s="294">
        <v>0.1825</v>
      </c>
      <c r="K232" s="294">
        <v>0.19500000000000001</v>
      </c>
      <c r="L232" s="294">
        <v>0</v>
      </c>
      <c r="M232" s="294">
        <v>0</v>
      </c>
      <c r="N232" s="294">
        <v>0</v>
      </c>
      <c r="P232" s="294">
        <v>0</v>
      </c>
      <c r="Q232" s="294">
        <v>0</v>
      </c>
      <c r="R232" s="291">
        <v>0</v>
      </c>
      <c r="U232" s="389">
        <v>1.75E-3</v>
      </c>
      <c r="V232" s="291">
        <v>0</v>
      </c>
      <c r="W232" s="291">
        <v>0</v>
      </c>
      <c r="X232" s="291">
        <v>0.39500000000000002</v>
      </c>
      <c r="Y232" s="291">
        <v>0</v>
      </c>
      <c r="Z232" s="291">
        <v>-0.19</v>
      </c>
      <c r="AA232" s="291">
        <v>0</v>
      </c>
      <c r="AB232" s="306">
        <v>0.29499999999999998</v>
      </c>
      <c r="AC232" s="306">
        <v>0.28999999999999998</v>
      </c>
      <c r="AD232" s="306"/>
      <c r="AE232" s="306"/>
      <c r="AH232" s="305"/>
      <c r="AI232" s="305"/>
      <c r="AJ232" s="305"/>
      <c r="AM232" s="305"/>
      <c r="AP232" s="306"/>
      <c r="AQ232" s="306"/>
      <c r="AR232" s="306"/>
      <c r="AS232" s="306"/>
      <c r="AW232" s="291">
        <v>7.0616938341940994E-2</v>
      </c>
      <c r="AY232" s="306">
        <f t="shared" si="32"/>
        <v>0</v>
      </c>
      <c r="AZ232" s="306">
        <f t="shared" si="33"/>
        <v>0</v>
      </c>
      <c r="BA232" s="309">
        <f t="shared" si="34"/>
        <v>0</v>
      </c>
      <c r="BB232" s="308">
        <f t="shared" si="35"/>
        <v>43344</v>
      </c>
      <c r="BC232" s="306">
        <f t="shared" si="29"/>
        <v>0.28654945538609339</v>
      </c>
      <c r="BD232" s="306">
        <f t="shared" si="30"/>
        <v>0.28660390600688135</v>
      </c>
      <c r="BF232" s="308">
        <f t="shared" si="36"/>
        <v>43344</v>
      </c>
      <c r="BG232" s="291">
        <v>220</v>
      </c>
    </row>
    <row r="233" spans="2:59" x14ac:dyDescent="0.25">
      <c r="B233" s="296">
        <f t="shared" si="31"/>
        <v>43374</v>
      </c>
      <c r="C233" s="294">
        <v>3.6934999999999998</v>
      </c>
      <c r="D233" s="294">
        <v>0.15</v>
      </c>
      <c r="E233" s="294">
        <v>7.0673058349999998E-2</v>
      </c>
      <c r="G233" s="294">
        <v>4.9968100000000001E-2</v>
      </c>
      <c r="J233" s="294">
        <v>0.1875</v>
      </c>
      <c r="K233" s="294">
        <v>0.215</v>
      </c>
      <c r="L233" s="294">
        <v>0</v>
      </c>
      <c r="M233" s="294">
        <v>0</v>
      </c>
      <c r="N233" s="294">
        <v>0</v>
      </c>
      <c r="P233" s="294">
        <v>0</v>
      </c>
      <c r="Q233" s="294">
        <v>0</v>
      </c>
      <c r="R233" s="291">
        <v>0</v>
      </c>
      <c r="U233" s="389">
        <v>-1.6500000000000001E-2</v>
      </c>
      <c r="V233" s="291">
        <v>0</v>
      </c>
      <c r="W233" s="291">
        <v>0</v>
      </c>
      <c r="X233" s="291">
        <v>0.46100000000000002</v>
      </c>
      <c r="Y233" s="291">
        <v>0</v>
      </c>
      <c r="Z233" s="291">
        <v>-0.19</v>
      </c>
      <c r="AA233" s="291">
        <v>0</v>
      </c>
      <c r="AB233" s="306">
        <v>0.29499999999999998</v>
      </c>
      <c r="AC233" s="306">
        <v>0.36249999999999999</v>
      </c>
      <c r="AD233" s="306"/>
      <c r="AE233" s="306"/>
      <c r="AH233" s="305"/>
      <c r="AI233" s="305"/>
      <c r="AJ233" s="305"/>
      <c r="AM233" s="305"/>
      <c r="AP233" s="306"/>
      <c r="AQ233" s="306"/>
      <c r="AR233" s="306"/>
      <c r="AS233" s="306"/>
      <c r="AW233" s="291">
        <v>7.0623667552805997E-2</v>
      </c>
      <c r="AY233" s="306">
        <f t="shared" si="32"/>
        <v>0</v>
      </c>
      <c r="AZ233" s="306">
        <f t="shared" si="33"/>
        <v>0</v>
      </c>
      <c r="BA233" s="309">
        <f t="shared" si="34"/>
        <v>0</v>
      </c>
      <c r="BB233" s="308">
        <f t="shared" si="35"/>
        <v>43374</v>
      </c>
      <c r="BC233" s="306">
        <f t="shared" si="29"/>
        <v>0.28488723619034967</v>
      </c>
      <c r="BD233" s="306">
        <f t="shared" si="30"/>
        <v>0.28494137602398001</v>
      </c>
      <c r="BF233" s="308">
        <f t="shared" si="36"/>
        <v>43374</v>
      </c>
      <c r="BG233" s="291">
        <v>221</v>
      </c>
    </row>
    <row r="234" spans="2:59" x14ac:dyDescent="0.25">
      <c r="B234" s="296">
        <f t="shared" si="31"/>
        <v>43405</v>
      </c>
      <c r="C234" s="294">
        <v>3.7105000000000001</v>
      </c>
      <c r="D234" s="294">
        <v>0.15</v>
      </c>
      <c r="E234" s="294">
        <v>7.0674224365665006E-2</v>
      </c>
      <c r="G234" s="294">
        <v>-2.99887E-2</v>
      </c>
      <c r="J234" s="294">
        <v>0.27</v>
      </c>
      <c r="K234" s="294">
        <v>0.28749999999999998</v>
      </c>
      <c r="L234" s="294">
        <v>0</v>
      </c>
      <c r="M234" s="294">
        <v>0</v>
      </c>
      <c r="N234" s="294">
        <v>0</v>
      </c>
      <c r="P234" s="294">
        <v>0</v>
      </c>
      <c r="Q234" s="294">
        <v>0</v>
      </c>
      <c r="R234" s="291">
        <v>0</v>
      </c>
      <c r="U234" s="291">
        <v>-1.55E-2</v>
      </c>
      <c r="V234" s="291">
        <v>0</v>
      </c>
      <c r="W234" s="291">
        <v>0</v>
      </c>
      <c r="X234" s="291">
        <v>0.76749999999999996</v>
      </c>
      <c r="Y234" s="291">
        <v>0</v>
      </c>
      <c r="Z234" s="291">
        <v>-0.19</v>
      </c>
      <c r="AA234" s="291">
        <v>0</v>
      </c>
      <c r="AB234" s="306">
        <v>0.12</v>
      </c>
      <c r="AC234" s="306">
        <v>0.46500000000000002</v>
      </c>
      <c r="AD234" s="306"/>
      <c r="AE234" s="306"/>
      <c r="AH234" s="305"/>
      <c r="AI234" s="305"/>
      <c r="AJ234" s="305"/>
      <c r="AM234" s="305"/>
      <c r="AP234" s="306"/>
      <c r="AQ234" s="306"/>
      <c r="AR234" s="306"/>
      <c r="AS234" s="306"/>
      <c r="AW234" s="291">
        <v>7.0630621070715993E-2</v>
      </c>
      <c r="AY234" s="306">
        <f t="shared" si="32"/>
        <v>0</v>
      </c>
      <c r="AZ234" s="306">
        <f t="shared" si="33"/>
        <v>0</v>
      </c>
      <c r="BA234" s="309">
        <f t="shared" si="34"/>
        <v>0</v>
      </c>
      <c r="BB234" s="308">
        <f t="shared" si="35"/>
        <v>43405</v>
      </c>
      <c r="BC234" s="306">
        <f t="shared" si="29"/>
        <v>0.28317942119500061</v>
      </c>
      <c r="BD234" s="306">
        <f t="shared" si="30"/>
        <v>0.28323324168447711</v>
      </c>
      <c r="BF234" s="308">
        <f t="shared" si="36"/>
        <v>43405</v>
      </c>
      <c r="BG234" s="291">
        <v>222</v>
      </c>
    </row>
    <row r="235" spans="2:59" x14ac:dyDescent="0.25">
      <c r="B235" s="296">
        <f t="shared" si="31"/>
        <v>43435</v>
      </c>
      <c r="C235" s="294">
        <v>3.7515000000000001</v>
      </c>
      <c r="D235" s="294">
        <v>0.15</v>
      </c>
      <c r="E235" s="294">
        <v>7.0675352767925997E-2</v>
      </c>
      <c r="G235" s="294">
        <v>-4.4951900000000003E-2</v>
      </c>
      <c r="J235" s="294">
        <v>0.30499999999999999</v>
      </c>
      <c r="K235" s="294">
        <v>0.33750000000000002</v>
      </c>
      <c r="L235" s="294">
        <v>0</v>
      </c>
      <c r="M235" s="294">
        <v>0</v>
      </c>
      <c r="N235" s="294">
        <v>0</v>
      </c>
      <c r="P235" s="294">
        <v>0</v>
      </c>
      <c r="Q235" s="294">
        <v>0</v>
      </c>
      <c r="R235" s="291">
        <v>0</v>
      </c>
      <c r="U235" s="291">
        <v>-1.55E-2</v>
      </c>
      <c r="V235" s="291">
        <v>0</v>
      </c>
      <c r="W235" s="291">
        <v>0</v>
      </c>
      <c r="X235" s="291">
        <v>1.19</v>
      </c>
      <c r="Y235" s="291">
        <v>0</v>
      </c>
      <c r="Z235" s="291">
        <v>-0.19</v>
      </c>
      <c r="AA235" s="291">
        <v>0</v>
      </c>
      <c r="AB235" s="306">
        <v>0.12</v>
      </c>
      <c r="AC235" s="306">
        <v>0.8</v>
      </c>
      <c r="AD235" s="306"/>
      <c r="AE235" s="306"/>
      <c r="AH235" s="305"/>
      <c r="AI235" s="305"/>
      <c r="AJ235" s="305"/>
      <c r="AM235" s="305"/>
      <c r="AP235" s="306"/>
      <c r="AQ235" s="306"/>
      <c r="AR235" s="306"/>
      <c r="AS235" s="306"/>
      <c r="AW235" s="291">
        <v>7.0637350281611E-2</v>
      </c>
      <c r="AY235" s="306">
        <f t="shared" si="32"/>
        <v>0</v>
      </c>
      <c r="AZ235" s="306">
        <f t="shared" si="33"/>
        <v>0</v>
      </c>
      <c r="BA235" s="309">
        <f t="shared" si="34"/>
        <v>0</v>
      </c>
      <c r="BB235" s="308">
        <f t="shared" si="35"/>
        <v>43435</v>
      </c>
      <c r="BF235" s="308">
        <f t="shared" si="36"/>
        <v>43435</v>
      </c>
      <c r="BG235" s="291">
        <v>223</v>
      </c>
    </row>
    <row r="236" spans="2:59" x14ac:dyDescent="0.25">
      <c r="B236" s="296">
        <f t="shared" si="31"/>
        <v>43466</v>
      </c>
      <c r="C236" s="294">
        <v>4.0739999999999998</v>
      </c>
      <c r="D236" s="294">
        <v>0.15</v>
      </c>
      <c r="E236" s="294">
        <v>7.0676518783597E-2</v>
      </c>
      <c r="G236" s="294">
        <v>-3.99551E-2</v>
      </c>
      <c r="J236" s="294">
        <v>0.30499999999999999</v>
      </c>
      <c r="K236" s="294">
        <v>0.4375</v>
      </c>
      <c r="L236" s="294">
        <v>0</v>
      </c>
      <c r="M236" s="294">
        <v>0</v>
      </c>
      <c r="N236" s="294">
        <v>0</v>
      </c>
      <c r="P236" s="294">
        <v>0</v>
      </c>
      <c r="Q236" s="294">
        <v>0</v>
      </c>
      <c r="R236" s="291">
        <v>0</v>
      </c>
      <c r="U236" s="291">
        <v>-1.55E-2</v>
      </c>
      <c r="V236" s="291">
        <v>0</v>
      </c>
      <c r="W236" s="291">
        <v>0</v>
      </c>
      <c r="X236" s="291">
        <v>1.5249999999999999</v>
      </c>
      <c r="Y236" s="291">
        <v>0</v>
      </c>
      <c r="Z236" s="291">
        <v>-0.19</v>
      </c>
      <c r="AA236" s="291">
        <v>0</v>
      </c>
      <c r="AB236" s="306">
        <v>0.12</v>
      </c>
      <c r="AC236" s="306">
        <v>0.97499999999999998</v>
      </c>
      <c r="AD236" s="306"/>
      <c r="AE236" s="306"/>
      <c r="AP236" s="306"/>
      <c r="AQ236" s="306"/>
      <c r="AR236" s="306"/>
      <c r="AS236" s="306"/>
      <c r="AW236" s="291">
        <v>7.0644303799552E-2</v>
      </c>
      <c r="BA236" s="307"/>
      <c r="BB236" s="308">
        <f t="shared" si="35"/>
        <v>43466</v>
      </c>
      <c r="BF236" s="308">
        <f t="shared" ref="BF236:BF272" si="37">B236</f>
        <v>43466</v>
      </c>
      <c r="BG236" s="291">
        <v>223</v>
      </c>
    </row>
    <row r="237" spans="2:59" x14ac:dyDescent="0.25">
      <c r="B237" s="296">
        <f t="shared" si="31"/>
        <v>43497</v>
      </c>
      <c r="C237" s="294">
        <v>3.996</v>
      </c>
      <c r="D237" s="294">
        <v>0.15</v>
      </c>
      <c r="E237" s="294">
        <v>7.0677684799269003E-2</v>
      </c>
      <c r="G237" s="294">
        <v>-1.4957399999999999E-2</v>
      </c>
      <c r="J237" s="294">
        <v>0.30499999999999999</v>
      </c>
      <c r="K237" s="294">
        <v>0.435</v>
      </c>
      <c r="L237" s="294">
        <v>0</v>
      </c>
      <c r="M237" s="294">
        <v>0</v>
      </c>
      <c r="N237" s="294">
        <v>0</v>
      </c>
      <c r="P237" s="294">
        <v>0</v>
      </c>
      <c r="Q237" s="294">
        <v>0</v>
      </c>
      <c r="R237" s="291">
        <v>0</v>
      </c>
      <c r="U237" s="291">
        <v>-1.55E-2</v>
      </c>
      <c r="V237" s="291">
        <v>0</v>
      </c>
      <c r="W237" s="291">
        <v>0</v>
      </c>
      <c r="X237" s="291">
        <v>1.4550000000000001</v>
      </c>
      <c r="Y237" s="291">
        <v>0</v>
      </c>
      <c r="Z237" s="291">
        <v>0</v>
      </c>
      <c r="AA237" s="291">
        <v>0</v>
      </c>
      <c r="AB237" s="291">
        <v>0.31</v>
      </c>
      <c r="AC237" s="291">
        <v>0.97499999999999998</v>
      </c>
      <c r="AP237" s="306"/>
      <c r="AQ237" s="306"/>
      <c r="AR237" s="306"/>
      <c r="AS237" s="306"/>
      <c r="AW237" s="291">
        <v>7.0651257317509999E-2</v>
      </c>
      <c r="BA237" s="307"/>
      <c r="BB237" s="308">
        <f t="shared" si="35"/>
        <v>43497</v>
      </c>
      <c r="BF237" s="308">
        <f t="shared" si="37"/>
        <v>43497</v>
      </c>
      <c r="BG237" s="291">
        <v>223</v>
      </c>
    </row>
    <row r="238" spans="2:59" x14ac:dyDescent="0.25">
      <c r="B238" s="296">
        <f t="shared" si="31"/>
        <v>43525</v>
      </c>
      <c r="C238" s="294">
        <v>3.8740000000000001</v>
      </c>
      <c r="D238" s="294">
        <v>0.15</v>
      </c>
      <c r="E238" s="294">
        <v>7.0678737974713995E-2</v>
      </c>
      <c r="G238" s="294">
        <v>-4.9573999999999998E-3</v>
      </c>
      <c r="J238" s="294">
        <v>0.26500000000000001</v>
      </c>
      <c r="K238" s="294">
        <v>0.30249999999999999</v>
      </c>
      <c r="L238" s="294">
        <v>0</v>
      </c>
      <c r="M238" s="294">
        <v>0</v>
      </c>
      <c r="N238" s="294">
        <v>0</v>
      </c>
      <c r="P238" s="294">
        <v>0</v>
      </c>
      <c r="Q238" s="294">
        <v>0</v>
      </c>
      <c r="R238" s="291">
        <v>0</v>
      </c>
      <c r="U238" s="291">
        <v>3.0000000000000001E-3</v>
      </c>
      <c r="V238" s="291">
        <v>0</v>
      </c>
      <c r="W238" s="291">
        <v>0</v>
      </c>
      <c r="X238" s="291">
        <v>0.83499999999999996</v>
      </c>
      <c r="Y238" s="291">
        <v>0</v>
      </c>
      <c r="Z238" s="291">
        <v>0</v>
      </c>
      <c r="AA238" s="291">
        <v>0</v>
      </c>
      <c r="AB238" s="291">
        <v>0.31</v>
      </c>
      <c r="AC238" s="291">
        <v>0.60750000000000004</v>
      </c>
      <c r="AP238" s="306"/>
      <c r="AQ238" s="306"/>
      <c r="AR238" s="306"/>
      <c r="AS238" s="306"/>
      <c r="AW238" s="291">
        <v>7.0657537914387003E-2</v>
      </c>
      <c r="BB238" s="308">
        <f t="shared" si="35"/>
        <v>43525</v>
      </c>
      <c r="BF238" s="308">
        <f t="shared" si="37"/>
        <v>43525</v>
      </c>
      <c r="BG238" s="291">
        <v>223</v>
      </c>
    </row>
    <row r="239" spans="2:59" x14ac:dyDescent="0.25">
      <c r="B239" s="296">
        <f t="shared" si="31"/>
        <v>43556</v>
      </c>
      <c r="C239" s="294">
        <v>3.7440000000000002</v>
      </c>
      <c r="D239" s="294">
        <v>0.15</v>
      </c>
      <c r="E239" s="294">
        <v>7.0679903990385998E-2</v>
      </c>
      <c r="G239" s="294">
        <v>5.49766E-2</v>
      </c>
      <c r="J239" s="294">
        <v>0.19500000000000001</v>
      </c>
      <c r="K239" s="294">
        <v>0.25</v>
      </c>
      <c r="L239" s="294">
        <v>0</v>
      </c>
      <c r="M239" s="294">
        <v>0</v>
      </c>
      <c r="N239" s="294">
        <v>0</v>
      </c>
      <c r="P239" s="294">
        <v>0</v>
      </c>
      <c r="Q239" s="294">
        <v>0</v>
      </c>
      <c r="R239" s="291">
        <v>0</v>
      </c>
      <c r="U239" s="389">
        <v>3.0000000000000001E-3</v>
      </c>
      <c r="V239" s="291">
        <v>0</v>
      </c>
      <c r="W239" s="291">
        <v>0</v>
      </c>
      <c r="X239" s="291">
        <v>0.45</v>
      </c>
      <c r="Y239" s="291">
        <v>0</v>
      </c>
      <c r="Z239" s="291">
        <v>0</v>
      </c>
      <c r="AA239" s="291">
        <v>0</v>
      </c>
      <c r="AB239" s="291">
        <v>0.3775</v>
      </c>
      <c r="AC239" s="291">
        <v>0.35499999999999998</v>
      </c>
      <c r="AP239" s="306"/>
      <c r="AQ239" s="306"/>
      <c r="AR239" s="306"/>
      <c r="AS239" s="306"/>
      <c r="AW239" s="291">
        <v>7.0664491432376006E-2</v>
      </c>
      <c r="BB239" s="308">
        <f t="shared" si="35"/>
        <v>43556</v>
      </c>
      <c r="BF239" s="308">
        <f t="shared" si="37"/>
        <v>43556</v>
      </c>
      <c r="BG239" s="291">
        <v>223</v>
      </c>
    </row>
    <row r="240" spans="2:59" x14ac:dyDescent="0.25">
      <c r="B240" s="296">
        <f t="shared" si="31"/>
        <v>43586</v>
      </c>
      <c r="C240" s="294">
        <v>3.7480000000000002</v>
      </c>
      <c r="D240" s="294">
        <v>0.15</v>
      </c>
      <c r="E240" s="294">
        <v>7.0681032392650001E-2</v>
      </c>
      <c r="G240" s="294">
        <v>5.4968099999999999E-2</v>
      </c>
      <c r="J240" s="294">
        <v>0.1825</v>
      </c>
      <c r="K240" s="294">
        <v>0.20250000000000001</v>
      </c>
      <c r="L240" s="294">
        <v>0</v>
      </c>
      <c r="M240" s="294">
        <v>0</v>
      </c>
      <c r="N240" s="294">
        <v>0</v>
      </c>
      <c r="P240" s="294">
        <v>0</v>
      </c>
      <c r="Q240" s="294">
        <v>0</v>
      </c>
      <c r="R240" s="291">
        <v>0</v>
      </c>
      <c r="U240" s="389">
        <v>2.7499999999999998E-3</v>
      </c>
      <c r="V240" s="291">
        <v>0</v>
      </c>
      <c r="W240" s="291">
        <v>0</v>
      </c>
      <c r="X240" s="291">
        <v>0.40500000000000003</v>
      </c>
      <c r="Y240" s="291">
        <v>0</v>
      </c>
      <c r="Z240" s="291">
        <v>0</v>
      </c>
      <c r="AA240" s="291">
        <v>0</v>
      </c>
      <c r="AB240" s="291">
        <v>0.3775</v>
      </c>
      <c r="AC240" s="291">
        <v>0.28749999999999998</v>
      </c>
      <c r="AP240" s="306"/>
      <c r="AQ240" s="306"/>
      <c r="AR240" s="306"/>
      <c r="AS240" s="306"/>
      <c r="AW240" s="291">
        <v>7.0671220643345994E-2</v>
      </c>
      <c r="BB240" s="308">
        <f t="shared" si="35"/>
        <v>43586</v>
      </c>
      <c r="BF240" s="308">
        <f t="shared" si="37"/>
        <v>43586</v>
      </c>
      <c r="BG240" s="291">
        <v>223</v>
      </c>
    </row>
    <row r="241" spans="2:59" x14ac:dyDescent="0.25">
      <c r="B241" s="296">
        <f t="shared" si="31"/>
        <v>43617</v>
      </c>
      <c r="C241" s="294">
        <v>3.7839999999999998</v>
      </c>
      <c r="D241" s="294">
        <v>0.15</v>
      </c>
      <c r="E241" s="294">
        <v>7.0682198408323002E-2</v>
      </c>
      <c r="G241" s="294">
        <v>5.4968099999999999E-2</v>
      </c>
      <c r="J241" s="294">
        <v>0.1825</v>
      </c>
      <c r="K241" s="294">
        <v>0.20250000000000001</v>
      </c>
      <c r="L241" s="294">
        <v>0</v>
      </c>
      <c r="M241" s="294">
        <v>0</v>
      </c>
      <c r="N241" s="294">
        <v>0</v>
      </c>
      <c r="P241" s="294">
        <v>0</v>
      </c>
      <c r="Q241" s="294">
        <v>0</v>
      </c>
      <c r="R241" s="291">
        <v>0</v>
      </c>
      <c r="U241" s="389">
        <v>2.7499999999999998E-3</v>
      </c>
      <c r="V241" s="291">
        <v>0</v>
      </c>
      <c r="W241" s="291">
        <v>0</v>
      </c>
      <c r="X241" s="291">
        <v>0.39500000000000002</v>
      </c>
      <c r="Y241" s="291">
        <v>0</v>
      </c>
      <c r="Z241" s="291">
        <v>0</v>
      </c>
      <c r="AA241" s="291">
        <v>0</v>
      </c>
      <c r="AB241" s="291">
        <v>0.3775</v>
      </c>
      <c r="AC241" s="291">
        <v>0.28749999999999998</v>
      </c>
      <c r="AP241" s="306"/>
      <c r="AQ241" s="306"/>
      <c r="AR241" s="306"/>
      <c r="AS241" s="306"/>
      <c r="AW241" s="291">
        <v>7.0678174161365001E-2</v>
      </c>
      <c r="BB241" s="308">
        <f t="shared" si="35"/>
        <v>43617</v>
      </c>
      <c r="BF241" s="308">
        <f t="shared" si="37"/>
        <v>43617</v>
      </c>
      <c r="BG241" s="291">
        <v>223</v>
      </c>
    </row>
    <row r="242" spans="2:59" x14ac:dyDescent="0.25">
      <c r="B242" s="296">
        <f t="shared" si="31"/>
        <v>43647</v>
      </c>
      <c r="C242" s="294">
        <v>3.806</v>
      </c>
      <c r="D242" s="294">
        <v>0.15</v>
      </c>
      <c r="E242" s="294">
        <v>7.0683326810588004E-2</v>
      </c>
      <c r="G242" s="294">
        <v>5.4968099999999999E-2</v>
      </c>
      <c r="J242" s="294">
        <v>0.1825</v>
      </c>
      <c r="K242" s="294">
        <v>0.215</v>
      </c>
      <c r="L242" s="294">
        <v>0</v>
      </c>
      <c r="M242" s="294">
        <v>0</v>
      </c>
      <c r="N242" s="294">
        <v>0</v>
      </c>
      <c r="P242" s="294">
        <v>0</v>
      </c>
      <c r="Q242" s="294">
        <v>0</v>
      </c>
      <c r="R242" s="291">
        <v>0</v>
      </c>
      <c r="U242" s="389">
        <v>2.7499999999999998E-3</v>
      </c>
      <c r="V242" s="291">
        <v>0</v>
      </c>
      <c r="W242" s="291">
        <v>0</v>
      </c>
      <c r="X242" s="291">
        <v>0.43</v>
      </c>
      <c r="Y242" s="291">
        <v>0</v>
      </c>
      <c r="Z242" s="291">
        <v>0</v>
      </c>
      <c r="AA242" s="291">
        <v>0</v>
      </c>
      <c r="AB242" s="291">
        <v>0.3775</v>
      </c>
      <c r="AC242" s="291">
        <v>0.3</v>
      </c>
      <c r="AP242" s="306"/>
      <c r="AQ242" s="306"/>
      <c r="AR242" s="306"/>
      <c r="AS242" s="306"/>
      <c r="AW242" s="291">
        <v>7.0684903372367006E-2</v>
      </c>
      <c r="BB242" s="308">
        <f t="shared" si="35"/>
        <v>43647</v>
      </c>
      <c r="BF242" s="308">
        <f t="shared" si="37"/>
        <v>43647</v>
      </c>
      <c r="BG242" s="291">
        <v>223</v>
      </c>
    </row>
    <row r="243" spans="2:59" x14ac:dyDescent="0.25">
      <c r="B243" s="296">
        <f t="shared" si="31"/>
        <v>43678</v>
      </c>
      <c r="C243" s="294">
        <v>3.827</v>
      </c>
      <c r="D243" s="294">
        <v>0.15</v>
      </c>
      <c r="E243" s="294">
        <v>7.0684492826262005E-2</v>
      </c>
      <c r="G243" s="294">
        <v>5.4968099999999999E-2</v>
      </c>
      <c r="J243" s="294">
        <v>0.1825</v>
      </c>
      <c r="K243" s="294">
        <v>0.215</v>
      </c>
      <c r="L243" s="294">
        <v>0</v>
      </c>
      <c r="M243" s="294">
        <v>0</v>
      </c>
      <c r="N243" s="294">
        <v>0</v>
      </c>
      <c r="P243" s="294">
        <v>0</v>
      </c>
      <c r="Q243" s="294">
        <v>0</v>
      </c>
      <c r="R243" s="291">
        <v>0</v>
      </c>
      <c r="U243" s="389">
        <v>2.7499999999999998E-3</v>
      </c>
      <c r="V243" s="291">
        <v>0</v>
      </c>
      <c r="W243" s="291">
        <v>0</v>
      </c>
      <c r="X243" s="291">
        <v>0.495</v>
      </c>
      <c r="Y243" s="291">
        <v>0</v>
      </c>
      <c r="Z243" s="291">
        <v>0</v>
      </c>
      <c r="AA243" s="291">
        <v>0</v>
      </c>
      <c r="AB243" s="291">
        <v>0.3775</v>
      </c>
      <c r="AC243" s="291">
        <v>0.3</v>
      </c>
      <c r="AP243" s="306"/>
      <c r="AQ243" s="306"/>
      <c r="AR243" s="306"/>
      <c r="AS243" s="306"/>
      <c r="AW243" s="291">
        <v>7.0691856890417001E-2</v>
      </c>
      <c r="BB243" s="308">
        <f t="shared" si="35"/>
        <v>43678</v>
      </c>
      <c r="BF243" s="308">
        <f t="shared" si="37"/>
        <v>43678</v>
      </c>
      <c r="BG243" s="291">
        <v>223</v>
      </c>
    </row>
    <row r="244" spans="2:59" x14ac:dyDescent="0.25">
      <c r="B244" s="296">
        <f t="shared" si="31"/>
        <v>43709</v>
      </c>
      <c r="C244" s="294">
        <v>3.794</v>
      </c>
      <c r="D244" s="294">
        <v>0.15</v>
      </c>
      <c r="E244" s="294">
        <v>7.0685658841936005E-2</v>
      </c>
      <c r="G244" s="294">
        <v>5.4968099999999999E-2</v>
      </c>
      <c r="J244" s="294">
        <v>0.1825</v>
      </c>
      <c r="K244" s="294">
        <v>0.19500000000000001</v>
      </c>
      <c r="L244" s="294">
        <v>0</v>
      </c>
      <c r="M244" s="294">
        <v>0</v>
      </c>
      <c r="N244" s="294">
        <v>0</v>
      </c>
      <c r="P244" s="294">
        <v>0</v>
      </c>
      <c r="Q244" s="294">
        <v>0</v>
      </c>
      <c r="R244" s="291">
        <v>0</v>
      </c>
      <c r="U244" s="389">
        <v>2.7499999999999998E-3</v>
      </c>
      <c r="V244" s="291">
        <v>0</v>
      </c>
      <c r="W244" s="291">
        <v>0</v>
      </c>
      <c r="X244" s="291">
        <v>0.39500000000000002</v>
      </c>
      <c r="Y244" s="291">
        <v>0</v>
      </c>
      <c r="Z244" s="291">
        <v>0</v>
      </c>
      <c r="AA244" s="291">
        <v>0</v>
      </c>
      <c r="AB244" s="291">
        <v>0.3775</v>
      </c>
      <c r="AC244" s="291">
        <v>0.28999999999999998</v>
      </c>
      <c r="AP244" s="306"/>
      <c r="AQ244" s="306"/>
      <c r="AR244" s="306"/>
      <c r="AS244" s="306"/>
      <c r="AW244" s="291">
        <v>7.0698810408482998E-2</v>
      </c>
      <c r="BB244" s="308">
        <f t="shared" si="35"/>
        <v>43709</v>
      </c>
      <c r="BF244" s="308">
        <f t="shared" si="37"/>
        <v>43709</v>
      </c>
      <c r="BG244" s="291">
        <v>223</v>
      </c>
    </row>
    <row r="245" spans="2:59" x14ac:dyDescent="0.25">
      <c r="B245" s="296">
        <f t="shared" si="31"/>
        <v>43739</v>
      </c>
      <c r="C245" s="294">
        <v>3.7930000000000001</v>
      </c>
      <c r="D245" s="294">
        <v>0.15</v>
      </c>
      <c r="E245" s="294">
        <v>7.0686787244203006E-2</v>
      </c>
      <c r="G245" s="294">
        <v>5.4968099999999999E-2</v>
      </c>
      <c r="J245" s="294">
        <v>0.1875</v>
      </c>
      <c r="K245" s="294">
        <v>0.215</v>
      </c>
      <c r="L245" s="294">
        <v>0</v>
      </c>
      <c r="M245" s="294">
        <v>0</v>
      </c>
      <c r="N245" s="294">
        <v>0</v>
      </c>
      <c r="P245" s="294">
        <v>0</v>
      </c>
      <c r="Q245" s="294">
        <v>0</v>
      </c>
      <c r="R245" s="291">
        <v>0</v>
      </c>
      <c r="U245" s="389">
        <v>-1.55E-2</v>
      </c>
      <c r="V245" s="291">
        <v>0</v>
      </c>
      <c r="W245" s="291">
        <v>0</v>
      </c>
      <c r="X245" s="291">
        <v>0.46100000000000002</v>
      </c>
      <c r="Y245" s="291">
        <v>0</v>
      </c>
      <c r="Z245" s="291">
        <v>0</v>
      </c>
      <c r="AA245" s="291">
        <v>0</v>
      </c>
      <c r="AB245" s="291">
        <v>0.3775</v>
      </c>
      <c r="AC245" s="291">
        <v>0.36249999999999999</v>
      </c>
      <c r="AP245" s="306"/>
      <c r="AQ245" s="306"/>
      <c r="AR245" s="306"/>
      <c r="AS245" s="306"/>
      <c r="AW245" s="291">
        <v>7.0705539619530994E-2</v>
      </c>
      <c r="BB245" s="308">
        <f t="shared" si="35"/>
        <v>43739</v>
      </c>
      <c r="BF245" s="308">
        <f t="shared" si="37"/>
        <v>43739</v>
      </c>
      <c r="BG245" s="291">
        <v>223</v>
      </c>
    </row>
    <row r="246" spans="2:59" x14ac:dyDescent="0.25">
      <c r="B246" s="296">
        <f t="shared" si="31"/>
        <v>43770</v>
      </c>
      <c r="C246" s="294">
        <v>3.8050000000000002</v>
      </c>
      <c r="D246" s="294">
        <v>0.15</v>
      </c>
      <c r="E246" s="294">
        <v>7.0687953259878006E-2</v>
      </c>
      <c r="G246" s="294">
        <v>-2.4988699999999999E-2</v>
      </c>
      <c r="J246" s="294">
        <v>0.27</v>
      </c>
      <c r="K246" s="294">
        <v>0.28749999999999998</v>
      </c>
      <c r="L246" s="294">
        <v>0</v>
      </c>
      <c r="M246" s="294">
        <v>0</v>
      </c>
      <c r="N246" s="294">
        <v>0</v>
      </c>
      <c r="P246" s="294">
        <v>0</v>
      </c>
      <c r="Q246" s="294">
        <v>0</v>
      </c>
      <c r="R246" s="291">
        <v>0</v>
      </c>
      <c r="U246" s="291">
        <v>-1.4500000000000001E-2</v>
      </c>
      <c r="V246" s="291">
        <v>0</v>
      </c>
      <c r="W246" s="291">
        <v>0</v>
      </c>
      <c r="X246" s="291">
        <v>0.76749999999999996</v>
      </c>
      <c r="Y246" s="291">
        <v>0</v>
      </c>
      <c r="Z246" s="291">
        <v>0</v>
      </c>
      <c r="AA246" s="291">
        <v>0</v>
      </c>
      <c r="AB246" s="291">
        <v>0.31</v>
      </c>
      <c r="AC246" s="291">
        <v>0.46500000000000002</v>
      </c>
      <c r="AP246" s="306"/>
      <c r="AQ246" s="306"/>
      <c r="AR246" s="306"/>
      <c r="AS246" s="306"/>
      <c r="AW246" s="291">
        <v>7.0712493137629007E-2</v>
      </c>
      <c r="BB246" s="308">
        <f t="shared" si="35"/>
        <v>43770</v>
      </c>
      <c r="BF246" s="308">
        <f t="shared" si="37"/>
        <v>43770</v>
      </c>
      <c r="BG246" s="291">
        <v>223</v>
      </c>
    </row>
    <row r="247" spans="2:59" x14ac:dyDescent="0.25">
      <c r="B247" s="296">
        <f t="shared" si="31"/>
        <v>43800</v>
      </c>
      <c r="C247" s="294">
        <v>3.843</v>
      </c>
      <c r="D247" s="294">
        <v>0.15</v>
      </c>
      <c r="E247" s="294">
        <v>7.0689081662143993E-2</v>
      </c>
      <c r="G247" s="294">
        <v>-3.9951899999999999E-2</v>
      </c>
      <c r="J247" s="294">
        <v>0.30499999999999999</v>
      </c>
      <c r="K247" s="294">
        <v>0.33750000000000002</v>
      </c>
      <c r="L247" s="294">
        <v>0</v>
      </c>
      <c r="M247" s="294">
        <v>0</v>
      </c>
      <c r="N247" s="294">
        <v>0</v>
      </c>
      <c r="P247" s="294">
        <v>0</v>
      </c>
      <c r="Q247" s="294">
        <v>0</v>
      </c>
      <c r="R247" s="291">
        <v>0</v>
      </c>
      <c r="U247" s="291">
        <v>-1.4500000000000001E-2</v>
      </c>
      <c r="V247" s="291">
        <v>0</v>
      </c>
      <c r="W247" s="291">
        <v>0</v>
      </c>
      <c r="X247" s="291">
        <v>1.19</v>
      </c>
      <c r="Y247" s="291">
        <v>0</v>
      </c>
      <c r="Z247" s="291">
        <v>0</v>
      </c>
      <c r="AA247" s="291">
        <v>0</v>
      </c>
      <c r="AB247" s="291">
        <v>0.31</v>
      </c>
      <c r="AC247" s="291">
        <v>0.8</v>
      </c>
      <c r="AP247" s="306"/>
      <c r="AQ247" s="306"/>
      <c r="AR247" s="306"/>
      <c r="AS247" s="306"/>
      <c r="AW247" s="291">
        <v>7.0719222348706007E-2</v>
      </c>
      <c r="BB247" s="308">
        <f t="shared" si="35"/>
        <v>43800</v>
      </c>
      <c r="BF247" s="308">
        <f t="shared" si="37"/>
        <v>43800</v>
      </c>
      <c r="BG247" s="291">
        <v>223</v>
      </c>
    </row>
    <row r="248" spans="2:59" x14ac:dyDescent="0.25">
      <c r="B248" s="296">
        <f t="shared" si="31"/>
        <v>43831</v>
      </c>
      <c r="C248" s="294">
        <v>4.1660000000000004</v>
      </c>
      <c r="D248" s="294">
        <v>0.15</v>
      </c>
      <c r="E248" s="294">
        <v>7.0690247677820006E-2</v>
      </c>
      <c r="G248" s="294">
        <v>-3.4955100000000003E-2</v>
      </c>
      <c r="J248" s="294">
        <v>0.30499999999999999</v>
      </c>
      <c r="K248" s="294">
        <v>0.4375</v>
      </c>
      <c r="L248" s="294">
        <v>0</v>
      </c>
      <c r="M248" s="294">
        <v>0</v>
      </c>
      <c r="N248" s="294">
        <v>0</v>
      </c>
      <c r="P248" s="294">
        <v>0</v>
      </c>
      <c r="Q248" s="294">
        <v>0</v>
      </c>
      <c r="R248" s="291">
        <v>0</v>
      </c>
      <c r="U248" s="291">
        <v>-1.4500000000000001E-2</v>
      </c>
      <c r="V248" s="291">
        <v>0</v>
      </c>
      <c r="W248" s="291">
        <v>0</v>
      </c>
      <c r="X248" s="291">
        <v>1.5249999999999999</v>
      </c>
      <c r="Y248" s="291">
        <v>0</v>
      </c>
      <c r="Z248" s="291">
        <v>0</v>
      </c>
      <c r="AA248" s="291">
        <v>0</v>
      </c>
      <c r="AB248" s="291">
        <v>0.31</v>
      </c>
      <c r="AC248" s="291">
        <v>0.97499999999999998</v>
      </c>
      <c r="AP248" s="306"/>
      <c r="AQ248" s="306"/>
      <c r="AR248" s="306"/>
      <c r="AS248" s="306"/>
      <c r="AW248" s="291">
        <v>7.0726175866834995E-2</v>
      </c>
      <c r="BB248" s="308">
        <f t="shared" si="35"/>
        <v>43831</v>
      </c>
      <c r="BF248" s="308">
        <f t="shared" si="37"/>
        <v>43831</v>
      </c>
      <c r="BG248" s="291">
        <v>223</v>
      </c>
    </row>
    <row r="249" spans="2:59" x14ac:dyDescent="0.25">
      <c r="B249" s="296">
        <f t="shared" si="31"/>
        <v>43862</v>
      </c>
      <c r="C249" s="294">
        <v>4.0919999999999996</v>
      </c>
      <c r="D249" s="294">
        <v>0.15</v>
      </c>
      <c r="E249" s="294">
        <v>7.0691413693497004E-2</v>
      </c>
      <c r="G249" s="294">
        <v>-9.9573999999999999E-3</v>
      </c>
      <c r="J249" s="294">
        <v>0.30499999999999999</v>
      </c>
      <c r="K249" s="294">
        <v>0.435</v>
      </c>
      <c r="L249" s="294">
        <v>0</v>
      </c>
      <c r="M249" s="294">
        <v>0</v>
      </c>
      <c r="N249" s="294">
        <v>0</v>
      </c>
      <c r="P249" s="294">
        <v>0</v>
      </c>
      <c r="Q249" s="294">
        <v>0</v>
      </c>
      <c r="R249" s="291">
        <v>0</v>
      </c>
      <c r="U249" s="291">
        <v>-1.4500000000000001E-2</v>
      </c>
      <c r="V249" s="291">
        <v>0</v>
      </c>
      <c r="W249" s="291">
        <v>0</v>
      </c>
      <c r="X249" s="291">
        <v>1.4550000000000001</v>
      </c>
      <c r="Y249" s="291">
        <v>0</v>
      </c>
      <c r="Z249" s="291">
        <v>0</v>
      </c>
      <c r="AA249" s="291">
        <v>0</v>
      </c>
      <c r="AB249" s="291">
        <v>0.31</v>
      </c>
      <c r="AC249" s="291">
        <v>0.97499999999999998</v>
      </c>
      <c r="AP249" s="306"/>
      <c r="AQ249" s="306"/>
      <c r="AR249" s="306"/>
      <c r="AS249" s="306"/>
      <c r="AW249" s="291">
        <v>7.0733129384980997E-2</v>
      </c>
      <c r="BB249" s="308">
        <f t="shared" si="35"/>
        <v>43862</v>
      </c>
      <c r="BF249" s="308">
        <f t="shared" si="37"/>
        <v>43862</v>
      </c>
      <c r="BG249" s="291">
        <v>223</v>
      </c>
    </row>
    <row r="250" spans="2:59" x14ac:dyDescent="0.25">
      <c r="B250" s="296">
        <f t="shared" si="31"/>
        <v>43891</v>
      </c>
      <c r="C250" s="294">
        <v>3.9729999999999999</v>
      </c>
      <c r="D250" s="294">
        <v>0.15</v>
      </c>
      <c r="E250" s="294">
        <v>7.0692504482357005E-2</v>
      </c>
      <c r="G250" s="294">
        <v>4.2500000000000003E-5</v>
      </c>
      <c r="J250" s="294">
        <v>0.26500000000000001</v>
      </c>
      <c r="K250" s="294">
        <v>0.30249999999999999</v>
      </c>
      <c r="L250" s="294">
        <v>0</v>
      </c>
      <c r="M250" s="294">
        <v>0</v>
      </c>
      <c r="N250" s="294">
        <v>0</v>
      </c>
      <c r="P250" s="294">
        <v>0</v>
      </c>
      <c r="Q250" s="294">
        <v>0</v>
      </c>
      <c r="R250" s="291">
        <v>0</v>
      </c>
      <c r="U250" s="291">
        <v>4.0000000000000001E-3</v>
      </c>
      <c r="V250" s="291">
        <v>0</v>
      </c>
      <c r="W250" s="291">
        <v>0</v>
      </c>
      <c r="X250" s="291">
        <v>0.83499999999999996</v>
      </c>
      <c r="Y250" s="291">
        <v>0</v>
      </c>
      <c r="Z250" s="291">
        <v>0</v>
      </c>
      <c r="AA250" s="291">
        <v>0</v>
      </c>
      <c r="AB250" s="291">
        <v>0.31</v>
      </c>
      <c r="AC250" s="291">
        <v>0.60750000000000004</v>
      </c>
      <c r="AP250" s="306"/>
      <c r="AQ250" s="306"/>
      <c r="AR250" s="306"/>
      <c r="AS250" s="306"/>
      <c r="AW250" s="291">
        <v>7.0739634289066003E-2</v>
      </c>
      <c r="BB250" s="308">
        <f t="shared" si="35"/>
        <v>43891</v>
      </c>
      <c r="BF250" s="308">
        <f t="shared" si="37"/>
        <v>43891</v>
      </c>
      <c r="BG250" s="291">
        <v>223</v>
      </c>
    </row>
    <row r="251" spans="2:59" x14ac:dyDescent="0.25">
      <c r="B251" s="296">
        <f t="shared" si="31"/>
        <v>43922</v>
      </c>
      <c r="C251" s="294">
        <v>3.8460000000000001</v>
      </c>
      <c r="D251" s="294">
        <v>0.15</v>
      </c>
      <c r="E251" s="294">
        <v>7.0693670498034003E-2</v>
      </c>
      <c r="G251" s="294">
        <v>5.9976599999999998E-2</v>
      </c>
      <c r="J251" s="294">
        <v>0.19500000000000001</v>
      </c>
      <c r="K251" s="294">
        <v>0.25</v>
      </c>
      <c r="L251" s="294">
        <v>0</v>
      </c>
      <c r="M251" s="294">
        <v>0</v>
      </c>
      <c r="N251" s="294">
        <v>0</v>
      </c>
      <c r="P251" s="294">
        <v>0</v>
      </c>
      <c r="Q251" s="294">
        <v>0</v>
      </c>
      <c r="R251" s="291">
        <v>0</v>
      </c>
      <c r="U251" s="389">
        <v>4.0000000000000001E-3</v>
      </c>
      <c r="V251" s="291">
        <v>0</v>
      </c>
      <c r="W251" s="291">
        <v>0</v>
      </c>
      <c r="X251" s="291">
        <v>0.45</v>
      </c>
      <c r="Y251" s="291">
        <v>0</v>
      </c>
      <c r="Z251" s="291">
        <v>0</v>
      </c>
      <c r="AA251" s="291">
        <v>0</v>
      </c>
      <c r="AB251" s="291">
        <v>0.3775</v>
      </c>
      <c r="AC251" s="291">
        <v>0.35499999999999998</v>
      </c>
      <c r="AP251" s="306"/>
      <c r="AQ251" s="306"/>
      <c r="AR251" s="306"/>
      <c r="AS251" s="306"/>
      <c r="AW251" s="291">
        <v>7.0746587807242994E-2</v>
      </c>
      <c r="BB251" s="308">
        <f t="shared" si="35"/>
        <v>43922</v>
      </c>
      <c r="BF251" s="308">
        <f t="shared" si="37"/>
        <v>43922</v>
      </c>
      <c r="BG251" s="291">
        <v>223</v>
      </c>
    </row>
    <row r="252" spans="2:59" x14ac:dyDescent="0.25">
      <c r="B252" s="296">
        <f t="shared" si="31"/>
        <v>43952</v>
      </c>
      <c r="C252" s="294">
        <v>3.851</v>
      </c>
      <c r="D252" s="294">
        <v>0.15</v>
      </c>
      <c r="E252" s="294">
        <v>7.0694798900303002E-2</v>
      </c>
      <c r="G252" s="294">
        <v>5.9968100000000003E-2</v>
      </c>
      <c r="J252" s="294">
        <v>0.1825</v>
      </c>
      <c r="K252" s="294">
        <v>0.20250000000000001</v>
      </c>
      <c r="L252" s="294">
        <v>0</v>
      </c>
      <c r="M252" s="294">
        <v>0</v>
      </c>
      <c r="N252" s="294">
        <v>0</v>
      </c>
      <c r="P252" s="294">
        <v>0</v>
      </c>
      <c r="Q252" s="294">
        <v>0</v>
      </c>
      <c r="R252" s="291">
        <v>0</v>
      </c>
      <c r="U252" s="389">
        <v>3.7499999999999999E-3</v>
      </c>
      <c r="V252" s="291">
        <v>0</v>
      </c>
      <c r="W252" s="291">
        <v>0</v>
      </c>
      <c r="X252" s="291">
        <v>0.40500000000000003</v>
      </c>
      <c r="Y252" s="291">
        <v>0</v>
      </c>
      <c r="Z252" s="291">
        <v>0</v>
      </c>
      <c r="AA252" s="291">
        <v>0</v>
      </c>
      <c r="AB252" s="291">
        <v>0.3775</v>
      </c>
      <c r="AC252" s="291">
        <v>0.28749999999999998</v>
      </c>
      <c r="AP252" s="306"/>
      <c r="AQ252" s="306"/>
      <c r="AR252" s="306"/>
      <c r="AS252" s="306"/>
      <c r="AW252" s="291">
        <v>7.0753317018396003E-2</v>
      </c>
      <c r="BB252" s="308">
        <f t="shared" si="35"/>
        <v>43952</v>
      </c>
      <c r="BF252" s="308">
        <f t="shared" si="37"/>
        <v>43952</v>
      </c>
      <c r="BG252" s="291">
        <v>223</v>
      </c>
    </row>
    <row r="253" spans="2:59" x14ac:dyDescent="0.25">
      <c r="B253" s="296">
        <f t="shared" si="31"/>
        <v>43983</v>
      </c>
      <c r="C253" s="294">
        <v>3.8879999999999999</v>
      </c>
      <c r="D253" s="294">
        <v>0.15</v>
      </c>
      <c r="E253" s="294">
        <v>7.0695964915980999E-2</v>
      </c>
      <c r="G253" s="294">
        <v>5.9968100000000003E-2</v>
      </c>
      <c r="J253" s="294">
        <v>0.1825</v>
      </c>
      <c r="K253" s="294">
        <v>0.20250000000000001</v>
      </c>
      <c r="L253" s="294">
        <v>0</v>
      </c>
      <c r="M253" s="294">
        <v>0</v>
      </c>
      <c r="N253" s="294">
        <v>0</v>
      </c>
      <c r="P253" s="294">
        <v>0</v>
      </c>
      <c r="Q253" s="294">
        <v>0</v>
      </c>
      <c r="R253" s="291">
        <v>0</v>
      </c>
      <c r="U253" s="389">
        <v>3.7499999999999999E-3</v>
      </c>
      <c r="V253" s="291">
        <v>0</v>
      </c>
      <c r="W253" s="291">
        <v>0</v>
      </c>
      <c r="X253" s="291">
        <v>0.39500000000000002</v>
      </c>
      <c r="Y253" s="291">
        <v>0</v>
      </c>
      <c r="Z253" s="291">
        <v>0</v>
      </c>
      <c r="AA253" s="291">
        <v>0</v>
      </c>
      <c r="AB253" s="291">
        <v>0.3775</v>
      </c>
      <c r="AC253" s="291">
        <v>0.28749999999999998</v>
      </c>
      <c r="AP253" s="306"/>
      <c r="AQ253" s="306"/>
      <c r="AR253" s="306"/>
      <c r="AS253" s="306"/>
      <c r="AW253" s="291">
        <v>7.0760270536603997E-2</v>
      </c>
      <c r="BB253" s="308">
        <f t="shared" si="35"/>
        <v>43983</v>
      </c>
      <c r="BF253" s="308">
        <f t="shared" si="37"/>
        <v>43983</v>
      </c>
      <c r="BG253" s="291">
        <v>223</v>
      </c>
    </row>
    <row r="254" spans="2:59" x14ac:dyDescent="0.25">
      <c r="B254" s="296">
        <f t="shared" si="31"/>
        <v>44013</v>
      </c>
      <c r="C254" s="294">
        <v>3.91</v>
      </c>
      <c r="D254" s="294">
        <v>0.15</v>
      </c>
      <c r="E254" s="294">
        <v>7.0697093318250998E-2</v>
      </c>
      <c r="G254" s="294">
        <v>5.9968100000000003E-2</v>
      </c>
      <c r="J254" s="294">
        <v>0.1825</v>
      </c>
      <c r="K254" s="294">
        <v>0.215</v>
      </c>
      <c r="L254" s="294">
        <v>0</v>
      </c>
      <c r="M254" s="294">
        <v>0</v>
      </c>
      <c r="N254" s="294">
        <v>0</v>
      </c>
      <c r="P254" s="294">
        <v>0</v>
      </c>
      <c r="Q254" s="294">
        <v>0</v>
      </c>
      <c r="R254" s="291">
        <v>0</v>
      </c>
      <c r="U254" s="389">
        <v>3.7499999999999999E-3</v>
      </c>
      <c r="V254" s="291">
        <v>0</v>
      </c>
      <c r="W254" s="291">
        <v>0</v>
      </c>
      <c r="X254" s="291">
        <v>0.43</v>
      </c>
      <c r="Y254" s="291">
        <v>0</v>
      </c>
      <c r="Z254" s="291">
        <v>0</v>
      </c>
      <c r="AA254" s="291">
        <v>0</v>
      </c>
      <c r="AB254" s="291">
        <v>0.3775</v>
      </c>
      <c r="AC254" s="291">
        <v>0.3</v>
      </c>
      <c r="AP254" s="306"/>
      <c r="AQ254" s="306"/>
      <c r="AR254" s="306"/>
      <c r="AS254" s="306"/>
      <c r="AW254" s="291">
        <v>7.0766999747787995E-2</v>
      </c>
      <c r="BB254" s="308">
        <f t="shared" si="35"/>
        <v>44013</v>
      </c>
      <c r="BF254" s="308">
        <f t="shared" si="37"/>
        <v>44013</v>
      </c>
      <c r="BG254" s="291">
        <v>223</v>
      </c>
    </row>
    <row r="255" spans="2:59" x14ac:dyDescent="0.25">
      <c r="B255" s="296">
        <f t="shared" si="31"/>
        <v>44044</v>
      </c>
      <c r="C255" s="294">
        <v>3.931</v>
      </c>
      <c r="D255" s="294">
        <v>0.15</v>
      </c>
      <c r="E255" s="294">
        <v>7.0698259333929994E-2</v>
      </c>
      <c r="G255" s="294">
        <v>5.9968100000000003E-2</v>
      </c>
      <c r="J255" s="294">
        <v>0.1825</v>
      </c>
      <c r="K255" s="294">
        <v>0.215</v>
      </c>
      <c r="L255" s="294">
        <v>0</v>
      </c>
      <c r="M255" s="294">
        <v>0</v>
      </c>
      <c r="N255" s="294">
        <v>0</v>
      </c>
      <c r="P255" s="294">
        <v>0</v>
      </c>
      <c r="Q255" s="294">
        <v>0</v>
      </c>
      <c r="R255" s="291">
        <v>0</v>
      </c>
      <c r="U255" s="389">
        <v>3.7499999999999999E-3</v>
      </c>
      <c r="V255" s="291">
        <v>0</v>
      </c>
      <c r="W255" s="291">
        <v>0</v>
      </c>
      <c r="X255" s="291">
        <v>0.495</v>
      </c>
      <c r="Y255" s="291">
        <v>0</v>
      </c>
      <c r="Z255" s="291">
        <v>0</v>
      </c>
      <c r="AA255" s="291">
        <v>0</v>
      </c>
      <c r="AB255" s="291">
        <v>0.3775</v>
      </c>
      <c r="AC255" s="291">
        <v>0.3</v>
      </c>
      <c r="AP255" s="306"/>
      <c r="AQ255" s="306"/>
      <c r="AR255" s="306"/>
      <c r="AS255" s="306"/>
      <c r="AW255" s="291">
        <v>7.0773953266027007E-2</v>
      </c>
      <c r="BB255" s="308">
        <f t="shared" si="35"/>
        <v>44044</v>
      </c>
      <c r="BF255" s="308">
        <f t="shared" si="37"/>
        <v>44044</v>
      </c>
      <c r="BG255" s="291">
        <v>223</v>
      </c>
    </row>
    <row r="256" spans="2:59" x14ac:dyDescent="0.25">
      <c r="B256" s="296">
        <f t="shared" si="31"/>
        <v>44075</v>
      </c>
      <c r="C256" s="294">
        <v>3.8969999999999998</v>
      </c>
      <c r="D256" s="294">
        <v>0.15</v>
      </c>
      <c r="E256" s="294">
        <v>7.0698493806919005E-2</v>
      </c>
      <c r="G256" s="294">
        <v>5.9968100000000003E-2</v>
      </c>
      <c r="J256" s="294">
        <v>0.1825</v>
      </c>
      <c r="K256" s="294">
        <v>0.19500000000000001</v>
      </c>
      <c r="L256" s="294">
        <v>0</v>
      </c>
      <c r="M256" s="294">
        <v>0</v>
      </c>
      <c r="N256" s="294">
        <v>0</v>
      </c>
      <c r="P256" s="294">
        <v>0</v>
      </c>
      <c r="Q256" s="294">
        <v>0</v>
      </c>
      <c r="R256" s="291">
        <v>0</v>
      </c>
      <c r="U256" s="389">
        <v>3.7499999999999999E-3</v>
      </c>
      <c r="V256" s="291">
        <v>0</v>
      </c>
      <c r="W256" s="291">
        <v>0</v>
      </c>
      <c r="X256" s="291">
        <v>0.39500000000000002</v>
      </c>
      <c r="Y256" s="291">
        <v>0</v>
      </c>
      <c r="Z256" s="291">
        <v>0</v>
      </c>
      <c r="AA256" s="291">
        <v>0</v>
      </c>
      <c r="AB256" s="291">
        <v>0.3775</v>
      </c>
      <c r="AC256" s="291">
        <v>0.28999999999999998</v>
      </c>
      <c r="AP256" s="306"/>
      <c r="AQ256" s="306"/>
      <c r="AR256" s="306"/>
      <c r="AS256" s="306"/>
      <c r="AW256" s="291">
        <v>7.0778030439623996E-2</v>
      </c>
      <c r="BB256" s="308">
        <f t="shared" si="35"/>
        <v>44075</v>
      </c>
      <c r="BF256" s="308">
        <f t="shared" si="37"/>
        <v>44075</v>
      </c>
      <c r="BG256" s="291">
        <v>223</v>
      </c>
    </row>
    <row r="257" spans="2:59" x14ac:dyDescent="0.25">
      <c r="B257" s="296">
        <f t="shared" si="31"/>
        <v>44105</v>
      </c>
      <c r="C257" s="294">
        <v>3.895</v>
      </c>
      <c r="D257" s="294">
        <v>0.15</v>
      </c>
      <c r="E257" s="294">
        <v>7.0692635639012E-2</v>
      </c>
      <c r="G257" s="294">
        <v>5.9968100000000003E-2</v>
      </c>
      <c r="J257" s="294">
        <v>0.1875</v>
      </c>
      <c r="K257" s="294">
        <v>0.215</v>
      </c>
      <c r="L257" s="294">
        <v>0</v>
      </c>
      <c r="M257" s="294">
        <v>0</v>
      </c>
      <c r="N257" s="294">
        <v>0</v>
      </c>
      <c r="P257" s="294">
        <v>0</v>
      </c>
      <c r="Q257" s="294">
        <v>0</v>
      </c>
      <c r="R257" s="291">
        <v>0</v>
      </c>
      <c r="U257" s="389">
        <v>-1.4500000000000001E-2</v>
      </c>
      <c r="V257" s="291">
        <v>0</v>
      </c>
      <c r="W257" s="291">
        <v>0</v>
      </c>
      <c r="X257" s="291">
        <v>0.46100000000000002</v>
      </c>
      <c r="Y257" s="291">
        <v>0</v>
      </c>
      <c r="Z257" s="291">
        <v>0</v>
      </c>
      <c r="AA257" s="291">
        <v>0</v>
      </c>
      <c r="AB257" s="291">
        <v>0.3775</v>
      </c>
      <c r="AC257" s="291">
        <v>0.36249999999999999</v>
      </c>
      <c r="AP257" s="306"/>
      <c r="AQ257" s="306"/>
      <c r="AR257" s="306"/>
      <c r="AS257" s="306"/>
      <c r="AW257" s="291">
        <v>7.0772432459459994E-2</v>
      </c>
      <c r="BB257" s="308">
        <f t="shared" si="35"/>
        <v>44105</v>
      </c>
      <c r="BF257" s="308">
        <f t="shared" si="37"/>
        <v>44105</v>
      </c>
      <c r="BG257" s="291">
        <v>223</v>
      </c>
    </row>
    <row r="258" spans="2:59" x14ac:dyDescent="0.25">
      <c r="B258" s="296">
        <f t="shared" si="31"/>
        <v>44136</v>
      </c>
      <c r="C258" s="294">
        <v>3.9020000000000001</v>
      </c>
      <c r="D258" s="294">
        <v>0.15</v>
      </c>
      <c r="E258" s="294">
        <v>7.0686582198855E-2</v>
      </c>
      <c r="G258" s="294">
        <v>-1.9988700000000002E-2</v>
      </c>
      <c r="J258" s="294">
        <v>0.27</v>
      </c>
      <c r="K258" s="294">
        <v>0.28749999999999998</v>
      </c>
      <c r="L258" s="294">
        <v>0</v>
      </c>
      <c r="M258" s="294">
        <v>0</v>
      </c>
      <c r="N258" s="294">
        <v>0</v>
      </c>
      <c r="P258" s="294">
        <v>0</v>
      </c>
      <c r="Q258" s="294">
        <v>0</v>
      </c>
      <c r="R258" s="291">
        <v>0</v>
      </c>
      <c r="U258" s="291">
        <v>-1.35E-2</v>
      </c>
      <c r="V258" s="291">
        <v>0</v>
      </c>
      <c r="W258" s="291">
        <v>0</v>
      </c>
      <c r="X258" s="291">
        <v>0.76749999999999996</v>
      </c>
      <c r="Y258" s="291">
        <v>0</v>
      </c>
      <c r="Z258" s="291">
        <v>0</v>
      </c>
      <c r="AA258" s="291">
        <v>0</v>
      </c>
      <c r="AB258" s="291">
        <v>0.33</v>
      </c>
      <c r="AC258" s="291">
        <v>0.46500000000000002</v>
      </c>
      <c r="AP258" s="306"/>
      <c r="AQ258" s="306"/>
      <c r="AR258" s="306"/>
      <c r="AS258" s="306"/>
      <c r="AW258" s="291">
        <v>7.0766647879968003E-2</v>
      </c>
      <c r="BB258" s="308">
        <f t="shared" si="35"/>
        <v>44136</v>
      </c>
      <c r="BF258" s="308">
        <f t="shared" si="37"/>
        <v>44136</v>
      </c>
      <c r="BG258" s="291">
        <v>223</v>
      </c>
    </row>
    <row r="259" spans="2:59" x14ac:dyDescent="0.25">
      <c r="B259" s="296">
        <f t="shared" si="31"/>
        <v>44166</v>
      </c>
      <c r="C259" s="294">
        <v>3.9369999999999998</v>
      </c>
      <c r="D259" s="294">
        <v>0.15</v>
      </c>
      <c r="E259" s="294">
        <v>7.0680724030971004E-2</v>
      </c>
      <c r="G259" s="294">
        <v>-3.4951900000000001E-2</v>
      </c>
      <c r="J259" s="294">
        <v>0.30499999999999999</v>
      </c>
      <c r="K259" s="294">
        <v>0.33750000000000002</v>
      </c>
      <c r="L259" s="294">
        <v>0</v>
      </c>
      <c r="M259" s="294">
        <v>0</v>
      </c>
      <c r="N259" s="294">
        <v>0</v>
      </c>
      <c r="P259" s="294">
        <v>0</v>
      </c>
      <c r="Q259" s="294">
        <v>0</v>
      </c>
      <c r="R259" s="291">
        <v>0</v>
      </c>
      <c r="U259" s="291">
        <v>-1.35E-2</v>
      </c>
      <c r="V259" s="291">
        <v>0</v>
      </c>
      <c r="W259" s="291">
        <v>0</v>
      </c>
      <c r="X259" s="291">
        <v>1.19</v>
      </c>
      <c r="Y259" s="291">
        <v>0</v>
      </c>
      <c r="Z259" s="291">
        <v>0</v>
      </c>
      <c r="AA259" s="291">
        <v>0</v>
      </c>
      <c r="AB259" s="291">
        <v>0.33</v>
      </c>
      <c r="AC259" s="291">
        <v>0.8</v>
      </c>
      <c r="AP259" s="306"/>
      <c r="AQ259" s="306"/>
      <c r="AR259" s="306"/>
      <c r="AS259" s="306"/>
      <c r="AW259" s="291">
        <v>7.0761049899824999E-2</v>
      </c>
      <c r="BB259" s="308">
        <f t="shared" si="35"/>
        <v>44166</v>
      </c>
      <c r="BF259" s="308">
        <f t="shared" si="37"/>
        <v>44166</v>
      </c>
      <c r="BG259" s="291">
        <v>223</v>
      </c>
    </row>
    <row r="260" spans="2:59" x14ac:dyDescent="0.25">
      <c r="B260" s="296">
        <f t="shared" si="31"/>
        <v>44197</v>
      </c>
      <c r="C260" s="294">
        <v>4.2605000000000004</v>
      </c>
      <c r="D260" s="294">
        <v>0.15</v>
      </c>
      <c r="E260" s="294">
        <v>7.0674670590836999E-2</v>
      </c>
      <c r="G260" s="294">
        <v>-2.9955099999999998E-2</v>
      </c>
      <c r="J260" s="294">
        <v>0.30499999999999999</v>
      </c>
      <c r="K260" s="294">
        <v>0.4375</v>
      </c>
      <c r="N260" s="294">
        <v>0</v>
      </c>
      <c r="W260" s="291">
        <v>0</v>
      </c>
      <c r="X260" s="291">
        <v>1.5249999999999999</v>
      </c>
      <c r="Z260" s="291">
        <v>0</v>
      </c>
      <c r="AB260" s="291">
        <v>0.33</v>
      </c>
      <c r="AC260" s="291">
        <v>0.97499999999999998</v>
      </c>
      <c r="AP260" s="306"/>
      <c r="AQ260" s="306"/>
      <c r="AR260" s="306"/>
      <c r="AS260" s="306"/>
      <c r="AW260" s="291">
        <v>7.0755265320354005E-2</v>
      </c>
      <c r="BB260" s="308">
        <f t="shared" si="35"/>
        <v>44197</v>
      </c>
      <c r="BF260" s="308">
        <f t="shared" si="37"/>
        <v>44197</v>
      </c>
      <c r="BG260" s="291">
        <v>223</v>
      </c>
    </row>
    <row r="261" spans="2:59" x14ac:dyDescent="0.25">
      <c r="B261" s="296">
        <f t="shared" si="31"/>
        <v>44228</v>
      </c>
      <c r="C261" s="294">
        <v>4.1905000000000001</v>
      </c>
      <c r="D261" s="294">
        <v>0.15</v>
      </c>
      <c r="E261" s="294">
        <v>7.0668617150714E-2</v>
      </c>
      <c r="G261" s="294">
        <v>-4.9573999999999998E-3</v>
      </c>
      <c r="J261" s="294">
        <v>0.30499999999999999</v>
      </c>
      <c r="K261" s="294">
        <v>0.435</v>
      </c>
      <c r="N261" s="294">
        <v>0</v>
      </c>
      <c r="W261" s="291">
        <v>0</v>
      </c>
      <c r="X261" s="291">
        <v>1.4550000000000001</v>
      </c>
      <c r="Z261" s="291">
        <v>0</v>
      </c>
      <c r="AB261" s="291">
        <v>0.33</v>
      </c>
      <c r="AC261" s="291">
        <v>0.97499999999999998</v>
      </c>
      <c r="AP261" s="306"/>
      <c r="AQ261" s="306"/>
      <c r="AR261" s="306"/>
      <c r="AS261" s="306"/>
      <c r="AW261" s="291">
        <v>7.0749480740895002E-2</v>
      </c>
      <c r="BB261" s="308">
        <f t="shared" si="35"/>
        <v>44228</v>
      </c>
      <c r="BF261" s="308">
        <f t="shared" si="37"/>
        <v>44228</v>
      </c>
      <c r="BG261" s="291">
        <v>223</v>
      </c>
    </row>
    <row r="262" spans="2:59" x14ac:dyDescent="0.25">
      <c r="B262" s="296">
        <f t="shared" si="31"/>
        <v>44256</v>
      </c>
      <c r="C262" s="294">
        <v>4.0744999999999996</v>
      </c>
      <c r="D262" s="294">
        <v>0.15</v>
      </c>
      <c r="E262" s="294">
        <v>7.0663149527389002E-2</v>
      </c>
      <c r="G262" s="294">
        <v>5.0425000000000001E-3</v>
      </c>
      <c r="J262" s="294">
        <v>0.26500000000000001</v>
      </c>
      <c r="K262" s="294">
        <v>0.30249999999999999</v>
      </c>
      <c r="N262" s="294">
        <v>0</v>
      </c>
      <c r="W262" s="291">
        <v>0</v>
      </c>
      <c r="X262" s="291">
        <v>0.83499999999999996</v>
      </c>
      <c r="Z262" s="291">
        <v>0</v>
      </c>
      <c r="AB262" s="291">
        <v>0.33</v>
      </c>
      <c r="AC262" s="291">
        <v>0.60750000000000004</v>
      </c>
      <c r="AP262" s="306"/>
      <c r="AQ262" s="306"/>
      <c r="AR262" s="306"/>
      <c r="AS262" s="306"/>
      <c r="AW262" s="291">
        <v>7.0744255959458005E-2</v>
      </c>
      <c r="BB262" s="308">
        <f t="shared" si="35"/>
        <v>44256</v>
      </c>
      <c r="BF262" s="308">
        <f t="shared" si="37"/>
        <v>44256</v>
      </c>
      <c r="BG262" s="291">
        <v>223</v>
      </c>
    </row>
    <row r="263" spans="2:59" x14ac:dyDescent="0.25">
      <c r="B263" s="296">
        <f t="shared" si="31"/>
        <v>44287</v>
      </c>
      <c r="C263" s="294">
        <v>3.9504999999999999</v>
      </c>
      <c r="D263" s="294">
        <v>0.15</v>
      </c>
      <c r="E263" s="294">
        <v>7.0657096087289997E-2</v>
      </c>
      <c r="G263" s="294">
        <v>6.4976599999999995E-2</v>
      </c>
      <c r="J263" s="294">
        <v>0.19500000000000001</v>
      </c>
      <c r="K263" s="294">
        <v>0.25</v>
      </c>
      <c r="N263" s="294">
        <v>0</v>
      </c>
      <c r="W263" s="291">
        <v>0</v>
      </c>
      <c r="X263" s="291">
        <v>0.45</v>
      </c>
      <c r="Z263" s="291">
        <v>0</v>
      </c>
      <c r="AB263" s="291">
        <v>0.33</v>
      </c>
      <c r="AC263" s="291">
        <v>0.35499999999999998</v>
      </c>
      <c r="AP263" s="306"/>
      <c r="AQ263" s="306"/>
      <c r="AR263" s="306"/>
      <c r="AS263" s="306"/>
      <c r="AW263" s="291">
        <v>7.0738471380019E-2</v>
      </c>
      <c r="BB263" s="308">
        <f t="shared" si="35"/>
        <v>44287</v>
      </c>
      <c r="BF263" s="308">
        <f t="shared" si="37"/>
        <v>44287</v>
      </c>
      <c r="BG263" s="291">
        <v>223</v>
      </c>
    </row>
    <row r="264" spans="2:59" x14ac:dyDescent="0.25">
      <c r="B264" s="296">
        <f t="shared" si="31"/>
        <v>44317</v>
      </c>
      <c r="C264" s="294">
        <v>3.9565000000000001</v>
      </c>
      <c r="D264" s="294">
        <v>0.15</v>
      </c>
      <c r="E264" s="294">
        <v>7.0651237919463997E-2</v>
      </c>
      <c r="G264" s="294">
        <v>6.4968100000000001E-2</v>
      </c>
      <c r="J264" s="294">
        <v>0.1825</v>
      </c>
      <c r="K264" s="294">
        <v>0.20250000000000001</v>
      </c>
      <c r="N264" s="294">
        <v>0</v>
      </c>
      <c r="W264" s="291">
        <v>0</v>
      </c>
      <c r="X264" s="291">
        <v>0.40500000000000003</v>
      </c>
      <c r="Z264" s="291">
        <v>0</v>
      </c>
      <c r="AB264" s="291">
        <v>0.33</v>
      </c>
      <c r="AC264" s="291">
        <v>0.28749999999999998</v>
      </c>
      <c r="AP264" s="306"/>
      <c r="AQ264" s="306"/>
      <c r="AR264" s="306"/>
      <c r="AS264" s="306"/>
      <c r="AW264" s="291">
        <v>7.0732873399927995E-2</v>
      </c>
      <c r="BB264" s="308">
        <f t="shared" si="35"/>
        <v>44317</v>
      </c>
      <c r="BF264" s="308">
        <f t="shared" si="37"/>
        <v>44317</v>
      </c>
      <c r="BG264" s="291">
        <v>223</v>
      </c>
    </row>
    <row r="265" spans="2:59" x14ac:dyDescent="0.25">
      <c r="B265" s="296">
        <f t="shared" si="31"/>
        <v>44348</v>
      </c>
      <c r="C265" s="294">
        <v>3.9944999999999999</v>
      </c>
      <c r="D265" s="294">
        <v>0.15</v>
      </c>
      <c r="E265" s="294">
        <v>7.0645184479388001E-2</v>
      </c>
      <c r="G265" s="294">
        <v>6.4968100000000001E-2</v>
      </c>
      <c r="J265" s="294">
        <v>0.1825</v>
      </c>
      <c r="K265" s="294">
        <v>0.20250000000000001</v>
      </c>
      <c r="N265" s="294">
        <v>0</v>
      </c>
      <c r="W265" s="291">
        <v>0</v>
      </c>
      <c r="X265" s="291">
        <v>0.39500000000000002</v>
      </c>
      <c r="Z265" s="291">
        <v>0</v>
      </c>
      <c r="AB265" s="291">
        <v>0.33</v>
      </c>
      <c r="AC265" s="291">
        <v>0.28749999999999998</v>
      </c>
      <c r="AP265" s="306"/>
      <c r="AQ265" s="306"/>
      <c r="AR265" s="306"/>
      <c r="AS265" s="306"/>
      <c r="AW265" s="291">
        <v>7.0727088820511E-2</v>
      </c>
      <c r="BB265" s="308">
        <f t="shared" si="35"/>
        <v>44348</v>
      </c>
      <c r="BF265" s="308">
        <f t="shared" si="37"/>
        <v>44348</v>
      </c>
      <c r="BG265" s="291">
        <v>223</v>
      </c>
    </row>
    <row r="266" spans="2:59" x14ac:dyDescent="0.25">
      <c r="B266" s="296">
        <f t="shared" si="31"/>
        <v>44378</v>
      </c>
      <c r="C266" s="294">
        <v>4.0164999999999997</v>
      </c>
      <c r="D266" s="294">
        <v>0.15</v>
      </c>
      <c r="E266" s="294">
        <v>7.0639326311584996E-2</v>
      </c>
      <c r="G266" s="294">
        <v>6.4968100000000001E-2</v>
      </c>
      <c r="J266" s="294">
        <v>0.1825</v>
      </c>
      <c r="K266" s="294">
        <v>0.215</v>
      </c>
      <c r="N266" s="294">
        <v>0</v>
      </c>
      <c r="W266" s="291">
        <v>0</v>
      </c>
      <c r="X266" s="291">
        <v>0.43</v>
      </c>
      <c r="Z266" s="291">
        <v>0</v>
      </c>
      <c r="AB266" s="291">
        <v>0.33</v>
      </c>
      <c r="AC266" s="291">
        <v>0.3</v>
      </c>
      <c r="AP266" s="306"/>
      <c r="AQ266" s="306"/>
      <c r="AR266" s="306"/>
      <c r="AS266" s="306"/>
      <c r="AW266" s="291">
        <v>7.0721490840442006E-2</v>
      </c>
      <c r="BB266" s="308">
        <f t="shared" si="35"/>
        <v>44378</v>
      </c>
      <c r="BF266" s="308">
        <f t="shared" si="37"/>
        <v>44378</v>
      </c>
      <c r="BG266" s="291">
        <v>223</v>
      </c>
    </row>
    <row r="267" spans="2:59" x14ac:dyDescent="0.25">
      <c r="B267" s="296">
        <f t="shared" si="31"/>
        <v>44409</v>
      </c>
      <c r="C267" s="294">
        <v>4.0374999999999996</v>
      </c>
      <c r="D267" s="294">
        <v>0.15</v>
      </c>
      <c r="E267" s="294">
        <v>7.0633272871533995E-2</v>
      </c>
      <c r="G267" s="294">
        <v>6.4968100000000001E-2</v>
      </c>
      <c r="J267" s="294">
        <v>0.1825</v>
      </c>
      <c r="K267" s="294">
        <v>0.215</v>
      </c>
      <c r="N267" s="294">
        <v>0</v>
      </c>
      <c r="W267" s="291">
        <v>0</v>
      </c>
      <c r="X267" s="291">
        <v>0.495</v>
      </c>
      <c r="Z267" s="291">
        <v>0</v>
      </c>
      <c r="AB267" s="291">
        <v>0.33</v>
      </c>
      <c r="AC267" s="291">
        <v>0.3</v>
      </c>
      <c r="AP267" s="306"/>
      <c r="AQ267" s="306"/>
      <c r="AR267" s="306"/>
      <c r="AS267" s="306"/>
      <c r="AW267" s="291">
        <v>7.0715706261047007E-2</v>
      </c>
      <c r="BB267" s="308">
        <f t="shared" si="35"/>
        <v>44409</v>
      </c>
      <c r="BF267" s="308">
        <f t="shared" si="37"/>
        <v>44409</v>
      </c>
      <c r="BG267" s="291">
        <v>223</v>
      </c>
    </row>
    <row r="268" spans="2:59" x14ac:dyDescent="0.25">
      <c r="B268" s="296">
        <f t="shared" si="31"/>
        <v>44440</v>
      </c>
      <c r="C268" s="294">
        <v>4.0025000000000004</v>
      </c>
      <c r="D268" s="294">
        <v>0.15</v>
      </c>
      <c r="E268" s="294">
        <v>7.0627219431494997E-2</v>
      </c>
      <c r="G268" s="294">
        <v>6.4968100000000001E-2</v>
      </c>
      <c r="J268" s="294">
        <v>0.1825</v>
      </c>
      <c r="K268" s="294">
        <v>0.19500000000000001</v>
      </c>
      <c r="N268" s="294">
        <v>0</v>
      </c>
      <c r="W268" s="291">
        <v>0</v>
      </c>
      <c r="X268" s="291">
        <v>0.39500000000000002</v>
      </c>
      <c r="Z268" s="291">
        <v>0</v>
      </c>
      <c r="AB268" s="291">
        <v>0.33</v>
      </c>
      <c r="AC268" s="291">
        <v>0.28999999999999998</v>
      </c>
      <c r="AP268" s="306"/>
      <c r="AQ268" s="306"/>
      <c r="AR268" s="306"/>
      <c r="AS268" s="306"/>
      <c r="AW268" s="291">
        <v>7.0709921681662999E-2</v>
      </c>
      <c r="BB268" s="308">
        <f t="shared" si="35"/>
        <v>44440</v>
      </c>
      <c r="BF268" s="308">
        <f t="shared" si="37"/>
        <v>44440</v>
      </c>
      <c r="BG268" s="291">
        <v>223</v>
      </c>
    </row>
    <row r="269" spans="2:59" x14ac:dyDescent="0.25">
      <c r="B269" s="296">
        <f t="shared" si="31"/>
        <v>44470</v>
      </c>
      <c r="C269" s="294">
        <v>3.9994999999999998</v>
      </c>
      <c r="D269" s="294">
        <v>0.15</v>
      </c>
      <c r="E269" s="294">
        <v>7.0621361263726007E-2</v>
      </c>
      <c r="G269" s="294">
        <v>6.4968100000000001E-2</v>
      </c>
      <c r="J269" s="294">
        <v>0.1875</v>
      </c>
      <c r="K269" s="294">
        <v>0.215</v>
      </c>
      <c r="N269" s="294">
        <v>0</v>
      </c>
      <c r="W269" s="291">
        <v>0</v>
      </c>
      <c r="X269" s="291">
        <v>0.46100000000000002</v>
      </c>
      <c r="Z269" s="291">
        <v>0</v>
      </c>
      <c r="AB269" s="291">
        <v>0.33</v>
      </c>
      <c r="AC269" s="291">
        <v>0.36249999999999999</v>
      </c>
      <c r="AP269" s="306"/>
      <c r="AQ269" s="306"/>
      <c r="AR269" s="306"/>
      <c r="AS269" s="306"/>
      <c r="AW269" s="291">
        <v>7.0704323701624994E-2</v>
      </c>
      <c r="BB269" s="308">
        <f t="shared" si="35"/>
        <v>44470</v>
      </c>
      <c r="BF269" s="308">
        <f t="shared" si="37"/>
        <v>44470</v>
      </c>
      <c r="BG269" s="291">
        <v>223</v>
      </c>
    </row>
    <row r="270" spans="2:59" x14ac:dyDescent="0.25">
      <c r="B270" s="296">
        <f t="shared" si="31"/>
        <v>44501</v>
      </c>
      <c r="C270" s="294">
        <v>4.0015000000000001</v>
      </c>
      <c r="D270" s="294">
        <v>0.15</v>
      </c>
      <c r="E270" s="294">
        <v>7.0615307823711004E-2</v>
      </c>
      <c r="G270" s="294">
        <v>-1.4988700000000001E-2</v>
      </c>
      <c r="J270" s="294">
        <v>0.27</v>
      </c>
      <c r="K270" s="294">
        <v>0.28749999999999998</v>
      </c>
      <c r="N270" s="294">
        <v>0</v>
      </c>
      <c r="W270" s="291">
        <v>0</v>
      </c>
      <c r="X270" s="291">
        <v>0.76749999999999996</v>
      </c>
      <c r="Z270" s="291">
        <v>0</v>
      </c>
      <c r="AB270" s="291">
        <v>0</v>
      </c>
      <c r="AC270" s="291">
        <v>0.46500000000000002</v>
      </c>
      <c r="AP270" s="306"/>
      <c r="AQ270" s="306"/>
      <c r="AR270" s="306"/>
      <c r="AS270" s="306"/>
      <c r="AW270" s="291">
        <v>7.0698539122262996E-2</v>
      </c>
      <c r="BB270" s="308">
        <f t="shared" si="35"/>
        <v>44501</v>
      </c>
      <c r="BF270" s="308">
        <f t="shared" si="37"/>
        <v>44501</v>
      </c>
      <c r="BG270" s="291">
        <v>223</v>
      </c>
    </row>
    <row r="271" spans="2:59" x14ac:dyDescent="0.25">
      <c r="B271" s="296">
        <f t="shared" si="31"/>
        <v>44531</v>
      </c>
      <c r="C271" s="294">
        <v>4.0335000000000001</v>
      </c>
      <c r="D271" s="294">
        <v>0.15</v>
      </c>
      <c r="E271" s="294">
        <v>7.0609449655965995E-2</v>
      </c>
      <c r="G271" s="294">
        <v>-2.99519E-2</v>
      </c>
      <c r="J271" s="294">
        <v>0.30499999999999999</v>
      </c>
      <c r="K271" s="294">
        <v>0.33750000000000002</v>
      </c>
      <c r="N271" s="294">
        <v>0</v>
      </c>
      <c r="W271" s="291">
        <v>0</v>
      </c>
      <c r="X271" s="291">
        <v>1.19</v>
      </c>
      <c r="Z271" s="291">
        <v>0</v>
      </c>
      <c r="AB271" s="291">
        <v>0</v>
      </c>
      <c r="AC271" s="291">
        <v>0.8</v>
      </c>
      <c r="AP271" s="306"/>
      <c r="AQ271" s="306"/>
      <c r="AR271" s="306"/>
      <c r="AS271" s="306"/>
      <c r="AW271" s="291">
        <v>7.0692941142246002E-2</v>
      </c>
      <c r="BB271" s="308">
        <f t="shared" si="35"/>
        <v>44531</v>
      </c>
      <c r="BF271" s="308">
        <f t="shared" si="37"/>
        <v>44531</v>
      </c>
      <c r="BG271" s="291">
        <v>223</v>
      </c>
    </row>
    <row r="272" spans="2:59" x14ac:dyDescent="0.25">
      <c r="B272" s="296">
        <f t="shared" si="31"/>
        <v>44562</v>
      </c>
      <c r="C272" s="294">
        <v>4.3574999999999999</v>
      </c>
      <c r="D272" s="294">
        <v>0.15</v>
      </c>
      <c r="E272" s="294">
        <v>7.0603396215974001E-2</v>
      </c>
      <c r="G272" s="294">
        <v>-2.4955100000000001E-2</v>
      </c>
      <c r="J272" s="294">
        <v>0.30499999999999999</v>
      </c>
      <c r="K272" s="294">
        <v>0.4375</v>
      </c>
      <c r="N272" s="294">
        <v>0</v>
      </c>
      <c r="W272" s="291">
        <v>0</v>
      </c>
      <c r="X272" s="291">
        <v>1.5249999999999999</v>
      </c>
      <c r="Z272" s="291">
        <v>0</v>
      </c>
      <c r="AB272" s="291">
        <v>0</v>
      </c>
      <c r="AC272" s="291">
        <v>0.97499999999999998</v>
      </c>
      <c r="AP272" s="306"/>
      <c r="AQ272" s="306"/>
      <c r="AR272" s="306"/>
      <c r="AS272" s="306"/>
      <c r="AW272" s="291">
        <v>7.0687156562906001E-2</v>
      </c>
      <c r="BB272" s="308">
        <f t="shared" si="35"/>
        <v>44562</v>
      </c>
      <c r="BF272" s="308">
        <f t="shared" si="37"/>
        <v>44562</v>
      </c>
      <c r="BG272" s="291">
        <v>223</v>
      </c>
    </row>
    <row r="273" spans="2:49" x14ac:dyDescent="0.25">
      <c r="B273" s="296">
        <f t="shared" ref="B273:B311" si="38">EOMONTH(B272,0)+1</f>
        <v>44593</v>
      </c>
      <c r="C273" s="294">
        <v>4.2915000000000001</v>
      </c>
      <c r="D273" s="294">
        <v>0.15</v>
      </c>
      <c r="E273" s="294">
        <v>7.0597342775999994E-2</v>
      </c>
      <c r="G273" s="294">
        <v>4.2500000000000003E-5</v>
      </c>
      <c r="J273" s="294">
        <v>0.30499999999999999</v>
      </c>
      <c r="K273" s="294">
        <v>0.435</v>
      </c>
      <c r="N273" s="294">
        <v>0</v>
      </c>
      <c r="W273" s="291">
        <v>0</v>
      </c>
      <c r="X273" s="291">
        <v>1.4550000000000001</v>
      </c>
      <c r="Z273" s="291">
        <v>0</v>
      </c>
      <c r="AB273" s="291">
        <v>0</v>
      </c>
      <c r="AC273" s="291">
        <v>0.97499999999999998</v>
      </c>
      <c r="AP273" s="306"/>
      <c r="AQ273" s="306"/>
      <c r="AR273" s="306"/>
      <c r="AS273" s="306"/>
      <c r="AW273" s="291">
        <v>7.0681371983577004E-2</v>
      </c>
    </row>
    <row r="274" spans="2:49" x14ac:dyDescent="0.25">
      <c r="B274" s="296">
        <f t="shared" si="38"/>
        <v>44621</v>
      </c>
      <c r="C274" s="294">
        <v>4.1784999999999997</v>
      </c>
      <c r="D274" s="294">
        <v>0.15</v>
      </c>
      <c r="E274" s="294">
        <v>7.0591875152797995E-2</v>
      </c>
      <c r="G274" s="294">
        <v>1.0042499999999999E-2</v>
      </c>
      <c r="J274" s="294">
        <v>0.26500000000000001</v>
      </c>
      <c r="K274" s="294">
        <v>0.30249999999999999</v>
      </c>
      <c r="N274" s="294">
        <v>0</v>
      </c>
      <c r="W274" s="291">
        <v>0</v>
      </c>
      <c r="X274" s="291">
        <v>0.83499999999999996</v>
      </c>
      <c r="Z274" s="291">
        <v>0</v>
      </c>
      <c r="AB274" s="291">
        <v>0</v>
      </c>
      <c r="AC274" s="291">
        <v>0.60750000000000004</v>
      </c>
      <c r="AP274" s="306"/>
      <c r="AQ274" s="306"/>
      <c r="AR274" s="306"/>
      <c r="AS274" s="306"/>
      <c r="AW274" s="291">
        <v>7.0676147202256998E-2</v>
      </c>
    </row>
    <row r="275" spans="2:49" x14ac:dyDescent="0.25">
      <c r="B275" s="296">
        <f t="shared" si="38"/>
        <v>44652</v>
      </c>
      <c r="C275" s="294">
        <v>4.0575000000000001</v>
      </c>
      <c r="D275" s="294">
        <v>0.15</v>
      </c>
      <c r="E275" s="294">
        <v>7.0585821712841001E-2</v>
      </c>
      <c r="G275" s="294">
        <v>6.99766E-2</v>
      </c>
      <c r="J275" s="294">
        <v>0.19500000000000001</v>
      </c>
      <c r="K275" s="294">
        <v>0.25</v>
      </c>
      <c r="N275" s="294">
        <v>0</v>
      </c>
      <c r="W275" s="291">
        <v>0</v>
      </c>
      <c r="X275" s="291">
        <v>0.45</v>
      </c>
      <c r="Z275" s="291">
        <v>0</v>
      </c>
      <c r="AB275" s="291">
        <v>0</v>
      </c>
      <c r="AC275" s="291">
        <v>0.35499999999999998</v>
      </c>
      <c r="AP275" s="306"/>
      <c r="AQ275" s="306"/>
      <c r="AR275" s="306"/>
      <c r="AS275" s="306"/>
      <c r="AW275" s="291">
        <v>7.0670362622948998E-2</v>
      </c>
    </row>
    <row r="276" spans="2:49" x14ac:dyDescent="0.25">
      <c r="B276" s="296">
        <f t="shared" si="38"/>
        <v>44682</v>
      </c>
      <c r="C276" s="294">
        <v>4.0644999999999998</v>
      </c>
      <c r="D276" s="294">
        <v>0.15</v>
      </c>
      <c r="E276" s="294">
        <v>7.0579963545153002E-2</v>
      </c>
      <c r="G276" s="294">
        <v>6.9968100000000005E-2</v>
      </c>
      <c r="J276" s="294">
        <v>0.1825</v>
      </c>
      <c r="K276" s="294">
        <v>0.20250000000000001</v>
      </c>
      <c r="N276" s="294">
        <v>0</v>
      </c>
      <c r="W276" s="291">
        <v>0</v>
      </c>
      <c r="X276" s="291">
        <v>0.40500000000000003</v>
      </c>
      <c r="Z276" s="291">
        <v>0</v>
      </c>
      <c r="AB276" s="291">
        <v>0</v>
      </c>
      <c r="AC276" s="291">
        <v>0.28749999999999998</v>
      </c>
      <c r="AP276" s="306"/>
      <c r="AQ276" s="306"/>
      <c r="AR276" s="306"/>
      <c r="AS276" s="306"/>
      <c r="AW276" s="291">
        <v>7.0664764642984004E-2</v>
      </c>
    </row>
    <row r="277" spans="2:49" x14ac:dyDescent="0.25">
      <c r="B277" s="296">
        <f t="shared" si="38"/>
        <v>44713</v>
      </c>
      <c r="C277" s="294">
        <v>4.1035000000000004</v>
      </c>
      <c r="D277" s="294">
        <v>0.15</v>
      </c>
      <c r="E277" s="294">
        <v>7.0573910105221002E-2</v>
      </c>
      <c r="G277" s="294">
        <v>6.9968100000000005E-2</v>
      </c>
      <c r="J277" s="294">
        <v>0.1825</v>
      </c>
      <c r="K277" s="294">
        <v>0.20250000000000001</v>
      </c>
      <c r="N277" s="294">
        <v>0</v>
      </c>
      <c r="W277" s="291">
        <v>0</v>
      </c>
      <c r="X277" s="291">
        <v>0.39500000000000002</v>
      </c>
      <c r="Z277" s="291">
        <v>0</v>
      </c>
      <c r="AB277" s="291">
        <v>0</v>
      </c>
      <c r="AC277" s="291">
        <v>0.28749999999999998</v>
      </c>
      <c r="AP277" s="306"/>
      <c r="AQ277" s="306"/>
      <c r="AR277" s="306"/>
      <c r="AS277" s="306"/>
      <c r="AW277" s="291">
        <v>7.0658980063698001E-2</v>
      </c>
    </row>
    <row r="278" spans="2:49" x14ac:dyDescent="0.25">
      <c r="B278" s="296">
        <f t="shared" si="38"/>
        <v>44743</v>
      </c>
      <c r="C278" s="294">
        <v>4.1254999999999997</v>
      </c>
      <c r="D278" s="294">
        <v>0.15</v>
      </c>
      <c r="E278" s="294">
        <v>7.0568051937554999E-2</v>
      </c>
      <c r="G278" s="294">
        <v>6.9968100000000005E-2</v>
      </c>
      <c r="J278" s="294">
        <v>0.1825</v>
      </c>
      <c r="K278" s="294">
        <v>0.215</v>
      </c>
      <c r="N278" s="294">
        <v>0</v>
      </c>
      <c r="W278" s="291">
        <v>0</v>
      </c>
      <c r="X278" s="291">
        <v>0.43</v>
      </c>
      <c r="Z278" s="291">
        <v>0</v>
      </c>
      <c r="AB278" s="291">
        <v>0</v>
      </c>
      <c r="AC278" s="291">
        <v>0.3</v>
      </c>
      <c r="AP278" s="306"/>
      <c r="AQ278" s="306"/>
      <c r="AR278" s="306"/>
      <c r="AS278" s="306"/>
      <c r="AW278" s="291">
        <v>7.0653382083754004E-2</v>
      </c>
    </row>
    <row r="279" spans="2:49" x14ac:dyDescent="0.25">
      <c r="B279" s="296">
        <f t="shared" si="38"/>
        <v>44774</v>
      </c>
      <c r="C279" s="294">
        <v>4.1464999999999996</v>
      </c>
      <c r="D279" s="294">
        <v>0.15</v>
      </c>
      <c r="E279" s="294">
        <v>7.0561998497645995E-2</v>
      </c>
      <c r="G279" s="294">
        <v>6.9968100000000005E-2</v>
      </c>
      <c r="J279" s="294">
        <v>0.1825</v>
      </c>
      <c r="K279" s="294">
        <v>0.215</v>
      </c>
      <c r="N279" s="294">
        <v>0</v>
      </c>
      <c r="W279" s="291">
        <v>0</v>
      </c>
      <c r="X279" s="291">
        <v>0.495</v>
      </c>
      <c r="Z279" s="291">
        <v>0</v>
      </c>
      <c r="AB279" s="291">
        <v>0</v>
      </c>
      <c r="AC279" s="291">
        <v>0.3</v>
      </c>
      <c r="AP279" s="306"/>
      <c r="AQ279" s="306"/>
      <c r="AR279" s="306"/>
      <c r="AS279" s="306"/>
      <c r="AW279" s="291">
        <v>7.0647597504488999E-2</v>
      </c>
    </row>
    <row r="280" spans="2:49" x14ac:dyDescent="0.25">
      <c r="B280" s="296">
        <f t="shared" si="38"/>
        <v>44805</v>
      </c>
      <c r="C280" s="294">
        <v>4.1105</v>
      </c>
      <c r="D280" s="294">
        <v>0.15</v>
      </c>
      <c r="E280" s="294">
        <v>7.0555945057749994E-2</v>
      </c>
      <c r="G280" s="294">
        <v>6.9968100000000005E-2</v>
      </c>
      <c r="J280" s="294">
        <v>0.1825</v>
      </c>
      <c r="K280" s="294">
        <v>0.19500000000000001</v>
      </c>
      <c r="N280" s="294">
        <v>0</v>
      </c>
      <c r="W280" s="291">
        <v>0</v>
      </c>
      <c r="X280" s="291">
        <v>0.39500000000000002</v>
      </c>
      <c r="Z280" s="291">
        <v>0</v>
      </c>
      <c r="AB280" s="291">
        <v>0</v>
      </c>
      <c r="AC280" s="291">
        <v>0.28999999999999998</v>
      </c>
      <c r="AP280" s="306"/>
      <c r="AQ280" s="306"/>
      <c r="AR280" s="306"/>
      <c r="AS280" s="306"/>
      <c r="AW280" s="291">
        <v>7.0641812925235997E-2</v>
      </c>
    </row>
    <row r="281" spans="2:49" x14ac:dyDescent="0.25">
      <c r="B281" s="296">
        <f t="shared" si="38"/>
        <v>44835</v>
      </c>
      <c r="C281" s="294">
        <v>4.1064999999999996</v>
      </c>
      <c r="D281" s="294">
        <v>0.15</v>
      </c>
      <c r="E281" s="294">
        <v>7.0550086890119004E-2</v>
      </c>
      <c r="G281" s="294">
        <v>6.9968100000000005E-2</v>
      </c>
      <c r="J281" s="294">
        <v>0.1875</v>
      </c>
      <c r="K281" s="294">
        <v>0.215</v>
      </c>
      <c r="N281" s="294">
        <v>0</v>
      </c>
      <c r="W281" s="291">
        <v>0</v>
      </c>
      <c r="X281" s="291">
        <v>0.46100000000000002</v>
      </c>
      <c r="Z281" s="291">
        <v>0</v>
      </c>
      <c r="AB281" s="291">
        <v>0</v>
      </c>
      <c r="AC281" s="291">
        <v>0.36249999999999999</v>
      </c>
      <c r="AP281" s="306"/>
      <c r="AQ281" s="306"/>
      <c r="AR281" s="306"/>
      <c r="AS281" s="306"/>
      <c r="AW281" s="291">
        <v>7.0636214945324002E-2</v>
      </c>
    </row>
    <row r="282" spans="2:49" x14ac:dyDescent="0.25">
      <c r="B282" s="296">
        <f t="shared" si="38"/>
        <v>44866</v>
      </c>
      <c r="C282" s="294">
        <v>4.1035000000000004</v>
      </c>
      <c r="D282" s="294">
        <v>0.15</v>
      </c>
      <c r="E282" s="294">
        <v>7.0544033450246998E-2</v>
      </c>
      <c r="G282" s="294">
        <v>-9.9886999999999997E-3</v>
      </c>
      <c r="J282" s="294">
        <v>0.27</v>
      </c>
      <c r="K282" s="294">
        <v>0.28749999999999998</v>
      </c>
      <c r="N282" s="294">
        <v>0</v>
      </c>
      <c r="W282" s="291">
        <v>0</v>
      </c>
      <c r="X282" s="291">
        <v>0.76749999999999996</v>
      </c>
      <c r="Z282" s="291">
        <v>0</v>
      </c>
      <c r="AB282" s="291">
        <v>0</v>
      </c>
      <c r="AC282" s="291">
        <v>0.46500000000000002</v>
      </c>
      <c r="AP282" s="306"/>
      <c r="AQ282" s="306"/>
      <c r="AR282" s="306"/>
      <c r="AS282" s="306"/>
      <c r="AW282" s="291">
        <v>7.0630430366091998E-2</v>
      </c>
    </row>
    <row r="283" spans="2:49" x14ac:dyDescent="0.25">
      <c r="B283" s="296">
        <f t="shared" si="38"/>
        <v>44896</v>
      </c>
      <c r="C283" s="294">
        <v>4.1325000000000003</v>
      </c>
      <c r="D283" s="294">
        <v>0.15</v>
      </c>
      <c r="E283" s="294">
        <v>7.0538175282640003E-2</v>
      </c>
      <c r="G283" s="294">
        <v>-2.4951899999999999E-2</v>
      </c>
      <c r="J283" s="294">
        <v>0.30499999999999999</v>
      </c>
      <c r="K283" s="294">
        <v>0.33750000000000002</v>
      </c>
      <c r="N283" s="294">
        <v>0</v>
      </c>
      <c r="W283" s="291">
        <v>0</v>
      </c>
      <c r="X283" s="291">
        <v>1.19</v>
      </c>
      <c r="Z283" s="291">
        <v>0</v>
      </c>
      <c r="AB283" s="291">
        <v>0</v>
      </c>
      <c r="AC283" s="291">
        <v>0.8</v>
      </c>
      <c r="AP283" s="306"/>
      <c r="AQ283" s="306"/>
      <c r="AR283" s="306"/>
      <c r="AS283" s="306"/>
      <c r="AW283" s="291">
        <v>7.0624832386200001E-2</v>
      </c>
    </row>
    <row r="284" spans="2:49" x14ac:dyDescent="0.25">
      <c r="B284" s="296">
        <f t="shared" si="38"/>
        <v>44927</v>
      </c>
      <c r="C284" s="294">
        <v>4.4569999999999999</v>
      </c>
      <c r="D284" s="294">
        <v>0.15</v>
      </c>
      <c r="E284" s="294">
        <v>7.0532121842791007E-2</v>
      </c>
      <c r="G284" s="294">
        <v>-1.99551E-2</v>
      </c>
      <c r="J284" s="294">
        <v>0.30499999999999999</v>
      </c>
      <c r="K284" s="294">
        <v>0.4375</v>
      </c>
      <c r="N284" s="294">
        <v>0</v>
      </c>
      <c r="W284" s="291">
        <v>0</v>
      </c>
      <c r="X284" s="291">
        <v>1.5249999999999999</v>
      </c>
      <c r="Z284" s="291">
        <v>0</v>
      </c>
      <c r="AB284" s="291">
        <v>0</v>
      </c>
      <c r="AC284" s="291">
        <v>0.97499999999999998</v>
      </c>
      <c r="AP284" s="306"/>
      <c r="AQ284" s="306"/>
      <c r="AR284" s="306"/>
      <c r="AS284" s="306"/>
      <c r="AW284" s="291">
        <v>7.0619047806999999E-2</v>
      </c>
    </row>
    <row r="285" spans="2:49" x14ac:dyDescent="0.25">
      <c r="B285" s="296">
        <f t="shared" si="38"/>
        <v>44958</v>
      </c>
      <c r="C285" s="294">
        <v>4.3949999999999996</v>
      </c>
      <c r="D285" s="294">
        <v>0.15</v>
      </c>
      <c r="E285" s="294">
        <v>7.0526068402954001E-2</v>
      </c>
      <c r="G285" s="294">
        <v>5.0425000000000001E-3</v>
      </c>
      <c r="J285" s="294">
        <v>0.30499999999999999</v>
      </c>
      <c r="K285" s="294">
        <v>0.435</v>
      </c>
      <c r="N285" s="294">
        <v>0</v>
      </c>
      <c r="W285" s="291">
        <v>0</v>
      </c>
      <c r="X285" s="291">
        <v>1.4550000000000001</v>
      </c>
      <c r="Z285" s="291">
        <v>0</v>
      </c>
      <c r="AB285" s="291">
        <v>0</v>
      </c>
      <c r="AC285" s="291">
        <v>0.97499999999999998</v>
      </c>
      <c r="AP285" s="306"/>
      <c r="AQ285" s="306"/>
      <c r="AR285" s="306"/>
      <c r="AS285" s="306"/>
      <c r="AW285" s="291">
        <v>7.0613263227792003E-2</v>
      </c>
    </row>
    <row r="286" spans="2:49" x14ac:dyDescent="0.25">
      <c r="B286" s="296">
        <f t="shared" si="38"/>
        <v>44986</v>
      </c>
      <c r="C286" s="294">
        <v>4.2850000000000001</v>
      </c>
      <c r="D286" s="294">
        <v>0.15</v>
      </c>
      <c r="E286" s="294">
        <v>7.0520600779886006E-2</v>
      </c>
      <c r="G286" s="294">
        <v>1.50425E-2</v>
      </c>
      <c r="J286" s="294">
        <v>0.26500000000000001</v>
      </c>
      <c r="K286" s="294">
        <v>0.30249999999999999</v>
      </c>
      <c r="N286" s="294">
        <v>0</v>
      </c>
      <c r="W286" s="291">
        <v>0</v>
      </c>
      <c r="X286" s="291">
        <v>0.83499999999999996</v>
      </c>
      <c r="Z286" s="291">
        <v>0</v>
      </c>
      <c r="AB286" s="291">
        <v>0</v>
      </c>
      <c r="AC286" s="291">
        <v>0.60750000000000004</v>
      </c>
      <c r="AP286" s="306"/>
      <c r="AQ286" s="306"/>
      <c r="AR286" s="306"/>
      <c r="AS286" s="306"/>
      <c r="AW286" s="291">
        <v>7.0608038446589E-2</v>
      </c>
    </row>
    <row r="287" spans="2:49" x14ac:dyDescent="0.25">
      <c r="B287" s="296">
        <f t="shared" si="38"/>
        <v>45017</v>
      </c>
      <c r="C287" s="294">
        <v>4.1669999999999998</v>
      </c>
      <c r="D287" s="294">
        <v>0.15</v>
      </c>
      <c r="E287" s="294">
        <v>7.0514547340071995E-2</v>
      </c>
      <c r="G287" s="294">
        <v>7.4976600000000004E-2</v>
      </c>
      <c r="J287" s="294">
        <v>0.19500000000000001</v>
      </c>
      <c r="K287" s="294">
        <v>0.25</v>
      </c>
      <c r="N287" s="294">
        <v>0</v>
      </c>
      <c r="W287" s="291">
        <v>0</v>
      </c>
      <c r="X287" s="291">
        <v>0.45</v>
      </c>
      <c r="Z287" s="291">
        <v>0</v>
      </c>
      <c r="AB287" s="291">
        <v>0</v>
      </c>
      <c r="AC287" s="291">
        <v>0.35499999999999998</v>
      </c>
      <c r="AP287" s="306"/>
      <c r="AQ287" s="306"/>
      <c r="AR287" s="306"/>
      <c r="AS287" s="306"/>
      <c r="AW287" s="291">
        <v>7.0602253867410994E-2</v>
      </c>
    </row>
    <row r="288" spans="2:49" x14ac:dyDescent="0.25">
      <c r="B288" s="296">
        <f t="shared" si="38"/>
        <v>45047</v>
      </c>
      <c r="C288" s="294">
        <v>4.1749999999999998</v>
      </c>
      <c r="D288" s="294">
        <v>0.15</v>
      </c>
      <c r="E288" s="294">
        <v>7.0508689172520997E-2</v>
      </c>
      <c r="G288" s="294">
        <v>7.4968099999999996E-2</v>
      </c>
      <c r="J288" s="294">
        <v>0.1825</v>
      </c>
      <c r="K288" s="294">
        <v>0.20250000000000001</v>
      </c>
      <c r="N288" s="294">
        <v>0</v>
      </c>
      <c r="W288" s="291">
        <v>0</v>
      </c>
      <c r="X288" s="291">
        <v>0.40500000000000003</v>
      </c>
      <c r="Z288" s="291">
        <v>0</v>
      </c>
      <c r="AB288" s="291">
        <v>0</v>
      </c>
      <c r="AC288" s="291">
        <v>0.28749999999999998</v>
      </c>
      <c r="AP288" s="306"/>
      <c r="AQ288" s="306"/>
      <c r="AR288" s="306"/>
      <c r="AS288" s="306"/>
      <c r="AW288" s="291">
        <v>7.0596655887572995E-2</v>
      </c>
    </row>
    <row r="289" spans="2:49" x14ac:dyDescent="0.25">
      <c r="B289" s="296">
        <f t="shared" si="38"/>
        <v>45078</v>
      </c>
      <c r="C289" s="294">
        <v>4.2149999999999999</v>
      </c>
      <c r="D289" s="294">
        <v>0.15</v>
      </c>
      <c r="E289" s="294">
        <v>7.0502635732731994E-2</v>
      </c>
      <c r="G289" s="294">
        <v>7.4968099999999996E-2</v>
      </c>
      <c r="J289" s="294">
        <v>0.1825</v>
      </c>
      <c r="K289" s="294">
        <v>0.20250000000000001</v>
      </c>
      <c r="N289" s="294">
        <v>0</v>
      </c>
      <c r="W289" s="291">
        <v>0</v>
      </c>
      <c r="X289" s="291">
        <v>0.39500000000000002</v>
      </c>
      <c r="Z289" s="291">
        <v>0</v>
      </c>
      <c r="AB289" s="291">
        <v>0</v>
      </c>
      <c r="AC289" s="291">
        <v>0.28749999999999998</v>
      </c>
      <c r="AP289" s="306"/>
      <c r="AQ289" s="306"/>
      <c r="AR289" s="306"/>
      <c r="AS289" s="306"/>
      <c r="AW289" s="291">
        <v>7.0590871308417E-2</v>
      </c>
    </row>
    <row r="290" spans="2:49" x14ac:dyDescent="0.25">
      <c r="B290" s="296">
        <f t="shared" si="38"/>
        <v>45108</v>
      </c>
      <c r="C290" s="294">
        <v>4.2370000000000001</v>
      </c>
      <c r="D290" s="294">
        <v>0.15</v>
      </c>
      <c r="E290" s="294">
        <v>7.0496777565205004E-2</v>
      </c>
      <c r="G290" s="294">
        <v>7.4968099999999996E-2</v>
      </c>
      <c r="J290" s="294">
        <v>0.1825</v>
      </c>
      <c r="K290" s="294">
        <v>0.215</v>
      </c>
      <c r="N290" s="294">
        <v>0</v>
      </c>
      <c r="W290" s="291">
        <v>0</v>
      </c>
      <c r="X290" s="291">
        <v>0.43</v>
      </c>
      <c r="Z290" s="291">
        <v>0</v>
      </c>
      <c r="AB290" s="291">
        <v>0</v>
      </c>
      <c r="AC290" s="291">
        <v>0.3</v>
      </c>
      <c r="AP290" s="306"/>
      <c r="AQ290" s="306"/>
      <c r="AR290" s="306"/>
      <c r="AS290" s="306"/>
      <c r="AW290" s="291">
        <v>7.0585273328598999E-2</v>
      </c>
    </row>
    <row r="291" spans="2:49" x14ac:dyDescent="0.25">
      <c r="B291" s="296">
        <f t="shared" si="38"/>
        <v>45139</v>
      </c>
      <c r="C291" s="294">
        <v>4.258</v>
      </c>
      <c r="D291" s="294">
        <v>0.15</v>
      </c>
      <c r="E291" s="294">
        <v>7.0490724125437998E-2</v>
      </c>
      <c r="G291" s="294">
        <v>7.4968099999999996E-2</v>
      </c>
      <c r="J291" s="294">
        <v>0.1825</v>
      </c>
      <c r="K291" s="294">
        <v>0.215</v>
      </c>
      <c r="N291" s="294">
        <v>0</v>
      </c>
      <c r="W291" s="291">
        <v>0</v>
      </c>
      <c r="X291" s="291">
        <v>0.495</v>
      </c>
      <c r="Z291" s="291">
        <v>0</v>
      </c>
      <c r="AB291" s="291">
        <v>0</v>
      </c>
      <c r="AC291" s="291">
        <v>0.3</v>
      </c>
      <c r="AP291" s="306"/>
      <c r="AQ291" s="306"/>
      <c r="AR291" s="306"/>
      <c r="AS291" s="306"/>
      <c r="AW291" s="291">
        <v>7.0579488749465E-2</v>
      </c>
    </row>
    <row r="292" spans="2:49" x14ac:dyDescent="0.25">
      <c r="B292" s="296">
        <f t="shared" si="38"/>
        <v>45170</v>
      </c>
      <c r="C292" s="294">
        <v>4.2210000000000001</v>
      </c>
      <c r="E292" s="294">
        <v>7.0484670685683995E-2</v>
      </c>
      <c r="G292" s="294">
        <v>7.4968099999999996E-2</v>
      </c>
      <c r="J292" s="294">
        <v>0.1825</v>
      </c>
      <c r="K292" s="294">
        <v>0.19500000000000001</v>
      </c>
      <c r="N292" s="294">
        <v>0</v>
      </c>
      <c r="W292" s="291">
        <v>0</v>
      </c>
      <c r="X292" s="291">
        <v>0.39500000000000002</v>
      </c>
      <c r="Z292" s="291">
        <v>0</v>
      </c>
      <c r="AB292" s="291">
        <v>0</v>
      </c>
      <c r="AC292" s="291">
        <v>0.28999999999999998</v>
      </c>
      <c r="AP292" s="306"/>
      <c r="AQ292" s="306"/>
      <c r="AR292" s="306"/>
      <c r="AS292" s="306"/>
      <c r="AW292" s="291">
        <v>7.0573704170342005E-2</v>
      </c>
    </row>
    <row r="293" spans="2:49" x14ac:dyDescent="0.25">
      <c r="B293" s="296">
        <f t="shared" si="38"/>
        <v>45200</v>
      </c>
      <c r="C293" s="294">
        <v>4.2160000000000002</v>
      </c>
      <c r="E293" s="294">
        <v>7.0478812518192005E-2</v>
      </c>
      <c r="G293" s="294">
        <v>7.4968099999999996E-2</v>
      </c>
      <c r="J293" s="294">
        <v>0.1875</v>
      </c>
      <c r="K293" s="294">
        <v>0.215</v>
      </c>
      <c r="N293" s="294">
        <v>0</v>
      </c>
      <c r="W293" s="291">
        <v>0</v>
      </c>
      <c r="X293" s="291">
        <v>0.46100000000000002</v>
      </c>
      <c r="Z293" s="291">
        <v>0</v>
      </c>
      <c r="AB293" s="291">
        <v>0</v>
      </c>
      <c r="AC293" s="291">
        <v>0.36249999999999999</v>
      </c>
      <c r="AP293" s="306"/>
      <c r="AQ293" s="306"/>
      <c r="AR293" s="306"/>
      <c r="AS293" s="306"/>
      <c r="AW293" s="291">
        <v>7.0568106190554994E-2</v>
      </c>
    </row>
    <row r="294" spans="2:49" x14ac:dyDescent="0.25">
      <c r="B294" s="296">
        <f t="shared" si="38"/>
        <v>45231</v>
      </c>
      <c r="C294" s="294">
        <v>4.2080000000000002</v>
      </c>
      <c r="E294" s="294">
        <v>7.0472759078461997E-2</v>
      </c>
      <c r="G294" s="294">
        <v>-4.9887000000000004E-3</v>
      </c>
      <c r="J294" s="294">
        <v>0.27</v>
      </c>
      <c r="K294" s="294">
        <v>0.28749999999999998</v>
      </c>
      <c r="N294" s="294">
        <v>0</v>
      </c>
      <c r="W294" s="291">
        <v>0</v>
      </c>
      <c r="X294" s="291">
        <v>0.76749999999999996</v>
      </c>
      <c r="Z294" s="291">
        <v>0</v>
      </c>
      <c r="AB294" s="291">
        <v>0</v>
      </c>
      <c r="AC294" s="291">
        <v>0.46500000000000002</v>
      </c>
      <c r="AP294" s="306"/>
      <c r="AQ294" s="306"/>
      <c r="AR294" s="306"/>
      <c r="AS294" s="306"/>
      <c r="AW294" s="291">
        <v>7.0562321611453996E-2</v>
      </c>
    </row>
    <row r="295" spans="2:49" x14ac:dyDescent="0.25">
      <c r="B295" s="296">
        <f t="shared" si="38"/>
        <v>45261</v>
      </c>
      <c r="C295" s="294">
        <v>4.234</v>
      </c>
      <c r="E295" s="294">
        <v>7.0466900910999997E-2</v>
      </c>
      <c r="G295" s="294">
        <v>-1.9951900000000002E-2</v>
      </c>
      <c r="J295" s="294">
        <v>0.30499999999999999</v>
      </c>
      <c r="K295" s="294">
        <v>0.33750000000000002</v>
      </c>
      <c r="N295" s="294">
        <v>0</v>
      </c>
      <c r="W295" s="291">
        <v>0</v>
      </c>
      <c r="X295" s="291">
        <v>1.19</v>
      </c>
      <c r="Z295" s="291">
        <v>0</v>
      </c>
      <c r="AB295" s="291">
        <v>0</v>
      </c>
      <c r="AC295" s="291">
        <v>0.8</v>
      </c>
      <c r="AP295" s="306"/>
      <c r="AQ295" s="306"/>
      <c r="AR295" s="306"/>
      <c r="AS295" s="306"/>
      <c r="AW295" s="291">
        <v>7.0556723631688995E-2</v>
      </c>
    </row>
    <row r="296" spans="2:49" x14ac:dyDescent="0.25">
      <c r="B296" s="296">
        <f t="shared" si="38"/>
        <v>45292</v>
      </c>
      <c r="E296" s="294">
        <v>7.0460847471287003E-2</v>
      </c>
      <c r="G296" s="294">
        <v>-1.4955100000000001E-2</v>
      </c>
      <c r="J296" s="294">
        <v>0.30499999999999999</v>
      </c>
      <c r="K296" s="294">
        <v>0.4375</v>
      </c>
      <c r="N296" s="294">
        <v>0</v>
      </c>
      <c r="W296" s="291">
        <v>0</v>
      </c>
      <c r="X296" s="291">
        <v>1.5249999999999999</v>
      </c>
      <c r="Z296" s="291">
        <v>0</v>
      </c>
      <c r="AB296" s="291">
        <v>0</v>
      </c>
      <c r="AC296" s="291">
        <v>0.97499999999999998</v>
      </c>
      <c r="AP296" s="306"/>
      <c r="AQ296" s="306"/>
      <c r="AR296" s="306"/>
      <c r="AS296" s="306"/>
      <c r="AW296" s="291">
        <v>7.0550939052608994E-2</v>
      </c>
    </row>
    <row r="297" spans="2:49" x14ac:dyDescent="0.25">
      <c r="B297" s="296">
        <f t="shared" si="38"/>
        <v>45323</v>
      </c>
      <c r="E297" s="294">
        <v>7.0454794031591994E-2</v>
      </c>
      <c r="G297" s="294">
        <v>1.0042499999999999E-2</v>
      </c>
      <c r="J297" s="294">
        <v>0.30499999999999999</v>
      </c>
      <c r="K297" s="294">
        <v>0.435</v>
      </c>
      <c r="N297" s="294">
        <v>0</v>
      </c>
      <c r="W297" s="291">
        <v>0</v>
      </c>
      <c r="X297" s="291">
        <v>1.4550000000000001</v>
      </c>
      <c r="Z297" s="291">
        <v>0</v>
      </c>
      <c r="AB297" s="291">
        <v>0</v>
      </c>
      <c r="AC297" s="291">
        <v>0.97499999999999998</v>
      </c>
      <c r="AP297" s="306"/>
      <c r="AQ297" s="306"/>
      <c r="AR297" s="306"/>
      <c r="AS297" s="306"/>
      <c r="AW297" s="291">
        <v>7.0545154473540997E-2</v>
      </c>
    </row>
    <row r="298" spans="2:49" x14ac:dyDescent="0.25">
      <c r="B298" s="296">
        <f t="shared" si="38"/>
        <v>45352</v>
      </c>
      <c r="E298" s="294">
        <v>7.0449131136404997E-2</v>
      </c>
      <c r="G298" s="294">
        <v>2.0042500000000001E-2</v>
      </c>
      <c r="J298" s="294">
        <v>0.26500000000000001</v>
      </c>
      <c r="K298" s="294">
        <v>0.30249999999999999</v>
      </c>
      <c r="N298" s="294">
        <v>0</v>
      </c>
      <c r="W298" s="291">
        <v>0</v>
      </c>
      <c r="X298" s="291">
        <v>0.83499999999999996</v>
      </c>
      <c r="Z298" s="291">
        <v>0</v>
      </c>
      <c r="AB298" s="291">
        <v>0</v>
      </c>
      <c r="AC298" s="291">
        <v>0.60750000000000004</v>
      </c>
      <c r="AP298" s="306"/>
      <c r="AQ298" s="306"/>
      <c r="AR298" s="306"/>
      <c r="AS298" s="306"/>
      <c r="AW298" s="291">
        <v>7.0539743093132004E-2</v>
      </c>
    </row>
    <row r="299" spans="2:49" x14ac:dyDescent="0.25">
      <c r="B299" s="296">
        <f t="shared" si="38"/>
        <v>45383</v>
      </c>
      <c r="E299" s="294">
        <v>7.0443077696733997E-2</v>
      </c>
      <c r="G299" s="294">
        <v>7.9976599999999995E-2</v>
      </c>
      <c r="J299" s="294">
        <v>0.19500000000000001</v>
      </c>
      <c r="K299" s="294">
        <v>0.25</v>
      </c>
      <c r="N299" s="294">
        <v>0</v>
      </c>
      <c r="W299" s="291">
        <v>0</v>
      </c>
      <c r="X299" s="291">
        <v>0.45</v>
      </c>
      <c r="Z299" s="291">
        <v>0</v>
      </c>
      <c r="AB299" s="291">
        <v>0</v>
      </c>
      <c r="AC299" s="291">
        <v>0.35499999999999998</v>
      </c>
      <c r="AP299" s="306"/>
      <c r="AQ299" s="306"/>
      <c r="AR299" s="306"/>
      <c r="AS299" s="306"/>
      <c r="AW299" s="291">
        <v>7.0533958514084005E-2</v>
      </c>
    </row>
    <row r="300" spans="2:49" x14ac:dyDescent="0.25">
      <c r="B300" s="296">
        <f t="shared" si="38"/>
        <v>45413</v>
      </c>
      <c r="E300" s="294">
        <v>7.0437219529322997E-2</v>
      </c>
      <c r="G300" s="294">
        <v>7.99681E-2</v>
      </c>
      <c r="J300" s="294">
        <v>0.1825</v>
      </c>
      <c r="K300" s="294">
        <v>0.20250000000000001</v>
      </c>
      <c r="N300" s="294">
        <v>0</v>
      </c>
      <c r="W300" s="291">
        <v>0</v>
      </c>
      <c r="X300" s="291">
        <v>0.40500000000000003</v>
      </c>
      <c r="Z300" s="291">
        <v>0</v>
      </c>
      <c r="AB300" s="291">
        <v>0</v>
      </c>
      <c r="AC300" s="291">
        <v>0.28749999999999998</v>
      </c>
      <c r="AP300" s="306"/>
      <c r="AQ300" s="306"/>
      <c r="AR300" s="306"/>
      <c r="AS300" s="306"/>
      <c r="AW300" s="291">
        <v>7.0528360534372003E-2</v>
      </c>
    </row>
    <row r="301" spans="2:49" x14ac:dyDescent="0.25">
      <c r="B301" s="296">
        <f t="shared" si="38"/>
        <v>45444</v>
      </c>
      <c r="E301" s="294">
        <v>7.0431166089675007E-2</v>
      </c>
      <c r="G301" s="294">
        <v>7.99681E-2</v>
      </c>
      <c r="J301" s="294">
        <v>0.1825</v>
      </c>
      <c r="K301" s="294">
        <v>0.20250000000000001</v>
      </c>
      <c r="N301" s="294">
        <v>0</v>
      </c>
      <c r="W301" s="291">
        <v>0</v>
      </c>
      <c r="X301" s="291">
        <v>0.39500000000000002</v>
      </c>
      <c r="Z301" s="291">
        <v>0</v>
      </c>
      <c r="AB301" s="291">
        <v>0</v>
      </c>
      <c r="AC301" s="291">
        <v>0.28749999999999998</v>
      </c>
      <c r="AP301" s="306"/>
      <c r="AQ301" s="306"/>
      <c r="AR301" s="306"/>
      <c r="AS301" s="306"/>
      <c r="AW301" s="291">
        <v>7.0522575955346001E-2</v>
      </c>
    </row>
    <row r="302" spans="2:49" x14ac:dyDescent="0.25">
      <c r="B302" s="296">
        <f t="shared" si="38"/>
        <v>45474</v>
      </c>
      <c r="E302" s="294">
        <v>7.0425307922287003E-2</v>
      </c>
      <c r="G302" s="294">
        <v>7.99681E-2</v>
      </c>
      <c r="J302" s="294">
        <v>0.1825</v>
      </c>
      <c r="K302" s="294">
        <v>0.215</v>
      </c>
      <c r="N302" s="294">
        <v>0</v>
      </c>
      <c r="W302" s="291">
        <v>0</v>
      </c>
      <c r="X302" s="291">
        <v>0.43</v>
      </c>
      <c r="Z302" s="291">
        <v>0</v>
      </c>
      <c r="AB302" s="291">
        <v>0</v>
      </c>
      <c r="AC302" s="291">
        <v>0.3</v>
      </c>
      <c r="AP302" s="306"/>
      <c r="AQ302" s="306"/>
      <c r="AR302" s="306"/>
      <c r="AS302" s="306"/>
      <c r="AW302" s="291">
        <v>7.0516977975654996E-2</v>
      </c>
    </row>
    <row r="303" spans="2:49" x14ac:dyDescent="0.25">
      <c r="B303" s="296">
        <f t="shared" si="38"/>
        <v>45505</v>
      </c>
      <c r="E303" s="294">
        <v>7.0419254482664007E-2</v>
      </c>
      <c r="G303" s="294">
        <v>7.99681E-2</v>
      </c>
      <c r="J303" s="294">
        <v>0.1825</v>
      </c>
      <c r="K303" s="294">
        <v>0.215</v>
      </c>
      <c r="N303" s="294">
        <v>0</v>
      </c>
      <c r="W303" s="291">
        <v>0</v>
      </c>
      <c r="X303" s="291">
        <v>0.495</v>
      </c>
      <c r="Z303" s="291">
        <v>0</v>
      </c>
      <c r="AB303" s="291">
        <v>0</v>
      </c>
      <c r="AC303" s="291">
        <v>0.3</v>
      </c>
      <c r="AP303" s="306"/>
      <c r="AQ303" s="306"/>
      <c r="AR303" s="306"/>
      <c r="AS303" s="306"/>
      <c r="AW303" s="291">
        <v>7.0511193396651003E-2</v>
      </c>
    </row>
    <row r="304" spans="2:49" x14ac:dyDescent="0.25">
      <c r="B304" s="296">
        <f t="shared" si="38"/>
        <v>45536</v>
      </c>
      <c r="E304" s="294">
        <v>7.0413201043053E-2</v>
      </c>
      <c r="G304" s="294">
        <v>7.99681E-2</v>
      </c>
      <c r="J304" s="294">
        <v>0.1825</v>
      </c>
      <c r="K304" s="294">
        <v>0.19500000000000001</v>
      </c>
      <c r="N304" s="294">
        <v>0</v>
      </c>
      <c r="W304" s="291">
        <v>0</v>
      </c>
      <c r="X304" s="291">
        <v>0.39500000000000002</v>
      </c>
      <c r="Z304" s="291">
        <v>0</v>
      </c>
      <c r="AB304" s="291">
        <v>0</v>
      </c>
      <c r="AC304" s="291">
        <v>0.28999999999999998</v>
      </c>
      <c r="AP304" s="306"/>
      <c r="AQ304" s="306"/>
      <c r="AR304" s="306"/>
      <c r="AS304" s="306"/>
      <c r="AW304" s="291">
        <v>7.0505408817659002E-2</v>
      </c>
    </row>
    <row r="305" spans="2:49" x14ac:dyDescent="0.25">
      <c r="B305" s="296">
        <f t="shared" si="38"/>
        <v>45566</v>
      </c>
      <c r="E305" s="294">
        <v>7.0407342875698997E-2</v>
      </c>
      <c r="G305" s="294">
        <v>7.99681E-2</v>
      </c>
      <c r="J305" s="294">
        <v>0.1875</v>
      </c>
      <c r="K305" s="294">
        <v>0.215</v>
      </c>
      <c r="N305" s="294">
        <v>0</v>
      </c>
      <c r="W305" s="291">
        <v>0</v>
      </c>
      <c r="X305" s="291">
        <v>0.46100000000000002</v>
      </c>
      <c r="Z305" s="291">
        <v>0</v>
      </c>
      <c r="AB305" s="291">
        <v>0</v>
      </c>
      <c r="AC305" s="291">
        <v>0.36249999999999999</v>
      </c>
      <c r="AP305" s="306"/>
      <c r="AQ305" s="306"/>
      <c r="AR305" s="306"/>
      <c r="AS305" s="306"/>
      <c r="AW305" s="291">
        <v>7.0499810837999999E-2</v>
      </c>
    </row>
    <row r="306" spans="2:49" x14ac:dyDescent="0.25">
      <c r="B306" s="296">
        <f t="shared" si="38"/>
        <v>45597</v>
      </c>
      <c r="E306" s="294">
        <v>7.0401289436112E-2</v>
      </c>
      <c r="G306" s="294">
        <v>1.1199999999999999E-5</v>
      </c>
      <c r="J306" s="294">
        <v>0.27</v>
      </c>
      <c r="K306" s="294">
        <v>0.28749999999999998</v>
      </c>
      <c r="N306" s="294">
        <v>0</v>
      </c>
      <c r="W306" s="291">
        <v>0</v>
      </c>
      <c r="X306" s="291">
        <v>0.76749999999999996</v>
      </c>
      <c r="Z306" s="291">
        <v>0</v>
      </c>
      <c r="AB306" s="291">
        <v>0</v>
      </c>
      <c r="AC306" s="291">
        <v>0.46500000000000002</v>
      </c>
      <c r="AP306" s="306"/>
      <c r="AQ306" s="306"/>
      <c r="AR306" s="306"/>
      <c r="AS306" s="306"/>
      <c r="AW306" s="291">
        <v>7.0494026259027995E-2</v>
      </c>
    </row>
    <row r="307" spans="2:49" x14ac:dyDescent="0.25">
      <c r="B307" s="296">
        <f t="shared" si="38"/>
        <v>45627</v>
      </c>
      <c r="E307" s="294">
        <v>7.0395431268781006E-2</v>
      </c>
      <c r="G307" s="294">
        <v>-1.4951900000000001E-2</v>
      </c>
      <c r="J307" s="294">
        <v>0.30499999999999999</v>
      </c>
      <c r="K307" s="294">
        <v>0.33750000000000002</v>
      </c>
      <c r="N307" s="294">
        <v>0</v>
      </c>
      <c r="W307" s="291">
        <v>0</v>
      </c>
      <c r="X307" s="291">
        <v>1.19</v>
      </c>
      <c r="Z307" s="291">
        <v>0</v>
      </c>
      <c r="AB307" s="291">
        <v>0</v>
      </c>
      <c r="AC307" s="291">
        <v>0.8</v>
      </c>
      <c r="AP307" s="306"/>
      <c r="AQ307" s="306"/>
      <c r="AR307" s="306"/>
      <c r="AS307" s="306"/>
      <c r="AW307" s="291">
        <v>7.0488428279389004E-2</v>
      </c>
    </row>
    <row r="308" spans="2:49" x14ac:dyDescent="0.25">
      <c r="B308" s="296">
        <f t="shared" si="38"/>
        <v>45658</v>
      </c>
      <c r="E308" s="294">
        <v>7.0389377829218003E-2</v>
      </c>
      <c r="G308" s="294">
        <v>-9.9550999999999997E-3</v>
      </c>
      <c r="J308" s="294">
        <v>0.30499999999999999</v>
      </c>
      <c r="K308" s="294">
        <v>0.4375</v>
      </c>
      <c r="N308" s="294">
        <v>0</v>
      </c>
      <c r="W308" s="291">
        <v>0</v>
      </c>
      <c r="X308" s="291">
        <v>1.5249999999999999</v>
      </c>
      <c r="Z308" s="291">
        <v>0</v>
      </c>
      <c r="AB308" s="291">
        <v>0</v>
      </c>
      <c r="AC308" s="291">
        <v>0.97499999999999998</v>
      </c>
      <c r="AP308" s="306"/>
      <c r="AQ308" s="306"/>
      <c r="AR308" s="306"/>
      <c r="AS308" s="306"/>
      <c r="AW308" s="291">
        <v>7.0482643700439995E-2</v>
      </c>
    </row>
    <row r="309" spans="2:49" x14ac:dyDescent="0.25">
      <c r="B309" s="296">
        <f t="shared" si="38"/>
        <v>45689</v>
      </c>
      <c r="E309" s="294">
        <v>7.0383324389666005E-2</v>
      </c>
      <c r="G309" s="294">
        <v>1.50425E-2</v>
      </c>
      <c r="J309" s="294">
        <v>0.30499999999999999</v>
      </c>
      <c r="K309" s="294">
        <v>0.435</v>
      </c>
      <c r="N309" s="294">
        <v>0</v>
      </c>
      <c r="W309" s="291">
        <v>0</v>
      </c>
      <c r="X309" s="291">
        <v>1.4550000000000001</v>
      </c>
      <c r="Z309" s="291">
        <v>0</v>
      </c>
      <c r="AB309" s="291">
        <v>0</v>
      </c>
      <c r="AC309" s="291">
        <v>0.97499999999999998</v>
      </c>
      <c r="AP309" s="306"/>
      <c r="AQ309" s="306"/>
      <c r="AR309" s="306"/>
      <c r="AS309" s="306"/>
      <c r="AW309" s="291">
        <v>7.0476859121502006E-2</v>
      </c>
    </row>
    <row r="310" spans="2:49" x14ac:dyDescent="0.25">
      <c r="B310" s="296">
        <f t="shared" si="38"/>
        <v>45717</v>
      </c>
      <c r="E310" s="294">
        <v>7.0377856766855998E-2</v>
      </c>
      <c r="G310" s="294">
        <v>2.5042499999999999E-2</v>
      </c>
      <c r="J310" s="294">
        <v>0.26500000000000001</v>
      </c>
      <c r="K310" s="294">
        <v>0.30249999999999999</v>
      </c>
      <c r="N310" s="294">
        <v>0</v>
      </c>
      <c r="W310" s="291">
        <v>0</v>
      </c>
      <c r="X310" s="291">
        <v>0.83499999999999996</v>
      </c>
      <c r="Z310" s="291">
        <v>0</v>
      </c>
      <c r="AB310" s="291">
        <v>0</v>
      </c>
      <c r="AC310" s="291">
        <v>0.60750000000000004</v>
      </c>
      <c r="AP310" s="306"/>
      <c r="AQ310" s="306"/>
      <c r="AR310" s="306"/>
      <c r="AS310" s="306"/>
      <c r="AW310" s="291">
        <v>7.0471634340534994E-2</v>
      </c>
    </row>
    <row r="311" spans="2:49" x14ac:dyDescent="0.25">
      <c r="B311" s="296">
        <f t="shared" si="38"/>
        <v>45748</v>
      </c>
      <c r="E311" s="294">
        <v>7.0371803327327995E-2</v>
      </c>
      <c r="G311" s="294">
        <v>8.4976599999999999E-2</v>
      </c>
      <c r="J311" s="294">
        <v>0.19500000000000001</v>
      </c>
      <c r="K311" s="294">
        <v>0.25</v>
      </c>
      <c r="N311" s="294">
        <v>0</v>
      </c>
      <c r="W311" s="291">
        <v>0</v>
      </c>
      <c r="X311" s="291">
        <v>0.45</v>
      </c>
      <c r="Z311" s="291">
        <v>0</v>
      </c>
      <c r="AB311" s="291">
        <v>0</v>
      </c>
      <c r="AC311" s="291">
        <v>0.35499999999999998</v>
      </c>
      <c r="AP311" s="306"/>
      <c r="AQ311" s="306"/>
      <c r="AR311" s="306"/>
      <c r="AS311" s="306"/>
      <c r="AW311" s="291">
        <v>7.0465849761619001E-2</v>
      </c>
    </row>
    <row r="312" spans="2:49" x14ac:dyDescent="0.25">
      <c r="E312" s="294">
        <v>7.0365945160053997E-2</v>
      </c>
      <c r="G312" s="294">
        <v>8.4968100000000005E-2</v>
      </c>
      <c r="J312" s="294">
        <v>0.1825</v>
      </c>
      <c r="K312" s="294">
        <v>0.20250000000000001</v>
      </c>
      <c r="N312" s="294">
        <v>0</v>
      </c>
      <c r="W312" s="291">
        <v>0</v>
      </c>
      <c r="X312" s="291">
        <v>0.40500000000000003</v>
      </c>
      <c r="Z312" s="291">
        <v>0</v>
      </c>
      <c r="AB312" s="291">
        <v>0</v>
      </c>
      <c r="AC312" s="291">
        <v>0.28749999999999998</v>
      </c>
      <c r="AP312" s="306"/>
      <c r="AQ312" s="306"/>
      <c r="AR312" s="306"/>
      <c r="AS312" s="306"/>
      <c r="AW312" s="291">
        <v>7.0460251782031996E-2</v>
      </c>
    </row>
    <row r="313" spans="2:49" x14ac:dyDescent="0.25">
      <c r="E313" s="294">
        <v>7.0359891720550002E-2</v>
      </c>
      <c r="G313" s="294">
        <v>8.4968100000000005E-2</v>
      </c>
      <c r="J313" s="294">
        <v>0.1825</v>
      </c>
      <c r="K313" s="294">
        <v>0.20250000000000001</v>
      </c>
      <c r="N313" s="294">
        <v>0</v>
      </c>
      <c r="W313" s="291">
        <v>0</v>
      </c>
      <c r="X313" s="291">
        <v>0.39500000000000002</v>
      </c>
      <c r="Z313" s="291">
        <v>0</v>
      </c>
      <c r="AB313" s="291">
        <v>0</v>
      </c>
      <c r="AC313" s="291">
        <v>0.28749999999999998</v>
      </c>
      <c r="AP313" s="306"/>
      <c r="AQ313" s="306"/>
      <c r="AR313" s="306"/>
      <c r="AS313" s="306"/>
      <c r="AW313" s="291">
        <v>7.0454467203136001E-2</v>
      </c>
    </row>
    <row r="314" spans="2:49" x14ac:dyDescent="0.25">
      <c r="E314" s="294">
        <v>7.0354033553299E-2</v>
      </c>
      <c r="G314" s="294">
        <v>8.4968100000000005E-2</v>
      </c>
      <c r="J314" s="294">
        <v>0.1825</v>
      </c>
      <c r="K314" s="294">
        <v>0.215</v>
      </c>
      <c r="N314" s="294">
        <v>0</v>
      </c>
      <c r="W314" s="291">
        <v>0</v>
      </c>
      <c r="X314" s="291">
        <v>0.43</v>
      </c>
      <c r="Z314" s="291">
        <v>0</v>
      </c>
      <c r="AB314" s="291">
        <v>0</v>
      </c>
      <c r="AC314" s="291">
        <v>0.3</v>
      </c>
      <c r="AP314" s="306"/>
      <c r="AQ314" s="306"/>
      <c r="AR314" s="306"/>
      <c r="AS314" s="306"/>
      <c r="AW314" s="291">
        <v>7.0448869223571006E-2</v>
      </c>
    </row>
    <row r="315" spans="2:49" x14ac:dyDescent="0.25">
      <c r="E315" s="294">
        <v>7.0347980113819E-2</v>
      </c>
      <c r="G315" s="294">
        <v>8.4968100000000005E-2</v>
      </c>
      <c r="J315" s="294">
        <v>0.1825</v>
      </c>
      <c r="K315" s="294">
        <v>0.215</v>
      </c>
      <c r="N315" s="294">
        <v>0</v>
      </c>
      <c r="W315" s="291">
        <v>0</v>
      </c>
      <c r="X315" s="291">
        <v>0.495</v>
      </c>
      <c r="Z315" s="291">
        <v>0</v>
      </c>
      <c r="AB315" s="291">
        <v>0</v>
      </c>
      <c r="AC315" s="291">
        <v>0.3</v>
      </c>
      <c r="AP315" s="306"/>
      <c r="AQ315" s="306"/>
      <c r="AR315" s="306"/>
      <c r="AS315" s="306"/>
      <c r="AW315" s="291">
        <v>7.0443084644698006E-2</v>
      </c>
    </row>
    <row r="316" spans="2:49" x14ac:dyDescent="0.25">
      <c r="E316" s="294">
        <v>7.0341926674351005E-2</v>
      </c>
      <c r="G316" s="294">
        <v>8.4968100000000005E-2</v>
      </c>
      <c r="J316" s="294">
        <v>0.1825</v>
      </c>
      <c r="K316" s="294">
        <v>0.19500000000000001</v>
      </c>
      <c r="N316" s="294">
        <v>0</v>
      </c>
      <c r="W316" s="291">
        <v>0</v>
      </c>
      <c r="X316" s="291">
        <v>0.39500000000000002</v>
      </c>
      <c r="Z316" s="291">
        <v>0</v>
      </c>
      <c r="AB316" s="291">
        <v>0</v>
      </c>
      <c r="AC316" s="291">
        <v>0.28999999999999998</v>
      </c>
      <c r="AP316" s="306"/>
      <c r="AQ316" s="306"/>
      <c r="AR316" s="306"/>
      <c r="AS316" s="306"/>
      <c r="AW316" s="291">
        <v>7.0437300065834998E-2</v>
      </c>
    </row>
    <row r="317" spans="2:49" x14ac:dyDescent="0.25">
      <c r="E317" s="294">
        <v>7.0336068507135002E-2</v>
      </c>
      <c r="G317" s="294">
        <v>8.4968100000000005E-2</v>
      </c>
      <c r="J317" s="294">
        <v>0.1875</v>
      </c>
      <c r="K317" s="294">
        <v>0.215</v>
      </c>
      <c r="N317" s="294">
        <v>0</v>
      </c>
      <c r="W317" s="291">
        <v>0</v>
      </c>
      <c r="X317" s="291">
        <v>0.46100000000000002</v>
      </c>
      <c r="Z317" s="291">
        <v>0</v>
      </c>
      <c r="AB317" s="291">
        <v>0</v>
      </c>
      <c r="AC317" s="291">
        <v>0.36249999999999999</v>
      </c>
      <c r="AP317" s="306"/>
      <c r="AQ317" s="306"/>
      <c r="AR317" s="306"/>
      <c r="AS317" s="306"/>
      <c r="AW317" s="291">
        <v>7.0431702086302006E-2</v>
      </c>
    </row>
    <row r="318" spans="2:49" x14ac:dyDescent="0.25">
      <c r="E318" s="294">
        <v>7.0330015067690002E-2</v>
      </c>
      <c r="G318" s="294">
        <v>5.0112000000000004E-3</v>
      </c>
      <c r="J318" s="294">
        <v>0.27</v>
      </c>
      <c r="K318" s="294">
        <v>0.28749999999999998</v>
      </c>
      <c r="N318" s="294">
        <v>0</v>
      </c>
      <c r="W318" s="291">
        <v>0</v>
      </c>
      <c r="X318" s="291">
        <v>0.76749999999999996</v>
      </c>
      <c r="Z318" s="291">
        <v>0</v>
      </c>
      <c r="AB318" s="291">
        <v>0</v>
      </c>
      <c r="AC318" s="291">
        <v>0.46500000000000002</v>
      </c>
      <c r="AP318" s="306"/>
      <c r="AQ318" s="306"/>
      <c r="AR318" s="306"/>
      <c r="AS318" s="306"/>
      <c r="AW318" s="291">
        <v>7.0425917507460994E-2</v>
      </c>
    </row>
    <row r="319" spans="2:49" x14ac:dyDescent="0.25">
      <c r="E319" s="294">
        <v>7.0324156900497994E-2</v>
      </c>
      <c r="G319" s="294">
        <v>-9.9518999999999996E-3</v>
      </c>
      <c r="J319" s="294">
        <v>0.30499999999999999</v>
      </c>
      <c r="K319" s="294">
        <v>0.33750000000000002</v>
      </c>
      <c r="N319" s="294">
        <v>0</v>
      </c>
      <c r="W319" s="291">
        <v>0</v>
      </c>
      <c r="X319" s="291">
        <v>1.19</v>
      </c>
      <c r="Z319" s="291">
        <v>0</v>
      </c>
      <c r="AB319" s="291">
        <v>0</v>
      </c>
      <c r="AC319" s="291">
        <v>0.8</v>
      </c>
      <c r="AP319" s="306"/>
      <c r="AQ319" s="306"/>
      <c r="AR319" s="306"/>
      <c r="AS319" s="306"/>
      <c r="AW319" s="291">
        <v>7.0420319527948E-2</v>
      </c>
    </row>
    <row r="320" spans="2:49" x14ac:dyDescent="0.25">
      <c r="E320" s="294">
        <v>7.0318103461077003E-2</v>
      </c>
      <c r="G320" s="294">
        <v>-4.9550999999999996E-3</v>
      </c>
      <c r="J320" s="294">
        <v>0.30499999999999999</v>
      </c>
      <c r="K320" s="294">
        <v>0.4375</v>
      </c>
      <c r="N320" s="294">
        <v>0</v>
      </c>
      <c r="W320" s="291">
        <v>0</v>
      </c>
      <c r="X320" s="291">
        <v>1.5249999999999999</v>
      </c>
      <c r="Z320" s="291">
        <v>0</v>
      </c>
      <c r="AB320" s="291">
        <v>0</v>
      </c>
      <c r="AC320" s="291">
        <v>0.97499999999999998</v>
      </c>
      <c r="AP320" s="306"/>
      <c r="AQ320" s="306"/>
      <c r="AR320" s="306"/>
      <c r="AS320" s="306"/>
      <c r="AW320" s="291">
        <v>7.0414534949129998E-2</v>
      </c>
    </row>
    <row r="321" spans="5:49" x14ac:dyDescent="0.25">
      <c r="E321" s="294">
        <v>7.0312050021668002E-2</v>
      </c>
      <c r="G321" s="294">
        <v>2.0042500000000001E-2</v>
      </c>
      <c r="J321" s="294">
        <v>0.30499999999999999</v>
      </c>
      <c r="K321" s="294">
        <v>0.435</v>
      </c>
      <c r="N321" s="294">
        <v>0</v>
      </c>
      <c r="W321" s="291">
        <v>0</v>
      </c>
      <c r="X321" s="291">
        <v>1.4550000000000001</v>
      </c>
      <c r="Z321" s="291">
        <v>0</v>
      </c>
      <c r="AB321" s="291">
        <v>0</v>
      </c>
      <c r="AC321" s="291">
        <v>0.97499999999999998</v>
      </c>
      <c r="AP321" s="306"/>
      <c r="AQ321" s="306"/>
      <c r="AR321" s="306"/>
      <c r="AS321" s="306"/>
      <c r="AW321" s="291">
        <v>7.0408750370322001E-2</v>
      </c>
    </row>
    <row r="322" spans="5:49" x14ac:dyDescent="0.25">
      <c r="E322" s="294">
        <v>7.0306582398987003E-2</v>
      </c>
      <c r="G322" s="294">
        <v>3.00425E-2</v>
      </c>
      <c r="J322" s="294">
        <v>0.26500000000000001</v>
      </c>
      <c r="K322" s="294">
        <v>0.30249999999999999</v>
      </c>
      <c r="N322" s="294">
        <v>0</v>
      </c>
      <c r="W322" s="291">
        <v>0</v>
      </c>
      <c r="X322" s="291">
        <v>0.83499999999999996</v>
      </c>
      <c r="Z322" s="291">
        <v>0</v>
      </c>
      <c r="AB322" s="291">
        <v>0</v>
      </c>
      <c r="AC322" s="291">
        <v>0.60750000000000004</v>
      </c>
      <c r="AP322" s="306"/>
      <c r="AQ322" s="306"/>
      <c r="AR322" s="306"/>
      <c r="AS322" s="306"/>
      <c r="AW322" s="291">
        <v>7.0403525589473007E-2</v>
      </c>
    </row>
    <row r="323" spans="5:49" x14ac:dyDescent="0.25">
      <c r="E323" s="294">
        <v>7.0300528959600997E-2</v>
      </c>
      <c r="G323" s="294">
        <v>8.9976600000000004E-2</v>
      </c>
      <c r="J323" s="294">
        <v>0.19500000000000001</v>
      </c>
      <c r="K323" s="294">
        <v>0.25</v>
      </c>
      <c r="N323" s="294">
        <v>0</v>
      </c>
      <c r="W323" s="291">
        <v>0</v>
      </c>
      <c r="X323" s="291">
        <v>0.45</v>
      </c>
      <c r="Z323" s="291">
        <v>0</v>
      </c>
      <c r="AB323" s="291">
        <v>0</v>
      </c>
      <c r="AC323" s="291">
        <v>0.35499999999999998</v>
      </c>
      <c r="AP323" s="306"/>
      <c r="AQ323" s="306"/>
      <c r="AR323" s="306"/>
      <c r="AS323" s="306"/>
      <c r="AW323" s="291">
        <v>7.0397741010685994E-2</v>
      </c>
    </row>
    <row r="324" spans="5:49" x14ac:dyDescent="0.25">
      <c r="E324" s="294">
        <v>7.0294670792465999E-2</v>
      </c>
      <c r="G324" s="294">
        <v>8.9968099999999995E-2</v>
      </c>
      <c r="J324" s="294">
        <v>0.1825</v>
      </c>
      <c r="K324" s="294">
        <v>0.20250000000000001</v>
      </c>
      <c r="N324" s="294">
        <v>0</v>
      </c>
      <c r="W324" s="291">
        <v>0</v>
      </c>
      <c r="X324" s="291">
        <v>0.40500000000000003</v>
      </c>
      <c r="Z324" s="291">
        <v>0</v>
      </c>
      <c r="AB324" s="291">
        <v>0</v>
      </c>
      <c r="AC324" s="291">
        <v>0.28749999999999998</v>
      </c>
      <c r="AP324" s="306"/>
      <c r="AQ324" s="306"/>
      <c r="AR324" s="306"/>
      <c r="AS324" s="306"/>
      <c r="AW324" s="291">
        <v>7.0392143031225998E-2</v>
      </c>
    </row>
    <row r="325" spans="5:49" x14ac:dyDescent="0.25">
      <c r="E325" s="294">
        <v>7.0288617353104002E-2</v>
      </c>
      <c r="G325" s="294">
        <v>8.9968099999999995E-2</v>
      </c>
      <c r="J325" s="294">
        <v>0.1825</v>
      </c>
      <c r="K325" s="294">
        <v>0.20250000000000001</v>
      </c>
      <c r="N325" s="294">
        <v>0</v>
      </c>
      <c r="W325" s="291">
        <v>0</v>
      </c>
      <c r="X325" s="291">
        <v>0.39500000000000002</v>
      </c>
      <c r="Z325" s="291">
        <v>0</v>
      </c>
      <c r="AB325" s="291">
        <v>0</v>
      </c>
      <c r="AC325" s="291">
        <v>0.28749999999999998</v>
      </c>
      <c r="AP325" s="306"/>
      <c r="AQ325" s="306"/>
      <c r="AR325" s="306"/>
      <c r="AS325" s="306"/>
      <c r="AW325" s="291">
        <v>7.0386358452460995E-2</v>
      </c>
    </row>
    <row r="326" spans="5:49" x14ac:dyDescent="0.25">
      <c r="E326" s="294">
        <v>7.0282759185999993E-2</v>
      </c>
      <c r="G326" s="294">
        <v>8.9968099999999995E-2</v>
      </c>
      <c r="J326" s="294">
        <v>0.1825</v>
      </c>
      <c r="K326" s="294">
        <v>0.215</v>
      </c>
      <c r="N326" s="294">
        <v>0</v>
      </c>
      <c r="W326" s="291">
        <v>0</v>
      </c>
      <c r="X326" s="291">
        <v>0.43</v>
      </c>
      <c r="Z326" s="291">
        <v>0</v>
      </c>
      <c r="AB326" s="291">
        <v>0</v>
      </c>
      <c r="AC326" s="291">
        <v>0.3</v>
      </c>
      <c r="AP326" s="306"/>
      <c r="AQ326" s="306"/>
      <c r="AR326" s="306"/>
      <c r="AS326" s="306"/>
      <c r="AW326" s="291">
        <v>7.0380760473020998E-2</v>
      </c>
    </row>
    <row r="327" spans="5:49" x14ac:dyDescent="0.25">
      <c r="E327" s="294">
        <v>7.0276705746653997E-2</v>
      </c>
      <c r="G327" s="294">
        <v>8.9968099999999995E-2</v>
      </c>
      <c r="J327" s="294">
        <v>0.1825</v>
      </c>
      <c r="K327" s="294">
        <v>0.215</v>
      </c>
      <c r="N327" s="294">
        <v>0</v>
      </c>
      <c r="W327" s="291">
        <v>0</v>
      </c>
      <c r="X327" s="291">
        <v>0.495</v>
      </c>
      <c r="Z327" s="291">
        <v>0</v>
      </c>
      <c r="AB327" s="291">
        <v>0</v>
      </c>
      <c r="AC327" s="291">
        <v>0.3</v>
      </c>
      <c r="AP327" s="306"/>
      <c r="AQ327" s="306"/>
      <c r="AR327" s="306"/>
      <c r="AS327" s="306"/>
      <c r="AW327" s="291">
        <v>7.0374975894278005E-2</v>
      </c>
    </row>
    <row r="328" spans="5:49" x14ac:dyDescent="0.25">
      <c r="E328" s="294">
        <v>7.0270652307327999E-2</v>
      </c>
      <c r="G328" s="294">
        <v>8.9968099999999995E-2</v>
      </c>
      <c r="J328" s="294">
        <v>0.1825</v>
      </c>
      <c r="K328" s="294">
        <v>0.19500000000000001</v>
      </c>
      <c r="N328" s="294">
        <v>0</v>
      </c>
      <c r="W328" s="291">
        <v>0</v>
      </c>
      <c r="X328" s="291">
        <v>0.39500000000000002</v>
      </c>
      <c r="Z328" s="291">
        <v>0</v>
      </c>
      <c r="AB328" s="291">
        <v>0</v>
      </c>
      <c r="AC328" s="291">
        <v>0.28999999999999998</v>
      </c>
      <c r="AP328" s="306"/>
      <c r="AQ328" s="306"/>
      <c r="AR328" s="306"/>
      <c r="AS328" s="306"/>
      <c r="AW328" s="291">
        <v>7.0369191315546004E-2</v>
      </c>
    </row>
    <row r="329" spans="5:49" x14ac:dyDescent="0.25">
      <c r="E329" s="294">
        <v>7.0264794140249998E-2</v>
      </c>
      <c r="G329" s="294">
        <v>8.9968099999999995E-2</v>
      </c>
      <c r="J329" s="294">
        <v>0.1875</v>
      </c>
      <c r="K329" s="294">
        <v>0.215</v>
      </c>
      <c r="N329" s="294">
        <v>0</v>
      </c>
      <c r="W329" s="291">
        <v>0</v>
      </c>
      <c r="X329" s="291">
        <v>0.46100000000000002</v>
      </c>
      <c r="Z329" s="291">
        <v>0</v>
      </c>
      <c r="AB329" s="291">
        <v>0</v>
      </c>
      <c r="AC329" s="291">
        <v>0.36249999999999999</v>
      </c>
      <c r="AP329" s="306"/>
      <c r="AQ329" s="306"/>
      <c r="AR329" s="306"/>
      <c r="AS329" s="306"/>
      <c r="AW329" s="291">
        <v>7.0363593336137994E-2</v>
      </c>
    </row>
    <row r="330" spans="5:49" x14ac:dyDescent="0.25">
      <c r="E330" s="294">
        <v>7.0258740700947994E-2</v>
      </c>
      <c r="G330" s="294">
        <v>1.00112E-2</v>
      </c>
      <c r="J330" s="294">
        <v>0.27</v>
      </c>
      <c r="K330" s="294">
        <v>0.28749999999999998</v>
      </c>
      <c r="N330" s="294">
        <v>0</v>
      </c>
      <c r="W330" s="291">
        <v>0</v>
      </c>
      <c r="X330" s="291">
        <v>0.76749999999999996</v>
      </c>
      <c r="Z330" s="291">
        <v>0</v>
      </c>
      <c r="AB330" s="291">
        <v>0</v>
      </c>
      <c r="AC330" s="291">
        <v>0.46500000000000002</v>
      </c>
      <c r="AP330" s="306"/>
      <c r="AQ330" s="306"/>
      <c r="AR330" s="306"/>
      <c r="AS330" s="306"/>
      <c r="AW330" s="291">
        <v>7.0357808757428003E-2</v>
      </c>
    </row>
    <row r="331" spans="5:49" x14ac:dyDescent="0.25">
      <c r="E331" s="294">
        <v>7.0252882533894001E-2</v>
      </c>
      <c r="G331" s="294">
        <v>-4.9519000000000004E-3</v>
      </c>
      <c r="J331" s="294">
        <v>0.30499999999999999</v>
      </c>
      <c r="K331" s="294">
        <v>0.33750000000000002</v>
      </c>
      <c r="N331" s="294">
        <v>0</v>
      </c>
      <c r="W331" s="291">
        <v>0</v>
      </c>
      <c r="X331" s="291">
        <v>1.19</v>
      </c>
      <c r="Z331" s="291">
        <v>0</v>
      </c>
      <c r="AB331" s="291">
        <v>0</v>
      </c>
      <c r="AC331" s="291">
        <v>0.8</v>
      </c>
      <c r="AP331" s="306"/>
      <c r="AQ331" s="306"/>
      <c r="AR331" s="306"/>
      <c r="AS331" s="306"/>
      <c r="AW331" s="291">
        <v>7.0352210778041005E-2</v>
      </c>
    </row>
    <row r="332" spans="5:49" x14ac:dyDescent="0.25">
      <c r="E332" s="294">
        <v>7.0246829094616006E-2</v>
      </c>
      <c r="G332" s="294">
        <v>4.4799999999999998E-5</v>
      </c>
      <c r="J332" s="294">
        <v>0.30499999999999999</v>
      </c>
      <c r="K332" s="294">
        <v>0.4375</v>
      </c>
      <c r="N332" s="294">
        <v>0</v>
      </c>
      <c r="W332" s="291">
        <v>0</v>
      </c>
      <c r="X332" s="291">
        <v>1.5249999999999999</v>
      </c>
      <c r="Z332" s="291">
        <v>0</v>
      </c>
      <c r="AB332" s="291">
        <v>0</v>
      </c>
      <c r="AC332" s="291">
        <v>0.97499999999999998</v>
      </c>
      <c r="AP332" s="306"/>
      <c r="AQ332" s="306"/>
      <c r="AR332" s="306"/>
      <c r="AS332" s="306"/>
      <c r="AW332" s="291">
        <v>7.0346426199352996E-2</v>
      </c>
    </row>
    <row r="333" spans="5:49" x14ac:dyDescent="0.25">
      <c r="E333" s="294">
        <v>7.0240775655350002E-2</v>
      </c>
      <c r="G333" s="294">
        <v>2.5042499999999999E-2</v>
      </c>
      <c r="J333" s="294">
        <v>0.30499999999999999</v>
      </c>
      <c r="K333" s="294">
        <v>0.435</v>
      </c>
      <c r="N333" s="294">
        <v>0</v>
      </c>
      <c r="W333" s="291">
        <v>0</v>
      </c>
      <c r="X333" s="291">
        <v>1.4550000000000001</v>
      </c>
      <c r="Z333" s="291">
        <v>0</v>
      </c>
      <c r="AB333" s="291">
        <v>0</v>
      </c>
      <c r="AC333" s="291">
        <v>0.97499999999999998</v>
      </c>
      <c r="AP333" s="306"/>
      <c r="AQ333" s="306"/>
      <c r="AR333" s="306"/>
      <c r="AS333" s="306"/>
      <c r="AW333" s="291">
        <v>7.0340641620675007E-2</v>
      </c>
    </row>
    <row r="334" spans="5:49" x14ac:dyDescent="0.25">
      <c r="E334" s="294">
        <v>7.0235308032796998E-2</v>
      </c>
      <c r="G334" s="294">
        <v>3.5042499999999997E-2</v>
      </c>
      <c r="J334" s="294">
        <v>0.26500000000000001</v>
      </c>
      <c r="K334" s="294">
        <v>0.30249999999999999</v>
      </c>
      <c r="N334" s="294">
        <v>0</v>
      </c>
      <c r="W334" s="291">
        <v>0</v>
      </c>
      <c r="X334" s="291">
        <v>0.83499999999999996</v>
      </c>
      <c r="Z334" s="291">
        <v>0</v>
      </c>
      <c r="AB334" s="291">
        <v>0</v>
      </c>
      <c r="AC334" s="291">
        <v>0.60750000000000004</v>
      </c>
      <c r="AP334" s="306"/>
      <c r="AQ334" s="306"/>
      <c r="AR334" s="306"/>
      <c r="AS334" s="306"/>
      <c r="AW334" s="291">
        <v>7.0335416839943002E-2</v>
      </c>
    </row>
    <row r="335" spans="5:49" x14ac:dyDescent="0.25">
      <c r="E335" s="294">
        <v>7.0229254593555002E-2</v>
      </c>
      <c r="G335" s="294">
        <v>9.4976599999999994E-2</v>
      </c>
      <c r="J335" s="294">
        <v>0.19500000000000001</v>
      </c>
      <c r="K335" s="294">
        <v>0.25</v>
      </c>
      <c r="N335" s="294">
        <v>0</v>
      </c>
      <c r="W335" s="291">
        <v>0</v>
      </c>
      <c r="X335" s="291">
        <v>0.45</v>
      </c>
      <c r="Z335" s="291">
        <v>0</v>
      </c>
      <c r="AB335" s="291">
        <v>0</v>
      </c>
      <c r="AC335" s="291">
        <v>0.35499999999999998</v>
      </c>
      <c r="AP335" s="306"/>
      <c r="AQ335" s="306"/>
      <c r="AR335" s="306"/>
      <c r="AS335" s="306"/>
      <c r="AW335" s="291">
        <v>7.0329632261286995E-2</v>
      </c>
    </row>
    <row r="336" spans="5:49" x14ac:dyDescent="0.25">
      <c r="E336" s="294">
        <v>7.0223396426556006E-2</v>
      </c>
      <c r="G336" s="294">
        <v>9.49681E-2</v>
      </c>
      <c r="J336" s="294">
        <v>0.1825</v>
      </c>
      <c r="K336" s="294">
        <v>0.20250000000000001</v>
      </c>
      <c r="N336" s="294">
        <v>0</v>
      </c>
      <c r="W336" s="291">
        <v>0</v>
      </c>
      <c r="X336" s="291">
        <v>0.40500000000000003</v>
      </c>
      <c r="Z336" s="291">
        <v>0</v>
      </c>
      <c r="AB336" s="291">
        <v>0</v>
      </c>
      <c r="AC336" s="291">
        <v>0.28749999999999998</v>
      </c>
      <c r="AP336" s="306"/>
      <c r="AQ336" s="306"/>
      <c r="AR336" s="306"/>
      <c r="AS336" s="306"/>
      <c r="AW336" s="291">
        <v>7.0324034281952996E-2</v>
      </c>
    </row>
    <row r="337" spans="5:49" x14ac:dyDescent="0.25">
      <c r="E337" s="294">
        <v>7.0217342987338005E-2</v>
      </c>
      <c r="G337" s="294">
        <v>9.49681E-2</v>
      </c>
      <c r="J337" s="294">
        <v>0.1825</v>
      </c>
      <c r="K337" s="294">
        <v>0.20250000000000001</v>
      </c>
      <c r="N337" s="294">
        <v>0</v>
      </c>
      <c r="W337" s="291">
        <v>0</v>
      </c>
      <c r="X337" s="291">
        <v>0.39500000000000002</v>
      </c>
      <c r="Z337" s="291">
        <v>0</v>
      </c>
      <c r="AB337" s="291">
        <v>0</v>
      </c>
      <c r="AC337" s="291">
        <v>0.28749999999999998</v>
      </c>
      <c r="AP337" s="306"/>
      <c r="AQ337" s="306"/>
      <c r="AR337" s="306"/>
      <c r="AS337" s="306"/>
      <c r="AW337" s="291">
        <v>7.0318249703318E-2</v>
      </c>
    </row>
    <row r="338" spans="5:49" x14ac:dyDescent="0.25">
      <c r="E338" s="294">
        <v>7.0211484820363004E-2</v>
      </c>
      <c r="G338" s="294">
        <v>9.49681E-2</v>
      </c>
      <c r="J338" s="294">
        <v>0.1825</v>
      </c>
      <c r="K338" s="294">
        <v>0.215</v>
      </c>
      <c r="N338" s="294">
        <v>0</v>
      </c>
      <c r="W338" s="291">
        <v>0</v>
      </c>
      <c r="X338" s="291">
        <v>0.43</v>
      </c>
      <c r="Z338" s="291">
        <v>0</v>
      </c>
      <c r="AB338" s="291">
        <v>0</v>
      </c>
      <c r="AC338" s="291">
        <v>0.3</v>
      </c>
      <c r="AP338" s="306"/>
      <c r="AQ338" s="306"/>
      <c r="AR338" s="306"/>
      <c r="AS338" s="306"/>
      <c r="AW338" s="291">
        <v>7.0312651724004999E-2</v>
      </c>
    </row>
    <row r="339" spans="5:49" x14ac:dyDescent="0.25">
      <c r="E339" s="294">
        <v>7.0205431381167999E-2</v>
      </c>
      <c r="G339" s="294">
        <v>9.49681E-2</v>
      </c>
      <c r="J339" s="294">
        <v>0.1825</v>
      </c>
      <c r="K339" s="294">
        <v>0.215</v>
      </c>
      <c r="N339" s="294">
        <v>0</v>
      </c>
      <c r="W339" s="291">
        <v>0</v>
      </c>
      <c r="X339" s="291">
        <v>0.495</v>
      </c>
      <c r="Z339" s="291">
        <v>0</v>
      </c>
      <c r="AB339" s="291">
        <v>0</v>
      </c>
      <c r="AC339" s="291">
        <v>0.3</v>
      </c>
      <c r="AP339" s="306"/>
      <c r="AQ339" s="306"/>
      <c r="AR339" s="306"/>
      <c r="AS339" s="306"/>
      <c r="AW339" s="291">
        <v>7.0306867145391999E-2</v>
      </c>
    </row>
    <row r="340" spans="5:49" x14ac:dyDescent="0.25">
      <c r="E340" s="294">
        <v>7.0199377941984997E-2</v>
      </c>
      <c r="G340" s="294">
        <v>9.49681E-2</v>
      </c>
      <c r="J340" s="294">
        <v>0.1825</v>
      </c>
      <c r="K340" s="294">
        <v>0.19500000000000001</v>
      </c>
      <c r="N340" s="294">
        <v>0</v>
      </c>
      <c r="W340" s="291">
        <v>0</v>
      </c>
      <c r="X340" s="291">
        <v>0.39500000000000002</v>
      </c>
      <c r="Z340" s="291">
        <v>0</v>
      </c>
      <c r="AB340" s="291">
        <v>0</v>
      </c>
      <c r="AC340" s="291">
        <v>0.28999999999999998</v>
      </c>
      <c r="AP340" s="306"/>
      <c r="AQ340" s="306"/>
      <c r="AR340" s="306"/>
      <c r="AS340" s="306"/>
      <c r="AW340" s="291">
        <v>7.0301082566790005E-2</v>
      </c>
    </row>
    <row r="341" spans="5:49" x14ac:dyDescent="0.25">
      <c r="E341" s="294">
        <v>7.0193519775044996E-2</v>
      </c>
      <c r="G341" s="294">
        <v>9.49681E-2</v>
      </c>
      <c r="J341" s="294">
        <v>0.1875</v>
      </c>
      <c r="K341" s="294">
        <v>0.215</v>
      </c>
      <c r="N341" s="294">
        <v>0</v>
      </c>
      <c r="W341" s="291">
        <v>0</v>
      </c>
      <c r="X341" s="291">
        <v>0.46100000000000002</v>
      </c>
      <c r="Z341" s="291">
        <v>0</v>
      </c>
      <c r="AB341" s="291">
        <v>0</v>
      </c>
      <c r="AC341" s="291">
        <v>0.36249999999999999</v>
      </c>
      <c r="AP341" s="306"/>
      <c r="AQ341" s="306"/>
      <c r="AR341" s="306"/>
      <c r="AS341" s="306"/>
      <c r="AW341" s="291">
        <v>7.0295484587509005E-2</v>
      </c>
    </row>
    <row r="342" spans="5:49" x14ac:dyDescent="0.25">
      <c r="E342" s="294">
        <v>7.0187466335886003E-2</v>
      </c>
      <c r="G342" s="294">
        <v>1.5011200000000001E-2</v>
      </c>
      <c r="J342" s="294">
        <v>0.27</v>
      </c>
      <c r="K342" s="294">
        <v>0.28749999999999998</v>
      </c>
      <c r="N342" s="294">
        <v>0</v>
      </c>
      <c r="W342" s="291">
        <v>0</v>
      </c>
      <c r="X342" s="291">
        <v>0.76749999999999996</v>
      </c>
      <c r="Z342" s="291">
        <v>0</v>
      </c>
      <c r="AB342" s="291">
        <v>0</v>
      </c>
      <c r="AC342" s="291">
        <v>0.46500000000000002</v>
      </c>
      <c r="AP342" s="306"/>
      <c r="AQ342" s="306"/>
      <c r="AR342" s="306"/>
      <c r="AS342" s="306"/>
      <c r="AW342" s="291">
        <v>7.0289700008927994E-2</v>
      </c>
    </row>
    <row r="343" spans="5:49" x14ac:dyDescent="0.25">
      <c r="E343" s="294">
        <v>7.0181608168968998E-2</v>
      </c>
      <c r="G343" s="294">
        <v>4.8000000000000001E-5</v>
      </c>
      <c r="J343" s="294">
        <v>0.30499999999999999</v>
      </c>
      <c r="K343" s="294">
        <v>0.33750000000000002</v>
      </c>
      <c r="N343" s="294">
        <v>0</v>
      </c>
      <c r="W343" s="291">
        <v>0</v>
      </c>
      <c r="X343" s="291">
        <v>1.19</v>
      </c>
      <c r="Z343" s="291">
        <v>0</v>
      </c>
      <c r="AB343" s="291">
        <v>0</v>
      </c>
      <c r="AC343" s="291">
        <v>0.8</v>
      </c>
      <c r="AP343" s="306"/>
      <c r="AQ343" s="306"/>
      <c r="AR343" s="306"/>
      <c r="AS343" s="306"/>
      <c r="AW343" s="291">
        <v>7.0284102029668005E-2</v>
      </c>
    </row>
    <row r="344" spans="5:49" x14ac:dyDescent="0.25">
      <c r="E344" s="294">
        <v>7.0175554729834E-2</v>
      </c>
      <c r="G344" s="294">
        <v>5.0448000000000003E-3</v>
      </c>
      <c r="J344" s="294">
        <v>0.30499999999999999</v>
      </c>
      <c r="K344" s="294">
        <v>0.4375</v>
      </c>
      <c r="N344" s="294">
        <v>0</v>
      </c>
      <c r="W344" s="291">
        <v>0</v>
      </c>
      <c r="X344" s="291">
        <v>1.5249999999999999</v>
      </c>
      <c r="Z344" s="291">
        <v>0</v>
      </c>
      <c r="AB344" s="291">
        <v>0</v>
      </c>
      <c r="AC344" s="291">
        <v>0.97499999999999998</v>
      </c>
      <c r="AP344" s="306"/>
      <c r="AQ344" s="306"/>
      <c r="AR344" s="306"/>
      <c r="AS344" s="306"/>
      <c r="AW344" s="291">
        <v>7.0278317451109004E-2</v>
      </c>
    </row>
    <row r="345" spans="5:49" x14ac:dyDescent="0.25">
      <c r="E345" s="294">
        <v>7.0169501290711006E-2</v>
      </c>
      <c r="G345" s="294">
        <v>3.00425E-2</v>
      </c>
      <c r="J345" s="294">
        <v>0.30499999999999999</v>
      </c>
      <c r="K345" s="294">
        <v>0.435</v>
      </c>
      <c r="N345" s="294">
        <v>0</v>
      </c>
      <c r="W345" s="291">
        <v>0</v>
      </c>
      <c r="X345" s="291">
        <v>1.4550000000000001</v>
      </c>
      <c r="Z345" s="291">
        <v>0</v>
      </c>
      <c r="AB345" s="291">
        <v>0</v>
      </c>
      <c r="AC345" s="291">
        <v>0.97499999999999998</v>
      </c>
      <c r="AP345" s="306"/>
      <c r="AQ345" s="306"/>
      <c r="AR345" s="306"/>
      <c r="AS345" s="306"/>
      <c r="AW345" s="291">
        <v>7.0272532872561994E-2</v>
      </c>
    </row>
    <row r="346" spans="5:49" x14ac:dyDescent="0.25">
      <c r="E346" s="294">
        <v>7.0163838396056999E-2</v>
      </c>
      <c r="G346" s="294">
        <v>4.0042500000000002E-2</v>
      </c>
      <c r="J346" s="294">
        <v>0.26500000000000001</v>
      </c>
      <c r="K346" s="294">
        <v>0.30249999999999999</v>
      </c>
      <c r="N346" s="294">
        <v>0</v>
      </c>
      <c r="W346" s="291">
        <v>0</v>
      </c>
      <c r="X346" s="291">
        <v>0.83499999999999996</v>
      </c>
      <c r="Z346" s="291">
        <v>0</v>
      </c>
      <c r="AB346" s="291">
        <v>0</v>
      </c>
      <c r="AC346" s="291">
        <v>0.60750000000000004</v>
      </c>
      <c r="AP346" s="306"/>
      <c r="AQ346" s="306"/>
      <c r="AR346" s="306"/>
      <c r="AS346" s="306"/>
      <c r="AW346" s="291">
        <v>7.0267121492640999E-2</v>
      </c>
    </row>
    <row r="347" spans="5:49" x14ac:dyDescent="0.25">
      <c r="E347" s="294">
        <v>7.0157784956958E-2</v>
      </c>
      <c r="G347" s="294">
        <v>9.9976599999999999E-2</v>
      </c>
      <c r="J347" s="294">
        <v>0.19500000000000001</v>
      </c>
      <c r="K347" s="294">
        <v>0.25</v>
      </c>
      <c r="N347" s="294">
        <v>0</v>
      </c>
      <c r="W347" s="291">
        <v>0</v>
      </c>
      <c r="X347" s="291">
        <v>0.45</v>
      </c>
      <c r="Z347" s="291">
        <v>0</v>
      </c>
      <c r="AB347" s="291">
        <v>0</v>
      </c>
      <c r="AC347" s="291">
        <v>0.35499999999999998</v>
      </c>
      <c r="AP347" s="306"/>
      <c r="AQ347" s="306"/>
      <c r="AR347" s="306"/>
      <c r="AS347" s="306"/>
      <c r="AW347" s="291">
        <v>7.0261336914115E-2</v>
      </c>
    </row>
    <row r="348" spans="5:49" x14ac:dyDescent="0.25">
      <c r="E348" s="294">
        <v>7.0151926790099003E-2</v>
      </c>
      <c r="G348" s="294">
        <v>9.9968100000000004E-2</v>
      </c>
      <c r="J348" s="294">
        <v>0.1825</v>
      </c>
      <c r="K348" s="294">
        <v>0.20250000000000001</v>
      </c>
      <c r="N348" s="294">
        <v>0</v>
      </c>
      <c r="W348" s="291">
        <v>0</v>
      </c>
      <c r="X348" s="291">
        <v>0.40500000000000003</v>
      </c>
      <c r="Z348" s="291">
        <v>0</v>
      </c>
      <c r="AB348" s="291">
        <v>0</v>
      </c>
      <c r="AC348" s="291">
        <v>0.28749999999999998</v>
      </c>
      <c r="AP348" s="306"/>
      <c r="AQ348" s="306"/>
      <c r="AR348" s="306"/>
      <c r="AS348" s="306"/>
      <c r="AW348" s="291">
        <v>7.0255738934906997E-2</v>
      </c>
    </row>
    <row r="349" spans="5:49" x14ac:dyDescent="0.25">
      <c r="E349" s="294">
        <v>7.0145873351023E-2</v>
      </c>
      <c r="G349" s="294">
        <v>9.9968100000000004E-2</v>
      </c>
      <c r="J349" s="294">
        <v>0.1825</v>
      </c>
      <c r="K349" s="294">
        <v>0.20250000000000001</v>
      </c>
      <c r="N349" s="294">
        <v>0</v>
      </c>
      <c r="W349" s="291">
        <v>0</v>
      </c>
      <c r="X349" s="291">
        <v>0.39500000000000002</v>
      </c>
      <c r="Z349" s="291">
        <v>0</v>
      </c>
      <c r="AB349" s="291">
        <v>0</v>
      </c>
      <c r="AC349" s="291">
        <v>0.28749999999999998</v>
      </c>
      <c r="AP349" s="306"/>
      <c r="AQ349" s="306"/>
      <c r="AR349" s="306"/>
      <c r="AS349" s="306"/>
      <c r="AW349" s="291">
        <v>7.0249954356402994E-2</v>
      </c>
    </row>
    <row r="350" spans="5:49" x14ac:dyDescent="0.25">
      <c r="E350" s="294">
        <v>7.0140015184186999E-2</v>
      </c>
      <c r="G350" s="294">
        <v>9.9968100000000004E-2</v>
      </c>
      <c r="J350" s="294">
        <v>0.1825</v>
      </c>
      <c r="K350" s="294">
        <v>0.215</v>
      </c>
      <c r="N350" s="294">
        <v>0</v>
      </c>
      <c r="W350" s="291">
        <v>0</v>
      </c>
      <c r="X350" s="291">
        <v>0.43</v>
      </c>
      <c r="Z350" s="291">
        <v>0</v>
      </c>
      <c r="AB350" s="291">
        <v>0</v>
      </c>
      <c r="AC350" s="291">
        <v>0.3</v>
      </c>
      <c r="AP350" s="306"/>
      <c r="AQ350" s="306"/>
      <c r="AR350" s="306"/>
      <c r="AS350" s="306"/>
      <c r="AW350" s="291">
        <v>7.0244356377216002E-2</v>
      </c>
    </row>
    <row r="351" spans="5:49" x14ac:dyDescent="0.25">
      <c r="E351" s="294">
        <v>7.0133961745134005E-2</v>
      </c>
      <c r="G351" s="294">
        <v>9.9968100000000004E-2</v>
      </c>
      <c r="J351" s="294">
        <v>0.1825</v>
      </c>
      <c r="K351" s="294">
        <v>0.215</v>
      </c>
      <c r="N351" s="294">
        <v>0</v>
      </c>
      <c r="W351" s="291">
        <v>0</v>
      </c>
      <c r="X351" s="291">
        <v>0.495</v>
      </c>
      <c r="Z351" s="291">
        <v>0</v>
      </c>
      <c r="AB351" s="291">
        <v>0</v>
      </c>
      <c r="AC351" s="291">
        <v>0.3</v>
      </c>
      <c r="AP351" s="306"/>
      <c r="AQ351" s="306"/>
      <c r="AR351" s="306"/>
      <c r="AS351" s="306"/>
      <c r="AW351" s="291">
        <v>7.0238571798733995E-2</v>
      </c>
    </row>
    <row r="352" spans="5:49" x14ac:dyDescent="0.25">
      <c r="E352" s="294">
        <v>7.0127908306094999E-2</v>
      </c>
      <c r="G352" s="294">
        <v>9.9968100000000004E-2</v>
      </c>
      <c r="J352" s="294">
        <v>0.1825</v>
      </c>
      <c r="K352" s="294">
        <v>0.19500000000000001</v>
      </c>
      <c r="N352" s="294">
        <v>0</v>
      </c>
      <c r="W352" s="291">
        <v>0</v>
      </c>
      <c r="X352" s="291">
        <v>0.39500000000000002</v>
      </c>
      <c r="Z352" s="291">
        <v>0</v>
      </c>
      <c r="AB352" s="291">
        <v>0</v>
      </c>
      <c r="AC352" s="291">
        <v>0.28999999999999998</v>
      </c>
      <c r="AP352" s="306"/>
      <c r="AQ352" s="306"/>
      <c r="AR352" s="306"/>
      <c r="AS352" s="306"/>
      <c r="AW352" s="291">
        <v>7.0232787220262993E-2</v>
      </c>
    </row>
    <row r="353" spans="5:49" x14ac:dyDescent="0.25">
      <c r="E353" s="294">
        <v>7.0122050139292999E-2</v>
      </c>
      <c r="G353" s="294">
        <v>9.9968100000000004E-2</v>
      </c>
      <c r="J353" s="294">
        <v>0.1875</v>
      </c>
      <c r="K353" s="294">
        <v>0.215</v>
      </c>
      <c r="N353" s="294">
        <v>0</v>
      </c>
      <c r="W353" s="291">
        <v>0</v>
      </c>
      <c r="X353" s="291">
        <v>0.46100000000000002</v>
      </c>
      <c r="Z353" s="291">
        <v>0</v>
      </c>
      <c r="AB353" s="291">
        <v>0</v>
      </c>
      <c r="AC353" s="291">
        <v>0.36249999999999999</v>
      </c>
      <c r="AP353" s="306"/>
      <c r="AQ353" s="306"/>
      <c r="AR353" s="306"/>
      <c r="AS353" s="306"/>
      <c r="AW353" s="291">
        <v>7.0227189241107005E-2</v>
      </c>
    </row>
    <row r="354" spans="5:49" x14ac:dyDescent="0.25">
      <c r="E354" s="294">
        <v>7.0115996700277003E-2</v>
      </c>
      <c r="G354" s="294">
        <v>2.00112E-2</v>
      </c>
      <c r="J354" s="294">
        <v>0.27</v>
      </c>
      <c r="K354" s="294">
        <v>0.28749999999999998</v>
      </c>
      <c r="N354" s="294">
        <v>0</v>
      </c>
      <c r="W354" s="291">
        <v>0</v>
      </c>
      <c r="X354" s="291">
        <v>0.76749999999999996</v>
      </c>
      <c r="Z354" s="291">
        <v>0</v>
      </c>
      <c r="AB354" s="291">
        <v>0</v>
      </c>
      <c r="AC354" s="291">
        <v>0.46500000000000002</v>
      </c>
      <c r="AP354" s="306"/>
      <c r="AQ354" s="306"/>
      <c r="AR354" s="306"/>
      <c r="AS354" s="306"/>
      <c r="AW354" s="291">
        <v>7.0221404662657999E-2</v>
      </c>
    </row>
    <row r="355" spans="5:49" x14ac:dyDescent="0.25">
      <c r="E355" s="294">
        <v>7.0110138533497998E-2</v>
      </c>
      <c r="G355" s="294">
        <v>5.0480000000000004E-3</v>
      </c>
      <c r="J355" s="294">
        <v>0.30499999999999999</v>
      </c>
      <c r="K355" s="294">
        <v>0.33750000000000002</v>
      </c>
      <c r="N355" s="294">
        <v>0</v>
      </c>
      <c r="W355" s="291">
        <v>0</v>
      </c>
      <c r="X355" s="291">
        <v>1.19</v>
      </c>
      <c r="Z355" s="291">
        <v>0</v>
      </c>
      <c r="AB355" s="291">
        <v>0</v>
      </c>
      <c r="AC355" s="291">
        <v>0.8</v>
      </c>
      <c r="AP355" s="306"/>
      <c r="AQ355" s="306"/>
      <c r="AR355" s="306"/>
      <c r="AS355" s="306"/>
      <c r="AW355" s="291">
        <v>7.0215806683524007E-2</v>
      </c>
    </row>
    <row r="356" spans="5:49" x14ac:dyDescent="0.25">
      <c r="E356" s="294">
        <v>7.0104085094505997E-2</v>
      </c>
      <c r="G356" s="294">
        <v>1.00448E-2</v>
      </c>
      <c r="J356" s="294">
        <v>0.30499999999999999</v>
      </c>
      <c r="K356" s="294">
        <v>0.4375</v>
      </c>
      <c r="N356" s="294">
        <v>0</v>
      </c>
      <c r="W356" s="291">
        <v>0</v>
      </c>
      <c r="X356" s="291">
        <v>1.5249999999999999</v>
      </c>
      <c r="Z356" s="291">
        <v>0</v>
      </c>
      <c r="AB356" s="291">
        <v>0</v>
      </c>
      <c r="AC356" s="291">
        <v>0.97499999999999998</v>
      </c>
      <c r="AP356" s="306"/>
      <c r="AQ356" s="306"/>
      <c r="AR356" s="306"/>
      <c r="AS356" s="306"/>
      <c r="AW356" s="291">
        <v>7.0210022105094999E-2</v>
      </c>
    </row>
    <row r="357" spans="5:49" x14ac:dyDescent="0.25">
      <c r="E357" s="294">
        <v>7.0098031655526E-2</v>
      </c>
      <c r="G357" s="294">
        <v>3.5042499999999997E-2</v>
      </c>
      <c r="J357" s="294">
        <v>0.30499999999999999</v>
      </c>
      <c r="K357" s="294">
        <v>0.435</v>
      </c>
      <c r="N357" s="294">
        <v>0</v>
      </c>
      <c r="W357" s="291">
        <v>0</v>
      </c>
      <c r="X357" s="291">
        <v>1.4550000000000001</v>
      </c>
      <c r="Z357" s="291">
        <v>0</v>
      </c>
      <c r="AB357" s="291">
        <v>0</v>
      </c>
      <c r="AC357" s="291">
        <v>0.97499999999999998</v>
      </c>
      <c r="AP357" s="306"/>
      <c r="AQ357" s="306"/>
      <c r="AR357" s="306"/>
      <c r="AS357" s="306"/>
      <c r="AW357" s="291">
        <v>7.0204237526678995E-2</v>
      </c>
    </row>
    <row r="358" spans="5:49" x14ac:dyDescent="0.25">
      <c r="E358" s="294">
        <v>7.0092564033231997E-2</v>
      </c>
      <c r="G358" s="294">
        <v>4.5042499999999999E-2</v>
      </c>
      <c r="J358" s="294">
        <v>0.26500000000000001</v>
      </c>
      <c r="K358" s="294">
        <v>0.30249999999999999</v>
      </c>
      <c r="N358" s="294">
        <v>0</v>
      </c>
      <c r="W358" s="291">
        <v>0</v>
      </c>
      <c r="X358" s="291">
        <v>0.83499999999999996</v>
      </c>
      <c r="Z358" s="291">
        <v>0</v>
      </c>
      <c r="AB358" s="291">
        <v>0</v>
      </c>
      <c r="AC358" s="291">
        <v>0.60750000000000004</v>
      </c>
      <c r="AP358" s="306"/>
      <c r="AQ358" s="306"/>
      <c r="AR358" s="306"/>
      <c r="AS358" s="306"/>
      <c r="AW358" s="291">
        <v>7.0199012746182995E-2</v>
      </c>
    </row>
    <row r="359" spans="5:49" x14ac:dyDescent="0.25">
      <c r="E359" s="294">
        <v>7.0086510594273996E-2</v>
      </c>
      <c r="G359" s="294">
        <v>0.1049766</v>
      </c>
      <c r="J359" s="294">
        <v>0.19500000000000001</v>
      </c>
      <c r="K359" s="294">
        <v>0.25</v>
      </c>
      <c r="N359" s="294">
        <v>0</v>
      </c>
      <c r="W359" s="291">
        <v>0</v>
      </c>
      <c r="X359" s="291">
        <v>0.45</v>
      </c>
      <c r="Z359" s="291">
        <v>0</v>
      </c>
      <c r="AB359" s="291">
        <v>0</v>
      </c>
      <c r="AC359" s="291">
        <v>0.35499999999999998</v>
      </c>
      <c r="AP359" s="306"/>
      <c r="AQ359" s="306"/>
      <c r="AR359" s="306"/>
      <c r="AS359" s="306"/>
      <c r="AW359" s="291">
        <v>7.0193228167787003E-2</v>
      </c>
    </row>
    <row r="360" spans="5:49" x14ac:dyDescent="0.25">
      <c r="E360" s="294">
        <v>7.0080652427553999E-2</v>
      </c>
      <c r="G360" s="294">
        <v>0.10496809999999999</v>
      </c>
      <c r="J360" s="294">
        <v>0.1825</v>
      </c>
      <c r="K360" s="294">
        <v>0.20250000000000001</v>
      </c>
      <c r="N360" s="294">
        <v>0</v>
      </c>
      <c r="W360" s="291">
        <v>0</v>
      </c>
      <c r="X360" s="291">
        <v>0.40500000000000003</v>
      </c>
      <c r="Z360" s="291">
        <v>0</v>
      </c>
      <c r="AB360" s="291">
        <v>0</v>
      </c>
      <c r="AC360" s="291">
        <v>0.28749999999999998</v>
      </c>
      <c r="AP360" s="306"/>
      <c r="AQ360" s="306"/>
      <c r="AR360" s="306"/>
      <c r="AS360" s="306"/>
      <c r="AW360" s="291">
        <v>7.0187630188705996E-2</v>
      </c>
    </row>
    <row r="361" spans="5:49" x14ac:dyDescent="0.25">
      <c r="E361" s="294">
        <v>7.0074598988619993E-2</v>
      </c>
      <c r="G361" s="294">
        <v>0.10496809999999999</v>
      </c>
      <c r="J361" s="294">
        <v>0.1825</v>
      </c>
      <c r="K361" s="294">
        <v>0.20250000000000001</v>
      </c>
      <c r="N361" s="294">
        <v>0</v>
      </c>
      <c r="W361" s="291">
        <v>0</v>
      </c>
      <c r="X361" s="291">
        <v>0.39500000000000002</v>
      </c>
      <c r="Z361" s="291">
        <v>0</v>
      </c>
      <c r="AB361" s="291">
        <v>0</v>
      </c>
      <c r="AC361" s="291">
        <v>0.28749999999999998</v>
      </c>
      <c r="AP361" s="306"/>
      <c r="AQ361" s="306"/>
      <c r="AR361" s="306"/>
      <c r="AS361" s="306"/>
      <c r="AW361" s="291">
        <v>7.0181845610332E-2</v>
      </c>
    </row>
    <row r="362" spans="5:49" x14ac:dyDescent="0.25">
      <c r="E362" s="294">
        <v>7.0068740821921993E-2</v>
      </c>
      <c r="G362" s="294">
        <v>0.10496809999999999</v>
      </c>
      <c r="J362" s="294">
        <v>0.1825</v>
      </c>
      <c r="K362" s="294">
        <v>0.215</v>
      </c>
      <c r="N362" s="294">
        <v>0</v>
      </c>
      <c r="W362" s="291">
        <v>0</v>
      </c>
      <c r="X362" s="291">
        <v>0.43</v>
      </c>
      <c r="Z362" s="291">
        <v>0</v>
      </c>
      <c r="AB362" s="291">
        <v>0</v>
      </c>
      <c r="AC362" s="291">
        <v>0.3</v>
      </c>
      <c r="AP362" s="306"/>
      <c r="AQ362" s="306"/>
      <c r="AR362" s="306"/>
      <c r="AS362" s="306"/>
      <c r="AW362" s="291">
        <v>7.0176247631271005E-2</v>
      </c>
    </row>
    <row r="363" spans="5:49" x14ac:dyDescent="0.25">
      <c r="E363" s="294">
        <v>7.0062687383012995E-2</v>
      </c>
      <c r="G363" s="294">
        <v>0.10496809999999999</v>
      </c>
      <c r="J363" s="294">
        <v>0.1825</v>
      </c>
      <c r="K363" s="294">
        <v>0.215</v>
      </c>
      <c r="N363" s="294">
        <v>0</v>
      </c>
      <c r="W363" s="291">
        <v>0</v>
      </c>
      <c r="X363" s="291">
        <v>0.495</v>
      </c>
      <c r="Z363" s="291">
        <v>0</v>
      </c>
      <c r="AB363" s="291">
        <v>0</v>
      </c>
      <c r="AC363" s="291">
        <v>0.3</v>
      </c>
      <c r="AP363" s="306"/>
      <c r="AQ363" s="306"/>
      <c r="AR363" s="306"/>
      <c r="AS363" s="306"/>
      <c r="AW363" s="291">
        <v>7.0170463052919005E-2</v>
      </c>
    </row>
    <row r="364" spans="5:49" x14ac:dyDescent="0.25">
      <c r="E364" s="294">
        <v>7.0056633944116001E-2</v>
      </c>
      <c r="G364" s="294">
        <v>0.10496809999999999</v>
      </c>
      <c r="J364" s="294">
        <v>0.1825</v>
      </c>
      <c r="K364" s="294">
        <v>0.19500000000000001</v>
      </c>
      <c r="N364" s="294">
        <v>0</v>
      </c>
      <c r="W364" s="291">
        <v>0</v>
      </c>
      <c r="X364" s="291">
        <v>0.39500000000000002</v>
      </c>
      <c r="Z364" s="291">
        <v>0</v>
      </c>
      <c r="AB364" s="291">
        <v>0</v>
      </c>
      <c r="AC364" s="291">
        <v>0.28999999999999998</v>
      </c>
      <c r="AP364" s="306"/>
      <c r="AQ364" s="306"/>
      <c r="AR364" s="306"/>
      <c r="AS364" s="306"/>
      <c r="AW364" s="291">
        <v>7.0164678474577996E-2</v>
      </c>
    </row>
    <row r="365" spans="5:49" x14ac:dyDescent="0.25">
      <c r="E365" s="294">
        <v>7.0050775777452001E-2</v>
      </c>
      <c r="G365" s="294">
        <v>0.10496809999999999</v>
      </c>
      <c r="J365" s="294">
        <v>0.1875</v>
      </c>
      <c r="K365" s="294">
        <v>0.215</v>
      </c>
      <c r="N365" s="294">
        <v>0</v>
      </c>
      <c r="W365" s="291">
        <v>0</v>
      </c>
      <c r="X365" s="291">
        <v>0.46100000000000002</v>
      </c>
      <c r="Z365" s="291">
        <v>0</v>
      </c>
      <c r="AB365" s="291">
        <v>0</v>
      </c>
      <c r="AC365" s="291">
        <v>0.36249999999999999</v>
      </c>
      <c r="AP365" s="306"/>
      <c r="AQ365" s="306"/>
      <c r="AR365" s="306"/>
      <c r="AS365" s="306"/>
      <c r="AW365" s="291">
        <v>7.0159080495549003E-2</v>
      </c>
    </row>
    <row r="366" spans="5:49" x14ac:dyDescent="0.25">
      <c r="E366" s="294">
        <v>7.0044722338578003E-2</v>
      </c>
      <c r="G366" s="294">
        <v>2.5011200000000001E-2</v>
      </c>
      <c r="J366" s="294">
        <v>0.27</v>
      </c>
      <c r="K366" s="294">
        <v>0.28749999999999998</v>
      </c>
      <c r="N366" s="294">
        <v>0</v>
      </c>
      <c r="W366" s="291">
        <v>0</v>
      </c>
      <c r="X366" s="291">
        <v>0.76749999999999996</v>
      </c>
      <c r="Z366" s="291">
        <v>0</v>
      </c>
      <c r="AB366" s="291">
        <v>0</v>
      </c>
      <c r="AC366" s="291">
        <v>0.46500000000000002</v>
      </c>
      <c r="AP366" s="306"/>
      <c r="AQ366" s="306"/>
      <c r="AR366" s="306"/>
      <c r="AS366" s="306"/>
      <c r="AW366" s="291">
        <v>7.0153295917230005E-2</v>
      </c>
    </row>
    <row r="367" spans="5:49" x14ac:dyDescent="0.25">
      <c r="E367" s="294">
        <v>7.0038864171937998E-2</v>
      </c>
      <c r="G367" s="294">
        <v>1.0048E-2</v>
      </c>
      <c r="J367" s="294">
        <v>0.30499999999999999</v>
      </c>
      <c r="K367" s="294">
        <v>0.33750000000000002</v>
      </c>
      <c r="N367" s="294">
        <v>0</v>
      </c>
      <c r="W367" s="291">
        <v>0</v>
      </c>
      <c r="X367" s="291">
        <v>1.19</v>
      </c>
      <c r="Z367" s="291">
        <v>0</v>
      </c>
      <c r="AB367" s="291">
        <v>0</v>
      </c>
      <c r="AC367" s="291">
        <v>0.8</v>
      </c>
      <c r="AP367" s="306"/>
      <c r="AQ367" s="306"/>
      <c r="AR367" s="306"/>
      <c r="AS367" s="306"/>
      <c r="AW367" s="291">
        <v>7.0147697938220996E-2</v>
      </c>
    </row>
    <row r="368" spans="5:49" x14ac:dyDescent="0.25">
      <c r="E368" s="294">
        <v>7.0032810733087994E-2</v>
      </c>
      <c r="AW368" s="291">
        <v>7.0141913359923994E-2</v>
      </c>
    </row>
    <row r="369" spans="5:49" x14ac:dyDescent="0.25">
      <c r="E369" s="294">
        <v>7.0026757294250994E-2</v>
      </c>
      <c r="AW369" s="291">
        <v>7.0136128781637996E-2</v>
      </c>
    </row>
    <row r="370" spans="5:49" x14ac:dyDescent="0.25">
      <c r="E370" s="294">
        <v>7.0021289672085998E-2</v>
      </c>
      <c r="AW370" s="291">
        <v>7.0130904001259001E-2</v>
      </c>
    </row>
    <row r="371" spans="5:49" x14ac:dyDescent="0.25">
      <c r="E371" s="294">
        <v>7.0015236233270994E-2</v>
      </c>
      <c r="AW371" s="291">
        <v>7.0125119422999996E-2</v>
      </c>
    </row>
    <row r="372" spans="5:49" x14ac:dyDescent="0.25">
      <c r="E372" s="294">
        <v>7.0009378066687999E-2</v>
      </c>
      <c r="AW372" s="291">
        <v>7.0119521444038005E-2</v>
      </c>
    </row>
    <row r="373" spans="5:49" x14ac:dyDescent="0.25">
      <c r="E373" s="294">
        <v>7.0003324627897004E-2</v>
      </c>
      <c r="AW373" s="291">
        <v>7.0113736865795001E-2</v>
      </c>
    </row>
    <row r="374" spans="5:49" x14ac:dyDescent="0.25">
      <c r="E374" s="294">
        <v>6.9997466461337005E-2</v>
      </c>
      <c r="AW374" s="291">
        <v>7.0108138886860003E-2</v>
      </c>
    </row>
    <row r="375" spans="5:49" x14ac:dyDescent="0.25">
      <c r="E375" s="294">
        <v>6.9991413022570004E-2</v>
      </c>
      <c r="AW375" s="291">
        <v>7.0102354308637996E-2</v>
      </c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267" r:id="rId4" name="CommandButton3">
          <controlPr defaultSize="0" autoLine="0" r:id="rId5">
            <anchor moveWithCells="1">
              <from>
                <xdr:col>2</xdr:col>
                <xdr:colOff>441960</xdr:colOff>
                <xdr:row>5</xdr:row>
                <xdr:rowOff>76200</xdr:rowOff>
              </from>
              <to>
                <xdr:col>3</xdr:col>
                <xdr:colOff>106680</xdr:colOff>
                <xdr:row>7</xdr:row>
                <xdr:rowOff>30480</xdr:rowOff>
              </to>
            </anchor>
          </controlPr>
        </control>
      </mc:Choice>
      <mc:Fallback>
        <control shapeId="11267" r:id="rId4" name="CommandButton3"/>
      </mc:Fallback>
    </mc:AlternateContent>
    <mc:AlternateContent xmlns:mc="http://schemas.openxmlformats.org/markup-compatibility/2006">
      <mc:Choice Requires="x14">
        <control shapeId="11266" r:id="rId6" name="CommandButton2">
          <controlPr defaultSize="0" autoLine="0" r:id="rId7">
            <anchor moveWithCells="1">
              <from>
                <xdr:col>1</xdr:col>
                <xdr:colOff>289560</xdr:colOff>
                <xdr:row>5</xdr:row>
                <xdr:rowOff>76200</xdr:rowOff>
              </from>
              <to>
                <xdr:col>2</xdr:col>
                <xdr:colOff>167640</xdr:colOff>
                <xdr:row>7</xdr:row>
                <xdr:rowOff>30480</xdr:rowOff>
              </to>
            </anchor>
          </controlPr>
        </control>
      </mc:Choice>
      <mc:Fallback>
        <control shapeId="11266" r:id="rId6" name="CommandButton2"/>
      </mc:Fallback>
    </mc:AlternateContent>
    <mc:AlternateContent xmlns:mc="http://schemas.openxmlformats.org/markup-compatibility/2006">
      <mc:Choice Requires="x14">
        <control shapeId="11265" r:id="rId8" name="CommandButton1">
          <controlPr defaultSize="0" autoLine="0" r:id="rId9">
            <anchor moveWithCells="1">
              <from>
                <xdr:col>0</xdr:col>
                <xdr:colOff>190500</xdr:colOff>
                <xdr:row>5</xdr:row>
                <xdr:rowOff>68580</xdr:rowOff>
              </from>
              <to>
                <xdr:col>1</xdr:col>
                <xdr:colOff>175260</xdr:colOff>
                <xdr:row>7</xdr:row>
                <xdr:rowOff>22860</xdr:rowOff>
              </to>
            </anchor>
          </controlPr>
        </control>
      </mc:Choice>
      <mc:Fallback>
        <control shapeId="11265" r:id="rId8" name="CommandButton1"/>
      </mc:Fallback>
    </mc:AlternateContent>
    <mc:AlternateContent xmlns:mc="http://schemas.openxmlformats.org/markup-compatibility/2006">
      <mc:Choice Requires="x14">
        <control shapeId="11268" r:id="rId10" name="Button 4">
          <controlPr defaultSize="0" print="0" autoFill="0" autoPict="0" macro="[0]!LoadinCurves">
            <anchor moveWithCells="1" sizeWithCells="1">
              <from>
                <xdr:col>0</xdr:col>
                <xdr:colOff>266700</xdr:colOff>
                <xdr:row>7</xdr:row>
                <xdr:rowOff>45720</xdr:rowOff>
              </from>
              <to>
                <xdr:col>2</xdr:col>
                <xdr:colOff>38100</xdr:colOff>
                <xdr:row>9</xdr:row>
                <xdr:rowOff>7620</xdr:rowOff>
              </to>
            </anchor>
          </controlPr>
        </control>
      </mc:Choice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BC488"/>
  <sheetViews>
    <sheetView workbookViewId="0">
      <selection activeCell="L11" sqref="L11:N235"/>
    </sheetView>
  </sheetViews>
  <sheetFormatPr defaultColWidth="9.109375" defaultRowHeight="12" x14ac:dyDescent="0.25"/>
  <cols>
    <col min="1" max="1" width="9.109375" style="291"/>
    <col min="2" max="2" width="11.5546875" style="296" bestFit="1" customWidth="1"/>
    <col min="3" max="4" width="9.109375" style="294"/>
    <col min="5" max="6" width="11.44140625" style="294" customWidth="1"/>
    <col min="7" max="7" width="13.5546875" style="294" bestFit="1" customWidth="1"/>
    <col min="8" max="8" width="11.44140625" style="294" customWidth="1"/>
    <col min="9" max="9" width="10.5546875" style="294" customWidth="1"/>
    <col min="10" max="11" width="9.109375" style="294"/>
    <col min="12" max="12" width="13.109375" style="294" bestFit="1" customWidth="1"/>
    <col min="13" max="13" width="13" style="294" bestFit="1" customWidth="1"/>
    <col min="14" max="14" width="10.33203125" style="294" customWidth="1"/>
    <col min="15" max="15" width="9.6640625" style="294" bestFit="1" customWidth="1"/>
    <col min="16" max="16" width="11.88671875" style="294" bestFit="1" customWidth="1"/>
    <col min="17" max="17" width="10.109375" style="294" bestFit="1" customWidth="1"/>
    <col min="18" max="18" width="11.33203125" style="291" bestFit="1" customWidth="1"/>
    <col min="19" max="19" width="11.109375" style="291" bestFit="1" customWidth="1"/>
    <col min="20" max="20" width="11.109375" style="291" customWidth="1"/>
    <col min="21" max="21" width="11.33203125" style="291" customWidth="1"/>
    <col min="22" max="22" width="15.33203125" style="291" bestFit="1" customWidth="1"/>
    <col min="23" max="23" width="15" style="291" customWidth="1"/>
    <col min="24" max="24" width="14.33203125" style="291" customWidth="1"/>
    <col min="25" max="27" width="10.88671875" style="291" customWidth="1"/>
    <col min="28" max="43" width="9.109375" style="291"/>
    <col min="44" max="44" width="9.6640625" style="291" bestFit="1" customWidth="1"/>
    <col min="45" max="49" width="9.109375" style="291"/>
    <col min="50" max="50" width="13.109375" style="291" bestFit="1" customWidth="1"/>
    <col min="51" max="51" width="13.109375" style="291" customWidth="1"/>
    <col min="52" max="52" width="9.5546875" style="291" bestFit="1" customWidth="1"/>
    <col min="53" max="16384" width="9.109375" style="291"/>
  </cols>
  <sheetData>
    <row r="1" spans="1:55" x14ac:dyDescent="0.25">
      <c r="A1" s="291" t="s">
        <v>180</v>
      </c>
      <c r="B1" s="292" t="s">
        <v>181</v>
      </c>
      <c r="C1" s="293" t="s">
        <v>182</v>
      </c>
    </row>
    <row r="2" spans="1:55" x14ac:dyDescent="0.25">
      <c r="A2" s="291" t="s">
        <v>183</v>
      </c>
      <c r="B2" s="292" t="s">
        <v>181</v>
      </c>
      <c r="C2" s="293" t="s">
        <v>184</v>
      </c>
    </row>
    <row r="3" spans="1:55" x14ac:dyDescent="0.25">
      <c r="A3" s="291" t="s">
        <v>185</v>
      </c>
      <c r="B3" s="292" t="s">
        <v>186</v>
      </c>
      <c r="C3" s="293" t="s">
        <v>187</v>
      </c>
      <c r="AD3" s="299"/>
      <c r="AE3" s="299"/>
    </row>
    <row r="4" spans="1:55" ht="13.2" x14ac:dyDescent="0.25">
      <c r="B4" s="292"/>
      <c r="C4" s="293"/>
      <c r="AD4" s="292"/>
      <c r="AE4" s="292"/>
      <c r="BA4" s="302"/>
      <c r="BB4" s="302"/>
      <c r="BC4" s="302"/>
    </row>
    <row r="5" spans="1:55" ht="13.2" x14ac:dyDescent="0.25">
      <c r="A5" s="291" t="s">
        <v>188</v>
      </c>
      <c r="B5" s="295">
        <v>36766</v>
      </c>
      <c r="C5" s="293" t="s">
        <v>189</v>
      </c>
      <c r="AD5" s="292"/>
      <c r="AE5" s="292"/>
      <c r="BA5" s="302"/>
      <c r="BB5" s="302"/>
      <c r="BC5" s="302"/>
    </row>
    <row r="6" spans="1:55" ht="13.2" x14ac:dyDescent="0.25">
      <c r="B6" s="292"/>
      <c r="C6" s="293"/>
      <c r="AD6" s="304"/>
      <c r="AE6" s="304"/>
      <c r="BA6" s="304"/>
      <c r="BB6" s="304"/>
      <c r="BC6" s="304"/>
    </row>
    <row r="7" spans="1:55" ht="13.2" x14ac:dyDescent="0.25">
      <c r="B7" s="292"/>
      <c r="C7" s="293"/>
      <c r="AD7" s="304"/>
      <c r="AE7" s="304"/>
    </row>
    <row r="8" spans="1:55" x14ac:dyDescent="0.25">
      <c r="C8" s="297"/>
    </row>
    <row r="10" spans="1:55" x14ac:dyDescent="0.25">
      <c r="C10" s="294">
        <v>1</v>
      </c>
      <c r="D10" s="294">
        <v>2</v>
      </c>
      <c r="E10" s="294">
        <v>3</v>
      </c>
      <c r="F10" s="294">
        <v>4</v>
      </c>
      <c r="G10" s="294">
        <v>5</v>
      </c>
      <c r="L10" s="291"/>
      <c r="M10" s="291"/>
      <c r="N10" s="291"/>
      <c r="O10" s="291"/>
      <c r="P10" s="291"/>
      <c r="Q10" s="291"/>
    </row>
    <row r="11" spans="1:55" x14ac:dyDescent="0.25">
      <c r="B11" s="298" t="s">
        <v>123</v>
      </c>
      <c r="C11" s="299">
        <f>EffDt1</f>
        <v>36766</v>
      </c>
      <c r="D11" s="299">
        <f>EffDt1</f>
        <v>36766</v>
      </c>
      <c r="E11" s="299">
        <f>EffDt1</f>
        <v>36766</v>
      </c>
      <c r="F11" s="299">
        <f>EffDt1</f>
        <v>36766</v>
      </c>
      <c r="G11" s="299">
        <f>EffDt1</f>
        <v>36766</v>
      </c>
      <c r="H11" s="299"/>
      <c r="I11" s="299"/>
      <c r="J11" s="299"/>
      <c r="K11" s="299"/>
      <c r="L11" s="299">
        <v>36766</v>
      </c>
      <c r="M11" s="299">
        <v>36766</v>
      </c>
      <c r="N11" s="299">
        <v>36766</v>
      </c>
      <c r="O11" s="299">
        <v>36739</v>
      </c>
      <c r="P11" s="299">
        <v>36739</v>
      </c>
      <c r="Q11" s="291"/>
    </row>
    <row r="12" spans="1:55" x14ac:dyDescent="0.25">
      <c r="B12" s="298" t="s">
        <v>124</v>
      </c>
      <c r="C12" s="292">
        <f>EOMONTH(C11,-1)+1</f>
        <v>36739</v>
      </c>
      <c r="D12" s="292">
        <f>EOMONTH(D11,-1)+1</f>
        <v>36739</v>
      </c>
      <c r="E12" s="292">
        <f>EOMONTH(E11,-1)+1</f>
        <v>36739</v>
      </c>
      <c r="F12" s="292">
        <f>EOMONTH(F11,-1)+1</f>
        <v>36739</v>
      </c>
      <c r="G12" s="292">
        <f>EOMONTH(G11,-1)+1</f>
        <v>36739</v>
      </c>
      <c r="H12" s="292"/>
      <c r="I12" s="292"/>
      <c r="J12" s="292"/>
      <c r="K12" s="292"/>
      <c r="L12" s="291">
        <v>36739</v>
      </c>
      <c r="M12" s="291">
        <v>36739</v>
      </c>
      <c r="N12" s="292">
        <v>36739</v>
      </c>
      <c r="O12" s="292">
        <v>36739</v>
      </c>
      <c r="P12" s="292">
        <v>36739</v>
      </c>
      <c r="Q12" s="291"/>
    </row>
    <row r="13" spans="1:55" ht="13.2" x14ac:dyDescent="0.25">
      <c r="B13" s="298" t="s">
        <v>131</v>
      </c>
      <c r="C13" s="302" t="s">
        <v>392</v>
      </c>
      <c r="D13" s="302" t="s">
        <v>393</v>
      </c>
      <c r="E13" s="303" t="s">
        <v>394</v>
      </c>
      <c r="F13" s="303" t="s">
        <v>543</v>
      </c>
      <c r="G13" s="303" t="s">
        <v>544</v>
      </c>
      <c r="H13" s="302"/>
      <c r="I13" s="302"/>
      <c r="J13" s="302"/>
      <c r="K13" s="302"/>
      <c r="L13" s="455" t="s">
        <v>392</v>
      </c>
      <c r="M13" s="455" t="s">
        <v>393</v>
      </c>
      <c r="N13" s="302" t="s">
        <v>394</v>
      </c>
      <c r="O13" s="302" t="s">
        <v>393</v>
      </c>
      <c r="P13" s="303" t="s">
        <v>394</v>
      </c>
      <c r="Q13" s="302"/>
      <c r="R13" s="302"/>
      <c r="S13" s="302"/>
      <c r="T13" s="302"/>
      <c r="U13" s="302"/>
      <c r="V13" s="302"/>
      <c r="W13" s="302"/>
      <c r="X13" s="302"/>
    </row>
    <row r="14" spans="1:55" ht="13.2" x14ac:dyDescent="0.25">
      <c r="B14" s="298" t="s">
        <v>125</v>
      </c>
      <c r="C14" s="304" t="s">
        <v>120</v>
      </c>
      <c r="D14" s="304" t="s">
        <v>120</v>
      </c>
      <c r="E14" s="294" t="s">
        <v>126</v>
      </c>
      <c r="F14" s="304" t="s">
        <v>120</v>
      </c>
      <c r="G14" s="304" t="s">
        <v>120</v>
      </c>
      <c r="H14" s="304"/>
      <c r="I14" s="304"/>
      <c r="J14" s="304"/>
      <c r="K14" s="304"/>
      <c r="L14" s="291" t="s">
        <v>120</v>
      </c>
      <c r="M14" s="291" t="s">
        <v>120</v>
      </c>
      <c r="N14" s="304" t="s">
        <v>126</v>
      </c>
      <c r="O14" s="304" t="s">
        <v>120</v>
      </c>
      <c r="P14" s="294" t="s">
        <v>126</v>
      </c>
      <c r="Q14" s="304"/>
      <c r="R14" s="304"/>
      <c r="S14" s="304"/>
      <c r="T14" s="304"/>
      <c r="U14" s="304"/>
      <c r="V14" s="304"/>
      <c r="W14" s="304"/>
      <c r="X14" s="304"/>
    </row>
    <row r="15" spans="1:55" ht="13.2" x14ac:dyDescent="0.25">
      <c r="B15" s="298" t="s">
        <v>128</v>
      </c>
      <c r="C15" s="304" t="s">
        <v>370</v>
      </c>
      <c r="D15" s="304" t="s">
        <v>370</v>
      </c>
      <c r="E15" s="294" t="s">
        <v>1</v>
      </c>
      <c r="F15" s="304" t="s">
        <v>370</v>
      </c>
      <c r="G15" s="304" t="s">
        <v>370</v>
      </c>
      <c r="H15" s="304"/>
      <c r="I15" s="304"/>
      <c r="J15" s="304"/>
      <c r="K15" s="304"/>
      <c r="L15" s="291" t="s">
        <v>370</v>
      </c>
      <c r="M15" s="291" t="s">
        <v>370</v>
      </c>
      <c r="N15" s="304" t="s">
        <v>1</v>
      </c>
      <c r="O15" s="304" t="s">
        <v>370</v>
      </c>
      <c r="P15" s="294" t="s">
        <v>1</v>
      </c>
      <c r="Q15" s="304"/>
      <c r="R15" s="304"/>
      <c r="S15" s="304"/>
      <c r="T15" s="304"/>
      <c r="U15" s="304"/>
      <c r="V15" s="304"/>
      <c r="W15" s="304"/>
      <c r="X15" s="304"/>
    </row>
    <row r="16" spans="1:55" x14ac:dyDescent="0.25">
      <c r="B16" s="296">
        <f>EOMONTH(EffDt1,-1)+1</f>
        <v>36739</v>
      </c>
      <c r="C16" s="449">
        <v>4.6150000000000002</v>
      </c>
      <c r="D16" s="449">
        <v>3.5150000000000001</v>
      </c>
      <c r="E16" s="305">
        <v>0.42</v>
      </c>
      <c r="F16" s="449">
        <v>3.76</v>
      </c>
      <c r="G16" s="449">
        <v>4.22</v>
      </c>
      <c r="H16" s="306"/>
      <c r="I16" s="308">
        <v>36678</v>
      </c>
      <c r="J16" s="291">
        <v>4</v>
      </c>
      <c r="K16" s="308"/>
      <c r="L16" s="306">
        <v>4.6150000000000002</v>
      </c>
      <c r="M16" s="296">
        <v>3.5150000000000001</v>
      </c>
      <c r="N16" s="449">
        <v>0.42</v>
      </c>
      <c r="O16" s="449">
        <v>3.5150000000000001</v>
      </c>
      <c r="P16" s="305">
        <v>0.64500000000000002</v>
      </c>
      <c r="Q16" s="291"/>
      <c r="R16" s="308">
        <v>36678</v>
      </c>
      <c r="S16" s="291">
        <v>4</v>
      </c>
    </row>
    <row r="17" spans="2:19" x14ac:dyDescent="0.25">
      <c r="B17" s="296">
        <f t="shared" ref="B17:B80" si="0">EOMONTH(B16,0)+1</f>
        <v>36770</v>
      </c>
      <c r="C17" s="449">
        <v>4.5350000000000001</v>
      </c>
      <c r="D17" s="449">
        <v>3.4950000000000001</v>
      </c>
      <c r="E17" s="305">
        <v>0.48499999999999999</v>
      </c>
      <c r="F17" s="449">
        <v>3.74</v>
      </c>
      <c r="G17" s="449">
        <v>4.08</v>
      </c>
      <c r="H17" s="306"/>
      <c r="I17" s="308">
        <v>36679</v>
      </c>
      <c r="J17" s="291">
        <v>5</v>
      </c>
      <c r="K17" s="308"/>
      <c r="L17" s="306">
        <v>4.5350000000000001</v>
      </c>
      <c r="M17" s="296">
        <v>3.4950000000000001</v>
      </c>
      <c r="N17" s="449">
        <v>0.48499999999999999</v>
      </c>
      <c r="O17" s="449">
        <v>3.53</v>
      </c>
      <c r="P17" s="305">
        <v>0.67500000000000004</v>
      </c>
      <c r="Q17" s="291"/>
      <c r="R17" s="308">
        <v>36679</v>
      </c>
      <c r="S17" s="291">
        <v>5</v>
      </c>
    </row>
    <row r="18" spans="2:19" x14ac:dyDescent="0.25">
      <c r="B18" s="296">
        <f t="shared" si="0"/>
        <v>36800</v>
      </c>
      <c r="C18" s="449">
        <v>4.6449999999999996</v>
      </c>
      <c r="D18" s="449">
        <v>3.625</v>
      </c>
      <c r="E18" s="305">
        <v>0.48499999999999999</v>
      </c>
      <c r="F18" s="449">
        <v>4.04</v>
      </c>
      <c r="G18" s="449">
        <v>4.415</v>
      </c>
      <c r="H18" s="306"/>
      <c r="I18" s="308">
        <v>36680</v>
      </c>
      <c r="J18" s="291">
        <v>6</v>
      </c>
      <c r="K18" s="308"/>
      <c r="L18" s="331">
        <v>4.6449999999999996</v>
      </c>
      <c r="M18" s="296">
        <v>3.625</v>
      </c>
      <c r="N18" s="449">
        <v>0.48499999999999999</v>
      </c>
      <c r="O18" s="449">
        <v>3.65</v>
      </c>
      <c r="P18" s="305">
        <v>0.72499999999999998</v>
      </c>
      <c r="Q18" s="291"/>
      <c r="R18" s="308">
        <v>36680</v>
      </c>
      <c r="S18" s="291">
        <v>6</v>
      </c>
    </row>
    <row r="19" spans="2:19" x14ac:dyDescent="0.25">
      <c r="B19" s="296">
        <f t="shared" si="0"/>
        <v>36831</v>
      </c>
      <c r="C19" s="449">
        <v>4.7549999999999999</v>
      </c>
      <c r="D19" s="449">
        <v>3.4750000000000001</v>
      </c>
      <c r="E19" s="305">
        <v>1.0249999999999999</v>
      </c>
      <c r="F19" s="449">
        <v>4.22</v>
      </c>
      <c r="G19" s="449">
        <v>4.54</v>
      </c>
      <c r="H19" s="306"/>
      <c r="I19" s="308">
        <v>36681</v>
      </c>
      <c r="J19" s="291">
        <v>7</v>
      </c>
      <c r="K19" s="308"/>
      <c r="L19" s="306">
        <v>4.7549999999999999</v>
      </c>
      <c r="M19" s="296">
        <v>3.4750000000000001</v>
      </c>
      <c r="N19" s="449">
        <v>1.0249999999999999</v>
      </c>
      <c r="O19" s="449">
        <v>3.65</v>
      </c>
      <c r="P19" s="305">
        <v>1.0249999999999999</v>
      </c>
      <c r="Q19" s="291"/>
      <c r="R19" s="308">
        <v>36681</v>
      </c>
      <c r="S19" s="291">
        <v>7</v>
      </c>
    </row>
    <row r="20" spans="2:19" x14ac:dyDescent="0.25">
      <c r="B20" s="296">
        <f t="shared" si="0"/>
        <v>36861</v>
      </c>
      <c r="C20" s="449">
        <v>4.75</v>
      </c>
      <c r="D20" s="449">
        <v>3.29</v>
      </c>
      <c r="E20" s="305">
        <v>1.25</v>
      </c>
      <c r="F20" s="449">
        <v>4.25</v>
      </c>
      <c r="G20" s="449">
        <v>4.51</v>
      </c>
      <c r="H20" s="306"/>
      <c r="I20" s="308">
        <v>36682</v>
      </c>
      <c r="J20" s="291">
        <v>8</v>
      </c>
      <c r="K20" s="308"/>
      <c r="L20" s="306">
        <v>4.75</v>
      </c>
      <c r="M20" s="296">
        <v>3.29</v>
      </c>
      <c r="N20" s="449">
        <v>1.25</v>
      </c>
      <c r="O20" s="449">
        <v>3.65</v>
      </c>
      <c r="P20" s="305">
        <v>1.2250000000000001</v>
      </c>
      <c r="Q20" s="291"/>
      <c r="R20" s="308">
        <v>36682</v>
      </c>
      <c r="S20" s="291">
        <v>8</v>
      </c>
    </row>
    <row r="21" spans="2:19" x14ac:dyDescent="0.25">
      <c r="B21" s="296">
        <f t="shared" si="0"/>
        <v>36892</v>
      </c>
      <c r="C21" s="449">
        <v>4.75</v>
      </c>
      <c r="D21" s="449">
        <v>3.29</v>
      </c>
      <c r="E21" s="305">
        <v>1.25</v>
      </c>
      <c r="F21" s="449">
        <v>4.25</v>
      </c>
      <c r="G21" s="449">
        <v>4.51</v>
      </c>
      <c r="H21" s="306"/>
      <c r="I21" s="308">
        <v>36683</v>
      </c>
      <c r="J21" s="291">
        <v>9</v>
      </c>
      <c r="K21" s="308"/>
      <c r="L21" s="306">
        <v>4.75</v>
      </c>
      <c r="M21" s="296">
        <v>3.29</v>
      </c>
      <c r="N21" s="449">
        <v>1.25</v>
      </c>
      <c r="O21" s="449">
        <v>3.65</v>
      </c>
      <c r="P21" s="305">
        <v>1.2250000000000001</v>
      </c>
      <c r="Q21" s="291"/>
      <c r="R21" s="308">
        <v>36683</v>
      </c>
      <c r="S21" s="291">
        <v>9</v>
      </c>
    </row>
    <row r="22" spans="2:19" x14ac:dyDescent="0.25">
      <c r="B22" s="296">
        <f t="shared" si="0"/>
        <v>36923</v>
      </c>
      <c r="C22" s="449">
        <v>4.75</v>
      </c>
      <c r="D22" s="449">
        <v>3.29</v>
      </c>
      <c r="E22" s="305">
        <v>1.25</v>
      </c>
      <c r="F22" s="449">
        <v>4.25</v>
      </c>
      <c r="G22" s="449">
        <v>4.51</v>
      </c>
      <c r="H22" s="306"/>
      <c r="I22" s="308">
        <v>36684</v>
      </c>
      <c r="J22" s="291">
        <v>10</v>
      </c>
      <c r="K22" s="308"/>
      <c r="L22" s="306">
        <v>4.75</v>
      </c>
      <c r="M22" s="296">
        <v>3.29</v>
      </c>
      <c r="N22" s="449">
        <v>1.25</v>
      </c>
      <c r="O22" s="449">
        <v>3.65</v>
      </c>
      <c r="P22" s="305">
        <v>1.2250000000000001</v>
      </c>
      <c r="Q22" s="291"/>
      <c r="R22" s="308">
        <v>36684</v>
      </c>
      <c r="S22" s="291">
        <v>10</v>
      </c>
    </row>
    <row r="23" spans="2:19" x14ac:dyDescent="0.25">
      <c r="B23" s="296">
        <f t="shared" si="0"/>
        <v>36951</v>
      </c>
      <c r="C23" s="449">
        <v>4.87</v>
      </c>
      <c r="D23" s="449">
        <v>3.4449999999999998</v>
      </c>
      <c r="E23" s="305">
        <v>1</v>
      </c>
      <c r="F23" s="449">
        <v>4.3849999999999998</v>
      </c>
      <c r="G23" s="449">
        <v>4.92</v>
      </c>
      <c r="H23" s="306"/>
      <c r="I23" s="308">
        <v>36685</v>
      </c>
      <c r="J23" s="291">
        <v>11</v>
      </c>
      <c r="K23" s="308"/>
      <c r="L23" s="306">
        <v>4.87</v>
      </c>
      <c r="M23" s="296">
        <v>3.4449999999999998</v>
      </c>
      <c r="N23" s="449">
        <v>1</v>
      </c>
      <c r="O23" s="449">
        <v>3.65</v>
      </c>
      <c r="P23" s="305">
        <v>0.97499999999999998</v>
      </c>
      <c r="Q23" s="291"/>
      <c r="R23" s="308">
        <v>36685</v>
      </c>
      <c r="S23" s="291">
        <v>11</v>
      </c>
    </row>
    <row r="24" spans="2:19" x14ac:dyDescent="0.25">
      <c r="B24" s="296">
        <f t="shared" si="0"/>
        <v>36982</v>
      </c>
      <c r="C24" s="449">
        <v>4.875</v>
      </c>
      <c r="D24" s="449">
        <v>3.45</v>
      </c>
      <c r="E24" s="305">
        <v>0.5</v>
      </c>
      <c r="F24" s="449">
        <v>4.45</v>
      </c>
      <c r="G24" s="449">
        <v>4.93</v>
      </c>
      <c r="H24" s="306"/>
      <c r="I24" s="308">
        <v>36686</v>
      </c>
      <c r="J24" s="291">
        <v>12</v>
      </c>
      <c r="K24" s="308"/>
      <c r="L24" s="306">
        <v>4.875</v>
      </c>
      <c r="M24" s="296">
        <v>3.45</v>
      </c>
      <c r="N24" s="449">
        <v>0.5</v>
      </c>
      <c r="O24" s="449">
        <v>3.65</v>
      </c>
      <c r="P24" s="305">
        <v>0.5</v>
      </c>
      <c r="Q24" s="291"/>
      <c r="R24" s="308">
        <v>36686</v>
      </c>
      <c r="S24" s="291">
        <v>12</v>
      </c>
    </row>
    <row r="25" spans="2:19" x14ac:dyDescent="0.25">
      <c r="B25" s="296">
        <f t="shared" si="0"/>
        <v>37012</v>
      </c>
      <c r="C25" s="449">
        <v>4.7699999999999996</v>
      </c>
      <c r="D25" s="449">
        <v>3.5049999999999999</v>
      </c>
      <c r="E25" s="305">
        <v>0.45</v>
      </c>
      <c r="F25" s="449">
        <v>4.4749999999999996</v>
      </c>
      <c r="G25" s="449">
        <v>4.93</v>
      </c>
      <c r="H25" s="306"/>
      <c r="I25" s="308">
        <v>36687</v>
      </c>
      <c r="J25" s="291">
        <v>13</v>
      </c>
      <c r="K25" s="308"/>
      <c r="L25" s="306">
        <v>4.7699999999999996</v>
      </c>
      <c r="M25" s="296">
        <v>3.5049999999999999</v>
      </c>
      <c r="N25" s="449">
        <v>0.45</v>
      </c>
      <c r="O25" s="449">
        <v>3.65</v>
      </c>
      <c r="P25" s="305">
        <v>0.45</v>
      </c>
      <c r="Q25" s="291"/>
      <c r="R25" s="308">
        <v>36687</v>
      </c>
      <c r="S25" s="291">
        <v>13</v>
      </c>
    </row>
    <row r="26" spans="2:19" x14ac:dyDescent="0.25">
      <c r="B26" s="296">
        <f t="shared" si="0"/>
        <v>37043</v>
      </c>
      <c r="C26" s="449">
        <v>4.7649999999999997</v>
      </c>
      <c r="D26" s="449">
        <v>3.51</v>
      </c>
      <c r="E26" s="305">
        <v>0.55000000000000004</v>
      </c>
      <c r="F26" s="449">
        <v>4.43</v>
      </c>
      <c r="G26" s="449">
        <v>4.8099999999999996</v>
      </c>
      <c r="H26" s="306"/>
      <c r="I26" s="308">
        <v>36688</v>
      </c>
      <c r="J26" s="291">
        <v>14</v>
      </c>
      <c r="K26" s="308"/>
      <c r="L26" s="306">
        <v>4.7649999999999997</v>
      </c>
      <c r="M26" s="296">
        <v>3.51</v>
      </c>
      <c r="N26" s="449">
        <v>0.55000000000000004</v>
      </c>
      <c r="O26" s="449">
        <v>3.65</v>
      </c>
      <c r="P26" s="305">
        <v>0.55000000000000004</v>
      </c>
      <c r="Q26" s="291"/>
      <c r="R26" s="308">
        <v>36688</v>
      </c>
      <c r="S26" s="291">
        <v>14</v>
      </c>
    </row>
    <row r="27" spans="2:19" x14ac:dyDescent="0.25">
      <c r="B27" s="296">
        <f t="shared" si="0"/>
        <v>37073</v>
      </c>
      <c r="C27" s="449">
        <v>4.74</v>
      </c>
      <c r="D27" s="449">
        <v>3.3650000000000002</v>
      </c>
      <c r="E27" s="305">
        <v>0.55000000000000004</v>
      </c>
      <c r="F27" s="449">
        <v>4.4450000000000003</v>
      </c>
      <c r="G27" s="449">
        <v>4.72</v>
      </c>
      <c r="H27" s="306"/>
      <c r="I27" s="308">
        <v>36689</v>
      </c>
      <c r="J27" s="291">
        <v>15</v>
      </c>
      <c r="K27" s="308"/>
      <c r="L27" s="306">
        <v>4.74</v>
      </c>
      <c r="M27" s="296">
        <v>3.3650000000000002</v>
      </c>
      <c r="N27" s="449">
        <v>0.55000000000000004</v>
      </c>
      <c r="O27" s="449">
        <v>3.65</v>
      </c>
      <c r="P27" s="305">
        <v>0.55000000000000004</v>
      </c>
      <c r="Q27" s="291"/>
      <c r="R27" s="308">
        <v>36689</v>
      </c>
      <c r="S27" s="291">
        <v>15</v>
      </c>
    </row>
    <row r="28" spans="2:19" x14ac:dyDescent="0.25">
      <c r="B28" s="296">
        <f t="shared" si="0"/>
        <v>37104</v>
      </c>
      <c r="C28" s="449">
        <v>4.74</v>
      </c>
      <c r="D28" s="449">
        <v>3.3650000000000002</v>
      </c>
      <c r="E28" s="305">
        <v>0.65</v>
      </c>
      <c r="F28" s="449">
        <v>4.4450000000000003</v>
      </c>
      <c r="G28" s="449">
        <v>4.72</v>
      </c>
      <c r="H28" s="306"/>
      <c r="I28" s="308">
        <v>36690</v>
      </c>
      <c r="J28" s="291">
        <v>16</v>
      </c>
      <c r="K28" s="308"/>
      <c r="L28" s="306">
        <v>4.74</v>
      </c>
      <c r="M28" s="296">
        <v>3.3650000000000002</v>
      </c>
      <c r="N28" s="449">
        <v>0.65</v>
      </c>
      <c r="O28" s="449">
        <v>3.65</v>
      </c>
      <c r="P28" s="305">
        <v>0.65</v>
      </c>
      <c r="Q28" s="291"/>
      <c r="R28" s="308">
        <v>36690</v>
      </c>
      <c r="S28" s="291">
        <v>16</v>
      </c>
    </row>
    <row r="29" spans="2:19" x14ac:dyDescent="0.25">
      <c r="B29" s="296">
        <f t="shared" si="0"/>
        <v>37135</v>
      </c>
      <c r="C29" s="449">
        <v>4.74</v>
      </c>
      <c r="D29" s="449">
        <v>3.3650000000000002</v>
      </c>
      <c r="E29" s="305">
        <v>0.6</v>
      </c>
      <c r="F29" s="449">
        <v>4.4450000000000003</v>
      </c>
      <c r="G29" s="449">
        <v>4.72</v>
      </c>
      <c r="H29" s="306"/>
      <c r="I29" s="308">
        <v>36691</v>
      </c>
      <c r="J29" s="291">
        <v>17</v>
      </c>
      <c r="K29" s="308"/>
      <c r="L29" s="306">
        <v>4.74</v>
      </c>
      <c r="M29" s="296">
        <v>3.3650000000000002</v>
      </c>
      <c r="N29" s="449">
        <v>0.6</v>
      </c>
      <c r="O29" s="449">
        <v>3.65</v>
      </c>
      <c r="P29" s="305">
        <v>0.6</v>
      </c>
      <c r="Q29" s="291"/>
      <c r="R29" s="308">
        <v>36691</v>
      </c>
      <c r="S29" s="291">
        <v>17</v>
      </c>
    </row>
    <row r="30" spans="2:19" x14ac:dyDescent="0.25">
      <c r="B30" s="296">
        <f t="shared" si="0"/>
        <v>37165</v>
      </c>
      <c r="C30" s="449">
        <v>4.7649999999999997</v>
      </c>
      <c r="D30" s="449">
        <v>3.46</v>
      </c>
      <c r="E30" s="305">
        <v>0.65</v>
      </c>
      <c r="F30" s="449">
        <v>4.43</v>
      </c>
      <c r="G30" s="449">
        <v>4.75</v>
      </c>
      <c r="H30" s="306"/>
      <c r="I30" s="308">
        <v>36692</v>
      </c>
      <c r="J30" s="291">
        <v>18</v>
      </c>
      <c r="K30" s="308"/>
      <c r="L30" s="306">
        <v>4.7649999999999997</v>
      </c>
      <c r="M30" s="296">
        <v>3.46</v>
      </c>
      <c r="N30" s="449">
        <v>0.65</v>
      </c>
      <c r="O30" s="449">
        <v>3.65</v>
      </c>
      <c r="P30" s="305">
        <v>0.65</v>
      </c>
      <c r="Q30" s="291"/>
      <c r="R30" s="308">
        <v>36692</v>
      </c>
      <c r="S30" s="291">
        <v>18</v>
      </c>
    </row>
    <row r="31" spans="2:19" x14ac:dyDescent="0.25">
      <c r="B31" s="296">
        <f t="shared" si="0"/>
        <v>37196</v>
      </c>
      <c r="C31" s="449">
        <v>4.68</v>
      </c>
      <c r="D31" s="449">
        <v>3.41</v>
      </c>
      <c r="E31" s="305">
        <v>0.95</v>
      </c>
      <c r="F31" s="449">
        <v>4.24</v>
      </c>
      <c r="G31" s="449">
        <v>4.5599999999999996</v>
      </c>
      <c r="H31" s="306"/>
      <c r="I31" s="308">
        <v>36693</v>
      </c>
      <c r="J31" s="291">
        <v>19</v>
      </c>
      <c r="K31" s="308"/>
      <c r="L31" s="306">
        <v>4.68</v>
      </c>
      <c r="M31" s="296">
        <v>3.41</v>
      </c>
      <c r="N31" s="449">
        <v>0.95</v>
      </c>
      <c r="O31" s="449">
        <v>3.65</v>
      </c>
      <c r="P31" s="305">
        <v>0.95</v>
      </c>
      <c r="Q31" s="291"/>
      <c r="R31" s="308">
        <v>36693</v>
      </c>
      <c r="S31" s="291">
        <v>19</v>
      </c>
    </row>
    <row r="32" spans="2:19" x14ac:dyDescent="0.25">
      <c r="B32" s="296">
        <f t="shared" si="0"/>
        <v>37226</v>
      </c>
      <c r="C32" s="449">
        <v>4.7300000000000004</v>
      </c>
      <c r="D32" s="449">
        <v>3.41</v>
      </c>
      <c r="E32" s="305">
        <v>1.1499999999999999</v>
      </c>
      <c r="F32" s="449">
        <v>4.2350000000000003</v>
      </c>
      <c r="G32" s="449">
        <v>4.53</v>
      </c>
      <c r="H32" s="306"/>
      <c r="I32" s="308">
        <v>36694</v>
      </c>
      <c r="J32" s="291">
        <v>20</v>
      </c>
      <c r="K32" s="308"/>
      <c r="L32" s="306">
        <v>4.7300000000000004</v>
      </c>
      <c r="M32" s="296">
        <v>3.41</v>
      </c>
      <c r="N32" s="449">
        <v>1.1499999999999999</v>
      </c>
      <c r="O32" s="449">
        <v>3.65</v>
      </c>
      <c r="P32" s="305">
        <v>1.1499999999999999</v>
      </c>
      <c r="Q32" s="291"/>
      <c r="R32" s="308">
        <v>36694</v>
      </c>
      <c r="S32" s="291">
        <v>20</v>
      </c>
    </row>
    <row r="33" spans="2:19" x14ac:dyDescent="0.25">
      <c r="B33" s="296">
        <f t="shared" si="0"/>
        <v>37257</v>
      </c>
      <c r="C33" s="449">
        <v>4.9249999999999998</v>
      </c>
      <c r="D33" s="449">
        <v>3.4449999999999998</v>
      </c>
      <c r="E33" s="305">
        <v>1.1499999999999999</v>
      </c>
      <c r="F33" s="449">
        <v>4.3650000000000002</v>
      </c>
      <c r="G33" s="449">
        <v>4.63</v>
      </c>
      <c r="H33" s="306"/>
      <c r="I33" s="308">
        <v>36695</v>
      </c>
      <c r="J33" s="291">
        <v>21</v>
      </c>
      <c r="K33" s="308"/>
      <c r="L33" s="306">
        <v>4.9249999999999998</v>
      </c>
      <c r="M33" s="296">
        <v>3.4449999999999998</v>
      </c>
      <c r="N33" s="449">
        <v>1.1499999999999999</v>
      </c>
      <c r="O33" s="449">
        <v>3.65</v>
      </c>
      <c r="P33" s="305">
        <v>1.1499999999999999</v>
      </c>
      <c r="Q33" s="291"/>
      <c r="R33" s="308">
        <v>36695</v>
      </c>
      <c r="S33" s="291">
        <v>21</v>
      </c>
    </row>
    <row r="34" spans="2:19" x14ac:dyDescent="0.25">
      <c r="B34" s="296">
        <f t="shared" si="0"/>
        <v>37288</v>
      </c>
      <c r="C34" s="449">
        <v>4.9249999999999998</v>
      </c>
      <c r="D34" s="449">
        <v>3.3149999999999999</v>
      </c>
      <c r="E34" s="305">
        <v>1.1499999999999999</v>
      </c>
      <c r="F34" s="449">
        <v>4.3849999999999998</v>
      </c>
      <c r="G34" s="449">
        <v>4.6150000000000002</v>
      </c>
      <c r="H34" s="306"/>
      <c r="I34" s="308">
        <v>36696</v>
      </c>
      <c r="J34" s="291">
        <v>22</v>
      </c>
      <c r="K34" s="308"/>
      <c r="L34" s="306">
        <v>4.9249999999999998</v>
      </c>
      <c r="M34" s="296">
        <v>3.3149999999999999</v>
      </c>
      <c r="N34" s="449">
        <v>1.1499999999999999</v>
      </c>
      <c r="O34" s="449">
        <v>3.65</v>
      </c>
      <c r="P34" s="305">
        <v>1.1499999999999999</v>
      </c>
      <c r="Q34" s="291"/>
      <c r="R34" s="308">
        <v>36696</v>
      </c>
      <c r="S34" s="291">
        <v>22</v>
      </c>
    </row>
    <row r="35" spans="2:19" x14ac:dyDescent="0.25">
      <c r="B35" s="296">
        <f t="shared" si="0"/>
        <v>37316</v>
      </c>
      <c r="C35" s="449">
        <v>4.9249999999999998</v>
      </c>
      <c r="D35" s="449">
        <v>3.3149999999999999</v>
      </c>
      <c r="E35" s="305">
        <v>0.9</v>
      </c>
      <c r="F35" s="449">
        <v>4.3849999999999998</v>
      </c>
      <c r="G35" s="449">
        <v>4.6150000000000002</v>
      </c>
      <c r="H35" s="306"/>
      <c r="I35" s="308">
        <v>36697</v>
      </c>
      <c r="J35" s="291">
        <v>23</v>
      </c>
      <c r="K35" s="308"/>
      <c r="L35" s="306">
        <v>4.9249999999999998</v>
      </c>
      <c r="M35" s="296">
        <v>3.3149999999999999</v>
      </c>
      <c r="N35" s="449">
        <v>0.9</v>
      </c>
      <c r="O35" s="449">
        <v>3.65</v>
      </c>
      <c r="P35" s="305">
        <v>0.9</v>
      </c>
      <c r="Q35" s="291"/>
      <c r="R35" s="308">
        <v>36697</v>
      </c>
      <c r="S35" s="291">
        <v>23</v>
      </c>
    </row>
    <row r="36" spans="2:19" x14ac:dyDescent="0.25">
      <c r="B36" s="296">
        <f t="shared" si="0"/>
        <v>37347</v>
      </c>
      <c r="C36" s="449">
        <v>4.9249999999999998</v>
      </c>
      <c r="D36" s="449">
        <v>3.3149999999999999</v>
      </c>
      <c r="E36" s="305">
        <v>0.45</v>
      </c>
      <c r="F36" s="449">
        <v>4.3849999999999998</v>
      </c>
      <c r="G36" s="449">
        <v>4.6150000000000002</v>
      </c>
      <c r="H36" s="306"/>
      <c r="I36" s="308">
        <v>36698</v>
      </c>
      <c r="J36" s="291">
        <v>24</v>
      </c>
      <c r="K36" s="308"/>
      <c r="L36" s="306">
        <v>4.9249999999999998</v>
      </c>
      <c r="M36" s="296">
        <v>3.3149999999999999</v>
      </c>
      <c r="N36" s="449">
        <v>0.45</v>
      </c>
      <c r="O36" s="449">
        <v>3.65</v>
      </c>
      <c r="P36" s="305">
        <v>0.45</v>
      </c>
      <c r="Q36" s="291"/>
      <c r="R36" s="308">
        <v>36698</v>
      </c>
      <c r="S36" s="291">
        <v>24</v>
      </c>
    </row>
    <row r="37" spans="2:19" x14ac:dyDescent="0.25">
      <c r="B37" s="296">
        <f t="shared" si="0"/>
        <v>37377</v>
      </c>
      <c r="C37" s="449">
        <v>5.29</v>
      </c>
      <c r="D37" s="449">
        <v>3.5649999999999999</v>
      </c>
      <c r="E37" s="305">
        <v>0.4</v>
      </c>
      <c r="F37" s="449">
        <v>4.5750000000000002</v>
      </c>
      <c r="G37" s="449">
        <v>4.8499999999999996</v>
      </c>
      <c r="H37" s="306"/>
      <c r="I37" s="308">
        <v>36699</v>
      </c>
      <c r="J37" s="291">
        <v>25</v>
      </c>
      <c r="K37" s="308"/>
      <c r="L37" s="306">
        <v>5.29</v>
      </c>
      <c r="M37" s="296">
        <v>3.5649999999999999</v>
      </c>
      <c r="N37" s="449">
        <v>0.4</v>
      </c>
      <c r="O37" s="449">
        <v>3.65</v>
      </c>
      <c r="P37" s="305">
        <v>0.4</v>
      </c>
      <c r="Q37" s="291"/>
      <c r="R37" s="308">
        <v>36699</v>
      </c>
      <c r="S37" s="291">
        <v>25</v>
      </c>
    </row>
    <row r="38" spans="2:19" x14ac:dyDescent="0.25">
      <c r="B38" s="296">
        <f t="shared" si="0"/>
        <v>37408</v>
      </c>
      <c r="C38" s="449">
        <v>5.7750000000000004</v>
      </c>
      <c r="D38" s="449">
        <v>3.68</v>
      </c>
      <c r="E38" s="305">
        <v>0.5</v>
      </c>
      <c r="F38" s="449">
        <v>4.7850000000000001</v>
      </c>
      <c r="G38" s="449">
        <v>5.08</v>
      </c>
      <c r="H38" s="306"/>
      <c r="I38" s="308">
        <v>36700</v>
      </c>
      <c r="J38" s="291">
        <v>26</v>
      </c>
      <c r="K38" s="308"/>
      <c r="L38" s="306">
        <v>5.7750000000000004</v>
      </c>
      <c r="M38" s="296">
        <v>3.68</v>
      </c>
      <c r="N38" s="449">
        <v>0.5</v>
      </c>
      <c r="O38" s="449">
        <v>3.65</v>
      </c>
      <c r="P38" s="305">
        <v>0.5</v>
      </c>
      <c r="Q38" s="291"/>
      <c r="R38" s="308">
        <v>36700</v>
      </c>
      <c r="S38" s="291">
        <v>26</v>
      </c>
    </row>
    <row r="39" spans="2:19" x14ac:dyDescent="0.25">
      <c r="B39" s="296">
        <f t="shared" si="0"/>
        <v>37438</v>
      </c>
      <c r="C39" s="449">
        <v>5.76</v>
      </c>
      <c r="D39" s="449">
        <v>3.6</v>
      </c>
      <c r="E39" s="305">
        <v>0.5</v>
      </c>
      <c r="F39" s="449">
        <v>4.67</v>
      </c>
      <c r="G39" s="449">
        <v>4.91</v>
      </c>
      <c r="H39" s="306"/>
      <c r="I39" s="308">
        <v>36701</v>
      </c>
      <c r="J39" s="291">
        <v>27</v>
      </c>
      <c r="K39" s="308"/>
      <c r="L39" s="306">
        <v>5.76</v>
      </c>
      <c r="M39" s="296">
        <v>3.6</v>
      </c>
      <c r="N39" s="449">
        <v>0.5</v>
      </c>
      <c r="O39" s="449">
        <v>3.65</v>
      </c>
      <c r="P39" s="305">
        <v>0.5</v>
      </c>
      <c r="Q39" s="291"/>
      <c r="R39" s="308">
        <v>36701</v>
      </c>
      <c r="S39" s="291">
        <v>27</v>
      </c>
    </row>
    <row r="40" spans="2:19" x14ac:dyDescent="0.25">
      <c r="B40" s="296">
        <f t="shared" si="0"/>
        <v>37469</v>
      </c>
      <c r="C40" s="449">
        <v>5.75</v>
      </c>
      <c r="D40" s="449">
        <v>3.32</v>
      </c>
      <c r="E40" s="305">
        <v>0.6</v>
      </c>
      <c r="F40" s="449">
        <v>4.4649999999999999</v>
      </c>
      <c r="G40" s="449">
        <v>4.71</v>
      </c>
      <c r="H40" s="306"/>
      <c r="I40" s="308">
        <v>36702</v>
      </c>
      <c r="J40" s="291">
        <v>28</v>
      </c>
      <c r="K40" s="308"/>
      <c r="L40" s="306">
        <v>5.75</v>
      </c>
      <c r="M40" s="296">
        <v>3.32</v>
      </c>
      <c r="N40" s="449">
        <v>0.6</v>
      </c>
      <c r="O40" s="449">
        <v>3.65</v>
      </c>
      <c r="P40" s="305">
        <v>0.6</v>
      </c>
      <c r="Q40" s="291"/>
      <c r="R40" s="308">
        <v>36702</v>
      </c>
      <c r="S40" s="291">
        <v>28</v>
      </c>
    </row>
    <row r="41" spans="2:19" x14ac:dyDescent="0.25">
      <c r="B41" s="296">
        <f t="shared" si="0"/>
        <v>37500</v>
      </c>
      <c r="C41" s="449">
        <v>6.4749999999999996</v>
      </c>
      <c r="D41" s="449">
        <v>3.1949999999999998</v>
      </c>
      <c r="E41" s="305">
        <v>0.55000000000000004</v>
      </c>
      <c r="F41" s="449">
        <v>4.53</v>
      </c>
      <c r="G41" s="449">
        <v>4.74</v>
      </c>
      <c r="H41" s="306"/>
      <c r="I41" s="308">
        <v>36703</v>
      </c>
      <c r="J41" s="291">
        <v>29</v>
      </c>
      <c r="K41" s="308"/>
      <c r="L41" s="306">
        <v>6.4749999999999996</v>
      </c>
      <c r="M41" s="296">
        <v>3.1949999999999998</v>
      </c>
      <c r="N41" s="449">
        <v>0.55000000000000004</v>
      </c>
      <c r="O41" s="449">
        <v>3.65</v>
      </c>
      <c r="P41" s="305">
        <v>0.55000000000000004</v>
      </c>
      <c r="Q41" s="291"/>
      <c r="R41" s="308">
        <v>36703</v>
      </c>
      <c r="S41" s="291">
        <v>29</v>
      </c>
    </row>
    <row r="42" spans="2:19" x14ac:dyDescent="0.25">
      <c r="B42" s="296">
        <f t="shared" si="0"/>
        <v>37530</v>
      </c>
      <c r="C42" s="449">
        <v>6.4749999999999996</v>
      </c>
      <c r="D42" s="449">
        <v>3.1949999999999998</v>
      </c>
      <c r="E42" s="305">
        <v>0.6</v>
      </c>
      <c r="F42" s="449">
        <v>4.53</v>
      </c>
      <c r="G42" s="449">
        <v>4.74</v>
      </c>
      <c r="H42" s="306"/>
      <c r="I42" s="308">
        <v>36704</v>
      </c>
      <c r="J42" s="291">
        <v>30</v>
      </c>
      <c r="K42" s="308"/>
      <c r="L42" s="306">
        <v>6.4749999999999996</v>
      </c>
      <c r="M42" s="296">
        <v>3.1949999999999998</v>
      </c>
      <c r="N42" s="449">
        <v>0.6</v>
      </c>
      <c r="O42" s="449">
        <v>3.65</v>
      </c>
      <c r="P42" s="305">
        <v>0.6</v>
      </c>
      <c r="Q42" s="291"/>
      <c r="R42" s="308">
        <v>36704</v>
      </c>
      <c r="S42" s="291">
        <v>30</v>
      </c>
    </row>
    <row r="43" spans="2:19" x14ac:dyDescent="0.25">
      <c r="B43" s="296">
        <f t="shared" si="0"/>
        <v>37561</v>
      </c>
      <c r="C43" s="449">
        <v>6.4749999999999996</v>
      </c>
      <c r="D43" s="449">
        <v>3.1949999999999998</v>
      </c>
      <c r="E43" s="305">
        <v>0.8</v>
      </c>
      <c r="F43" s="449">
        <v>4.53</v>
      </c>
      <c r="G43" s="449">
        <v>4.74</v>
      </c>
      <c r="H43" s="306"/>
      <c r="I43" s="308">
        <v>36705</v>
      </c>
      <c r="J43" s="291">
        <v>31</v>
      </c>
      <c r="K43" s="308"/>
      <c r="L43" s="306">
        <v>6.4749999999999996</v>
      </c>
      <c r="M43" s="296">
        <v>3.1949999999999998</v>
      </c>
      <c r="N43" s="449">
        <v>0.8</v>
      </c>
      <c r="O43" s="449">
        <v>3.65</v>
      </c>
      <c r="P43" s="305">
        <v>0.8</v>
      </c>
      <c r="Q43" s="291"/>
      <c r="R43" s="308">
        <v>36705</v>
      </c>
      <c r="S43" s="291">
        <v>31</v>
      </c>
    </row>
    <row r="44" spans="2:19" x14ac:dyDescent="0.25">
      <c r="B44" s="296">
        <f t="shared" si="0"/>
        <v>37591</v>
      </c>
      <c r="C44" s="449">
        <v>6.94</v>
      </c>
      <c r="D44" s="449">
        <v>3.29</v>
      </c>
      <c r="E44" s="305">
        <v>1</v>
      </c>
      <c r="F44" s="449">
        <v>4.62</v>
      </c>
      <c r="G44" s="449">
        <v>4.97</v>
      </c>
      <c r="H44" s="306"/>
      <c r="I44" s="308">
        <v>36706</v>
      </c>
      <c r="J44" s="291">
        <v>32</v>
      </c>
      <c r="K44" s="308"/>
      <c r="L44" s="306">
        <v>6.94</v>
      </c>
      <c r="M44" s="296">
        <v>3.29</v>
      </c>
      <c r="N44" s="449">
        <v>1</v>
      </c>
      <c r="O44" s="449">
        <v>3.65</v>
      </c>
      <c r="P44" s="305">
        <v>1</v>
      </c>
      <c r="Q44" s="291"/>
      <c r="R44" s="308">
        <v>36706</v>
      </c>
      <c r="S44" s="291">
        <v>32</v>
      </c>
    </row>
    <row r="45" spans="2:19" x14ac:dyDescent="0.25">
      <c r="B45" s="296">
        <f t="shared" si="0"/>
        <v>37622</v>
      </c>
      <c r="C45" s="449">
        <v>7.24</v>
      </c>
      <c r="D45" s="449">
        <v>3.34</v>
      </c>
      <c r="E45" s="305">
        <v>1</v>
      </c>
      <c r="F45" s="449">
        <v>4.6900000000000004</v>
      </c>
      <c r="G45" s="449">
        <v>5.01</v>
      </c>
      <c r="H45" s="306"/>
      <c r="I45" s="308">
        <v>36707</v>
      </c>
      <c r="J45" s="291">
        <v>33</v>
      </c>
      <c r="K45" s="308"/>
      <c r="L45" s="306">
        <v>7.24</v>
      </c>
      <c r="M45" s="296">
        <v>3.34</v>
      </c>
      <c r="N45" s="449">
        <v>1</v>
      </c>
      <c r="O45" s="449">
        <v>3.65</v>
      </c>
      <c r="P45" s="305">
        <v>1</v>
      </c>
      <c r="Q45" s="291"/>
      <c r="R45" s="308">
        <v>36707</v>
      </c>
      <c r="S45" s="291">
        <v>33</v>
      </c>
    </row>
    <row r="46" spans="2:19" x14ac:dyDescent="0.25">
      <c r="B46" s="296">
        <f t="shared" si="0"/>
        <v>37653</v>
      </c>
      <c r="C46" s="449">
        <v>7.24</v>
      </c>
      <c r="D46" s="449">
        <v>3.34</v>
      </c>
      <c r="E46" s="305">
        <v>1</v>
      </c>
      <c r="F46" s="449">
        <v>4.6900000000000004</v>
      </c>
      <c r="G46" s="449">
        <v>5.01</v>
      </c>
      <c r="H46" s="306"/>
      <c r="I46" s="308">
        <v>36708</v>
      </c>
      <c r="J46" s="291">
        <v>34</v>
      </c>
      <c r="K46" s="308"/>
      <c r="L46" s="306">
        <v>7.24</v>
      </c>
      <c r="M46" s="296">
        <v>3.34</v>
      </c>
      <c r="N46" s="449">
        <v>1</v>
      </c>
      <c r="O46" s="449">
        <v>3.65</v>
      </c>
      <c r="P46" s="305">
        <v>1</v>
      </c>
      <c r="Q46" s="291"/>
      <c r="R46" s="308">
        <v>36708</v>
      </c>
      <c r="S46" s="291">
        <v>34</v>
      </c>
    </row>
    <row r="47" spans="2:19" x14ac:dyDescent="0.25">
      <c r="B47" s="296">
        <f t="shared" si="0"/>
        <v>37681</v>
      </c>
      <c r="C47" s="449"/>
      <c r="D47" s="449"/>
      <c r="E47" s="305">
        <v>0.75</v>
      </c>
      <c r="F47" s="449"/>
      <c r="G47" s="449">
        <v>0.01</v>
      </c>
      <c r="H47" s="306"/>
      <c r="I47" s="308">
        <v>36709</v>
      </c>
      <c r="J47" s="291">
        <v>35</v>
      </c>
      <c r="K47" s="308"/>
      <c r="L47" s="306"/>
      <c r="M47" s="296"/>
      <c r="N47" s="449">
        <v>0.75</v>
      </c>
      <c r="O47" s="449"/>
      <c r="P47" s="305">
        <v>0.75</v>
      </c>
      <c r="Q47" s="291"/>
      <c r="R47" s="308">
        <v>36709</v>
      </c>
      <c r="S47" s="291">
        <v>35</v>
      </c>
    </row>
    <row r="48" spans="2:19" x14ac:dyDescent="0.25">
      <c r="B48" s="296">
        <f t="shared" si="0"/>
        <v>37712</v>
      </c>
      <c r="C48" s="449"/>
      <c r="D48" s="449"/>
      <c r="E48" s="305">
        <v>0.45</v>
      </c>
      <c r="F48" s="449"/>
      <c r="G48" s="449">
        <v>3.5000000000000003E-2</v>
      </c>
      <c r="H48" s="306"/>
      <c r="I48" s="308">
        <v>36710</v>
      </c>
      <c r="J48" s="291">
        <v>36</v>
      </c>
      <c r="K48" s="308"/>
      <c r="L48" s="306"/>
      <c r="M48" s="296"/>
      <c r="N48" s="449">
        <v>0.45</v>
      </c>
      <c r="O48" s="449"/>
      <c r="P48" s="305">
        <v>0.45</v>
      </c>
      <c r="Q48" s="291"/>
      <c r="R48" s="308">
        <v>36710</v>
      </c>
      <c r="S48" s="291">
        <v>36</v>
      </c>
    </row>
    <row r="49" spans="2:19" x14ac:dyDescent="0.25">
      <c r="B49" s="296">
        <f t="shared" si="0"/>
        <v>37742</v>
      </c>
      <c r="C49" s="449"/>
      <c r="D49" s="449"/>
      <c r="E49" s="305">
        <v>0.4</v>
      </c>
      <c r="F49" s="449"/>
      <c r="G49" s="449">
        <v>0.2</v>
      </c>
      <c r="H49" s="306"/>
      <c r="I49" s="308">
        <v>36711</v>
      </c>
      <c r="J49" s="291">
        <v>37</v>
      </c>
      <c r="K49" s="308"/>
      <c r="L49" s="306"/>
      <c r="M49" s="296"/>
      <c r="N49" s="449">
        <v>0.4</v>
      </c>
      <c r="O49" s="449"/>
      <c r="P49" s="305">
        <v>0.4</v>
      </c>
      <c r="Q49" s="291"/>
      <c r="R49" s="308">
        <v>36711</v>
      </c>
      <c r="S49" s="291">
        <v>37</v>
      </c>
    </row>
    <row r="50" spans="2:19" x14ac:dyDescent="0.25">
      <c r="B50" s="296">
        <f t="shared" si="0"/>
        <v>37773</v>
      </c>
      <c r="C50" s="449"/>
      <c r="D50" s="449"/>
      <c r="E50" s="305">
        <v>0.5</v>
      </c>
      <c r="F50" s="449"/>
      <c r="G50" s="449">
        <v>0.26</v>
      </c>
      <c r="H50" s="306"/>
      <c r="I50" s="308">
        <v>36712</v>
      </c>
      <c r="J50" s="291">
        <v>38</v>
      </c>
      <c r="K50" s="308"/>
      <c r="L50" s="306"/>
      <c r="M50" s="296"/>
      <c r="N50" s="449">
        <v>0.5</v>
      </c>
      <c r="O50" s="449"/>
      <c r="P50" s="305">
        <v>0.5</v>
      </c>
      <c r="Q50" s="291"/>
      <c r="R50" s="308">
        <v>36712</v>
      </c>
      <c r="S50" s="291">
        <v>38</v>
      </c>
    </row>
    <row r="51" spans="2:19" x14ac:dyDescent="0.25">
      <c r="B51" s="296">
        <f t="shared" si="0"/>
        <v>37803</v>
      </c>
      <c r="C51" s="449"/>
      <c r="D51" s="449"/>
      <c r="E51" s="305">
        <v>0.5</v>
      </c>
      <c r="F51" s="449"/>
      <c r="G51" s="449">
        <v>0.28000000000000003</v>
      </c>
      <c r="H51" s="306"/>
      <c r="I51" s="308">
        <v>36713</v>
      </c>
      <c r="J51" s="291">
        <v>39</v>
      </c>
      <c r="K51" s="308"/>
      <c r="L51" s="306"/>
      <c r="M51" s="296"/>
      <c r="N51" s="449">
        <v>0.5</v>
      </c>
      <c r="O51" s="449"/>
      <c r="P51" s="305">
        <v>0.5</v>
      </c>
      <c r="Q51" s="291"/>
      <c r="R51" s="308">
        <v>36713</v>
      </c>
      <c r="S51" s="291">
        <v>39</v>
      </c>
    </row>
    <row r="52" spans="2:19" x14ac:dyDescent="0.25">
      <c r="B52" s="296">
        <f t="shared" si="0"/>
        <v>37834</v>
      </c>
      <c r="C52" s="449"/>
      <c r="D52" s="449"/>
      <c r="E52" s="305">
        <v>0.6</v>
      </c>
      <c r="F52" s="449"/>
      <c r="G52" s="449">
        <v>0.26</v>
      </c>
      <c r="H52" s="306"/>
      <c r="I52" s="308">
        <v>36714</v>
      </c>
      <c r="J52" s="291">
        <v>40</v>
      </c>
      <c r="K52" s="308"/>
      <c r="L52" s="306"/>
      <c r="M52" s="296"/>
      <c r="N52" s="449">
        <v>0.6</v>
      </c>
      <c r="O52" s="449"/>
      <c r="P52" s="305">
        <v>0.6</v>
      </c>
      <c r="Q52" s="291"/>
      <c r="R52" s="308">
        <v>36714</v>
      </c>
      <c r="S52" s="291">
        <v>40</v>
      </c>
    </row>
    <row r="53" spans="2:19" x14ac:dyDescent="0.25">
      <c r="B53" s="296">
        <f t="shared" si="0"/>
        <v>37865</v>
      </c>
      <c r="C53" s="449"/>
      <c r="D53" s="449"/>
      <c r="E53" s="305">
        <v>0.55000000000000004</v>
      </c>
      <c r="F53" s="449"/>
      <c r="G53" s="449">
        <v>0.2</v>
      </c>
      <c r="H53" s="306"/>
      <c r="I53" s="308">
        <v>36715</v>
      </c>
      <c r="J53" s="291">
        <v>41</v>
      </c>
      <c r="K53" s="308"/>
      <c r="L53" s="306"/>
      <c r="M53" s="296"/>
      <c r="N53" s="449">
        <v>0.55000000000000004</v>
      </c>
      <c r="O53" s="449"/>
      <c r="P53" s="305">
        <v>0.55000000000000004</v>
      </c>
      <c r="Q53" s="291"/>
      <c r="R53" s="308">
        <v>36715</v>
      </c>
      <c r="S53" s="291">
        <v>41</v>
      </c>
    </row>
    <row r="54" spans="2:19" x14ac:dyDescent="0.25">
      <c r="B54" s="296">
        <f t="shared" si="0"/>
        <v>37895</v>
      </c>
      <c r="C54" s="449"/>
      <c r="D54" s="449"/>
      <c r="E54" s="305">
        <v>0.6</v>
      </c>
      <c r="F54" s="449"/>
      <c r="G54" s="449"/>
      <c r="H54" s="306"/>
      <c r="I54" s="308">
        <v>36716</v>
      </c>
      <c r="J54" s="291">
        <v>42</v>
      </c>
      <c r="K54" s="308"/>
      <c r="L54" s="306"/>
      <c r="M54" s="296"/>
      <c r="N54" s="449">
        <v>0.6</v>
      </c>
      <c r="O54" s="449"/>
      <c r="P54" s="305">
        <v>0.6</v>
      </c>
      <c r="Q54" s="291"/>
      <c r="R54" s="308">
        <v>36716</v>
      </c>
      <c r="S54" s="291">
        <v>42</v>
      </c>
    </row>
    <row r="55" spans="2:19" x14ac:dyDescent="0.25">
      <c r="B55" s="296">
        <f t="shared" si="0"/>
        <v>37926</v>
      </c>
      <c r="C55" s="449"/>
      <c r="D55" s="449"/>
      <c r="E55" s="305">
        <v>0.8</v>
      </c>
      <c r="F55" s="449"/>
      <c r="G55" s="449"/>
      <c r="H55" s="306"/>
      <c r="I55" s="308">
        <v>36717</v>
      </c>
      <c r="J55" s="291">
        <v>43</v>
      </c>
      <c r="K55" s="308"/>
      <c r="L55" s="306"/>
      <c r="M55" s="296"/>
      <c r="N55" s="449">
        <v>0.8</v>
      </c>
      <c r="O55" s="449"/>
      <c r="P55" s="305">
        <v>0.8</v>
      </c>
      <c r="Q55" s="291"/>
      <c r="R55" s="308">
        <v>36717</v>
      </c>
      <c r="S55" s="291">
        <v>43</v>
      </c>
    </row>
    <row r="56" spans="2:19" x14ac:dyDescent="0.25">
      <c r="B56" s="296">
        <f t="shared" si="0"/>
        <v>37956</v>
      </c>
      <c r="C56" s="449"/>
      <c r="D56" s="449"/>
      <c r="E56" s="305">
        <v>1</v>
      </c>
      <c r="F56" s="449"/>
      <c r="G56" s="449"/>
      <c r="H56" s="306"/>
      <c r="I56" s="308">
        <v>36718</v>
      </c>
      <c r="J56" s="291">
        <v>44</v>
      </c>
      <c r="K56" s="308"/>
      <c r="L56" s="306"/>
      <c r="M56" s="296"/>
      <c r="N56" s="449">
        <v>1</v>
      </c>
      <c r="O56" s="449"/>
      <c r="P56" s="305">
        <v>1</v>
      </c>
      <c r="Q56" s="291"/>
      <c r="R56" s="308">
        <v>36718</v>
      </c>
      <c r="S56" s="291">
        <v>44</v>
      </c>
    </row>
    <row r="57" spans="2:19" x14ac:dyDescent="0.25">
      <c r="B57" s="296">
        <f t="shared" si="0"/>
        <v>37987</v>
      </c>
      <c r="C57" s="449"/>
      <c r="D57" s="449"/>
      <c r="E57" s="305">
        <v>1</v>
      </c>
      <c r="F57" s="449"/>
      <c r="G57" s="449"/>
      <c r="H57" s="306"/>
      <c r="I57" s="308">
        <v>36719</v>
      </c>
      <c r="J57" s="291">
        <v>45</v>
      </c>
      <c r="K57" s="308"/>
      <c r="L57" s="306"/>
      <c r="M57" s="296"/>
      <c r="N57" s="449">
        <v>1</v>
      </c>
      <c r="O57" s="449"/>
      <c r="P57" s="305">
        <v>1</v>
      </c>
      <c r="Q57" s="291"/>
      <c r="R57" s="308">
        <v>36719</v>
      </c>
      <c r="S57" s="291">
        <v>45</v>
      </c>
    </row>
    <row r="58" spans="2:19" x14ac:dyDescent="0.25">
      <c r="B58" s="296">
        <f t="shared" si="0"/>
        <v>38018</v>
      </c>
      <c r="C58" s="449"/>
      <c r="D58" s="449"/>
      <c r="E58" s="305">
        <v>1</v>
      </c>
      <c r="F58" s="449"/>
      <c r="G58" s="449"/>
      <c r="H58" s="306"/>
      <c r="I58" s="308">
        <v>36720</v>
      </c>
      <c r="J58" s="291">
        <v>46</v>
      </c>
      <c r="K58" s="308"/>
      <c r="L58" s="306"/>
      <c r="M58" s="296"/>
      <c r="N58" s="449">
        <v>1</v>
      </c>
      <c r="O58" s="449"/>
      <c r="P58" s="305">
        <v>1</v>
      </c>
      <c r="Q58" s="291"/>
      <c r="R58" s="308">
        <v>36720</v>
      </c>
      <c r="S58" s="291">
        <v>46</v>
      </c>
    </row>
    <row r="59" spans="2:19" x14ac:dyDescent="0.25">
      <c r="B59" s="296">
        <f t="shared" si="0"/>
        <v>38047</v>
      </c>
      <c r="C59" s="449"/>
      <c r="D59" s="449"/>
      <c r="E59" s="305">
        <v>0.75</v>
      </c>
      <c r="F59" s="449"/>
      <c r="G59" s="449"/>
      <c r="H59" s="306"/>
      <c r="I59" s="308">
        <v>36721</v>
      </c>
      <c r="J59" s="291">
        <v>47</v>
      </c>
      <c r="K59" s="308"/>
      <c r="L59" s="306"/>
      <c r="M59" s="296"/>
      <c r="N59" s="449">
        <v>0.75</v>
      </c>
      <c r="O59" s="449"/>
      <c r="P59" s="305">
        <v>0.75</v>
      </c>
      <c r="Q59" s="291"/>
      <c r="R59" s="308">
        <v>36721</v>
      </c>
      <c r="S59" s="291">
        <v>47</v>
      </c>
    </row>
    <row r="60" spans="2:19" x14ac:dyDescent="0.25">
      <c r="B60" s="296">
        <f t="shared" si="0"/>
        <v>38078</v>
      </c>
      <c r="C60" s="449"/>
      <c r="D60" s="449"/>
      <c r="E60" s="305">
        <v>0.45</v>
      </c>
      <c r="F60" s="449"/>
      <c r="G60" s="449"/>
      <c r="H60" s="306"/>
      <c r="I60" s="308">
        <v>36722</v>
      </c>
      <c r="J60" s="291">
        <v>48</v>
      </c>
      <c r="K60" s="308"/>
      <c r="L60" s="306"/>
      <c r="M60" s="296"/>
      <c r="N60" s="449">
        <v>0.45</v>
      </c>
      <c r="O60" s="449"/>
      <c r="P60" s="305">
        <v>0.45</v>
      </c>
      <c r="Q60" s="291"/>
      <c r="R60" s="308">
        <v>36722</v>
      </c>
      <c r="S60" s="291">
        <v>48</v>
      </c>
    </row>
    <row r="61" spans="2:19" x14ac:dyDescent="0.25">
      <c r="B61" s="296">
        <f t="shared" si="0"/>
        <v>38108</v>
      </c>
      <c r="C61" s="449"/>
      <c r="D61" s="449"/>
      <c r="E61" s="305">
        <v>0.4</v>
      </c>
      <c r="F61" s="449"/>
      <c r="G61" s="449"/>
      <c r="H61" s="306"/>
      <c r="I61" s="308">
        <v>36723</v>
      </c>
      <c r="J61" s="291">
        <v>49</v>
      </c>
      <c r="K61" s="308"/>
      <c r="L61" s="306"/>
      <c r="M61" s="296"/>
      <c r="N61" s="449">
        <v>0.4</v>
      </c>
      <c r="O61" s="449"/>
      <c r="P61" s="305">
        <v>0.4</v>
      </c>
      <c r="Q61" s="291"/>
      <c r="R61" s="308">
        <v>36723</v>
      </c>
      <c r="S61" s="291">
        <v>49</v>
      </c>
    </row>
    <row r="62" spans="2:19" x14ac:dyDescent="0.25">
      <c r="B62" s="296">
        <f t="shared" si="0"/>
        <v>38139</v>
      </c>
      <c r="C62" s="449"/>
      <c r="D62" s="449"/>
      <c r="E62" s="305">
        <v>0.5</v>
      </c>
      <c r="F62" s="449"/>
      <c r="G62" s="449"/>
      <c r="H62" s="306"/>
      <c r="I62" s="308">
        <v>36724</v>
      </c>
      <c r="J62" s="291">
        <v>50</v>
      </c>
      <c r="K62" s="308"/>
      <c r="L62" s="306"/>
      <c r="M62" s="296"/>
      <c r="N62" s="449">
        <v>0.5</v>
      </c>
      <c r="O62" s="449"/>
      <c r="P62" s="305">
        <v>0.5</v>
      </c>
      <c r="Q62" s="291"/>
      <c r="R62" s="308">
        <v>36724</v>
      </c>
      <c r="S62" s="291">
        <v>50</v>
      </c>
    </row>
    <row r="63" spans="2:19" x14ac:dyDescent="0.25">
      <c r="B63" s="296">
        <f t="shared" si="0"/>
        <v>38169</v>
      </c>
      <c r="C63" s="449"/>
      <c r="D63" s="449"/>
      <c r="E63" s="305">
        <v>0.5</v>
      </c>
      <c r="F63" s="449"/>
      <c r="G63" s="449"/>
      <c r="H63" s="306"/>
      <c r="I63" s="308">
        <v>36725</v>
      </c>
      <c r="J63" s="291">
        <v>51</v>
      </c>
      <c r="K63" s="308"/>
      <c r="L63" s="306"/>
      <c r="M63" s="296"/>
      <c r="N63" s="449">
        <v>0.5</v>
      </c>
      <c r="O63" s="449"/>
      <c r="P63" s="305">
        <v>0.5</v>
      </c>
      <c r="Q63" s="291"/>
      <c r="R63" s="308">
        <v>36725</v>
      </c>
      <c r="S63" s="291">
        <v>51</v>
      </c>
    </row>
    <row r="64" spans="2:19" x14ac:dyDescent="0.25">
      <c r="B64" s="296">
        <f t="shared" si="0"/>
        <v>38200</v>
      </c>
      <c r="C64" s="449"/>
      <c r="D64" s="449"/>
      <c r="E64" s="305">
        <v>0.6</v>
      </c>
      <c r="F64" s="449"/>
      <c r="G64" s="449"/>
      <c r="H64" s="306"/>
      <c r="I64" s="308">
        <v>36726</v>
      </c>
      <c r="J64" s="291">
        <v>52</v>
      </c>
      <c r="K64" s="308"/>
      <c r="L64" s="306"/>
      <c r="M64" s="296"/>
      <c r="N64" s="449">
        <v>0.6</v>
      </c>
      <c r="O64" s="449"/>
      <c r="P64" s="305">
        <v>0.6</v>
      </c>
      <c r="Q64" s="291"/>
      <c r="R64" s="308">
        <v>36726</v>
      </c>
      <c r="S64" s="291">
        <v>52</v>
      </c>
    </row>
    <row r="65" spans="2:19" x14ac:dyDescent="0.25">
      <c r="B65" s="296">
        <f t="shared" si="0"/>
        <v>38231</v>
      </c>
      <c r="C65" s="449"/>
      <c r="D65" s="449"/>
      <c r="E65" s="305">
        <v>0.55000000000000004</v>
      </c>
      <c r="F65" s="449"/>
      <c r="G65" s="449"/>
      <c r="H65" s="306"/>
      <c r="I65" s="308">
        <v>36727</v>
      </c>
      <c r="J65" s="291">
        <v>53</v>
      </c>
      <c r="K65" s="308"/>
      <c r="L65" s="306"/>
      <c r="M65" s="296"/>
      <c r="N65" s="449">
        <v>0.55000000000000004</v>
      </c>
      <c r="O65" s="449"/>
      <c r="P65" s="305">
        <v>0.55000000000000004</v>
      </c>
      <c r="Q65" s="291"/>
      <c r="R65" s="308">
        <v>36727</v>
      </c>
      <c r="S65" s="291">
        <v>53</v>
      </c>
    </row>
    <row r="66" spans="2:19" x14ac:dyDescent="0.25">
      <c r="B66" s="296">
        <f t="shared" si="0"/>
        <v>38261</v>
      </c>
      <c r="C66" s="449"/>
      <c r="D66" s="449"/>
      <c r="E66" s="305">
        <v>0.6</v>
      </c>
      <c r="F66" s="449"/>
      <c r="G66" s="449"/>
      <c r="H66" s="306"/>
      <c r="I66" s="308">
        <v>36728</v>
      </c>
      <c r="J66" s="291">
        <v>54</v>
      </c>
      <c r="K66" s="308"/>
      <c r="L66" s="306"/>
      <c r="M66" s="296"/>
      <c r="N66" s="449">
        <v>0.6</v>
      </c>
      <c r="O66" s="449"/>
      <c r="P66" s="305">
        <v>0.6</v>
      </c>
      <c r="Q66" s="291"/>
      <c r="R66" s="308">
        <v>36728</v>
      </c>
      <c r="S66" s="291">
        <v>54</v>
      </c>
    </row>
    <row r="67" spans="2:19" x14ac:dyDescent="0.25">
      <c r="B67" s="296">
        <f t="shared" si="0"/>
        <v>38292</v>
      </c>
      <c r="C67" s="449"/>
      <c r="D67" s="449"/>
      <c r="E67" s="305">
        <v>0.8</v>
      </c>
      <c r="F67" s="449"/>
      <c r="G67" s="449"/>
      <c r="H67" s="306"/>
      <c r="I67" s="308">
        <v>36729</v>
      </c>
      <c r="J67" s="291">
        <v>55</v>
      </c>
      <c r="K67" s="308"/>
      <c r="L67" s="306"/>
      <c r="M67" s="296"/>
      <c r="N67" s="449">
        <v>0.8</v>
      </c>
      <c r="O67" s="449"/>
      <c r="P67" s="305">
        <v>0.8</v>
      </c>
      <c r="Q67" s="291"/>
      <c r="R67" s="308">
        <v>36729</v>
      </c>
      <c r="S67" s="291">
        <v>55</v>
      </c>
    </row>
    <row r="68" spans="2:19" x14ac:dyDescent="0.25">
      <c r="B68" s="296">
        <f t="shared" si="0"/>
        <v>38322</v>
      </c>
      <c r="C68" s="449"/>
      <c r="D68" s="449"/>
      <c r="E68" s="305">
        <v>1</v>
      </c>
      <c r="F68" s="449"/>
      <c r="G68" s="449"/>
      <c r="H68" s="306"/>
      <c r="I68" s="308">
        <v>36730</v>
      </c>
      <c r="J68" s="291">
        <v>56</v>
      </c>
      <c r="K68" s="308"/>
      <c r="L68" s="306"/>
      <c r="M68" s="296"/>
      <c r="N68" s="449">
        <v>1</v>
      </c>
      <c r="O68" s="449"/>
      <c r="P68" s="305">
        <v>1</v>
      </c>
      <c r="Q68" s="291"/>
      <c r="R68" s="308">
        <v>36730</v>
      </c>
      <c r="S68" s="291">
        <v>56</v>
      </c>
    </row>
    <row r="69" spans="2:19" x14ac:dyDescent="0.25">
      <c r="B69" s="296">
        <f t="shared" si="0"/>
        <v>38353</v>
      </c>
      <c r="C69" s="449"/>
      <c r="D69" s="449"/>
      <c r="E69" s="305">
        <v>1</v>
      </c>
      <c r="F69" s="449"/>
      <c r="G69" s="449"/>
      <c r="H69" s="306"/>
      <c r="I69" s="308">
        <v>36731</v>
      </c>
      <c r="J69" s="291">
        <v>57</v>
      </c>
      <c r="K69" s="308"/>
      <c r="L69" s="306"/>
      <c r="M69" s="296"/>
      <c r="N69" s="291">
        <v>1</v>
      </c>
      <c r="O69" s="308"/>
      <c r="P69" s="291">
        <v>1</v>
      </c>
      <c r="Q69" s="291"/>
      <c r="R69" s="308">
        <v>36731</v>
      </c>
      <c r="S69" s="291">
        <v>57</v>
      </c>
    </row>
    <row r="70" spans="2:19" x14ac:dyDescent="0.25">
      <c r="B70" s="296">
        <f t="shared" si="0"/>
        <v>38384</v>
      </c>
      <c r="C70" s="449"/>
      <c r="D70" s="449"/>
      <c r="E70" s="305">
        <v>1</v>
      </c>
      <c r="F70" s="449"/>
      <c r="G70" s="449"/>
      <c r="H70" s="306"/>
      <c r="I70" s="308">
        <v>36732</v>
      </c>
      <c r="J70" s="291">
        <v>58</v>
      </c>
      <c r="K70" s="308"/>
      <c r="L70" s="306"/>
      <c r="M70" s="296"/>
      <c r="N70" s="291">
        <v>1</v>
      </c>
      <c r="O70" s="308"/>
      <c r="P70" s="291">
        <v>1</v>
      </c>
      <c r="Q70" s="291"/>
      <c r="R70" s="308">
        <v>36732</v>
      </c>
      <c r="S70" s="291">
        <v>58</v>
      </c>
    </row>
    <row r="71" spans="2:19" x14ac:dyDescent="0.25">
      <c r="B71" s="296">
        <f t="shared" si="0"/>
        <v>38412</v>
      </c>
      <c r="C71" s="449"/>
      <c r="D71" s="449"/>
      <c r="E71" s="305">
        <v>0.75</v>
      </c>
      <c r="F71" s="449"/>
      <c r="G71" s="449"/>
      <c r="H71" s="306"/>
      <c r="I71" s="308">
        <v>36733</v>
      </c>
      <c r="J71" s="291">
        <v>59</v>
      </c>
      <c r="K71" s="308"/>
      <c r="L71" s="306"/>
      <c r="M71" s="296"/>
      <c r="N71" s="291">
        <v>0.75</v>
      </c>
      <c r="O71" s="308"/>
      <c r="P71" s="291">
        <v>0.75</v>
      </c>
      <c r="Q71" s="291"/>
      <c r="R71" s="308">
        <v>36733</v>
      </c>
      <c r="S71" s="291">
        <v>59</v>
      </c>
    </row>
    <row r="72" spans="2:19" x14ac:dyDescent="0.25">
      <c r="B72" s="296">
        <f t="shared" si="0"/>
        <v>38443</v>
      </c>
      <c r="C72" s="449"/>
      <c r="D72" s="449"/>
      <c r="E72" s="305">
        <v>0.45</v>
      </c>
      <c r="F72" s="449"/>
      <c r="G72" s="449"/>
      <c r="H72" s="306"/>
      <c r="I72" s="308">
        <v>36734</v>
      </c>
      <c r="J72" s="291">
        <v>60</v>
      </c>
      <c r="K72" s="308"/>
      <c r="L72" s="306"/>
      <c r="M72" s="296"/>
      <c r="N72" s="291">
        <v>0.45</v>
      </c>
      <c r="O72" s="308"/>
      <c r="P72" s="291">
        <v>0.45</v>
      </c>
      <c r="Q72" s="291"/>
      <c r="R72" s="308">
        <v>36734</v>
      </c>
      <c r="S72" s="291">
        <v>60</v>
      </c>
    </row>
    <row r="73" spans="2:19" x14ac:dyDescent="0.25">
      <c r="B73" s="296">
        <f t="shared" si="0"/>
        <v>38473</v>
      </c>
      <c r="C73" s="449"/>
      <c r="D73" s="449"/>
      <c r="E73" s="305">
        <v>0.4</v>
      </c>
      <c r="F73" s="449"/>
      <c r="G73" s="449"/>
      <c r="H73" s="306"/>
      <c r="I73" s="308">
        <v>36735</v>
      </c>
      <c r="J73" s="291">
        <v>61</v>
      </c>
      <c r="K73" s="308"/>
      <c r="L73" s="306"/>
      <c r="M73" s="296"/>
      <c r="N73" s="291">
        <v>0.4</v>
      </c>
      <c r="O73" s="308"/>
      <c r="P73" s="291">
        <v>0.4</v>
      </c>
      <c r="Q73" s="291"/>
      <c r="R73" s="308">
        <v>36735</v>
      </c>
      <c r="S73" s="291">
        <v>61</v>
      </c>
    </row>
    <row r="74" spans="2:19" x14ac:dyDescent="0.25">
      <c r="B74" s="296">
        <f t="shared" si="0"/>
        <v>38504</v>
      </c>
      <c r="C74" s="449"/>
      <c r="D74" s="449"/>
      <c r="E74" s="305">
        <v>0.5</v>
      </c>
      <c r="F74" s="449"/>
      <c r="G74" s="449"/>
      <c r="H74" s="306"/>
      <c r="I74" s="308">
        <v>36736</v>
      </c>
      <c r="J74" s="291">
        <v>62</v>
      </c>
      <c r="K74" s="308"/>
      <c r="L74" s="306"/>
      <c r="M74" s="296"/>
      <c r="N74" s="291">
        <v>0.5</v>
      </c>
      <c r="O74" s="308"/>
      <c r="P74" s="291">
        <v>0.5</v>
      </c>
      <c r="Q74" s="291"/>
      <c r="R74" s="308">
        <v>36736</v>
      </c>
      <c r="S74" s="291">
        <v>62</v>
      </c>
    </row>
    <row r="75" spans="2:19" x14ac:dyDescent="0.25">
      <c r="B75" s="296">
        <f t="shared" si="0"/>
        <v>38534</v>
      </c>
      <c r="C75" s="449"/>
      <c r="D75" s="449"/>
      <c r="E75" s="305">
        <v>0.5</v>
      </c>
      <c r="F75" s="449"/>
      <c r="G75" s="449"/>
      <c r="H75" s="306"/>
      <c r="I75" s="308">
        <v>36737</v>
      </c>
      <c r="J75" s="291">
        <v>63</v>
      </c>
      <c r="K75" s="308"/>
      <c r="L75" s="306"/>
      <c r="M75" s="296"/>
      <c r="N75" s="291">
        <v>0.5</v>
      </c>
      <c r="O75" s="308"/>
      <c r="P75" s="291">
        <v>0.5</v>
      </c>
      <c r="Q75" s="291"/>
      <c r="R75" s="308">
        <v>36737</v>
      </c>
      <c r="S75" s="291">
        <v>63</v>
      </c>
    </row>
    <row r="76" spans="2:19" x14ac:dyDescent="0.25">
      <c r="B76" s="296">
        <f t="shared" si="0"/>
        <v>38565</v>
      </c>
      <c r="C76" s="449"/>
      <c r="D76" s="449"/>
      <c r="E76" s="305">
        <v>0.6</v>
      </c>
      <c r="F76" s="449"/>
      <c r="G76" s="449"/>
      <c r="H76" s="306"/>
      <c r="I76" s="308">
        <v>36738</v>
      </c>
      <c r="J76" s="291">
        <v>64</v>
      </c>
      <c r="K76" s="308"/>
      <c r="L76" s="306"/>
      <c r="M76" s="296"/>
      <c r="N76" s="291">
        <v>0.6</v>
      </c>
      <c r="O76" s="308"/>
      <c r="P76" s="291">
        <v>0.6</v>
      </c>
      <c r="Q76" s="291"/>
      <c r="R76" s="308">
        <v>36738</v>
      </c>
      <c r="S76" s="291">
        <v>64</v>
      </c>
    </row>
    <row r="77" spans="2:19" x14ac:dyDescent="0.25">
      <c r="B77" s="296">
        <f t="shared" si="0"/>
        <v>38596</v>
      </c>
      <c r="C77" s="449"/>
      <c r="D77" s="449"/>
      <c r="E77" s="305">
        <v>0.55000000000000004</v>
      </c>
      <c r="F77" s="449"/>
      <c r="G77" s="449"/>
      <c r="H77" s="306"/>
      <c r="I77" s="308">
        <v>36739</v>
      </c>
      <c r="J77" s="291">
        <v>65</v>
      </c>
      <c r="K77" s="308"/>
      <c r="L77" s="306"/>
      <c r="M77" s="296"/>
      <c r="N77" s="291">
        <v>0.55000000000000004</v>
      </c>
      <c r="O77" s="308"/>
      <c r="P77" s="291">
        <v>0.55000000000000004</v>
      </c>
      <c r="Q77" s="291"/>
      <c r="R77" s="308">
        <v>36739</v>
      </c>
      <c r="S77" s="291">
        <v>65</v>
      </c>
    </row>
    <row r="78" spans="2:19" x14ac:dyDescent="0.25">
      <c r="B78" s="296">
        <f t="shared" si="0"/>
        <v>38626</v>
      </c>
      <c r="C78" s="449"/>
      <c r="D78" s="449"/>
      <c r="E78" s="305">
        <v>0.6</v>
      </c>
      <c r="F78" s="449"/>
      <c r="G78" s="449"/>
      <c r="H78" s="306"/>
      <c r="I78" s="308">
        <v>36740</v>
      </c>
      <c r="J78" s="291">
        <v>66</v>
      </c>
      <c r="K78" s="308"/>
      <c r="L78" s="306"/>
      <c r="M78" s="296"/>
      <c r="N78" s="291">
        <v>0.6</v>
      </c>
      <c r="O78" s="308"/>
      <c r="P78" s="291">
        <v>0.6</v>
      </c>
      <c r="Q78" s="291"/>
      <c r="R78" s="308">
        <v>36740</v>
      </c>
      <c r="S78" s="291">
        <v>66</v>
      </c>
    </row>
    <row r="79" spans="2:19" x14ac:dyDescent="0.25">
      <c r="B79" s="296">
        <f t="shared" si="0"/>
        <v>38657</v>
      </c>
      <c r="C79" s="449"/>
      <c r="D79" s="449"/>
      <c r="E79" s="305">
        <v>0.8</v>
      </c>
      <c r="F79" s="449"/>
      <c r="G79" s="449"/>
      <c r="H79" s="306"/>
      <c r="I79" s="308">
        <v>36741</v>
      </c>
      <c r="J79" s="291">
        <v>67</v>
      </c>
      <c r="K79" s="308"/>
      <c r="L79" s="306"/>
      <c r="M79" s="296"/>
      <c r="N79" s="291">
        <v>0.8</v>
      </c>
      <c r="O79" s="308"/>
      <c r="P79" s="291">
        <v>0.8</v>
      </c>
      <c r="Q79" s="291"/>
      <c r="R79" s="308">
        <v>36741</v>
      </c>
      <c r="S79" s="291">
        <v>67</v>
      </c>
    </row>
    <row r="80" spans="2:19" x14ac:dyDescent="0.25">
      <c r="B80" s="296">
        <f t="shared" si="0"/>
        <v>38687</v>
      </c>
      <c r="C80" s="449"/>
      <c r="D80" s="449"/>
      <c r="E80" s="305">
        <v>1</v>
      </c>
      <c r="F80" s="449"/>
      <c r="G80" s="449"/>
      <c r="H80" s="306"/>
      <c r="I80" s="308">
        <v>36742</v>
      </c>
      <c r="J80" s="291">
        <v>68</v>
      </c>
      <c r="K80" s="308"/>
      <c r="L80" s="306"/>
      <c r="M80" s="296"/>
      <c r="N80" s="291">
        <v>1</v>
      </c>
      <c r="O80" s="308"/>
      <c r="P80" s="291">
        <v>1</v>
      </c>
      <c r="Q80" s="291"/>
      <c r="R80" s="308">
        <v>36742</v>
      </c>
      <c r="S80" s="291">
        <v>68</v>
      </c>
    </row>
    <row r="81" spans="2:19" x14ac:dyDescent="0.25">
      <c r="B81" s="296">
        <f t="shared" ref="B81:B144" si="1">EOMONTH(B80,0)+1</f>
        <v>38718</v>
      </c>
      <c r="C81" s="449"/>
      <c r="D81" s="449"/>
      <c r="E81" s="305">
        <v>1</v>
      </c>
      <c r="F81" s="449"/>
      <c r="G81" s="449"/>
      <c r="H81" s="306"/>
      <c r="I81" s="308">
        <v>36743</v>
      </c>
      <c r="J81" s="291">
        <v>69</v>
      </c>
      <c r="K81" s="308"/>
      <c r="L81" s="306"/>
      <c r="M81" s="296"/>
      <c r="N81" s="291">
        <v>1</v>
      </c>
      <c r="O81" s="308"/>
      <c r="P81" s="291">
        <v>1</v>
      </c>
      <c r="Q81" s="291"/>
      <c r="R81" s="308">
        <v>36743</v>
      </c>
      <c r="S81" s="291">
        <v>69</v>
      </c>
    </row>
    <row r="82" spans="2:19" x14ac:dyDescent="0.25">
      <c r="B82" s="296">
        <f t="shared" si="1"/>
        <v>38749</v>
      </c>
      <c r="C82" s="449"/>
      <c r="D82" s="449"/>
      <c r="E82" s="305">
        <v>1</v>
      </c>
      <c r="F82" s="449"/>
      <c r="G82" s="449"/>
      <c r="H82" s="306"/>
      <c r="I82" s="308">
        <v>36744</v>
      </c>
      <c r="J82" s="291">
        <v>70</v>
      </c>
      <c r="K82" s="308"/>
      <c r="L82" s="306"/>
      <c r="M82" s="296"/>
      <c r="N82" s="291">
        <v>1</v>
      </c>
      <c r="O82" s="308"/>
      <c r="P82" s="291">
        <v>1</v>
      </c>
      <c r="Q82" s="291"/>
      <c r="R82" s="308">
        <v>36744</v>
      </c>
      <c r="S82" s="291">
        <v>70</v>
      </c>
    </row>
    <row r="83" spans="2:19" x14ac:dyDescent="0.25">
      <c r="B83" s="296">
        <f t="shared" si="1"/>
        <v>38777</v>
      </c>
      <c r="C83" s="449"/>
      <c r="D83" s="449"/>
      <c r="E83" s="305">
        <v>0.75</v>
      </c>
      <c r="F83" s="449"/>
      <c r="G83" s="449"/>
      <c r="H83" s="306"/>
      <c r="I83" s="308">
        <v>36745</v>
      </c>
      <c r="J83" s="291">
        <v>71</v>
      </c>
      <c r="K83" s="308"/>
      <c r="L83" s="306"/>
      <c r="M83" s="296"/>
      <c r="N83" s="291">
        <v>0.75</v>
      </c>
      <c r="O83" s="308"/>
      <c r="P83" s="291">
        <v>0.75</v>
      </c>
      <c r="Q83" s="291"/>
      <c r="R83" s="308">
        <v>36745</v>
      </c>
      <c r="S83" s="291">
        <v>71</v>
      </c>
    </row>
    <row r="84" spans="2:19" x14ac:dyDescent="0.25">
      <c r="B84" s="296">
        <f t="shared" si="1"/>
        <v>38808</v>
      </c>
      <c r="C84" s="449"/>
      <c r="D84" s="449"/>
      <c r="E84" s="305">
        <v>0.45</v>
      </c>
      <c r="F84" s="449"/>
      <c r="G84" s="449"/>
      <c r="H84" s="306"/>
      <c r="I84" s="308">
        <v>36746</v>
      </c>
      <c r="J84" s="291">
        <v>72</v>
      </c>
      <c r="K84" s="308"/>
      <c r="L84" s="306"/>
      <c r="M84" s="296"/>
      <c r="N84" s="291">
        <v>0.45</v>
      </c>
      <c r="O84" s="308"/>
      <c r="P84" s="291">
        <v>0.45</v>
      </c>
      <c r="Q84" s="291"/>
      <c r="R84" s="308">
        <v>36746</v>
      </c>
      <c r="S84" s="291">
        <v>72</v>
      </c>
    </row>
    <row r="85" spans="2:19" x14ac:dyDescent="0.25">
      <c r="B85" s="296">
        <f t="shared" si="1"/>
        <v>38838</v>
      </c>
      <c r="C85" s="449"/>
      <c r="D85" s="449"/>
      <c r="E85" s="305">
        <v>0.4</v>
      </c>
      <c r="F85" s="449"/>
      <c r="G85" s="449"/>
      <c r="H85" s="306"/>
      <c r="I85" s="308">
        <v>36747</v>
      </c>
      <c r="J85" s="291">
        <v>73</v>
      </c>
      <c r="K85" s="308"/>
      <c r="L85" s="306"/>
      <c r="M85" s="296"/>
      <c r="N85" s="291">
        <v>0.4</v>
      </c>
      <c r="O85" s="308"/>
      <c r="P85" s="291">
        <v>0.4</v>
      </c>
      <c r="Q85" s="291"/>
      <c r="R85" s="308">
        <v>36747</v>
      </c>
      <c r="S85" s="291">
        <v>73</v>
      </c>
    </row>
    <row r="86" spans="2:19" x14ac:dyDescent="0.25">
      <c r="B86" s="296">
        <f t="shared" si="1"/>
        <v>38869</v>
      </c>
      <c r="C86" s="449"/>
      <c r="D86" s="449"/>
      <c r="E86" s="291">
        <v>0.5</v>
      </c>
      <c r="F86" s="449"/>
      <c r="G86" s="449"/>
      <c r="H86" s="306"/>
      <c r="I86" s="308">
        <v>36748</v>
      </c>
      <c r="J86" s="291">
        <v>74</v>
      </c>
      <c r="K86" s="308"/>
      <c r="L86" s="306"/>
      <c r="M86" s="296"/>
      <c r="N86" s="291">
        <v>0.5</v>
      </c>
      <c r="O86" s="308"/>
      <c r="P86" s="291">
        <v>0.5</v>
      </c>
      <c r="Q86" s="291"/>
      <c r="R86" s="308">
        <v>36748</v>
      </c>
      <c r="S86" s="291">
        <v>74</v>
      </c>
    </row>
    <row r="87" spans="2:19" x14ac:dyDescent="0.25">
      <c r="B87" s="296">
        <f t="shared" si="1"/>
        <v>38899</v>
      </c>
      <c r="C87" s="449"/>
      <c r="D87" s="449"/>
      <c r="E87" s="291">
        <v>0.5</v>
      </c>
      <c r="F87" s="449"/>
      <c r="G87" s="449"/>
      <c r="H87" s="306"/>
      <c r="I87" s="308">
        <v>36749</v>
      </c>
      <c r="J87" s="291">
        <v>75</v>
      </c>
      <c r="K87" s="308"/>
      <c r="L87" s="306"/>
      <c r="M87" s="296"/>
      <c r="N87" s="291">
        <v>0.5</v>
      </c>
      <c r="O87" s="308"/>
      <c r="P87" s="291">
        <v>0.5</v>
      </c>
      <c r="Q87" s="291"/>
      <c r="R87" s="308">
        <v>36749</v>
      </c>
      <c r="S87" s="291">
        <v>75</v>
      </c>
    </row>
    <row r="88" spans="2:19" x14ac:dyDescent="0.25">
      <c r="B88" s="296">
        <f t="shared" si="1"/>
        <v>38930</v>
      </c>
      <c r="C88" s="449"/>
      <c r="D88" s="449"/>
      <c r="E88" s="291">
        <v>0.6</v>
      </c>
      <c r="F88" s="449"/>
      <c r="G88" s="449"/>
      <c r="H88" s="306"/>
      <c r="I88" s="308">
        <v>36750</v>
      </c>
      <c r="J88" s="291">
        <v>76</v>
      </c>
      <c r="K88" s="308"/>
      <c r="L88" s="306"/>
      <c r="M88" s="296"/>
      <c r="N88" s="291">
        <v>0.6</v>
      </c>
      <c r="O88" s="308"/>
      <c r="P88" s="291">
        <v>0.6</v>
      </c>
      <c r="Q88" s="291"/>
      <c r="R88" s="308">
        <v>36750</v>
      </c>
      <c r="S88" s="291">
        <v>76</v>
      </c>
    </row>
    <row r="89" spans="2:19" x14ac:dyDescent="0.25">
      <c r="B89" s="296">
        <f t="shared" si="1"/>
        <v>38961</v>
      </c>
      <c r="C89" s="449"/>
      <c r="D89" s="449"/>
      <c r="E89" s="291">
        <v>0.55000000000000004</v>
      </c>
      <c r="F89" s="449"/>
      <c r="G89" s="449"/>
      <c r="H89" s="306"/>
      <c r="I89" s="308">
        <v>36751</v>
      </c>
      <c r="J89" s="291">
        <v>77</v>
      </c>
      <c r="K89" s="308"/>
      <c r="L89" s="306"/>
      <c r="M89" s="296"/>
      <c r="N89" s="291">
        <v>0.55000000000000004</v>
      </c>
      <c r="O89" s="308"/>
      <c r="P89" s="291">
        <v>0.55000000000000004</v>
      </c>
      <c r="Q89" s="291"/>
      <c r="R89" s="308">
        <v>36751</v>
      </c>
      <c r="S89" s="291">
        <v>77</v>
      </c>
    </row>
    <row r="90" spans="2:19" x14ac:dyDescent="0.25">
      <c r="B90" s="296">
        <f t="shared" si="1"/>
        <v>38991</v>
      </c>
      <c r="C90" s="449"/>
      <c r="D90" s="449"/>
      <c r="E90" s="291">
        <v>0.6</v>
      </c>
      <c r="F90" s="449"/>
      <c r="G90" s="449"/>
      <c r="H90" s="306"/>
      <c r="I90" s="308">
        <v>36752</v>
      </c>
      <c r="J90" s="291">
        <v>78</v>
      </c>
      <c r="K90" s="308"/>
      <c r="L90" s="306"/>
      <c r="M90" s="296"/>
      <c r="N90" s="291">
        <v>0.6</v>
      </c>
      <c r="O90" s="308"/>
      <c r="P90" s="291">
        <v>0.6</v>
      </c>
      <c r="Q90" s="291"/>
      <c r="R90" s="308">
        <v>36752</v>
      </c>
      <c r="S90" s="291">
        <v>78</v>
      </c>
    </row>
    <row r="91" spans="2:19" x14ac:dyDescent="0.25">
      <c r="B91" s="296">
        <f t="shared" si="1"/>
        <v>39022</v>
      </c>
      <c r="C91" s="449"/>
      <c r="D91" s="449"/>
      <c r="E91" s="291">
        <v>0.8</v>
      </c>
      <c r="F91" s="449"/>
      <c r="G91" s="449"/>
      <c r="H91" s="306"/>
      <c r="I91" s="308">
        <v>36753</v>
      </c>
      <c r="J91" s="291">
        <v>79</v>
      </c>
      <c r="K91" s="308"/>
      <c r="L91" s="306"/>
      <c r="M91" s="296"/>
      <c r="N91" s="291">
        <v>0.8</v>
      </c>
      <c r="O91" s="308"/>
      <c r="P91" s="291">
        <v>0.8</v>
      </c>
      <c r="Q91" s="291"/>
      <c r="R91" s="308">
        <v>36753</v>
      </c>
      <c r="S91" s="291">
        <v>79</v>
      </c>
    </row>
    <row r="92" spans="2:19" x14ac:dyDescent="0.25">
      <c r="B92" s="296">
        <f t="shared" si="1"/>
        <v>39052</v>
      </c>
      <c r="C92" s="449"/>
      <c r="D92" s="449"/>
      <c r="E92" s="291">
        <v>1</v>
      </c>
      <c r="F92" s="449"/>
      <c r="G92" s="449"/>
      <c r="H92" s="306"/>
      <c r="I92" s="308">
        <v>36754</v>
      </c>
      <c r="J92" s="291">
        <v>80</v>
      </c>
      <c r="K92" s="308"/>
      <c r="L92" s="306"/>
      <c r="M92" s="296"/>
      <c r="N92" s="291">
        <v>1</v>
      </c>
      <c r="O92" s="308"/>
      <c r="P92" s="291">
        <v>1</v>
      </c>
      <c r="Q92" s="291"/>
      <c r="R92" s="308">
        <v>36754</v>
      </c>
      <c r="S92" s="291">
        <v>80</v>
      </c>
    </row>
    <row r="93" spans="2:19" x14ac:dyDescent="0.25">
      <c r="B93" s="296">
        <f t="shared" si="1"/>
        <v>39083</v>
      </c>
      <c r="C93" s="449"/>
      <c r="D93" s="449"/>
      <c r="E93" s="291">
        <v>1</v>
      </c>
      <c r="F93" s="449"/>
      <c r="G93" s="449"/>
      <c r="H93" s="306"/>
      <c r="I93" s="308">
        <v>36755</v>
      </c>
      <c r="J93" s="291">
        <v>81</v>
      </c>
      <c r="K93" s="308"/>
      <c r="L93" s="306"/>
      <c r="M93" s="296"/>
      <c r="N93" s="291">
        <v>1</v>
      </c>
      <c r="O93" s="308"/>
      <c r="P93" s="291">
        <v>1</v>
      </c>
      <c r="Q93" s="291"/>
      <c r="R93" s="308">
        <v>36755</v>
      </c>
      <c r="S93" s="291">
        <v>81</v>
      </c>
    </row>
    <row r="94" spans="2:19" x14ac:dyDescent="0.25">
      <c r="B94" s="296">
        <f t="shared" si="1"/>
        <v>39114</v>
      </c>
      <c r="C94" s="449"/>
      <c r="D94" s="449"/>
      <c r="E94" s="291">
        <v>1</v>
      </c>
      <c r="F94" s="449"/>
      <c r="G94" s="449"/>
      <c r="H94" s="306"/>
      <c r="I94" s="308">
        <v>36756</v>
      </c>
      <c r="J94" s="291">
        <v>82</v>
      </c>
      <c r="K94" s="308"/>
      <c r="L94" s="306"/>
      <c r="M94" s="296"/>
      <c r="N94" s="291">
        <v>1</v>
      </c>
      <c r="O94" s="308"/>
      <c r="P94" s="291">
        <v>1</v>
      </c>
      <c r="Q94" s="291"/>
      <c r="R94" s="308">
        <v>36756</v>
      </c>
      <c r="S94" s="291">
        <v>82</v>
      </c>
    </row>
    <row r="95" spans="2:19" x14ac:dyDescent="0.25">
      <c r="B95" s="296">
        <f t="shared" si="1"/>
        <v>39142</v>
      </c>
      <c r="C95" s="449"/>
      <c r="D95" s="449"/>
      <c r="E95" s="291">
        <v>0.75</v>
      </c>
      <c r="F95" s="449"/>
      <c r="G95" s="449"/>
      <c r="H95" s="306"/>
      <c r="I95" s="308">
        <v>36757</v>
      </c>
      <c r="J95" s="291">
        <v>83</v>
      </c>
      <c r="K95" s="308"/>
      <c r="L95" s="306"/>
      <c r="M95" s="296"/>
      <c r="N95" s="291">
        <v>0.75</v>
      </c>
      <c r="O95" s="308"/>
      <c r="P95" s="291">
        <v>0.75</v>
      </c>
      <c r="Q95" s="291"/>
      <c r="R95" s="308">
        <v>36757</v>
      </c>
      <c r="S95" s="291">
        <v>83</v>
      </c>
    </row>
    <row r="96" spans="2:19" x14ac:dyDescent="0.25">
      <c r="B96" s="296">
        <f t="shared" si="1"/>
        <v>39173</v>
      </c>
      <c r="C96" s="449"/>
      <c r="D96" s="449"/>
      <c r="E96" s="291">
        <v>0.45</v>
      </c>
      <c r="F96" s="449"/>
      <c r="G96" s="449"/>
      <c r="H96" s="306"/>
      <c r="I96" s="308">
        <v>36758</v>
      </c>
      <c r="J96" s="291">
        <v>84</v>
      </c>
      <c r="K96" s="308"/>
      <c r="L96" s="306"/>
      <c r="M96" s="296"/>
      <c r="N96" s="291">
        <v>0.45</v>
      </c>
      <c r="O96" s="308"/>
      <c r="P96" s="291">
        <v>0.45</v>
      </c>
      <c r="Q96" s="291"/>
      <c r="R96" s="308">
        <v>36758</v>
      </c>
      <c r="S96" s="291">
        <v>84</v>
      </c>
    </row>
    <row r="97" spans="2:19" x14ac:dyDescent="0.25">
      <c r="B97" s="296">
        <f t="shared" si="1"/>
        <v>39203</v>
      </c>
      <c r="C97" s="449"/>
      <c r="D97" s="449"/>
      <c r="E97" s="291">
        <v>0.4</v>
      </c>
      <c r="F97" s="449"/>
      <c r="G97" s="449"/>
      <c r="H97" s="306"/>
      <c r="I97" s="308">
        <v>36759</v>
      </c>
      <c r="J97" s="291">
        <v>85</v>
      </c>
      <c r="K97" s="308"/>
      <c r="L97" s="306"/>
      <c r="M97" s="296"/>
      <c r="N97" s="291">
        <v>0.4</v>
      </c>
      <c r="O97" s="308"/>
      <c r="P97" s="291">
        <v>0.4</v>
      </c>
      <c r="Q97" s="291"/>
      <c r="R97" s="308">
        <v>36759</v>
      </c>
      <c r="S97" s="291">
        <v>85</v>
      </c>
    </row>
    <row r="98" spans="2:19" x14ac:dyDescent="0.25">
      <c r="B98" s="296">
        <f t="shared" si="1"/>
        <v>39234</v>
      </c>
      <c r="C98" s="449"/>
      <c r="D98" s="449"/>
      <c r="E98" s="291">
        <v>0.5</v>
      </c>
      <c r="F98" s="449"/>
      <c r="G98" s="449"/>
      <c r="H98" s="306"/>
      <c r="I98" s="308">
        <v>36760</v>
      </c>
      <c r="J98" s="291">
        <v>86</v>
      </c>
      <c r="K98" s="308"/>
      <c r="L98" s="306"/>
      <c r="M98" s="296"/>
      <c r="N98" s="291">
        <v>0.5</v>
      </c>
      <c r="O98" s="308"/>
      <c r="P98" s="291">
        <v>0.5</v>
      </c>
      <c r="Q98" s="291"/>
      <c r="R98" s="308">
        <v>36760</v>
      </c>
      <c r="S98" s="291">
        <v>86</v>
      </c>
    </row>
    <row r="99" spans="2:19" x14ac:dyDescent="0.25">
      <c r="B99" s="296">
        <f t="shared" si="1"/>
        <v>39264</v>
      </c>
      <c r="C99" s="449"/>
      <c r="D99" s="449"/>
      <c r="E99" s="291">
        <v>0.5</v>
      </c>
      <c r="F99" s="449"/>
      <c r="G99" s="449"/>
      <c r="H99" s="306"/>
      <c r="I99" s="308">
        <v>36761</v>
      </c>
      <c r="J99" s="291">
        <v>87</v>
      </c>
      <c r="K99" s="308"/>
      <c r="L99" s="306"/>
      <c r="M99" s="296"/>
      <c r="N99" s="291">
        <v>0.5</v>
      </c>
      <c r="O99" s="308"/>
      <c r="P99" s="291">
        <v>0.5</v>
      </c>
      <c r="Q99" s="291"/>
      <c r="R99" s="308">
        <v>36761</v>
      </c>
      <c r="S99" s="291">
        <v>87</v>
      </c>
    </row>
    <row r="100" spans="2:19" x14ac:dyDescent="0.25">
      <c r="B100" s="296">
        <f t="shared" si="1"/>
        <v>39295</v>
      </c>
      <c r="C100" s="449"/>
      <c r="D100" s="449"/>
      <c r="E100" s="291">
        <v>0.6</v>
      </c>
      <c r="F100" s="449"/>
      <c r="G100" s="449"/>
      <c r="H100" s="306"/>
      <c r="I100" s="308">
        <v>36762</v>
      </c>
      <c r="J100" s="291">
        <v>88</v>
      </c>
      <c r="K100" s="308"/>
      <c r="L100" s="306"/>
      <c r="M100" s="296"/>
      <c r="N100" s="291">
        <v>0.6</v>
      </c>
      <c r="O100" s="308"/>
      <c r="P100" s="291">
        <v>0.6</v>
      </c>
      <c r="Q100" s="291"/>
      <c r="R100" s="308">
        <v>36762</v>
      </c>
      <c r="S100" s="291">
        <v>88</v>
      </c>
    </row>
    <row r="101" spans="2:19" x14ac:dyDescent="0.25">
      <c r="B101" s="296">
        <f t="shared" si="1"/>
        <v>39326</v>
      </c>
      <c r="C101" s="449"/>
      <c r="D101" s="449"/>
      <c r="E101" s="291">
        <v>0.55000000000000004</v>
      </c>
      <c r="F101" s="449"/>
      <c r="G101" s="449"/>
      <c r="H101" s="306"/>
      <c r="I101" s="308">
        <v>36763</v>
      </c>
      <c r="J101" s="291">
        <v>89</v>
      </c>
      <c r="K101" s="308"/>
      <c r="L101" s="306"/>
      <c r="M101" s="296"/>
      <c r="N101" s="291">
        <v>0.55000000000000004</v>
      </c>
      <c r="O101" s="308"/>
      <c r="P101" s="291">
        <v>0.55000000000000004</v>
      </c>
      <c r="Q101" s="291"/>
      <c r="R101" s="308">
        <v>36763</v>
      </c>
      <c r="S101" s="291">
        <v>89</v>
      </c>
    </row>
    <row r="102" spans="2:19" x14ac:dyDescent="0.25">
      <c r="B102" s="296">
        <f t="shared" si="1"/>
        <v>39356</v>
      </c>
      <c r="C102" s="449"/>
      <c r="D102" s="449"/>
      <c r="E102" s="291">
        <v>0.6</v>
      </c>
      <c r="F102" s="449"/>
      <c r="G102" s="449"/>
      <c r="H102" s="306"/>
      <c r="I102" s="308">
        <v>36764</v>
      </c>
      <c r="J102" s="291">
        <v>90</v>
      </c>
      <c r="K102" s="308"/>
      <c r="L102" s="306"/>
      <c r="M102" s="296"/>
      <c r="N102" s="291">
        <v>0.6</v>
      </c>
      <c r="O102" s="308"/>
      <c r="P102" s="291">
        <v>0.6</v>
      </c>
      <c r="Q102" s="291"/>
      <c r="R102" s="308">
        <v>36764</v>
      </c>
      <c r="S102" s="291">
        <v>90</v>
      </c>
    </row>
    <row r="103" spans="2:19" x14ac:dyDescent="0.25">
      <c r="B103" s="296">
        <f t="shared" si="1"/>
        <v>39387</v>
      </c>
      <c r="C103" s="449"/>
      <c r="D103" s="449"/>
      <c r="E103" s="291">
        <v>0.8</v>
      </c>
      <c r="F103" s="449"/>
      <c r="G103" s="449"/>
      <c r="H103" s="306"/>
      <c r="I103" s="308">
        <v>36765</v>
      </c>
      <c r="J103" s="291">
        <v>91</v>
      </c>
      <c r="K103" s="308"/>
      <c r="L103" s="306"/>
      <c r="M103" s="296"/>
      <c r="N103" s="291">
        <v>0.8</v>
      </c>
      <c r="O103" s="308"/>
      <c r="P103" s="291">
        <v>0.8</v>
      </c>
      <c r="Q103" s="291"/>
      <c r="R103" s="308">
        <v>36765</v>
      </c>
      <c r="S103" s="291">
        <v>91</v>
      </c>
    </row>
    <row r="104" spans="2:19" x14ac:dyDescent="0.25">
      <c r="B104" s="296">
        <f t="shared" si="1"/>
        <v>39417</v>
      </c>
      <c r="C104" s="449"/>
      <c r="D104" s="449"/>
      <c r="E104" s="291">
        <v>1</v>
      </c>
      <c r="F104" s="449"/>
      <c r="G104" s="449"/>
      <c r="H104" s="306"/>
      <c r="I104" s="308">
        <v>36766</v>
      </c>
      <c r="J104" s="291">
        <v>92</v>
      </c>
      <c r="K104" s="308"/>
      <c r="L104" s="306"/>
      <c r="M104" s="296"/>
      <c r="N104" s="291">
        <v>1</v>
      </c>
      <c r="O104" s="308"/>
      <c r="P104" s="291">
        <v>1</v>
      </c>
      <c r="Q104" s="291"/>
      <c r="R104" s="308">
        <v>36766</v>
      </c>
      <c r="S104" s="291">
        <v>92</v>
      </c>
    </row>
    <row r="105" spans="2:19" x14ac:dyDescent="0.25">
      <c r="B105" s="296">
        <f t="shared" si="1"/>
        <v>39448</v>
      </c>
      <c r="C105" s="449"/>
      <c r="D105" s="449"/>
      <c r="E105" s="291">
        <v>1</v>
      </c>
      <c r="F105" s="449"/>
      <c r="G105" s="449"/>
      <c r="H105" s="306"/>
      <c r="I105" s="308">
        <v>36767</v>
      </c>
      <c r="J105" s="291">
        <v>93</v>
      </c>
      <c r="K105" s="308"/>
      <c r="L105" s="306"/>
      <c r="M105" s="296"/>
      <c r="N105" s="291">
        <v>1</v>
      </c>
      <c r="O105" s="308"/>
      <c r="P105" s="291">
        <v>1</v>
      </c>
      <c r="Q105" s="291"/>
      <c r="R105" s="308">
        <v>36767</v>
      </c>
      <c r="S105" s="291">
        <v>93</v>
      </c>
    </row>
    <row r="106" spans="2:19" x14ac:dyDescent="0.25">
      <c r="B106" s="296">
        <f t="shared" si="1"/>
        <v>39479</v>
      </c>
      <c r="C106" s="449"/>
      <c r="D106" s="449"/>
      <c r="E106" s="291">
        <v>1</v>
      </c>
      <c r="F106" s="449"/>
      <c r="G106" s="449"/>
      <c r="H106" s="306"/>
      <c r="I106" s="308">
        <v>36768</v>
      </c>
      <c r="J106" s="291">
        <v>94</v>
      </c>
      <c r="K106" s="308"/>
      <c r="L106" s="306"/>
      <c r="M106" s="296"/>
      <c r="N106" s="291">
        <v>1</v>
      </c>
      <c r="O106" s="308"/>
      <c r="P106" s="291">
        <v>1</v>
      </c>
      <c r="Q106" s="291"/>
      <c r="R106" s="308">
        <v>36768</v>
      </c>
      <c r="S106" s="291">
        <v>94</v>
      </c>
    </row>
    <row r="107" spans="2:19" x14ac:dyDescent="0.25">
      <c r="B107" s="296">
        <f t="shared" si="1"/>
        <v>39508</v>
      </c>
      <c r="C107" s="449"/>
      <c r="D107" s="449"/>
      <c r="E107" s="291">
        <v>0.75</v>
      </c>
      <c r="F107" s="449"/>
      <c r="G107" s="449"/>
      <c r="H107" s="306"/>
      <c r="I107" s="308">
        <v>36769</v>
      </c>
      <c r="J107" s="291">
        <v>95</v>
      </c>
      <c r="K107" s="308"/>
      <c r="L107" s="306"/>
      <c r="M107" s="296"/>
      <c r="N107" s="291">
        <v>0.75</v>
      </c>
      <c r="O107" s="308"/>
      <c r="P107" s="291">
        <v>0.75</v>
      </c>
      <c r="Q107" s="291"/>
      <c r="R107" s="308">
        <v>36769</v>
      </c>
      <c r="S107" s="291">
        <v>95</v>
      </c>
    </row>
    <row r="108" spans="2:19" x14ac:dyDescent="0.25">
      <c r="B108" s="296">
        <f t="shared" si="1"/>
        <v>39539</v>
      </c>
      <c r="C108" s="449"/>
      <c r="D108" s="449"/>
      <c r="E108" s="291">
        <v>0.45</v>
      </c>
      <c r="F108" s="449"/>
      <c r="G108" s="449"/>
      <c r="H108" s="306"/>
      <c r="I108" s="308">
        <v>36770</v>
      </c>
      <c r="J108" s="291">
        <v>96</v>
      </c>
      <c r="K108" s="308"/>
      <c r="L108" s="306"/>
      <c r="M108" s="296"/>
      <c r="N108" s="291">
        <v>0.45</v>
      </c>
      <c r="O108" s="308"/>
      <c r="P108" s="291">
        <v>0.45</v>
      </c>
      <c r="Q108" s="291"/>
      <c r="R108" s="308">
        <v>36770</v>
      </c>
      <c r="S108" s="291">
        <v>96</v>
      </c>
    </row>
    <row r="109" spans="2:19" x14ac:dyDescent="0.25">
      <c r="B109" s="296">
        <f t="shared" si="1"/>
        <v>39569</v>
      </c>
      <c r="C109" s="449"/>
      <c r="D109" s="449"/>
      <c r="E109" s="291">
        <v>0.4</v>
      </c>
      <c r="F109" s="449"/>
      <c r="G109" s="449"/>
      <c r="H109" s="306"/>
      <c r="I109" s="308">
        <v>36771</v>
      </c>
      <c r="J109" s="291">
        <v>97</v>
      </c>
      <c r="K109" s="308"/>
      <c r="L109" s="306"/>
      <c r="M109" s="296"/>
      <c r="N109" s="291">
        <v>0.4</v>
      </c>
      <c r="O109" s="308"/>
      <c r="P109" s="291">
        <v>0.4</v>
      </c>
      <c r="Q109" s="291"/>
      <c r="R109" s="308">
        <v>36771</v>
      </c>
      <c r="S109" s="291">
        <v>97</v>
      </c>
    </row>
    <row r="110" spans="2:19" x14ac:dyDescent="0.25">
      <c r="B110" s="296">
        <f t="shared" si="1"/>
        <v>39600</v>
      </c>
      <c r="C110" s="449"/>
      <c r="D110" s="449"/>
      <c r="E110" s="291">
        <v>0.5</v>
      </c>
      <c r="F110" s="449"/>
      <c r="G110" s="449"/>
      <c r="H110" s="306"/>
      <c r="I110" s="308">
        <v>36772</v>
      </c>
      <c r="J110" s="291">
        <v>98</v>
      </c>
      <c r="K110" s="308"/>
      <c r="L110" s="306"/>
      <c r="M110" s="296"/>
      <c r="N110" s="291">
        <v>0.5</v>
      </c>
      <c r="O110" s="308"/>
      <c r="P110" s="291">
        <v>0.5</v>
      </c>
      <c r="Q110" s="291"/>
      <c r="R110" s="308">
        <v>36772</v>
      </c>
      <c r="S110" s="291">
        <v>98</v>
      </c>
    </row>
    <row r="111" spans="2:19" x14ac:dyDescent="0.25">
      <c r="B111" s="296">
        <f t="shared" si="1"/>
        <v>39630</v>
      </c>
      <c r="C111" s="449"/>
      <c r="D111" s="449"/>
      <c r="E111" s="291">
        <v>0.5</v>
      </c>
      <c r="F111" s="449"/>
      <c r="G111" s="449"/>
      <c r="H111" s="306"/>
      <c r="I111" s="308">
        <v>36773</v>
      </c>
      <c r="J111" s="291">
        <v>99</v>
      </c>
      <c r="K111" s="308"/>
      <c r="L111" s="306"/>
      <c r="M111" s="296"/>
      <c r="N111" s="291">
        <v>0.5</v>
      </c>
      <c r="O111" s="308"/>
      <c r="P111" s="291">
        <v>0.5</v>
      </c>
      <c r="Q111" s="291"/>
      <c r="R111" s="308">
        <v>36773</v>
      </c>
      <c r="S111" s="291">
        <v>99</v>
      </c>
    </row>
    <row r="112" spans="2:19" x14ac:dyDescent="0.25">
      <c r="B112" s="296">
        <f t="shared" si="1"/>
        <v>39661</v>
      </c>
      <c r="C112" s="449"/>
      <c r="D112" s="449"/>
      <c r="E112" s="291">
        <v>0.6</v>
      </c>
      <c r="F112" s="449"/>
      <c r="G112" s="449"/>
      <c r="H112" s="306"/>
      <c r="I112" s="308">
        <v>36774</v>
      </c>
      <c r="J112" s="291">
        <v>100</v>
      </c>
      <c r="K112" s="308"/>
      <c r="L112" s="306"/>
      <c r="M112" s="296"/>
      <c r="N112" s="291">
        <v>0.6</v>
      </c>
      <c r="O112" s="308"/>
      <c r="P112" s="291">
        <v>0.6</v>
      </c>
      <c r="Q112" s="291"/>
      <c r="R112" s="308">
        <v>36774</v>
      </c>
      <c r="S112" s="291">
        <v>100</v>
      </c>
    </row>
    <row r="113" spans="2:19" x14ac:dyDescent="0.25">
      <c r="B113" s="296">
        <f t="shared" si="1"/>
        <v>39692</v>
      </c>
      <c r="C113" s="449"/>
      <c r="D113" s="449"/>
      <c r="E113" s="291">
        <v>0.55000000000000004</v>
      </c>
      <c r="F113" s="449"/>
      <c r="G113" s="449"/>
      <c r="H113" s="306"/>
      <c r="I113" s="308">
        <v>36775</v>
      </c>
      <c r="J113" s="291">
        <v>101</v>
      </c>
      <c r="K113" s="308"/>
      <c r="L113" s="306"/>
      <c r="M113" s="296"/>
      <c r="N113" s="291">
        <v>0.55000000000000004</v>
      </c>
      <c r="O113" s="308"/>
      <c r="P113" s="291">
        <v>0.55000000000000004</v>
      </c>
      <c r="Q113" s="291"/>
      <c r="R113" s="308">
        <v>36775</v>
      </c>
      <c r="S113" s="291">
        <v>101</v>
      </c>
    </row>
    <row r="114" spans="2:19" x14ac:dyDescent="0.25">
      <c r="B114" s="296">
        <f t="shared" si="1"/>
        <v>39722</v>
      </c>
      <c r="C114" s="449"/>
      <c r="D114" s="449"/>
      <c r="E114" s="291">
        <v>0.6</v>
      </c>
      <c r="F114" s="449"/>
      <c r="G114" s="449"/>
      <c r="H114" s="306"/>
      <c r="I114" s="308">
        <v>36776</v>
      </c>
      <c r="J114" s="291">
        <v>102</v>
      </c>
      <c r="K114" s="308"/>
      <c r="L114" s="306"/>
      <c r="M114" s="296"/>
      <c r="N114" s="291">
        <v>0.6</v>
      </c>
      <c r="O114" s="308"/>
      <c r="P114" s="291">
        <v>0.6</v>
      </c>
      <c r="Q114" s="291"/>
      <c r="R114" s="308">
        <v>36776</v>
      </c>
      <c r="S114" s="291">
        <v>102</v>
      </c>
    </row>
    <row r="115" spans="2:19" x14ac:dyDescent="0.25">
      <c r="B115" s="296">
        <f t="shared" si="1"/>
        <v>39753</v>
      </c>
      <c r="C115" s="449"/>
      <c r="D115" s="449"/>
      <c r="E115" s="291">
        <v>0.8</v>
      </c>
      <c r="F115" s="449"/>
      <c r="G115" s="449"/>
      <c r="H115" s="306"/>
      <c r="I115" s="308">
        <v>36777</v>
      </c>
      <c r="J115" s="291">
        <v>103</v>
      </c>
      <c r="K115" s="308"/>
      <c r="L115" s="306"/>
      <c r="M115" s="296"/>
      <c r="N115" s="291">
        <v>0.8</v>
      </c>
      <c r="O115" s="308"/>
      <c r="P115" s="291">
        <v>0.8</v>
      </c>
      <c r="Q115" s="291"/>
      <c r="R115" s="308">
        <v>36777</v>
      </c>
      <c r="S115" s="291">
        <v>103</v>
      </c>
    </row>
    <row r="116" spans="2:19" x14ac:dyDescent="0.25">
      <c r="B116" s="296">
        <f t="shared" si="1"/>
        <v>39783</v>
      </c>
      <c r="C116" s="449"/>
      <c r="D116" s="449"/>
      <c r="E116" s="291">
        <v>1</v>
      </c>
      <c r="F116" s="449"/>
      <c r="G116" s="449"/>
      <c r="H116" s="306"/>
      <c r="I116" s="308">
        <v>36778</v>
      </c>
      <c r="J116" s="291">
        <v>104</v>
      </c>
      <c r="K116" s="308"/>
      <c r="L116" s="306"/>
      <c r="M116" s="296"/>
      <c r="N116" s="291">
        <v>1</v>
      </c>
      <c r="O116" s="308"/>
      <c r="P116" s="291">
        <v>1</v>
      </c>
      <c r="Q116" s="291"/>
      <c r="R116" s="308">
        <v>36778</v>
      </c>
      <c r="S116" s="291">
        <v>104</v>
      </c>
    </row>
    <row r="117" spans="2:19" x14ac:dyDescent="0.25">
      <c r="B117" s="296">
        <f t="shared" si="1"/>
        <v>39814</v>
      </c>
      <c r="C117" s="449"/>
      <c r="D117" s="449"/>
      <c r="E117" s="291">
        <v>1</v>
      </c>
      <c r="F117" s="449"/>
      <c r="G117" s="449"/>
      <c r="H117" s="306"/>
      <c r="I117" s="308">
        <v>36779</v>
      </c>
      <c r="J117" s="291">
        <v>105</v>
      </c>
      <c r="K117" s="308"/>
      <c r="L117" s="306"/>
      <c r="M117" s="296"/>
      <c r="N117" s="291">
        <v>1</v>
      </c>
      <c r="O117" s="308"/>
      <c r="P117" s="291">
        <v>1</v>
      </c>
      <c r="Q117" s="291"/>
      <c r="R117" s="308">
        <v>36779</v>
      </c>
      <c r="S117" s="291">
        <v>105</v>
      </c>
    </row>
    <row r="118" spans="2:19" x14ac:dyDescent="0.25">
      <c r="B118" s="296">
        <f t="shared" si="1"/>
        <v>39845</v>
      </c>
      <c r="C118" s="449"/>
      <c r="D118" s="449"/>
      <c r="E118" s="291">
        <v>1</v>
      </c>
      <c r="F118" s="449"/>
      <c r="G118" s="449"/>
      <c r="H118" s="306"/>
      <c r="I118" s="308">
        <v>36780</v>
      </c>
      <c r="J118" s="291">
        <v>106</v>
      </c>
      <c r="K118" s="308"/>
      <c r="L118" s="306"/>
      <c r="M118" s="296"/>
      <c r="N118" s="291">
        <v>1</v>
      </c>
      <c r="O118" s="308"/>
      <c r="P118" s="291">
        <v>1</v>
      </c>
      <c r="Q118" s="291"/>
      <c r="R118" s="308">
        <v>36780</v>
      </c>
      <c r="S118" s="291">
        <v>106</v>
      </c>
    </row>
    <row r="119" spans="2:19" x14ac:dyDescent="0.25">
      <c r="B119" s="296">
        <f t="shared" si="1"/>
        <v>39873</v>
      </c>
      <c r="C119" s="449"/>
      <c r="D119" s="449"/>
      <c r="E119" s="291">
        <v>0.75</v>
      </c>
      <c r="F119" s="449"/>
      <c r="G119" s="449"/>
      <c r="H119" s="306"/>
      <c r="I119" s="308">
        <v>36781</v>
      </c>
      <c r="J119" s="291">
        <v>107</v>
      </c>
      <c r="K119" s="308"/>
      <c r="L119" s="306"/>
      <c r="M119" s="296"/>
      <c r="N119" s="291">
        <v>0.75</v>
      </c>
      <c r="O119" s="308"/>
      <c r="P119" s="291">
        <v>0.75</v>
      </c>
      <c r="Q119" s="291"/>
      <c r="R119" s="308">
        <v>36781</v>
      </c>
      <c r="S119" s="291">
        <v>107</v>
      </c>
    </row>
    <row r="120" spans="2:19" x14ac:dyDescent="0.25">
      <c r="B120" s="296">
        <f t="shared" si="1"/>
        <v>39904</v>
      </c>
      <c r="C120" s="449"/>
      <c r="D120" s="449"/>
      <c r="E120" s="291">
        <v>0.45</v>
      </c>
      <c r="F120" s="449"/>
      <c r="G120" s="449"/>
      <c r="H120" s="306"/>
      <c r="I120" s="308">
        <v>36782</v>
      </c>
      <c r="J120" s="291">
        <v>108</v>
      </c>
      <c r="K120" s="308"/>
      <c r="L120" s="306"/>
      <c r="M120" s="296"/>
      <c r="N120" s="291">
        <v>0.45</v>
      </c>
      <c r="O120" s="308"/>
      <c r="P120" s="291">
        <v>0.45</v>
      </c>
      <c r="Q120" s="291"/>
      <c r="R120" s="308">
        <v>36782</v>
      </c>
      <c r="S120" s="291">
        <v>108</v>
      </c>
    </row>
    <row r="121" spans="2:19" x14ac:dyDescent="0.25">
      <c r="B121" s="296">
        <f t="shared" si="1"/>
        <v>39934</v>
      </c>
      <c r="C121" s="449"/>
      <c r="D121" s="449"/>
      <c r="E121" s="291">
        <v>0.4</v>
      </c>
      <c r="F121" s="449"/>
      <c r="G121" s="449"/>
      <c r="H121" s="306"/>
      <c r="I121" s="308">
        <v>36783</v>
      </c>
      <c r="J121" s="291">
        <v>109</v>
      </c>
      <c r="K121" s="308"/>
      <c r="L121" s="306"/>
      <c r="M121" s="296"/>
      <c r="N121" s="291">
        <v>0.4</v>
      </c>
      <c r="O121" s="308"/>
      <c r="P121" s="291">
        <v>0.4</v>
      </c>
      <c r="Q121" s="291"/>
      <c r="R121" s="308">
        <v>36783</v>
      </c>
      <c r="S121" s="291">
        <v>109</v>
      </c>
    </row>
    <row r="122" spans="2:19" x14ac:dyDescent="0.25">
      <c r="B122" s="296">
        <f t="shared" si="1"/>
        <v>39965</v>
      </c>
      <c r="C122" s="449"/>
      <c r="D122" s="449"/>
      <c r="E122" s="291">
        <v>0.5</v>
      </c>
      <c r="F122" s="449"/>
      <c r="G122" s="449"/>
      <c r="H122" s="306"/>
      <c r="I122" s="308">
        <v>36784</v>
      </c>
      <c r="J122" s="291">
        <v>110</v>
      </c>
      <c r="K122" s="308"/>
      <c r="L122" s="306"/>
      <c r="M122" s="296"/>
      <c r="N122" s="291">
        <v>0.5</v>
      </c>
      <c r="O122" s="308"/>
      <c r="P122" s="291">
        <v>0.5</v>
      </c>
      <c r="Q122" s="291"/>
      <c r="R122" s="308">
        <v>36784</v>
      </c>
      <c r="S122" s="291">
        <v>110</v>
      </c>
    </row>
    <row r="123" spans="2:19" x14ac:dyDescent="0.25">
      <c r="B123" s="296">
        <f t="shared" si="1"/>
        <v>39995</v>
      </c>
      <c r="C123" s="449"/>
      <c r="D123" s="449"/>
      <c r="E123" s="291">
        <v>0.5</v>
      </c>
      <c r="F123" s="449"/>
      <c r="G123" s="449"/>
      <c r="H123" s="306"/>
      <c r="I123" s="308">
        <v>36785</v>
      </c>
      <c r="J123" s="291">
        <v>111</v>
      </c>
      <c r="K123" s="308"/>
      <c r="L123" s="306"/>
      <c r="M123" s="296"/>
      <c r="N123" s="291">
        <v>0.5</v>
      </c>
      <c r="O123" s="308"/>
      <c r="P123" s="291">
        <v>0.5</v>
      </c>
      <c r="Q123" s="291"/>
      <c r="R123" s="308">
        <v>36785</v>
      </c>
      <c r="S123" s="291">
        <v>111</v>
      </c>
    </row>
    <row r="124" spans="2:19" x14ac:dyDescent="0.25">
      <c r="B124" s="296">
        <f t="shared" si="1"/>
        <v>40026</v>
      </c>
      <c r="C124" s="449"/>
      <c r="D124" s="449"/>
      <c r="E124" s="291">
        <v>0.6</v>
      </c>
      <c r="F124" s="449"/>
      <c r="G124" s="449"/>
      <c r="H124" s="306"/>
      <c r="I124" s="308">
        <v>36786</v>
      </c>
      <c r="J124" s="291">
        <v>112</v>
      </c>
      <c r="K124" s="308"/>
      <c r="L124" s="306"/>
      <c r="M124" s="296"/>
      <c r="N124" s="291">
        <v>0.6</v>
      </c>
      <c r="O124" s="308"/>
      <c r="P124" s="291">
        <v>0.6</v>
      </c>
      <c r="Q124" s="291"/>
      <c r="R124" s="308">
        <v>36786</v>
      </c>
      <c r="S124" s="291">
        <v>112</v>
      </c>
    </row>
    <row r="125" spans="2:19" x14ac:dyDescent="0.25">
      <c r="B125" s="296">
        <f t="shared" si="1"/>
        <v>40057</v>
      </c>
      <c r="C125" s="449"/>
      <c r="D125" s="449"/>
      <c r="E125" s="291">
        <v>0.55000000000000004</v>
      </c>
      <c r="F125" s="449"/>
      <c r="G125" s="449"/>
      <c r="H125" s="306"/>
      <c r="I125" s="308">
        <v>36787</v>
      </c>
      <c r="J125" s="291">
        <v>113</v>
      </c>
      <c r="K125" s="308"/>
      <c r="L125" s="306"/>
      <c r="M125" s="296"/>
      <c r="N125" s="291">
        <v>0.55000000000000004</v>
      </c>
      <c r="O125" s="308"/>
      <c r="P125" s="291">
        <v>0.55000000000000004</v>
      </c>
      <c r="Q125" s="291"/>
      <c r="R125" s="308">
        <v>36787</v>
      </c>
      <c r="S125" s="291">
        <v>113</v>
      </c>
    </row>
    <row r="126" spans="2:19" x14ac:dyDescent="0.25">
      <c r="B126" s="296">
        <f t="shared" si="1"/>
        <v>40087</v>
      </c>
      <c r="C126" s="449"/>
      <c r="D126" s="449"/>
      <c r="E126" s="291">
        <v>0.6</v>
      </c>
      <c r="F126" s="449"/>
      <c r="G126" s="449"/>
      <c r="H126" s="306"/>
      <c r="I126" s="308">
        <v>36788</v>
      </c>
      <c r="J126" s="291">
        <v>114</v>
      </c>
      <c r="K126" s="308"/>
      <c r="L126" s="306"/>
      <c r="M126" s="296"/>
      <c r="N126" s="291">
        <v>0.6</v>
      </c>
      <c r="O126" s="308"/>
      <c r="P126" s="291">
        <v>0.6</v>
      </c>
      <c r="Q126" s="291"/>
      <c r="R126" s="308">
        <v>36788</v>
      </c>
      <c r="S126" s="291">
        <v>114</v>
      </c>
    </row>
    <row r="127" spans="2:19" x14ac:dyDescent="0.25">
      <c r="B127" s="296">
        <f t="shared" si="1"/>
        <v>40118</v>
      </c>
      <c r="C127" s="449"/>
      <c r="D127" s="449"/>
      <c r="E127" s="291">
        <v>0.8</v>
      </c>
      <c r="F127" s="449"/>
      <c r="G127" s="449"/>
      <c r="H127" s="306"/>
      <c r="I127" s="308">
        <v>36789</v>
      </c>
      <c r="J127" s="291">
        <v>115</v>
      </c>
      <c r="K127" s="308"/>
      <c r="L127" s="306"/>
      <c r="M127" s="296"/>
      <c r="N127" s="291">
        <v>0.8</v>
      </c>
      <c r="O127" s="308"/>
      <c r="P127" s="291">
        <v>0.8</v>
      </c>
      <c r="Q127" s="291"/>
      <c r="R127" s="308">
        <v>36789</v>
      </c>
      <c r="S127" s="291">
        <v>115</v>
      </c>
    </row>
    <row r="128" spans="2:19" x14ac:dyDescent="0.25">
      <c r="B128" s="296">
        <f t="shared" si="1"/>
        <v>40148</v>
      </c>
      <c r="C128" s="449"/>
      <c r="D128" s="449"/>
      <c r="E128" s="291">
        <v>1</v>
      </c>
      <c r="F128" s="449"/>
      <c r="G128" s="449"/>
      <c r="H128" s="306"/>
      <c r="I128" s="308">
        <v>36790</v>
      </c>
      <c r="J128" s="291">
        <v>116</v>
      </c>
      <c r="K128" s="308"/>
      <c r="L128" s="306"/>
      <c r="M128" s="296"/>
      <c r="N128" s="291">
        <v>1</v>
      </c>
      <c r="O128" s="308"/>
      <c r="P128" s="291">
        <v>1</v>
      </c>
      <c r="Q128" s="291"/>
      <c r="R128" s="308">
        <v>36790</v>
      </c>
      <c r="S128" s="291">
        <v>116</v>
      </c>
    </row>
    <row r="129" spans="2:19" x14ac:dyDescent="0.25">
      <c r="B129" s="296">
        <f t="shared" si="1"/>
        <v>40179</v>
      </c>
      <c r="C129" s="449"/>
      <c r="D129" s="449"/>
      <c r="E129" s="291">
        <v>1</v>
      </c>
      <c r="F129" s="449"/>
      <c r="G129" s="449"/>
      <c r="H129" s="306"/>
      <c r="I129" s="308">
        <v>36791</v>
      </c>
      <c r="J129" s="291">
        <v>117</v>
      </c>
      <c r="K129" s="308"/>
      <c r="L129" s="306"/>
      <c r="M129" s="296"/>
      <c r="N129" s="291">
        <v>1</v>
      </c>
      <c r="O129" s="308"/>
      <c r="P129" s="291">
        <v>1</v>
      </c>
      <c r="Q129" s="291"/>
      <c r="R129" s="308">
        <v>36791</v>
      </c>
      <c r="S129" s="291">
        <v>117</v>
      </c>
    </row>
    <row r="130" spans="2:19" x14ac:dyDescent="0.25">
      <c r="B130" s="296">
        <f t="shared" si="1"/>
        <v>40210</v>
      </c>
      <c r="C130" s="449"/>
      <c r="D130" s="449"/>
      <c r="E130" s="291">
        <v>1</v>
      </c>
      <c r="F130" s="449"/>
      <c r="G130" s="449"/>
      <c r="H130" s="306"/>
      <c r="I130" s="308">
        <v>36792</v>
      </c>
      <c r="J130" s="291">
        <v>118</v>
      </c>
      <c r="K130" s="308"/>
      <c r="L130" s="306"/>
      <c r="M130" s="296"/>
      <c r="N130" s="291">
        <v>1</v>
      </c>
      <c r="O130" s="308"/>
      <c r="P130" s="291">
        <v>1</v>
      </c>
      <c r="Q130" s="291"/>
      <c r="R130" s="308">
        <v>36792</v>
      </c>
      <c r="S130" s="291">
        <v>118</v>
      </c>
    </row>
    <row r="131" spans="2:19" x14ac:dyDescent="0.25">
      <c r="B131" s="296">
        <f t="shared" si="1"/>
        <v>40238</v>
      </c>
      <c r="C131" s="449"/>
      <c r="D131" s="449"/>
      <c r="E131" s="291">
        <v>0.75</v>
      </c>
      <c r="F131" s="449"/>
      <c r="G131" s="449"/>
      <c r="H131" s="306"/>
      <c r="I131" s="308">
        <v>36793</v>
      </c>
      <c r="J131" s="291">
        <v>119</v>
      </c>
      <c r="K131" s="308"/>
      <c r="L131" s="306"/>
      <c r="M131" s="296"/>
      <c r="N131" s="291">
        <v>0.75</v>
      </c>
      <c r="O131" s="308"/>
      <c r="P131" s="291">
        <v>0.75</v>
      </c>
      <c r="Q131" s="291"/>
      <c r="R131" s="308">
        <v>36793</v>
      </c>
      <c r="S131" s="291">
        <v>119</v>
      </c>
    </row>
    <row r="132" spans="2:19" x14ac:dyDescent="0.25">
      <c r="B132" s="296">
        <f t="shared" si="1"/>
        <v>40269</v>
      </c>
      <c r="C132" s="449"/>
      <c r="D132" s="449"/>
      <c r="E132" s="291">
        <v>0.45</v>
      </c>
      <c r="F132" s="449"/>
      <c r="G132" s="449"/>
      <c r="H132" s="306"/>
      <c r="I132" s="308">
        <v>36794</v>
      </c>
      <c r="J132" s="291">
        <v>120</v>
      </c>
      <c r="K132" s="308"/>
      <c r="L132" s="306"/>
      <c r="M132" s="296"/>
      <c r="N132" s="291">
        <v>0.45</v>
      </c>
      <c r="O132" s="308"/>
      <c r="P132" s="291">
        <v>0.45</v>
      </c>
      <c r="Q132" s="291"/>
      <c r="R132" s="308">
        <v>36794</v>
      </c>
      <c r="S132" s="291">
        <v>120</v>
      </c>
    </row>
    <row r="133" spans="2:19" x14ac:dyDescent="0.25">
      <c r="B133" s="296">
        <f t="shared" si="1"/>
        <v>40299</v>
      </c>
      <c r="C133" s="449"/>
      <c r="D133" s="449"/>
      <c r="E133" s="291">
        <v>0.4</v>
      </c>
      <c r="F133" s="449"/>
      <c r="G133" s="449"/>
      <c r="H133" s="306"/>
      <c r="I133" s="308">
        <v>36795</v>
      </c>
      <c r="J133" s="291">
        <v>121</v>
      </c>
      <c r="K133" s="308"/>
      <c r="L133" s="306"/>
      <c r="M133" s="296"/>
      <c r="N133" s="291">
        <v>0.4</v>
      </c>
      <c r="O133" s="308"/>
      <c r="P133" s="291">
        <v>0.4</v>
      </c>
      <c r="Q133" s="291"/>
      <c r="R133" s="308">
        <v>36795</v>
      </c>
      <c r="S133" s="291">
        <v>121</v>
      </c>
    </row>
    <row r="134" spans="2:19" x14ac:dyDescent="0.25">
      <c r="B134" s="296">
        <f t="shared" si="1"/>
        <v>40330</v>
      </c>
      <c r="C134" s="449"/>
      <c r="D134" s="449"/>
      <c r="E134" s="291">
        <v>0.5</v>
      </c>
      <c r="F134" s="449"/>
      <c r="G134" s="449"/>
      <c r="H134" s="306"/>
      <c r="I134" s="308">
        <v>36796</v>
      </c>
      <c r="J134" s="291">
        <v>122</v>
      </c>
      <c r="K134" s="308"/>
      <c r="L134" s="306"/>
      <c r="M134" s="296"/>
      <c r="N134" s="291">
        <v>0.5</v>
      </c>
      <c r="O134" s="308"/>
      <c r="P134" s="291">
        <v>0.5</v>
      </c>
      <c r="Q134" s="291"/>
      <c r="R134" s="308">
        <v>36796</v>
      </c>
      <c r="S134" s="291">
        <v>122</v>
      </c>
    </row>
    <row r="135" spans="2:19" x14ac:dyDescent="0.25">
      <c r="B135" s="296">
        <f t="shared" si="1"/>
        <v>40360</v>
      </c>
      <c r="C135" s="449"/>
      <c r="D135" s="449"/>
      <c r="E135" s="291">
        <v>0.5</v>
      </c>
      <c r="F135" s="449"/>
      <c r="G135" s="449"/>
      <c r="H135" s="306"/>
      <c r="I135" s="308">
        <v>36797</v>
      </c>
      <c r="J135" s="291">
        <v>123</v>
      </c>
      <c r="K135" s="308"/>
      <c r="L135" s="306"/>
      <c r="M135" s="296"/>
      <c r="N135" s="291">
        <v>0.5</v>
      </c>
      <c r="O135" s="308"/>
      <c r="P135" s="291">
        <v>0.5</v>
      </c>
      <c r="Q135" s="291"/>
      <c r="R135" s="308">
        <v>36797</v>
      </c>
      <c r="S135" s="291">
        <v>123</v>
      </c>
    </row>
    <row r="136" spans="2:19" x14ac:dyDescent="0.25">
      <c r="B136" s="296">
        <f t="shared" si="1"/>
        <v>40391</v>
      </c>
      <c r="C136" s="449"/>
      <c r="D136" s="449"/>
      <c r="E136" s="291">
        <v>0.6</v>
      </c>
      <c r="F136" s="449"/>
      <c r="G136" s="449"/>
      <c r="H136" s="306"/>
      <c r="I136" s="308">
        <v>36798</v>
      </c>
      <c r="J136" s="291">
        <v>124</v>
      </c>
      <c r="K136" s="308"/>
      <c r="L136" s="306"/>
      <c r="M136" s="296"/>
      <c r="N136" s="291">
        <v>0.6</v>
      </c>
      <c r="O136" s="308"/>
      <c r="P136" s="291">
        <v>0.6</v>
      </c>
      <c r="Q136" s="291"/>
      <c r="R136" s="308">
        <v>36798</v>
      </c>
      <c r="S136" s="291">
        <v>124</v>
      </c>
    </row>
    <row r="137" spans="2:19" x14ac:dyDescent="0.25">
      <c r="B137" s="296">
        <f t="shared" si="1"/>
        <v>40422</v>
      </c>
      <c r="C137" s="449"/>
      <c r="D137" s="449"/>
      <c r="E137" s="291">
        <v>0.55000000000000004</v>
      </c>
      <c r="F137" s="449"/>
      <c r="G137" s="449"/>
      <c r="H137" s="306"/>
      <c r="I137" s="308">
        <v>36799</v>
      </c>
      <c r="J137" s="291">
        <v>125</v>
      </c>
      <c r="K137" s="308"/>
      <c r="L137" s="306"/>
      <c r="M137" s="296"/>
      <c r="N137" s="291">
        <v>0.55000000000000004</v>
      </c>
      <c r="O137" s="308"/>
      <c r="P137" s="291">
        <v>0.55000000000000004</v>
      </c>
      <c r="Q137" s="291"/>
      <c r="R137" s="308">
        <v>36799</v>
      </c>
      <c r="S137" s="291">
        <v>125</v>
      </c>
    </row>
    <row r="138" spans="2:19" x14ac:dyDescent="0.25">
      <c r="B138" s="296">
        <f t="shared" si="1"/>
        <v>40452</v>
      </c>
      <c r="C138" s="449"/>
      <c r="D138" s="449"/>
      <c r="E138" s="291">
        <v>0.6</v>
      </c>
      <c r="F138" s="449"/>
      <c r="G138" s="449"/>
      <c r="H138" s="306"/>
      <c r="I138" s="308">
        <v>36800</v>
      </c>
      <c r="J138" s="291">
        <v>126</v>
      </c>
      <c r="K138" s="308"/>
      <c r="L138" s="306"/>
      <c r="M138" s="296"/>
      <c r="N138" s="291">
        <v>0.6</v>
      </c>
      <c r="O138" s="308"/>
      <c r="P138" s="291">
        <v>0.6</v>
      </c>
      <c r="Q138" s="291"/>
      <c r="R138" s="308">
        <v>36800</v>
      </c>
      <c r="S138" s="291">
        <v>126</v>
      </c>
    </row>
    <row r="139" spans="2:19" x14ac:dyDescent="0.25">
      <c r="B139" s="296">
        <f t="shared" si="1"/>
        <v>40483</v>
      </c>
      <c r="C139" s="449"/>
      <c r="D139" s="449"/>
      <c r="E139" s="291">
        <v>0.8</v>
      </c>
      <c r="F139" s="449"/>
      <c r="G139" s="449"/>
      <c r="H139" s="306"/>
      <c r="I139" s="308">
        <v>36801</v>
      </c>
      <c r="J139" s="291">
        <v>127</v>
      </c>
      <c r="K139" s="308"/>
      <c r="L139" s="306"/>
      <c r="M139" s="296"/>
      <c r="N139" s="291">
        <v>0.8</v>
      </c>
      <c r="O139" s="308"/>
      <c r="P139" s="291">
        <v>0.8</v>
      </c>
      <c r="Q139" s="291"/>
      <c r="R139" s="308">
        <v>36801</v>
      </c>
      <c r="S139" s="291">
        <v>127</v>
      </c>
    </row>
    <row r="140" spans="2:19" x14ac:dyDescent="0.25">
      <c r="B140" s="296">
        <f t="shared" si="1"/>
        <v>40513</v>
      </c>
      <c r="C140" s="449"/>
      <c r="D140" s="449"/>
      <c r="E140" s="291">
        <v>1</v>
      </c>
      <c r="F140" s="449"/>
      <c r="G140" s="449"/>
      <c r="H140" s="306"/>
      <c r="I140" s="308">
        <v>36802</v>
      </c>
      <c r="J140" s="291">
        <v>128</v>
      </c>
      <c r="K140" s="308"/>
      <c r="L140" s="306"/>
      <c r="M140" s="296"/>
      <c r="N140" s="291">
        <v>1</v>
      </c>
      <c r="O140" s="308"/>
      <c r="P140" s="291">
        <v>1</v>
      </c>
      <c r="Q140" s="291"/>
      <c r="R140" s="308">
        <v>36802</v>
      </c>
      <c r="S140" s="291">
        <v>128</v>
      </c>
    </row>
    <row r="141" spans="2:19" x14ac:dyDescent="0.25">
      <c r="B141" s="296">
        <f t="shared" si="1"/>
        <v>40544</v>
      </c>
      <c r="C141" s="449"/>
      <c r="D141" s="449"/>
      <c r="E141" s="291">
        <v>1</v>
      </c>
      <c r="F141" s="449"/>
      <c r="G141" s="449"/>
      <c r="H141" s="306"/>
      <c r="I141" s="308">
        <v>36803</v>
      </c>
      <c r="J141" s="291">
        <v>129</v>
      </c>
      <c r="K141" s="308"/>
      <c r="L141" s="306"/>
      <c r="M141" s="296"/>
      <c r="N141" s="291">
        <v>1</v>
      </c>
      <c r="O141" s="308"/>
      <c r="P141" s="291">
        <v>1</v>
      </c>
      <c r="Q141" s="291"/>
      <c r="R141" s="308">
        <v>36803</v>
      </c>
      <c r="S141" s="291">
        <v>129</v>
      </c>
    </row>
    <row r="142" spans="2:19" x14ac:dyDescent="0.25">
      <c r="B142" s="296">
        <f t="shared" si="1"/>
        <v>40575</v>
      </c>
      <c r="C142" s="449"/>
      <c r="D142" s="449"/>
      <c r="E142" s="291">
        <v>1</v>
      </c>
      <c r="F142" s="449"/>
      <c r="G142" s="449"/>
      <c r="H142" s="306"/>
      <c r="I142" s="308">
        <v>36804</v>
      </c>
      <c r="J142" s="291">
        <v>130</v>
      </c>
      <c r="K142" s="308"/>
      <c r="L142" s="306"/>
      <c r="M142" s="296"/>
      <c r="N142" s="291">
        <v>1</v>
      </c>
      <c r="O142" s="308"/>
      <c r="P142" s="291">
        <v>1</v>
      </c>
      <c r="Q142" s="291"/>
      <c r="R142" s="308">
        <v>36804</v>
      </c>
      <c r="S142" s="291">
        <v>130</v>
      </c>
    </row>
    <row r="143" spans="2:19" x14ac:dyDescent="0.25">
      <c r="B143" s="296">
        <f t="shared" si="1"/>
        <v>40603</v>
      </c>
      <c r="C143" s="449"/>
      <c r="D143" s="449"/>
      <c r="E143" s="291">
        <v>0.75</v>
      </c>
      <c r="F143" s="449"/>
      <c r="G143" s="449"/>
      <c r="H143" s="306"/>
      <c r="I143" s="308">
        <v>36805</v>
      </c>
      <c r="J143" s="291">
        <v>131</v>
      </c>
      <c r="K143" s="308"/>
      <c r="L143" s="306"/>
      <c r="M143" s="296"/>
      <c r="N143" s="291">
        <v>0.75</v>
      </c>
      <c r="O143" s="308"/>
      <c r="P143" s="291">
        <v>0.75</v>
      </c>
      <c r="Q143" s="291"/>
      <c r="R143" s="308">
        <v>36805</v>
      </c>
      <c r="S143" s="291">
        <v>131</v>
      </c>
    </row>
    <row r="144" spans="2:19" x14ac:dyDescent="0.25">
      <c r="B144" s="296">
        <f t="shared" si="1"/>
        <v>40634</v>
      </c>
      <c r="C144" s="449"/>
      <c r="D144" s="449"/>
      <c r="E144" s="291">
        <v>0.45</v>
      </c>
      <c r="F144" s="449"/>
      <c r="G144" s="449"/>
      <c r="H144" s="306"/>
      <c r="I144" s="308">
        <v>36806</v>
      </c>
      <c r="J144" s="291">
        <v>132</v>
      </c>
      <c r="K144" s="308"/>
      <c r="L144" s="306"/>
      <c r="M144" s="296"/>
      <c r="N144" s="291">
        <v>0.45</v>
      </c>
      <c r="O144" s="308"/>
      <c r="P144" s="291">
        <v>0.45</v>
      </c>
      <c r="Q144" s="291"/>
      <c r="R144" s="308">
        <v>36806</v>
      </c>
      <c r="S144" s="291">
        <v>132</v>
      </c>
    </row>
    <row r="145" spans="2:19" x14ac:dyDescent="0.25">
      <c r="B145" s="296">
        <f t="shared" ref="B145:B208" si="2">EOMONTH(B144,0)+1</f>
        <v>40664</v>
      </c>
      <c r="C145" s="449"/>
      <c r="D145" s="449"/>
      <c r="E145" s="291">
        <v>0.4</v>
      </c>
      <c r="F145" s="449"/>
      <c r="G145" s="449"/>
      <c r="H145" s="306"/>
      <c r="I145" s="308">
        <v>36807</v>
      </c>
      <c r="J145" s="291">
        <v>133</v>
      </c>
      <c r="K145" s="308"/>
      <c r="L145" s="306"/>
      <c r="M145" s="296"/>
      <c r="N145" s="291">
        <v>0.4</v>
      </c>
      <c r="O145" s="308"/>
      <c r="P145" s="291">
        <v>0.4</v>
      </c>
      <c r="Q145" s="291"/>
      <c r="R145" s="308">
        <v>36807</v>
      </c>
      <c r="S145" s="291">
        <v>133</v>
      </c>
    </row>
    <row r="146" spans="2:19" x14ac:dyDescent="0.25">
      <c r="B146" s="296">
        <f t="shared" si="2"/>
        <v>40695</v>
      </c>
      <c r="C146" s="449"/>
      <c r="D146" s="449"/>
      <c r="E146" s="291">
        <v>0.5</v>
      </c>
      <c r="F146" s="449"/>
      <c r="G146" s="449"/>
      <c r="H146" s="306"/>
      <c r="I146" s="308">
        <v>36808</v>
      </c>
      <c r="J146" s="291">
        <v>134</v>
      </c>
      <c r="K146" s="308"/>
      <c r="L146" s="306"/>
      <c r="M146" s="296"/>
      <c r="N146" s="291">
        <v>0.5</v>
      </c>
      <c r="O146" s="308"/>
      <c r="P146" s="291">
        <v>0.5</v>
      </c>
      <c r="Q146" s="291"/>
      <c r="R146" s="308">
        <v>36808</v>
      </c>
      <c r="S146" s="291">
        <v>134</v>
      </c>
    </row>
    <row r="147" spans="2:19" x14ac:dyDescent="0.25">
      <c r="B147" s="296">
        <f t="shared" si="2"/>
        <v>40725</v>
      </c>
      <c r="C147" s="449"/>
      <c r="D147" s="449"/>
      <c r="E147" s="291">
        <v>0.5</v>
      </c>
      <c r="F147" s="449"/>
      <c r="G147" s="449"/>
      <c r="H147" s="306"/>
      <c r="I147" s="308">
        <v>36809</v>
      </c>
      <c r="J147" s="291">
        <v>135</v>
      </c>
      <c r="K147" s="308"/>
      <c r="L147" s="306"/>
      <c r="M147" s="296"/>
      <c r="N147" s="291">
        <v>0.5</v>
      </c>
      <c r="O147" s="308"/>
      <c r="P147" s="291">
        <v>0.5</v>
      </c>
      <c r="Q147" s="291"/>
      <c r="R147" s="308">
        <v>36809</v>
      </c>
      <c r="S147" s="291">
        <v>135</v>
      </c>
    </row>
    <row r="148" spans="2:19" x14ac:dyDescent="0.25">
      <c r="B148" s="296">
        <f t="shared" si="2"/>
        <v>40756</v>
      </c>
      <c r="C148" s="449"/>
      <c r="D148" s="449"/>
      <c r="E148" s="291">
        <v>0.6</v>
      </c>
      <c r="F148" s="449"/>
      <c r="G148" s="449"/>
      <c r="H148" s="306"/>
      <c r="I148" s="308">
        <v>36810</v>
      </c>
      <c r="J148" s="291">
        <v>136</v>
      </c>
      <c r="K148" s="308"/>
      <c r="L148" s="306"/>
      <c r="M148" s="296"/>
      <c r="N148" s="291">
        <v>0.6</v>
      </c>
      <c r="O148" s="308"/>
      <c r="P148" s="291">
        <v>0.6</v>
      </c>
      <c r="Q148" s="291"/>
      <c r="R148" s="308">
        <v>36810</v>
      </c>
      <c r="S148" s="291">
        <v>136</v>
      </c>
    </row>
    <row r="149" spans="2:19" x14ac:dyDescent="0.25">
      <c r="B149" s="296">
        <f t="shared" si="2"/>
        <v>40787</v>
      </c>
      <c r="C149" s="449"/>
      <c r="D149" s="449"/>
      <c r="E149" s="291">
        <v>0.55000000000000004</v>
      </c>
      <c r="F149" s="449"/>
      <c r="G149" s="449"/>
      <c r="H149" s="306"/>
      <c r="I149" s="308">
        <v>36811</v>
      </c>
      <c r="J149" s="291">
        <v>137</v>
      </c>
      <c r="K149" s="308"/>
      <c r="L149" s="306"/>
      <c r="M149" s="296"/>
      <c r="N149" s="291">
        <v>0.55000000000000004</v>
      </c>
      <c r="O149" s="308"/>
      <c r="P149" s="291">
        <v>0.55000000000000004</v>
      </c>
      <c r="Q149" s="291"/>
      <c r="R149" s="308">
        <v>36811</v>
      </c>
      <c r="S149" s="291">
        <v>137</v>
      </c>
    </row>
    <row r="150" spans="2:19" x14ac:dyDescent="0.25">
      <c r="B150" s="296">
        <f t="shared" si="2"/>
        <v>40817</v>
      </c>
      <c r="C150" s="449"/>
      <c r="D150" s="449"/>
      <c r="E150" s="291">
        <v>0.6</v>
      </c>
      <c r="F150" s="449"/>
      <c r="G150" s="449"/>
      <c r="H150" s="306"/>
      <c r="I150" s="308">
        <v>36812</v>
      </c>
      <c r="J150" s="291">
        <v>138</v>
      </c>
      <c r="K150" s="308"/>
      <c r="L150" s="306"/>
      <c r="M150" s="296"/>
      <c r="N150" s="291">
        <v>0.6</v>
      </c>
      <c r="O150" s="308"/>
      <c r="P150" s="291">
        <v>0.6</v>
      </c>
      <c r="Q150" s="291"/>
      <c r="R150" s="308">
        <v>36812</v>
      </c>
      <c r="S150" s="291">
        <v>138</v>
      </c>
    </row>
    <row r="151" spans="2:19" x14ac:dyDescent="0.25">
      <c r="B151" s="296">
        <f t="shared" si="2"/>
        <v>40848</v>
      </c>
      <c r="C151" s="449"/>
      <c r="D151" s="449"/>
      <c r="E151" s="291">
        <v>0.8</v>
      </c>
      <c r="F151" s="449"/>
      <c r="G151" s="449"/>
      <c r="H151" s="306"/>
      <c r="I151" s="308">
        <v>36813</v>
      </c>
      <c r="J151" s="291">
        <v>139</v>
      </c>
      <c r="K151" s="308"/>
      <c r="L151" s="306"/>
      <c r="M151" s="296"/>
      <c r="N151" s="291">
        <v>0.8</v>
      </c>
      <c r="O151" s="308"/>
      <c r="P151" s="291">
        <v>0.8</v>
      </c>
      <c r="Q151" s="291"/>
      <c r="R151" s="308">
        <v>36813</v>
      </c>
      <c r="S151" s="291">
        <v>139</v>
      </c>
    </row>
    <row r="152" spans="2:19" x14ac:dyDescent="0.25">
      <c r="B152" s="296">
        <f t="shared" si="2"/>
        <v>40878</v>
      </c>
      <c r="C152" s="449"/>
      <c r="D152" s="449"/>
      <c r="E152" s="291">
        <v>1</v>
      </c>
      <c r="F152" s="449"/>
      <c r="G152" s="449"/>
      <c r="H152" s="306"/>
      <c r="I152" s="308">
        <v>36814</v>
      </c>
      <c r="J152" s="291">
        <v>140</v>
      </c>
      <c r="K152" s="308"/>
      <c r="L152" s="306"/>
      <c r="M152" s="296"/>
      <c r="N152" s="291">
        <v>1</v>
      </c>
      <c r="O152" s="308"/>
      <c r="P152" s="291">
        <v>1</v>
      </c>
      <c r="Q152" s="291"/>
      <c r="R152" s="308">
        <v>36814</v>
      </c>
      <c r="S152" s="291">
        <v>140</v>
      </c>
    </row>
    <row r="153" spans="2:19" x14ac:dyDescent="0.25">
      <c r="B153" s="296">
        <f t="shared" si="2"/>
        <v>40909</v>
      </c>
      <c r="C153" s="449"/>
      <c r="D153" s="449"/>
      <c r="E153" s="291">
        <v>1</v>
      </c>
      <c r="F153" s="449"/>
      <c r="G153" s="449"/>
      <c r="H153" s="306"/>
      <c r="I153" s="308">
        <v>36815</v>
      </c>
      <c r="J153" s="291">
        <v>141</v>
      </c>
      <c r="K153" s="308"/>
      <c r="L153" s="306"/>
      <c r="M153" s="296"/>
      <c r="N153" s="291">
        <v>1</v>
      </c>
      <c r="O153" s="308"/>
      <c r="P153" s="291">
        <v>1</v>
      </c>
      <c r="Q153" s="291"/>
      <c r="R153" s="308">
        <v>36815</v>
      </c>
      <c r="S153" s="291">
        <v>141</v>
      </c>
    </row>
    <row r="154" spans="2:19" x14ac:dyDescent="0.25">
      <c r="B154" s="296">
        <f t="shared" si="2"/>
        <v>40940</v>
      </c>
      <c r="C154" s="449"/>
      <c r="D154" s="449"/>
      <c r="E154" s="291">
        <v>1</v>
      </c>
      <c r="F154" s="449"/>
      <c r="G154" s="449"/>
      <c r="H154" s="306"/>
      <c r="I154" s="308">
        <v>36816</v>
      </c>
      <c r="J154" s="291">
        <v>142</v>
      </c>
      <c r="K154" s="308"/>
      <c r="L154" s="306"/>
      <c r="M154" s="296"/>
      <c r="N154" s="291">
        <v>1</v>
      </c>
      <c r="O154" s="308"/>
      <c r="P154" s="291">
        <v>1</v>
      </c>
      <c r="Q154" s="291"/>
      <c r="R154" s="308">
        <v>36816</v>
      </c>
      <c r="S154" s="291">
        <v>142</v>
      </c>
    </row>
    <row r="155" spans="2:19" x14ac:dyDescent="0.25">
      <c r="B155" s="296">
        <f t="shared" si="2"/>
        <v>40969</v>
      </c>
      <c r="C155" s="449"/>
      <c r="D155" s="449"/>
      <c r="E155" s="291">
        <v>0.75</v>
      </c>
      <c r="F155" s="449"/>
      <c r="G155" s="449"/>
      <c r="H155" s="306"/>
      <c r="I155" s="308">
        <v>36817</v>
      </c>
      <c r="J155" s="291">
        <v>143</v>
      </c>
      <c r="K155" s="308"/>
      <c r="L155" s="306"/>
      <c r="M155" s="296"/>
      <c r="N155" s="291">
        <v>0.75</v>
      </c>
      <c r="O155" s="308"/>
      <c r="P155" s="291">
        <v>0.75</v>
      </c>
      <c r="Q155" s="291"/>
      <c r="R155" s="308">
        <v>36817</v>
      </c>
      <c r="S155" s="291">
        <v>143</v>
      </c>
    </row>
    <row r="156" spans="2:19" x14ac:dyDescent="0.25">
      <c r="B156" s="296">
        <f t="shared" si="2"/>
        <v>41000</v>
      </c>
      <c r="C156" s="449"/>
      <c r="D156" s="449"/>
      <c r="E156" s="291">
        <v>0.45</v>
      </c>
      <c r="F156" s="449"/>
      <c r="G156" s="449"/>
      <c r="H156" s="306"/>
      <c r="I156" s="308">
        <v>36818</v>
      </c>
      <c r="J156" s="291">
        <v>144</v>
      </c>
      <c r="K156" s="308"/>
      <c r="L156" s="306"/>
      <c r="M156" s="296"/>
      <c r="N156" s="291">
        <v>0.45</v>
      </c>
      <c r="O156" s="308"/>
      <c r="P156" s="291">
        <v>0.45</v>
      </c>
      <c r="Q156" s="291"/>
      <c r="R156" s="308">
        <v>36818</v>
      </c>
      <c r="S156" s="291">
        <v>144</v>
      </c>
    </row>
    <row r="157" spans="2:19" x14ac:dyDescent="0.25">
      <c r="B157" s="296">
        <f t="shared" si="2"/>
        <v>41030</v>
      </c>
      <c r="C157" s="449"/>
      <c r="D157" s="449"/>
      <c r="E157" s="291">
        <v>0.4</v>
      </c>
      <c r="F157" s="449"/>
      <c r="G157" s="449"/>
      <c r="H157" s="306"/>
      <c r="I157" s="308">
        <v>36819</v>
      </c>
      <c r="J157" s="291">
        <v>145</v>
      </c>
      <c r="K157" s="308"/>
      <c r="L157" s="306"/>
      <c r="M157" s="296"/>
      <c r="N157" s="291">
        <v>0.4</v>
      </c>
      <c r="O157" s="308"/>
      <c r="P157" s="291">
        <v>0.4</v>
      </c>
      <c r="Q157" s="291"/>
      <c r="R157" s="308">
        <v>36819</v>
      </c>
      <c r="S157" s="291">
        <v>145</v>
      </c>
    </row>
    <row r="158" spans="2:19" x14ac:dyDescent="0.25">
      <c r="B158" s="296">
        <f t="shared" si="2"/>
        <v>41061</v>
      </c>
      <c r="C158" s="449"/>
      <c r="D158" s="449"/>
      <c r="E158" s="291">
        <v>0.5</v>
      </c>
      <c r="F158" s="449"/>
      <c r="G158" s="449"/>
      <c r="H158" s="306"/>
      <c r="I158" s="308">
        <v>36820</v>
      </c>
      <c r="J158" s="291">
        <v>146</v>
      </c>
      <c r="K158" s="308"/>
      <c r="L158" s="306"/>
      <c r="M158" s="296"/>
      <c r="N158" s="291">
        <v>0.5</v>
      </c>
      <c r="O158" s="308"/>
      <c r="P158" s="291">
        <v>0.5</v>
      </c>
      <c r="Q158" s="291"/>
      <c r="R158" s="308">
        <v>36820</v>
      </c>
      <c r="S158" s="291">
        <v>146</v>
      </c>
    </row>
    <row r="159" spans="2:19" x14ac:dyDescent="0.25">
      <c r="B159" s="296">
        <f t="shared" si="2"/>
        <v>41091</v>
      </c>
      <c r="C159" s="449"/>
      <c r="D159" s="449"/>
      <c r="E159" s="291">
        <v>0.5</v>
      </c>
      <c r="F159" s="449"/>
      <c r="G159" s="449"/>
      <c r="H159" s="306"/>
      <c r="I159" s="308">
        <v>36821</v>
      </c>
      <c r="J159" s="291">
        <v>147</v>
      </c>
      <c r="K159" s="308"/>
      <c r="L159" s="306"/>
      <c r="M159" s="296"/>
      <c r="N159" s="291">
        <v>0.5</v>
      </c>
      <c r="O159" s="308"/>
      <c r="P159" s="291">
        <v>0.5</v>
      </c>
      <c r="Q159" s="291"/>
      <c r="R159" s="308">
        <v>36821</v>
      </c>
      <c r="S159" s="291">
        <v>147</v>
      </c>
    </row>
    <row r="160" spans="2:19" x14ac:dyDescent="0.25">
      <c r="B160" s="296">
        <f t="shared" si="2"/>
        <v>41122</v>
      </c>
      <c r="C160" s="449"/>
      <c r="D160" s="449"/>
      <c r="E160" s="291">
        <v>0.6</v>
      </c>
      <c r="F160" s="449"/>
      <c r="G160" s="449"/>
      <c r="H160" s="306"/>
      <c r="I160" s="308">
        <v>36822</v>
      </c>
      <c r="J160" s="291">
        <v>148</v>
      </c>
      <c r="K160" s="308"/>
      <c r="L160" s="306"/>
      <c r="M160" s="296"/>
      <c r="N160" s="291">
        <v>0.6</v>
      </c>
      <c r="O160" s="308"/>
      <c r="P160" s="291">
        <v>0.6</v>
      </c>
      <c r="Q160" s="291"/>
      <c r="R160" s="308">
        <v>36822</v>
      </c>
      <c r="S160" s="291">
        <v>148</v>
      </c>
    </row>
    <row r="161" spans="2:19" x14ac:dyDescent="0.25">
      <c r="B161" s="296">
        <f t="shared" si="2"/>
        <v>41153</v>
      </c>
      <c r="C161" s="449"/>
      <c r="D161" s="449"/>
      <c r="E161" s="291">
        <v>0.55000000000000004</v>
      </c>
      <c r="F161" s="449"/>
      <c r="G161" s="449"/>
      <c r="H161" s="306"/>
      <c r="I161" s="308">
        <v>36823</v>
      </c>
      <c r="J161" s="291">
        <v>149</v>
      </c>
      <c r="K161" s="308"/>
      <c r="L161" s="306"/>
      <c r="M161" s="296"/>
      <c r="N161" s="291">
        <v>0.55000000000000004</v>
      </c>
      <c r="O161" s="308"/>
      <c r="P161" s="291">
        <v>0.55000000000000004</v>
      </c>
      <c r="Q161" s="291"/>
      <c r="R161" s="308">
        <v>36823</v>
      </c>
      <c r="S161" s="291">
        <v>149</v>
      </c>
    </row>
    <row r="162" spans="2:19" x14ac:dyDescent="0.25">
      <c r="B162" s="296">
        <f t="shared" si="2"/>
        <v>41183</v>
      </c>
      <c r="C162" s="449"/>
      <c r="D162" s="449"/>
      <c r="E162" s="291">
        <v>0.6</v>
      </c>
      <c r="F162" s="449"/>
      <c r="G162" s="449"/>
      <c r="H162" s="306"/>
      <c r="I162" s="308">
        <v>36824</v>
      </c>
      <c r="J162" s="291">
        <v>150</v>
      </c>
      <c r="K162" s="308"/>
      <c r="L162" s="306"/>
      <c r="M162" s="296"/>
      <c r="N162" s="291">
        <v>0.6</v>
      </c>
      <c r="O162" s="308"/>
      <c r="P162" s="291">
        <v>0.6</v>
      </c>
      <c r="Q162" s="291"/>
      <c r="R162" s="308">
        <v>36824</v>
      </c>
      <c r="S162" s="291">
        <v>150</v>
      </c>
    </row>
    <row r="163" spans="2:19" x14ac:dyDescent="0.25">
      <c r="B163" s="296">
        <f t="shared" si="2"/>
        <v>41214</v>
      </c>
      <c r="C163" s="449"/>
      <c r="D163" s="449"/>
      <c r="E163" s="291">
        <v>0.8</v>
      </c>
      <c r="F163" s="449"/>
      <c r="G163" s="449"/>
      <c r="H163" s="306"/>
      <c r="I163" s="308">
        <v>36825</v>
      </c>
      <c r="J163" s="291">
        <v>151</v>
      </c>
      <c r="K163" s="308"/>
      <c r="L163" s="306"/>
      <c r="M163" s="296"/>
      <c r="N163" s="291">
        <v>0.8</v>
      </c>
      <c r="O163" s="308"/>
      <c r="P163" s="291">
        <v>0.8</v>
      </c>
      <c r="Q163" s="291"/>
      <c r="R163" s="308">
        <v>36825</v>
      </c>
      <c r="S163" s="291">
        <v>151</v>
      </c>
    </row>
    <row r="164" spans="2:19" x14ac:dyDescent="0.25">
      <c r="B164" s="296">
        <f t="shared" si="2"/>
        <v>41244</v>
      </c>
      <c r="C164" s="449"/>
      <c r="D164" s="449"/>
      <c r="E164" s="291">
        <v>1</v>
      </c>
      <c r="F164" s="449"/>
      <c r="G164" s="449"/>
      <c r="H164" s="306"/>
      <c r="I164" s="308">
        <v>36826</v>
      </c>
      <c r="J164" s="291">
        <v>152</v>
      </c>
      <c r="K164" s="308"/>
      <c r="L164" s="306"/>
      <c r="M164" s="296"/>
      <c r="N164" s="291">
        <v>1</v>
      </c>
      <c r="O164" s="308"/>
      <c r="P164" s="291">
        <v>1</v>
      </c>
      <c r="Q164" s="291"/>
      <c r="R164" s="308">
        <v>36826</v>
      </c>
      <c r="S164" s="291">
        <v>152</v>
      </c>
    </row>
    <row r="165" spans="2:19" x14ac:dyDescent="0.25">
      <c r="B165" s="296">
        <f t="shared" si="2"/>
        <v>41275</v>
      </c>
      <c r="C165" s="449"/>
      <c r="D165" s="449"/>
      <c r="E165" s="291">
        <v>1</v>
      </c>
      <c r="F165" s="449"/>
      <c r="G165" s="449"/>
      <c r="H165" s="306"/>
      <c r="I165" s="308">
        <v>36827</v>
      </c>
      <c r="J165" s="291">
        <v>153</v>
      </c>
      <c r="K165" s="308"/>
      <c r="L165" s="306"/>
      <c r="M165" s="296"/>
      <c r="N165" s="291">
        <v>1</v>
      </c>
      <c r="O165" s="308"/>
      <c r="P165" s="291">
        <v>1</v>
      </c>
      <c r="Q165" s="291"/>
      <c r="R165" s="308">
        <v>36827</v>
      </c>
      <c r="S165" s="291">
        <v>153</v>
      </c>
    </row>
    <row r="166" spans="2:19" x14ac:dyDescent="0.25">
      <c r="B166" s="296">
        <f t="shared" si="2"/>
        <v>41306</v>
      </c>
      <c r="C166" s="449"/>
      <c r="D166" s="449"/>
      <c r="E166" s="291">
        <v>1</v>
      </c>
      <c r="F166" s="449"/>
      <c r="G166" s="449"/>
      <c r="H166" s="306"/>
      <c r="I166" s="308">
        <v>36828</v>
      </c>
      <c r="J166" s="291">
        <v>154</v>
      </c>
      <c r="K166" s="308"/>
      <c r="L166" s="306"/>
      <c r="M166" s="296"/>
      <c r="N166" s="291">
        <v>1</v>
      </c>
      <c r="O166" s="308"/>
      <c r="P166" s="291">
        <v>1</v>
      </c>
      <c r="Q166" s="291"/>
      <c r="R166" s="308">
        <v>36828</v>
      </c>
      <c r="S166" s="291">
        <v>154</v>
      </c>
    </row>
    <row r="167" spans="2:19" x14ac:dyDescent="0.25">
      <c r="B167" s="296">
        <f t="shared" si="2"/>
        <v>41334</v>
      </c>
      <c r="C167" s="449"/>
      <c r="D167" s="449"/>
      <c r="E167" s="291">
        <v>0.75</v>
      </c>
      <c r="F167" s="449"/>
      <c r="G167" s="449"/>
      <c r="H167" s="306"/>
      <c r="I167" s="308">
        <v>36829</v>
      </c>
      <c r="J167" s="291">
        <v>155</v>
      </c>
      <c r="K167" s="308"/>
      <c r="L167" s="306"/>
      <c r="M167" s="296"/>
      <c r="N167" s="291">
        <v>0.75</v>
      </c>
      <c r="O167" s="308"/>
      <c r="P167" s="291">
        <v>0.75</v>
      </c>
      <c r="Q167" s="291"/>
      <c r="R167" s="308">
        <v>36829</v>
      </c>
      <c r="S167" s="291">
        <v>155</v>
      </c>
    </row>
    <row r="168" spans="2:19" x14ac:dyDescent="0.25">
      <c r="B168" s="296">
        <f t="shared" si="2"/>
        <v>41365</v>
      </c>
      <c r="C168" s="449"/>
      <c r="D168" s="449"/>
      <c r="E168" s="291">
        <v>0.45</v>
      </c>
      <c r="F168" s="449"/>
      <c r="G168" s="449"/>
      <c r="H168" s="306"/>
      <c r="I168" s="308">
        <v>36830</v>
      </c>
      <c r="J168" s="291">
        <v>156</v>
      </c>
      <c r="K168" s="308"/>
      <c r="L168" s="306"/>
      <c r="M168" s="296"/>
      <c r="N168" s="291">
        <v>0.45</v>
      </c>
      <c r="O168" s="308"/>
      <c r="P168" s="291">
        <v>0.45</v>
      </c>
      <c r="Q168" s="291"/>
      <c r="R168" s="308">
        <v>36830</v>
      </c>
      <c r="S168" s="291">
        <v>156</v>
      </c>
    </row>
    <row r="169" spans="2:19" x14ac:dyDescent="0.25">
      <c r="B169" s="296">
        <f t="shared" si="2"/>
        <v>41395</v>
      </c>
      <c r="C169" s="449"/>
      <c r="D169" s="449"/>
      <c r="E169" s="291">
        <v>0.4</v>
      </c>
      <c r="F169" s="449"/>
      <c r="G169" s="449"/>
      <c r="H169" s="306"/>
      <c r="I169" s="308">
        <v>36831</v>
      </c>
      <c r="J169" s="291">
        <v>157</v>
      </c>
      <c r="K169" s="308"/>
      <c r="L169" s="306"/>
      <c r="M169" s="296"/>
      <c r="N169" s="291">
        <v>0.4</v>
      </c>
      <c r="O169" s="308"/>
      <c r="P169" s="291">
        <v>0.4</v>
      </c>
      <c r="Q169" s="291"/>
      <c r="R169" s="308">
        <v>36831</v>
      </c>
      <c r="S169" s="291">
        <v>157</v>
      </c>
    </row>
    <row r="170" spans="2:19" x14ac:dyDescent="0.25">
      <c r="B170" s="296">
        <f t="shared" si="2"/>
        <v>41426</v>
      </c>
      <c r="C170" s="449"/>
      <c r="D170" s="449"/>
      <c r="E170" s="291">
        <v>0.5</v>
      </c>
      <c r="F170" s="449"/>
      <c r="G170" s="449"/>
      <c r="H170" s="306"/>
      <c r="I170" s="308">
        <v>36832</v>
      </c>
      <c r="J170" s="291">
        <v>158</v>
      </c>
      <c r="K170" s="308"/>
      <c r="L170" s="306"/>
      <c r="M170" s="296"/>
      <c r="N170" s="291">
        <v>0.5</v>
      </c>
      <c r="O170" s="308"/>
      <c r="P170" s="291">
        <v>0.5</v>
      </c>
      <c r="Q170" s="291"/>
      <c r="R170" s="308">
        <v>36832</v>
      </c>
      <c r="S170" s="291">
        <v>158</v>
      </c>
    </row>
    <row r="171" spans="2:19" x14ac:dyDescent="0.25">
      <c r="B171" s="296">
        <f t="shared" si="2"/>
        <v>41456</v>
      </c>
      <c r="C171" s="449"/>
      <c r="D171" s="449"/>
      <c r="E171" s="291">
        <v>0.5</v>
      </c>
      <c r="F171" s="449"/>
      <c r="G171" s="449"/>
      <c r="H171" s="306"/>
      <c r="I171" s="308">
        <v>36833</v>
      </c>
      <c r="J171" s="291">
        <v>159</v>
      </c>
      <c r="K171" s="308"/>
      <c r="L171" s="306"/>
      <c r="M171" s="296"/>
      <c r="N171" s="291">
        <v>0.5</v>
      </c>
      <c r="O171" s="308"/>
      <c r="P171" s="291">
        <v>0.5</v>
      </c>
      <c r="Q171" s="291"/>
      <c r="R171" s="308">
        <v>36833</v>
      </c>
      <c r="S171" s="291">
        <v>159</v>
      </c>
    </row>
    <row r="172" spans="2:19" x14ac:dyDescent="0.25">
      <c r="B172" s="296">
        <f t="shared" si="2"/>
        <v>41487</v>
      </c>
      <c r="C172" s="449"/>
      <c r="D172" s="449"/>
      <c r="E172" s="291">
        <v>0.6</v>
      </c>
      <c r="F172" s="449"/>
      <c r="G172" s="449"/>
      <c r="H172" s="306"/>
      <c r="I172" s="308">
        <v>36834</v>
      </c>
      <c r="J172" s="291">
        <v>160</v>
      </c>
      <c r="K172" s="308"/>
      <c r="L172" s="306"/>
      <c r="M172" s="296"/>
      <c r="N172" s="291">
        <v>0.6</v>
      </c>
      <c r="O172" s="308"/>
      <c r="P172" s="291">
        <v>0.6</v>
      </c>
      <c r="Q172" s="291"/>
      <c r="R172" s="308">
        <v>36834</v>
      </c>
      <c r="S172" s="291">
        <v>160</v>
      </c>
    </row>
    <row r="173" spans="2:19" x14ac:dyDescent="0.25">
      <c r="B173" s="296">
        <f t="shared" si="2"/>
        <v>41518</v>
      </c>
      <c r="C173" s="449"/>
      <c r="D173" s="449"/>
      <c r="E173" s="291">
        <v>0.55000000000000004</v>
      </c>
      <c r="F173" s="449"/>
      <c r="G173" s="449"/>
      <c r="H173" s="306"/>
      <c r="I173" s="308">
        <v>36835</v>
      </c>
      <c r="J173" s="291">
        <v>161</v>
      </c>
      <c r="K173" s="308"/>
      <c r="L173" s="306"/>
      <c r="M173" s="296"/>
      <c r="N173" s="291">
        <v>0.55000000000000004</v>
      </c>
      <c r="O173" s="308"/>
      <c r="P173" s="291">
        <v>0.55000000000000004</v>
      </c>
      <c r="Q173" s="291"/>
      <c r="R173" s="308">
        <v>36835</v>
      </c>
      <c r="S173" s="291">
        <v>161</v>
      </c>
    </row>
    <row r="174" spans="2:19" x14ac:dyDescent="0.25">
      <c r="B174" s="296">
        <f t="shared" si="2"/>
        <v>41548</v>
      </c>
      <c r="C174" s="449"/>
      <c r="D174" s="449"/>
      <c r="E174" s="291">
        <v>0.6</v>
      </c>
      <c r="F174" s="449"/>
      <c r="G174" s="449"/>
      <c r="H174" s="306"/>
      <c r="I174" s="308">
        <v>36836</v>
      </c>
      <c r="J174" s="291">
        <v>162</v>
      </c>
      <c r="K174" s="308"/>
      <c r="L174" s="306"/>
      <c r="M174" s="296"/>
      <c r="N174" s="291">
        <v>0.6</v>
      </c>
      <c r="O174" s="308"/>
      <c r="P174" s="291">
        <v>0.6</v>
      </c>
      <c r="Q174" s="291"/>
      <c r="R174" s="308">
        <v>36836</v>
      </c>
      <c r="S174" s="291">
        <v>162</v>
      </c>
    </row>
    <row r="175" spans="2:19" x14ac:dyDescent="0.25">
      <c r="B175" s="296">
        <f t="shared" si="2"/>
        <v>41579</v>
      </c>
      <c r="C175" s="449"/>
      <c r="D175" s="449"/>
      <c r="E175" s="291">
        <v>0.8</v>
      </c>
      <c r="F175" s="449"/>
      <c r="G175" s="449"/>
      <c r="H175" s="306"/>
      <c r="I175" s="308">
        <v>36837</v>
      </c>
      <c r="J175" s="291">
        <v>163</v>
      </c>
      <c r="K175" s="308"/>
      <c r="L175" s="306"/>
      <c r="M175" s="296"/>
      <c r="N175" s="291">
        <v>0.8</v>
      </c>
      <c r="O175" s="308"/>
      <c r="P175" s="291">
        <v>0.8</v>
      </c>
      <c r="Q175" s="291"/>
      <c r="R175" s="308">
        <v>36837</v>
      </c>
      <c r="S175" s="291">
        <v>163</v>
      </c>
    </row>
    <row r="176" spans="2:19" x14ac:dyDescent="0.25">
      <c r="B176" s="296">
        <f t="shared" si="2"/>
        <v>41609</v>
      </c>
      <c r="C176" s="449"/>
      <c r="D176" s="449"/>
      <c r="E176" s="291">
        <v>1</v>
      </c>
      <c r="F176" s="449"/>
      <c r="G176" s="449"/>
      <c r="H176" s="306"/>
      <c r="I176" s="308">
        <v>36838</v>
      </c>
      <c r="J176" s="291">
        <v>164</v>
      </c>
      <c r="K176" s="308"/>
      <c r="L176" s="306"/>
      <c r="M176" s="296"/>
      <c r="N176" s="291">
        <v>1</v>
      </c>
      <c r="O176" s="308"/>
      <c r="P176" s="291">
        <v>1</v>
      </c>
      <c r="Q176" s="291"/>
      <c r="R176" s="308">
        <v>36838</v>
      </c>
      <c r="S176" s="291">
        <v>164</v>
      </c>
    </row>
    <row r="177" spans="2:19" x14ac:dyDescent="0.25">
      <c r="B177" s="296">
        <f t="shared" si="2"/>
        <v>41640</v>
      </c>
      <c r="C177" s="449"/>
      <c r="D177" s="449"/>
      <c r="E177" s="291">
        <v>1</v>
      </c>
      <c r="F177" s="449"/>
      <c r="G177" s="449"/>
      <c r="H177" s="306"/>
      <c r="I177" s="308">
        <v>36839</v>
      </c>
      <c r="J177" s="291">
        <v>165</v>
      </c>
      <c r="K177" s="308"/>
      <c r="L177" s="306"/>
      <c r="M177" s="296"/>
      <c r="N177" s="291">
        <v>1</v>
      </c>
      <c r="O177" s="308"/>
      <c r="P177" s="291">
        <v>1</v>
      </c>
      <c r="Q177" s="291"/>
      <c r="R177" s="308">
        <v>36839</v>
      </c>
      <c r="S177" s="291">
        <v>165</v>
      </c>
    </row>
    <row r="178" spans="2:19" x14ac:dyDescent="0.25">
      <c r="B178" s="296">
        <f t="shared" si="2"/>
        <v>41671</v>
      </c>
      <c r="C178" s="449"/>
      <c r="D178" s="449"/>
      <c r="E178" s="291">
        <v>1</v>
      </c>
      <c r="F178" s="449"/>
      <c r="G178" s="449"/>
      <c r="H178" s="306"/>
      <c r="I178" s="308">
        <v>36840</v>
      </c>
      <c r="J178" s="291">
        <v>166</v>
      </c>
      <c r="K178" s="308"/>
      <c r="L178" s="306"/>
      <c r="M178" s="296"/>
      <c r="N178" s="291">
        <v>1</v>
      </c>
      <c r="O178" s="308"/>
      <c r="P178" s="291">
        <v>1</v>
      </c>
      <c r="Q178" s="291"/>
      <c r="R178" s="308">
        <v>36840</v>
      </c>
      <c r="S178" s="291">
        <v>166</v>
      </c>
    </row>
    <row r="179" spans="2:19" x14ac:dyDescent="0.25">
      <c r="B179" s="296">
        <f t="shared" si="2"/>
        <v>41699</v>
      </c>
      <c r="C179" s="449"/>
      <c r="D179" s="449"/>
      <c r="E179" s="291">
        <v>0.75</v>
      </c>
      <c r="F179" s="449"/>
      <c r="G179" s="449"/>
      <c r="H179" s="306"/>
      <c r="I179" s="308">
        <v>36841</v>
      </c>
      <c r="J179" s="291">
        <v>167</v>
      </c>
      <c r="K179" s="308"/>
      <c r="L179" s="306"/>
      <c r="M179" s="296"/>
      <c r="N179" s="291">
        <v>0.75</v>
      </c>
      <c r="O179" s="308"/>
      <c r="P179" s="291">
        <v>0.75</v>
      </c>
      <c r="Q179" s="291"/>
      <c r="R179" s="308">
        <v>36841</v>
      </c>
      <c r="S179" s="291">
        <v>167</v>
      </c>
    </row>
    <row r="180" spans="2:19" x14ac:dyDescent="0.25">
      <c r="B180" s="296">
        <f t="shared" si="2"/>
        <v>41730</v>
      </c>
      <c r="C180" s="449"/>
      <c r="D180" s="449"/>
      <c r="E180" s="291">
        <v>0.45</v>
      </c>
      <c r="F180" s="449"/>
      <c r="G180" s="449"/>
      <c r="H180" s="306"/>
      <c r="I180" s="308">
        <v>36842</v>
      </c>
      <c r="J180" s="291">
        <v>168</v>
      </c>
      <c r="K180" s="308"/>
      <c r="L180" s="306"/>
      <c r="M180" s="296"/>
      <c r="N180" s="291">
        <v>0.45</v>
      </c>
      <c r="O180" s="308"/>
      <c r="P180" s="291">
        <v>0.45</v>
      </c>
      <c r="Q180" s="291"/>
      <c r="R180" s="308">
        <v>36842</v>
      </c>
      <c r="S180" s="291">
        <v>168</v>
      </c>
    </row>
    <row r="181" spans="2:19" x14ac:dyDescent="0.25">
      <c r="B181" s="296">
        <f t="shared" si="2"/>
        <v>41760</v>
      </c>
      <c r="C181" s="449"/>
      <c r="D181" s="449"/>
      <c r="E181" s="291">
        <v>0.4</v>
      </c>
      <c r="F181" s="449"/>
      <c r="G181" s="449"/>
      <c r="H181" s="306"/>
      <c r="I181" s="308">
        <v>36843</v>
      </c>
      <c r="J181" s="291">
        <v>169</v>
      </c>
      <c r="K181" s="308"/>
      <c r="L181" s="306"/>
      <c r="M181" s="296"/>
      <c r="N181" s="291">
        <v>0.4</v>
      </c>
      <c r="O181" s="308"/>
      <c r="P181" s="291">
        <v>0.4</v>
      </c>
      <c r="Q181" s="291"/>
      <c r="R181" s="308">
        <v>36843</v>
      </c>
      <c r="S181" s="291">
        <v>169</v>
      </c>
    </row>
    <row r="182" spans="2:19" x14ac:dyDescent="0.25">
      <c r="B182" s="296">
        <f t="shared" si="2"/>
        <v>41791</v>
      </c>
      <c r="C182" s="449"/>
      <c r="D182" s="449"/>
      <c r="E182" s="291">
        <v>0.5</v>
      </c>
      <c r="F182" s="449"/>
      <c r="G182" s="449"/>
      <c r="H182" s="306"/>
      <c r="I182" s="308">
        <v>36844</v>
      </c>
      <c r="J182" s="291">
        <v>170</v>
      </c>
      <c r="K182" s="308"/>
      <c r="L182" s="306"/>
      <c r="M182" s="296"/>
      <c r="N182" s="291">
        <v>0.5</v>
      </c>
      <c r="O182" s="308"/>
      <c r="P182" s="291">
        <v>0.5</v>
      </c>
      <c r="Q182" s="291"/>
      <c r="R182" s="308">
        <v>36844</v>
      </c>
      <c r="S182" s="291">
        <v>170</v>
      </c>
    </row>
    <row r="183" spans="2:19" x14ac:dyDescent="0.25">
      <c r="B183" s="296">
        <f t="shared" si="2"/>
        <v>41821</v>
      </c>
      <c r="C183" s="449"/>
      <c r="D183" s="449"/>
      <c r="E183" s="291">
        <v>0.5</v>
      </c>
      <c r="F183" s="449"/>
      <c r="G183" s="449"/>
      <c r="H183" s="306"/>
      <c r="I183" s="308">
        <v>36845</v>
      </c>
      <c r="J183" s="291">
        <v>171</v>
      </c>
      <c r="K183" s="308"/>
      <c r="L183" s="306"/>
      <c r="M183" s="296"/>
      <c r="N183" s="291">
        <v>0.5</v>
      </c>
      <c r="O183" s="308"/>
      <c r="P183" s="291">
        <v>0.5</v>
      </c>
      <c r="Q183" s="291"/>
      <c r="R183" s="308">
        <v>36845</v>
      </c>
      <c r="S183" s="291">
        <v>171</v>
      </c>
    </row>
    <row r="184" spans="2:19" x14ac:dyDescent="0.25">
      <c r="B184" s="296">
        <f t="shared" si="2"/>
        <v>41852</v>
      </c>
      <c r="C184" s="449"/>
      <c r="D184" s="449"/>
      <c r="E184" s="291">
        <v>0.6</v>
      </c>
      <c r="F184" s="449"/>
      <c r="G184" s="449"/>
      <c r="H184" s="306"/>
      <c r="I184" s="308">
        <v>36846</v>
      </c>
      <c r="J184" s="291">
        <v>172</v>
      </c>
      <c r="K184" s="308"/>
      <c r="L184" s="306"/>
      <c r="M184" s="296"/>
      <c r="N184" s="291">
        <v>0.6</v>
      </c>
      <c r="O184" s="308"/>
      <c r="P184" s="291">
        <v>0.6</v>
      </c>
      <c r="Q184" s="291"/>
      <c r="R184" s="308">
        <v>36846</v>
      </c>
      <c r="S184" s="291">
        <v>172</v>
      </c>
    </row>
    <row r="185" spans="2:19" x14ac:dyDescent="0.25">
      <c r="B185" s="296">
        <f t="shared" si="2"/>
        <v>41883</v>
      </c>
      <c r="C185" s="449"/>
      <c r="D185" s="449"/>
      <c r="E185" s="291">
        <v>0.55000000000000004</v>
      </c>
      <c r="F185" s="449"/>
      <c r="G185" s="449"/>
      <c r="H185" s="306"/>
      <c r="I185" s="308">
        <v>36847</v>
      </c>
      <c r="J185" s="291">
        <v>173</v>
      </c>
      <c r="K185" s="308"/>
      <c r="L185" s="306"/>
      <c r="M185" s="296"/>
      <c r="N185" s="291">
        <v>0.55000000000000004</v>
      </c>
      <c r="O185" s="308"/>
      <c r="P185" s="291">
        <v>0.55000000000000004</v>
      </c>
      <c r="Q185" s="291"/>
      <c r="R185" s="308">
        <v>36847</v>
      </c>
      <c r="S185" s="291">
        <v>173</v>
      </c>
    </row>
    <row r="186" spans="2:19" x14ac:dyDescent="0.25">
      <c r="B186" s="296">
        <f t="shared" si="2"/>
        <v>41913</v>
      </c>
      <c r="C186" s="449"/>
      <c r="D186" s="449"/>
      <c r="E186" s="291">
        <v>0.6</v>
      </c>
      <c r="F186" s="449"/>
      <c r="G186" s="449"/>
      <c r="H186" s="306"/>
      <c r="I186" s="308">
        <v>36848</v>
      </c>
      <c r="J186" s="291">
        <v>174</v>
      </c>
      <c r="K186" s="308"/>
      <c r="L186" s="306"/>
      <c r="M186" s="296"/>
      <c r="N186" s="291">
        <v>0.6</v>
      </c>
      <c r="O186" s="308"/>
      <c r="P186" s="291">
        <v>0.6</v>
      </c>
      <c r="Q186" s="291"/>
      <c r="R186" s="308">
        <v>36848</v>
      </c>
      <c r="S186" s="291">
        <v>174</v>
      </c>
    </row>
    <row r="187" spans="2:19" x14ac:dyDescent="0.25">
      <c r="B187" s="296">
        <f t="shared" si="2"/>
        <v>41944</v>
      </c>
      <c r="C187" s="449"/>
      <c r="D187" s="449"/>
      <c r="E187" s="291">
        <v>0.8</v>
      </c>
      <c r="F187" s="449"/>
      <c r="G187" s="449"/>
      <c r="H187" s="306"/>
      <c r="I187" s="308">
        <v>36849</v>
      </c>
      <c r="J187" s="291">
        <v>175</v>
      </c>
      <c r="K187" s="308"/>
      <c r="L187" s="306"/>
      <c r="M187" s="296"/>
      <c r="N187" s="291">
        <v>0.8</v>
      </c>
      <c r="O187" s="308"/>
      <c r="P187" s="291">
        <v>0.8</v>
      </c>
      <c r="Q187" s="291"/>
      <c r="R187" s="308">
        <v>36849</v>
      </c>
      <c r="S187" s="291">
        <v>175</v>
      </c>
    </row>
    <row r="188" spans="2:19" x14ac:dyDescent="0.25">
      <c r="B188" s="296">
        <f t="shared" si="2"/>
        <v>41974</v>
      </c>
      <c r="C188" s="449"/>
      <c r="D188" s="449"/>
      <c r="E188" s="291">
        <v>1</v>
      </c>
      <c r="F188" s="449"/>
      <c r="G188" s="449"/>
      <c r="H188" s="306"/>
      <c r="I188" s="308">
        <v>36850</v>
      </c>
      <c r="J188" s="291">
        <v>176</v>
      </c>
      <c r="K188" s="308"/>
      <c r="L188" s="306"/>
      <c r="M188" s="296"/>
      <c r="N188" s="291">
        <v>1</v>
      </c>
      <c r="O188" s="308"/>
      <c r="P188" s="291">
        <v>1</v>
      </c>
      <c r="Q188" s="291"/>
      <c r="R188" s="308">
        <v>36850</v>
      </c>
      <c r="S188" s="291">
        <v>176</v>
      </c>
    </row>
    <row r="189" spans="2:19" x14ac:dyDescent="0.25">
      <c r="B189" s="296">
        <f t="shared" si="2"/>
        <v>42005</v>
      </c>
      <c r="C189" s="449"/>
      <c r="D189" s="449"/>
      <c r="E189" s="291">
        <v>1</v>
      </c>
      <c r="F189" s="449"/>
      <c r="G189" s="449"/>
      <c r="H189" s="306"/>
      <c r="I189" s="308">
        <v>36851</v>
      </c>
      <c r="J189" s="291">
        <v>177</v>
      </c>
      <c r="K189" s="308"/>
      <c r="L189" s="306"/>
      <c r="M189" s="296"/>
      <c r="N189" s="291">
        <v>1</v>
      </c>
      <c r="O189" s="308"/>
      <c r="P189" s="291">
        <v>1</v>
      </c>
      <c r="Q189" s="291"/>
      <c r="R189" s="308">
        <v>36851</v>
      </c>
      <c r="S189" s="291">
        <v>177</v>
      </c>
    </row>
    <row r="190" spans="2:19" x14ac:dyDescent="0.25">
      <c r="B190" s="296">
        <f t="shared" si="2"/>
        <v>42036</v>
      </c>
      <c r="C190" s="449"/>
      <c r="D190" s="449"/>
      <c r="E190" s="291">
        <v>1</v>
      </c>
      <c r="F190" s="449"/>
      <c r="G190" s="449"/>
      <c r="H190" s="306"/>
      <c r="I190" s="308">
        <v>36852</v>
      </c>
      <c r="J190" s="291">
        <v>178</v>
      </c>
      <c r="K190" s="308"/>
      <c r="L190" s="306"/>
      <c r="M190" s="296"/>
      <c r="N190" s="291">
        <v>1</v>
      </c>
      <c r="O190" s="308"/>
      <c r="P190" s="291">
        <v>1</v>
      </c>
      <c r="Q190" s="291"/>
      <c r="R190" s="308">
        <v>36852</v>
      </c>
      <c r="S190" s="291">
        <v>178</v>
      </c>
    </row>
    <row r="191" spans="2:19" x14ac:dyDescent="0.25">
      <c r="B191" s="296">
        <f t="shared" si="2"/>
        <v>42064</v>
      </c>
      <c r="C191" s="449"/>
      <c r="D191" s="449"/>
      <c r="E191" s="291">
        <v>0.75</v>
      </c>
      <c r="F191" s="449"/>
      <c r="G191" s="449"/>
      <c r="H191" s="306"/>
      <c r="I191" s="308">
        <v>36853</v>
      </c>
      <c r="J191" s="291">
        <v>179</v>
      </c>
      <c r="K191" s="308"/>
      <c r="L191" s="306"/>
      <c r="M191" s="296"/>
      <c r="N191" s="291">
        <v>0.75</v>
      </c>
      <c r="O191" s="308"/>
      <c r="P191" s="291">
        <v>0.75</v>
      </c>
      <c r="Q191" s="291"/>
      <c r="R191" s="308">
        <v>36853</v>
      </c>
      <c r="S191" s="291">
        <v>179</v>
      </c>
    </row>
    <row r="192" spans="2:19" x14ac:dyDescent="0.25">
      <c r="B192" s="296">
        <f t="shared" si="2"/>
        <v>42095</v>
      </c>
      <c r="C192" s="449"/>
      <c r="D192" s="449"/>
      <c r="E192" s="291">
        <v>0.45</v>
      </c>
      <c r="F192" s="449"/>
      <c r="G192" s="449"/>
      <c r="H192" s="306"/>
      <c r="I192" s="308">
        <v>36854</v>
      </c>
      <c r="J192" s="291">
        <v>180</v>
      </c>
      <c r="K192" s="308"/>
      <c r="L192" s="306"/>
      <c r="M192" s="296"/>
      <c r="N192" s="291">
        <v>0.45</v>
      </c>
      <c r="O192" s="308"/>
      <c r="P192" s="291">
        <v>0.45</v>
      </c>
      <c r="Q192" s="291"/>
      <c r="R192" s="308">
        <v>36854</v>
      </c>
      <c r="S192" s="291">
        <v>180</v>
      </c>
    </row>
    <row r="193" spans="2:19" x14ac:dyDescent="0.25">
      <c r="B193" s="296">
        <f t="shared" si="2"/>
        <v>42125</v>
      </c>
      <c r="C193" s="449"/>
      <c r="D193" s="449"/>
      <c r="E193" s="291">
        <v>0.4</v>
      </c>
      <c r="F193" s="449"/>
      <c r="G193" s="449"/>
      <c r="H193" s="306"/>
      <c r="I193" s="308">
        <v>36855</v>
      </c>
      <c r="J193" s="291">
        <v>181</v>
      </c>
      <c r="K193" s="308"/>
      <c r="L193" s="306"/>
      <c r="M193" s="296"/>
      <c r="N193" s="291">
        <v>0.4</v>
      </c>
      <c r="O193" s="308"/>
      <c r="P193" s="291">
        <v>0.4</v>
      </c>
      <c r="Q193" s="291"/>
      <c r="R193" s="308">
        <v>36855</v>
      </c>
      <c r="S193" s="291">
        <v>181</v>
      </c>
    </row>
    <row r="194" spans="2:19" x14ac:dyDescent="0.25">
      <c r="B194" s="296">
        <f t="shared" si="2"/>
        <v>42156</v>
      </c>
      <c r="C194" s="449"/>
      <c r="D194" s="449"/>
      <c r="E194" s="291">
        <v>0.5</v>
      </c>
      <c r="F194" s="449"/>
      <c r="G194" s="449"/>
      <c r="H194" s="306"/>
      <c r="I194" s="308">
        <v>36856</v>
      </c>
      <c r="J194" s="291">
        <v>182</v>
      </c>
      <c r="K194" s="308"/>
      <c r="L194" s="306"/>
      <c r="M194" s="296"/>
      <c r="N194" s="291">
        <v>0.5</v>
      </c>
      <c r="O194" s="308"/>
      <c r="P194" s="291">
        <v>0.5</v>
      </c>
      <c r="Q194" s="291"/>
      <c r="R194" s="308">
        <v>36856</v>
      </c>
      <c r="S194" s="291">
        <v>182</v>
      </c>
    </row>
    <row r="195" spans="2:19" x14ac:dyDescent="0.25">
      <c r="B195" s="296">
        <f t="shared" si="2"/>
        <v>42186</v>
      </c>
      <c r="C195" s="449"/>
      <c r="D195" s="449"/>
      <c r="E195" s="291">
        <v>0.5</v>
      </c>
      <c r="F195" s="449"/>
      <c r="G195" s="449"/>
      <c r="H195" s="306"/>
      <c r="I195" s="308">
        <v>36857</v>
      </c>
      <c r="J195" s="291">
        <v>183</v>
      </c>
      <c r="K195" s="308"/>
      <c r="L195" s="306"/>
      <c r="M195" s="296"/>
      <c r="N195" s="291">
        <v>0.5</v>
      </c>
      <c r="O195" s="308"/>
      <c r="P195" s="291">
        <v>0.5</v>
      </c>
      <c r="Q195" s="291"/>
      <c r="R195" s="308">
        <v>36857</v>
      </c>
      <c r="S195" s="291">
        <v>183</v>
      </c>
    </row>
    <row r="196" spans="2:19" x14ac:dyDescent="0.25">
      <c r="B196" s="296">
        <f t="shared" si="2"/>
        <v>42217</v>
      </c>
      <c r="C196" s="449"/>
      <c r="D196" s="449"/>
      <c r="E196" s="291">
        <v>0.6</v>
      </c>
      <c r="F196" s="449"/>
      <c r="G196" s="449"/>
      <c r="H196" s="306"/>
      <c r="I196" s="308">
        <v>36858</v>
      </c>
      <c r="J196" s="291">
        <v>184</v>
      </c>
      <c r="K196" s="308"/>
      <c r="L196" s="306"/>
      <c r="M196" s="296"/>
      <c r="N196" s="291">
        <v>0.6</v>
      </c>
      <c r="O196" s="308"/>
      <c r="P196" s="291">
        <v>0.6</v>
      </c>
      <c r="Q196" s="291"/>
      <c r="R196" s="308">
        <v>36858</v>
      </c>
      <c r="S196" s="291">
        <v>184</v>
      </c>
    </row>
    <row r="197" spans="2:19" x14ac:dyDescent="0.25">
      <c r="B197" s="296">
        <f t="shared" si="2"/>
        <v>42248</v>
      </c>
      <c r="C197" s="449"/>
      <c r="D197" s="449"/>
      <c r="E197" s="291">
        <v>0.55000000000000004</v>
      </c>
      <c r="F197" s="449"/>
      <c r="G197" s="449"/>
      <c r="H197" s="306"/>
      <c r="I197" s="308">
        <v>36859</v>
      </c>
      <c r="J197" s="291">
        <v>185</v>
      </c>
      <c r="K197" s="308"/>
      <c r="L197" s="306"/>
      <c r="M197" s="296"/>
      <c r="N197" s="291">
        <v>0.55000000000000004</v>
      </c>
      <c r="O197" s="308"/>
      <c r="P197" s="291">
        <v>0.55000000000000004</v>
      </c>
      <c r="Q197" s="291"/>
      <c r="R197" s="308">
        <v>36859</v>
      </c>
      <c r="S197" s="291">
        <v>185</v>
      </c>
    </row>
    <row r="198" spans="2:19" x14ac:dyDescent="0.25">
      <c r="B198" s="296">
        <f t="shared" si="2"/>
        <v>42278</v>
      </c>
      <c r="C198" s="449"/>
      <c r="D198" s="449"/>
      <c r="E198" s="291">
        <v>0.6</v>
      </c>
      <c r="F198" s="449"/>
      <c r="G198" s="449"/>
      <c r="H198" s="306"/>
      <c r="I198" s="308">
        <v>36860</v>
      </c>
      <c r="J198" s="291">
        <v>186</v>
      </c>
      <c r="K198" s="308"/>
      <c r="L198" s="306"/>
      <c r="M198" s="296"/>
      <c r="N198" s="291">
        <v>0.6</v>
      </c>
      <c r="O198" s="308"/>
      <c r="P198" s="291">
        <v>0.6</v>
      </c>
      <c r="Q198" s="291"/>
      <c r="R198" s="308">
        <v>36860</v>
      </c>
      <c r="S198" s="291">
        <v>186</v>
      </c>
    </row>
    <row r="199" spans="2:19" x14ac:dyDescent="0.25">
      <c r="B199" s="296">
        <f t="shared" si="2"/>
        <v>42309</v>
      </c>
      <c r="C199" s="449"/>
      <c r="D199" s="449"/>
      <c r="E199" s="291">
        <v>0.8</v>
      </c>
      <c r="F199" s="449"/>
      <c r="G199" s="449"/>
      <c r="H199" s="306"/>
      <c r="I199" s="308">
        <v>36861</v>
      </c>
      <c r="J199" s="291">
        <v>187</v>
      </c>
      <c r="K199" s="308"/>
      <c r="L199" s="306"/>
      <c r="M199" s="296"/>
      <c r="N199" s="291">
        <v>0.8</v>
      </c>
      <c r="O199" s="308"/>
      <c r="P199" s="291">
        <v>0.8</v>
      </c>
      <c r="Q199" s="291"/>
      <c r="R199" s="308">
        <v>36861</v>
      </c>
      <c r="S199" s="291">
        <v>187</v>
      </c>
    </row>
    <row r="200" spans="2:19" x14ac:dyDescent="0.25">
      <c r="B200" s="296">
        <f t="shared" si="2"/>
        <v>42339</v>
      </c>
      <c r="C200" s="449"/>
      <c r="D200" s="449"/>
      <c r="E200" s="291">
        <v>1</v>
      </c>
      <c r="F200" s="449"/>
      <c r="G200" s="449"/>
      <c r="H200" s="306"/>
      <c r="I200" s="308">
        <v>36862</v>
      </c>
      <c r="J200" s="291">
        <v>188</v>
      </c>
      <c r="K200" s="308"/>
      <c r="L200" s="306"/>
      <c r="M200" s="296"/>
      <c r="N200" s="291">
        <v>1</v>
      </c>
      <c r="O200" s="308"/>
      <c r="P200" s="291">
        <v>1</v>
      </c>
      <c r="Q200" s="291"/>
      <c r="R200" s="308">
        <v>36862</v>
      </c>
      <c r="S200" s="291">
        <v>188</v>
      </c>
    </row>
    <row r="201" spans="2:19" x14ac:dyDescent="0.25">
      <c r="B201" s="296">
        <f t="shared" si="2"/>
        <v>42370</v>
      </c>
      <c r="C201" s="449"/>
      <c r="D201" s="449"/>
      <c r="E201" s="291">
        <v>1</v>
      </c>
      <c r="F201" s="449"/>
      <c r="G201" s="449"/>
      <c r="H201" s="306"/>
      <c r="I201" s="308">
        <v>36863</v>
      </c>
      <c r="J201" s="291">
        <v>189</v>
      </c>
      <c r="K201" s="308"/>
      <c r="L201" s="306"/>
      <c r="M201" s="296"/>
      <c r="N201" s="291">
        <v>1</v>
      </c>
      <c r="O201" s="308"/>
      <c r="P201" s="291">
        <v>1</v>
      </c>
      <c r="Q201" s="291"/>
      <c r="R201" s="308">
        <v>36863</v>
      </c>
      <c r="S201" s="291">
        <v>189</v>
      </c>
    </row>
    <row r="202" spans="2:19" x14ac:dyDescent="0.25">
      <c r="B202" s="296">
        <f t="shared" si="2"/>
        <v>42401</v>
      </c>
      <c r="C202" s="449"/>
      <c r="D202" s="449"/>
      <c r="E202" s="291">
        <v>1</v>
      </c>
      <c r="F202" s="449"/>
      <c r="G202" s="449"/>
      <c r="H202" s="306"/>
      <c r="I202" s="308">
        <v>36864</v>
      </c>
      <c r="J202" s="291">
        <v>190</v>
      </c>
      <c r="K202" s="308"/>
      <c r="L202" s="306"/>
      <c r="M202" s="296"/>
      <c r="N202" s="291">
        <v>1</v>
      </c>
      <c r="O202" s="308"/>
      <c r="P202" s="291">
        <v>1</v>
      </c>
      <c r="Q202" s="291"/>
      <c r="R202" s="308">
        <v>36864</v>
      </c>
      <c r="S202" s="291">
        <v>190</v>
      </c>
    </row>
    <row r="203" spans="2:19" x14ac:dyDescent="0.25">
      <c r="B203" s="296">
        <f t="shared" si="2"/>
        <v>42430</v>
      </c>
      <c r="C203" s="449"/>
      <c r="D203" s="449"/>
      <c r="E203" s="291">
        <v>0.75</v>
      </c>
      <c r="F203" s="449"/>
      <c r="G203" s="449"/>
      <c r="H203" s="306"/>
      <c r="I203" s="308">
        <v>36865</v>
      </c>
      <c r="J203" s="291">
        <v>191</v>
      </c>
      <c r="K203" s="308"/>
      <c r="L203" s="306"/>
      <c r="M203" s="296"/>
      <c r="N203" s="291">
        <v>0.75</v>
      </c>
      <c r="O203" s="308"/>
      <c r="P203" s="291">
        <v>0.75</v>
      </c>
      <c r="Q203" s="291"/>
      <c r="R203" s="308">
        <v>36865</v>
      </c>
      <c r="S203" s="291">
        <v>191</v>
      </c>
    </row>
    <row r="204" spans="2:19" x14ac:dyDescent="0.25">
      <c r="B204" s="296">
        <f t="shared" si="2"/>
        <v>42461</v>
      </c>
      <c r="C204" s="449"/>
      <c r="D204" s="449"/>
      <c r="E204" s="291">
        <v>0.45</v>
      </c>
      <c r="F204" s="449"/>
      <c r="G204" s="449"/>
      <c r="H204" s="306"/>
      <c r="I204" s="308">
        <v>36866</v>
      </c>
      <c r="J204" s="291">
        <v>192</v>
      </c>
      <c r="K204" s="308"/>
      <c r="L204" s="306"/>
      <c r="M204" s="296"/>
      <c r="N204" s="291">
        <v>0.45</v>
      </c>
      <c r="O204" s="308"/>
      <c r="P204" s="291">
        <v>0.45</v>
      </c>
      <c r="Q204" s="291"/>
      <c r="R204" s="308">
        <v>36866</v>
      </c>
      <c r="S204" s="291">
        <v>192</v>
      </c>
    </row>
    <row r="205" spans="2:19" x14ac:dyDescent="0.25">
      <c r="B205" s="296">
        <f t="shared" si="2"/>
        <v>42491</v>
      </c>
      <c r="C205" s="449"/>
      <c r="D205" s="449"/>
      <c r="E205" s="291">
        <v>0.4</v>
      </c>
      <c r="F205" s="449"/>
      <c r="G205" s="449"/>
      <c r="H205" s="306"/>
      <c r="I205" s="308">
        <v>36867</v>
      </c>
      <c r="J205" s="291">
        <v>193</v>
      </c>
      <c r="K205" s="308"/>
      <c r="L205" s="306"/>
      <c r="M205" s="296"/>
      <c r="N205" s="291">
        <v>0.4</v>
      </c>
      <c r="O205" s="308"/>
      <c r="P205" s="291">
        <v>0.4</v>
      </c>
      <c r="Q205" s="291"/>
      <c r="R205" s="308">
        <v>36867</v>
      </c>
      <c r="S205" s="291">
        <v>193</v>
      </c>
    </row>
    <row r="206" spans="2:19" x14ac:dyDescent="0.25">
      <c r="B206" s="296">
        <f t="shared" si="2"/>
        <v>42522</v>
      </c>
      <c r="C206" s="449"/>
      <c r="D206" s="449"/>
      <c r="E206" s="291">
        <v>0.5</v>
      </c>
      <c r="F206" s="449"/>
      <c r="G206" s="449"/>
      <c r="H206" s="306"/>
      <c r="I206" s="308">
        <v>36868</v>
      </c>
      <c r="J206" s="291">
        <v>194</v>
      </c>
      <c r="K206" s="308"/>
      <c r="L206" s="306"/>
      <c r="M206" s="296"/>
      <c r="N206" s="291">
        <v>0.5</v>
      </c>
      <c r="O206" s="308"/>
      <c r="P206" s="291">
        <v>0.5</v>
      </c>
      <c r="Q206" s="291"/>
      <c r="R206" s="308">
        <v>36868</v>
      </c>
      <c r="S206" s="291">
        <v>194</v>
      </c>
    </row>
    <row r="207" spans="2:19" x14ac:dyDescent="0.25">
      <c r="B207" s="296">
        <f t="shared" si="2"/>
        <v>42552</v>
      </c>
      <c r="C207" s="449"/>
      <c r="D207" s="449"/>
      <c r="E207" s="291">
        <v>0.5</v>
      </c>
      <c r="F207" s="449"/>
      <c r="G207" s="449"/>
      <c r="H207" s="306"/>
      <c r="I207" s="308">
        <v>36869</v>
      </c>
      <c r="J207" s="291">
        <v>195</v>
      </c>
      <c r="K207" s="308"/>
      <c r="L207" s="306"/>
      <c r="M207" s="296"/>
      <c r="N207" s="291">
        <v>0.5</v>
      </c>
      <c r="O207" s="308"/>
      <c r="P207" s="291">
        <v>0.5</v>
      </c>
      <c r="Q207" s="291"/>
      <c r="R207" s="308">
        <v>36869</v>
      </c>
      <c r="S207" s="291">
        <v>195</v>
      </c>
    </row>
    <row r="208" spans="2:19" x14ac:dyDescent="0.25">
      <c r="B208" s="296">
        <f t="shared" si="2"/>
        <v>42583</v>
      </c>
      <c r="C208" s="449"/>
      <c r="D208" s="449"/>
      <c r="E208" s="291">
        <v>0.6</v>
      </c>
      <c r="F208" s="449"/>
      <c r="G208" s="449"/>
      <c r="H208" s="306"/>
      <c r="I208" s="308">
        <v>36870</v>
      </c>
      <c r="J208" s="291">
        <v>196</v>
      </c>
      <c r="K208" s="308"/>
      <c r="L208" s="306"/>
      <c r="M208" s="296"/>
      <c r="N208" s="291">
        <v>0.6</v>
      </c>
      <c r="O208" s="308"/>
      <c r="P208" s="291">
        <v>0.6</v>
      </c>
      <c r="Q208" s="291"/>
      <c r="R208" s="308">
        <v>36870</v>
      </c>
      <c r="S208" s="291">
        <v>196</v>
      </c>
    </row>
    <row r="209" spans="2:19" x14ac:dyDescent="0.25">
      <c r="B209" s="296">
        <f t="shared" ref="B209:B272" si="3">EOMONTH(B208,0)+1</f>
        <v>42614</v>
      </c>
      <c r="C209" s="449"/>
      <c r="D209" s="449"/>
      <c r="E209" s="291">
        <v>0.55000000000000004</v>
      </c>
      <c r="F209" s="449"/>
      <c r="G209" s="449"/>
      <c r="H209" s="306"/>
      <c r="I209" s="308">
        <v>36871</v>
      </c>
      <c r="J209" s="291">
        <v>197</v>
      </c>
      <c r="K209" s="308"/>
      <c r="L209" s="306"/>
      <c r="M209" s="296"/>
      <c r="N209" s="291">
        <v>0.55000000000000004</v>
      </c>
      <c r="O209" s="308"/>
      <c r="P209" s="291">
        <v>0.55000000000000004</v>
      </c>
      <c r="Q209" s="291"/>
      <c r="R209" s="308">
        <v>36871</v>
      </c>
      <c r="S209" s="291">
        <v>197</v>
      </c>
    </row>
    <row r="210" spans="2:19" x14ac:dyDescent="0.25">
      <c r="B210" s="296">
        <f t="shared" si="3"/>
        <v>42644</v>
      </c>
      <c r="C210" s="449"/>
      <c r="D210" s="449"/>
      <c r="E210" s="291">
        <v>0.6</v>
      </c>
      <c r="F210" s="449"/>
      <c r="G210" s="449"/>
      <c r="H210" s="306"/>
      <c r="I210" s="308">
        <v>36872</v>
      </c>
      <c r="J210" s="291">
        <v>198</v>
      </c>
      <c r="K210" s="308"/>
      <c r="L210" s="306"/>
      <c r="M210" s="296"/>
      <c r="N210" s="291">
        <v>0.6</v>
      </c>
      <c r="O210" s="308"/>
      <c r="P210" s="291">
        <v>0.6</v>
      </c>
      <c r="Q210" s="291"/>
      <c r="R210" s="308">
        <v>36872</v>
      </c>
      <c r="S210" s="291">
        <v>198</v>
      </c>
    </row>
    <row r="211" spans="2:19" x14ac:dyDescent="0.25">
      <c r="B211" s="296">
        <f t="shared" si="3"/>
        <v>42675</v>
      </c>
      <c r="C211" s="449"/>
      <c r="D211" s="449"/>
      <c r="E211" s="291">
        <v>0.8</v>
      </c>
      <c r="F211" s="449"/>
      <c r="G211" s="449"/>
      <c r="H211" s="306"/>
      <c r="I211" s="308">
        <v>36873</v>
      </c>
      <c r="J211" s="291">
        <v>199</v>
      </c>
      <c r="K211" s="308"/>
      <c r="L211" s="306"/>
      <c r="M211" s="296"/>
      <c r="N211" s="291">
        <v>0.8</v>
      </c>
      <c r="O211" s="308"/>
      <c r="P211" s="291">
        <v>0.8</v>
      </c>
      <c r="Q211" s="291"/>
      <c r="R211" s="308">
        <v>36873</v>
      </c>
      <c r="S211" s="291">
        <v>199</v>
      </c>
    </row>
    <row r="212" spans="2:19" x14ac:dyDescent="0.25">
      <c r="B212" s="296">
        <f t="shared" si="3"/>
        <v>42705</v>
      </c>
      <c r="C212" s="449"/>
      <c r="D212" s="449"/>
      <c r="E212" s="291">
        <v>1</v>
      </c>
      <c r="F212" s="449"/>
      <c r="G212" s="449"/>
      <c r="H212" s="306"/>
      <c r="I212" s="308">
        <v>36874</v>
      </c>
      <c r="J212" s="291">
        <v>200</v>
      </c>
      <c r="K212" s="308"/>
      <c r="L212" s="306"/>
      <c r="M212" s="296"/>
      <c r="N212" s="291">
        <v>1</v>
      </c>
      <c r="O212" s="308"/>
      <c r="P212" s="291">
        <v>1</v>
      </c>
      <c r="Q212" s="291"/>
      <c r="R212" s="308">
        <v>36874</v>
      </c>
      <c r="S212" s="291">
        <v>200</v>
      </c>
    </row>
    <row r="213" spans="2:19" x14ac:dyDescent="0.25">
      <c r="B213" s="296">
        <f t="shared" si="3"/>
        <v>42736</v>
      </c>
      <c r="C213" s="449"/>
      <c r="D213" s="449"/>
      <c r="E213" s="291">
        <v>1</v>
      </c>
      <c r="F213" s="449"/>
      <c r="G213" s="449"/>
      <c r="H213" s="306"/>
      <c r="I213" s="308">
        <v>36875</v>
      </c>
      <c r="J213" s="291">
        <v>201</v>
      </c>
      <c r="K213" s="308"/>
      <c r="L213" s="306"/>
      <c r="M213" s="296"/>
      <c r="N213" s="291">
        <v>1</v>
      </c>
      <c r="O213" s="308"/>
      <c r="P213" s="291">
        <v>1</v>
      </c>
      <c r="Q213" s="291"/>
      <c r="R213" s="308">
        <v>36875</v>
      </c>
      <c r="S213" s="291">
        <v>201</v>
      </c>
    </row>
    <row r="214" spans="2:19" x14ac:dyDescent="0.25">
      <c r="B214" s="296">
        <f t="shared" si="3"/>
        <v>42767</v>
      </c>
      <c r="C214" s="449"/>
      <c r="D214" s="449"/>
      <c r="E214" s="291">
        <v>1</v>
      </c>
      <c r="F214" s="449"/>
      <c r="G214" s="449"/>
      <c r="H214" s="306"/>
      <c r="I214" s="308">
        <v>36876</v>
      </c>
      <c r="J214" s="291">
        <v>202</v>
      </c>
      <c r="K214" s="308"/>
      <c r="L214" s="306"/>
      <c r="M214" s="296"/>
      <c r="N214" s="291">
        <v>1</v>
      </c>
      <c r="O214" s="308"/>
      <c r="P214" s="291">
        <v>1</v>
      </c>
      <c r="Q214" s="291"/>
      <c r="R214" s="308">
        <v>36876</v>
      </c>
      <c r="S214" s="291">
        <v>202</v>
      </c>
    </row>
    <row r="215" spans="2:19" x14ac:dyDescent="0.25">
      <c r="B215" s="296">
        <f t="shared" si="3"/>
        <v>42795</v>
      </c>
      <c r="C215" s="449"/>
      <c r="D215" s="449"/>
      <c r="E215" s="291">
        <v>0.75</v>
      </c>
      <c r="F215" s="449"/>
      <c r="G215" s="449"/>
      <c r="H215" s="306"/>
      <c r="I215" s="308">
        <v>36877</v>
      </c>
      <c r="J215" s="291">
        <v>203</v>
      </c>
      <c r="K215" s="308"/>
      <c r="L215" s="306"/>
      <c r="M215" s="296"/>
      <c r="N215" s="291">
        <v>0.75</v>
      </c>
      <c r="O215" s="308"/>
      <c r="P215" s="291">
        <v>0.75</v>
      </c>
      <c r="Q215" s="291"/>
      <c r="R215" s="308">
        <v>36877</v>
      </c>
      <c r="S215" s="291">
        <v>203</v>
      </c>
    </row>
    <row r="216" spans="2:19" x14ac:dyDescent="0.25">
      <c r="B216" s="296">
        <f t="shared" si="3"/>
        <v>42826</v>
      </c>
      <c r="C216" s="449"/>
      <c r="D216" s="449"/>
      <c r="E216" s="291">
        <v>0.45</v>
      </c>
      <c r="F216" s="449"/>
      <c r="G216" s="449"/>
      <c r="H216" s="306"/>
      <c r="I216" s="308">
        <v>36878</v>
      </c>
      <c r="J216" s="291">
        <v>204</v>
      </c>
      <c r="K216" s="308"/>
      <c r="L216" s="306"/>
      <c r="M216" s="296"/>
      <c r="N216" s="291">
        <v>0.45</v>
      </c>
      <c r="O216" s="308"/>
      <c r="P216" s="291">
        <v>0.45</v>
      </c>
      <c r="Q216" s="291"/>
      <c r="R216" s="308">
        <v>36878</v>
      </c>
      <c r="S216" s="291">
        <v>204</v>
      </c>
    </row>
    <row r="217" spans="2:19" x14ac:dyDescent="0.25">
      <c r="B217" s="296">
        <f t="shared" si="3"/>
        <v>42856</v>
      </c>
      <c r="C217" s="449"/>
      <c r="D217" s="449"/>
      <c r="E217" s="291">
        <v>0.4</v>
      </c>
      <c r="F217" s="449"/>
      <c r="G217" s="449"/>
      <c r="H217" s="306"/>
      <c r="I217" s="308">
        <v>36879</v>
      </c>
      <c r="J217" s="291">
        <v>205</v>
      </c>
      <c r="K217" s="308"/>
      <c r="L217" s="306"/>
      <c r="M217" s="296"/>
      <c r="N217" s="291">
        <v>0.4</v>
      </c>
      <c r="O217" s="308"/>
      <c r="P217" s="291">
        <v>0.4</v>
      </c>
      <c r="Q217" s="291"/>
      <c r="R217" s="308">
        <v>36879</v>
      </c>
      <c r="S217" s="291">
        <v>205</v>
      </c>
    </row>
    <row r="218" spans="2:19" x14ac:dyDescent="0.25">
      <c r="B218" s="296">
        <f t="shared" si="3"/>
        <v>42887</v>
      </c>
      <c r="C218" s="449"/>
      <c r="D218" s="449"/>
      <c r="E218" s="291">
        <v>0.5</v>
      </c>
      <c r="F218" s="449"/>
      <c r="G218" s="449"/>
      <c r="H218" s="306"/>
      <c r="I218" s="308">
        <v>36880</v>
      </c>
      <c r="J218" s="291">
        <v>206</v>
      </c>
      <c r="K218" s="308"/>
      <c r="L218" s="306"/>
      <c r="M218" s="296"/>
      <c r="N218" s="291">
        <v>0.5</v>
      </c>
      <c r="O218" s="308"/>
      <c r="P218" s="291">
        <v>0.5</v>
      </c>
      <c r="Q218" s="291"/>
      <c r="R218" s="308">
        <v>36880</v>
      </c>
      <c r="S218" s="291">
        <v>206</v>
      </c>
    </row>
    <row r="219" spans="2:19" x14ac:dyDescent="0.25">
      <c r="B219" s="296">
        <f t="shared" si="3"/>
        <v>42917</v>
      </c>
      <c r="C219" s="449"/>
      <c r="D219" s="449"/>
      <c r="E219" s="291">
        <v>0.5</v>
      </c>
      <c r="F219" s="449"/>
      <c r="G219" s="449"/>
      <c r="H219" s="306"/>
      <c r="I219" s="308">
        <v>36881</v>
      </c>
      <c r="J219" s="291">
        <v>207</v>
      </c>
      <c r="K219" s="308"/>
      <c r="L219" s="306"/>
      <c r="M219" s="296"/>
      <c r="N219" s="291">
        <v>0.5</v>
      </c>
      <c r="O219" s="308"/>
      <c r="P219" s="291">
        <v>0.5</v>
      </c>
      <c r="Q219" s="291"/>
      <c r="R219" s="308">
        <v>36881</v>
      </c>
      <c r="S219" s="291">
        <v>207</v>
      </c>
    </row>
    <row r="220" spans="2:19" x14ac:dyDescent="0.25">
      <c r="B220" s="296">
        <f t="shared" si="3"/>
        <v>42948</v>
      </c>
      <c r="C220" s="449"/>
      <c r="D220" s="449"/>
      <c r="E220" s="291">
        <v>0.6</v>
      </c>
      <c r="F220" s="449"/>
      <c r="G220" s="449"/>
      <c r="H220" s="306"/>
      <c r="I220" s="308">
        <v>36882</v>
      </c>
      <c r="J220" s="291">
        <v>208</v>
      </c>
      <c r="K220" s="308"/>
      <c r="L220" s="306"/>
      <c r="M220" s="296"/>
      <c r="N220" s="291">
        <v>0.6</v>
      </c>
      <c r="O220" s="308"/>
      <c r="P220" s="291">
        <v>0.6</v>
      </c>
      <c r="Q220" s="291"/>
      <c r="R220" s="308">
        <v>36882</v>
      </c>
      <c r="S220" s="291">
        <v>208</v>
      </c>
    </row>
    <row r="221" spans="2:19" x14ac:dyDescent="0.25">
      <c r="B221" s="296">
        <f t="shared" si="3"/>
        <v>42979</v>
      </c>
      <c r="C221" s="449"/>
      <c r="D221" s="449"/>
      <c r="E221" s="291">
        <v>0.55000000000000004</v>
      </c>
      <c r="F221" s="449"/>
      <c r="G221" s="449"/>
      <c r="H221" s="306"/>
      <c r="I221" s="308">
        <v>36883</v>
      </c>
      <c r="J221" s="291">
        <v>209</v>
      </c>
      <c r="K221" s="308"/>
      <c r="L221" s="306"/>
      <c r="M221" s="296"/>
      <c r="N221" s="291">
        <v>0.55000000000000004</v>
      </c>
      <c r="O221" s="308"/>
      <c r="P221" s="291">
        <v>0.55000000000000004</v>
      </c>
      <c r="Q221" s="291"/>
      <c r="R221" s="308">
        <v>36883</v>
      </c>
      <c r="S221" s="291">
        <v>209</v>
      </c>
    </row>
    <row r="222" spans="2:19" x14ac:dyDescent="0.25">
      <c r="B222" s="296">
        <f t="shared" si="3"/>
        <v>43009</v>
      </c>
      <c r="C222" s="449"/>
      <c r="D222" s="449"/>
      <c r="E222" s="291">
        <v>0.6</v>
      </c>
      <c r="F222" s="449"/>
      <c r="G222" s="449"/>
      <c r="H222" s="306"/>
      <c r="I222" s="308">
        <v>36884</v>
      </c>
      <c r="J222" s="291">
        <v>210</v>
      </c>
      <c r="K222" s="308"/>
      <c r="L222" s="306"/>
      <c r="M222" s="296"/>
      <c r="N222" s="291">
        <v>0.6</v>
      </c>
      <c r="O222" s="308"/>
      <c r="P222" s="291">
        <v>0.6</v>
      </c>
      <c r="Q222" s="291"/>
      <c r="R222" s="308">
        <v>36884</v>
      </c>
      <c r="S222" s="291">
        <v>210</v>
      </c>
    </row>
    <row r="223" spans="2:19" x14ac:dyDescent="0.25">
      <c r="B223" s="296">
        <f t="shared" si="3"/>
        <v>43040</v>
      </c>
      <c r="C223" s="449"/>
      <c r="D223" s="449"/>
      <c r="E223" s="291">
        <v>0.8</v>
      </c>
      <c r="F223" s="449"/>
      <c r="G223" s="449"/>
      <c r="H223" s="306"/>
      <c r="I223" s="308">
        <v>36885</v>
      </c>
      <c r="J223" s="291">
        <v>211</v>
      </c>
      <c r="K223" s="308"/>
      <c r="L223" s="306"/>
      <c r="M223" s="296"/>
      <c r="N223" s="291">
        <v>0.8</v>
      </c>
      <c r="O223" s="308"/>
      <c r="P223" s="291">
        <v>0.8</v>
      </c>
      <c r="Q223" s="291"/>
      <c r="R223" s="308">
        <v>36885</v>
      </c>
      <c r="S223" s="291">
        <v>211</v>
      </c>
    </row>
    <row r="224" spans="2:19" x14ac:dyDescent="0.25">
      <c r="B224" s="296">
        <f t="shared" si="3"/>
        <v>43070</v>
      </c>
      <c r="C224" s="449"/>
      <c r="D224" s="449"/>
      <c r="E224" s="291">
        <v>1</v>
      </c>
      <c r="F224" s="449"/>
      <c r="G224" s="449"/>
      <c r="H224" s="306"/>
      <c r="I224" s="308">
        <v>36886</v>
      </c>
      <c r="J224" s="291">
        <v>212</v>
      </c>
      <c r="K224" s="308"/>
      <c r="L224" s="306"/>
      <c r="M224" s="296"/>
      <c r="N224" s="291">
        <v>1</v>
      </c>
      <c r="O224" s="308"/>
      <c r="P224" s="291">
        <v>1</v>
      </c>
      <c r="Q224" s="291"/>
      <c r="R224" s="308">
        <v>36886</v>
      </c>
      <c r="S224" s="291">
        <v>212</v>
      </c>
    </row>
    <row r="225" spans="2:19" x14ac:dyDescent="0.25">
      <c r="B225" s="296">
        <f t="shared" si="3"/>
        <v>43101</v>
      </c>
      <c r="C225" s="449"/>
      <c r="D225" s="449"/>
      <c r="E225" s="291">
        <v>1</v>
      </c>
      <c r="F225" s="449"/>
      <c r="G225" s="449"/>
      <c r="H225" s="306"/>
      <c r="I225" s="308">
        <v>36887</v>
      </c>
      <c r="J225" s="291">
        <v>213</v>
      </c>
      <c r="K225" s="308"/>
      <c r="L225" s="306"/>
      <c r="M225" s="296"/>
      <c r="N225" s="291">
        <v>1</v>
      </c>
      <c r="O225" s="308"/>
      <c r="P225" s="291">
        <v>1</v>
      </c>
      <c r="Q225" s="291"/>
      <c r="R225" s="308">
        <v>36887</v>
      </c>
      <c r="S225" s="291">
        <v>213</v>
      </c>
    </row>
    <row r="226" spans="2:19" x14ac:dyDescent="0.25">
      <c r="B226" s="296">
        <f t="shared" si="3"/>
        <v>43132</v>
      </c>
      <c r="C226" s="449"/>
      <c r="D226" s="449"/>
      <c r="E226" s="291">
        <v>1</v>
      </c>
      <c r="F226" s="449"/>
      <c r="G226" s="449"/>
      <c r="H226" s="306"/>
      <c r="I226" s="308">
        <v>36888</v>
      </c>
      <c r="J226" s="291">
        <v>214</v>
      </c>
      <c r="K226" s="308"/>
      <c r="L226" s="306"/>
      <c r="M226" s="296"/>
      <c r="N226" s="291">
        <v>1</v>
      </c>
      <c r="O226" s="308"/>
      <c r="P226" s="291">
        <v>1</v>
      </c>
      <c r="Q226" s="291"/>
      <c r="R226" s="308">
        <v>36888</v>
      </c>
      <c r="S226" s="291">
        <v>214</v>
      </c>
    </row>
    <row r="227" spans="2:19" x14ac:dyDescent="0.25">
      <c r="B227" s="296">
        <f t="shared" si="3"/>
        <v>43160</v>
      </c>
      <c r="C227" s="449"/>
      <c r="D227" s="449"/>
      <c r="E227" s="291">
        <v>0.75</v>
      </c>
      <c r="F227" s="449"/>
      <c r="G227" s="449"/>
      <c r="H227" s="306"/>
      <c r="I227" s="308">
        <v>36889</v>
      </c>
      <c r="J227" s="291">
        <v>215</v>
      </c>
      <c r="K227" s="308"/>
      <c r="L227" s="306"/>
      <c r="M227" s="296"/>
      <c r="N227" s="291">
        <v>0.75</v>
      </c>
      <c r="O227" s="308"/>
      <c r="P227" s="291">
        <v>0.75</v>
      </c>
      <c r="Q227" s="291"/>
      <c r="R227" s="308">
        <v>36889</v>
      </c>
      <c r="S227" s="291">
        <v>215</v>
      </c>
    </row>
    <row r="228" spans="2:19" x14ac:dyDescent="0.25">
      <c r="B228" s="296">
        <f t="shared" si="3"/>
        <v>43191</v>
      </c>
      <c r="C228" s="449"/>
      <c r="D228" s="449"/>
      <c r="E228" s="291">
        <v>0.45</v>
      </c>
      <c r="F228" s="449"/>
      <c r="G228" s="449"/>
      <c r="H228" s="306"/>
      <c r="I228" s="308">
        <v>36890</v>
      </c>
      <c r="J228" s="291">
        <v>216</v>
      </c>
      <c r="K228" s="308"/>
      <c r="L228" s="306"/>
      <c r="M228" s="296"/>
      <c r="N228" s="291">
        <v>0.45</v>
      </c>
      <c r="O228" s="308"/>
      <c r="P228" s="291">
        <v>0.45</v>
      </c>
      <c r="Q228" s="291"/>
      <c r="R228" s="308">
        <v>36890</v>
      </c>
      <c r="S228" s="291">
        <v>216</v>
      </c>
    </row>
    <row r="229" spans="2:19" x14ac:dyDescent="0.25">
      <c r="B229" s="296">
        <f t="shared" si="3"/>
        <v>43221</v>
      </c>
      <c r="C229" s="449"/>
      <c r="D229" s="449"/>
      <c r="E229" s="291">
        <v>0.4</v>
      </c>
      <c r="F229" s="449"/>
      <c r="G229" s="449"/>
      <c r="H229" s="306"/>
      <c r="I229" s="308">
        <v>36891</v>
      </c>
      <c r="J229" s="291">
        <v>217</v>
      </c>
      <c r="K229" s="308"/>
      <c r="L229" s="306"/>
      <c r="M229" s="296"/>
      <c r="N229" s="291">
        <v>0.4</v>
      </c>
      <c r="O229" s="308"/>
      <c r="P229" s="291">
        <v>0.4</v>
      </c>
      <c r="Q229" s="291"/>
      <c r="R229" s="308">
        <v>36891</v>
      </c>
      <c r="S229" s="291">
        <v>217</v>
      </c>
    </row>
    <row r="230" spans="2:19" x14ac:dyDescent="0.25">
      <c r="B230" s="296">
        <f t="shared" si="3"/>
        <v>43252</v>
      </c>
      <c r="C230" s="449"/>
      <c r="D230" s="449"/>
      <c r="E230" s="291">
        <v>0.5</v>
      </c>
      <c r="F230" s="449"/>
      <c r="G230" s="449"/>
      <c r="H230" s="306"/>
      <c r="I230" s="308">
        <v>36892</v>
      </c>
      <c r="J230" s="291">
        <v>218</v>
      </c>
      <c r="K230" s="308"/>
      <c r="L230" s="306"/>
      <c r="M230" s="296"/>
      <c r="N230" s="291">
        <v>0.5</v>
      </c>
      <c r="O230" s="308"/>
      <c r="P230" s="291">
        <v>0.5</v>
      </c>
      <c r="Q230" s="291"/>
      <c r="R230" s="308">
        <v>36892</v>
      </c>
      <c r="S230" s="291">
        <v>218</v>
      </c>
    </row>
    <row r="231" spans="2:19" x14ac:dyDescent="0.25">
      <c r="B231" s="296">
        <f t="shared" si="3"/>
        <v>43282</v>
      </c>
      <c r="C231" s="449"/>
      <c r="D231" s="449"/>
      <c r="E231" s="291">
        <v>0.5</v>
      </c>
      <c r="F231" s="449"/>
      <c r="G231" s="449"/>
      <c r="H231" s="306"/>
      <c r="I231" s="308">
        <v>36893</v>
      </c>
      <c r="J231" s="291">
        <v>219</v>
      </c>
      <c r="K231" s="308"/>
      <c r="L231" s="306"/>
      <c r="M231" s="296"/>
      <c r="N231" s="291">
        <v>0.5</v>
      </c>
      <c r="O231" s="308"/>
      <c r="P231" s="291">
        <v>0.5</v>
      </c>
      <c r="Q231" s="291"/>
      <c r="R231" s="308">
        <v>36893</v>
      </c>
      <c r="S231" s="291">
        <v>219</v>
      </c>
    </row>
    <row r="232" spans="2:19" x14ac:dyDescent="0.25">
      <c r="B232" s="296">
        <f t="shared" si="3"/>
        <v>43313</v>
      </c>
      <c r="C232" s="449"/>
      <c r="D232" s="449"/>
      <c r="E232" s="291">
        <v>0.6</v>
      </c>
      <c r="F232" s="449"/>
      <c r="G232" s="449"/>
      <c r="H232" s="306"/>
      <c r="I232" s="308">
        <v>36894</v>
      </c>
      <c r="J232" s="291">
        <v>220</v>
      </c>
      <c r="K232" s="308"/>
      <c r="L232" s="306"/>
      <c r="M232" s="296"/>
      <c r="N232" s="291">
        <v>0.6</v>
      </c>
      <c r="O232" s="308"/>
      <c r="P232" s="291">
        <v>0.6</v>
      </c>
      <c r="Q232" s="291"/>
      <c r="R232" s="308">
        <v>36894</v>
      </c>
      <c r="S232" s="291">
        <v>220</v>
      </c>
    </row>
    <row r="233" spans="2:19" x14ac:dyDescent="0.25">
      <c r="B233" s="296">
        <f t="shared" si="3"/>
        <v>43344</v>
      </c>
      <c r="C233" s="449"/>
      <c r="D233" s="449"/>
      <c r="E233" s="291">
        <v>0.55000000000000004</v>
      </c>
      <c r="F233" s="449"/>
      <c r="G233" s="449"/>
      <c r="H233" s="306"/>
      <c r="I233" s="308">
        <v>36895</v>
      </c>
      <c r="J233" s="291">
        <v>221</v>
      </c>
      <c r="K233" s="308"/>
      <c r="L233" s="306"/>
      <c r="M233" s="296"/>
      <c r="N233" s="291">
        <v>0.55000000000000004</v>
      </c>
      <c r="O233" s="308"/>
      <c r="P233" s="291">
        <v>0.55000000000000004</v>
      </c>
      <c r="Q233" s="291"/>
      <c r="R233" s="308">
        <v>36895</v>
      </c>
      <c r="S233" s="291">
        <v>221</v>
      </c>
    </row>
    <row r="234" spans="2:19" x14ac:dyDescent="0.25">
      <c r="B234" s="296">
        <f t="shared" si="3"/>
        <v>43374</v>
      </c>
      <c r="C234" s="449"/>
      <c r="D234" s="449"/>
      <c r="E234" s="291">
        <v>0.6</v>
      </c>
      <c r="F234" s="449"/>
      <c r="G234" s="449"/>
      <c r="H234" s="306"/>
      <c r="I234" s="308">
        <v>36896</v>
      </c>
      <c r="J234" s="291">
        <v>222</v>
      </c>
      <c r="K234" s="308"/>
      <c r="L234" s="306"/>
      <c r="M234" s="296"/>
      <c r="N234" s="291">
        <v>0.6</v>
      </c>
      <c r="O234" s="308"/>
      <c r="P234" s="291">
        <v>0.6</v>
      </c>
      <c r="Q234" s="291"/>
      <c r="R234" s="308">
        <v>36896</v>
      </c>
      <c r="S234" s="291">
        <v>222</v>
      </c>
    </row>
    <row r="235" spans="2:19" x14ac:dyDescent="0.25">
      <c r="B235" s="296">
        <f t="shared" si="3"/>
        <v>43405</v>
      </c>
      <c r="C235" s="449"/>
      <c r="D235" s="449"/>
      <c r="E235" s="291">
        <v>0.8</v>
      </c>
      <c r="F235" s="449"/>
      <c r="G235" s="449"/>
      <c r="H235" s="306"/>
      <c r="I235" s="308">
        <v>36897</v>
      </c>
      <c r="J235" s="291">
        <v>223</v>
      </c>
      <c r="K235" s="308"/>
      <c r="L235" s="291"/>
      <c r="M235" s="296"/>
      <c r="N235" s="291">
        <v>0.8</v>
      </c>
      <c r="O235" s="308"/>
      <c r="P235" s="291">
        <v>0.8</v>
      </c>
      <c r="Q235" s="291"/>
      <c r="R235" s="308">
        <v>36897</v>
      </c>
      <c r="S235" s="291">
        <v>223</v>
      </c>
    </row>
    <row r="236" spans="2:19" x14ac:dyDescent="0.25">
      <c r="B236" s="296">
        <f t="shared" si="3"/>
        <v>43435</v>
      </c>
      <c r="C236" s="449"/>
      <c r="D236" s="449"/>
      <c r="E236" s="291">
        <v>1</v>
      </c>
      <c r="F236" s="449"/>
      <c r="G236" s="449"/>
      <c r="H236" s="291"/>
      <c r="I236" s="308">
        <v>36898</v>
      </c>
      <c r="J236" s="291">
        <v>223</v>
      </c>
      <c r="K236" s="308"/>
      <c r="L236" s="291"/>
      <c r="M236" s="296">
        <f t="shared" ref="M236:M267" si="4">EOMONTH(M235,0)+1</f>
        <v>32</v>
      </c>
      <c r="N236" s="291"/>
      <c r="O236" s="308"/>
      <c r="P236" s="291"/>
      <c r="Q236" s="291"/>
      <c r="R236" s="308">
        <v>36898</v>
      </c>
      <c r="S236" s="291">
        <v>223</v>
      </c>
    </row>
    <row r="237" spans="2:19" x14ac:dyDescent="0.25">
      <c r="B237" s="296">
        <f t="shared" si="3"/>
        <v>43466</v>
      </c>
      <c r="C237" s="449"/>
      <c r="D237" s="449"/>
      <c r="E237" s="291">
        <v>1</v>
      </c>
      <c r="F237" s="449"/>
      <c r="G237" s="449"/>
      <c r="H237" s="291"/>
      <c r="I237" s="308">
        <v>36899</v>
      </c>
      <c r="J237" s="291">
        <v>223</v>
      </c>
      <c r="K237" s="308"/>
      <c r="L237" s="291"/>
      <c r="M237" s="296">
        <f t="shared" si="4"/>
        <v>61</v>
      </c>
      <c r="N237" s="291"/>
      <c r="O237" s="308"/>
      <c r="P237" s="291"/>
      <c r="Q237" s="291"/>
      <c r="R237" s="308">
        <v>36899</v>
      </c>
      <c r="S237" s="291">
        <v>223</v>
      </c>
    </row>
    <row r="238" spans="2:19" x14ac:dyDescent="0.25">
      <c r="B238" s="296">
        <f t="shared" si="3"/>
        <v>43497</v>
      </c>
      <c r="C238" s="449"/>
      <c r="D238" s="449"/>
      <c r="E238" s="291">
        <v>1</v>
      </c>
      <c r="F238" s="449"/>
      <c r="G238" s="449"/>
      <c r="H238" s="291"/>
      <c r="I238" s="308">
        <v>36900</v>
      </c>
      <c r="J238" s="291">
        <v>223</v>
      </c>
      <c r="K238" s="308"/>
      <c r="L238" s="291"/>
      <c r="M238" s="296">
        <f t="shared" si="4"/>
        <v>92</v>
      </c>
      <c r="N238" s="291"/>
      <c r="O238" s="308"/>
      <c r="P238" s="291"/>
      <c r="Q238" s="291"/>
      <c r="R238" s="308">
        <v>36900</v>
      </c>
      <c r="S238" s="291">
        <v>223</v>
      </c>
    </row>
    <row r="239" spans="2:19" x14ac:dyDescent="0.25">
      <c r="B239" s="296">
        <f t="shared" si="3"/>
        <v>43525</v>
      </c>
      <c r="C239" s="449"/>
      <c r="D239" s="449"/>
      <c r="E239" s="291">
        <v>0.75</v>
      </c>
      <c r="F239" s="449"/>
      <c r="G239" s="449"/>
      <c r="H239" s="291"/>
      <c r="I239" s="308">
        <v>36901</v>
      </c>
      <c r="J239" s="291">
        <v>223</v>
      </c>
      <c r="K239" s="308"/>
      <c r="L239" s="291"/>
      <c r="M239" s="296">
        <f t="shared" si="4"/>
        <v>122</v>
      </c>
      <c r="N239" s="291"/>
      <c r="O239" s="308"/>
      <c r="P239" s="291"/>
      <c r="Q239" s="291"/>
      <c r="R239" s="308">
        <v>36901</v>
      </c>
      <c r="S239" s="291">
        <v>223</v>
      </c>
    </row>
    <row r="240" spans="2:19" x14ac:dyDescent="0.25">
      <c r="B240" s="296">
        <f t="shared" si="3"/>
        <v>43556</v>
      </c>
      <c r="C240" s="449"/>
      <c r="D240" s="449"/>
      <c r="E240" s="291">
        <v>0.45</v>
      </c>
      <c r="F240" s="449"/>
      <c r="G240" s="449"/>
      <c r="H240" s="291"/>
      <c r="I240" s="308">
        <v>36902</v>
      </c>
      <c r="J240" s="291">
        <v>223</v>
      </c>
      <c r="K240" s="308"/>
      <c r="L240" s="291"/>
      <c r="M240" s="296">
        <f t="shared" si="4"/>
        <v>153</v>
      </c>
      <c r="N240" s="291"/>
      <c r="O240" s="308"/>
      <c r="P240" s="291"/>
      <c r="Q240" s="291"/>
      <c r="R240" s="308">
        <v>36902</v>
      </c>
      <c r="S240" s="291">
        <v>223</v>
      </c>
    </row>
    <row r="241" spans="2:19" x14ac:dyDescent="0.25">
      <c r="B241" s="296">
        <f t="shared" si="3"/>
        <v>43586</v>
      </c>
      <c r="C241" s="449"/>
      <c r="D241" s="449"/>
      <c r="E241" s="291">
        <v>0.4</v>
      </c>
      <c r="F241" s="449"/>
      <c r="G241" s="449"/>
      <c r="H241" s="291"/>
      <c r="I241" s="308">
        <v>36903</v>
      </c>
      <c r="J241" s="291">
        <v>223</v>
      </c>
      <c r="K241" s="308"/>
      <c r="L241" s="291"/>
      <c r="M241" s="296">
        <f t="shared" si="4"/>
        <v>183</v>
      </c>
      <c r="N241" s="291"/>
      <c r="O241" s="308"/>
      <c r="P241" s="291"/>
      <c r="Q241" s="291"/>
      <c r="R241" s="308">
        <v>36903</v>
      </c>
      <c r="S241" s="291">
        <v>223</v>
      </c>
    </row>
    <row r="242" spans="2:19" x14ac:dyDescent="0.25">
      <c r="B242" s="296">
        <f t="shared" si="3"/>
        <v>43617</v>
      </c>
      <c r="C242" s="449"/>
      <c r="D242" s="449"/>
      <c r="E242" s="291">
        <v>0.5</v>
      </c>
      <c r="F242" s="449"/>
      <c r="G242" s="449"/>
      <c r="H242" s="291"/>
      <c r="I242" s="308">
        <v>36904</v>
      </c>
      <c r="J242" s="291">
        <v>223</v>
      </c>
      <c r="K242" s="308"/>
      <c r="L242" s="291"/>
      <c r="M242" s="296">
        <f t="shared" si="4"/>
        <v>214</v>
      </c>
      <c r="N242" s="291"/>
      <c r="O242" s="308"/>
      <c r="P242" s="291"/>
      <c r="Q242" s="291"/>
      <c r="R242" s="308">
        <v>36904</v>
      </c>
      <c r="S242" s="291">
        <v>223</v>
      </c>
    </row>
    <row r="243" spans="2:19" x14ac:dyDescent="0.25">
      <c r="B243" s="296">
        <f t="shared" si="3"/>
        <v>43647</v>
      </c>
      <c r="C243" s="449"/>
      <c r="D243" s="449"/>
      <c r="E243" s="291">
        <v>0.5</v>
      </c>
      <c r="F243" s="449"/>
      <c r="G243" s="449"/>
      <c r="H243" s="291"/>
      <c r="I243" s="308">
        <v>36905</v>
      </c>
      <c r="J243" s="291">
        <v>223</v>
      </c>
      <c r="K243" s="308"/>
      <c r="L243" s="291"/>
      <c r="M243" s="296">
        <f t="shared" si="4"/>
        <v>245</v>
      </c>
      <c r="N243" s="291"/>
      <c r="O243" s="308"/>
      <c r="P243" s="291"/>
      <c r="Q243" s="291"/>
      <c r="R243" s="308">
        <v>36905</v>
      </c>
      <c r="S243" s="291">
        <v>223</v>
      </c>
    </row>
    <row r="244" spans="2:19" x14ac:dyDescent="0.25">
      <c r="B244" s="296">
        <f t="shared" si="3"/>
        <v>43678</v>
      </c>
      <c r="C244" s="449"/>
      <c r="D244" s="449"/>
      <c r="E244" s="291">
        <v>0.6</v>
      </c>
      <c r="F244" s="449"/>
      <c r="G244" s="449"/>
      <c r="H244" s="291"/>
      <c r="I244" s="308">
        <v>36906</v>
      </c>
      <c r="J244" s="291">
        <v>223</v>
      </c>
      <c r="K244" s="308"/>
      <c r="L244" s="291"/>
      <c r="M244" s="296">
        <f t="shared" si="4"/>
        <v>275</v>
      </c>
      <c r="N244" s="291"/>
      <c r="O244" s="308"/>
      <c r="P244" s="291"/>
      <c r="Q244" s="291"/>
      <c r="R244" s="308">
        <v>36906</v>
      </c>
      <c r="S244" s="291">
        <v>223</v>
      </c>
    </row>
    <row r="245" spans="2:19" x14ac:dyDescent="0.25">
      <c r="B245" s="296">
        <f t="shared" si="3"/>
        <v>43709</v>
      </c>
      <c r="C245" s="449"/>
      <c r="D245" s="449"/>
      <c r="E245" s="291">
        <v>0.55000000000000004</v>
      </c>
      <c r="F245" s="449"/>
      <c r="G245" s="449"/>
      <c r="H245" s="291"/>
      <c r="I245" s="308">
        <v>36907</v>
      </c>
      <c r="J245" s="291">
        <v>223</v>
      </c>
      <c r="K245" s="308"/>
      <c r="L245" s="291"/>
      <c r="M245" s="296">
        <f t="shared" si="4"/>
        <v>306</v>
      </c>
      <c r="N245" s="291"/>
      <c r="O245" s="308"/>
      <c r="P245" s="291"/>
      <c r="Q245" s="291"/>
      <c r="R245" s="308">
        <v>36907</v>
      </c>
      <c r="S245" s="291">
        <v>223</v>
      </c>
    </row>
    <row r="246" spans="2:19" x14ac:dyDescent="0.25">
      <c r="B246" s="296">
        <f t="shared" si="3"/>
        <v>43739</v>
      </c>
      <c r="C246" s="449"/>
      <c r="D246" s="449"/>
      <c r="E246" s="291">
        <v>0.6</v>
      </c>
      <c r="F246" s="449"/>
      <c r="G246" s="449"/>
      <c r="H246" s="291"/>
      <c r="I246" s="308">
        <v>36908</v>
      </c>
      <c r="J246" s="291">
        <v>223</v>
      </c>
      <c r="K246" s="308"/>
      <c r="L246" s="291"/>
      <c r="M246" s="296">
        <f t="shared" si="4"/>
        <v>336</v>
      </c>
      <c r="N246" s="291"/>
      <c r="O246" s="308"/>
      <c r="P246" s="291"/>
      <c r="Q246" s="291"/>
      <c r="R246" s="308">
        <v>36908</v>
      </c>
      <c r="S246" s="291">
        <v>223</v>
      </c>
    </row>
    <row r="247" spans="2:19" x14ac:dyDescent="0.25">
      <c r="B247" s="296">
        <f t="shared" si="3"/>
        <v>43770</v>
      </c>
      <c r="C247" s="449"/>
      <c r="D247" s="449"/>
      <c r="E247" s="291">
        <v>0.8</v>
      </c>
      <c r="F247" s="449"/>
      <c r="G247" s="449"/>
      <c r="H247" s="291"/>
      <c r="I247" s="308">
        <v>36909</v>
      </c>
      <c r="J247" s="291">
        <v>223</v>
      </c>
      <c r="K247" s="308"/>
      <c r="L247" s="291"/>
      <c r="M247" s="296">
        <f t="shared" si="4"/>
        <v>367</v>
      </c>
      <c r="N247" s="291"/>
      <c r="O247" s="308"/>
      <c r="P247" s="291"/>
      <c r="Q247" s="291"/>
      <c r="R247" s="308">
        <v>36909</v>
      </c>
      <c r="S247" s="291">
        <v>223</v>
      </c>
    </row>
    <row r="248" spans="2:19" x14ac:dyDescent="0.25">
      <c r="B248" s="296">
        <f t="shared" si="3"/>
        <v>43800</v>
      </c>
      <c r="C248" s="449"/>
      <c r="D248" s="449"/>
      <c r="E248" s="291">
        <v>1</v>
      </c>
      <c r="F248" s="449"/>
      <c r="G248" s="449"/>
      <c r="H248" s="291"/>
      <c r="I248" s="308">
        <v>36910</v>
      </c>
      <c r="J248" s="291">
        <v>223</v>
      </c>
      <c r="K248" s="308"/>
      <c r="L248" s="291"/>
      <c r="M248" s="296">
        <f t="shared" si="4"/>
        <v>398</v>
      </c>
      <c r="N248" s="291"/>
      <c r="O248" s="308"/>
      <c r="P248" s="291"/>
      <c r="Q248" s="291"/>
      <c r="R248" s="308">
        <v>36910</v>
      </c>
      <c r="S248" s="291">
        <v>223</v>
      </c>
    </row>
    <row r="249" spans="2:19" x14ac:dyDescent="0.25">
      <c r="B249" s="296">
        <f t="shared" si="3"/>
        <v>43831</v>
      </c>
      <c r="C249" s="449"/>
      <c r="D249" s="449"/>
      <c r="E249" s="291">
        <v>1</v>
      </c>
      <c r="F249" s="449"/>
      <c r="G249" s="449"/>
      <c r="H249" s="291"/>
      <c r="I249" s="308">
        <v>36911</v>
      </c>
      <c r="J249" s="291">
        <v>223</v>
      </c>
      <c r="K249" s="308"/>
      <c r="L249" s="291"/>
      <c r="M249" s="296">
        <f t="shared" si="4"/>
        <v>426</v>
      </c>
      <c r="N249" s="291"/>
      <c r="O249" s="308"/>
      <c r="P249" s="291"/>
      <c r="Q249" s="291"/>
      <c r="R249" s="308">
        <v>36911</v>
      </c>
      <c r="S249" s="291">
        <v>223</v>
      </c>
    </row>
    <row r="250" spans="2:19" x14ac:dyDescent="0.25">
      <c r="B250" s="296">
        <f t="shared" si="3"/>
        <v>43862</v>
      </c>
      <c r="C250" s="449"/>
      <c r="D250" s="449"/>
      <c r="E250" s="291">
        <v>1</v>
      </c>
      <c r="F250" s="449"/>
      <c r="G250" s="449"/>
      <c r="H250" s="291"/>
      <c r="I250" s="308">
        <v>36912</v>
      </c>
      <c r="J250" s="291">
        <v>223</v>
      </c>
      <c r="K250" s="308"/>
      <c r="L250" s="291"/>
      <c r="M250" s="296">
        <f t="shared" si="4"/>
        <v>457</v>
      </c>
      <c r="N250" s="291"/>
      <c r="O250" s="308"/>
      <c r="P250" s="291"/>
      <c r="Q250" s="291"/>
      <c r="R250" s="308">
        <v>36912</v>
      </c>
      <c r="S250" s="291">
        <v>223</v>
      </c>
    </row>
    <row r="251" spans="2:19" x14ac:dyDescent="0.25">
      <c r="B251" s="296">
        <f t="shared" si="3"/>
        <v>43891</v>
      </c>
      <c r="C251" s="449"/>
      <c r="D251" s="449"/>
      <c r="E251" s="291">
        <v>0.75</v>
      </c>
      <c r="F251" s="449"/>
      <c r="G251" s="449"/>
      <c r="H251" s="291"/>
      <c r="I251" s="308">
        <v>36913</v>
      </c>
      <c r="J251" s="291">
        <v>223</v>
      </c>
      <c r="K251" s="308"/>
      <c r="L251" s="291"/>
      <c r="M251" s="296">
        <f t="shared" si="4"/>
        <v>487</v>
      </c>
      <c r="N251" s="291"/>
      <c r="O251" s="308"/>
      <c r="P251" s="291"/>
      <c r="Q251" s="291"/>
      <c r="R251" s="308">
        <v>36913</v>
      </c>
      <c r="S251" s="291">
        <v>223</v>
      </c>
    </row>
    <row r="252" spans="2:19" x14ac:dyDescent="0.25">
      <c r="B252" s="296">
        <f t="shared" si="3"/>
        <v>43922</v>
      </c>
      <c r="C252" s="449"/>
      <c r="D252" s="449"/>
      <c r="E252" s="291">
        <v>0.45</v>
      </c>
      <c r="F252" s="449"/>
      <c r="G252" s="449"/>
      <c r="H252" s="291"/>
      <c r="I252" s="308">
        <v>36914</v>
      </c>
      <c r="J252" s="291">
        <v>223</v>
      </c>
      <c r="K252" s="308"/>
      <c r="L252" s="291"/>
      <c r="M252" s="296">
        <f t="shared" si="4"/>
        <v>518</v>
      </c>
      <c r="N252" s="291"/>
      <c r="O252" s="308"/>
      <c r="P252" s="291"/>
      <c r="Q252" s="291"/>
      <c r="R252" s="308">
        <v>36914</v>
      </c>
      <c r="S252" s="291">
        <v>223</v>
      </c>
    </row>
    <row r="253" spans="2:19" x14ac:dyDescent="0.25">
      <c r="B253" s="296">
        <f t="shared" si="3"/>
        <v>43952</v>
      </c>
      <c r="C253" s="449"/>
      <c r="D253" s="449"/>
      <c r="E253" s="291">
        <v>0.4</v>
      </c>
      <c r="F253" s="449"/>
      <c r="G253" s="449"/>
      <c r="H253" s="291"/>
      <c r="I253" s="308">
        <v>36915</v>
      </c>
      <c r="J253" s="291">
        <v>223</v>
      </c>
      <c r="K253" s="308"/>
      <c r="L253" s="291"/>
      <c r="M253" s="296">
        <f t="shared" si="4"/>
        <v>548</v>
      </c>
      <c r="N253" s="291"/>
      <c r="O253" s="308"/>
      <c r="P253" s="291"/>
      <c r="Q253" s="291"/>
      <c r="R253" s="308">
        <v>36915</v>
      </c>
      <c r="S253" s="291">
        <v>223</v>
      </c>
    </row>
    <row r="254" spans="2:19" x14ac:dyDescent="0.25">
      <c r="B254" s="296">
        <f t="shared" si="3"/>
        <v>43983</v>
      </c>
      <c r="C254" s="449"/>
      <c r="D254" s="449"/>
      <c r="E254" s="291">
        <v>0.5</v>
      </c>
      <c r="F254" s="449"/>
      <c r="G254" s="449"/>
      <c r="H254" s="291"/>
      <c r="I254" s="308">
        <v>36916</v>
      </c>
      <c r="J254" s="291">
        <v>223</v>
      </c>
      <c r="K254" s="308"/>
      <c r="L254" s="291"/>
      <c r="M254" s="296">
        <f t="shared" si="4"/>
        <v>579</v>
      </c>
      <c r="N254" s="291"/>
      <c r="O254" s="308"/>
      <c r="P254" s="291"/>
      <c r="Q254" s="291"/>
      <c r="R254" s="308">
        <v>36916</v>
      </c>
      <c r="S254" s="291">
        <v>223</v>
      </c>
    </row>
    <row r="255" spans="2:19" x14ac:dyDescent="0.25">
      <c r="B255" s="296">
        <f t="shared" si="3"/>
        <v>44013</v>
      </c>
      <c r="C255" s="449"/>
      <c r="D255" s="449"/>
      <c r="E255" s="291">
        <v>0.5</v>
      </c>
      <c r="F255" s="449"/>
      <c r="G255" s="449"/>
      <c r="H255" s="291"/>
      <c r="I255" s="308">
        <v>36917</v>
      </c>
      <c r="J255" s="291">
        <v>223</v>
      </c>
      <c r="K255" s="308"/>
      <c r="L255" s="291"/>
      <c r="M255" s="296">
        <f t="shared" si="4"/>
        <v>610</v>
      </c>
      <c r="N255" s="291"/>
      <c r="O255" s="308"/>
      <c r="P255" s="291"/>
      <c r="Q255" s="291"/>
      <c r="R255" s="308">
        <v>36917</v>
      </c>
      <c r="S255" s="291">
        <v>223</v>
      </c>
    </row>
    <row r="256" spans="2:19" x14ac:dyDescent="0.25">
      <c r="B256" s="296">
        <f t="shared" si="3"/>
        <v>44044</v>
      </c>
      <c r="C256" s="449"/>
      <c r="D256" s="449"/>
      <c r="E256" s="291">
        <v>0.6</v>
      </c>
      <c r="F256" s="449"/>
      <c r="G256" s="449"/>
      <c r="H256" s="291"/>
      <c r="I256" s="308">
        <v>36918</v>
      </c>
      <c r="J256" s="291">
        <v>223</v>
      </c>
      <c r="K256" s="308"/>
      <c r="L256" s="291"/>
      <c r="M256" s="296">
        <f t="shared" si="4"/>
        <v>640</v>
      </c>
      <c r="N256" s="291"/>
      <c r="O256" s="308"/>
      <c r="P256" s="291"/>
      <c r="Q256" s="291"/>
      <c r="R256" s="308">
        <v>36918</v>
      </c>
      <c r="S256" s="291">
        <v>223</v>
      </c>
    </row>
    <row r="257" spans="2:19" x14ac:dyDescent="0.25">
      <c r="B257" s="296">
        <f t="shared" si="3"/>
        <v>44075</v>
      </c>
      <c r="C257" s="449"/>
      <c r="D257" s="449"/>
      <c r="E257" s="291">
        <v>0.55000000000000004</v>
      </c>
      <c r="F257" s="449"/>
      <c r="G257" s="449"/>
      <c r="H257" s="291"/>
      <c r="I257" s="308">
        <v>36919</v>
      </c>
      <c r="J257" s="291">
        <v>223</v>
      </c>
      <c r="K257" s="308"/>
      <c r="L257" s="291"/>
      <c r="M257" s="296">
        <f t="shared" si="4"/>
        <v>671</v>
      </c>
      <c r="N257" s="291"/>
      <c r="O257" s="308"/>
      <c r="P257" s="291"/>
      <c r="Q257" s="291"/>
      <c r="R257" s="308">
        <v>36919</v>
      </c>
      <c r="S257" s="291">
        <v>223</v>
      </c>
    </row>
    <row r="258" spans="2:19" x14ac:dyDescent="0.25">
      <c r="B258" s="296">
        <f t="shared" si="3"/>
        <v>44105</v>
      </c>
      <c r="C258" s="449"/>
      <c r="D258" s="449"/>
      <c r="E258" s="291">
        <v>0.6</v>
      </c>
      <c r="F258" s="449"/>
      <c r="G258" s="449"/>
      <c r="H258" s="291"/>
      <c r="I258" s="308">
        <v>36920</v>
      </c>
      <c r="J258" s="291">
        <v>223</v>
      </c>
      <c r="K258" s="308"/>
      <c r="L258" s="291"/>
      <c r="M258" s="296">
        <f t="shared" si="4"/>
        <v>701</v>
      </c>
      <c r="N258" s="291"/>
      <c r="O258" s="308"/>
      <c r="P258" s="291"/>
      <c r="Q258" s="291"/>
      <c r="R258" s="308">
        <v>36920</v>
      </c>
      <c r="S258" s="291">
        <v>223</v>
      </c>
    </row>
    <row r="259" spans="2:19" x14ac:dyDescent="0.25">
      <c r="B259" s="296">
        <f t="shared" si="3"/>
        <v>44136</v>
      </c>
      <c r="C259" s="449"/>
      <c r="D259" s="449"/>
      <c r="E259" s="291">
        <v>0.8</v>
      </c>
      <c r="F259" s="449"/>
      <c r="G259" s="449"/>
      <c r="H259" s="291"/>
      <c r="I259" s="308">
        <v>36921</v>
      </c>
      <c r="J259" s="291">
        <v>223</v>
      </c>
      <c r="K259" s="308"/>
      <c r="L259" s="291"/>
      <c r="M259" s="296">
        <f t="shared" si="4"/>
        <v>732</v>
      </c>
      <c r="N259" s="291"/>
      <c r="O259" s="308"/>
      <c r="P259" s="291"/>
      <c r="Q259" s="291"/>
      <c r="R259" s="308">
        <v>36921</v>
      </c>
      <c r="S259" s="291">
        <v>223</v>
      </c>
    </row>
    <row r="260" spans="2:19" x14ac:dyDescent="0.25">
      <c r="B260" s="296">
        <f t="shared" si="3"/>
        <v>44166</v>
      </c>
      <c r="C260" s="449"/>
      <c r="D260" s="449"/>
      <c r="E260" s="291">
        <v>1</v>
      </c>
      <c r="F260" s="449"/>
      <c r="G260" s="449"/>
      <c r="H260" s="291"/>
      <c r="I260" s="308">
        <v>36922</v>
      </c>
      <c r="J260" s="291">
        <v>223</v>
      </c>
      <c r="K260" s="308"/>
      <c r="L260" s="291"/>
      <c r="M260" s="296">
        <f t="shared" si="4"/>
        <v>763</v>
      </c>
      <c r="N260" s="291"/>
      <c r="O260" s="308"/>
      <c r="P260" s="291"/>
      <c r="Q260" s="291"/>
      <c r="R260" s="308">
        <v>36922</v>
      </c>
      <c r="S260" s="291">
        <v>223</v>
      </c>
    </row>
    <row r="261" spans="2:19" x14ac:dyDescent="0.25">
      <c r="B261" s="296">
        <f t="shared" si="3"/>
        <v>44197</v>
      </c>
      <c r="C261" s="449"/>
      <c r="D261" s="449"/>
      <c r="E261" s="291">
        <v>1</v>
      </c>
      <c r="F261" s="449"/>
      <c r="G261" s="449"/>
      <c r="H261" s="291"/>
      <c r="I261" s="308">
        <v>36923</v>
      </c>
      <c r="J261" s="291">
        <v>223</v>
      </c>
      <c r="K261" s="308"/>
      <c r="L261" s="291"/>
      <c r="M261" s="296">
        <f t="shared" si="4"/>
        <v>791</v>
      </c>
      <c r="N261" s="291"/>
      <c r="O261" s="308"/>
      <c r="P261" s="291"/>
      <c r="Q261" s="291"/>
      <c r="R261" s="308">
        <v>36923</v>
      </c>
      <c r="S261" s="291">
        <v>223</v>
      </c>
    </row>
    <row r="262" spans="2:19" x14ac:dyDescent="0.25">
      <c r="B262" s="296">
        <f t="shared" si="3"/>
        <v>44228</v>
      </c>
      <c r="C262" s="449"/>
      <c r="D262" s="449"/>
      <c r="E262" s="291">
        <v>1</v>
      </c>
      <c r="F262" s="449"/>
      <c r="G262" s="449"/>
      <c r="H262" s="291"/>
      <c r="I262" s="308">
        <v>36924</v>
      </c>
      <c r="J262" s="291">
        <v>223</v>
      </c>
      <c r="K262" s="308"/>
      <c r="L262" s="291"/>
      <c r="M262" s="296">
        <f t="shared" si="4"/>
        <v>822</v>
      </c>
      <c r="N262" s="291"/>
      <c r="O262" s="308"/>
      <c r="P262" s="291"/>
      <c r="Q262" s="291"/>
      <c r="R262" s="308">
        <v>36924</v>
      </c>
      <c r="S262" s="291">
        <v>223</v>
      </c>
    </row>
    <row r="263" spans="2:19" x14ac:dyDescent="0.25">
      <c r="B263" s="296">
        <f t="shared" si="3"/>
        <v>44256</v>
      </c>
      <c r="C263" s="449"/>
      <c r="D263" s="449"/>
      <c r="E263" s="291">
        <v>0.75</v>
      </c>
      <c r="F263" s="449"/>
      <c r="G263" s="449"/>
      <c r="H263" s="291"/>
      <c r="I263" s="308">
        <v>36925</v>
      </c>
      <c r="J263" s="291">
        <v>223</v>
      </c>
      <c r="K263" s="308"/>
      <c r="L263" s="291"/>
      <c r="M263" s="296">
        <f t="shared" si="4"/>
        <v>852</v>
      </c>
      <c r="N263" s="291"/>
      <c r="O263" s="308"/>
      <c r="P263" s="291"/>
      <c r="Q263" s="291"/>
      <c r="R263" s="308">
        <v>36925</v>
      </c>
      <c r="S263" s="291">
        <v>223</v>
      </c>
    </row>
    <row r="264" spans="2:19" x14ac:dyDescent="0.25">
      <c r="B264" s="296">
        <f t="shared" si="3"/>
        <v>44287</v>
      </c>
      <c r="C264" s="449"/>
      <c r="D264" s="449"/>
      <c r="E264" s="291">
        <v>0.45</v>
      </c>
      <c r="F264" s="449"/>
      <c r="G264" s="449"/>
      <c r="H264" s="291"/>
      <c r="I264" s="308">
        <v>36926</v>
      </c>
      <c r="J264" s="291">
        <v>223</v>
      </c>
      <c r="K264" s="308"/>
      <c r="L264" s="291"/>
      <c r="M264" s="296">
        <f t="shared" si="4"/>
        <v>883</v>
      </c>
      <c r="N264" s="291"/>
      <c r="O264" s="308"/>
      <c r="P264" s="291"/>
      <c r="Q264" s="291"/>
      <c r="R264" s="308">
        <v>36926</v>
      </c>
      <c r="S264" s="291">
        <v>223</v>
      </c>
    </row>
    <row r="265" spans="2:19" x14ac:dyDescent="0.25">
      <c r="B265" s="296">
        <f t="shared" si="3"/>
        <v>44317</v>
      </c>
      <c r="C265" s="449"/>
      <c r="D265" s="449"/>
      <c r="E265" s="291">
        <v>0.4</v>
      </c>
      <c r="F265" s="449"/>
      <c r="G265" s="449"/>
      <c r="H265" s="291"/>
      <c r="I265" s="308">
        <v>36927</v>
      </c>
      <c r="J265" s="291">
        <v>223</v>
      </c>
      <c r="K265" s="308"/>
      <c r="L265" s="291"/>
      <c r="M265" s="296">
        <f t="shared" si="4"/>
        <v>913</v>
      </c>
      <c r="N265" s="291"/>
      <c r="O265" s="308"/>
      <c r="P265" s="291"/>
      <c r="Q265" s="291"/>
      <c r="R265" s="308">
        <v>36927</v>
      </c>
      <c r="S265" s="291">
        <v>223</v>
      </c>
    </row>
    <row r="266" spans="2:19" x14ac:dyDescent="0.25">
      <c r="B266" s="296">
        <f t="shared" si="3"/>
        <v>44348</v>
      </c>
      <c r="C266" s="449"/>
      <c r="D266" s="449"/>
      <c r="E266" s="291">
        <v>0.5</v>
      </c>
      <c r="F266" s="449"/>
      <c r="G266" s="449"/>
      <c r="H266" s="291"/>
      <c r="I266" s="308">
        <v>36928</v>
      </c>
      <c r="J266" s="291">
        <v>223</v>
      </c>
      <c r="K266" s="308"/>
      <c r="L266" s="291"/>
      <c r="M266" s="296">
        <f t="shared" si="4"/>
        <v>944</v>
      </c>
      <c r="N266" s="291"/>
      <c r="O266" s="308"/>
      <c r="P266" s="291"/>
      <c r="Q266" s="291"/>
      <c r="R266" s="308">
        <v>36928</v>
      </c>
      <c r="S266" s="291">
        <v>223</v>
      </c>
    </row>
    <row r="267" spans="2:19" x14ac:dyDescent="0.25">
      <c r="B267" s="296">
        <f t="shared" si="3"/>
        <v>44378</v>
      </c>
      <c r="C267" s="449"/>
      <c r="D267" s="449"/>
      <c r="E267" s="291">
        <v>0.5</v>
      </c>
      <c r="F267" s="449"/>
      <c r="G267" s="449"/>
      <c r="H267" s="291"/>
      <c r="I267" s="308">
        <v>36929</v>
      </c>
      <c r="J267" s="291">
        <v>223</v>
      </c>
      <c r="K267" s="308"/>
      <c r="L267" s="291"/>
      <c r="M267" s="296">
        <f t="shared" si="4"/>
        <v>975</v>
      </c>
      <c r="N267" s="291"/>
      <c r="O267" s="308"/>
      <c r="P267" s="291"/>
      <c r="Q267" s="291"/>
      <c r="R267" s="308">
        <v>36929</v>
      </c>
      <c r="S267" s="291">
        <v>223</v>
      </c>
    </row>
    <row r="268" spans="2:19" x14ac:dyDescent="0.25">
      <c r="B268" s="296">
        <f t="shared" si="3"/>
        <v>44409</v>
      </c>
      <c r="C268" s="449"/>
      <c r="D268" s="449"/>
      <c r="E268" s="291">
        <v>0.6</v>
      </c>
      <c r="F268" s="449"/>
      <c r="G268" s="449"/>
      <c r="H268" s="291"/>
      <c r="I268" s="308">
        <v>36930</v>
      </c>
      <c r="J268" s="291">
        <v>223</v>
      </c>
      <c r="K268" s="308"/>
      <c r="L268" s="291"/>
      <c r="M268" s="296">
        <f t="shared" ref="M268:M299" si="5">EOMONTH(M267,0)+1</f>
        <v>1005</v>
      </c>
      <c r="N268" s="291"/>
      <c r="O268" s="308"/>
      <c r="P268" s="291"/>
      <c r="Q268" s="291"/>
      <c r="R268" s="308">
        <v>36930</v>
      </c>
      <c r="S268" s="291">
        <v>223</v>
      </c>
    </row>
    <row r="269" spans="2:19" x14ac:dyDescent="0.25">
      <c r="B269" s="296">
        <f t="shared" si="3"/>
        <v>44440</v>
      </c>
      <c r="C269" s="449"/>
      <c r="D269" s="449"/>
      <c r="E269" s="291">
        <v>0.55000000000000004</v>
      </c>
      <c r="F269" s="449"/>
      <c r="G269" s="449"/>
      <c r="H269" s="291"/>
      <c r="I269" s="308">
        <v>36931</v>
      </c>
      <c r="J269" s="291">
        <v>223</v>
      </c>
      <c r="K269" s="308"/>
      <c r="L269" s="291"/>
      <c r="M269" s="296">
        <f t="shared" si="5"/>
        <v>1036</v>
      </c>
      <c r="N269" s="291"/>
      <c r="O269" s="308"/>
      <c r="P269" s="291"/>
      <c r="Q269" s="291"/>
      <c r="R269" s="308">
        <v>36931</v>
      </c>
      <c r="S269" s="291">
        <v>223</v>
      </c>
    </row>
    <row r="270" spans="2:19" x14ac:dyDescent="0.25">
      <c r="B270" s="296">
        <f t="shared" si="3"/>
        <v>44470</v>
      </c>
      <c r="C270" s="449"/>
      <c r="D270" s="449"/>
      <c r="E270" s="291">
        <v>0.6</v>
      </c>
      <c r="F270" s="449"/>
      <c r="G270" s="449"/>
      <c r="H270" s="291"/>
      <c r="I270" s="308">
        <v>36932</v>
      </c>
      <c r="J270" s="291">
        <v>223</v>
      </c>
      <c r="K270" s="308"/>
      <c r="L270" s="291"/>
      <c r="M270" s="296">
        <f t="shared" si="5"/>
        <v>1066</v>
      </c>
      <c r="N270" s="291"/>
      <c r="O270" s="308"/>
      <c r="P270" s="291"/>
      <c r="Q270" s="291"/>
      <c r="R270" s="308">
        <v>36932</v>
      </c>
      <c r="S270" s="291">
        <v>223</v>
      </c>
    </row>
    <row r="271" spans="2:19" x14ac:dyDescent="0.25">
      <c r="B271" s="296">
        <f t="shared" si="3"/>
        <v>44501</v>
      </c>
      <c r="C271" s="449"/>
      <c r="D271" s="449"/>
      <c r="E271" s="291">
        <v>0.8</v>
      </c>
      <c r="F271" s="449"/>
      <c r="G271" s="449"/>
      <c r="H271" s="291"/>
      <c r="I271" s="308">
        <v>36933</v>
      </c>
      <c r="J271" s="291">
        <v>223</v>
      </c>
      <c r="K271" s="308"/>
      <c r="L271" s="291"/>
      <c r="M271" s="296">
        <f t="shared" si="5"/>
        <v>1097</v>
      </c>
      <c r="N271" s="291"/>
      <c r="O271" s="308"/>
      <c r="P271" s="291"/>
      <c r="Q271" s="291"/>
      <c r="R271" s="308">
        <v>36933</v>
      </c>
      <c r="S271" s="291">
        <v>223</v>
      </c>
    </row>
    <row r="272" spans="2:19" x14ac:dyDescent="0.25">
      <c r="B272" s="296">
        <f t="shared" si="3"/>
        <v>44531</v>
      </c>
      <c r="C272" s="449"/>
      <c r="D272" s="449"/>
      <c r="E272" s="291">
        <v>1</v>
      </c>
      <c r="F272" s="449"/>
      <c r="G272" s="449"/>
      <c r="H272" s="291"/>
      <c r="I272" s="308">
        <v>36934</v>
      </c>
      <c r="J272" s="291">
        <v>223</v>
      </c>
      <c r="K272" s="308"/>
      <c r="L272" s="291"/>
      <c r="M272" s="296">
        <f t="shared" si="5"/>
        <v>1128</v>
      </c>
      <c r="N272" s="291"/>
      <c r="O272" s="308"/>
      <c r="P272" s="291"/>
      <c r="Q272" s="291"/>
      <c r="R272" s="308">
        <v>36934</v>
      </c>
      <c r="S272" s="291">
        <v>223</v>
      </c>
    </row>
    <row r="273" spans="2:17" x14ac:dyDescent="0.25">
      <c r="B273" s="296">
        <f t="shared" ref="B273:B311" si="6">EOMONTH(B272,0)+1</f>
        <v>44562</v>
      </c>
      <c r="C273" s="449"/>
      <c r="D273" s="449"/>
      <c r="E273" s="291">
        <v>1</v>
      </c>
      <c r="F273" s="449"/>
      <c r="G273" s="449"/>
      <c r="H273" s="291"/>
      <c r="I273" s="291"/>
      <c r="J273" s="291"/>
      <c r="K273" s="291"/>
      <c r="L273" s="291"/>
      <c r="M273" s="296">
        <f t="shared" si="5"/>
        <v>1156</v>
      </c>
      <c r="N273" s="291"/>
      <c r="O273" s="291"/>
      <c r="P273" s="291"/>
      <c r="Q273" s="291"/>
    </row>
    <row r="274" spans="2:17" x14ac:dyDescent="0.25">
      <c r="B274" s="296">
        <f t="shared" si="6"/>
        <v>44593</v>
      </c>
      <c r="C274" s="449"/>
      <c r="D274" s="449"/>
      <c r="E274" s="291">
        <v>1</v>
      </c>
      <c r="F274" s="449"/>
      <c r="G274" s="449"/>
      <c r="H274" s="291"/>
      <c r="I274" s="291"/>
      <c r="J274" s="291"/>
      <c r="K274" s="291"/>
      <c r="L274" s="291"/>
      <c r="M274" s="296">
        <f t="shared" si="5"/>
        <v>1187</v>
      </c>
      <c r="N274" s="291"/>
      <c r="O274" s="291"/>
      <c r="P274" s="291"/>
      <c r="Q274" s="291"/>
    </row>
    <row r="275" spans="2:17" x14ac:dyDescent="0.25">
      <c r="B275" s="296">
        <f t="shared" si="6"/>
        <v>44621</v>
      </c>
      <c r="C275" s="449"/>
      <c r="D275" s="449"/>
      <c r="E275" s="291">
        <v>0.75</v>
      </c>
      <c r="F275" s="449"/>
      <c r="G275" s="449"/>
      <c r="H275" s="291"/>
      <c r="I275" s="291"/>
      <c r="J275" s="291"/>
      <c r="K275" s="291"/>
      <c r="L275" s="291"/>
      <c r="M275" s="296">
        <f t="shared" si="5"/>
        <v>1217</v>
      </c>
      <c r="N275" s="291"/>
      <c r="O275" s="291"/>
      <c r="P275" s="291"/>
      <c r="Q275" s="291"/>
    </row>
    <row r="276" spans="2:17" x14ac:dyDescent="0.25">
      <c r="B276" s="296">
        <f t="shared" si="6"/>
        <v>44652</v>
      </c>
      <c r="C276" s="449"/>
      <c r="D276" s="449"/>
      <c r="E276" s="291">
        <v>0.45</v>
      </c>
      <c r="F276" s="449"/>
      <c r="G276" s="449"/>
      <c r="H276" s="291"/>
      <c r="I276" s="291"/>
      <c r="J276" s="291"/>
      <c r="K276" s="291"/>
      <c r="L276" s="291"/>
      <c r="M276" s="296">
        <f t="shared" si="5"/>
        <v>1248</v>
      </c>
      <c r="N276" s="291"/>
      <c r="O276" s="291"/>
      <c r="P276" s="291"/>
      <c r="Q276" s="291"/>
    </row>
    <row r="277" spans="2:17" x14ac:dyDescent="0.25">
      <c r="B277" s="296">
        <f t="shared" si="6"/>
        <v>44682</v>
      </c>
      <c r="C277" s="449"/>
      <c r="D277" s="449"/>
      <c r="E277" s="291">
        <v>0.4</v>
      </c>
      <c r="F277" s="449"/>
      <c r="G277" s="449"/>
      <c r="H277" s="291"/>
      <c r="I277" s="291"/>
      <c r="J277" s="291"/>
      <c r="K277" s="291"/>
      <c r="L277" s="291"/>
      <c r="M277" s="296">
        <f t="shared" si="5"/>
        <v>1278</v>
      </c>
      <c r="N277" s="291"/>
      <c r="O277" s="291"/>
      <c r="P277" s="291"/>
      <c r="Q277" s="291"/>
    </row>
    <row r="278" spans="2:17" x14ac:dyDescent="0.25">
      <c r="B278" s="296">
        <f t="shared" si="6"/>
        <v>44713</v>
      </c>
      <c r="C278" s="449"/>
      <c r="D278" s="449"/>
      <c r="E278" s="291">
        <v>0.5</v>
      </c>
      <c r="F278" s="449"/>
      <c r="G278" s="449"/>
      <c r="H278" s="291"/>
      <c r="I278" s="291"/>
      <c r="J278" s="291"/>
      <c r="K278" s="291"/>
      <c r="L278" s="291"/>
      <c r="M278" s="296">
        <f t="shared" si="5"/>
        <v>1309</v>
      </c>
      <c r="N278" s="291"/>
      <c r="O278" s="291"/>
      <c r="P278" s="291"/>
      <c r="Q278" s="291"/>
    </row>
    <row r="279" spans="2:17" x14ac:dyDescent="0.25">
      <c r="B279" s="296">
        <f t="shared" si="6"/>
        <v>44743</v>
      </c>
      <c r="C279" s="449"/>
      <c r="D279" s="449"/>
      <c r="E279" s="291">
        <v>0.5</v>
      </c>
      <c r="F279" s="449"/>
      <c r="G279" s="449"/>
      <c r="H279" s="291"/>
      <c r="I279" s="291"/>
      <c r="J279" s="291"/>
      <c r="K279" s="291"/>
      <c r="L279" s="291"/>
      <c r="M279" s="296">
        <f t="shared" si="5"/>
        <v>1340</v>
      </c>
      <c r="N279" s="291"/>
      <c r="O279" s="291"/>
      <c r="P279" s="291"/>
      <c r="Q279" s="291"/>
    </row>
    <row r="280" spans="2:17" x14ac:dyDescent="0.25">
      <c r="B280" s="296">
        <f t="shared" si="6"/>
        <v>44774</v>
      </c>
      <c r="C280" s="449"/>
      <c r="D280" s="449"/>
      <c r="E280" s="291">
        <v>0.6</v>
      </c>
      <c r="F280" s="449"/>
      <c r="G280" s="449"/>
      <c r="H280" s="291"/>
      <c r="I280" s="291"/>
      <c r="J280" s="291"/>
      <c r="K280" s="291"/>
      <c r="L280" s="291"/>
      <c r="M280" s="296">
        <f t="shared" si="5"/>
        <v>1370</v>
      </c>
      <c r="N280" s="291"/>
      <c r="O280" s="291"/>
      <c r="P280" s="291"/>
      <c r="Q280" s="291"/>
    </row>
    <row r="281" spans="2:17" x14ac:dyDescent="0.25">
      <c r="B281" s="296">
        <f t="shared" si="6"/>
        <v>44805</v>
      </c>
      <c r="C281" s="449"/>
      <c r="D281" s="449"/>
      <c r="E281" s="291">
        <v>0.55000000000000004</v>
      </c>
      <c r="F281" s="449"/>
      <c r="G281" s="449"/>
      <c r="H281" s="291"/>
      <c r="I281" s="291"/>
      <c r="J281" s="291"/>
      <c r="K281" s="291"/>
      <c r="L281" s="291"/>
      <c r="M281" s="296">
        <f t="shared" si="5"/>
        <v>1401</v>
      </c>
      <c r="N281" s="291"/>
      <c r="O281" s="291"/>
      <c r="P281" s="291"/>
      <c r="Q281" s="291"/>
    </row>
    <row r="282" spans="2:17" x14ac:dyDescent="0.25">
      <c r="B282" s="296">
        <f t="shared" si="6"/>
        <v>44835</v>
      </c>
      <c r="C282" s="449"/>
      <c r="D282" s="449"/>
      <c r="E282" s="291">
        <v>0.6</v>
      </c>
      <c r="F282" s="449"/>
      <c r="G282" s="449"/>
      <c r="H282" s="291"/>
      <c r="I282" s="291"/>
      <c r="J282" s="291"/>
      <c r="K282" s="291"/>
      <c r="L282" s="291"/>
      <c r="M282" s="296">
        <f t="shared" si="5"/>
        <v>1431</v>
      </c>
      <c r="N282" s="291"/>
      <c r="O282" s="291"/>
      <c r="P282" s="291"/>
      <c r="Q282" s="291"/>
    </row>
    <row r="283" spans="2:17" x14ac:dyDescent="0.25">
      <c r="B283" s="296">
        <f t="shared" si="6"/>
        <v>44866</v>
      </c>
      <c r="C283" s="449"/>
      <c r="D283" s="449"/>
      <c r="E283" s="291">
        <v>0.8</v>
      </c>
      <c r="F283" s="449"/>
      <c r="G283" s="449"/>
      <c r="H283" s="291"/>
      <c r="I283" s="291"/>
      <c r="J283" s="291"/>
      <c r="K283" s="291"/>
      <c r="L283" s="291"/>
      <c r="M283" s="296">
        <f t="shared" si="5"/>
        <v>1462</v>
      </c>
      <c r="N283" s="291"/>
      <c r="O283" s="291"/>
      <c r="P283" s="291"/>
      <c r="Q283" s="291"/>
    </row>
    <row r="284" spans="2:17" x14ac:dyDescent="0.25">
      <c r="B284" s="296">
        <f t="shared" si="6"/>
        <v>44896</v>
      </c>
      <c r="C284" s="449"/>
      <c r="D284" s="449"/>
      <c r="E284" s="291">
        <v>1</v>
      </c>
      <c r="F284" s="449"/>
      <c r="G284" s="449"/>
      <c r="H284" s="291"/>
      <c r="I284" s="291"/>
      <c r="J284" s="291"/>
      <c r="K284" s="291"/>
      <c r="L284" s="291"/>
      <c r="M284" s="296">
        <f t="shared" si="5"/>
        <v>1493</v>
      </c>
      <c r="N284" s="291"/>
      <c r="O284" s="291"/>
      <c r="P284" s="291"/>
      <c r="Q284" s="291"/>
    </row>
    <row r="285" spans="2:17" x14ac:dyDescent="0.25">
      <c r="B285" s="296">
        <f t="shared" si="6"/>
        <v>44927</v>
      </c>
      <c r="C285" s="449"/>
      <c r="D285" s="449"/>
      <c r="E285" s="291">
        <v>1</v>
      </c>
      <c r="F285" s="449"/>
      <c r="G285" s="449"/>
      <c r="H285" s="291"/>
      <c r="I285" s="291"/>
      <c r="J285" s="291"/>
      <c r="K285" s="291"/>
      <c r="L285" s="291"/>
      <c r="M285" s="296">
        <f t="shared" si="5"/>
        <v>1522</v>
      </c>
      <c r="N285" s="291"/>
      <c r="O285" s="291"/>
      <c r="P285" s="291"/>
      <c r="Q285" s="291"/>
    </row>
    <row r="286" spans="2:17" x14ac:dyDescent="0.25">
      <c r="B286" s="296">
        <f t="shared" si="6"/>
        <v>44958</v>
      </c>
      <c r="C286" s="449"/>
      <c r="D286" s="449"/>
      <c r="E286" s="291">
        <v>1</v>
      </c>
      <c r="F286" s="449"/>
      <c r="G286" s="449"/>
      <c r="H286" s="291"/>
      <c r="I286" s="291"/>
      <c r="J286" s="291"/>
      <c r="K286" s="291"/>
      <c r="L286" s="291"/>
      <c r="M286" s="296">
        <f t="shared" si="5"/>
        <v>1553</v>
      </c>
      <c r="N286" s="291"/>
      <c r="O286" s="291"/>
      <c r="P286" s="291"/>
      <c r="Q286" s="291"/>
    </row>
    <row r="287" spans="2:17" x14ac:dyDescent="0.25">
      <c r="B287" s="296">
        <f t="shared" si="6"/>
        <v>44986</v>
      </c>
      <c r="C287" s="449"/>
      <c r="D287" s="449"/>
      <c r="E287" s="291">
        <v>0.75</v>
      </c>
      <c r="F287" s="449"/>
      <c r="G287" s="449"/>
      <c r="H287" s="291"/>
      <c r="I287" s="291"/>
      <c r="J287" s="291"/>
      <c r="K287" s="291"/>
      <c r="L287" s="291"/>
      <c r="M287" s="296">
        <f t="shared" si="5"/>
        <v>1583</v>
      </c>
      <c r="N287" s="291"/>
      <c r="O287" s="291"/>
      <c r="P287" s="291"/>
      <c r="Q287" s="291"/>
    </row>
    <row r="288" spans="2:17" x14ac:dyDescent="0.25">
      <c r="B288" s="296">
        <f t="shared" si="6"/>
        <v>45017</v>
      </c>
      <c r="C288" s="449"/>
      <c r="D288" s="449"/>
      <c r="E288" s="291">
        <v>0.45</v>
      </c>
      <c r="F288" s="449"/>
      <c r="G288" s="449"/>
      <c r="H288" s="291"/>
      <c r="I288" s="291"/>
      <c r="J288" s="291"/>
      <c r="K288" s="291"/>
      <c r="L288" s="291"/>
      <c r="M288" s="296">
        <f t="shared" si="5"/>
        <v>1614</v>
      </c>
      <c r="N288" s="291"/>
      <c r="O288" s="291"/>
      <c r="P288" s="291"/>
      <c r="Q288" s="291"/>
    </row>
    <row r="289" spans="2:41" x14ac:dyDescent="0.25">
      <c r="B289" s="296">
        <f t="shared" si="6"/>
        <v>45047</v>
      </c>
      <c r="C289" s="449"/>
      <c r="D289" s="449"/>
      <c r="E289" s="291">
        <v>0.4</v>
      </c>
      <c r="F289" s="449"/>
      <c r="G289" s="449"/>
      <c r="H289" s="291"/>
      <c r="I289" s="291"/>
      <c r="J289" s="291"/>
      <c r="K289" s="291"/>
      <c r="L289" s="291"/>
      <c r="M289" s="296">
        <f t="shared" si="5"/>
        <v>1644</v>
      </c>
      <c r="N289" s="291"/>
      <c r="O289" s="291"/>
      <c r="P289" s="291"/>
      <c r="Q289" s="291"/>
    </row>
    <row r="290" spans="2:41" x14ac:dyDescent="0.25">
      <c r="B290" s="296">
        <f t="shared" si="6"/>
        <v>45078</v>
      </c>
      <c r="C290" s="449"/>
      <c r="D290" s="449"/>
      <c r="E290" s="291">
        <v>0.5</v>
      </c>
      <c r="F290" s="449"/>
      <c r="G290" s="449"/>
      <c r="H290" s="291"/>
      <c r="I290" s="291"/>
      <c r="J290" s="291"/>
      <c r="K290" s="291"/>
      <c r="L290" s="291"/>
      <c r="M290" s="296">
        <f t="shared" si="5"/>
        <v>1675</v>
      </c>
      <c r="N290" s="291"/>
      <c r="O290" s="291"/>
      <c r="P290" s="291"/>
      <c r="Q290" s="291"/>
    </row>
    <row r="291" spans="2:41" x14ac:dyDescent="0.25">
      <c r="B291" s="296">
        <f t="shared" si="6"/>
        <v>45108</v>
      </c>
      <c r="C291" s="449"/>
      <c r="D291" s="449"/>
      <c r="E291" s="291">
        <v>0.5</v>
      </c>
      <c r="F291" s="449"/>
      <c r="G291" s="449"/>
      <c r="H291" s="291"/>
      <c r="I291" s="291"/>
      <c r="J291" s="291"/>
      <c r="K291" s="291"/>
      <c r="L291" s="291"/>
      <c r="M291" s="296">
        <f t="shared" si="5"/>
        <v>1706</v>
      </c>
      <c r="N291" s="291"/>
      <c r="O291" s="291"/>
      <c r="P291" s="291"/>
      <c r="Q291" s="291"/>
    </row>
    <row r="292" spans="2:41" x14ac:dyDescent="0.25">
      <c r="B292" s="296">
        <f t="shared" si="6"/>
        <v>45139</v>
      </c>
      <c r="C292" s="449"/>
      <c r="D292" s="449"/>
      <c r="E292" s="291">
        <v>0.6</v>
      </c>
      <c r="F292" s="449"/>
      <c r="G292" s="449"/>
      <c r="H292" s="291"/>
      <c r="I292" s="291"/>
      <c r="J292" s="291"/>
      <c r="K292" s="291"/>
      <c r="L292" s="291"/>
      <c r="M292" s="296">
        <f t="shared" si="5"/>
        <v>1736</v>
      </c>
      <c r="N292" s="291"/>
      <c r="O292" s="291"/>
      <c r="P292" s="291"/>
      <c r="Q292" s="291"/>
    </row>
    <row r="293" spans="2:41" x14ac:dyDescent="0.25">
      <c r="B293" s="296">
        <f t="shared" si="6"/>
        <v>45170</v>
      </c>
      <c r="C293" s="449"/>
      <c r="D293" s="449"/>
      <c r="E293" s="291">
        <v>0.55000000000000004</v>
      </c>
      <c r="F293" s="449"/>
      <c r="G293" s="449"/>
      <c r="H293" s="291"/>
      <c r="I293" s="291"/>
      <c r="J293" s="291"/>
      <c r="K293" s="291"/>
      <c r="L293" s="291"/>
      <c r="M293" s="296">
        <f t="shared" si="5"/>
        <v>1767</v>
      </c>
      <c r="N293" s="291"/>
      <c r="O293" s="291"/>
      <c r="P293" s="291"/>
      <c r="Q293" s="291"/>
    </row>
    <row r="294" spans="2:41" x14ac:dyDescent="0.25">
      <c r="B294" s="296">
        <f t="shared" si="6"/>
        <v>45200</v>
      </c>
      <c r="C294" s="449"/>
      <c r="D294" s="449"/>
      <c r="E294" s="291">
        <v>0.6</v>
      </c>
      <c r="F294" s="449"/>
      <c r="G294" s="449"/>
      <c r="H294" s="291"/>
      <c r="I294" s="291"/>
      <c r="J294" s="291"/>
      <c r="K294" s="291"/>
      <c r="L294" s="291"/>
      <c r="M294" s="296">
        <f t="shared" si="5"/>
        <v>1797</v>
      </c>
      <c r="N294" s="291"/>
      <c r="O294" s="291"/>
      <c r="P294" s="291"/>
      <c r="Q294" s="291"/>
    </row>
    <row r="295" spans="2:41" x14ac:dyDescent="0.25">
      <c r="B295" s="296">
        <f t="shared" si="6"/>
        <v>45231</v>
      </c>
      <c r="C295" s="449"/>
      <c r="D295" s="449"/>
      <c r="E295" s="291">
        <v>0.8</v>
      </c>
      <c r="F295" s="449"/>
      <c r="G295" s="449"/>
      <c r="H295" s="291"/>
      <c r="I295" s="291"/>
      <c r="J295" s="291"/>
      <c r="K295" s="291"/>
      <c r="L295" s="291"/>
      <c r="M295" s="296">
        <f t="shared" si="5"/>
        <v>1828</v>
      </c>
      <c r="N295" s="291"/>
      <c r="O295" s="291"/>
      <c r="P295" s="291"/>
      <c r="Q295" s="291"/>
    </row>
    <row r="296" spans="2:41" x14ac:dyDescent="0.25">
      <c r="B296" s="296">
        <f t="shared" si="6"/>
        <v>45261</v>
      </c>
      <c r="C296" s="449"/>
      <c r="D296" s="449"/>
      <c r="E296" s="291">
        <v>1</v>
      </c>
      <c r="F296" s="449"/>
      <c r="G296" s="449"/>
      <c r="H296" s="291"/>
      <c r="I296" s="291"/>
      <c r="J296" s="291"/>
      <c r="K296" s="291"/>
      <c r="L296" s="291"/>
      <c r="M296" s="296">
        <f t="shared" si="5"/>
        <v>1859</v>
      </c>
      <c r="N296" s="291"/>
      <c r="O296" s="291"/>
      <c r="P296" s="291"/>
      <c r="Q296" s="291"/>
    </row>
    <row r="297" spans="2:41" x14ac:dyDescent="0.25">
      <c r="B297" s="296">
        <f t="shared" si="6"/>
        <v>45292</v>
      </c>
      <c r="C297" s="449"/>
      <c r="D297" s="449"/>
      <c r="E297" s="291">
        <v>1</v>
      </c>
      <c r="F297" s="449"/>
      <c r="G297" s="449"/>
      <c r="H297" s="291"/>
      <c r="I297" s="291"/>
      <c r="J297" s="291"/>
      <c r="K297" s="291"/>
      <c r="L297" s="291"/>
      <c r="M297" s="296">
        <f t="shared" si="5"/>
        <v>1887</v>
      </c>
      <c r="N297" s="291"/>
      <c r="O297" s="291"/>
      <c r="P297" s="291"/>
      <c r="Q297" s="291"/>
    </row>
    <row r="298" spans="2:41" x14ac:dyDescent="0.25">
      <c r="B298" s="296">
        <f t="shared" si="6"/>
        <v>45323</v>
      </c>
      <c r="C298" s="449"/>
      <c r="D298" s="449"/>
      <c r="E298" s="291">
        <v>1</v>
      </c>
      <c r="F298" s="449"/>
      <c r="G298" s="449"/>
      <c r="H298" s="291"/>
      <c r="I298" s="291"/>
      <c r="J298" s="291"/>
      <c r="K298" s="291"/>
      <c r="L298" s="291"/>
      <c r="M298" s="296">
        <f t="shared" si="5"/>
        <v>1918</v>
      </c>
      <c r="N298" s="291"/>
      <c r="O298" s="291"/>
      <c r="P298" s="291"/>
      <c r="Q298" s="291"/>
    </row>
    <row r="299" spans="2:41" x14ac:dyDescent="0.25">
      <c r="B299" s="296">
        <f t="shared" si="6"/>
        <v>45352</v>
      </c>
      <c r="C299" s="449"/>
      <c r="D299" s="449"/>
      <c r="E299" s="291">
        <v>0.75</v>
      </c>
      <c r="F299" s="449"/>
      <c r="G299" s="449"/>
      <c r="H299" s="291"/>
      <c r="I299" s="291"/>
      <c r="J299" s="291"/>
      <c r="K299" s="291"/>
      <c r="L299" s="291"/>
      <c r="M299" s="296">
        <f t="shared" si="5"/>
        <v>1948</v>
      </c>
      <c r="N299" s="291"/>
      <c r="O299" s="291"/>
      <c r="P299" s="291"/>
      <c r="Q299" s="291"/>
    </row>
    <row r="300" spans="2:41" x14ac:dyDescent="0.25">
      <c r="B300" s="296">
        <f t="shared" si="6"/>
        <v>45383</v>
      </c>
      <c r="C300" s="449"/>
      <c r="D300" s="449"/>
      <c r="E300" s="291">
        <v>0.45</v>
      </c>
      <c r="F300" s="449"/>
      <c r="G300" s="449"/>
      <c r="H300" s="291"/>
      <c r="I300" s="291"/>
      <c r="J300" s="291"/>
      <c r="K300" s="291"/>
      <c r="L300" s="291"/>
      <c r="M300" s="296">
        <f t="shared" ref="M300:M311" si="7">EOMONTH(M299,0)+1</f>
        <v>1979</v>
      </c>
      <c r="N300" s="291"/>
      <c r="O300" s="291"/>
      <c r="P300" s="291"/>
      <c r="Q300" s="291"/>
    </row>
    <row r="301" spans="2:41" x14ac:dyDescent="0.25">
      <c r="B301" s="296">
        <f t="shared" si="6"/>
        <v>45413</v>
      </c>
      <c r="C301" s="449"/>
      <c r="D301" s="449"/>
      <c r="E301" s="291">
        <v>0.4</v>
      </c>
      <c r="F301" s="449"/>
      <c r="G301" s="449"/>
      <c r="H301" s="291"/>
      <c r="I301" s="291"/>
      <c r="J301" s="291"/>
      <c r="K301" s="291"/>
      <c r="L301" s="291"/>
      <c r="M301" s="296">
        <f t="shared" si="7"/>
        <v>2009</v>
      </c>
      <c r="N301" s="291"/>
      <c r="O301" s="291"/>
      <c r="P301" s="291"/>
      <c r="Q301" s="291"/>
    </row>
    <row r="302" spans="2:41" x14ac:dyDescent="0.25">
      <c r="B302" s="296">
        <f t="shared" si="6"/>
        <v>45444</v>
      </c>
      <c r="C302" s="449"/>
      <c r="D302" s="449"/>
      <c r="E302" s="291">
        <v>0.5</v>
      </c>
      <c r="F302" s="449"/>
      <c r="G302" s="449"/>
      <c r="H302" s="291"/>
      <c r="I302" s="291"/>
      <c r="J302" s="291"/>
      <c r="K302" s="291"/>
      <c r="L302" s="291"/>
      <c r="M302" s="296">
        <f t="shared" si="7"/>
        <v>2040</v>
      </c>
      <c r="N302" s="291"/>
      <c r="O302" s="291"/>
      <c r="P302" s="291"/>
      <c r="Q302" s="291"/>
    </row>
    <row r="303" spans="2:41" x14ac:dyDescent="0.25">
      <c r="B303" s="296">
        <f t="shared" si="6"/>
        <v>45474</v>
      </c>
      <c r="C303" s="449"/>
      <c r="D303" s="449"/>
      <c r="E303" s="291">
        <v>0.5</v>
      </c>
      <c r="F303" s="449"/>
      <c r="G303" s="449"/>
      <c r="H303" s="291"/>
      <c r="I303" s="291"/>
      <c r="J303" s="291"/>
      <c r="K303" s="291"/>
      <c r="L303" s="291"/>
      <c r="M303" s="296">
        <f t="shared" si="7"/>
        <v>2071</v>
      </c>
      <c r="N303" s="291"/>
      <c r="O303" s="291"/>
      <c r="P303" s="291"/>
      <c r="Q303" s="291"/>
    </row>
    <row r="304" spans="2:41" x14ac:dyDescent="0.25">
      <c r="B304" s="296">
        <f t="shared" si="6"/>
        <v>45505</v>
      </c>
      <c r="C304" s="449"/>
      <c r="D304" s="449"/>
      <c r="E304" s="294">
        <v>0.6</v>
      </c>
      <c r="F304" s="449"/>
      <c r="G304" s="449"/>
      <c r="M304" s="296">
        <f t="shared" si="7"/>
        <v>2101</v>
      </c>
      <c r="AL304" s="306"/>
      <c r="AM304" s="306"/>
      <c r="AN304" s="306"/>
      <c r="AO304" s="306"/>
    </row>
    <row r="305" spans="2:41" x14ac:dyDescent="0.25">
      <c r="B305" s="296">
        <f t="shared" si="6"/>
        <v>45536</v>
      </c>
      <c r="C305" s="449"/>
      <c r="D305" s="449"/>
      <c r="E305" s="294">
        <v>0.55000000000000004</v>
      </c>
      <c r="F305" s="449"/>
      <c r="G305" s="449"/>
      <c r="M305" s="296">
        <f t="shared" si="7"/>
        <v>2132</v>
      </c>
      <c r="AL305" s="306"/>
      <c r="AM305" s="306"/>
      <c r="AN305" s="306"/>
      <c r="AO305" s="306"/>
    </row>
    <row r="306" spans="2:41" x14ac:dyDescent="0.25">
      <c r="B306" s="296">
        <f t="shared" si="6"/>
        <v>45566</v>
      </c>
      <c r="C306" s="449"/>
      <c r="D306" s="449"/>
      <c r="E306" s="294">
        <v>0.6</v>
      </c>
      <c r="F306" s="449"/>
      <c r="G306" s="449"/>
      <c r="M306" s="296">
        <f t="shared" si="7"/>
        <v>2162</v>
      </c>
      <c r="AL306" s="306"/>
      <c r="AM306" s="306"/>
      <c r="AN306" s="306"/>
      <c r="AO306" s="306"/>
    </row>
    <row r="307" spans="2:41" x14ac:dyDescent="0.25">
      <c r="B307" s="296">
        <f t="shared" si="6"/>
        <v>45597</v>
      </c>
      <c r="C307" s="449"/>
      <c r="D307" s="449"/>
      <c r="E307" s="294">
        <v>0.8</v>
      </c>
      <c r="F307" s="449"/>
      <c r="G307" s="449"/>
      <c r="M307" s="296">
        <f t="shared" si="7"/>
        <v>2193</v>
      </c>
      <c r="AL307" s="306"/>
      <c r="AM307" s="306"/>
      <c r="AN307" s="306"/>
      <c r="AO307" s="306"/>
    </row>
    <row r="308" spans="2:41" x14ac:dyDescent="0.25">
      <c r="B308" s="296">
        <f t="shared" si="6"/>
        <v>45627</v>
      </c>
      <c r="C308" s="449"/>
      <c r="D308" s="449"/>
      <c r="E308" s="294">
        <v>1</v>
      </c>
      <c r="F308" s="449"/>
      <c r="G308" s="449"/>
      <c r="M308" s="296">
        <f t="shared" si="7"/>
        <v>2224</v>
      </c>
      <c r="AL308" s="306"/>
      <c r="AM308" s="306"/>
      <c r="AN308" s="306"/>
      <c r="AO308" s="306"/>
    </row>
    <row r="309" spans="2:41" x14ac:dyDescent="0.25">
      <c r="B309" s="296">
        <f t="shared" si="6"/>
        <v>45658</v>
      </c>
      <c r="C309" s="449"/>
      <c r="D309" s="449"/>
      <c r="E309" s="294">
        <v>1</v>
      </c>
      <c r="F309" s="449"/>
      <c r="G309" s="449"/>
      <c r="M309" s="296">
        <f t="shared" si="7"/>
        <v>2252</v>
      </c>
      <c r="AL309" s="306"/>
      <c r="AM309" s="306"/>
      <c r="AN309" s="306"/>
      <c r="AO309" s="306"/>
    </row>
    <row r="310" spans="2:41" x14ac:dyDescent="0.25">
      <c r="B310" s="296">
        <f t="shared" si="6"/>
        <v>45689</v>
      </c>
      <c r="C310" s="449"/>
      <c r="D310" s="449"/>
      <c r="E310" s="294">
        <v>1</v>
      </c>
      <c r="F310" s="449"/>
      <c r="G310" s="449"/>
      <c r="M310" s="296">
        <f t="shared" si="7"/>
        <v>2283</v>
      </c>
      <c r="AL310" s="306"/>
      <c r="AM310" s="306"/>
      <c r="AN310" s="306"/>
      <c r="AO310" s="306"/>
    </row>
    <row r="311" spans="2:41" x14ac:dyDescent="0.25">
      <c r="B311" s="296">
        <f t="shared" si="6"/>
        <v>45717</v>
      </c>
      <c r="C311" s="449"/>
      <c r="D311" s="449"/>
      <c r="E311" s="294">
        <v>0.75</v>
      </c>
      <c r="F311" s="449"/>
      <c r="G311" s="449"/>
      <c r="M311" s="296">
        <f t="shared" si="7"/>
        <v>2313</v>
      </c>
      <c r="AL311" s="306"/>
      <c r="AM311" s="306"/>
      <c r="AN311" s="306"/>
      <c r="AO311" s="306"/>
    </row>
    <row r="312" spans="2:41" x14ac:dyDescent="0.25">
      <c r="E312" s="294">
        <v>0.45</v>
      </c>
      <c r="AL312" s="306"/>
      <c r="AM312" s="306"/>
      <c r="AN312" s="306"/>
      <c r="AO312" s="306"/>
    </row>
    <row r="313" spans="2:41" x14ac:dyDescent="0.25">
      <c r="E313" s="294">
        <v>0.4</v>
      </c>
      <c r="AL313" s="306"/>
      <c r="AM313" s="306"/>
      <c r="AN313" s="306"/>
      <c r="AO313" s="306"/>
    </row>
    <row r="314" spans="2:41" x14ac:dyDescent="0.25">
      <c r="E314" s="294">
        <v>0.5</v>
      </c>
      <c r="AL314" s="306"/>
      <c r="AM314" s="306"/>
      <c r="AN314" s="306"/>
      <c r="AO314" s="306"/>
    </row>
    <row r="315" spans="2:41" x14ac:dyDescent="0.25">
      <c r="E315" s="294">
        <v>0.5</v>
      </c>
      <c r="AL315" s="306"/>
      <c r="AM315" s="306"/>
      <c r="AN315" s="306"/>
      <c r="AO315" s="306"/>
    </row>
    <row r="316" spans="2:41" x14ac:dyDescent="0.25">
      <c r="E316" s="294">
        <v>0.6</v>
      </c>
      <c r="AL316" s="306"/>
      <c r="AM316" s="306"/>
      <c r="AN316" s="306"/>
      <c r="AO316" s="306"/>
    </row>
    <row r="317" spans="2:41" x14ac:dyDescent="0.25">
      <c r="E317" s="294">
        <v>0.55000000000000004</v>
      </c>
      <c r="AL317" s="306"/>
      <c r="AM317" s="306"/>
      <c r="AN317" s="306"/>
      <c r="AO317" s="306"/>
    </row>
    <row r="318" spans="2:41" x14ac:dyDescent="0.25">
      <c r="E318" s="294">
        <v>0.6</v>
      </c>
      <c r="AL318" s="306"/>
      <c r="AM318" s="306"/>
      <c r="AN318" s="306"/>
      <c r="AO318" s="306"/>
    </row>
    <row r="319" spans="2:41" x14ac:dyDescent="0.25">
      <c r="E319" s="294">
        <v>0.8</v>
      </c>
      <c r="AL319" s="306"/>
      <c r="AM319" s="306"/>
      <c r="AN319" s="306"/>
      <c r="AO319" s="306"/>
    </row>
    <row r="320" spans="2:41" x14ac:dyDescent="0.25">
      <c r="E320" s="294">
        <v>1</v>
      </c>
      <c r="AL320" s="306"/>
      <c r="AM320" s="306"/>
      <c r="AN320" s="306"/>
      <c r="AO320" s="306"/>
    </row>
    <row r="321" spans="5:41" x14ac:dyDescent="0.25">
      <c r="E321" s="294">
        <v>1</v>
      </c>
      <c r="AL321" s="306"/>
      <c r="AM321" s="306"/>
      <c r="AN321" s="306"/>
      <c r="AO321" s="306"/>
    </row>
    <row r="322" spans="5:41" x14ac:dyDescent="0.25">
      <c r="E322" s="294">
        <v>1</v>
      </c>
      <c r="AL322" s="306"/>
      <c r="AM322" s="306"/>
      <c r="AN322" s="306"/>
      <c r="AO322" s="306"/>
    </row>
    <row r="323" spans="5:41" x14ac:dyDescent="0.25">
      <c r="E323" s="294">
        <v>0.75</v>
      </c>
      <c r="AL323" s="306"/>
      <c r="AM323" s="306"/>
      <c r="AN323" s="306"/>
      <c r="AO323" s="306"/>
    </row>
    <row r="324" spans="5:41" x14ac:dyDescent="0.25">
      <c r="E324" s="294">
        <v>0.45</v>
      </c>
      <c r="AL324" s="306"/>
      <c r="AM324" s="306"/>
      <c r="AN324" s="306"/>
      <c r="AO324" s="306"/>
    </row>
    <row r="325" spans="5:41" x14ac:dyDescent="0.25">
      <c r="E325" s="294">
        <v>0.4</v>
      </c>
      <c r="AL325" s="306"/>
      <c r="AM325" s="306"/>
      <c r="AN325" s="306"/>
      <c r="AO325" s="306"/>
    </row>
    <row r="326" spans="5:41" x14ac:dyDescent="0.25">
      <c r="E326" s="294">
        <v>0.5</v>
      </c>
      <c r="AL326" s="306"/>
      <c r="AM326" s="306"/>
      <c r="AN326" s="306"/>
      <c r="AO326" s="306"/>
    </row>
    <row r="327" spans="5:41" x14ac:dyDescent="0.25">
      <c r="E327" s="294">
        <v>0.5</v>
      </c>
      <c r="AL327" s="306"/>
      <c r="AM327" s="306"/>
      <c r="AN327" s="306"/>
      <c r="AO327" s="306"/>
    </row>
    <row r="328" spans="5:41" x14ac:dyDescent="0.25">
      <c r="E328" s="294">
        <v>0.6</v>
      </c>
      <c r="AL328" s="306"/>
      <c r="AM328" s="306"/>
      <c r="AN328" s="306"/>
      <c r="AO328" s="306"/>
    </row>
    <row r="329" spans="5:41" x14ac:dyDescent="0.25">
      <c r="E329" s="294">
        <v>0.55000000000000004</v>
      </c>
      <c r="AL329" s="306"/>
      <c r="AM329" s="306"/>
      <c r="AN329" s="306"/>
      <c r="AO329" s="306"/>
    </row>
    <row r="330" spans="5:41" x14ac:dyDescent="0.25">
      <c r="E330" s="294">
        <v>0.6</v>
      </c>
      <c r="AL330" s="306"/>
      <c r="AM330" s="306"/>
      <c r="AN330" s="306"/>
      <c r="AO330" s="306"/>
    </row>
    <row r="331" spans="5:41" x14ac:dyDescent="0.25">
      <c r="E331" s="294">
        <v>0.8</v>
      </c>
      <c r="AL331" s="306"/>
      <c r="AM331" s="306"/>
      <c r="AN331" s="306"/>
      <c r="AO331" s="306"/>
    </row>
    <row r="332" spans="5:41" x14ac:dyDescent="0.25">
      <c r="E332" s="294">
        <v>1</v>
      </c>
      <c r="AL332" s="306"/>
      <c r="AM332" s="306"/>
      <c r="AN332" s="306"/>
      <c r="AO332" s="306"/>
    </row>
    <row r="333" spans="5:41" x14ac:dyDescent="0.25">
      <c r="E333" s="294">
        <v>1</v>
      </c>
      <c r="AL333" s="306"/>
      <c r="AM333" s="306"/>
      <c r="AN333" s="306"/>
      <c r="AO333" s="306"/>
    </row>
    <row r="334" spans="5:41" x14ac:dyDescent="0.25">
      <c r="E334" s="294">
        <v>1</v>
      </c>
      <c r="AL334" s="306"/>
      <c r="AM334" s="306"/>
      <c r="AN334" s="306"/>
      <c r="AO334" s="306"/>
    </row>
    <row r="335" spans="5:41" x14ac:dyDescent="0.25">
      <c r="E335" s="294">
        <v>0.75</v>
      </c>
      <c r="AL335" s="306"/>
      <c r="AM335" s="306"/>
      <c r="AN335" s="306"/>
      <c r="AO335" s="306"/>
    </row>
    <row r="336" spans="5:41" x14ac:dyDescent="0.25">
      <c r="E336" s="294">
        <v>0.45</v>
      </c>
      <c r="AL336" s="306"/>
      <c r="AM336" s="306"/>
      <c r="AN336" s="306"/>
      <c r="AO336" s="306"/>
    </row>
    <row r="337" spans="5:41" x14ac:dyDescent="0.25">
      <c r="E337" s="294">
        <v>0.4</v>
      </c>
      <c r="AL337" s="306"/>
      <c r="AM337" s="306"/>
      <c r="AN337" s="306"/>
      <c r="AO337" s="306"/>
    </row>
    <row r="338" spans="5:41" x14ac:dyDescent="0.25">
      <c r="E338" s="294">
        <v>0.5</v>
      </c>
      <c r="AL338" s="306"/>
      <c r="AM338" s="306"/>
      <c r="AN338" s="306"/>
      <c r="AO338" s="306"/>
    </row>
    <row r="339" spans="5:41" x14ac:dyDescent="0.25">
      <c r="E339" s="294">
        <v>0.5</v>
      </c>
      <c r="AL339" s="306"/>
      <c r="AM339" s="306"/>
      <c r="AN339" s="306"/>
      <c r="AO339" s="306"/>
    </row>
    <row r="340" spans="5:41" x14ac:dyDescent="0.25">
      <c r="E340" s="294">
        <v>0.6</v>
      </c>
      <c r="AL340" s="306"/>
      <c r="AM340" s="306"/>
      <c r="AN340" s="306"/>
      <c r="AO340" s="306"/>
    </row>
    <row r="341" spans="5:41" x14ac:dyDescent="0.25">
      <c r="E341" s="294">
        <v>0.55000000000000004</v>
      </c>
      <c r="AL341" s="306"/>
      <c r="AM341" s="306"/>
      <c r="AN341" s="306"/>
      <c r="AO341" s="306"/>
    </row>
    <row r="342" spans="5:41" x14ac:dyDescent="0.25">
      <c r="E342" s="294">
        <v>0.6</v>
      </c>
      <c r="AL342" s="306"/>
      <c r="AM342" s="306"/>
      <c r="AN342" s="306"/>
      <c r="AO342" s="306"/>
    </row>
    <row r="343" spans="5:41" x14ac:dyDescent="0.25">
      <c r="E343" s="294">
        <v>0.8</v>
      </c>
      <c r="AL343" s="306"/>
      <c r="AM343" s="306"/>
      <c r="AN343" s="306"/>
      <c r="AO343" s="306"/>
    </row>
    <row r="344" spans="5:41" x14ac:dyDescent="0.25">
      <c r="E344" s="294">
        <v>1</v>
      </c>
      <c r="AL344" s="306"/>
      <c r="AM344" s="306"/>
      <c r="AN344" s="306"/>
      <c r="AO344" s="306"/>
    </row>
    <row r="345" spans="5:41" x14ac:dyDescent="0.25">
      <c r="AL345" s="306"/>
      <c r="AM345" s="306"/>
      <c r="AN345" s="306"/>
      <c r="AO345" s="306"/>
    </row>
    <row r="346" spans="5:41" x14ac:dyDescent="0.25">
      <c r="AL346" s="306"/>
      <c r="AM346" s="306"/>
      <c r="AN346" s="306"/>
      <c r="AO346" s="306"/>
    </row>
    <row r="347" spans="5:41" x14ac:dyDescent="0.25">
      <c r="AL347" s="306"/>
      <c r="AM347" s="306"/>
      <c r="AN347" s="306"/>
      <c r="AO347" s="306"/>
    </row>
    <row r="348" spans="5:41" x14ac:dyDescent="0.25">
      <c r="AL348" s="306"/>
      <c r="AM348" s="306"/>
      <c r="AN348" s="306"/>
      <c r="AO348" s="306"/>
    </row>
    <row r="349" spans="5:41" x14ac:dyDescent="0.25">
      <c r="AL349" s="306"/>
      <c r="AM349" s="306"/>
      <c r="AN349" s="306"/>
      <c r="AO349" s="306"/>
    </row>
    <row r="350" spans="5:41" x14ac:dyDescent="0.25">
      <c r="AL350" s="306"/>
      <c r="AM350" s="306"/>
      <c r="AN350" s="306"/>
      <c r="AO350" s="306"/>
    </row>
    <row r="351" spans="5:41" x14ac:dyDescent="0.25">
      <c r="AL351" s="306"/>
      <c r="AM351" s="306"/>
      <c r="AN351" s="306"/>
      <c r="AO351" s="306"/>
    </row>
    <row r="352" spans="5:41" x14ac:dyDescent="0.25">
      <c r="AL352" s="306"/>
      <c r="AM352" s="306"/>
      <c r="AN352" s="306"/>
      <c r="AO352" s="306"/>
    </row>
    <row r="353" spans="38:41" x14ac:dyDescent="0.25">
      <c r="AL353" s="306"/>
      <c r="AM353" s="306"/>
      <c r="AN353" s="306"/>
      <c r="AO353" s="306"/>
    </row>
    <row r="354" spans="38:41" x14ac:dyDescent="0.25">
      <c r="AL354" s="306"/>
      <c r="AM354" s="306"/>
      <c r="AN354" s="306"/>
      <c r="AO354" s="306"/>
    </row>
    <row r="355" spans="38:41" x14ac:dyDescent="0.25">
      <c r="AL355" s="306"/>
      <c r="AM355" s="306"/>
      <c r="AN355" s="306"/>
      <c r="AO355" s="306"/>
    </row>
    <row r="356" spans="38:41" x14ac:dyDescent="0.25">
      <c r="AL356" s="306"/>
      <c r="AM356" s="306"/>
      <c r="AN356" s="306"/>
      <c r="AO356" s="306"/>
    </row>
    <row r="357" spans="38:41" x14ac:dyDescent="0.25">
      <c r="AL357" s="306"/>
      <c r="AM357" s="306"/>
      <c r="AN357" s="306"/>
      <c r="AO357" s="306"/>
    </row>
    <row r="358" spans="38:41" x14ac:dyDescent="0.25">
      <c r="AL358" s="306"/>
      <c r="AM358" s="306"/>
      <c r="AN358" s="306"/>
      <c r="AO358" s="306"/>
    </row>
    <row r="359" spans="38:41" x14ac:dyDescent="0.25">
      <c r="AL359" s="306"/>
      <c r="AM359" s="306"/>
      <c r="AN359" s="306"/>
      <c r="AO359" s="306"/>
    </row>
    <row r="360" spans="38:41" x14ac:dyDescent="0.25">
      <c r="AL360" s="306"/>
      <c r="AM360" s="306"/>
      <c r="AN360" s="306"/>
      <c r="AO360" s="306"/>
    </row>
    <row r="361" spans="38:41" x14ac:dyDescent="0.25">
      <c r="AL361" s="306"/>
      <c r="AM361" s="306"/>
      <c r="AN361" s="306"/>
      <c r="AO361" s="306"/>
    </row>
    <row r="362" spans="38:41" x14ac:dyDescent="0.25">
      <c r="AL362" s="306"/>
      <c r="AM362" s="306"/>
      <c r="AN362" s="306"/>
      <c r="AO362" s="306"/>
    </row>
    <row r="363" spans="38:41" x14ac:dyDescent="0.25">
      <c r="AL363" s="306"/>
      <c r="AM363" s="306"/>
      <c r="AN363" s="306"/>
      <c r="AO363" s="306"/>
    </row>
    <row r="364" spans="38:41" x14ac:dyDescent="0.25">
      <c r="AL364" s="306"/>
      <c r="AM364" s="306"/>
      <c r="AN364" s="306"/>
      <c r="AO364" s="306"/>
    </row>
    <row r="365" spans="38:41" x14ac:dyDescent="0.25">
      <c r="AL365" s="306"/>
      <c r="AM365" s="306"/>
      <c r="AN365" s="306"/>
      <c r="AO365" s="306"/>
    </row>
    <row r="366" spans="38:41" x14ac:dyDescent="0.25">
      <c r="AL366" s="306"/>
      <c r="AM366" s="306"/>
      <c r="AN366" s="306"/>
      <c r="AO366" s="306"/>
    </row>
    <row r="367" spans="38:41" x14ac:dyDescent="0.25">
      <c r="AL367" s="306"/>
      <c r="AM367" s="306"/>
      <c r="AN367" s="306"/>
      <c r="AO367" s="306"/>
    </row>
    <row r="389" spans="6:7" x14ac:dyDescent="0.25">
      <c r="F389" s="449"/>
      <c r="G389" s="449"/>
    </row>
    <row r="390" spans="6:7" x14ac:dyDescent="0.25">
      <c r="F390" s="449"/>
      <c r="G390" s="449"/>
    </row>
    <row r="391" spans="6:7" x14ac:dyDescent="0.25">
      <c r="F391" s="449"/>
      <c r="G391" s="449"/>
    </row>
    <row r="392" spans="6:7" x14ac:dyDescent="0.25">
      <c r="F392" s="449"/>
      <c r="G392" s="449"/>
    </row>
    <row r="393" spans="6:7" x14ac:dyDescent="0.25">
      <c r="F393" s="449"/>
      <c r="G393" s="449"/>
    </row>
    <row r="394" spans="6:7" x14ac:dyDescent="0.25">
      <c r="F394" s="449"/>
      <c r="G394" s="449"/>
    </row>
    <row r="395" spans="6:7" x14ac:dyDescent="0.25">
      <c r="F395" s="449"/>
      <c r="G395" s="449"/>
    </row>
    <row r="396" spans="6:7" x14ac:dyDescent="0.25">
      <c r="F396" s="449"/>
      <c r="G396" s="449"/>
    </row>
    <row r="397" spans="6:7" x14ac:dyDescent="0.25">
      <c r="F397" s="449"/>
      <c r="G397" s="449"/>
    </row>
    <row r="398" spans="6:7" x14ac:dyDescent="0.25">
      <c r="F398" s="449"/>
      <c r="G398" s="449"/>
    </row>
    <row r="399" spans="6:7" x14ac:dyDescent="0.25">
      <c r="F399" s="449"/>
      <c r="G399" s="449"/>
    </row>
    <row r="400" spans="6:7" x14ac:dyDescent="0.25">
      <c r="F400" s="449"/>
      <c r="G400" s="449"/>
    </row>
    <row r="401" spans="6:7" x14ac:dyDescent="0.25">
      <c r="F401" s="449"/>
      <c r="G401" s="449"/>
    </row>
    <row r="402" spans="6:7" x14ac:dyDescent="0.25">
      <c r="F402" s="449"/>
      <c r="G402" s="449"/>
    </row>
    <row r="403" spans="6:7" x14ac:dyDescent="0.25">
      <c r="F403" s="449"/>
      <c r="G403" s="449"/>
    </row>
    <row r="404" spans="6:7" x14ac:dyDescent="0.25">
      <c r="F404" s="449"/>
      <c r="G404" s="449"/>
    </row>
    <row r="405" spans="6:7" x14ac:dyDescent="0.25">
      <c r="F405" s="449"/>
      <c r="G405" s="449"/>
    </row>
    <row r="406" spans="6:7" x14ac:dyDescent="0.25">
      <c r="F406" s="449"/>
      <c r="G406" s="449"/>
    </row>
    <row r="407" spans="6:7" x14ac:dyDescent="0.25">
      <c r="F407" s="449"/>
      <c r="G407" s="449"/>
    </row>
    <row r="408" spans="6:7" x14ac:dyDescent="0.25">
      <c r="F408" s="449"/>
      <c r="G408" s="449"/>
    </row>
    <row r="409" spans="6:7" x14ac:dyDescent="0.25">
      <c r="F409" s="449"/>
      <c r="G409" s="449"/>
    </row>
    <row r="410" spans="6:7" x14ac:dyDescent="0.25">
      <c r="F410" s="449"/>
      <c r="G410" s="449"/>
    </row>
    <row r="411" spans="6:7" x14ac:dyDescent="0.25">
      <c r="F411" s="449"/>
      <c r="G411" s="449"/>
    </row>
    <row r="412" spans="6:7" x14ac:dyDescent="0.25">
      <c r="F412" s="449"/>
      <c r="G412" s="449"/>
    </row>
    <row r="413" spans="6:7" x14ac:dyDescent="0.25">
      <c r="F413" s="449"/>
      <c r="G413" s="449"/>
    </row>
    <row r="414" spans="6:7" x14ac:dyDescent="0.25">
      <c r="F414" s="449"/>
      <c r="G414" s="449"/>
    </row>
    <row r="415" spans="6:7" x14ac:dyDescent="0.25">
      <c r="F415" s="449"/>
      <c r="G415" s="449"/>
    </row>
    <row r="416" spans="6:7" x14ac:dyDescent="0.25">
      <c r="F416" s="449"/>
      <c r="G416" s="449"/>
    </row>
    <row r="417" spans="6:7" x14ac:dyDescent="0.25">
      <c r="F417" s="449"/>
      <c r="G417" s="449"/>
    </row>
    <row r="418" spans="6:7" x14ac:dyDescent="0.25">
      <c r="F418" s="449"/>
      <c r="G418" s="449"/>
    </row>
    <row r="419" spans="6:7" x14ac:dyDescent="0.25">
      <c r="F419" s="449"/>
      <c r="G419" s="449"/>
    </row>
    <row r="420" spans="6:7" x14ac:dyDescent="0.25">
      <c r="F420" s="449"/>
      <c r="G420" s="449"/>
    </row>
    <row r="421" spans="6:7" x14ac:dyDescent="0.25">
      <c r="F421" s="449"/>
      <c r="G421" s="449"/>
    </row>
    <row r="422" spans="6:7" x14ac:dyDescent="0.25">
      <c r="F422" s="449"/>
      <c r="G422" s="449"/>
    </row>
    <row r="423" spans="6:7" x14ac:dyDescent="0.25">
      <c r="F423" s="449"/>
      <c r="G423" s="449"/>
    </row>
    <row r="424" spans="6:7" x14ac:dyDescent="0.25">
      <c r="F424" s="449"/>
      <c r="G424" s="449"/>
    </row>
    <row r="425" spans="6:7" x14ac:dyDescent="0.25">
      <c r="F425" s="449"/>
      <c r="G425" s="449"/>
    </row>
    <row r="426" spans="6:7" x14ac:dyDescent="0.25">
      <c r="F426" s="449"/>
      <c r="G426" s="449"/>
    </row>
    <row r="427" spans="6:7" x14ac:dyDescent="0.25">
      <c r="F427" s="449"/>
      <c r="G427" s="449"/>
    </row>
    <row r="428" spans="6:7" x14ac:dyDescent="0.25">
      <c r="F428" s="449"/>
      <c r="G428" s="449"/>
    </row>
    <row r="429" spans="6:7" x14ac:dyDescent="0.25">
      <c r="F429" s="449"/>
      <c r="G429" s="449"/>
    </row>
    <row r="430" spans="6:7" x14ac:dyDescent="0.25">
      <c r="F430" s="449"/>
      <c r="G430" s="449"/>
    </row>
    <row r="431" spans="6:7" x14ac:dyDescent="0.25">
      <c r="F431" s="449"/>
      <c r="G431" s="449"/>
    </row>
    <row r="432" spans="6:7" x14ac:dyDescent="0.25">
      <c r="F432" s="449"/>
      <c r="G432" s="449"/>
    </row>
    <row r="433" spans="6:7" x14ac:dyDescent="0.25">
      <c r="F433" s="449"/>
      <c r="G433" s="449"/>
    </row>
    <row r="434" spans="6:7" x14ac:dyDescent="0.25">
      <c r="F434" s="449"/>
      <c r="G434" s="449"/>
    </row>
    <row r="435" spans="6:7" x14ac:dyDescent="0.25">
      <c r="F435" s="449"/>
      <c r="G435" s="449"/>
    </row>
    <row r="436" spans="6:7" x14ac:dyDescent="0.25">
      <c r="F436" s="449"/>
      <c r="G436" s="449"/>
    </row>
    <row r="437" spans="6:7" x14ac:dyDescent="0.25">
      <c r="F437" s="449"/>
      <c r="G437" s="449"/>
    </row>
    <row r="438" spans="6:7" x14ac:dyDescent="0.25">
      <c r="F438" s="449"/>
      <c r="G438" s="449"/>
    </row>
    <row r="439" spans="6:7" x14ac:dyDescent="0.25">
      <c r="F439" s="449"/>
      <c r="G439" s="449"/>
    </row>
    <row r="440" spans="6:7" x14ac:dyDescent="0.25">
      <c r="F440" s="449"/>
      <c r="G440" s="449"/>
    </row>
    <row r="441" spans="6:7" x14ac:dyDescent="0.25">
      <c r="F441" s="449"/>
      <c r="G441" s="449"/>
    </row>
    <row r="442" spans="6:7" x14ac:dyDescent="0.25">
      <c r="F442" s="449"/>
      <c r="G442" s="449"/>
    </row>
    <row r="443" spans="6:7" x14ac:dyDescent="0.25">
      <c r="F443" s="449"/>
      <c r="G443" s="449"/>
    </row>
    <row r="444" spans="6:7" x14ac:dyDescent="0.25">
      <c r="F444" s="449"/>
      <c r="G444" s="449"/>
    </row>
    <row r="445" spans="6:7" x14ac:dyDescent="0.25">
      <c r="F445" s="449"/>
      <c r="G445" s="449"/>
    </row>
    <row r="446" spans="6:7" x14ac:dyDescent="0.25">
      <c r="F446" s="449"/>
      <c r="G446" s="449"/>
    </row>
    <row r="447" spans="6:7" x14ac:dyDescent="0.25">
      <c r="F447" s="449"/>
      <c r="G447" s="449"/>
    </row>
    <row r="448" spans="6:7" x14ac:dyDescent="0.25">
      <c r="F448" s="449"/>
      <c r="G448" s="449"/>
    </row>
    <row r="449" spans="6:7" x14ac:dyDescent="0.25">
      <c r="F449" s="449"/>
      <c r="G449" s="449"/>
    </row>
    <row r="450" spans="6:7" x14ac:dyDescent="0.25">
      <c r="F450" s="449"/>
      <c r="G450" s="449"/>
    </row>
    <row r="451" spans="6:7" x14ac:dyDescent="0.25">
      <c r="F451" s="449"/>
      <c r="G451" s="449"/>
    </row>
    <row r="452" spans="6:7" x14ac:dyDescent="0.25">
      <c r="F452" s="449"/>
      <c r="G452" s="449"/>
    </row>
    <row r="453" spans="6:7" x14ac:dyDescent="0.25">
      <c r="F453" s="449"/>
      <c r="G453" s="449"/>
    </row>
    <row r="454" spans="6:7" x14ac:dyDescent="0.25">
      <c r="F454" s="449"/>
      <c r="G454" s="449"/>
    </row>
    <row r="455" spans="6:7" x14ac:dyDescent="0.25">
      <c r="F455" s="449"/>
      <c r="G455" s="449"/>
    </row>
    <row r="456" spans="6:7" x14ac:dyDescent="0.25">
      <c r="F456" s="449"/>
      <c r="G456" s="449"/>
    </row>
    <row r="457" spans="6:7" x14ac:dyDescent="0.25">
      <c r="F457" s="449"/>
      <c r="G457" s="449"/>
    </row>
    <row r="458" spans="6:7" x14ac:dyDescent="0.25">
      <c r="F458" s="449"/>
      <c r="G458" s="449"/>
    </row>
    <row r="459" spans="6:7" x14ac:dyDescent="0.25">
      <c r="F459" s="449"/>
      <c r="G459" s="449"/>
    </row>
    <row r="460" spans="6:7" x14ac:dyDescent="0.25">
      <c r="F460" s="449"/>
      <c r="G460" s="449"/>
    </row>
    <row r="461" spans="6:7" x14ac:dyDescent="0.25">
      <c r="F461" s="449"/>
      <c r="G461" s="449"/>
    </row>
    <row r="462" spans="6:7" x14ac:dyDescent="0.25">
      <c r="F462" s="449"/>
      <c r="G462" s="449"/>
    </row>
    <row r="463" spans="6:7" x14ac:dyDescent="0.25">
      <c r="F463" s="449"/>
      <c r="G463" s="449"/>
    </row>
    <row r="464" spans="6:7" x14ac:dyDescent="0.25">
      <c r="F464" s="449"/>
      <c r="G464" s="449"/>
    </row>
    <row r="465" spans="6:7" x14ac:dyDescent="0.25">
      <c r="F465" s="449"/>
      <c r="G465" s="449"/>
    </row>
    <row r="466" spans="6:7" x14ac:dyDescent="0.25">
      <c r="F466" s="449"/>
      <c r="G466" s="449"/>
    </row>
    <row r="467" spans="6:7" x14ac:dyDescent="0.25">
      <c r="F467" s="449"/>
      <c r="G467" s="449"/>
    </row>
    <row r="468" spans="6:7" x14ac:dyDescent="0.25">
      <c r="F468" s="449"/>
      <c r="G468" s="449"/>
    </row>
    <row r="469" spans="6:7" x14ac:dyDescent="0.25">
      <c r="F469" s="449"/>
      <c r="G469" s="449"/>
    </row>
    <row r="470" spans="6:7" x14ac:dyDescent="0.25">
      <c r="F470" s="449"/>
      <c r="G470" s="449"/>
    </row>
    <row r="471" spans="6:7" x14ac:dyDescent="0.25">
      <c r="F471" s="449"/>
      <c r="G471" s="449"/>
    </row>
    <row r="472" spans="6:7" x14ac:dyDescent="0.25">
      <c r="F472" s="449"/>
      <c r="G472" s="449"/>
    </row>
    <row r="473" spans="6:7" x14ac:dyDescent="0.25">
      <c r="F473" s="449"/>
      <c r="G473" s="449"/>
    </row>
    <row r="474" spans="6:7" x14ac:dyDescent="0.25">
      <c r="F474" s="449"/>
      <c r="G474" s="449"/>
    </row>
    <row r="475" spans="6:7" x14ac:dyDescent="0.25">
      <c r="F475" s="449"/>
      <c r="G475" s="449"/>
    </row>
    <row r="476" spans="6:7" x14ac:dyDescent="0.25">
      <c r="F476" s="449"/>
      <c r="G476" s="449"/>
    </row>
    <row r="477" spans="6:7" x14ac:dyDescent="0.25">
      <c r="F477" s="449"/>
      <c r="G477" s="449"/>
    </row>
    <row r="478" spans="6:7" x14ac:dyDescent="0.25">
      <c r="F478" s="449"/>
      <c r="G478" s="449"/>
    </row>
    <row r="479" spans="6:7" x14ac:dyDescent="0.25">
      <c r="F479" s="449"/>
      <c r="G479" s="449"/>
    </row>
    <row r="480" spans="6:7" x14ac:dyDescent="0.25">
      <c r="F480" s="449"/>
      <c r="G480" s="449"/>
    </row>
    <row r="481" spans="6:7" x14ac:dyDescent="0.25">
      <c r="F481" s="449"/>
      <c r="G481" s="449"/>
    </row>
    <row r="482" spans="6:7" x14ac:dyDescent="0.25">
      <c r="F482" s="449"/>
      <c r="G482" s="449"/>
    </row>
    <row r="483" spans="6:7" x14ac:dyDescent="0.25">
      <c r="F483" s="449"/>
      <c r="G483" s="449"/>
    </row>
    <row r="484" spans="6:7" x14ac:dyDescent="0.25">
      <c r="F484" s="449"/>
      <c r="G484" s="449"/>
    </row>
    <row r="485" spans="6:7" x14ac:dyDescent="0.25">
      <c r="F485" s="449"/>
      <c r="G485" s="449"/>
    </row>
    <row r="486" spans="6:7" x14ac:dyDescent="0.25">
      <c r="F486" s="449"/>
      <c r="G486" s="449"/>
    </row>
    <row r="487" spans="6:7" x14ac:dyDescent="0.25">
      <c r="F487" s="449"/>
      <c r="G487" s="449"/>
    </row>
    <row r="488" spans="6:7" x14ac:dyDescent="0.25">
      <c r="F488" s="449"/>
      <c r="G488" s="449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6387" r:id="rId4" name="CommandButton3">
          <controlPr defaultSize="0" autoLine="0" r:id="rId5">
            <anchor moveWithCells="1">
              <from>
                <xdr:col>2</xdr:col>
                <xdr:colOff>441960</xdr:colOff>
                <xdr:row>5</xdr:row>
                <xdr:rowOff>76200</xdr:rowOff>
              </from>
              <to>
                <xdr:col>4</xdr:col>
                <xdr:colOff>198120</xdr:colOff>
                <xdr:row>7</xdr:row>
                <xdr:rowOff>30480</xdr:rowOff>
              </to>
            </anchor>
          </controlPr>
        </control>
      </mc:Choice>
      <mc:Fallback>
        <control shapeId="16387" r:id="rId4" name="CommandButton3"/>
      </mc:Fallback>
    </mc:AlternateContent>
    <mc:AlternateContent xmlns:mc="http://schemas.openxmlformats.org/markup-compatibility/2006">
      <mc:Choice Requires="x14">
        <control shapeId="16386" r:id="rId6" name="CommandButton2">
          <controlPr defaultSize="0" autoLine="0" r:id="rId7">
            <anchor moveWithCells="1">
              <from>
                <xdr:col>1</xdr:col>
                <xdr:colOff>289560</xdr:colOff>
                <xdr:row>5</xdr:row>
                <xdr:rowOff>76200</xdr:rowOff>
              </from>
              <to>
                <xdr:col>2</xdr:col>
                <xdr:colOff>167640</xdr:colOff>
                <xdr:row>7</xdr:row>
                <xdr:rowOff>30480</xdr:rowOff>
              </to>
            </anchor>
          </controlPr>
        </control>
      </mc:Choice>
      <mc:Fallback>
        <control shapeId="16386" r:id="rId6" name="CommandButton2"/>
      </mc:Fallback>
    </mc:AlternateContent>
    <mc:AlternateContent xmlns:mc="http://schemas.openxmlformats.org/markup-compatibility/2006">
      <mc:Choice Requires="x14">
        <control shapeId="16385" r:id="rId8" name="CommandButton1">
          <controlPr defaultSize="0" autoLine="0" r:id="rId9">
            <anchor moveWithCells="1">
              <from>
                <xdr:col>0</xdr:col>
                <xdr:colOff>182880</xdr:colOff>
                <xdr:row>5</xdr:row>
                <xdr:rowOff>68580</xdr:rowOff>
              </from>
              <to>
                <xdr:col>1</xdr:col>
                <xdr:colOff>228600</xdr:colOff>
                <xdr:row>7</xdr:row>
                <xdr:rowOff>22860</xdr:rowOff>
              </to>
            </anchor>
          </controlPr>
        </control>
      </mc:Choice>
      <mc:Fallback>
        <control shapeId="16385" r:id="rId8" name="CommandButton1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IA1000"/>
  <sheetViews>
    <sheetView workbookViewId="0">
      <selection activeCell="C11" sqref="C11:BB235"/>
    </sheetView>
  </sheetViews>
  <sheetFormatPr defaultColWidth="9.109375" defaultRowHeight="13.2" x14ac:dyDescent="0.25"/>
  <cols>
    <col min="1" max="1" width="9.109375" style="206"/>
    <col min="2" max="2" width="16.109375" style="206" customWidth="1"/>
    <col min="3" max="3" width="14.109375" style="206" customWidth="1"/>
    <col min="4" max="4" width="12.6640625" style="194" customWidth="1"/>
    <col min="5" max="6" width="16.6640625" style="321" customWidth="1"/>
    <col min="7" max="7" width="16.6640625" style="194" customWidth="1"/>
    <col min="8" max="8" width="16.6640625" style="206" customWidth="1"/>
    <col min="9" max="9" width="16.6640625" style="194" customWidth="1"/>
    <col min="10" max="10" width="16.6640625" style="206" customWidth="1"/>
    <col min="11" max="37" width="16.6640625" style="322" customWidth="1"/>
    <col min="38" max="40" width="12.109375" style="206" customWidth="1"/>
    <col min="41" max="41" width="15.44140625" style="206" customWidth="1"/>
    <col min="42" max="43" width="13" style="206" customWidth="1"/>
    <col min="44" max="45" width="13.109375" style="206" customWidth="1"/>
    <col min="46" max="46" width="15.5546875" style="206" customWidth="1"/>
    <col min="47" max="48" width="14.109375" style="206" customWidth="1"/>
    <col min="49" max="49" width="18" style="206" customWidth="1"/>
    <col min="50" max="50" width="14.109375" style="206" customWidth="1"/>
    <col min="51" max="51" width="12.33203125" style="206" customWidth="1"/>
    <col min="52" max="52" width="14" style="206" customWidth="1"/>
    <col min="53" max="53" width="10.5546875" style="206" customWidth="1"/>
    <col min="54" max="54" width="12.44140625" style="206" bestFit="1" customWidth="1"/>
    <col min="55" max="55" width="10.88671875" style="206" customWidth="1"/>
    <col min="56" max="56" width="16.109375" style="206" customWidth="1"/>
    <col min="57" max="57" width="14.109375" style="206" customWidth="1"/>
    <col min="58" max="58" width="15.44140625" style="194" customWidth="1"/>
    <col min="59" max="60" width="14.109375" style="206" customWidth="1"/>
    <col min="61" max="16384" width="9.109375" style="206"/>
  </cols>
  <sheetData>
    <row r="1" spans="1:235" x14ac:dyDescent="0.25">
      <c r="A1" s="194"/>
      <c r="D1" s="310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  <c r="AV1" s="205"/>
      <c r="AW1" s="205"/>
      <c r="AX1" s="205"/>
      <c r="AY1" s="205"/>
      <c r="AZ1" s="205"/>
      <c r="BA1" s="205"/>
      <c r="BB1" s="205"/>
      <c r="BC1" s="205"/>
      <c r="BD1" s="205"/>
      <c r="BE1" s="205"/>
      <c r="BF1" s="311"/>
      <c r="BG1" s="205"/>
      <c r="BH1" s="205"/>
    </row>
    <row r="2" spans="1:235" x14ac:dyDescent="0.25">
      <c r="B2" s="311"/>
      <c r="C2" s="194"/>
      <c r="D2" s="324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</row>
    <row r="3" spans="1:235" x14ac:dyDescent="0.25">
      <c r="B3" s="312"/>
      <c r="D3" s="324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  <c r="Z3" s="208"/>
      <c r="AA3" s="208"/>
      <c r="AB3" s="208"/>
      <c r="AC3" s="208"/>
      <c r="AD3" s="208"/>
      <c r="AE3" s="208"/>
      <c r="AF3" s="208"/>
      <c r="AG3" s="208"/>
      <c r="AH3" s="208"/>
      <c r="AI3" s="208"/>
      <c r="AJ3" s="208"/>
      <c r="AK3" s="208"/>
      <c r="AL3" s="208"/>
      <c r="AM3" s="208"/>
      <c r="AN3" s="208"/>
      <c r="AO3" s="208"/>
      <c r="AP3" s="208"/>
      <c r="AQ3" s="208"/>
      <c r="AR3" s="208"/>
      <c r="AS3" s="208"/>
      <c r="AT3" s="208"/>
      <c r="AU3" s="208"/>
      <c r="AV3" s="208"/>
      <c r="AW3" s="208"/>
      <c r="AX3" s="208"/>
      <c r="AY3" s="208"/>
      <c r="AZ3" s="208"/>
      <c r="BA3" s="208"/>
      <c r="BB3" s="208"/>
      <c r="BC3" s="208"/>
      <c r="BD3" s="208"/>
      <c r="BE3" s="208"/>
      <c r="BF3" s="207"/>
      <c r="BG3" s="208"/>
      <c r="BH3" s="208"/>
    </row>
    <row r="4" spans="1:235" x14ac:dyDescent="0.25">
      <c r="B4" s="312"/>
      <c r="D4" s="324"/>
      <c r="E4" s="208"/>
      <c r="F4" s="208"/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08"/>
      <c r="AE4" s="208"/>
      <c r="AF4" s="208"/>
      <c r="AG4" s="208"/>
      <c r="AH4" s="208"/>
      <c r="AI4" s="208"/>
      <c r="AJ4" s="208"/>
      <c r="AK4" s="208"/>
      <c r="AL4" s="208"/>
      <c r="AM4" s="208"/>
      <c r="AN4" s="208"/>
      <c r="AO4" s="208"/>
      <c r="AP4" s="208"/>
      <c r="AQ4" s="208"/>
      <c r="AR4" s="208"/>
      <c r="AS4" s="208"/>
      <c r="AT4" s="208"/>
      <c r="AU4" s="208"/>
      <c r="AV4" s="208"/>
      <c r="AW4" s="208"/>
      <c r="AX4" s="208"/>
      <c r="AY4" s="208"/>
      <c r="AZ4" s="208"/>
      <c r="BA4" s="208"/>
      <c r="BB4" s="208"/>
      <c r="BC4" s="208"/>
      <c r="BD4" s="208"/>
      <c r="BE4" s="208"/>
      <c r="BF4" s="207"/>
      <c r="BG4" s="208"/>
      <c r="BH4" s="208"/>
    </row>
    <row r="5" spans="1:235" x14ac:dyDescent="0.25">
      <c r="B5" s="313"/>
      <c r="D5" s="324"/>
      <c r="E5" s="209"/>
      <c r="F5" s="209"/>
      <c r="G5" s="209"/>
      <c r="H5" s="209"/>
      <c r="I5" s="209"/>
      <c r="J5" s="205"/>
      <c r="K5" s="205"/>
      <c r="L5" s="209"/>
      <c r="M5" s="205"/>
      <c r="N5" s="205"/>
      <c r="O5" s="209"/>
      <c r="P5" s="205"/>
      <c r="Q5" s="205"/>
      <c r="R5" s="205"/>
      <c r="S5" s="205"/>
      <c r="T5" s="205"/>
      <c r="U5" s="205"/>
      <c r="V5" s="205"/>
      <c r="W5" s="209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9"/>
      <c r="AI5" s="209"/>
      <c r="AJ5" s="209"/>
      <c r="AK5" s="209"/>
      <c r="AL5" s="209"/>
      <c r="AM5" s="209"/>
      <c r="AN5" s="209"/>
      <c r="AO5" s="209"/>
      <c r="AP5" s="209"/>
      <c r="AQ5" s="209"/>
      <c r="AR5" s="205"/>
      <c r="AS5" s="205"/>
      <c r="AT5" s="205"/>
      <c r="AU5" s="209"/>
      <c r="AV5" s="205"/>
      <c r="AW5" s="205"/>
      <c r="AX5" s="209"/>
      <c r="AY5" s="205"/>
      <c r="AZ5" s="205"/>
      <c r="BA5" s="205"/>
      <c r="BB5" s="205"/>
      <c r="BC5" s="205"/>
      <c r="BD5" s="205"/>
      <c r="BE5" s="205"/>
      <c r="BF5" s="207"/>
      <c r="BG5" s="205"/>
      <c r="BH5" s="205"/>
    </row>
    <row r="6" spans="1:235" x14ac:dyDescent="0.25">
      <c r="B6" s="313"/>
      <c r="D6" s="324"/>
      <c r="E6" s="209"/>
      <c r="F6" s="209"/>
      <c r="G6" s="209"/>
      <c r="H6" s="209"/>
      <c r="I6" s="209"/>
      <c r="J6" s="205"/>
      <c r="K6" s="205"/>
      <c r="L6" s="209"/>
      <c r="M6" s="205"/>
      <c r="N6" s="205"/>
      <c r="O6" s="209"/>
      <c r="P6" s="205"/>
      <c r="Q6" s="205"/>
      <c r="R6" s="205"/>
      <c r="S6" s="205"/>
      <c r="T6" s="205"/>
      <c r="U6" s="205"/>
      <c r="V6" s="205"/>
      <c r="W6" s="209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5"/>
      <c r="AS6" s="205"/>
      <c r="AT6" s="205"/>
      <c r="AU6" s="209"/>
      <c r="AV6" s="205"/>
      <c r="AW6" s="205"/>
      <c r="AX6" s="209"/>
      <c r="AY6" s="205"/>
      <c r="AZ6" s="205"/>
      <c r="BA6" s="205"/>
      <c r="BB6" s="205"/>
      <c r="BC6" s="205"/>
      <c r="BD6" s="205"/>
      <c r="BE6" s="205"/>
      <c r="BF6" s="207"/>
      <c r="BG6" s="205"/>
      <c r="BH6" s="205"/>
    </row>
    <row r="7" spans="1:235" x14ac:dyDescent="0.25">
      <c r="B7" s="313"/>
      <c r="D7" s="324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  <c r="AQ7" s="209"/>
      <c r="AR7" s="209"/>
      <c r="AS7" s="209"/>
      <c r="AT7" s="209"/>
      <c r="AU7" s="209"/>
      <c r="AV7" s="209"/>
      <c r="AW7" s="209"/>
      <c r="AX7" s="209"/>
      <c r="AY7" s="209"/>
      <c r="AZ7" s="209"/>
      <c r="BA7" s="209"/>
      <c r="BB7" s="209"/>
      <c r="BC7" s="209"/>
      <c r="BD7" s="209"/>
      <c r="BE7" s="209"/>
      <c r="BF7" s="207"/>
      <c r="BG7" s="209"/>
      <c r="BH7" s="209"/>
    </row>
    <row r="8" spans="1:235" x14ac:dyDescent="0.25">
      <c r="B8" s="314"/>
      <c r="D8" s="315"/>
      <c r="E8" s="320"/>
      <c r="F8" s="320"/>
      <c r="G8" s="320"/>
      <c r="H8" s="320"/>
      <c r="I8" s="320"/>
      <c r="J8" s="320"/>
      <c r="K8" s="320"/>
      <c r="L8" s="320"/>
      <c r="M8" s="320"/>
      <c r="N8" s="320"/>
      <c r="O8" s="320"/>
      <c r="P8" s="320"/>
      <c r="Q8" s="320"/>
      <c r="R8" s="320"/>
      <c r="S8" s="320"/>
      <c r="T8" s="320"/>
      <c r="U8" s="320"/>
      <c r="V8" s="320"/>
      <c r="W8" s="320"/>
      <c r="X8" s="320"/>
      <c r="Y8" s="320"/>
      <c r="Z8" s="320"/>
      <c r="AA8" s="320"/>
      <c r="AB8" s="320"/>
      <c r="AC8" s="320"/>
      <c r="AD8" s="320"/>
      <c r="AE8" s="320"/>
      <c r="AF8" s="320"/>
      <c r="AG8" s="320"/>
      <c r="AH8" s="320"/>
      <c r="AI8" s="320"/>
      <c r="AJ8" s="320"/>
      <c r="AK8" s="320"/>
      <c r="AL8" s="319"/>
      <c r="AM8" s="320"/>
    </row>
    <row r="9" spans="1:235" ht="15.6" x14ac:dyDescent="0.3">
      <c r="B9" s="316"/>
      <c r="C9" s="317"/>
      <c r="D9" s="315"/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  <c r="AD9" s="320"/>
      <c r="AE9" s="320"/>
      <c r="AF9" s="320"/>
      <c r="AG9" s="320"/>
      <c r="AH9" s="320"/>
      <c r="AI9" s="320"/>
      <c r="AJ9" s="320"/>
      <c r="AK9" s="320"/>
      <c r="AL9" s="319"/>
      <c r="AM9" s="320"/>
    </row>
    <row r="10" spans="1:235" x14ac:dyDescent="0.25">
      <c r="B10" s="296"/>
      <c r="C10" s="294">
        <v>1</v>
      </c>
      <c r="D10" s="294">
        <v>2</v>
      </c>
      <c r="E10" s="294">
        <v>3</v>
      </c>
      <c r="F10" s="294">
        <v>4</v>
      </c>
      <c r="G10" s="294">
        <v>5</v>
      </c>
      <c r="H10" s="294">
        <v>6</v>
      </c>
      <c r="I10" s="294">
        <v>7</v>
      </c>
      <c r="J10" s="294">
        <v>8</v>
      </c>
      <c r="K10" s="294">
        <v>9</v>
      </c>
      <c r="L10" s="294">
        <v>10</v>
      </c>
      <c r="M10" s="294">
        <v>11</v>
      </c>
      <c r="N10" s="294">
        <v>12</v>
      </c>
      <c r="O10" s="294">
        <v>13</v>
      </c>
      <c r="P10" s="294">
        <v>14</v>
      </c>
      <c r="Q10" s="294">
        <v>15</v>
      </c>
      <c r="R10" s="294">
        <v>16</v>
      </c>
      <c r="S10" s="294">
        <v>17</v>
      </c>
      <c r="T10" s="294">
        <v>18</v>
      </c>
      <c r="U10" s="294">
        <v>19</v>
      </c>
      <c r="V10" s="294">
        <v>20</v>
      </c>
      <c r="W10" s="294">
        <v>21</v>
      </c>
      <c r="X10" s="294">
        <v>22</v>
      </c>
      <c r="Y10" s="294">
        <v>23</v>
      </c>
      <c r="Z10" s="294">
        <v>24</v>
      </c>
      <c r="AA10" s="294">
        <v>25</v>
      </c>
      <c r="AB10" s="294">
        <v>26</v>
      </c>
      <c r="AC10" s="294">
        <v>27</v>
      </c>
      <c r="AD10" s="294">
        <v>28</v>
      </c>
      <c r="AE10" s="294">
        <v>29</v>
      </c>
      <c r="AF10" s="294">
        <v>30</v>
      </c>
      <c r="AG10" s="294">
        <v>31</v>
      </c>
      <c r="AH10" s="294">
        <v>32</v>
      </c>
      <c r="AI10" s="320">
        <v>33</v>
      </c>
      <c r="AJ10" s="320">
        <v>34</v>
      </c>
      <c r="AK10" s="294">
        <v>35</v>
      </c>
      <c r="AL10" s="319">
        <v>36</v>
      </c>
      <c r="AM10" s="320">
        <v>37</v>
      </c>
      <c r="AN10" s="206">
        <v>38</v>
      </c>
      <c r="AO10" s="206">
        <v>39</v>
      </c>
      <c r="AP10" s="206">
        <v>40</v>
      </c>
      <c r="AQ10" s="206">
        <v>41</v>
      </c>
      <c r="AR10" s="206">
        <v>42</v>
      </c>
      <c r="AS10" s="206">
        <v>43</v>
      </c>
      <c r="AT10" s="206">
        <v>44</v>
      </c>
      <c r="AU10" s="206">
        <v>45</v>
      </c>
      <c r="AV10" s="206">
        <v>46</v>
      </c>
      <c r="AW10" s="206">
        <v>47</v>
      </c>
    </row>
    <row r="11" spans="1:235" x14ac:dyDescent="0.25">
      <c r="B11" s="298" t="s">
        <v>123</v>
      </c>
      <c r="C11" s="299">
        <f t="shared" ref="C11:BA11" si="0">EffDt</f>
        <v>36767</v>
      </c>
      <c r="D11" s="299">
        <f t="shared" si="0"/>
        <v>36767</v>
      </c>
      <c r="E11" s="299">
        <f t="shared" si="0"/>
        <v>36767</v>
      </c>
      <c r="F11" s="299">
        <f t="shared" si="0"/>
        <v>36767</v>
      </c>
      <c r="G11" s="299">
        <f t="shared" si="0"/>
        <v>36767</v>
      </c>
      <c r="H11" s="299">
        <f t="shared" si="0"/>
        <v>36767</v>
      </c>
      <c r="I11" s="299">
        <f t="shared" si="0"/>
        <v>36767</v>
      </c>
      <c r="J11" s="299">
        <f t="shared" si="0"/>
        <v>36767</v>
      </c>
      <c r="K11" s="299">
        <f t="shared" si="0"/>
        <v>36767</v>
      </c>
      <c r="L11" s="299">
        <f t="shared" si="0"/>
        <v>36767</v>
      </c>
      <c r="M11" s="299">
        <f t="shared" si="0"/>
        <v>36767</v>
      </c>
      <c r="N11" s="299">
        <f t="shared" si="0"/>
        <v>36767</v>
      </c>
      <c r="O11" s="299">
        <f t="shared" si="0"/>
        <v>36767</v>
      </c>
      <c r="P11" s="299">
        <f t="shared" si="0"/>
        <v>36767</v>
      </c>
      <c r="Q11" s="299">
        <f t="shared" si="0"/>
        <v>36767</v>
      </c>
      <c r="R11" s="299">
        <f t="shared" si="0"/>
        <v>36767</v>
      </c>
      <c r="S11" s="299">
        <f t="shared" si="0"/>
        <v>36767</v>
      </c>
      <c r="T11" s="299">
        <f t="shared" si="0"/>
        <v>36767</v>
      </c>
      <c r="U11" s="299">
        <f t="shared" si="0"/>
        <v>36767</v>
      </c>
      <c r="V11" s="299">
        <f t="shared" si="0"/>
        <v>36767</v>
      </c>
      <c r="W11" s="299">
        <f t="shared" si="0"/>
        <v>36767</v>
      </c>
      <c r="X11" s="299">
        <f t="shared" si="0"/>
        <v>36767</v>
      </c>
      <c r="Y11" s="299">
        <f t="shared" si="0"/>
        <v>36767</v>
      </c>
      <c r="Z11" s="299">
        <f t="shared" si="0"/>
        <v>36767</v>
      </c>
      <c r="AA11" s="299">
        <f t="shared" si="0"/>
        <v>36767</v>
      </c>
      <c r="AB11" s="299">
        <f t="shared" si="0"/>
        <v>36767</v>
      </c>
      <c r="AC11" s="299">
        <f t="shared" si="0"/>
        <v>36767</v>
      </c>
      <c r="AD11" s="299">
        <f t="shared" si="0"/>
        <v>36767</v>
      </c>
      <c r="AE11" s="299">
        <f t="shared" si="0"/>
        <v>36767</v>
      </c>
      <c r="AF11" s="299">
        <f t="shared" si="0"/>
        <v>36767</v>
      </c>
      <c r="AG11" s="299">
        <f t="shared" si="0"/>
        <v>36767</v>
      </c>
      <c r="AH11" s="299">
        <f t="shared" si="0"/>
        <v>36767</v>
      </c>
      <c r="AI11" s="299">
        <f t="shared" si="0"/>
        <v>36767</v>
      </c>
      <c r="AJ11" s="299">
        <f t="shared" si="0"/>
        <v>36767</v>
      </c>
      <c r="AK11" s="299">
        <f t="shared" si="0"/>
        <v>36767</v>
      </c>
      <c r="AL11" s="299">
        <f t="shared" si="0"/>
        <v>36767</v>
      </c>
      <c r="AM11" s="299">
        <f t="shared" si="0"/>
        <v>36767</v>
      </c>
      <c r="AN11" s="299">
        <f t="shared" si="0"/>
        <v>36767</v>
      </c>
      <c r="AO11" s="299">
        <f t="shared" si="0"/>
        <v>36767</v>
      </c>
      <c r="AP11" s="299">
        <f t="shared" si="0"/>
        <v>36767</v>
      </c>
      <c r="AQ11" s="299">
        <f t="shared" si="0"/>
        <v>36767</v>
      </c>
      <c r="AR11" s="299">
        <f t="shared" si="0"/>
        <v>36767</v>
      </c>
      <c r="AS11" s="299">
        <f t="shared" si="0"/>
        <v>36767</v>
      </c>
      <c r="AT11" s="299">
        <f t="shared" si="0"/>
        <v>36767</v>
      </c>
      <c r="AU11" s="299">
        <f t="shared" si="0"/>
        <v>36767</v>
      </c>
      <c r="AV11" s="299">
        <f t="shared" si="0"/>
        <v>36767</v>
      </c>
      <c r="AW11" s="299">
        <f>WORKDAY(AT11,-3)</f>
        <v>36762</v>
      </c>
      <c r="AX11" s="299"/>
      <c r="AY11" s="299">
        <f t="shared" si="0"/>
        <v>36767</v>
      </c>
      <c r="AZ11" s="299">
        <f t="shared" si="0"/>
        <v>36767</v>
      </c>
      <c r="BA11" s="299">
        <f t="shared" si="0"/>
        <v>36767</v>
      </c>
      <c r="BB11" s="299"/>
      <c r="BC11" s="299">
        <v>36761</v>
      </c>
      <c r="BD11" s="299">
        <v>36762</v>
      </c>
    </row>
    <row r="12" spans="1:235" x14ac:dyDescent="0.25">
      <c r="B12" s="298" t="s">
        <v>124</v>
      </c>
      <c r="C12" s="292">
        <f t="shared" ref="C12:AW12" si="1">EOMONTH(C11,0)+1</f>
        <v>36770</v>
      </c>
      <c r="D12" s="292">
        <f t="shared" si="1"/>
        <v>36770</v>
      </c>
      <c r="E12" s="292">
        <f t="shared" si="1"/>
        <v>36770</v>
      </c>
      <c r="F12" s="292">
        <f t="shared" si="1"/>
        <v>36770</v>
      </c>
      <c r="G12" s="292">
        <f t="shared" si="1"/>
        <v>36770</v>
      </c>
      <c r="H12" s="292">
        <f t="shared" si="1"/>
        <v>36770</v>
      </c>
      <c r="I12" s="292">
        <f t="shared" si="1"/>
        <v>36770</v>
      </c>
      <c r="J12" s="292">
        <f t="shared" si="1"/>
        <v>36770</v>
      </c>
      <c r="K12" s="292">
        <f t="shared" si="1"/>
        <v>36770</v>
      </c>
      <c r="L12" s="292">
        <f t="shared" si="1"/>
        <v>36770</v>
      </c>
      <c r="M12" s="292">
        <f t="shared" si="1"/>
        <v>36770</v>
      </c>
      <c r="N12" s="292">
        <f t="shared" si="1"/>
        <v>36770</v>
      </c>
      <c r="O12" s="292">
        <f t="shared" si="1"/>
        <v>36770</v>
      </c>
      <c r="P12" s="292">
        <f t="shared" si="1"/>
        <v>36770</v>
      </c>
      <c r="Q12" s="292">
        <f t="shared" si="1"/>
        <v>36770</v>
      </c>
      <c r="R12" s="292">
        <f t="shared" si="1"/>
        <v>36770</v>
      </c>
      <c r="S12" s="292">
        <f t="shared" si="1"/>
        <v>36770</v>
      </c>
      <c r="T12" s="292">
        <f t="shared" si="1"/>
        <v>36770</v>
      </c>
      <c r="U12" s="292">
        <f t="shared" si="1"/>
        <v>36770</v>
      </c>
      <c r="V12" s="292">
        <f t="shared" si="1"/>
        <v>36770</v>
      </c>
      <c r="W12" s="292">
        <f t="shared" si="1"/>
        <v>36770</v>
      </c>
      <c r="X12" s="292">
        <f t="shared" si="1"/>
        <v>36770</v>
      </c>
      <c r="Y12" s="292">
        <f t="shared" si="1"/>
        <v>36770</v>
      </c>
      <c r="Z12" s="292">
        <f t="shared" si="1"/>
        <v>36770</v>
      </c>
      <c r="AA12" s="292">
        <f t="shared" si="1"/>
        <v>36770</v>
      </c>
      <c r="AB12" s="292">
        <f t="shared" si="1"/>
        <v>36770</v>
      </c>
      <c r="AC12" s="292">
        <f t="shared" si="1"/>
        <v>36770</v>
      </c>
      <c r="AD12" s="292">
        <f t="shared" si="1"/>
        <v>36770</v>
      </c>
      <c r="AE12" s="292">
        <f t="shared" si="1"/>
        <v>36770</v>
      </c>
      <c r="AF12" s="292">
        <f t="shared" si="1"/>
        <v>36770</v>
      </c>
      <c r="AG12" s="292">
        <f t="shared" si="1"/>
        <v>36770</v>
      </c>
      <c r="AH12" s="292">
        <f t="shared" si="1"/>
        <v>36770</v>
      </c>
      <c r="AI12" s="292">
        <f t="shared" si="1"/>
        <v>36770</v>
      </c>
      <c r="AJ12" s="292">
        <f t="shared" si="1"/>
        <v>36770</v>
      </c>
      <c r="AK12" s="292">
        <f t="shared" si="1"/>
        <v>36770</v>
      </c>
      <c r="AL12" s="292">
        <f t="shared" si="1"/>
        <v>36770</v>
      </c>
      <c r="AM12" s="292">
        <f t="shared" si="1"/>
        <v>36770</v>
      </c>
      <c r="AN12" s="292">
        <f t="shared" si="1"/>
        <v>36770</v>
      </c>
      <c r="AO12" s="292">
        <f t="shared" si="1"/>
        <v>36770</v>
      </c>
      <c r="AP12" s="292">
        <f t="shared" si="1"/>
        <v>36770</v>
      </c>
      <c r="AQ12" s="292">
        <f t="shared" si="1"/>
        <v>36770</v>
      </c>
      <c r="AR12" s="292">
        <f t="shared" si="1"/>
        <v>36770</v>
      </c>
      <c r="AS12" s="292">
        <f t="shared" si="1"/>
        <v>36770</v>
      </c>
      <c r="AT12" s="292">
        <f t="shared" si="1"/>
        <v>36770</v>
      </c>
      <c r="AU12" s="292">
        <f t="shared" si="1"/>
        <v>36770</v>
      </c>
      <c r="AV12" s="292">
        <f t="shared" si="1"/>
        <v>36770</v>
      </c>
      <c r="AW12" s="292">
        <f t="shared" si="1"/>
        <v>36770</v>
      </c>
      <c r="AX12" s="292"/>
      <c r="AY12" s="292">
        <f>EOMONTH(AY11,0)+1</f>
        <v>36770</v>
      </c>
      <c r="AZ12" s="292">
        <f>EOMONTH(AZ11,0)+1</f>
        <v>36770</v>
      </c>
      <c r="BA12" s="292">
        <f>EOMONTH(BA11,0)+1</f>
        <v>36770</v>
      </c>
      <c r="BB12" s="292"/>
      <c r="BC12" s="291"/>
      <c r="BD12" s="291"/>
    </row>
    <row r="13" spans="1:235" x14ac:dyDescent="0.25">
      <c r="B13" s="298" t="s">
        <v>131</v>
      </c>
      <c r="C13" s="294" t="s">
        <v>132</v>
      </c>
      <c r="D13" s="300" t="s">
        <v>132</v>
      </c>
      <c r="E13" s="300" t="s">
        <v>133</v>
      </c>
      <c r="F13" s="300" t="s">
        <v>248</v>
      </c>
      <c r="G13" s="300" t="s">
        <v>0</v>
      </c>
      <c r="H13" s="300" t="s">
        <v>6</v>
      </c>
      <c r="I13" s="300" t="s">
        <v>74</v>
      </c>
      <c r="J13" s="300" t="s">
        <v>10</v>
      </c>
      <c r="K13" s="300" t="s">
        <v>526</v>
      </c>
      <c r="L13" s="300" t="s">
        <v>45</v>
      </c>
      <c r="M13" s="301" t="s">
        <v>44</v>
      </c>
      <c r="N13" s="300" t="s">
        <v>9</v>
      </c>
      <c r="O13" s="300" t="s">
        <v>617</v>
      </c>
      <c r="P13" s="300" t="s">
        <v>46</v>
      </c>
      <c r="Q13" s="300" t="s">
        <v>47</v>
      </c>
      <c r="R13" s="300" t="s">
        <v>48</v>
      </c>
      <c r="S13" s="300" t="s">
        <v>94</v>
      </c>
      <c r="T13" s="300" t="s">
        <v>325</v>
      </c>
      <c r="U13" s="300" t="s">
        <v>95</v>
      </c>
      <c r="V13" s="300" t="s">
        <v>96</v>
      </c>
      <c r="W13" s="300" t="s">
        <v>97</v>
      </c>
      <c r="X13" s="300" t="s">
        <v>7</v>
      </c>
      <c r="Y13" s="302" t="s">
        <v>119</v>
      </c>
      <c r="Z13" s="302" t="s">
        <v>237</v>
      </c>
      <c r="AA13" s="302" t="s">
        <v>257</v>
      </c>
      <c r="AB13" s="302" t="s">
        <v>190</v>
      </c>
      <c r="AC13" s="302" t="s">
        <v>384</v>
      </c>
      <c r="AD13" s="302" t="s">
        <v>487</v>
      </c>
      <c r="AE13" s="302" t="s">
        <v>487</v>
      </c>
      <c r="AF13" s="300" t="s">
        <v>0</v>
      </c>
      <c r="AG13" s="302" t="s">
        <v>7</v>
      </c>
      <c r="AH13" s="302" t="s">
        <v>9</v>
      </c>
      <c r="AI13" s="300" t="s">
        <v>617</v>
      </c>
      <c r="AJ13" s="302" t="s">
        <v>74</v>
      </c>
      <c r="AK13" s="302" t="s">
        <v>10</v>
      </c>
      <c r="AL13" s="302" t="s">
        <v>526</v>
      </c>
      <c r="AM13" s="302" t="s">
        <v>46</v>
      </c>
      <c r="AN13" s="302" t="s">
        <v>48</v>
      </c>
      <c r="AO13" s="302" t="s">
        <v>6</v>
      </c>
      <c r="AP13" s="302" t="s">
        <v>119</v>
      </c>
      <c r="AQ13" s="302" t="s">
        <v>237</v>
      </c>
      <c r="AR13" s="302" t="s">
        <v>97</v>
      </c>
      <c r="AS13" s="302" t="s">
        <v>325</v>
      </c>
      <c r="AT13" s="303" t="s">
        <v>248</v>
      </c>
      <c r="AU13" s="303" t="s">
        <v>190</v>
      </c>
      <c r="AV13" s="303" t="s">
        <v>384</v>
      </c>
      <c r="AW13" s="300" t="s">
        <v>133</v>
      </c>
      <c r="AX13" s="303"/>
      <c r="AY13" s="302" t="s">
        <v>45</v>
      </c>
      <c r="AZ13" s="302" t="s">
        <v>44</v>
      </c>
      <c r="BA13" s="302" t="s">
        <v>47</v>
      </c>
      <c r="BB13" s="302"/>
      <c r="BC13" s="302" t="s">
        <v>192</v>
      </c>
      <c r="BD13" s="302" t="s">
        <v>193</v>
      </c>
    </row>
    <row r="14" spans="1:235" x14ac:dyDescent="0.25">
      <c r="B14" s="298" t="s">
        <v>125</v>
      </c>
      <c r="C14" s="294" t="s">
        <v>120</v>
      </c>
      <c r="D14" s="294" t="s">
        <v>126</v>
      </c>
      <c r="E14" s="294" t="s">
        <v>127</v>
      </c>
      <c r="F14" s="294" t="s">
        <v>120</v>
      </c>
      <c r="G14" s="294" t="s">
        <v>120</v>
      </c>
      <c r="H14" s="294" t="s">
        <v>120</v>
      </c>
      <c r="I14" s="294" t="s">
        <v>120</v>
      </c>
      <c r="J14" s="294" t="s">
        <v>120</v>
      </c>
      <c r="K14" s="294" t="s">
        <v>120</v>
      </c>
      <c r="L14" s="294" t="s">
        <v>120</v>
      </c>
      <c r="M14" s="294" t="s">
        <v>120</v>
      </c>
      <c r="N14" s="294" t="s">
        <v>120</v>
      </c>
      <c r="O14" s="294" t="s">
        <v>120</v>
      </c>
      <c r="P14" s="294" t="s">
        <v>120</v>
      </c>
      <c r="Q14" s="294" t="s">
        <v>120</v>
      </c>
      <c r="R14" s="294" t="s">
        <v>120</v>
      </c>
      <c r="S14" s="294" t="s">
        <v>120</v>
      </c>
      <c r="T14" s="294" t="s">
        <v>120</v>
      </c>
      <c r="U14" s="294" t="s">
        <v>120</v>
      </c>
      <c r="V14" s="294" t="s">
        <v>120</v>
      </c>
      <c r="W14" s="294" t="s">
        <v>120</v>
      </c>
      <c r="X14" s="294" t="s">
        <v>120</v>
      </c>
      <c r="Y14" s="304" t="s">
        <v>120</v>
      </c>
      <c r="Z14" s="304" t="s">
        <v>120</v>
      </c>
      <c r="AA14" s="304" t="s">
        <v>120</v>
      </c>
      <c r="AB14" s="304" t="s">
        <v>120</v>
      </c>
      <c r="AC14" s="304" t="s">
        <v>120</v>
      </c>
      <c r="AD14" s="304" t="s">
        <v>120</v>
      </c>
      <c r="AE14" s="294" t="s">
        <v>126</v>
      </c>
      <c r="AF14" s="294" t="s">
        <v>126</v>
      </c>
      <c r="AG14" s="304" t="s">
        <v>126</v>
      </c>
      <c r="AH14" s="304" t="s">
        <v>126</v>
      </c>
      <c r="AI14" s="304" t="s">
        <v>126</v>
      </c>
      <c r="AJ14" s="304" t="s">
        <v>126</v>
      </c>
      <c r="AK14" s="304" t="s">
        <v>126</v>
      </c>
      <c r="AL14" s="304" t="s">
        <v>126</v>
      </c>
      <c r="AM14" s="304" t="s">
        <v>126</v>
      </c>
      <c r="AN14" s="304" t="s">
        <v>126</v>
      </c>
      <c r="AO14" s="304" t="s">
        <v>126</v>
      </c>
      <c r="AP14" s="304" t="s">
        <v>126</v>
      </c>
      <c r="AQ14" s="304" t="s">
        <v>126</v>
      </c>
      <c r="AR14" s="304" t="s">
        <v>126</v>
      </c>
      <c r="AS14" s="304" t="s">
        <v>126</v>
      </c>
      <c r="AT14" s="294" t="s">
        <v>126</v>
      </c>
      <c r="AU14" s="294" t="s">
        <v>126</v>
      </c>
      <c r="AV14" s="294" t="s">
        <v>126</v>
      </c>
      <c r="AW14" s="294" t="s">
        <v>127</v>
      </c>
      <c r="AX14" s="294"/>
      <c r="AY14" s="304" t="s">
        <v>126</v>
      </c>
      <c r="AZ14" s="304" t="s">
        <v>126</v>
      </c>
      <c r="BA14" s="304" t="s">
        <v>126</v>
      </c>
      <c r="BB14" s="304"/>
      <c r="BC14" s="304"/>
      <c r="BD14" s="304"/>
      <c r="HZ14" s="308">
        <f t="shared" ref="HZ14:HZ77" si="2">B16</f>
        <v>36770</v>
      </c>
      <c r="IA14" s="291">
        <v>4</v>
      </c>
    </row>
    <row r="15" spans="1:235" x14ac:dyDescent="0.25">
      <c r="A15" s="318"/>
      <c r="B15" s="298" t="s">
        <v>128</v>
      </c>
      <c r="C15" s="294" t="s">
        <v>1</v>
      </c>
      <c r="D15" s="294" t="s">
        <v>1</v>
      </c>
      <c r="E15" s="294" t="s">
        <v>130</v>
      </c>
      <c r="F15" s="294" t="s">
        <v>121</v>
      </c>
      <c r="G15" s="294" t="s">
        <v>121</v>
      </c>
      <c r="H15" s="294" t="s">
        <v>121</v>
      </c>
      <c r="I15" s="294" t="s">
        <v>121</v>
      </c>
      <c r="J15" s="294" t="s">
        <v>121</v>
      </c>
      <c r="K15" s="294" t="s">
        <v>121</v>
      </c>
      <c r="L15" s="294" t="s">
        <v>121</v>
      </c>
      <c r="M15" s="294" t="s">
        <v>121</v>
      </c>
      <c r="N15" s="294" t="s">
        <v>121</v>
      </c>
      <c r="O15" s="294" t="s">
        <v>121</v>
      </c>
      <c r="P15" s="294" t="s">
        <v>121</v>
      </c>
      <c r="Q15" s="294" t="s">
        <v>121</v>
      </c>
      <c r="R15" s="294" t="s">
        <v>121</v>
      </c>
      <c r="S15" s="294" t="s">
        <v>121</v>
      </c>
      <c r="T15" s="294" t="s">
        <v>121</v>
      </c>
      <c r="U15" s="294" t="s">
        <v>121</v>
      </c>
      <c r="V15" s="294" t="s">
        <v>121</v>
      </c>
      <c r="W15" s="294" t="s">
        <v>121</v>
      </c>
      <c r="X15" s="294" t="s">
        <v>121</v>
      </c>
      <c r="Y15" s="304" t="s">
        <v>121</v>
      </c>
      <c r="Z15" s="304" t="s">
        <v>121</v>
      </c>
      <c r="AA15" s="304" t="s">
        <v>121</v>
      </c>
      <c r="AB15" s="304" t="s">
        <v>121</v>
      </c>
      <c r="AC15" s="304" t="s">
        <v>121</v>
      </c>
      <c r="AD15" s="304" t="s">
        <v>121</v>
      </c>
      <c r="AE15" s="294" t="s">
        <v>1</v>
      </c>
      <c r="AF15" s="294" t="s">
        <v>1</v>
      </c>
      <c r="AG15" s="304" t="s">
        <v>1</v>
      </c>
      <c r="AH15" s="304" t="s">
        <v>1</v>
      </c>
      <c r="AI15" s="304" t="s">
        <v>1</v>
      </c>
      <c r="AJ15" s="304" t="s">
        <v>1</v>
      </c>
      <c r="AK15" s="304" t="s">
        <v>1</v>
      </c>
      <c r="AL15" s="304" t="s">
        <v>1</v>
      </c>
      <c r="AM15" s="304" t="s">
        <v>1</v>
      </c>
      <c r="AN15" s="304" t="s">
        <v>1</v>
      </c>
      <c r="AO15" s="304" t="s">
        <v>1</v>
      </c>
      <c r="AP15" s="304" t="s">
        <v>1</v>
      </c>
      <c r="AQ15" s="304" t="s">
        <v>1</v>
      </c>
      <c r="AR15" s="304" t="s">
        <v>1</v>
      </c>
      <c r="AS15" s="304" t="s">
        <v>1</v>
      </c>
      <c r="AT15" s="294" t="s">
        <v>1</v>
      </c>
      <c r="AU15" s="294" t="s">
        <v>1</v>
      </c>
      <c r="AV15" s="294" t="s">
        <v>1</v>
      </c>
      <c r="AW15" s="294" t="s">
        <v>130</v>
      </c>
      <c r="AX15" s="294"/>
      <c r="AY15" s="304" t="s">
        <v>1</v>
      </c>
      <c r="AZ15" s="304" t="s">
        <v>1</v>
      </c>
      <c r="BA15" s="304" t="s">
        <v>1</v>
      </c>
      <c r="BB15" s="304"/>
      <c r="BC15" s="304"/>
      <c r="BD15" s="304"/>
      <c r="HZ15" s="308">
        <f t="shared" si="2"/>
        <v>36800</v>
      </c>
      <c r="IA15" s="291">
        <v>5</v>
      </c>
    </row>
    <row r="16" spans="1:235" x14ac:dyDescent="0.25">
      <c r="A16" s="319"/>
      <c r="B16" s="296">
        <f>EOMONTH(EffDt,0)+1</f>
        <v>36770</v>
      </c>
      <c r="C16" s="294">
        <v>4.6849999999999996</v>
      </c>
      <c r="D16" s="294">
        <v>0.4</v>
      </c>
      <c r="E16" s="294">
        <v>6.7216196212184998E-2</v>
      </c>
      <c r="F16" s="294">
        <v>-0.14000000000000001</v>
      </c>
      <c r="G16" s="388">
        <v>0</v>
      </c>
      <c r="H16" s="294">
        <v>-0.14000000000000001</v>
      </c>
      <c r="I16" s="388">
        <v>0.05</v>
      </c>
      <c r="J16" s="294">
        <v>0.17</v>
      </c>
      <c r="K16" s="294">
        <v>0.2</v>
      </c>
      <c r="L16" s="294">
        <v>-0.06</v>
      </c>
      <c r="M16" s="294">
        <v>-4.7500000000000001E-2</v>
      </c>
      <c r="N16" s="294">
        <v>-1.24</v>
      </c>
      <c r="O16" s="294">
        <v>-1.24</v>
      </c>
      <c r="P16" s="294">
        <v>-7.4999999999999997E-3</v>
      </c>
      <c r="Q16" s="294">
        <v>-1.2500000000000001E-2</v>
      </c>
      <c r="R16" s="291">
        <v>-3.2500000000000001E-2</v>
      </c>
      <c r="S16" s="389">
        <v>-7.4999999999999997E-2</v>
      </c>
      <c r="T16" s="291">
        <v>-0.11</v>
      </c>
      <c r="U16" s="291">
        <v>-3.7499999999999999E-2</v>
      </c>
      <c r="V16" s="291">
        <v>-0.13500000000000001</v>
      </c>
      <c r="W16" s="291">
        <v>-0.16500000000000001</v>
      </c>
      <c r="X16" s="291">
        <v>0.315</v>
      </c>
      <c r="Y16" s="291">
        <v>-7.4999999999999997E-3</v>
      </c>
      <c r="Z16" s="291">
        <v>-1.24</v>
      </c>
      <c r="AA16" s="291">
        <v>-0.03</v>
      </c>
      <c r="AB16" s="306">
        <v>2.5</v>
      </c>
      <c r="AC16" s="306">
        <v>0.30499999999999999</v>
      </c>
      <c r="AD16" s="306">
        <v>0.11</v>
      </c>
      <c r="AE16" s="431">
        <v>0.4</v>
      </c>
      <c r="AF16" s="431">
        <v>0.4</v>
      </c>
      <c r="AG16" s="431">
        <v>0.39200000000000002</v>
      </c>
      <c r="AH16" s="431">
        <v>0.38400000000000001</v>
      </c>
      <c r="AI16" s="431">
        <v>0.40799999999999997</v>
      </c>
      <c r="AJ16" s="431">
        <v>0.4</v>
      </c>
      <c r="AK16" s="431">
        <v>0.39200000000000002</v>
      </c>
      <c r="AL16" s="431">
        <v>0.39200000000000002</v>
      </c>
      <c r="AM16" s="431">
        <v>0.4</v>
      </c>
      <c r="AN16" s="431">
        <v>0.4</v>
      </c>
      <c r="AO16" s="431">
        <v>0.4</v>
      </c>
      <c r="AP16" s="432">
        <v>0.4</v>
      </c>
      <c r="AQ16" s="432">
        <v>0.38400000000000001</v>
      </c>
      <c r="AR16" s="432">
        <v>0.4</v>
      </c>
      <c r="AS16" s="432">
        <v>0.4</v>
      </c>
      <c r="AT16" s="431">
        <v>0.4</v>
      </c>
      <c r="AU16" s="431">
        <v>0.376</v>
      </c>
      <c r="AV16" s="431">
        <v>0.39200000000000002</v>
      </c>
      <c r="AW16" s="305">
        <v>6.7633985079410999E-2</v>
      </c>
      <c r="AX16" s="305"/>
      <c r="AY16" s="306">
        <f>AG16</f>
        <v>0.39200000000000002</v>
      </c>
      <c r="AZ16" s="306">
        <f>AG16</f>
        <v>0.39200000000000002</v>
      </c>
      <c r="BA16" s="309">
        <f>AG16</f>
        <v>0.39200000000000002</v>
      </c>
      <c r="BB16" s="308">
        <f>B16</f>
        <v>36770</v>
      </c>
      <c r="BC16" s="308">
        <v>0.99836402107432221</v>
      </c>
      <c r="BD16" s="291">
        <v>0.9985456642611189</v>
      </c>
      <c r="BF16" s="194">
        <v>36770</v>
      </c>
      <c r="BG16" s="206">
        <v>4</v>
      </c>
      <c r="HZ16" s="308">
        <f t="shared" si="2"/>
        <v>36831</v>
      </c>
      <c r="IA16" s="291">
        <v>6</v>
      </c>
    </row>
    <row r="17" spans="1:235" x14ac:dyDescent="0.25">
      <c r="A17" s="319"/>
      <c r="B17" s="296">
        <f t="shared" ref="B17:B48" si="3">EOMONTH(B16,0)+1</f>
        <v>36800</v>
      </c>
      <c r="C17" s="294">
        <v>4.6920000000000002</v>
      </c>
      <c r="D17" s="294">
        <v>0.57499999999999996</v>
      </c>
      <c r="E17" s="294">
        <v>6.8050789414654006E-2</v>
      </c>
      <c r="F17" s="294">
        <v>-0.14749999999999999</v>
      </c>
      <c r="G17" s="388">
        <v>-0.01</v>
      </c>
      <c r="H17" s="294">
        <v>-0.14749999999999999</v>
      </c>
      <c r="I17" s="294">
        <v>5.5E-2</v>
      </c>
      <c r="J17" s="294">
        <v>0.185</v>
      </c>
      <c r="K17" s="294">
        <v>0.24</v>
      </c>
      <c r="L17" s="294">
        <v>-7.0000000000000007E-2</v>
      </c>
      <c r="M17" s="294">
        <v>-0.04</v>
      </c>
      <c r="N17" s="294">
        <v>-0.80500000000000005</v>
      </c>
      <c r="O17" s="294">
        <v>-0.55000000000000004</v>
      </c>
      <c r="P17" s="294">
        <v>0</v>
      </c>
      <c r="Q17" s="294">
        <v>-0.01</v>
      </c>
      <c r="R17" s="291">
        <v>-2.75E-2</v>
      </c>
      <c r="S17" s="291">
        <v>-7.4999999999999997E-2</v>
      </c>
      <c r="T17" s="291">
        <v>-0.09</v>
      </c>
      <c r="U17" s="291">
        <v>-0.03</v>
      </c>
      <c r="V17" s="291">
        <v>-0.13500000000000001</v>
      </c>
      <c r="W17" s="291">
        <v>-0.17</v>
      </c>
      <c r="X17" s="291">
        <v>0.41499999999999998</v>
      </c>
      <c r="Y17" s="291">
        <v>0</v>
      </c>
      <c r="Z17" s="291">
        <v>-0.80500000000000005</v>
      </c>
      <c r="AA17" s="291">
        <v>-2.75E-2</v>
      </c>
      <c r="AB17" s="306">
        <v>1.99</v>
      </c>
      <c r="AC17" s="306">
        <v>0.36</v>
      </c>
      <c r="AD17" s="306">
        <v>0.115</v>
      </c>
      <c r="AE17" s="431">
        <v>0.57499999999999996</v>
      </c>
      <c r="AF17" s="431">
        <v>0.57499999999999996</v>
      </c>
      <c r="AG17" s="431">
        <v>0.56399999999999995</v>
      </c>
      <c r="AH17" s="431">
        <v>0.55200000000000005</v>
      </c>
      <c r="AI17" s="431">
        <v>0.58699999999999997</v>
      </c>
      <c r="AJ17" s="431">
        <v>0.57499999999999996</v>
      </c>
      <c r="AK17" s="431">
        <v>0.56399999999999995</v>
      </c>
      <c r="AL17" s="431">
        <v>0.56399999999999995</v>
      </c>
      <c r="AM17" s="431">
        <v>0.57499999999999996</v>
      </c>
      <c r="AN17" s="431">
        <v>0.57499999999999996</v>
      </c>
      <c r="AO17" s="431">
        <v>0.57499999999999996</v>
      </c>
      <c r="AP17" s="432">
        <v>0.57499999999999996</v>
      </c>
      <c r="AQ17" s="432">
        <v>0.55200000000000005</v>
      </c>
      <c r="AR17" s="432">
        <v>0.57499999999999996</v>
      </c>
      <c r="AS17" s="432">
        <v>0.57499999999999996</v>
      </c>
      <c r="AT17" s="431">
        <v>0.57499999999999996</v>
      </c>
      <c r="AU17" s="431">
        <v>0.54100000000000004</v>
      </c>
      <c r="AV17" s="431">
        <v>0.56399999999999995</v>
      </c>
      <c r="AW17" s="305">
        <v>6.8056178914902996E-2</v>
      </c>
      <c r="AX17" s="305"/>
      <c r="AY17" s="306">
        <f t="shared" ref="AY17:AY80" si="4">AG17</f>
        <v>0.56399999999999995</v>
      </c>
      <c r="AZ17" s="306">
        <f t="shared" ref="AZ17:AZ80" si="5">AG17</f>
        <v>0.56399999999999995</v>
      </c>
      <c r="BA17" s="309">
        <f t="shared" ref="BA17:BA80" si="6">AG17</f>
        <v>0.56399999999999995</v>
      </c>
      <c r="BB17" s="308">
        <f t="shared" ref="BB17:BB80" si="7">B17</f>
        <v>36800</v>
      </c>
      <c r="BC17" s="308">
        <v>0.99287988156568463</v>
      </c>
      <c r="BD17" s="291">
        <v>0.99306181387343762</v>
      </c>
      <c r="BF17" s="194">
        <v>36800</v>
      </c>
      <c r="BG17" s="206">
        <v>5</v>
      </c>
      <c r="HZ17" s="308">
        <f t="shared" si="2"/>
        <v>36861</v>
      </c>
      <c r="IA17" s="291">
        <v>7</v>
      </c>
    </row>
    <row r="18" spans="1:235" x14ac:dyDescent="0.25">
      <c r="A18" s="319"/>
      <c r="B18" s="296">
        <f t="shared" si="3"/>
        <v>36831</v>
      </c>
      <c r="C18" s="294">
        <v>4.7359999999999998</v>
      </c>
      <c r="D18" s="294">
        <v>0.59499999999999997</v>
      </c>
      <c r="E18" s="294">
        <v>6.810675983792E-2</v>
      </c>
      <c r="F18" s="294">
        <v>-0.14249999999999999</v>
      </c>
      <c r="G18" s="294">
        <v>-0.03</v>
      </c>
      <c r="H18" s="294">
        <v>-0.14249999999999999</v>
      </c>
      <c r="I18" s="294">
        <v>8.7499999999999994E-2</v>
      </c>
      <c r="J18" s="294">
        <v>0.26500000000000001</v>
      </c>
      <c r="K18" s="294">
        <v>0.32150000000000001</v>
      </c>
      <c r="L18" s="294">
        <v>-0.08</v>
      </c>
      <c r="M18" s="294">
        <v>-2.2499999999999999E-2</v>
      </c>
      <c r="N18" s="294">
        <v>-0.46750000000000003</v>
      </c>
      <c r="O18" s="294">
        <v>-0.17499999999999999</v>
      </c>
      <c r="P18" s="294">
        <v>1.2500000000000001E-2</v>
      </c>
      <c r="Q18" s="294">
        <v>-0.02</v>
      </c>
      <c r="R18" s="291">
        <v>-2.75E-2</v>
      </c>
      <c r="S18" s="291">
        <v>-7.4999999999999997E-2</v>
      </c>
      <c r="T18" s="291">
        <v>-2.5000000000000001E-3</v>
      </c>
      <c r="U18" s="291">
        <v>-0.04</v>
      </c>
      <c r="V18" s="291">
        <v>-0.1125</v>
      </c>
      <c r="W18" s="291">
        <v>-0.185</v>
      </c>
      <c r="X18" s="291">
        <v>0.77</v>
      </c>
      <c r="Y18" s="291">
        <v>5.0000000000000001E-3</v>
      </c>
      <c r="Z18" s="291">
        <v>-0.4</v>
      </c>
      <c r="AA18" s="291">
        <v>-2.75E-2</v>
      </c>
      <c r="AB18" s="306">
        <v>1.5449999999999999</v>
      </c>
      <c r="AC18" s="306">
        <v>0.5</v>
      </c>
      <c r="AD18" s="306">
        <v>0.17</v>
      </c>
      <c r="AE18" s="431">
        <v>0.59499999999999997</v>
      </c>
      <c r="AF18" s="431">
        <v>0.59499999999999997</v>
      </c>
      <c r="AG18" s="431">
        <v>0.625</v>
      </c>
      <c r="AH18" s="431">
        <v>0.57099999999999995</v>
      </c>
      <c r="AI18" s="431">
        <v>0.60699999999999998</v>
      </c>
      <c r="AJ18" s="431">
        <v>0.59499999999999997</v>
      </c>
      <c r="AK18" s="431">
        <v>0.59499999999999997</v>
      </c>
      <c r="AL18" s="431">
        <v>0.59499999999999997</v>
      </c>
      <c r="AM18" s="431">
        <v>0.59499999999999997</v>
      </c>
      <c r="AN18" s="431">
        <v>0.59499999999999997</v>
      </c>
      <c r="AO18" s="431">
        <v>0.59499999999999997</v>
      </c>
      <c r="AP18" s="432">
        <v>0.59499999999999997</v>
      </c>
      <c r="AQ18" s="432">
        <v>0.57099999999999995</v>
      </c>
      <c r="AR18" s="432">
        <v>0.59499999999999997</v>
      </c>
      <c r="AS18" s="432">
        <v>0.625</v>
      </c>
      <c r="AT18" s="431">
        <v>0.59499999999999997</v>
      </c>
      <c r="AU18" s="431">
        <v>0.57699999999999996</v>
      </c>
      <c r="AV18" s="431">
        <v>0.65500000000000003</v>
      </c>
      <c r="AW18" s="305">
        <v>6.8168606297117004E-2</v>
      </c>
      <c r="AX18" s="305"/>
      <c r="AY18" s="306">
        <f t="shared" si="4"/>
        <v>0.625</v>
      </c>
      <c r="AZ18" s="306">
        <f t="shared" si="5"/>
        <v>0.625</v>
      </c>
      <c r="BA18" s="309">
        <f t="shared" si="6"/>
        <v>0.625</v>
      </c>
      <c r="BB18" s="308">
        <f t="shared" si="7"/>
        <v>36831</v>
      </c>
      <c r="BC18" s="308">
        <v>0.98723231223273578</v>
      </c>
      <c r="BD18" s="291">
        <v>0.98741355503509454</v>
      </c>
      <c r="BF18" s="194">
        <v>36831</v>
      </c>
      <c r="BG18" s="206">
        <v>6</v>
      </c>
      <c r="HZ18" s="308">
        <f t="shared" si="2"/>
        <v>36892</v>
      </c>
      <c r="IA18" s="291">
        <v>8</v>
      </c>
    </row>
    <row r="19" spans="1:235" x14ac:dyDescent="0.25">
      <c r="A19" s="319"/>
      <c r="B19" s="296">
        <f t="shared" si="3"/>
        <v>36861</v>
      </c>
      <c r="C19" s="294">
        <v>4.8</v>
      </c>
      <c r="D19" s="294">
        <v>0.6</v>
      </c>
      <c r="E19" s="294">
        <v>6.8314027999354002E-2</v>
      </c>
      <c r="F19" s="294">
        <v>-0.1525</v>
      </c>
      <c r="G19" s="388">
        <v>-6.5000000000000002E-2</v>
      </c>
      <c r="H19" s="294">
        <v>-0.1525</v>
      </c>
      <c r="I19" s="294">
        <v>0.1</v>
      </c>
      <c r="J19" s="294">
        <v>0.29499999999999998</v>
      </c>
      <c r="K19" s="294">
        <v>0.375</v>
      </c>
      <c r="L19" s="294">
        <v>-0.08</v>
      </c>
      <c r="M19" s="294">
        <v>-2.2499999999999999E-2</v>
      </c>
      <c r="N19" s="294">
        <v>-0.35749999999999998</v>
      </c>
      <c r="O19" s="294">
        <v>0.53</v>
      </c>
      <c r="P19" s="294">
        <v>1.2500000000000001E-2</v>
      </c>
      <c r="Q19" s="294">
        <v>-0.02</v>
      </c>
      <c r="R19" s="291">
        <v>-2.75E-2</v>
      </c>
      <c r="S19" s="291">
        <v>-7.4999999999999997E-2</v>
      </c>
      <c r="T19" s="291">
        <v>1.7500000000000002E-2</v>
      </c>
      <c r="U19" s="291">
        <v>-0.04</v>
      </c>
      <c r="V19" s="291">
        <v>-0.14749999999999999</v>
      </c>
      <c r="W19" s="291">
        <v>-0.18</v>
      </c>
      <c r="X19" s="291">
        <v>1.645</v>
      </c>
      <c r="Y19" s="291">
        <v>5.0000000000000001E-3</v>
      </c>
      <c r="Z19" s="291">
        <v>-0.35249999999999998</v>
      </c>
      <c r="AA19" s="291">
        <v>-2.75E-2</v>
      </c>
      <c r="AB19" s="306">
        <v>1.0049999999999999</v>
      </c>
      <c r="AC19" s="306">
        <v>0.83</v>
      </c>
      <c r="AD19" s="306">
        <v>0.1925</v>
      </c>
      <c r="AE19" s="431">
        <v>0.6</v>
      </c>
      <c r="AF19" s="431">
        <v>0.6</v>
      </c>
      <c r="AG19" s="431">
        <v>0.69</v>
      </c>
      <c r="AH19" s="431">
        <v>0.57599999999999996</v>
      </c>
      <c r="AI19" s="431">
        <v>0.61199999999999999</v>
      </c>
      <c r="AJ19" s="431">
        <v>0.6</v>
      </c>
      <c r="AK19" s="431">
        <v>0.6</v>
      </c>
      <c r="AL19" s="431">
        <v>0.6</v>
      </c>
      <c r="AM19" s="431">
        <v>0.6</v>
      </c>
      <c r="AN19" s="431">
        <v>0.6</v>
      </c>
      <c r="AO19" s="431">
        <v>0.6</v>
      </c>
      <c r="AP19" s="432">
        <v>0.6</v>
      </c>
      <c r="AQ19" s="432">
        <v>0.57599999999999996</v>
      </c>
      <c r="AR19" s="432">
        <v>0.6</v>
      </c>
      <c r="AS19" s="432">
        <v>0.63</v>
      </c>
      <c r="AT19" s="431">
        <v>0.6</v>
      </c>
      <c r="AU19" s="431">
        <v>0.58199999999999996</v>
      </c>
      <c r="AV19" s="431">
        <v>0.66</v>
      </c>
      <c r="AW19" s="305">
        <v>6.8388259024858997E-2</v>
      </c>
      <c r="AX19" s="305"/>
      <c r="AY19" s="306">
        <f t="shared" si="4"/>
        <v>0.69</v>
      </c>
      <c r="AZ19" s="306">
        <f t="shared" si="5"/>
        <v>0.69</v>
      </c>
      <c r="BA19" s="309">
        <f t="shared" si="6"/>
        <v>0.69</v>
      </c>
      <c r="BB19" s="308">
        <f t="shared" si="7"/>
        <v>36861</v>
      </c>
      <c r="BC19" s="308">
        <v>0.98175181287842572</v>
      </c>
      <c r="BD19" s="291">
        <v>0.98193263619728144</v>
      </c>
      <c r="BF19" s="194">
        <v>36861</v>
      </c>
      <c r="BG19" s="206">
        <v>7</v>
      </c>
      <c r="HZ19" s="308">
        <f t="shared" si="2"/>
        <v>36923</v>
      </c>
      <c r="IA19" s="291">
        <v>9</v>
      </c>
    </row>
    <row r="20" spans="1:235" x14ac:dyDescent="0.25">
      <c r="A20" s="319"/>
      <c r="B20" s="296">
        <f t="shared" si="3"/>
        <v>36892</v>
      </c>
      <c r="C20" s="294">
        <v>4.7439999999999998</v>
      </c>
      <c r="D20" s="294">
        <v>0.60499999999999998</v>
      </c>
      <c r="E20" s="294">
        <v>6.8374831148490994E-2</v>
      </c>
      <c r="F20" s="294">
        <v>-0.16</v>
      </c>
      <c r="G20" s="294">
        <v>-7.0000000000000007E-2</v>
      </c>
      <c r="H20" s="294">
        <v>-0.16</v>
      </c>
      <c r="I20" s="294">
        <v>0.1275</v>
      </c>
      <c r="J20" s="294">
        <v>0.3</v>
      </c>
      <c r="K20" s="294">
        <v>0.45500000000000002</v>
      </c>
      <c r="L20" s="294">
        <v>-0.08</v>
      </c>
      <c r="M20" s="294">
        <v>-2.2499999999999999E-2</v>
      </c>
      <c r="N20" s="294">
        <v>-0.36749999999999999</v>
      </c>
      <c r="O20" s="294">
        <v>0.53</v>
      </c>
      <c r="P20" s="294">
        <v>1.2500000000000001E-2</v>
      </c>
      <c r="Q20" s="294">
        <v>-0.02</v>
      </c>
      <c r="R20" s="291">
        <v>-2.75E-2</v>
      </c>
      <c r="S20" s="291">
        <v>-7.4999999999999997E-2</v>
      </c>
      <c r="T20" s="291">
        <v>0.03</v>
      </c>
      <c r="U20" s="291">
        <v>-0.04</v>
      </c>
      <c r="V20" s="291">
        <v>-0.1525</v>
      </c>
      <c r="W20" s="291">
        <v>-0.18</v>
      </c>
      <c r="X20" s="291">
        <v>2.17</v>
      </c>
      <c r="Y20" s="291">
        <v>5.0000000000000001E-3</v>
      </c>
      <c r="Z20" s="291">
        <v>-0.33750000000000002</v>
      </c>
      <c r="AA20" s="291">
        <v>-2.75E-2</v>
      </c>
      <c r="AB20" s="306">
        <v>0.76749999999999996</v>
      </c>
      <c r="AC20" s="306">
        <v>1.05</v>
      </c>
      <c r="AD20" s="306">
        <v>0.22</v>
      </c>
      <c r="AE20" s="431">
        <v>0.60499999999999998</v>
      </c>
      <c r="AF20" s="431">
        <v>0.60499999999999998</v>
      </c>
      <c r="AG20" s="431">
        <v>0.69599999999999995</v>
      </c>
      <c r="AH20" s="431">
        <v>0.58099999999999996</v>
      </c>
      <c r="AI20" s="431">
        <v>0.61699999999999999</v>
      </c>
      <c r="AJ20" s="431">
        <v>0.60499999999999998</v>
      </c>
      <c r="AK20" s="431">
        <v>0.60499999999999998</v>
      </c>
      <c r="AL20" s="431">
        <v>0.60499999999999998</v>
      </c>
      <c r="AM20" s="431">
        <v>0.60499999999999998</v>
      </c>
      <c r="AN20" s="431">
        <v>0.60499999999999998</v>
      </c>
      <c r="AO20" s="431">
        <v>0.60499999999999998</v>
      </c>
      <c r="AP20" s="432">
        <v>0.60499999999999998</v>
      </c>
      <c r="AQ20" s="432">
        <v>0.58099999999999996</v>
      </c>
      <c r="AR20" s="432">
        <v>0.60499999999999998</v>
      </c>
      <c r="AS20" s="432">
        <v>0.63500000000000001</v>
      </c>
      <c r="AT20" s="431">
        <v>0.60499999999999998</v>
      </c>
      <c r="AU20" s="431">
        <v>0.58699999999999997</v>
      </c>
      <c r="AV20" s="431">
        <v>0.60499999999999998</v>
      </c>
      <c r="AW20" s="305">
        <v>6.8399434497720998E-2</v>
      </c>
      <c r="AX20" s="305"/>
      <c r="AY20" s="306">
        <f t="shared" si="4"/>
        <v>0.69599999999999995</v>
      </c>
      <c r="AZ20" s="306">
        <f t="shared" si="5"/>
        <v>0.69599999999999995</v>
      </c>
      <c r="BA20" s="309">
        <f t="shared" si="6"/>
        <v>0.69599999999999995</v>
      </c>
      <c r="BB20" s="308">
        <f t="shared" si="7"/>
        <v>36892</v>
      </c>
      <c r="BC20" s="308">
        <v>0.97612994949883658</v>
      </c>
      <c r="BD20" s="291">
        <v>0.97630998798264734</v>
      </c>
      <c r="BF20" s="194">
        <v>36892</v>
      </c>
      <c r="BG20" s="206">
        <v>8</v>
      </c>
      <c r="HZ20" s="308">
        <f t="shared" si="2"/>
        <v>36951</v>
      </c>
      <c r="IA20" s="291">
        <v>10</v>
      </c>
    </row>
    <row r="21" spans="1:235" x14ac:dyDescent="0.25">
      <c r="A21" s="319"/>
      <c r="B21" s="296">
        <f t="shared" si="3"/>
        <v>36923</v>
      </c>
      <c r="C21" s="294">
        <v>4.4800000000000004</v>
      </c>
      <c r="D21" s="294">
        <v>0.59250000000000003</v>
      </c>
      <c r="E21" s="294">
        <v>6.8640161611372E-2</v>
      </c>
      <c r="F21" s="294">
        <v>-0.14499999999999999</v>
      </c>
      <c r="G21" s="294">
        <v>-5.2499999999999998E-2</v>
      </c>
      <c r="H21" s="294">
        <v>-0.14499999999999999</v>
      </c>
      <c r="I21" s="294">
        <v>0.13750000000000001</v>
      </c>
      <c r="J21" s="294">
        <v>0.29499999999999998</v>
      </c>
      <c r="K21" s="294">
        <v>0.41499999999999998</v>
      </c>
      <c r="L21" s="294">
        <v>-0.08</v>
      </c>
      <c r="M21" s="294">
        <v>-2.2499999999999999E-2</v>
      </c>
      <c r="N21" s="294">
        <v>-0.38750000000000001</v>
      </c>
      <c r="O21" s="294">
        <v>0.34499999999999997</v>
      </c>
      <c r="P21" s="294">
        <v>1.2500000000000001E-2</v>
      </c>
      <c r="Q21" s="294">
        <v>-0.02</v>
      </c>
      <c r="R21" s="291">
        <v>-2.75E-2</v>
      </c>
      <c r="S21" s="291">
        <v>-7.4999999999999997E-2</v>
      </c>
      <c r="T21" s="389">
        <v>3.5000000000000003E-2</v>
      </c>
      <c r="U21" s="291">
        <v>-0.04</v>
      </c>
      <c r="V21" s="291">
        <v>-0.13500000000000001</v>
      </c>
      <c r="W21" s="291">
        <v>-0.18</v>
      </c>
      <c r="X21" s="291">
        <v>2.09</v>
      </c>
      <c r="Y21" s="291">
        <v>5.0000000000000001E-3</v>
      </c>
      <c r="Z21" s="291">
        <v>-0.34250000000000003</v>
      </c>
      <c r="AA21" s="291">
        <v>-2.75E-2</v>
      </c>
      <c r="AB21" s="306">
        <v>0.61750000000000005</v>
      </c>
      <c r="AC21" s="306">
        <v>1.05</v>
      </c>
      <c r="AD21" s="306">
        <v>0.24</v>
      </c>
      <c r="AE21" s="431">
        <v>0.59299999999999997</v>
      </c>
      <c r="AF21" s="431">
        <v>0.59299999999999997</v>
      </c>
      <c r="AG21" s="431">
        <v>0.68100000000000005</v>
      </c>
      <c r="AH21" s="431">
        <v>0.56899999999999995</v>
      </c>
      <c r="AI21" s="431">
        <v>0.60399999999999998</v>
      </c>
      <c r="AJ21" s="431">
        <v>0.59299999999999997</v>
      </c>
      <c r="AK21" s="431">
        <v>0.59299999999999997</v>
      </c>
      <c r="AL21" s="431">
        <v>0.59299999999999997</v>
      </c>
      <c r="AM21" s="431">
        <v>0.59299999999999997</v>
      </c>
      <c r="AN21" s="431">
        <v>0.59299999999999997</v>
      </c>
      <c r="AO21" s="431">
        <v>0.59299999999999997</v>
      </c>
      <c r="AP21" s="432">
        <v>0.59299999999999997</v>
      </c>
      <c r="AQ21" s="432">
        <v>0.56899999999999995</v>
      </c>
      <c r="AR21" s="432">
        <v>0.59299999999999997</v>
      </c>
      <c r="AS21" s="432">
        <v>0.622</v>
      </c>
      <c r="AT21" s="431">
        <v>0.59299999999999997</v>
      </c>
      <c r="AU21" s="431">
        <v>0.57499999999999996</v>
      </c>
      <c r="AV21" s="431">
        <v>0.65200000000000002</v>
      </c>
      <c r="AW21" s="305">
        <v>6.8637921506616004E-2</v>
      </c>
      <c r="AX21" s="305"/>
      <c r="AY21" s="306">
        <f t="shared" si="4"/>
        <v>0.68100000000000005</v>
      </c>
      <c r="AZ21" s="306">
        <f t="shared" si="5"/>
        <v>0.68100000000000005</v>
      </c>
      <c r="BA21" s="309">
        <f t="shared" si="6"/>
        <v>0.68100000000000005</v>
      </c>
      <c r="BB21" s="308">
        <f t="shared" si="7"/>
        <v>36923</v>
      </c>
      <c r="BC21" s="308">
        <v>0.97044326593981056</v>
      </c>
      <c r="BD21" s="291">
        <v>0.97062300829688686</v>
      </c>
      <c r="BF21" s="194">
        <v>36923</v>
      </c>
      <c r="BG21" s="206">
        <v>9</v>
      </c>
      <c r="HZ21" s="308">
        <f t="shared" si="2"/>
        <v>36982</v>
      </c>
      <c r="IA21" s="291">
        <v>11</v>
      </c>
    </row>
    <row r="22" spans="1:235" x14ac:dyDescent="0.25">
      <c r="A22" s="319"/>
      <c r="B22" s="296">
        <f t="shared" si="3"/>
        <v>36951</v>
      </c>
      <c r="C22" s="294">
        <v>4.2130000000000001</v>
      </c>
      <c r="D22" s="294">
        <v>0.53249999999999997</v>
      </c>
      <c r="E22" s="294">
        <v>6.8879814952706994E-2</v>
      </c>
      <c r="F22" s="294">
        <v>-0.13750000000000001</v>
      </c>
      <c r="G22" s="294">
        <v>-3.5000000000000003E-2</v>
      </c>
      <c r="H22" s="294">
        <v>-0.13750000000000001</v>
      </c>
      <c r="I22" s="294">
        <v>0.1225</v>
      </c>
      <c r="J22" s="294">
        <v>0.27</v>
      </c>
      <c r="K22" s="294">
        <v>0.36</v>
      </c>
      <c r="L22" s="294">
        <v>-0.08</v>
      </c>
      <c r="M22" s="294">
        <v>-2.2499999999999999E-2</v>
      </c>
      <c r="N22" s="294">
        <v>-0.39750000000000002</v>
      </c>
      <c r="O22" s="294">
        <v>-0.03</v>
      </c>
      <c r="P22" s="294">
        <v>1.2500000000000001E-2</v>
      </c>
      <c r="Q22" s="294">
        <v>-0.02</v>
      </c>
      <c r="R22" s="291">
        <v>-2.75E-2</v>
      </c>
      <c r="S22" s="291">
        <v>-7.4999999999999997E-2</v>
      </c>
      <c r="T22" s="291">
        <v>3.2500000000000001E-2</v>
      </c>
      <c r="U22" s="291">
        <v>-0.04</v>
      </c>
      <c r="V22" s="291">
        <v>-0.11749999999999999</v>
      </c>
      <c r="W22" s="291">
        <v>-0.185</v>
      </c>
      <c r="X22" s="291">
        <v>1.075</v>
      </c>
      <c r="Y22" s="291">
        <v>5.0000000000000001E-3</v>
      </c>
      <c r="Z22" s="291">
        <v>-0.41499999999999998</v>
      </c>
      <c r="AA22" s="291">
        <v>-2.75E-2</v>
      </c>
      <c r="AB22" s="306">
        <v>0.59750000000000003</v>
      </c>
      <c r="AC22" s="306">
        <v>0.72</v>
      </c>
      <c r="AD22" s="306">
        <v>0.22750000000000001</v>
      </c>
      <c r="AE22" s="431">
        <v>0.53300000000000003</v>
      </c>
      <c r="AF22" s="431">
        <v>0.53300000000000003</v>
      </c>
      <c r="AG22" s="431">
        <v>0.61199999999999999</v>
      </c>
      <c r="AH22" s="431">
        <v>0.51100000000000001</v>
      </c>
      <c r="AI22" s="431">
        <v>0.54300000000000004</v>
      </c>
      <c r="AJ22" s="431">
        <v>0.53300000000000003</v>
      </c>
      <c r="AK22" s="431">
        <v>0.53300000000000003</v>
      </c>
      <c r="AL22" s="431">
        <v>0.53300000000000003</v>
      </c>
      <c r="AM22" s="431">
        <v>0.53300000000000003</v>
      </c>
      <c r="AN22" s="431">
        <v>0.53300000000000003</v>
      </c>
      <c r="AO22" s="431">
        <v>0.53300000000000003</v>
      </c>
      <c r="AP22" s="432">
        <v>0.53300000000000003</v>
      </c>
      <c r="AQ22" s="432">
        <v>0.51100000000000001</v>
      </c>
      <c r="AR22" s="432">
        <v>0.53300000000000003</v>
      </c>
      <c r="AS22" s="432">
        <v>0.55900000000000005</v>
      </c>
      <c r="AT22" s="431">
        <v>0.53300000000000003</v>
      </c>
      <c r="AU22" s="431">
        <v>0.51700000000000002</v>
      </c>
      <c r="AV22" s="431">
        <v>0.58599999999999997</v>
      </c>
      <c r="AW22" s="305">
        <v>6.8853329143729006E-2</v>
      </c>
      <c r="AX22" s="305"/>
      <c r="AY22" s="306">
        <f t="shared" si="4"/>
        <v>0.61199999999999999</v>
      </c>
      <c r="AZ22" s="306">
        <f t="shared" si="5"/>
        <v>0.61199999999999999</v>
      </c>
      <c r="BA22" s="309">
        <f t="shared" si="6"/>
        <v>0.61199999999999999</v>
      </c>
      <c r="BB22" s="308">
        <f t="shared" si="7"/>
        <v>36951</v>
      </c>
      <c r="BC22" s="308">
        <v>0.96529551051082296</v>
      </c>
      <c r="BD22" s="291">
        <v>0.96547497560673246</v>
      </c>
      <c r="BF22" s="194">
        <v>36951</v>
      </c>
      <c r="BG22" s="206">
        <v>10</v>
      </c>
      <c r="HZ22" s="308">
        <f t="shared" si="2"/>
        <v>37012</v>
      </c>
      <c r="IA22" s="291">
        <v>12</v>
      </c>
    </row>
    <row r="23" spans="1:235" x14ac:dyDescent="0.25">
      <c r="A23" s="319"/>
      <c r="B23" s="296">
        <f t="shared" si="3"/>
        <v>36982</v>
      </c>
      <c r="C23" s="294">
        <v>3.9380000000000002</v>
      </c>
      <c r="D23" s="294">
        <v>0.4425</v>
      </c>
      <c r="E23" s="294">
        <v>6.9061726541120999E-2</v>
      </c>
      <c r="F23" s="294">
        <v>-0.1525</v>
      </c>
      <c r="G23" s="294">
        <v>5.0000000000000001E-3</v>
      </c>
      <c r="H23" s="294">
        <v>-0.1525</v>
      </c>
      <c r="I23" s="294">
        <v>6.5000000000000002E-2</v>
      </c>
      <c r="J23" s="294">
        <v>0.19500000000000001</v>
      </c>
      <c r="K23" s="294">
        <v>0.23</v>
      </c>
      <c r="L23" s="294">
        <v>-7.8E-2</v>
      </c>
      <c r="M23" s="294">
        <v>-0.03</v>
      </c>
      <c r="N23" s="294">
        <v>-0.65</v>
      </c>
      <c r="O23" s="294">
        <v>-0.375</v>
      </c>
      <c r="P23" s="294">
        <v>5.0000000000000001E-3</v>
      </c>
      <c r="Q23" s="294">
        <v>-7.4999999999999997E-3</v>
      </c>
      <c r="R23" s="291">
        <v>-2.5000000000000001E-2</v>
      </c>
      <c r="S23" s="291">
        <v>-0.06</v>
      </c>
      <c r="T23" s="291">
        <v>-0.11749999999999999</v>
      </c>
      <c r="U23" s="291">
        <v>-2.2499999999999999E-2</v>
      </c>
      <c r="V23" s="291">
        <v>-0.11</v>
      </c>
      <c r="W23" s="291">
        <v>-0.14000000000000001</v>
      </c>
      <c r="X23" s="291">
        <v>0.52</v>
      </c>
      <c r="Y23" s="291">
        <v>5.0000000000000001E-3</v>
      </c>
      <c r="Z23" s="291">
        <v>-0.4425</v>
      </c>
      <c r="AA23" s="291">
        <v>-2.5000000000000001E-2</v>
      </c>
      <c r="AB23" s="306">
        <v>0.59</v>
      </c>
      <c r="AC23" s="306">
        <v>0.3775</v>
      </c>
      <c r="AD23" s="306">
        <v>0.13750000000000001</v>
      </c>
      <c r="AE23" s="431">
        <v>0.443</v>
      </c>
      <c r="AF23" s="431">
        <v>0.443</v>
      </c>
      <c r="AG23" s="431">
        <v>0.434</v>
      </c>
      <c r="AH23" s="431">
        <v>0.42899999999999999</v>
      </c>
      <c r="AI23" s="431">
        <v>0.45100000000000001</v>
      </c>
      <c r="AJ23" s="431">
        <v>0.443</v>
      </c>
      <c r="AK23" s="431">
        <v>0.434</v>
      </c>
      <c r="AL23" s="431">
        <v>0.434</v>
      </c>
      <c r="AM23" s="431">
        <v>0.443</v>
      </c>
      <c r="AN23" s="431">
        <v>0.443</v>
      </c>
      <c r="AO23" s="431">
        <v>0.443</v>
      </c>
      <c r="AP23" s="432">
        <v>0.443</v>
      </c>
      <c r="AQ23" s="432">
        <v>0.42899999999999999</v>
      </c>
      <c r="AR23" s="432">
        <v>0.443</v>
      </c>
      <c r="AS23" s="432">
        <v>0.443</v>
      </c>
      <c r="AT23" s="431">
        <v>0.443</v>
      </c>
      <c r="AU23" s="431">
        <v>0.443</v>
      </c>
      <c r="AV23" s="431">
        <v>0.434</v>
      </c>
      <c r="AW23" s="305">
        <v>6.9015986222381004E-2</v>
      </c>
      <c r="AX23" s="305"/>
      <c r="AY23" s="306">
        <f t="shared" si="4"/>
        <v>0.434</v>
      </c>
      <c r="AZ23" s="306">
        <f t="shared" si="5"/>
        <v>0.434</v>
      </c>
      <c r="BA23" s="309">
        <f t="shared" si="6"/>
        <v>0.434</v>
      </c>
      <c r="BB23" s="308">
        <f t="shared" si="7"/>
        <v>36982</v>
      </c>
      <c r="BC23" s="308">
        <v>0.95963236512052918</v>
      </c>
      <c r="BD23" s="291">
        <v>0.95981130339243181</v>
      </c>
      <c r="BF23" s="194">
        <v>36982</v>
      </c>
      <c r="BG23" s="206">
        <v>11</v>
      </c>
      <c r="HZ23" s="308">
        <f t="shared" si="2"/>
        <v>37043</v>
      </c>
      <c r="IA23" s="291">
        <v>13</v>
      </c>
    </row>
    <row r="24" spans="1:235" x14ac:dyDescent="0.25">
      <c r="A24" s="319"/>
      <c r="B24" s="296">
        <f t="shared" si="3"/>
        <v>37012</v>
      </c>
      <c r="C24" s="294">
        <v>3.8380000000000001</v>
      </c>
      <c r="D24" s="294">
        <v>0.40500000000000003</v>
      </c>
      <c r="E24" s="294">
        <v>6.9101151218999998E-2</v>
      </c>
      <c r="F24" s="294">
        <v>-0.14749999999999999</v>
      </c>
      <c r="G24" s="294">
        <v>7.4999999999999997E-3</v>
      </c>
      <c r="H24" s="294">
        <v>-0.14749999999999999</v>
      </c>
      <c r="I24" s="294">
        <v>5.2499999999999998E-2</v>
      </c>
      <c r="J24" s="294">
        <v>0.185</v>
      </c>
      <c r="K24" s="294">
        <v>0.22</v>
      </c>
      <c r="L24" s="294">
        <v>-7.8E-2</v>
      </c>
      <c r="M24" s="294">
        <v>-0.03</v>
      </c>
      <c r="N24" s="294">
        <v>-0.65</v>
      </c>
      <c r="O24" s="294">
        <v>-0.375</v>
      </c>
      <c r="P24" s="294">
        <v>5.0000000000000001E-3</v>
      </c>
      <c r="Q24" s="294">
        <v>-7.4999999999999997E-3</v>
      </c>
      <c r="R24" s="291">
        <v>-2.5000000000000001E-2</v>
      </c>
      <c r="S24" s="291">
        <v>-0.06</v>
      </c>
      <c r="T24" s="291">
        <v>-0.1125</v>
      </c>
      <c r="U24" s="291">
        <v>-2.2749999999999999E-2</v>
      </c>
      <c r="V24" s="291">
        <v>-0.1075</v>
      </c>
      <c r="W24" s="291">
        <v>-0.14000000000000001</v>
      </c>
      <c r="X24" s="291">
        <v>0.40500000000000003</v>
      </c>
      <c r="Y24" s="291">
        <v>5.0000000000000001E-3</v>
      </c>
      <c r="Z24" s="291">
        <v>-0.4425</v>
      </c>
      <c r="AA24" s="291">
        <v>-2.5000000000000001E-2</v>
      </c>
      <c r="AB24" s="306">
        <v>0.6</v>
      </c>
      <c r="AC24" s="306">
        <v>0.315</v>
      </c>
      <c r="AD24" s="306">
        <v>0.125</v>
      </c>
      <c r="AE24" s="431">
        <v>0.40500000000000003</v>
      </c>
      <c r="AF24" s="431">
        <v>0.40500000000000003</v>
      </c>
      <c r="AG24" s="431">
        <v>0.39700000000000002</v>
      </c>
      <c r="AH24" s="431">
        <v>0.39300000000000002</v>
      </c>
      <c r="AI24" s="431">
        <v>0.41299999999999998</v>
      </c>
      <c r="AJ24" s="431">
        <v>0.40500000000000003</v>
      </c>
      <c r="AK24" s="431">
        <v>0.39700000000000002</v>
      </c>
      <c r="AL24" s="431">
        <v>0.39700000000000002</v>
      </c>
      <c r="AM24" s="431">
        <v>0.40500000000000003</v>
      </c>
      <c r="AN24" s="431">
        <v>0.40500000000000003</v>
      </c>
      <c r="AO24" s="431">
        <v>0.40500000000000003</v>
      </c>
      <c r="AP24" s="432">
        <v>0.40500000000000003</v>
      </c>
      <c r="AQ24" s="432">
        <v>0.39300000000000002</v>
      </c>
      <c r="AR24" s="432">
        <v>0.40500000000000003</v>
      </c>
      <c r="AS24" s="432">
        <v>0.40500000000000003</v>
      </c>
      <c r="AT24" s="431">
        <v>0.40500000000000003</v>
      </c>
      <c r="AU24" s="431">
        <v>0.40500000000000003</v>
      </c>
      <c r="AV24" s="431">
        <v>0.39700000000000002</v>
      </c>
      <c r="AW24" s="305">
        <v>6.9048876789720007E-2</v>
      </c>
      <c r="AX24" s="305"/>
      <c r="AY24" s="306">
        <f t="shared" si="4"/>
        <v>0.39700000000000002</v>
      </c>
      <c r="AZ24" s="306">
        <f t="shared" si="5"/>
        <v>0.39700000000000002</v>
      </c>
      <c r="BA24" s="309">
        <f t="shared" si="6"/>
        <v>0.39700000000000002</v>
      </c>
      <c r="BB24" s="308">
        <f t="shared" si="7"/>
        <v>37012</v>
      </c>
      <c r="BC24" s="308">
        <v>0.95424199769626938</v>
      </c>
      <c r="BD24" s="291">
        <v>0.95442008108935206</v>
      </c>
      <c r="BF24" s="194">
        <v>37012</v>
      </c>
      <c r="BG24" s="206">
        <v>12</v>
      </c>
      <c r="HZ24" s="308">
        <f t="shared" si="2"/>
        <v>37073</v>
      </c>
      <c r="IA24" s="291">
        <v>14</v>
      </c>
    </row>
    <row r="25" spans="1:235" x14ac:dyDescent="0.25">
      <c r="A25" s="319"/>
      <c r="B25" s="296">
        <f t="shared" si="3"/>
        <v>37043</v>
      </c>
      <c r="C25" s="294">
        <v>3.8180000000000001</v>
      </c>
      <c r="D25" s="294">
        <v>0.4</v>
      </c>
      <c r="E25" s="294">
        <v>6.9141890053328006E-2</v>
      </c>
      <c r="F25" s="294">
        <v>-0.14249999999999999</v>
      </c>
      <c r="G25" s="294">
        <v>1.4999999999999999E-2</v>
      </c>
      <c r="H25" s="294">
        <v>-0.14249999999999999</v>
      </c>
      <c r="I25" s="294">
        <v>0.05</v>
      </c>
      <c r="J25" s="294">
        <v>0.185</v>
      </c>
      <c r="K25" s="294">
        <v>0.22</v>
      </c>
      <c r="L25" s="294">
        <v>-9.4E-2</v>
      </c>
      <c r="M25" s="294">
        <v>-0.03</v>
      </c>
      <c r="N25" s="294">
        <v>-0.65</v>
      </c>
      <c r="O25" s="294">
        <v>-0.375</v>
      </c>
      <c r="P25" s="294">
        <v>5.0000000000000001E-3</v>
      </c>
      <c r="Q25" s="294">
        <v>-7.4999999999999997E-3</v>
      </c>
      <c r="R25" s="291">
        <v>-2.5000000000000001E-2</v>
      </c>
      <c r="S25" s="291">
        <v>-0.06</v>
      </c>
      <c r="T25" s="291">
        <v>-0.1075</v>
      </c>
      <c r="U25" s="291">
        <v>-2.2749999999999999E-2</v>
      </c>
      <c r="V25" s="291">
        <v>-0.1</v>
      </c>
      <c r="W25" s="291">
        <v>-0.14000000000000001</v>
      </c>
      <c r="X25" s="291">
        <v>0.39500000000000002</v>
      </c>
      <c r="Y25" s="291">
        <v>5.0000000000000001E-3</v>
      </c>
      <c r="Z25" s="291">
        <v>-0.4425</v>
      </c>
      <c r="AA25" s="291">
        <v>-2.5000000000000001E-2</v>
      </c>
      <c r="AB25" s="306">
        <v>0.62</v>
      </c>
      <c r="AC25" s="306">
        <v>0.315</v>
      </c>
      <c r="AD25" s="306">
        <v>0.12</v>
      </c>
      <c r="AE25" s="431">
        <v>0.4</v>
      </c>
      <c r="AF25" s="431">
        <v>0.4</v>
      </c>
      <c r="AG25" s="431">
        <v>0.39200000000000002</v>
      </c>
      <c r="AH25" s="431">
        <v>0.38800000000000001</v>
      </c>
      <c r="AI25" s="431">
        <v>0.40799999999999997</v>
      </c>
      <c r="AJ25" s="431">
        <v>0.4</v>
      </c>
      <c r="AK25" s="431">
        <v>0.39200000000000002</v>
      </c>
      <c r="AL25" s="431">
        <v>0.39200000000000002</v>
      </c>
      <c r="AM25" s="431">
        <v>0.4</v>
      </c>
      <c r="AN25" s="431">
        <v>0.4</v>
      </c>
      <c r="AO25" s="431">
        <v>0.4</v>
      </c>
      <c r="AP25" s="432">
        <v>0.4</v>
      </c>
      <c r="AQ25" s="432">
        <v>0.38800000000000001</v>
      </c>
      <c r="AR25" s="432">
        <v>0.4</v>
      </c>
      <c r="AS25" s="432">
        <v>0.4</v>
      </c>
      <c r="AT25" s="431">
        <v>0.4</v>
      </c>
      <c r="AU25" s="431">
        <v>0.4</v>
      </c>
      <c r="AV25" s="431">
        <v>0.39200000000000002</v>
      </c>
      <c r="AW25" s="305">
        <v>6.9082863709679004E-2</v>
      </c>
      <c r="AX25" s="305"/>
      <c r="AY25" s="306">
        <f t="shared" si="4"/>
        <v>0.39200000000000002</v>
      </c>
      <c r="AZ25" s="306">
        <f t="shared" si="5"/>
        <v>0.39200000000000002</v>
      </c>
      <c r="BA25" s="309">
        <f t="shared" si="6"/>
        <v>0.39200000000000002</v>
      </c>
      <c r="BB25" s="308">
        <f t="shared" si="7"/>
        <v>37043</v>
      </c>
      <c r="BC25" s="308">
        <v>0.9486943464404507</v>
      </c>
      <c r="BD25" s="291">
        <v>0.94887154885418945</v>
      </c>
      <c r="BF25" s="194">
        <v>37043</v>
      </c>
      <c r="BG25" s="206">
        <v>13</v>
      </c>
      <c r="HZ25" s="308">
        <f t="shared" si="2"/>
        <v>37104</v>
      </c>
      <c r="IA25" s="291">
        <v>15</v>
      </c>
    </row>
    <row r="26" spans="1:235" x14ac:dyDescent="0.25">
      <c r="A26" s="319"/>
      <c r="B26" s="296">
        <f t="shared" si="3"/>
        <v>37073</v>
      </c>
      <c r="C26" s="294">
        <v>3.8029999999999999</v>
      </c>
      <c r="D26" s="294">
        <v>0.4</v>
      </c>
      <c r="E26" s="294">
        <v>6.9181571268567998E-2</v>
      </c>
      <c r="F26" s="294">
        <v>-0.13750000000000001</v>
      </c>
      <c r="G26" s="294">
        <v>0.02</v>
      </c>
      <c r="H26" s="294">
        <v>-0.13750000000000001</v>
      </c>
      <c r="I26" s="294">
        <v>0.04</v>
      </c>
      <c r="J26" s="294">
        <v>0.185</v>
      </c>
      <c r="K26" s="294">
        <v>0.23250000000000001</v>
      </c>
      <c r="L26" s="294">
        <v>-8.6999999999999994E-2</v>
      </c>
      <c r="M26" s="294">
        <v>-0.03</v>
      </c>
      <c r="N26" s="294">
        <v>-0.68500000000000005</v>
      </c>
      <c r="O26" s="294">
        <v>-0.375</v>
      </c>
      <c r="P26" s="294">
        <v>5.0000000000000001E-3</v>
      </c>
      <c r="Q26" s="294">
        <v>-7.4999999999999997E-3</v>
      </c>
      <c r="R26" s="291">
        <v>-2.5000000000000001E-2</v>
      </c>
      <c r="S26" s="291">
        <v>-0.06</v>
      </c>
      <c r="T26" s="291">
        <v>-0.10249999999999999</v>
      </c>
      <c r="U26" s="291">
        <v>-2.2749999999999999E-2</v>
      </c>
      <c r="V26" s="291">
        <v>-9.5000000000000001E-2</v>
      </c>
      <c r="W26" s="291">
        <v>-0.14000000000000001</v>
      </c>
      <c r="X26" s="291">
        <v>0.46</v>
      </c>
      <c r="Y26" s="291">
        <v>5.0000000000000001E-3</v>
      </c>
      <c r="Z26" s="291">
        <v>-0.4425</v>
      </c>
      <c r="AA26" s="291">
        <v>-2.5000000000000001E-2</v>
      </c>
      <c r="AB26" s="306">
        <v>1.2250000000000001</v>
      </c>
      <c r="AC26" s="306">
        <v>0.32750000000000001</v>
      </c>
      <c r="AD26" s="306">
        <v>0.1125</v>
      </c>
      <c r="AE26" s="431">
        <v>0.4</v>
      </c>
      <c r="AF26" s="431">
        <v>0.4</v>
      </c>
      <c r="AG26" s="431">
        <v>0.39200000000000002</v>
      </c>
      <c r="AH26" s="431">
        <v>0.38800000000000001</v>
      </c>
      <c r="AI26" s="431">
        <v>0.40799999999999997</v>
      </c>
      <c r="AJ26" s="431">
        <v>0.4</v>
      </c>
      <c r="AK26" s="431">
        <v>0.39200000000000002</v>
      </c>
      <c r="AL26" s="431">
        <v>0.39200000000000002</v>
      </c>
      <c r="AM26" s="431">
        <v>0.4</v>
      </c>
      <c r="AN26" s="431">
        <v>0.4</v>
      </c>
      <c r="AO26" s="431">
        <v>0.4</v>
      </c>
      <c r="AP26" s="432">
        <v>0.4</v>
      </c>
      <c r="AQ26" s="432">
        <v>0.38800000000000001</v>
      </c>
      <c r="AR26" s="432">
        <v>0.4</v>
      </c>
      <c r="AS26" s="432">
        <v>0.4</v>
      </c>
      <c r="AT26" s="431">
        <v>0.4</v>
      </c>
      <c r="AU26" s="431">
        <v>0.4</v>
      </c>
      <c r="AV26" s="431">
        <v>0.39200000000000002</v>
      </c>
      <c r="AW26" s="305">
        <v>6.9112852033843E-2</v>
      </c>
      <c r="AX26" s="305"/>
      <c r="AY26" s="306">
        <f t="shared" si="4"/>
        <v>0.39200000000000002</v>
      </c>
      <c r="AZ26" s="306">
        <f t="shared" si="5"/>
        <v>0.39200000000000002</v>
      </c>
      <c r="BA26" s="309">
        <f t="shared" si="6"/>
        <v>0.39200000000000002</v>
      </c>
      <c r="BB26" s="308">
        <f t="shared" si="7"/>
        <v>37073</v>
      </c>
      <c r="BC26" s="308">
        <v>0.94335297851738698</v>
      </c>
      <c r="BD26" s="291">
        <v>0.94352931356946179</v>
      </c>
      <c r="BF26" s="194">
        <v>37073</v>
      </c>
      <c r="BG26" s="206">
        <v>14</v>
      </c>
      <c r="HZ26" s="308">
        <f t="shared" si="2"/>
        <v>37135</v>
      </c>
      <c r="IA26" s="291">
        <v>16</v>
      </c>
    </row>
    <row r="27" spans="1:235" x14ac:dyDescent="0.25">
      <c r="A27" s="319"/>
      <c r="B27" s="296">
        <f t="shared" si="3"/>
        <v>37104</v>
      </c>
      <c r="C27" s="294">
        <v>3.8079999999999998</v>
      </c>
      <c r="D27" s="294">
        <v>0.4</v>
      </c>
      <c r="E27" s="294">
        <v>6.9223060737754999E-2</v>
      </c>
      <c r="F27" s="294">
        <v>-0.13250000000000001</v>
      </c>
      <c r="G27" s="388">
        <v>0.02</v>
      </c>
      <c r="H27" s="294">
        <v>-0.13250000000000001</v>
      </c>
      <c r="I27" s="294">
        <v>5.2499999999999998E-2</v>
      </c>
      <c r="J27" s="294">
        <v>0.185</v>
      </c>
      <c r="K27" s="294">
        <v>0.23250000000000001</v>
      </c>
      <c r="L27" s="294">
        <v>-7.8E-2</v>
      </c>
      <c r="M27" s="294">
        <v>-0.03</v>
      </c>
      <c r="N27" s="294">
        <v>-0.68500000000000005</v>
      </c>
      <c r="O27" s="294">
        <v>-0.375</v>
      </c>
      <c r="P27" s="294">
        <v>5.0000000000000001E-3</v>
      </c>
      <c r="Q27" s="294">
        <v>-7.4999999999999997E-3</v>
      </c>
      <c r="R27" s="291">
        <v>-2.5000000000000001E-2</v>
      </c>
      <c r="S27" s="291">
        <v>-0.06</v>
      </c>
      <c r="T27" s="291">
        <v>-9.7500000000000003E-2</v>
      </c>
      <c r="U27" s="291">
        <v>-2.2749999999999999E-2</v>
      </c>
      <c r="V27" s="291">
        <v>-9.5000000000000001E-2</v>
      </c>
      <c r="W27" s="291">
        <v>-0.14000000000000001</v>
      </c>
      <c r="X27" s="291">
        <v>0.46</v>
      </c>
      <c r="Y27" s="291">
        <v>5.0000000000000001E-3</v>
      </c>
      <c r="Z27" s="291">
        <v>-0.4425</v>
      </c>
      <c r="AA27" s="291">
        <v>-2.5000000000000001E-2</v>
      </c>
      <c r="AB27" s="306">
        <v>1.2749999999999999</v>
      </c>
      <c r="AC27" s="306">
        <v>0.32750000000000001</v>
      </c>
      <c r="AD27" s="306">
        <v>0.11</v>
      </c>
      <c r="AE27" s="431">
        <v>0.4</v>
      </c>
      <c r="AF27" s="431">
        <v>0.4</v>
      </c>
      <c r="AG27" s="431">
        <v>0.39200000000000002</v>
      </c>
      <c r="AH27" s="431">
        <v>0.38800000000000001</v>
      </c>
      <c r="AI27" s="431">
        <v>0.40799999999999997</v>
      </c>
      <c r="AJ27" s="431">
        <v>0.4</v>
      </c>
      <c r="AK27" s="431">
        <v>0.39200000000000002</v>
      </c>
      <c r="AL27" s="431">
        <v>0.39200000000000002</v>
      </c>
      <c r="AM27" s="431">
        <v>0.4</v>
      </c>
      <c r="AN27" s="431">
        <v>0.4</v>
      </c>
      <c r="AO27" s="431">
        <v>0.4</v>
      </c>
      <c r="AP27" s="432">
        <v>0.4</v>
      </c>
      <c r="AQ27" s="432">
        <v>0.38800000000000001</v>
      </c>
      <c r="AR27" s="432">
        <v>0.4</v>
      </c>
      <c r="AS27" s="432">
        <v>0.4</v>
      </c>
      <c r="AT27" s="431">
        <v>0.4</v>
      </c>
      <c r="AU27" s="431">
        <v>0.4</v>
      </c>
      <c r="AV27" s="431">
        <v>0.39200000000000002</v>
      </c>
      <c r="AW27" s="305">
        <v>6.9138395475161998E-2</v>
      </c>
      <c r="AX27" s="305"/>
      <c r="AY27" s="306">
        <f t="shared" si="4"/>
        <v>0.39200000000000002</v>
      </c>
      <c r="AZ27" s="306">
        <f t="shared" si="5"/>
        <v>0.39200000000000002</v>
      </c>
      <c r="BA27" s="309">
        <f t="shared" si="6"/>
        <v>0.39200000000000002</v>
      </c>
      <c r="BB27" s="308">
        <f t="shared" si="7"/>
        <v>37104</v>
      </c>
      <c r="BC27" s="308">
        <v>0.93786862648164648</v>
      </c>
      <c r="BD27" s="291">
        <v>0.93804403633856237</v>
      </c>
      <c r="BF27" s="194">
        <v>37104</v>
      </c>
      <c r="BG27" s="206">
        <v>15</v>
      </c>
      <c r="HZ27" s="308">
        <f t="shared" si="2"/>
        <v>37165</v>
      </c>
      <c r="IA27" s="291">
        <v>17</v>
      </c>
    </row>
    <row r="28" spans="1:235" x14ac:dyDescent="0.25">
      <c r="A28" s="319"/>
      <c r="B28" s="296">
        <f t="shared" si="3"/>
        <v>37135</v>
      </c>
      <c r="C28" s="294">
        <v>3.7879999999999998</v>
      </c>
      <c r="D28" s="294">
        <v>0.4</v>
      </c>
      <c r="E28" s="294">
        <v>6.9264550207512002E-2</v>
      </c>
      <c r="F28" s="294">
        <v>-0.1275</v>
      </c>
      <c r="G28" s="294">
        <v>1.4999999999999999E-2</v>
      </c>
      <c r="H28" s="294">
        <v>-0.1275</v>
      </c>
      <c r="I28" s="294">
        <v>5.2499999999999998E-2</v>
      </c>
      <c r="J28" s="294">
        <v>0.18</v>
      </c>
      <c r="K28" s="294">
        <v>0.21</v>
      </c>
      <c r="L28" s="294">
        <v>-5.8000000000000003E-2</v>
      </c>
      <c r="M28" s="294">
        <v>-0.03</v>
      </c>
      <c r="N28" s="294">
        <v>-0.68500000000000005</v>
      </c>
      <c r="O28" s="294">
        <v>-0.375</v>
      </c>
      <c r="P28" s="294">
        <v>5.0000000000000001E-3</v>
      </c>
      <c r="Q28" s="294">
        <v>-7.4999999999999997E-3</v>
      </c>
      <c r="R28" s="291">
        <v>-2.5000000000000001E-2</v>
      </c>
      <c r="S28" s="291">
        <v>-0.06</v>
      </c>
      <c r="T28" s="291">
        <v>-9.2499999999999999E-2</v>
      </c>
      <c r="U28" s="291">
        <v>-2.2749999999999999E-2</v>
      </c>
      <c r="V28" s="291">
        <v>-0.11</v>
      </c>
      <c r="W28" s="291">
        <v>-0.14000000000000001</v>
      </c>
      <c r="X28" s="291">
        <v>0.39500000000000002</v>
      </c>
      <c r="Y28" s="291">
        <v>5.0000000000000001E-3</v>
      </c>
      <c r="Z28" s="291">
        <v>-0.4425</v>
      </c>
      <c r="AA28" s="291">
        <v>-2.5000000000000001E-2</v>
      </c>
      <c r="AB28" s="306">
        <v>1.2524999999999999</v>
      </c>
      <c r="AC28" s="306">
        <v>0.3175</v>
      </c>
      <c r="AD28" s="306">
        <v>0.11</v>
      </c>
      <c r="AE28" s="431">
        <v>0.4</v>
      </c>
      <c r="AF28" s="431">
        <v>0.4</v>
      </c>
      <c r="AG28" s="431">
        <v>0.39200000000000002</v>
      </c>
      <c r="AH28" s="431">
        <v>0.38800000000000001</v>
      </c>
      <c r="AI28" s="431">
        <v>0.40799999999999997</v>
      </c>
      <c r="AJ28" s="431">
        <v>0.4</v>
      </c>
      <c r="AK28" s="431">
        <v>0.39200000000000002</v>
      </c>
      <c r="AL28" s="431">
        <v>0.39200000000000002</v>
      </c>
      <c r="AM28" s="431">
        <v>0.4</v>
      </c>
      <c r="AN28" s="431">
        <v>0.4</v>
      </c>
      <c r="AO28" s="431">
        <v>0.4</v>
      </c>
      <c r="AP28" s="432">
        <v>0.4</v>
      </c>
      <c r="AQ28" s="432">
        <v>0.38800000000000001</v>
      </c>
      <c r="AR28" s="432">
        <v>0.4</v>
      </c>
      <c r="AS28" s="432">
        <v>0.4</v>
      </c>
      <c r="AT28" s="431">
        <v>0.4</v>
      </c>
      <c r="AU28" s="431">
        <v>0.4</v>
      </c>
      <c r="AV28" s="431">
        <v>0.39200000000000002</v>
      </c>
      <c r="AW28" s="305">
        <v>6.9163938916697004E-2</v>
      </c>
      <c r="AX28" s="305"/>
      <c r="AY28" s="306">
        <f t="shared" si="4"/>
        <v>0.39200000000000002</v>
      </c>
      <c r="AZ28" s="306">
        <f t="shared" si="5"/>
        <v>0.39200000000000002</v>
      </c>
      <c r="BA28" s="309">
        <f t="shared" si="6"/>
        <v>0.39200000000000002</v>
      </c>
      <c r="BB28" s="308">
        <f t="shared" si="7"/>
        <v>37135</v>
      </c>
      <c r="BC28" s="308">
        <v>0.9324099990956155</v>
      </c>
      <c r="BD28" s="291">
        <v>0.93258448740040956</v>
      </c>
      <c r="BF28" s="194">
        <v>37135</v>
      </c>
      <c r="BG28" s="206">
        <v>16</v>
      </c>
      <c r="HZ28" s="308">
        <f t="shared" si="2"/>
        <v>37196</v>
      </c>
      <c r="IA28" s="291">
        <v>18</v>
      </c>
    </row>
    <row r="29" spans="1:235" x14ac:dyDescent="0.25">
      <c r="A29" s="319"/>
      <c r="B29" s="296">
        <f t="shared" si="3"/>
        <v>37165</v>
      </c>
      <c r="C29" s="294">
        <v>3.7730000000000001</v>
      </c>
      <c r="D29" s="294">
        <v>0.40250000000000002</v>
      </c>
      <c r="E29" s="294">
        <v>6.9300944538363995E-2</v>
      </c>
      <c r="F29" s="294">
        <v>-0.1225</v>
      </c>
      <c r="G29" s="294">
        <v>5.0000000000000001E-3</v>
      </c>
      <c r="H29" s="294">
        <v>-0.1225</v>
      </c>
      <c r="I29" s="294">
        <v>7.2499999999999995E-2</v>
      </c>
      <c r="J29" s="294">
        <v>0.185</v>
      </c>
      <c r="K29" s="294">
        <v>0.23</v>
      </c>
      <c r="L29" s="294">
        <v>-6.8000000000000005E-2</v>
      </c>
      <c r="M29" s="294">
        <v>-0.03</v>
      </c>
      <c r="N29" s="294">
        <v>-0.68500000000000005</v>
      </c>
      <c r="O29" s="294">
        <v>-0.375</v>
      </c>
      <c r="P29" s="294">
        <v>5.0000000000000001E-3</v>
      </c>
      <c r="Q29" s="294">
        <v>-7.4999999999999997E-3</v>
      </c>
      <c r="R29" s="291">
        <v>-2.5000000000000001E-2</v>
      </c>
      <c r="S29" s="291">
        <v>-0.06</v>
      </c>
      <c r="T29" s="291">
        <v>-8.7499999999999994E-2</v>
      </c>
      <c r="U29" s="291">
        <v>-2.2749999999999999E-2</v>
      </c>
      <c r="V29" s="291">
        <v>-0.1125</v>
      </c>
      <c r="W29" s="291">
        <v>-0.14000000000000001</v>
      </c>
      <c r="X29" s="291">
        <v>0.46100000000000002</v>
      </c>
      <c r="Y29" s="291">
        <v>5.0000000000000001E-3</v>
      </c>
      <c r="Z29" s="291">
        <v>-0.4425</v>
      </c>
      <c r="AA29" s="291">
        <v>-2.5000000000000001E-2</v>
      </c>
      <c r="AB29" s="306">
        <v>0.74750000000000005</v>
      </c>
      <c r="AC29" s="306">
        <v>0.33</v>
      </c>
      <c r="AD29" s="306">
        <v>0.125</v>
      </c>
      <c r="AE29" s="431">
        <v>0.40300000000000002</v>
      </c>
      <c r="AF29" s="431">
        <v>0.40300000000000002</v>
      </c>
      <c r="AG29" s="431">
        <v>0.39400000000000002</v>
      </c>
      <c r="AH29" s="431">
        <v>0.39</v>
      </c>
      <c r="AI29" s="431">
        <v>0.41099999999999998</v>
      </c>
      <c r="AJ29" s="431">
        <v>0.40300000000000002</v>
      </c>
      <c r="AK29" s="431">
        <v>0.39400000000000002</v>
      </c>
      <c r="AL29" s="431">
        <v>0.39400000000000002</v>
      </c>
      <c r="AM29" s="431">
        <v>0.40300000000000002</v>
      </c>
      <c r="AN29" s="431">
        <v>0.40300000000000002</v>
      </c>
      <c r="AO29" s="431">
        <v>0.40300000000000002</v>
      </c>
      <c r="AP29" s="432">
        <v>0.40300000000000002</v>
      </c>
      <c r="AQ29" s="432">
        <v>0.39</v>
      </c>
      <c r="AR29" s="432">
        <v>0.40300000000000002</v>
      </c>
      <c r="AS29" s="432">
        <v>0.40300000000000002</v>
      </c>
      <c r="AT29" s="431">
        <v>0.40300000000000002</v>
      </c>
      <c r="AU29" s="431">
        <v>0.40300000000000002</v>
      </c>
      <c r="AV29" s="431">
        <v>0.39400000000000002</v>
      </c>
      <c r="AW29" s="305">
        <v>6.9185955527668999E-2</v>
      </c>
      <c r="AX29" s="305"/>
      <c r="AY29" s="306">
        <f t="shared" si="4"/>
        <v>0.39400000000000002</v>
      </c>
      <c r="AZ29" s="306">
        <f t="shared" si="5"/>
        <v>0.39400000000000002</v>
      </c>
      <c r="BA29" s="309">
        <f t="shared" si="6"/>
        <v>0.39400000000000002</v>
      </c>
      <c r="BB29" s="308">
        <f t="shared" si="7"/>
        <v>37165</v>
      </c>
      <c r="BC29" s="308">
        <v>0.92715660123680632</v>
      </c>
      <c r="BD29" s="291">
        <v>0.9273301903675637</v>
      </c>
      <c r="BF29" s="194">
        <v>37165</v>
      </c>
      <c r="BG29" s="206">
        <v>17</v>
      </c>
      <c r="HZ29" s="308">
        <f t="shared" si="2"/>
        <v>37226</v>
      </c>
      <c r="IA29" s="291">
        <v>19</v>
      </c>
    </row>
    <row r="30" spans="1:235" x14ac:dyDescent="0.25">
      <c r="A30" s="319"/>
      <c r="B30" s="296">
        <f t="shared" si="3"/>
        <v>37196</v>
      </c>
      <c r="C30" s="294">
        <v>3.8780000000000001</v>
      </c>
      <c r="D30" s="294">
        <v>0.40250000000000002</v>
      </c>
      <c r="E30" s="294">
        <v>6.9332408860558997E-2</v>
      </c>
      <c r="F30" s="294">
        <v>-0.13</v>
      </c>
      <c r="G30" s="294">
        <v>-4.2500000000000003E-2</v>
      </c>
      <c r="H30" s="294">
        <v>-0.13</v>
      </c>
      <c r="I30" s="294">
        <v>0.09</v>
      </c>
      <c r="J30" s="294">
        <v>0.26750000000000002</v>
      </c>
      <c r="K30" s="294">
        <v>0.28499999999999998</v>
      </c>
      <c r="L30" s="294">
        <v>-8.5000000000000006E-2</v>
      </c>
      <c r="M30" s="294">
        <v>-2.2499999999999999E-2</v>
      </c>
      <c r="N30" s="294">
        <v>-0.33</v>
      </c>
      <c r="O30" s="294">
        <v>0.19</v>
      </c>
      <c r="P30" s="294">
        <v>1.2500000000000001E-2</v>
      </c>
      <c r="Q30" s="294">
        <v>-1.7500000000000002E-2</v>
      </c>
      <c r="R30" s="291">
        <v>-2.8000000000000001E-2</v>
      </c>
      <c r="S30" s="291">
        <v>-7.7499999999999999E-2</v>
      </c>
      <c r="T30" s="291">
        <v>2.5000000000000001E-3</v>
      </c>
      <c r="U30" s="291">
        <v>-3.7499999999999999E-2</v>
      </c>
      <c r="V30" s="291">
        <v>-0.11</v>
      </c>
      <c r="W30" s="291">
        <v>-0.14000000000000001</v>
      </c>
      <c r="X30" s="291">
        <v>0.89</v>
      </c>
      <c r="Y30" s="291">
        <v>5.0000000000000001E-3</v>
      </c>
      <c r="Z30" s="291">
        <v>-0.26750000000000002</v>
      </c>
      <c r="AA30" s="291">
        <v>-2.6499999999999999E-2</v>
      </c>
      <c r="AB30" s="306">
        <v>-1.0225</v>
      </c>
      <c r="AC30" s="306">
        <v>0.55000000000000004</v>
      </c>
      <c r="AD30" s="306">
        <v>0.18</v>
      </c>
      <c r="AE30" s="431">
        <v>0.40300000000000002</v>
      </c>
      <c r="AF30" s="431">
        <v>0.40300000000000002</v>
      </c>
      <c r="AG30" s="431">
        <v>0.443</v>
      </c>
      <c r="AH30" s="431">
        <v>0.39</v>
      </c>
      <c r="AI30" s="431">
        <v>0.41099999999999998</v>
      </c>
      <c r="AJ30" s="431">
        <v>0.40300000000000002</v>
      </c>
      <c r="AK30" s="431">
        <v>0.40300000000000002</v>
      </c>
      <c r="AL30" s="431">
        <v>0.40300000000000002</v>
      </c>
      <c r="AM30" s="431">
        <v>0.40300000000000002</v>
      </c>
      <c r="AN30" s="431">
        <v>0.40300000000000002</v>
      </c>
      <c r="AO30" s="431">
        <v>0.40300000000000002</v>
      </c>
      <c r="AP30" s="432">
        <v>0.40300000000000002</v>
      </c>
      <c r="AQ30" s="432">
        <v>0.39</v>
      </c>
      <c r="AR30" s="432">
        <v>0.40300000000000002</v>
      </c>
      <c r="AS30" s="432">
        <v>0.40300000000000002</v>
      </c>
      <c r="AT30" s="431">
        <v>0.40300000000000002</v>
      </c>
      <c r="AU30" s="431">
        <v>0.40300000000000002</v>
      </c>
      <c r="AV30" s="431">
        <v>0.443</v>
      </c>
      <c r="AW30" s="305">
        <v>6.9204285342737995E-2</v>
      </c>
      <c r="AX30" s="305"/>
      <c r="AY30" s="306">
        <f t="shared" si="4"/>
        <v>0.443</v>
      </c>
      <c r="AZ30" s="306">
        <f t="shared" si="5"/>
        <v>0.443</v>
      </c>
      <c r="BA30" s="309">
        <f t="shared" si="6"/>
        <v>0.443</v>
      </c>
      <c r="BB30" s="308">
        <f t="shared" si="7"/>
        <v>37196</v>
      </c>
      <c r="BC30" s="308">
        <v>0.92176219746786014</v>
      </c>
      <c r="BD30" s="291">
        <v>0.92193484382042512</v>
      </c>
      <c r="BF30" s="194">
        <v>37196</v>
      </c>
      <c r="BG30" s="206">
        <v>18</v>
      </c>
      <c r="HZ30" s="308">
        <f t="shared" si="2"/>
        <v>37257</v>
      </c>
      <c r="IA30" s="291">
        <v>20</v>
      </c>
    </row>
    <row r="31" spans="1:235" x14ac:dyDescent="0.25">
      <c r="A31" s="319"/>
      <c r="B31" s="296">
        <f t="shared" si="3"/>
        <v>37226</v>
      </c>
      <c r="C31" s="294">
        <v>3.968</v>
      </c>
      <c r="D31" s="294">
        <v>0.40749999999999997</v>
      </c>
      <c r="E31" s="294">
        <v>6.9362858204931002E-2</v>
      </c>
      <c r="F31" s="294">
        <v>-0.13250000000000001</v>
      </c>
      <c r="G31" s="294">
        <v>-6.5000000000000002E-2</v>
      </c>
      <c r="H31" s="294">
        <v>-0.13250000000000001</v>
      </c>
      <c r="I31" s="294">
        <v>0.13</v>
      </c>
      <c r="J31" s="294">
        <v>0.30249999999999999</v>
      </c>
      <c r="K31" s="294">
        <v>0.375</v>
      </c>
      <c r="L31" s="294">
        <v>-8.5000000000000006E-2</v>
      </c>
      <c r="M31" s="294">
        <v>-2.2499999999999999E-2</v>
      </c>
      <c r="N31" s="294">
        <v>-0.33</v>
      </c>
      <c r="O31" s="294">
        <v>0.28999999999999998</v>
      </c>
      <c r="P31" s="294">
        <v>1.2500000000000001E-2</v>
      </c>
      <c r="Q31" s="294">
        <v>-1.7500000000000002E-2</v>
      </c>
      <c r="R31" s="291">
        <v>-2.5499999999999998E-2</v>
      </c>
      <c r="S31" s="291">
        <v>-7.7499999999999999E-2</v>
      </c>
      <c r="T31" s="291">
        <v>2.2499999999999999E-2</v>
      </c>
      <c r="U31" s="291">
        <v>-3.7499999999999999E-2</v>
      </c>
      <c r="V31" s="291">
        <v>-0.14499999999999999</v>
      </c>
      <c r="W31" s="291">
        <v>-0.13500000000000001</v>
      </c>
      <c r="X31" s="291">
        <v>1.31</v>
      </c>
      <c r="Y31" s="291">
        <v>5.0000000000000001E-3</v>
      </c>
      <c r="Z31" s="291">
        <v>-0.26750000000000002</v>
      </c>
      <c r="AA31" s="291">
        <v>-2.6499999999999999E-2</v>
      </c>
      <c r="AB31" s="306">
        <v>-1.0225</v>
      </c>
      <c r="AC31" s="306">
        <v>0.87</v>
      </c>
      <c r="AD31" s="306">
        <v>0.22</v>
      </c>
      <c r="AE31" s="431">
        <v>0.40799999999999997</v>
      </c>
      <c r="AF31" s="431">
        <v>0.40799999999999997</v>
      </c>
      <c r="AG31" s="431">
        <v>0.44800000000000001</v>
      </c>
      <c r="AH31" s="431">
        <v>0.39500000000000002</v>
      </c>
      <c r="AI31" s="431">
        <v>0.41599999999999998</v>
      </c>
      <c r="AJ31" s="431">
        <v>0.40799999999999997</v>
      </c>
      <c r="AK31" s="431">
        <v>0.40799999999999997</v>
      </c>
      <c r="AL31" s="431">
        <v>0.40799999999999997</v>
      </c>
      <c r="AM31" s="431">
        <v>0.40799999999999997</v>
      </c>
      <c r="AN31" s="431">
        <v>0.40799999999999997</v>
      </c>
      <c r="AO31" s="431">
        <v>0.40799999999999997</v>
      </c>
      <c r="AP31" s="432">
        <v>0.40799999999999997</v>
      </c>
      <c r="AQ31" s="432">
        <v>0.39500000000000002</v>
      </c>
      <c r="AR31" s="432">
        <v>0.40799999999999997</v>
      </c>
      <c r="AS31" s="432">
        <v>0.40799999999999997</v>
      </c>
      <c r="AT31" s="431">
        <v>0.40799999999999997</v>
      </c>
      <c r="AU31" s="431">
        <v>0.40799999999999997</v>
      </c>
      <c r="AV31" s="431">
        <v>0.44800000000000001</v>
      </c>
      <c r="AW31" s="305">
        <v>6.9222023873555E-2</v>
      </c>
      <c r="AX31" s="305"/>
      <c r="AY31" s="306">
        <f t="shared" si="4"/>
        <v>0.44800000000000001</v>
      </c>
      <c r="AZ31" s="306">
        <f t="shared" si="5"/>
        <v>0.44800000000000001</v>
      </c>
      <c r="BA31" s="309">
        <f t="shared" si="6"/>
        <v>0.44800000000000001</v>
      </c>
      <c r="BB31" s="308">
        <f t="shared" si="7"/>
        <v>37226</v>
      </c>
      <c r="BC31" s="308">
        <v>0.91656774848952094</v>
      </c>
      <c r="BD31" s="291">
        <v>0.91673948658706383</v>
      </c>
      <c r="BF31" s="194">
        <v>37226</v>
      </c>
      <c r="BG31" s="206">
        <v>19</v>
      </c>
      <c r="HZ31" s="308">
        <f t="shared" si="2"/>
        <v>37288</v>
      </c>
      <c r="IA31" s="291">
        <v>21</v>
      </c>
    </row>
    <row r="32" spans="1:235" x14ac:dyDescent="0.25">
      <c r="A32" s="319"/>
      <c r="B32" s="296">
        <f t="shared" si="3"/>
        <v>37257</v>
      </c>
      <c r="C32" s="294">
        <v>3.94</v>
      </c>
      <c r="D32" s="294">
        <v>0.41249999999999998</v>
      </c>
      <c r="E32" s="294">
        <v>6.9402566234750995E-2</v>
      </c>
      <c r="F32" s="294">
        <v>-0.13500000000000001</v>
      </c>
      <c r="G32" s="294">
        <v>-6.7500000000000004E-2</v>
      </c>
      <c r="H32" s="294">
        <v>-0.13500000000000001</v>
      </c>
      <c r="I32" s="294">
        <v>0.14249999999999999</v>
      </c>
      <c r="J32" s="294">
        <v>0.3075</v>
      </c>
      <c r="K32" s="294">
        <v>0.45500000000000002</v>
      </c>
      <c r="L32" s="294">
        <v>-8.5000000000000006E-2</v>
      </c>
      <c r="M32" s="294">
        <v>-2.0500000000000001E-2</v>
      </c>
      <c r="N32" s="294">
        <v>-0.33</v>
      </c>
      <c r="O32" s="294">
        <v>0.3</v>
      </c>
      <c r="P32" s="294">
        <v>1.2500000000000001E-2</v>
      </c>
      <c r="Q32" s="294">
        <v>-1.7500000000000002E-2</v>
      </c>
      <c r="R32" s="291">
        <v>-2.5499999999999998E-2</v>
      </c>
      <c r="S32" s="291">
        <v>-7.7499999999999999E-2</v>
      </c>
      <c r="T32" s="291">
        <v>3.5000000000000003E-2</v>
      </c>
      <c r="U32" s="291">
        <v>-3.7499999999999999E-2</v>
      </c>
      <c r="V32" s="291">
        <v>-0.15</v>
      </c>
      <c r="W32" s="291">
        <v>-0.13500000000000001</v>
      </c>
      <c r="X32" s="291">
        <v>1.56</v>
      </c>
      <c r="Y32" s="291">
        <v>5.0000000000000001E-3</v>
      </c>
      <c r="Z32" s="291">
        <v>-0.26750000000000002</v>
      </c>
      <c r="AA32" s="291">
        <v>-2.6499999999999999E-2</v>
      </c>
      <c r="AB32" s="306">
        <v>1.0625</v>
      </c>
      <c r="AC32" s="306">
        <v>1.02</v>
      </c>
      <c r="AD32" s="306">
        <v>0.23250000000000001</v>
      </c>
      <c r="AE32" s="431">
        <v>0.41299999999999998</v>
      </c>
      <c r="AF32" s="431">
        <v>0.41299999999999998</v>
      </c>
      <c r="AG32" s="431">
        <v>0.45400000000000001</v>
      </c>
      <c r="AH32" s="431">
        <v>0.4</v>
      </c>
      <c r="AI32" s="431">
        <v>0.42099999999999999</v>
      </c>
      <c r="AJ32" s="431">
        <v>0.41299999999999998</v>
      </c>
      <c r="AK32" s="431">
        <v>0.41299999999999998</v>
      </c>
      <c r="AL32" s="431">
        <v>0.41299999999999998</v>
      </c>
      <c r="AM32" s="431">
        <v>0.41299999999999998</v>
      </c>
      <c r="AN32" s="431">
        <v>0.41299999999999998</v>
      </c>
      <c r="AO32" s="431">
        <v>0.41299999999999998</v>
      </c>
      <c r="AP32" s="432">
        <v>0.41299999999999998</v>
      </c>
      <c r="AQ32" s="432">
        <v>0.4</v>
      </c>
      <c r="AR32" s="432">
        <v>0.41299999999999998</v>
      </c>
      <c r="AS32" s="432">
        <v>0.41299999999999998</v>
      </c>
      <c r="AT32" s="431">
        <v>0.41299999999999998</v>
      </c>
      <c r="AU32" s="431">
        <v>0.41299999999999998</v>
      </c>
      <c r="AV32" s="431">
        <v>0.41299999999999998</v>
      </c>
      <c r="AW32" s="305">
        <v>6.9246747982447995E-2</v>
      </c>
      <c r="AX32" s="305"/>
      <c r="AY32" s="306">
        <f t="shared" si="4"/>
        <v>0.45400000000000001</v>
      </c>
      <c r="AZ32" s="306">
        <f t="shared" si="5"/>
        <v>0.45400000000000001</v>
      </c>
      <c r="BA32" s="309">
        <f t="shared" si="6"/>
        <v>0.45400000000000001</v>
      </c>
      <c r="BB32" s="308">
        <f t="shared" si="7"/>
        <v>37257</v>
      </c>
      <c r="BC32" s="308">
        <v>0.91121647078236689</v>
      </c>
      <c r="BD32" s="291">
        <v>0.91138729356838577</v>
      </c>
      <c r="BF32" s="194">
        <v>37257</v>
      </c>
      <c r="BG32" s="206">
        <v>20</v>
      </c>
      <c r="HZ32" s="308">
        <f t="shared" si="2"/>
        <v>37316</v>
      </c>
      <c r="IA32" s="291">
        <v>22</v>
      </c>
    </row>
    <row r="33" spans="1:235" x14ac:dyDescent="0.25">
      <c r="A33" s="319"/>
      <c r="B33" s="296">
        <f t="shared" si="3"/>
        <v>37288</v>
      </c>
      <c r="C33" s="294">
        <v>3.77</v>
      </c>
      <c r="D33" s="294">
        <v>0.39500000000000002</v>
      </c>
      <c r="E33" s="294">
        <v>6.9453688628792004E-2</v>
      </c>
      <c r="F33" s="294">
        <v>-0.13750000000000001</v>
      </c>
      <c r="G33" s="294">
        <v>-0.05</v>
      </c>
      <c r="H33" s="294">
        <v>-0.13750000000000001</v>
      </c>
      <c r="I33" s="294">
        <v>0.12</v>
      </c>
      <c r="J33" s="294">
        <v>0.3075</v>
      </c>
      <c r="K33" s="294">
        <v>0.45</v>
      </c>
      <c r="L33" s="294">
        <v>-8.5000000000000006E-2</v>
      </c>
      <c r="M33" s="294">
        <v>-2.0500000000000001E-2</v>
      </c>
      <c r="N33" s="294">
        <v>-0.33</v>
      </c>
      <c r="O33" s="294">
        <v>0.22</v>
      </c>
      <c r="P33" s="294">
        <v>1.2500000000000001E-2</v>
      </c>
      <c r="Q33" s="294">
        <v>-1.7500000000000002E-2</v>
      </c>
      <c r="R33" s="291">
        <v>-2.5499999999999998E-2</v>
      </c>
      <c r="S33" s="291">
        <v>-7.7499999999999999E-2</v>
      </c>
      <c r="T33" s="291">
        <v>0.04</v>
      </c>
      <c r="U33" s="291">
        <v>-3.7499999999999999E-2</v>
      </c>
      <c r="V33" s="291">
        <v>-0.13250000000000001</v>
      </c>
      <c r="W33" s="291">
        <v>-0.13500000000000001</v>
      </c>
      <c r="X33" s="291">
        <v>1.56</v>
      </c>
      <c r="Y33" s="291">
        <v>5.0000000000000001E-3</v>
      </c>
      <c r="Z33" s="291">
        <v>-0.26750000000000002</v>
      </c>
      <c r="AA33" s="291">
        <v>-2.6499999999999999E-2</v>
      </c>
      <c r="AB33" s="306">
        <v>1.0625</v>
      </c>
      <c r="AC33" s="306">
        <v>1.02</v>
      </c>
      <c r="AD33" s="306">
        <v>0.21</v>
      </c>
      <c r="AE33" s="431">
        <v>0.39500000000000002</v>
      </c>
      <c r="AF33" s="431">
        <v>0.39500000000000002</v>
      </c>
      <c r="AG33" s="431">
        <v>0.435</v>
      </c>
      <c r="AH33" s="431">
        <v>0.38300000000000001</v>
      </c>
      <c r="AI33" s="431">
        <v>0.40300000000000002</v>
      </c>
      <c r="AJ33" s="431">
        <v>0.39500000000000002</v>
      </c>
      <c r="AK33" s="431">
        <v>0.39500000000000002</v>
      </c>
      <c r="AL33" s="431">
        <v>0.39500000000000002</v>
      </c>
      <c r="AM33" s="431">
        <v>0.39500000000000002</v>
      </c>
      <c r="AN33" s="431">
        <v>0.39500000000000002</v>
      </c>
      <c r="AO33" s="431">
        <v>0.39500000000000002</v>
      </c>
      <c r="AP33" s="432">
        <v>0.39500000000000002</v>
      </c>
      <c r="AQ33" s="432">
        <v>0.38300000000000001</v>
      </c>
      <c r="AR33" s="432">
        <v>0.39500000000000002</v>
      </c>
      <c r="AS33" s="432">
        <v>0.39500000000000002</v>
      </c>
      <c r="AT33" s="431">
        <v>0.39500000000000002</v>
      </c>
      <c r="AU33" s="431">
        <v>0.39500000000000002</v>
      </c>
      <c r="AV33" s="431">
        <v>0.435</v>
      </c>
      <c r="AW33" s="305">
        <v>6.9280325728938996E-2</v>
      </c>
      <c r="AX33" s="305"/>
      <c r="AY33" s="306">
        <f t="shared" si="4"/>
        <v>0.435</v>
      </c>
      <c r="AZ33" s="306">
        <f t="shared" si="5"/>
        <v>0.435</v>
      </c>
      <c r="BA33" s="309">
        <f t="shared" si="6"/>
        <v>0.435</v>
      </c>
      <c r="BB33" s="308">
        <f t="shared" si="7"/>
        <v>37288</v>
      </c>
      <c r="BC33" s="308">
        <v>0.90587587261850921</v>
      </c>
      <c r="BD33" s="291">
        <v>0.90604580987874828</v>
      </c>
      <c r="BF33" s="194">
        <v>37288</v>
      </c>
      <c r="BG33" s="206">
        <v>21</v>
      </c>
      <c r="HZ33" s="308">
        <f t="shared" si="2"/>
        <v>37347</v>
      </c>
      <c r="IA33" s="291">
        <v>23</v>
      </c>
    </row>
    <row r="34" spans="1:235" x14ac:dyDescent="0.25">
      <c r="B34" s="296">
        <f t="shared" si="3"/>
        <v>37316</v>
      </c>
      <c r="C34" s="294">
        <v>3.605</v>
      </c>
      <c r="D34" s="294">
        <v>0.36499999999999999</v>
      </c>
      <c r="E34" s="294">
        <v>6.9499863695118999E-2</v>
      </c>
      <c r="F34" s="294">
        <v>-0.14000000000000001</v>
      </c>
      <c r="G34" s="294">
        <v>-3.7499999999999999E-2</v>
      </c>
      <c r="H34" s="294">
        <v>-0.14000000000000001</v>
      </c>
      <c r="I34" s="294">
        <v>0.11749999999999999</v>
      </c>
      <c r="J34" s="294">
        <v>0.26650000000000001</v>
      </c>
      <c r="K34" s="294">
        <v>0.34</v>
      </c>
      <c r="L34" s="294">
        <v>-8.5000000000000006E-2</v>
      </c>
      <c r="M34" s="294">
        <v>-2.0500000000000001E-2</v>
      </c>
      <c r="N34" s="294">
        <v>-0.33</v>
      </c>
      <c r="O34" s="294">
        <v>0</v>
      </c>
      <c r="P34" s="294">
        <v>1.2500000000000001E-2</v>
      </c>
      <c r="Q34" s="294">
        <v>-1.7500000000000002E-2</v>
      </c>
      <c r="R34" s="291">
        <v>-2.5499999999999998E-2</v>
      </c>
      <c r="S34" s="291">
        <v>-7.7499999999999999E-2</v>
      </c>
      <c r="T34" s="291">
        <v>3.7499999999999999E-2</v>
      </c>
      <c r="U34" s="291">
        <v>-3.7499999999999999E-2</v>
      </c>
      <c r="V34" s="291">
        <v>-0.115</v>
      </c>
      <c r="W34" s="291">
        <v>-0.14000000000000001</v>
      </c>
      <c r="X34" s="291">
        <v>0.99</v>
      </c>
      <c r="Y34" s="291">
        <v>5.0000000000000001E-3</v>
      </c>
      <c r="Z34" s="291">
        <v>-0.26750000000000002</v>
      </c>
      <c r="AA34" s="291">
        <v>-2.6499999999999999E-2</v>
      </c>
      <c r="AB34" s="306">
        <v>1.0625</v>
      </c>
      <c r="AC34" s="306">
        <v>0.70250000000000001</v>
      </c>
      <c r="AD34" s="306">
        <v>0.20749999999999999</v>
      </c>
      <c r="AE34" s="431">
        <v>0.36499999999999999</v>
      </c>
      <c r="AF34" s="431">
        <v>0.36499999999999999</v>
      </c>
      <c r="AG34" s="431">
        <v>0.40200000000000002</v>
      </c>
      <c r="AH34" s="431">
        <v>0.35399999999999998</v>
      </c>
      <c r="AI34" s="431">
        <v>0.372</v>
      </c>
      <c r="AJ34" s="431">
        <v>0.36499999999999999</v>
      </c>
      <c r="AK34" s="431">
        <v>0.36499999999999999</v>
      </c>
      <c r="AL34" s="431">
        <v>0.36499999999999999</v>
      </c>
      <c r="AM34" s="431">
        <v>0.36499999999999999</v>
      </c>
      <c r="AN34" s="431">
        <v>0.36499999999999999</v>
      </c>
      <c r="AO34" s="431">
        <v>0.36499999999999999</v>
      </c>
      <c r="AP34" s="432">
        <v>0.36499999999999999</v>
      </c>
      <c r="AQ34" s="432">
        <v>0.35399999999999998</v>
      </c>
      <c r="AR34" s="432">
        <v>0.36499999999999999</v>
      </c>
      <c r="AS34" s="432">
        <v>0.36499999999999999</v>
      </c>
      <c r="AT34" s="431">
        <v>0.36499999999999999</v>
      </c>
      <c r="AU34" s="431">
        <v>0.36499999999999999</v>
      </c>
      <c r="AV34" s="431">
        <v>0.40200000000000002</v>
      </c>
      <c r="AW34" s="305">
        <v>6.9310654016412995E-2</v>
      </c>
      <c r="AX34" s="305"/>
      <c r="AY34" s="306">
        <f t="shared" si="4"/>
        <v>0.40200000000000002</v>
      </c>
      <c r="AZ34" s="306">
        <f t="shared" si="5"/>
        <v>0.40200000000000002</v>
      </c>
      <c r="BA34" s="309">
        <f t="shared" si="6"/>
        <v>0.40200000000000002</v>
      </c>
      <c r="BB34" s="308">
        <f t="shared" si="7"/>
        <v>37316</v>
      </c>
      <c r="BC34" s="308">
        <v>0.90107288710133737</v>
      </c>
      <c r="BD34" s="291">
        <v>0.90124202725810509</v>
      </c>
      <c r="BF34" s="194">
        <v>37316</v>
      </c>
      <c r="BG34" s="206">
        <v>22</v>
      </c>
      <c r="HZ34" s="308">
        <f t="shared" si="2"/>
        <v>37377</v>
      </c>
      <c r="IA34" s="291">
        <v>24</v>
      </c>
    </row>
    <row r="35" spans="1:235" x14ac:dyDescent="0.25">
      <c r="B35" s="296">
        <f t="shared" si="3"/>
        <v>37347</v>
      </c>
      <c r="C35" s="294">
        <v>3.43</v>
      </c>
      <c r="D35" s="294">
        <v>0.3</v>
      </c>
      <c r="E35" s="294">
        <v>6.9530816323868996E-2</v>
      </c>
      <c r="F35" s="294">
        <v>-0.13250000000000001</v>
      </c>
      <c r="G35" s="294">
        <v>1.4999999999999999E-2</v>
      </c>
      <c r="H35" s="294">
        <v>-0.13250000000000001</v>
      </c>
      <c r="I35" s="294">
        <v>6.7500000000000004E-2</v>
      </c>
      <c r="J35" s="294">
        <v>0.19500000000000001</v>
      </c>
      <c r="K35" s="294">
        <v>0.25</v>
      </c>
      <c r="L35" s="294">
        <v>-7.8E-2</v>
      </c>
      <c r="M35" s="294">
        <v>-2.8000000000000001E-2</v>
      </c>
      <c r="N35" s="294">
        <v>-0.52</v>
      </c>
      <c r="O35" s="294">
        <v>-0.38500000000000001</v>
      </c>
      <c r="P35" s="294">
        <v>6.0000000000000001E-3</v>
      </c>
      <c r="Q35" s="294">
        <v>-7.4999999999999997E-3</v>
      </c>
      <c r="R35" s="291">
        <v>-2.5000000000000001E-2</v>
      </c>
      <c r="S35" s="291">
        <v>-0.06</v>
      </c>
      <c r="T35" s="291">
        <v>-0.06</v>
      </c>
      <c r="U35" s="291">
        <v>-0.02</v>
      </c>
      <c r="V35" s="291">
        <v>-0.1075</v>
      </c>
      <c r="W35" s="291">
        <v>-0.1275</v>
      </c>
      <c r="X35" s="291">
        <v>0.45</v>
      </c>
      <c r="Y35" s="291">
        <v>6.0000000000000001E-3</v>
      </c>
      <c r="Z35" s="291">
        <v>-0.25</v>
      </c>
      <c r="AA35" s="291">
        <v>-2.4E-2</v>
      </c>
      <c r="AB35" s="306">
        <v>-0.32</v>
      </c>
      <c r="AC35" s="306">
        <v>0.33500000000000002</v>
      </c>
      <c r="AD35" s="306">
        <v>0.13750000000000001</v>
      </c>
      <c r="AE35" s="431">
        <v>0.3</v>
      </c>
      <c r="AF35" s="431">
        <v>0.3</v>
      </c>
      <c r="AG35" s="431">
        <v>0.29399999999999998</v>
      </c>
      <c r="AH35" s="431">
        <v>0.3</v>
      </c>
      <c r="AI35" s="431">
        <v>0.30599999999999999</v>
      </c>
      <c r="AJ35" s="431">
        <v>0.3</v>
      </c>
      <c r="AK35" s="431">
        <v>0.29399999999999998</v>
      </c>
      <c r="AL35" s="431">
        <v>0.29399999999999998</v>
      </c>
      <c r="AM35" s="431">
        <v>0.3</v>
      </c>
      <c r="AN35" s="431">
        <v>0.3</v>
      </c>
      <c r="AO35" s="431">
        <v>0.3</v>
      </c>
      <c r="AP35" s="432">
        <v>0.3</v>
      </c>
      <c r="AQ35" s="432">
        <v>0.3</v>
      </c>
      <c r="AR35" s="432">
        <v>0.3</v>
      </c>
      <c r="AS35" s="432">
        <v>0.3</v>
      </c>
      <c r="AT35" s="431">
        <v>0.3</v>
      </c>
      <c r="AU35" s="431">
        <v>0.3</v>
      </c>
      <c r="AV35" s="431">
        <v>0.29399999999999998</v>
      </c>
      <c r="AW35" s="305">
        <v>6.9327187093251003E-2</v>
      </c>
      <c r="AX35" s="305"/>
      <c r="AY35" s="306">
        <f t="shared" si="4"/>
        <v>0.29399999999999998</v>
      </c>
      <c r="AZ35" s="306">
        <f t="shared" si="5"/>
        <v>0.29399999999999998</v>
      </c>
      <c r="BA35" s="309">
        <f t="shared" si="6"/>
        <v>0.29399999999999998</v>
      </c>
      <c r="BB35" s="308">
        <f t="shared" si="7"/>
        <v>37347</v>
      </c>
      <c r="BC35" s="308">
        <v>0.89580272653837312</v>
      </c>
      <c r="BD35" s="291">
        <v>0.89597095002485438</v>
      </c>
      <c r="BF35" s="194">
        <v>37347</v>
      </c>
      <c r="BG35" s="206">
        <v>23</v>
      </c>
      <c r="HZ35" s="308">
        <f t="shared" si="2"/>
        <v>37408</v>
      </c>
      <c r="IA35" s="291">
        <v>25</v>
      </c>
    </row>
    <row r="36" spans="1:235" x14ac:dyDescent="0.25">
      <c r="B36" s="296">
        <f t="shared" si="3"/>
        <v>37377</v>
      </c>
      <c r="C36" s="294">
        <v>3.3479999999999999</v>
      </c>
      <c r="D36" s="294">
        <v>0.28499999999999998</v>
      </c>
      <c r="E36" s="294">
        <v>6.9531303989146004E-2</v>
      </c>
      <c r="F36" s="294">
        <v>-0.13250000000000001</v>
      </c>
      <c r="G36" s="294">
        <v>1.4999999999999999E-2</v>
      </c>
      <c r="H36" s="294">
        <v>-0.13250000000000001</v>
      </c>
      <c r="I36" s="294">
        <v>5.7500000000000002E-2</v>
      </c>
      <c r="J36" s="294">
        <v>0.1825</v>
      </c>
      <c r="K36" s="294">
        <v>0.20250000000000001</v>
      </c>
      <c r="L36" s="294">
        <v>-7.8E-2</v>
      </c>
      <c r="M36" s="294">
        <v>-2.8000000000000001E-2</v>
      </c>
      <c r="N36" s="294">
        <v>-0.52</v>
      </c>
      <c r="O36" s="294">
        <v>-0.38500000000000001</v>
      </c>
      <c r="P36" s="294">
        <v>6.0000000000000001E-3</v>
      </c>
      <c r="Q36" s="294">
        <v>-7.4999999999999997E-3</v>
      </c>
      <c r="R36" s="291">
        <v>-2.5000000000000001E-2</v>
      </c>
      <c r="S36" s="291">
        <v>-0.06</v>
      </c>
      <c r="T36" s="291">
        <v>-7.4999999999999997E-2</v>
      </c>
      <c r="U36" s="291">
        <v>-2.0250000000000001E-2</v>
      </c>
      <c r="V36" s="291">
        <v>-0.1075</v>
      </c>
      <c r="W36" s="291">
        <v>-0.1275</v>
      </c>
      <c r="X36" s="291">
        <v>0.40500000000000003</v>
      </c>
      <c r="Y36" s="291">
        <v>6.0000000000000001E-3</v>
      </c>
      <c r="Z36" s="291">
        <v>-0.25</v>
      </c>
      <c r="AA36" s="291">
        <v>-2.4E-2</v>
      </c>
      <c r="AB36" s="306">
        <v>-0.32</v>
      </c>
      <c r="AC36" s="306">
        <v>0.26750000000000002</v>
      </c>
      <c r="AD36" s="306">
        <v>0.1275</v>
      </c>
      <c r="AE36" s="431">
        <v>0.28499999999999998</v>
      </c>
      <c r="AF36" s="431">
        <v>0.28499999999999998</v>
      </c>
      <c r="AG36" s="431">
        <v>0.27900000000000003</v>
      </c>
      <c r="AH36" s="431">
        <v>0.28499999999999998</v>
      </c>
      <c r="AI36" s="431">
        <v>0.29099999999999998</v>
      </c>
      <c r="AJ36" s="431">
        <v>0.28499999999999998</v>
      </c>
      <c r="AK36" s="431">
        <v>0.27900000000000003</v>
      </c>
      <c r="AL36" s="431">
        <v>0.27900000000000003</v>
      </c>
      <c r="AM36" s="431">
        <v>0.28499999999999998</v>
      </c>
      <c r="AN36" s="431">
        <v>0.28499999999999998</v>
      </c>
      <c r="AO36" s="431">
        <v>0.28499999999999998</v>
      </c>
      <c r="AP36" s="432">
        <v>0.28499999999999998</v>
      </c>
      <c r="AQ36" s="432">
        <v>0.28499999999999998</v>
      </c>
      <c r="AR36" s="432">
        <v>0.28499999999999998</v>
      </c>
      <c r="AS36" s="432">
        <v>0.28499999999999998</v>
      </c>
      <c r="AT36" s="431">
        <v>0.28499999999999998</v>
      </c>
      <c r="AU36" s="431">
        <v>0.28499999999999998</v>
      </c>
      <c r="AV36" s="431">
        <v>0.27900000000000003</v>
      </c>
      <c r="AW36" s="305">
        <v>6.931807604022E-2</v>
      </c>
      <c r="AX36" s="305"/>
      <c r="AY36" s="306">
        <f t="shared" si="4"/>
        <v>0.27900000000000003</v>
      </c>
      <c r="AZ36" s="306">
        <f t="shared" si="5"/>
        <v>0.27900000000000003</v>
      </c>
      <c r="BA36" s="309">
        <f t="shared" si="6"/>
        <v>0.27900000000000003</v>
      </c>
      <c r="BB36" s="308">
        <f t="shared" si="7"/>
        <v>37377</v>
      </c>
      <c r="BC36" s="308">
        <v>0.89076553510156309</v>
      </c>
      <c r="BD36" s="291">
        <v>0.89093282100734916</v>
      </c>
      <c r="BF36" s="194">
        <v>37377</v>
      </c>
      <c r="BG36" s="206">
        <v>24</v>
      </c>
      <c r="HZ36" s="308">
        <f t="shared" si="2"/>
        <v>37438</v>
      </c>
      <c r="IA36" s="291">
        <v>26</v>
      </c>
    </row>
    <row r="37" spans="1:235" x14ac:dyDescent="0.25">
      <c r="B37" s="296">
        <f t="shared" si="3"/>
        <v>37408</v>
      </c>
      <c r="C37" s="294">
        <v>3.3250000000000002</v>
      </c>
      <c r="D37" s="294">
        <v>0.28249999999999997</v>
      </c>
      <c r="E37" s="294">
        <v>6.9531807909932006E-2</v>
      </c>
      <c r="F37" s="294">
        <v>-0.13250000000000001</v>
      </c>
      <c r="G37" s="294">
        <v>0.02</v>
      </c>
      <c r="H37" s="294">
        <v>-0.13250000000000001</v>
      </c>
      <c r="I37" s="294">
        <v>5.2499999999999998E-2</v>
      </c>
      <c r="J37" s="294">
        <v>0.1825</v>
      </c>
      <c r="K37" s="294">
        <v>0.20250000000000001</v>
      </c>
      <c r="L37" s="294">
        <v>-9.4E-2</v>
      </c>
      <c r="M37" s="294">
        <v>-2.8000000000000001E-2</v>
      </c>
      <c r="N37" s="294">
        <v>-0.52</v>
      </c>
      <c r="O37" s="294">
        <v>-0.38500000000000001</v>
      </c>
      <c r="P37" s="294">
        <v>6.0000000000000001E-3</v>
      </c>
      <c r="Q37" s="294">
        <v>-7.4999999999999997E-3</v>
      </c>
      <c r="R37" s="291">
        <v>-2.5000000000000001E-2</v>
      </c>
      <c r="S37" s="291">
        <v>-0.06</v>
      </c>
      <c r="T37" s="291">
        <v>-8.5000000000000006E-2</v>
      </c>
      <c r="U37" s="291">
        <v>-2.0250000000000001E-2</v>
      </c>
      <c r="V37" s="291">
        <v>-9.7500000000000003E-2</v>
      </c>
      <c r="W37" s="291">
        <v>-0.1275</v>
      </c>
      <c r="X37" s="291">
        <v>0.39500000000000002</v>
      </c>
      <c r="Y37" s="291">
        <v>6.0000000000000001E-3</v>
      </c>
      <c r="Z37" s="291">
        <v>-0.25</v>
      </c>
      <c r="AA37" s="291">
        <v>-2.4E-2</v>
      </c>
      <c r="AB37" s="306">
        <v>-0.32</v>
      </c>
      <c r="AC37" s="306">
        <v>0.26750000000000002</v>
      </c>
      <c r="AD37" s="306">
        <v>0.1225</v>
      </c>
      <c r="AE37" s="431">
        <v>0.28299999999999997</v>
      </c>
      <c r="AF37" s="431">
        <v>0.28299999999999997</v>
      </c>
      <c r="AG37" s="431">
        <v>0.27700000000000002</v>
      </c>
      <c r="AH37" s="431">
        <v>0.28299999999999997</v>
      </c>
      <c r="AI37" s="431">
        <v>0.28799999999999998</v>
      </c>
      <c r="AJ37" s="431">
        <v>0.28299999999999997</v>
      </c>
      <c r="AK37" s="431">
        <v>0.27700000000000002</v>
      </c>
      <c r="AL37" s="431">
        <v>0.27700000000000002</v>
      </c>
      <c r="AM37" s="431">
        <v>0.28299999999999997</v>
      </c>
      <c r="AN37" s="431">
        <v>0.28299999999999997</v>
      </c>
      <c r="AO37" s="431">
        <v>0.28299999999999997</v>
      </c>
      <c r="AP37" s="432">
        <v>0.28299999999999997</v>
      </c>
      <c r="AQ37" s="432">
        <v>0.28299999999999997</v>
      </c>
      <c r="AR37" s="432">
        <v>0.28299999999999997</v>
      </c>
      <c r="AS37" s="432">
        <v>0.28299999999999997</v>
      </c>
      <c r="AT37" s="431">
        <v>0.28299999999999997</v>
      </c>
      <c r="AU37" s="431">
        <v>0.28299999999999997</v>
      </c>
      <c r="AV37" s="431">
        <v>0.27700000000000002</v>
      </c>
      <c r="AW37" s="305">
        <v>6.9308661285450004E-2</v>
      </c>
      <c r="AX37" s="305"/>
      <c r="AY37" s="306">
        <f t="shared" si="4"/>
        <v>0.27700000000000002</v>
      </c>
      <c r="AZ37" s="306">
        <f t="shared" si="5"/>
        <v>0.27700000000000002</v>
      </c>
      <c r="BA37" s="309">
        <f t="shared" si="6"/>
        <v>0.27700000000000002</v>
      </c>
      <c r="BB37" s="308">
        <f t="shared" si="7"/>
        <v>37408</v>
      </c>
      <c r="BC37" s="308">
        <v>0.88558966841430564</v>
      </c>
      <c r="BD37" s="291">
        <v>0.88575599087728751</v>
      </c>
      <c r="BF37" s="194">
        <v>37408</v>
      </c>
      <c r="BG37" s="206">
        <v>25</v>
      </c>
      <c r="HZ37" s="308">
        <f t="shared" si="2"/>
        <v>37469</v>
      </c>
      <c r="IA37" s="291">
        <v>27</v>
      </c>
    </row>
    <row r="38" spans="1:235" x14ac:dyDescent="0.25">
      <c r="B38" s="296">
        <f t="shared" si="3"/>
        <v>37438</v>
      </c>
      <c r="C38" s="294">
        <v>3.3130000000000002</v>
      </c>
      <c r="D38" s="294">
        <v>0.28249999999999997</v>
      </c>
      <c r="E38" s="294">
        <v>6.9530816511164995E-2</v>
      </c>
      <c r="F38" s="294">
        <v>-0.13250000000000001</v>
      </c>
      <c r="G38" s="294">
        <v>2.2499999999999999E-2</v>
      </c>
      <c r="H38" s="294">
        <v>-0.13250000000000001</v>
      </c>
      <c r="I38" s="294">
        <v>4.2500000000000003E-2</v>
      </c>
      <c r="J38" s="294">
        <v>0.1825</v>
      </c>
      <c r="K38" s="294">
        <v>0.215</v>
      </c>
      <c r="L38" s="294">
        <v>-8.6999999999999994E-2</v>
      </c>
      <c r="M38" s="294">
        <v>-2.8000000000000001E-2</v>
      </c>
      <c r="N38" s="294">
        <v>-0.52</v>
      </c>
      <c r="O38" s="294">
        <v>-0.38500000000000001</v>
      </c>
      <c r="P38" s="294">
        <v>6.0000000000000001E-3</v>
      </c>
      <c r="Q38" s="294">
        <v>-7.4999999999999997E-3</v>
      </c>
      <c r="R38" s="291">
        <v>-2.5000000000000001E-2</v>
      </c>
      <c r="S38" s="291">
        <v>-0.06</v>
      </c>
      <c r="T38" s="291">
        <v>-8.5000000000000006E-2</v>
      </c>
      <c r="U38" s="291">
        <v>-2.0250000000000001E-2</v>
      </c>
      <c r="V38" s="291">
        <v>-9.2499999999999999E-2</v>
      </c>
      <c r="W38" s="291">
        <v>-0.1275</v>
      </c>
      <c r="X38" s="291">
        <v>0.43</v>
      </c>
      <c r="Y38" s="291">
        <v>6.0000000000000001E-3</v>
      </c>
      <c r="Z38" s="291">
        <v>-0.25</v>
      </c>
      <c r="AA38" s="291">
        <v>-2.4E-2</v>
      </c>
      <c r="AB38" s="306">
        <v>-0.32</v>
      </c>
      <c r="AC38" s="306">
        <v>0.28000000000000003</v>
      </c>
      <c r="AD38" s="306">
        <v>0.1125</v>
      </c>
      <c r="AE38" s="431">
        <v>0.28299999999999997</v>
      </c>
      <c r="AF38" s="431">
        <v>0.28299999999999997</v>
      </c>
      <c r="AG38" s="431">
        <v>0.27700000000000002</v>
      </c>
      <c r="AH38" s="431">
        <v>0.28299999999999997</v>
      </c>
      <c r="AI38" s="431">
        <v>0.28799999999999998</v>
      </c>
      <c r="AJ38" s="431">
        <v>0.28299999999999997</v>
      </c>
      <c r="AK38" s="431">
        <v>0.27700000000000002</v>
      </c>
      <c r="AL38" s="431">
        <v>0.27700000000000002</v>
      </c>
      <c r="AM38" s="431">
        <v>0.28299999999999997</v>
      </c>
      <c r="AN38" s="431">
        <v>0.28299999999999997</v>
      </c>
      <c r="AO38" s="431">
        <v>0.28299999999999997</v>
      </c>
      <c r="AP38" s="432">
        <v>0.28299999999999997</v>
      </c>
      <c r="AQ38" s="432">
        <v>0.28299999999999997</v>
      </c>
      <c r="AR38" s="432">
        <v>0.28299999999999997</v>
      </c>
      <c r="AS38" s="432">
        <v>0.28299999999999997</v>
      </c>
      <c r="AT38" s="431">
        <v>0.28299999999999997</v>
      </c>
      <c r="AU38" s="431">
        <v>0.28299999999999997</v>
      </c>
      <c r="AV38" s="431">
        <v>0.27700000000000002</v>
      </c>
      <c r="AW38" s="305">
        <v>6.9298174796183998E-2</v>
      </c>
      <c r="AX38" s="305"/>
      <c r="AY38" s="306">
        <f t="shared" si="4"/>
        <v>0.27700000000000002</v>
      </c>
      <c r="AZ38" s="306">
        <f t="shared" si="5"/>
        <v>0.27700000000000002</v>
      </c>
      <c r="BA38" s="309">
        <f t="shared" si="6"/>
        <v>0.27700000000000002</v>
      </c>
      <c r="BB38" s="308">
        <f t="shared" si="7"/>
        <v>37438</v>
      </c>
      <c r="BC38" s="308">
        <v>0.88061166196961405</v>
      </c>
      <c r="BD38" s="291">
        <v>0.88077705369302361</v>
      </c>
      <c r="BF38" s="194">
        <v>37438</v>
      </c>
      <c r="BG38" s="206">
        <v>26</v>
      </c>
      <c r="HZ38" s="308">
        <f t="shared" si="2"/>
        <v>37500</v>
      </c>
      <c r="IA38" s="291">
        <v>28</v>
      </c>
    </row>
    <row r="39" spans="1:235" x14ac:dyDescent="0.25">
      <c r="B39" s="296">
        <f t="shared" si="3"/>
        <v>37469</v>
      </c>
      <c r="C39" s="294">
        <v>3.3180000000000001</v>
      </c>
      <c r="D39" s="294">
        <v>0.28249999999999997</v>
      </c>
      <c r="E39" s="294">
        <v>6.9527358699475003E-2</v>
      </c>
      <c r="F39" s="294">
        <v>-0.13250000000000001</v>
      </c>
      <c r="G39" s="294">
        <v>2.5000000000000001E-2</v>
      </c>
      <c r="H39" s="294">
        <v>-0.13250000000000001</v>
      </c>
      <c r="I39" s="294">
        <v>0.04</v>
      </c>
      <c r="J39" s="294">
        <v>0.1825</v>
      </c>
      <c r="K39" s="294">
        <v>0.215</v>
      </c>
      <c r="L39" s="294">
        <v>-7.8E-2</v>
      </c>
      <c r="M39" s="294">
        <v>-2.8000000000000001E-2</v>
      </c>
      <c r="N39" s="294">
        <v>-0.52</v>
      </c>
      <c r="O39" s="294">
        <v>-0.38500000000000001</v>
      </c>
      <c r="P39" s="294">
        <v>6.0000000000000001E-3</v>
      </c>
      <c r="Q39" s="294">
        <v>-7.4999999999999997E-3</v>
      </c>
      <c r="R39" s="291">
        <v>-2.5000000000000001E-2</v>
      </c>
      <c r="S39" s="291">
        <v>-0.06</v>
      </c>
      <c r="T39" s="291">
        <v>-8.5000000000000006E-2</v>
      </c>
      <c r="U39" s="291">
        <v>-2.0250000000000001E-2</v>
      </c>
      <c r="V39" s="291">
        <v>-9.2499999999999999E-2</v>
      </c>
      <c r="W39" s="291">
        <v>-0.1275</v>
      </c>
      <c r="X39" s="291">
        <v>0.495</v>
      </c>
      <c r="Y39" s="291">
        <v>6.0000000000000001E-3</v>
      </c>
      <c r="Z39" s="291">
        <v>-0.25</v>
      </c>
      <c r="AA39" s="291">
        <v>-2.4E-2</v>
      </c>
      <c r="AB39" s="306">
        <v>-0.32</v>
      </c>
      <c r="AC39" s="306">
        <v>0.28000000000000003</v>
      </c>
      <c r="AD39" s="306">
        <v>0.11</v>
      </c>
      <c r="AE39" s="431">
        <v>0.28299999999999997</v>
      </c>
      <c r="AF39" s="431">
        <v>0.28299999999999997</v>
      </c>
      <c r="AG39" s="431">
        <v>0.27700000000000002</v>
      </c>
      <c r="AH39" s="431">
        <v>0.28299999999999997</v>
      </c>
      <c r="AI39" s="431">
        <v>0.28799999999999998</v>
      </c>
      <c r="AJ39" s="431">
        <v>0.28299999999999997</v>
      </c>
      <c r="AK39" s="431">
        <v>0.27700000000000002</v>
      </c>
      <c r="AL39" s="431">
        <v>0.27700000000000002</v>
      </c>
      <c r="AM39" s="431">
        <v>0.28299999999999997</v>
      </c>
      <c r="AN39" s="431">
        <v>0.28299999999999997</v>
      </c>
      <c r="AO39" s="431">
        <v>0.28299999999999997</v>
      </c>
      <c r="AP39" s="432">
        <v>0.28299999999999997</v>
      </c>
      <c r="AQ39" s="432">
        <v>0.28299999999999997</v>
      </c>
      <c r="AR39" s="432">
        <v>0.28299999999999997</v>
      </c>
      <c r="AS39" s="432">
        <v>0.28299999999999997</v>
      </c>
      <c r="AT39" s="431">
        <v>0.28299999999999997</v>
      </c>
      <c r="AU39" s="431">
        <v>0.28299999999999997</v>
      </c>
      <c r="AV39" s="431">
        <v>0.27700000000000002</v>
      </c>
      <c r="AW39" s="305">
        <v>6.9285074601954003E-2</v>
      </c>
      <c r="AX39" s="305"/>
      <c r="AY39" s="306">
        <f t="shared" si="4"/>
        <v>0.27700000000000002</v>
      </c>
      <c r="AZ39" s="306">
        <f t="shared" si="5"/>
        <v>0.27700000000000002</v>
      </c>
      <c r="BA39" s="309">
        <f t="shared" si="6"/>
        <v>0.27700000000000002</v>
      </c>
      <c r="BB39" s="308">
        <f t="shared" si="7"/>
        <v>37469</v>
      </c>
      <c r="BC39" s="308">
        <v>0.87550158295516423</v>
      </c>
      <c r="BD39" s="291">
        <v>0.87566601254517107</v>
      </c>
      <c r="BF39" s="194">
        <v>37469</v>
      </c>
      <c r="BG39" s="206">
        <v>27</v>
      </c>
      <c r="HZ39" s="308">
        <f t="shared" si="2"/>
        <v>37530</v>
      </c>
      <c r="IA39" s="291">
        <v>29</v>
      </c>
    </row>
    <row r="40" spans="1:235" x14ac:dyDescent="0.25">
      <c r="B40" s="296">
        <f t="shared" si="3"/>
        <v>37500</v>
      </c>
      <c r="C40" s="294">
        <v>3.3109999999999999</v>
      </c>
      <c r="D40" s="294">
        <v>0.28249999999999997</v>
      </c>
      <c r="E40" s="294">
        <v>6.9523900887789994E-2</v>
      </c>
      <c r="F40" s="294">
        <v>-0.13250000000000001</v>
      </c>
      <c r="G40" s="294">
        <v>1.7500000000000002E-2</v>
      </c>
      <c r="H40" s="294">
        <v>-0.13250000000000001</v>
      </c>
      <c r="I40" s="294">
        <v>3.7499999999999999E-2</v>
      </c>
      <c r="J40" s="294">
        <v>0.1825</v>
      </c>
      <c r="K40" s="294">
        <v>0.19500000000000001</v>
      </c>
      <c r="L40" s="294">
        <v>-5.8000000000000003E-2</v>
      </c>
      <c r="M40" s="294">
        <v>-2.8000000000000001E-2</v>
      </c>
      <c r="N40" s="294">
        <v>-0.52</v>
      </c>
      <c r="O40" s="294">
        <v>-0.38500000000000001</v>
      </c>
      <c r="P40" s="294">
        <v>6.0000000000000001E-3</v>
      </c>
      <c r="Q40" s="294">
        <v>-7.4999999999999997E-3</v>
      </c>
      <c r="R40" s="291">
        <v>-2.5000000000000001E-2</v>
      </c>
      <c r="S40" s="291">
        <v>-0.06</v>
      </c>
      <c r="T40" s="291">
        <v>-7.4999999999999997E-2</v>
      </c>
      <c r="U40" s="291">
        <v>-2.0250000000000001E-2</v>
      </c>
      <c r="V40" s="291">
        <v>-0.1075</v>
      </c>
      <c r="W40" s="291">
        <v>-0.1275</v>
      </c>
      <c r="X40" s="291">
        <v>0.39500000000000002</v>
      </c>
      <c r="Y40" s="291">
        <v>6.0000000000000001E-3</v>
      </c>
      <c r="Z40" s="291">
        <v>-0.25</v>
      </c>
      <c r="AA40" s="291">
        <v>-2.4E-2</v>
      </c>
      <c r="AB40" s="306">
        <v>-0.32</v>
      </c>
      <c r="AC40" s="306">
        <v>0.27</v>
      </c>
      <c r="AD40" s="306">
        <v>0.1075</v>
      </c>
      <c r="AE40" s="431">
        <v>0.28299999999999997</v>
      </c>
      <c r="AF40" s="431">
        <v>0.28299999999999997</v>
      </c>
      <c r="AG40" s="431">
        <v>0.27700000000000002</v>
      </c>
      <c r="AH40" s="431">
        <v>0.28299999999999997</v>
      </c>
      <c r="AI40" s="431">
        <v>0.28799999999999998</v>
      </c>
      <c r="AJ40" s="431">
        <v>0.28299999999999997</v>
      </c>
      <c r="AK40" s="431">
        <v>0.27700000000000002</v>
      </c>
      <c r="AL40" s="431">
        <v>0.27700000000000002</v>
      </c>
      <c r="AM40" s="431">
        <v>0.28299999999999997</v>
      </c>
      <c r="AN40" s="431">
        <v>0.28299999999999997</v>
      </c>
      <c r="AO40" s="431">
        <v>0.28299999999999997</v>
      </c>
      <c r="AP40" s="432">
        <v>0.28299999999999997</v>
      </c>
      <c r="AQ40" s="432">
        <v>0.28299999999999997</v>
      </c>
      <c r="AR40" s="432">
        <v>0.28299999999999997</v>
      </c>
      <c r="AS40" s="432">
        <v>0.28299999999999997</v>
      </c>
      <c r="AT40" s="431">
        <v>0.28299999999999997</v>
      </c>
      <c r="AU40" s="431">
        <v>0.28299999999999997</v>
      </c>
      <c r="AV40" s="431">
        <v>0.27700000000000002</v>
      </c>
      <c r="AW40" s="305">
        <v>6.9271974407780004E-2</v>
      </c>
      <c r="AX40" s="305"/>
      <c r="AY40" s="306">
        <f t="shared" si="4"/>
        <v>0.27700000000000002</v>
      </c>
      <c r="AZ40" s="306">
        <f t="shared" si="5"/>
        <v>0.27700000000000002</v>
      </c>
      <c r="BA40" s="309">
        <f t="shared" si="6"/>
        <v>0.27700000000000002</v>
      </c>
      <c r="BB40" s="308">
        <f t="shared" si="7"/>
        <v>37500</v>
      </c>
      <c r="BC40" s="308">
        <v>0.87042130413370566</v>
      </c>
      <c r="BD40" s="291">
        <v>0.87058477721491045</v>
      </c>
      <c r="BF40" s="194">
        <v>37500</v>
      </c>
      <c r="BG40" s="206">
        <v>28</v>
      </c>
      <c r="HZ40" s="308">
        <f t="shared" si="2"/>
        <v>37561</v>
      </c>
      <c r="IA40" s="291">
        <v>30</v>
      </c>
    </row>
    <row r="41" spans="1:235" x14ac:dyDescent="0.25">
      <c r="A41" s="318"/>
      <c r="B41" s="296">
        <f t="shared" si="3"/>
        <v>37530</v>
      </c>
      <c r="C41" s="294">
        <v>3.3260000000000001</v>
      </c>
      <c r="D41" s="294">
        <v>0.28499999999999998</v>
      </c>
      <c r="E41" s="294">
        <v>6.9518630269067003E-2</v>
      </c>
      <c r="F41" s="294">
        <v>-0.13250000000000001</v>
      </c>
      <c r="G41" s="294">
        <v>7.4999999999999997E-3</v>
      </c>
      <c r="H41" s="294">
        <v>-0.13250000000000001</v>
      </c>
      <c r="I41" s="294">
        <v>5.2499999999999998E-2</v>
      </c>
      <c r="J41" s="294">
        <v>0.1875</v>
      </c>
      <c r="K41" s="294">
        <v>0.215</v>
      </c>
      <c r="L41" s="294">
        <v>-6.8000000000000005E-2</v>
      </c>
      <c r="M41" s="294">
        <v>-2.8000000000000001E-2</v>
      </c>
      <c r="N41" s="294">
        <v>-0.52</v>
      </c>
      <c r="O41" s="294">
        <v>-0.38500000000000001</v>
      </c>
      <c r="P41" s="294">
        <v>6.0000000000000001E-3</v>
      </c>
      <c r="Q41" s="294">
        <v>-7.4999999999999997E-3</v>
      </c>
      <c r="R41" s="291">
        <v>-2.5000000000000001E-2</v>
      </c>
      <c r="S41" s="291">
        <v>-0.06</v>
      </c>
      <c r="T41" s="291">
        <v>-0.06</v>
      </c>
      <c r="U41" s="291">
        <v>-2.0250000000000001E-2</v>
      </c>
      <c r="V41" s="291">
        <v>-0.11</v>
      </c>
      <c r="W41" s="291">
        <v>-0.1275</v>
      </c>
      <c r="X41" s="291">
        <v>0.46100000000000002</v>
      </c>
      <c r="Y41" s="291">
        <v>6.0000000000000001E-3</v>
      </c>
      <c r="Z41" s="291">
        <v>-0.25</v>
      </c>
      <c r="AA41" s="291">
        <v>-2.4E-2</v>
      </c>
      <c r="AB41" s="306">
        <v>-0.32</v>
      </c>
      <c r="AC41" s="306">
        <v>0.34250000000000003</v>
      </c>
      <c r="AD41" s="306">
        <v>0.1225</v>
      </c>
      <c r="AE41" s="431">
        <v>0.28499999999999998</v>
      </c>
      <c r="AF41" s="431">
        <v>0.28499999999999998</v>
      </c>
      <c r="AG41" s="431">
        <v>0.27900000000000003</v>
      </c>
      <c r="AH41" s="431">
        <v>0.28499999999999998</v>
      </c>
      <c r="AI41" s="431">
        <v>0.29099999999999998</v>
      </c>
      <c r="AJ41" s="431">
        <v>0.28499999999999998</v>
      </c>
      <c r="AK41" s="431">
        <v>0.27900000000000003</v>
      </c>
      <c r="AL41" s="431">
        <v>0.27900000000000003</v>
      </c>
      <c r="AM41" s="431">
        <v>0.28499999999999998</v>
      </c>
      <c r="AN41" s="431">
        <v>0.28499999999999998</v>
      </c>
      <c r="AO41" s="431">
        <v>0.28499999999999998</v>
      </c>
      <c r="AP41" s="432">
        <v>0.28499999999999998</v>
      </c>
      <c r="AQ41" s="432">
        <v>0.28499999999999998</v>
      </c>
      <c r="AR41" s="432">
        <v>0.28499999999999998</v>
      </c>
      <c r="AS41" s="432">
        <v>0.28499999999999998</v>
      </c>
      <c r="AT41" s="431">
        <v>0.28499999999999998</v>
      </c>
      <c r="AU41" s="431">
        <v>0.28499999999999998</v>
      </c>
      <c r="AV41" s="431">
        <v>0.27900000000000003</v>
      </c>
      <c r="AW41" s="305">
        <v>6.9258999075703001E-2</v>
      </c>
      <c r="AX41" s="305"/>
      <c r="AY41" s="306">
        <f t="shared" si="4"/>
        <v>0.27900000000000003</v>
      </c>
      <c r="AZ41" s="306">
        <f t="shared" si="5"/>
        <v>0.27900000000000003</v>
      </c>
      <c r="BA41" s="309">
        <f t="shared" si="6"/>
        <v>0.27900000000000003</v>
      </c>
      <c r="BB41" s="308">
        <f t="shared" si="7"/>
        <v>37530</v>
      </c>
      <c r="BC41" s="308">
        <v>0.8655368491590274</v>
      </c>
      <c r="BD41" s="291">
        <v>0.86569939775479265</v>
      </c>
      <c r="BF41" s="194">
        <v>37530</v>
      </c>
      <c r="BG41" s="206">
        <v>29</v>
      </c>
      <c r="HZ41" s="308">
        <f t="shared" si="2"/>
        <v>37591</v>
      </c>
      <c r="IA41" s="291">
        <v>31</v>
      </c>
    </row>
    <row r="42" spans="1:235" x14ac:dyDescent="0.25">
      <c r="A42" s="319"/>
      <c r="B42" s="296">
        <f t="shared" si="3"/>
        <v>37561</v>
      </c>
      <c r="C42" s="294">
        <v>3.4180000000000001</v>
      </c>
      <c r="D42" s="294">
        <v>0.29249999999999998</v>
      </c>
      <c r="E42" s="294">
        <v>6.9510422951367001E-2</v>
      </c>
      <c r="F42" s="294">
        <v>-0.125</v>
      </c>
      <c r="G42" s="294">
        <v>-3.2500000000000001E-2</v>
      </c>
      <c r="H42" s="294">
        <v>-0.125</v>
      </c>
      <c r="I42" s="294">
        <v>9.2499999999999999E-2</v>
      </c>
      <c r="J42" s="294">
        <v>0.27</v>
      </c>
      <c r="K42" s="294">
        <v>0.28749999999999998</v>
      </c>
      <c r="L42" s="294">
        <v>-8.3000000000000004E-2</v>
      </c>
      <c r="M42" s="294">
        <v>-2.0500000000000001E-2</v>
      </c>
      <c r="N42" s="294">
        <v>-0.29499999999999998</v>
      </c>
      <c r="O42" s="294">
        <v>0</v>
      </c>
      <c r="P42" s="294">
        <v>1.2500000000000001E-2</v>
      </c>
      <c r="Q42" s="294">
        <v>-1.55E-2</v>
      </c>
      <c r="R42" s="291">
        <v>-2.8000000000000001E-2</v>
      </c>
      <c r="S42" s="291">
        <v>-0.06</v>
      </c>
      <c r="T42" s="291">
        <v>-5.0000000000000001E-3</v>
      </c>
      <c r="U42" s="291">
        <v>-0.04</v>
      </c>
      <c r="V42" s="291">
        <v>-0.1075</v>
      </c>
      <c r="W42" s="291">
        <v>-0.14000000000000001</v>
      </c>
      <c r="X42" s="291">
        <v>0.75249999999999995</v>
      </c>
      <c r="Y42" s="291">
        <v>6.0000000000000001E-3</v>
      </c>
      <c r="Z42" s="291">
        <v>-0.2</v>
      </c>
      <c r="AA42" s="291">
        <v>-2.5499999999999998E-2</v>
      </c>
      <c r="AB42" s="306">
        <v>0.95499999999999996</v>
      </c>
      <c r="AC42" s="306">
        <v>0.47</v>
      </c>
      <c r="AD42" s="306">
        <v>0.1875</v>
      </c>
      <c r="AE42" s="431">
        <v>0.29299999999999998</v>
      </c>
      <c r="AF42" s="431">
        <v>0.29299999999999998</v>
      </c>
      <c r="AG42" s="431">
        <v>0.32200000000000001</v>
      </c>
      <c r="AH42" s="431">
        <v>0.29299999999999998</v>
      </c>
      <c r="AI42" s="431">
        <v>0.29799999999999999</v>
      </c>
      <c r="AJ42" s="431">
        <v>0.29299999999999998</v>
      </c>
      <c r="AK42" s="431">
        <v>0.29299999999999998</v>
      </c>
      <c r="AL42" s="431">
        <v>0.29299999999999998</v>
      </c>
      <c r="AM42" s="431">
        <v>0.29299999999999998</v>
      </c>
      <c r="AN42" s="431">
        <v>0.29299999999999998</v>
      </c>
      <c r="AO42" s="431">
        <v>0.29299999999999998</v>
      </c>
      <c r="AP42" s="432">
        <v>0.29299999999999998</v>
      </c>
      <c r="AQ42" s="432">
        <v>0.29299999999999998</v>
      </c>
      <c r="AR42" s="432">
        <v>0.29299999999999998</v>
      </c>
      <c r="AS42" s="432">
        <v>0.29299999999999998</v>
      </c>
      <c r="AT42" s="431">
        <v>0.29299999999999998</v>
      </c>
      <c r="AU42" s="431">
        <v>0.29299999999999998</v>
      </c>
      <c r="AV42" s="431">
        <v>0.32200000000000001</v>
      </c>
      <c r="AW42" s="305">
        <v>6.9245164042116003E-2</v>
      </c>
      <c r="AX42" s="305"/>
      <c r="AY42" s="306">
        <f t="shared" si="4"/>
        <v>0.32200000000000001</v>
      </c>
      <c r="AZ42" s="306">
        <f t="shared" si="5"/>
        <v>0.32200000000000001</v>
      </c>
      <c r="BA42" s="309">
        <f t="shared" si="6"/>
        <v>0.32200000000000001</v>
      </c>
      <c r="BB42" s="308">
        <f t="shared" si="7"/>
        <v>37561</v>
      </c>
      <c r="BC42" s="308">
        <v>0.86052436236211793</v>
      </c>
      <c r="BD42" s="291">
        <v>0.86068595534357117</v>
      </c>
      <c r="BF42" s="194">
        <v>37561</v>
      </c>
      <c r="BG42" s="206">
        <v>30</v>
      </c>
      <c r="HZ42" s="308">
        <f t="shared" si="2"/>
        <v>37622</v>
      </c>
      <c r="IA42" s="291">
        <v>32</v>
      </c>
    </row>
    <row r="43" spans="1:235" x14ac:dyDescent="0.25">
      <c r="A43" s="319"/>
      <c r="B43" s="296">
        <f t="shared" si="3"/>
        <v>37591</v>
      </c>
      <c r="C43" s="294">
        <v>3.504</v>
      </c>
      <c r="D43" s="294">
        <v>0.29499999999999998</v>
      </c>
      <c r="E43" s="294">
        <v>6.9502480385870993E-2</v>
      </c>
      <c r="F43" s="294">
        <v>-0.1275</v>
      </c>
      <c r="G43" s="294">
        <v>-5.5E-2</v>
      </c>
      <c r="H43" s="294">
        <v>-0.1275</v>
      </c>
      <c r="I43" s="294">
        <v>0.13250000000000001</v>
      </c>
      <c r="J43" s="294">
        <v>0.30499999999999999</v>
      </c>
      <c r="K43" s="294">
        <v>0.33750000000000002</v>
      </c>
      <c r="L43" s="294">
        <v>-8.3000000000000004E-2</v>
      </c>
      <c r="M43" s="294">
        <v>-2.0500000000000001E-2</v>
      </c>
      <c r="N43" s="294">
        <v>-0.29499999999999998</v>
      </c>
      <c r="O43" s="294">
        <v>0.06</v>
      </c>
      <c r="P43" s="294">
        <v>1.2500000000000001E-2</v>
      </c>
      <c r="Q43" s="294">
        <v>-1.55E-2</v>
      </c>
      <c r="R43" s="291">
        <v>-2.8000000000000001E-2</v>
      </c>
      <c r="S43" s="291">
        <v>-0.06</v>
      </c>
      <c r="T43" s="291">
        <v>2.5000000000000001E-3</v>
      </c>
      <c r="U43" s="291">
        <v>-0.04</v>
      </c>
      <c r="V43" s="291">
        <v>-0.14249999999999999</v>
      </c>
      <c r="W43" s="291">
        <v>-0.13500000000000001</v>
      </c>
      <c r="X43" s="291">
        <v>1.1599999999999999</v>
      </c>
      <c r="Y43" s="291">
        <v>6.0000000000000001E-3</v>
      </c>
      <c r="Z43" s="291">
        <v>-0.2</v>
      </c>
      <c r="AA43" s="291">
        <v>-2.5499999999999998E-2</v>
      </c>
      <c r="AB43" s="306">
        <v>0.95499999999999996</v>
      </c>
      <c r="AC43" s="306">
        <v>0.81</v>
      </c>
      <c r="AD43" s="306">
        <v>0.22750000000000001</v>
      </c>
      <c r="AE43" s="431">
        <v>0.29499999999999998</v>
      </c>
      <c r="AF43" s="431">
        <v>0.29499999999999998</v>
      </c>
      <c r="AG43" s="431">
        <v>0.32500000000000001</v>
      </c>
      <c r="AH43" s="431">
        <v>0.29499999999999998</v>
      </c>
      <c r="AI43" s="431">
        <v>0.30099999999999999</v>
      </c>
      <c r="AJ43" s="431">
        <v>0.29499999999999998</v>
      </c>
      <c r="AK43" s="431">
        <v>0.29499999999999998</v>
      </c>
      <c r="AL43" s="431">
        <v>0.29499999999999998</v>
      </c>
      <c r="AM43" s="431">
        <v>0.29499999999999998</v>
      </c>
      <c r="AN43" s="431">
        <v>0.29499999999999998</v>
      </c>
      <c r="AO43" s="431">
        <v>0.29499999999999998</v>
      </c>
      <c r="AP43" s="432">
        <v>0.29499999999999998</v>
      </c>
      <c r="AQ43" s="432">
        <v>0.29499999999999998</v>
      </c>
      <c r="AR43" s="432">
        <v>0.29499999999999998</v>
      </c>
      <c r="AS43" s="432">
        <v>0.29499999999999998</v>
      </c>
      <c r="AT43" s="431">
        <v>0.29499999999999998</v>
      </c>
      <c r="AU43" s="431">
        <v>0.29499999999999998</v>
      </c>
      <c r="AV43" s="431">
        <v>0.32500000000000001</v>
      </c>
      <c r="AW43" s="305">
        <v>6.9231775300000006E-2</v>
      </c>
      <c r="AX43" s="305"/>
      <c r="AY43" s="306">
        <f t="shared" si="4"/>
        <v>0.32500000000000001</v>
      </c>
      <c r="AZ43" s="306">
        <f t="shared" si="5"/>
        <v>0.32500000000000001</v>
      </c>
      <c r="BA43" s="309">
        <f t="shared" si="6"/>
        <v>0.32500000000000001</v>
      </c>
      <c r="BB43" s="308">
        <f t="shared" si="7"/>
        <v>37591</v>
      </c>
      <c r="BC43" s="308">
        <v>0.8557020464166748</v>
      </c>
      <c r="BD43" s="291">
        <v>0.8558627201154857</v>
      </c>
      <c r="BF43" s="194">
        <v>37591</v>
      </c>
      <c r="BG43" s="206">
        <v>31</v>
      </c>
      <c r="HZ43" s="308">
        <f t="shared" si="2"/>
        <v>37653</v>
      </c>
      <c r="IA43" s="291">
        <v>33</v>
      </c>
    </row>
    <row r="44" spans="1:235" x14ac:dyDescent="0.25">
      <c r="A44" s="319"/>
      <c r="B44" s="296">
        <f t="shared" si="3"/>
        <v>37622</v>
      </c>
      <c r="C44" s="294">
        <v>3.4969999999999999</v>
      </c>
      <c r="D44" s="294">
        <v>0.28249999999999997</v>
      </c>
      <c r="E44" s="294">
        <v>6.9501922465244004E-2</v>
      </c>
      <c r="F44" s="294">
        <v>-0.13</v>
      </c>
      <c r="G44" s="294">
        <v>-5.7500000000000002E-2</v>
      </c>
      <c r="H44" s="294">
        <v>-0.13</v>
      </c>
      <c r="I44" s="294">
        <v>0.14499999999999999</v>
      </c>
      <c r="J44" s="294">
        <v>0.30499999999999999</v>
      </c>
      <c r="K44" s="294">
        <v>0.4375</v>
      </c>
      <c r="L44" s="294">
        <v>-8.3000000000000004E-2</v>
      </c>
      <c r="M44" s="294">
        <v>-1.8499999999999999E-2</v>
      </c>
      <c r="N44" s="294">
        <v>-0.29499999999999998</v>
      </c>
      <c r="O44" s="294">
        <v>0.13</v>
      </c>
      <c r="P44" s="294">
        <v>1.2500000000000001E-2</v>
      </c>
      <c r="Q44" s="294">
        <v>-1.55E-2</v>
      </c>
      <c r="R44" s="291">
        <v>-2.5499999999999998E-2</v>
      </c>
      <c r="S44" s="291">
        <v>-0.06</v>
      </c>
      <c r="T44" s="291">
        <v>1.7500000000000002E-2</v>
      </c>
      <c r="U44" s="291">
        <v>-0.04</v>
      </c>
      <c r="V44" s="291">
        <v>-0.14749999999999999</v>
      </c>
      <c r="W44" s="291">
        <v>-0.13500000000000001</v>
      </c>
      <c r="X44" s="291">
        <v>1.48</v>
      </c>
      <c r="Y44" s="291">
        <v>5.0000000000000001E-3</v>
      </c>
      <c r="Z44" s="291">
        <v>-0.2</v>
      </c>
      <c r="AA44" s="291">
        <v>-2.5499999999999998E-2</v>
      </c>
      <c r="AB44" s="306">
        <v>-0.435</v>
      </c>
      <c r="AC44" s="306">
        <v>0.97</v>
      </c>
      <c r="AD44" s="306">
        <v>0.24</v>
      </c>
      <c r="AE44" s="431">
        <v>0.28299999999999997</v>
      </c>
      <c r="AF44" s="431">
        <v>0.28299999999999997</v>
      </c>
      <c r="AG44" s="431">
        <v>0.311</v>
      </c>
      <c r="AH44" s="431">
        <v>0.28299999999999997</v>
      </c>
      <c r="AI44" s="431">
        <v>0.28799999999999998</v>
      </c>
      <c r="AJ44" s="431">
        <v>0.28299999999999997</v>
      </c>
      <c r="AK44" s="431">
        <v>0.28299999999999997</v>
      </c>
      <c r="AL44" s="431">
        <v>0.28299999999999997</v>
      </c>
      <c r="AM44" s="431">
        <v>0.28299999999999997</v>
      </c>
      <c r="AN44" s="431">
        <v>0.28299999999999997</v>
      </c>
      <c r="AO44" s="431">
        <v>0.28299999999999997</v>
      </c>
      <c r="AP44" s="432">
        <v>0.28299999999999997</v>
      </c>
      <c r="AQ44" s="432">
        <v>0.28299999999999997</v>
      </c>
      <c r="AR44" s="432">
        <v>0.28299999999999997</v>
      </c>
      <c r="AS44" s="432">
        <v>0.28299999999999997</v>
      </c>
      <c r="AT44" s="431">
        <v>0.28299999999999997</v>
      </c>
      <c r="AU44" s="431">
        <v>0.28299999999999997</v>
      </c>
      <c r="AV44" s="431">
        <v>0.311</v>
      </c>
      <c r="AW44" s="305">
        <v>6.9226802546413002E-2</v>
      </c>
      <c r="AX44" s="305"/>
      <c r="AY44" s="306">
        <f t="shared" si="4"/>
        <v>0.311</v>
      </c>
      <c r="AZ44" s="306">
        <f t="shared" si="5"/>
        <v>0.311</v>
      </c>
      <c r="BA44" s="309">
        <f t="shared" si="6"/>
        <v>0.311</v>
      </c>
      <c r="BB44" s="308">
        <f t="shared" si="7"/>
        <v>37622</v>
      </c>
      <c r="BC44" s="308">
        <v>0.85073233752414867</v>
      </c>
      <c r="BD44" s="291">
        <v>0.85089208243409542</v>
      </c>
      <c r="BF44" s="194">
        <v>37622</v>
      </c>
      <c r="BG44" s="206">
        <v>32</v>
      </c>
      <c r="HZ44" s="308">
        <f t="shared" si="2"/>
        <v>37681</v>
      </c>
      <c r="IA44" s="291">
        <v>34</v>
      </c>
    </row>
    <row r="45" spans="1:235" x14ac:dyDescent="0.25">
      <c r="A45" s="319"/>
      <c r="B45" s="296">
        <f t="shared" si="3"/>
        <v>37653</v>
      </c>
      <c r="C45" s="294">
        <v>3.355</v>
      </c>
      <c r="D45" s="294">
        <v>0.28249999999999997</v>
      </c>
      <c r="E45" s="294">
        <v>6.9510653098179997E-2</v>
      </c>
      <c r="F45" s="294">
        <v>-0.13250000000000001</v>
      </c>
      <c r="G45" s="294">
        <v>-0.04</v>
      </c>
      <c r="H45" s="294">
        <v>-0.13250000000000001</v>
      </c>
      <c r="I45" s="294">
        <v>0.1225</v>
      </c>
      <c r="J45" s="294">
        <v>0.30499999999999999</v>
      </c>
      <c r="K45" s="294">
        <v>0.435</v>
      </c>
      <c r="L45" s="294">
        <v>-8.3000000000000004E-2</v>
      </c>
      <c r="M45" s="294">
        <v>-1.8499999999999999E-2</v>
      </c>
      <c r="N45" s="294">
        <v>-0.29499999999999998</v>
      </c>
      <c r="O45" s="294">
        <v>0</v>
      </c>
      <c r="P45" s="294">
        <v>1.2500000000000001E-2</v>
      </c>
      <c r="Q45" s="294">
        <v>-1.55E-2</v>
      </c>
      <c r="R45" s="291">
        <v>-2.5499999999999998E-2</v>
      </c>
      <c r="S45" s="291">
        <v>-0.06</v>
      </c>
      <c r="T45" s="291">
        <v>1.7500000000000002E-2</v>
      </c>
      <c r="U45" s="291">
        <v>-0.04</v>
      </c>
      <c r="V45" s="291">
        <v>-0.13</v>
      </c>
      <c r="W45" s="291">
        <v>-0.13500000000000001</v>
      </c>
      <c r="X45" s="291">
        <v>1.41</v>
      </c>
      <c r="Y45" s="291">
        <v>5.0000000000000001E-3</v>
      </c>
      <c r="Z45" s="291">
        <v>-0.2</v>
      </c>
      <c r="AA45" s="291">
        <v>-2.5499999999999998E-2</v>
      </c>
      <c r="AB45" s="306">
        <v>-0.435</v>
      </c>
      <c r="AC45" s="306">
        <v>0.97</v>
      </c>
      <c r="AD45" s="306">
        <v>0.2175</v>
      </c>
      <c r="AE45" s="431">
        <v>0.28299999999999997</v>
      </c>
      <c r="AF45" s="431">
        <v>0.28299999999999997</v>
      </c>
      <c r="AG45" s="431">
        <v>0.311</v>
      </c>
      <c r="AH45" s="431">
        <v>0.28299999999999997</v>
      </c>
      <c r="AI45" s="431">
        <v>0.28799999999999998</v>
      </c>
      <c r="AJ45" s="431">
        <v>0.28299999999999997</v>
      </c>
      <c r="AK45" s="431">
        <v>0.28299999999999997</v>
      </c>
      <c r="AL45" s="431">
        <v>0.28299999999999997</v>
      </c>
      <c r="AM45" s="431">
        <v>0.28299999999999997</v>
      </c>
      <c r="AN45" s="431">
        <v>0.28299999999999997</v>
      </c>
      <c r="AO45" s="431">
        <v>0.28299999999999997</v>
      </c>
      <c r="AP45" s="432">
        <v>0.28299999999999997</v>
      </c>
      <c r="AQ45" s="432">
        <v>0.28299999999999997</v>
      </c>
      <c r="AR45" s="432">
        <v>0.28299999999999997</v>
      </c>
      <c r="AS45" s="432">
        <v>0.28299999999999997</v>
      </c>
      <c r="AT45" s="431">
        <v>0.28299999999999997</v>
      </c>
      <c r="AU45" s="431">
        <v>0.28299999999999997</v>
      </c>
      <c r="AV45" s="431">
        <v>0.311</v>
      </c>
      <c r="AW45" s="305">
        <v>6.9232591132705995E-2</v>
      </c>
      <c r="AX45" s="305"/>
      <c r="AY45" s="306">
        <f t="shared" si="4"/>
        <v>0.311</v>
      </c>
      <c r="AZ45" s="306">
        <f t="shared" si="5"/>
        <v>0.311</v>
      </c>
      <c r="BA45" s="309">
        <f t="shared" si="6"/>
        <v>0.311</v>
      </c>
      <c r="BB45" s="308">
        <f t="shared" si="7"/>
        <v>37653</v>
      </c>
      <c r="BC45" s="308">
        <v>0.84577133994315368</v>
      </c>
      <c r="BD45" s="291">
        <v>0.84593017994281605</v>
      </c>
      <c r="BF45" s="194">
        <v>37653</v>
      </c>
      <c r="BG45" s="206">
        <v>33</v>
      </c>
      <c r="HZ45" s="308">
        <f t="shared" si="2"/>
        <v>37712</v>
      </c>
      <c r="IA45" s="291">
        <v>35</v>
      </c>
    </row>
    <row r="46" spans="1:235" x14ac:dyDescent="0.25">
      <c r="A46" s="319"/>
      <c r="B46" s="296">
        <f t="shared" si="3"/>
        <v>37681</v>
      </c>
      <c r="C46" s="294">
        <v>3.1850000000000001</v>
      </c>
      <c r="D46" s="294">
        <v>0.27250000000000002</v>
      </c>
      <c r="E46" s="294">
        <v>6.9518538831174995E-2</v>
      </c>
      <c r="F46" s="294">
        <v>-0.13500000000000001</v>
      </c>
      <c r="G46" s="294">
        <v>-2.75E-2</v>
      </c>
      <c r="H46" s="294">
        <v>-0.13500000000000001</v>
      </c>
      <c r="I46" s="294">
        <v>0.12</v>
      </c>
      <c r="J46" s="294">
        <v>0.26500000000000001</v>
      </c>
      <c r="K46" s="294">
        <v>0.30249999999999999</v>
      </c>
      <c r="L46" s="294">
        <v>-8.3000000000000004E-2</v>
      </c>
      <c r="M46" s="294">
        <v>-1.8499999999999999E-2</v>
      </c>
      <c r="N46" s="294">
        <v>-0.29499999999999998</v>
      </c>
      <c r="O46" s="294">
        <v>-0.2</v>
      </c>
      <c r="P46" s="294">
        <v>1.2500000000000001E-2</v>
      </c>
      <c r="Q46" s="294">
        <v>-1.55E-2</v>
      </c>
      <c r="R46" s="291">
        <v>-2.5499999999999998E-2</v>
      </c>
      <c r="S46" s="291">
        <v>-0.06</v>
      </c>
      <c r="T46" s="291">
        <v>1.7500000000000002E-2</v>
      </c>
      <c r="U46" s="291">
        <v>-0.04</v>
      </c>
      <c r="V46" s="291">
        <v>-0.1125</v>
      </c>
      <c r="W46" s="291">
        <v>-0.14000000000000001</v>
      </c>
      <c r="X46" s="291">
        <v>0.82</v>
      </c>
      <c r="Y46" s="291">
        <v>5.0000000000000001E-3</v>
      </c>
      <c r="Z46" s="291">
        <v>-0.2</v>
      </c>
      <c r="AA46" s="291">
        <v>-2.5499999999999998E-2</v>
      </c>
      <c r="AB46" s="306">
        <v>-0.435</v>
      </c>
      <c r="AC46" s="306">
        <v>0.63249999999999995</v>
      </c>
      <c r="AD46" s="306">
        <v>0.215</v>
      </c>
      <c r="AE46" s="431">
        <v>0.27300000000000002</v>
      </c>
      <c r="AF46" s="431">
        <v>0.27300000000000002</v>
      </c>
      <c r="AG46" s="431">
        <v>0.3</v>
      </c>
      <c r="AH46" s="431">
        <v>0.27300000000000002</v>
      </c>
      <c r="AI46" s="431">
        <v>0.27800000000000002</v>
      </c>
      <c r="AJ46" s="431">
        <v>0.27300000000000002</v>
      </c>
      <c r="AK46" s="431">
        <v>0.27300000000000002</v>
      </c>
      <c r="AL46" s="431">
        <v>0.27300000000000002</v>
      </c>
      <c r="AM46" s="431">
        <v>0.27300000000000002</v>
      </c>
      <c r="AN46" s="431">
        <v>0.27300000000000002</v>
      </c>
      <c r="AO46" s="431">
        <v>0.27300000000000002</v>
      </c>
      <c r="AP46" s="432">
        <v>0.27300000000000002</v>
      </c>
      <c r="AQ46" s="432">
        <v>0.27300000000000002</v>
      </c>
      <c r="AR46" s="432">
        <v>0.27300000000000002</v>
      </c>
      <c r="AS46" s="432">
        <v>0.27300000000000002</v>
      </c>
      <c r="AT46" s="431">
        <v>0.27300000000000002</v>
      </c>
      <c r="AU46" s="431">
        <v>0.27300000000000002</v>
      </c>
      <c r="AV46" s="431">
        <v>0.3</v>
      </c>
      <c r="AW46" s="305">
        <v>6.9237819533238001E-2</v>
      </c>
      <c r="AX46" s="305"/>
      <c r="AY46" s="306">
        <f t="shared" si="4"/>
        <v>0.3</v>
      </c>
      <c r="AZ46" s="306">
        <f t="shared" si="5"/>
        <v>0.3</v>
      </c>
      <c r="BA46" s="309">
        <f t="shared" si="6"/>
        <v>0.3</v>
      </c>
      <c r="BB46" s="308">
        <f t="shared" si="7"/>
        <v>37681</v>
      </c>
      <c r="BC46" s="308">
        <v>0.84131389792376265</v>
      </c>
      <c r="BD46" s="291">
        <v>0.84147192472281018</v>
      </c>
      <c r="BF46" s="194">
        <v>37681</v>
      </c>
      <c r="BG46" s="206">
        <v>34</v>
      </c>
      <c r="HZ46" s="308">
        <f t="shared" si="2"/>
        <v>37742</v>
      </c>
      <c r="IA46" s="291">
        <v>36</v>
      </c>
    </row>
    <row r="47" spans="1:235" x14ac:dyDescent="0.25">
      <c r="A47" s="319"/>
      <c r="B47" s="296">
        <f t="shared" si="3"/>
        <v>37712</v>
      </c>
      <c r="C47" s="294">
        <v>3.0070000000000001</v>
      </c>
      <c r="D47" s="294">
        <v>0.26250000000000001</v>
      </c>
      <c r="E47" s="294">
        <v>6.9517808408011E-2</v>
      </c>
      <c r="F47" s="294">
        <v>-0.185</v>
      </c>
      <c r="G47" s="294">
        <v>1.4999999999999999E-2</v>
      </c>
      <c r="H47" s="294">
        <v>-0.185</v>
      </c>
      <c r="I47" s="294">
        <v>7.0000000000000007E-2</v>
      </c>
      <c r="J47" s="294">
        <v>0.19500000000000001</v>
      </c>
      <c r="K47" s="294">
        <v>0.25</v>
      </c>
      <c r="L47" s="294">
        <v>-7.5999999999999998E-2</v>
      </c>
      <c r="M47" s="294">
        <v>-2.5999999999999999E-2</v>
      </c>
      <c r="N47" s="294">
        <v>-0.36</v>
      </c>
      <c r="O47" s="294">
        <v>-0.34</v>
      </c>
      <c r="P47" s="294">
        <v>6.0000000000000001E-3</v>
      </c>
      <c r="Q47" s="294">
        <v>-5.4999999999999997E-3</v>
      </c>
      <c r="R47" s="291">
        <v>-2.5000000000000001E-2</v>
      </c>
      <c r="S47" s="291">
        <v>-5.7500000000000002E-2</v>
      </c>
      <c r="T47" s="291">
        <v>-6.5000000000000002E-2</v>
      </c>
      <c r="U47" s="291">
        <v>-0.02</v>
      </c>
      <c r="V47" s="291">
        <v>-0.105</v>
      </c>
      <c r="W47" s="291">
        <v>-0.125</v>
      </c>
      <c r="X47" s="291">
        <v>0.45</v>
      </c>
      <c r="Y47" s="291">
        <v>5.0000000000000001E-3</v>
      </c>
      <c r="Z47" s="291">
        <v>-0.20499999999999999</v>
      </c>
      <c r="AA47" s="291">
        <v>-2.3E-2</v>
      </c>
      <c r="AB47" s="306">
        <v>0.29499999999999998</v>
      </c>
      <c r="AC47" s="306">
        <v>0.35499999999999998</v>
      </c>
      <c r="AD47" s="306">
        <v>0.16500000000000001</v>
      </c>
      <c r="AE47" s="431">
        <v>0.26300000000000001</v>
      </c>
      <c r="AF47" s="431">
        <v>0.26300000000000001</v>
      </c>
      <c r="AG47" s="431">
        <v>0.25700000000000001</v>
      </c>
      <c r="AH47" s="431">
        <v>0.26300000000000001</v>
      </c>
      <c r="AI47" s="431">
        <v>0.26800000000000002</v>
      </c>
      <c r="AJ47" s="431">
        <v>0.26300000000000001</v>
      </c>
      <c r="AK47" s="431">
        <v>0.25700000000000001</v>
      </c>
      <c r="AL47" s="431">
        <v>0.25700000000000001</v>
      </c>
      <c r="AM47" s="431">
        <v>0.26300000000000001</v>
      </c>
      <c r="AN47" s="431">
        <v>0.26300000000000001</v>
      </c>
      <c r="AO47" s="431">
        <v>0.26300000000000001</v>
      </c>
      <c r="AP47" s="432">
        <v>0.26300000000000001</v>
      </c>
      <c r="AQ47" s="432">
        <v>0.26300000000000001</v>
      </c>
      <c r="AR47" s="432">
        <v>0.26300000000000001</v>
      </c>
      <c r="AS47" s="432">
        <v>0.26300000000000001</v>
      </c>
      <c r="AT47" s="431">
        <v>0.26300000000000001</v>
      </c>
      <c r="AU47" s="431">
        <v>0.26300000000000001</v>
      </c>
      <c r="AV47" s="431">
        <v>0.25700000000000001</v>
      </c>
      <c r="AW47" s="305">
        <v>6.9235120641372994E-2</v>
      </c>
      <c r="AX47" s="305"/>
      <c r="AY47" s="306">
        <f t="shared" si="4"/>
        <v>0.25700000000000001</v>
      </c>
      <c r="AZ47" s="306">
        <f t="shared" si="5"/>
        <v>0.25700000000000001</v>
      </c>
      <c r="BA47" s="309">
        <f t="shared" si="6"/>
        <v>0.25700000000000001</v>
      </c>
      <c r="BB47" s="308">
        <f t="shared" si="7"/>
        <v>37712</v>
      </c>
      <c r="BC47" s="308">
        <v>0.8364190469442867</v>
      </c>
      <c r="BD47" s="291">
        <v>0.83657616559358616</v>
      </c>
      <c r="BF47" s="194">
        <v>37712</v>
      </c>
      <c r="BG47" s="206">
        <v>35</v>
      </c>
      <c r="HZ47" s="308">
        <f t="shared" si="2"/>
        <v>37773</v>
      </c>
      <c r="IA47" s="291">
        <v>37</v>
      </c>
    </row>
    <row r="48" spans="1:235" x14ac:dyDescent="0.25">
      <c r="A48" s="319"/>
      <c r="B48" s="296">
        <f t="shared" si="3"/>
        <v>37742</v>
      </c>
      <c r="C48" s="294">
        <v>2.9950000000000001</v>
      </c>
      <c r="D48" s="294">
        <v>0.25750000000000001</v>
      </c>
      <c r="E48" s="294">
        <v>6.9504716741150996E-2</v>
      </c>
      <c r="F48" s="294">
        <v>-0.185</v>
      </c>
      <c r="G48" s="294">
        <v>1.4999999999999999E-2</v>
      </c>
      <c r="H48" s="294">
        <v>-0.185</v>
      </c>
      <c r="I48" s="294">
        <v>0.06</v>
      </c>
      <c r="J48" s="294">
        <v>0.1825</v>
      </c>
      <c r="K48" s="294">
        <v>0.20250000000000001</v>
      </c>
      <c r="L48" s="294">
        <v>-7.5999999999999998E-2</v>
      </c>
      <c r="M48" s="294">
        <v>-2.5999999999999999E-2</v>
      </c>
      <c r="N48" s="294">
        <v>-0.36</v>
      </c>
      <c r="O48" s="294">
        <v>-0.34</v>
      </c>
      <c r="P48" s="294">
        <v>6.0000000000000001E-3</v>
      </c>
      <c r="Q48" s="294">
        <v>-5.4999999999999997E-3</v>
      </c>
      <c r="R48" s="291">
        <v>-2.5000000000000001E-2</v>
      </c>
      <c r="S48" s="291">
        <v>-5.7500000000000002E-2</v>
      </c>
      <c r="T48" s="291">
        <v>-0.08</v>
      </c>
      <c r="U48" s="291">
        <v>-2.0250000000000001E-2</v>
      </c>
      <c r="V48" s="291">
        <v>-0.105</v>
      </c>
      <c r="W48" s="291">
        <v>-0.125</v>
      </c>
      <c r="X48" s="291">
        <v>0.40500000000000003</v>
      </c>
      <c r="Y48" s="291">
        <v>5.0000000000000001E-3</v>
      </c>
      <c r="Z48" s="291">
        <v>-0.20499999999999999</v>
      </c>
      <c r="AA48" s="291">
        <v>-2.3E-2</v>
      </c>
      <c r="AB48" s="306">
        <v>0.29499999999999998</v>
      </c>
      <c r="AC48" s="306">
        <v>0.28749999999999998</v>
      </c>
      <c r="AD48" s="306">
        <v>0.155</v>
      </c>
      <c r="AE48" s="431">
        <v>0.25800000000000001</v>
      </c>
      <c r="AF48" s="431">
        <v>0.25800000000000001</v>
      </c>
      <c r="AG48" s="431">
        <v>0.252</v>
      </c>
      <c r="AH48" s="431">
        <v>0.25800000000000001</v>
      </c>
      <c r="AI48" s="431">
        <v>0.26300000000000001</v>
      </c>
      <c r="AJ48" s="431">
        <v>0.25800000000000001</v>
      </c>
      <c r="AK48" s="431">
        <v>0.252</v>
      </c>
      <c r="AL48" s="431">
        <v>0.252</v>
      </c>
      <c r="AM48" s="431">
        <v>0.25800000000000001</v>
      </c>
      <c r="AN48" s="431">
        <v>0.25800000000000001</v>
      </c>
      <c r="AO48" s="431">
        <v>0.25800000000000001</v>
      </c>
      <c r="AP48" s="432">
        <v>0.25800000000000001</v>
      </c>
      <c r="AQ48" s="432">
        <v>0.25800000000000001</v>
      </c>
      <c r="AR48" s="432">
        <v>0.25800000000000001</v>
      </c>
      <c r="AS48" s="432">
        <v>0.25800000000000001</v>
      </c>
      <c r="AT48" s="431">
        <v>0.25800000000000001</v>
      </c>
      <c r="AU48" s="431">
        <v>0.25800000000000001</v>
      </c>
      <c r="AV48" s="431">
        <v>0.252</v>
      </c>
      <c r="AW48" s="305">
        <v>6.9221292115571001E-2</v>
      </c>
      <c r="AX48" s="305"/>
      <c r="AY48" s="306">
        <f t="shared" si="4"/>
        <v>0.252</v>
      </c>
      <c r="AZ48" s="306">
        <f t="shared" si="5"/>
        <v>0.252</v>
      </c>
      <c r="BA48" s="309">
        <f t="shared" si="6"/>
        <v>0.252</v>
      </c>
      <c r="BB48" s="308">
        <f t="shared" si="7"/>
        <v>37742</v>
      </c>
      <c r="BC48" s="308">
        <v>0.83172872066027181</v>
      </c>
      <c r="BD48" s="291">
        <v>0.83188494852362727</v>
      </c>
      <c r="BF48" s="194">
        <v>37742</v>
      </c>
      <c r="BG48" s="206">
        <v>36</v>
      </c>
      <c r="HZ48" s="308">
        <f t="shared" si="2"/>
        <v>37803</v>
      </c>
      <c r="IA48" s="291">
        <v>38</v>
      </c>
    </row>
    <row r="49" spans="1:235" x14ac:dyDescent="0.25">
      <c r="A49" s="319"/>
      <c r="B49" s="296">
        <f t="shared" ref="B49:B80" si="8">EOMONTH(B48,0)+1</f>
        <v>37773</v>
      </c>
      <c r="C49" s="294">
        <v>3.0150000000000001</v>
      </c>
      <c r="D49" s="294">
        <v>0.255</v>
      </c>
      <c r="E49" s="294">
        <v>6.9491188685456007E-2</v>
      </c>
      <c r="F49" s="294">
        <v>-0.185</v>
      </c>
      <c r="G49" s="294">
        <v>0.02</v>
      </c>
      <c r="H49" s="294">
        <v>-0.185</v>
      </c>
      <c r="I49" s="294">
        <v>5.5E-2</v>
      </c>
      <c r="J49" s="294">
        <v>0.1825</v>
      </c>
      <c r="K49" s="294">
        <v>0.20250000000000001</v>
      </c>
      <c r="L49" s="294">
        <v>-9.1999999999999998E-2</v>
      </c>
      <c r="M49" s="294">
        <v>-2.5999999999999999E-2</v>
      </c>
      <c r="N49" s="294">
        <v>-0.36</v>
      </c>
      <c r="O49" s="294">
        <v>-0.34</v>
      </c>
      <c r="P49" s="294">
        <v>6.0000000000000001E-3</v>
      </c>
      <c r="Q49" s="294">
        <v>-5.4999999999999997E-3</v>
      </c>
      <c r="R49" s="291">
        <v>-2.5000000000000001E-2</v>
      </c>
      <c r="S49" s="291">
        <v>-5.7500000000000002E-2</v>
      </c>
      <c r="T49" s="291">
        <v>-0.09</v>
      </c>
      <c r="U49" s="291">
        <v>-2.0250000000000001E-2</v>
      </c>
      <c r="V49" s="291">
        <v>-9.5000000000000001E-2</v>
      </c>
      <c r="W49" s="291">
        <v>-0.125</v>
      </c>
      <c r="X49" s="291">
        <v>0.39500000000000002</v>
      </c>
      <c r="Y49" s="291">
        <v>5.0000000000000001E-3</v>
      </c>
      <c r="Z49" s="291">
        <v>-0.20499999999999999</v>
      </c>
      <c r="AA49" s="291">
        <v>-2.3E-2</v>
      </c>
      <c r="AB49" s="306">
        <v>0.29499999999999998</v>
      </c>
      <c r="AC49" s="306">
        <v>0.28749999999999998</v>
      </c>
      <c r="AD49" s="306">
        <v>0.15</v>
      </c>
      <c r="AE49" s="431">
        <v>0.255</v>
      </c>
      <c r="AF49" s="431">
        <v>0.255</v>
      </c>
      <c r="AG49" s="431">
        <v>0.25</v>
      </c>
      <c r="AH49" s="431">
        <v>0.255</v>
      </c>
      <c r="AI49" s="431">
        <v>0.26</v>
      </c>
      <c r="AJ49" s="431">
        <v>0.255</v>
      </c>
      <c r="AK49" s="431">
        <v>0.25</v>
      </c>
      <c r="AL49" s="431">
        <v>0.25</v>
      </c>
      <c r="AM49" s="431">
        <v>0.255</v>
      </c>
      <c r="AN49" s="431">
        <v>0.255</v>
      </c>
      <c r="AO49" s="431">
        <v>0.255</v>
      </c>
      <c r="AP49" s="432">
        <v>0.255</v>
      </c>
      <c r="AQ49" s="432">
        <v>0.255</v>
      </c>
      <c r="AR49" s="432">
        <v>0.255</v>
      </c>
      <c r="AS49" s="432">
        <v>0.255</v>
      </c>
      <c r="AT49" s="431">
        <v>0.255</v>
      </c>
      <c r="AU49" s="431">
        <v>0.255</v>
      </c>
      <c r="AV49" s="431">
        <v>0.25</v>
      </c>
      <c r="AW49" s="305">
        <v>6.9207002638976001E-2</v>
      </c>
      <c r="AX49" s="305"/>
      <c r="AY49" s="306">
        <f t="shared" si="4"/>
        <v>0.25</v>
      </c>
      <c r="AZ49" s="306">
        <f t="shared" si="5"/>
        <v>0.25</v>
      </c>
      <c r="BA49" s="309">
        <f t="shared" si="6"/>
        <v>0.25</v>
      </c>
      <c r="BB49" s="308">
        <f t="shared" si="7"/>
        <v>37773</v>
      </c>
      <c r="BC49" s="308">
        <v>0.8269102889737584</v>
      </c>
      <c r="BD49" s="291">
        <v>0.8270656017773883</v>
      </c>
      <c r="BF49" s="194">
        <v>37773</v>
      </c>
      <c r="BG49" s="206">
        <v>37</v>
      </c>
      <c r="HZ49" s="308">
        <f t="shared" si="2"/>
        <v>37834</v>
      </c>
      <c r="IA49" s="291">
        <v>39</v>
      </c>
    </row>
    <row r="50" spans="1:235" x14ac:dyDescent="0.25">
      <c r="A50" s="319"/>
      <c r="B50" s="296">
        <f t="shared" si="8"/>
        <v>37803</v>
      </c>
      <c r="C50" s="294">
        <v>3.0369999999999999</v>
      </c>
      <c r="D50" s="294">
        <v>0.255</v>
      </c>
      <c r="E50" s="294">
        <v>6.9478647267651003E-2</v>
      </c>
      <c r="F50" s="294">
        <v>-0.185</v>
      </c>
      <c r="G50" s="294">
        <v>2.2499999999999999E-2</v>
      </c>
      <c r="H50" s="294">
        <v>-0.185</v>
      </c>
      <c r="I50" s="294">
        <v>4.4999999999999998E-2</v>
      </c>
      <c r="J50" s="294">
        <v>0.1825</v>
      </c>
      <c r="K50" s="294">
        <v>0.215</v>
      </c>
      <c r="L50" s="294">
        <v>-8.5000000000000006E-2</v>
      </c>
      <c r="M50" s="294">
        <v>-2.5999999999999999E-2</v>
      </c>
      <c r="N50" s="294">
        <v>-0.36</v>
      </c>
      <c r="O50" s="294">
        <v>-0.34</v>
      </c>
      <c r="P50" s="294">
        <v>6.0000000000000001E-3</v>
      </c>
      <c r="Q50" s="294">
        <v>-5.4999999999999997E-3</v>
      </c>
      <c r="R50" s="291">
        <v>-2.5000000000000001E-2</v>
      </c>
      <c r="S50" s="291">
        <v>-5.7500000000000002E-2</v>
      </c>
      <c r="T50" s="291">
        <v>-0.09</v>
      </c>
      <c r="U50" s="291">
        <v>-2.0250000000000001E-2</v>
      </c>
      <c r="V50" s="291">
        <v>-0.09</v>
      </c>
      <c r="W50" s="291">
        <v>-0.125</v>
      </c>
      <c r="X50" s="291">
        <v>0.43</v>
      </c>
      <c r="Y50" s="291">
        <v>5.0000000000000001E-3</v>
      </c>
      <c r="Z50" s="291">
        <v>-0.20499999999999999</v>
      </c>
      <c r="AA50" s="291">
        <v>-2.3E-2</v>
      </c>
      <c r="AB50" s="306">
        <v>0.29499999999999998</v>
      </c>
      <c r="AC50" s="306">
        <v>0.3</v>
      </c>
      <c r="AD50" s="306">
        <v>0.14000000000000001</v>
      </c>
      <c r="AE50" s="431">
        <v>0.255</v>
      </c>
      <c r="AF50" s="431">
        <v>0.255</v>
      </c>
      <c r="AG50" s="431">
        <v>0.25</v>
      </c>
      <c r="AH50" s="431">
        <v>0.255</v>
      </c>
      <c r="AI50" s="431">
        <v>0.26</v>
      </c>
      <c r="AJ50" s="431">
        <v>0.255</v>
      </c>
      <c r="AK50" s="431">
        <v>0.25</v>
      </c>
      <c r="AL50" s="431">
        <v>0.25</v>
      </c>
      <c r="AM50" s="431">
        <v>0.255</v>
      </c>
      <c r="AN50" s="431">
        <v>0.255</v>
      </c>
      <c r="AO50" s="431">
        <v>0.255</v>
      </c>
      <c r="AP50" s="432">
        <v>0.255</v>
      </c>
      <c r="AQ50" s="432">
        <v>0.255</v>
      </c>
      <c r="AR50" s="432">
        <v>0.255</v>
      </c>
      <c r="AS50" s="432">
        <v>0.255</v>
      </c>
      <c r="AT50" s="431">
        <v>0.255</v>
      </c>
      <c r="AU50" s="431">
        <v>0.255</v>
      </c>
      <c r="AV50" s="431">
        <v>0.25</v>
      </c>
      <c r="AW50" s="305">
        <v>6.9194353161541003E-2</v>
      </c>
      <c r="AX50" s="305"/>
      <c r="AY50" s="306">
        <f t="shared" si="4"/>
        <v>0.25</v>
      </c>
      <c r="AZ50" s="306">
        <f t="shared" si="5"/>
        <v>0.25</v>
      </c>
      <c r="BA50" s="309">
        <f t="shared" si="6"/>
        <v>0.25</v>
      </c>
      <c r="BB50" s="308">
        <f t="shared" si="7"/>
        <v>37803</v>
      </c>
      <c r="BC50" s="308">
        <v>0.82227854696867819</v>
      </c>
      <c r="BD50" s="291">
        <v>0.8224329762857312</v>
      </c>
      <c r="BF50" s="194">
        <v>37803</v>
      </c>
      <c r="BG50" s="206">
        <v>38</v>
      </c>
      <c r="HZ50" s="308">
        <f t="shared" si="2"/>
        <v>37865</v>
      </c>
      <c r="IA50" s="291">
        <v>40</v>
      </c>
    </row>
    <row r="51" spans="1:235" x14ac:dyDescent="0.25">
      <c r="A51" s="319"/>
      <c r="B51" s="296">
        <f t="shared" si="8"/>
        <v>37834</v>
      </c>
      <c r="C51" s="294">
        <v>3.0579999999999998</v>
      </c>
      <c r="D51" s="294">
        <v>0.255</v>
      </c>
      <c r="E51" s="294">
        <v>6.946647893763E-2</v>
      </c>
      <c r="F51" s="294">
        <v>-0.185</v>
      </c>
      <c r="G51" s="294">
        <v>2.5000000000000001E-2</v>
      </c>
      <c r="H51" s="294">
        <v>-0.185</v>
      </c>
      <c r="I51" s="294">
        <v>4.2500000000000003E-2</v>
      </c>
      <c r="J51" s="294">
        <v>0.1825</v>
      </c>
      <c r="K51" s="294">
        <v>0.215</v>
      </c>
      <c r="L51" s="294">
        <v>-7.5999999999999998E-2</v>
      </c>
      <c r="M51" s="294">
        <v>-2.5999999999999999E-2</v>
      </c>
      <c r="N51" s="294">
        <v>-0.36</v>
      </c>
      <c r="O51" s="294">
        <v>-0.34</v>
      </c>
      <c r="P51" s="294">
        <v>6.0000000000000001E-3</v>
      </c>
      <c r="Q51" s="294">
        <v>-5.4999999999999997E-3</v>
      </c>
      <c r="R51" s="291">
        <v>-2.5000000000000001E-2</v>
      </c>
      <c r="S51" s="291">
        <v>-5.7500000000000002E-2</v>
      </c>
      <c r="T51" s="291">
        <v>-0.09</v>
      </c>
      <c r="U51" s="291">
        <v>-2.0250000000000001E-2</v>
      </c>
      <c r="V51" s="291">
        <v>-0.09</v>
      </c>
      <c r="W51" s="291">
        <v>-0.125</v>
      </c>
      <c r="X51" s="291">
        <v>0.495</v>
      </c>
      <c r="Y51" s="291">
        <v>5.0000000000000001E-3</v>
      </c>
      <c r="Z51" s="291">
        <v>-0.20499999999999999</v>
      </c>
      <c r="AA51" s="291">
        <v>-2.3E-2</v>
      </c>
      <c r="AB51" s="306">
        <v>0.29499999999999998</v>
      </c>
      <c r="AC51" s="306">
        <v>0.3</v>
      </c>
      <c r="AD51" s="306">
        <v>0.13750000000000001</v>
      </c>
      <c r="AE51" s="431">
        <v>0.255</v>
      </c>
      <c r="AF51" s="431">
        <v>0.255</v>
      </c>
      <c r="AG51" s="431">
        <v>0.25</v>
      </c>
      <c r="AH51" s="431">
        <v>0.255</v>
      </c>
      <c r="AI51" s="431">
        <v>0.26</v>
      </c>
      <c r="AJ51" s="431">
        <v>0.255</v>
      </c>
      <c r="AK51" s="431">
        <v>0.25</v>
      </c>
      <c r="AL51" s="431">
        <v>0.25</v>
      </c>
      <c r="AM51" s="431">
        <v>0.255</v>
      </c>
      <c r="AN51" s="431">
        <v>0.255</v>
      </c>
      <c r="AO51" s="431">
        <v>0.255</v>
      </c>
      <c r="AP51" s="432">
        <v>0.255</v>
      </c>
      <c r="AQ51" s="432">
        <v>0.255</v>
      </c>
      <c r="AR51" s="432">
        <v>0.255</v>
      </c>
      <c r="AS51" s="432">
        <v>0.255</v>
      </c>
      <c r="AT51" s="431">
        <v>0.255</v>
      </c>
      <c r="AU51" s="431">
        <v>0.255</v>
      </c>
      <c r="AV51" s="431">
        <v>0.25</v>
      </c>
      <c r="AW51" s="305">
        <v>6.9182977019875996E-2</v>
      </c>
      <c r="AX51" s="305"/>
      <c r="AY51" s="306">
        <f t="shared" si="4"/>
        <v>0.25</v>
      </c>
      <c r="AZ51" s="306">
        <f t="shared" si="5"/>
        <v>0.25</v>
      </c>
      <c r="BA51" s="309">
        <f t="shared" si="6"/>
        <v>0.25</v>
      </c>
      <c r="BB51" s="308">
        <f t="shared" si="7"/>
        <v>37834</v>
      </c>
      <c r="BC51" s="308">
        <v>0.81752653877064263</v>
      </c>
      <c r="BD51" s="291">
        <v>0.81768005610546168</v>
      </c>
      <c r="BF51" s="194">
        <v>37834</v>
      </c>
      <c r="BG51" s="206">
        <v>39</v>
      </c>
      <c r="HZ51" s="308">
        <f t="shared" si="2"/>
        <v>37895</v>
      </c>
      <c r="IA51" s="291">
        <v>41</v>
      </c>
    </row>
    <row r="52" spans="1:235" x14ac:dyDescent="0.25">
      <c r="A52" s="319"/>
      <c r="B52" s="296">
        <f t="shared" si="8"/>
        <v>37865</v>
      </c>
      <c r="C52" s="294">
        <v>3.0409999999999999</v>
      </c>
      <c r="D52" s="294">
        <v>0.255</v>
      </c>
      <c r="E52" s="294">
        <v>6.9454310607657999E-2</v>
      </c>
      <c r="F52" s="294">
        <v>-0.185</v>
      </c>
      <c r="G52" s="294">
        <v>1.7500000000000002E-2</v>
      </c>
      <c r="H52" s="294">
        <v>-0.185</v>
      </c>
      <c r="I52" s="294">
        <v>0.04</v>
      </c>
      <c r="J52" s="294">
        <v>0.1825</v>
      </c>
      <c r="K52" s="294">
        <v>0.19500000000000001</v>
      </c>
      <c r="L52" s="294">
        <v>-5.6000000000000001E-2</v>
      </c>
      <c r="M52" s="294">
        <v>-2.5999999999999999E-2</v>
      </c>
      <c r="N52" s="294">
        <v>-0.36</v>
      </c>
      <c r="O52" s="294">
        <v>-0.34</v>
      </c>
      <c r="P52" s="294">
        <v>6.0000000000000001E-3</v>
      </c>
      <c r="Q52" s="294">
        <v>-5.4999999999999997E-3</v>
      </c>
      <c r="R52" s="291">
        <v>-2.5000000000000001E-2</v>
      </c>
      <c r="S52" s="291">
        <v>-5.7500000000000002E-2</v>
      </c>
      <c r="T52" s="291">
        <v>-0.08</v>
      </c>
      <c r="U52" s="291">
        <v>-2.0250000000000001E-2</v>
      </c>
      <c r="V52" s="291">
        <v>-0.105</v>
      </c>
      <c r="W52" s="291">
        <v>-0.125</v>
      </c>
      <c r="X52" s="291">
        <v>0.39500000000000002</v>
      </c>
      <c r="Y52" s="291">
        <v>5.0000000000000001E-3</v>
      </c>
      <c r="Z52" s="291">
        <v>-0.20499999999999999</v>
      </c>
      <c r="AA52" s="291">
        <v>-2.3E-2</v>
      </c>
      <c r="AB52" s="306">
        <v>0.29499999999999998</v>
      </c>
      <c r="AC52" s="306">
        <v>0.28999999999999998</v>
      </c>
      <c r="AD52" s="306">
        <v>0.13500000000000001</v>
      </c>
      <c r="AE52" s="431">
        <v>0.255</v>
      </c>
      <c r="AF52" s="431">
        <v>0.255</v>
      </c>
      <c r="AG52" s="431">
        <v>0.25</v>
      </c>
      <c r="AH52" s="431">
        <v>0.255</v>
      </c>
      <c r="AI52" s="431">
        <v>0.26</v>
      </c>
      <c r="AJ52" s="431">
        <v>0.255</v>
      </c>
      <c r="AK52" s="431">
        <v>0.25</v>
      </c>
      <c r="AL52" s="431">
        <v>0.25</v>
      </c>
      <c r="AM52" s="431">
        <v>0.255</v>
      </c>
      <c r="AN52" s="431">
        <v>0.255</v>
      </c>
      <c r="AO52" s="431">
        <v>0.255</v>
      </c>
      <c r="AP52" s="432">
        <v>0.255</v>
      </c>
      <c r="AQ52" s="432">
        <v>0.255</v>
      </c>
      <c r="AR52" s="432">
        <v>0.255</v>
      </c>
      <c r="AS52" s="432">
        <v>0.255</v>
      </c>
      <c r="AT52" s="431">
        <v>0.255</v>
      </c>
      <c r="AU52" s="431">
        <v>0.255</v>
      </c>
      <c r="AV52" s="431">
        <v>0.25</v>
      </c>
      <c r="AW52" s="305">
        <v>6.9171600878252998E-2</v>
      </c>
      <c r="AX52" s="305"/>
      <c r="AY52" s="306">
        <f t="shared" si="4"/>
        <v>0.25</v>
      </c>
      <c r="AZ52" s="306">
        <f t="shared" si="5"/>
        <v>0.25</v>
      </c>
      <c r="BA52" s="309">
        <f t="shared" si="6"/>
        <v>0.25</v>
      </c>
      <c r="BB52" s="308">
        <f t="shared" si="7"/>
        <v>37865</v>
      </c>
      <c r="BC52" s="308">
        <v>0.8128031961291956</v>
      </c>
      <c r="BD52" s="291">
        <v>0.81295580709087889</v>
      </c>
      <c r="BF52" s="194">
        <v>37865</v>
      </c>
      <c r="BG52" s="206">
        <v>40</v>
      </c>
      <c r="HZ52" s="308">
        <f t="shared" si="2"/>
        <v>37926</v>
      </c>
      <c r="IA52" s="291">
        <v>42</v>
      </c>
    </row>
    <row r="53" spans="1:235" x14ac:dyDescent="0.25">
      <c r="A53" s="319"/>
      <c r="B53" s="296">
        <f t="shared" si="8"/>
        <v>37895</v>
      </c>
      <c r="C53" s="294">
        <v>3.056</v>
      </c>
      <c r="D53" s="294">
        <v>0.255</v>
      </c>
      <c r="E53" s="294">
        <v>6.9442592308780998E-2</v>
      </c>
      <c r="F53" s="294">
        <v>-0.185</v>
      </c>
      <c r="G53" s="294">
        <v>7.4999999999999997E-3</v>
      </c>
      <c r="H53" s="294">
        <v>-0.185</v>
      </c>
      <c r="I53" s="294">
        <v>5.5E-2</v>
      </c>
      <c r="J53" s="294">
        <v>0.1875</v>
      </c>
      <c r="K53" s="294">
        <v>0.215</v>
      </c>
      <c r="L53" s="294">
        <v>-6.6000000000000003E-2</v>
      </c>
      <c r="M53" s="294">
        <v>-2.5999999999999999E-2</v>
      </c>
      <c r="N53" s="294">
        <v>-0.36</v>
      </c>
      <c r="O53" s="294">
        <v>-0.34</v>
      </c>
      <c r="P53" s="294">
        <v>6.0000000000000001E-3</v>
      </c>
      <c r="Q53" s="294">
        <v>-5.4999999999999997E-3</v>
      </c>
      <c r="R53" s="291">
        <v>-2.5000000000000001E-2</v>
      </c>
      <c r="S53" s="291">
        <v>-5.7500000000000002E-2</v>
      </c>
      <c r="T53" s="291">
        <v>-6.5000000000000002E-2</v>
      </c>
      <c r="U53" s="291">
        <v>-2.0250000000000001E-2</v>
      </c>
      <c r="V53" s="291">
        <v>-0.1075</v>
      </c>
      <c r="W53" s="291">
        <v>-0.125</v>
      </c>
      <c r="X53" s="291">
        <v>0.46100000000000002</v>
      </c>
      <c r="Y53" s="291">
        <v>5.0000000000000001E-3</v>
      </c>
      <c r="Z53" s="291">
        <v>-0.20499999999999999</v>
      </c>
      <c r="AA53" s="291">
        <v>-2.3E-2</v>
      </c>
      <c r="AB53" s="306">
        <v>0.29499999999999998</v>
      </c>
      <c r="AC53" s="306">
        <v>0.36249999999999999</v>
      </c>
      <c r="AD53" s="306">
        <v>0.15</v>
      </c>
      <c r="AE53" s="431">
        <v>0.255</v>
      </c>
      <c r="AF53" s="431">
        <v>0.255</v>
      </c>
      <c r="AG53" s="431">
        <v>0.25</v>
      </c>
      <c r="AH53" s="431">
        <v>0.255</v>
      </c>
      <c r="AI53" s="431">
        <v>0.26</v>
      </c>
      <c r="AJ53" s="431">
        <v>0.255</v>
      </c>
      <c r="AK53" s="431">
        <v>0.25</v>
      </c>
      <c r="AL53" s="431">
        <v>0.25</v>
      </c>
      <c r="AM53" s="431">
        <v>0.255</v>
      </c>
      <c r="AN53" s="431">
        <v>0.255</v>
      </c>
      <c r="AO53" s="431">
        <v>0.255</v>
      </c>
      <c r="AP53" s="432">
        <v>0.255</v>
      </c>
      <c r="AQ53" s="432">
        <v>0.255</v>
      </c>
      <c r="AR53" s="432">
        <v>0.255</v>
      </c>
      <c r="AS53" s="432">
        <v>0.255</v>
      </c>
      <c r="AT53" s="431">
        <v>0.255</v>
      </c>
      <c r="AU53" s="431">
        <v>0.255</v>
      </c>
      <c r="AV53" s="431">
        <v>0.25</v>
      </c>
      <c r="AW53" s="305">
        <v>6.9161176466710994E-2</v>
      </c>
      <c r="AX53" s="305"/>
      <c r="AY53" s="306">
        <f t="shared" si="4"/>
        <v>0.25</v>
      </c>
      <c r="AZ53" s="306">
        <f t="shared" si="5"/>
        <v>0.25</v>
      </c>
      <c r="BA53" s="309">
        <f t="shared" si="6"/>
        <v>0.25</v>
      </c>
      <c r="BB53" s="308">
        <f t="shared" si="7"/>
        <v>37895</v>
      </c>
      <c r="BC53" s="308">
        <v>0.80825544008645089</v>
      </c>
      <c r="BD53" s="291">
        <v>0.80840718192987815</v>
      </c>
      <c r="BF53" s="194">
        <v>37895</v>
      </c>
      <c r="BG53" s="206">
        <v>41</v>
      </c>
      <c r="HZ53" s="308">
        <f t="shared" si="2"/>
        <v>37956</v>
      </c>
      <c r="IA53" s="291">
        <v>43</v>
      </c>
    </row>
    <row r="54" spans="1:235" x14ac:dyDescent="0.25">
      <c r="A54" s="319"/>
      <c r="B54" s="296">
        <f t="shared" si="8"/>
        <v>37926</v>
      </c>
      <c r="C54" s="294">
        <v>3.1480000000000001</v>
      </c>
      <c r="D54" s="294">
        <v>0.26500000000000001</v>
      </c>
      <c r="E54" s="294">
        <v>6.9430555630712001E-2</v>
      </c>
      <c r="F54" s="294">
        <v>-0.19</v>
      </c>
      <c r="G54" s="294">
        <v>-3.2500000000000001E-2</v>
      </c>
      <c r="H54" s="294">
        <v>-0.19</v>
      </c>
      <c r="I54" s="294">
        <v>0.1075</v>
      </c>
      <c r="J54" s="294">
        <v>0.27</v>
      </c>
      <c r="K54" s="294">
        <v>0.28749999999999998</v>
      </c>
      <c r="L54" s="294">
        <v>-8.1000000000000003E-2</v>
      </c>
      <c r="M54" s="294">
        <v>-1.8499999999999999E-2</v>
      </c>
      <c r="N54" s="294">
        <v>-0.28999999999999998</v>
      </c>
      <c r="O54" s="294">
        <v>0</v>
      </c>
      <c r="P54" s="294">
        <v>1.2500000000000001E-2</v>
      </c>
      <c r="Q54" s="294">
        <v>-1.35E-2</v>
      </c>
      <c r="R54" s="291">
        <v>-2.8000000000000001E-2</v>
      </c>
      <c r="S54" s="291">
        <v>-0.06</v>
      </c>
      <c r="T54" s="291">
        <v>-0.02</v>
      </c>
      <c r="U54" s="291">
        <v>-3.4500000000000003E-2</v>
      </c>
      <c r="V54" s="291">
        <v>-0.105</v>
      </c>
      <c r="W54" s="291">
        <v>-0.13750000000000001</v>
      </c>
      <c r="X54" s="291">
        <v>0.75749999999999995</v>
      </c>
      <c r="Y54" s="291">
        <v>5.0000000000000001E-3</v>
      </c>
      <c r="Z54" s="291">
        <v>-0.19500000000000001</v>
      </c>
      <c r="AA54" s="291">
        <v>-2.4500000000000001E-2</v>
      </c>
      <c r="AB54" s="306">
        <v>0.115</v>
      </c>
      <c r="AC54" s="306">
        <v>0.495</v>
      </c>
      <c r="AD54" s="306">
        <v>0.20250000000000001</v>
      </c>
      <c r="AE54" s="431">
        <v>0.26500000000000001</v>
      </c>
      <c r="AF54" s="431">
        <v>0.26500000000000001</v>
      </c>
      <c r="AG54" s="431">
        <v>0.29199999999999998</v>
      </c>
      <c r="AH54" s="431">
        <v>0.26500000000000001</v>
      </c>
      <c r="AI54" s="431">
        <v>0.27</v>
      </c>
      <c r="AJ54" s="431">
        <v>0.26500000000000001</v>
      </c>
      <c r="AK54" s="431">
        <v>0.26500000000000001</v>
      </c>
      <c r="AL54" s="431">
        <v>0.26500000000000001</v>
      </c>
      <c r="AM54" s="431">
        <v>0.26500000000000001</v>
      </c>
      <c r="AN54" s="431">
        <v>0.26500000000000001</v>
      </c>
      <c r="AO54" s="431">
        <v>0.26500000000000001</v>
      </c>
      <c r="AP54" s="432">
        <v>0.26500000000000001</v>
      </c>
      <c r="AQ54" s="432">
        <v>0.26500000000000001</v>
      </c>
      <c r="AR54" s="432">
        <v>0.26500000000000001</v>
      </c>
      <c r="AS54" s="432">
        <v>0.26500000000000001</v>
      </c>
      <c r="AT54" s="431">
        <v>0.26500000000000001</v>
      </c>
      <c r="AU54" s="431">
        <v>0.26500000000000001</v>
      </c>
      <c r="AV54" s="431">
        <v>0.29199999999999998</v>
      </c>
      <c r="AW54" s="305">
        <v>6.9151139097126002E-2</v>
      </c>
      <c r="AX54" s="305"/>
      <c r="AY54" s="306">
        <f t="shared" si="4"/>
        <v>0.29199999999999998</v>
      </c>
      <c r="AZ54" s="306">
        <f t="shared" si="5"/>
        <v>0.29199999999999998</v>
      </c>
      <c r="BA54" s="309">
        <f t="shared" si="6"/>
        <v>0.29199999999999998</v>
      </c>
      <c r="BB54" s="308">
        <f t="shared" si="7"/>
        <v>37926</v>
      </c>
      <c r="BC54" s="308">
        <v>0.80357876877793588</v>
      </c>
      <c r="BD54" s="291">
        <v>0.80372962126919489</v>
      </c>
      <c r="BF54" s="194">
        <v>37926</v>
      </c>
      <c r="BG54" s="206">
        <v>42</v>
      </c>
      <c r="HZ54" s="308">
        <f t="shared" si="2"/>
        <v>37987</v>
      </c>
      <c r="IA54" s="291">
        <v>44</v>
      </c>
    </row>
    <row r="55" spans="1:235" x14ac:dyDescent="0.25">
      <c r="A55" s="319"/>
      <c r="B55" s="296">
        <f t="shared" si="8"/>
        <v>37956</v>
      </c>
      <c r="C55" s="294">
        <v>3.234</v>
      </c>
      <c r="D55" s="294">
        <v>0.27</v>
      </c>
      <c r="E55" s="294">
        <v>6.9418907232626004E-2</v>
      </c>
      <c r="F55" s="294">
        <v>-0.19750000000000001</v>
      </c>
      <c r="G55" s="294">
        <v>-5.5E-2</v>
      </c>
      <c r="H55" s="294">
        <v>-0.19750000000000001</v>
      </c>
      <c r="I55" s="294">
        <v>0.14749999999999999</v>
      </c>
      <c r="J55" s="294">
        <v>0.30499999999999999</v>
      </c>
      <c r="K55" s="294">
        <v>0.33750000000000002</v>
      </c>
      <c r="L55" s="294">
        <v>-8.1000000000000003E-2</v>
      </c>
      <c r="M55" s="294">
        <v>-1.8499999999999999E-2</v>
      </c>
      <c r="N55" s="294">
        <v>-0.28999999999999998</v>
      </c>
      <c r="O55" s="294">
        <v>0.06</v>
      </c>
      <c r="P55" s="294">
        <v>1.2500000000000001E-2</v>
      </c>
      <c r="Q55" s="294">
        <v>-1.35E-2</v>
      </c>
      <c r="R55" s="291">
        <v>-2.8000000000000001E-2</v>
      </c>
      <c r="S55" s="291">
        <v>-0.06</v>
      </c>
      <c r="T55" s="291">
        <v>-1.2500000000000001E-2</v>
      </c>
      <c r="U55" s="291">
        <v>-3.4500000000000003E-2</v>
      </c>
      <c r="V55" s="291">
        <v>-0.14000000000000001</v>
      </c>
      <c r="W55" s="291">
        <v>-0.13250000000000001</v>
      </c>
      <c r="X55" s="291">
        <v>1.17</v>
      </c>
      <c r="Y55" s="291">
        <v>5.0000000000000001E-3</v>
      </c>
      <c r="Z55" s="291">
        <v>-0.19500000000000001</v>
      </c>
      <c r="AA55" s="291">
        <v>-2.4500000000000001E-2</v>
      </c>
      <c r="AB55" s="306">
        <v>0.115</v>
      </c>
      <c r="AC55" s="306">
        <v>0.84</v>
      </c>
      <c r="AD55" s="306">
        <v>0.24249999999999999</v>
      </c>
      <c r="AE55" s="431">
        <v>0.27</v>
      </c>
      <c r="AF55" s="431">
        <v>0.27</v>
      </c>
      <c r="AG55" s="431">
        <v>0.29699999999999999</v>
      </c>
      <c r="AH55" s="431">
        <v>0.27</v>
      </c>
      <c r="AI55" s="431">
        <v>0.27500000000000002</v>
      </c>
      <c r="AJ55" s="431">
        <v>0.27</v>
      </c>
      <c r="AK55" s="431">
        <v>0.27</v>
      </c>
      <c r="AL55" s="431">
        <v>0.27</v>
      </c>
      <c r="AM55" s="431">
        <v>0.27</v>
      </c>
      <c r="AN55" s="431">
        <v>0.27</v>
      </c>
      <c r="AO55" s="431">
        <v>0.27</v>
      </c>
      <c r="AP55" s="432">
        <v>0.27</v>
      </c>
      <c r="AQ55" s="432">
        <v>0.27</v>
      </c>
      <c r="AR55" s="432">
        <v>0.27</v>
      </c>
      <c r="AS55" s="432">
        <v>0.27</v>
      </c>
      <c r="AT55" s="431">
        <v>0.27</v>
      </c>
      <c r="AU55" s="431">
        <v>0.27</v>
      </c>
      <c r="AV55" s="431">
        <v>0.29699999999999999</v>
      </c>
      <c r="AW55" s="305">
        <v>6.9141425513687002E-2</v>
      </c>
      <c r="AX55" s="305"/>
      <c r="AY55" s="306">
        <f t="shared" si="4"/>
        <v>0.29699999999999999</v>
      </c>
      <c r="AZ55" s="306">
        <f t="shared" si="5"/>
        <v>0.29699999999999999</v>
      </c>
      <c r="BA55" s="309">
        <f t="shared" si="6"/>
        <v>0.29699999999999999</v>
      </c>
      <c r="BB55" s="308">
        <f t="shared" si="7"/>
        <v>37956</v>
      </c>
      <c r="BC55" s="308">
        <v>0.79907939041389831</v>
      </c>
      <c r="BD55" s="291">
        <v>0.79922938732928872</v>
      </c>
      <c r="BF55" s="194">
        <v>37956</v>
      </c>
      <c r="BG55" s="206">
        <v>43</v>
      </c>
      <c r="HZ55" s="308">
        <f t="shared" si="2"/>
        <v>38018</v>
      </c>
      <c r="IA55" s="291">
        <v>45</v>
      </c>
    </row>
    <row r="56" spans="1:235" x14ac:dyDescent="0.25">
      <c r="A56" s="319"/>
      <c r="B56" s="296">
        <f t="shared" si="8"/>
        <v>37987</v>
      </c>
      <c r="C56" s="294">
        <v>3.3740000000000001</v>
      </c>
      <c r="D56" s="294">
        <v>0.28749999999999998</v>
      </c>
      <c r="E56" s="294">
        <v>6.9413894764454004E-2</v>
      </c>
      <c r="F56" s="294">
        <v>-0.2</v>
      </c>
      <c r="G56" s="294">
        <v>-5.7500000000000002E-2</v>
      </c>
      <c r="H56" s="294">
        <v>-0.2</v>
      </c>
      <c r="I56" s="294">
        <v>0.1825</v>
      </c>
      <c r="J56" s="294">
        <v>0.30499999999999999</v>
      </c>
      <c r="K56" s="294">
        <v>0.4375</v>
      </c>
      <c r="L56" s="294">
        <v>-8.1000000000000003E-2</v>
      </c>
      <c r="M56" s="294">
        <v>-1.6500000000000001E-2</v>
      </c>
      <c r="N56" s="294">
        <v>-0.28999999999999998</v>
      </c>
      <c r="O56" s="294">
        <v>0.13</v>
      </c>
      <c r="P56" s="294">
        <v>1.2500000000000001E-2</v>
      </c>
      <c r="Q56" s="294">
        <v>-1.35E-2</v>
      </c>
      <c r="R56" s="291">
        <v>-2.8000000000000001E-2</v>
      </c>
      <c r="S56" s="291">
        <v>-0.06</v>
      </c>
      <c r="T56" s="291">
        <v>2.5000000000000001E-3</v>
      </c>
      <c r="U56" s="291">
        <v>-3.4500000000000003E-2</v>
      </c>
      <c r="V56" s="291">
        <v>-0.14499999999999999</v>
      </c>
      <c r="W56" s="291">
        <v>-0.13250000000000001</v>
      </c>
      <c r="X56" s="291">
        <v>1.4950000000000001</v>
      </c>
      <c r="Y56" s="291">
        <v>5.0000000000000001E-3</v>
      </c>
      <c r="Z56" s="291">
        <v>-0.19500000000000001</v>
      </c>
      <c r="AA56" s="291">
        <v>-2.4500000000000001E-2</v>
      </c>
      <c r="AB56" s="306">
        <v>0.115</v>
      </c>
      <c r="AC56" s="306">
        <v>0.98499999999999999</v>
      </c>
      <c r="AD56" s="306">
        <v>0.27750000000000002</v>
      </c>
      <c r="AE56" s="431">
        <v>0.28799999999999998</v>
      </c>
      <c r="AF56" s="431">
        <v>0.28799999999999998</v>
      </c>
      <c r="AG56" s="431">
        <v>0.316</v>
      </c>
      <c r="AH56" s="431">
        <v>0.28799999999999998</v>
      </c>
      <c r="AI56" s="431">
        <v>0.29299999999999998</v>
      </c>
      <c r="AJ56" s="431">
        <v>0.28799999999999998</v>
      </c>
      <c r="AK56" s="431">
        <v>0.28799999999999998</v>
      </c>
      <c r="AL56" s="431">
        <v>0.28799999999999998</v>
      </c>
      <c r="AM56" s="431">
        <v>0.28799999999999998</v>
      </c>
      <c r="AN56" s="431">
        <v>0.28799999999999998</v>
      </c>
      <c r="AO56" s="431">
        <v>0.28799999999999998</v>
      </c>
      <c r="AP56" s="432">
        <v>0.28799999999999998</v>
      </c>
      <c r="AQ56" s="432">
        <v>0.28799999999999998</v>
      </c>
      <c r="AR56" s="432">
        <v>0.28799999999999998</v>
      </c>
      <c r="AS56" s="432">
        <v>0.28799999999999998</v>
      </c>
      <c r="AT56" s="431">
        <v>0.28799999999999998</v>
      </c>
      <c r="AU56" s="431">
        <v>0.28799999999999998</v>
      </c>
      <c r="AV56" s="431">
        <v>0.316</v>
      </c>
      <c r="AW56" s="305">
        <v>6.9138841546617993E-2</v>
      </c>
      <c r="AX56" s="305"/>
      <c r="AY56" s="306">
        <f t="shared" si="4"/>
        <v>0.316</v>
      </c>
      <c r="AZ56" s="306">
        <f t="shared" si="5"/>
        <v>0.316</v>
      </c>
      <c r="BA56" s="309">
        <f t="shared" si="6"/>
        <v>0.316</v>
      </c>
      <c r="BB56" s="308">
        <f t="shared" si="7"/>
        <v>37987</v>
      </c>
      <c r="BC56" s="308">
        <v>0.79443269712891229</v>
      </c>
      <c r="BD56" s="291">
        <v>0.79458183055353215</v>
      </c>
      <c r="BF56" s="194">
        <v>37987</v>
      </c>
      <c r="BG56" s="206">
        <v>44</v>
      </c>
      <c r="HZ56" s="308">
        <f t="shared" si="2"/>
        <v>38047</v>
      </c>
      <c r="IA56" s="291">
        <v>46</v>
      </c>
    </row>
    <row r="57" spans="1:235" x14ac:dyDescent="0.25">
      <c r="A57" s="319"/>
      <c r="B57" s="296">
        <f t="shared" si="8"/>
        <v>38018</v>
      </c>
      <c r="C57" s="294">
        <v>3.2360000000000002</v>
      </c>
      <c r="D57" s="294">
        <v>0.27500000000000002</v>
      </c>
      <c r="E57" s="294">
        <v>6.9416374786753998E-2</v>
      </c>
      <c r="F57" s="294">
        <v>-0.20250000000000001</v>
      </c>
      <c r="G57" s="294">
        <v>-0.04</v>
      </c>
      <c r="H57" s="294">
        <v>-0.20250000000000001</v>
      </c>
      <c r="I57" s="294">
        <v>0.1575</v>
      </c>
      <c r="J57" s="294">
        <v>0.30499999999999999</v>
      </c>
      <c r="K57" s="294">
        <v>0.435</v>
      </c>
      <c r="L57" s="294">
        <v>-8.1000000000000003E-2</v>
      </c>
      <c r="M57" s="294">
        <v>-1.6500000000000001E-2</v>
      </c>
      <c r="N57" s="294">
        <v>-0.28999999999999998</v>
      </c>
      <c r="O57" s="294">
        <v>0</v>
      </c>
      <c r="P57" s="294">
        <v>1.2500000000000001E-2</v>
      </c>
      <c r="Q57" s="294">
        <v>-1.35E-2</v>
      </c>
      <c r="R57" s="291">
        <v>-2.8000000000000001E-2</v>
      </c>
      <c r="S57" s="291">
        <v>-0.06</v>
      </c>
      <c r="T57" s="291">
        <v>2.5000000000000001E-3</v>
      </c>
      <c r="U57" s="291">
        <v>-3.4500000000000003E-2</v>
      </c>
      <c r="V57" s="291">
        <v>-0.1275</v>
      </c>
      <c r="W57" s="291">
        <v>-0.13250000000000001</v>
      </c>
      <c r="X57" s="291">
        <v>1.425</v>
      </c>
      <c r="Y57" s="291">
        <v>5.0000000000000001E-3</v>
      </c>
      <c r="Z57" s="291">
        <v>-0.19500000000000001</v>
      </c>
      <c r="AA57" s="291">
        <v>-2.4500000000000001E-2</v>
      </c>
      <c r="AB57" s="306">
        <v>0.115</v>
      </c>
      <c r="AC57" s="306">
        <v>0.98499999999999999</v>
      </c>
      <c r="AD57" s="306">
        <v>0.2525</v>
      </c>
      <c r="AE57" s="431">
        <v>0.27500000000000002</v>
      </c>
      <c r="AF57" s="431">
        <v>0.27500000000000002</v>
      </c>
      <c r="AG57" s="431">
        <v>0.30299999999999999</v>
      </c>
      <c r="AH57" s="431">
        <v>0.27500000000000002</v>
      </c>
      <c r="AI57" s="431">
        <v>0.28100000000000003</v>
      </c>
      <c r="AJ57" s="431">
        <v>0.27500000000000002</v>
      </c>
      <c r="AK57" s="431">
        <v>0.27500000000000002</v>
      </c>
      <c r="AL57" s="431">
        <v>0.27500000000000002</v>
      </c>
      <c r="AM57" s="431">
        <v>0.27500000000000002</v>
      </c>
      <c r="AN57" s="431">
        <v>0.27500000000000002</v>
      </c>
      <c r="AO57" s="431">
        <v>0.27500000000000002</v>
      </c>
      <c r="AP57" s="432">
        <v>0.27500000000000002</v>
      </c>
      <c r="AQ57" s="432">
        <v>0.27500000000000002</v>
      </c>
      <c r="AR57" s="432">
        <v>0.27500000000000002</v>
      </c>
      <c r="AS57" s="432">
        <v>0.27500000000000002</v>
      </c>
      <c r="AT57" s="431">
        <v>0.27500000000000002</v>
      </c>
      <c r="AU57" s="431">
        <v>0.27500000000000002</v>
      </c>
      <c r="AV57" s="431">
        <v>0.30299999999999999</v>
      </c>
      <c r="AW57" s="305">
        <v>6.9144207875511995E-2</v>
      </c>
      <c r="AX57" s="305"/>
      <c r="AY57" s="306">
        <f t="shared" si="4"/>
        <v>0.30299999999999999</v>
      </c>
      <c r="AZ57" s="306">
        <f t="shared" si="5"/>
        <v>0.30299999999999999</v>
      </c>
      <c r="BA57" s="309">
        <f t="shared" si="6"/>
        <v>0.30299999999999999</v>
      </c>
      <c r="BB57" s="308">
        <f t="shared" si="7"/>
        <v>38018</v>
      </c>
      <c r="BC57" s="308">
        <v>0.78978586436955034</v>
      </c>
      <c r="BD57" s="291">
        <v>0.78993415535669353</v>
      </c>
      <c r="BF57" s="194">
        <v>38018</v>
      </c>
      <c r="BG57" s="206">
        <v>45</v>
      </c>
      <c r="HZ57" s="308">
        <f t="shared" si="2"/>
        <v>38078</v>
      </c>
      <c r="IA57" s="291">
        <v>47</v>
      </c>
    </row>
    <row r="58" spans="1:235" x14ac:dyDescent="0.25">
      <c r="A58" s="319"/>
      <c r="B58" s="296">
        <f t="shared" si="8"/>
        <v>38047</v>
      </c>
      <c r="C58" s="294">
        <v>3.069</v>
      </c>
      <c r="D58" s="294">
        <v>0.27250000000000002</v>
      </c>
      <c r="E58" s="294">
        <v>6.9418694807617004E-2</v>
      </c>
      <c r="F58" s="294">
        <v>-0.20499999999999999</v>
      </c>
      <c r="G58" s="294">
        <v>-2.75E-2</v>
      </c>
      <c r="H58" s="294">
        <v>-0.20499999999999999</v>
      </c>
      <c r="I58" s="294">
        <v>0.155</v>
      </c>
      <c r="J58" s="294">
        <v>0.26500000000000001</v>
      </c>
      <c r="K58" s="294">
        <v>0.30249999999999999</v>
      </c>
      <c r="L58" s="294">
        <v>-8.1000000000000003E-2</v>
      </c>
      <c r="M58" s="294">
        <v>-1.6500000000000001E-2</v>
      </c>
      <c r="N58" s="294">
        <v>-0.28999999999999998</v>
      </c>
      <c r="O58" s="294">
        <v>-0.18</v>
      </c>
      <c r="P58" s="294">
        <v>1.2500000000000001E-2</v>
      </c>
      <c r="Q58" s="294">
        <v>-1.35E-2</v>
      </c>
      <c r="R58" s="291">
        <v>-2.8000000000000001E-2</v>
      </c>
      <c r="S58" s="291">
        <v>-0.06</v>
      </c>
      <c r="T58" s="291">
        <v>2.5000000000000001E-3</v>
      </c>
      <c r="U58" s="291">
        <v>-3.4500000000000003E-2</v>
      </c>
      <c r="V58" s="291">
        <v>-0.11</v>
      </c>
      <c r="W58" s="291">
        <v>-0.13750000000000001</v>
      </c>
      <c r="X58" s="291">
        <v>0.82499999999999996</v>
      </c>
      <c r="Y58" s="291">
        <v>5.0000000000000001E-3</v>
      </c>
      <c r="Z58" s="291">
        <v>-0.19500000000000001</v>
      </c>
      <c r="AA58" s="291">
        <v>-2.4500000000000001E-2</v>
      </c>
      <c r="AB58" s="306">
        <v>0.115</v>
      </c>
      <c r="AC58" s="306">
        <v>0.63749999999999996</v>
      </c>
      <c r="AD58" s="306">
        <v>0.25</v>
      </c>
      <c r="AE58" s="431">
        <v>0.27300000000000002</v>
      </c>
      <c r="AF58" s="431">
        <v>0.27300000000000002</v>
      </c>
      <c r="AG58" s="431">
        <v>0.3</v>
      </c>
      <c r="AH58" s="431">
        <v>0.27300000000000002</v>
      </c>
      <c r="AI58" s="431">
        <v>0.27800000000000002</v>
      </c>
      <c r="AJ58" s="431">
        <v>0.27300000000000002</v>
      </c>
      <c r="AK58" s="431">
        <v>0.27300000000000002</v>
      </c>
      <c r="AL58" s="431">
        <v>0.27300000000000002</v>
      </c>
      <c r="AM58" s="431">
        <v>0.27300000000000002</v>
      </c>
      <c r="AN58" s="431">
        <v>0.27300000000000002</v>
      </c>
      <c r="AO58" s="431">
        <v>0.27300000000000002</v>
      </c>
      <c r="AP58" s="432">
        <v>0.27300000000000002</v>
      </c>
      <c r="AQ58" s="432">
        <v>0.27300000000000002</v>
      </c>
      <c r="AR58" s="432">
        <v>0.27300000000000002</v>
      </c>
      <c r="AS58" s="432">
        <v>0.27300000000000002</v>
      </c>
      <c r="AT58" s="431">
        <v>0.27300000000000002</v>
      </c>
      <c r="AU58" s="431">
        <v>0.27300000000000002</v>
      </c>
      <c r="AV58" s="431">
        <v>0.3</v>
      </c>
      <c r="AW58" s="305">
        <v>6.9149227989647996E-2</v>
      </c>
      <c r="AX58" s="305"/>
      <c r="AY58" s="306">
        <f t="shared" si="4"/>
        <v>0.3</v>
      </c>
      <c r="AZ58" s="306">
        <f t="shared" si="5"/>
        <v>0.3</v>
      </c>
      <c r="BA58" s="309">
        <f t="shared" si="6"/>
        <v>0.3</v>
      </c>
      <c r="BB58" s="308">
        <f t="shared" si="7"/>
        <v>38047</v>
      </c>
      <c r="BC58" s="308">
        <v>0.78546176959968828</v>
      </c>
      <c r="BD58" s="291">
        <v>0.78560927649014156</v>
      </c>
      <c r="BF58" s="194">
        <v>38047</v>
      </c>
      <c r="BG58" s="206">
        <v>46</v>
      </c>
      <c r="HZ58" s="308">
        <f t="shared" si="2"/>
        <v>38108</v>
      </c>
      <c r="IA58" s="291">
        <v>48</v>
      </c>
    </row>
    <row r="59" spans="1:235" x14ac:dyDescent="0.25">
      <c r="A59" s="319"/>
      <c r="B59" s="296">
        <f t="shared" si="8"/>
        <v>38078</v>
      </c>
      <c r="C59" s="294">
        <v>2.8940000000000001</v>
      </c>
      <c r="D59" s="294">
        <v>0.2525</v>
      </c>
      <c r="E59" s="294">
        <v>6.9415039312736002E-2</v>
      </c>
      <c r="F59" s="294">
        <v>-0.19500000000000001</v>
      </c>
      <c r="G59" s="294">
        <v>1.4999999999999999E-2</v>
      </c>
      <c r="H59" s="294">
        <v>-0.19500000000000001</v>
      </c>
      <c r="I59" s="294">
        <v>7.2499999999999995E-2</v>
      </c>
      <c r="J59" s="294">
        <v>0.19500000000000001</v>
      </c>
      <c r="K59" s="294">
        <v>0.25</v>
      </c>
      <c r="L59" s="294">
        <v>-7.3999999999999996E-2</v>
      </c>
      <c r="M59" s="294">
        <v>-2.4E-2</v>
      </c>
      <c r="N59" s="294">
        <v>-0.37</v>
      </c>
      <c r="O59" s="294">
        <v>-0.33</v>
      </c>
      <c r="P59" s="294">
        <v>6.0000000000000001E-3</v>
      </c>
      <c r="Q59" s="294">
        <v>-3.5000000000000001E-3</v>
      </c>
      <c r="R59" s="291">
        <v>-2.75E-2</v>
      </c>
      <c r="S59" s="291">
        <v>-5.7500000000000002E-2</v>
      </c>
      <c r="T59" s="291">
        <v>-8.5000000000000006E-2</v>
      </c>
      <c r="U59" s="291">
        <v>-1.35E-2</v>
      </c>
      <c r="V59" s="291">
        <v>-0.10249999999999999</v>
      </c>
      <c r="W59" s="291">
        <v>-0.1225</v>
      </c>
      <c r="X59" s="291">
        <v>0.45</v>
      </c>
      <c r="Y59" s="291">
        <v>5.0000000000000001E-3</v>
      </c>
      <c r="Z59" s="291">
        <v>-0.2</v>
      </c>
      <c r="AA59" s="291">
        <v>-2.1999999999999999E-2</v>
      </c>
      <c r="AB59" s="306">
        <v>0.28499999999999998</v>
      </c>
      <c r="AC59" s="306">
        <v>0.35499999999999998</v>
      </c>
      <c r="AD59" s="306">
        <v>0.16750000000000001</v>
      </c>
      <c r="AE59" s="431">
        <v>0.253</v>
      </c>
      <c r="AF59" s="431">
        <v>0.253</v>
      </c>
      <c r="AG59" s="431">
        <v>0.247</v>
      </c>
      <c r="AH59" s="431">
        <v>0.253</v>
      </c>
      <c r="AI59" s="431">
        <v>0.25800000000000001</v>
      </c>
      <c r="AJ59" s="431">
        <v>0.253</v>
      </c>
      <c r="AK59" s="431">
        <v>0.247</v>
      </c>
      <c r="AL59" s="431">
        <v>0.247</v>
      </c>
      <c r="AM59" s="431">
        <v>0.253</v>
      </c>
      <c r="AN59" s="431">
        <v>0.253</v>
      </c>
      <c r="AO59" s="431">
        <v>0.253</v>
      </c>
      <c r="AP59" s="432">
        <v>0.253</v>
      </c>
      <c r="AQ59" s="432">
        <v>0.253</v>
      </c>
      <c r="AR59" s="432">
        <v>0.253</v>
      </c>
      <c r="AS59" s="432">
        <v>0.253</v>
      </c>
      <c r="AT59" s="431">
        <v>0.253</v>
      </c>
      <c r="AU59" s="431">
        <v>0.253</v>
      </c>
      <c r="AV59" s="431">
        <v>0.247</v>
      </c>
      <c r="AW59" s="305">
        <v>6.9147743120809999E-2</v>
      </c>
      <c r="AX59" s="305"/>
      <c r="AY59" s="306">
        <f t="shared" si="4"/>
        <v>0.247</v>
      </c>
      <c r="AZ59" s="306">
        <f t="shared" si="5"/>
        <v>0.247</v>
      </c>
      <c r="BA59" s="309">
        <f t="shared" si="6"/>
        <v>0.247</v>
      </c>
      <c r="BB59" s="308">
        <f t="shared" si="7"/>
        <v>38078</v>
      </c>
      <c r="BC59" s="308">
        <v>0.78089008021762207</v>
      </c>
      <c r="BD59" s="291">
        <v>0.78103673819647079</v>
      </c>
      <c r="BF59" s="194">
        <v>38078</v>
      </c>
      <c r="BG59" s="206">
        <v>47</v>
      </c>
      <c r="HZ59" s="308">
        <f t="shared" si="2"/>
        <v>38139</v>
      </c>
      <c r="IA59" s="291">
        <v>49</v>
      </c>
    </row>
    <row r="60" spans="1:235" x14ac:dyDescent="0.25">
      <c r="B60" s="296">
        <f t="shared" si="8"/>
        <v>38108</v>
      </c>
      <c r="C60" s="294">
        <v>2.883</v>
      </c>
      <c r="D60" s="294">
        <v>0.2525</v>
      </c>
      <c r="E60" s="294">
        <v>6.9405168299975006E-2</v>
      </c>
      <c r="F60" s="294">
        <v>-0.19500000000000001</v>
      </c>
      <c r="G60" s="294">
        <v>1.4999999999999999E-2</v>
      </c>
      <c r="H60" s="294">
        <v>-0.19500000000000001</v>
      </c>
      <c r="I60" s="294">
        <v>6.25E-2</v>
      </c>
      <c r="J60" s="294">
        <v>0.1825</v>
      </c>
      <c r="K60" s="294">
        <v>0.20250000000000001</v>
      </c>
      <c r="L60" s="294">
        <v>-7.3999999999999996E-2</v>
      </c>
      <c r="M60" s="294">
        <v>-2.4E-2</v>
      </c>
      <c r="N60" s="294">
        <v>-0.37</v>
      </c>
      <c r="O60" s="294">
        <v>-0.33</v>
      </c>
      <c r="P60" s="294">
        <v>6.0000000000000001E-3</v>
      </c>
      <c r="Q60" s="294">
        <v>-3.5000000000000001E-3</v>
      </c>
      <c r="R60" s="291">
        <v>-2.75E-2</v>
      </c>
      <c r="S60" s="291">
        <v>-5.7500000000000002E-2</v>
      </c>
      <c r="T60" s="291">
        <v>-0.1</v>
      </c>
      <c r="U60" s="291">
        <v>-1.375E-2</v>
      </c>
      <c r="V60" s="291">
        <v>-0.10249999999999999</v>
      </c>
      <c r="W60" s="291">
        <v>-0.1225</v>
      </c>
      <c r="X60" s="291">
        <v>0.40500000000000003</v>
      </c>
      <c r="Y60" s="291">
        <v>5.0000000000000001E-3</v>
      </c>
      <c r="Z60" s="291">
        <v>-0.2</v>
      </c>
      <c r="AA60" s="291">
        <v>-2.1999999999999999E-2</v>
      </c>
      <c r="AB60" s="306">
        <v>0.28499999999999998</v>
      </c>
      <c r="AC60" s="306">
        <v>0.28749999999999998</v>
      </c>
      <c r="AD60" s="306">
        <v>0.1575</v>
      </c>
      <c r="AE60" s="431">
        <v>0.253</v>
      </c>
      <c r="AF60" s="431">
        <v>0.253</v>
      </c>
      <c r="AG60" s="431">
        <v>0.247</v>
      </c>
      <c r="AH60" s="431">
        <v>0.253</v>
      </c>
      <c r="AI60" s="431">
        <v>0.25800000000000001</v>
      </c>
      <c r="AJ60" s="431">
        <v>0.253</v>
      </c>
      <c r="AK60" s="431">
        <v>0.247</v>
      </c>
      <c r="AL60" s="431">
        <v>0.247</v>
      </c>
      <c r="AM60" s="431">
        <v>0.253</v>
      </c>
      <c r="AN60" s="431">
        <v>0.253</v>
      </c>
      <c r="AO60" s="431">
        <v>0.253</v>
      </c>
      <c r="AP60" s="432">
        <v>0.253</v>
      </c>
      <c r="AQ60" s="432">
        <v>0.253</v>
      </c>
      <c r="AR60" s="432">
        <v>0.253</v>
      </c>
      <c r="AS60" s="432">
        <v>0.253</v>
      </c>
      <c r="AT60" s="431">
        <v>0.253</v>
      </c>
      <c r="AU60" s="431">
        <v>0.253</v>
      </c>
      <c r="AV60" s="431">
        <v>0.247</v>
      </c>
      <c r="AW60" s="305">
        <v>6.9139233946856005E-2</v>
      </c>
      <c r="AX60" s="305"/>
      <c r="AY60" s="306">
        <f t="shared" si="4"/>
        <v>0.247</v>
      </c>
      <c r="AZ60" s="306">
        <f t="shared" si="5"/>
        <v>0.247</v>
      </c>
      <c r="BA60" s="309">
        <f t="shared" si="6"/>
        <v>0.247</v>
      </c>
      <c r="BB60" s="308">
        <f t="shared" si="7"/>
        <v>38108</v>
      </c>
      <c r="BC60" s="308">
        <v>0.77651815744383679</v>
      </c>
      <c r="BD60" s="291">
        <v>0.7766639831737866</v>
      </c>
      <c r="BF60" s="194">
        <v>38108</v>
      </c>
      <c r="BG60" s="206">
        <v>48</v>
      </c>
      <c r="HZ60" s="308">
        <f t="shared" si="2"/>
        <v>38169</v>
      </c>
      <c r="IA60" s="291">
        <v>50</v>
      </c>
    </row>
    <row r="61" spans="1:235" x14ac:dyDescent="0.25">
      <c r="B61" s="296">
        <f t="shared" si="8"/>
        <v>38139</v>
      </c>
      <c r="C61" s="294">
        <v>2.9039999999999999</v>
      </c>
      <c r="D61" s="294">
        <v>0.2525</v>
      </c>
      <c r="E61" s="294">
        <v>6.9394968253489994E-2</v>
      </c>
      <c r="F61" s="294">
        <v>-0.19500000000000001</v>
      </c>
      <c r="G61" s="294">
        <v>0.02</v>
      </c>
      <c r="H61" s="294">
        <v>-0.19500000000000001</v>
      </c>
      <c r="I61" s="294">
        <v>5.7500000000000002E-2</v>
      </c>
      <c r="J61" s="294">
        <v>0.1825</v>
      </c>
      <c r="K61" s="294">
        <v>0.20250000000000001</v>
      </c>
      <c r="L61" s="294">
        <v>-0.09</v>
      </c>
      <c r="M61" s="294">
        <v>-2.4E-2</v>
      </c>
      <c r="N61" s="294">
        <v>-0.37</v>
      </c>
      <c r="O61" s="294">
        <v>-0.33</v>
      </c>
      <c r="P61" s="294">
        <v>6.0000000000000001E-3</v>
      </c>
      <c r="Q61" s="294">
        <v>-3.5000000000000001E-3</v>
      </c>
      <c r="R61" s="291">
        <v>-2.75E-2</v>
      </c>
      <c r="S61" s="291">
        <v>-5.7500000000000002E-2</v>
      </c>
      <c r="T61" s="291">
        <v>-0.11</v>
      </c>
      <c r="U61" s="291">
        <v>-1.375E-2</v>
      </c>
      <c r="V61" s="291">
        <v>-9.2499999999999999E-2</v>
      </c>
      <c r="W61" s="291">
        <v>-0.1225</v>
      </c>
      <c r="X61" s="291">
        <v>0.39500000000000002</v>
      </c>
      <c r="Y61" s="291">
        <v>5.0000000000000001E-3</v>
      </c>
      <c r="Z61" s="291">
        <v>-0.2</v>
      </c>
      <c r="AA61" s="291">
        <v>-2.1999999999999999E-2</v>
      </c>
      <c r="AB61" s="306">
        <v>0.28499999999999998</v>
      </c>
      <c r="AC61" s="306">
        <v>0.28749999999999998</v>
      </c>
      <c r="AD61" s="306">
        <v>0.1525</v>
      </c>
      <c r="AE61" s="431">
        <v>0.253</v>
      </c>
      <c r="AF61" s="431">
        <v>0.253</v>
      </c>
      <c r="AG61" s="431">
        <v>0.247</v>
      </c>
      <c r="AH61" s="431">
        <v>0.253</v>
      </c>
      <c r="AI61" s="431">
        <v>0.25800000000000001</v>
      </c>
      <c r="AJ61" s="431">
        <v>0.253</v>
      </c>
      <c r="AK61" s="431">
        <v>0.247</v>
      </c>
      <c r="AL61" s="431">
        <v>0.247</v>
      </c>
      <c r="AM61" s="431">
        <v>0.253</v>
      </c>
      <c r="AN61" s="431">
        <v>0.253</v>
      </c>
      <c r="AO61" s="431">
        <v>0.253</v>
      </c>
      <c r="AP61" s="432">
        <v>0.253</v>
      </c>
      <c r="AQ61" s="432">
        <v>0.253</v>
      </c>
      <c r="AR61" s="432">
        <v>0.253</v>
      </c>
      <c r="AS61" s="432">
        <v>0.253</v>
      </c>
      <c r="AT61" s="431">
        <v>0.253</v>
      </c>
      <c r="AU61" s="431">
        <v>0.253</v>
      </c>
      <c r="AV61" s="431">
        <v>0.247</v>
      </c>
      <c r="AW61" s="305">
        <v>6.9130441133797002E-2</v>
      </c>
      <c r="AX61" s="305"/>
      <c r="AY61" s="306">
        <f t="shared" si="4"/>
        <v>0.247</v>
      </c>
      <c r="AZ61" s="306">
        <f t="shared" si="5"/>
        <v>0.247</v>
      </c>
      <c r="BA61" s="309">
        <f t="shared" si="6"/>
        <v>0.247</v>
      </c>
      <c r="BB61" s="308">
        <f t="shared" si="7"/>
        <v>38139</v>
      </c>
      <c r="BC61" s="308">
        <v>0.77202691609217344</v>
      </c>
      <c r="BD61" s="291">
        <v>0.7721718869232912</v>
      </c>
      <c r="BF61" s="194">
        <v>38139</v>
      </c>
      <c r="BG61" s="206">
        <v>49</v>
      </c>
      <c r="HZ61" s="308">
        <f t="shared" si="2"/>
        <v>38200</v>
      </c>
      <c r="IA61" s="291">
        <v>51</v>
      </c>
    </row>
    <row r="62" spans="1:235" x14ac:dyDescent="0.25">
      <c r="B62" s="296">
        <f t="shared" si="8"/>
        <v>38169</v>
      </c>
      <c r="C62" s="294">
        <v>2.9260000000000002</v>
      </c>
      <c r="D62" s="294">
        <v>0.25</v>
      </c>
      <c r="E62" s="294">
        <v>6.9403952211430003E-2</v>
      </c>
      <c r="F62" s="294">
        <v>-0.19500000000000001</v>
      </c>
      <c r="G62" s="294">
        <v>2.2499999999999999E-2</v>
      </c>
      <c r="H62" s="294">
        <v>-0.19500000000000001</v>
      </c>
      <c r="I62" s="294">
        <v>4.7500000000000001E-2</v>
      </c>
      <c r="J62" s="294">
        <v>0.1825</v>
      </c>
      <c r="K62" s="294">
        <v>0.215</v>
      </c>
      <c r="L62" s="294">
        <v>-8.3000000000000004E-2</v>
      </c>
      <c r="M62" s="294">
        <v>-2.4E-2</v>
      </c>
      <c r="N62" s="294">
        <v>-0.37</v>
      </c>
      <c r="O62" s="294">
        <v>-0.33</v>
      </c>
      <c r="P62" s="294">
        <v>6.0000000000000001E-3</v>
      </c>
      <c r="Q62" s="294">
        <v>-3.5000000000000001E-3</v>
      </c>
      <c r="R62" s="291">
        <v>-2.75E-2</v>
      </c>
      <c r="S62" s="291">
        <v>-5.7500000000000002E-2</v>
      </c>
      <c r="T62" s="291">
        <v>-0.11</v>
      </c>
      <c r="U62" s="291">
        <v>-1.375E-2</v>
      </c>
      <c r="V62" s="291">
        <v>-8.7499999999999994E-2</v>
      </c>
      <c r="W62" s="291">
        <v>-0.1225</v>
      </c>
      <c r="X62" s="291">
        <v>0.43</v>
      </c>
      <c r="Y62" s="291">
        <v>5.0000000000000001E-3</v>
      </c>
      <c r="Z62" s="291">
        <v>-0.2</v>
      </c>
      <c r="AA62" s="291">
        <v>-2.1999999999999999E-2</v>
      </c>
      <c r="AB62" s="306">
        <v>0.28499999999999998</v>
      </c>
      <c r="AC62" s="306">
        <v>0.3</v>
      </c>
      <c r="AD62" s="306">
        <v>0.14249999999999999</v>
      </c>
      <c r="AE62" s="431">
        <v>0.25</v>
      </c>
      <c r="AF62" s="431">
        <v>0.25</v>
      </c>
      <c r="AG62" s="431">
        <v>0.245</v>
      </c>
      <c r="AH62" s="431">
        <v>0.25</v>
      </c>
      <c r="AI62" s="431">
        <v>0.255</v>
      </c>
      <c r="AJ62" s="431">
        <v>0.25</v>
      </c>
      <c r="AK62" s="431">
        <v>0.245</v>
      </c>
      <c r="AL62" s="431">
        <v>0.245</v>
      </c>
      <c r="AM62" s="431">
        <v>0.25</v>
      </c>
      <c r="AN62" s="431">
        <v>0.25</v>
      </c>
      <c r="AO62" s="431">
        <v>0.25</v>
      </c>
      <c r="AP62" s="432">
        <v>0.25</v>
      </c>
      <c r="AQ62" s="432">
        <v>0.25</v>
      </c>
      <c r="AR62" s="432">
        <v>0.25</v>
      </c>
      <c r="AS62" s="432">
        <v>0.25</v>
      </c>
      <c r="AT62" s="431">
        <v>0.25</v>
      </c>
      <c r="AU62" s="431">
        <v>0.25</v>
      </c>
      <c r="AV62" s="431">
        <v>0.245</v>
      </c>
      <c r="AW62" s="305">
        <v>6.9134503944114994E-2</v>
      </c>
      <c r="AX62" s="305"/>
      <c r="AY62" s="306">
        <f t="shared" si="4"/>
        <v>0.245</v>
      </c>
      <c r="AZ62" s="306">
        <f t="shared" si="5"/>
        <v>0.245</v>
      </c>
      <c r="BA62" s="309">
        <f t="shared" si="6"/>
        <v>0.245</v>
      </c>
      <c r="BB62" s="308">
        <f t="shared" si="7"/>
        <v>38169</v>
      </c>
      <c r="BC62" s="308">
        <v>0.76767619618277527</v>
      </c>
      <c r="BD62" s="291">
        <v>0.76782036014488952</v>
      </c>
      <c r="BF62" s="194">
        <v>38169</v>
      </c>
      <c r="BG62" s="206">
        <v>50</v>
      </c>
      <c r="HZ62" s="308">
        <f t="shared" si="2"/>
        <v>38231</v>
      </c>
      <c r="IA62" s="291">
        <v>52</v>
      </c>
    </row>
    <row r="63" spans="1:235" x14ac:dyDescent="0.25">
      <c r="B63" s="296">
        <f t="shared" si="8"/>
        <v>38200</v>
      </c>
      <c r="C63" s="294">
        <v>2.9470000000000001</v>
      </c>
      <c r="D63" s="294">
        <v>0.25</v>
      </c>
      <c r="E63" s="294">
        <v>6.9435502457345005E-2</v>
      </c>
      <c r="F63" s="294">
        <v>-0.19500000000000001</v>
      </c>
      <c r="G63" s="294">
        <v>2.5000000000000001E-2</v>
      </c>
      <c r="H63" s="294">
        <v>-0.19500000000000001</v>
      </c>
      <c r="I63" s="294">
        <v>4.4999999999999998E-2</v>
      </c>
      <c r="J63" s="294">
        <v>0.1825</v>
      </c>
      <c r="K63" s="294">
        <v>0.215</v>
      </c>
      <c r="L63" s="294">
        <v>-7.3999999999999996E-2</v>
      </c>
      <c r="M63" s="294">
        <v>-2.4E-2</v>
      </c>
      <c r="N63" s="294">
        <v>-0.37</v>
      </c>
      <c r="O63" s="294">
        <v>-0.33</v>
      </c>
      <c r="P63" s="294">
        <v>6.0000000000000001E-3</v>
      </c>
      <c r="Q63" s="294">
        <v>-3.5000000000000001E-3</v>
      </c>
      <c r="R63" s="291">
        <v>-2.75E-2</v>
      </c>
      <c r="S63" s="291">
        <v>-5.7500000000000002E-2</v>
      </c>
      <c r="T63" s="291">
        <v>-0.11</v>
      </c>
      <c r="U63" s="291">
        <v>-1.375E-2</v>
      </c>
      <c r="V63" s="291">
        <v>-8.7499999999999994E-2</v>
      </c>
      <c r="W63" s="291">
        <v>-0.1225</v>
      </c>
      <c r="X63" s="291">
        <v>0.495</v>
      </c>
      <c r="Y63" s="291">
        <v>5.0000000000000001E-3</v>
      </c>
      <c r="Z63" s="291">
        <v>-0.2</v>
      </c>
      <c r="AA63" s="291">
        <v>-2.1999999999999999E-2</v>
      </c>
      <c r="AB63" s="306">
        <v>0.28499999999999998</v>
      </c>
      <c r="AC63" s="306">
        <v>0.3</v>
      </c>
      <c r="AD63" s="306">
        <v>0.14000000000000001</v>
      </c>
      <c r="AE63" s="431">
        <v>0.25</v>
      </c>
      <c r="AF63" s="431">
        <v>0.25</v>
      </c>
      <c r="AG63" s="431">
        <v>0.245</v>
      </c>
      <c r="AH63" s="431">
        <v>0.25</v>
      </c>
      <c r="AI63" s="431">
        <v>0.255</v>
      </c>
      <c r="AJ63" s="431">
        <v>0.25</v>
      </c>
      <c r="AK63" s="431">
        <v>0.245</v>
      </c>
      <c r="AL63" s="431">
        <v>0.245</v>
      </c>
      <c r="AM63" s="431">
        <v>0.25</v>
      </c>
      <c r="AN63" s="431">
        <v>0.25</v>
      </c>
      <c r="AO63" s="431">
        <v>0.25</v>
      </c>
      <c r="AP63" s="432">
        <v>0.25</v>
      </c>
      <c r="AQ63" s="432">
        <v>0.25</v>
      </c>
      <c r="AR63" s="432">
        <v>0.25</v>
      </c>
      <c r="AS63" s="432">
        <v>0.25</v>
      </c>
      <c r="AT63" s="431">
        <v>0.25</v>
      </c>
      <c r="AU63" s="431">
        <v>0.25</v>
      </c>
      <c r="AV63" s="431">
        <v>0.245</v>
      </c>
      <c r="AW63" s="305">
        <v>6.9153549096238998E-2</v>
      </c>
      <c r="AX63" s="305"/>
      <c r="AY63" s="306">
        <f t="shared" si="4"/>
        <v>0.245</v>
      </c>
      <c r="AZ63" s="306">
        <f t="shared" si="5"/>
        <v>0.245</v>
      </c>
      <c r="BA63" s="309">
        <f t="shared" si="6"/>
        <v>0.245</v>
      </c>
      <c r="BB63" s="308">
        <f t="shared" si="7"/>
        <v>38200</v>
      </c>
      <c r="BC63" s="308">
        <v>0.76316986113910168</v>
      </c>
      <c r="BD63" s="291">
        <v>0.76331321404990171</v>
      </c>
      <c r="BF63" s="194">
        <v>38200</v>
      </c>
      <c r="BG63" s="206">
        <v>51</v>
      </c>
      <c r="HZ63" s="308">
        <f t="shared" si="2"/>
        <v>38261</v>
      </c>
      <c r="IA63" s="291">
        <v>53</v>
      </c>
    </row>
    <row r="64" spans="1:235" x14ac:dyDescent="0.25">
      <c r="B64" s="296">
        <f t="shared" si="8"/>
        <v>38231</v>
      </c>
      <c r="C64" s="294">
        <v>2.9289999999999998</v>
      </c>
      <c r="D64" s="294">
        <v>0.25</v>
      </c>
      <c r="E64" s="294">
        <v>6.9467052703591006E-2</v>
      </c>
      <c r="F64" s="294">
        <v>-0.19500000000000001</v>
      </c>
      <c r="G64" s="294">
        <v>1.7500000000000002E-2</v>
      </c>
      <c r="H64" s="294">
        <v>-0.19500000000000001</v>
      </c>
      <c r="I64" s="294">
        <v>4.2500000000000003E-2</v>
      </c>
      <c r="J64" s="294">
        <v>0.1825</v>
      </c>
      <c r="K64" s="294">
        <v>0.19500000000000001</v>
      </c>
      <c r="L64" s="294">
        <v>-5.3999999999999999E-2</v>
      </c>
      <c r="M64" s="294">
        <v>-2.4E-2</v>
      </c>
      <c r="N64" s="294">
        <v>-0.37</v>
      </c>
      <c r="O64" s="294">
        <v>-0.33</v>
      </c>
      <c r="P64" s="294">
        <v>6.0000000000000001E-3</v>
      </c>
      <c r="Q64" s="294">
        <v>-3.5000000000000001E-3</v>
      </c>
      <c r="R64" s="291">
        <v>-2.75E-2</v>
      </c>
      <c r="S64" s="291">
        <v>-5.7500000000000002E-2</v>
      </c>
      <c r="T64" s="291">
        <v>-0.1</v>
      </c>
      <c r="U64" s="291">
        <v>-1.375E-2</v>
      </c>
      <c r="V64" s="291">
        <v>-0.10249999999999999</v>
      </c>
      <c r="W64" s="291">
        <v>-0.1225</v>
      </c>
      <c r="X64" s="291">
        <v>0.39500000000000002</v>
      </c>
      <c r="Y64" s="291">
        <v>5.0000000000000001E-3</v>
      </c>
      <c r="Z64" s="291">
        <v>-0.2</v>
      </c>
      <c r="AA64" s="291">
        <v>-2.1999999999999999E-2</v>
      </c>
      <c r="AB64" s="306">
        <v>0.28499999999999998</v>
      </c>
      <c r="AC64" s="306">
        <v>0.28999999999999998</v>
      </c>
      <c r="AD64" s="306">
        <v>0.13750000000000001</v>
      </c>
      <c r="AE64" s="431">
        <v>0.25</v>
      </c>
      <c r="AF64" s="431">
        <v>0.25</v>
      </c>
      <c r="AG64" s="431">
        <v>0.245</v>
      </c>
      <c r="AH64" s="431">
        <v>0.25</v>
      </c>
      <c r="AI64" s="431">
        <v>0.255</v>
      </c>
      <c r="AJ64" s="431">
        <v>0.25</v>
      </c>
      <c r="AK64" s="431">
        <v>0.245</v>
      </c>
      <c r="AL64" s="431">
        <v>0.245</v>
      </c>
      <c r="AM64" s="431">
        <v>0.25</v>
      </c>
      <c r="AN64" s="431">
        <v>0.25</v>
      </c>
      <c r="AO64" s="431">
        <v>0.25</v>
      </c>
      <c r="AP64" s="432">
        <v>0.25</v>
      </c>
      <c r="AQ64" s="432">
        <v>0.25</v>
      </c>
      <c r="AR64" s="432">
        <v>0.25</v>
      </c>
      <c r="AS64" s="432">
        <v>0.25</v>
      </c>
      <c r="AT64" s="431">
        <v>0.25</v>
      </c>
      <c r="AU64" s="431">
        <v>0.25</v>
      </c>
      <c r="AV64" s="431">
        <v>0.245</v>
      </c>
      <c r="AW64" s="305">
        <v>6.9172594248482003E-2</v>
      </c>
      <c r="AX64" s="305"/>
      <c r="AY64" s="306">
        <f t="shared" si="4"/>
        <v>0.245</v>
      </c>
      <c r="AZ64" s="306">
        <f t="shared" si="5"/>
        <v>0.245</v>
      </c>
      <c r="BA64" s="309">
        <f t="shared" si="6"/>
        <v>0.245</v>
      </c>
      <c r="BB64" s="308">
        <f t="shared" si="7"/>
        <v>38231</v>
      </c>
      <c r="BC64" s="308">
        <v>0.75868780965019611</v>
      </c>
      <c r="BD64" s="291">
        <v>0.75883035565614443</v>
      </c>
      <c r="BF64" s="194">
        <v>38231</v>
      </c>
      <c r="BG64" s="206">
        <v>52</v>
      </c>
      <c r="HZ64" s="308">
        <f t="shared" si="2"/>
        <v>38292</v>
      </c>
      <c r="IA64" s="291">
        <v>54</v>
      </c>
    </row>
    <row r="65" spans="1:235" x14ac:dyDescent="0.25">
      <c r="B65" s="296">
        <f t="shared" si="8"/>
        <v>38261</v>
      </c>
      <c r="C65" s="294">
        <v>2.9430000000000001</v>
      </c>
      <c r="D65" s="294">
        <v>0.25</v>
      </c>
      <c r="E65" s="294">
        <v>6.9497585200270995E-2</v>
      </c>
      <c r="F65" s="294">
        <v>-0.19500000000000001</v>
      </c>
      <c r="G65" s="294">
        <v>7.4999999999999997E-3</v>
      </c>
      <c r="H65" s="294">
        <v>-0.19500000000000001</v>
      </c>
      <c r="I65" s="294">
        <v>5.7500000000000002E-2</v>
      </c>
      <c r="J65" s="294">
        <v>0.1875</v>
      </c>
      <c r="K65" s="294">
        <v>0.215</v>
      </c>
      <c r="L65" s="294">
        <v>-6.4000000000000001E-2</v>
      </c>
      <c r="M65" s="294">
        <v>-2.4E-2</v>
      </c>
      <c r="N65" s="294">
        <v>-0.37</v>
      </c>
      <c r="O65" s="294">
        <v>-0.33</v>
      </c>
      <c r="P65" s="294">
        <v>6.0000000000000001E-3</v>
      </c>
      <c r="Q65" s="294">
        <v>-3.5000000000000001E-3</v>
      </c>
      <c r="R65" s="291">
        <v>-2.75E-2</v>
      </c>
      <c r="S65" s="291">
        <v>-5.7500000000000002E-2</v>
      </c>
      <c r="T65" s="291">
        <v>-8.5000000000000006E-2</v>
      </c>
      <c r="U65" s="291">
        <v>-1.375E-2</v>
      </c>
      <c r="V65" s="291">
        <v>-0.105</v>
      </c>
      <c r="W65" s="291">
        <v>-0.1225</v>
      </c>
      <c r="X65" s="291">
        <v>0.46100000000000002</v>
      </c>
      <c r="Y65" s="291">
        <v>5.0000000000000001E-3</v>
      </c>
      <c r="Z65" s="291">
        <v>-0.2</v>
      </c>
      <c r="AA65" s="291">
        <v>-2.1999999999999999E-2</v>
      </c>
      <c r="AB65" s="306">
        <v>0.28499999999999998</v>
      </c>
      <c r="AC65" s="306">
        <v>0.36249999999999999</v>
      </c>
      <c r="AD65" s="306">
        <v>0.1525</v>
      </c>
      <c r="AE65" s="431">
        <v>0.25</v>
      </c>
      <c r="AF65" s="431">
        <v>0.25</v>
      </c>
      <c r="AG65" s="431">
        <v>0.245</v>
      </c>
      <c r="AH65" s="431">
        <v>0.25</v>
      </c>
      <c r="AI65" s="431">
        <v>0.255</v>
      </c>
      <c r="AJ65" s="431">
        <v>0.25</v>
      </c>
      <c r="AK65" s="431">
        <v>0.245</v>
      </c>
      <c r="AL65" s="431">
        <v>0.245</v>
      </c>
      <c r="AM65" s="431">
        <v>0.25</v>
      </c>
      <c r="AN65" s="431">
        <v>0.25</v>
      </c>
      <c r="AO65" s="431">
        <v>0.25</v>
      </c>
      <c r="AP65" s="432">
        <v>0.25</v>
      </c>
      <c r="AQ65" s="432">
        <v>0.25</v>
      </c>
      <c r="AR65" s="432">
        <v>0.25</v>
      </c>
      <c r="AS65" s="432">
        <v>0.25</v>
      </c>
      <c r="AT65" s="431">
        <v>0.25</v>
      </c>
      <c r="AU65" s="431">
        <v>0.25</v>
      </c>
      <c r="AV65" s="431">
        <v>0.245</v>
      </c>
      <c r="AW65" s="305">
        <v>6.9191025041089996E-2</v>
      </c>
      <c r="AX65" s="305"/>
      <c r="AY65" s="306">
        <f t="shared" si="4"/>
        <v>0.245</v>
      </c>
      <c r="AZ65" s="306">
        <f t="shared" si="5"/>
        <v>0.245</v>
      </c>
      <c r="BA65" s="309">
        <f t="shared" si="6"/>
        <v>0.245</v>
      </c>
      <c r="BB65" s="308">
        <f t="shared" si="7"/>
        <v>38261</v>
      </c>
      <c r="BC65" s="308">
        <v>0.75437335140689876</v>
      </c>
      <c r="BD65" s="291">
        <v>0.7545151204676217</v>
      </c>
      <c r="BF65" s="194">
        <v>38261</v>
      </c>
      <c r="BG65" s="206">
        <v>53</v>
      </c>
      <c r="HZ65" s="308">
        <f t="shared" si="2"/>
        <v>38322</v>
      </c>
      <c r="IA65" s="291">
        <v>55</v>
      </c>
    </row>
    <row r="66" spans="1:235" x14ac:dyDescent="0.25">
      <c r="B66" s="296">
        <f t="shared" si="8"/>
        <v>38292</v>
      </c>
      <c r="C66" s="294">
        <v>3.03</v>
      </c>
      <c r="D66" s="294">
        <v>0.2525</v>
      </c>
      <c r="E66" s="294">
        <v>6.9529135447163007E-2</v>
      </c>
      <c r="F66" s="294">
        <v>-0.19</v>
      </c>
      <c r="G66" s="294">
        <v>-3.2500000000000001E-2</v>
      </c>
      <c r="H66" s="294">
        <v>-0.19</v>
      </c>
      <c r="I66" s="294">
        <v>0.1075</v>
      </c>
      <c r="J66" s="294">
        <v>0.27</v>
      </c>
      <c r="K66" s="294">
        <v>0.28749999999999998</v>
      </c>
      <c r="L66" s="294">
        <v>-7.9000000000000001E-2</v>
      </c>
      <c r="M66" s="294">
        <v>-1.6500000000000001E-2</v>
      </c>
      <c r="N66" s="294">
        <v>-0.28000000000000003</v>
      </c>
      <c r="O66" s="294">
        <v>0</v>
      </c>
      <c r="P66" s="294">
        <v>1.2500000000000001E-2</v>
      </c>
      <c r="Q66" s="294">
        <v>-1.15E-2</v>
      </c>
      <c r="R66" s="291">
        <v>-3.0499999999999999E-2</v>
      </c>
      <c r="S66" s="291">
        <v>-5.2499999999999998E-2</v>
      </c>
      <c r="T66" s="291">
        <v>-2.5000000000000001E-2</v>
      </c>
      <c r="U66" s="291">
        <v>-3.1E-2</v>
      </c>
      <c r="V66" s="291">
        <v>-0.10249999999999999</v>
      </c>
      <c r="W66" s="291">
        <v>-0.13500000000000001</v>
      </c>
      <c r="X66" s="291">
        <v>0.76249999999999996</v>
      </c>
      <c r="Y66" s="291">
        <v>5.0000000000000001E-3</v>
      </c>
      <c r="Z66" s="291">
        <v>-0.19</v>
      </c>
      <c r="AA66" s="291">
        <v>-2.35E-2</v>
      </c>
      <c r="AB66" s="306">
        <v>0.12</v>
      </c>
      <c r="AC66" s="306">
        <v>0.46</v>
      </c>
      <c r="AD66" s="306">
        <v>0.20250000000000001</v>
      </c>
      <c r="AE66" s="431">
        <v>0.253</v>
      </c>
      <c r="AF66" s="431">
        <v>0.253</v>
      </c>
      <c r="AG66" s="431">
        <v>0.27800000000000002</v>
      </c>
      <c r="AH66" s="431">
        <v>0.253</v>
      </c>
      <c r="AI66" s="431">
        <v>0.25800000000000001</v>
      </c>
      <c r="AJ66" s="431">
        <v>0.253</v>
      </c>
      <c r="AK66" s="431">
        <v>0.253</v>
      </c>
      <c r="AL66" s="431">
        <v>0.253</v>
      </c>
      <c r="AM66" s="431">
        <v>0.253</v>
      </c>
      <c r="AN66" s="431">
        <v>0.253</v>
      </c>
      <c r="AO66" s="431">
        <v>0.253</v>
      </c>
      <c r="AP66" s="432">
        <v>0.253</v>
      </c>
      <c r="AQ66" s="432">
        <v>0.253</v>
      </c>
      <c r="AR66" s="432">
        <v>0.253</v>
      </c>
      <c r="AS66" s="432">
        <v>0.253</v>
      </c>
      <c r="AT66" s="431">
        <v>0.253</v>
      </c>
      <c r="AU66" s="431">
        <v>0.253</v>
      </c>
      <c r="AV66" s="431">
        <v>0.27800000000000002</v>
      </c>
      <c r="AW66" s="305">
        <v>6.9210070193570006E-2</v>
      </c>
      <c r="AX66" s="305"/>
      <c r="AY66" s="306">
        <f t="shared" si="4"/>
        <v>0.27800000000000002</v>
      </c>
      <c r="AZ66" s="306">
        <f t="shared" si="5"/>
        <v>0.27800000000000002</v>
      </c>
      <c r="BA66" s="309">
        <f t="shared" si="6"/>
        <v>0.27800000000000002</v>
      </c>
      <c r="BB66" s="308">
        <f t="shared" si="7"/>
        <v>38292</v>
      </c>
      <c r="BC66" s="308">
        <v>0.74993874240972591</v>
      </c>
      <c r="BD66" s="291">
        <v>0.75007971267043594</v>
      </c>
      <c r="BF66" s="194">
        <v>38292</v>
      </c>
      <c r="BG66" s="206">
        <v>54</v>
      </c>
      <c r="HZ66" s="308">
        <f t="shared" si="2"/>
        <v>38353</v>
      </c>
      <c r="IA66" s="291">
        <v>56</v>
      </c>
    </row>
    <row r="67" spans="1:235" x14ac:dyDescent="0.25">
      <c r="A67" s="318"/>
      <c r="B67" s="296">
        <f t="shared" si="8"/>
        <v>38322</v>
      </c>
      <c r="C67" s="294">
        <v>3.113</v>
      </c>
      <c r="D67" s="294">
        <v>0.255</v>
      </c>
      <c r="E67" s="294">
        <v>6.9559667944469994E-2</v>
      </c>
      <c r="F67" s="294">
        <v>-0.19750000000000001</v>
      </c>
      <c r="G67" s="294">
        <v>-5.5E-2</v>
      </c>
      <c r="H67" s="294">
        <v>-0.19750000000000001</v>
      </c>
      <c r="I67" s="294">
        <v>0.14749999999999999</v>
      </c>
      <c r="J67" s="294">
        <v>0.30499999999999999</v>
      </c>
      <c r="K67" s="294">
        <v>0.33750000000000002</v>
      </c>
      <c r="L67" s="294">
        <v>-7.9000000000000001E-2</v>
      </c>
      <c r="M67" s="294">
        <v>-1.6500000000000001E-2</v>
      </c>
      <c r="N67" s="294">
        <v>-0.28000000000000003</v>
      </c>
      <c r="O67" s="294">
        <v>0.06</v>
      </c>
      <c r="P67" s="294">
        <v>1.2500000000000001E-2</v>
      </c>
      <c r="Q67" s="294">
        <v>-1.15E-2</v>
      </c>
      <c r="R67" s="291">
        <v>-3.0499999999999999E-2</v>
      </c>
      <c r="S67" s="291">
        <v>-5.2499999999999998E-2</v>
      </c>
      <c r="T67" s="291">
        <v>-1.7500000000000002E-2</v>
      </c>
      <c r="U67" s="291">
        <v>-3.1E-2</v>
      </c>
      <c r="V67" s="291">
        <v>-0.13750000000000001</v>
      </c>
      <c r="W67" s="291">
        <v>-0.13</v>
      </c>
      <c r="X67" s="291">
        <v>1.18</v>
      </c>
      <c r="Y67" s="291">
        <v>5.0000000000000001E-3</v>
      </c>
      <c r="Z67" s="291">
        <v>-0.19</v>
      </c>
      <c r="AA67" s="291">
        <v>-2.35E-2</v>
      </c>
      <c r="AB67" s="306">
        <v>0.12</v>
      </c>
      <c r="AC67" s="306">
        <v>0.79</v>
      </c>
      <c r="AD67" s="306">
        <v>0.24249999999999999</v>
      </c>
      <c r="AE67" s="431">
        <v>0.255</v>
      </c>
      <c r="AF67" s="431">
        <v>0.255</v>
      </c>
      <c r="AG67" s="431">
        <v>0.28100000000000003</v>
      </c>
      <c r="AH67" s="431">
        <v>0.255</v>
      </c>
      <c r="AI67" s="431">
        <v>0.26</v>
      </c>
      <c r="AJ67" s="431">
        <v>0.255</v>
      </c>
      <c r="AK67" s="431">
        <v>0.255</v>
      </c>
      <c r="AL67" s="431">
        <v>0.255</v>
      </c>
      <c r="AM67" s="431">
        <v>0.255</v>
      </c>
      <c r="AN67" s="431">
        <v>0.255</v>
      </c>
      <c r="AO67" s="431">
        <v>0.255</v>
      </c>
      <c r="AP67" s="432">
        <v>0.255</v>
      </c>
      <c r="AQ67" s="432">
        <v>0.255</v>
      </c>
      <c r="AR67" s="432">
        <v>0.255</v>
      </c>
      <c r="AS67" s="432">
        <v>0.255</v>
      </c>
      <c r="AT67" s="431">
        <v>0.255</v>
      </c>
      <c r="AU67" s="431">
        <v>0.255</v>
      </c>
      <c r="AV67" s="431">
        <v>0.28100000000000003</v>
      </c>
      <c r="AW67" s="305">
        <v>6.9228500986405997E-2</v>
      </c>
      <c r="AX67" s="305"/>
      <c r="AY67" s="306">
        <f t="shared" si="4"/>
        <v>0.28100000000000003</v>
      </c>
      <c r="AZ67" s="306">
        <f t="shared" si="5"/>
        <v>0.28100000000000003</v>
      </c>
      <c r="BA67" s="309">
        <f t="shared" si="6"/>
        <v>0.28100000000000003</v>
      </c>
      <c r="BB67" s="308">
        <f t="shared" si="7"/>
        <v>38322</v>
      </c>
      <c r="BC67" s="308">
        <v>0.74566997830706938</v>
      </c>
      <c r="BD67" s="291">
        <v>0.74581017943123351</v>
      </c>
      <c r="BF67" s="194">
        <v>38322</v>
      </c>
      <c r="BG67" s="206">
        <v>55</v>
      </c>
      <c r="HZ67" s="308">
        <f t="shared" si="2"/>
        <v>38384</v>
      </c>
      <c r="IA67" s="291">
        <v>57</v>
      </c>
    </row>
    <row r="68" spans="1:235" x14ac:dyDescent="0.25">
      <c r="A68" s="319"/>
      <c r="B68" s="296">
        <f t="shared" si="8"/>
        <v>38353</v>
      </c>
      <c r="C68" s="294">
        <v>3.3109999999999999</v>
      </c>
      <c r="D68" s="294">
        <v>0.26</v>
      </c>
      <c r="E68" s="294">
        <v>6.9591218192011001E-2</v>
      </c>
      <c r="F68" s="294">
        <v>-0.2</v>
      </c>
      <c r="G68" s="294">
        <v>-5.7500000000000002E-2</v>
      </c>
      <c r="H68" s="294">
        <v>-0.2</v>
      </c>
      <c r="I68" s="294">
        <v>0.1825</v>
      </c>
      <c r="J68" s="294">
        <v>0.30499999999999999</v>
      </c>
      <c r="K68" s="294">
        <v>0.4375</v>
      </c>
      <c r="L68" s="294">
        <v>-7.9000000000000001E-2</v>
      </c>
      <c r="M68" s="294">
        <v>-1.4500000000000001E-2</v>
      </c>
      <c r="N68" s="294">
        <v>-0.28000000000000003</v>
      </c>
      <c r="O68" s="294">
        <v>0.13</v>
      </c>
      <c r="P68" s="294">
        <v>1.2500000000000001E-2</v>
      </c>
      <c r="Q68" s="294">
        <v>-1.15E-2</v>
      </c>
      <c r="R68" s="291">
        <v>-2.8000000000000001E-2</v>
      </c>
      <c r="S68" s="291">
        <v>-5.2499999999999998E-2</v>
      </c>
      <c r="T68" s="291">
        <v>-2.5000000000000001E-3</v>
      </c>
      <c r="U68" s="291">
        <v>-3.1E-2</v>
      </c>
      <c r="V68" s="291">
        <v>-0.14299999999999999</v>
      </c>
      <c r="W68" s="291">
        <v>-0.13</v>
      </c>
      <c r="X68" s="291">
        <v>1.51</v>
      </c>
      <c r="Y68" s="291">
        <v>5.0000000000000001E-3</v>
      </c>
      <c r="Z68" s="291">
        <v>-0.19</v>
      </c>
      <c r="AA68" s="291">
        <v>-2.35E-2</v>
      </c>
      <c r="AB68" s="306">
        <v>0.12</v>
      </c>
      <c r="AC68" s="306">
        <v>0.96</v>
      </c>
      <c r="AD68" s="306">
        <v>0.27750000000000002</v>
      </c>
      <c r="AE68" s="431">
        <v>0.26</v>
      </c>
      <c r="AF68" s="431">
        <v>0.26</v>
      </c>
      <c r="AG68" s="431">
        <v>0.28599999999999998</v>
      </c>
      <c r="AH68" s="431">
        <v>0.26</v>
      </c>
      <c r="AI68" s="431">
        <v>0.26500000000000001</v>
      </c>
      <c r="AJ68" s="431">
        <v>0.26</v>
      </c>
      <c r="AK68" s="431">
        <v>0.26</v>
      </c>
      <c r="AL68" s="431">
        <v>0.26</v>
      </c>
      <c r="AM68" s="431">
        <v>0.26</v>
      </c>
      <c r="AN68" s="431">
        <v>0.26</v>
      </c>
      <c r="AO68" s="431">
        <v>0.26</v>
      </c>
      <c r="AP68" s="432">
        <v>0.26</v>
      </c>
      <c r="AQ68" s="432">
        <v>0.26</v>
      </c>
      <c r="AR68" s="432">
        <v>0.26</v>
      </c>
      <c r="AS68" s="432">
        <v>0.26</v>
      </c>
      <c r="AT68" s="431">
        <v>0.26</v>
      </c>
      <c r="AU68" s="431">
        <v>0.26</v>
      </c>
      <c r="AV68" s="431">
        <v>0.28599999999999998</v>
      </c>
      <c r="AW68" s="305">
        <v>6.9247546139121999E-2</v>
      </c>
      <c r="AX68" s="305"/>
      <c r="AY68" s="306">
        <f t="shared" si="4"/>
        <v>0.28599999999999998</v>
      </c>
      <c r="AZ68" s="306">
        <f t="shared" si="5"/>
        <v>0.28599999999999998</v>
      </c>
      <c r="BA68" s="309">
        <f t="shared" si="6"/>
        <v>0.28599999999999998</v>
      </c>
      <c r="BB68" s="308">
        <f t="shared" si="7"/>
        <v>38353</v>
      </c>
      <c r="BC68" s="308">
        <v>0.74128236229129529</v>
      </c>
      <c r="BD68" s="291">
        <v>0.7414217726486767</v>
      </c>
      <c r="BF68" s="194">
        <v>38353</v>
      </c>
      <c r="BG68" s="206">
        <v>56</v>
      </c>
      <c r="HZ68" s="308">
        <f t="shared" si="2"/>
        <v>38412</v>
      </c>
      <c r="IA68" s="291">
        <v>58</v>
      </c>
    </row>
    <row r="69" spans="1:235" x14ac:dyDescent="0.25">
      <c r="A69" s="319"/>
      <c r="B69" s="296">
        <f t="shared" si="8"/>
        <v>38384</v>
      </c>
      <c r="C69" s="294">
        <v>3.177</v>
      </c>
      <c r="D69" s="294">
        <v>0.2475</v>
      </c>
      <c r="E69" s="294">
        <v>6.9622768439880994E-2</v>
      </c>
      <c r="F69" s="294">
        <v>-0.20250000000000001</v>
      </c>
      <c r="G69" s="294">
        <v>-0.04</v>
      </c>
      <c r="H69" s="294">
        <v>-0.20250000000000001</v>
      </c>
      <c r="I69" s="294">
        <v>0.16250000000000001</v>
      </c>
      <c r="J69" s="294">
        <v>0.30499999999999999</v>
      </c>
      <c r="K69" s="294">
        <v>0.435</v>
      </c>
      <c r="L69" s="294">
        <v>-7.9000000000000001E-2</v>
      </c>
      <c r="M69" s="294">
        <v>-1.4500000000000001E-2</v>
      </c>
      <c r="N69" s="294">
        <v>-0.28000000000000003</v>
      </c>
      <c r="O69" s="294">
        <v>0</v>
      </c>
      <c r="P69" s="294">
        <v>1.2500000000000001E-2</v>
      </c>
      <c r="Q69" s="294">
        <v>-1.15E-2</v>
      </c>
      <c r="R69" s="291">
        <v>-2.8000000000000001E-2</v>
      </c>
      <c r="S69" s="291">
        <v>-5.2499999999999998E-2</v>
      </c>
      <c r="T69" s="291">
        <v>-2.5000000000000001E-3</v>
      </c>
      <c r="U69" s="291">
        <v>-3.1E-2</v>
      </c>
      <c r="V69" s="291">
        <v>-0.1255</v>
      </c>
      <c r="W69" s="291">
        <v>-0.13</v>
      </c>
      <c r="X69" s="291">
        <v>1.44</v>
      </c>
      <c r="Y69" s="291">
        <v>5.0000000000000001E-3</v>
      </c>
      <c r="Z69" s="291">
        <v>-0.19</v>
      </c>
      <c r="AA69" s="291">
        <v>-2.35E-2</v>
      </c>
      <c r="AB69" s="306">
        <v>0.12</v>
      </c>
      <c r="AC69" s="306">
        <v>0.96</v>
      </c>
      <c r="AD69" s="306">
        <v>0.25750000000000001</v>
      </c>
      <c r="AE69" s="431">
        <v>0.248</v>
      </c>
      <c r="AF69" s="431">
        <v>0.248</v>
      </c>
      <c r="AG69" s="431">
        <v>0.27200000000000002</v>
      </c>
      <c r="AH69" s="431">
        <v>0.248</v>
      </c>
      <c r="AI69" s="431">
        <v>0.252</v>
      </c>
      <c r="AJ69" s="431">
        <v>0.248</v>
      </c>
      <c r="AK69" s="431">
        <v>0.248</v>
      </c>
      <c r="AL69" s="431">
        <v>0.248</v>
      </c>
      <c r="AM69" s="431">
        <v>0.248</v>
      </c>
      <c r="AN69" s="431">
        <v>0.248</v>
      </c>
      <c r="AO69" s="431">
        <v>0.248</v>
      </c>
      <c r="AP69" s="432">
        <v>0.248</v>
      </c>
      <c r="AQ69" s="432">
        <v>0.248</v>
      </c>
      <c r="AR69" s="432">
        <v>0.248</v>
      </c>
      <c r="AS69" s="432">
        <v>0.248</v>
      </c>
      <c r="AT69" s="431">
        <v>0.248</v>
      </c>
      <c r="AU69" s="431">
        <v>0.248</v>
      </c>
      <c r="AV69" s="431">
        <v>0.27200000000000002</v>
      </c>
      <c r="AW69" s="305">
        <v>6.9266591291958002E-2</v>
      </c>
      <c r="AX69" s="305"/>
      <c r="AY69" s="306">
        <f t="shared" si="4"/>
        <v>0.27200000000000002</v>
      </c>
      <c r="AZ69" s="306">
        <f t="shared" si="5"/>
        <v>0.27200000000000002</v>
      </c>
      <c r="BA69" s="309">
        <f t="shared" si="6"/>
        <v>0.27200000000000002</v>
      </c>
      <c r="BB69" s="308">
        <f t="shared" si="7"/>
        <v>38384</v>
      </c>
      <c r="BC69" s="308">
        <v>0.73691845685324964</v>
      </c>
      <c r="BD69" s="291">
        <v>0.73705708049903307</v>
      </c>
      <c r="BF69" s="194">
        <v>38384</v>
      </c>
      <c r="BG69" s="206">
        <v>57</v>
      </c>
      <c r="HZ69" s="308">
        <f t="shared" si="2"/>
        <v>38443</v>
      </c>
      <c r="IA69" s="291">
        <v>59</v>
      </c>
    </row>
    <row r="70" spans="1:235" x14ac:dyDescent="0.25">
      <c r="A70" s="319"/>
      <c r="B70" s="296">
        <f t="shared" si="8"/>
        <v>38412</v>
      </c>
      <c r="C70" s="294">
        <v>3.0129999999999999</v>
      </c>
      <c r="D70" s="294">
        <v>0.24249999999999999</v>
      </c>
      <c r="E70" s="294">
        <v>6.9651265438239005E-2</v>
      </c>
      <c r="F70" s="294">
        <v>-0.20499999999999999</v>
      </c>
      <c r="G70" s="294">
        <v>-2.75E-2</v>
      </c>
      <c r="H70" s="294">
        <v>-0.20499999999999999</v>
      </c>
      <c r="I70" s="294">
        <v>0.16250000000000001</v>
      </c>
      <c r="J70" s="294">
        <v>0.26500000000000001</v>
      </c>
      <c r="K70" s="294">
        <v>0.30249999999999999</v>
      </c>
      <c r="L70" s="294">
        <v>-7.9000000000000001E-2</v>
      </c>
      <c r="M70" s="294">
        <v>-1.4500000000000001E-2</v>
      </c>
      <c r="N70" s="294">
        <v>-0.28000000000000003</v>
      </c>
      <c r="O70" s="294">
        <v>-0.18</v>
      </c>
      <c r="P70" s="294">
        <v>1.2500000000000001E-2</v>
      </c>
      <c r="Q70" s="294">
        <v>-1.15E-2</v>
      </c>
      <c r="R70" s="291">
        <v>-2.8000000000000001E-2</v>
      </c>
      <c r="S70" s="291">
        <v>-5.2499999999999998E-2</v>
      </c>
      <c r="T70" s="291">
        <v>-2.5000000000000001E-3</v>
      </c>
      <c r="U70" s="291">
        <v>-3.1E-2</v>
      </c>
      <c r="V70" s="291">
        <v>-0.108</v>
      </c>
      <c r="W70" s="291">
        <v>-0.13500000000000001</v>
      </c>
      <c r="X70" s="291">
        <v>0.83</v>
      </c>
      <c r="Y70" s="291">
        <v>5.0000000000000001E-3</v>
      </c>
      <c r="Z70" s="291">
        <v>-0.19</v>
      </c>
      <c r="AA70" s="291">
        <v>-2.35E-2</v>
      </c>
      <c r="AB70" s="306">
        <v>0.12</v>
      </c>
      <c r="AC70" s="306">
        <v>0.60250000000000004</v>
      </c>
      <c r="AD70" s="306">
        <v>0.25750000000000001</v>
      </c>
      <c r="AE70" s="431">
        <v>0.24299999999999999</v>
      </c>
      <c r="AF70" s="431">
        <v>0.24299999999999999</v>
      </c>
      <c r="AG70" s="431">
        <v>0.26700000000000002</v>
      </c>
      <c r="AH70" s="431">
        <v>0.24299999999999999</v>
      </c>
      <c r="AI70" s="431">
        <v>0.247</v>
      </c>
      <c r="AJ70" s="431">
        <v>0.24299999999999999</v>
      </c>
      <c r="AK70" s="431">
        <v>0.24299999999999999</v>
      </c>
      <c r="AL70" s="431">
        <v>0.24299999999999999</v>
      </c>
      <c r="AM70" s="431">
        <v>0.24299999999999999</v>
      </c>
      <c r="AN70" s="431">
        <v>0.24299999999999999</v>
      </c>
      <c r="AO70" s="431">
        <v>0.24299999999999999</v>
      </c>
      <c r="AP70" s="432">
        <v>0.24299999999999999</v>
      </c>
      <c r="AQ70" s="432">
        <v>0.24299999999999999</v>
      </c>
      <c r="AR70" s="432">
        <v>0.24299999999999999</v>
      </c>
      <c r="AS70" s="432">
        <v>0.24299999999999999</v>
      </c>
      <c r="AT70" s="431">
        <v>0.24299999999999999</v>
      </c>
      <c r="AU70" s="431">
        <v>0.24299999999999999</v>
      </c>
      <c r="AV70" s="431">
        <v>0.26700000000000002</v>
      </c>
      <c r="AW70" s="305">
        <v>6.9283793365589999E-2</v>
      </c>
      <c r="AX70" s="305"/>
      <c r="AY70" s="306">
        <f t="shared" si="4"/>
        <v>0.26700000000000002</v>
      </c>
      <c r="AZ70" s="306">
        <f t="shared" si="5"/>
        <v>0.26700000000000002</v>
      </c>
      <c r="BA70" s="309">
        <f t="shared" si="6"/>
        <v>0.26700000000000002</v>
      </c>
      <c r="BB70" s="308">
        <f t="shared" si="7"/>
        <v>38412</v>
      </c>
      <c r="BC70" s="308">
        <v>0.73299714919281667</v>
      </c>
      <c r="BD70" s="291">
        <v>0.73313506573068454</v>
      </c>
      <c r="BF70" s="194">
        <v>38412</v>
      </c>
      <c r="BG70" s="206">
        <v>58</v>
      </c>
      <c r="HZ70" s="308">
        <f t="shared" si="2"/>
        <v>38473</v>
      </c>
      <c r="IA70" s="291">
        <v>60</v>
      </c>
    </row>
    <row r="71" spans="1:235" x14ac:dyDescent="0.25">
      <c r="A71" s="319"/>
      <c r="B71" s="296">
        <f t="shared" si="8"/>
        <v>38443</v>
      </c>
      <c r="C71" s="294">
        <v>2.8410000000000002</v>
      </c>
      <c r="D71" s="294">
        <v>0.23</v>
      </c>
      <c r="E71" s="294">
        <v>6.9682815686735997E-2</v>
      </c>
      <c r="F71" s="294">
        <v>-0.19500000000000001</v>
      </c>
      <c r="G71" s="294">
        <v>1.4999999999999999E-2</v>
      </c>
      <c r="H71" s="294">
        <v>-0.19500000000000001</v>
      </c>
      <c r="I71" s="294">
        <v>6.7500000000000004E-2</v>
      </c>
      <c r="J71" s="294">
        <v>0.19500000000000001</v>
      </c>
      <c r="K71" s="294">
        <v>0.25</v>
      </c>
      <c r="L71" s="294">
        <v>-7.1999999999999995E-2</v>
      </c>
      <c r="M71" s="294">
        <v>-2.1999999999999999E-2</v>
      </c>
      <c r="N71" s="294">
        <v>-0.36</v>
      </c>
      <c r="O71" s="294">
        <v>-0.28999999999999998</v>
      </c>
      <c r="P71" s="294">
        <v>6.0000000000000001E-3</v>
      </c>
      <c r="Q71" s="294">
        <v>-1.5E-3</v>
      </c>
      <c r="R71" s="291">
        <v>-2.75E-2</v>
      </c>
      <c r="S71" s="291">
        <v>-5.5E-2</v>
      </c>
      <c r="T71" s="291">
        <v>-0.09</v>
      </c>
      <c r="U71" s="291">
        <v>-1.2500000000000001E-2</v>
      </c>
      <c r="V71" s="291">
        <v>-0.10050000000000001</v>
      </c>
      <c r="W71" s="291">
        <v>-0.12</v>
      </c>
      <c r="X71" s="291">
        <v>0.45</v>
      </c>
      <c r="Y71" s="291">
        <v>5.0000000000000001E-3</v>
      </c>
      <c r="Z71" s="291">
        <v>-0.19500000000000001</v>
      </c>
      <c r="AA71" s="291">
        <v>-2.1000000000000001E-2</v>
      </c>
      <c r="AB71" s="306">
        <v>0.28999999999999998</v>
      </c>
      <c r="AC71" s="306">
        <v>0.35499999999999998</v>
      </c>
      <c r="AD71" s="306">
        <v>0.16250000000000001</v>
      </c>
      <c r="AE71" s="431">
        <v>0.23</v>
      </c>
      <c r="AF71" s="431">
        <v>0.23</v>
      </c>
      <c r="AG71" s="431">
        <v>0.22500000000000001</v>
      </c>
      <c r="AH71" s="431">
        <v>0.23</v>
      </c>
      <c r="AI71" s="431">
        <v>0.23499999999999999</v>
      </c>
      <c r="AJ71" s="431">
        <v>0.23</v>
      </c>
      <c r="AK71" s="431">
        <v>0.22500000000000001</v>
      </c>
      <c r="AL71" s="431">
        <v>0.22500000000000001</v>
      </c>
      <c r="AM71" s="431">
        <v>0.23</v>
      </c>
      <c r="AN71" s="431">
        <v>0.23</v>
      </c>
      <c r="AO71" s="431">
        <v>0.23</v>
      </c>
      <c r="AP71" s="432">
        <v>0.23</v>
      </c>
      <c r="AQ71" s="432">
        <v>0.23</v>
      </c>
      <c r="AR71" s="432">
        <v>0.23</v>
      </c>
      <c r="AS71" s="432">
        <v>0.23</v>
      </c>
      <c r="AT71" s="431">
        <v>0.23</v>
      </c>
      <c r="AU71" s="431">
        <v>0.23</v>
      </c>
      <c r="AV71" s="431">
        <v>0.22500000000000001</v>
      </c>
      <c r="AW71" s="305">
        <v>6.9302838518654E-2</v>
      </c>
      <c r="AX71" s="305"/>
      <c r="AY71" s="306">
        <f t="shared" si="4"/>
        <v>0.22500000000000001</v>
      </c>
      <c r="AZ71" s="306">
        <f t="shared" si="5"/>
        <v>0.22500000000000001</v>
      </c>
      <c r="BA71" s="309">
        <f t="shared" si="6"/>
        <v>0.22500000000000001</v>
      </c>
      <c r="BB71" s="308">
        <f t="shared" si="7"/>
        <v>38443</v>
      </c>
      <c r="BC71" s="308">
        <v>0.72867805390161045</v>
      </c>
      <c r="BD71" s="291">
        <v>0.72881519139533457</v>
      </c>
      <c r="BF71" s="194">
        <v>38443</v>
      </c>
      <c r="BG71" s="206">
        <v>59</v>
      </c>
      <c r="HZ71" s="308">
        <f t="shared" si="2"/>
        <v>38504</v>
      </c>
      <c r="IA71" s="291">
        <v>61</v>
      </c>
    </row>
    <row r="72" spans="1:235" x14ac:dyDescent="0.25">
      <c r="A72" s="319"/>
      <c r="B72" s="296">
        <f t="shared" si="8"/>
        <v>38473</v>
      </c>
      <c r="C72" s="294">
        <v>2.831</v>
      </c>
      <c r="D72" s="294">
        <v>0.23</v>
      </c>
      <c r="E72" s="294">
        <v>6.9713348185594007E-2</v>
      </c>
      <c r="F72" s="294">
        <v>-0.19500000000000001</v>
      </c>
      <c r="G72" s="294">
        <v>1.4999999999999999E-2</v>
      </c>
      <c r="H72" s="294">
        <v>-0.19500000000000001</v>
      </c>
      <c r="I72" s="294">
        <v>7.7499999999999999E-2</v>
      </c>
      <c r="J72" s="294">
        <v>0.1825</v>
      </c>
      <c r="K72" s="294">
        <v>0.20250000000000001</v>
      </c>
      <c r="L72" s="294">
        <v>-7.1999999999999995E-2</v>
      </c>
      <c r="M72" s="294">
        <v>-2.1999999999999999E-2</v>
      </c>
      <c r="N72" s="294">
        <v>-0.36</v>
      </c>
      <c r="O72" s="294">
        <v>-0.28999999999999998</v>
      </c>
      <c r="P72" s="294">
        <v>6.0000000000000001E-3</v>
      </c>
      <c r="Q72" s="294">
        <v>-1.5E-3</v>
      </c>
      <c r="R72" s="291">
        <v>-2.75E-2</v>
      </c>
      <c r="S72" s="291">
        <v>-5.5E-2</v>
      </c>
      <c r="T72" s="291">
        <v>-0.105</v>
      </c>
      <c r="U72" s="291">
        <v>-1.2749999999999999E-2</v>
      </c>
      <c r="V72" s="291">
        <v>-0.10050000000000001</v>
      </c>
      <c r="W72" s="291">
        <v>-0.12</v>
      </c>
      <c r="X72" s="291">
        <v>0.40500000000000003</v>
      </c>
      <c r="Y72" s="291">
        <v>5.0000000000000001E-3</v>
      </c>
      <c r="Z72" s="291">
        <v>-0.19500000000000001</v>
      </c>
      <c r="AA72" s="291">
        <v>-2.1000000000000001E-2</v>
      </c>
      <c r="AB72" s="306">
        <v>0.28999999999999998</v>
      </c>
      <c r="AC72" s="306">
        <v>0.28749999999999998</v>
      </c>
      <c r="AD72" s="306">
        <v>0.17249999999999999</v>
      </c>
      <c r="AE72" s="431">
        <v>0.23</v>
      </c>
      <c r="AF72" s="431">
        <v>0.23</v>
      </c>
      <c r="AG72" s="431">
        <v>0.22500000000000001</v>
      </c>
      <c r="AH72" s="431">
        <v>0.23</v>
      </c>
      <c r="AI72" s="431">
        <v>0.23499999999999999</v>
      </c>
      <c r="AJ72" s="431">
        <v>0.23</v>
      </c>
      <c r="AK72" s="431">
        <v>0.22500000000000001</v>
      </c>
      <c r="AL72" s="431">
        <v>0.22500000000000001</v>
      </c>
      <c r="AM72" s="431">
        <v>0.23</v>
      </c>
      <c r="AN72" s="431">
        <v>0.23</v>
      </c>
      <c r="AO72" s="431">
        <v>0.23</v>
      </c>
      <c r="AP72" s="432">
        <v>0.23</v>
      </c>
      <c r="AQ72" s="432">
        <v>0.23</v>
      </c>
      <c r="AR72" s="432">
        <v>0.23</v>
      </c>
      <c r="AS72" s="432">
        <v>0.23</v>
      </c>
      <c r="AT72" s="431">
        <v>0.23</v>
      </c>
      <c r="AU72" s="431">
        <v>0.23</v>
      </c>
      <c r="AV72" s="431">
        <v>0.22500000000000001</v>
      </c>
      <c r="AW72" s="305">
        <v>6.9321269312055997E-2</v>
      </c>
      <c r="AX72" s="305"/>
      <c r="AY72" s="306">
        <f t="shared" si="4"/>
        <v>0.22500000000000001</v>
      </c>
      <c r="AZ72" s="306">
        <f t="shared" si="5"/>
        <v>0.22500000000000001</v>
      </c>
      <c r="BA72" s="309">
        <f t="shared" si="6"/>
        <v>0.22500000000000001</v>
      </c>
      <c r="BB72" s="308">
        <f t="shared" si="7"/>
        <v>38473</v>
      </c>
      <c r="BC72" s="308">
        <v>0.72452054529423049</v>
      </c>
      <c r="BD72" s="291">
        <v>0.72465693268514431</v>
      </c>
      <c r="BF72" s="194">
        <v>38473</v>
      </c>
      <c r="BG72" s="206">
        <v>60</v>
      </c>
      <c r="HZ72" s="308">
        <f t="shared" si="2"/>
        <v>38534</v>
      </c>
      <c r="IA72" s="291">
        <v>62</v>
      </c>
    </row>
    <row r="73" spans="1:235" x14ac:dyDescent="0.25">
      <c r="A73" s="319"/>
      <c r="B73" s="296">
        <f t="shared" si="8"/>
        <v>38504</v>
      </c>
      <c r="C73" s="294">
        <v>2.8530000000000002</v>
      </c>
      <c r="D73" s="294">
        <v>0.23</v>
      </c>
      <c r="E73" s="294">
        <v>6.9744898434738994E-2</v>
      </c>
      <c r="F73" s="294">
        <v>-0.19500000000000001</v>
      </c>
      <c r="G73" s="294">
        <v>0.02</v>
      </c>
      <c r="H73" s="294">
        <v>-0.19500000000000001</v>
      </c>
      <c r="I73" s="294">
        <v>7.2499999999999995E-2</v>
      </c>
      <c r="J73" s="294">
        <v>0.1825</v>
      </c>
      <c r="K73" s="294">
        <v>0.20250000000000001</v>
      </c>
      <c r="L73" s="294">
        <v>-8.7999999999999995E-2</v>
      </c>
      <c r="M73" s="294">
        <v>-2.1999999999999999E-2</v>
      </c>
      <c r="N73" s="294">
        <v>-0.36</v>
      </c>
      <c r="O73" s="294">
        <v>-0.28999999999999998</v>
      </c>
      <c r="P73" s="294">
        <v>6.0000000000000001E-3</v>
      </c>
      <c r="Q73" s="294">
        <v>-1.5E-3</v>
      </c>
      <c r="R73" s="291">
        <v>-2.75E-2</v>
      </c>
      <c r="S73" s="291">
        <v>-5.5E-2</v>
      </c>
      <c r="T73" s="291">
        <v>-0.115</v>
      </c>
      <c r="U73" s="291">
        <v>-1.2749999999999999E-2</v>
      </c>
      <c r="V73" s="291">
        <v>-9.0499999999999997E-2</v>
      </c>
      <c r="W73" s="291">
        <v>-0.12</v>
      </c>
      <c r="X73" s="291">
        <v>0.39500000000000002</v>
      </c>
      <c r="Y73" s="291">
        <v>5.0000000000000001E-3</v>
      </c>
      <c r="Z73" s="291">
        <v>-0.19500000000000001</v>
      </c>
      <c r="AA73" s="291">
        <v>-2.1000000000000001E-2</v>
      </c>
      <c r="AB73" s="306">
        <v>0.28999999999999998</v>
      </c>
      <c r="AC73" s="306">
        <v>0.28749999999999998</v>
      </c>
      <c r="AD73" s="306">
        <v>0.16750000000000001</v>
      </c>
      <c r="AE73" s="431">
        <v>0.23</v>
      </c>
      <c r="AF73" s="431">
        <v>0.23</v>
      </c>
      <c r="AG73" s="431">
        <v>0.22500000000000001</v>
      </c>
      <c r="AH73" s="431">
        <v>0.23</v>
      </c>
      <c r="AI73" s="431">
        <v>0.23499999999999999</v>
      </c>
      <c r="AJ73" s="431">
        <v>0.23</v>
      </c>
      <c r="AK73" s="431">
        <v>0.22500000000000001</v>
      </c>
      <c r="AL73" s="431">
        <v>0.22500000000000001</v>
      </c>
      <c r="AM73" s="431">
        <v>0.23</v>
      </c>
      <c r="AN73" s="431">
        <v>0.23</v>
      </c>
      <c r="AO73" s="431">
        <v>0.23</v>
      </c>
      <c r="AP73" s="432">
        <v>0.23</v>
      </c>
      <c r="AQ73" s="432">
        <v>0.23</v>
      </c>
      <c r="AR73" s="432">
        <v>0.23</v>
      </c>
      <c r="AS73" s="432">
        <v>0.23</v>
      </c>
      <c r="AT73" s="431">
        <v>0.23</v>
      </c>
      <c r="AU73" s="431">
        <v>0.23</v>
      </c>
      <c r="AV73" s="431">
        <v>0.22500000000000001</v>
      </c>
      <c r="AW73" s="305">
        <v>6.9340314465356004E-2</v>
      </c>
      <c r="AX73" s="305"/>
      <c r="AY73" s="306">
        <f t="shared" si="4"/>
        <v>0.22500000000000001</v>
      </c>
      <c r="AZ73" s="306">
        <f t="shared" si="5"/>
        <v>0.22500000000000001</v>
      </c>
      <c r="BA73" s="309">
        <f t="shared" si="6"/>
        <v>0.22500000000000001</v>
      </c>
      <c r="BB73" s="308">
        <f t="shared" si="7"/>
        <v>38504</v>
      </c>
      <c r="BC73" s="308">
        <v>0.7202473458390326</v>
      </c>
      <c r="BD73" s="291">
        <v>0.72038296204400243</v>
      </c>
      <c r="BF73" s="194">
        <v>38504</v>
      </c>
      <c r="BG73" s="206">
        <v>61</v>
      </c>
      <c r="HZ73" s="308">
        <f t="shared" si="2"/>
        <v>38565</v>
      </c>
      <c r="IA73" s="291">
        <v>63</v>
      </c>
    </row>
    <row r="74" spans="1:235" x14ac:dyDescent="0.25">
      <c r="A74" s="319"/>
      <c r="B74" s="296">
        <f t="shared" si="8"/>
        <v>38534</v>
      </c>
      <c r="C74" s="294">
        <v>2.875</v>
      </c>
      <c r="D74" s="294">
        <v>0.23</v>
      </c>
      <c r="E74" s="294">
        <v>6.9775430934224003E-2</v>
      </c>
      <c r="F74" s="294">
        <v>-0.19500000000000001</v>
      </c>
      <c r="G74" s="294">
        <v>2.2499999999999999E-2</v>
      </c>
      <c r="H74" s="294">
        <v>-0.19500000000000001</v>
      </c>
      <c r="I74" s="294">
        <v>6.25E-2</v>
      </c>
      <c r="J74" s="294">
        <v>0.1825</v>
      </c>
      <c r="K74" s="294">
        <v>0.215</v>
      </c>
      <c r="L74" s="294">
        <v>-8.1000000000000003E-2</v>
      </c>
      <c r="M74" s="294">
        <v>-2.1999999999999999E-2</v>
      </c>
      <c r="N74" s="294">
        <v>-0.36</v>
      </c>
      <c r="O74" s="294">
        <v>-0.28999999999999998</v>
      </c>
      <c r="P74" s="294">
        <v>6.0000000000000001E-3</v>
      </c>
      <c r="Q74" s="294">
        <v>-1.5E-3</v>
      </c>
      <c r="R74" s="291">
        <v>-2.75E-2</v>
      </c>
      <c r="S74" s="291">
        <v>-5.5E-2</v>
      </c>
      <c r="T74" s="291">
        <v>-0.115</v>
      </c>
      <c r="U74" s="291">
        <v>-1.2749999999999999E-2</v>
      </c>
      <c r="V74" s="291">
        <v>-8.5500000000000007E-2</v>
      </c>
      <c r="W74" s="291">
        <v>-0.12</v>
      </c>
      <c r="X74" s="291">
        <v>0.43</v>
      </c>
      <c r="Y74" s="291">
        <v>5.0000000000000001E-3</v>
      </c>
      <c r="Z74" s="291">
        <v>-0.19500000000000001</v>
      </c>
      <c r="AA74" s="291">
        <v>-2.1000000000000001E-2</v>
      </c>
      <c r="AB74" s="306">
        <v>0.28999999999999998</v>
      </c>
      <c r="AC74" s="306">
        <v>0.3</v>
      </c>
      <c r="AD74" s="306">
        <v>0.1575</v>
      </c>
      <c r="AE74" s="431">
        <v>0.23</v>
      </c>
      <c r="AF74" s="431">
        <v>0.23</v>
      </c>
      <c r="AG74" s="431">
        <v>0.22500000000000001</v>
      </c>
      <c r="AH74" s="431">
        <v>0.23</v>
      </c>
      <c r="AI74" s="431">
        <v>0.23499999999999999</v>
      </c>
      <c r="AJ74" s="431">
        <v>0.23</v>
      </c>
      <c r="AK74" s="431">
        <v>0.22500000000000001</v>
      </c>
      <c r="AL74" s="431">
        <v>0.22500000000000001</v>
      </c>
      <c r="AM74" s="431">
        <v>0.23</v>
      </c>
      <c r="AN74" s="431">
        <v>0.23</v>
      </c>
      <c r="AO74" s="431">
        <v>0.23</v>
      </c>
      <c r="AP74" s="432">
        <v>0.23</v>
      </c>
      <c r="AQ74" s="432">
        <v>0.23</v>
      </c>
      <c r="AR74" s="432">
        <v>0.23</v>
      </c>
      <c r="AS74" s="432">
        <v>0.23</v>
      </c>
      <c r="AT74" s="431">
        <v>0.23</v>
      </c>
      <c r="AU74" s="431">
        <v>0.23</v>
      </c>
      <c r="AV74" s="431">
        <v>0.22500000000000001</v>
      </c>
      <c r="AW74" s="305">
        <v>6.9358745258986998E-2</v>
      </c>
      <c r="AX74" s="305"/>
      <c r="AY74" s="306">
        <f t="shared" si="4"/>
        <v>0.22500000000000001</v>
      </c>
      <c r="AZ74" s="306">
        <f t="shared" si="5"/>
        <v>0.22500000000000001</v>
      </c>
      <c r="BA74" s="309">
        <f t="shared" si="6"/>
        <v>0.22500000000000001</v>
      </c>
      <c r="BB74" s="308">
        <f t="shared" si="7"/>
        <v>38534</v>
      </c>
      <c r="BC74" s="308">
        <v>0.71613404067990738</v>
      </c>
      <c r="BD74" s="291">
        <v>0.71626891435293338</v>
      </c>
      <c r="BF74" s="194">
        <v>38534</v>
      </c>
      <c r="BG74" s="206">
        <v>62</v>
      </c>
      <c r="HZ74" s="308">
        <f t="shared" si="2"/>
        <v>38596</v>
      </c>
      <c r="IA74" s="291">
        <v>64</v>
      </c>
    </row>
    <row r="75" spans="1:235" x14ac:dyDescent="0.25">
      <c r="A75" s="319"/>
      <c r="B75" s="296">
        <f t="shared" si="8"/>
        <v>38565</v>
      </c>
      <c r="C75" s="294">
        <v>2.8959999999999999</v>
      </c>
      <c r="D75" s="294">
        <v>0.23</v>
      </c>
      <c r="E75" s="294">
        <v>6.9806981184016001E-2</v>
      </c>
      <c r="F75" s="294">
        <v>-0.19500000000000001</v>
      </c>
      <c r="G75" s="294">
        <v>2.5000000000000001E-2</v>
      </c>
      <c r="H75" s="294">
        <v>-0.19500000000000001</v>
      </c>
      <c r="I75" s="294">
        <v>0.06</v>
      </c>
      <c r="J75" s="294">
        <v>0.1825</v>
      </c>
      <c r="K75" s="294">
        <v>0.215</v>
      </c>
      <c r="L75" s="294">
        <v>-7.1999999999999995E-2</v>
      </c>
      <c r="M75" s="294">
        <v>-2.1999999999999999E-2</v>
      </c>
      <c r="N75" s="294">
        <v>-0.36</v>
      </c>
      <c r="O75" s="294">
        <v>-0.28999999999999998</v>
      </c>
      <c r="P75" s="294">
        <v>6.0000000000000001E-3</v>
      </c>
      <c r="Q75" s="294">
        <v>-1.5E-3</v>
      </c>
      <c r="R75" s="291">
        <v>-2.75E-2</v>
      </c>
      <c r="S75" s="291">
        <v>-5.5E-2</v>
      </c>
      <c r="T75" s="291">
        <v>-0.115</v>
      </c>
      <c r="U75" s="291">
        <v>-1.2749999999999999E-2</v>
      </c>
      <c r="V75" s="291">
        <v>-8.5500000000000007E-2</v>
      </c>
      <c r="W75" s="291">
        <v>-0.12</v>
      </c>
      <c r="X75" s="291">
        <v>0.495</v>
      </c>
      <c r="Y75" s="291">
        <v>5.0000000000000001E-3</v>
      </c>
      <c r="Z75" s="291">
        <v>-0.19500000000000001</v>
      </c>
      <c r="AA75" s="291">
        <v>-2.1000000000000001E-2</v>
      </c>
      <c r="AB75" s="306">
        <v>0.28999999999999998</v>
      </c>
      <c r="AC75" s="306">
        <v>0.3</v>
      </c>
      <c r="AD75" s="306">
        <v>0.155</v>
      </c>
      <c r="AE75" s="431">
        <v>0.23</v>
      </c>
      <c r="AF75" s="431">
        <v>0.23</v>
      </c>
      <c r="AG75" s="431">
        <v>0.22500000000000001</v>
      </c>
      <c r="AH75" s="431">
        <v>0.23</v>
      </c>
      <c r="AI75" s="431">
        <v>0.23499999999999999</v>
      </c>
      <c r="AJ75" s="431">
        <v>0.23</v>
      </c>
      <c r="AK75" s="431">
        <v>0.22500000000000001</v>
      </c>
      <c r="AL75" s="431">
        <v>0.22500000000000001</v>
      </c>
      <c r="AM75" s="431">
        <v>0.23</v>
      </c>
      <c r="AN75" s="431">
        <v>0.23</v>
      </c>
      <c r="AO75" s="431">
        <v>0.23</v>
      </c>
      <c r="AP75" s="432">
        <v>0.23</v>
      </c>
      <c r="AQ75" s="432">
        <v>0.23</v>
      </c>
      <c r="AR75" s="432">
        <v>0.23</v>
      </c>
      <c r="AS75" s="432">
        <v>0.23</v>
      </c>
      <c r="AT75" s="431">
        <v>0.23</v>
      </c>
      <c r="AU75" s="431">
        <v>0.23</v>
      </c>
      <c r="AV75" s="431">
        <v>0.22500000000000001</v>
      </c>
      <c r="AW75" s="305">
        <v>6.9377790412522997E-2</v>
      </c>
      <c r="AX75" s="305"/>
      <c r="AY75" s="306">
        <f t="shared" si="4"/>
        <v>0.22500000000000001</v>
      </c>
      <c r="AZ75" s="306">
        <f t="shared" si="5"/>
        <v>0.22500000000000001</v>
      </c>
      <c r="BA75" s="309">
        <f t="shared" si="6"/>
        <v>0.22500000000000001</v>
      </c>
      <c r="BB75" s="308">
        <f t="shared" si="7"/>
        <v>38565</v>
      </c>
      <c r="BC75" s="308">
        <v>0.71190630007818689</v>
      </c>
      <c r="BD75" s="291">
        <v>0.71204041035365573</v>
      </c>
      <c r="BF75" s="194">
        <v>38565</v>
      </c>
      <c r="BG75" s="206">
        <v>63</v>
      </c>
      <c r="HZ75" s="308">
        <f t="shared" si="2"/>
        <v>38626</v>
      </c>
      <c r="IA75" s="291">
        <v>65</v>
      </c>
    </row>
    <row r="76" spans="1:235" x14ac:dyDescent="0.25">
      <c r="A76" s="319"/>
      <c r="B76" s="296">
        <f t="shared" si="8"/>
        <v>38596</v>
      </c>
      <c r="C76" s="294">
        <v>2.8769999999999998</v>
      </c>
      <c r="D76" s="294">
        <v>0.23</v>
      </c>
      <c r="E76" s="294">
        <v>6.9837238133672E-2</v>
      </c>
      <c r="F76" s="294">
        <v>-0.19500000000000001</v>
      </c>
      <c r="G76" s="294">
        <v>1.7500000000000002E-2</v>
      </c>
      <c r="H76" s="294">
        <v>-0.19500000000000001</v>
      </c>
      <c r="I76" s="294">
        <v>5.7500000000000002E-2</v>
      </c>
      <c r="J76" s="294">
        <v>0.1825</v>
      </c>
      <c r="K76" s="294">
        <v>0.19500000000000001</v>
      </c>
      <c r="L76" s="294">
        <v>-5.1999999999999998E-2</v>
      </c>
      <c r="M76" s="294">
        <v>-2.1999999999999999E-2</v>
      </c>
      <c r="N76" s="294">
        <v>-0.36</v>
      </c>
      <c r="O76" s="294">
        <v>-0.28999999999999998</v>
      </c>
      <c r="P76" s="294">
        <v>6.0000000000000001E-3</v>
      </c>
      <c r="Q76" s="294">
        <v>-1.5E-3</v>
      </c>
      <c r="R76" s="291">
        <v>-2.75E-2</v>
      </c>
      <c r="S76" s="291">
        <v>-5.5E-2</v>
      </c>
      <c r="T76" s="291">
        <v>-0.105</v>
      </c>
      <c r="U76" s="291">
        <v>-1.2749999999999999E-2</v>
      </c>
      <c r="V76" s="291">
        <v>-0.10050000000000001</v>
      </c>
      <c r="W76" s="291">
        <v>-0.12</v>
      </c>
      <c r="X76" s="291">
        <v>0.39500000000000002</v>
      </c>
      <c r="Y76" s="291">
        <v>5.0000000000000001E-3</v>
      </c>
      <c r="Z76" s="291">
        <v>-0.19500000000000001</v>
      </c>
      <c r="AA76" s="291">
        <v>-2.1000000000000001E-2</v>
      </c>
      <c r="AB76" s="306">
        <v>0.28999999999999998</v>
      </c>
      <c r="AC76" s="306">
        <v>0.28999999999999998</v>
      </c>
      <c r="AD76" s="306">
        <v>0.1525</v>
      </c>
      <c r="AE76" s="431">
        <v>0.23</v>
      </c>
      <c r="AF76" s="431">
        <v>0.23</v>
      </c>
      <c r="AG76" s="431">
        <v>0.22500000000000001</v>
      </c>
      <c r="AH76" s="431">
        <v>0.23</v>
      </c>
      <c r="AI76" s="431">
        <v>0.23499999999999999</v>
      </c>
      <c r="AJ76" s="431">
        <v>0.23</v>
      </c>
      <c r="AK76" s="431">
        <v>0.22500000000000001</v>
      </c>
      <c r="AL76" s="431">
        <v>0.22500000000000001</v>
      </c>
      <c r="AM76" s="431">
        <v>0.23</v>
      </c>
      <c r="AN76" s="431">
        <v>0.23</v>
      </c>
      <c r="AO76" s="431">
        <v>0.23</v>
      </c>
      <c r="AP76" s="432">
        <v>0.23</v>
      </c>
      <c r="AQ76" s="432">
        <v>0.23</v>
      </c>
      <c r="AR76" s="432">
        <v>0.23</v>
      </c>
      <c r="AS76" s="432">
        <v>0.23</v>
      </c>
      <c r="AT76" s="431">
        <v>0.23</v>
      </c>
      <c r="AU76" s="431">
        <v>0.23</v>
      </c>
      <c r="AV76" s="431">
        <v>0.22500000000000001</v>
      </c>
      <c r="AW76" s="305">
        <v>6.9398003258867996E-2</v>
      </c>
      <c r="AX76" s="305"/>
      <c r="AY76" s="306">
        <f t="shared" si="4"/>
        <v>0.22500000000000001</v>
      </c>
      <c r="AZ76" s="306">
        <f t="shared" si="5"/>
        <v>0.22500000000000001</v>
      </c>
      <c r="BA76" s="309">
        <f t="shared" si="6"/>
        <v>0.22500000000000001</v>
      </c>
      <c r="BB76" s="308">
        <f t="shared" si="7"/>
        <v>38596</v>
      </c>
      <c r="BC76" s="308">
        <v>0.70769746653321852</v>
      </c>
      <c r="BD76" s="291">
        <v>0.70783081877932141</v>
      </c>
      <c r="BF76" s="194">
        <v>38596</v>
      </c>
      <c r="BG76" s="206">
        <v>64</v>
      </c>
      <c r="HZ76" s="308">
        <f t="shared" si="2"/>
        <v>38657</v>
      </c>
      <c r="IA76" s="291">
        <v>66</v>
      </c>
    </row>
    <row r="77" spans="1:235" x14ac:dyDescent="0.25">
      <c r="A77" s="319"/>
      <c r="B77" s="296">
        <f t="shared" si="8"/>
        <v>38626</v>
      </c>
      <c r="C77" s="294">
        <v>2.89</v>
      </c>
      <c r="D77" s="294">
        <v>0.23</v>
      </c>
      <c r="E77" s="294">
        <v>6.9848371126985997E-2</v>
      </c>
      <c r="F77" s="294">
        <v>-0.19500000000000001</v>
      </c>
      <c r="G77" s="294">
        <v>7.4999999999999997E-3</v>
      </c>
      <c r="H77" s="294">
        <v>-0.19500000000000001</v>
      </c>
      <c r="I77" s="294">
        <v>7.2499999999999995E-2</v>
      </c>
      <c r="J77" s="294">
        <v>0.1875</v>
      </c>
      <c r="K77" s="294">
        <v>0.215</v>
      </c>
      <c r="L77" s="294">
        <v>-6.2E-2</v>
      </c>
      <c r="M77" s="294">
        <v>-2.1999999999999999E-2</v>
      </c>
      <c r="N77" s="294">
        <v>-0.36</v>
      </c>
      <c r="O77" s="294">
        <v>-0.28999999999999998</v>
      </c>
      <c r="P77" s="294">
        <v>6.0000000000000001E-3</v>
      </c>
      <c r="Q77" s="294">
        <v>-1.5E-3</v>
      </c>
      <c r="R77" s="291">
        <v>-2.75E-2</v>
      </c>
      <c r="S77" s="291">
        <v>-5.5E-2</v>
      </c>
      <c r="T77" s="291">
        <v>-0.09</v>
      </c>
      <c r="U77" s="291">
        <v>-1.2749999999999999E-2</v>
      </c>
      <c r="V77" s="291">
        <v>-0.10299999999999999</v>
      </c>
      <c r="W77" s="291">
        <v>-0.12</v>
      </c>
      <c r="X77" s="291">
        <v>0.46100000000000002</v>
      </c>
      <c r="Y77" s="291">
        <v>5.0000000000000001E-3</v>
      </c>
      <c r="Z77" s="291">
        <v>-0.19500000000000001</v>
      </c>
      <c r="AA77" s="291">
        <v>-2.1000000000000001E-2</v>
      </c>
      <c r="AB77" s="306">
        <v>0.28999999999999998</v>
      </c>
      <c r="AC77" s="306">
        <v>0.36249999999999999</v>
      </c>
      <c r="AD77" s="306">
        <v>0.16750000000000001</v>
      </c>
      <c r="AE77" s="431">
        <v>0.23</v>
      </c>
      <c r="AF77" s="431">
        <v>0.23</v>
      </c>
      <c r="AG77" s="431">
        <v>0.22500000000000001</v>
      </c>
      <c r="AH77" s="431">
        <v>0.23</v>
      </c>
      <c r="AI77" s="431">
        <v>0.23499999999999999</v>
      </c>
      <c r="AJ77" s="431">
        <v>0.23</v>
      </c>
      <c r="AK77" s="431">
        <v>0.22500000000000001</v>
      </c>
      <c r="AL77" s="431">
        <v>0.22500000000000001</v>
      </c>
      <c r="AM77" s="431">
        <v>0.23</v>
      </c>
      <c r="AN77" s="431">
        <v>0.23</v>
      </c>
      <c r="AO77" s="431">
        <v>0.23</v>
      </c>
      <c r="AP77" s="432">
        <v>0.23</v>
      </c>
      <c r="AQ77" s="432">
        <v>0.23</v>
      </c>
      <c r="AR77" s="432">
        <v>0.23</v>
      </c>
      <c r="AS77" s="432">
        <v>0.23</v>
      </c>
      <c r="AT77" s="431">
        <v>0.23</v>
      </c>
      <c r="AU77" s="431">
        <v>0.23</v>
      </c>
      <c r="AV77" s="431">
        <v>0.22500000000000001</v>
      </c>
      <c r="AW77" s="305">
        <v>6.9421438450125994E-2</v>
      </c>
      <c r="AX77" s="305"/>
      <c r="AY77" s="306">
        <f t="shared" si="4"/>
        <v>0.22500000000000001</v>
      </c>
      <c r="AZ77" s="306">
        <f t="shared" si="5"/>
        <v>0.22500000000000001</v>
      </c>
      <c r="BA77" s="309">
        <f t="shared" si="6"/>
        <v>0.22500000000000001</v>
      </c>
      <c r="BB77" s="308">
        <f t="shared" si="7"/>
        <v>38626</v>
      </c>
      <c r="BC77" s="308">
        <v>0.70363472466781218</v>
      </c>
      <c r="BD77" s="291">
        <v>0.70376735096222354</v>
      </c>
      <c r="BF77" s="194">
        <v>38626</v>
      </c>
      <c r="BG77" s="206">
        <v>65</v>
      </c>
      <c r="HZ77" s="308">
        <f t="shared" si="2"/>
        <v>38687</v>
      </c>
      <c r="IA77" s="291">
        <v>67</v>
      </c>
    </row>
    <row r="78" spans="1:235" x14ac:dyDescent="0.25">
      <c r="A78" s="319"/>
      <c r="B78" s="296">
        <f t="shared" si="8"/>
        <v>38657</v>
      </c>
      <c r="C78" s="294">
        <v>2.972</v>
      </c>
      <c r="D78" s="294">
        <v>0.23</v>
      </c>
      <c r="E78" s="294">
        <v>6.9859875220119994E-2</v>
      </c>
      <c r="F78" s="294">
        <v>-0.19</v>
      </c>
      <c r="G78" s="294">
        <v>-3.2500000000000001E-2</v>
      </c>
      <c r="H78" s="294">
        <v>-0.19</v>
      </c>
      <c r="I78" s="294">
        <v>0.13</v>
      </c>
      <c r="J78" s="294">
        <v>0.27</v>
      </c>
      <c r="K78" s="294">
        <v>0.28749999999999998</v>
      </c>
      <c r="L78" s="294">
        <v>-7.6999999999999999E-2</v>
      </c>
      <c r="M78" s="294">
        <v>-1.4500000000000001E-2</v>
      </c>
      <c r="N78" s="294">
        <v>-0.28000000000000003</v>
      </c>
      <c r="O78" s="294">
        <v>0</v>
      </c>
      <c r="P78" s="294">
        <v>1.35E-2</v>
      </c>
      <c r="Q78" s="294">
        <v>-9.4999999999999998E-3</v>
      </c>
      <c r="R78" s="291">
        <v>-3.0499999999999999E-2</v>
      </c>
      <c r="S78" s="291">
        <v>-0.06</v>
      </c>
      <c r="T78" s="291">
        <v>-2.5000000000000001E-2</v>
      </c>
      <c r="U78" s="291">
        <v>-3.1E-2</v>
      </c>
      <c r="V78" s="291">
        <v>-0.10050000000000001</v>
      </c>
      <c r="W78" s="291">
        <v>-0.13250000000000001</v>
      </c>
      <c r="X78" s="291">
        <v>0.76749999999999996</v>
      </c>
      <c r="Y78" s="291">
        <v>5.0000000000000001E-3</v>
      </c>
      <c r="Z78" s="291">
        <v>-0.19</v>
      </c>
      <c r="AA78" s="291">
        <v>-2.2499999999999999E-2</v>
      </c>
      <c r="AB78" s="306">
        <v>0.12</v>
      </c>
      <c r="AC78" s="306">
        <v>0.46500000000000002</v>
      </c>
      <c r="AD78" s="306">
        <v>0.22500000000000001</v>
      </c>
      <c r="AE78" s="431">
        <v>0.23</v>
      </c>
      <c r="AF78" s="431">
        <v>0.23</v>
      </c>
      <c r="AG78" s="431">
        <v>0.253</v>
      </c>
      <c r="AH78" s="431">
        <v>0.23</v>
      </c>
      <c r="AI78" s="431">
        <v>0.23499999999999999</v>
      </c>
      <c r="AJ78" s="431">
        <v>0.23</v>
      </c>
      <c r="AK78" s="431">
        <v>0.23</v>
      </c>
      <c r="AL78" s="431">
        <v>0.23</v>
      </c>
      <c r="AM78" s="431">
        <v>0.23</v>
      </c>
      <c r="AN78" s="431">
        <v>0.23</v>
      </c>
      <c r="AO78" s="431">
        <v>0.23</v>
      </c>
      <c r="AP78" s="432">
        <v>0.23</v>
      </c>
      <c r="AQ78" s="432">
        <v>0.23</v>
      </c>
      <c r="AR78" s="432">
        <v>0.23</v>
      </c>
      <c r="AS78" s="432">
        <v>0.23</v>
      </c>
      <c r="AT78" s="431">
        <v>0.23</v>
      </c>
      <c r="AU78" s="431">
        <v>0.23</v>
      </c>
      <c r="AV78" s="431">
        <v>0.253</v>
      </c>
      <c r="AW78" s="305">
        <v>6.9445654814615995E-2</v>
      </c>
      <c r="AX78" s="305"/>
      <c r="AY78" s="306">
        <f t="shared" si="4"/>
        <v>0.253</v>
      </c>
      <c r="AZ78" s="306">
        <f t="shared" si="5"/>
        <v>0.253</v>
      </c>
      <c r="BA78" s="309">
        <f t="shared" si="6"/>
        <v>0.253</v>
      </c>
      <c r="BB78" s="308">
        <f t="shared" si="7"/>
        <v>38657</v>
      </c>
      <c r="BC78" s="308">
        <v>0.69945857922656873</v>
      </c>
      <c r="BD78" s="291">
        <v>0.69959045904210826</v>
      </c>
      <c r="BF78" s="194">
        <v>38657</v>
      </c>
      <c r="BG78" s="206">
        <v>66</v>
      </c>
      <c r="HZ78" s="308">
        <f t="shared" ref="HZ78:HZ141" si="9">B80</f>
        <v>38718</v>
      </c>
      <c r="IA78" s="291">
        <v>68</v>
      </c>
    </row>
    <row r="79" spans="1:235" x14ac:dyDescent="0.25">
      <c r="A79" s="319"/>
      <c r="B79" s="296">
        <f t="shared" si="8"/>
        <v>38687</v>
      </c>
      <c r="C79" s="294">
        <v>3.052</v>
      </c>
      <c r="D79" s="294">
        <v>0.23250000000000001</v>
      </c>
      <c r="E79" s="294">
        <v>6.9871008213517993E-2</v>
      </c>
      <c r="F79" s="294">
        <v>-0.19750000000000001</v>
      </c>
      <c r="G79" s="294">
        <v>-5.5E-2</v>
      </c>
      <c r="H79" s="294">
        <v>-0.19750000000000001</v>
      </c>
      <c r="I79" s="294">
        <v>0.17</v>
      </c>
      <c r="J79" s="294">
        <v>0.30499999999999999</v>
      </c>
      <c r="K79" s="294">
        <v>0.33750000000000002</v>
      </c>
      <c r="L79" s="294">
        <v>-7.6999999999999999E-2</v>
      </c>
      <c r="M79" s="294">
        <v>-1.4500000000000001E-2</v>
      </c>
      <c r="N79" s="294">
        <v>-0.28000000000000003</v>
      </c>
      <c r="O79" s="294">
        <v>0.06</v>
      </c>
      <c r="P79" s="294">
        <v>1.35E-2</v>
      </c>
      <c r="Q79" s="294">
        <v>-9.4999999999999998E-3</v>
      </c>
      <c r="R79" s="291">
        <v>-3.0499999999999999E-2</v>
      </c>
      <c r="S79" s="291">
        <v>-0.06</v>
      </c>
      <c r="T79" s="291">
        <v>-1.7500000000000002E-2</v>
      </c>
      <c r="U79" s="291">
        <v>-3.1E-2</v>
      </c>
      <c r="V79" s="291">
        <v>-0.13550000000000001</v>
      </c>
      <c r="W79" s="291">
        <v>-0.1275</v>
      </c>
      <c r="X79" s="291">
        <v>1.19</v>
      </c>
      <c r="Y79" s="291">
        <v>5.0000000000000001E-3</v>
      </c>
      <c r="Z79" s="291">
        <v>-0.19</v>
      </c>
      <c r="AA79" s="291">
        <v>-2.2499999999999999E-2</v>
      </c>
      <c r="AB79" s="306">
        <v>0.12</v>
      </c>
      <c r="AC79" s="306">
        <v>0.8</v>
      </c>
      <c r="AD79" s="306">
        <v>0.26500000000000001</v>
      </c>
      <c r="AE79" s="431">
        <v>0.23300000000000001</v>
      </c>
      <c r="AF79" s="431">
        <v>0.23300000000000001</v>
      </c>
      <c r="AG79" s="431">
        <v>0.25600000000000001</v>
      </c>
      <c r="AH79" s="431">
        <v>0.23300000000000001</v>
      </c>
      <c r="AI79" s="431">
        <v>0.23699999999999999</v>
      </c>
      <c r="AJ79" s="431">
        <v>0.23300000000000001</v>
      </c>
      <c r="AK79" s="431">
        <v>0.23300000000000001</v>
      </c>
      <c r="AL79" s="431">
        <v>0.23300000000000001</v>
      </c>
      <c r="AM79" s="431">
        <v>0.23300000000000001</v>
      </c>
      <c r="AN79" s="431">
        <v>0.23300000000000001</v>
      </c>
      <c r="AO79" s="431">
        <v>0.23300000000000001</v>
      </c>
      <c r="AP79" s="432">
        <v>0.23300000000000001</v>
      </c>
      <c r="AQ79" s="432">
        <v>0.23300000000000001</v>
      </c>
      <c r="AR79" s="432">
        <v>0.23300000000000001</v>
      </c>
      <c r="AS79" s="432">
        <v>0.23300000000000001</v>
      </c>
      <c r="AT79" s="431">
        <v>0.23300000000000001</v>
      </c>
      <c r="AU79" s="431">
        <v>0.23300000000000001</v>
      </c>
      <c r="AV79" s="431">
        <v>0.25600000000000001</v>
      </c>
      <c r="AW79" s="305">
        <v>6.9469090006243003E-2</v>
      </c>
      <c r="AX79" s="305"/>
      <c r="AY79" s="306">
        <f t="shared" si="4"/>
        <v>0.25600000000000001</v>
      </c>
      <c r="AZ79" s="306">
        <f t="shared" si="5"/>
        <v>0.25600000000000001</v>
      </c>
      <c r="BA79" s="309">
        <f t="shared" si="6"/>
        <v>0.25600000000000001</v>
      </c>
      <c r="BB79" s="308">
        <f t="shared" si="7"/>
        <v>38687</v>
      </c>
      <c r="BC79" s="308">
        <v>0.69543836317305741</v>
      </c>
      <c r="BD79" s="291">
        <v>0.69556952412805384</v>
      </c>
      <c r="BF79" s="194">
        <v>38687</v>
      </c>
      <c r="BG79" s="206">
        <v>67</v>
      </c>
      <c r="HZ79" s="308">
        <f t="shared" si="9"/>
        <v>38749</v>
      </c>
      <c r="IA79" s="291">
        <v>69</v>
      </c>
    </row>
    <row r="80" spans="1:235" x14ac:dyDescent="0.25">
      <c r="A80" s="319"/>
      <c r="B80" s="296">
        <f t="shared" si="8"/>
        <v>38718</v>
      </c>
      <c r="C80" s="294">
        <v>3.298</v>
      </c>
      <c r="D80" s="294">
        <v>0.23250000000000001</v>
      </c>
      <c r="E80" s="294">
        <v>6.9882512306738004E-2</v>
      </c>
      <c r="F80" s="294">
        <v>-0.2</v>
      </c>
      <c r="G80" s="294">
        <v>-5.7500000000000002E-2</v>
      </c>
      <c r="H80" s="294">
        <v>-0.2</v>
      </c>
      <c r="I80" s="294">
        <v>0.215</v>
      </c>
      <c r="J80" s="294">
        <v>0.30499999999999999</v>
      </c>
      <c r="K80" s="294">
        <v>0.4375</v>
      </c>
      <c r="L80" s="294">
        <v>-7.6999999999999999E-2</v>
      </c>
      <c r="M80" s="294">
        <v>-1.2500000000000001E-2</v>
      </c>
      <c r="N80" s="294">
        <v>-0.28000000000000003</v>
      </c>
      <c r="O80" s="294">
        <v>0.13</v>
      </c>
      <c r="P80" s="294">
        <v>1.35E-2</v>
      </c>
      <c r="Q80" s="294">
        <v>-9.4999999999999998E-3</v>
      </c>
      <c r="R80" s="291">
        <v>-2.5999999999999999E-2</v>
      </c>
      <c r="S80" s="291">
        <v>-0.06</v>
      </c>
      <c r="T80" s="291">
        <v>-2.5000000000000001E-3</v>
      </c>
      <c r="U80" s="291">
        <v>-3.1E-2</v>
      </c>
      <c r="V80" s="291">
        <v>-0.14099999999999999</v>
      </c>
      <c r="W80" s="291">
        <v>-0.1275</v>
      </c>
      <c r="X80" s="291">
        <v>1.5249999999999999</v>
      </c>
      <c r="Y80" s="291">
        <v>5.0000000000000001E-3</v>
      </c>
      <c r="Z80" s="291">
        <v>-0.19</v>
      </c>
      <c r="AA80" s="291">
        <v>-2.2499999999999999E-2</v>
      </c>
      <c r="AB80" s="306">
        <v>0.12</v>
      </c>
      <c r="AC80" s="306">
        <v>0.97499999999999998</v>
      </c>
      <c r="AD80" s="306">
        <v>0.31</v>
      </c>
      <c r="AE80" s="431">
        <v>0.23300000000000001</v>
      </c>
      <c r="AF80" s="431">
        <v>0.23300000000000001</v>
      </c>
      <c r="AG80" s="431">
        <v>0.25600000000000001</v>
      </c>
      <c r="AH80" s="431">
        <v>0.23300000000000001</v>
      </c>
      <c r="AI80" s="431">
        <v>0.23699999999999999</v>
      </c>
      <c r="AJ80" s="431">
        <v>0.23300000000000001</v>
      </c>
      <c r="AK80" s="431">
        <v>0.23300000000000001</v>
      </c>
      <c r="AL80" s="431">
        <v>0.23300000000000001</v>
      </c>
      <c r="AM80" s="431">
        <v>0.23300000000000001</v>
      </c>
      <c r="AN80" s="431">
        <v>0.23300000000000001</v>
      </c>
      <c r="AO80" s="431">
        <v>0.23300000000000001</v>
      </c>
      <c r="AP80" s="432">
        <v>0.23300000000000001</v>
      </c>
      <c r="AQ80" s="432">
        <v>0.23300000000000001</v>
      </c>
      <c r="AR80" s="432">
        <v>0.23300000000000001</v>
      </c>
      <c r="AS80" s="432">
        <v>0.23300000000000001</v>
      </c>
      <c r="AT80" s="431">
        <v>0.23300000000000001</v>
      </c>
      <c r="AU80" s="431">
        <v>0.23300000000000001</v>
      </c>
      <c r="AV80" s="431">
        <v>0.25600000000000001</v>
      </c>
      <c r="AW80" s="305">
        <v>6.9493306371115005E-2</v>
      </c>
      <c r="AX80" s="305"/>
      <c r="AY80" s="306">
        <f t="shared" si="4"/>
        <v>0.25600000000000001</v>
      </c>
      <c r="AZ80" s="306">
        <f t="shared" si="5"/>
        <v>0.25600000000000001</v>
      </c>
      <c r="BA80" s="309">
        <f t="shared" si="6"/>
        <v>0.25600000000000001</v>
      </c>
      <c r="BB80" s="308">
        <f t="shared" si="7"/>
        <v>38718</v>
      </c>
      <c r="BC80" s="308">
        <v>0.69130596240291542</v>
      </c>
      <c r="BD80" s="291">
        <v>0.69143638417664188</v>
      </c>
      <c r="BF80" s="194">
        <v>38718</v>
      </c>
      <c r="BG80" s="206">
        <v>68</v>
      </c>
      <c r="HZ80" s="308">
        <f t="shared" si="9"/>
        <v>38777</v>
      </c>
      <c r="IA80" s="291">
        <v>70</v>
      </c>
    </row>
    <row r="81" spans="1:235" x14ac:dyDescent="0.25">
      <c r="A81" s="319"/>
      <c r="B81" s="296">
        <f t="shared" ref="B81:B112" si="10">EOMONTH(B80,0)+1</f>
        <v>38749</v>
      </c>
      <c r="C81" s="294">
        <v>3.1680000000000001</v>
      </c>
      <c r="D81" s="294">
        <v>0.23</v>
      </c>
      <c r="E81" s="294">
        <v>6.9894016400001993E-2</v>
      </c>
      <c r="F81" s="294">
        <v>-0.20250000000000001</v>
      </c>
      <c r="G81" s="294">
        <v>-0.04</v>
      </c>
      <c r="H81" s="294">
        <v>-0.20250000000000001</v>
      </c>
      <c r="I81" s="294">
        <v>0.19</v>
      </c>
      <c r="J81" s="294">
        <v>0.30499999999999999</v>
      </c>
      <c r="K81" s="294">
        <v>0.435</v>
      </c>
      <c r="L81" s="294">
        <v>-7.6999999999999999E-2</v>
      </c>
      <c r="M81" s="294">
        <v>-1.2500000000000001E-2</v>
      </c>
      <c r="N81" s="294">
        <v>-0.28000000000000003</v>
      </c>
      <c r="O81" s="294">
        <v>0</v>
      </c>
      <c r="P81" s="294">
        <v>1.35E-2</v>
      </c>
      <c r="Q81" s="294">
        <v>-9.4999999999999998E-3</v>
      </c>
      <c r="R81" s="291">
        <v>-2.5999999999999999E-2</v>
      </c>
      <c r="S81" s="291">
        <v>-0.06</v>
      </c>
      <c r="T81" s="291">
        <v>-2.5000000000000001E-3</v>
      </c>
      <c r="U81" s="291">
        <v>-3.1E-2</v>
      </c>
      <c r="V81" s="291">
        <v>-0.1235</v>
      </c>
      <c r="W81" s="291">
        <v>-0.1275</v>
      </c>
      <c r="X81" s="291">
        <v>1.4550000000000001</v>
      </c>
      <c r="Y81" s="291">
        <v>5.0000000000000001E-3</v>
      </c>
      <c r="Z81" s="291">
        <v>-0.19</v>
      </c>
      <c r="AA81" s="291">
        <v>-2.2499999999999999E-2</v>
      </c>
      <c r="AB81" s="306">
        <v>0.12</v>
      </c>
      <c r="AC81" s="306">
        <v>0.97499999999999998</v>
      </c>
      <c r="AD81" s="306">
        <v>0.28499999999999998</v>
      </c>
      <c r="AE81" s="431">
        <v>0.23</v>
      </c>
      <c r="AF81" s="431">
        <v>0.23</v>
      </c>
      <c r="AG81" s="431">
        <v>0.253</v>
      </c>
      <c r="AH81" s="431">
        <v>0.23</v>
      </c>
      <c r="AI81" s="431">
        <v>0.23499999999999999</v>
      </c>
      <c r="AJ81" s="431">
        <v>0.23</v>
      </c>
      <c r="AK81" s="431">
        <v>0.23</v>
      </c>
      <c r="AL81" s="431">
        <v>0.23</v>
      </c>
      <c r="AM81" s="431">
        <v>0.23</v>
      </c>
      <c r="AN81" s="431">
        <v>0.23</v>
      </c>
      <c r="AO81" s="431">
        <v>0.23</v>
      </c>
      <c r="AP81" s="432">
        <v>0.23</v>
      </c>
      <c r="AQ81" s="432">
        <v>0.23</v>
      </c>
      <c r="AR81" s="432">
        <v>0.23</v>
      </c>
      <c r="AS81" s="432">
        <v>0.23</v>
      </c>
      <c r="AT81" s="431">
        <v>0.23</v>
      </c>
      <c r="AU81" s="431">
        <v>0.23</v>
      </c>
      <c r="AV81" s="431">
        <v>0.253</v>
      </c>
      <c r="AW81" s="305">
        <v>6.9517522736181003E-2</v>
      </c>
      <c r="AX81" s="305"/>
      <c r="AY81" s="306">
        <f t="shared" ref="AY81:AY144" si="11">AG81</f>
        <v>0.253</v>
      </c>
      <c r="AZ81" s="306">
        <f t="shared" ref="AZ81:AZ144" si="12">AG81</f>
        <v>0.253</v>
      </c>
      <c r="BA81" s="309">
        <f t="shared" ref="BA81:BA144" si="13">AG81</f>
        <v>0.253</v>
      </c>
      <c r="BB81" s="308">
        <f t="shared" ref="BB81:BB144" si="14">B81</f>
        <v>38749</v>
      </c>
      <c r="BC81" s="308">
        <v>0.68719564089019192</v>
      </c>
      <c r="BD81" s="291">
        <v>0.68732532716841266</v>
      </c>
      <c r="BF81" s="194">
        <v>38749</v>
      </c>
      <c r="BG81" s="206">
        <v>69</v>
      </c>
      <c r="HZ81" s="308">
        <f t="shared" si="9"/>
        <v>38808</v>
      </c>
      <c r="IA81" s="291">
        <v>71</v>
      </c>
    </row>
    <row r="82" spans="1:235" x14ac:dyDescent="0.25">
      <c r="A82" s="319"/>
      <c r="B82" s="296">
        <f t="shared" si="10"/>
        <v>38777</v>
      </c>
      <c r="C82" s="294">
        <v>3.0070000000000001</v>
      </c>
      <c r="D82" s="294">
        <v>0.22750000000000001</v>
      </c>
      <c r="E82" s="294">
        <v>6.9904407193956006E-2</v>
      </c>
      <c r="F82" s="294">
        <v>-0.20499999999999999</v>
      </c>
      <c r="G82" s="294">
        <v>-2.75E-2</v>
      </c>
      <c r="H82" s="294">
        <v>-0.20499999999999999</v>
      </c>
      <c r="I82" s="294">
        <v>0.1875</v>
      </c>
      <c r="J82" s="294">
        <v>0.26500000000000001</v>
      </c>
      <c r="K82" s="294">
        <v>0.30249999999999999</v>
      </c>
      <c r="L82" s="294">
        <v>-7.6999999999999999E-2</v>
      </c>
      <c r="M82" s="294">
        <v>-1.2500000000000001E-2</v>
      </c>
      <c r="N82" s="294">
        <v>-0.28000000000000003</v>
      </c>
      <c r="O82" s="294">
        <v>-0.18</v>
      </c>
      <c r="P82" s="294">
        <v>1.35E-2</v>
      </c>
      <c r="Q82" s="294">
        <v>-9.4999999999999998E-3</v>
      </c>
      <c r="R82" s="291">
        <v>-2.5999999999999999E-2</v>
      </c>
      <c r="S82" s="291">
        <v>-0.06</v>
      </c>
      <c r="T82" s="291">
        <v>-2.5000000000000001E-3</v>
      </c>
      <c r="U82" s="291">
        <v>-1.2500000000000001E-2</v>
      </c>
      <c r="V82" s="291">
        <v>-0.106</v>
      </c>
      <c r="W82" s="291">
        <v>-0.13250000000000001</v>
      </c>
      <c r="X82" s="291">
        <v>0.83499999999999996</v>
      </c>
      <c r="Y82" s="291">
        <v>5.0000000000000001E-3</v>
      </c>
      <c r="Z82" s="291">
        <v>-0.19</v>
      </c>
      <c r="AA82" s="291">
        <v>-2.2499999999999999E-2</v>
      </c>
      <c r="AB82" s="306">
        <v>0.12</v>
      </c>
      <c r="AC82" s="306">
        <v>0.60750000000000004</v>
      </c>
      <c r="AD82" s="306">
        <v>0.28249999999999997</v>
      </c>
      <c r="AE82" s="431">
        <v>0.22800000000000001</v>
      </c>
      <c r="AF82" s="431">
        <v>0.22800000000000001</v>
      </c>
      <c r="AG82" s="431">
        <v>0.25</v>
      </c>
      <c r="AH82" s="431">
        <v>0.22800000000000001</v>
      </c>
      <c r="AI82" s="431">
        <v>0.23200000000000001</v>
      </c>
      <c r="AJ82" s="431">
        <v>0.22800000000000001</v>
      </c>
      <c r="AK82" s="431">
        <v>0.22800000000000001</v>
      </c>
      <c r="AL82" s="431">
        <v>0.22800000000000001</v>
      </c>
      <c r="AM82" s="431">
        <v>0.22800000000000001</v>
      </c>
      <c r="AN82" s="431">
        <v>0.22800000000000001</v>
      </c>
      <c r="AO82" s="431">
        <v>0.22800000000000001</v>
      </c>
      <c r="AP82" s="432">
        <v>0.22800000000000001</v>
      </c>
      <c r="AQ82" s="432">
        <v>0.22800000000000001</v>
      </c>
      <c r="AR82" s="432">
        <v>0.22800000000000001</v>
      </c>
      <c r="AS82" s="432">
        <v>0.22800000000000001</v>
      </c>
      <c r="AT82" s="431">
        <v>0.22800000000000001</v>
      </c>
      <c r="AU82" s="431">
        <v>0.22800000000000001</v>
      </c>
      <c r="AV82" s="431">
        <v>0.25</v>
      </c>
      <c r="AW82" s="305">
        <v>6.9539395582214003E-2</v>
      </c>
      <c r="AX82" s="305"/>
      <c r="AY82" s="306">
        <f t="shared" si="11"/>
        <v>0.25</v>
      </c>
      <c r="AZ82" s="306">
        <f t="shared" si="12"/>
        <v>0.25</v>
      </c>
      <c r="BA82" s="309">
        <f t="shared" si="13"/>
        <v>0.25</v>
      </c>
      <c r="BB82" s="308">
        <f t="shared" si="14"/>
        <v>38777</v>
      </c>
      <c r="BC82" s="308">
        <v>0.68350198541404994</v>
      </c>
      <c r="BD82" s="291">
        <v>0.68363101052898101</v>
      </c>
      <c r="BF82" s="194">
        <v>38777</v>
      </c>
      <c r="BG82" s="206">
        <v>70</v>
      </c>
      <c r="HZ82" s="308">
        <f t="shared" si="9"/>
        <v>38838</v>
      </c>
      <c r="IA82" s="291">
        <v>72</v>
      </c>
    </row>
    <row r="83" spans="1:235" x14ac:dyDescent="0.25">
      <c r="A83" s="319"/>
      <c r="B83" s="296">
        <f t="shared" si="10"/>
        <v>38808</v>
      </c>
      <c r="C83" s="294">
        <v>2.8380000000000001</v>
      </c>
      <c r="D83" s="294">
        <v>0.22750000000000001</v>
      </c>
      <c r="E83" s="294">
        <v>6.9915911287302998E-2</v>
      </c>
      <c r="F83" s="294">
        <v>-0.19500000000000001</v>
      </c>
      <c r="G83" s="294">
        <v>1.4999999999999999E-2</v>
      </c>
      <c r="H83" s="294">
        <v>-0.19500000000000001</v>
      </c>
      <c r="I83" s="294">
        <v>8.7499999999999994E-2</v>
      </c>
      <c r="J83" s="294">
        <v>0.19500000000000001</v>
      </c>
      <c r="K83" s="294">
        <v>0.25</v>
      </c>
      <c r="L83" s="294">
        <v>-7.0000000000000007E-2</v>
      </c>
      <c r="M83" s="294">
        <v>-0.02</v>
      </c>
      <c r="N83" s="294">
        <v>-0.36</v>
      </c>
      <c r="O83" s="294">
        <v>-0.28999999999999998</v>
      </c>
      <c r="P83" s="294">
        <v>6.4999999999999997E-3</v>
      </c>
      <c r="Q83" s="294">
        <v>5.0000000000000001E-4</v>
      </c>
      <c r="R83" s="291">
        <v>-2.5499999999999998E-2</v>
      </c>
      <c r="S83" s="291">
        <v>-5.7500000000000002E-2</v>
      </c>
      <c r="T83" s="291">
        <v>-0.13</v>
      </c>
      <c r="U83" s="291">
        <v>-1.2749999999999999E-2</v>
      </c>
      <c r="V83" s="291">
        <v>-9.8500000000000004E-2</v>
      </c>
      <c r="W83" s="291">
        <v>-0.12</v>
      </c>
      <c r="X83" s="291">
        <v>0.45</v>
      </c>
      <c r="Y83" s="291">
        <v>5.0000000000000001E-3</v>
      </c>
      <c r="Z83" s="291">
        <v>-0.19500000000000001</v>
      </c>
      <c r="AA83" s="291">
        <v>-0.02</v>
      </c>
      <c r="AB83" s="306">
        <v>0.28999999999999998</v>
      </c>
      <c r="AC83" s="306">
        <v>0.35499999999999998</v>
      </c>
      <c r="AD83" s="306">
        <v>0.1825</v>
      </c>
      <c r="AE83" s="431">
        <v>0.22800000000000001</v>
      </c>
      <c r="AF83" s="431">
        <v>0.22800000000000001</v>
      </c>
      <c r="AG83" s="431">
        <v>0.223</v>
      </c>
      <c r="AH83" s="431">
        <v>0.22800000000000001</v>
      </c>
      <c r="AI83" s="431">
        <v>0.23200000000000001</v>
      </c>
      <c r="AJ83" s="431">
        <v>0.22800000000000001</v>
      </c>
      <c r="AK83" s="431">
        <v>0.223</v>
      </c>
      <c r="AL83" s="431">
        <v>0.223</v>
      </c>
      <c r="AM83" s="431">
        <v>0.22800000000000001</v>
      </c>
      <c r="AN83" s="431">
        <v>0.22800000000000001</v>
      </c>
      <c r="AO83" s="431">
        <v>0.22800000000000001</v>
      </c>
      <c r="AP83" s="432">
        <v>0.22800000000000001</v>
      </c>
      <c r="AQ83" s="432">
        <v>0.22800000000000001</v>
      </c>
      <c r="AR83" s="432">
        <v>0.22800000000000001</v>
      </c>
      <c r="AS83" s="432">
        <v>0.22800000000000001</v>
      </c>
      <c r="AT83" s="431">
        <v>0.22800000000000001</v>
      </c>
      <c r="AU83" s="431">
        <v>0.22800000000000001</v>
      </c>
      <c r="AV83" s="431">
        <v>0.223</v>
      </c>
      <c r="AW83" s="305">
        <v>6.9563611947648998E-2</v>
      </c>
      <c r="AX83" s="305"/>
      <c r="AY83" s="306">
        <f t="shared" si="11"/>
        <v>0.223</v>
      </c>
      <c r="AZ83" s="306">
        <f t="shared" si="12"/>
        <v>0.223</v>
      </c>
      <c r="BA83" s="309">
        <f t="shared" si="13"/>
        <v>0.223</v>
      </c>
      <c r="BB83" s="308">
        <f t="shared" si="14"/>
        <v>38808</v>
      </c>
      <c r="BC83" s="308">
        <v>0.67943340503188998</v>
      </c>
      <c r="BD83" s="291">
        <v>0.67956170162381246</v>
      </c>
      <c r="BF83" s="194">
        <v>38808</v>
      </c>
      <c r="BG83" s="206">
        <v>71</v>
      </c>
      <c r="HZ83" s="308">
        <f t="shared" si="9"/>
        <v>38869</v>
      </c>
      <c r="IA83" s="291">
        <v>73</v>
      </c>
    </row>
    <row r="84" spans="1:235" x14ac:dyDescent="0.25">
      <c r="A84" s="319"/>
      <c r="B84" s="296">
        <f t="shared" si="10"/>
        <v>38838</v>
      </c>
      <c r="C84" s="294">
        <v>2.8290000000000002</v>
      </c>
      <c r="D84" s="294">
        <v>0.22750000000000001</v>
      </c>
      <c r="E84" s="294">
        <v>6.9927044280907E-2</v>
      </c>
      <c r="F84" s="294">
        <v>-0.19500000000000001</v>
      </c>
      <c r="G84" s="294">
        <v>1.4999999999999999E-2</v>
      </c>
      <c r="H84" s="294">
        <v>-0.19500000000000001</v>
      </c>
      <c r="I84" s="294">
        <v>9.7500000000000003E-2</v>
      </c>
      <c r="J84" s="294">
        <v>0.1825</v>
      </c>
      <c r="K84" s="294">
        <v>0.20250000000000001</v>
      </c>
      <c r="L84" s="294">
        <v>-7.0000000000000007E-2</v>
      </c>
      <c r="M84" s="294">
        <v>-0.02</v>
      </c>
      <c r="N84" s="294">
        <v>-0.36</v>
      </c>
      <c r="O84" s="294">
        <v>-0.28999999999999998</v>
      </c>
      <c r="P84" s="294">
        <v>6.4999999999999997E-3</v>
      </c>
      <c r="Q84" s="294">
        <v>5.0000000000000001E-4</v>
      </c>
      <c r="R84" s="291">
        <v>-2.5499999999999998E-2</v>
      </c>
      <c r="S84" s="291">
        <v>-5.7500000000000002E-2</v>
      </c>
      <c r="T84" s="291">
        <v>-0.14499999999999999</v>
      </c>
      <c r="U84" s="291">
        <v>-1.2749999999999999E-2</v>
      </c>
      <c r="V84" s="291">
        <v>-9.8500000000000004E-2</v>
      </c>
      <c r="W84" s="291">
        <v>-0.12</v>
      </c>
      <c r="X84" s="291">
        <v>0.40500000000000003</v>
      </c>
      <c r="Y84" s="291">
        <v>5.0000000000000001E-3</v>
      </c>
      <c r="Z84" s="291">
        <v>-0.19500000000000001</v>
      </c>
      <c r="AA84" s="291">
        <v>-0.02</v>
      </c>
      <c r="AB84" s="306">
        <v>0.28999999999999998</v>
      </c>
      <c r="AC84" s="306">
        <v>0.28749999999999998</v>
      </c>
      <c r="AD84" s="306">
        <v>0.1925</v>
      </c>
      <c r="AE84" s="431">
        <v>0.22800000000000001</v>
      </c>
      <c r="AF84" s="431">
        <v>0.22800000000000001</v>
      </c>
      <c r="AG84" s="431">
        <v>0.223</v>
      </c>
      <c r="AH84" s="431">
        <v>0.22800000000000001</v>
      </c>
      <c r="AI84" s="431">
        <v>0.23200000000000001</v>
      </c>
      <c r="AJ84" s="431">
        <v>0.22800000000000001</v>
      </c>
      <c r="AK84" s="431">
        <v>0.223</v>
      </c>
      <c r="AL84" s="431">
        <v>0.223</v>
      </c>
      <c r="AM84" s="431">
        <v>0.22800000000000001</v>
      </c>
      <c r="AN84" s="431">
        <v>0.22800000000000001</v>
      </c>
      <c r="AO84" s="431">
        <v>0.22800000000000001</v>
      </c>
      <c r="AP84" s="432">
        <v>0.22800000000000001</v>
      </c>
      <c r="AQ84" s="432">
        <v>0.22800000000000001</v>
      </c>
      <c r="AR84" s="432">
        <v>0.22800000000000001</v>
      </c>
      <c r="AS84" s="432">
        <v>0.22800000000000001</v>
      </c>
      <c r="AT84" s="431">
        <v>0.22800000000000001</v>
      </c>
      <c r="AU84" s="431">
        <v>0.22800000000000001</v>
      </c>
      <c r="AV84" s="431">
        <v>0.223</v>
      </c>
      <c r="AW84" s="305">
        <v>6.9587047140189998E-2</v>
      </c>
      <c r="AX84" s="305"/>
      <c r="AY84" s="306">
        <f t="shared" si="11"/>
        <v>0.223</v>
      </c>
      <c r="AZ84" s="306">
        <f t="shared" si="12"/>
        <v>0.223</v>
      </c>
      <c r="BA84" s="309">
        <f t="shared" si="13"/>
        <v>0.223</v>
      </c>
      <c r="BB84" s="308">
        <f t="shared" si="14"/>
        <v>38838</v>
      </c>
      <c r="BC84" s="308">
        <v>0.67551681242798944</v>
      </c>
      <c r="BD84" s="291">
        <v>0.67564440746485455</v>
      </c>
      <c r="BF84" s="194">
        <v>38838</v>
      </c>
      <c r="BG84" s="206">
        <v>72</v>
      </c>
      <c r="HZ84" s="308">
        <f t="shared" si="9"/>
        <v>38899</v>
      </c>
      <c r="IA84" s="291">
        <v>74</v>
      </c>
    </row>
    <row r="85" spans="1:235" x14ac:dyDescent="0.25">
      <c r="A85" s="319"/>
      <c r="B85" s="296">
        <f t="shared" si="10"/>
        <v>38869</v>
      </c>
      <c r="C85" s="294">
        <v>2.8519999999999999</v>
      </c>
      <c r="D85" s="294">
        <v>0.22750000000000001</v>
      </c>
      <c r="E85" s="294">
        <v>6.9938548374340007E-2</v>
      </c>
      <c r="F85" s="294">
        <v>-0.19500000000000001</v>
      </c>
      <c r="G85" s="294">
        <v>0.02</v>
      </c>
      <c r="H85" s="294">
        <v>-0.19500000000000001</v>
      </c>
      <c r="I85" s="294">
        <v>9.2499999999999999E-2</v>
      </c>
      <c r="J85" s="294">
        <v>0.1825</v>
      </c>
      <c r="K85" s="294">
        <v>0.20250000000000001</v>
      </c>
      <c r="L85" s="294">
        <v>-8.5999999999999993E-2</v>
      </c>
      <c r="M85" s="294">
        <v>-0.02</v>
      </c>
      <c r="N85" s="294">
        <v>-0.36</v>
      </c>
      <c r="O85" s="294">
        <v>-0.28999999999999998</v>
      </c>
      <c r="P85" s="294">
        <v>6.4999999999999997E-3</v>
      </c>
      <c r="Q85" s="294">
        <v>5.0000000000000001E-4</v>
      </c>
      <c r="R85" s="291">
        <v>-2.5499999999999998E-2</v>
      </c>
      <c r="S85" s="291">
        <v>-5.7500000000000002E-2</v>
      </c>
      <c r="T85" s="291">
        <v>-0.155</v>
      </c>
      <c r="U85" s="291">
        <v>-1.2749999999999999E-2</v>
      </c>
      <c r="V85" s="291">
        <v>-8.8499999999999995E-2</v>
      </c>
      <c r="W85" s="291">
        <v>-0.12</v>
      </c>
      <c r="X85" s="291">
        <v>0.39500000000000002</v>
      </c>
      <c r="Y85" s="291">
        <v>5.0000000000000001E-3</v>
      </c>
      <c r="Z85" s="291">
        <v>-0.19500000000000001</v>
      </c>
      <c r="AA85" s="291">
        <v>-0.02</v>
      </c>
      <c r="AB85" s="306">
        <v>0.28999999999999998</v>
      </c>
      <c r="AC85" s="306">
        <v>0.28749999999999998</v>
      </c>
      <c r="AD85" s="306">
        <v>0.1875</v>
      </c>
      <c r="AE85" s="431">
        <v>0.22800000000000001</v>
      </c>
      <c r="AF85" s="431">
        <v>0.22800000000000001</v>
      </c>
      <c r="AG85" s="431">
        <v>0.223</v>
      </c>
      <c r="AH85" s="431">
        <v>0.22800000000000001</v>
      </c>
      <c r="AI85" s="431">
        <v>0.23200000000000001</v>
      </c>
      <c r="AJ85" s="431">
        <v>0.22800000000000001</v>
      </c>
      <c r="AK85" s="431">
        <v>0.223</v>
      </c>
      <c r="AL85" s="431">
        <v>0.223</v>
      </c>
      <c r="AM85" s="431">
        <v>0.22800000000000001</v>
      </c>
      <c r="AN85" s="431">
        <v>0.22800000000000001</v>
      </c>
      <c r="AO85" s="431">
        <v>0.22800000000000001</v>
      </c>
      <c r="AP85" s="432">
        <v>0.22800000000000001</v>
      </c>
      <c r="AQ85" s="432">
        <v>0.22800000000000001</v>
      </c>
      <c r="AR85" s="432">
        <v>0.22800000000000001</v>
      </c>
      <c r="AS85" s="432">
        <v>0.22800000000000001</v>
      </c>
      <c r="AT85" s="431">
        <v>0.22800000000000001</v>
      </c>
      <c r="AU85" s="431">
        <v>0.22800000000000001</v>
      </c>
      <c r="AV85" s="431">
        <v>0.223</v>
      </c>
      <c r="AW85" s="305">
        <v>6.9611263506007007E-2</v>
      </c>
      <c r="AX85" s="305"/>
      <c r="AY85" s="306">
        <f t="shared" si="11"/>
        <v>0.223</v>
      </c>
      <c r="AZ85" s="306">
        <f t="shared" si="12"/>
        <v>0.223</v>
      </c>
      <c r="BA85" s="309">
        <f t="shared" si="13"/>
        <v>0.223</v>
      </c>
      <c r="BB85" s="308">
        <f t="shared" si="14"/>
        <v>38869</v>
      </c>
      <c r="BC85" s="308">
        <v>0.67149100346960844</v>
      </c>
      <c r="BD85" s="291">
        <v>0.67161787713422716</v>
      </c>
      <c r="BF85" s="194">
        <v>38869</v>
      </c>
      <c r="BG85" s="206">
        <v>73</v>
      </c>
      <c r="HZ85" s="308">
        <f t="shared" si="9"/>
        <v>38930</v>
      </c>
      <c r="IA85" s="291">
        <v>75</v>
      </c>
    </row>
    <row r="86" spans="1:235" x14ac:dyDescent="0.25">
      <c r="B86" s="296">
        <f t="shared" si="10"/>
        <v>38899</v>
      </c>
      <c r="C86" s="294">
        <v>2.8740000000000001</v>
      </c>
      <c r="D86" s="294">
        <v>0.22750000000000001</v>
      </c>
      <c r="E86" s="294">
        <v>6.9949681368026997E-2</v>
      </c>
      <c r="F86" s="294">
        <v>-0.19500000000000001</v>
      </c>
      <c r="G86" s="294">
        <v>2.2499999999999999E-2</v>
      </c>
      <c r="H86" s="294">
        <v>-0.19500000000000001</v>
      </c>
      <c r="I86" s="294">
        <v>8.2500000000000004E-2</v>
      </c>
      <c r="J86" s="294">
        <v>0.1825</v>
      </c>
      <c r="K86" s="294">
        <v>0.215</v>
      </c>
      <c r="L86" s="294">
        <v>-7.9000000000000001E-2</v>
      </c>
      <c r="M86" s="294">
        <v>-0.02</v>
      </c>
      <c r="N86" s="294">
        <v>-0.36</v>
      </c>
      <c r="O86" s="294">
        <v>-0.28999999999999998</v>
      </c>
      <c r="P86" s="294">
        <v>6.4999999999999997E-3</v>
      </c>
      <c r="Q86" s="294">
        <v>5.0000000000000001E-4</v>
      </c>
      <c r="R86" s="291">
        <v>-2.5499999999999998E-2</v>
      </c>
      <c r="S86" s="291">
        <v>-5.7500000000000002E-2</v>
      </c>
      <c r="T86" s="291">
        <v>-0.155</v>
      </c>
      <c r="U86" s="291">
        <v>-1.2749999999999999E-2</v>
      </c>
      <c r="V86" s="291">
        <v>-8.3500000000000005E-2</v>
      </c>
      <c r="W86" s="291">
        <v>-0.12</v>
      </c>
      <c r="X86" s="291">
        <v>0.43</v>
      </c>
      <c r="Y86" s="291">
        <v>5.0000000000000001E-3</v>
      </c>
      <c r="Z86" s="291">
        <v>-0.19500000000000001</v>
      </c>
      <c r="AA86" s="291">
        <v>-0.02</v>
      </c>
      <c r="AB86" s="306">
        <v>0.28999999999999998</v>
      </c>
      <c r="AC86" s="306">
        <v>0.3</v>
      </c>
      <c r="AD86" s="306">
        <v>0.17749999999999999</v>
      </c>
      <c r="AE86" s="431">
        <v>0.22800000000000001</v>
      </c>
      <c r="AF86" s="431">
        <v>0.22800000000000001</v>
      </c>
      <c r="AG86" s="431">
        <v>0.223</v>
      </c>
      <c r="AH86" s="431">
        <v>0.22800000000000001</v>
      </c>
      <c r="AI86" s="431">
        <v>0.23200000000000001</v>
      </c>
      <c r="AJ86" s="431">
        <v>0.22800000000000001</v>
      </c>
      <c r="AK86" s="431">
        <v>0.223</v>
      </c>
      <c r="AL86" s="431">
        <v>0.223</v>
      </c>
      <c r="AM86" s="431">
        <v>0.22800000000000001</v>
      </c>
      <c r="AN86" s="431">
        <v>0.22800000000000001</v>
      </c>
      <c r="AO86" s="431">
        <v>0.22800000000000001</v>
      </c>
      <c r="AP86" s="432">
        <v>0.22800000000000001</v>
      </c>
      <c r="AQ86" s="432">
        <v>0.22800000000000001</v>
      </c>
      <c r="AR86" s="432">
        <v>0.22800000000000001</v>
      </c>
      <c r="AS86" s="432">
        <v>0.22800000000000001</v>
      </c>
      <c r="AT86" s="431">
        <v>0.22800000000000001</v>
      </c>
      <c r="AU86" s="431">
        <v>0.22800000000000001</v>
      </c>
      <c r="AV86" s="431">
        <v>0.223</v>
      </c>
      <c r="AW86" s="291">
        <v>6.9634698698918002E-2</v>
      </c>
      <c r="AX86" s="291"/>
      <c r="AY86" s="306">
        <f t="shared" si="11"/>
        <v>0.223</v>
      </c>
      <c r="AZ86" s="306">
        <f t="shared" si="12"/>
        <v>0.223</v>
      </c>
      <c r="BA86" s="309">
        <f t="shared" si="13"/>
        <v>0.223</v>
      </c>
      <c r="BB86" s="308">
        <f t="shared" si="14"/>
        <v>38899</v>
      </c>
      <c r="BC86" s="308">
        <v>0.66761561433301886</v>
      </c>
      <c r="BD86" s="291">
        <v>0.66774179333421957</v>
      </c>
      <c r="BF86" s="194">
        <v>38899</v>
      </c>
      <c r="BG86" s="206">
        <v>74</v>
      </c>
      <c r="HZ86" s="308">
        <f t="shared" si="9"/>
        <v>38961</v>
      </c>
      <c r="IA86" s="291">
        <v>76</v>
      </c>
    </row>
    <row r="87" spans="1:235" x14ac:dyDescent="0.25">
      <c r="B87" s="296">
        <f t="shared" si="10"/>
        <v>38930</v>
      </c>
      <c r="C87" s="294">
        <v>2.895</v>
      </c>
      <c r="D87" s="294">
        <v>0.22750000000000001</v>
      </c>
      <c r="E87" s="294">
        <v>6.9961185461547004E-2</v>
      </c>
      <c r="F87" s="294">
        <v>-0.19500000000000001</v>
      </c>
      <c r="G87" s="294">
        <v>2.5000000000000001E-2</v>
      </c>
      <c r="H87" s="294">
        <v>-0.19500000000000001</v>
      </c>
      <c r="I87" s="294">
        <v>0.08</v>
      </c>
      <c r="J87" s="294">
        <v>0.1825</v>
      </c>
      <c r="K87" s="294">
        <v>0.215</v>
      </c>
      <c r="L87" s="294">
        <v>-7.0000000000000007E-2</v>
      </c>
      <c r="M87" s="294">
        <v>-0.02</v>
      </c>
      <c r="N87" s="294">
        <v>-0.36</v>
      </c>
      <c r="O87" s="294">
        <v>-0.28999999999999998</v>
      </c>
      <c r="P87" s="294">
        <v>6.4999999999999997E-3</v>
      </c>
      <c r="Q87" s="294">
        <v>5.0000000000000001E-4</v>
      </c>
      <c r="R87" s="291">
        <v>-2.5499999999999998E-2</v>
      </c>
      <c r="S87" s="291">
        <v>-5.7500000000000002E-2</v>
      </c>
      <c r="T87" s="291">
        <v>-0.155</v>
      </c>
      <c r="U87" s="291">
        <v>-1.2749999999999999E-2</v>
      </c>
      <c r="V87" s="291">
        <v>-8.3500000000000005E-2</v>
      </c>
      <c r="W87" s="291">
        <v>-0.12</v>
      </c>
      <c r="X87" s="291">
        <v>0.495</v>
      </c>
      <c r="Y87" s="291">
        <v>5.0000000000000001E-3</v>
      </c>
      <c r="Z87" s="291">
        <v>-0.19500000000000001</v>
      </c>
      <c r="AA87" s="291">
        <v>-0.02</v>
      </c>
      <c r="AB87" s="306">
        <v>0.28999999999999998</v>
      </c>
      <c r="AC87" s="306">
        <v>0.3</v>
      </c>
      <c r="AD87" s="306">
        <v>0.17499999999999999</v>
      </c>
      <c r="AE87" s="431">
        <v>0.22800000000000001</v>
      </c>
      <c r="AF87" s="431">
        <v>0.22800000000000001</v>
      </c>
      <c r="AG87" s="431">
        <v>0.223</v>
      </c>
      <c r="AH87" s="431">
        <v>0.22800000000000001</v>
      </c>
      <c r="AI87" s="431">
        <v>0.23200000000000001</v>
      </c>
      <c r="AJ87" s="431">
        <v>0.22800000000000001</v>
      </c>
      <c r="AK87" s="431">
        <v>0.223</v>
      </c>
      <c r="AL87" s="431">
        <v>0.223</v>
      </c>
      <c r="AM87" s="431">
        <v>0.22800000000000001</v>
      </c>
      <c r="AN87" s="431">
        <v>0.22800000000000001</v>
      </c>
      <c r="AO87" s="431">
        <v>0.22800000000000001</v>
      </c>
      <c r="AP87" s="432">
        <v>0.22800000000000001</v>
      </c>
      <c r="AQ87" s="432">
        <v>0.22800000000000001</v>
      </c>
      <c r="AR87" s="432">
        <v>0.22800000000000001</v>
      </c>
      <c r="AS87" s="432">
        <v>0.22800000000000001</v>
      </c>
      <c r="AT87" s="431">
        <v>0.22800000000000001</v>
      </c>
      <c r="AU87" s="431">
        <v>0.22800000000000001</v>
      </c>
      <c r="AV87" s="431">
        <v>0.223</v>
      </c>
      <c r="AW87" s="291">
        <v>6.9658915065115998E-2</v>
      </c>
      <c r="AX87" s="291"/>
      <c r="AY87" s="306">
        <f t="shared" si="11"/>
        <v>0.223</v>
      </c>
      <c r="AZ87" s="306">
        <f t="shared" si="12"/>
        <v>0.223</v>
      </c>
      <c r="BA87" s="309">
        <f t="shared" si="13"/>
        <v>0.223</v>
      </c>
      <c r="BB87" s="308">
        <f t="shared" si="14"/>
        <v>38930</v>
      </c>
      <c r="BC87" s="308">
        <v>0.66363218848213945</v>
      </c>
      <c r="BD87" s="291">
        <v>0.66375765320314029</v>
      </c>
      <c r="BF87" s="194">
        <v>38930</v>
      </c>
      <c r="BG87" s="206">
        <v>75</v>
      </c>
      <c r="HZ87" s="308">
        <f t="shared" si="9"/>
        <v>38991</v>
      </c>
      <c r="IA87" s="291">
        <v>77</v>
      </c>
    </row>
    <row r="88" spans="1:235" x14ac:dyDescent="0.25">
      <c r="B88" s="296">
        <f t="shared" si="10"/>
        <v>38961</v>
      </c>
      <c r="C88" s="294">
        <v>2.875</v>
      </c>
      <c r="D88" s="294">
        <v>0.22750000000000001</v>
      </c>
      <c r="E88" s="294">
        <v>6.9972689555111003E-2</v>
      </c>
      <c r="F88" s="294">
        <v>-0.19500000000000001</v>
      </c>
      <c r="G88" s="294">
        <v>1.7500000000000002E-2</v>
      </c>
      <c r="H88" s="294">
        <v>-0.19500000000000001</v>
      </c>
      <c r="I88" s="294">
        <v>7.7499999999999999E-2</v>
      </c>
      <c r="J88" s="294">
        <v>0.1825</v>
      </c>
      <c r="K88" s="294">
        <v>0.19500000000000001</v>
      </c>
      <c r="L88" s="294">
        <v>-0.05</v>
      </c>
      <c r="M88" s="294">
        <v>-0.02</v>
      </c>
      <c r="N88" s="294">
        <v>-0.36</v>
      </c>
      <c r="O88" s="294">
        <v>-0.28999999999999998</v>
      </c>
      <c r="P88" s="294">
        <v>6.4999999999999997E-3</v>
      </c>
      <c r="Q88" s="294">
        <v>5.0000000000000001E-4</v>
      </c>
      <c r="R88" s="291">
        <v>-2.5499999999999998E-2</v>
      </c>
      <c r="S88" s="291">
        <v>-5.7500000000000002E-2</v>
      </c>
      <c r="T88" s="291">
        <v>-0.14499999999999999</v>
      </c>
      <c r="U88" s="291">
        <v>-1.2749999999999999E-2</v>
      </c>
      <c r="V88" s="291">
        <v>-9.8500000000000004E-2</v>
      </c>
      <c r="W88" s="291">
        <v>-0.12</v>
      </c>
      <c r="X88" s="291">
        <v>0.39500000000000002</v>
      </c>
      <c r="Y88" s="291">
        <v>5.0000000000000001E-3</v>
      </c>
      <c r="Z88" s="291">
        <v>-0.19500000000000001</v>
      </c>
      <c r="AA88" s="291">
        <v>-0.02</v>
      </c>
      <c r="AB88" s="306">
        <v>0.28999999999999998</v>
      </c>
      <c r="AC88" s="306">
        <v>0.28999999999999998</v>
      </c>
      <c r="AD88" s="306">
        <v>0.17249999999999999</v>
      </c>
      <c r="AE88" s="431">
        <v>0.22800000000000001</v>
      </c>
      <c r="AF88" s="431">
        <v>0.22800000000000001</v>
      </c>
      <c r="AG88" s="431">
        <v>0.223</v>
      </c>
      <c r="AH88" s="431">
        <v>0.22800000000000001</v>
      </c>
      <c r="AI88" s="431">
        <v>0.23200000000000001</v>
      </c>
      <c r="AJ88" s="431">
        <v>0.22800000000000001</v>
      </c>
      <c r="AK88" s="431">
        <v>0.223</v>
      </c>
      <c r="AL88" s="431">
        <v>0.223</v>
      </c>
      <c r="AM88" s="431">
        <v>0.22800000000000001</v>
      </c>
      <c r="AN88" s="431">
        <v>0.22800000000000001</v>
      </c>
      <c r="AO88" s="431">
        <v>0.22800000000000001</v>
      </c>
      <c r="AP88" s="432">
        <v>0.22800000000000001</v>
      </c>
      <c r="AQ88" s="432">
        <v>0.22800000000000001</v>
      </c>
      <c r="AR88" s="432">
        <v>0.22800000000000001</v>
      </c>
      <c r="AS88" s="432">
        <v>0.22800000000000001</v>
      </c>
      <c r="AT88" s="431">
        <v>0.22800000000000001</v>
      </c>
      <c r="AU88" s="431">
        <v>0.22800000000000001</v>
      </c>
      <c r="AV88" s="431">
        <v>0.223</v>
      </c>
      <c r="AW88" s="291">
        <v>6.9683131431508005E-2</v>
      </c>
      <c r="AX88" s="291"/>
      <c r="AY88" s="306">
        <f t="shared" si="11"/>
        <v>0.223</v>
      </c>
      <c r="AZ88" s="306">
        <f t="shared" si="12"/>
        <v>0.223</v>
      </c>
      <c r="BA88" s="309">
        <f t="shared" si="13"/>
        <v>0.223</v>
      </c>
      <c r="BB88" s="308">
        <f t="shared" si="14"/>
        <v>38961</v>
      </c>
      <c r="BC88" s="308">
        <v>0.65967015366241366</v>
      </c>
      <c r="BD88" s="291">
        <v>0.65979490768497884</v>
      </c>
      <c r="BF88" s="194">
        <v>38961</v>
      </c>
      <c r="BG88" s="206">
        <v>76</v>
      </c>
      <c r="HZ88" s="308">
        <f t="shared" si="9"/>
        <v>39022</v>
      </c>
      <c r="IA88" s="291">
        <v>78</v>
      </c>
    </row>
    <row r="89" spans="1:235" x14ac:dyDescent="0.25">
      <c r="B89" s="296">
        <f t="shared" si="10"/>
        <v>38991</v>
      </c>
      <c r="C89" s="294">
        <v>2.887</v>
      </c>
      <c r="D89" s="294">
        <v>0.22750000000000001</v>
      </c>
      <c r="E89" s="294">
        <v>6.9983822548923005E-2</v>
      </c>
      <c r="F89" s="294">
        <v>-0.19500000000000001</v>
      </c>
      <c r="G89" s="294">
        <v>7.4999999999999997E-3</v>
      </c>
      <c r="H89" s="294">
        <v>-0.19500000000000001</v>
      </c>
      <c r="I89" s="294">
        <v>9.2499999999999999E-2</v>
      </c>
      <c r="J89" s="294">
        <v>0.1875</v>
      </c>
      <c r="K89" s="294">
        <v>0.215</v>
      </c>
      <c r="L89" s="294">
        <v>-0.06</v>
      </c>
      <c r="M89" s="294">
        <v>-0.02</v>
      </c>
      <c r="N89" s="294">
        <v>-0.36</v>
      </c>
      <c r="O89" s="294">
        <v>-0.28999999999999998</v>
      </c>
      <c r="P89" s="294">
        <v>6.4999999999999997E-3</v>
      </c>
      <c r="Q89" s="294">
        <v>5.0000000000000001E-4</v>
      </c>
      <c r="R89" s="291">
        <v>-2.5499999999999998E-2</v>
      </c>
      <c r="S89" s="291">
        <v>-5.7500000000000002E-2</v>
      </c>
      <c r="T89" s="291">
        <v>-0.13</v>
      </c>
      <c r="U89" s="291">
        <v>-3.1E-2</v>
      </c>
      <c r="V89" s="291">
        <v>-0.10100000000000001</v>
      </c>
      <c r="W89" s="291">
        <v>-0.12</v>
      </c>
      <c r="X89" s="291">
        <v>0.46100000000000002</v>
      </c>
      <c r="Y89" s="291">
        <v>5.0000000000000001E-3</v>
      </c>
      <c r="Z89" s="291">
        <v>-0.19500000000000001</v>
      </c>
      <c r="AA89" s="291">
        <v>-0.02</v>
      </c>
      <c r="AB89" s="306">
        <v>0.28999999999999998</v>
      </c>
      <c r="AC89" s="306">
        <v>0.36249999999999999</v>
      </c>
      <c r="AD89" s="306">
        <v>0.1875</v>
      </c>
      <c r="AE89" s="431">
        <v>0.22800000000000001</v>
      </c>
      <c r="AF89" s="431">
        <v>0.22800000000000001</v>
      </c>
      <c r="AG89" s="431">
        <v>0.223</v>
      </c>
      <c r="AH89" s="431">
        <v>0.22800000000000001</v>
      </c>
      <c r="AI89" s="431">
        <v>0.23200000000000001</v>
      </c>
      <c r="AJ89" s="431">
        <v>0.22800000000000001</v>
      </c>
      <c r="AK89" s="431">
        <v>0.223</v>
      </c>
      <c r="AL89" s="431">
        <v>0.223</v>
      </c>
      <c r="AM89" s="431">
        <v>0.22800000000000001</v>
      </c>
      <c r="AN89" s="431">
        <v>0.22800000000000001</v>
      </c>
      <c r="AO89" s="431">
        <v>0.22800000000000001</v>
      </c>
      <c r="AP89" s="432">
        <v>0.22800000000000001</v>
      </c>
      <c r="AQ89" s="432">
        <v>0.22800000000000001</v>
      </c>
      <c r="AR89" s="432">
        <v>0.22800000000000001</v>
      </c>
      <c r="AS89" s="432">
        <v>0.22800000000000001</v>
      </c>
      <c r="AT89" s="431">
        <v>0.22800000000000001</v>
      </c>
      <c r="AU89" s="431">
        <v>0.22800000000000001</v>
      </c>
      <c r="AV89" s="431">
        <v>0.223</v>
      </c>
      <c r="AW89" s="291">
        <v>6.9706566624975999E-2</v>
      </c>
      <c r="AX89" s="291"/>
      <c r="AY89" s="306">
        <f t="shared" si="11"/>
        <v>0.223</v>
      </c>
      <c r="AZ89" s="306">
        <f t="shared" si="12"/>
        <v>0.223</v>
      </c>
      <c r="BA89" s="309">
        <f t="shared" si="13"/>
        <v>0.223</v>
      </c>
      <c r="BB89" s="308">
        <f t="shared" si="14"/>
        <v>38991</v>
      </c>
      <c r="BC89" s="308">
        <v>0.65585620008186774</v>
      </c>
      <c r="BD89" s="291">
        <v>0.65598026972791368</v>
      </c>
      <c r="BF89" s="194">
        <v>38991</v>
      </c>
      <c r="BG89" s="206">
        <v>77</v>
      </c>
      <c r="HZ89" s="308">
        <f t="shared" si="9"/>
        <v>39052</v>
      </c>
      <c r="IA89" s="291">
        <v>79</v>
      </c>
    </row>
    <row r="90" spans="1:235" x14ac:dyDescent="0.25">
      <c r="B90" s="296">
        <f t="shared" si="10"/>
        <v>39022</v>
      </c>
      <c r="C90" s="294">
        <v>2.964</v>
      </c>
      <c r="D90" s="294">
        <v>0.23</v>
      </c>
      <c r="E90" s="294">
        <v>6.9995326642573005E-2</v>
      </c>
      <c r="F90" s="294">
        <v>-0.19</v>
      </c>
      <c r="G90" s="294">
        <v>-3.2500000000000001E-2</v>
      </c>
      <c r="H90" s="294">
        <v>-0.19</v>
      </c>
      <c r="I90" s="294">
        <v>0.13500000000000001</v>
      </c>
      <c r="J90" s="294">
        <v>0.27</v>
      </c>
      <c r="K90" s="294">
        <v>0.28749999999999998</v>
      </c>
      <c r="L90" s="294">
        <v>-7.4999999999999997E-2</v>
      </c>
      <c r="M90" s="294">
        <v>-1.2500000000000001E-2</v>
      </c>
      <c r="N90" s="294">
        <v>-0.28000000000000003</v>
      </c>
      <c r="O90" s="294">
        <v>0</v>
      </c>
      <c r="P90" s="294">
        <v>1.4E-2</v>
      </c>
      <c r="Q90" s="294">
        <v>-7.4999999999999997E-3</v>
      </c>
      <c r="R90" s="291">
        <v>-2.8500000000000001E-2</v>
      </c>
      <c r="S90" s="291">
        <v>-5.7500000000000002E-2</v>
      </c>
      <c r="T90" s="291">
        <v>-9.2499999999999999E-2</v>
      </c>
      <c r="U90" s="291">
        <v>-0.03</v>
      </c>
      <c r="V90" s="291">
        <v>-9.8500000000000004E-2</v>
      </c>
      <c r="W90" s="291">
        <v>-0.13250000000000001</v>
      </c>
      <c r="X90" s="291">
        <v>0.76749999999999996</v>
      </c>
      <c r="Y90" s="291">
        <v>5.0000000000000001E-3</v>
      </c>
      <c r="Z90" s="291">
        <v>-0.19</v>
      </c>
      <c r="AA90" s="291">
        <v>-2.1499999999999998E-2</v>
      </c>
      <c r="AB90" s="306">
        <v>0.12</v>
      </c>
      <c r="AC90" s="306">
        <v>0.46500000000000002</v>
      </c>
      <c r="AD90" s="306">
        <v>0.23</v>
      </c>
      <c r="AE90" s="431">
        <v>0.23</v>
      </c>
      <c r="AF90" s="431">
        <v>0.23</v>
      </c>
      <c r="AG90" s="431">
        <v>0.253</v>
      </c>
      <c r="AH90" s="431">
        <v>0.23</v>
      </c>
      <c r="AI90" s="431">
        <v>0.23499999999999999</v>
      </c>
      <c r="AJ90" s="431">
        <v>0.23</v>
      </c>
      <c r="AK90" s="431">
        <v>0.23</v>
      </c>
      <c r="AL90" s="431">
        <v>0.23</v>
      </c>
      <c r="AM90" s="431">
        <v>0.23</v>
      </c>
      <c r="AN90" s="431">
        <v>0.23</v>
      </c>
      <c r="AO90" s="431">
        <v>0.23</v>
      </c>
      <c r="AP90" s="432">
        <v>0.23</v>
      </c>
      <c r="AQ90" s="432">
        <v>0.23</v>
      </c>
      <c r="AR90" s="432">
        <v>0.23</v>
      </c>
      <c r="AS90" s="432">
        <v>0.23</v>
      </c>
      <c r="AT90" s="431">
        <v>0.23</v>
      </c>
      <c r="AU90" s="431">
        <v>0.23</v>
      </c>
      <c r="AV90" s="431">
        <v>0.253</v>
      </c>
      <c r="AW90" s="291">
        <v>6.9730782991750007E-2</v>
      </c>
      <c r="AX90" s="291"/>
      <c r="AY90" s="306">
        <f t="shared" si="11"/>
        <v>0.253</v>
      </c>
      <c r="AZ90" s="306">
        <f t="shared" si="12"/>
        <v>0.253</v>
      </c>
      <c r="BA90" s="309">
        <f t="shared" si="13"/>
        <v>0.253</v>
      </c>
      <c r="BB90" s="308">
        <f t="shared" si="14"/>
        <v>39022</v>
      </c>
      <c r="BC90" s="308">
        <v>0.6519359679569311</v>
      </c>
      <c r="BD90" s="291">
        <v>0.65205933390868853</v>
      </c>
      <c r="BF90" s="194">
        <v>39022</v>
      </c>
      <c r="BG90" s="206">
        <v>78</v>
      </c>
      <c r="HZ90" s="308">
        <f t="shared" si="9"/>
        <v>39083</v>
      </c>
      <c r="IA90" s="291">
        <v>80</v>
      </c>
    </row>
    <row r="91" spans="1:235" x14ac:dyDescent="0.25">
      <c r="B91" s="296">
        <f t="shared" si="10"/>
        <v>39052</v>
      </c>
      <c r="C91" s="294">
        <v>3.0409999999999999</v>
      </c>
      <c r="D91" s="294">
        <v>0.24</v>
      </c>
      <c r="E91" s="294">
        <v>7.0006459636468996E-2</v>
      </c>
      <c r="F91" s="294">
        <v>-0.19750000000000001</v>
      </c>
      <c r="G91" s="294">
        <v>-5.5E-2</v>
      </c>
      <c r="H91" s="294">
        <v>-0.19750000000000001</v>
      </c>
      <c r="I91" s="294">
        <v>0.17499999999999999</v>
      </c>
      <c r="J91" s="294">
        <v>0.30499999999999999</v>
      </c>
      <c r="K91" s="294">
        <v>0.33750000000000002</v>
      </c>
      <c r="L91" s="294">
        <v>-7.4999999999999997E-2</v>
      </c>
      <c r="M91" s="294">
        <v>-1.2500000000000001E-2</v>
      </c>
      <c r="N91" s="294">
        <v>-0.28000000000000003</v>
      </c>
      <c r="O91" s="294">
        <v>0.06</v>
      </c>
      <c r="P91" s="294">
        <v>1.4E-2</v>
      </c>
      <c r="Q91" s="294">
        <v>-7.4999999999999997E-3</v>
      </c>
      <c r="R91" s="291">
        <v>-2.8500000000000001E-2</v>
      </c>
      <c r="S91" s="291">
        <v>-5.7500000000000002E-2</v>
      </c>
      <c r="T91" s="291">
        <v>-8.5000000000000006E-2</v>
      </c>
      <c r="U91" s="291">
        <v>-0.03</v>
      </c>
      <c r="V91" s="291">
        <v>-0.13350000000000001</v>
      </c>
      <c r="W91" s="291">
        <v>-0.1275</v>
      </c>
      <c r="X91" s="291">
        <v>1.19</v>
      </c>
      <c r="Y91" s="291">
        <v>5.0000000000000001E-3</v>
      </c>
      <c r="Z91" s="291">
        <v>-0.19</v>
      </c>
      <c r="AA91" s="291">
        <v>-2.1499999999999998E-2</v>
      </c>
      <c r="AB91" s="306">
        <v>0.12</v>
      </c>
      <c r="AC91" s="306">
        <v>0.8</v>
      </c>
      <c r="AD91" s="306">
        <v>0.27</v>
      </c>
      <c r="AE91" s="431">
        <v>0.24</v>
      </c>
      <c r="AF91" s="431">
        <v>0.24</v>
      </c>
      <c r="AG91" s="431">
        <v>0.26400000000000001</v>
      </c>
      <c r="AH91" s="431">
        <v>0.24</v>
      </c>
      <c r="AI91" s="431">
        <v>0.245</v>
      </c>
      <c r="AJ91" s="431">
        <v>0.24</v>
      </c>
      <c r="AK91" s="431">
        <v>0.24</v>
      </c>
      <c r="AL91" s="431">
        <v>0.24</v>
      </c>
      <c r="AM91" s="431">
        <v>0.24</v>
      </c>
      <c r="AN91" s="431">
        <v>0.24</v>
      </c>
      <c r="AO91" s="431">
        <v>0.24</v>
      </c>
      <c r="AP91" s="432">
        <v>0.24</v>
      </c>
      <c r="AQ91" s="432">
        <v>0.24</v>
      </c>
      <c r="AR91" s="432">
        <v>0.24</v>
      </c>
      <c r="AS91" s="432">
        <v>0.24</v>
      </c>
      <c r="AT91" s="431">
        <v>0.24</v>
      </c>
      <c r="AU91" s="431">
        <v>0.24</v>
      </c>
      <c r="AV91" s="431">
        <v>0.26400000000000001</v>
      </c>
      <c r="AW91" s="291">
        <v>6.9754218185585998E-2</v>
      </c>
      <c r="AX91" s="291"/>
      <c r="AY91" s="306">
        <f t="shared" si="11"/>
        <v>0.26400000000000001</v>
      </c>
      <c r="AZ91" s="306">
        <f t="shared" si="12"/>
        <v>0.26400000000000001</v>
      </c>
      <c r="BA91" s="309">
        <f t="shared" si="13"/>
        <v>0.26400000000000001</v>
      </c>
      <c r="BB91" s="308">
        <f t="shared" si="14"/>
        <v>39052</v>
      </c>
      <c r="BC91" s="308">
        <v>0.64816228372481588</v>
      </c>
      <c r="BD91" s="291">
        <v>0.6482849720502285</v>
      </c>
      <c r="BF91" s="194">
        <v>39052</v>
      </c>
      <c r="BG91" s="206">
        <v>79</v>
      </c>
      <c r="HZ91" s="308">
        <f t="shared" si="9"/>
        <v>39114</v>
      </c>
      <c r="IA91" s="291">
        <v>81</v>
      </c>
    </row>
    <row r="92" spans="1:235" x14ac:dyDescent="0.25">
      <c r="B92" s="296">
        <f t="shared" si="10"/>
        <v>39083</v>
      </c>
      <c r="C92" s="294">
        <v>3.3050000000000002</v>
      </c>
      <c r="D92" s="294">
        <v>0.245</v>
      </c>
      <c r="E92" s="294">
        <v>7.0017963730203997E-2</v>
      </c>
      <c r="F92" s="294">
        <v>-0.2</v>
      </c>
      <c r="G92" s="294">
        <v>-5.7500000000000002E-2</v>
      </c>
      <c r="H92" s="294">
        <v>-0.2</v>
      </c>
      <c r="I92" s="294">
        <v>0.22</v>
      </c>
      <c r="J92" s="294">
        <v>0.30499999999999999</v>
      </c>
      <c r="K92" s="294">
        <v>0.4375</v>
      </c>
      <c r="L92" s="294">
        <v>-7.4999999999999997E-2</v>
      </c>
      <c r="M92" s="294">
        <v>-1.0500000000000001E-2</v>
      </c>
      <c r="N92" s="294">
        <v>-0.28000000000000003</v>
      </c>
      <c r="O92" s="294">
        <v>0.13</v>
      </c>
      <c r="P92" s="294">
        <v>1.4E-2</v>
      </c>
      <c r="Q92" s="294">
        <v>-7.4999999999999997E-3</v>
      </c>
      <c r="R92" s="291">
        <v>-2.4E-2</v>
      </c>
      <c r="S92" s="291">
        <v>-5.7500000000000002E-2</v>
      </c>
      <c r="T92" s="291">
        <v>-7.0000000000000007E-2</v>
      </c>
      <c r="U92" s="291">
        <v>-0.03</v>
      </c>
      <c r="V92" s="291">
        <v>-0.13900000000000001</v>
      </c>
      <c r="W92" s="291">
        <v>-0.1275</v>
      </c>
      <c r="X92" s="291">
        <v>1.5249999999999999</v>
      </c>
      <c r="Y92" s="291">
        <v>5.0000000000000001E-3</v>
      </c>
      <c r="Z92" s="291">
        <v>-0.19</v>
      </c>
      <c r="AA92" s="291">
        <v>-2.1499999999999998E-2</v>
      </c>
      <c r="AB92" s="306">
        <v>0.12</v>
      </c>
      <c r="AC92" s="306">
        <v>0.97499999999999998</v>
      </c>
      <c r="AD92" s="306">
        <v>0.315</v>
      </c>
      <c r="AE92" s="431">
        <v>0.245</v>
      </c>
      <c r="AF92" s="431">
        <v>0.245</v>
      </c>
      <c r="AG92" s="431">
        <v>0.27</v>
      </c>
      <c r="AH92" s="431">
        <v>0.245</v>
      </c>
      <c r="AI92" s="431">
        <v>0.25</v>
      </c>
      <c r="AJ92" s="431">
        <v>0.245</v>
      </c>
      <c r="AK92" s="431">
        <v>0.245</v>
      </c>
      <c r="AL92" s="431">
        <v>0.245</v>
      </c>
      <c r="AM92" s="431">
        <v>0.245</v>
      </c>
      <c r="AN92" s="431">
        <v>0.245</v>
      </c>
      <c r="AO92" s="431">
        <v>0.245</v>
      </c>
      <c r="AP92" s="432">
        <v>0.245</v>
      </c>
      <c r="AQ92" s="432">
        <v>0.245</v>
      </c>
      <c r="AR92" s="432">
        <v>0.245</v>
      </c>
      <c r="AS92" s="432">
        <v>0.245</v>
      </c>
      <c r="AT92" s="431">
        <v>0.245</v>
      </c>
      <c r="AU92" s="431">
        <v>0.245</v>
      </c>
      <c r="AV92" s="431">
        <v>0.27</v>
      </c>
      <c r="AW92" s="291">
        <v>6.9778434552742005E-2</v>
      </c>
      <c r="AX92" s="291"/>
      <c r="AY92" s="306">
        <f t="shared" si="11"/>
        <v>0.27</v>
      </c>
      <c r="AZ92" s="306">
        <f t="shared" si="12"/>
        <v>0.27</v>
      </c>
      <c r="BA92" s="309">
        <f t="shared" si="13"/>
        <v>0.27</v>
      </c>
      <c r="BB92" s="308">
        <f t="shared" si="14"/>
        <v>39083</v>
      </c>
      <c r="BC92" s="308">
        <v>0.64428347291708343</v>
      </c>
      <c r="BD92" s="291">
        <v>0.64440546449450742</v>
      </c>
      <c r="BF92" s="194">
        <v>39083</v>
      </c>
      <c r="BG92" s="206">
        <v>80</v>
      </c>
      <c r="HZ92" s="308">
        <f t="shared" si="9"/>
        <v>39142</v>
      </c>
      <c r="IA92" s="291">
        <v>82</v>
      </c>
    </row>
    <row r="93" spans="1:235" x14ac:dyDescent="0.25">
      <c r="A93" s="318"/>
      <c r="B93" s="296">
        <f t="shared" si="10"/>
        <v>39114</v>
      </c>
      <c r="C93" s="294">
        <v>3.1789999999999998</v>
      </c>
      <c r="D93" s="294">
        <v>0.23</v>
      </c>
      <c r="E93" s="294">
        <v>7.0029467823984004E-2</v>
      </c>
      <c r="F93" s="294">
        <v>-0.20250000000000001</v>
      </c>
      <c r="G93" s="294">
        <v>-0.04</v>
      </c>
      <c r="H93" s="294">
        <v>-0.20250000000000001</v>
      </c>
      <c r="I93" s="294">
        <v>0.19500000000000001</v>
      </c>
      <c r="J93" s="294">
        <v>0.30499999999999999</v>
      </c>
      <c r="K93" s="294">
        <v>0.435</v>
      </c>
      <c r="L93" s="294">
        <v>-7.4999999999999997E-2</v>
      </c>
      <c r="M93" s="294">
        <v>-1.0500000000000001E-2</v>
      </c>
      <c r="N93" s="294">
        <v>-0.28000000000000003</v>
      </c>
      <c r="O93" s="294">
        <v>0</v>
      </c>
      <c r="P93" s="294">
        <v>1.4E-2</v>
      </c>
      <c r="Q93" s="294">
        <v>-7.4999999999999997E-3</v>
      </c>
      <c r="R93" s="291">
        <v>-2.4E-2</v>
      </c>
      <c r="S93" s="291">
        <v>-5.7500000000000002E-2</v>
      </c>
      <c r="T93" s="291">
        <v>-7.0000000000000007E-2</v>
      </c>
      <c r="U93" s="291">
        <v>-0.03</v>
      </c>
      <c r="V93" s="291">
        <v>-0.1215</v>
      </c>
      <c r="W93" s="291">
        <v>-0.1275</v>
      </c>
      <c r="X93" s="291">
        <v>1.4550000000000001</v>
      </c>
      <c r="Y93" s="291">
        <v>5.0000000000000001E-3</v>
      </c>
      <c r="Z93" s="291">
        <v>-0.19</v>
      </c>
      <c r="AA93" s="291">
        <v>-2.1499999999999998E-2</v>
      </c>
      <c r="AB93" s="306">
        <v>0.12</v>
      </c>
      <c r="AC93" s="306">
        <v>0.97499999999999998</v>
      </c>
      <c r="AD93" s="306">
        <v>0.28999999999999998</v>
      </c>
      <c r="AE93" s="431">
        <v>0.23</v>
      </c>
      <c r="AF93" s="431">
        <v>0.23</v>
      </c>
      <c r="AG93" s="431">
        <v>0.253</v>
      </c>
      <c r="AH93" s="431">
        <v>0.23</v>
      </c>
      <c r="AI93" s="431">
        <v>0.23499999999999999</v>
      </c>
      <c r="AJ93" s="431">
        <v>0.23</v>
      </c>
      <c r="AK93" s="431">
        <v>0.23</v>
      </c>
      <c r="AL93" s="431">
        <v>0.23</v>
      </c>
      <c r="AM93" s="431">
        <v>0.23</v>
      </c>
      <c r="AN93" s="431">
        <v>0.23</v>
      </c>
      <c r="AO93" s="431">
        <v>0.23</v>
      </c>
      <c r="AP93" s="432">
        <v>0.23</v>
      </c>
      <c r="AQ93" s="432">
        <v>0.23</v>
      </c>
      <c r="AR93" s="432">
        <v>0.23</v>
      </c>
      <c r="AS93" s="432">
        <v>0.23</v>
      </c>
      <c r="AT93" s="431">
        <v>0.23</v>
      </c>
      <c r="AU93" s="431">
        <v>0.23</v>
      </c>
      <c r="AV93" s="431">
        <v>0.253</v>
      </c>
      <c r="AW93" s="291">
        <v>6.9802650920090997E-2</v>
      </c>
      <c r="AX93" s="291"/>
      <c r="AY93" s="306">
        <f t="shared" si="11"/>
        <v>0.253</v>
      </c>
      <c r="AZ93" s="306">
        <f t="shared" si="12"/>
        <v>0.253</v>
      </c>
      <c r="BA93" s="309">
        <f t="shared" si="13"/>
        <v>0.253</v>
      </c>
      <c r="BB93" s="308">
        <f t="shared" si="14"/>
        <v>39114</v>
      </c>
      <c r="BC93" s="308">
        <v>0.64042556701210729</v>
      </c>
      <c r="BD93" s="291">
        <v>0.64054686534957173</v>
      </c>
      <c r="BF93" s="194">
        <v>39114</v>
      </c>
      <c r="BG93" s="206">
        <v>81</v>
      </c>
      <c r="HZ93" s="308">
        <f t="shared" si="9"/>
        <v>39173</v>
      </c>
      <c r="IA93" s="291">
        <v>83</v>
      </c>
    </row>
    <row r="94" spans="1:235" x14ac:dyDescent="0.25">
      <c r="A94" s="319"/>
      <c r="B94" s="296">
        <f t="shared" si="10"/>
        <v>39142</v>
      </c>
      <c r="C94" s="294">
        <v>3.0209999999999999</v>
      </c>
      <c r="D94" s="294">
        <v>0.22</v>
      </c>
      <c r="E94" s="294">
        <v>7.0039858618403006E-2</v>
      </c>
      <c r="F94" s="294">
        <v>-0.20499999999999999</v>
      </c>
      <c r="G94" s="294">
        <v>-2.75E-2</v>
      </c>
      <c r="H94" s="294">
        <v>-0.20499999999999999</v>
      </c>
      <c r="I94" s="294">
        <v>0.1925</v>
      </c>
      <c r="J94" s="294">
        <v>0.26500000000000001</v>
      </c>
      <c r="K94" s="294">
        <v>0.30249999999999999</v>
      </c>
      <c r="L94" s="294">
        <v>-7.4999999999999997E-2</v>
      </c>
      <c r="M94" s="294">
        <v>-1.0500000000000001E-2</v>
      </c>
      <c r="N94" s="294">
        <v>-0.28000000000000003</v>
      </c>
      <c r="O94" s="294">
        <v>-0.18</v>
      </c>
      <c r="P94" s="294">
        <v>1.4E-2</v>
      </c>
      <c r="Q94" s="294">
        <v>-7.4999999999999997E-3</v>
      </c>
      <c r="R94" s="291">
        <v>-2.4E-2</v>
      </c>
      <c r="S94" s="291">
        <v>-5.7500000000000002E-2</v>
      </c>
      <c r="T94" s="291">
        <v>-7.0000000000000007E-2</v>
      </c>
      <c r="U94" s="291">
        <v>-1.15E-2</v>
      </c>
      <c r="V94" s="291">
        <v>-0.104</v>
      </c>
      <c r="W94" s="291">
        <v>-0.13250000000000001</v>
      </c>
      <c r="X94" s="291">
        <v>0.83499999999999996</v>
      </c>
      <c r="Y94" s="291">
        <v>5.0000000000000001E-3</v>
      </c>
      <c r="Z94" s="291">
        <v>-0.19</v>
      </c>
      <c r="AA94" s="291">
        <v>-2.1499999999999998E-2</v>
      </c>
      <c r="AB94" s="306">
        <v>0.12</v>
      </c>
      <c r="AC94" s="306">
        <v>0.60750000000000004</v>
      </c>
      <c r="AD94" s="306">
        <v>0.28749999999999998</v>
      </c>
      <c r="AE94" s="431">
        <v>0.22</v>
      </c>
      <c r="AF94" s="431">
        <v>0.22</v>
      </c>
      <c r="AG94" s="431">
        <v>0.24199999999999999</v>
      </c>
      <c r="AH94" s="431">
        <v>0.22</v>
      </c>
      <c r="AI94" s="431">
        <v>0.224</v>
      </c>
      <c r="AJ94" s="431">
        <v>0.22</v>
      </c>
      <c r="AK94" s="431">
        <v>0.22</v>
      </c>
      <c r="AL94" s="431">
        <v>0.22</v>
      </c>
      <c r="AM94" s="431">
        <v>0.22</v>
      </c>
      <c r="AN94" s="431">
        <v>0.22</v>
      </c>
      <c r="AO94" s="431">
        <v>0.22</v>
      </c>
      <c r="AP94" s="432">
        <v>0.22</v>
      </c>
      <c r="AQ94" s="432">
        <v>0.22</v>
      </c>
      <c r="AR94" s="432">
        <v>0.22</v>
      </c>
      <c r="AS94" s="432">
        <v>0.22</v>
      </c>
      <c r="AT94" s="431">
        <v>0.22</v>
      </c>
      <c r="AU94" s="431">
        <v>0.22</v>
      </c>
      <c r="AV94" s="431">
        <v>0.24199999999999999</v>
      </c>
      <c r="AW94" s="291">
        <v>6.9824523768187E-2</v>
      </c>
      <c r="AX94" s="291"/>
      <c r="AY94" s="306">
        <f t="shared" si="11"/>
        <v>0.24199999999999999</v>
      </c>
      <c r="AZ94" s="306">
        <f t="shared" si="12"/>
        <v>0.24199999999999999</v>
      </c>
      <c r="BA94" s="309">
        <f t="shared" si="13"/>
        <v>0.24199999999999999</v>
      </c>
      <c r="BB94" s="308">
        <f t="shared" si="14"/>
        <v>39142</v>
      </c>
      <c r="BC94" s="308">
        <v>0.63695889400323025</v>
      </c>
      <c r="BD94" s="291">
        <v>0.63707956919138264</v>
      </c>
      <c r="BF94" s="194">
        <v>39142</v>
      </c>
      <c r="BG94" s="206">
        <v>82</v>
      </c>
      <c r="HZ94" s="308">
        <f t="shared" si="9"/>
        <v>39203</v>
      </c>
      <c r="IA94" s="291">
        <v>84</v>
      </c>
    </row>
    <row r="95" spans="1:235" x14ac:dyDescent="0.25">
      <c r="A95" s="319"/>
      <c r="B95" s="296">
        <f t="shared" si="10"/>
        <v>39173</v>
      </c>
      <c r="C95" s="294">
        <v>2.855</v>
      </c>
      <c r="D95" s="294">
        <v>0.22</v>
      </c>
      <c r="E95" s="294">
        <v>7.0051362712266002E-2</v>
      </c>
      <c r="F95" s="294">
        <v>-0.19500000000000001</v>
      </c>
      <c r="G95" s="294">
        <v>1.4999999999999999E-2</v>
      </c>
      <c r="H95" s="294">
        <v>-0.19500000000000001</v>
      </c>
      <c r="I95" s="294">
        <v>9.7500000000000003E-2</v>
      </c>
      <c r="J95" s="294">
        <v>0.19500000000000001</v>
      </c>
      <c r="K95" s="294">
        <v>0.25</v>
      </c>
      <c r="L95" s="294">
        <v>-6.8000000000000005E-2</v>
      </c>
      <c r="M95" s="294">
        <v>-1.7999999999999999E-2</v>
      </c>
      <c r="N95" s="294">
        <v>-0.36</v>
      </c>
      <c r="O95" s="294">
        <v>-0.28999999999999998</v>
      </c>
      <c r="P95" s="294">
        <v>6.4999999999999997E-3</v>
      </c>
      <c r="Q95" s="294">
        <v>2.5000000000000001E-3</v>
      </c>
      <c r="R95" s="291">
        <v>-2.35E-2</v>
      </c>
      <c r="S95" s="291">
        <v>-5.5E-2</v>
      </c>
      <c r="T95" s="291">
        <v>-0.15</v>
      </c>
      <c r="U95" s="291">
        <v>-1.15E-2</v>
      </c>
      <c r="V95" s="291">
        <v>-9.6500000000000002E-2</v>
      </c>
      <c r="W95" s="291">
        <v>-0.12</v>
      </c>
      <c r="X95" s="291">
        <v>0.45</v>
      </c>
      <c r="Y95" s="291">
        <v>5.0000000000000001E-3</v>
      </c>
      <c r="Z95" s="291">
        <v>-0.19500000000000001</v>
      </c>
      <c r="AA95" s="291">
        <v>-1.9E-2</v>
      </c>
      <c r="AB95" s="306">
        <v>0.28999999999999998</v>
      </c>
      <c r="AC95" s="306">
        <v>0.35499999999999998</v>
      </c>
      <c r="AD95" s="306">
        <v>0.1925</v>
      </c>
      <c r="AE95" s="431">
        <v>0.22</v>
      </c>
      <c r="AF95" s="431">
        <v>0.22</v>
      </c>
      <c r="AG95" s="431">
        <v>0.216</v>
      </c>
      <c r="AH95" s="431">
        <v>0.22</v>
      </c>
      <c r="AI95" s="431">
        <v>0.224</v>
      </c>
      <c r="AJ95" s="431">
        <v>0.22</v>
      </c>
      <c r="AK95" s="431">
        <v>0.216</v>
      </c>
      <c r="AL95" s="431">
        <v>0.216</v>
      </c>
      <c r="AM95" s="431">
        <v>0.22</v>
      </c>
      <c r="AN95" s="431">
        <v>0.22</v>
      </c>
      <c r="AO95" s="431">
        <v>0.22</v>
      </c>
      <c r="AP95" s="432">
        <v>0.22</v>
      </c>
      <c r="AQ95" s="432">
        <v>0.22</v>
      </c>
      <c r="AR95" s="432">
        <v>0.22</v>
      </c>
      <c r="AS95" s="432">
        <v>0.22</v>
      </c>
      <c r="AT95" s="431">
        <v>0.22</v>
      </c>
      <c r="AU95" s="431">
        <v>0.22</v>
      </c>
      <c r="AV95" s="431">
        <v>0.216</v>
      </c>
      <c r="AW95" s="291">
        <v>6.9848740135905002E-2</v>
      </c>
      <c r="AX95" s="291"/>
      <c r="AY95" s="306">
        <f t="shared" si="11"/>
        <v>0.216</v>
      </c>
      <c r="AZ95" s="306">
        <f t="shared" si="12"/>
        <v>0.216</v>
      </c>
      <c r="BA95" s="309">
        <f t="shared" si="13"/>
        <v>0.216</v>
      </c>
      <c r="BB95" s="308">
        <f t="shared" si="14"/>
        <v>39173</v>
      </c>
      <c r="BC95" s="308">
        <v>0.63314050598089733</v>
      </c>
      <c r="BD95" s="291">
        <v>0.63326049456479538</v>
      </c>
      <c r="BF95" s="194">
        <v>39173</v>
      </c>
      <c r="BG95" s="206">
        <v>83</v>
      </c>
      <c r="HZ95" s="308">
        <f t="shared" si="9"/>
        <v>39234</v>
      </c>
      <c r="IA95" s="291">
        <v>85</v>
      </c>
    </row>
    <row r="96" spans="1:235" x14ac:dyDescent="0.25">
      <c r="A96" s="319"/>
      <c r="B96" s="296">
        <f t="shared" si="10"/>
        <v>39203</v>
      </c>
      <c r="C96" s="294">
        <v>2.847</v>
      </c>
      <c r="D96" s="294">
        <v>0.22</v>
      </c>
      <c r="E96" s="294">
        <v>7.0062495706367994E-2</v>
      </c>
      <c r="F96" s="294">
        <v>-0.19500000000000001</v>
      </c>
      <c r="G96" s="294">
        <v>1.4999999999999999E-2</v>
      </c>
      <c r="H96" s="294">
        <v>-0.19500000000000001</v>
      </c>
      <c r="I96" s="294">
        <v>0.1075</v>
      </c>
      <c r="J96" s="294">
        <v>0.1825</v>
      </c>
      <c r="K96" s="294">
        <v>0.20250000000000001</v>
      </c>
      <c r="L96" s="294">
        <v>-6.8000000000000005E-2</v>
      </c>
      <c r="M96" s="294">
        <v>-1.7999999999999999E-2</v>
      </c>
      <c r="N96" s="294">
        <v>-0.36</v>
      </c>
      <c r="O96" s="294">
        <v>-0.28999999999999998</v>
      </c>
      <c r="P96" s="294">
        <v>6.4999999999999997E-3</v>
      </c>
      <c r="Q96" s="294">
        <v>2.5000000000000001E-3</v>
      </c>
      <c r="R96" s="291">
        <v>-2.35E-2</v>
      </c>
      <c r="S96" s="291">
        <v>-5.5E-2</v>
      </c>
      <c r="T96" s="291">
        <v>-0.16500000000000001</v>
      </c>
      <c r="U96" s="291">
        <v>-1.175E-2</v>
      </c>
      <c r="V96" s="291">
        <v>-9.6500000000000002E-2</v>
      </c>
      <c r="W96" s="291">
        <v>-0.12</v>
      </c>
      <c r="X96" s="291">
        <v>0.40500000000000003</v>
      </c>
      <c r="Y96" s="291">
        <v>5.0000000000000001E-3</v>
      </c>
      <c r="Z96" s="291">
        <v>-0.19500000000000001</v>
      </c>
      <c r="AA96" s="291">
        <v>-1.9E-2</v>
      </c>
      <c r="AB96" s="306">
        <v>0.28999999999999998</v>
      </c>
      <c r="AC96" s="306">
        <v>0.28749999999999998</v>
      </c>
      <c r="AD96" s="306">
        <v>0.20250000000000001</v>
      </c>
      <c r="AE96" s="431">
        <v>0.22</v>
      </c>
      <c r="AF96" s="431">
        <v>0.22</v>
      </c>
      <c r="AG96" s="431">
        <v>0.216</v>
      </c>
      <c r="AH96" s="431">
        <v>0.22</v>
      </c>
      <c r="AI96" s="431">
        <v>0.224</v>
      </c>
      <c r="AJ96" s="431">
        <v>0.22</v>
      </c>
      <c r="AK96" s="431">
        <v>0.216</v>
      </c>
      <c r="AL96" s="431">
        <v>0.216</v>
      </c>
      <c r="AM96" s="431">
        <v>0.22</v>
      </c>
      <c r="AN96" s="431">
        <v>0.22</v>
      </c>
      <c r="AO96" s="431">
        <v>0.22</v>
      </c>
      <c r="AP96" s="432">
        <v>0.22</v>
      </c>
      <c r="AQ96" s="432">
        <v>0.22</v>
      </c>
      <c r="AR96" s="432">
        <v>0.22</v>
      </c>
      <c r="AS96" s="432">
        <v>0.22</v>
      </c>
      <c r="AT96" s="431">
        <v>0.22</v>
      </c>
      <c r="AU96" s="431">
        <v>0.22</v>
      </c>
      <c r="AV96" s="431">
        <v>0.216</v>
      </c>
      <c r="AW96" s="291">
        <v>6.9872175330655997E-2</v>
      </c>
      <c r="AX96" s="291"/>
      <c r="AY96" s="306">
        <f t="shared" si="11"/>
        <v>0.216</v>
      </c>
      <c r="AZ96" s="306">
        <f t="shared" si="12"/>
        <v>0.216</v>
      </c>
      <c r="BA96" s="309">
        <f t="shared" si="13"/>
        <v>0.216</v>
      </c>
      <c r="BB96" s="308">
        <f t="shared" si="14"/>
        <v>39203</v>
      </c>
      <c r="BC96" s="308">
        <v>0.62946492863499925</v>
      </c>
      <c r="BD96" s="291">
        <v>0.62958425606262136</v>
      </c>
      <c r="BF96" s="194">
        <v>39203</v>
      </c>
      <c r="BG96" s="206">
        <v>84</v>
      </c>
      <c r="HZ96" s="308">
        <f t="shared" si="9"/>
        <v>39264</v>
      </c>
      <c r="IA96" s="291">
        <v>86</v>
      </c>
    </row>
    <row r="97" spans="1:235" x14ac:dyDescent="0.25">
      <c r="A97" s="319"/>
      <c r="B97" s="296">
        <f t="shared" si="10"/>
        <v>39234</v>
      </c>
      <c r="C97" s="294">
        <v>2.871</v>
      </c>
      <c r="D97" s="294">
        <v>0.21</v>
      </c>
      <c r="E97" s="294">
        <v>7.0073999800317005E-2</v>
      </c>
      <c r="F97" s="294">
        <v>-0.19500000000000001</v>
      </c>
      <c r="G97" s="294">
        <v>0.02</v>
      </c>
      <c r="H97" s="294">
        <v>-0.19500000000000001</v>
      </c>
      <c r="I97" s="294">
        <v>0.10249999999999999</v>
      </c>
      <c r="J97" s="294">
        <v>0.1825</v>
      </c>
      <c r="K97" s="294">
        <v>0.20250000000000001</v>
      </c>
      <c r="L97" s="294">
        <v>-8.4000000000000005E-2</v>
      </c>
      <c r="M97" s="294">
        <v>-1.7999999999999999E-2</v>
      </c>
      <c r="N97" s="294">
        <v>-0.36</v>
      </c>
      <c r="O97" s="294">
        <v>-0.28999999999999998</v>
      </c>
      <c r="P97" s="294">
        <v>6.4999999999999997E-3</v>
      </c>
      <c r="Q97" s="294">
        <v>2.5000000000000001E-3</v>
      </c>
      <c r="R97" s="291">
        <v>-2.35E-2</v>
      </c>
      <c r="S97" s="291">
        <v>-5.5E-2</v>
      </c>
      <c r="T97" s="291">
        <v>-0.17499999999999999</v>
      </c>
      <c r="U97" s="291">
        <v>-1.175E-2</v>
      </c>
      <c r="V97" s="291">
        <v>-8.6499999999999994E-2</v>
      </c>
      <c r="W97" s="291">
        <v>-0.12</v>
      </c>
      <c r="X97" s="291">
        <v>0.39500000000000002</v>
      </c>
      <c r="Y97" s="291">
        <v>5.0000000000000001E-3</v>
      </c>
      <c r="Z97" s="291">
        <v>-0.19500000000000001</v>
      </c>
      <c r="AA97" s="291">
        <v>-1.9E-2</v>
      </c>
      <c r="AB97" s="306">
        <v>0.28999999999999998</v>
      </c>
      <c r="AC97" s="306">
        <v>0.28749999999999998</v>
      </c>
      <c r="AD97" s="306">
        <v>0.19750000000000001</v>
      </c>
      <c r="AE97" s="431">
        <v>0.21</v>
      </c>
      <c r="AF97" s="431">
        <v>0.21</v>
      </c>
      <c r="AG97" s="431">
        <v>0.20599999999999999</v>
      </c>
      <c r="AH97" s="431">
        <v>0.21</v>
      </c>
      <c r="AI97" s="431">
        <v>0.214</v>
      </c>
      <c r="AJ97" s="431">
        <v>0.21</v>
      </c>
      <c r="AK97" s="431">
        <v>0.20599999999999999</v>
      </c>
      <c r="AL97" s="431">
        <v>0.20599999999999999</v>
      </c>
      <c r="AM97" s="431">
        <v>0.21</v>
      </c>
      <c r="AN97" s="431">
        <v>0.21</v>
      </c>
      <c r="AO97" s="431">
        <v>0.21</v>
      </c>
      <c r="AP97" s="432">
        <v>0.21</v>
      </c>
      <c r="AQ97" s="432">
        <v>0.21</v>
      </c>
      <c r="AR97" s="432">
        <v>0.21</v>
      </c>
      <c r="AS97" s="432">
        <v>0.21</v>
      </c>
      <c r="AT97" s="431">
        <v>0.21</v>
      </c>
      <c r="AU97" s="431">
        <v>0.21</v>
      </c>
      <c r="AV97" s="431">
        <v>0.20599999999999999</v>
      </c>
      <c r="AW97" s="291">
        <v>6.9896391698756E-2</v>
      </c>
      <c r="AX97" s="291"/>
      <c r="AY97" s="306">
        <f t="shared" si="11"/>
        <v>0.20599999999999999</v>
      </c>
      <c r="AZ97" s="306">
        <f t="shared" si="12"/>
        <v>0.20599999999999999</v>
      </c>
      <c r="BA97" s="309">
        <f t="shared" si="13"/>
        <v>0.20599999999999999</v>
      </c>
      <c r="BB97" s="308">
        <f t="shared" si="14"/>
        <v>39234</v>
      </c>
      <c r="BC97" s="308">
        <v>0.62568702965689049</v>
      </c>
      <c r="BD97" s="291">
        <v>0.62580567728484737</v>
      </c>
      <c r="BF97" s="194">
        <v>39234</v>
      </c>
      <c r="BG97" s="206">
        <v>85</v>
      </c>
      <c r="HZ97" s="308">
        <f t="shared" si="9"/>
        <v>39295</v>
      </c>
      <c r="IA97" s="291">
        <v>87</v>
      </c>
    </row>
    <row r="98" spans="1:235" x14ac:dyDescent="0.25">
      <c r="A98" s="319"/>
      <c r="B98" s="296">
        <f t="shared" si="10"/>
        <v>39264</v>
      </c>
      <c r="C98" s="294">
        <v>2.8929999999999998</v>
      </c>
      <c r="D98" s="294">
        <v>0.21</v>
      </c>
      <c r="E98" s="294">
        <v>7.0085132794502E-2</v>
      </c>
      <c r="F98" s="294">
        <v>-0.19500000000000001</v>
      </c>
      <c r="G98" s="294">
        <v>2.2499999999999999E-2</v>
      </c>
      <c r="H98" s="294">
        <v>-0.19500000000000001</v>
      </c>
      <c r="I98" s="294">
        <v>9.2499999999999999E-2</v>
      </c>
      <c r="J98" s="294">
        <v>0.1825</v>
      </c>
      <c r="K98" s="294">
        <v>0.215</v>
      </c>
      <c r="L98" s="294">
        <v>-7.6999999999999999E-2</v>
      </c>
      <c r="M98" s="294">
        <v>-1.7999999999999999E-2</v>
      </c>
      <c r="N98" s="294">
        <v>-0.36</v>
      </c>
      <c r="O98" s="294">
        <v>-0.28999999999999998</v>
      </c>
      <c r="P98" s="294">
        <v>6.4999999999999997E-3</v>
      </c>
      <c r="Q98" s="294">
        <v>2.5000000000000001E-3</v>
      </c>
      <c r="R98" s="291">
        <v>-2.35E-2</v>
      </c>
      <c r="S98" s="291">
        <v>-5.5E-2</v>
      </c>
      <c r="T98" s="291">
        <v>-0.17499999999999999</v>
      </c>
      <c r="U98" s="291">
        <v>-1.175E-2</v>
      </c>
      <c r="V98" s="291">
        <v>-8.1500000000000003E-2</v>
      </c>
      <c r="W98" s="291">
        <v>-0.12</v>
      </c>
      <c r="X98" s="291">
        <v>0.43</v>
      </c>
      <c r="Y98" s="291">
        <v>5.0000000000000001E-3</v>
      </c>
      <c r="Z98" s="291">
        <v>-0.19500000000000001</v>
      </c>
      <c r="AA98" s="291">
        <v>-1.9E-2</v>
      </c>
      <c r="AB98" s="306">
        <v>0.28999999999999998</v>
      </c>
      <c r="AC98" s="306">
        <v>0.3</v>
      </c>
      <c r="AD98" s="306">
        <v>0.1875</v>
      </c>
      <c r="AE98" s="431">
        <v>0.21</v>
      </c>
      <c r="AF98" s="431">
        <v>0.21</v>
      </c>
      <c r="AG98" s="431">
        <v>0.20599999999999999</v>
      </c>
      <c r="AH98" s="431">
        <v>0.21</v>
      </c>
      <c r="AI98" s="431">
        <v>0.214</v>
      </c>
      <c r="AJ98" s="431">
        <v>0.21</v>
      </c>
      <c r="AK98" s="431">
        <v>0.20599999999999999</v>
      </c>
      <c r="AL98" s="431">
        <v>0.20599999999999999</v>
      </c>
      <c r="AM98" s="431">
        <v>0.21</v>
      </c>
      <c r="AN98" s="431">
        <v>0.21</v>
      </c>
      <c r="AO98" s="431">
        <v>0.21</v>
      </c>
      <c r="AP98" s="432">
        <v>0.21</v>
      </c>
      <c r="AQ98" s="432">
        <v>0.21</v>
      </c>
      <c r="AR98" s="432">
        <v>0.21</v>
      </c>
      <c r="AS98" s="432">
        <v>0.21</v>
      </c>
      <c r="AT98" s="431">
        <v>0.21</v>
      </c>
      <c r="AU98" s="431">
        <v>0.21</v>
      </c>
      <c r="AV98" s="431">
        <v>0.20599999999999999</v>
      </c>
      <c r="AW98" s="291">
        <v>6.9919826893877005E-2</v>
      </c>
      <c r="AX98" s="291"/>
      <c r="AY98" s="306">
        <f t="shared" si="11"/>
        <v>0.20599999999999999</v>
      </c>
      <c r="AZ98" s="306">
        <f t="shared" si="12"/>
        <v>0.20599999999999999</v>
      </c>
      <c r="BA98" s="309">
        <f t="shared" si="13"/>
        <v>0.20599999999999999</v>
      </c>
      <c r="BB98" s="308">
        <f t="shared" si="14"/>
        <v>39264</v>
      </c>
      <c r="BC98" s="308">
        <v>0.62205045498569556</v>
      </c>
      <c r="BD98" s="291">
        <v>0.62216844801501037</v>
      </c>
      <c r="BF98" s="194">
        <v>39264</v>
      </c>
      <c r="BG98" s="206">
        <v>86</v>
      </c>
      <c r="HZ98" s="308">
        <f t="shared" si="9"/>
        <v>39326</v>
      </c>
      <c r="IA98" s="291">
        <v>88</v>
      </c>
    </row>
    <row r="99" spans="1:235" x14ac:dyDescent="0.25">
      <c r="A99" s="319"/>
      <c r="B99" s="296">
        <f t="shared" si="10"/>
        <v>39295</v>
      </c>
      <c r="C99" s="294">
        <v>2.9140000000000001</v>
      </c>
      <c r="D99" s="294">
        <v>0.21</v>
      </c>
      <c r="E99" s="294">
        <v>7.0096636888536998E-2</v>
      </c>
      <c r="F99" s="294">
        <v>-0.19500000000000001</v>
      </c>
      <c r="G99" s="294">
        <v>2.5000000000000001E-2</v>
      </c>
      <c r="H99" s="294">
        <v>-0.19500000000000001</v>
      </c>
      <c r="I99" s="294">
        <v>0.09</v>
      </c>
      <c r="J99" s="294">
        <v>0.1825</v>
      </c>
      <c r="K99" s="294">
        <v>0.215</v>
      </c>
      <c r="L99" s="294">
        <v>-6.8000000000000005E-2</v>
      </c>
      <c r="M99" s="294">
        <v>-1.7999999999999999E-2</v>
      </c>
      <c r="N99" s="294">
        <v>-0.36</v>
      </c>
      <c r="O99" s="294">
        <v>-0.28999999999999998</v>
      </c>
      <c r="P99" s="294">
        <v>6.4999999999999997E-3</v>
      </c>
      <c r="Q99" s="294">
        <v>2.5000000000000001E-3</v>
      </c>
      <c r="R99" s="291">
        <v>-2.35E-2</v>
      </c>
      <c r="S99" s="291">
        <v>-5.5E-2</v>
      </c>
      <c r="T99" s="291">
        <v>-0.17499999999999999</v>
      </c>
      <c r="U99" s="291">
        <v>-1.175E-2</v>
      </c>
      <c r="V99" s="291">
        <v>-8.1500000000000003E-2</v>
      </c>
      <c r="W99" s="291">
        <v>-0.12</v>
      </c>
      <c r="X99" s="291">
        <v>0.495</v>
      </c>
      <c r="Y99" s="291">
        <v>5.0000000000000001E-3</v>
      </c>
      <c r="Z99" s="291">
        <v>-0.19500000000000001</v>
      </c>
      <c r="AA99" s="291">
        <v>-1.9E-2</v>
      </c>
      <c r="AB99" s="306">
        <v>0.28999999999999998</v>
      </c>
      <c r="AC99" s="306">
        <v>0.3</v>
      </c>
      <c r="AD99" s="306">
        <v>0.185</v>
      </c>
      <c r="AE99" s="431">
        <v>0.21</v>
      </c>
      <c r="AF99" s="431">
        <v>0.21</v>
      </c>
      <c r="AG99" s="431">
        <v>0.20599999999999999</v>
      </c>
      <c r="AH99" s="431">
        <v>0.21</v>
      </c>
      <c r="AI99" s="431">
        <v>0.214</v>
      </c>
      <c r="AJ99" s="431">
        <v>0.21</v>
      </c>
      <c r="AK99" s="431">
        <v>0.20599999999999999</v>
      </c>
      <c r="AL99" s="431">
        <v>0.20599999999999999</v>
      </c>
      <c r="AM99" s="431">
        <v>0.21</v>
      </c>
      <c r="AN99" s="431">
        <v>0.21</v>
      </c>
      <c r="AO99" s="431">
        <v>0.21</v>
      </c>
      <c r="AP99" s="432">
        <v>0.21</v>
      </c>
      <c r="AQ99" s="432">
        <v>0.21</v>
      </c>
      <c r="AR99" s="432">
        <v>0.21</v>
      </c>
      <c r="AS99" s="432">
        <v>0.21</v>
      </c>
      <c r="AT99" s="431">
        <v>0.21</v>
      </c>
      <c r="AU99" s="431">
        <v>0.21</v>
      </c>
      <c r="AV99" s="431">
        <v>0.20599999999999999</v>
      </c>
      <c r="AW99" s="291">
        <v>6.9944043262359007E-2</v>
      </c>
      <c r="AX99" s="291"/>
      <c r="AY99" s="306">
        <f t="shared" si="11"/>
        <v>0.20599999999999999</v>
      </c>
      <c r="AZ99" s="306">
        <f t="shared" si="12"/>
        <v>0.20599999999999999</v>
      </c>
      <c r="BA99" s="309">
        <f t="shared" si="13"/>
        <v>0.20599999999999999</v>
      </c>
      <c r="BB99" s="308">
        <f t="shared" si="14"/>
        <v>39295</v>
      </c>
      <c r="BC99" s="308">
        <v>0.61831267317320915</v>
      </c>
      <c r="BD99" s="291">
        <v>0.61842999315079883</v>
      </c>
      <c r="BF99" s="194">
        <v>39295</v>
      </c>
      <c r="BG99" s="206">
        <v>87</v>
      </c>
      <c r="HZ99" s="308">
        <f t="shared" si="9"/>
        <v>39356</v>
      </c>
      <c r="IA99" s="291">
        <v>89</v>
      </c>
    </row>
    <row r="100" spans="1:235" x14ac:dyDescent="0.25">
      <c r="A100" s="319"/>
      <c r="B100" s="296">
        <f t="shared" si="10"/>
        <v>39326</v>
      </c>
      <c r="C100" s="294">
        <v>2.8929999999999998</v>
      </c>
      <c r="D100" s="294">
        <v>0.21</v>
      </c>
      <c r="E100" s="294">
        <v>7.0108227565382999E-2</v>
      </c>
      <c r="F100" s="294">
        <v>-0.19500000000000001</v>
      </c>
      <c r="G100" s="294">
        <v>1.7500000000000002E-2</v>
      </c>
      <c r="H100" s="294">
        <v>-0.19500000000000001</v>
      </c>
      <c r="I100" s="294">
        <v>8.7499999999999994E-2</v>
      </c>
      <c r="J100" s="294">
        <v>0.1825</v>
      </c>
      <c r="K100" s="294">
        <v>0.19500000000000001</v>
      </c>
      <c r="L100" s="294">
        <v>-4.8000000000000001E-2</v>
      </c>
      <c r="M100" s="294">
        <v>-1.7999999999999999E-2</v>
      </c>
      <c r="N100" s="294">
        <v>-0.36</v>
      </c>
      <c r="O100" s="294">
        <v>-0.28999999999999998</v>
      </c>
      <c r="P100" s="294">
        <v>6.4999999999999997E-3</v>
      </c>
      <c r="Q100" s="294">
        <v>2.5000000000000001E-3</v>
      </c>
      <c r="R100" s="291">
        <v>-2.35E-2</v>
      </c>
      <c r="S100" s="291">
        <v>-5.5E-2</v>
      </c>
      <c r="T100" s="291">
        <v>-0.16500000000000001</v>
      </c>
      <c r="U100" s="291">
        <v>-1.175E-2</v>
      </c>
      <c r="V100" s="291">
        <v>-9.6500000000000002E-2</v>
      </c>
      <c r="W100" s="291">
        <v>-0.12</v>
      </c>
      <c r="X100" s="291">
        <v>0.39500000000000002</v>
      </c>
      <c r="Y100" s="291">
        <v>5.0000000000000001E-3</v>
      </c>
      <c r="Z100" s="291">
        <v>-0.19500000000000001</v>
      </c>
      <c r="AA100" s="291">
        <v>-1.9E-2</v>
      </c>
      <c r="AB100" s="306">
        <v>0.28999999999999998</v>
      </c>
      <c r="AC100" s="306">
        <v>0.28999999999999998</v>
      </c>
      <c r="AD100" s="306">
        <v>0.1825</v>
      </c>
      <c r="AE100" s="431">
        <v>0.21</v>
      </c>
      <c r="AF100" s="431">
        <v>0.21</v>
      </c>
      <c r="AG100" s="431">
        <v>0.20599999999999999</v>
      </c>
      <c r="AH100" s="431">
        <v>0.21</v>
      </c>
      <c r="AI100" s="431">
        <v>0.214</v>
      </c>
      <c r="AJ100" s="431">
        <v>0.21</v>
      </c>
      <c r="AK100" s="431">
        <v>0.20599999999999999</v>
      </c>
      <c r="AL100" s="431">
        <v>0.20599999999999999</v>
      </c>
      <c r="AM100" s="431">
        <v>0.21</v>
      </c>
      <c r="AN100" s="431">
        <v>0.21</v>
      </c>
      <c r="AO100" s="431">
        <v>0.21</v>
      </c>
      <c r="AP100" s="432">
        <v>0.21</v>
      </c>
      <c r="AQ100" s="432">
        <v>0.21</v>
      </c>
      <c r="AR100" s="432">
        <v>0.21</v>
      </c>
      <c r="AS100" s="432">
        <v>0.21</v>
      </c>
      <c r="AT100" s="431">
        <v>0.21</v>
      </c>
      <c r="AU100" s="431">
        <v>0.21</v>
      </c>
      <c r="AV100" s="431">
        <v>0.20599999999999999</v>
      </c>
      <c r="AW100" s="291">
        <v>6.9965115938064995E-2</v>
      </c>
      <c r="AX100" s="291"/>
      <c r="AY100" s="306">
        <f t="shared" si="11"/>
        <v>0.20599999999999999</v>
      </c>
      <c r="AZ100" s="306">
        <f t="shared" si="12"/>
        <v>0.20599999999999999</v>
      </c>
      <c r="BA100" s="309">
        <f t="shared" si="13"/>
        <v>0.20599999999999999</v>
      </c>
      <c r="BB100" s="308">
        <f t="shared" si="14"/>
        <v>39326</v>
      </c>
      <c r="BC100" s="308">
        <v>0.61461952906492812</v>
      </c>
      <c r="BD100" s="291">
        <v>0.61473617451654994</v>
      </c>
      <c r="BF100" s="194">
        <v>39326</v>
      </c>
      <c r="BG100" s="206">
        <v>88</v>
      </c>
      <c r="HZ100" s="308">
        <f t="shared" si="9"/>
        <v>39387</v>
      </c>
      <c r="IA100" s="291">
        <v>90</v>
      </c>
    </row>
    <row r="101" spans="1:235" x14ac:dyDescent="0.25">
      <c r="A101" s="319"/>
      <c r="B101" s="296">
        <f t="shared" si="10"/>
        <v>39356</v>
      </c>
      <c r="C101" s="294">
        <v>2.9039999999999999</v>
      </c>
      <c r="D101" s="294">
        <v>0.2</v>
      </c>
      <c r="E101" s="294">
        <v>7.0120659301209004E-2</v>
      </c>
      <c r="F101" s="294">
        <v>-0.19500000000000001</v>
      </c>
      <c r="G101" s="294">
        <v>7.4999999999999997E-3</v>
      </c>
      <c r="H101" s="294">
        <v>-0.19500000000000001</v>
      </c>
      <c r="I101" s="294">
        <v>0.10249999999999999</v>
      </c>
      <c r="J101" s="294">
        <v>0.1875</v>
      </c>
      <c r="K101" s="294">
        <v>0.215</v>
      </c>
      <c r="L101" s="294">
        <v>-5.8000000000000003E-2</v>
      </c>
      <c r="M101" s="294">
        <v>-1.7999999999999999E-2</v>
      </c>
      <c r="N101" s="294">
        <v>-0.36</v>
      </c>
      <c r="O101" s="294">
        <v>-0.28999999999999998</v>
      </c>
      <c r="P101" s="294">
        <v>6.4999999999999997E-3</v>
      </c>
      <c r="Q101" s="294">
        <v>2.5000000000000001E-3</v>
      </c>
      <c r="R101" s="291">
        <v>-2.35E-2</v>
      </c>
      <c r="S101" s="291">
        <v>-5.5E-2</v>
      </c>
      <c r="T101" s="291">
        <v>-0.15</v>
      </c>
      <c r="U101" s="291">
        <v>-0.03</v>
      </c>
      <c r="V101" s="291">
        <v>-9.9000000000000005E-2</v>
      </c>
      <c r="W101" s="291">
        <v>-0.12</v>
      </c>
      <c r="X101" s="291">
        <v>0.46100000000000002</v>
      </c>
      <c r="Y101" s="291">
        <v>5.0000000000000001E-3</v>
      </c>
      <c r="Z101" s="291">
        <v>-0.19500000000000001</v>
      </c>
      <c r="AA101" s="291">
        <v>-1.9E-2</v>
      </c>
      <c r="AB101" s="306">
        <v>0.28999999999999998</v>
      </c>
      <c r="AC101" s="306">
        <v>0.36249999999999999</v>
      </c>
      <c r="AD101" s="306">
        <v>0.19750000000000001</v>
      </c>
      <c r="AE101" s="431">
        <v>0.2</v>
      </c>
      <c r="AF101" s="431">
        <v>0.2</v>
      </c>
      <c r="AG101" s="431">
        <v>0.19600000000000001</v>
      </c>
      <c r="AH101" s="431">
        <v>0.2</v>
      </c>
      <c r="AI101" s="431">
        <v>0.20399999999999999</v>
      </c>
      <c r="AJ101" s="431">
        <v>0.2</v>
      </c>
      <c r="AK101" s="431">
        <v>0.19600000000000001</v>
      </c>
      <c r="AL101" s="431">
        <v>0.19600000000000001</v>
      </c>
      <c r="AM101" s="431">
        <v>0.2</v>
      </c>
      <c r="AN101" s="431">
        <v>0.2</v>
      </c>
      <c r="AO101" s="431">
        <v>0.2</v>
      </c>
      <c r="AP101" s="432">
        <v>0.2</v>
      </c>
      <c r="AQ101" s="432">
        <v>0.2</v>
      </c>
      <c r="AR101" s="432">
        <v>0.2</v>
      </c>
      <c r="AS101" s="432">
        <v>0.2</v>
      </c>
      <c r="AT101" s="431">
        <v>0.2</v>
      </c>
      <c r="AU101" s="431">
        <v>0.2</v>
      </c>
      <c r="AV101" s="431">
        <v>0.19600000000000001</v>
      </c>
      <c r="AW101" s="291">
        <v>6.9964973436369995E-2</v>
      </c>
      <c r="AX101" s="291"/>
      <c r="AY101" s="306">
        <f t="shared" si="11"/>
        <v>0.19600000000000001</v>
      </c>
      <c r="AZ101" s="306">
        <f t="shared" si="12"/>
        <v>0.19600000000000001</v>
      </c>
      <c r="BA101" s="309">
        <f t="shared" si="13"/>
        <v>0.19600000000000001</v>
      </c>
      <c r="BB101" s="308">
        <f t="shared" si="14"/>
        <v>39356</v>
      </c>
      <c r="BC101" s="308">
        <v>0.61113325134367646</v>
      </c>
      <c r="BD101" s="291">
        <v>0.61124923406864484</v>
      </c>
      <c r="BF101" s="194">
        <v>39356</v>
      </c>
      <c r="BG101" s="206">
        <v>89</v>
      </c>
      <c r="HZ101" s="308">
        <f t="shared" si="9"/>
        <v>39417</v>
      </c>
      <c r="IA101" s="291">
        <v>91</v>
      </c>
    </row>
    <row r="102" spans="1:235" x14ac:dyDescent="0.25">
      <c r="A102" s="319"/>
      <c r="B102" s="296">
        <f t="shared" si="10"/>
        <v>39387</v>
      </c>
      <c r="C102" s="294">
        <v>2.976</v>
      </c>
      <c r="D102" s="294">
        <v>0.2</v>
      </c>
      <c r="E102" s="294">
        <v>7.0133505428283005E-2</v>
      </c>
      <c r="F102" s="294">
        <v>-0.19</v>
      </c>
      <c r="G102" s="294">
        <v>-3.2500000000000001E-2</v>
      </c>
      <c r="H102" s="294">
        <v>-0.19</v>
      </c>
      <c r="I102" s="294">
        <v>0.16500000000000001</v>
      </c>
      <c r="J102" s="294">
        <v>0.27</v>
      </c>
      <c r="K102" s="294">
        <v>0.28749999999999998</v>
      </c>
      <c r="L102" s="294">
        <v>-7.2999999999999995E-2</v>
      </c>
      <c r="M102" s="294">
        <v>-1.0500000000000001E-2</v>
      </c>
      <c r="N102" s="294">
        <v>-0.28000000000000003</v>
      </c>
      <c r="O102" s="294">
        <v>0</v>
      </c>
      <c r="P102" s="294">
        <v>1.4999999999999999E-2</v>
      </c>
      <c r="Q102" s="294">
        <v>-5.4999999999999997E-3</v>
      </c>
      <c r="R102" s="291">
        <v>-2.6499999999999999E-2</v>
      </c>
      <c r="S102" s="291">
        <v>-5.5E-2</v>
      </c>
      <c r="T102" s="291">
        <v>-0.1125</v>
      </c>
      <c r="U102" s="291">
        <v>-2.9000000000000001E-2</v>
      </c>
      <c r="V102" s="291">
        <v>-9.6500000000000002E-2</v>
      </c>
      <c r="W102" s="291">
        <v>-0.13250000000000001</v>
      </c>
      <c r="X102" s="291">
        <v>0.76749999999999996</v>
      </c>
      <c r="Y102" s="291">
        <v>5.0000000000000001E-3</v>
      </c>
      <c r="Z102" s="291">
        <v>-0.19</v>
      </c>
      <c r="AA102" s="291">
        <v>-2.0500000000000001E-2</v>
      </c>
      <c r="AB102" s="306">
        <v>0.12</v>
      </c>
      <c r="AC102" s="306">
        <v>0.46500000000000002</v>
      </c>
      <c r="AD102" s="306">
        <v>0.26</v>
      </c>
      <c r="AE102" s="431">
        <v>0.2</v>
      </c>
      <c r="AF102" s="431">
        <v>0.2</v>
      </c>
      <c r="AG102" s="431">
        <v>0.22</v>
      </c>
      <c r="AH102" s="431">
        <v>0.2</v>
      </c>
      <c r="AI102" s="431">
        <v>0.20399999999999999</v>
      </c>
      <c r="AJ102" s="431">
        <v>0.2</v>
      </c>
      <c r="AK102" s="431">
        <v>0.2</v>
      </c>
      <c r="AL102" s="431">
        <v>0.2</v>
      </c>
      <c r="AM102" s="431">
        <v>0.2</v>
      </c>
      <c r="AN102" s="431">
        <v>0.2</v>
      </c>
      <c r="AO102" s="431">
        <v>0.2</v>
      </c>
      <c r="AP102" s="432">
        <v>0.2</v>
      </c>
      <c r="AQ102" s="432">
        <v>0.2</v>
      </c>
      <c r="AR102" s="432">
        <v>0.2</v>
      </c>
      <c r="AS102" s="432">
        <v>0.2</v>
      </c>
      <c r="AT102" s="431">
        <v>0.2</v>
      </c>
      <c r="AU102" s="431">
        <v>0.2</v>
      </c>
      <c r="AV102" s="431">
        <v>0.22</v>
      </c>
      <c r="AW102" s="291">
        <v>6.9964826184618994E-2</v>
      </c>
      <c r="AX102" s="291"/>
      <c r="AY102" s="306">
        <f t="shared" si="11"/>
        <v>0.22</v>
      </c>
      <c r="AZ102" s="306">
        <f t="shared" si="12"/>
        <v>0.22</v>
      </c>
      <c r="BA102" s="309">
        <f t="shared" si="13"/>
        <v>0.22</v>
      </c>
      <c r="BB102" s="308">
        <f t="shared" si="14"/>
        <v>39387</v>
      </c>
      <c r="BC102" s="308">
        <v>0.60755160576485567</v>
      </c>
      <c r="BD102" s="291">
        <v>0.60766690764058151</v>
      </c>
      <c r="BF102" s="194">
        <v>39387</v>
      </c>
      <c r="BG102" s="206">
        <v>90</v>
      </c>
      <c r="HZ102" s="308">
        <f t="shared" si="9"/>
        <v>39448</v>
      </c>
      <c r="IA102" s="291">
        <v>92</v>
      </c>
    </row>
    <row r="103" spans="1:235" x14ac:dyDescent="0.25">
      <c r="A103" s="319"/>
      <c r="B103" s="296">
        <f t="shared" si="10"/>
        <v>39417</v>
      </c>
      <c r="C103" s="294">
        <v>3.05</v>
      </c>
      <c r="D103" s="294">
        <v>0.2</v>
      </c>
      <c r="E103" s="294">
        <v>7.0145937164212996E-2</v>
      </c>
      <c r="F103" s="294">
        <v>-0.19750000000000001</v>
      </c>
      <c r="G103" s="294">
        <v>-5.5E-2</v>
      </c>
      <c r="H103" s="294">
        <v>-0.19750000000000001</v>
      </c>
      <c r="I103" s="294">
        <v>0.20499999999999999</v>
      </c>
      <c r="J103" s="294">
        <v>0.30499999999999999</v>
      </c>
      <c r="K103" s="294">
        <v>0.33750000000000002</v>
      </c>
      <c r="L103" s="294">
        <v>-7.2999999999999995E-2</v>
      </c>
      <c r="M103" s="294">
        <v>-1.0500000000000001E-2</v>
      </c>
      <c r="N103" s="294">
        <v>-0.28000000000000003</v>
      </c>
      <c r="O103" s="294">
        <v>0.06</v>
      </c>
      <c r="P103" s="294">
        <v>1.4999999999999999E-2</v>
      </c>
      <c r="Q103" s="388">
        <v>-5.4999999999999997E-3</v>
      </c>
      <c r="R103" s="291">
        <v>-2.6499999999999999E-2</v>
      </c>
      <c r="S103" s="291">
        <v>-5.5E-2</v>
      </c>
      <c r="T103" s="291">
        <v>-0.105</v>
      </c>
      <c r="U103" s="291">
        <v>-2.9000000000000001E-2</v>
      </c>
      <c r="V103" s="291">
        <v>-0.13150000000000001</v>
      </c>
      <c r="W103" s="291">
        <v>-0.1275</v>
      </c>
      <c r="X103" s="291">
        <v>1.19</v>
      </c>
      <c r="Y103" s="291">
        <v>5.0000000000000001E-3</v>
      </c>
      <c r="Z103" s="291">
        <v>-0.19</v>
      </c>
      <c r="AA103" s="291">
        <v>-2.0500000000000001E-2</v>
      </c>
      <c r="AB103" s="306">
        <v>0.12</v>
      </c>
      <c r="AC103" s="306">
        <v>0.8</v>
      </c>
      <c r="AD103" s="306">
        <v>0.3</v>
      </c>
      <c r="AE103" s="431">
        <v>0.2</v>
      </c>
      <c r="AF103" s="431">
        <v>0.2</v>
      </c>
      <c r="AG103" s="431">
        <v>0.22</v>
      </c>
      <c r="AH103" s="431">
        <v>0.2</v>
      </c>
      <c r="AI103" s="431">
        <v>0.20399999999999999</v>
      </c>
      <c r="AJ103" s="431">
        <v>0.2</v>
      </c>
      <c r="AK103" s="431">
        <v>0.2</v>
      </c>
      <c r="AL103" s="431">
        <v>0.2</v>
      </c>
      <c r="AM103" s="431">
        <v>0.2</v>
      </c>
      <c r="AN103" s="431">
        <v>0.2</v>
      </c>
      <c r="AO103" s="431">
        <v>0.2</v>
      </c>
      <c r="AP103" s="432">
        <v>0.2</v>
      </c>
      <c r="AQ103" s="432">
        <v>0.2</v>
      </c>
      <c r="AR103" s="432">
        <v>0.2</v>
      </c>
      <c r="AS103" s="432">
        <v>0.2</v>
      </c>
      <c r="AT103" s="431">
        <v>0.2</v>
      </c>
      <c r="AU103" s="431">
        <v>0.2</v>
      </c>
      <c r="AV103" s="431">
        <v>0.22</v>
      </c>
      <c r="AW103" s="291">
        <v>6.9964683682924994E-2</v>
      </c>
      <c r="AX103" s="291"/>
      <c r="AY103" s="306">
        <f t="shared" si="11"/>
        <v>0.22</v>
      </c>
      <c r="AZ103" s="306">
        <f t="shared" si="12"/>
        <v>0.22</v>
      </c>
      <c r="BA103" s="309">
        <f t="shared" si="13"/>
        <v>0.22</v>
      </c>
      <c r="BB103" s="308">
        <f t="shared" si="14"/>
        <v>39417</v>
      </c>
      <c r="BC103" s="308">
        <v>0.60410554981110354</v>
      </c>
      <c r="BD103" s="291">
        <v>0.60422019661855197</v>
      </c>
      <c r="BF103" s="194">
        <v>39417</v>
      </c>
      <c r="BG103" s="206">
        <v>91</v>
      </c>
      <c r="HZ103" s="308">
        <f t="shared" si="9"/>
        <v>39479</v>
      </c>
      <c r="IA103" s="291">
        <v>93</v>
      </c>
    </row>
    <row r="104" spans="1:235" x14ac:dyDescent="0.25">
      <c r="A104" s="319"/>
      <c r="B104" s="296">
        <f t="shared" si="10"/>
        <v>39448</v>
      </c>
      <c r="C104" s="294">
        <v>3.327</v>
      </c>
      <c r="D104" s="294">
        <v>0.2</v>
      </c>
      <c r="E104" s="294">
        <v>7.0158783291393995E-2</v>
      </c>
      <c r="F104" s="294">
        <v>-0.2</v>
      </c>
      <c r="G104" s="294">
        <v>-5.7500000000000002E-2</v>
      </c>
      <c r="H104" s="294">
        <v>-0.2</v>
      </c>
      <c r="I104" s="294">
        <v>0.26</v>
      </c>
      <c r="J104" s="294">
        <v>0.30499999999999999</v>
      </c>
      <c r="K104" s="294">
        <v>0.4375</v>
      </c>
      <c r="L104" s="294">
        <v>-7.2999999999999995E-2</v>
      </c>
      <c r="M104" s="294">
        <v>-8.5000000000000006E-3</v>
      </c>
      <c r="N104" s="294">
        <v>-0.28000000000000003</v>
      </c>
      <c r="O104" s="294">
        <v>0.13</v>
      </c>
      <c r="P104" s="294">
        <v>1.4999999999999999E-2</v>
      </c>
      <c r="Q104" s="388">
        <v>-5.4999999999999997E-3</v>
      </c>
      <c r="R104" s="291">
        <v>-2.1999999999999999E-2</v>
      </c>
      <c r="S104" s="291">
        <v>-5.5E-2</v>
      </c>
      <c r="T104" s="291">
        <v>-0.09</v>
      </c>
      <c r="U104" s="291">
        <v>-2.9000000000000001E-2</v>
      </c>
      <c r="V104" s="291">
        <v>-0.13700000000000001</v>
      </c>
      <c r="W104" s="291">
        <v>-0.1275</v>
      </c>
      <c r="X104" s="291">
        <v>1.5249999999999999</v>
      </c>
      <c r="Y104" s="291">
        <v>5.0000000000000001E-3</v>
      </c>
      <c r="Z104" s="291">
        <v>-0.19</v>
      </c>
      <c r="AA104" s="291">
        <v>-2.0500000000000001E-2</v>
      </c>
      <c r="AB104" s="306">
        <v>0.12</v>
      </c>
      <c r="AC104" s="306">
        <v>0.97499999999999998</v>
      </c>
      <c r="AD104" s="306">
        <v>0.35499999999999998</v>
      </c>
      <c r="AE104" s="431">
        <v>0.2</v>
      </c>
      <c r="AF104" s="431">
        <v>0.2</v>
      </c>
      <c r="AG104" s="431">
        <v>0.22</v>
      </c>
      <c r="AH104" s="431">
        <v>0.2</v>
      </c>
      <c r="AI104" s="431">
        <v>0.20399999999999999</v>
      </c>
      <c r="AJ104" s="431">
        <v>0.2</v>
      </c>
      <c r="AK104" s="431">
        <v>0.2</v>
      </c>
      <c r="AL104" s="431">
        <v>0.2</v>
      </c>
      <c r="AM104" s="431">
        <v>0.2</v>
      </c>
      <c r="AN104" s="431">
        <v>0.2</v>
      </c>
      <c r="AO104" s="431">
        <v>0.2</v>
      </c>
      <c r="AP104" s="432">
        <v>0.2</v>
      </c>
      <c r="AQ104" s="432">
        <v>0.2</v>
      </c>
      <c r="AR104" s="432">
        <v>0.2</v>
      </c>
      <c r="AS104" s="432">
        <v>0.2</v>
      </c>
      <c r="AT104" s="431">
        <v>0.2</v>
      </c>
      <c r="AU104" s="431">
        <v>0.2</v>
      </c>
      <c r="AV104" s="431">
        <v>0.22</v>
      </c>
      <c r="AW104" s="291">
        <v>6.9964536431173993E-2</v>
      </c>
      <c r="AX104" s="291"/>
      <c r="AY104" s="306">
        <f t="shared" si="11"/>
        <v>0.22</v>
      </c>
      <c r="AZ104" s="306">
        <f t="shared" si="12"/>
        <v>0.22</v>
      </c>
      <c r="BA104" s="309">
        <f t="shared" si="13"/>
        <v>0.22</v>
      </c>
      <c r="BB104" s="308">
        <f t="shared" si="14"/>
        <v>39448</v>
      </c>
      <c r="BC104" s="308">
        <v>0.60056522549848768</v>
      </c>
      <c r="BD104" s="291">
        <v>0.60067919932434433</v>
      </c>
      <c r="BF104" s="194">
        <v>39448</v>
      </c>
      <c r="BG104" s="206">
        <v>92</v>
      </c>
      <c r="HZ104" s="308">
        <f t="shared" si="9"/>
        <v>39508</v>
      </c>
      <c r="IA104" s="291">
        <v>94</v>
      </c>
    </row>
    <row r="105" spans="1:235" x14ac:dyDescent="0.25">
      <c r="A105" s="319"/>
      <c r="B105" s="296">
        <f t="shared" si="10"/>
        <v>39479</v>
      </c>
      <c r="C105" s="294">
        <v>3.2050000000000001</v>
      </c>
      <c r="D105" s="294">
        <v>0.2</v>
      </c>
      <c r="E105" s="294">
        <v>7.0171629418630005E-2</v>
      </c>
      <c r="F105" s="294">
        <v>-0.20250000000000001</v>
      </c>
      <c r="G105" s="294">
        <v>-0.04</v>
      </c>
      <c r="H105" s="294">
        <v>-0.20250000000000001</v>
      </c>
      <c r="I105" s="294">
        <v>0.23499999999999999</v>
      </c>
      <c r="J105" s="294">
        <v>0.30499999999999999</v>
      </c>
      <c r="K105" s="294">
        <v>0.435</v>
      </c>
      <c r="L105" s="294">
        <v>-7.2999999999999995E-2</v>
      </c>
      <c r="M105" s="294">
        <v>-8.5000000000000006E-3</v>
      </c>
      <c r="N105" s="294">
        <v>-0.28000000000000003</v>
      </c>
      <c r="O105" s="294">
        <v>0</v>
      </c>
      <c r="P105" s="294">
        <v>1.4999999999999999E-2</v>
      </c>
      <c r="Q105" s="388">
        <v>-5.4999999999999997E-3</v>
      </c>
      <c r="R105" s="291">
        <v>-2.1999999999999999E-2</v>
      </c>
      <c r="S105" s="291">
        <v>-5.5E-2</v>
      </c>
      <c r="T105" s="291">
        <v>-0.09</v>
      </c>
      <c r="U105" s="291">
        <v>-2.9000000000000001E-2</v>
      </c>
      <c r="V105" s="291">
        <v>-0.1195</v>
      </c>
      <c r="W105" s="291">
        <v>-0.1275</v>
      </c>
      <c r="X105" s="291">
        <v>1.4550000000000001</v>
      </c>
      <c r="Y105" s="291">
        <v>5.0000000000000001E-3</v>
      </c>
      <c r="Z105" s="291">
        <v>-0.19</v>
      </c>
      <c r="AA105" s="291">
        <v>-2.0500000000000001E-2</v>
      </c>
      <c r="AB105" s="306">
        <v>0.12</v>
      </c>
      <c r="AC105" s="306">
        <v>0.97499999999999998</v>
      </c>
      <c r="AD105" s="306">
        <v>0.33</v>
      </c>
      <c r="AE105" s="431">
        <v>0.2</v>
      </c>
      <c r="AF105" s="431">
        <v>0.2</v>
      </c>
      <c r="AG105" s="431">
        <v>0.22</v>
      </c>
      <c r="AH105" s="431">
        <v>0.2</v>
      </c>
      <c r="AI105" s="431">
        <v>0.20399999999999999</v>
      </c>
      <c r="AJ105" s="431">
        <v>0.2</v>
      </c>
      <c r="AK105" s="431">
        <v>0.2</v>
      </c>
      <c r="AL105" s="431">
        <v>0.2</v>
      </c>
      <c r="AM105" s="431">
        <v>0.2</v>
      </c>
      <c r="AN105" s="431">
        <v>0.2</v>
      </c>
      <c r="AO105" s="431">
        <v>0.2</v>
      </c>
      <c r="AP105" s="432">
        <v>0.2</v>
      </c>
      <c r="AQ105" s="432">
        <v>0.2</v>
      </c>
      <c r="AR105" s="432">
        <v>0.2</v>
      </c>
      <c r="AS105" s="432">
        <v>0.2</v>
      </c>
      <c r="AT105" s="431">
        <v>0.2</v>
      </c>
      <c r="AU105" s="431">
        <v>0.2</v>
      </c>
      <c r="AV105" s="431">
        <v>0.22</v>
      </c>
      <c r="AW105" s="291">
        <v>6.9964389179423006E-2</v>
      </c>
      <c r="AX105" s="291"/>
      <c r="AY105" s="306">
        <f t="shared" si="11"/>
        <v>0.22</v>
      </c>
      <c r="AZ105" s="306">
        <f t="shared" si="12"/>
        <v>0.22</v>
      </c>
      <c r="BA105" s="309">
        <f t="shared" si="13"/>
        <v>0.22</v>
      </c>
      <c r="BB105" s="308">
        <f t="shared" si="14"/>
        <v>39479</v>
      </c>
      <c r="BC105" s="308">
        <v>0.59704571688535224</v>
      </c>
      <c r="BD105" s="291">
        <v>0.59715902169291124</v>
      </c>
      <c r="BF105" s="194">
        <v>39479</v>
      </c>
      <c r="BG105" s="206">
        <v>93</v>
      </c>
      <c r="HZ105" s="308">
        <f t="shared" si="9"/>
        <v>39539</v>
      </c>
      <c r="IA105" s="291">
        <v>95</v>
      </c>
    </row>
    <row r="106" spans="1:235" x14ac:dyDescent="0.25">
      <c r="A106" s="319"/>
      <c r="B106" s="296">
        <f t="shared" si="10"/>
        <v>39508</v>
      </c>
      <c r="C106" s="294">
        <v>3.05</v>
      </c>
      <c r="D106" s="294">
        <v>0.2</v>
      </c>
      <c r="E106" s="294">
        <v>7.0183646763513005E-2</v>
      </c>
      <c r="F106" s="294">
        <v>-0.20499999999999999</v>
      </c>
      <c r="G106" s="294">
        <v>-2.75E-2</v>
      </c>
      <c r="H106" s="294">
        <v>-0.20499999999999999</v>
      </c>
      <c r="I106" s="294">
        <v>0.23250000000000001</v>
      </c>
      <c r="J106" s="294">
        <v>0.26500000000000001</v>
      </c>
      <c r="K106" s="294">
        <v>0.30249999999999999</v>
      </c>
      <c r="L106" s="294">
        <v>-7.2999999999999995E-2</v>
      </c>
      <c r="M106" s="294">
        <v>-8.5000000000000006E-3</v>
      </c>
      <c r="N106" s="294">
        <v>-0.28000000000000003</v>
      </c>
      <c r="O106" s="294">
        <v>-0.18</v>
      </c>
      <c r="P106" s="294">
        <v>1.4999999999999999E-2</v>
      </c>
      <c r="Q106" s="388">
        <v>-5.4999999999999997E-3</v>
      </c>
      <c r="R106" s="291">
        <v>-2.1999999999999999E-2</v>
      </c>
      <c r="S106" s="291">
        <v>-5.5E-2</v>
      </c>
      <c r="T106" s="291">
        <v>-0.09</v>
      </c>
      <c r="U106" s="291">
        <v>-1.0500000000000001E-2</v>
      </c>
      <c r="V106" s="291">
        <v>-0.10199999999999999</v>
      </c>
      <c r="W106" s="291">
        <v>-0.13250000000000001</v>
      </c>
      <c r="X106" s="291">
        <v>0.83499999999999996</v>
      </c>
      <c r="Y106" s="291">
        <v>5.0000000000000001E-3</v>
      </c>
      <c r="Z106" s="291">
        <v>-0.19</v>
      </c>
      <c r="AA106" s="291">
        <v>-2.0500000000000001E-2</v>
      </c>
      <c r="AB106" s="306">
        <v>0.12</v>
      </c>
      <c r="AC106" s="306">
        <v>0.60750000000000004</v>
      </c>
      <c r="AD106" s="306">
        <v>0.32750000000000001</v>
      </c>
      <c r="AE106" s="431">
        <v>0.2</v>
      </c>
      <c r="AF106" s="431">
        <v>0.2</v>
      </c>
      <c r="AG106" s="431">
        <v>0.22</v>
      </c>
      <c r="AH106" s="431">
        <v>0.2</v>
      </c>
      <c r="AI106" s="431">
        <v>0.20399999999999999</v>
      </c>
      <c r="AJ106" s="431">
        <v>0.2</v>
      </c>
      <c r="AK106" s="431">
        <v>0.2</v>
      </c>
      <c r="AL106" s="431">
        <v>0.2</v>
      </c>
      <c r="AM106" s="431">
        <v>0.2</v>
      </c>
      <c r="AN106" s="431">
        <v>0.2</v>
      </c>
      <c r="AO106" s="431">
        <v>0.2</v>
      </c>
      <c r="AP106" s="432">
        <v>0.2</v>
      </c>
      <c r="AQ106" s="432">
        <v>0.2</v>
      </c>
      <c r="AR106" s="432">
        <v>0.2</v>
      </c>
      <c r="AS106" s="432">
        <v>0.2</v>
      </c>
      <c r="AT106" s="431">
        <v>0.2</v>
      </c>
      <c r="AU106" s="431">
        <v>0.2</v>
      </c>
      <c r="AV106" s="431">
        <v>0.22</v>
      </c>
      <c r="AW106" s="291">
        <v>6.9964251427784993E-2</v>
      </c>
      <c r="AX106" s="291"/>
      <c r="AY106" s="306">
        <f t="shared" si="11"/>
        <v>0.22</v>
      </c>
      <c r="AZ106" s="306">
        <f t="shared" si="12"/>
        <v>0.22</v>
      </c>
      <c r="BA106" s="309">
        <f t="shared" si="13"/>
        <v>0.22</v>
      </c>
      <c r="BB106" s="308">
        <f t="shared" si="14"/>
        <v>39508</v>
      </c>
      <c r="BC106" s="308">
        <v>0.59377200916452977</v>
      </c>
      <c r="BD106" s="291">
        <v>0.59388469168351499</v>
      </c>
      <c r="BF106" s="194">
        <v>39508</v>
      </c>
      <c r="BG106" s="206">
        <v>94</v>
      </c>
      <c r="HZ106" s="308">
        <f t="shared" si="9"/>
        <v>39569</v>
      </c>
      <c r="IA106" s="291">
        <v>96</v>
      </c>
    </row>
    <row r="107" spans="1:235" x14ac:dyDescent="0.25">
      <c r="A107" s="319"/>
      <c r="B107" s="296">
        <f t="shared" si="10"/>
        <v>39539</v>
      </c>
      <c r="C107" s="294">
        <v>2.887</v>
      </c>
      <c r="D107" s="294">
        <v>0.2</v>
      </c>
      <c r="E107" s="294">
        <v>7.0196492890854001E-2</v>
      </c>
      <c r="F107" s="294">
        <v>-0.19500000000000001</v>
      </c>
      <c r="G107" s="294">
        <v>1.4999999999999999E-2</v>
      </c>
      <c r="H107" s="294">
        <v>-0.19500000000000001</v>
      </c>
      <c r="I107" s="294">
        <v>0.13750000000000001</v>
      </c>
      <c r="J107" s="294">
        <v>0.19500000000000001</v>
      </c>
      <c r="K107" s="294">
        <v>0.25</v>
      </c>
      <c r="L107" s="294">
        <v>-6.6000000000000003E-2</v>
      </c>
      <c r="M107" s="294">
        <v>-1.6E-2</v>
      </c>
      <c r="N107" s="294">
        <v>-0.36</v>
      </c>
      <c r="O107" s="294">
        <v>-0.28999999999999998</v>
      </c>
      <c r="P107" s="294">
        <v>6.4999999999999997E-3</v>
      </c>
      <c r="Q107" s="388">
        <v>4.4999999999999997E-3</v>
      </c>
      <c r="R107" s="291">
        <v>-2.1499999999999998E-2</v>
      </c>
      <c r="S107" s="291">
        <v>-5.2499999999999998E-2</v>
      </c>
      <c r="T107" s="291">
        <v>-0.17</v>
      </c>
      <c r="U107" s="291">
        <v>-1.0500000000000001E-2</v>
      </c>
      <c r="V107" s="291">
        <v>-9.4500000000000001E-2</v>
      </c>
      <c r="W107" s="291">
        <v>-0.12</v>
      </c>
      <c r="X107" s="291">
        <v>0.45</v>
      </c>
      <c r="Y107" s="291">
        <v>5.0000000000000001E-3</v>
      </c>
      <c r="Z107" s="291">
        <v>-0.19500000000000001</v>
      </c>
      <c r="AA107" s="291">
        <v>-1.7999999999999999E-2</v>
      </c>
      <c r="AB107" s="306">
        <v>0.28999999999999998</v>
      </c>
      <c r="AC107" s="306">
        <v>0.35499999999999998</v>
      </c>
      <c r="AD107" s="306">
        <v>0.23250000000000001</v>
      </c>
      <c r="AE107" s="431">
        <v>0.2</v>
      </c>
      <c r="AF107" s="431">
        <v>0.2</v>
      </c>
      <c r="AG107" s="431">
        <v>0.19600000000000001</v>
      </c>
      <c r="AH107" s="431">
        <v>0.2</v>
      </c>
      <c r="AI107" s="431">
        <v>0.20399999999999999</v>
      </c>
      <c r="AJ107" s="431">
        <v>0.2</v>
      </c>
      <c r="AK107" s="431">
        <v>0.19600000000000001</v>
      </c>
      <c r="AL107" s="431">
        <v>0.19600000000000001</v>
      </c>
      <c r="AM107" s="431">
        <v>0.2</v>
      </c>
      <c r="AN107" s="431">
        <v>0.2</v>
      </c>
      <c r="AO107" s="431">
        <v>0.2</v>
      </c>
      <c r="AP107" s="432">
        <v>0.2</v>
      </c>
      <c r="AQ107" s="432">
        <v>0.2</v>
      </c>
      <c r="AR107" s="432">
        <v>0.2</v>
      </c>
      <c r="AS107" s="432">
        <v>0.2</v>
      </c>
      <c r="AT107" s="431">
        <v>0.2</v>
      </c>
      <c r="AU107" s="431">
        <v>0.2</v>
      </c>
      <c r="AV107" s="431">
        <v>0.19600000000000001</v>
      </c>
      <c r="AW107" s="291">
        <v>6.9964104176034006E-2</v>
      </c>
      <c r="AX107" s="291"/>
      <c r="AY107" s="306">
        <f t="shared" si="11"/>
        <v>0.19600000000000001</v>
      </c>
      <c r="AZ107" s="306">
        <f t="shared" si="12"/>
        <v>0.19600000000000001</v>
      </c>
      <c r="BA107" s="309">
        <f t="shared" si="13"/>
        <v>0.19600000000000001</v>
      </c>
      <c r="BB107" s="308">
        <f t="shared" si="14"/>
        <v>39539</v>
      </c>
      <c r="BC107" s="308">
        <v>0.5902924408412803</v>
      </c>
      <c r="BD107" s="291">
        <v>0.59040446194646334</v>
      </c>
      <c r="BF107" s="194">
        <v>39539</v>
      </c>
      <c r="BG107" s="206">
        <v>95</v>
      </c>
      <c r="HZ107" s="308">
        <f t="shared" si="9"/>
        <v>39600</v>
      </c>
      <c r="IA107" s="291">
        <v>97</v>
      </c>
    </row>
    <row r="108" spans="1:235" x14ac:dyDescent="0.25">
      <c r="A108" s="319"/>
      <c r="B108" s="296">
        <f t="shared" si="10"/>
        <v>39569</v>
      </c>
      <c r="C108" s="294">
        <v>2.88</v>
      </c>
      <c r="D108" s="294">
        <v>0.2</v>
      </c>
      <c r="E108" s="294">
        <v>7.0208924627043007E-2</v>
      </c>
      <c r="F108" s="294">
        <v>-0.19500000000000001</v>
      </c>
      <c r="G108" s="294">
        <v>1.4999999999999999E-2</v>
      </c>
      <c r="H108" s="294">
        <v>-0.19500000000000001</v>
      </c>
      <c r="I108" s="294">
        <v>0.14749999999999999</v>
      </c>
      <c r="J108" s="294">
        <v>0.1825</v>
      </c>
      <c r="K108" s="294">
        <v>0.20250000000000001</v>
      </c>
      <c r="L108" s="294">
        <v>-6.6000000000000003E-2</v>
      </c>
      <c r="M108" s="294">
        <v>-1.6E-2</v>
      </c>
      <c r="N108" s="294">
        <v>-0.36</v>
      </c>
      <c r="O108" s="294">
        <v>-0.28999999999999998</v>
      </c>
      <c r="P108" s="294">
        <v>6.4999999999999997E-3</v>
      </c>
      <c r="Q108" s="294">
        <v>4.4999999999999997E-3</v>
      </c>
      <c r="R108" s="291">
        <v>-2.1499999999999998E-2</v>
      </c>
      <c r="S108" s="291">
        <v>-5.2499999999999998E-2</v>
      </c>
      <c r="T108" s="291">
        <v>-0.185</v>
      </c>
      <c r="U108" s="291">
        <v>-1.0749999999999999E-2</v>
      </c>
      <c r="V108" s="291">
        <v>-9.4500000000000001E-2</v>
      </c>
      <c r="W108" s="291">
        <v>-0.12</v>
      </c>
      <c r="X108" s="291">
        <v>0.40500000000000003</v>
      </c>
      <c r="Y108" s="291">
        <v>5.0000000000000001E-3</v>
      </c>
      <c r="Z108" s="291">
        <v>-0.19500000000000001</v>
      </c>
      <c r="AA108" s="291">
        <v>-1.7999999999999999E-2</v>
      </c>
      <c r="AB108" s="306">
        <v>0.28999999999999998</v>
      </c>
      <c r="AC108" s="306">
        <v>0.28749999999999998</v>
      </c>
      <c r="AD108" s="306">
        <v>0.24249999999999999</v>
      </c>
      <c r="AE108" s="431">
        <v>0.2</v>
      </c>
      <c r="AF108" s="431">
        <v>0.2</v>
      </c>
      <c r="AG108" s="431">
        <v>0.19600000000000001</v>
      </c>
      <c r="AH108" s="431">
        <v>0.2</v>
      </c>
      <c r="AI108" s="431">
        <v>0.20399999999999999</v>
      </c>
      <c r="AJ108" s="431">
        <v>0.2</v>
      </c>
      <c r="AK108" s="431">
        <v>0.19600000000000001</v>
      </c>
      <c r="AL108" s="431">
        <v>0.19600000000000001</v>
      </c>
      <c r="AM108" s="431">
        <v>0.2</v>
      </c>
      <c r="AN108" s="431">
        <v>0.2</v>
      </c>
      <c r="AO108" s="431">
        <v>0.2</v>
      </c>
      <c r="AP108" s="432">
        <v>0.2</v>
      </c>
      <c r="AQ108" s="432">
        <v>0.2</v>
      </c>
      <c r="AR108" s="432">
        <v>0.2</v>
      </c>
      <c r="AS108" s="432">
        <v>0.2</v>
      </c>
      <c r="AT108" s="431">
        <v>0.2</v>
      </c>
      <c r="AU108" s="431">
        <v>0.2</v>
      </c>
      <c r="AV108" s="431">
        <v>0.19600000000000001</v>
      </c>
      <c r="AW108" s="291">
        <v>6.9963961674339006E-2</v>
      </c>
      <c r="AX108" s="291"/>
      <c r="AY108" s="306">
        <f t="shared" si="11"/>
        <v>0.19600000000000001</v>
      </c>
      <c r="AZ108" s="306">
        <f t="shared" si="12"/>
        <v>0.19600000000000001</v>
      </c>
      <c r="BA108" s="309">
        <f t="shared" si="13"/>
        <v>0.19600000000000001</v>
      </c>
      <c r="BB108" s="308">
        <f t="shared" si="14"/>
        <v>39569</v>
      </c>
      <c r="BC108" s="308">
        <v>0.58694459599627891</v>
      </c>
      <c r="BD108" s="291">
        <v>0.587055980732337</v>
      </c>
      <c r="BF108" s="194">
        <v>39569</v>
      </c>
      <c r="BG108" s="206">
        <v>96</v>
      </c>
      <c r="HZ108" s="308">
        <f t="shared" si="9"/>
        <v>39630</v>
      </c>
      <c r="IA108" s="291">
        <v>98</v>
      </c>
    </row>
    <row r="109" spans="1:235" x14ac:dyDescent="0.25">
      <c r="A109" s="319"/>
      <c r="B109" s="296">
        <f t="shared" si="10"/>
        <v>39600</v>
      </c>
      <c r="C109" s="294">
        <v>2.9049999999999998</v>
      </c>
      <c r="D109" s="294">
        <v>0.2</v>
      </c>
      <c r="E109" s="294">
        <v>7.0221770754491E-2</v>
      </c>
      <c r="F109" s="294">
        <v>-0.19500000000000001</v>
      </c>
      <c r="G109" s="294">
        <v>0.02</v>
      </c>
      <c r="H109" s="294">
        <v>-0.19500000000000001</v>
      </c>
      <c r="I109" s="294">
        <v>0.14249999999999999</v>
      </c>
      <c r="J109" s="294">
        <v>0.1825</v>
      </c>
      <c r="K109" s="294">
        <v>0.20250000000000001</v>
      </c>
      <c r="L109" s="294">
        <v>-8.2000000000000003E-2</v>
      </c>
      <c r="M109" s="294">
        <v>-1.6E-2</v>
      </c>
      <c r="N109" s="294">
        <v>-0.36</v>
      </c>
      <c r="O109" s="294">
        <v>-0.28999999999999998</v>
      </c>
      <c r="P109" s="294">
        <v>6.4999999999999997E-3</v>
      </c>
      <c r="Q109" s="294">
        <v>4.4999999999999997E-3</v>
      </c>
      <c r="R109" s="291">
        <v>-2.1499999999999998E-2</v>
      </c>
      <c r="S109" s="291">
        <v>-5.2499999999999998E-2</v>
      </c>
      <c r="T109" s="291">
        <v>-0.19500000000000001</v>
      </c>
      <c r="U109" s="291">
        <v>-1.0749999999999999E-2</v>
      </c>
      <c r="V109" s="291">
        <v>-8.4500000000000006E-2</v>
      </c>
      <c r="W109" s="291">
        <v>-0.12</v>
      </c>
      <c r="X109" s="291">
        <v>0.39500000000000002</v>
      </c>
      <c r="Y109" s="291">
        <v>5.0000000000000001E-3</v>
      </c>
      <c r="Z109" s="291">
        <v>-0.19500000000000001</v>
      </c>
      <c r="AA109" s="291">
        <v>-1.7999999999999999E-2</v>
      </c>
      <c r="AB109" s="306">
        <v>0.28999999999999998</v>
      </c>
      <c r="AC109" s="306">
        <v>0.28749999999999998</v>
      </c>
      <c r="AD109" s="306">
        <v>0.23749999999999999</v>
      </c>
      <c r="AE109" s="431">
        <v>0.2</v>
      </c>
      <c r="AF109" s="431">
        <v>0.2</v>
      </c>
      <c r="AG109" s="431">
        <v>0.19600000000000001</v>
      </c>
      <c r="AH109" s="431">
        <v>0.2</v>
      </c>
      <c r="AI109" s="431">
        <v>0.20399999999999999</v>
      </c>
      <c r="AJ109" s="431">
        <v>0.2</v>
      </c>
      <c r="AK109" s="431">
        <v>0.19600000000000001</v>
      </c>
      <c r="AL109" s="431">
        <v>0.19600000000000001</v>
      </c>
      <c r="AM109" s="431">
        <v>0.2</v>
      </c>
      <c r="AN109" s="431">
        <v>0.2</v>
      </c>
      <c r="AO109" s="431">
        <v>0.2</v>
      </c>
      <c r="AP109" s="432">
        <v>0.2</v>
      </c>
      <c r="AQ109" s="432">
        <v>0.2</v>
      </c>
      <c r="AR109" s="432">
        <v>0.2</v>
      </c>
      <c r="AS109" s="432">
        <v>0.2</v>
      </c>
      <c r="AT109" s="431">
        <v>0.2</v>
      </c>
      <c r="AU109" s="431">
        <v>0.2</v>
      </c>
      <c r="AV109" s="431">
        <v>0.19600000000000001</v>
      </c>
      <c r="AW109" s="291">
        <v>6.9963814422588005E-2</v>
      </c>
      <c r="AX109" s="291"/>
      <c r="AY109" s="306">
        <f t="shared" si="11"/>
        <v>0.19600000000000001</v>
      </c>
      <c r="AZ109" s="306">
        <f t="shared" si="12"/>
        <v>0.19600000000000001</v>
      </c>
      <c r="BA109" s="309">
        <f t="shared" si="13"/>
        <v>0.19600000000000001</v>
      </c>
      <c r="BB109" s="308">
        <f t="shared" si="14"/>
        <v>39600</v>
      </c>
      <c r="BC109" s="308">
        <v>0.58350516752105086</v>
      </c>
      <c r="BD109" s="291">
        <v>0.58361589848565476</v>
      </c>
      <c r="BF109" s="194">
        <v>39600</v>
      </c>
      <c r="BG109" s="206">
        <v>97</v>
      </c>
      <c r="HZ109" s="308">
        <f t="shared" si="9"/>
        <v>39661</v>
      </c>
      <c r="IA109" s="291">
        <v>99</v>
      </c>
    </row>
    <row r="110" spans="1:235" x14ac:dyDescent="0.25">
      <c r="A110" s="319"/>
      <c r="B110" s="296">
        <f t="shared" si="10"/>
        <v>39630</v>
      </c>
      <c r="C110" s="294">
        <v>2.927</v>
      </c>
      <c r="D110" s="294">
        <v>0.18</v>
      </c>
      <c r="E110" s="294">
        <v>7.0234202490785005E-2</v>
      </c>
      <c r="F110" s="294">
        <v>-0.19500000000000001</v>
      </c>
      <c r="G110" s="294">
        <v>2.2499999999999999E-2</v>
      </c>
      <c r="H110" s="294">
        <v>-0.19500000000000001</v>
      </c>
      <c r="I110" s="294">
        <v>0.13250000000000001</v>
      </c>
      <c r="J110" s="294">
        <v>0.1825</v>
      </c>
      <c r="K110" s="294">
        <v>0.215</v>
      </c>
      <c r="L110" s="294">
        <v>-7.4999999999999997E-2</v>
      </c>
      <c r="M110" s="294">
        <v>-1.6E-2</v>
      </c>
      <c r="N110" s="294">
        <v>-0.36</v>
      </c>
      <c r="O110" s="294">
        <v>-0.28999999999999998</v>
      </c>
      <c r="P110" s="294">
        <v>6.4999999999999997E-3</v>
      </c>
      <c r="Q110" s="294">
        <v>4.4999999999999997E-3</v>
      </c>
      <c r="R110" s="291">
        <v>-2.1499999999999998E-2</v>
      </c>
      <c r="S110" s="291">
        <v>-5.2499999999999998E-2</v>
      </c>
      <c r="T110" s="291">
        <v>-0.19500000000000001</v>
      </c>
      <c r="U110" s="291">
        <v>-1.0749999999999999E-2</v>
      </c>
      <c r="V110" s="291">
        <v>-7.9500000000000001E-2</v>
      </c>
      <c r="W110" s="291">
        <v>-0.12</v>
      </c>
      <c r="X110" s="291">
        <v>0.43</v>
      </c>
      <c r="Y110" s="291">
        <v>5.0000000000000001E-3</v>
      </c>
      <c r="Z110" s="291">
        <v>-0.19500000000000001</v>
      </c>
      <c r="AA110" s="291">
        <v>-1.7999999999999999E-2</v>
      </c>
      <c r="AB110" s="306">
        <v>0.28999999999999998</v>
      </c>
      <c r="AC110" s="306">
        <v>0.3</v>
      </c>
      <c r="AD110" s="306">
        <v>0.22750000000000001</v>
      </c>
      <c r="AE110" s="431">
        <v>0.18</v>
      </c>
      <c r="AF110" s="431">
        <v>0.18</v>
      </c>
      <c r="AG110" s="431">
        <v>0.17599999999999999</v>
      </c>
      <c r="AH110" s="431">
        <v>0.18</v>
      </c>
      <c r="AI110" s="431">
        <v>0.184</v>
      </c>
      <c r="AJ110" s="431">
        <v>0.18</v>
      </c>
      <c r="AK110" s="431">
        <v>0.17599999999999999</v>
      </c>
      <c r="AL110" s="431">
        <v>0.17599999999999999</v>
      </c>
      <c r="AM110" s="431">
        <v>0.18</v>
      </c>
      <c r="AN110" s="431">
        <v>0.18</v>
      </c>
      <c r="AO110" s="431">
        <v>0.18</v>
      </c>
      <c r="AP110" s="432">
        <v>0.18</v>
      </c>
      <c r="AQ110" s="432">
        <v>0.18</v>
      </c>
      <c r="AR110" s="432">
        <v>0.18</v>
      </c>
      <c r="AS110" s="432">
        <v>0.18</v>
      </c>
      <c r="AT110" s="431">
        <v>0.18</v>
      </c>
      <c r="AU110" s="431">
        <v>0.18</v>
      </c>
      <c r="AV110" s="431">
        <v>0.17599999999999999</v>
      </c>
      <c r="AW110" s="291">
        <v>6.9963671920894005E-2</v>
      </c>
      <c r="AX110" s="291"/>
      <c r="AY110" s="306">
        <f t="shared" si="11"/>
        <v>0.17599999999999999</v>
      </c>
      <c r="AZ110" s="306">
        <f t="shared" si="12"/>
        <v>0.17599999999999999</v>
      </c>
      <c r="BA110" s="309">
        <f t="shared" si="13"/>
        <v>0.17599999999999999</v>
      </c>
      <c r="BB110" s="308">
        <f t="shared" si="14"/>
        <v>39630</v>
      </c>
      <c r="BC110" s="308">
        <v>0.58019594225360305</v>
      </c>
      <c r="BD110" s="291">
        <v>0.58030604420191179</v>
      </c>
      <c r="BF110" s="194">
        <v>39630</v>
      </c>
      <c r="BG110" s="206">
        <v>98</v>
      </c>
      <c r="HZ110" s="308">
        <f t="shared" si="9"/>
        <v>39692</v>
      </c>
      <c r="IA110" s="291">
        <v>100</v>
      </c>
    </row>
    <row r="111" spans="1:235" x14ac:dyDescent="0.25">
      <c r="A111" s="319"/>
      <c r="B111" s="296">
        <f t="shared" si="10"/>
        <v>39661</v>
      </c>
      <c r="C111" s="294">
        <v>2.948</v>
      </c>
      <c r="D111" s="294">
        <v>0.18</v>
      </c>
      <c r="E111" s="294">
        <v>7.0247048618340996E-2</v>
      </c>
      <c r="F111" s="294">
        <v>-0.19500000000000001</v>
      </c>
      <c r="G111" s="294">
        <v>2.5000000000000001E-2</v>
      </c>
      <c r="H111" s="294">
        <v>-0.19500000000000001</v>
      </c>
      <c r="I111" s="294">
        <v>0.13</v>
      </c>
      <c r="J111" s="294">
        <v>0.1825</v>
      </c>
      <c r="K111" s="294">
        <v>0.215</v>
      </c>
      <c r="L111" s="294">
        <v>-6.6000000000000003E-2</v>
      </c>
      <c r="M111" s="294">
        <v>-1.6E-2</v>
      </c>
      <c r="N111" s="294">
        <v>-0.36</v>
      </c>
      <c r="O111" s="294">
        <v>-0.28999999999999998</v>
      </c>
      <c r="P111" s="294">
        <v>6.4999999999999997E-3</v>
      </c>
      <c r="Q111" s="294">
        <v>4.4999999999999997E-3</v>
      </c>
      <c r="R111" s="291">
        <v>-2.1499999999999998E-2</v>
      </c>
      <c r="S111" s="291">
        <v>-5.2499999999999998E-2</v>
      </c>
      <c r="T111" s="291">
        <v>-0.19500000000000001</v>
      </c>
      <c r="U111" s="291">
        <v>-1.0749999999999999E-2</v>
      </c>
      <c r="V111" s="291">
        <v>-7.9500000000000001E-2</v>
      </c>
      <c r="W111" s="291">
        <v>-0.12</v>
      </c>
      <c r="X111" s="291">
        <v>0.495</v>
      </c>
      <c r="Y111" s="291">
        <v>5.0000000000000001E-3</v>
      </c>
      <c r="Z111" s="291">
        <v>-0.19500000000000001</v>
      </c>
      <c r="AA111" s="291">
        <v>-1.7999999999999999E-2</v>
      </c>
      <c r="AB111" s="306">
        <v>0.28999999999999998</v>
      </c>
      <c r="AC111" s="306">
        <v>0.3</v>
      </c>
      <c r="AD111" s="306">
        <v>0.22500000000000001</v>
      </c>
      <c r="AE111" s="431">
        <v>0.18</v>
      </c>
      <c r="AF111" s="431">
        <v>0.18</v>
      </c>
      <c r="AG111" s="431">
        <v>0.17599999999999999</v>
      </c>
      <c r="AH111" s="431">
        <v>0.18</v>
      </c>
      <c r="AI111" s="431">
        <v>0.184</v>
      </c>
      <c r="AJ111" s="431">
        <v>0.18</v>
      </c>
      <c r="AK111" s="431">
        <v>0.17599999999999999</v>
      </c>
      <c r="AL111" s="431">
        <v>0.17599999999999999</v>
      </c>
      <c r="AM111" s="431">
        <v>0.18</v>
      </c>
      <c r="AN111" s="431">
        <v>0.18</v>
      </c>
      <c r="AO111" s="431">
        <v>0.18</v>
      </c>
      <c r="AP111" s="432">
        <v>0.18</v>
      </c>
      <c r="AQ111" s="432">
        <v>0.18</v>
      </c>
      <c r="AR111" s="432">
        <v>0.18</v>
      </c>
      <c r="AS111" s="432">
        <v>0.18</v>
      </c>
      <c r="AT111" s="431">
        <v>0.18</v>
      </c>
      <c r="AU111" s="431">
        <v>0.18</v>
      </c>
      <c r="AV111" s="431">
        <v>0.17599999999999999</v>
      </c>
      <c r="AW111" s="291">
        <v>6.9963524669143004E-2</v>
      </c>
      <c r="AX111" s="291"/>
      <c r="AY111" s="306">
        <f t="shared" si="11"/>
        <v>0.17599999999999999</v>
      </c>
      <c r="AZ111" s="306">
        <f t="shared" si="12"/>
        <v>0.17599999999999999</v>
      </c>
      <c r="BA111" s="309">
        <f t="shared" si="13"/>
        <v>0.17599999999999999</v>
      </c>
      <c r="BB111" s="308">
        <f t="shared" si="14"/>
        <v>39661</v>
      </c>
      <c r="BC111" s="308">
        <v>0.57679618908758512</v>
      </c>
      <c r="BD111" s="291">
        <v>0.57690564481820061</v>
      </c>
      <c r="BF111" s="194">
        <v>39661</v>
      </c>
      <c r="BG111" s="206">
        <v>99</v>
      </c>
      <c r="HZ111" s="308">
        <f t="shared" si="9"/>
        <v>39722</v>
      </c>
      <c r="IA111" s="291">
        <v>101</v>
      </c>
    </row>
    <row r="112" spans="1:235" x14ac:dyDescent="0.25">
      <c r="B112" s="296">
        <f t="shared" si="10"/>
        <v>39692</v>
      </c>
      <c r="C112" s="294">
        <v>2.9260000000000002</v>
      </c>
      <c r="D112" s="294">
        <v>0.18</v>
      </c>
      <c r="E112" s="294">
        <v>7.0259894745951998E-2</v>
      </c>
      <c r="F112" s="294">
        <v>-0.19500000000000001</v>
      </c>
      <c r="G112" s="294">
        <v>1.7500000000000002E-2</v>
      </c>
      <c r="H112" s="294">
        <v>-0.19500000000000001</v>
      </c>
      <c r="I112" s="294">
        <v>0.1275</v>
      </c>
      <c r="J112" s="294">
        <v>0.1825</v>
      </c>
      <c r="K112" s="294">
        <v>0.19500000000000001</v>
      </c>
      <c r="L112" s="294">
        <v>-4.5999999999999999E-2</v>
      </c>
      <c r="M112" s="294">
        <v>-1.6E-2</v>
      </c>
      <c r="N112" s="294">
        <v>-0.36</v>
      </c>
      <c r="O112" s="294">
        <v>-0.28999999999999998</v>
      </c>
      <c r="P112" s="294">
        <v>6.4999999999999997E-3</v>
      </c>
      <c r="Q112" s="294">
        <v>4.4999999999999997E-3</v>
      </c>
      <c r="R112" s="291">
        <v>-2.1499999999999998E-2</v>
      </c>
      <c r="S112" s="291">
        <v>-5.2499999999999998E-2</v>
      </c>
      <c r="T112" s="291">
        <v>-0.185</v>
      </c>
      <c r="U112" s="291">
        <v>-1.0749999999999999E-2</v>
      </c>
      <c r="V112" s="291">
        <v>-9.4500000000000001E-2</v>
      </c>
      <c r="W112" s="291">
        <v>-0.12</v>
      </c>
      <c r="X112" s="291">
        <v>0.39500000000000002</v>
      </c>
      <c r="Y112" s="291">
        <v>5.0000000000000001E-3</v>
      </c>
      <c r="Z112" s="291">
        <v>-0.19500000000000001</v>
      </c>
      <c r="AA112" s="291">
        <v>-1.7999999999999999E-2</v>
      </c>
      <c r="AB112" s="306">
        <v>0.28999999999999998</v>
      </c>
      <c r="AC112" s="306">
        <v>0.28999999999999998</v>
      </c>
      <c r="AD112" s="306">
        <v>0.2225</v>
      </c>
      <c r="AE112" s="431">
        <v>0.18</v>
      </c>
      <c r="AF112" s="431">
        <v>0.18</v>
      </c>
      <c r="AG112" s="431">
        <v>0.17599999999999999</v>
      </c>
      <c r="AH112" s="431">
        <v>0.18</v>
      </c>
      <c r="AI112" s="431">
        <v>0.184</v>
      </c>
      <c r="AJ112" s="431">
        <v>0.18</v>
      </c>
      <c r="AK112" s="431">
        <v>0.17599999999999999</v>
      </c>
      <c r="AL112" s="431">
        <v>0.17599999999999999</v>
      </c>
      <c r="AM112" s="431">
        <v>0.18</v>
      </c>
      <c r="AN112" s="431">
        <v>0.18</v>
      </c>
      <c r="AO112" s="431">
        <v>0.18</v>
      </c>
      <c r="AP112" s="432">
        <v>0.18</v>
      </c>
      <c r="AQ112" s="432">
        <v>0.18</v>
      </c>
      <c r="AR112" s="432">
        <v>0.18</v>
      </c>
      <c r="AS112" s="432">
        <v>0.18</v>
      </c>
      <c r="AT112" s="431">
        <v>0.18</v>
      </c>
      <c r="AU112" s="431">
        <v>0.18</v>
      </c>
      <c r="AV112" s="431">
        <v>0.17599999999999999</v>
      </c>
      <c r="AW112" s="291">
        <v>6.9963377417392003E-2</v>
      </c>
      <c r="AX112" s="291"/>
      <c r="AY112" s="306">
        <f t="shared" si="11"/>
        <v>0.17599999999999999</v>
      </c>
      <c r="AZ112" s="306">
        <f t="shared" si="12"/>
        <v>0.17599999999999999</v>
      </c>
      <c r="BA112" s="309">
        <f t="shared" si="13"/>
        <v>0.17599999999999999</v>
      </c>
      <c r="BB112" s="308">
        <f t="shared" si="14"/>
        <v>39692</v>
      </c>
      <c r="BC112" s="308">
        <v>0.57341642248877966</v>
      </c>
      <c r="BD112" s="291">
        <v>0.57352523580687964</v>
      </c>
      <c r="BF112" s="194">
        <v>39692</v>
      </c>
      <c r="BG112" s="206">
        <v>100</v>
      </c>
      <c r="HZ112" s="308">
        <f t="shared" si="9"/>
        <v>39753</v>
      </c>
      <c r="IA112" s="291">
        <v>102</v>
      </c>
    </row>
    <row r="113" spans="1:235" x14ac:dyDescent="0.25">
      <c r="B113" s="296">
        <f t="shared" ref="B113:B144" si="15">EOMONTH(B112,0)+1</f>
        <v>39722</v>
      </c>
      <c r="C113" s="294">
        <v>2.9359999999999999</v>
      </c>
      <c r="D113" s="294">
        <v>0.18</v>
      </c>
      <c r="E113" s="294">
        <v>7.0272326482401004E-2</v>
      </c>
      <c r="F113" s="294">
        <v>-0.19500000000000001</v>
      </c>
      <c r="G113" s="294">
        <v>7.4999999999999997E-3</v>
      </c>
      <c r="H113" s="294">
        <v>-0.19500000000000001</v>
      </c>
      <c r="I113" s="294">
        <v>0.14249999999999999</v>
      </c>
      <c r="J113" s="294">
        <v>0.1875</v>
      </c>
      <c r="K113" s="294">
        <v>0.215</v>
      </c>
      <c r="L113" s="294">
        <v>-5.6000000000000001E-2</v>
      </c>
      <c r="M113" s="294">
        <v>-1.6E-2</v>
      </c>
      <c r="N113" s="294">
        <v>-0.36</v>
      </c>
      <c r="O113" s="294">
        <v>-0.28999999999999998</v>
      </c>
      <c r="P113" s="294">
        <v>6.4999999999999997E-3</v>
      </c>
      <c r="Q113" s="294">
        <v>4.4999999999999997E-3</v>
      </c>
      <c r="R113" s="291">
        <v>-2.1499999999999998E-2</v>
      </c>
      <c r="S113" s="291">
        <v>-5.2499999999999998E-2</v>
      </c>
      <c r="T113" s="291">
        <v>-0.17</v>
      </c>
      <c r="U113" s="291">
        <v>-2.9000000000000001E-2</v>
      </c>
      <c r="V113" s="291">
        <v>-9.7000000000000003E-2</v>
      </c>
      <c r="W113" s="291">
        <v>-0.12</v>
      </c>
      <c r="X113" s="291">
        <v>0.46100000000000002</v>
      </c>
      <c r="Y113" s="291">
        <v>5.0000000000000001E-3</v>
      </c>
      <c r="Z113" s="291">
        <v>-0.19500000000000001</v>
      </c>
      <c r="AA113" s="291">
        <v>-1.7999999999999999E-2</v>
      </c>
      <c r="AB113" s="306">
        <v>0.28999999999999998</v>
      </c>
      <c r="AC113" s="306">
        <v>0.36249999999999999</v>
      </c>
      <c r="AD113" s="306">
        <v>0.23749999999999999</v>
      </c>
      <c r="AE113" s="431">
        <v>0.18</v>
      </c>
      <c r="AF113" s="431">
        <v>0.18</v>
      </c>
      <c r="AG113" s="431">
        <v>0.17599999999999999</v>
      </c>
      <c r="AH113" s="431">
        <v>0.18</v>
      </c>
      <c r="AI113" s="431">
        <v>0.184</v>
      </c>
      <c r="AJ113" s="431">
        <v>0.18</v>
      </c>
      <c r="AK113" s="431">
        <v>0.17599999999999999</v>
      </c>
      <c r="AL113" s="431">
        <v>0.17599999999999999</v>
      </c>
      <c r="AM113" s="431">
        <v>0.18</v>
      </c>
      <c r="AN113" s="431">
        <v>0.18</v>
      </c>
      <c r="AO113" s="431">
        <v>0.18</v>
      </c>
      <c r="AP113" s="432">
        <v>0.18</v>
      </c>
      <c r="AQ113" s="432">
        <v>0.18</v>
      </c>
      <c r="AR113" s="432">
        <v>0.18</v>
      </c>
      <c r="AS113" s="432">
        <v>0.18</v>
      </c>
      <c r="AT113" s="431">
        <v>0.18</v>
      </c>
      <c r="AU113" s="431">
        <v>0.18</v>
      </c>
      <c r="AV113" s="431">
        <v>0.17599999999999999</v>
      </c>
      <c r="AW113" s="291">
        <v>6.9963234915698003E-2</v>
      </c>
      <c r="AX113" s="291"/>
      <c r="AY113" s="306">
        <f t="shared" si="11"/>
        <v>0.17599999999999999</v>
      </c>
      <c r="AZ113" s="306">
        <f t="shared" si="12"/>
        <v>0.17599999999999999</v>
      </c>
      <c r="BA113" s="309">
        <f t="shared" si="13"/>
        <v>0.17599999999999999</v>
      </c>
      <c r="BB113" s="308">
        <f t="shared" si="14"/>
        <v>39722</v>
      </c>
      <c r="BC113" s="308">
        <v>0.57016459945893416</v>
      </c>
      <c r="BD113" s="291">
        <v>0.57027279468936531</v>
      </c>
      <c r="BF113" s="194">
        <v>39722</v>
      </c>
      <c r="BG113" s="206">
        <v>101</v>
      </c>
      <c r="HZ113" s="308">
        <f t="shared" si="9"/>
        <v>39783</v>
      </c>
      <c r="IA113" s="291">
        <v>103</v>
      </c>
    </row>
    <row r="114" spans="1:235" x14ac:dyDescent="0.25">
      <c r="B114" s="296">
        <f t="shared" si="15"/>
        <v>39753</v>
      </c>
      <c r="C114" s="294">
        <v>3.0030000000000001</v>
      </c>
      <c r="D114" s="294">
        <v>0.18</v>
      </c>
      <c r="E114" s="294">
        <v>7.0285172610119004E-2</v>
      </c>
      <c r="F114" s="294">
        <v>-0.19</v>
      </c>
      <c r="G114" s="294">
        <v>-3.2500000000000001E-2</v>
      </c>
      <c r="H114" s="294">
        <v>-0.19</v>
      </c>
      <c r="I114" s="294">
        <v>0.20499999999999999</v>
      </c>
      <c r="J114" s="294">
        <v>0.27</v>
      </c>
      <c r="K114" s="294">
        <v>0.28749999999999998</v>
      </c>
      <c r="L114" s="294">
        <v>-7.0999999999999994E-2</v>
      </c>
      <c r="M114" s="294">
        <v>-8.5000000000000006E-3</v>
      </c>
      <c r="N114" s="294">
        <v>-0.28000000000000003</v>
      </c>
      <c r="O114" s="294">
        <v>0</v>
      </c>
      <c r="P114" s="294">
        <v>1.6E-2</v>
      </c>
      <c r="Q114" s="294">
        <v>-3.5000000000000001E-3</v>
      </c>
      <c r="R114" s="291">
        <v>-2.4500000000000001E-2</v>
      </c>
      <c r="S114" s="291">
        <v>-5.2499999999999998E-2</v>
      </c>
      <c r="T114" s="291">
        <v>-0.13250000000000001</v>
      </c>
      <c r="U114" s="291">
        <v>-3.0499999999999999E-2</v>
      </c>
      <c r="V114" s="291">
        <v>-9.4500000000000001E-2</v>
      </c>
      <c r="W114" s="291">
        <v>-0.13250000000000001</v>
      </c>
      <c r="X114" s="291">
        <v>0.76749999999999996</v>
      </c>
      <c r="Y114" s="291">
        <v>5.0000000000000001E-3</v>
      </c>
      <c r="Z114" s="291">
        <v>-0.19</v>
      </c>
      <c r="AA114" s="291">
        <v>-1.95E-2</v>
      </c>
      <c r="AB114" s="306">
        <v>0.12</v>
      </c>
      <c r="AC114" s="306">
        <v>0.46500000000000002</v>
      </c>
      <c r="AD114" s="306">
        <v>0.3</v>
      </c>
      <c r="AE114" s="431">
        <v>0.18</v>
      </c>
      <c r="AF114" s="431">
        <v>0.18</v>
      </c>
      <c r="AG114" s="431">
        <v>0.19800000000000001</v>
      </c>
      <c r="AH114" s="431">
        <v>0.18</v>
      </c>
      <c r="AI114" s="431">
        <v>0.184</v>
      </c>
      <c r="AJ114" s="431">
        <v>0.18</v>
      </c>
      <c r="AK114" s="431">
        <v>0.18</v>
      </c>
      <c r="AL114" s="431">
        <v>0.18</v>
      </c>
      <c r="AM114" s="431">
        <v>0.18</v>
      </c>
      <c r="AN114" s="431">
        <v>0.18</v>
      </c>
      <c r="AO114" s="431">
        <v>0.18</v>
      </c>
      <c r="AP114" s="432">
        <v>0.18</v>
      </c>
      <c r="AQ114" s="432">
        <v>0.18</v>
      </c>
      <c r="AR114" s="432">
        <v>0.18</v>
      </c>
      <c r="AS114" s="432">
        <v>0.18</v>
      </c>
      <c r="AT114" s="431">
        <v>0.18</v>
      </c>
      <c r="AU114" s="431">
        <v>0.18</v>
      </c>
      <c r="AV114" s="431">
        <v>0.19800000000000001</v>
      </c>
      <c r="AW114" s="291">
        <v>6.9963087663946003E-2</v>
      </c>
      <c r="AX114" s="291"/>
      <c r="AY114" s="306">
        <f t="shared" si="11"/>
        <v>0.19800000000000001</v>
      </c>
      <c r="AZ114" s="306">
        <f t="shared" si="12"/>
        <v>0.19800000000000001</v>
      </c>
      <c r="BA114" s="309">
        <f t="shared" si="13"/>
        <v>0.19800000000000001</v>
      </c>
      <c r="BB114" s="308">
        <f t="shared" si="14"/>
        <v>39753</v>
      </c>
      <c r="BC114" s="308">
        <v>0.56682381773420776</v>
      </c>
      <c r="BD114" s="291">
        <v>0.56693137797422211</v>
      </c>
      <c r="BF114" s="194">
        <v>39753</v>
      </c>
      <c r="BG114" s="206">
        <v>102</v>
      </c>
      <c r="HZ114" s="308">
        <f t="shared" si="9"/>
        <v>39814</v>
      </c>
      <c r="IA114" s="291">
        <v>104</v>
      </c>
    </row>
    <row r="115" spans="1:235" x14ac:dyDescent="0.25">
      <c r="B115" s="296">
        <f t="shared" si="15"/>
        <v>39783</v>
      </c>
      <c r="C115" s="294">
        <v>3.0739999999999998</v>
      </c>
      <c r="D115" s="294">
        <v>0.18</v>
      </c>
      <c r="E115" s="294">
        <v>7.0297604346671996E-2</v>
      </c>
      <c r="F115" s="294">
        <v>-0.19750000000000001</v>
      </c>
      <c r="G115" s="294">
        <v>-5.5E-2</v>
      </c>
      <c r="H115" s="294">
        <v>-0.19750000000000001</v>
      </c>
      <c r="I115" s="294">
        <v>0.245</v>
      </c>
      <c r="J115" s="294">
        <v>0.30499999999999999</v>
      </c>
      <c r="K115" s="294">
        <v>0.33750000000000002</v>
      </c>
      <c r="L115" s="294">
        <v>-7.0999999999999994E-2</v>
      </c>
      <c r="M115" s="294">
        <v>-8.5000000000000006E-3</v>
      </c>
      <c r="N115" s="294">
        <v>-0.28000000000000003</v>
      </c>
      <c r="O115" s="294">
        <v>0.06</v>
      </c>
      <c r="P115" s="294">
        <v>1.6E-2</v>
      </c>
      <c r="Q115" s="294">
        <v>-3.5000000000000001E-3</v>
      </c>
      <c r="R115" s="291">
        <v>-2.4500000000000001E-2</v>
      </c>
      <c r="S115" s="291">
        <v>-5.2499999999999998E-2</v>
      </c>
      <c r="T115" s="291">
        <v>-0.125</v>
      </c>
      <c r="U115" s="291">
        <v>-3.0499999999999999E-2</v>
      </c>
      <c r="V115" s="291">
        <v>-0.1295</v>
      </c>
      <c r="W115" s="291">
        <v>-0.1275</v>
      </c>
      <c r="X115" s="291">
        <v>1.19</v>
      </c>
      <c r="Y115" s="291">
        <v>5.0000000000000001E-3</v>
      </c>
      <c r="Z115" s="291">
        <v>-0.19</v>
      </c>
      <c r="AA115" s="291">
        <v>-1.95E-2</v>
      </c>
      <c r="AB115" s="306">
        <v>0.12</v>
      </c>
      <c r="AC115" s="306">
        <v>0.8</v>
      </c>
      <c r="AD115" s="306">
        <v>0.34</v>
      </c>
      <c r="AE115" s="431">
        <v>0.18</v>
      </c>
      <c r="AF115" s="431">
        <v>0.18</v>
      </c>
      <c r="AG115" s="431">
        <v>0.19800000000000001</v>
      </c>
      <c r="AH115" s="431">
        <v>0.18</v>
      </c>
      <c r="AI115" s="431">
        <v>0.184</v>
      </c>
      <c r="AJ115" s="431">
        <v>0.18</v>
      </c>
      <c r="AK115" s="431">
        <v>0.18</v>
      </c>
      <c r="AL115" s="431">
        <v>0.18</v>
      </c>
      <c r="AM115" s="431">
        <v>0.18</v>
      </c>
      <c r="AN115" s="431">
        <v>0.18</v>
      </c>
      <c r="AO115" s="431">
        <v>0.18</v>
      </c>
      <c r="AP115" s="432">
        <v>0.18</v>
      </c>
      <c r="AQ115" s="432">
        <v>0.18</v>
      </c>
      <c r="AR115" s="432">
        <v>0.18</v>
      </c>
      <c r="AS115" s="432">
        <v>0.18</v>
      </c>
      <c r="AT115" s="431">
        <v>0.18</v>
      </c>
      <c r="AU115" s="431">
        <v>0.18</v>
      </c>
      <c r="AV115" s="431">
        <v>0.19800000000000001</v>
      </c>
      <c r="AW115" s="291">
        <v>6.9962945162252002E-2</v>
      </c>
      <c r="AX115" s="291"/>
      <c r="AY115" s="306">
        <f t="shared" si="11"/>
        <v>0.19800000000000001</v>
      </c>
      <c r="AZ115" s="306">
        <f t="shared" si="12"/>
        <v>0.19800000000000001</v>
      </c>
      <c r="BA115" s="309">
        <f t="shared" si="13"/>
        <v>0.19800000000000001</v>
      </c>
      <c r="BB115" s="308">
        <f t="shared" si="14"/>
        <v>39783</v>
      </c>
      <c r="BC115" s="308">
        <v>0.56360950307240387</v>
      </c>
      <c r="BD115" s="291">
        <v>0.56371645236567791</v>
      </c>
      <c r="BF115" s="194">
        <v>39783</v>
      </c>
      <c r="BG115" s="206">
        <v>103</v>
      </c>
      <c r="HZ115" s="308">
        <f t="shared" si="9"/>
        <v>39845</v>
      </c>
      <c r="IA115" s="291">
        <v>105</v>
      </c>
    </row>
    <row r="116" spans="1:235" x14ac:dyDescent="0.25">
      <c r="B116" s="296">
        <f t="shared" si="15"/>
        <v>39814</v>
      </c>
      <c r="C116" s="294">
        <v>3.359</v>
      </c>
      <c r="D116" s="294">
        <v>0.18</v>
      </c>
      <c r="E116" s="294">
        <v>7.0310450474496994E-2</v>
      </c>
      <c r="F116" s="294">
        <v>-0.2</v>
      </c>
      <c r="G116" s="294">
        <v>-5.7500000000000002E-2</v>
      </c>
      <c r="H116" s="294">
        <v>-0.2</v>
      </c>
      <c r="I116" s="294">
        <v>0.31</v>
      </c>
      <c r="J116" s="294">
        <v>0.30499999999999999</v>
      </c>
      <c r="K116" s="294">
        <v>0.4375</v>
      </c>
      <c r="L116" s="294">
        <v>-7.0999999999999994E-2</v>
      </c>
      <c r="M116" s="294">
        <v>-6.4999999999999997E-3</v>
      </c>
      <c r="N116" s="294">
        <v>-0.28000000000000003</v>
      </c>
      <c r="O116" s="294">
        <v>0.13</v>
      </c>
      <c r="P116" s="294">
        <v>1.6E-2</v>
      </c>
      <c r="Q116" s="294">
        <v>-3.5000000000000001E-3</v>
      </c>
      <c r="R116" s="291">
        <v>-0.02</v>
      </c>
      <c r="S116" s="291">
        <v>-5.2499999999999998E-2</v>
      </c>
      <c r="T116" s="291">
        <v>-0.11</v>
      </c>
      <c r="U116" s="291">
        <v>-3.0499999999999999E-2</v>
      </c>
      <c r="V116" s="291">
        <v>-0.13500000000000001</v>
      </c>
      <c r="W116" s="291">
        <v>-0.1275</v>
      </c>
      <c r="X116" s="291">
        <v>1.5249999999999999</v>
      </c>
      <c r="Y116" s="291">
        <v>5.0000000000000001E-3</v>
      </c>
      <c r="Z116" s="291">
        <v>-0.19</v>
      </c>
      <c r="AA116" s="291">
        <v>-1.95E-2</v>
      </c>
      <c r="AB116" s="306">
        <v>0.12</v>
      </c>
      <c r="AC116" s="306">
        <v>0.97499999999999998</v>
      </c>
      <c r="AD116" s="306">
        <v>0.40500000000000003</v>
      </c>
      <c r="AE116" s="431">
        <v>0.18</v>
      </c>
      <c r="AF116" s="431">
        <v>0.18</v>
      </c>
      <c r="AG116" s="431">
        <v>0.19800000000000001</v>
      </c>
      <c r="AH116" s="431">
        <v>0.18</v>
      </c>
      <c r="AI116" s="431">
        <v>0.184</v>
      </c>
      <c r="AJ116" s="431">
        <v>0.18</v>
      </c>
      <c r="AK116" s="431">
        <v>0.18</v>
      </c>
      <c r="AL116" s="431">
        <v>0.18</v>
      </c>
      <c r="AM116" s="431">
        <v>0.18</v>
      </c>
      <c r="AN116" s="431">
        <v>0.18</v>
      </c>
      <c r="AO116" s="431">
        <v>0.18</v>
      </c>
      <c r="AP116" s="432">
        <v>0.18</v>
      </c>
      <c r="AQ116" s="432">
        <v>0.18</v>
      </c>
      <c r="AR116" s="432">
        <v>0.18</v>
      </c>
      <c r="AS116" s="432">
        <v>0.18</v>
      </c>
      <c r="AT116" s="431">
        <v>0.18</v>
      </c>
      <c r="AU116" s="431">
        <v>0.18</v>
      </c>
      <c r="AV116" s="431">
        <v>0.19800000000000001</v>
      </c>
      <c r="AW116" s="291">
        <v>6.9962797910501001E-2</v>
      </c>
      <c r="AX116" s="291"/>
      <c r="AY116" s="306">
        <f t="shared" si="11"/>
        <v>0.19800000000000001</v>
      </c>
      <c r="AZ116" s="306">
        <f t="shared" si="12"/>
        <v>0.19800000000000001</v>
      </c>
      <c r="BA116" s="309">
        <f t="shared" si="13"/>
        <v>0.19800000000000001</v>
      </c>
      <c r="BB116" s="308">
        <f t="shared" si="14"/>
        <v>39814</v>
      </c>
      <c r="BC116" s="308">
        <v>0.56030725509169998</v>
      </c>
      <c r="BD116" s="291">
        <v>0.56041357673062964</v>
      </c>
      <c r="BF116" s="194">
        <v>39814</v>
      </c>
      <c r="BG116" s="206">
        <v>104</v>
      </c>
      <c r="HZ116" s="308">
        <f t="shared" si="9"/>
        <v>39873</v>
      </c>
      <c r="IA116" s="291">
        <v>106</v>
      </c>
    </row>
    <row r="117" spans="1:235" x14ac:dyDescent="0.25">
      <c r="B117" s="296">
        <f t="shared" si="15"/>
        <v>39845</v>
      </c>
      <c r="C117" s="294">
        <v>3.2410000000000001</v>
      </c>
      <c r="D117" s="294">
        <v>0.18</v>
      </c>
      <c r="E117" s="294">
        <v>7.0323296602377003E-2</v>
      </c>
      <c r="F117" s="294">
        <v>-0.20250000000000001</v>
      </c>
      <c r="G117" s="294">
        <v>-0.04</v>
      </c>
      <c r="H117" s="294">
        <v>-0.20250000000000001</v>
      </c>
      <c r="I117" s="294">
        <v>0.28499999999999998</v>
      </c>
      <c r="J117" s="294">
        <v>0.30499999999999999</v>
      </c>
      <c r="K117" s="294">
        <v>0.435</v>
      </c>
      <c r="L117" s="294">
        <v>-7.0999999999999994E-2</v>
      </c>
      <c r="M117" s="294">
        <v>-6.4999999999999997E-3</v>
      </c>
      <c r="N117" s="294">
        <v>-0.28000000000000003</v>
      </c>
      <c r="O117" s="294">
        <v>0</v>
      </c>
      <c r="P117" s="294">
        <v>1.6E-2</v>
      </c>
      <c r="Q117" s="294">
        <v>-3.5000000000000001E-3</v>
      </c>
      <c r="R117" s="291">
        <v>-0.02</v>
      </c>
      <c r="S117" s="291">
        <v>-5.2499999999999998E-2</v>
      </c>
      <c r="T117" s="291">
        <v>-0.11</v>
      </c>
      <c r="U117" s="291">
        <v>-3.0499999999999999E-2</v>
      </c>
      <c r="V117" s="291">
        <v>-0.11749999999999999</v>
      </c>
      <c r="W117" s="291">
        <v>-0.1275</v>
      </c>
      <c r="X117" s="291">
        <v>1.4550000000000001</v>
      </c>
      <c r="Y117" s="291">
        <v>5.0000000000000001E-3</v>
      </c>
      <c r="Z117" s="291">
        <v>-0.19</v>
      </c>
      <c r="AA117" s="291">
        <v>-1.95E-2</v>
      </c>
      <c r="AB117" s="306">
        <v>0.12</v>
      </c>
      <c r="AC117" s="306">
        <v>0.97499999999999998</v>
      </c>
      <c r="AD117" s="306">
        <v>0.38</v>
      </c>
      <c r="AE117" s="431">
        <v>0.18</v>
      </c>
      <c r="AF117" s="431">
        <v>0.18</v>
      </c>
      <c r="AG117" s="431">
        <v>0.19800000000000001</v>
      </c>
      <c r="AH117" s="431">
        <v>0.18</v>
      </c>
      <c r="AI117" s="431">
        <v>0.184</v>
      </c>
      <c r="AJ117" s="431">
        <v>0.18</v>
      </c>
      <c r="AK117" s="431">
        <v>0.18</v>
      </c>
      <c r="AL117" s="431">
        <v>0.18</v>
      </c>
      <c r="AM117" s="431">
        <v>0.18</v>
      </c>
      <c r="AN117" s="431">
        <v>0.18</v>
      </c>
      <c r="AO117" s="431">
        <v>0.18</v>
      </c>
      <c r="AP117" s="432">
        <v>0.18</v>
      </c>
      <c r="AQ117" s="432">
        <v>0.18</v>
      </c>
      <c r="AR117" s="432">
        <v>0.18</v>
      </c>
      <c r="AS117" s="432">
        <v>0.18</v>
      </c>
      <c r="AT117" s="431">
        <v>0.18</v>
      </c>
      <c r="AU117" s="431">
        <v>0.18</v>
      </c>
      <c r="AV117" s="431">
        <v>0.19800000000000001</v>
      </c>
      <c r="AW117" s="291">
        <v>6.996265065875E-2</v>
      </c>
      <c r="AX117" s="291"/>
      <c r="AY117" s="306">
        <f t="shared" si="11"/>
        <v>0.19800000000000001</v>
      </c>
      <c r="AZ117" s="306">
        <f t="shared" si="12"/>
        <v>0.19800000000000001</v>
      </c>
      <c r="BA117" s="309">
        <f t="shared" si="13"/>
        <v>0.19800000000000001</v>
      </c>
      <c r="BB117" s="308">
        <f t="shared" si="14"/>
        <v>39845</v>
      </c>
      <c r="BC117" s="308">
        <v>0.55702441862705721</v>
      </c>
      <c r="BD117" s="291">
        <v>0.5571301163071638</v>
      </c>
      <c r="BF117" s="194">
        <v>39845</v>
      </c>
      <c r="BG117" s="206">
        <v>105</v>
      </c>
      <c r="HZ117" s="308">
        <f t="shared" si="9"/>
        <v>39904</v>
      </c>
      <c r="IA117" s="291">
        <v>107</v>
      </c>
    </row>
    <row r="118" spans="1:235" x14ac:dyDescent="0.25">
      <c r="B118" s="296">
        <f t="shared" si="15"/>
        <v>39873</v>
      </c>
      <c r="C118" s="294">
        <v>3.089</v>
      </c>
      <c r="D118" s="294">
        <v>0.17</v>
      </c>
      <c r="E118" s="294">
        <v>7.0334899556638006E-2</v>
      </c>
      <c r="F118" s="294">
        <v>-0.20499999999999999</v>
      </c>
      <c r="G118" s="294">
        <v>-2.75E-2</v>
      </c>
      <c r="H118" s="294">
        <v>-0.20499999999999999</v>
      </c>
      <c r="I118" s="294">
        <v>0.28249999999999997</v>
      </c>
      <c r="J118" s="294">
        <v>0.26500000000000001</v>
      </c>
      <c r="K118" s="294">
        <v>0.30249999999999999</v>
      </c>
      <c r="L118" s="294">
        <v>-7.0999999999999994E-2</v>
      </c>
      <c r="M118" s="294">
        <v>-6.4999999999999997E-3</v>
      </c>
      <c r="N118" s="294">
        <v>-0.28000000000000003</v>
      </c>
      <c r="O118" s="294">
        <v>-0.18</v>
      </c>
      <c r="P118" s="294">
        <v>1.6E-2</v>
      </c>
      <c r="Q118" s="294">
        <v>-3.5000000000000001E-3</v>
      </c>
      <c r="R118" s="291">
        <v>-0.02</v>
      </c>
      <c r="S118" s="291">
        <v>-5.2499999999999998E-2</v>
      </c>
      <c r="T118" s="291">
        <v>-0.11</v>
      </c>
      <c r="U118" s="291">
        <v>-1.2E-2</v>
      </c>
      <c r="V118" s="291">
        <v>-0.1</v>
      </c>
      <c r="W118" s="291">
        <v>-0.13250000000000001</v>
      </c>
      <c r="X118" s="291">
        <v>0.83499999999999996</v>
      </c>
      <c r="Y118" s="291">
        <v>5.0000000000000001E-3</v>
      </c>
      <c r="Z118" s="291">
        <v>-0.19</v>
      </c>
      <c r="AA118" s="291">
        <v>-1.95E-2</v>
      </c>
      <c r="AB118" s="306">
        <v>0.12</v>
      </c>
      <c r="AC118" s="306">
        <v>0.60750000000000004</v>
      </c>
      <c r="AD118" s="306">
        <v>0.3775</v>
      </c>
      <c r="AE118" s="431">
        <v>0.17</v>
      </c>
      <c r="AF118" s="431">
        <v>0.17</v>
      </c>
      <c r="AG118" s="431">
        <v>0.187</v>
      </c>
      <c r="AH118" s="431">
        <v>0.17</v>
      </c>
      <c r="AI118" s="431">
        <v>0.17299999999999999</v>
      </c>
      <c r="AJ118" s="431">
        <v>0.17</v>
      </c>
      <c r="AK118" s="431">
        <v>0.17</v>
      </c>
      <c r="AL118" s="431">
        <v>0.17</v>
      </c>
      <c r="AM118" s="431">
        <v>0.17</v>
      </c>
      <c r="AN118" s="431">
        <v>0.17</v>
      </c>
      <c r="AO118" s="431">
        <v>0.17</v>
      </c>
      <c r="AP118" s="432">
        <v>0.17</v>
      </c>
      <c r="AQ118" s="432">
        <v>0.17</v>
      </c>
      <c r="AR118" s="432">
        <v>0.17</v>
      </c>
      <c r="AS118" s="432">
        <v>0.17</v>
      </c>
      <c r="AT118" s="431">
        <v>0.17</v>
      </c>
      <c r="AU118" s="431">
        <v>0.17</v>
      </c>
      <c r="AV118" s="431">
        <v>0.187</v>
      </c>
      <c r="AW118" s="291">
        <v>6.9962517657169002E-2</v>
      </c>
      <c r="AX118" s="291"/>
      <c r="AY118" s="306">
        <f t="shared" si="11"/>
        <v>0.187</v>
      </c>
      <c r="AZ118" s="306">
        <f t="shared" si="12"/>
        <v>0.187</v>
      </c>
      <c r="BA118" s="309">
        <f t="shared" si="13"/>
        <v>0.187</v>
      </c>
      <c r="BB118" s="308">
        <f t="shared" si="14"/>
        <v>39873</v>
      </c>
      <c r="BC118" s="308">
        <v>0.5540758653919674</v>
      </c>
      <c r="BD118" s="291">
        <v>0.55418100265458248</v>
      </c>
      <c r="BF118" s="194">
        <v>39873</v>
      </c>
      <c r="BG118" s="206">
        <v>106</v>
      </c>
      <c r="HZ118" s="308">
        <f t="shared" si="9"/>
        <v>39934</v>
      </c>
      <c r="IA118" s="291">
        <v>108</v>
      </c>
    </row>
    <row r="119" spans="1:235" x14ac:dyDescent="0.25">
      <c r="A119" s="318"/>
      <c r="B119" s="296">
        <f t="shared" si="15"/>
        <v>39904</v>
      </c>
      <c r="C119" s="294">
        <v>2.9289999999999998</v>
      </c>
      <c r="D119" s="294">
        <v>0.17</v>
      </c>
      <c r="E119" s="294">
        <v>7.0347745684622001E-2</v>
      </c>
      <c r="F119" s="294">
        <v>-0.19500000000000001</v>
      </c>
      <c r="G119" s="294">
        <v>1.4999999999999999E-2</v>
      </c>
      <c r="H119" s="294">
        <v>-0.19500000000000001</v>
      </c>
      <c r="I119" s="294">
        <v>0.1875</v>
      </c>
      <c r="J119" s="294">
        <v>0.19500000000000001</v>
      </c>
      <c r="K119" s="294">
        <v>0.25</v>
      </c>
      <c r="L119" s="294">
        <v>-6.4000000000000001E-2</v>
      </c>
      <c r="M119" s="294">
        <v>-1.4E-2</v>
      </c>
      <c r="N119" s="294">
        <v>-0.36</v>
      </c>
      <c r="O119" s="294">
        <v>-0.28999999999999998</v>
      </c>
      <c r="P119" s="294">
        <v>6.4999999999999997E-3</v>
      </c>
      <c r="Q119" s="294">
        <v>6.4999999999999997E-3</v>
      </c>
      <c r="R119" s="291">
        <v>-1.95E-2</v>
      </c>
      <c r="S119" s="291">
        <v>-0.05</v>
      </c>
      <c r="T119" s="291">
        <v>-0.155</v>
      </c>
      <c r="U119" s="291">
        <v>-1.2E-2</v>
      </c>
      <c r="V119" s="291">
        <v>-9.2499999999999999E-2</v>
      </c>
      <c r="W119" s="291">
        <v>-0.12</v>
      </c>
      <c r="X119" s="291">
        <v>0.45</v>
      </c>
      <c r="Y119" s="291">
        <v>5.0000000000000001E-3</v>
      </c>
      <c r="Z119" s="291">
        <v>-0.19500000000000001</v>
      </c>
      <c r="AA119" s="291">
        <v>-1.7000000000000001E-2</v>
      </c>
      <c r="AB119" s="306">
        <v>0.28999999999999998</v>
      </c>
      <c r="AC119" s="306">
        <v>0.35499999999999998</v>
      </c>
      <c r="AD119" s="306">
        <v>0.28249999999999997</v>
      </c>
      <c r="AE119" s="431">
        <v>0.17</v>
      </c>
      <c r="AF119" s="431">
        <v>0.17</v>
      </c>
      <c r="AG119" s="431">
        <v>0.16700000000000001</v>
      </c>
      <c r="AH119" s="431">
        <v>0.17</v>
      </c>
      <c r="AI119" s="431">
        <v>0.17299999999999999</v>
      </c>
      <c r="AJ119" s="431">
        <v>0.17</v>
      </c>
      <c r="AK119" s="431">
        <v>0.16700000000000001</v>
      </c>
      <c r="AL119" s="431">
        <v>0.16700000000000001</v>
      </c>
      <c r="AM119" s="431">
        <v>0.17</v>
      </c>
      <c r="AN119" s="431">
        <v>0.17</v>
      </c>
      <c r="AO119" s="431">
        <v>0.17</v>
      </c>
      <c r="AP119" s="432">
        <v>0.17</v>
      </c>
      <c r="AQ119" s="432">
        <v>0.17</v>
      </c>
      <c r="AR119" s="432">
        <v>0.17</v>
      </c>
      <c r="AS119" s="432">
        <v>0.17</v>
      </c>
      <c r="AT119" s="431">
        <v>0.17</v>
      </c>
      <c r="AU119" s="431">
        <v>0.17</v>
      </c>
      <c r="AV119" s="431">
        <v>0.16700000000000001</v>
      </c>
      <c r="AW119" s="291">
        <v>6.9962370405418001E-2</v>
      </c>
      <c r="AX119" s="291"/>
      <c r="AY119" s="306">
        <f t="shared" si="11"/>
        <v>0.16700000000000001</v>
      </c>
      <c r="AZ119" s="306">
        <f t="shared" si="12"/>
        <v>0.16700000000000001</v>
      </c>
      <c r="BA119" s="309">
        <f t="shared" si="13"/>
        <v>0.16700000000000001</v>
      </c>
      <c r="BB119" s="308">
        <f t="shared" si="14"/>
        <v>39904</v>
      </c>
      <c r="BC119" s="308">
        <v>0.55082965772144643</v>
      </c>
      <c r="BD119" s="291">
        <v>0.5509341779984499</v>
      </c>
      <c r="BF119" s="194">
        <v>39904</v>
      </c>
      <c r="BG119" s="206">
        <v>107</v>
      </c>
      <c r="HZ119" s="308">
        <f t="shared" si="9"/>
        <v>39965</v>
      </c>
      <c r="IA119" s="291">
        <v>109</v>
      </c>
    </row>
    <row r="120" spans="1:235" x14ac:dyDescent="0.25">
      <c r="A120" s="319"/>
      <c r="B120" s="296">
        <f t="shared" si="15"/>
        <v>39934</v>
      </c>
      <c r="C120" s="294">
        <v>2.923</v>
      </c>
      <c r="D120" s="294">
        <v>0.17</v>
      </c>
      <c r="E120" s="294">
        <v>7.0360177421432996E-2</v>
      </c>
      <c r="F120" s="294">
        <v>-0.19500000000000001</v>
      </c>
      <c r="G120" s="294">
        <v>1.4999999999999999E-2</v>
      </c>
      <c r="H120" s="294">
        <v>-0.19500000000000001</v>
      </c>
      <c r="I120" s="294">
        <v>0.19750000000000001</v>
      </c>
      <c r="J120" s="294">
        <v>0.1825</v>
      </c>
      <c r="K120" s="294">
        <v>0.20250000000000001</v>
      </c>
      <c r="L120" s="294">
        <v>-6.4000000000000001E-2</v>
      </c>
      <c r="M120" s="294">
        <v>-1.4E-2</v>
      </c>
      <c r="N120" s="294">
        <v>-0.36</v>
      </c>
      <c r="O120" s="294">
        <v>-0.28999999999999998</v>
      </c>
      <c r="P120" s="294">
        <v>6.4999999999999997E-3</v>
      </c>
      <c r="Q120" s="388">
        <v>6.4999999999999997E-3</v>
      </c>
      <c r="R120" s="291">
        <v>-1.95E-2</v>
      </c>
      <c r="S120" s="291">
        <v>-0.05</v>
      </c>
      <c r="T120" s="291">
        <v>-0.17</v>
      </c>
      <c r="U120" s="291">
        <v>-1.225E-2</v>
      </c>
      <c r="V120" s="291">
        <v>-9.2499999999999999E-2</v>
      </c>
      <c r="W120" s="291">
        <v>-0.12</v>
      </c>
      <c r="X120" s="291">
        <v>0.40500000000000003</v>
      </c>
      <c r="Y120" s="291">
        <v>5.0000000000000001E-3</v>
      </c>
      <c r="Z120" s="291">
        <v>-0.19500000000000001</v>
      </c>
      <c r="AA120" s="291">
        <v>-1.7000000000000001E-2</v>
      </c>
      <c r="AB120" s="306">
        <v>0.28999999999999998</v>
      </c>
      <c r="AC120" s="306">
        <v>0.28749999999999998</v>
      </c>
      <c r="AD120" s="306">
        <v>0.29249999999999998</v>
      </c>
      <c r="AE120" s="431">
        <v>0.17</v>
      </c>
      <c r="AF120" s="431">
        <v>0.17</v>
      </c>
      <c r="AG120" s="431">
        <v>0.16700000000000001</v>
      </c>
      <c r="AH120" s="431">
        <v>0.17</v>
      </c>
      <c r="AI120" s="431">
        <v>0.17299999999999999</v>
      </c>
      <c r="AJ120" s="431">
        <v>0.17</v>
      </c>
      <c r="AK120" s="431">
        <v>0.16700000000000001</v>
      </c>
      <c r="AL120" s="431">
        <v>0.16700000000000001</v>
      </c>
      <c r="AM120" s="431">
        <v>0.17</v>
      </c>
      <c r="AN120" s="431">
        <v>0.17</v>
      </c>
      <c r="AO120" s="431">
        <v>0.17</v>
      </c>
      <c r="AP120" s="432">
        <v>0.17</v>
      </c>
      <c r="AQ120" s="432">
        <v>0.17</v>
      </c>
      <c r="AR120" s="432">
        <v>0.17</v>
      </c>
      <c r="AS120" s="432">
        <v>0.17</v>
      </c>
      <c r="AT120" s="431">
        <v>0.17</v>
      </c>
      <c r="AU120" s="431">
        <v>0.17</v>
      </c>
      <c r="AV120" s="431">
        <v>0.16700000000000001</v>
      </c>
      <c r="AW120" s="291">
        <v>6.9962227903724E-2</v>
      </c>
      <c r="AX120" s="291"/>
      <c r="AY120" s="306">
        <f t="shared" si="11"/>
        <v>0.16700000000000001</v>
      </c>
      <c r="AZ120" s="306">
        <f t="shared" si="12"/>
        <v>0.16700000000000001</v>
      </c>
      <c r="BA120" s="309">
        <f t="shared" si="13"/>
        <v>0.16700000000000001</v>
      </c>
      <c r="BB120" s="308">
        <f t="shared" si="14"/>
        <v>39934</v>
      </c>
      <c r="BC120" s="308">
        <v>0.54770633526775947</v>
      </c>
      <c r="BD120" s="291">
        <v>0.54781026192076065</v>
      </c>
      <c r="BF120" s="194">
        <v>39934</v>
      </c>
      <c r="BG120" s="206">
        <v>108</v>
      </c>
      <c r="HZ120" s="308">
        <f t="shared" si="9"/>
        <v>39995</v>
      </c>
      <c r="IA120" s="291">
        <v>110</v>
      </c>
    </row>
    <row r="121" spans="1:235" x14ac:dyDescent="0.25">
      <c r="A121" s="319"/>
      <c r="B121" s="296">
        <f t="shared" si="15"/>
        <v>39965</v>
      </c>
      <c r="C121" s="294">
        <v>2.9489999999999998</v>
      </c>
      <c r="D121" s="294">
        <v>0.17</v>
      </c>
      <c r="E121" s="294">
        <v>7.0373023549524003E-2</v>
      </c>
      <c r="F121" s="294">
        <v>-0.19500000000000001</v>
      </c>
      <c r="G121" s="294">
        <v>0.02</v>
      </c>
      <c r="H121" s="294">
        <v>-0.19500000000000001</v>
      </c>
      <c r="I121" s="294">
        <v>0.1925</v>
      </c>
      <c r="J121" s="294">
        <v>0.1825</v>
      </c>
      <c r="K121" s="294">
        <v>0.20250000000000001</v>
      </c>
      <c r="L121" s="294">
        <v>-0.08</v>
      </c>
      <c r="M121" s="294">
        <v>-1.4E-2</v>
      </c>
      <c r="N121" s="294">
        <v>-0.36</v>
      </c>
      <c r="O121" s="294">
        <v>-0.28999999999999998</v>
      </c>
      <c r="P121" s="294">
        <v>6.4999999999999997E-3</v>
      </c>
      <c r="Q121" s="388">
        <v>6.4999999999999997E-3</v>
      </c>
      <c r="R121" s="291">
        <v>-1.95E-2</v>
      </c>
      <c r="S121" s="291">
        <v>-0.05</v>
      </c>
      <c r="T121" s="291">
        <v>-0.18</v>
      </c>
      <c r="U121" s="291">
        <v>-1.225E-2</v>
      </c>
      <c r="V121" s="291">
        <v>-8.2500000000000004E-2</v>
      </c>
      <c r="W121" s="291">
        <v>-0.12</v>
      </c>
      <c r="X121" s="291">
        <v>0.39500000000000002</v>
      </c>
      <c r="Y121" s="291">
        <v>5.0000000000000001E-3</v>
      </c>
      <c r="Z121" s="291">
        <v>-0.19500000000000001</v>
      </c>
      <c r="AA121" s="291">
        <v>-1.7000000000000001E-2</v>
      </c>
      <c r="AB121" s="306">
        <v>0.28999999999999998</v>
      </c>
      <c r="AC121" s="306">
        <v>0.28749999999999998</v>
      </c>
      <c r="AD121" s="306">
        <v>0.28749999999999998</v>
      </c>
      <c r="AE121" s="431">
        <v>0.17</v>
      </c>
      <c r="AF121" s="431">
        <v>0.17</v>
      </c>
      <c r="AG121" s="431">
        <v>0.16700000000000001</v>
      </c>
      <c r="AH121" s="431">
        <v>0.17</v>
      </c>
      <c r="AI121" s="431">
        <v>0.17299999999999999</v>
      </c>
      <c r="AJ121" s="431">
        <v>0.17</v>
      </c>
      <c r="AK121" s="431">
        <v>0.16700000000000001</v>
      </c>
      <c r="AL121" s="431">
        <v>0.16700000000000001</v>
      </c>
      <c r="AM121" s="431">
        <v>0.17</v>
      </c>
      <c r="AN121" s="431">
        <v>0.17</v>
      </c>
      <c r="AO121" s="431">
        <v>0.17</v>
      </c>
      <c r="AP121" s="432">
        <v>0.17</v>
      </c>
      <c r="AQ121" s="432">
        <v>0.17</v>
      </c>
      <c r="AR121" s="432">
        <v>0.17</v>
      </c>
      <c r="AS121" s="432">
        <v>0.17</v>
      </c>
      <c r="AT121" s="431">
        <v>0.17</v>
      </c>
      <c r="AU121" s="431">
        <v>0.17</v>
      </c>
      <c r="AV121" s="431">
        <v>0.16700000000000001</v>
      </c>
      <c r="AW121" s="291">
        <v>6.9962080651972999E-2</v>
      </c>
      <c r="AX121" s="291"/>
      <c r="AY121" s="306">
        <f t="shared" si="11"/>
        <v>0.16700000000000001</v>
      </c>
      <c r="AZ121" s="306">
        <f t="shared" si="12"/>
        <v>0.16700000000000001</v>
      </c>
      <c r="BA121" s="309">
        <f t="shared" si="13"/>
        <v>0.16700000000000001</v>
      </c>
      <c r="BB121" s="308">
        <f t="shared" si="14"/>
        <v>39965</v>
      </c>
      <c r="BC121" s="308">
        <v>0.54449756700815199</v>
      </c>
      <c r="BD121" s="291">
        <v>0.54460088380294236</v>
      </c>
      <c r="BF121" s="194">
        <v>39965</v>
      </c>
      <c r="BG121" s="206">
        <v>109</v>
      </c>
      <c r="HZ121" s="308">
        <f t="shared" si="9"/>
        <v>40026</v>
      </c>
      <c r="IA121" s="291">
        <v>111</v>
      </c>
    </row>
    <row r="122" spans="1:235" x14ac:dyDescent="0.25">
      <c r="A122" s="319"/>
      <c r="B122" s="296">
        <f t="shared" si="15"/>
        <v>39995</v>
      </c>
      <c r="C122" s="294">
        <v>2.9710000000000001</v>
      </c>
      <c r="D122" s="294">
        <v>0.17</v>
      </c>
      <c r="E122" s="294">
        <v>7.0385455286437998E-2</v>
      </c>
      <c r="F122" s="294">
        <v>-0.19500000000000001</v>
      </c>
      <c r="G122" s="294">
        <v>2.2499999999999999E-2</v>
      </c>
      <c r="H122" s="294">
        <v>-0.19500000000000001</v>
      </c>
      <c r="I122" s="294">
        <v>0.1825</v>
      </c>
      <c r="J122" s="294">
        <v>0.1825</v>
      </c>
      <c r="K122" s="294">
        <v>0.215</v>
      </c>
      <c r="L122" s="294">
        <v>-7.2999999999999995E-2</v>
      </c>
      <c r="M122" s="294">
        <v>-1.4E-2</v>
      </c>
      <c r="N122" s="294">
        <v>-0.36</v>
      </c>
      <c r="O122" s="294">
        <v>-0.28999999999999998</v>
      </c>
      <c r="P122" s="294">
        <v>6.4999999999999997E-3</v>
      </c>
      <c r="Q122" s="388">
        <v>6.4999999999999997E-3</v>
      </c>
      <c r="R122" s="291">
        <v>-1.95E-2</v>
      </c>
      <c r="S122" s="291">
        <v>-0.05</v>
      </c>
      <c r="T122" s="291">
        <v>-0.18</v>
      </c>
      <c r="U122" s="291">
        <v>-1.225E-2</v>
      </c>
      <c r="V122" s="291">
        <v>-7.7499999999999999E-2</v>
      </c>
      <c r="W122" s="291">
        <v>-0.12</v>
      </c>
      <c r="X122" s="291">
        <v>0.43</v>
      </c>
      <c r="Y122" s="291">
        <v>5.0000000000000001E-3</v>
      </c>
      <c r="Z122" s="291">
        <v>-0.19500000000000001</v>
      </c>
      <c r="AA122" s="291">
        <v>-1.7000000000000001E-2</v>
      </c>
      <c r="AB122" s="306">
        <v>0.28999999999999998</v>
      </c>
      <c r="AC122" s="306">
        <v>0.3</v>
      </c>
      <c r="AD122" s="306">
        <v>0.27750000000000002</v>
      </c>
      <c r="AE122" s="431">
        <v>0.17</v>
      </c>
      <c r="AF122" s="431">
        <v>0.17</v>
      </c>
      <c r="AG122" s="431">
        <v>0.16700000000000001</v>
      </c>
      <c r="AH122" s="431">
        <v>0.17</v>
      </c>
      <c r="AI122" s="431">
        <v>0.17299999999999999</v>
      </c>
      <c r="AJ122" s="431">
        <v>0.17</v>
      </c>
      <c r="AK122" s="431">
        <v>0.16700000000000001</v>
      </c>
      <c r="AL122" s="431">
        <v>0.16700000000000001</v>
      </c>
      <c r="AM122" s="431">
        <v>0.17</v>
      </c>
      <c r="AN122" s="431">
        <v>0.17</v>
      </c>
      <c r="AO122" s="431">
        <v>0.17</v>
      </c>
      <c r="AP122" s="432">
        <v>0.17</v>
      </c>
      <c r="AQ122" s="432">
        <v>0.17</v>
      </c>
      <c r="AR122" s="432">
        <v>0.17</v>
      </c>
      <c r="AS122" s="432">
        <v>0.17</v>
      </c>
      <c r="AT122" s="431">
        <v>0.17</v>
      </c>
      <c r="AU122" s="431">
        <v>0.17</v>
      </c>
      <c r="AV122" s="431">
        <v>0.16700000000000001</v>
      </c>
      <c r="AW122" s="291">
        <v>6.9961938150278E-2</v>
      </c>
      <c r="AX122" s="291"/>
      <c r="AY122" s="306">
        <f t="shared" si="11"/>
        <v>0.16700000000000001</v>
      </c>
      <c r="AZ122" s="306">
        <f t="shared" si="12"/>
        <v>0.16700000000000001</v>
      </c>
      <c r="BA122" s="309">
        <f t="shared" si="13"/>
        <v>0.16700000000000001</v>
      </c>
      <c r="BB122" s="308">
        <f t="shared" si="14"/>
        <v>39995</v>
      </c>
      <c r="BC122" s="308">
        <v>0.54141026601929054</v>
      </c>
      <c r="BD122" s="291">
        <v>0.54151299604747849</v>
      </c>
      <c r="BF122" s="194">
        <v>39995</v>
      </c>
      <c r="BG122" s="206">
        <v>110</v>
      </c>
      <c r="HZ122" s="308">
        <f t="shared" si="9"/>
        <v>40057</v>
      </c>
      <c r="IA122" s="291">
        <v>112</v>
      </c>
    </row>
    <row r="123" spans="1:235" x14ac:dyDescent="0.25">
      <c r="A123" s="319"/>
      <c r="B123" s="296">
        <f t="shared" si="15"/>
        <v>40026</v>
      </c>
      <c r="C123" s="294">
        <v>2.992</v>
      </c>
      <c r="D123" s="294">
        <v>0.17</v>
      </c>
      <c r="E123" s="294">
        <v>7.0398301414636003E-2</v>
      </c>
      <c r="F123" s="294">
        <v>-0.19500000000000001</v>
      </c>
      <c r="G123" s="294">
        <v>2.5000000000000001E-2</v>
      </c>
      <c r="H123" s="294">
        <v>-0.19500000000000001</v>
      </c>
      <c r="I123" s="294">
        <v>0.18</v>
      </c>
      <c r="J123" s="294">
        <v>0.1825</v>
      </c>
      <c r="K123" s="294">
        <v>0.215</v>
      </c>
      <c r="L123" s="294">
        <v>-6.4000000000000001E-2</v>
      </c>
      <c r="M123" s="294">
        <v>-1.4E-2</v>
      </c>
      <c r="N123" s="294">
        <v>-0.36</v>
      </c>
      <c r="O123" s="294">
        <v>-0.28999999999999998</v>
      </c>
      <c r="P123" s="294">
        <v>6.4999999999999997E-3</v>
      </c>
      <c r="Q123" s="388">
        <v>6.4999999999999997E-3</v>
      </c>
      <c r="R123" s="291">
        <v>-1.95E-2</v>
      </c>
      <c r="S123" s="291">
        <v>-0.05</v>
      </c>
      <c r="T123" s="291">
        <v>-0.18</v>
      </c>
      <c r="U123" s="291">
        <v>-1.225E-2</v>
      </c>
      <c r="V123" s="291">
        <v>-7.7499999999999999E-2</v>
      </c>
      <c r="W123" s="291">
        <v>-0.12</v>
      </c>
      <c r="X123" s="291">
        <v>0.495</v>
      </c>
      <c r="Y123" s="291">
        <v>5.0000000000000001E-3</v>
      </c>
      <c r="Z123" s="291">
        <v>-0.19500000000000001</v>
      </c>
      <c r="AA123" s="291">
        <v>-1.7000000000000001E-2</v>
      </c>
      <c r="AB123" s="306">
        <v>0.28999999999999998</v>
      </c>
      <c r="AC123" s="306">
        <v>0.3</v>
      </c>
      <c r="AD123" s="306">
        <v>0.27500000000000002</v>
      </c>
      <c r="AE123" s="431">
        <v>0.17</v>
      </c>
      <c r="AF123" s="431">
        <v>0.17</v>
      </c>
      <c r="AG123" s="431">
        <v>0.16700000000000001</v>
      </c>
      <c r="AH123" s="431">
        <v>0.17</v>
      </c>
      <c r="AI123" s="431">
        <v>0.17299999999999999</v>
      </c>
      <c r="AJ123" s="431">
        <v>0.17</v>
      </c>
      <c r="AK123" s="431">
        <v>0.16700000000000001</v>
      </c>
      <c r="AL123" s="431">
        <v>0.16700000000000001</v>
      </c>
      <c r="AM123" s="431">
        <v>0.17</v>
      </c>
      <c r="AN123" s="431">
        <v>0.17</v>
      </c>
      <c r="AO123" s="431">
        <v>0.17</v>
      </c>
      <c r="AP123" s="432">
        <v>0.17</v>
      </c>
      <c r="AQ123" s="432">
        <v>0.17</v>
      </c>
      <c r="AR123" s="432">
        <v>0.17</v>
      </c>
      <c r="AS123" s="432">
        <v>0.17</v>
      </c>
      <c r="AT123" s="431">
        <v>0.17</v>
      </c>
      <c r="AU123" s="431">
        <v>0.17</v>
      </c>
      <c r="AV123" s="431">
        <v>0.16700000000000001</v>
      </c>
      <c r="AW123" s="291">
        <v>6.9961790898526999E-2</v>
      </c>
      <c r="AX123" s="291"/>
      <c r="AY123" s="306">
        <f t="shared" si="11"/>
        <v>0.16700000000000001</v>
      </c>
      <c r="AZ123" s="306">
        <f t="shared" si="12"/>
        <v>0.16700000000000001</v>
      </c>
      <c r="BA123" s="309">
        <f t="shared" si="13"/>
        <v>0.16700000000000001</v>
      </c>
      <c r="BB123" s="308">
        <f t="shared" si="14"/>
        <v>40026</v>
      </c>
      <c r="BC123" s="308">
        <v>0.53823850398073958</v>
      </c>
      <c r="BD123" s="291">
        <v>0.538340631195518</v>
      </c>
      <c r="BF123" s="194">
        <v>40026</v>
      </c>
      <c r="BG123" s="206">
        <v>111</v>
      </c>
      <c r="HZ123" s="308">
        <f t="shared" si="9"/>
        <v>40087</v>
      </c>
      <c r="IA123" s="291">
        <v>113</v>
      </c>
    </row>
    <row r="124" spans="1:235" x14ac:dyDescent="0.25">
      <c r="A124" s="319"/>
      <c r="B124" s="296">
        <f t="shared" si="15"/>
        <v>40057</v>
      </c>
      <c r="C124" s="294">
        <v>2.9689999999999999</v>
      </c>
      <c r="D124" s="294">
        <v>0.17</v>
      </c>
      <c r="E124" s="294">
        <v>7.0411147542890004E-2</v>
      </c>
      <c r="F124" s="294">
        <v>-0.19500000000000001</v>
      </c>
      <c r="G124" s="294">
        <v>1.7500000000000002E-2</v>
      </c>
      <c r="H124" s="294">
        <v>-0.19500000000000001</v>
      </c>
      <c r="I124" s="294">
        <v>0.17749999999999999</v>
      </c>
      <c r="J124" s="294">
        <v>0.1825</v>
      </c>
      <c r="K124" s="294">
        <v>0.19500000000000001</v>
      </c>
      <c r="L124" s="294">
        <v>-4.3999999999999997E-2</v>
      </c>
      <c r="M124" s="294">
        <v>-1.4E-2</v>
      </c>
      <c r="N124" s="294">
        <v>-0.36</v>
      </c>
      <c r="O124" s="294">
        <v>-0.28999999999999998</v>
      </c>
      <c r="P124" s="294">
        <v>6.4999999999999997E-3</v>
      </c>
      <c r="Q124" s="388">
        <v>6.4999999999999997E-3</v>
      </c>
      <c r="R124" s="291">
        <v>-1.95E-2</v>
      </c>
      <c r="S124" s="291">
        <v>-0.05</v>
      </c>
      <c r="T124" s="291">
        <v>-0.17</v>
      </c>
      <c r="U124" s="291">
        <v>-1.225E-2</v>
      </c>
      <c r="V124" s="291">
        <v>-9.2499999999999999E-2</v>
      </c>
      <c r="W124" s="291">
        <v>-0.12</v>
      </c>
      <c r="X124" s="291">
        <v>0.39500000000000002</v>
      </c>
      <c r="Y124" s="291">
        <v>5.0000000000000001E-3</v>
      </c>
      <c r="Z124" s="291">
        <v>-0.19500000000000001</v>
      </c>
      <c r="AA124" s="291">
        <v>-1.7000000000000001E-2</v>
      </c>
      <c r="AB124" s="306">
        <v>0.28999999999999998</v>
      </c>
      <c r="AC124" s="306">
        <v>0.28999999999999998</v>
      </c>
      <c r="AD124" s="306">
        <v>0.27250000000000002</v>
      </c>
      <c r="AE124" s="431">
        <v>0.17</v>
      </c>
      <c r="AF124" s="431">
        <v>0.17</v>
      </c>
      <c r="AG124" s="431">
        <v>0.16700000000000001</v>
      </c>
      <c r="AH124" s="431">
        <v>0.17</v>
      </c>
      <c r="AI124" s="431">
        <v>0.17299999999999999</v>
      </c>
      <c r="AJ124" s="431">
        <v>0.17</v>
      </c>
      <c r="AK124" s="431">
        <v>0.16700000000000001</v>
      </c>
      <c r="AL124" s="431">
        <v>0.16700000000000001</v>
      </c>
      <c r="AM124" s="431">
        <v>0.17</v>
      </c>
      <c r="AN124" s="431">
        <v>0.17</v>
      </c>
      <c r="AO124" s="431">
        <v>0.17</v>
      </c>
      <c r="AP124" s="432">
        <v>0.17</v>
      </c>
      <c r="AQ124" s="432">
        <v>0.17</v>
      </c>
      <c r="AR124" s="432">
        <v>0.17</v>
      </c>
      <c r="AS124" s="432">
        <v>0.17</v>
      </c>
      <c r="AT124" s="431">
        <v>0.17</v>
      </c>
      <c r="AU124" s="431">
        <v>0.17</v>
      </c>
      <c r="AV124" s="431">
        <v>0.16700000000000001</v>
      </c>
      <c r="AW124" s="291">
        <v>6.9961643646775998E-2</v>
      </c>
      <c r="AX124" s="291"/>
      <c r="AY124" s="306">
        <f t="shared" si="11"/>
        <v>0.16700000000000001</v>
      </c>
      <c r="AZ124" s="306">
        <f t="shared" si="12"/>
        <v>0.16700000000000001</v>
      </c>
      <c r="BA124" s="309">
        <f t="shared" si="13"/>
        <v>0.16700000000000001</v>
      </c>
      <c r="BB124" s="308">
        <f t="shared" si="14"/>
        <v>40057</v>
      </c>
      <c r="BC124" s="308">
        <v>0.53508538398427541</v>
      </c>
      <c r="BD124" s="291">
        <v>0.53518691193444257</v>
      </c>
      <c r="BF124" s="194">
        <v>40057</v>
      </c>
      <c r="BG124" s="206">
        <v>112</v>
      </c>
      <c r="HZ124" s="308">
        <f t="shared" si="9"/>
        <v>40118</v>
      </c>
      <c r="IA124" s="291">
        <v>114</v>
      </c>
    </row>
    <row r="125" spans="1:235" x14ac:dyDescent="0.25">
      <c r="A125" s="319"/>
      <c r="B125" s="296">
        <f t="shared" si="15"/>
        <v>40087</v>
      </c>
      <c r="C125" s="294">
        <v>2.9780000000000002</v>
      </c>
      <c r="D125" s="294">
        <v>0.17</v>
      </c>
      <c r="E125" s="294">
        <v>7.0423579279960999E-2</v>
      </c>
      <c r="F125" s="294">
        <v>-0.19500000000000001</v>
      </c>
      <c r="G125" s="294">
        <v>7.4999999999999997E-3</v>
      </c>
      <c r="H125" s="294">
        <v>-0.19500000000000001</v>
      </c>
      <c r="I125" s="294">
        <v>0.1925</v>
      </c>
      <c r="J125" s="294">
        <v>0.1875</v>
      </c>
      <c r="K125" s="294">
        <v>0.215</v>
      </c>
      <c r="L125" s="294">
        <v>-5.3999999999999999E-2</v>
      </c>
      <c r="M125" s="294">
        <v>-1.4E-2</v>
      </c>
      <c r="N125" s="294">
        <v>-0.36</v>
      </c>
      <c r="O125" s="294">
        <v>-0.28999999999999998</v>
      </c>
      <c r="P125" s="294">
        <v>6.4999999999999997E-3</v>
      </c>
      <c r="Q125" s="388">
        <v>6.4999999999999997E-3</v>
      </c>
      <c r="R125" s="291">
        <v>-1.95E-2</v>
      </c>
      <c r="S125" s="291">
        <v>-0.05</v>
      </c>
      <c r="T125" s="291">
        <v>-0.155</v>
      </c>
      <c r="U125" s="291">
        <v>-3.0499999999999999E-2</v>
      </c>
      <c r="V125" s="291">
        <v>-9.5000000000000001E-2</v>
      </c>
      <c r="W125" s="291">
        <v>-0.12</v>
      </c>
      <c r="X125" s="291">
        <v>0.46100000000000002</v>
      </c>
      <c r="Y125" s="291">
        <v>5.0000000000000001E-3</v>
      </c>
      <c r="Z125" s="291">
        <v>-0.19500000000000001</v>
      </c>
      <c r="AA125" s="291">
        <v>-1.7000000000000001E-2</v>
      </c>
      <c r="AB125" s="306">
        <v>0.28999999999999998</v>
      </c>
      <c r="AC125" s="306">
        <v>0.36249999999999999</v>
      </c>
      <c r="AD125" s="306">
        <v>0.28749999999999998</v>
      </c>
      <c r="AE125" s="431">
        <v>0.17</v>
      </c>
      <c r="AF125" s="431">
        <v>0.17</v>
      </c>
      <c r="AG125" s="431">
        <v>0.16700000000000001</v>
      </c>
      <c r="AH125" s="431">
        <v>0.17</v>
      </c>
      <c r="AI125" s="431">
        <v>0.17299999999999999</v>
      </c>
      <c r="AJ125" s="431">
        <v>0.17</v>
      </c>
      <c r="AK125" s="431">
        <v>0.16700000000000001</v>
      </c>
      <c r="AL125" s="431">
        <v>0.16700000000000001</v>
      </c>
      <c r="AM125" s="431">
        <v>0.17</v>
      </c>
      <c r="AN125" s="431">
        <v>0.17</v>
      </c>
      <c r="AO125" s="431">
        <v>0.17</v>
      </c>
      <c r="AP125" s="432">
        <v>0.17</v>
      </c>
      <c r="AQ125" s="432">
        <v>0.17</v>
      </c>
      <c r="AR125" s="432">
        <v>0.17</v>
      </c>
      <c r="AS125" s="432">
        <v>0.17</v>
      </c>
      <c r="AT125" s="431">
        <v>0.17</v>
      </c>
      <c r="AU125" s="431">
        <v>0.17</v>
      </c>
      <c r="AV125" s="431">
        <v>0.16700000000000001</v>
      </c>
      <c r="AW125" s="291">
        <v>6.9961501145081997E-2</v>
      </c>
      <c r="AX125" s="291"/>
      <c r="AY125" s="306">
        <f t="shared" si="11"/>
        <v>0.16700000000000001</v>
      </c>
      <c r="AZ125" s="306">
        <f t="shared" si="12"/>
        <v>0.16700000000000001</v>
      </c>
      <c r="BA125" s="309">
        <f t="shared" si="13"/>
        <v>0.16700000000000001</v>
      </c>
      <c r="BB125" s="308">
        <f t="shared" si="14"/>
        <v>40087</v>
      </c>
      <c r="BC125" s="308">
        <v>0.53205162370168391</v>
      </c>
      <c r="BD125" s="291">
        <v>0.53215257507754266</v>
      </c>
      <c r="BF125" s="194">
        <v>40087</v>
      </c>
      <c r="BG125" s="206">
        <v>113</v>
      </c>
      <c r="HZ125" s="308">
        <f t="shared" si="9"/>
        <v>40148</v>
      </c>
      <c r="IA125" s="291">
        <v>115</v>
      </c>
    </row>
    <row r="126" spans="1:235" x14ac:dyDescent="0.25">
      <c r="A126" s="319"/>
      <c r="B126" s="296">
        <f t="shared" si="15"/>
        <v>40118</v>
      </c>
      <c r="C126" s="294">
        <v>3.04</v>
      </c>
      <c r="D126" s="294">
        <v>0.17</v>
      </c>
      <c r="E126" s="294">
        <v>7.0436425408320999E-2</v>
      </c>
      <c r="F126" s="294">
        <v>-0.19</v>
      </c>
      <c r="G126" s="294">
        <v>-3.2500000000000001E-2</v>
      </c>
      <c r="H126" s="294">
        <v>-0.19</v>
      </c>
      <c r="I126" s="294">
        <v>0.255</v>
      </c>
      <c r="J126" s="294">
        <v>0.27</v>
      </c>
      <c r="K126" s="294">
        <v>0.28749999999999998</v>
      </c>
      <c r="L126" s="294">
        <v>-6.9000000000000006E-2</v>
      </c>
      <c r="M126" s="294">
        <v>-6.4999999999999997E-3</v>
      </c>
      <c r="N126" s="294">
        <v>-0.28000000000000003</v>
      </c>
      <c r="O126" s="294">
        <v>0</v>
      </c>
      <c r="P126" s="294">
        <v>1.6E-2</v>
      </c>
      <c r="Q126" s="388">
        <v>-1.5E-3</v>
      </c>
      <c r="R126" s="291">
        <v>-2.2499999999999999E-2</v>
      </c>
      <c r="S126" s="291">
        <v>-4.9500000000000002E-2</v>
      </c>
      <c r="T126" s="291">
        <v>-0.11749999999999999</v>
      </c>
      <c r="U126" s="291">
        <v>-2.7E-2</v>
      </c>
      <c r="V126" s="291">
        <v>-9.2499999999999999E-2</v>
      </c>
      <c r="W126" s="291">
        <v>-0.13250000000000001</v>
      </c>
      <c r="X126" s="291">
        <v>0.76749999999999996</v>
      </c>
      <c r="Y126" s="291">
        <v>5.0000000000000001E-3</v>
      </c>
      <c r="Z126" s="291">
        <v>-0.19</v>
      </c>
      <c r="AA126" s="291">
        <v>-1.8499999999999999E-2</v>
      </c>
      <c r="AB126" s="306">
        <v>0.12</v>
      </c>
      <c r="AC126" s="306">
        <v>0.46500000000000002</v>
      </c>
      <c r="AD126" s="306">
        <v>0.35</v>
      </c>
      <c r="AE126" s="431">
        <v>0.17</v>
      </c>
      <c r="AF126" s="431">
        <v>0.17</v>
      </c>
      <c r="AG126" s="431">
        <v>0.187</v>
      </c>
      <c r="AH126" s="431">
        <v>0.17</v>
      </c>
      <c r="AI126" s="431">
        <v>0.17299999999999999</v>
      </c>
      <c r="AJ126" s="431">
        <v>0.17</v>
      </c>
      <c r="AK126" s="431">
        <v>0.17</v>
      </c>
      <c r="AL126" s="431">
        <v>0.17</v>
      </c>
      <c r="AM126" s="431">
        <v>0.17</v>
      </c>
      <c r="AN126" s="431">
        <v>0.17</v>
      </c>
      <c r="AO126" s="431">
        <v>0.17</v>
      </c>
      <c r="AP126" s="432">
        <v>0.17</v>
      </c>
      <c r="AQ126" s="432">
        <v>0.17</v>
      </c>
      <c r="AR126" s="432">
        <v>0.17</v>
      </c>
      <c r="AS126" s="432">
        <v>0.17</v>
      </c>
      <c r="AT126" s="431">
        <v>0.17</v>
      </c>
      <c r="AU126" s="431">
        <v>0.17</v>
      </c>
      <c r="AV126" s="431">
        <v>0.187</v>
      </c>
      <c r="AW126" s="291">
        <v>6.9961353893330996E-2</v>
      </c>
      <c r="AX126" s="291"/>
      <c r="AY126" s="306">
        <f t="shared" si="11"/>
        <v>0.187</v>
      </c>
      <c r="AZ126" s="306">
        <f t="shared" si="12"/>
        <v>0.187</v>
      </c>
      <c r="BA126" s="309">
        <f t="shared" si="13"/>
        <v>0.187</v>
      </c>
      <c r="BB126" s="308">
        <f t="shared" si="14"/>
        <v>40118</v>
      </c>
      <c r="BC126" s="308">
        <v>0.5289348660823926</v>
      </c>
      <c r="BD126" s="291">
        <v>0.52903522511567758</v>
      </c>
      <c r="BF126" s="194">
        <v>40118</v>
      </c>
      <c r="BG126" s="206">
        <v>114</v>
      </c>
      <c r="HZ126" s="308">
        <f t="shared" si="9"/>
        <v>40179</v>
      </c>
      <c r="IA126" s="291">
        <v>116</v>
      </c>
    </row>
    <row r="127" spans="1:235" x14ac:dyDescent="0.25">
      <c r="A127" s="319"/>
      <c r="B127" s="296">
        <f t="shared" si="15"/>
        <v>40148</v>
      </c>
      <c r="C127" s="294">
        <v>3.1080000000000001</v>
      </c>
      <c r="D127" s="294">
        <v>0.17</v>
      </c>
      <c r="E127" s="294">
        <v>7.0448857145495994E-2</v>
      </c>
      <c r="F127" s="294">
        <v>-0.19750000000000001</v>
      </c>
      <c r="G127" s="294">
        <v>-5.5E-2</v>
      </c>
      <c r="H127" s="294">
        <v>-0.19750000000000001</v>
      </c>
      <c r="I127" s="294">
        <v>0.29499999999999998</v>
      </c>
      <c r="J127" s="294">
        <v>0.30499999999999999</v>
      </c>
      <c r="K127" s="294">
        <v>0.33750000000000002</v>
      </c>
      <c r="L127" s="294">
        <v>-6.9000000000000006E-2</v>
      </c>
      <c r="M127" s="294">
        <v>-6.4999999999999997E-3</v>
      </c>
      <c r="N127" s="294">
        <v>-0.28000000000000003</v>
      </c>
      <c r="O127" s="294">
        <v>0.06</v>
      </c>
      <c r="P127" s="294">
        <v>1.6E-2</v>
      </c>
      <c r="Q127" s="388">
        <v>-1.5E-3</v>
      </c>
      <c r="R127" s="291">
        <v>-2.2499999999999999E-2</v>
      </c>
      <c r="S127" s="291">
        <v>-4.9500000000000002E-2</v>
      </c>
      <c r="T127" s="291">
        <v>-0.11</v>
      </c>
      <c r="U127" s="291">
        <v>-2.7E-2</v>
      </c>
      <c r="V127" s="291">
        <v>-0.1275</v>
      </c>
      <c r="W127" s="291">
        <v>-0.1275</v>
      </c>
      <c r="X127" s="291">
        <v>1.19</v>
      </c>
      <c r="Y127" s="291">
        <v>5.0000000000000001E-3</v>
      </c>
      <c r="Z127" s="291">
        <v>-0.19</v>
      </c>
      <c r="AA127" s="291">
        <v>-1.8499999999999999E-2</v>
      </c>
      <c r="AB127" s="306">
        <v>0.12</v>
      </c>
      <c r="AC127" s="306">
        <v>0.8</v>
      </c>
      <c r="AD127" s="306">
        <v>0.39</v>
      </c>
      <c r="AE127" s="431">
        <v>0.17</v>
      </c>
      <c r="AF127" s="431">
        <v>0.17</v>
      </c>
      <c r="AG127" s="431">
        <v>0.187</v>
      </c>
      <c r="AH127" s="431">
        <v>0.17</v>
      </c>
      <c r="AI127" s="431">
        <v>0.17299999999999999</v>
      </c>
      <c r="AJ127" s="431">
        <v>0.17</v>
      </c>
      <c r="AK127" s="431">
        <v>0.17</v>
      </c>
      <c r="AL127" s="431">
        <v>0.17</v>
      </c>
      <c r="AM127" s="431">
        <v>0.17</v>
      </c>
      <c r="AN127" s="431">
        <v>0.17</v>
      </c>
      <c r="AO127" s="431">
        <v>0.17</v>
      </c>
      <c r="AP127" s="432">
        <v>0.17</v>
      </c>
      <c r="AQ127" s="432">
        <v>0.17</v>
      </c>
      <c r="AR127" s="432">
        <v>0.17</v>
      </c>
      <c r="AS127" s="432">
        <v>0.17</v>
      </c>
      <c r="AT127" s="431">
        <v>0.17</v>
      </c>
      <c r="AU127" s="431">
        <v>0.17</v>
      </c>
      <c r="AV127" s="431">
        <v>0.187</v>
      </c>
      <c r="AW127" s="291">
        <v>6.9961211391636996E-2</v>
      </c>
      <c r="AX127" s="291"/>
      <c r="AY127" s="306">
        <f t="shared" si="11"/>
        <v>0.187</v>
      </c>
      <c r="AZ127" s="306">
        <f t="shared" si="12"/>
        <v>0.187</v>
      </c>
      <c r="BA127" s="309">
        <f t="shared" si="13"/>
        <v>0.187</v>
      </c>
      <c r="BB127" s="308">
        <f t="shared" si="14"/>
        <v>40148</v>
      </c>
      <c r="BC127" s="308">
        <v>0.52593609104064665</v>
      </c>
      <c r="BD127" s="291">
        <v>0.52603588015944258</v>
      </c>
      <c r="BF127" s="194">
        <v>40148</v>
      </c>
      <c r="BG127" s="206">
        <v>115</v>
      </c>
      <c r="HZ127" s="308">
        <f t="shared" si="9"/>
        <v>40210</v>
      </c>
      <c r="IA127" s="291">
        <v>117</v>
      </c>
    </row>
    <row r="128" spans="1:235" x14ac:dyDescent="0.25">
      <c r="A128" s="319"/>
      <c r="B128" s="296">
        <f t="shared" si="15"/>
        <v>40179</v>
      </c>
      <c r="C128" s="294">
        <v>3.4009999999999998</v>
      </c>
      <c r="D128" s="294">
        <v>0.17</v>
      </c>
      <c r="E128" s="294">
        <v>7.0461703273964005E-2</v>
      </c>
      <c r="F128" s="294">
        <v>-0.2</v>
      </c>
      <c r="G128" s="294">
        <v>-5.7500000000000002E-2</v>
      </c>
      <c r="H128" s="294">
        <v>-0.2</v>
      </c>
      <c r="I128" s="294">
        <v>0.30499999999999999</v>
      </c>
      <c r="J128" s="294">
        <v>0.30499999999999999</v>
      </c>
      <c r="K128" s="294">
        <v>0.4375</v>
      </c>
      <c r="L128" s="294">
        <v>-6.9000000000000006E-2</v>
      </c>
      <c r="M128" s="294">
        <v>-4.4999999999999997E-3</v>
      </c>
      <c r="N128" s="294">
        <v>-0.28000000000000003</v>
      </c>
      <c r="O128" s="294">
        <v>0.13</v>
      </c>
      <c r="P128" s="294">
        <v>1.6E-2</v>
      </c>
      <c r="Q128" s="388">
        <v>-1.5E-3</v>
      </c>
      <c r="R128" s="291">
        <v>-1.7999999999999999E-2</v>
      </c>
      <c r="S128" s="291">
        <v>-4.9500000000000002E-2</v>
      </c>
      <c r="T128" s="291">
        <v>-9.5000000000000001E-2</v>
      </c>
      <c r="U128" s="291">
        <v>-2.7E-2</v>
      </c>
      <c r="V128" s="291">
        <v>-0.13300000000000001</v>
      </c>
      <c r="W128" s="291">
        <v>-0.1275</v>
      </c>
      <c r="X128" s="291">
        <v>1.5249999999999999</v>
      </c>
      <c r="Y128" s="291">
        <v>5.0000000000000001E-3</v>
      </c>
      <c r="Z128" s="291">
        <v>-0.19</v>
      </c>
      <c r="AA128" s="291">
        <v>-1.8499999999999999E-2</v>
      </c>
      <c r="AB128" s="306">
        <v>0.12</v>
      </c>
      <c r="AC128" s="306">
        <v>0.97499999999999998</v>
      </c>
      <c r="AD128" s="306">
        <v>0.4</v>
      </c>
      <c r="AE128" s="431">
        <v>0.17</v>
      </c>
      <c r="AF128" s="431">
        <v>0.17</v>
      </c>
      <c r="AG128" s="431">
        <v>0.187</v>
      </c>
      <c r="AH128" s="431">
        <v>0.17</v>
      </c>
      <c r="AI128" s="431">
        <v>0.17299999999999999</v>
      </c>
      <c r="AJ128" s="431">
        <v>0.17</v>
      </c>
      <c r="AK128" s="431">
        <v>0.17</v>
      </c>
      <c r="AL128" s="431">
        <v>0.17</v>
      </c>
      <c r="AM128" s="431">
        <v>0.17</v>
      </c>
      <c r="AN128" s="431">
        <v>0.17</v>
      </c>
      <c r="AO128" s="431">
        <v>0.17</v>
      </c>
      <c r="AP128" s="432">
        <v>0.17</v>
      </c>
      <c r="AQ128" s="432">
        <v>0.17</v>
      </c>
      <c r="AR128" s="432">
        <v>0.17</v>
      </c>
      <c r="AS128" s="432">
        <v>0.17</v>
      </c>
      <c r="AT128" s="431">
        <v>0.17</v>
      </c>
      <c r="AU128" s="431">
        <v>0.17</v>
      </c>
      <c r="AV128" s="431">
        <v>0.187</v>
      </c>
      <c r="AW128" s="291">
        <v>6.9961064139885995E-2</v>
      </c>
      <c r="AX128" s="291"/>
      <c r="AY128" s="306">
        <f t="shared" si="11"/>
        <v>0.187</v>
      </c>
      <c r="AZ128" s="306">
        <f t="shared" si="12"/>
        <v>0.187</v>
      </c>
      <c r="BA128" s="309">
        <f t="shared" si="13"/>
        <v>0.187</v>
      </c>
      <c r="BB128" s="308">
        <f t="shared" si="14"/>
        <v>40179</v>
      </c>
      <c r="BC128" s="308">
        <v>0.52285527510980045</v>
      </c>
      <c r="BD128" s="291">
        <v>0.52295447872784795</v>
      </c>
      <c r="BF128" s="194">
        <v>40179</v>
      </c>
      <c r="BG128" s="206">
        <v>116</v>
      </c>
      <c r="HZ128" s="308">
        <f t="shared" si="9"/>
        <v>40238</v>
      </c>
      <c r="IA128" s="291">
        <v>118</v>
      </c>
    </row>
    <row r="129" spans="1:235" x14ac:dyDescent="0.25">
      <c r="A129" s="319"/>
      <c r="B129" s="296">
        <f t="shared" si="15"/>
        <v>40210</v>
      </c>
      <c r="C129" s="294">
        <v>3.2869999999999999</v>
      </c>
      <c r="D129" s="294">
        <v>0.17</v>
      </c>
      <c r="E129" s="294">
        <v>7.0474549402486E-2</v>
      </c>
      <c r="F129" s="294">
        <v>-0.20250000000000001</v>
      </c>
      <c r="G129" s="294">
        <v>-0.04</v>
      </c>
      <c r="H129" s="294">
        <v>-0.20250000000000001</v>
      </c>
      <c r="I129" s="294">
        <v>0.28000000000000003</v>
      </c>
      <c r="J129" s="294">
        <v>0.30499999999999999</v>
      </c>
      <c r="K129" s="294">
        <v>0.435</v>
      </c>
      <c r="L129" s="294">
        <v>-6.9000000000000006E-2</v>
      </c>
      <c r="M129" s="294">
        <v>-4.4999999999999997E-3</v>
      </c>
      <c r="N129" s="294">
        <v>-0.28000000000000003</v>
      </c>
      <c r="O129" s="294">
        <v>0</v>
      </c>
      <c r="P129" s="294">
        <v>1.6E-2</v>
      </c>
      <c r="Q129" s="388">
        <v>-1.5E-3</v>
      </c>
      <c r="R129" s="291">
        <v>-1.7999999999999999E-2</v>
      </c>
      <c r="S129" s="291">
        <v>-4.9500000000000002E-2</v>
      </c>
      <c r="T129" s="291">
        <v>-9.5000000000000001E-2</v>
      </c>
      <c r="U129" s="291">
        <v>-2.7E-2</v>
      </c>
      <c r="V129" s="291">
        <v>-0.11550000000000001</v>
      </c>
      <c r="W129" s="291">
        <v>-0.1275</v>
      </c>
      <c r="X129" s="291">
        <v>1.4550000000000001</v>
      </c>
      <c r="Y129" s="291">
        <v>5.0000000000000001E-3</v>
      </c>
      <c r="Z129" s="291">
        <v>-0.19</v>
      </c>
      <c r="AA129" s="291">
        <v>-1.8499999999999999E-2</v>
      </c>
      <c r="AB129" s="306">
        <v>0.12</v>
      </c>
      <c r="AC129" s="306">
        <v>0.97499999999999998</v>
      </c>
      <c r="AD129" s="306">
        <v>0.375</v>
      </c>
      <c r="AE129" s="431">
        <v>0.17</v>
      </c>
      <c r="AF129" s="431">
        <v>0.17</v>
      </c>
      <c r="AG129" s="431">
        <v>0.187</v>
      </c>
      <c r="AH129" s="431">
        <v>0.17</v>
      </c>
      <c r="AI129" s="431">
        <v>0.17299999999999999</v>
      </c>
      <c r="AJ129" s="431">
        <v>0.17</v>
      </c>
      <c r="AK129" s="431">
        <v>0.17</v>
      </c>
      <c r="AL129" s="431">
        <v>0.17</v>
      </c>
      <c r="AM129" s="431">
        <v>0.17</v>
      </c>
      <c r="AN129" s="431">
        <v>0.17</v>
      </c>
      <c r="AO129" s="431">
        <v>0.17</v>
      </c>
      <c r="AP129" s="432">
        <v>0.17</v>
      </c>
      <c r="AQ129" s="432">
        <v>0.17</v>
      </c>
      <c r="AR129" s="432">
        <v>0.17</v>
      </c>
      <c r="AS129" s="432">
        <v>0.17</v>
      </c>
      <c r="AT129" s="431">
        <v>0.17</v>
      </c>
      <c r="AU129" s="431">
        <v>0.17</v>
      </c>
      <c r="AV129" s="431">
        <v>0.187</v>
      </c>
      <c r="AW129" s="291">
        <v>6.9960916888134994E-2</v>
      </c>
      <c r="AX129" s="291"/>
      <c r="AY129" s="306">
        <f t="shared" si="11"/>
        <v>0.187</v>
      </c>
      <c r="AZ129" s="306">
        <f t="shared" si="12"/>
        <v>0.187</v>
      </c>
      <c r="BA129" s="309">
        <f t="shared" si="13"/>
        <v>0.187</v>
      </c>
      <c r="BB129" s="308">
        <f t="shared" si="14"/>
        <v>40210</v>
      </c>
      <c r="BC129" s="308">
        <v>0.51979256497316906</v>
      </c>
      <c r="BD129" s="291">
        <v>0.5198911865370206</v>
      </c>
      <c r="BF129" s="194">
        <v>40210</v>
      </c>
      <c r="BG129" s="206">
        <v>117</v>
      </c>
      <c r="HZ129" s="308">
        <f t="shared" si="9"/>
        <v>40269</v>
      </c>
      <c r="IA129" s="291">
        <v>119</v>
      </c>
    </row>
    <row r="130" spans="1:235" x14ac:dyDescent="0.25">
      <c r="A130" s="319"/>
      <c r="B130" s="296">
        <f t="shared" si="15"/>
        <v>40238</v>
      </c>
      <c r="C130" s="294">
        <v>3.1379999999999999</v>
      </c>
      <c r="D130" s="294">
        <v>0.16</v>
      </c>
      <c r="E130" s="294">
        <v>7.0486152357326998E-2</v>
      </c>
      <c r="F130" s="294">
        <v>-0.20499999999999999</v>
      </c>
      <c r="G130" s="294">
        <v>-2.75E-2</v>
      </c>
      <c r="H130" s="294">
        <v>-0.20499999999999999</v>
      </c>
      <c r="I130" s="294">
        <v>0.27800000000000002</v>
      </c>
      <c r="J130" s="294">
        <v>0.26500000000000001</v>
      </c>
      <c r="K130" s="294">
        <v>0.30249999999999999</v>
      </c>
      <c r="L130" s="294">
        <v>-6.9000000000000006E-2</v>
      </c>
      <c r="M130" s="294">
        <v>-4.4999999999999997E-3</v>
      </c>
      <c r="N130" s="294">
        <v>-0.28000000000000003</v>
      </c>
      <c r="O130" s="294">
        <v>-0.18</v>
      </c>
      <c r="P130" s="294">
        <v>1.6E-2</v>
      </c>
      <c r="Q130" s="388">
        <v>-1.5E-3</v>
      </c>
      <c r="R130" s="291">
        <v>-1.7999999999999999E-2</v>
      </c>
      <c r="S130" s="291">
        <v>-4.9500000000000002E-2</v>
      </c>
      <c r="T130" s="291">
        <v>-9.5000000000000001E-2</v>
      </c>
      <c r="U130" s="291">
        <v>-8.5000000000000006E-3</v>
      </c>
      <c r="V130" s="291">
        <v>-9.8000000000000004E-2</v>
      </c>
      <c r="W130" s="291">
        <v>-0.13250000000000001</v>
      </c>
      <c r="X130" s="291">
        <v>0.83499999999999996</v>
      </c>
      <c r="Y130" s="291">
        <v>5.0000000000000001E-3</v>
      </c>
      <c r="Z130" s="291">
        <v>-0.19</v>
      </c>
      <c r="AA130" s="291">
        <v>-1.8499999999999999E-2</v>
      </c>
      <c r="AB130" s="306">
        <v>0.12</v>
      </c>
      <c r="AC130" s="306">
        <v>0.60750000000000004</v>
      </c>
      <c r="AD130" s="306">
        <v>0.373</v>
      </c>
      <c r="AE130" s="431">
        <v>0.16</v>
      </c>
      <c r="AF130" s="431">
        <v>0.16</v>
      </c>
      <c r="AG130" s="431">
        <v>0.17599999999999999</v>
      </c>
      <c r="AH130" s="431">
        <v>0.16</v>
      </c>
      <c r="AI130" s="431">
        <v>0.16300000000000001</v>
      </c>
      <c r="AJ130" s="431">
        <v>0.16</v>
      </c>
      <c r="AK130" s="431">
        <v>0.16</v>
      </c>
      <c r="AL130" s="431">
        <v>0.16</v>
      </c>
      <c r="AM130" s="431">
        <v>0.16</v>
      </c>
      <c r="AN130" s="431">
        <v>0.16</v>
      </c>
      <c r="AO130" s="431">
        <v>0.16</v>
      </c>
      <c r="AP130" s="432">
        <v>0.16</v>
      </c>
      <c r="AQ130" s="432">
        <v>0.16</v>
      </c>
      <c r="AR130" s="432">
        <v>0.16</v>
      </c>
      <c r="AS130" s="432">
        <v>0.16</v>
      </c>
      <c r="AT130" s="431">
        <v>0.16</v>
      </c>
      <c r="AU130" s="431">
        <v>0.16</v>
      </c>
      <c r="AV130" s="431">
        <v>0.17599999999999999</v>
      </c>
      <c r="AW130" s="291">
        <v>6.9960783886553995E-2</v>
      </c>
      <c r="AX130" s="291"/>
      <c r="AY130" s="306">
        <f t="shared" si="11"/>
        <v>0.17599999999999999</v>
      </c>
      <c r="AZ130" s="306">
        <f t="shared" si="12"/>
        <v>0.17599999999999999</v>
      </c>
      <c r="BA130" s="309">
        <f t="shared" si="13"/>
        <v>0.17599999999999999</v>
      </c>
      <c r="BB130" s="308">
        <f t="shared" si="14"/>
        <v>40238</v>
      </c>
      <c r="BC130" s="308">
        <v>0.51704171964828749</v>
      </c>
      <c r="BD130" s="291">
        <v>0.5171398184312217</v>
      </c>
      <c r="BF130" s="194">
        <v>40238</v>
      </c>
      <c r="BG130" s="206">
        <v>118</v>
      </c>
      <c r="HZ130" s="308">
        <f t="shared" si="9"/>
        <v>40299</v>
      </c>
      <c r="IA130" s="291">
        <v>120</v>
      </c>
    </row>
    <row r="131" spans="1:235" x14ac:dyDescent="0.25">
      <c r="A131" s="319"/>
      <c r="B131" s="296">
        <f t="shared" si="15"/>
        <v>40269</v>
      </c>
      <c r="C131" s="294">
        <v>2.9809999999999999</v>
      </c>
      <c r="D131" s="294">
        <v>0.16</v>
      </c>
      <c r="E131" s="294">
        <v>7.0498998485952993E-2</v>
      </c>
      <c r="F131" s="294">
        <v>-0.19500000000000001</v>
      </c>
      <c r="G131" s="294">
        <v>1.4999999999999999E-2</v>
      </c>
      <c r="H131" s="294">
        <v>-0.19500000000000001</v>
      </c>
      <c r="I131" s="294">
        <v>0.183</v>
      </c>
      <c r="J131" s="294">
        <v>0.19500000000000001</v>
      </c>
      <c r="K131" s="294">
        <v>0.25</v>
      </c>
      <c r="L131" s="294">
        <v>-6.2E-2</v>
      </c>
      <c r="M131" s="294">
        <v>-1.2E-2</v>
      </c>
      <c r="N131" s="294">
        <v>-0.36</v>
      </c>
      <c r="O131" s="294">
        <v>-0.28999999999999998</v>
      </c>
      <c r="P131" s="294">
        <v>6.4999999999999997E-3</v>
      </c>
      <c r="Q131" s="388">
        <v>8.5000000000000006E-3</v>
      </c>
      <c r="R131" s="291">
        <v>-1.7500000000000002E-2</v>
      </c>
      <c r="S131" s="291">
        <v>-4.7E-2</v>
      </c>
      <c r="T131" s="291">
        <v>-0.14000000000000001</v>
      </c>
      <c r="U131" s="291">
        <v>-8.5000000000000006E-3</v>
      </c>
      <c r="V131" s="291">
        <v>-9.0499999999999997E-2</v>
      </c>
      <c r="W131" s="291">
        <v>-0.12</v>
      </c>
      <c r="X131" s="291">
        <v>0.45</v>
      </c>
      <c r="Y131" s="291">
        <v>5.0000000000000001E-3</v>
      </c>
      <c r="Z131" s="291">
        <v>-0.19500000000000001</v>
      </c>
      <c r="AA131" s="291">
        <v>-1.6E-2</v>
      </c>
      <c r="AB131" s="306">
        <v>0.28999999999999998</v>
      </c>
      <c r="AC131" s="306">
        <v>0.35499999999999998</v>
      </c>
      <c r="AD131" s="306">
        <v>0.27800000000000002</v>
      </c>
      <c r="AE131" s="431">
        <v>0.16</v>
      </c>
      <c r="AF131" s="431">
        <v>0.16</v>
      </c>
      <c r="AG131" s="431">
        <v>0.157</v>
      </c>
      <c r="AH131" s="431">
        <v>0.16</v>
      </c>
      <c r="AI131" s="431">
        <v>0.16300000000000001</v>
      </c>
      <c r="AJ131" s="431">
        <v>0.16</v>
      </c>
      <c r="AK131" s="431">
        <v>0.157</v>
      </c>
      <c r="AL131" s="431">
        <v>0.157</v>
      </c>
      <c r="AM131" s="431">
        <v>0.16</v>
      </c>
      <c r="AN131" s="431">
        <v>0.16</v>
      </c>
      <c r="AO131" s="431">
        <v>0.16</v>
      </c>
      <c r="AP131" s="432">
        <v>0.16</v>
      </c>
      <c r="AQ131" s="432">
        <v>0.16</v>
      </c>
      <c r="AR131" s="432">
        <v>0.16</v>
      </c>
      <c r="AS131" s="432">
        <v>0.16</v>
      </c>
      <c r="AT131" s="431">
        <v>0.16</v>
      </c>
      <c r="AU131" s="431">
        <v>0.16</v>
      </c>
      <c r="AV131" s="431">
        <v>0.157</v>
      </c>
      <c r="AW131" s="291">
        <v>6.9960636634802995E-2</v>
      </c>
      <c r="AX131" s="291"/>
      <c r="AY131" s="306">
        <f t="shared" si="11"/>
        <v>0.157</v>
      </c>
      <c r="AZ131" s="306">
        <f t="shared" si="12"/>
        <v>0.157</v>
      </c>
      <c r="BA131" s="309">
        <f t="shared" si="13"/>
        <v>0.157</v>
      </c>
      <c r="BB131" s="308">
        <f t="shared" si="14"/>
        <v>40269</v>
      </c>
      <c r="BC131" s="308">
        <v>0.51401317452405804</v>
      </c>
      <c r="BD131" s="291">
        <v>0.51411069775623253</v>
      </c>
      <c r="BF131" s="194">
        <v>40269</v>
      </c>
      <c r="BG131" s="206">
        <v>119</v>
      </c>
      <c r="HZ131" s="308">
        <f t="shared" si="9"/>
        <v>40330</v>
      </c>
      <c r="IA131" s="291">
        <v>121</v>
      </c>
    </row>
    <row r="132" spans="1:235" x14ac:dyDescent="0.25">
      <c r="A132" s="319"/>
      <c r="B132" s="296">
        <f t="shared" si="15"/>
        <v>40299</v>
      </c>
      <c r="C132" s="294">
        <v>2.976</v>
      </c>
      <c r="D132" s="294">
        <v>0.16</v>
      </c>
      <c r="E132" s="294">
        <v>7.0511430223386004E-2</v>
      </c>
      <c r="F132" s="294">
        <v>-0.19500000000000001</v>
      </c>
      <c r="G132" s="294">
        <v>1.4999999999999999E-2</v>
      </c>
      <c r="H132" s="294">
        <v>-0.19500000000000001</v>
      </c>
      <c r="I132" s="294">
        <v>0.193</v>
      </c>
      <c r="J132" s="294">
        <v>0.1825</v>
      </c>
      <c r="K132" s="294">
        <v>0.20250000000000001</v>
      </c>
      <c r="L132" s="294">
        <v>-6.2E-2</v>
      </c>
      <c r="M132" s="294">
        <v>-1.2E-2</v>
      </c>
      <c r="N132" s="294">
        <v>-0.36</v>
      </c>
      <c r="O132" s="294">
        <v>-0.28999999999999998</v>
      </c>
      <c r="P132" s="294">
        <v>6.4999999999999997E-3</v>
      </c>
      <c r="Q132" s="294">
        <v>8.5000000000000006E-3</v>
      </c>
      <c r="R132" s="291">
        <v>-1.7500000000000002E-2</v>
      </c>
      <c r="S132" s="291">
        <v>-4.7E-2</v>
      </c>
      <c r="T132" s="291">
        <v>-0.155</v>
      </c>
      <c r="U132" s="291">
        <v>-8.7500000000000008E-3</v>
      </c>
      <c r="V132" s="291">
        <v>-9.0499999999999997E-2</v>
      </c>
      <c r="W132" s="291">
        <v>-0.12</v>
      </c>
      <c r="X132" s="291">
        <v>0.40500000000000003</v>
      </c>
      <c r="Y132" s="291">
        <v>5.0000000000000001E-3</v>
      </c>
      <c r="Z132" s="291">
        <v>-0.19500000000000001</v>
      </c>
      <c r="AA132" s="291">
        <v>-1.6E-2</v>
      </c>
      <c r="AB132" s="306">
        <v>0.28999999999999998</v>
      </c>
      <c r="AC132" s="306">
        <v>0.28749999999999998</v>
      </c>
      <c r="AD132" s="306">
        <v>0.28799999999999998</v>
      </c>
      <c r="AE132" s="431">
        <v>0.16</v>
      </c>
      <c r="AF132" s="431">
        <v>0.16</v>
      </c>
      <c r="AG132" s="431">
        <v>0.157</v>
      </c>
      <c r="AH132" s="431">
        <v>0.16</v>
      </c>
      <c r="AI132" s="431">
        <v>0.16300000000000001</v>
      </c>
      <c r="AJ132" s="431">
        <v>0.16</v>
      </c>
      <c r="AK132" s="431">
        <v>0.157</v>
      </c>
      <c r="AL132" s="431">
        <v>0.157</v>
      </c>
      <c r="AM132" s="431">
        <v>0.16</v>
      </c>
      <c r="AN132" s="431">
        <v>0.16</v>
      </c>
      <c r="AO132" s="431">
        <v>0.16</v>
      </c>
      <c r="AP132" s="432">
        <v>0.16</v>
      </c>
      <c r="AQ132" s="432">
        <v>0.16</v>
      </c>
      <c r="AR132" s="432">
        <v>0.16</v>
      </c>
      <c r="AS132" s="432">
        <v>0.16</v>
      </c>
      <c r="AT132" s="431">
        <v>0.16</v>
      </c>
      <c r="AU132" s="431">
        <v>0.16</v>
      </c>
      <c r="AV132" s="431">
        <v>0.157</v>
      </c>
      <c r="AW132" s="291">
        <v>6.9960494133108994E-2</v>
      </c>
      <c r="AX132" s="291"/>
      <c r="AY132" s="306">
        <f t="shared" si="11"/>
        <v>0.157</v>
      </c>
      <c r="AZ132" s="306">
        <f t="shared" si="12"/>
        <v>0.157</v>
      </c>
      <c r="BA132" s="309">
        <f t="shared" si="13"/>
        <v>0.157</v>
      </c>
      <c r="BB132" s="308">
        <f t="shared" si="14"/>
        <v>40299</v>
      </c>
      <c r="BC132" s="308">
        <v>0.51109927117647036</v>
      </c>
      <c r="BD132" s="291">
        <v>0.51119624064987512</v>
      </c>
      <c r="BF132" s="194">
        <v>40299</v>
      </c>
      <c r="BG132" s="206">
        <v>120</v>
      </c>
      <c r="HZ132" s="308">
        <f t="shared" si="9"/>
        <v>40360</v>
      </c>
      <c r="IA132" s="291">
        <v>122</v>
      </c>
    </row>
    <row r="133" spans="1:235" x14ac:dyDescent="0.25">
      <c r="A133" s="319"/>
      <c r="B133" s="296">
        <f t="shared" si="15"/>
        <v>40330</v>
      </c>
      <c r="C133" s="294">
        <v>3.0030000000000001</v>
      </c>
      <c r="D133" s="294">
        <v>0.16</v>
      </c>
      <c r="E133" s="294">
        <v>7.0524276352118997E-2</v>
      </c>
      <c r="F133" s="294">
        <v>-0.19500000000000001</v>
      </c>
      <c r="G133" s="294">
        <v>0.02</v>
      </c>
      <c r="H133" s="294">
        <v>-0.19500000000000001</v>
      </c>
      <c r="I133" s="294">
        <v>0.188</v>
      </c>
      <c r="J133" s="294">
        <v>0.1825</v>
      </c>
      <c r="K133" s="294">
        <v>0.20250000000000001</v>
      </c>
      <c r="L133" s="294">
        <v>-7.8E-2</v>
      </c>
      <c r="M133" s="294">
        <v>-1.2E-2</v>
      </c>
      <c r="N133" s="294">
        <v>-0.36</v>
      </c>
      <c r="O133" s="294">
        <v>-0.28999999999999998</v>
      </c>
      <c r="P133" s="294">
        <v>6.4999999999999997E-3</v>
      </c>
      <c r="Q133" s="294">
        <v>8.5000000000000006E-3</v>
      </c>
      <c r="R133" s="291">
        <v>-1.7500000000000002E-2</v>
      </c>
      <c r="S133" s="291">
        <v>-4.7E-2</v>
      </c>
      <c r="T133" s="291">
        <v>-0.16500000000000001</v>
      </c>
      <c r="U133" s="291">
        <v>-8.7500000000000008E-3</v>
      </c>
      <c r="V133" s="291">
        <v>-8.0500000000000002E-2</v>
      </c>
      <c r="W133" s="291">
        <v>-0.12</v>
      </c>
      <c r="X133" s="291">
        <v>0.39500000000000002</v>
      </c>
      <c r="Y133" s="291">
        <v>5.0000000000000001E-3</v>
      </c>
      <c r="Z133" s="291">
        <v>-0.19500000000000001</v>
      </c>
      <c r="AA133" s="291">
        <v>-1.6E-2</v>
      </c>
      <c r="AB133" s="306">
        <v>0.28999999999999998</v>
      </c>
      <c r="AC133" s="306">
        <v>0.28749999999999998</v>
      </c>
      <c r="AD133" s="306">
        <v>0.28299999999999997</v>
      </c>
      <c r="AE133" s="431">
        <v>0.16</v>
      </c>
      <c r="AF133" s="431">
        <v>0.16</v>
      </c>
      <c r="AG133" s="431">
        <v>0.157</v>
      </c>
      <c r="AH133" s="431">
        <v>0.16</v>
      </c>
      <c r="AI133" s="431">
        <v>0.16300000000000001</v>
      </c>
      <c r="AJ133" s="431">
        <v>0.16</v>
      </c>
      <c r="AK133" s="431">
        <v>0.157</v>
      </c>
      <c r="AL133" s="431">
        <v>0.157</v>
      </c>
      <c r="AM133" s="431">
        <v>0.16</v>
      </c>
      <c r="AN133" s="431">
        <v>0.16</v>
      </c>
      <c r="AO133" s="431">
        <v>0.16</v>
      </c>
      <c r="AP133" s="432">
        <v>0.16</v>
      </c>
      <c r="AQ133" s="432">
        <v>0.16</v>
      </c>
      <c r="AR133" s="432">
        <v>0.16</v>
      </c>
      <c r="AS133" s="432">
        <v>0.16</v>
      </c>
      <c r="AT133" s="431">
        <v>0.16</v>
      </c>
      <c r="AU133" s="431">
        <v>0.16</v>
      </c>
      <c r="AV133" s="431">
        <v>0.157</v>
      </c>
      <c r="AW133" s="291">
        <v>6.9960346881357993E-2</v>
      </c>
      <c r="AX133" s="291"/>
      <c r="AY133" s="306">
        <f t="shared" si="11"/>
        <v>0.157</v>
      </c>
      <c r="AZ133" s="306">
        <f t="shared" si="12"/>
        <v>0.157</v>
      </c>
      <c r="BA133" s="309">
        <f t="shared" si="13"/>
        <v>0.157</v>
      </c>
      <c r="BB133" s="308">
        <f t="shared" si="14"/>
        <v>40330</v>
      </c>
      <c r="BC133" s="308">
        <v>0.50810564724631402</v>
      </c>
      <c r="BD133" s="291">
        <v>0.50820204781621436</v>
      </c>
      <c r="BF133" s="194">
        <v>40330</v>
      </c>
      <c r="BG133" s="206">
        <v>121</v>
      </c>
      <c r="HZ133" s="308">
        <f t="shared" si="9"/>
        <v>40391</v>
      </c>
      <c r="IA133" s="291">
        <v>123</v>
      </c>
    </row>
    <row r="134" spans="1:235" x14ac:dyDescent="0.25">
      <c r="A134" s="319"/>
      <c r="B134" s="296">
        <f t="shared" si="15"/>
        <v>40360</v>
      </c>
      <c r="C134" s="294">
        <v>3.0249999999999999</v>
      </c>
      <c r="D134" s="294">
        <v>0.16</v>
      </c>
      <c r="E134" s="294">
        <v>7.0536708089654995E-2</v>
      </c>
      <c r="F134" s="294">
        <v>-0.19500000000000001</v>
      </c>
      <c r="G134" s="294">
        <v>2.2499999999999999E-2</v>
      </c>
      <c r="H134" s="294">
        <v>-0.19500000000000001</v>
      </c>
      <c r="I134" s="294">
        <v>0.17799999999999999</v>
      </c>
      <c r="J134" s="294">
        <v>0.1825</v>
      </c>
      <c r="K134" s="294">
        <v>0.215</v>
      </c>
      <c r="L134" s="294">
        <v>-7.0999999999999994E-2</v>
      </c>
      <c r="M134" s="294">
        <v>-1.2E-2</v>
      </c>
      <c r="N134" s="294">
        <v>-0.36</v>
      </c>
      <c r="O134" s="294">
        <v>-0.28999999999999998</v>
      </c>
      <c r="P134" s="294">
        <v>6.4999999999999997E-3</v>
      </c>
      <c r="Q134" s="294">
        <v>8.5000000000000006E-3</v>
      </c>
      <c r="R134" s="291">
        <v>-1.7500000000000002E-2</v>
      </c>
      <c r="S134" s="291">
        <v>-4.7E-2</v>
      </c>
      <c r="T134" s="291">
        <v>-0.16500000000000001</v>
      </c>
      <c r="U134" s="291">
        <v>-8.7500000000000008E-3</v>
      </c>
      <c r="V134" s="291">
        <v>-7.5499999999999998E-2</v>
      </c>
      <c r="W134" s="291">
        <v>-0.12</v>
      </c>
      <c r="X134" s="291">
        <v>0.43</v>
      </c>
      <c r="Y134" s="291">
        <v>5.0000000000000001E-3</v>
      </c>
      <c r="Z134" s="291">
        <v>-0.19500000000000001</v>
      </c>
      <c r="AA134" s="291">
        <v>-1.6E-2</v>
      </c>
      <c r="AB134" s="306">
        <v>0.28999999999999998</v>
      </c>
      <c r="AC134" s="306">
        <v>0.3</v>
      </c>
      <c r="AD134" s="306">
        <v>0.27300000000000002</v>
      </c>
      <c r="AE134" s="431">
        <v>0.16</v>
      </c>
      <c r="AF134" s="431">
        <v>0.16</v>
      </c>
      <c r="AG134" s="431">
        <v>0.157</v>
      </c>
      <c r="AH134" s="431">
        <v>0.16</v>
      </c>
      <c r="AI134" s="431">
        <v>0.16300000000000001</v>
      </c>
      <c r="AJ134" s="431">
        <v>0.16</v>
      </c>
      <c r="AK134" s="431">
        <v>0.157</v>
      </c>
      <c r="AL134" s="431">
        <v>0.157</v>
      </c>
      <c r="AM134" s="431">
        <v>0.16</v>
      </c>
      <c r="AN134" s="431">
        <v>0.16</v>
      </c>
      <c r="AO134" s="431">
        <v>0.16</v>
      </c>
      <c r="AP134" s="432">
        <v>0.16</v>
      </c>
      <c r="AQ134" s="432">
        <v>0.16</v>
      </c>
      <c r="AR134" s="432">
        <v>0.16</v>
      </c>
      <c r="AS134" s="432">
        <v>0.16</v>
      </c>
      <c r="AT134" s="431">
        <v>0.16</v>
      </c>
      <c r="AU134" s="431">
        <v>0.16</v>
      </c>
      <c r="AV134" s="431">
        <v>0.157</v>
      </c>
      <c r="AW134" s="291">
        <v>6.9960204379662994E-2</v>
      </c>
      <c r="AX134" s="291"/>
      <c r="AY134" s="306">
        <f t="shared" si="11"/>
        <v>0.157</v>
      </c>
      <c r="AZ134" s="306">
        <f t="shared" si="12"/>
        <v>0.157</v>
      </c>
      <c r="BA134" s="309">
        <f t="shared" si="13"/>
        <v>0.157</v>
      </c>
      <c r="BB134" s="308">
        <f t="shared" si="14"/>
        <v>40360</v>
      </c>
      <c r="BC134" s="308">
        <v>0.50522534256329099</v>
      </c>
      <c r="BD134" s="291">
        <v>0.50532119576987267</v>
      </c>
      <c r="BF134" s="194">
        <v>40360</v>
      </c>
      <c r="BG134" s="206">
        <v>122</v>
      </c>
      <c r="HZ134" s="308">
        <f t="shared" si="9"/>
        <v>40422</v>
      </c>
      <c r="IA134" s="291">
        <v>124</v>
      </c>
    </row>
    <row r="135" spans="1:235" x14ac:dyDescent="0.25">
      <c r="A135" s="319"/>
      <c r="B135" s="296">
        <f t="shared" si="15"/>
        <v>40391</v>
      </c>
      <c r="C135" s="294">
        <v>3.0459999999999998</v>
      </c>
      <c r="D135" s="294">
        <v>0.16</v>
      </c>
      <c r="E135" s="294">
        <v>7.0549554218496E-2</v>
      </c>
      <c r="F135" s="294">
        <v>-0.19500000000000001</v>
      </c>
      <c r="G135" s="294">
        <v>2.5000000000000001E-2</v>
      </c>
      <c r="H135" s="294">
        <v>-0.19500000000000001</v>
      </c>
      <c r="I135" s="294">
        <v>0.17499999999999999</v>
      </c>
      <c r="J135" s="294">
        <v>0.1825</v>
      </c>
      <c r="K135" s="294">
        <v>0.215</v>
      </c>
      <c r="L135" s="294">
        <v>-6.2E-2</v>
      </c>
      <c r="M135" s="294">
        <v>-1.2E-2</v>
      </c>
      <c r="N135" s="294">
        <v>-0.36</v>
      </c>
      <c r="O135" s="294">
        <v>-0.28999999999999998</v>
      </c>
      <c r="P135" s="294">
        <v>6.4999999999999997E-3</v>
      </c>
      <c r="Q135" s="294">
        <v>8.5000000000000006E-3</v>
      </c>
      <c r="R135" s="291">
        <v>-1.7500000000000002E-2</v>
      </c>
      <c r="S135" s="291">
        <v>-4.7E-2</v>
      </c>
      <c r="T135" s="291">
        <v>-0.16500000000000001</v>
      </c>
      <c r="U135" s="291">
        <v>-8.7500000000000008E-3</v>
      </c>
      <c r="V135" s="291">
        <v>-7.5499999999999998E-2</v>
      </c>
      <c r="W135" s="291">
        <v>-0.12</v>
      </c>
      <c r="X135" s="291">
        <v>0.495</v>
      </c>
      <c r="Y135" s="291">
        <v>5.0000000000000001E-3</v>
      </c>
      <c r="Z135" s="291">
        <v>-0.19500000000000001</v>
      </c>
      <c r="AA135" s="291">
        <v>-1.6E-2</v>
      </c>
      <c r="AB135" s="306">
        <v>0.28999999999999998</v>
      </c>
      <c r="AC135" s="306">
        <v>0.3</v>
      </c>
      <c r="AD135" s="306">
        <v>0.27</v>
      </c>
      <c r="AE135" s="431">
        <v>0.16</v>
      </c>
      <c r="AF135" s="431">
        <v>0.16</v>
      </c>
      <c r="AG135" s="431">
        <v>0.157</v>
      </c>
      <c r="AH135" s="431">
        <v>0.16</v>
      </c>
      <c r="AI135" s="431">
        <v>0.16300000000000001</v>
      </c>
      <c r="AJ135" s="431">
        <v>0.16</v>
      </c>
      <c r="AK135" s="431">
        <v>0.157</v>
      </c>
      <c r="AL135" s="431">
        <v>0.157</v>
      </c>
      <c r="AM135" s="431">
        <v>0.16</v>
      </c>
      <c r="AN135" s="431">
        <v>0.16</v>
      </c>
      <c r="AO135" s="431">
        <v>0.16</v>
      </c>
      <c r="AP135" s="432">
        <v>0.16</v>
      </c>
      <c r="AQ135" s="432">
        <v>0.16</v>
      </c>
      <c r="AR135" s="432">
        <v>0.16</v>
      </c>
      <c r="AS135" s="432">
        <v>0.16</v>
      </c>
      <c r="AT135" s="431">
        <v>0.16</v>
      </c>
      <c r="AU135" s="431">
        <v>0.16</v>
      </c>
      <c r="AV135" s="431">
        <v>0.157</v>
      </c>
      <c r="AW135" s="291">
        <v>6.9960057127913006E-2</v>
      </c>
      <c r="AX135" s="291"/>
      <c r="AY135" s="306">
        <f t="shared" si="11"/>
        <v>0.157</v>
      </c>
      <c r="AZ135" s="306">
        <f t="shared" si="12"/>
        <v>0.157</v>
      </c>
      <c r="BA135" s="309">
        <f t="shared" si="13"/>
        <v>0.157</v>
      </c>
      <c r="BB135" s="308">
        <f t="shared" si="14"/>
        <v>40391</v>
      </c>
      <c r="BC135" s="308">
        <v>0.50226623586444075</v>
      </c>
      <c r="BD135" s="291">
        <v>0.50236152673775514</v>
      </c>
      <c r="BF135" s="194">
        <v>40391</v>
      </c>
      <c r="BG135" s="206">
        <v>123</v>
      </c>
      <c r="HZ135" s="308">
        <f t="shared" si="9"/>
        <v>40452</v>
      </c>
      <c r="IA135" s="291">
        <v>125</v>
      </c>
    </row>
    <row r="136" spans="1:235" x14ac:dyDescent="0.25">
      <c r="A136" s="319"/>
      <c r="B136" s="296">
        <f t="shared" si="15"/>
        <v>40422</v>
      </c>
      <c r="C136" s="294">
        <v>3.0219999999999998</v>
      </c>
      <c r="D136" s="294">
        <v>0.16</v>
      </c>
      <c r="E136" s="294">
        <v>7.0562023569541998E-2</v>
      </c>
      <c r="F136" s="294">
        <v>-0.19500000000000001</v>
      </c>
      <c r="G136" s="294">
        <v>1.7500000000000002E-2</v>
      </c>
      <c r="H136" s="294">
        <v>-0.19500000000000001</v>
      </c>
      <c r="I136" s="294">
        <v>0.17299999999999999</v>
      </c>
      <c r="J136" s="294">
        <v>0.1825</v>
      </c>
      <c r="K136" s="294">
        <v>0.19500000000000001</v>
      </c>
      <c r="L136" s="294">
        <v>-4.2000000000000003E-2</v>
      </c>
      <c r="M136" s="388">
        <v>-1.2E-2</v>
      </c>
      <c r="N136" s="294">
        <v>-0.36</v>
      </c>
      <c r="O136" s="294">
        <v>-0.28999999999999998</v>
      </c>
      <c r="P136" s="294">
        <v>6.4999999999999997E-3</v>
      </c>
      <c r="Q136" s="294">
        <v>8.5000000000000006E-3</v>
      </c>
      <c r="R136" s="291">
        <v>-1.7500000000000002E-2</v>
      </c>
      <c r="S136" s="291">
        <v>-4.7E-2</v>
      </c>
      <c r="T136" s="291">
        <v>-0.155</v>
      </c>
      <c r="U136" s="291">
        <v>-8.7500000000000008E-3</v>
      </c>
      <c r="V136" s="291">
        <v>-9.0499999999999997E-2</v>
      </c>
      <c r="W136" s="291">
        <v>-0.12</v>
      </c>
      <c r="X136" s="291">
        <v>0.39500000000000002</v>
      </c>
      <c r="Y136" s="291">
        <v>5.0000000000000001E-3</v>
      </c>
      <c r="Z136" s="291">
        <v>-0.19500000000000001</v>
      </c>
      <c r="AA136" s="291">
        <v>-1.6E-2</v>
      </c>
      <c r="AB136" s="306">
        <v>0.28999999999999998</v>
      </c>
      <c r="AC136" s="306">
        <v>0.28999999999999998</v>
      </c>
      <c r="AD136" s="306">
        <v>0.26800000000000002</v>
      </c>
      <c r="AE136" s="431">
        <v>0.16</v>
      </c>
      <c r="AF136" s="431">
        <v>0.16</v>
      </c>
      <c r="AG136" s="431">
        <v>0.157</v>
      </c>
      <c r="AH136" s="431">
        <v>0.16</v>
      </c>
      <c r="AI136" s="431">
        <v>0.16300000000000001</v>
      </c>
      <c r="AJ136" s="431">
        <v>0.16</v>
      </c>
      <c r="AK136" s="431">
        <v>0.157</v>
      </c>
      <c r="AL136" s="431">
        <v>0.157</v>
      </c>
      <c r="AM136" s="431">
        <v>0.16</v>
      </c>
      <c r="AN136" s="431">
        <v>0.16</v>
      </c>
      <c r="AO136" s="431">
        <v>0.16</v>
      </c>
      <c r="AP136" s="432">
        <v>0.16</v>
      </c>
      <c r="AQ136" s="432">
        <v>0.16</v>
      </c>
      <c r="AR136" s="432">
        <v>0.16</v>
      </c>
      <c r="AS136" s="432">
        <v>0.16</v>
      </c>
      <c r="AT136" s="431">
        <v>0.16</v>
      </c>
      <c r="AU136" s="431">
        <v>0.16</v>
      </c>
      <c r="AV136" s="431">
        <v>0.157</v>
      </c>
      <c r="AW136" s="291">
        <v>6.9961513275416998E-2</v>
      </c>
      <c r="AX136" s="291"/>
      <c r="AY136" s="306">
        <f t="shared" si="11"/>
        <v>0.157</v>
      </c>
      <c r="AZ136" s="306">
        <f t="shared" si="12"/>
        <v>0.157</v>
      </c>
      <c r="BA136" s="309">
        <f t="shared" si="13"/>
        <v>0.157</v>
      </c>
      <c r="BB136" s="308">
        <f t="shared" si="14"/>
        <v>40422</v>
      </c>
      <c r="BC136" s="308">
        <v>0.49931745399843758</v>
      </c>
      <c r="BD136" s="291">
        <v>0.49941218643787721</v>
      </c>
      <c r="BF136" s="194">
        <v>40422</v>
      </c>
      <c r="BG136" s="206">
        <v>124</v>
      </c>
      <c r="HZ136" s="308">
        <f t="shared" si="9"/>
        <v>40483</v>
      </c>
      <c r="IA136" s="291">
        <v>126</v>
      </c>
    </row>
    <row r="137" spans="1:235" x14ac:dyDescent="0.25">
      <c r="A137" s="319"/>
      <c r="B137" s="296">
        <f t="shared" si="15"/>
        <v>40452</v>
      </c>
      <c r="C137" s="294">
        <v>3.03</v>
      </c>
      <c r="D137" s="294">
        <v>0.16</v>
      </c>
      <c r="E137" s="294">
        <v>7.0563151971762994E-2</v>
      </c>
      <c r="F137" s="294">
        <v>-0.19500000000000001</v>
      </c>
      <c r="G137" s="294">
        <v>7.4999999999999997E-3</v>
      </c>
      <c r="H137" s="294">
        <v>-0.19500000000000001</v>
      </c>
      <c r="I137" s="294">
        <v>0.188</v>
      </c>
      <c r="J137" s="294">
        <v>0.1875</v>
      </c>
      <c r="K137" s="294">
        <v>0.215</v>
      </c>
      <c r="L137" s="294">
        <v>-5.1999999999999998E-2</v>
      </c>
      <c r="M137" s="388">
        <v>-1.2E-2</v>
      </c>
      <c r="N137" s="294">
        <v>-0.36</v>
      </c>
      <c r="O137" s="294">
        <v>-0.28999999999999998</v>
      </c>
      <c r="P137" s="294">
        <v>6.4999999999999997E-3</v>
      </c>
      <c r="Q137" s="294">
        <v>8.5000000000000006E-3</v>
      </c>
      <c r="R137" s="291">
        <v>-1.7500000000000002E-2</v>
      </c>
      <c r="S137" s="291">
        <v>-4.7E-2</v>
      </c>
      <c r="T137" s="291">
        <v>-0.14000000000000001</v>
      </c>
      <c r="U137" s="291">
        <v>-2.7E-2</v>
      </c>
      <c r="V137" s="291">
        <v>-9.2999999999999999E-2</v>
      </c>
      <c r="W137" s="291">
        <v>-0.12</v>
      </c>
      <c r="X137" s="291">
        <v>0.46100000000000002</v>
      </c>
      <c r="Y137" s="291">
        <v>5.0000000000000001E-3</v>
      </c>
      <c r="Z137" s="291">
        <v>-0.19500000000000001</v>
      </c>
      <c r="AA137" s="291">
        <v>-1.6E-2</v>
      </c>
      <c r="AB137" s="306">
        <v>0.28999999999999998</v>
      </c>
      <c r="AC137" s="306">
        <v>0.36249999999999999</v>
      </c>
      <c r="AD137" s="306">
        <v>0.28299999999999997</v>
      </c>
      <c r="AE137" s="431">
        <v>0.16</v>
      </c>
      <c r="AF137" s="431">
        <v>0.16</v>
      </c>
      <c r="AG137" s="431">
        <v>0.157</v>
      </c>
      <c r="AH137" s="431">
        <v>0.16</v>
      </c>
      <c r="AI137" s="431">
        <v>0.16300000000000001</v>
      </c>
      <c r="AJ137" s="431">
        <v>0.16</v>
      </c>
      <c r="AK137" s="431">
        <v>0.157</v>
      </c>
      <c r="AL137" s="431">
        <v>0.157</v>
      </c>
      <c r="AM137" s="431">
        <v>0.16</v>
      </c>
      <c r="AN137" s="431">
        <v>0.16</v>
      </c>
      <c r="AO137" s="431">
        <v>0.16</v>
      </c>
      <c r="AP137" s="432">
        <v>0.16</v>
      </c>
      <c r="AQ137" s="432">
        <v>0.16</v>
      </c>
      <c r="AR137" s="432">
        <v>0.16</v>
      </c>
      <c r="AS137" s="432">
        <v>0.16</v>
      </c>
      <c r="AT137" s="431">
        <v>0.16</v>
      </c>
      <c r="AU137" s="431">
        <v>0.16</v>
      </c>
      <c r="AV137" s="431">
        <v>0.157</v>
      </c>
      <c r="AW137" s="291">
        <v>6.9968242484824E-2</v>
      </c>
      <c r="AX137" s="291"/>
      <c r="AY137" s="306">
        <f t="shared" si="11"/>
        <v>0.157</v>
      </c>
      <c r="AZ137" s="306">
        <f t="shared" si="12"/>
        <v>0.157</v>
      </c>
      <c r="BA137" s="309">
        <f t="shared" si="13"/>
        <v>0.157</v>
      </c>
      <c r="BB137" s="308">
        <f t="shared" si="14"/>
        <v>40452</v>
      </c>
      <c r="BC137" s="308">
        <v>0.49646051901619748</v>
      </c>
      <c r="BD137" s="291">
        <v>0.49655471574121907</v>
      </c>
      <c r="BF137" s="194">
        <v>40452</v>
      </c>
      <c r="BG137" s="206">
        <v>125</v>
      </c>
      <c r="HZ137" s="308">
        <f t="shared" si="9"/>
        <v>40513</v>
      </c>
      <c r="IA137" s="291">
        <v>127</v>
      </c>
    </row>
    <row r="138" spans="1:235" x14ac:dyDescent="0.25">
      <c r="B138" s="296">
        <f t="shared" si="15"/>
        <v>40483</v>
      </c>
      <c r="C138" s="294">
        <v>3.0870000000000002</v>
      </c>
      <c r="D138" s="294">
        <v>0.16</v>
      </c>
      <c r="E138" s="294">
        <v>7.0564317987390004E-2</v>
      </c>
      <c r="F138" s="294">
        <v>-0.19</v>
      </c>
      <c r="G138" s="294">
        <v>-3.2500000000000001E-2</v>
      </c>
      <c r="H138" s="294">
        <v>-0.19</v>
      </c>
      <c r="I138" s="294">
        <v>0.25</v>
      </c>
      <c r="J138" s="294">
        <v>0.27</v>
      </c>
      <c r="K138" s="294">
        <v>0.28749999999999998</v>
      </c>
      <c r="L138" s="294">
        <v>-6.7000000000000004E-2</v>
      </c>
      <c r="M138" s="388">
        <v>-4.4999999999999997E-3</v>
      </c>
      <c r="N138" s="294">
        <v>-0.28000000000000003</v>
      </c>
      <c r="O138" s="294">
        <v>0</v>
      </c>
      <c r="P138" s="294">
        <v>1.6E-2</v>
      </c>
      <c r="Q138" s="388">
        <v>4.9999999999999903E-4</v>
      </c>
      <c r="R138" s="291">
        <v>-2.0500000000000001E-2</v>
      </c>
      <c r="S138" s="291">
        <v>-4.65E-2</v>
      </c>
      <c r="T138" s="291">
        <v>-0.10249999999999999</v>
      </c>
      <c r="U138" s="291">
        <v>-2.5999999999999999E-2</v>
      </c>
      <c r="V138" s="291">
        <v>-9.0499999999999997E-2</v>
      </c>
      <c r="W138" s="291">
        <v>-0.13250000000000001</v>
      </c>
      <c r="X138" s="291">
        <v>0.76749999999999996</v>
      </c>
      <c r="Y138" s="291">
        <v>5.0000000000000001E-3</v>
      </c>
      <c r="Z138" s="291">
        <v>-0.19</v>
      </c>
      <c r="AA138" s="291">
        <v>-1.7500000000000002E-2</v>
      </c>
      <c r="AB138" s="306">
        <v>0.12</v>
      </c>
      <c r="AC138" s="306">
        <v>0.46500000000000002</v>
      </c>
      <c r="AD138" s="306">
        <v>0.34499999999999997</v>
      </c>
      <c r="AE138" s="431">
        <v>0.16</v>
      </c>
      <c r="AF138" s="431">
        <v>0.16</v>
      </c>
      <c r="AG138" s="431">
        <v>0.17599999999999999</v>
      </c>
      <c r="AH138" s="431">
        <v>0.16</v>
      </c>
      <c r="AI138" s="431">
        <v>0.16300000000000001</v>
      </c>
      <c r="AJ138" s="431">
        <v>0.16</v>
      </c>
      <c r="AK138" s="431">
        <v>0.16</v>
      </c>
      <c r="AL138" s="431">
        <v>0.16</v>
      </c>
      <c r="AM138" s="431">
        <v>0.16</v>
      </c>
      <c r="AN138" s="431">
        <v>0.16</v>
      </c>
      <c r="AO138" s="431">
        <v>0.16</v>
      </c>
      <c r="AP138" s="432">
        <v>0.16</v>
      </c>
      <c r="AQ138" s="432">
        <v>0.16</v>
      </c>
      <c r="AR138" s="432">
        <v>0.16</v>
      </c>
      <c r="AS138" s="432">
        <v>0.16</v>
      </c>
      <c r="AT138" s="431">
        <v>0.16</v>
      </c>
      <c r="AU138" s="431">
        <v>0.16</v>
      </c>
      <c r="AV138" s="431">
        <v>0.17599999999999999</v>
      </c>
      <c r="AW138" s="291">
        <v>6.9975196001225995E-2</v>
      </c>
      <c r="AX138" s="291"/>
      <c r="AY138" s="306">
        <f t="shared" si="11"/>
        <v>0.17599999999999999</v>
      </c>
      <c r="AZ138" s="306">
        <f t="shared" si="12"/>
        <v>0.17599999999999999</v>
      </c>
      <c r="BA138" s="309">
        <f t="shared" si="13"/>
        <v>0.17599999999999999</v>
      </c>
      <c r="BB138" s="308">
        <f t="shared" si="14"/>
        <v>40483</v>
      </c>
      <c r="BC138" s="308">
        <v>0.49352512912004742</v>
      </c>
      <c r="BD138" s="291">
        <v>0.49361877538043053</v>
      </c>
      <c r="BF138" s="194">
        <v>40483</v>
      </c>
      <c r="BG138" s="206">
        <v>126</v>
      </c>
      <c r="HZ138" s="308">
        <f t="shared" si="9"/>
        <v>40544</v>
      </c>
      <c r="IA138" s="291">
        <v>128</v>
      </c>
    </row>
    <row r="139" spans="1:235" x14ac:dyDescent="0.25">
      <c r="B139" s="296">
        <f t="shared" si="15"/>
        <v>40513</v>
      </c>
      <c r="C139" s="294">
        <v>3.1520000000000001</v>
      </c>
      <c r="D139" s="294">
        <v>0.16</v>
      </c>
      <c r="E139" s="294">
        <v>7.0565446389611E-2</v>
      </c>
      <c r="F139" s="294">
        <v>-0.19750000000000001</v>
      </c>
      <c r="G139" s="294">
        <v>-5.5E-2</v>
      </c>
      <c r="H139" s="294">
        <v>-0.19750000000000001</v>
      </c>
      <c r="I139" s="294">
        <v>0.28999999999999998</v>
      </c>
      <c r="J139" s="294">
        <v>0.30499999999999999</v>
      </c>
      <c r="K139" s="294">
        <v>0.33750000000000002</v>
      </c>
      <c r="L139" s="294">
        <v>-6.7000000000000004E-2</v>
      </c>
      <c r="M139" s="388">
        <v>-4.4999999999999997E-3</v>
      </c>
      <c r="N139" s="294">
        <v>-0.28000000000000003</v>
      </c>
      <c r="O139" s="294">
        <v>0.06</v>
      </c>
      <c r="P139" s="294">
        <v>1.6E-2</v>
      </c>
      <c r="Q139" s="388">
        <v>4.9999999999999903E-4</v>
      </c>
      <c r="R139" s="291">
        <v>-2.0500000000000001E-2</v>
      </c>
      <c r="S139" s="291">
        <v>-4.65E-2</v>
      </c>
      <c r="T139" s="291">
        <v>-9.5000000000000001E-2</v>
      </c>
      <c r="U139" s="291">
        <v>-2.5999999999999999E-2</v>
      </c>
      <c r="V139" s="291">
        <v>-0.1255</v>
      </c>
      <c r="W139" s="291">
        <v>-0.1275</v>
      </c>
      <c r="X139" s="291">
        <v>1.19</v>
      </c>
      <c r="Y139" s="291">
        <v>5.0000000000000001E-3</v>
      </c>
      <c r="Z139" s="291">
        <v>-0.19</v>
      </c>
      <c r="AA139" s="291">
        <v>-1.7500000000000002E-2</v>
      </c>
      <c r="AB139" s="306">
        <v>0.12</v>
      </c>
      <c r="AC139" s="306">
        <v>0.8</v>
      </c>
      <c r="AD139" s="306">
        <v>0.38500000000000001</v>
      </c>
      <c r="AE139" s="431">
        <v>0.16</v>
      </c>
      <c r="AF139" s="431">
        <v>0.16</v>
      </c>
      <c r="AG139" s="431">
        <v>0.17599999999999999</v>
      </c>
      <c r="AH139" s="431">
        <v>0.16</v>
      </c>
      <c r="AI139" s="431">
        <v>0.16300000000000001</v>
      </c>
      <c r="AJ139" s="431">
        <v>0.16</v>
      </c>
      <c r="AK139" s="431">
        <v>0.16</v>
      </c>
      <c r="AL139" s="431">
        <v>0.16</v>
      </c>
      <c r="AM139" s="431">
        <v>0.16</v>
      </c>
      <c r="AN139" s="431">
        <v>0.16</v>
      </c>
      <c r="AO139" s="431">
        <v>0.16</v>
      </c>
      <c r="AP139" s="432">
        <v>0.16</v>
      </c>
      <c r="AQ139" s="432">
        <v>0.16</v>
      </c>
      <c r="AR139" s="432">
        <v>0.16</v>
      </c>
      <c r="AS139" s="432">
        <v>0.16</v>
      </c>
      <c r="AT139" s="431">
        <v>0.16</v>
      </c>
      <c r="AU139" s="431">
        <v>0.16</v>
      </c>
      <c r="AV139" s="431">
        <v>0.17599999999999999</v>
      </c>
      <c r="AW139" s="291">
        <v>6.9981925210664001E-2</v>
      </c>
      <c r="AX139" s="291"/>
      <c r="AY139" s="306">
        <f t="shared" si="11"/>
        <v>0.17599999999999999</v>
      </c>
      <c r="AZ139" s="306">
        <f t="shared" si="12"/>
        <v>0.17599999999999999</v>
      </c>
      <c r="BA139" s="309">
        <f t="shared" si="13"/>
        <v>0.17599999999999999</v>
      </c>
      <c r="BB139" s="308">
        <f t="shared" si="14"/>
        <v>40513</v>
      </c>
      <c r="BC139" s="308">
        <v>0.49070057481334994</v>
      </c>
      <c r="BD139" s="291">
        <v>0.49079369135636669</v>
      </c>
      <c r="BF139" s="194">
        <v>40513</v>
      </c>
      <c r="BG139" s="206">
        <v>127</v>
      </c>
      <c r="HZ139" s="308">
        <f t="shared" si="9"/>
        <v>40575</v>
      </c>
      <c r="IA139" s="291">
        <v>129</v>
      </c>
    </row>
    <row r="140" spans="1:235" x14ac:dyDescent="0.25">
      <c r="B140" s="296">
        <f t="shared" si="15"/>
        <v>40544</v>
      </c>
      <c r="C140" s="294">
        <v>3.4529999999999998</v>
      </c>
      <c r="D140" s="294">
        <v>0.16</v>
      </c>
      <c r="E140" s="294">
        <v>7.0566612405239995E-2</v>
      </c>
      <c r="F140" s="294">
        <v>-0.2</v>
      </c>
      <c r="G140" s="294">
        <v>-5.7500000000000002E-2</v>
      </c>
      <c r="H140" s="294">
        <v>-0.2</v>
      </c>
      <c r="I140" s="294">
        <v>0.3</v>
      </c>
      <c r="J140" s="294">
        <v>0.30499999999999999</v>
      </c>
      <c r="K140" s="294">
        <v>0.4375</v>
      </c>
      <c r="L140" s="294">
        <v>-6.7000000000000004E-2</v>
      </c>
      <c r="M140" s="388">
        <v>-2.5000000000000001E-3</v>
      </c>
      <c r="N140" s="294">
        <v>-0.28000000000000003</v>
      </c>
      <c r="O140" s="294">
        <v>0.13</v>
      </c>
      <c r="P140" s="294">
        <v>1.6E-2</v>
      </c>
      <c r="Q140" s="388">
        <v>4.9999999999999903E-4</v>
      </c>
      <c r="R140" s="291">
        <v>-1.6E-2</v>
      </c>
      <c r="S140" s="291">
        <v>-4.65E-2</v>
      </c>
      <c r="T140" s="291">
        <v>-0.08</v>
      </c>
      <c r="U140" s="291">
        <v>-2.35E-2</v>
      </c>
      <c r="V140" s="291">
        <v>-0.13100000000000001</v>
      </c>
      <c r="W140" s="291">
        <v>-0.1275</v>
      </c>
      <c r="X140" s="291">
        <v>1.5249999999999999</v>
      </c>
      <c r="Y140" s="291">
        <v>5.0000000000000001E-3</v>
      </c>
      <c r="Z140" s="291">
        <v>-0.19</v>
      </c>
      <c r="AA140" s="291">
        <v>-1.7500000000000002E-2</v>
      </c>
      <c r="AB140" s="306">
        <v>0.12</v>
      </c>
      <c r="AC140" s="306">
        <v>0.97499999999999998</v>
      </c>
      <c r="AD140" s="306">
        <v>0.39500000000000002</v>
      </c>
      <c r="AE140" s="431">
        <v>0.16</v>
      </c>
      <c r="AF140" s="431">
        <v>0.16</v>
      </c>
      <c r="AG140" s="431">
        <v>0.17599999999999999</v>
      </c>
      <c r="AH140" s="431">
        <v>0.16</v>
      </c>
      <c r="AI140" s="431">
        <v>0.16300000000000001</v>
      </c>
      <c r="AJ140" s="431">
        <v>0.16</v>
      </c>
      <c r="AK140" s="431">
        <v>0.16</v>
      </c>
      <c r="AL140" s="431">
        <v>0.16</v>
      </c>
      <c r="AM140" s="431">
        <v>0.16</v>
      </c>
      <c r="AN140" s="431">
        <v>0.16</v>
      </c>
      <c r="AO140" s="431">
        <v>0.16</v>
      </c>
      <c r="AP140" s="432">
        <v>0.16</v>
      </c>
      <c r="AQ140" s="432">
        <v>0.16</v>
      </c>
      <c r="AR140" s="432">
        <v>0.16</v>
      </c>
      <c r="AS140" s="432">
        <v>0.16</v>
      </c>
      <c r="AT140" s="431">
        <v>0.16</v>
      </c>
      <c r="AU140" s="431">
        <v>0.16</v>
      </c>
      <c r="AV140" s="431">
        <v>0.17599999999999999</v>
      </c>
      <c r="AW140" s="291">
        <v>6.9988878727097997E-2</v>
      </c>
      <c r="AX140" s="291"/>
      <c r="AY140" s="306">
        <f t="shared" si="11"/>
        <v>0.17599999999999999</v>
      </c>
      <c r="AZ140" s="306">
        <f t="shared" si="12"/>
        <v>0.17599999999999999</v>
      </c>
      <c r="BA140" s="309">
        <f t="shared" si="13"/>
        <v>0.17599999999999999</v>
      </c>
      <c r="BB140" s="308">
        <f t="shared" si="14"/>
        <v>40544</v>
      </c>
      <c r="BC140" s="308">
        <v>0.48779845949083572</v>
      </c>
      <c r="BD140" s="291">
        <v>0.48789103173227194</v>
      </c>
      <c r="BF140" s="194">
        <v>40544</v>
      </c>
      <c r="BG140" s="206">
        <v>128</v>
      </c>
      <c r="HZ140" s="308">
        <f t="shared" si="9"/>
        <v>40603</v>
      </c>
      <c r="IA140" s="291">
        <v>130</v>
      </c>
    </row>
    <row r="141" spans="1:235" x14ac:dyDescent="0.25">
      <c r="B141" s="296">
        <f t="shared" si="15"/>
        <v>40575</v>
      </c>
      <c r="C141" s="294">
        <v>3.343</v>
      </c>
      <c r="D141" s="294">
        <v>0.16</v>
      </c>
      <c r="E141" s="294">
        <v>7.0567778420869004E-2</v>
      </c>
      <c r="F141" s="294">
        <v>-0.20250000000000001</v>
      </c>
      <c r="G141" s="294">
        <v>-0.04</v>
      </c>
      <c r="H141" s="294">
        <v>-0.20250000000000001</v>
      </c>
      <c r="I141" s="294">
        <v>0.27500000000000002</v>
      </c>
      <c r="J141" s="294">
        <v>0.30499999999999999</v>
      </c>
      <c r="K141" s="294">
        <v>0.435</v>
      </c>
      <c r="L141" s="294">
        <v>-6.7000000000000004E-2</v>
      </c>
      <c r="M141" s="388">
        <v>-2.5000000000000001E-3</v>
      </c>
      <c r="N141" s="294">
        <v>-0.28000000000000003</v>
      </c>
      <c r="O141" s="294">
        <v>0</v>
      </c>
      <c r="P141" s="294">
        <v>1.6E-2</v>
      </c>
      <c r="Q141" s="388">
        <v>4.9999999999999903E-4</v>
      </c>
      <c r="R141" s="291">
        <v>-1.6E-2</v>
      </c>
      <c r="S141" s="291">
        <v>-4.65E-2</v>
      </c>
      <c r="T141" s="291">
        <v>-0.08</v>
      </c>
      <c r="U141" s="291">
        <v>-2.35E-2</v>
      </c>
      <c r="V141" s="291">
        <v>-0.1135</v>
      </c>
      <c r="W141" s="291">
        <v>-0.1275</v>
      </c>
      <c r="X141" s="291">
        <v>1.4550000000000001</v>
      </c>
      <c r="Y141" s="291">
        <v>5.0000000000000001E-3</v>
      </c>
      <c r="Z141" s="291">
        <v>-0.19</v>
      </c>
      <c r="AA141" s="291">
        <v>-1.7500000000000002E-2</v>
      </c>
      <c r="AB141" s="306">
        <v>0.12</v>
      </c>
      <c r="AC141" s="306">
        <v>0.97499999999999998</v>
      </c>
      <c r="AD141" s="306">
        <v>0.37</v>
      </c>
      <c r="AE141" s="431">
        <v>0.16</v>
      </c>
      <c r="AF141" s="431">
        <v>0.16</v>
      </c>
      <c r="AG141" s="431">
        <v>0.17599999999999999</v>
      </c>
      <c r="AH141" s="431">
        <v>0.16</v>
      </c>
      <c r="AI141" s="431">
        <v>0.16300000000000001</v>
      </c>
      <c r="AJ141" s="431">
        <v>0.16</v>
      </c>
      <c r="AK141" s="431">
        <v>0.16</v>
      </c>
      <c r="AL141" s="431">
        <v>0.16</v>
      </c>
      <c r="AM141" s="431">
        <v>0.16</v>
      </c>
      <c r="AN141" s="431">
        <v>0.16</v>
      </c>
      <c r="AO141" s="431">
        <v>0.16</v>
      </c>
      <c r="AP141" s="432">
        <v>0.16</v>
      </c>
      <c r="AQ141" s="432">
        <v>0.16</v>
      </c>
      <c r="AR141" s="432">
        <v>0.16</v>
      </c>
      <c r="AS141" s="432">
        <v>0.16</v>
      </c>
      <c r="AT141" s="431">
        <v>0.16</v>
      </c>
      <c r="AU141" s="431">
        <v>0.16</v>
      </c>
      <c r="AV141" s="431">
        <v>0.17599999999999999</v>
      </c>
      <c r="AW141" s="291">
        <v>6.9995832243548994E-2</v>
      </c>
      <c r="AX141" s="291"/>
      <c r="AY141" s="306">
        <f t="shared" si="11"/>
        <v>0.17599999999999999</v>
      </c>
      <c r="AZ141" s="306">
        <f t="shared" si="12"/>
        <v>0.17599999999999999</v>
      </c>
      <c r="BA141" s="309">
        <f t="shared" si="13"/>
        <v>0.17599999999999999</v>
      </c>
      <c r="BB141" s="308">
        <f t="shared" si="14"/>
        <v>40575</v>
      </c>
      <c r="BC141" s="308">
        <v>0.48491311294788275</v>
      </c>
      <c r="BD141" s="291">
        <v>0.48500514399396616</v>
      </c>
      <c r="BF141" s="194">
        <v>40575</v>
      </c>
      <c r="BG141" s="206">
        <v>129</v>
      </c>
      <c r="HZ141" s="308">
        <f t="shared" si="9"/>
        <v>40634</v>
      </c>
      <c r="IA141" s="291">
        <v>131</v>
      </c>
    </row>
    <row r="142" spans="1:235" x14ac:dyDescent="0.25">
      <c r="B142" s="296">
        <f t="shared" si="15"/>
        <v>40603</v>
      </c>
      <c r="C142" s="294">
        <v>3.1970000000000001</v>
      </c>
      <c r="D142" s="294">
        <v>0.155</v>
      </c>
      <c r="E142" s="294">
        <v>7.0568831596275999E-2</v>
      </c>
      <c r="F142" s="294">
        <v>-0.20499999999999999</v>
      </c>
      <c r="G142" s="294">
        <v>-2.75E-2</v>
      </c>
      <c r="H142" s="294">
        <v>-0.20499999999999999</v>
      </c>
      <c r="I142" s="294">
        <v>0.27300000000000002</v>
      </c>
      <c r="J142" s="294">
        <v>0.26500000000000001</v>
      </c>
      <c r="K142" s="294">
        <v>0.30249999999999999</v>
      </c>
      <c r="L142" s="294">
        <v>-6.7000000000000004E-2</v>
      </c>
      <c r="M142" s="388">
        <v>-2.5000000000000001E-3</v>
      </c>
      <c r="N142" s="294">
        <v>-0.28000000000000003</v>
      </c>
      <c r="O142" s="294">
        <v>-0.18</v>
      </c>
      <c r="P142" s="294">
        <v>1.6E-2</v>
      </c>
      <c r="Q142" s="388">
        <v>4.9999999999999903E-4</v>
      </c>
      <c r="R142" s="291">
        <v>-1.6E-2</v>
      </c>
      <c r="S142" s="291">
        <v>-4.65E-2</v>
      </c>
      <c r="T142" s="291">
        <v>-0.08</v>
      </c>
      <c r="U142" s="291">
        <v>-5.0000000000000001E-3</v>
      </c>
      <c r="V142" s="291">
        <v>-9.6000000000000002E-2</v>
      </c>
      <c r="W142" s="291">
        <v>-0.13250000000000001</v>
      </c>
      <c r="X142" s="291">
        <v>0.83499999999999996</v>
      </c>
      <c r="Y142" s="291">
        <v>5.0000000000000001E-3</v>
      </c>
      <c r="Z142" s="291">
        <v>-0.19</v>
      </c>
      <c r="AA142" s="291">
        <v>-1.7500000000000002E-2</v>
      </c>
      <c r="AB142" s="306">
        <v>0.12</v>
      </c>
      <c r="AC142" s="306">
        <v>0.60750000000000004</v>
      </c>
      <c r="AD142" s="306">
        <v>0.36799999999999999</v>
      </c>
      <c r="AE142" s="431">
        <v>0.155</v>
      </c>
      <c r="AF142" s="431">
        <v>0.155</v>
      </c>
      <c r="AG142" s="431">
        <v>0.17100000000000001</v>
      </c>
      <c r="AH142" s="431">
        <v>0.155</v>
      </c>
      <c r="AI142" s="431">
        <v>0.158</v>
      </c>
      <c r="AJ142" s="431">
        <v>0.155</v>
      </c>
      <c r="AK142" s="431">
        <v>0.155</v>
      </c>
      <c r="AL142" s="431">
        <v>0.155</v>
      </c>
      <c r="AM142" s="431">
        <v>0.155</v>
      </c>
      <c r="AN142" s="431">
        <v>0.155</v>
      </c>
      <c r="AO142" s="431">
        <v>0.155</v>
      </c>
      <c r="AP142" s="432">
        <v>0.155</v>
      </c>
      <c r="AQ142" s="432">
        <v>0.155</v>
      </c>
      <c r="AR142" s="432">
        <v>0.155</v>
      </c>
      <c r="AS142" s="432">
        <v>0.155</v>
      </c>
      <c r="AT142" s="431">
        <v>0.155</v>
      </c>
      <c r="AU142" s="431">
        <v>0.155</v>
      </c>
      <c r="AV142" s="431">
        <v>0.17100000000000001</v>
      </c>
      <c r="AW142" s="291">
        <v>7.0002112839066002E-2</v>
      </c>
      <c r="AX142" s="291"/>
      <c r="AY142" s="306">
        <f t="shared" si="11"/>
        <v>0.17100000000000001</v>
      </c>
      <c r="AZ142" s="306">
        <f t="shared" si="12"/>
        <v>0.17100000000000001</v>
      </c>
      <c r="BA142" s="309">
        <f t="shared" si="13"/>
        <v>0.17100000000000001</v>
      </c>
      <c r="BB142" s="308">
        <f t="shared" si="14"/>
        <v>40603</v>
      </c>
      <c r="BC142" s="308">
        <v>0.48232132799853566</v>
      </c>
      <c r="BD142" s="291">
        <v>0.48241287287850781</v>
      </c>
      <c r="BF142" s="194">
        <v>40603</v>
      </c>
      <c r="BG142" s="206">
        <v>130</v>
      </c>
      <c r="HZ142" s="308">
        <f t="shared" ref="HZ142:HZ205" si="16">B144</f>
        <v>40664</v>
      </c>
      <c r="IA142" s="291">
        <v>132</v>
      </c>
    </row>
    <row r="143" spans="1:235" x14ac:dyDescent="0.25">
      <c r="B143" s="296">
        <f t="shared" si="15"/>
        <v>40634</v>
      </c>
      <c r="C143" s="294">
        <v>3.0430000000000001</v>
      </c>
      <c r="D143" s="294">
        <v>0.155</v>
      </c>
      <c r="E143" s="294">
        <v>7.0569997611904994E-2</v>
      </c>
      <c r="F143" s="294">
        <v>-0.19500000000000001</v>
      </c>
      <c r="G143" s="294">
        <v>1.4999999999999999E-2</v>
      </c>
      <c r="H143" s="294">
        <v>-0.19500000000000001</v>
      </c>
      <c r="I143" s="294">
        <v>0.17799999999999999</v>
      </c>
      <c r="J143" s="294">
        <v>0.19500000000000001</v>
      </c>
      <c r="K143" s="294">
        <v>0.25</v>
      </c>
      <c r="L143" s="294">
        <v>-0.06</v>
      </c>
      <c r="M143" s="294">
        <v>-9.9999990000000007E-3</v>
      </c>
      <c r="N143" s="294">
        <v>0</v>
      </c>
      <c r="O143" s="294">
        <v>-0.28999999999999998</v>
      </c>
      <c r="P143" s="294">
        <v>6.4999999999999997E-3</v>
      </c>
      <c r="Q143" s="294">
        <v>1.0500000000000001E-2</v>
      </c>
      <c r="R143" s="291">
        <v>-1.55E-2</v>
      </c>
      <c r="S143" s="291">
        <v>-4.3999999999999997E-2</v>
      </c>
      <c r="T143" s="291">
        <v>-0.125</v>
      </c>
      <c r="U143" s="291">
        <v>-5.0000000000000001E-3</v>
      </c>
      <c r="V143" s="291">
        <v>-8.8499999999999995E-2</v>
      </c>
      <c r="W143" s="291">
        <v>-0.12</v>
      </c>
      <c r="X143" s="291">
        <v>0.45</v>
      </c>
      <c r="Y143" s="291">
        <v>5.0000000000000001E-3</v>
      </c>
      <c r="Z143" s="291">
        <v>-0.19</v>
      </c>
      <c r="AA143" s="291">
        <v>-1.4999999999999999E-2</v>
      </c>
      <c r="AB143" s="306">
        <v>0.29499999999999998</v>
      </c>
      <c r="AC143" s="306">
        <v>0.35499999999999998</v>
      </c>
      <c r="AD143" s="306">
        <v>0.27300000000000002</v>
      </c>
      <c r="AE143" s="431">
        <v>0.155</v>
      </c>
      <c r="AF143" s="431">
        <v>0.155</v>
      </c>
      <c r="AG143" s="431">
        <v>0.152</v>
      </c>
      <c r="AH143" s="431">
        <v>0.155</v>
      </c>
      <c r="AI143" s="431">
        <v>0.158</v>
      </c>
      <c r="AJ143" s="431">
        <v>0.155</v>
      </c>
      <c r="AK143" s="431">
        <v>0.152</v>
      </c>
      <c r="AL143" s="431">
        <v>0.152</v>
      </c>
      <c r="AM143" s="431">
        <v>0.155</v>
      </c>
      <c r="AN143" s="431">
        <v>0.155</v>
      </c>
      <c r="AO143" s="431">
        <v>0.155</v>
      </c>
      <c r="AP143" s="432">
        <v>0.155</v>
      </c>
      <c r="AQ143" s="432">
        <v>0.155</v>
      </c>
      <c r="AR143" s="432">
        <v>0.155</v>
      </c>
      <c r="AS143" s="432">
        <v>0.155</v>
      </c>
      <c r="AT143" s="431">
        <v>0.155</v>
      </c>
      <c r="AU143" s="431">
        <v>0.155</v>
      </c>
      <c r="AV143" s="431">
        <v>0.152</v>
      </c>
      <c r="AW143" s="291">
        <v>7.0009066355547003E-2</v>
      </c>
      <c r="AX143" s="291"/>
      <c r="AY143" s="306">
        <f t="shared" si="11"/>
        <v>0.152</v>
      </c>
      <c r="AZ143" s="306">
        <f t="shared" si="12"/>
        <v>0.152</v>
      </c>
      <c r="BA143" s="309">
        <f t="shared" si="13"/>
        <v>0.152</v>
      </c>
      <c r="BB143" s="308">
        <f t="shared" si="14"/>
        <v>40634</v>
      </c>
      <c r="BC143" s="308">
        <v>0.479467635581594</v>
      </c>
      <c r="BD143" s="291">
        <v>0.47955864513041785</v>
      </c>
      <c r="BF143" s="194">
        <v>40634</v>
      </c>
      <c r="BG143" s="206">
        <v>131</v>
      </c>
      <c r="HZ143" s="308">
        <f t="shared" si="16"/>
        <v>40695</v>
      </c>
      <c r="IA143" s="291">
        <v>133</v>
      </c>
    </row>
    <row r="144" spans="1:235" x14ac:dyDescent="0.25">
      <c r="B144" s="296">
        <f t="shared" si="15"/>
        <v>40664</v>
      </c>
      <c r="C144" s="294">
        <v>3.0390000000000001</v>
      </c>
      <c r="D144" s="294">
        <v>0.155</v>
      </c>
      <c r="E144" s="294">
        <v>7.0571126014129001E-2</v>
      </c>
      <c r="F144" s="294">
        <v>-0.19500000000000001</v>
      </c>
      <c r="G144" s="294">
        <v>1.4999999999999999E-2</v>
      </c>
      <c r="H144" s="294">
        <v>-0.19500000000000001</v>
      </c>
      <c r="I144" s="294">
        <v>0.188</v>
      </c>
      <c r="J144" s="294">
        <v>0.1825</v>
      </c>
      <c r="K144" s="294">
        <v>0.20250000000000001</v>
      </c>
      <c r="L144" s="294">
        <v>-0.06</v>
      </c>
      <c r="M144" s="388">
        <v>-9.9999990000000007E-3</v>
      </c>
      <c r="N144" s="294">
        <v>0</v>
      </c>
      <c r="O144" s="294">
        <v>-0.28999999999999998</v>
      </c>
      <c r="P144" s="294">
        <v>6.4999999999999997E-3</v>
      </c>
      <c r="Q144" s="294">
        <v>1.0500000000000001E-2</v>
      </c>
      <c r="R144" s="291">
        <v>-1.55E-2</v>
      </c>
      <c r="S144" s="291">
        <v>-4.3999999999999997E-2</v>
      </c>
      <c r="T144" s="291">
        <v>-0.14000000000000001</v>
      </c>
      <c r="U144" s="291">
        <v>-5.2500000000000003E-3</v>
      </c>
      <c r="V144" s="291">
        <v>-8.8499999999999995E-2</v>
      </c>
      <c r="W144" s="291">
        <v>-0.12</v>
      </c>
      <c r="X144" s="291">
        <v>0.40500000000000003</v>
      </c>
      <c r="Y144" s="291">
        <v>5.0000000000000001E-3</v>
      </c>
      <c r="Z144" s="291">
        <v>-0.19</v>
      </c>
      <c r="AA144" s="291">
        <v>-1.4999999999999999E-2</v>
      </c>
      <c r="AB144" s="306">
        <v>0.29499999999999998</v>
      </c>
      <c r="AC144" s="306">
        <v>0.28749999999999998</v>
      </c>
      <c r="AD144" s="306">
        <v>0.28299999999999997</v>
      </c>
      <c r="AE144" s="431">
        <v>0.155</v>
      </c>
      <c r="AF144" s="431">
        <v>0.155</v>
      </c>
      <c r="AG144" s="431">
        <v>0.152</v>
      </c>
      <c r="AH144" s="431">
        <v>0.155</v>
      </c>
      <c r="AI144" s="431">
        <v>0.158</v>
      </c>
      <c r="AJ144" s="431">
        <v>0.155</v>
      </c>
      <c r="AK144" s="431">
        <v>0.152</v>
      </c>
      <c r="AL144" s="431">
        <v>0.152</v>
      </c>
      <c r="AM144" s="431">
        <v>0.155</v>
      </c>
      <c r="AN144" s="431">
        <v>0.155</v>
      </c>
      <c r="AO144" s="431">
        <v>0.155</v>
      </c>
      <c r="AP144" s="432">
        <v>0.155</v>
      </c>
      <c r="AQ144" s="432">
        <v>0.155</v>
      </c>
      <c r="AR144" s="432">
        <v>0.155</v>
      </c>
      <c r="AS144" s="432">
        <v>0.155</v>
      </c>
      <c r="AT144" s="431">
        <v>0.155</v>
      </c>
      <c r="AU144" s="431">
        <v>0.155</v>
      </c>
      <c r="AV144" s="431">
        <v>0.152</v>
      </c>
      <c r="AW144" s="291">
        <v>7.0015795565060004E-2</v>
      </c>
      <c r="AX144" s="291"/>
      <c r="AY144" s="306">
        <f t="shared" si="11"/>
        <v>0.152</v>
      </c>
      <c r="AZ144" s="306">
        <f t="shared" si="12"/>
        <v>0.152</v>
      </c>
      <c r="BA144" s="309">
        <f t="shared" si="13"/>
        <v>0.152</v>
      </c>
      <c r="BB144" s="308">
        <f t="shared" si="14"/>
        <v>40664</v>
      </c>
      <c r="BC144" s="308">
        <v>0.47672170496331467</v>
      </c>
      <c r="BD144" s="291">
        <v>0.47681219935994695</v>
      </c>
      <c r="BF144" s="194">
        <v>40664</v>
      </c>
      <c r="BG144" s="206">
        <v>132</v>
      </c>
      <c r="HZ144" s="308">
        <f t="shared" si="16"/>
        <v>40725</v>
      </c>
      <c r="IA144" s="291">
        <v>134</v>
      </c>
    </row>
    <row r="145" spans="1:235" x14ac:dyDescent="0.25">
      <c r="A145" s="318"/>
      <c r="B145" s="296">
        <f t="shared" ref="B145:B157" si="17">EOMONTH(B144,0)+1</f>
        <v>40695</v>
      </c>
      <c r="C145" s="294">
        <v>3.0670000000000002</v>
      </c>
      <c r="D145" s="294">
        <v>0.155</v>
      </c>
      <c r="E145" s="294">
        <v>7.0572292029758996E-2</v>
      </c>
      <c r="F145" s="294">
        <v>-0.19500000000000001</v>
      </c>
      <c r="G145" s="294">
        <v>0.02</v>
      </c>
      <c r="H145" s="294">
        <v>-0.19500000000000001</v>
      </c>
      <c r="I145" s="294">
        <v>0.183</v>
      </c>
      <c r="J145" s="294">
        <v>0.1825</v>
      </c>
      <c r="K145" s="294">
        <v>0.20250000000000001</v>
      </c>
      <c r="L145" s="294">
        <v>-7.5999999999999998E-2</v>
      </c>
      <c r="M145" s="388">
        <v>-9.9999990000000007E-3</v>
      </c>
      <c r="N145" s="294">
        <v>0</v>
      </c>
      <c r="O145" s="294">
        <v>-0.28999999999999998</v>
      </c>
      <c r="P145" s="294">
        <v>6.4999999999999997E-3</v>
      </c>
      <c r="Q145" s="294">
        <v>1.0500000000000001E-2</v>
      </c>
      <c r="R145" s="291">
        <v>-1.55E-2</v>
      </c>
      <c r="S145" s="291">
        <v>-4.3999999999999997E-2</v>
      </c>
      <c r="T145" s="291">
        <v>-0.15</v>
      </c>
      <c r="U145" s="291">
        <v>-5.2500000000000003E-3</v>
      </c>
      <c r="V145" s="291">
        <v>-7.85E-2</v>
      </c>
      <c r="W145" s="291">
        <v>-0.12</v>
      </c>
      <c r="X145" s="291">
        <v>0.39500000000000002</v>
      </c>
      <c r="Y145" s="291">
        <v>5.0000000000000001E-3</v>
      </c>
      <c r="Z145" s="291">
        <v>-0.19</v>
      </c>
      <c r="AA145" s="291">
        <v>-1.4999999999999999E-2</v>
      </c>
      <c r="AB145" s="306">
        <v>0.29499999999999998</v>
      </c>
      <c r="AC145" s="306">
        <v>0.28749999999999998</v>
      </c>
      <c r="AD145" s="306">
        <v>0.27800000000000002</v>
      </c>
      <c r="AE145" s="431">
        <v>0.155</v>
      </c>
      <c r="AF145" s="431">
        <v>0.155</v>
      </c>
      <c r="AG145" s="431">
        <v>0.152</v>
      </c>
      <c r="AH145" s="431">
        <v>0.155</v>
      </c>
      <c r="AI145" s="431">
        <v>0.158</v>
      </c>
      <c r="AJ145" s="431">
        <v>0.155</v>
      </c>
      <c r="AK145" s="431">
        <v>0.152</v>
      </c>
      <c r="AL145" s="431">
        <v>0.152</v>
      </c>
      <c r="AM145" s="431">
        <v>0.155</v>
      </c>
      <c r="AN145" s="431">
        <v>0.155</v>
      </c>
      <c r="AO145" s="431">
        <v>0.155</v>
      </c>
      <c r="AP145" s="432">
        <v>0.155</v>
      </c>
      <c r="AQ145" s="432">
        <v>0.155</v>
      </c>
      <c r="AR145" s="432">
        <v>0.155</v>
      </c>
      <c r="AS145" s="432">
        <v>0.155</v>
      </c>
      <c r="AT145" s="431">
        <v>0.155</v>
      </c>
      <c r="AU145" s="431">
        <v>0.155</v>
      </c>
      <c r="AV145" s="431">
        <v>0.152</v>
      </c>
      <c r="AW145" s="291">
        <v>7.0022749081571994E-2</v>
      </c>
      <c r="AX145" s="291"/>
      <c r="AY145" s="306">
        <f t="shared" ref="AY145:AY208" si="18">AG145</f>
        <v>0.152</v>
      </c>
      <c r="AZ145" s="306">
        <f t="shared" ref="AZ145:AZ208" si="19">AG145</f>
        <v>0.152</v>
      </c>
      <c r="BA145" s="309">
        <f t="shared" ref="BA145:BA208" si="20">AG145</f>
        <v>0.152</v>
      </c>
      <c r="BB145" s="308">
        <f t="shared" ref="BB145:BB208" si="21">B145</f>
        <v>40695</v>
      </c>
      <c r="BC145" s="308">
        <v>0.47390038357581543</v>
      </c>
      <c r="BD145" s="291">
        <v>0.4739903486391811</v>
      </c>
      <c r="BF145" s="194">
        <v>40695</v>
      </c>
      <c r="BG145" s="206">
        <v>133</v>
      </c>
      <c r="HZ145" s="308">
        <f t="shared" si="16"/>
        <v>40756</v>
      </c>
      <c r="IA145" s="291">
        <v>135</v>
      </c>
    </row>
    <row r="146" spans="1:235" x14ac:dyDescent="0.25">
      <c r="A146" s="319"/>
      <c r="B146" s="296">
        <f t="shared" si="17"/>
        <v>40725</v>
      </c>
      <c r="C146" s="294">
        <v>3.089</v>
      </c>
      <c r="D146" s="294">
        <v>0.155</v>
      </c>
      <c r="E146" s="294">
        <v>7.0573420431983003E-2</v>
      </c>
      <c r="F146" s="294">
        <v>-0.19500000000000001</v>
      </c>
      <c r="G146" s="294">
        <v>2.2499999999999999E-2</v>
      </c>
      <c r="H146" s="294">
        <v>-0.19500000000000001</v>
      </c>
      <c r="I146" s="294">
        <v>0.17299999999999999</v>
      </c>
      <c r="J146" s="294">
        <v>0.1825</v>
      </c>
      <c r="K146" s="294">
        <v>0.215</v>
      </c>
      <c r="L146" s="294">
        <v>-6.9000000000000006E-2</v>
      </c>
      <c r="M146" s="388">
        <v>-9.9999990000000007E-3</v>
      </c>
      <c r="N146" s="294">
        <v>0</v>
      </c>
      <c r="O146" s="294">
        <v>-0.28999999999999998</v>
      </c>
      <c r="P146" s="294">
        <v>6.4999999999999997E-3</v>
      </c>
      <c r="Q146" s="294">
        <v>1.0500000000000001E-2</v>
      </c>
      <c r="R146" s="291">
        <v>-1.55E-2</v>
      </c>
      <c r="S146" s="291">
        <v>-4.3999999999999997E-2</v>
      </c>
      <c r="T146" s="291">
        <v>-0.15</v>
      </c>
      <c r="U146" s="291">
        <v>-5.2500000000000003E-3</v>
      </c>
      <c r="V146" s="291">
        <v>-7.3499999999999996E-2</v>
      </c>
      <c r="W146" s="291">
        <v>-0.12</v>
      </c>
      <c r="X146" s="291">
        <v>0.43</v>
      </c>
      <c r="Y146" s="291">
        <v>5.0000000000000001E-3</v>
      </c>
      <c r="Z146" s="291">
        <v>-0.19</v>
      </c>
      <c r="AA146" s="291">
        <v>-1.4999999999999999E-2</v>
      </c>
      <c r="AB146" s="306">
        <v>0.29499999999999998</v>
      </c>
      <c r="AC146" s="306">
        <v>0.3</v>
      </c>
      <c r="AD146" s="306">
        <v>0.26800000000000002</v>
      </c>
      <c r="AE146" s="431">
        <v>0.155</v>
      </c>
      <c r="AF146" s="431">
        <v>0.155</v>
      </c>
      <c r="AG146" s="431">
        <v>0.152</v>
      </c>
      <c r="AH146" s="431">
        <v>0.155</v>
      </c>
      <c r="AI146" s="431">
        <v>0.158</v>
      </c>
      <c r="AJ146" s="431">
        <v>0.155</v>
      </c>
      <c r="AK146" s="431">
        <v>0.152</v>
      </c>
      <c r="AL146" s="431">
        <v>0.152</v>
      </c>
      <c r="AM146" s="431">
        <v>0.155</v>
      </c>
      <c r="AN146" s="431">
        <v>0.155</v>
      </c>
      <c r="AO146" s="431">
        <v>0.155</v>
      </c>
      <c r="AP146" s="432">
        <v>0.155</v>
      </c>
      <c r="AQ146" s="432">
        <v>0.155</v>
      </c>
      <c r="AR146" s="432">
        <v>0.155</v>
      </c>
      <c r="AS146" s="432">
        <v>0.155</v>
      </c>
      <c r="AT146" s="431">
        <v>0.155</v>
      </c>
      <c r="AU146" s="431">
        <v>0.155</v>
      </c>
      <c r="AV146" s="431">
        <v>0.152</v>
      </c>
      <c r="AW146" s="291">
        <v>7.0029478291114999E-2</v>
      </c>
      <c r="AX146" s="291"/>
      <c r="AY146" s="306">
        <f t="shared" si="18"/>
        <v>0.152</v>
      </c>
      <c r="AZ146" s="306">
        <f t="shared" si="19"/>
        <v>0.152</v>
      </c>
      <c r="BA146" s="309">
        <f t="shared" si="20"/>
        <v>0.152</v>
      </c>
      <c r="BB146" s="308">
        <f t="shared" si="21"/>
        <v>40725</v>
      </c>
      <c r="BC146" s="308">
        <v>0.47118560596747799</v>
      </c>
      <c r="BD146" s="291">
        <v>0.47127506165127608</v>
      </c>
      <c r="BF146" s="194">
        <v>40725</v>
      </c>
      <c r="BG146" s="206">
        <v>134</v>
      </c>
      <c r="HZ146" s="308">
        <f t="shared" si="16"/>
        <v>40787</v>
      </c>
      <c r="IA146" s="291">
        <v>136</v>
      </c>
    </row>
    <row r="147" spans="1:235" x14ac:dyDescent="0.25">
      <c r="A147" s="319"/>
      <c r="B147" s="296">
        <f t="shared" si="17"/>
        <v>40756</v>
      </c>
      <c r="C147" s="294">
        <v>3.11</v>
      </c>
      <c r="D147" s="294">
        <v>0.155</v>
      </c>
      <c r="E147" s="294">
        <v>7.0574586447613996E-2</v>
      </c>
      <c r="F147" s="294">
        <v>-0.19500000000000001</v>
      </c>
      <c r="G147" s="294">
        <v>2.5000000000000001E-2</v>
      </c>
      <c r="H147" s="294">
        <v>-0.19500000000000001</v>
      </c>
      <c r="I147" s="294">
        <v>0.17</v>
      </c>
      <c r="J147" s="294">
        <v>0.1825</v>
      </c>
      <c r="K147" s="294">
        <v>0.215</v>
      </c>
      <c r="L147" s="294">
        <v>-0.06</v>
      </c>
      <c r="M147" s="388">
        <v>-9.9999990000000007E-3</v>
      </c>
      <c r="N147" s="294">
        <v>0</v>
      </c>
      <c r="O147" s="294">
        <v>-0.28999999999999998</v>
      </c>
      <c r="P147" s="294">
        <v>6.4999999999999997E-3</v>
      </c>
      <c r="Q147" s="294">
        <v>1.0500000000000001E-2</v>
      </c>
      <c r="R147" s="291">
        <v>-1.55E-2</v>
      </c>
      <c r="S147" s="291">
        <v>-4.3999999999999997E-2</v>
      </c>
      <c r="T147" s="291">
        <v>-0.15</v>
      </c>
      <c r="U147" s="291">
        <v>-5.2500000000000003E-3</v>
      </c>
      <c r="V147" s="291">
        <v>-7.3499999999999996E-2</v>
      </c>
      <c r="W147" s="291">
        <v>-0.12</v>
      </c>
      <c r="X147" s="291">
        <v>0.495</v>
      </c>
      <c r="Y147" s="291">
        <v>5.0000000000000001E-3</v>
      </c>
      <c r="Z147" s="291">
        <v>-0.19</v>
      </c>
      <c r="AA147" s="291">
        <v>-1.4999999999999999E-2</v>
      </c>
      <c r="AB147" s="306">
        <v>0.29499999999999998</v>
      </c>
      <c r="AC147" s="306">
        <v>0.3</v>
      </c>
      <c r="AD147" s="306">
        <v>0.26500000000000001</v>
      </c>
      <c r="AE147" s="431">
        <v>0.155</v>
      </c>
      <c r="AF147" s="431">
        <v>0.155</v>
      </c>
      <c r="AG147" s="431">
        <v>0.152</v>
      </c>
      <c r="AH147" s="431">
        <v>0.155</v>
      </c>
      <c r="AI147" s="431">
        <v>0.158</v>
      </c>
      <c r="AJ147" s="431">
        <v>0.155</v>
      </c>
      <c r="AK147" s="431">
        <v>0.152</v>
      </c>
      <c r="AL147" s="431">
        <v>0.152</v>
      </c>
      <c r="AM147" s="431">
        <v>0.155</v>
      </c>
      <c r="AN147" s="431">
        <v>0.155</v>
      </c>
      <c r="AO147" s="431">
        <v>0.155</v>
      </c>
      <c r="AP147" s="432">
        <v>0.155</v>
      </c>
      <c r="AQ147" s="432">
        <v>0.155</v>
      </c>
      <c r="AR147" s="432">
        <v>0.155</v>
      </c>
      <c r="AS147" s="432">
        <v>0.155</v>
      </c>
      <c r="AT147" s="431">
        <v>0.155</v>
      </c>
      <c r="AU147" s="431">
        <v>0.155</v>
      </c>
      <c r="AV147" s="431">
        <v>0.152</v>
      </c>
      <c r="AW147" s="291">
        <v>7.0036431807659005E-2</v>
      </c>
      <c r="AX147" s="291"/>
      <c r="AY147" s="306">
        <f t="shared" si="18"/>
        <v>0.152</v>
      </c>
      <c r="AZ147" s="306">
        <f t="shared" si="19"/>
        <v>0.152</v>
      </c>
      <c r="BA147" s="309">
        <f t="shared" si="20"/>
        <v>0.152</v>
      </c>
      <c r="BB147" s="308">
        <f t="shared" si="21"/>
        <v>40756</v>
      </c>
      <c r="BC147" s="308">
        <v>0.46839629741281141</v>
      </c>
      <c r="BD147" s="291">
        <v>0.46848522969572587</v>
      </c>
      <c r="BF147" s="194">
        <v>40756</v>
      </c>
      <c r="BG147" s="206">
        <v>135</v>
      </c>
      <c r="HZ147" s="308">
        <f t="shared" si="16"/>
        <v>40817</v>
      </c>
      <c r="IA147" s="291">
        <v>137</v>
      </c>
    </row>
    <row r="148" spans="1:235" x14ac:dyDescent="0.25">
      <c r="A148" s="319"/>
      <c r="B148" s="296">
        <f t="shared" si="17"/>
        <v>40787</v>
      </c>
      <c r="C148" s="294">
        <v>3.085</v>
      </c>
      <c r="D148" s="294">
        <v>0.155</v>
      </c>
      <c r="E148" s="294">
        <v>7.0575752463247002E-2</v>
      </c>
      <c r="F148" s="294">
        <v>-0.19500000000000001</v>
      </c>
      <c r="G148" s="294">
        <v>1.7500000000000002E-2</v>
      </c>
      <c r="H148" s="294">
        <v>-0.19500000000000001</v>
      </c>
      <c r="I148" s="294">
        <v>0.16800000000000001</v>
      </c>
      <c r="J148" s="294">
        <v>0.1825</v>
      </c>
      <c r="K148" s="294">
        <v>0.19500000000000001</v>
      </c>
      <c r="L148" s="294">
        <v>-0.04</v>
      </c>
      <c r="M148" s="388">
        <v>-9.9999990000000007E-3</v>
      </c>
      <c r="N148" s="294">
        <v>0</v>
      </c>
      <c r="O148" s="294">
        <v>-0.28999999999999998</v>
      </c>
      <c r="P148" s="294">
        <v>6.4999999999999997E-3</v>
      </c>
      <c r="Q148" s="294">
        <v>1.0500000000000001E-2</v>
      </c>
      <c r="R148" s="291">
        <v>-1.55E-2</v>
      </c>
      <c r="S148" s="291">
        <v>-4.3999999999999997E-2</v>
      </c>
      <c r="T148" s="291">
        <v>-0.14000000000000001</v>
      </c>
      <c r="U148" s="291">
        <v>-5.2500000000000003E-3</v>
      </c>
      <c r="V148" s="291">
        <v>-8.8499999999999995E-2</v>
      </c>
      <c r="W148" s="291">
        <v>-0.12</v>
      </c>
      <c r="X148" s="291">
        <v>0.39500000000000002</v>
      </c>
      <c r="Y148" s="291">
        <v>5.0000000000000001E-3</v>
      </c>
      <c r="Z148" s="291">
        <v>-0.19</v>
      </c>
      <c r="AA148" s="291">
        <v>-1.4999999999999999E-2</v>
      </c>
      <c r="AB148" s="306">
        <v>0.29499999999999998</v>
      </c>
      <c r="AC148" s="306">
        <v>0.28999999999999998</v>
      </c>
      <c r="AD148" s="306">
        <v>0.26300000000000001</v>
      </c>
      <c r="AE148" s="431">
        <v>0.155</v>
      </c>
      <c r="AF148" s="431">
        <v>0.155</v>
      </c>
      <c r="AG148" s="431">
        <v>0.152</v>
      </c>
      <c r="AH148" s="431">
        <v>0.155</v>
      </c>
      <c r="AI148" s="431">
        <v>0.158</v>
      </c>
      <c r="AJ148" s="431">
        <v>0.155</v>
      </c>
      <c r="AK148" s="431">
        <v>0.152</v>
      </c>
      <c r="AL148" s="431">
        <v>0.152</v>
      </c>
      <c r="AM148" s="431">
        <v>0.155</v>
      </c>
      <c r="AN148" s="431">
        <v>0.155</v>
      </c>
      <c r="AO148" s="431">
        <v>0.155</v>
      </c>
      <c r="AP148" s="432">
        <v>0.155</v>
      </c>
      <c r="AQ148" s="432">
        <v>0.155</v>
      </c>
      <c r="AR148" s="432">
        <v>0.155</v>
      </c>
      <c r="AS148" s="432">
        <v>0.155</v>
      </c>
      <c r="AT148" s="431">
        <v>0.155</v>
      </c>
      <c r="AU148" s="431">
        <v>0.155</v>
      </c>
      <c r="AV148" s="431">
        <v>0.152</v>
      </c>
      <c r="AW148" s="291">
        <v>7.0043385324218999E-2</v>
      </c>
      <c r="AX148" s="291"/>
      <c r="AY148" s="306">
        <f t="shared" si="18"/>
        <v>0.152</v>
      </c>
      <c r="AZ148" s="306">
        <f t="shared" si="19"/>
        <v>0.152</v>
      </c>
      <c r="BA148" s="309">
        <f t="shared" si="20"/>
        <v>0.152</v>
      </c>
      <c r="BB148" s="308">
        <f t="shared" si="21"/>
        <v>40787</v>
      </c>
      <c r="BC148" s="308">
        <v>0.46562312164094471</v>
      </c>
      <c r="BD148" s="291">
        <v>0.46571153351291533</v>
      </c>
      <c r="BF148" s="194">
        <v>40787</v>
      </c>
      <c r="BG148" s="206">
        <v>136</v>
      </c>
      <c r="HZ148" s="308">
        <f t="shared" si="16"/>
        <v>40848</v>
      </c>
      <c r="IA148" s="291">
        <v>138</v>
      </c>
    </row>
    <row r="149" spans="1:235" x14ac:dyDescent="0.25">
      <c r="A149" s="319"/>
      <c r="B149" s="296">
        <f t="shared" si="17"/>
        <v>40817</v>
      </c>
      <c r="C149" s="294">
        <v>3.0920000000000001</v>
      </c>
      <c r="D149" s="294">
        <v>0.155</v>
      </c>
      <c r="E149" s="294">
        <v>7.0576880865471994E-2</v>
      </c>
      <c r="F149" s="294">
        <v>-0.19500000000000001</v>
      </c>
      <c r="G149" s="294">
        <v>7.4999999999999997E-3</v>
      </c>
      <c r="H149" s="294">
        <v>-0.19500000000000001</v>
      </c>
      <c r="I149" s="294">
        <v>0.183</v>
      </c>
      <c r="J149" s="294">
        <v>0.1875</v>
      </c>
      <c r="K149" s="294">
        <v>0.215</v>
      </c>
      <c r="L149" s="294">
        <v>-0.05</v>
      </c>
      <c r="M149" s="388">
        <v>-9.9999990000000007E-3</v>
      </c>
      <c r="N149" s="294">
        <v>0</v>
      </c>
      <c r="O149" s="294">
        <v>-0.28999999999999998</v>
      </c>
      <c r="P149" s="294">
        <v>6.4999999999999997E-3</v>
      </c>
      <c r="Q149" s="294">
        <v>1.0500000000000001E-2</v>
      </c>
      <c r="R149" s="291">
        <v>-1.55E-2</v>
      </c>
      <c r="S149" s="291">
        <v>-4.3999999999999997E-2</v>
      </c>
      <c r="T149" s="291">
        <v>-0.125</v>
      </c>
      <c r="U149" s="291">
        <v>-2.35E-2</v>
      </c>
      <c r="V149" s="291">
        <v>-9.0999999999999998E-2</v>
      </c>
      <c r="W149" s="291">
        <v>-0.12</v>
      </c>
      <c r="X149" s="291">
        <v>0.46100000000000002</v>
      </c>
      <c r="Y149" s="291">
        <v>5.0000000000000001E-3</v>
      </c>
      <c r="Z149" s="291">
        <v>-0.19</v>
      </c>
      <c r="AA149" s="291">
        <v>-1.4999999999999999E-2</v>
      </c>
      <c r="AB149" s="306">
        <v>0.29499999999999998</v>
      </c>
      <c r="AC149" s="306">
        <v>0.36249999999999999</v>
      </c>
      <c r="AD149" s="306">
        <v>0.27800000000000002</v>
      </c>
      <c r="AE149" s="431">
        <v>0.155</v>
      </c>
      <c r="AF149" s="431">
        <v>0.155</v>
      </c>
      <c r="AG149" s="431">
        <v>0.152</v>
      </c>
      <c r="AH149" s="431">
        <v>0.155</v>
      </c>
      <c r="AI149" s="431">
        <v>0.158</v>
      </c>
      <c r="AJ149" s="431">
        <v>0.155</v>
      </c>
      <c r="AK149" s="431">
        <v>0.152</v>
      </c>
      <c r="AL149" s="431">
        <v>0.152</v>
      </c>
      <c r="AM149" s="431">
        <v>0.155</v>
      </c>
      <c r="AN149" s="431">
        <v>0.155</v>
      </c>
      <c r="AO149" s="431">
        <v>0.155</v>
      </c>
      <c r="AP149" s="432">
        <v>0.155</v>
      </c>
      <c r="AQ149" s="432">
        <v>0.155</v>
      </c>
      <c r="AR149" s="432">
        <v>0.155</v>
      </c>
      <c r="AS149" s="432">
        <v>0.155</v>
      </c>
      <c r="AT149" s="431">
        <v>0.155</v>
      </c>
      <c r="AU149" s="431">
        <v>0.155</v>
      </c>
      <c r="AV149" s="431">
        <v>0.152</v>
      </c>
      <c r="AW149" s="291">
        <v>7.0050114533806995E-2</v>
      </c>
      <c r="AX149" s="291"/>
      <c r="AY149" s="306">
        <f t="shared" si="18"/>
        <v>0.152</v>
      </c>
      <c r="AZ149" s="306">
        <f t="shared" si="19"/>
        <v>0.152</v>
      </c>
      <c r="BA149" s="309">
        <f t="shared" si="20"/>
        <v>0.152</v>
      </c>
      <c r="BB149" s="308">
        <f t="shared" si="21"/>
        <v>40817</v>
      </c>
      <c r="BC149" s="308">
        <v>0.46295467798475015</v>
      </c>
      <c r="BD149" s="291">
        <v>0.46304258906436818</v>
      </c>
      <c r="BF149" s="194">
        <v>40817</v>
      </c>
      <c r="BG149" s="206">
        <v>137</v>
      </c>
      <c r="HZ149" s="308">
        <f t="shared" si="16"/>
        <v>40878</v>
      </c>
      <c r="IA149" s="291">
        <v>139</v>
      </c>
    </row>
    <row r="150" spans="1:235" x14ac:dyDescent="0.25">
      <c r="A150" s="319"/>
      <c r="B150" s="296">
        <f t="shared" si="17"/>
        <v>40848</v>
      </c>
      <c r="C150" s="294">
        <v>3.1440000000000001</v>
      </c>
      <c r="D150" s="294">
        <v>0.155</v>
      </c>
      <c r="E150" s="294">
        <v>7.0578046881105E-2</v>
      </c>
      <c r="F150" s="294">
        <v>-0.19</v>
      </c>
      <c r="G150" s="294">
        <v>-3.2500000000000001E-2</v>
      </c>
      <c r="H150" s="294">
        <v>-0.19</v>
      </c>
      <c r="I150" s="294">
        <v>0.245</v>
      </c>
      <c r="J150" s="294">
        <v>0.27</v>
      </c>
      <c r="K150" s="294">
        <v>0.28749999999999998</v>
      </c>
      <c r="L150" s="294">
        <v>-6.5000000000000002E-2</v>
      </c>
      <c r="M150" s="388">
        <v>-2.5000000000000001E-3</v>
      </c>
      <c r="N150" s="294">
        <v>0</v>
      </c>
      <c r="O150" s="294">
        <v>0</v>
      </c>
      <c r="P150" s="294">
        <v>1.6E-2</v>
      </c>
      <c r="Q150" s="294">
        <v>2.5000000000000001E-3</v>
      </c>
      <c r="R150" s="291">
        <v>-1.8499999999999999E-2</v>
      </c>
      <c r="S150" s="291">
        <v>-4.3499999999999997E-2</v>
      </c>
      <c r="T150" s="291">
        <v>-8.7499999999999994E-2</v>
      </c>
      <c r="U150" s="291">
        <v>-2.2499999999999999E-2</v>
      </c>
      <c r="V150" s="291">
        <v>-8.8499999999999995E-2</v>
      </c>
      <c r="W150" s="291">
        <v>-0.13250000000000001</v>
      </c>
      <c r="X150" s="291">
        <v>0.76749999999999996</v>
      </c>
      <c r="Y150" s="291">
        <v>5.0000000000000001E-3</v>
      </c>
      <c r="Z150" s="291">
        <v>-0.19</v>
      </c>
      <c r="AA150" s="291">
        <v>-1.6500000000000001E-2</v>
      </c>
      <c r="AB150" s="306">
        <v>0.12</v>
      </c>
      <c r="AC150" s="306">
        <v>0.46500000000000002</v>
      </c>
      <c r="AD150" s="306">
        <v>0.34</v>
      </c>
      <c r="AE150" s="431">
        <v>0.155</v>
      </c>
      <c r="AF150" s="431">
        <v>0.155</v>
      </c>
      <c r="AG150" s="431">
        <v>0.17100000000000001</v>
      </c>
      <c r="AH150" s="431">
        <v>0.155</v>
      </c>
      <c r="AI150" s="431">
        <v>0.158</v>
      </c>
      <c r="AJ150" s="431">
        <v>0.155</v>
      </c>
      <c r="AK150" s="431">
        <v>0.155</v>
      </c>
      <c r="AL150" s="431">
        <v>0.155</v>
      </c>
      <c r="AM150" s="431">
        <v>0.155</v>
      </c>
      <c r="AN150" s="431">
        <v>0.155</v>
      </c>
      <c r="AO150" s="431">
        <v>0.155</v>
      </c>
      <c r="AP150" s="432">
        <v>0.155</v>
      </c>
      <c r="AQ150" s="432">
        <v>0.155</v>
      </c>
      <c r="AR150" s="432">
        <v>0.155</v>
      </c>
      <c r="AS150" s="432">
        <v>0.155</v>
      </c>
      <c r="AT150" s="431">
        <v>0.155</v>
      </c>
      <c r="AU150" s="431">
        <v>0.155</v>
      </c>
      <c r="AV150" s="431">
        <v>0.17100000000000001</v>
      </c>
      <c r="AW150" s="291">
        <v>7.0057068050398005E-2</v>
      </c>
      <c r="AX150" s="291"/>
      <c r="AY150" s="306">
        <f t="shared" si="18"/>
        <v>0.17100000000000001</v>
      </c>
      <c r="AZ150" s="306">
        <f t="shared" si="19"/>
        <v>0.17100000000000001</v>
      </c>
      <c r="BA150" s="309">
        <f t="shared" si="20"/>
        <v>0.17100000000000001</v>
      </c>
      <c r="BB150" s="308">
        <f t="shared" si="21"/>
        <v>40848</v>
      </c>
      <c r="BC150" s="308">
        <v>0.460212982100146</v>
      </c>
      <c r="BD150" s="291">
        <v>0.4603003786037313</v>
      </c>
      <c r="BF150" s="194">
        <v>40848</v>
      </c>
      <c r="BG150" s="206">
        <v>138</v>
      </c>
      <c r="HZ150" s="308">
        <f t="shared" si="16"/>
        <v>40909</v>
      </c>
      <c r="IA150" s="291">
        <v>140</v>
      </c>
    </row>
    <row r="151" spans="1:235" x14ac:dyDescent="0.25">
      <c r="A151" s="319"/>
      <c r="B151" s="296">
        <f t="shared" si="17"/>
        <v>40878</v>
      </c>
      <c r="C151" s="294">
        <v>3.206</v>
      </c>
      <c r="D151" s="294">
        <v>0.155</v>
      </c>
      <c r="E151" s="294">
        <v>7.0579175283330006E-2</v>
      </c>
      <c r="F151" s="294">
        <v>-0.19750000000000001</v>
      </c>
      <c r="G151" s="294">
        <v>-5.5E-2</v>
      </c>
      <c r="H151" s="294">
        <v>-0.19750000000000001</v>
      </c>
      <c r="I151" s="294">
        <v>0.28499999999999998</v>
      </c>
      <c r="J151" s="294">
        <v>0.30499999999999999</v>
      </c>
      <c r="K151" s="294">
        <v>0.33750000000000002</v>
      </c>
      <c r="L151" s="294">
        <v>-6.5000000000000002E-2</v>
      </c>
      <c r="M151" s="294">
        <v>-2.5000000000000001E-3</v>
      </c>
      <c r="N151" s="294">
        <v>0</v>
      </c>
      <c r="O151" s="294">
        <v>0.06</v>
      </c>
      <c r="P151" s="294">
        <v>1.6E-2</v>
      </c>
      <c r="Q151" s="294">
        <v>2.5000000000000001E-3</v>
      </c>
      <c r="R151" s="291">
        <v>-1.8499999999999999E-2</v>
      </c>
      <c r="S151" s="291">
        <v>-4.3499999999999997E-2</v>
      </c>
      <c r="T151" s="291">
        <v>-0.08</v>
      </c>
      <c r="U151" s="291">
        <v>-2.2499999999999999E-2</v>
      </c>
      <c r="V151" s="291">
        <v>-0.1235</v>
      </c>
      <c r="W151" s="291">
        <v>-0.1275</v>
      </c>
      <c r="X151" s="291">
        <v>1.19</v>
      </c>
      <c r="Y151" s="291">
        <v>5.0000000000000001E-3</v>
      </c>
      <c r="Z151" s="291">
        <v>-0.19</v>
      </c>
      <c r="AA151" s="291">
        <v>-1.6500000000000001E-2</v>
      </c>
      <c r="AB151" s="306">
        <v>0.12</v>
      </c>
      <c r="AC151" s="306">
        <v>0.8</v>
      </c>
      <c r="AD151" s="306">
        <v>0.38</v>
      </c>
      <c r="AE151" s="431">
        <v>0.155</v>
      </c>
      <c r="AF151" s="431">
        <v>0.155</v>
      </c>
      <c r="AG151" s="431">
        <v>0.17100000000000001</v>
      </c>
      <c r="AH151" s="431">
        <v>0.155</v>
      </c>
      <c r="AI151" s="431">
        <v>0.158</v>
      </c>
      <c r="AJ151" s="431">
        <v>0.155</v>
      </c>
      <c r="AK151" s="431">
        <v>0.155</v>
      </c>
      <c r="AL151" s="431">
        <v>0.155</v>
      </c>
      <c r="AM151" s="431">
        <v>0.155</v>
      </c>
      <c r="AN151" s="431">
        <v>0.155</v>
      </c>
      <c r="AO151" s="431">
        <v>0.155</v>
      </c>
      <c r="AP151" s="432">
        <v>0.155</v>
      </c>
      <c r="AQ151" s="432">
        <v>0.155</v>
      </c>
      <c r="AR151" s="432">
        <v>0.155</v>
      </c>
      <c r="AS151" s="432">
        <v>0.155</v>
      </c>
      <c r="AT151" s="431">
        <v>0.155</v>
      </c>
      <c r="AU151" s="431">
        <v>0.155</v>
      </c>
      <c r="AV151" s="431">
        <v>0.17100000000000001</v>
      </c>
      <c r="AW151" s="291">
        <v>7.0063797260018004E-2</v>
      </c>
      <c r="AX151" s="291"/>
      <c r="AY151" s="306">
        <f t="shared" si="18"/>
        <v>0.17100000000000001</v>
      </c>
      <c r="AZ151" s="306">
        <f t="shared" si="19"/>
        <v>0.17100000000000001</v>
      </c>
      <c r="BA151" s="309">
        <f t="shared" si="20"/>
        <v>0.17100000000000001</v>
      </c>
      <c r="BB151" s="308">
        <f t="shared" si="21"/>
        <v>40878</v>
      </c>
      <c r="BC151" s="308">
        <v>0.45757483371664764</v>
      </c>
      <c r="BD151" s="291">
        <v>0.45766173504363034</v>
      </c>
      <c r="BF151" s="194">
        <v>40878</v>
      </c>
      <c r="BG151" s="206">
        <v>139</v>
      </c>
      <c r="HZ151" s="308">
        <f t="shared" si="16"/>
        <v>40940</v>
      </c>
      <c r="IA151" s="291">
        <v>141</v>
      </c>
    </row>
    <row r="152" spans="1:235" x14ac:dyDescent="0.25">
      <c r="A152" s="319"/>
      <c r="B152" s="296">
        <f t="shared" si="17"/>
        <v>40909</v>
      </c>
      <c r="C152" s="294">
        <v>3.5150000000000001</v>
      </c>
      <c r="D152" s="294">
        <v>0.155</v>
      </c>
      <c r="E152" s="294">
        <v>7.0580341298963997E-2</v>
      </c>
      <c r="F152" s="294">
        <v>-0.2</v>
      </c>
      <c r="G152" s="294">
        <v>-5.7500000000000002E-2</v>
      </c>
      <c r="H152" s="294">
        <v>-0.2</v>
      </c>
      <c r="I152" s="294">
        <v>0.29499999999999998</v>
      </c>
      <c r="J152" s="294">
        <v>0.30499999999999999</v>
      </c>
      <c r="K152" s="294">
        <v>0.4375</v>
      </c>
      <c r="L152" s="294">
        <v>-6.5000000000000002E-2</v>
      </c>
      <c r="M152" s="294">
        <v>-5.0000000000000001E-4</v>
      </c>
      <c r="N152" s="294">
        <v>0</v>
      </c>
      <c r="O152" s="294">
        <v>0.13</v>
      </c>
      <c r="P152" s="294">
        <v>1.6E-2</v>
      </c>
      <c r="Q152" s="294">
        <v>2.5000000000000001E-3</v>
      </c>
      <c r="R152" s="291">
        <v>-1.4E-2</v>
      </c>
      <c r="S152" s="291">
        <v>-4.3499999999999997E-2</v>
      </c>
      <c r="T152" s="291">
        <v>-6.5000000000000002E-2</v>
      </c>
      <c r="U152" s="291">
        <v>-2.2499999999999999E-2</v>
      </c>
      <c r="V152" s="291">
        <v>-0.129</v>
      </c>
      <c r="W152" s="291">
        <v>-0.1275</v>
      </c>
      <c r="X152" s="291">
        <v>1.5249999999999999</v>
      </c>
      <c r="Y152" s="291">
        <v>5.0000000000000001E-3</v>
      </c>
      <c r="Z152" s="291">
        <v>-0.19</v>
      </c>
      <c r="AA152" s="291">
        <v>-1.6500000000000001E-2</v>
      </c>
      <c r="AB152" s="306">
        <v>0.12</v>
      </c>
      <c r="AC152" s="306">
        <v>0.97499999999999998</v>
      </c>
      <c r="AD152" s="306">
        <v>0.39</v>
      </c>
      <c r="AE152" s="431">
        <v>0.155</v>
      </c>
      <c r="AF152" s="431">
        <v>0.155</v>
      </c>
      <c r="AG152" s="431">
        <v>0.17100000000000001</v>
      </c>
      <c r="AH152" s="431">
        <v>0.155</v>
      </c>
      <c r="AI152" s="431">
        <v>0.158</v>
      </c>
      <c r="AJ152" s="431">
        <v>0.155</v>
      </c>
      <c r="AK152" s="431">
        <v>0.155</v>
      </c>
      <c r="AL152" s="431">
        <v>0.155</v>
      </c>
      <c r="AM152" s="431">
        <v>0.155</v>
      </c>
      <c r="AN152" s="431">
        <v>0.155</v>
      </c>
      <c r="AO152" s="431">
        <v>0.155</v>
      </c>
      <c r="AP152" s="432">
        <v>0.155</v>
      </c>
      <c r="AQ152" s="432">
        <v>0.155</v>
      </c>
      <c r="AR152" s="432">
        <v>0.155</v>
      </c>
      <c r="AS152" s="432">
        <v>0.155</v>
      </c>
      <c r="AT152" s="431">
        <v>0.155</v>
      </c>
      <c r="AU152" s="431">
        <v>0.155</v>
      </c>
      <c r="AV152" s="431">
        <v>0.17100000000000001</v>
      </c>
      <c r="AW152" s="291">
        <v>7.0070750776641003E-2</v>
      </c>
      <c r="AX152" s="291"/>
      <c r="AY152" s="306">
        <f t="shared" si="18"/>
        <v>0.17100000000000001</v>
      </c>
      <c r="AZ152" s="306">
        <f t="shared" si="19"/>
        <v>0.17100000000000001</v>
      </c>
      <c r="BA152" s="309">
        <f t="shared" si="20"/>
        <v>0.17100000000000001</v>
      </c>
      <c r="BB152" s="308">
        <f t="shared" si="21"/>
        <v>40909</v>
      </c>
      <c r="BC152" s="308">
        <v>0.45486426912469402</v>
      </c>
      <c r="BD152" s="291">
        <v>0.45495066164678749</v>
      </c>
      <c r="BF152" s="194">
        <v>40909</v>
      </c>
      <c r="BG152" s="206">
        <v>140</v>
      </c>
      <c r="HZ152" s="308">
        <f t="shared" si="16"/>
        <v>40969</v>
      </c>
      <c r="IA152" s="291">
        <v>142</v>
      </c>
    </row>
    <row r="153" spans="1:235" x14ac:dyDescent="0.25">
      <c r="A153" s="319"/>
      <c r="B153" s="296">
        <f t="shared" si="17"/>
        <v>40940</v>
      </c>
      <c r="C153" s="294">
        <v>3.4089999999999998</v>
      </c>
      <c r="D153" s="294">
        <v>0.155</v>
      </c>
      <c r="E153" s="294">
        <v>7.0581507314598002E-2</v>
      </c>
      <c r="F153" s="294">
        <v>-0.20250000000000001</v>
      </c>
      <c r="G153" s="294">
        <v>-0.04</v>
      </c>
      <c r="H153" s="294">
        <v>-0.20250000000000001</v>
      </c>
      <c r="I153" s="294">
        <v>0.27</v>
      </c>
      <c r="J153" s="294">
        <v>0.30499999999999999</v>
      </c>
      <c r="K153" s="294">
        <v>0.435</v>
      </c>
      <c r="L153" s="294">
        <v>-6.5000000000000002E-2</v>
      </c>
      <c r="M153" s="294">
        <v>-5.0000000000000001E-4</v>
      </c>
      <c r="N153" s="294">
        <v>0</v>
      </c>
      <c r="O153" s="294">
        <v>0</v>
      </c>
      <c r="P153" s="294">
        <v>1.6E-2</v>
      </c>
      <c r="Q153" s="294">
        <v>2.5000000000000001E-3</v>
      </c>
      <c r="R153" s="291">
        <v>-1.4E-2</v>
      </c>
      <c r="S153" s="291">
        <v>-4.3499999999999997E-2</v>
      </c>
      <c r="T153" s="291">
        <v>-6.5000000000000002E-2</v>
      </c>
      <c r="U153" s="291">
        <v>-2.2499999999999999E-2</v>
      </c>
      <c r="V153" s="291">
        <v>-0.1115</v>
      </c>
      <c r="W153" s="291">
        <v>-0.1275</v>
      </c>
      <c r="X153" s="291">
        <v>1.4550000000000001</v>
      </c>
      <c r="Y153" s="291">
        <v>5.0000000000000001E-3</v>
      </c>
      <c r="Z153" s="291">
        <v>-0.19</v>
      </c>
      <c r="AA153" s="291">
        <v>-1.6500000000000001E-2</v>
      </c>
      <c r="AB153" s="306">
        <v>0.12</v>
      </c>
      <c r="AC153" s="306">
        <v>0.97499999999999998</v>
      </c>
      <c r="AD153" s="306">
        <v>0.36499999999999999</v>
      </c>
      <c r="AE153" s="431">
        <v>0.155</v>
      </c>
      <c r="AF153" s="431">
        <v>0.155</v>
      </c>
      <c r="AG153" s="431">
        <v>0.17100000000000001</v>
      </c>
      <c r="AH153" s="431">
        <v>0.155</v>
      </c>
      <c r="AI153" s="431">
        <v>0.158</v>
      </c>
      <c r="AJ153" s="431">
        <v>0.155</v>
      </c>
      <c r="AK153" s="431">
        <v>0.155</v>
      </c>
      <c r="AL153" s="431">
        <v>0.155</v>
      </c>
      <c r="AM153" s="431">
        <v>0.155</v>
      </c>
      <c r="AN153" s="431">
        <v>0.155</v>
      </c>
      <c r="AO153" s="431">
        <v>0.155</v>
      </c>
      <c r="AP153" s="432">
        <v>0.155</v>
      </c>
      <c r="AQ153" s="432">
        <v>0.155</v>
      </c>
      <c r="AR153" s="432">
        <v>0.155</v>
      </c>
      <c r="AS153" s="432">
        <v>0.155</v>
      </c>
      <c r="AT153" s="431">
        <v>0.155</v>
      </c>
      <c r="AU153" s="431">
        <v>0.155</v>
      </c>
      <c r="AV153" s="431">
        <v>0.17100000000000001</v>
      </c>
      <c r="AW153" s="291">
        <v>7.0077704293280002E-2</v>
      </c>
      <c r="AX153" s="291"/>
      <c r="AY153" s="306">
        <f t="shared" si="18"/>
        <v>0.17100000000000001</v>
      </c>
      <c r="AZ153" s="306">
        <f t="shared" si="19"/>
        <v>0.17100000000000001</v>
      </c>
      <c r="BA153" s="309">
        <f t="shared" si="20"/>
        <v>0.17100000000000001</v>
      </c>
      <c r="BB153" s="308">
        <f t="shared" si="21"/>
        <v>40940</v>
      </c>
      <c r="BC153" s="308">
        <v>0.45216939296726516</v>
      </c>
      <c r="BD153" s="291">
        <v>0.45225527959312534</v>
      </c>
      <c r="BF153" s="194">
        <v>40940</v>
      </c>
      <c r="BG153" s="206">
        <v>141</v>
      </c>
      <c r="HZ153" s="308">
        <f t="shared" si="16"/>
        <v>41000</v>
      </c>
      <c r="IA153" s="291">
        <v>143</v>
      </c>
    </row>
    <row r="154" spans="1:235" x14ac:dyDescent="0.25">
      <c r="A154" s="319"/>
      <c r="B154" s="296">
        <f t="shared" si="17"/>
        <v>40969</v>
      </c>
      <c r="C154" s="294">
        <v>3.266</v>
      </c>
      <c r="D154" s="294">
        <v>0.15</v>
      </c>
      <c r="E154" s="294">
        <v>7.0582598103418007E-2</v>
      </c>
      <c r="F154" s="294">
        <v>-0.20499999999999999</v>
      </c>
      <c r="G154" s="294">
        <v>-2.75E-2</v>
      </c>
      <c r="H154" s="294">
        <v>-0.20499999999999999</v>
      </c>
      <c r="I154" s="294">
        <v>0.26800000000000002</v>
      </c>
      <c r="J154" s="294">
        <v>0.26500000000000001</v>
      </c>
      <c r="K154" s="294">
        <v>0.30249999999999999</v>
      </c>
      <c r="L154" s="294">
        <v>-6.5000000000000002E-2</v>
      </c>
      <c r="M154" s="294">
        <v>-5.0000000000000001E-4</v>
      </c>
      <c r="N154" s="294">
        <v>0</v>
      </c>
      <c r="O154" s="294">
        <v>-0.18</v>
      </c>
      <c r="P154" s="294">
        <v>1.6E-2</v>
      </c>
      <c r="Q154" s="294">
        <v>2.5000000000000001E-3</v>
      </c>
      <c r="R154" s="291">
        <v>-1.4E-2</v>
      </c>
      <c r="S154" s="291">
        <v>-4.3499999999999997E-2</v>
      </c>
      <c r="T154" s="291">
        <v>-6.5000000000000002E-2</v>
      </c>
      <c r="U154" s="291">
        <v>-4.0000000000000001E-3</v>
      </c>
      <c r="V154" s="291">
        <v>-9.4E-2</v>
      </c>
      <c r="W154" s="291">
        <v>-0.13250000000000001</v>
      </c>
      <c r="X154" s="291">
        <v>0.83499999999999996</v>
      </c>
      <c r="Y154" s="291">
        <v>5.0000000000000001E-3</v>
      </c>
      <c r="Z154" s="291">
        <v>-0.19</v>
      </c>
      <c r="AA154" s="291">
        <v>-1.6500000000000001E-2</v>
      </c>
      <c r="AB154" s="306">
        <v>0.12</v>
      </c>
      <c r="AC154" s="306">
        <v>0.60750000000000004</v>
      </c>
      <c r="AD154" s="306">
        <v>0.36299999999999999</v>
      </c>
      <c r="AE154" s="431">
        <v>0.15</v>
      </c>
      <c r="AF154" s="431">
        <v>0.15</v>
      </c>
      <c r="AG154" s="431">
        <v>0.16500000000000001</v>
      </c>
      <c r="AH154" s="431">
        <v>0.15</v>
      </c>
      <c r="AI154" s="431">
        <v>0.153</v>
      </c>
      <c r="AJ154" s="431">
        <v>0.15</v>
      </c>
      <c r="AK154" s="431">
        <v>0.15</v>
      </c>
      <c r="AL154" s="431">
        <v>0.15</v>
      </c>
      <c r="AM154" s="431">
        <v>0.15</v>
      </c>
      <c r="AN154" s="431">
        <v>0.15</v>
      </c>
      <c r="AO154" s="431">
        <v>0.15</v>
      </c>
      <c r="AP154" s="432">
        <v>0.15</v>
      </c>
      <c r="AQ154" s="432">
        <v>0.15</v>
      </c>
      <c r="AR154" s="432">
        <v>0.15</v>
      </c>
      <c r="AS154" s="432">
        <v>0.15</v>
      </c>
      <c r="AT154" s="431">
        <v>0.15</v>
      </c>
      <c r="AU154" s="431">
        <v>0.15</v>
      </c>
      <c r="AV154" s="431">
        <v>0.16500000000000001</v>
      </c>
      <c r="AW154" s="291">
        <v>7.0084209195955996E-2</v>
      </c>
      <c r="AX154" s="291"/>
      <c r="AY154" s="306">
        <f t="shared" si="18"/>
        <v>0.16500000000000001</v>
      </c>
      <c r="AZ154" s="306">
        <f t="shared" si="19"/>
        <v>0.16500000000000001</v>
      </c>
      <c r="BA154" s="309">
        <f t="shared" si="20"/>
        <v>0.16500000000000001</v>
      </c>
      <c r="BB154" s="308">
        <f t="shared" si="21"/>
        <v>40969</v>
      </c>
      <c r="BC154" s="308">
        <v>0.44966250417228509</v>
      </c>
      <c r="BD154" s="291">
        <v>0.44974792015924864</v>
      </c>
      <c r="BF154" s="194">
        <v>40969</v>
      </c>
      <c r="BG154" s="206">
        <v>142</v>
      </c>
      <c r="HZ154" s="308">
        <f t="shared" si="16"/>
        <v>41030</v>
      </c>
      <c r="IA154" s="291">
        <v>144</v>
      </c>
    </row>
    <row r="155" spans="1:235" x14ac:dyDescent="0.25">
      <c r="A155" s="319"/>
      <c r="B155" s="296">
        <f t="shared" si="17"/>
        <v>41000</v>
      </c>
      <c r="C155" s="294">
        <v>3.1150000000000002</v>
      </c>
      <c r="D155" s="294">
        <v>0.15</v>
      </c>
      <c r="E155" s="294">
        <v>7.0583764119052997E-2</v>
      </c>
      <c r="F155" s="294">
        <v>-0.19500000000000001</v>
      </c>
      <c r="G155" s="294">
        <v>1.4999999999999999E-2</v>
      </c>
      <c r="H155" s="294">
        <v>-0.19500000000000001</v>
      </c>
      <c r="I155" s="294">
        <v>0.17299999999999999</v>
      </c>
      <c r="J155" s="294">
        <v>0.19500000000000001</v>
      </c>
      <c r="K155" s="294">
        <v>0.25</v>
      </c>
      <c r="L155" s="294">
        <v>-5.8000000000000003E-2</v>
      </c>
      <c r="M155" s="294">
        <v>-7.9999990000000007E-3</v>
      </c>
      <c r="N155" s="294">
        <v>0</v>
      </c>
      <c r="O155" s="294">
        <v>-0.28999999999999998</v>
      </c>
      <c r="P155" s="294">
        <v>6.4999999999999997E-3</v>
      </c>
      <c r="Q155" s="294">
        <v>1.2500000000000001E-2</v>
      </c>
      <c r="R155" s="291">
        <v>-1.35E-2</v>
      </c>
      <c r="S155" s="291">
        <v>-4.1000000000000002E-2</v>
      </c>
      <c r="T155" s="291">
        <v>-0.11</v>
      </c>
      <c r="U155" s="291">
        <v>-4.0000000000000001E-3</v>
      </c>
      <c r="V155" s="291">
        <v>-8.6499999999999994E-2</v>
      </c>
      <c r="W155" s="291">
        <v>-0.12</v>
      </c>
      <c r="X155" s="291">
        <v>0.45</v>
      </c>
      <c r="Y155" s="291">
        <v>5.0000000000000001E-3</v>
      </c>
      <c r="Z155" s="291">
        <v>-0.19</v>
      </c>
      <c r="AA155" s="291">
        <v>-1.4E-2</v>
      </c>
      <c r="AB155" s="306">
        <v>0.29499999999999998</v>
      </c>
      <c r="AC155" s="306">
        <v>0.35499999999999998</v>
      </c>
      <c r="AD155" s="306">
        <v>0.26800000000000002</v>
      </c>
      <c r="AE155" s="431">
        <v>0.15</v>
      </c>
      <c r="AF155" s="431">
        <v>0.15</v>
      </c>
      <c r="AG155" s="431">
        <v>0.14699999999999999</v>
      </c>
      <c r="AH155" s="431">
        <v>0.15</v>
      </c>
      <c r="AI155" s="431">
        <v>0.153</v>
      </c>
      <c r="AJ155" s="431">
        <v>0.15</v>
      </c>
      <c r="AK155" s="431">
        <v>0.14699999999999999</v>
      </c>
      <c r="AL155" s="431">
        <v>0.14699999999999999</v>
      </c>
      <c r="AM155" s="431">
        <v>0.15</v>
      </c>
      <c r="AN155" s="431">
        <v>0.15</v>
      </c>
      <c r="AO155" s="431">
        <v>0.15</v>
      </c>
      <c r="AP155" s="432">
        <v>0.15</v>
      </c>
      <c r="AQ155" s="432">
        <v>0.15</v>
      </c>
      <c r="AR155" s="432">
        <v>0.15</v>
      </c>
      <c r="AS155" s="432">
        <v>0.15</v>
      </c>
      <c r="AT155" s="431">
        <v>0.15</v>
      </c>
      <c r="AU155" s="431">
        <v>0.15</v>
      </c>
      <c r="AV155" s="431">
        <v>0.14699999999999999</v>
      </c>
      <c r="AW155" s="291">
        <v>7.0091162712624999E-2</v>
      </c>
      <c r="AX155" s="291"/>
      <c r="AY155" s="306">
        <f t="shared" si="18"/>
        <v>0.14699999999999999</v>
      </c>
      <c r="AZ155" s="306">
        <f t="shared" si="19"/>
        <v>0.14699999999999999</v>
      </c>
      <c r="BA155" s="309">
        <f t="shared" si="20"/>
        <v>0.14699999999999999</v>
      </c>
      <c r="BB155" s="308">
        <f t="shared" si="21"/>
        <v>41000</v>
      </c>
      <c r="BC155" s="308">
        <v>0.44699774155251931</v>
      </c>
      <c r="BD155" s="291">
        <v>0.44708265722694768</v>
      </c>
      <c r="BF155" s="194">
        <v>41000</v>
      </c>
      <c r="BG155" s="206">
        <v>143</v>
      </c>
      <c r="HZ155" s="308">
        <f t="shared" si="16"/>
        <v>41061</v>
      </c>
      <c r="IA155" s="291">
        <v>145</v>
      </c>
    </row>
    <row r="156" spans="1:235" x14ac:dyDescent="0.25">
      <c r="A156" s="319"/>
      <c r="B156" s="296">
        <f t="shared" si="17"/>
        <v>41030</v>
      </c>
      <c r="C156" s="294">
        <v>3.1120000000000001</v>
      </c>
      <c r="D156" s="294">
        <v>0.15</v>
      </c>
      <c r="E156" s="294">
        <v>7.0584892521281001E-2</v>
      </c>
      <c r="F156" s="294">
        <v>-0.19500000000000001</v>
      </c>
      <c r="G156" s="294">
        <v>1.4999999999999999E-2</v>
      </c>
      <c r="H156" s="294">
        <v>-0.19500000000000001</v>
      </c>
      <c r="I156" s="294">
        <v>0.183</v>
      </c>
      <c r="J156" s="294">
        <v>0.1825</v>
      </c>
      <c r="K156" s="294">
        <v>0.20250000000000001</v>
      </c>
      <c r="L156" s="294">
        <v>-5.8000000000000003E-2</v>
      </c>
      <c r="M156" s="388">
        <v>-7.9999990000000007E-3</v>
      </c>
      <c r="N156" s="294">
        <v>0</v>
      </c>
      <c r="O156" s="294">
        <v>-0.28999999999999998</v>
      </c>
      <c r="P156" s="294">
        <v>6.4999999999999997E-3</v>
      </c>
      <c r="Q156" s="294">
        <v>1.2500000000000001E-2</v>
      </c>
      <c r="R156" s="291">
        <v>-1.35E-2</v>
      </c>
      <c r="S156" s="291">
        <v>-4.1000000000000002E-2</v>
      </c>
      <c r="T156" s="291">
        <v>-0.125</v>
      </c>
      <c r="U156" s="291">
        <v>-4.2500000000000003E-3</v>
      </c>
      <c r="V156" s="291">
        <v>-8.6499999999999994E-2</v>
      </c>
      <c r="W156" s="291">
        <v>-0.12</v>
      </c>
      <c r="X156" s="291">
        <v>0.40500000000000003</v>
      </c>
      <c r="Y156" s="291">
        <v>5.0000000000000001E-3</v>
      </c>
      <c r="Z156" s="291">
        <v>-0.19</v>
      </c>
      <c r="AA156" s="291">
        <v>-1.4E-2</v>
      </c>
      <c r="AB156" s="306">
        <v>0.29499999999999998</v>
      </c>
      <c r="AC156" s="306">
        <v>0.28749999999999998</v>
      </c>
      <c r="AD156" s="306">
        <v>0.27800000000000002</v>
      </c>
      <c r="AE156" s="431">
        <v>0.15</v>
      </c>
      <c r="AF156" s="431">
        <v>0.15</v>
      </c>
      <c r="AG156" s="431">
        <v>0.14699999999999999</v>
      </c>
      <c r="AH156" s="431">
        <v>0.15</v>
      </c>
      <c r="AI156" s="431">
        <v>0.153</v>
      </c>
      <c r="AJ156" s="431">
        <v>0.15</v>
      </c>
      <c r="AK156" s="431">
        <v>0.14699999999999999</v>
      </c>
      <c r="AL156" s="431">
        <v>0.14699999999999999</v>
      </c>
      <c r="AM156" s="431">
        <v>0.15</v>
      </c>
      <c r="AN156" s="431">
        <v>0.15</v>
      </c>
      <c r="AO156" s="431">
        <v>0.15</v>
      </c>
      <c r="AP156" s="432">
        <v>0.15</v>
      </c>
      <c r="AQ156" s="432">
        <v>0.15</v>
      </c>
      <c r="AR156" s="432">
        <v>0.15</v>
      </c>
      <c r="AS156" s="432">
        <v>0.15</v>
      </c>
      <c r="AT156" s="431">
        <v>0.15</v>
      </c>
      <c r="AU156" s="431">
        <v>0.15</v>
      </c>
      <c r="AV156" s="431">
        <v>0.14699999999999999</v>
      </c>
      <c r="AW156" s="291">
        <v>7.0097891922321007E-2</v>
      </c>
      <c r="AX156" s="291"/>
      <c r="AY156" s="306">
        <f t="shared" si="18"/>
        <v>0.14699999999999999</v>
      </c>
      <c r="AZ156" s="306">
        <f t="shared" si="19"/>
        <v>0.14699999999999999</v>
      </c>
      <c r="BA156" s="309">
        <f t="shared" si="20"/>
        <v>0.14699999999999999</v>
      </c>
      <c r="BB156" s="308">
        <f t="shared" si="21"/>
        <v>41030</v>
      </c>
      <c r="BC156" s="308">
        <v>0.44443363115699502</v>
      </c>
      <c r="BD156" s="291">
        <v>0.44451806538253713</v>
      </c>
      <c r="BF156" s="194">
        <v>41030</v>
      </c>
      <c r="BG156" s="206">
        <v>144</v>
      </c>
      <c r="HZ156" s="308">
        <f t="shared" si="16"/>
        <v>0</v>
      </c>
      <c r="IA156" s="291">
        <v>146</v>
      </c>
    </row>
    <row r="157" spans="1:235" x14ac:dyDescent="0.25">
      <c r="A157" s="319"/>
      <c r="B157" s="296">
        <f t="shared" si="17"/>
        <v>41061</v>
      </c>
      <c r="C157" s="294">
        <v>3.141</v>
      </c>
      <c r="D157" s="294">
        <v>0.15</v>
      </c>
      <c r="E157" s="294">
        <v>7.0586058536917004E-2</v>
      </c>
      <c r="F157" s="294">
        <v>-0.19500000000000001</v>
      </c>
      <c r="G157" s="294">
        <v>0.02</v>
      </c>
      <c r="H157" s="294">
        <v>-0.19500000000000001</v>
      </c>
      <c r="I157" s="294">
        <v>0.17799999999999999</v>
      </c>
      <c r="J157" s="294">
        <v>0.1825</v>
      </c>
      <c r="K157" s="294">
        <v>0.20250000000000001</v>
      </c>
      <c r="L157" s="294">
        <v>-7.3999999999999996E-2</v>
      </c>
      <c r="M157" s="388">
        <v>-7.9999990000000007E-3</v>
      </c>
      <c r="N157" s="294">
        <v>0</v>
      </c>
      <c r="O157" s="294">
        <v>-0.28999999999999998</v>
      </c>
      <c r="P157" s="294">
        <v>6.4999999999999997E-3</v>
      </c>
      <c r="Q157" s="294">
        <v>1.2500000000000001E-2</v>
      </c>
      <c r="R157" s="291">
        <v>-1.35E-2</v>
      </c>
      <c r="S157" s="291">
        <v>-4.1000000000000002E-2</v>
      </c>
      <c r="T157" s="291">
        <v>-0.13500000000000001</v>
      </c>
      <c r="U157" s="291">
        <v>-4.2500000000000003E-3</v>
      </c>
      <c r="V157" s="291">
        <v>-7.6499999999999999E-2</v>
      </c>
      <c r="W157" s="291">
        <v>-0.12</v>
      </c>
      <c r="X157" s="291">
        <v>0.39500000000000002</v>
      </c>
      <c r="Y157" s="291">
        <v>5.0000000000000001E-3</v>
      </c>
      <c r="Z157" s="291">
        <v>-0.19</v>
      </c>
      <c r="AA157" s="291">
        <v>-1.4E-2</v>
      </c>
      <c r="AB157" s="306">
        <v>0.29499999999999998</v>
      </c>
      <c r="AC157" s="306">
        <v>0.28749999999999998</v>
      </c>
      <c r="AD157" s="306">
        <v>0.27300000000000002</v>
      </c>
      <c r="AE157" s="431">
        <v>0.15</v>
      </c>
      <c r="AF157" s="431">
        <v>0.15</v>
      </c>
      <c r="AG157" s="431">
        <v>0.14699999999999999</v>
      </c>
      <c r="AH157" s="431">
        <v>0.15</v>
      </c>
      <c r="AI157" s="431">
        <v>0.153</v>
      </c>
      <c r="AJ157" s="431">
        <v>0.15</v>
      </c>
      <c r="AK157" s="431">
        <v>0.14699999999999999</v>
      </c>
      <c r="AL157" s="431">
        <v>0.14699999999999999</v>
      </c>
      <c r="AM157" s="431">
        <v>0.15</v>
      </c>
      <c r="AN157" s="431">
        <v>0.15</v>
      </c>
      <c r="AO157" s="431">
        <v>0.15</v>
      </c>
      <c r="AP157" s="432">
        <v>0.15</v>
      </c>
      <c r="AQ157" s="432">
        <v>0.15</v>
      </c>
      <c r="AR157" s="432">
        <v>0.15</v>
      </c>
      <c r="AS157" s="432">
        <v>0.15</v>
      </c>
      <c r="AT157" s="431">
        <v>0.15</v>
      </c>
      <c r="AU157" s="431">
        <v>0.15</v>
      </c>
      <c r="AV157" s="431">
        <v>0.14699999999999999</v>
      </c>
      <c r="AW157" s="291">
        <v>7.0104845439021998E-2</v>
      </c>
      <c r="AX157" s="291"/>
      <c r="AY157" s="306">
        <f t="shared" si="18"/>
        <v>0.14699999999999999</v>
      </c>
      <c r="AZ157" s="306">
        <f t="shared" si="19"/>
        <v>0.14699999999999999</v>
      </c>
      <c r="BA157" s="309">
        <f t="shared" si="20"/>
        <v>0.14699999999999999</v>
      </c>
      <c r="BB157" s="308">
        <f t="shared" si="21"/>
        <v>41061</v>
      </c>
      <c r="BC157" s="308">
        <v>0.4417991474653144</v>
      </c>
      <c r="BD157" s="291">
        <v>0.44188308699350237</v>
      </c>
      <c r="BF157" s="194">
        <v>41061</v>
      </c>
      <c r="BG157" s="206">
        <v>145</v>
      </c>
      <c r="HZ157" s="308">
        <f t="shared" si="16"/>
        <v>0</v>
      </c>
      <c r="IA157" s="291">
        <v>147</v>
      </c>
    </row>
    <row r="158" spans="1:235" x14ac:dyDescent="0.25">
      <c r="A158" s="319"/>
      <c r="B158" s="314"/>
      <c r="C158" s="294">
        <v>3.1629999999999998</v>
      </c>
      <c r="D158" s="294">
        <v>0.15</v>
      </c>
      <c r="E158" s="294">
        <v>7.0587186939145993E-2</v>
      </c>
      <c r="F158" s="294">
        <v>-0.19500000000000001</v>
      </c>
      <c r="G158" s="294">
        <v>2.2499999999999999E-2</v>
      </c>
      <c r="H158" s="294">
        <v>-0.19500000000000001</v>
      </c>
      <c r="I158" s="294">
        <v>0.16800000000000001</v>
      </c>
      <c r="J158" s="294">
        <v>0.1825</v>
      </c>
      <c r="K158" s="294">
        <v>0.215</v>
      </c>
      <c r="L158" s="294">
        <v>-6.7000000000000004E-2</v>
      </c>
      <c r="M158" s="388">
        <v>-7.9999990000000007E-3</v>
      </c>
      <c r="N158" s="294">
        <v>0</v>
      </c>
      <c r="O158" s="294">
        <v>-0.28999999999999998</v>
      </c>
      <c r="P158" s="294">
        <v>6.4999999999999997E-3</v>
      </c>
      <c r="Q158" s="294">
        <v>1.2500000000000001E-2</v>
      </c>
      <c r="R158" s="291">
        <v>-1.35E-2</v>
      </c>
      <c r="S158" s="291">
        <v>-4.1000000000000002E-2</v>
      </c>
      <c r="T158" s="291">
        <v>-0.13500000000000001</v>
      </c>
      <c r="U158" s="291">
        <v>-4.2500000000000003E-3</v>
      </c>
      <c r="V158" s="291">
        <v>-7.1499999999999994E-2</v>
      </c>
      <c r="W158" s="291">
        <v>-0.12</v>
      </c>
      <c r="X158" s="291">
        <v>0.43</v>
      </c>
      <c r="Y158" s="291">
        <v>5.0000000000000001E-3</v>
      </c>
      <c r="Z158" s="291">
        <v>-0.19</v>
      </c>
      <c r="AA158" s="291">
        <v>-1.4E-2</v>
      </c>
      <c r="AB158" s="306">
        <v>0.29499999999999998</v>
      </c>
      <c r="AC158" s="306">
        <v>0.3</v>
      </c>
      <c r="AD158" s="306">
        <v>0.26300000000000001</v>
      </c>
      <c r="AE158" s="431">
        <v>0.15</v>
      </c>
      <c r="AF158" s="431">
        <v>0.15</v>
      </c>
      <c r="AG158" s="431">
        <v>0.14699999999999999</v>
      </c>
      <c r="AH158" s="431">
        <v>0.15</v>
      </c>
      <c r="AI158" s="431">
        <v>0.153</v>
      </c>
      <c r="AJ158" s="431">
        <v>0.15</v>
      </c>
      <c r="AK158" s="431">
        <v>0.14699999999999999</v>
      </c>
      <c r="AL158" s="431">
        <v>0.14699999999999999</v>
      </c>
      <c r="AM158" s="431">
        <v>0.15</v>
      </c>
      <c r="AN158" s="431">
        <v>0.15</v>
      </c>
      <c r="AO158" s="431">
        <v>0.15</v>
      </c>
      <c r="AP158" s="432">
        <v>0.15</v>
      </c>
      <c r="AQ158" s="432">
        <v>0.15</v>
      </c>
      <c r="AR158" s="432">
        <v>0.15</v>
      </c>
      <c r="AS158" s="432">
        <v>0.15</v>
      </c>
      <c r="AT158" s="431">
        <v>0.15</v>
      </c>
      <c r="AU158" s="431">
        <v>0.15</v>
      </c>
      <c r="AV158" s="431">
        <v>0.14699999999999999</v>
      </c>
      <c r="AW158" s="291">
        <v>7.0111574648747996E-2</v>
      </c>
      <c r="AX158" s="291"/>
      <c r="AY158" s="306">
        <f t="shared" si="18"/>
        <v>0.14699999999999999</v>
      </c>
      <c r="AZ158" s="306">
        <f t="shared" si="19"/>
        <v>0.14699999999999999</v>
      </c>
      <c r="BA158" s="309">
        <f t="shared" si="20"/>
        <v>0.14699999999999999</v>
      </c>
      <c r="BB158" s="308">
        <f t="shared" si="21"/>
        <v>0</v>
      </c>
      <c r="BC158" s="308">
        <v>0.43926417640783133</v>
      </c>
      <c r="BD158" s="291">
        <v>0.43934763989137443</v>
      </c>
      <c r="BF158" s="194">
        <v>41091</v>
      </c>
      <c r="BG158" s="206">
        <v>146</v>
      </c>
      <c r="HZ158" s="308">
        <f t="shared" si="16"/>
        <v>0</v>
      </c>
      <c r="IA158" s="291">
        <v>148</v>
      </c>
    </row>
    <row r="159" spans="1:235" x14ac:dyDescent="0.25">
      <c r="A159" s="319"/>
      <c r="B159" s="314"/>
      <c r="C159" s="294">
        <v>3.1840000000000002</v>
      </c>
      <c r="D159" s="294">
        <v>0.15</v>
      </c>
      <c r="E159" s="294">
        <v>7.0588352954782996E-2</v>
      </c>
      <c r="F159" s="294">
        <v>-0.19500000000000001</v>
      </c>
      <c r="G159" s="294">
        <v>2.5000000000000001E-2</v>
      </c>
      <c r="H159" s="294">
        <v>-0.19500000000000001</v>
      </c>
      <c r="I159" s="294">
        <v>0.16500000000000001</v>
      </c>
      <c r="J159" s="294">
        <v>0.1825</v>
      </c>
      <c r="K159" s="294">
        <v>0.215</v>
      </c>
      <c r="L159" s="294">
        <v>-5.8000000000000003E-2</v>
      </c>
      <c r="M159" s="388">
        <v>-7.9999990000000007E-3</v>
      </c>
      <c r="N159" s="294">
        <v>0</v>
      </c>
      <c r="O159" s="294">
        <v>-0.28999999999999998</v>
      </c>
      <c r="P159" s="294">
        <v>6.4999999999999997E-3</v>
      </c>
      <c r="Q159" s="294">
        <v>1.2500000000000001E-2</v>
      </c>
      <c r="R159" s="291">
        <v>-1.35E-2</v>
      </c>
      <c r="S159" s="291">
        <v>-4.1000000000000002E-2</v>
      </c>
      <c r="T159" s="291">
        <v>-0.13500000000000001</v>
      </c>
      <c r="U159" s="291">
        <v>-4.2500000000000003E-3</v>
      </c>
      <c r="V159" s="291">
        <v>-7.1499999999999994E-2</v>
      </c>
      <c r="W159" s="291">
        <v>-0.12</v>
      </c>
      <c r="X159" s="291">
        <v>0.495</v>
      </c>
      <c r="Y159" s="291">
        <v>5.0000000000000001E-3</v>
      </c>
      <c r="Z159" s="291">
        <v>-0.19</v>
      </c>
      <c r="AA159" s="291">
        <v>-1.4E-2</v>
      </c>
      <c r="AB159" s="306">
        <v>0.29499999999999998</v>
      </c>
      <c r="AC159" s="306">
        <v>0.3</v>
      </c>
      <c r="AD159" s="306">
        <v>0.26</v>
      </c>
      <c r="AE159" s="431">
        <v>0.15</v>
      </c>
      <c r="AF159" s="431">
        <v>0.15</v>
      </c>
      <c r="AG159" s="431">
        <v>0.14699999999999999</v>
      </c>
      <c r="AH159" s="431">
        <v>0.15</v>
      </c>
      <c r="AI159" s="431">
        <v>0.153</v>
      </c>
      <c r="AJ159" s="431">
        <v>0.15</v>
      </c>
      <c r="AK159" s="431">
        <v>0.14699999999999999</v>
      </c>
      <c r="AL159" s="431">
        <v>0.14699999999999999</v>
      </c>
      <c r="AM159" s="431">
        <v>0.15</v>
      </c>
      <c r="AN159" s="431">
        <v>0.15</v>
      </c>
      <c r="AO159" s="431">
        <v>0.15</v>
      </c>
      <c r="AP159" s="432">
        <v>0.15</v>
      </c>
      <c r="AQ159" s="432">
        <v>0.15</v>
      </c>
      <c r="AR159" s="432">
        <v>0.15</v>
      </c>
      <c r="AS159" s="432">
        <v>0.15</v>
      </c>
      <c r="AT159" s="431">
        <v>0.15</v>
      </c>
      <c r="AU159" s="431">
        <v>0.15</v>
      </c>
      <c r="AV159" s="431">
        <v>0.14699999999999999</v>
      </c>
      <c r="AW159" s="291">
        <v>7.0118528165480004E-2</v>
      </c>
      <c r="AX159" s="291"/>
      <c r="AY159" s="306">
        <f t="shared" si="18"/>
        <v>0.14699999999999999</v>
      </c>
      <c r="AZ159" s="306">
        <f t="shared" si="19"/>
        <v>0.14699999999999999</v>
      </c>
      <c r="BA159" s="309">
        <f t="shared" si="20"/>
        <v>0.14699999999999999</v>
      </c>
      <c r="BB159" s="308">
        <f t="shared" si="21"/>
        <v>0</v>
      </c>
      <c r="BC159" s="308">
        <v>0.43665963600204682</v>
      </c>
      <c r="BD159" s="291">
        <v>0.43674261034198525</v>
      </c>
      <c r="BF159" s="194">
        <v>41122</v>
      </c>
      <c r="BG159" s="206">
        <v>147</v>
      </c>
      <c r="HZ159" s="308">
        <f t="shared" si="16"/>
        <v>0</v>
      </c>
      <c r="IA159" s="291">
        <v>149</v>
      </c>
    </row>
    <row r="160" spans="1:235" x14ac:dyDescent="0.25">
      <c r="A160" s="319"/>
      <c r="B160" s="314"/>
      <c r="C160" s="294">
        <v>3.1579999999999999</v>
      </c>
      <c r="D160" s="294">
        <v>0.15</v>
      </c>
      <c r="E160" s="294">
        <v>7.0589518970419998E-2</v>
      </c>
      <c r="F160" s="294">
        <v>-0.19500000000000001</v>
      </c>
      <c r="G160" s="294">
        <v>1.7500000000000002E-2</v>
      </c>
      <c r="H160" s="294">
        <v>-0.19500000000000001</v>
      </c>
      <c r="I160" s="294">
        <v>0.16300000000000001</v>
      </c>
      <c r="J160" s="294">
        <v>0.1825</v>
      </c>
      <c r="K160" s="294">
        <v>0.19500000000000001</v>
      </c>
      <c r="L160" s="294">
        <v>-3.7999999999999999E-2</v>
      </c>
      <c r="M160" s="388">
        <v>-7.9999990000000007E-3</v>
      </c>
      <c r="N160" s="294">
        <v>0</v>
      </c>
      <c r="O160" s="294">
        <v>-0.28999999999999998</v>
      </c>
      <c r="P160" s="294">
        <v>6.4999999999999997E-3</v>
      </c>
      <c r="Q160" s="294">
        <v>1.2500000000000001E-2</v>
      </c>
      <c r="R160" s="291">
        <v>-1.35E-2</v>
      </c>
      <c r="S160" s="291">
        <v>-4.1000000000000002E-2</v>
      </c>
      <c r="T160" s="291">
        <v>-0.125</v>
      </c>
      <c r="U160" s="291">
        <v>-4.2500000000000003E-3</v>
      </c>
      <c r="V160" s="291">
        <v>-8.6499999999999994E-2</v>
      </c>
      <c r="W160" s="291">
        <v>-0.12</v>
      </c>
      <c r="X160" s="291">
        <v>0.39500000000000002</v>
      </c>
      <c r="Y160" s="291">
        <v>5.0000000000000001E-3</v>
      </c>
      <c r="Z160" s="291">
        <v>-0.19</v>
      </c>
      <c r="AA160" s="291">
        <v>-1.4E-2</v>
      </c>
      <c r="AB160" s="306">
        <v>0.29499999999999998</v>
      </c>
      <c r="AC160" s="306">
        <v>0.28999999999999998</v>
      </c>
      <c r="AD160" s="306">
        <v>0.25800000000000001</v>
      </c>
      <c r="AE160" s="431">
        <v>0.15</v>
      </c>
      <c r="AF160" s="431">
        <v>0.15</v>
      </c>
      <c r="AG160" s="431">
        <v>0.14699999999999999</v>
      </c>
      <c r="AH160" s="431">
        <v>0.15</v>
      </c>
      <c r="AI160" s="431">
        <v>0.153</v>
      </c>
      <c r="AJ160" s="431">
        <v>0.15</v>
      </c>
      <c r="AK160" s="431">
        <v>0.14699999999999999</v>
      </c>
      <c r="AL160" s="431">
        <v>0.14699999999999999</v>
      </c>
      <c r="AM160" s="431">
        <v>0.15</v>
      </c>
      <c r="AN160" s="431">
        <v>0.15</v>
      </c>
      <c r="AO160" s="431">
        <v>0.15</v>
      </c>
      <c r="AP160" s="432">
        <v>0.15</v>
      </c>
      <c r="AQ160" s="432">
        <v>0.15</v>
      </c>
      <c r="AR160" s="432">
        <v>0.15</v>
      </c>
      <c r="AS160" s="432">
        <v>0.15</v>
      </c>
      <c r="AT160" s="431">
        <v>0.15</v>
      </c>
      <c r="AU160" s="431">
        <v>0.15</v>
      </c>
      <c r="AV160" s="431">
        <v>0.14699999999999999</v>
      </c>
      <c r="AW160" s="291">
        <v>7.0125481682228E-2</v>
      </c>
      <c r="AX160" s="291"/>
      <c r="AY160" s="306">
        <f t="shared" si="18"/>
        <v>0.14699999999999999</v>
      </c>
      <c r="AZ160" s="306">
        <f t="shared" si="19"/>
        <v>0.14699999999999999</v>
      </c>
      <c r="BA160" s="309">
        <f t="shared" si="20"/>
        <v>0.14699999999999999</v>
      </c>
      <c r="BB160" s="308">
        <f t="shared" si="21"/>
        <v>0</v>
      </c>
      <c r="BC160" s="308">
        <v>0.43407018520987078</v>
      </c>
      <c r="BD160" s="291">
        <v>0.43415267320526962</v>
      </c>
      <c r="BF160" s="194">
        <v>41153</v>
      </c>
      <c r="BG160" s="206">
        <v>148</v>
      </c>
      <c r="HZ160" s="308">
        <f t="shared" si="16"/>
        <v>0</v>
      </c>
      <c r="IA160" s="291">
        <v>150</v>
      </c>
    </row>
    <row r="161" spans="1:235" x14ac:dyDescent="0.25">
      <c r="A161" s="319"/>
      <c r="B161" s="314"/>
      <c r="C161" s="294">
        <v>3.1640000000000001</v>
      </c>
      <c r="D161" s="294">
        <v>0.15</v>
      </c>
      <c r="E161" s="294">
        <v>7.0590647372650001E-2</v>
      </c>
      <c r="F161" s="294">
        <v>-0.19500000000000001</v>
      </c>
      <c r="G161" s="294">
        <v>7.4999999999999997E-3</v>
      </c>
      <c r="H161" s="294">
        <v>-0.19500000000000001</v>
      </c>
      <c r="I161" s="294">
        <v>0.17799999999999999</v>
      </c>
      <c r="J161" s="294">
        <v>0.1875</v>
      </c>
      <c r="K161" s="294">
        <v>0.215</v>
      </c>
      <c r="L161" s="294">
        <v>-4.8000000000000001E-2</v>
      </c>
      <c r="M161" s="388">
        <v>-7.9999990000000007E-3</v>
      </c>
      <c r="N161" s="294">
        <v>0</v>
      </c>
      <c r="O161" s="294">
        <v>-0.28999999999999998</v>
      </c>
      <c r="P161" s="294">
        <v>6.4999999999999997E-3</v>
      </c>
      <c r="Q161" s="294">
        <v>1.2500000000000001E-2</v>
      </c>
      <c r="R161" s="291">
        <v>-1.35E-2</v>
      </c>
      <c r="S161" s="291">
        <v>-4.1000000000000002E-2</v>
      </c>
      <c r="T161" s="291">
        <v>-0.11</v>
      </c>
      <c r="U161" s="291">
        <v>-2.2499999999999999E-2</v>
      </c>
      <c r="V161" s="291">
        <v>-8.8999999999999996E-2</v>
      </c>
      <c r="W161" s="291">
        <v>-0.12</v>
      </c>
      <c r="X161" s="291">
        <v>0.46100000000000002</v>
      </c>
      <c r="Y161" s="291">
        <v>5.0000000000000001E-3</v>
      </c>
      <c r="Z161" s="291">
        <v>-0.19</v>
      </c>
      <c r="AA161" s="291">
        <v>-1.4E-2</v>
      </c>
      <c r="AB161" s="306">
        <v>0.29499999999999998</v>
      </c>
      <c r="AC161" s="306">
        <v>0.36249999999999999</v>
      </c>
      <c r="AD161" s="306">
        <v>0.27300000000000002</v>
      </c>
      <c r="AE161" s="431">
        <v>0.15</v>
      </c>
      <c r="AF161" s="431">
        <v>0.15</v>
      </c>
      <c r="AG161" s="431">
        <v>0.14699999999999999</v>
      </c>
      <c r="AH161" s="431">
        <v>0.15</v>
      </c>
      <c r="AI161" s="431">
        <v>0.153</v>
      </c>
      <c r="AJ161" s="431">
        <v>0.15</v>
      </c>
      <c r="AK161" s="431">
        <v>0.14699999999999999</v>
      </c>
      <c r="AL161" s="431">
        <v>0.14699999999999999</v>
      </c>
      <c r="AM161" s="431">
        <v>0.15</v>
      </c>
      <c r="AN161" s="431">
        <v>0.15</v>
      </c>
      <c r="AO161" s="431">
        <v>0.15</v>
      </c>
      <c r="AP161" s="432">
        <v>0.15</v>
      </c>
      <c r="AQ161" s="432">
        <v>0.15</v>
      </c>
      <c r="AR161" s="432">
        <v>0.15</v>
      </c>
      <c r="AS161" s="432">
        <v>0.15</v>
      </c>
      <c r="AT161" s="431">
        <v>0.15</v>
      </c>
      <c r="AU161" s="431">
        <v>0.15</v>
      </c>
      <c r="AV161" s="431">
        <v>0.14699999999999999</v>
      </c>
      <c r="AW161" s="291">
        <v>7.0132210892000002E-2</v>
      </c>
      <c r="AX161" s="291"/>
      <c r="AY161" s="306">
        <f t="shared" si="18"/>
        <v>0.14699999999999999</v>
      </c>
      <c r="AZ161" s="306">
        <f t="shared" si="19"/>
        <v>0.14699999999999999</v>
      </c>
      <c r="BA161" s="309">
        <f t="shared" si="20"/>
        <v>0.14699999999999999</v>
      </c>
      <c r="BB161" s="308">
        <f t="shared" si="21"/>
        <v>0</v>
      </c>
      <c r="BC161" s="308">
        <v>0.43157855208540075</v>
      </c>
      <c r="BD161" s="291">
        <v>0.43166057207517106</v>
      </c>
      <c r="BF161" s="194">
        <v>41183</v>
      </c>
      <c r="BG161" s="206">
        <v>149</v>
      </c>
      <c r="HZ161" s="308">
        <f t="shared" si="16"/>
        <v>0</v>
      </c>
      <c r="IA161" s="291">
        <v>151</v>
      </c>
    </row>
    <row r="162" spans="1:235" x14ac:dyDescent="0.25">
      <c r="A162" s="319"/>
      <c r="B162" s="314"/>
      <c r="C162" s="294">
        <v>3.2109999999999999</v>
      </c>
      <c r="D162" s="294">
        <v>0.15</v>
      </c>
      <c r="E162" s="294">
        <v>7.0591813388288002E-2</v>
      </c>
      <c r="F162" s="294">
        <v>-0.19</v>
      </c>
      <c r="G162" s="294">
        <v>-3.2500000000000001E-2</v>
      </c>
      <c r="H162" s="294">
        <v>-0.19</v>
      </c>
      <c r="I162" s="294">
        <v>0.24</v>
      </c>
      <c r="J162" s="294">
        <v>0.27</v>
      </c>
      <c r="K162" s="294">
        <v>0.28749999999999998</v>
      </c>
      <c r="L162" s="294">
        <v>-6.3E-2</v>
      </c>
      <c r="M162" s="388">
        <v>-5.0000000000000001E-4</v>
      </c>
      <c r="N162" s="294">
        <v>0</v>
      </c>
      <c r="O162" s="294">
        <v>0</v>
      </c>
      <c r="P162" s="294">
        <v>1.6E-2</v>
      </c>
      <c r="Q162" s="294">
        <v>4.4999999999999997E-3</v>
      </c>
      <c r="R162" s="291">
        <v>-1.6500000000000001E-2</v>
      </c>
      <c r="S162" s="291">
        <v>-4.0500000000000001E-2</v>
      </c>
      <c r="T162" s="291">
        <v>-7.2499999999999995E-2</v>
      </c>
      <c r="U162" s="291">
        <v>-2.1499999999999998E-2</v>
      </c>
      <c r="V162" s="291">
        <v>-8.6499999999999994E-2</v>
      </c>
      <c r="W162" s="291">
        <v>-0.13250000000000001</v>
      </c>
      <c r="X162" s="291">
        <v>0.76749999999999996</v>
      </c>
      <c r="Y162" s="291">
        <v>5.0000000000000001E-3</v>
      </c>
      <c r="Z162" s="291">
        <v>-0.19</v>
      </c>
      <c r="AA162" s="291">
        <v>-1.55E-2</v>
      </c>
      <c r="AB162" s="306">
        <v>0.12</v>
      </c>
      <c r="AC162" s="306">
        <v>0.46500000000000002</v>
      </c>
      <c r="AD162" s="306">
        <v>0.33500000000000002</v>
      </c>
      <c r="AE162" s="431">
        <v>0.15</v>
      </c>
      <c r="AF162" s="431">
        <v>0.15</v>
      </c>
      <c r="AG162" s="431">
        <v>0.16500000000000001</v>
      </c>
      <c r="AH162" s="431">
        <v>0.15</v>
      </c>
      <c r="AI162" s="431">
        <v>0.153</v>
      </c>
      <c r="AJ162" s="431">
        <v>0.15</v>
      </c>
      <c r="AK162" s="431">
        <v>0.15</v>
      </c>
      <c r="AL162" s="431">
        <v>0.15</v>
      </c>
      <c r="AM162" s="431">
        <v>0.15</v>
      </c>
      <c r="AN162" s="431">
        <v>0.15</v>
      </c>
      <c r="AO162" s="431">
        <v>0.15</v>
      </c>
      <c r="AP162" s="432">
        <v>0.15</v>
      </c>
      <c r="AQ162" s="432">
        <v>0.15</v>
      </c>
      <c r="AR162" s="432">
        <v>0.15</v>
      </c>
      <c r="AS162" s="432">
        <v>0.15</v>
      </c>
      <c r="AT162" s="431">
        <v>0.15</v>
      </c>
      <c r="AU162" s="431">
        <v>0.15</v>
      </c>
      <c r="AV162" s="431">
        <v>0.16500000000000001</v>
      </c>
      <c r="AW162" s="291">
        <v>7.013916440878E-2</v>
      </c>
      <c r="AX162" s="291"/>
      <c r="AY162" s="306">
        <f t="shared" si="18"/>
        <v>0.16500000000000001</v>
      </c>
      <c r="AZ162" s="306">
        <f t="shared" si="19"/>
        <v>0.16500000000000001</v>
      </c>
      <c r="BA162" s="309">
        <f t="shared" si="20"/>
        <v>0.16500000000000001</v>
      </c>
      <c r="BB162" s="308">
        <f t="shared" si="21"/>
        <v>0</v>
      </c>
      <c r="BC162" s="308">
        <v>0.42901854520412286</v>
      </c>
      <c r="BD162" s="291">
        <v>0.42910008431168756</v>
      </c>
      <c r="BF162" s="194">
        <v>41214</v>
      </c>
      <c r="BG162" s="206">
        <v>150</v>
      </c>
      <c r="HZ162" s="308">
        <f t="shared" si="16"/>
        <v>0</v>
      </c>
      <c r="IA162" s="291">
        <v>152</v>
      </c>
    </row>
    <row r="163" spans="1:235" x14ac:dyDescent="0.25">
      <c r="A163" s="319"/>
      <c r="B163" s="314"/>
      <c r="C163" s="294">
        <v>3.27</v>
      </c>
      <c r="D163" s="294">
        <v>0.15</v>
      </c>
      <c r="E163" s="294">
        <v>7.0592941790519004E-2</v>
      </c>
      <c r="F163" s="294">
        <v>-0.19750000000000001</v>
      </c>
      <c r="G163" s="294">
        <v>-5.5E-2</v>
      </c>
      <c r="H163" s="294">
        <v>-0.19750000000000001</v>
      </c>
      <c r="I163" s="294">
        <v>0.28000000000000003</v>
      </c>
      <c r="J163" s="294">
        <v>0.30499999999999999</v>
      </c>
      <c r="K163" s="294">
        <v>0.33750000000000002</v>
      </c>
      <c r="L163" s="294">
        <v>-6.3E-2</v>
      </c>
      <c r="M163" s="294">
        <v>-5.0000000000000001E-4</v>
      </c>
      <c r="N163" s="294">
        <v>0</v>
      </c>
      <c r="O163" s="294">
        <v>0.06</v>
      </c>
      <c r="P163" s="294">
        <v>1.6E-2</v>
      </c>
      <c r="Q163" s="294">
        <v>4.4999999999999997E-3</v>
      </c>
      <c r="R163" s="291">
        <v>-1.6500000000000001E-2</v>
      </c>
      <c r="S163" s="291">
        <v>-4.0500000000000001E-2</v>
      </c>
      <c r="T163" s="291">
        <v>-6.5000000000000002E-2</v>
      </c>
      <c r="U163" s="291">
        <v>-2.1499999999999998E-2</v>
      </c>
      <c r="V163" s="291">
        <v>-0.1215</v>
      </c>
      <c r="W163" s="291">
        <v>-0.1275</v>
      </c>
      <c r="X163" s="291">
        <v>1.19</v>
      </c>
      <c r="Y163" s="291">
        <v>5.0000000000000001E-3</v>
      </c>
      <c r="Z163" s="291">
        <v>-0.19</v>
      </c>
      <c r="AA163" s="291">
        <v>-1.55E-2</v>
      </c>
      <c r="AB163" s="306">
        <v>0.12</v>
      </c>
      <c r="AC163" s="306">
        <v>0.8</v>
      </c>
      <c r="AD163" s="306">
        <v>0.375</v>
      </c>
      <c r="AE163" s="431">
        <v>0.15</v>
      </c>
      <c r="AF163" s="431">
        <v>0.15</v>
      </c>
      <c r="AG163" s="431">
        <v>0.16500000000000001</v>
      </c>
      <c r="AH163" s="431">
        <v>0.15</v>
      </c>
      <c r="AI163" s="431">
        <v>0.153</v>
      </c>
      <c r="AJ163" s="431">
        <v>0.15</v>
      </c>
      <c r="AK163" s="431">
        <v>0.15</v>
      </c>
      <c r="AL163" s="431">
        <v>0.15</v>
      </c>
      <c r="AM163" s="431">
        <v>0.15</v>
      </c>
      <c r="AN163" s="431">
        <v>0.15</v>
      </c>
      <c r="AO163" s="431">
        <v>0.15</v>
      </c>
      <c r="AP163" s="432">
        <v>0.15</v>
      </c>
      <c r="AQ163" s="432">
        <v>0.15</v>
      </c>
      <c r="AR163" s="432">
        <v>0.15</v>
      </c>
      <c r="AS163" s="432">
        <v>0.15</v>
      </c>
      <c r="AT163" s="431">
        <v>0.15</v>
      </c>
      <c r="AU163" s="431">
        <v>0.15</v>
      </c>
      <c r="AV163" s="431">
        <v>0.16500000000000001</v>
      </c>
      <c r="AW163" s="291">
        <v>7.0145893618583005E-2</v>
      </c>
      <c r="AX163" s="291"/>
      <c r="AY163" s="306">
        <f t="shared" si="18"/>
        <v>0.16500000000000001</v>
      </c>
      <c r="AZ163" s="306">
        <f t="shared" si="19"/>
        <v>0.16500000000000001</v>
      </c>
      <c r="BA163" s="309">
        <f t="shared" si="20"/>
        <v>0.16500000000000001</v>
      </c>
      <c r="BB163" s="308">
        <f t="shared" si="21"/>
        <v>0</v>
      </c>
      <c r="BC163" s="308">
        <v>0.42655524770978143</v>
      </c>
      <c r="BD163" s="291">
        <v>0.4266363240688319</v>
      </c>
      <c r="BF163" s="194">
        <v>41244</v>
      </c>
      <c r="BG163" s="206">
        <v>151</v>
      </c>
      <c r="HZ163" s="308">
        <f t="shared" si="16"/>
        <v>0</v>
      </c>
      <c r="IA163" s="291">
        <v>153</v>
      </c>
    </row>
    <row r="164" spans="1:235" x14ac:dyDescent="0.25">
      <c r="B164" s="314"/>
      <c r="C164" s="294">
        <v>3.5819999999999999</v>
      </c>
      <c r="D164" s="294">
        <v>0.15</v>
      </c>
      <c r="E164" s="294">
        <v>7.0594107806159004E-2</v>
      </c>
      <c r="F164" s="294">
        <v>-0.2</v>
      </c>
      <c r="G164" s="294">
        <v>-5.7500000000000002E-2</v>
      </c>
      <c r="H164" s="294">
        <v>-0.2</v>
      </c>
      <c r="I164" s="294">
        <v>0.28999999999999998</v>
      </c>
      <c r="J164" s="294">
        <v>0.30499999999999999</v>
      </c>
      <c r="K164" s="294">
        <v>0.4375</v>
      </c>
      <c r="L164" s="294">
        <v>-6.3E-2</v>
      </c>
      <c r="M164" s="294">
        <v>1.5E-3</v>
      </c>
      <c r="N164" s="294">
        <v>0</v>
      </c>
      <c r="O164" s="294">
        <v>0.13</v>
      </c>
      <c r="P164" s="294">
        <v>1.6E-2</v>
      </c>
      <c r="Q164" s="294">
        <v>4.4999999999999997E-3</v>
      </c>
      <c r="R164" s="291">
        <v>-1.2E-2</v>
      </c>
      <c r="S164" s="291">
        <v>-4.0500000000000001E-2</v>
      </c>
      <c r="T164" s="291">
        <v>-0.05</v>
      </c>
      <c r="U164" s="291">
        <v>-2.1499999999999998E-2</v>
      </c>
      <c r="V164" s="291">
        <v>-0.127</v>
      </c>
      <c r="W164" s="291">
        <v>-0.1275</v>
      </c>
      <c r="X164" s="291">
        <v>1.5249999999999999</v>
      </c>
      <c r="Y164" s="291">
        <v>5.0000000000000001E-3</v>
      </c>
      <c r="Z164" s="291">
        <v>-0.19</v>
      </c>
      <c r="AA164" s="291">
        <v>-1.55E-2</v>
      </c>
      <c r="AB164" s="306">
        <v>0.12</v>
      </c>
      <c r="AC164" s="306">
        <v>0.97499999999999998</v>
      </c>
      <c r="AD164" s="306">
        <v>0.38500000000000001</v>
      </c>
      <c r="AE164" s="431">
        <v>0.15</v>
      </c>
      <c r="AF164" s="431">
        <v>0.15</v>
      </c>
      <c r="AG164" s="431">
        <v>0.16500000000000001</v>
      </c>
      <c r="AH164" s="431">
        <v>0.15</v>
      </c>
      <c r="AI164" s="431">
        <v>0.153</v>
      </c>
      <c r="AJ164" s="431">
        <v>0.15</v>
      </c>
      <c r="AK164" s="431">
        <v>0.15</v>
      </c>
      <c r="AL164" s="431">
        <v>0.15</v>
      </c>
      <c r="AM164" s="431">
        <v>0.15</v>
      </c>
      <c r="AN164" s="431">
        <v>0.15</v>
      </c>
      <c r="AO164" s="431">
        <v>0.15</v>
      </c>
      <c r="AP164" s="432">
        <v>0.15</v>
      </c>
      <c r="AQ164" s="432">
        <v>0.15</v>
      </c>
      <c r="AR164" s="432">
        <v>0.15</v>
      </c>
      <c r="AS164" s="432">
        <v>0.15</v>
      </c>
      <c r="AT164" s="431">
        <v>0.15</v>
      </c>
      <c r="AU164" s="431">
        <v>0.15</v>
      </c>
      <c r="AV164" s="431">
        <v>0.16500000000000001</v>
      </c>
      <c r="AW164" s="291">
        <v>7.0152847135394006E-2</v>
      </c>
      <c r="AX164" s="291"/>
      <c r="AY164" s="306">
        <f t="shared" si="18"/>
        <v>0.16500000000000001</v>
      </c>
      <c r="AZ164" s="306">
        <f t="shared" si="19"/>
        <v>0.16500000000000001</v>
      </c>
      <c r="BA164" s="309">
        <f t="shared" si="20"/>
        <v>0.16500000000000001</v>
      </c>
      <c r="BB164" s="308">
        <f t="shared" si="21"/>
        <v>0</v>
      </c>
      <c r="BC164" s="308">
        <v>0.42402435811137129</v>
      </c>
      <c r="BD164" s="291">
        <v>0.42410495899074585</v>
      </c>
      <c r="BF164" s="194">
        <v>41275</v>
      </c>
      <c r="BG164" s="206">
        <v>152</v>
      </c>
      <c r="HZ164" s="308">
        <f t="shared" si="16"/>
        <v>0</v>
      </c>
      <c r="IA164" s="291">
        <v>154</v>
      </c>
    </row>
    <row r="165" spans="1:235" x14ac:dyDescent="0.25">
      <c r="B165" s="314"/>
      <c r="C165" s="294">
        <v>3.48</v>
      </c>
      <c r="D165" s="294">
        <v>0.15</v>
      </c>
      <c r="E165" s="294">
        <v>7.0595273821798005E-2</v>
      </c>
      <c r="F165" s="294">
        <v>-0.20250000000000001</v>
      </c>
      <c r="G165" s="294">
        <v>-0.04</v>
      </c>
      <c r="H165" s="294">
        <v>-0.20250000000000001</v>
      </c>
      <c r="I165" s="294">
        <v>0.26500000000000001</v>
      </c>
      <c r="J165" s="294">
        <v>0.30499999999999999</v>
      </c>
      <c r="K165" s="294">
        <v>0.435</v>
      </c>
      <c r="L165" s="294">
        <v>-6.3E-2</v>
      </c>
      <c r="M165" s="294">
        <v>1.5E-3</v>
      </c>
      <c r="N165" s="294">
        <v>0</v>
      </c>
      <c r="O165" s="294">
        <v>0</v>
      </c>
      <c r="P165" s="294">
        <v>1.6E-2</v>
      </c>
      <c r="Q165" s="294">
        <v>4.4999999999999997E-3</v>
      </c>
      <c r="R165" s="291">
        <v>-1.2E-2</v>
      </c>
      <c r="S165" s="291">
        <v>-4.0500000000000001E-2</v>
      </c>
      <c r="T165" s="291">
        <v>-0.05</v>
      </c>
      <c r="U165" s="291">
        <v>-2.1499999999999998E-2</v>
      </c>
      <c r="V165" s="291">
        <v>-0.1095</v>
      </c>
      <c r="W165" s="291">
        <v>-0.1275</v>
      </c>
      <c r="X165" s="291">
        <v>1.4550000000000001</v>
      </c>
      <c r="Y165" s="291">
        <v>5.0000000000000001E-3</v>
      </c>
      <c r="Z165" s="291">
        <v>-0.19</v>
      </c>
      <c r="AA165" s="291">
        <v>-1.55E-2</v>
      </c>
      <c r="AB165" s="306">
        <v>0.12</v>
      </c>
      <c r="AC165" s="306">
        <v>0.97499999999999998</v>
      </c>
      <c r="AD165" s="306">
        <v>0.36</v>
      </c>
      <c r="AE165" s="431">
        <v>0.15</v>
      </c>
      <c r="AF165" s="431">
        <v>0.15</v>
      </c>
      <c r="AG165" s="431">
        <v>0.16500000000000001</v>
      </c>
      <c r="AH165" s="431">
        <v>0.15</v>
      </c>
      <c r="AI165" s="431">
        <v>0.153</v>
      </c>
      <c r="AJ165" s="431">
        <v>0.15</v>
      </c>
      <c r="AK165" s="431">
        <v>0.15</v>
      </c>
      <c r="AL165" s="431">
        <v>0.15</v>
      </c>
      <c r="AM165" s="431">
        <v>0.15</v>
      </c>
      <c r="AN165" s="431">
        <v>0.15</v>
      </c>
      <c r="AO165" s="431">
        <v>0.15</v>
      </c>
      <c r="AP165" s="432">
        <v>0.15</v>
      </c>
      <c r="AQ165" s="432">
        <v>0.15</v>
      </c>
      <c r="AR165" s="432">
        <v>0.15</v>
      </c>
      <c r="AS165" s="432">
        <v>0.15</v>
      </c>
      <c r="AT165" s="431">
        <v>0.15</v>
      </c>
      <c r="AU165" s="431">
        <v>0.15</v>
      </c>
      <c r="AV165" s="431">
        <v>0.16500000000000001</v>
      </c>
      <c r="AW165" s="291">
        <v>7.0159800652220994E-2</v>
      </c>
      <c r="AX165" s="291"/>
      <c r="AY165" s="306">
        <f t="shared" si="18"/>
        <v>0.16500000000000001</v>
      </c>
      <c r="AZ165" s="306">
        <f t="shared" si="19"/>
        <v>0.16500000000000001</v>
      </c>
      <c r="BA165" s="309">
        <f t="shared" si="20"/>
        <v>0.16500000000000001</v>
      </c>
      <c r="BB165" s="308">
        <f t="shared" si="21"/>
        <v>0</v>
      </c>
      <c r="BC165" s="308">
        <v>0.42150814177873064</v>
      </c>
      <c r="BD165" s="291">
        <v>0.42158826990126264</v>
      </c>
      <c r="BF165" s="194">
        <v>41306</v>
      </c>
      <c r="BG165" s="206">
        <v>153</v>
      </c>
      <c r="HZ165" s="308">
        <f t="shared" si="16"/>
        <v>0</v>
      </c>
      <c r="IA165" s="291">
        <v>155</v>
      </c>
    </row>
    <row r="166" spans="1:235" x14ac:dyDescent="0.25">
      <c r="B166" s="314"/>
      <c r="C166" s="294">
        <v>3.34</v>
      </c>
      <c r="D166" s="294">
        <v>0.15</v>
      </c>
      <c r="E166" s="294">
        <v>7.0596326997215006E-2</v>
      </c>
      <c r="F166" s="294">
        <v>-0.20499999999999999</v>
      </c>
      <c r="G166" s="294">
        <v>-2.75E-2</v>
      </c>
      <c r="H166" s="294">
        <v>-0.20499999999999999</v>
      </c>
      <c r="I166" s="294">
        <v>0.26300000000000001</v>
      </c>
      <c r="J166" s="294">
        <v>0.26500000000000001</v>
      </c>
      <c r="K166" s="294">
        <v>0.30249999999999999</v>
      </c>
      <c r="L166" s="294">
        <v>-6.3E-2</v>
      </c>
      <c r="M166" s="294">
        <v>1.5E-3</v>
      </c>
      <c r="N166" s="294">
        <v>0</v>
      </c>
      <c r="O166" s="294">
        <v>-0.18</v>
      </c>
      <c r="P166" s="294">
        <v>1.6E-2</v>
      </c>
      <c r="Q166" s="294">
        <v>4.4999999999999997E-3</v>
      </c>
      <c r="R166" s="291">
        <v>-1.2E-2</v>
      </c>
      <c r="S166" s="291">
        <v>-4.0500000000000001E-2</v>
      </c>
      <c r="T166" s="291">
        <v>-0.05</v>
      </c>
      <c r="U166" s="291">
        <v>-3.0000000000000001E-3</v>
      </c>
      <c r="V166" s="291">
        <v>-9.1999999999999998E-2</v>
      </c>
      <c r="W166" s="291">
        <v>-0.13250000000000001</v>
      </c>
      <c r="X166" s="291">
        <v>0.83499999999999996</v>
      </c>
      <c r="Y166" s="291">
        <v>5.0000000000000001E-3</v>
      </c>
      <c r="Z166" s="291">
        <v>-0.19</v>
      </c>
      <c r="AA166" s="291">
        <v>-1.55E-2</v>
      </c>
      <c r="AB166" s="306">
        <v>0.12</v>
      </c>
      <c r="AC166" s="306">
        <v>0.60750000000000004</v>
      </c>
      <c r="AD166" s="306">
        <v>0.35799999999999998</v>
      </c>
      <c r="AE166" s="431">
        <v>0.15</v>
      </c>
      <c r="AF166" s="431">
        <v>0.15</v>
      </c>
      <c r="AG166" s="431">
        <v>0.16500000000000001</v>
      </c>
      <c r="AH166" s="431">
        <v>0.15</v>
      </c>
      <c r="AI166" s="431">
        <v>0.153</v>
      </c>
      <c r="AJ166" s="431">
        <v>0.15</v>
      </c>
      <c r="AK166" s="431">
        <v>0.15</v>
      </c>
      <c r="AL166" s="431">
        <v>0.15</v>
      </c>
      <c r="AM166" s="431">
        <v>0.15</v>
      </c>
      <c r="AN166" s="431">
        <v>0.15</v>
      </c>
      <c r="AO166" s="431">
        <v>0.15</v>
      </c>
      <c r="AP166" s="432">
        <v>0.15</v>
      </c>
      <c r="AQ166" s="432">
        <v>0.15</v>
      </c>
      <c r="AR166" s="432">
        <v>0.15</v>
      </c>
      <c r="AS166" s="432">
        <v>0.15</v>
      </c>
      <c r="AT166" s="431">
        <v>0.15</v>
      </c>
      <c r="AU166" s="431">
        <v>0.15</v>
      </c>
      <c r="AV166" s="431">
        <v>0.16500000000000001</v>
      </c>
      <c r="AW166" s="291">
        <v>7.0166081248079007E-2</v>
      </c>
      <c r="AX166" s="291"/>
      <c r="AY166" s="306">
        <f t="shared" si="18"/>
        <v>0.16500000000000001</v>
      </c>
      <c r="AZ166" s="306">
        <f t="shared" si="19"/>
        <v>0.16500000000000001</v>
      </c>
      <c r="BA166" s="309">
        <f t="shared" si="20"/>
        <v>0.16500000000000001</v>
      </c>
      <c r="BB166" s="308">
        <f t="shared" si="21"/>
        <v>0</v>
      </c>
      <c r="BC166" s="308">
        <v>0.41924797320160773</v>
      </c>
      <c r="BD166" s="291">
        <v>0.41932767664564979</v>
      </c>
      <c r="BF166" s="194">
        <v>41334</v>
      </c>
      <c r="BG166" s="206">
        <v>154</v>
      </c>
      <c r="HZ166" s="308">
        <f t="shared" si="16"/>
        <v>0</v>
      </c>
      <c r="IA166" s="291">
        <v>156</v>
      </c>
    </row>
    <row r="167" spans="1:235" x14ac:dyDescent="0.25">
      <c r="B167" s="314"/>
      <c r="C167" s="294">
        <v>3.1920000000000002</v>
      </c>
      <c r="D167" s="294">
        <v>0.15</v>
      </c>
      <c r="E167" s="294">
        <v>7.0597493012855006E-2</v>
      </c>
      <c r="F167" s="294">
        <v>-0.19500000000000001</v>
      </c>
      <c r="G167" s="294">
        <v>1.4999999999999999E-2</v>
      </c>
      <c r="H167" s="294">
        <v>-0.19500000000000001</v>
      </c>
      <c r="I167" s="294">
        <v>0.16800000000000001</v>
      </c>
      <c r="J167" s="294">
        <v>0.19500000000000001</v>
      </c>
      <c r="K167" s="294">
        <v>0.25</v>
      </c>
      <c r="L167" s="294">
        <v>-5.6000000000000001E-2</v>
      </c>
      <c r="M167" s="294">
        <v>-5.9999989999999998E-3</v>
      </c>
      <c r="N167" s="294">
        <v>0</v>
      </c>
      <c r="O167" s="294">
        <v>-0.28999999999999998</v>
      </c>
      <c r="P167" s="294">
        <v>6.4999999999999997E-3</v>
      </c>
      <c r="Q167" s="294">
        <v>1.4500000000000001E-2</v>
      </c>
      <c r="R167" s="291">
        <v>-1.15E-2</v>
      </c>
      <c r="S167" s="291">
        <v>-3.7999999999999999E-2</v>
      </c>
      <c r="T167" s="291">
        <v>-9.5000000000000001E-2</v>
      </c>
      <c r="U167" s="291">
        <v>-3.0000000000000001E-3</v>
      </c>
      <c r="V167" s="291">
        <v>-8.4500000000000006E-2</v>
      </c>
      <c r="W167" s="291">
        <v>-0.12</v>
      </c>
      <c r="X167" s="291">
        <v>0.45</v>
      </c>
      <c r="Y167" s="291">
        <v>5.0000000000000001E-3</v>
      </c>
      <c r="Z167" s="291">
        <v>-0.19</v>
      </c>
      <c r="AA167" s="291">
        <v>-1.2999999999999999E-2</v>
      </c>
      <c r="AB167" s="306">
        <v>0.29499999999999998</v>
      </c>
      <c r="AC167" s="306">
        <v>0.35499999999999998</v>
      </c>
      <c r="AD167" s="306">
        <v>0.26300000000000001</v>
      </c>
      <c r="AE167" s="431">
        <v>0.15</v>
      </c>
      <c r="AF167" s="431">
        <v>0.15</v>
      </c>
      <c r="AG167" s="431">
        <v>0.14699999999999999</v>
      </c>
      <c r="AH167" s="431">
        <v>0.15</v>
      </c>
      <c r="AI167" s="431">
        <v>0.153</v>
      </c>
      <c r="AJ167" s="431">
        <v>0.15</v>
      </c>
      <c r="AK167" s="431">
        <v>0.14699999999999999</v>
      </c>
      <c r="AL167" s="431">
        <v>0.14699999999999999</v>
      </c>
      <c r="AM167" s="431">
        <v>0.15</v>
      </c>
      <c r="AN167" s="431">
        <v>0.15</v>
      </c>
      <c r="AO167" s="431">
        <v>0.15</v>
      </c>
      <c r="AP167" s="432">
        <v>0.15</v>
      </c>
      <c r="AQ167" s="432">
        <v>0.15</v>
      </c>
      <c r="AR167" s="432">
        <v>0.15</v>
      </c>
      <c r="AS167" s="432">
        <v>0.15</v>
      </c>
      <c r="AT167" s="431">
        <v>0.15</v>
      </c>
      <c r="AU167" s="431">
        <v>0.15</v>
      </c>
      <c r="AV167" s="431">
        <v>0.14699999999999999</v>
      </c>
      <c r="AW167" s="291">
        <v>7.0173034764936998E-2</v>
      </c>
      <c r="AX167" s="291"/>
      <c r="AY167" s="306">
        <f t="shared" si="18"/>
        <v>0.14699999999999999</v>
      </c>
      <c r="AZ167" s="306">
        <f t="shared" si="19"/>
        <v>0.14699999999999999</v>
      </c>
      <c r="BA167" s="309">
        <f t="shared" si="20"/>
        <v>0.14699999999999999</v>
      </c>
      <c r="BB167" s="308">
        <f t="shared" si="21"/>
        <v>0</v>
      </c>
      <c r="BC167" s="308">
        <v>0.41675945452022534</v>
      </c>
      <c r="BD167" s="291">
        <v>0.41683869034767307</v>
      </c>
      <c r="BF167" s="194">
        <v>41365</v>
      </c>
      <c r="BG167" s="206">
        <v>155</v>
      </c>
      <c r="HZ167" s="308">
        <f t="shared" si="16"/>
        <v>0</v>
      </c>
      <c r="IA167" s="291">
        <v>157</v>
      </c>
    </row>
    <row r="168" spans="1:235" x14ac:dyDescent="0.25">
      <c r="B168" s="314"/>
      <c r="C168" s="294">
        <v>3.19</v>
      </c>
      <c r="D168" s="294">
        <v>0.15</v>
      </c>
      <c r="E168" s="294">
        <v>7.0598621415089005E-2</v>
      </c>
      <c r="F168" s="294">
        <v>-0.19500000000000001</v>
      </c>
      <c r="G168" s="294">
        <v>1.4999999999999999E-2</v>
      </c>
      <c r="H168" s="294">
        <v>-0.19500000000000001</v>
      </c>
      <c r="I168" s="294">
        <v>0.17799999999999999</v>
      </c>
      <c r="J168" s="294">
        <v>0.1825</v>
      </c>
      <c r="K168" s="294">
        <v>0.20250000000000001</v>
      </c>
      <c r="L168" s="294">
        <v>-5.6000000000000001E-2</v>
      </c>
      <c r="M168" s="388">
        <v>-5.9999989999999998E-3</v>
      </c>
      <c r="N168" s="294">
        <v>0</v>
      </c>
      <c r="O168" s="294">
        <v>-0.28999999999999998</v>
      </c>
      <c r="P168" s="294">
        <v>6.4999999999999997E-3</v>
      </c>
      <c r="Q168" s="294">
        <v>1.4500000000000001E-2</v>
      </c>
      <c r="R168" s="291">
        <v>-1.15E-2</v>
      </c>
      <c r="S168" s="291">
        <v>-3.7999999999999999E-2</v>
      </c>
      <c r="T168" s="291">
        <v>-0.11</v>
      </c>
      <c r="U168" s="291">
        <v>-3.2499999999999999E-3</v>
      </c>
      <c r="V168" s="291">
        <v>-8.4500000000000006E-2</v>
      </c>
      <c r="W168" s="291">
        <v>-0.12</v>
      </c>
      <c r="X168" s="291">
        <v>0.40500000000000003</v>
      </c>
      <c r="Y168" s="291">
        <v>5.0000000000000001E-3</v>
      </c>
      <c r="Z168" s="291">
        <v>-0.19</v>
      </c>
      <c r="AA168" s="291">
        <v>-1.2999999999999999E-2</v>
      </c>
      <c r="AB168" s="306">
        <v>0.29499999999999998</v>
      </c>
      <c r="AC168" s="306">
        <v>0.28749999999999998</v>
      </c>
      <c r="AD168" s="306">
        <v>0.27300000000000002</v>
      </c>
      <c r="AE168" s="431">
        <v>0.15</v>
      </c>
      <c r="AF168" s="431">
        <v>0.15</v>
      </c>
      <c r="AG168" s="431">
        <v>0.14699999999999999</v>
      </c>
      <c r="AH168" s="431">
        <v>0.15</v>
      </c>
      <c r="AI168" s="431">
        <v>0.153</v>
      </c>
      <c r="AJ168" s="431">
        <v>0.15</v>
      </c>
      <c r="AK168" s="431">
        <v>0.14699999999999999</v>
      </c>
      <c r="AL168" s="431">
        <v>0.14699999999999999</v>
      </c>
      <c r="AM168" s="431">
        <v>0.15</v>
      </c>
      <c r="AN168" s="431">
        <v>0.15</v>
      </c>
      <c r="AO168" s="431">
        <v>0.15</v>
      </c>
      <c r="AP168" s="432">
        <v>0.15</v>
      </c>
      <c r="AQ168" s="432">
        <v>0.15</v>
      </c>
      <c r="AR168" s="432">
        <v>0.15</v>
      </c>
      <c r="AS168" s="432">
        <v>0.15</v>
      </c>
      <c r="AT168" s="431">
        <v>0.15</v>
      </c>
      <c r="AU168" s="431">
        <v>0.15</v>
      </c>
      <c r="AV168" s="431">
        <v>0.14699999999999999</v>
      </c>
      <c r="AW168" s="291">
        <v>7.0179763974814999E-2</v>
      </c>
      <c r="AX168" s="291"/>
      <c r="AY168" s="306">
        <f t="shared" si="18"/>
        <v>0.14699999999999999</v>
      </c>
      <c r="AZ168" s="306">
        <f t="shared" si="19"/>
        <v>0.14699999999999999</v>
      </c>
      <c r="BA168" s="309">
        <f t="shared" si="20"/>
        <v>0.14699999999999999</v>
      </c>
      <c r="BB168" s="308">
        <f t="shared" si="21"/>
        <v>0</v>
      </c>
      <c r="BC168" s="308">
        <v>0.41436495418340019</v>
      </c>
      <c r="BD168" s="291">
        <v>0.41444374002951961</v>
      </c>
      <c r="BF168" s="194">
        <v>41395</v>
      </c>
      <c r="BG168" s="206">
        <v>156</v>
      </c>
      <c r="HZ168" s="308">
        <f t="shared" si="16"/>
        <v>0</v>
      </c>
      <c r="IA168" s="291">
        <v>158</v>
      </c>
    </row>
    <row r="169" spans="1:235" x14ac:dyDescent="0.25">
      <c r="B169" s="314"/>
      <c r="C169" s="294">
        <v>3.22</v>
      </c>
      <c r="D169" s="294">
        <v>0.15</v>
      </c>
      <c r="E169" s="294">
        <v>7.0599787430730004E-2</v>
      </c>
      <c r="F169" s="294">
        <v>-0.19500000000000001</v>
      </c>
      <c r="G169" s="294">
        <v>0.02</v>
      </c>
      <c r="H169" s="294">
        <v>-0.19500000000000001</v>
      </c>
      <c r="I169" s="294">
        <v>0.17299999999999999</v>
      </c>
      <c r="J169" s="294">
        <v>0.1825</v>
      </c>
      <c r="K169" s="294">
        <v>0.20250000000000001</v>
      </c>
      <c r="L169" s="294">
        <v>-7.1999999999999995E-2</v>
      </c>
      <c r="M169" s="388">
        <v>-5.9999989999999998E-3</v>
      </c>
      <c r="N169" s="294">
        <v>0</v>
      </c>
      <c r="O169" s="294">
        <v>-0.28999999999999998</v>
      </c>
      <c r="P169" s="294">
        <v>6.4999999999999997E-3</v>
      </c>
      <c r="Q169" s="294">
        <v>1.4500000000000001E-2</v>
      </c>
      <c r="R169" s="291">
        <v>-1.15E-2</v>
      </c>
      <c r="S169" s="291">
        <v>-3.7999999999999999E-2</v>
      </c>
      <c r="T169" s="291">
        <v>-0.12</v>
      </c>
      <c r="U169" s="291">
        <v>-3.2499999999999999E-3</v>
      </c>
      <c r="V169" s="291">
        <v>-7.4499999999999997E-2</v>
      </c>
      <c r="W169" s="291">
        <v>-0.12</v>
      </c>
      <c r="X169" s="291">
        <v>0.39500000000000002</v>
      </c>
      <c r="Y169" s="291">
        <v>5.0000000000000001E-3</v>
      </c>
      <c r="Z169" s="291">
        <v>-0.19</v>
      </c>
      <c r="AA169" s="291">
        <v>-1.2999999999999999E-2</v>
      </c>
      <c r="AB169" s="306">
        <v>0.29499999999999998</v>
      </c>
      <c r="AC169" s="306">
        <v>0.28749999999999998</v>
      </c>
      <c r="AD169" s="306">
        <v>0.26800000000000002</v>
      </c>
      <c r="AE169" s="431">
        <v>0.15</v>
      </c>
      <c r="AF169" s="431">
        <v>0.15</v>
      </c>
      <c r="AG169" s="431">
        <v>0.14699999999999999</v>
      </c>
      <c r="AH169" s="431">
        <v>0.15</v>
      </c>
      <c r="AI169" s="431">
        <v>0.153</v>
      </c>
      <c r="AJ169" s="431">
        <v>0.15</v>
      </c>
      <c r="AK169" s="431">
        <v>0.14699999999999999</v>
      </c>
      <c r="AL169" s="431">
        <v>0.14699999999999999</v>
      </c>
      <c r="AM169" s="431">
        <v>0.15</v>
      </c>
      <c r="AN169" s="431">
        <v>0.15</v>
      </c>
      <c r="AO169" s="431">
        <v>0.15</v>
      </c>
      <c r="AP169" s="432">
        <v>0.15</v>
      </c>
      <c r="AQ169" s="432">
        <v>0.15</v>
      </c>
      <c r="AR169" s="432">
        <v>0.15</v>
      </c>
      <c r="AS169" s="432">
        <v>0.15</v>
      </c>
      <c r="AT169" s="431">
        <v>0.15</v>
      </c>
      <c r="AU169" s="431">
        <v>0.15</v>
      </c>
      <c r="AV169" s="431">
        <v>0.14699999999999999</v>
      </c>
      <c r="AW169" s="291">
        <v>7.0186717491702993E-2</v>
      </c>
      <c r="AX169" s="291"/>
      <c r="AY169" s="306">
        <f t="shared" si="18"/>
        <v>0.14699999999999999</v>
      </c>
      <c r="AZ169" s="306">
        <f t="shared" si="19"/>
        <v>0.14699999999999999</v>
      </c>
      <c r="BA169" s="309">
        <f t="shared" si="20"/>
        <v>0.14699999999999999</v>
      </c>
      <c r="BB169" s="308">
        <f t="shared" si="21"/>
        <v>0</v>
      </c>
      <c r="BC169" s="308">
        <v>0.41190475934406573</v>
      </c>
      <c r="BD169" s="291">
        <v>0.41198308283080665</v>
      </c>
      <c r="BF169" s="194">
        <v>41426</v>
      </c>
      <c r="BG169" s="206">
        <v>157</v>
      </c>
      <c r="HZ169" s="308">
        <f t="shared" si="16"/>
        <v>0</v>
      </c>
      <c r="IA169" s="291">
        <v>159</v>
      </c>
    </row>
    <row r="170" spans="1:235" x14ac:dyDescent="0.25">
      <c r="B170" s="314"/>
      <c r="C170" s="294">
        <v>3.242</v>
      </c>
      <c r="D170" s="294">
        <v>0.15</v>
      </c>
      <c r="E170" s="294">
        <v>7.0600915832963004E-2</v>
      </c>
      <c r="F170" s="294">
        <v>-0.19500000000000001</v>
      </c>
      <c r="G170" s="294">
        <v>2.2499999999999999E-2</v>
      </c>
      <c r="H170" s="294">
        <v>-0.19500000000000001</v>
      </c>
      <c r="I170" s="294">
        <v>0.16300000000000001</v>
      </c>
      <c r="J170" s="294">
        <v>0.1825</v>
      </c>
      <c r="K170" s="294">
        <v>0.215</v>
      </c>
      <c r="L170" s="294">
        <v>-6.5000000000000002E-2</v>
      </c>
      <c r="M170" s="388">
        <v>-5.9999989999999998E-3</v>
      </c>
      <c r="N170" s="294">
        <v>0</v>
      </c>
      <c r="O170" s="294">
        <v>-0.28999999999999998</v>
      </c>
      <c r="P170" s="294">
        <v>6.4999999999999997E-3</v>
      </c>
      <c r="Q170" s="294">
        <v>1.4500000000000001E-2</v>
      </c>
      <c r="R170" s="291">
        <v>-1.15E-2</v>
      </c>
      <c r="S170" s="291">
        <v>-3.7999999999999999E-2</v>
      </c>
      <c r="T170" s="291">
        <v>-0.12</v>
      </c>
      <c r="U170" s="291">
        <v>-3.2499999999999999E-3</v>
      </c>
      <c r="V170" s="291">
        <v>-6.9500000000000006E-2</v>
      </c>
      <c r="W170" s="291">
        <v>-0.12</v>
      </c>
      <c r="X170" s="291">
        <v>0.43</v>
      </c>
      <c r="Y170" s="291">
        <v>5.0000000000000001E-3</v>
      </c>
      <c r="Z170" s="291">
        <v>-0.19</v>
      </c>
      <c r="AA170" s="291">
        <v>-1.2999999999999999E-2</v>
      </c>
      <c r="AB170" s="306">
        <v>0.29499999999999998</v>
      </c>
      <c r="AC170" s="306">
        <v>0.3</v>
      </c>
      <c r="AD170" s="306">
        <v>0.25800000000000001</v>
      </c>
      <c r="AE170" s="431">
        <v>0.15</v>
      </c>
      <c r="AF170" s="431">
        <v>0.15</v>
      </c>
      <c r="AG170" s="431">
        <v>0.14699999999999999</v>
      </c>
      <c r="AH170" s="431">
        <v>0.15</v>
      </c>
      <c r="AI170" s="431">
        <v>0.153</v>
      </c>
      <c r="AJ170" s="431">
        <v>0.15</v>
      </c>
      <c r="AK170" s="431">
        <v>0.14699999999999999</v>
      </c>
      <c r="AL170" s="431">
        <v>0.14699999999999999</v>
      </c>
      <c r="AM170" s="431">
        <v>0.15</v>
      </c>
      <c r="AN170" s="431">
        <v>0.15</v>
      </c>
      <c r="AO170" s="431">
        <v>0.15</v>
      </c>
      <c r="AP170" s="432">
        <v>0.15</v>
      </c>
      <c r="AQ170" s="432">
        <v>0.15</v>
      </c>
      <c r="AR170" s="432">
        <v>0.15</v>
      </c>
      <c r="AS170" s="432">
        <v>0.15</v>
      </c>
      <c r="AT170" s="431">
        <v>0.15</v>
      </c>
      <c r="AU170" s="431">
        <v>0.15</v>
      </c>
      <c r="AV170" s="431">
        <v>0.14699999999999999</v>
      </c>
      <c r="AW170" s="291">
        <v>7.0193446701611997E-2</v>
      </c>
      <c r="AX170" s="291"/>
      <c r="AY170" s="306">
        <f t="shared" si="18"/>
        <v>0.14699999999999999</v>
      </c>
      <c r="AZ170" s="306">
        <f t="shared" si="19"/>
        <v>0.14699999999999999</v>
      </c>
      <c r="BA170" s="309">
        <f t="shared" si="20"/>
        <v>0.14699999999999999</v>
      </c>
      <c r="BB170" s="308">
        <f t="shared" si="21"/>
        <v>0</v>
      </c>
      <c r="BC170" s="308">
        <v>0.40953751657143272</v>
      </c>
      <c r="BD170" s="291">
        <v>0.40961539513651835</v>
      </c>
      <c r="BF170" s="194">
        <v>41456</v>
      </c>
      <c r="BG170" s="206">
        <v>158</v>
      </c>
      <c r="HZ170" s="308">
        <f t="shared" si="16"/>
        <v>0</v>
      </c>
      <c r="IA170" s="291">
        <v>160</v>
      </c>
    </row>
    <row r="171" spans="1:235" x14ac:dyDescent="0.25">
      <c r="A171" s="318"/>
      <c r="B171" s="314"/>
      <c r="C171" s="294">
        <v>3.2629999999999999</v>
      </c>
      <c r="D171" s="294">
        <v>0.15</v>
      </c>
      <c r="E171" s="294">
        <v>7.0602081848606002E-2</v>
      </c>
      <c r="F171" s="294">
        <v>-0.19500000000000001</v>
      </c>
      <c r="G171" s="294">
        <v>2.5000000000000001E-2</v>
      </c>
      <c r="H171" s="294">
        <v>-0.19500000000000001</v>
      </c>
      <c r="I171" s="294">
        <v>0.16</v>
      </c>
      <c r="J171" s="294">
        <v>0.1825</v>
      </c>
      <c r="K171" s="294">
        <v>0.215</v>
      </c>
      <c r="L171" s="294">
        <v>-5.6000000000000001E-2</v>
      </c>
      <c r="M171" s="388">
        <v>-5.9999989999999998E-3</v>
      </c>
      <c r="N171" s="294">
        <v>0</v>
      </c>
      <c r="O171" s="294">
        <v>-0.28999999999999998</v>
      </c>
      <c r="P171" s="294">
        <v>6.4999999999999997E-3</v>
      </c>
      <c r="Q171" s="294">
        <v>1.4500000000000001E-2</v>
      </c>
      <c r="R171" s="291">
        <v>-1.15E-2</v>
      </c>
      <c r="S171" s="291">
        <v>-3.7999999999999999E-2</v>
      </c>
      <c r="T171" s="291">
        <v>-0.12</v>
      </c>
      <c r="U171" s="291">
        <v>-3.2499999999999999E-3</v>
      </c>
      <c r="V171" s="291">
        <v>-6.9500000000000006E-2</v>
      </c>
      <c r="W171" s="291">
        <v>-0.12</v>
      </c>
      <c r="X171" s="291">
        <v>0.495</v>
      </c>
      <c r="Y171" s="291">
        <v>5.0000000000000001E-3</v>
      </c>
      <c r="Z171" s="291">
        <v>-0.19</v>
      </c>
      <c r="AA171" s="291">
        <v>-1.2999999999999999E-2</v>
      </c>
      <c r="AB171" s="306">
        <v>0.29499999999999998</v>
      </c>
      <c r="AC171" s="306">
        <v>0.3</v>
      </c>
      <c r="AD171" s="306">
        <v>0.255</v>
      </c>
      <c r="AE171" s="431">
        <v>0.15</v>
      </c>
      <c r="AF171" s="431">
        <v>0.15</v>
      </c>
      <c r="AG171" s="431">
        <v>0.14699999999999999</v>
      </c>
      <c r="AH171" s="431">
        <v>0.15</v>
      </c>
      <c r="AI171" s="431">
        <v>0.153</v>
      </c>
      <c r="AJ171" s="431">
        <v>0.15</v>
      </c>
      <c r="AK171" s="431">
        <v>0.14699999999999999</v>
      </c>
      <c r="AL171" s="431">
        <v>0.14699999999999999</v>
      </c>
      <c r="AM171" s="431">
        <v>0.15</v>
      </c>
      <c r="AN171" s="431">
        <v>0.15</v>
      </c>
      <c r="AO171" s="431">
        <v>0.15</v>
      </c>
      <c r="AP171" s="432">
        <v>0.15</v>
      </c>
      <c r="AQ171" s="432">
        <v>0.15</v>
      </c>
      <c r="AR171" s="432">
        <v>0.15</v>
      </c>
      <c r="AS171" s="432">
        <v>0.15</v>
      </c>
      <c r="AT171" s="431">
        <v>0.15</v>
      </c>
      <c r="AU171" s="431">
        <v>0.15</v>
      </c>
      <c r="AV171" s="431">
        <v>0.14699999999999999</v>
      </c>
      <c r="AW171" s="291">
        <v>7.0200400218531994E-2</v>
      </c>
      <c r="AX171" s="291"/>
      <c r="AY171" s="306">
        <f t="shared" si="18"/>
        <v>0.14699999999999999</v>
      </c>
      <c r="AZ171" s="306">
        <f t="shared" si="19"/>
        <v>0.14699999999999999</v>
      </c>
      <c r="BA171" s="309">
        <f t="shared" si="20"/>
        <v>0.14699999999999999</v>
      </c>
      <c r="BB171" s="308">
        <f t="shared" si="21"/>
        <v>0</v>
      </c>
      <c r="BC171" s="308">
        <v>0.40710533104878088</v>
      </c>
      <c r="BD171" s="291">
        <v>0.40718275245408503</v>
      </c>
      <c r="BF171" s="194">
        <v>41487</v>
      </c>
      <c r="BG171" s="206">
        <v>159</v>
      </c>
      <c r="HZ171" s="308">
        <f t="shared" si="16"/>
        <v>0</v>
      </c>
      <c r="IA171" s="291">
        <v>161</v>
      </c>
    </row>
    <row r="172" spans="1:235" x14ac:dyDescent="0.25">
      <c r="A172" s="319"/>
      <c r="B172" s="314"/>
      <c r="C172" s="294">
        <v>3.2360000000000002</v>
      </c>
      <c r="D172" s="294">
        <v>0.15</v>
      </c>
      <c r="E172" s="294">
        <v>7.0603247864249E-2</v>
      </c>
      <c r="F172" s="294">
        <v>-0.19500000000000001</v>
      </c>
      <c r="G172" s="294">
        <v>1.7500000000000002E-2</v>
      </c>
      <c r="H172" s="294">
        <v>-0.19500000000000001</v>
      </c>
      <c r="I172" s="294">
        <v>0.158</v>
      </c>
      <c r="J172" s="294">
        <v>0.1825</v>
      </c>
      <c r="K172" s="294">
        <v>0.19500000000000001</v>
      </c>
      <c r="L172" s="294">
        <v>-3.5999999999999997E-2</v>
      </c>
      <c r="M172" s="388">
        <v>-5.9999989999999998E-3</v>
      </c>
      <c r="N172" s="294">
        <v>0</v>
      </c>
      <c r="O172" s="294">
        <v>-0.28999999999999998</v>
      </c>
      <c r="P172" s="294">
        <v>6.4999999999999997E-3</v>
      </c>
      <c r="Q172" s="294">
        <v>1.4500000000000001E-2</v>
      </c>
      <c r="R172" s="291">
        <v>-1.15E-2</v>
      </c>
      <c r="S172" s="291">
        <v>-3.7999999999999999E-2</v>
      </c>
      <c r="T172" s="291">
        <v>-0.11</v>
      </c>
      <c r="U172" s="291">
        <v>-3.2499999999999999E-3</v>
      </c>
      <c r="V172" s="291">
        <v>-8.4500000000000006E-2</v>
      </c>
      <c r="W172" s="291">
        <v>-0.12</v>
      </c>
      <c r="X172" s="291">
        <v>0.39500000000000002</v>
      </c>
      <c r="Y172" s="291">
        <v>5.0000000000000001E-3</v>
      </c>
      <c r="Z172" s="291">
        <v>-0.19</v>
      </c>
      <c r="AA172" s="291">
        <v>-1.2999999999999999E-2</v>
      </c>
      <c r="AB172" s="306">
        <v>0.29499999999999998</v>
      </c>
      <c r="AC172" s="306">
        <v>0.28999999999999998</v>
      </c>
      <c r="AD172" s="306">
        <v>0.253</v>
      </c>
      <c r="AE172" s="431">
        <v>0.15</v>
      </c>
      <c r="AF172" s="431">
        <v>0.15</v>
      </c>
      <c r="AG172" s="431">
        <v>0.14699999999999999</v>
      </c>
      <c r="AH172" s="431">
        <v>0.15</v>
      </c>
      <c r="AI172" s="431">
        <v>0.153</v>
      </c>
      <c r="AJ172" s="431">
        <v>0.15</v>
      </c>
      <c r="AK172" s="431">
        <v>0.14699999999999999</v>
      </c>
      <c r="AL172" s="431">
        <v>0.14699999999999999</v>
      </c>
      <c r="AM172" s="431">
        <v>0.15</v>
      </c>
      <c r="AN172" s="431">
        <v>0.15</v>
      </c>
      <c r="AO172" s="431">
        <v>0.15</v>
      </c>
      <c r="AP172" s="432">
        <v>0.15</v>
      </c>
      <c r="AQ172" s="432">
        <v>0.15</v>
      </c>
      <c r="AR172" s="432">
        <v>0.15</v>
      </c>
      <c r="AS172" s="432">
        <v>0.15</v>
      </c>
      <c r="AT172" s="431">
        <v>0.15</v>
      </c>
      <c r="AU172" s="431">
        <v>0.15</v>
      </c>
      <c r="AV172" s="431">
        <v>0.14699999999999999</v>
      </c>
      <c r="AW172" s="291">
        <v>7.0207353735469005E-2</v>
      </c>
      <c r="AX172" s="291"/>
      <c r="AY172" s="306">
        <f t="shared" si="18"/>
        <v>0.14699999999999999</v>
      </c>
      <c r="AZ172" s="306">
        <f t="shared" si="19"/>
        <v>0.14699999999999999</v>
      </c>
      <c r="BA172" s="309">
        <f t="shared" si="20"/>
        <v>0.14699999999999999</v>
      </c>
      <c r="BB172" s="308">
        <f t="shared" si="21"/>
        <v>0</v>
      </c>
      <c r="BC172" s="308">
        <v>0.40468726032446062</v>
      </c>
      <c r="BD172" s="291">
        <v>0.40476422719051708</v>
      </c>
      <c r="BF172" s="194">
        <v>41518</v>
      </c>
      <c r="BG172" s="206">
        <v>160</v>
      </c>
      <c r="HZ172" s="308">
        <f t="shared" si="16"/>
        <v>0</v>
      </c>
      <c r="IA172" s="291">
        <v>162</v>
      </c>
    </row>
    <row r="173" spans="1:235" x14ac:dyDescent="0.25">
      <c r="A173" s="319"/>
      <c r="B173" s="314"/>
      <c r="C173" s="294">
        <v>3.2410000000000001</v>
      </c>
      <c r="D173" s="294">
        <v>0.15</v>
      </c>
      <c r="E173" s="294">
        <v>7.0604376266483998E-2</v>
      </c>
      <c r="F173" s="294">
        <v>-0.19500000000000001</v>
      </c>
      <c r="G173" s="294">
        <v>7.4999999999999997E-3</v>
      </c>
      <c r="H173" s="294">
        <v>-0.19500000000000001</v>
      </c>
      <c r="I173" s="294">
        <v>0.17299999999999999</v>
      </c>
      <c r="J173" s="294">
        <v>0.1875</v>
      </c>
      <c r="K173" s="294">
        <v>0.215</v>
      </c>
      <c r="L173" s="294">
        <v>-4.5999999999999999E-2</v>
      </c>
      <c r="M173" s="388">
        <v>-5.9999989999999998E-3</v>
      </c>
      <c r="N173" s="294">
        <v>0</v>
      </c>
      <c r="O173" s="294">
        <v>-0.28999999999999998</v>
      </c>
      <c r="P173" s="294">
        <v>6.4999999999999997E-3</v>
      </c>
      <c r="Q173" s="294">
        <v>1.4500000000000001E-2</v>
      </c>
      <c r="R173" s="291">
        <v>-1.15E-2</v>
      </c>
      <c r="S173" s="291">
        <v>-3.7999999999999999E-2</v>
      </c>
      <c r="T173" s="291">
        <v>-9.5000000000000001E-2</v>
      </c>
      <c r="U173" s="291">
        <v>-2.1499999999999998E-2</v>
      </c>
      <c r="V173" s="291">
        <v>-8.6999999999999994E-2</v>
      </c>
      <c r="W173" s="291">
        <v>-0.12</v>
      </c>
      <c r="X173" s="291">
        <v>0.46100000000000002</v>
      </c>
      <c r="Y173" s="291">
        <v>5.0000000000000001E-3</v>
      </c>
      <c r="Z173" s="291">
        <v>-0.19</v>
      </c>
      <c r="AA173" s="291">
        <v>-1.2999999999999999E-2</v>
      </c>
      <c r="AB173" s="306">
        <v>0.29499999999999998</v>
      </c>
      <c r="AC173" s="306">
        <v>0.36249999999999999</v>
      </c>
      <c r="AD173" s="306">
        <v>0.26800000000000002</v>
      </c>
      <c r="AE173" s="431">
        <v>0.15</v>
      </c>
      <c r="AF173" s="431">
        <v>0.15</v>
      </c>
      <c r="AG173" s="431">
        <v>0.14699999999999999</v>
      </c>
      <c r="AH173" s="431">
        <v>0.15</v>
      </c>
      <c r="AI173" s="431">
        <v>0.153</v>
      </c>
      <c r="AJ173" s="431">
        <v>0.15</v>
      </c>
      <c r="AK173" s="431">
        <v>0.14699999999999999</v>
      </c>
      <c r="AL173" s="431">
        <v>0.14699999999999999</v>
      </c>
      <c r="AM173" s="431">
        <v>0.15</v>
      </c>
      <c r="AN173" s="431">
        <v>0.15</v>
      </c>
      <c r="AO173" s="431">
        <v>0.15</v>
      </c>
      <c r="AP173" s="432">
        <v>0.15</v>
      </c>
      <c r="AQ173" s="432">
        <v>0.15</v>
      </c>
      <c r="AR173" s="432">
        <v>0.15</v>
      </c>
      <c r="AS173" s="432">
        <v>0.15</v>
      </c>
      <c r="AT173" s="431">
        <v>0.15</v>
      </c>
      <c r="AU173" s="431">
        <v>0.15</v>
      </c>
      <c r="AV173" s="431">
        <v>0.14699999999999999</v>
      </c>
      <c r="AW173" s="291">
        <v>7.0214082945423001E-2</v>
      </c>
      <c r="AX173" s="291"/>
      <c r="AY173" s="306">
        <f t="shared" si="18"/>
        <v>0.14699999999999999</v>
      </c>
      <c r="AZ173" s="306">
        <f t="shared" si="19"/>
        <v>0.14699999999999999</v>
      </c>
      <c r="BA173" s="309">
        <f t="shared" si="20"/>
        <v>0.14699999999999999</v>
      </c>
      <c r="BB173" s="308">
        <f t="shared" si="21"/>
        <v>0</v>
      </c>
      <c r="BC173" s="308">
        <v>0.40236055578051377</v>
      </c>
      <c r="BD173" s="291">
        <v>0.4024370852511846</v>
      </c>
      <c r="BF173" s="194">
        <v>41548</v>
      </c>
      <c r="BG173" s="206">
        <v>161</v>
      </c>
      <c r="HZ173" s="308">
        <f t="shared" si="16"/>
        <v>0</v>
      </c>
      <c r="IA173" s="291">
        <v>163</v>
      </c>
    </row>
    <row r="174" spans="1:235" x14ac:dyDescent="0.25">
      <c r="A174" s="319"/>
      <c r="B174" s="314"/>
      <c r="C174" s="294">
        <v>3.2829999999999999</v>
      </c>
      <c r="D174" s="294">
        <v>0.15</v>
      </c>
      <c r="E174" s="294">
        <v>7.0605542282126996E-2</v>
      </c>
      <c r="F174" s="294">
        <v>-0.19</v>
      </c>
      <c r="G174" s="294">
        <v>-3.2500000000000001E-2</v>
      </c>
      <c r="H174" s="294">
        <v>-0.19</v>
      </c>
      <c r="I174" s="294">
        <v>0.23499999999999999</v>
      </c>
      <c r="J174" s="294">
        <v>0.27</v>
      </c>
      <c r="K174" s="294">
        <v>0.28749999999999998</v>
      </c>
      <c r="L174" s="294">
        <v>-6.0999999999999999E-2</v>
      </c>
      <c r="M174" s="388">
        <v>1.5E-3</v>
      </c>
      <c r="N174" s="294">
        <v>0</v>
      </c>
      <c r="O174" s="294">
        <v>0</v>
      </c>
      <c r="P174" s="294">
        <v>1.6E-2</v>
      </c>
      <c r="Q174" s="294">
        <v>6.4999999999999997E-3</v>
      </c>
      <c r="R174" s="291">
        <v>-1.4500000000000001E-2</v>
      </c>
      <c r="S174" s="291">
        <v>-3.7499999999999999E-2</v>
      </c>
      <c r="T174" s="291">
        <v>-5.7500000000000002E-2</v>
      </c>
      <c r="U174" s="291">
        <v>-2.0500000000000001E-2</v>
      </c>
      <c r="V174" s="291">
        <v>-8.4500000000000006E-2</v>
      </c>
      <c r="W174" s="291">
        <v>-0.13250000000000001</v>
      </c>
      <c r="X174" s="291">
        <v>0.76749999999999996</v>
      </c>
      <c r="Y174" s="291">
        <v>5.0000000000000001E-3</v>
      </c>
      <c r="Z174" s="291">
        <v>-0.19</v>
      </c>
      <c r="AA174" s="291">
        <v>-1.4500000000000001E-2</v>
      </c>
      <c r="AB174" s="306">
        <v>0.12</v>
      </c>
      <c r="AC174" s="306">
        <v>0.46500000000000002</v>
      </c>
      <c r="AD174" s="306">
        <v>0.33</v>
      </c>
      <c r="AE174" s="431">
        <v>0.15</v>
      </c>
      <c r="AF174" s="431">
        <v>0.15</v>
      </c>
      <c r="AG174" s="431">
        <v>0.16500000000000001</v>
      </c>
      <c r="AH174" s="431">
        <v>0.15</v>
      </c>
      <c r="AI174" s="431">
        <v>0.153</v>
      </c>
      <c r="AJ174" s="431">
        <v>0.15</v>
      </c>
      <c r="AK174" s="431">
        <v>0.15</v>
      </c>
      <c r="AL174" s="431">
        <v>0.15</v>
      </c>
      <c r="AM174" s="431">
        <v>0.15</v>
      </c>
      <c r="AN174" s="431">
        <v>0.15</v>
      </c>
      <c r="AO174" s="431">
        <v>0.15</v>
      </c>
      <c r="AP174" s="432">
        <v>0.15</v>
      </c>
      <c r="AQ174" s="432">
        <v>0.15</v>
      </c>
      <c r="AR174" s="432">
        <v>0.15</v>
      </c>
      <c r="AS174" s="432">
        <v>0.15</v>
      </c>
      <c r="AT174" s="431">
        <v>0.15</v>
      </c>
      <c r="AU174" s="431">
        <v>0.15</v>
      </c>
      <c r="AV174" s="431">
        <v>0.16500000000000001</v>
      </c>
      <c r="AW174" s="291">
        <v>7.0221036462391001E-2</v>
      </c>
      <c r="AX174" s="291"/>
      <c r="AY174" s="306">
        <f t="shared" si="18"/>
        <v>0.16500000000000001</v>
      </c>
      <c r="AZ174" s="306">
        <f t="shared" si="19"/>
        <v>0.16500000000000001</v>
      </c>
      <c r="BA174" s="309">
        <f t="shared" si="20"/>
        <v>0.16500000000000001</v>
      </c>
      <c r="BB174" s="308">
        <f t="shared" si="21"/>
        <v>0</v>
      </c>
      <c r="BC174" s="308">
        <v>0.39997002642788759</v>
      </c>
      <c r="BD174" s="291">
        <v>0.40004610647316741</v>
      </c>
      <c r="BF174" s="194">
        <v>41579</v>
      </c>
      <c r="BG174" s="206">
        <v>162</v>
      </c>
      <c r="HZ174" s="308">
        <f t="shared" si="16"/>
        <v>0</v>
      </c>
      <c r="IA174" s="291">
        <v>164</v>
      </c>
    </row>
    <row r="175" spans="1:235" x14ac:dyDescent="0.25">
      <c r="A175" s="319"/>
      <c r="B175" s="314"/>
      <c r="C175" s="294">
        <v>3.339</v>
      </c>
      <c r="D175" s="294">
        <v>0.15</v>
      </c>
      <c r="E175" s="294">
        <v>7.0606670684364006E-2</v>
      </c>
      <c r="F175" s="294">
        <v>-0.19750000000000001</v>
      </c>
      <c r="G175" s="294">
        <v>-5.5E-2</v>
      </c>
      <c r="H175" s="294">
        <v>-0.19750000000000001</v>
      </c>
      <c r="I175" s="294">
        <v>0.27500000000000002</v>
      </c>
      <c r="J175" s="294">
        <v>0.30499999999999999</v>
      </c>
      <c r="K175" s="294">
        <v>0.33750000000000002</v>
      </c>
      <c r="L175" s="294">
        <v>-6.0999999999999999E-2</v>
      </c>
      <c r="M175" s="294">
        <v>1.5E-3</v>
      </c>
      <c r="N175" s="294">
        <v>0</v>
      </c>
      <c r="O175" s="294">
        <v>0.06</v>
      </c>
      <c r="P175" s="294">
        <v>1.6E-2</v>
      </c>
      <c r="Q175" s="294">
        <v>6.4999999999999997E-3</v>
      </c>
      <c r="R175" s="291">
        <v>-1.4500000000000001E-2</v>
      </c>
      <c r="S175" s="291">
        <v>-3.7499999999999999E-2</v>
      </c>
      <c r="T175" s="291">
        <v>-0.05</v>
      </c>
      <c r="U175" s="291">
        <v>-2.0500000000000001E-2</v>
      </c>
      <c r="V175" s="291">
        <v>-0.1195</v>
      </c>
      <c r="W175" s="291">
        <v>-0.1275</v>
      </c>
      <c r="X175" s="291">
        <v>1.19</v>
      </c>
      <c r="Y175" s="291">
        <v>5.0000000000000001E-3</v>
      </c>
      <c r="Z175" s="291">
        <v>-0.19</v>
      </c>
      <c r="AA175" s="291">
        <v>-1.4500000000000001E-2</v>
      </c>
      <c r="AB175" s="306">
        <v>0.12</v>
      </c>
      <c r="AC175" s="306">
        <v>0.8</v>
      </c>
      <c r="AD175" s="306">
        <v>0.37</v>
      </c>
      <c r="AE175" s="431">
        <v>0.15</v>
      </c>
      <c r="AF175" s="431">
        <v>0.15</v>
      </c>
      <c r="AG175" s="431">
        <v>0.16500000000000001</v>
      </c>
      <c r="AH175" s="431">
        <v>0.15</v>
      </c>
      <c r="AI175" s="431">
        <v>0.153</v>
      </c>
      <c r="AJ175" s="431">
        <v>0.15</v>
      </c>
      <c r="AK175" s="431">
        <v>0.15</v>
      </c>
      <c r="AL175" s="431">
        <v>0.15</v>
      </c>
      <c r="AM175" s="431">
        <v>0.15</v>
      </c>
      <c r="AN175" s="431">
        <v>0.15</v>
      </c>
      <c r="AO175" s="431">
        <v>0.15</v>
      </c>
      <c r="AP175" s="432">
        <v>0.15</v>
      </c>
      <c r="AQ175" s="432">
        <v>0.15</v>
      </c>
      <c r="AR175" s="432">
        <v>0.15</v>
      </c>
      <c r="AS175" s="432">
        <v>0.15</v>
      </c>
      <c r="AT175" s="431">
        <v>0.15</v>
      </c>
      <c r="AU175" s="431">
        <v>0.15</v>
      </c>
      <c r="AV175" s="431">
        <v>0.16500000000000001</v>
      </c>
      <c r="AW175" s="291">
        <v>7.0227765672376E-2</v>
      </c>
      <c r="AX175" s="291"/>
      <c r="AY175" s="306">
        <f t="shared" si="18"/>
        <v>0.16500000000000001</v>
      </c>
      <c r="AZ175" s="306">
        <f t="shared" si="19"/>
        <v>0.16500000000000001</v>
      </c>
      <c r="BA175" s="309">
        <f t="shared" si="20"/>
        <v>0.16500000000000001</v>
      </c>
      <c r="BB175" s="308">
        <f t="shared" si="21"/>
        <v>0</v>
      </c>
      <c r="BC175" s="308">
        <v>0.39766982632449505</v>
      </c>
      <c r="BD175" s="291">
        <v>0.39774547389606901</v>
      </c>
      <c r="BF175" s="194">
        <v>41609</v>
      </c>
      <c r="BG175" s="206">
        <v>163</v>
      </c>
      <c r="HZ175" s="308">
        <f t="shared" si="16"/>
        <v>0</v>
      </c>
      <c r="IA175" s="291">
        <v>165</v>
      </c>
    </row>
    <row r="176" spans="1:235" x14ac:dyDescent="0.25">
      <c r="A176" s="319"/>
      <c r="B176" s="314"/>
      <c r="C176" s="294">
        <v>3.6539999999999999</v>
      </c>
      <c r="D176" s="294">
        <v>0.15</v>
      </c>
      <c r="E176" s="294">
        <v>7.0607836700008003E-2</v>
      </c>
      <c r="F176" s="294">
        <v>-0.2</v>
      </c>
      <c r="G176" s="294">
        <v>-5.7500000000000002E-2</v>
      </c>
      <c r="H176" s="294">
        <v>-0.2</v>
      </c>
      <c r="I176" s="294">
        <v>0.28499999999999998</v>
      </c>
      <c r="J176" s="294">
        <v>0.30499999999999999</v>
      </c>
      <c r="K176" s="294">
        <v>0.4375</v>
      </c>
      <c r="L176" s="294">
        <v>-6.0999999999999999E-2</v>
      </c>
      <c r="M176" s="294">
        <v>3.5000000000000001E-3</v>
      </c>
      <c r="N176" s="294">
        <v>0</v>
      </c>
      <c r="O176" s="294">
        <v>0.13</v>
      </c>
      <c r="P176" s="294">
        <v>1.6E-2</v>
      </c>
      <c r="Q176" s="294">
        <v>6.4999999999999997E-3</v>
      </c>
      <c r="R176" s="291">
        <v>-9.9999990000000007E-3</v>
      </c>
      <c r="S176" s="291">
        <v>-3.7499999999999999E-2</v>
      </c>
      <c r="T176" s="291">
        <v>-3.5000000000000003E-2</v>
      </c>
      <c r="U176" s="291">
        <v>-2.0500000000000001E-2</v>
      </c>
      <c r="V176" s="291">
        <v>-0.125</v>
      </c>
      <c r="W176" s="291">
        <v>-0.1275</v>
      </c>
      <c r="X176" s="291">
        <v>1.5249999999999999</v>
      </c>
      <c r="Y176" s="291">
        <v>5.0000000000000001E-3</v>
      </c>
      <c r="Z176" s="291">
        <v>-0.19</v>
      </c>
      <c r="AA176" s="291">
        <v>-1.4500000000000001E-2</v>
      </c>
      <c r="AB176" s="306">
        <v>0.12</v>
      </c>
      <c r="AC176" s="306">
        <v>0.97499999999999998</v>
      </c>
      <c r="AD176" s="306">
        <v>0.38</v>
      </c>
      <c r="AE176" s="431">
        <v>0.15</v>
      </c>
      <c r="AF176" s="431">
        <v>0.15</v>
      </c>
      <c r="AG176" s="431">
        <v>0.16500000000000001</v>
      </c>
      <c r="AH176" s="431">
        <v>0.15</v>
      </c>
      <c r="AI176" s="431">
        <v>0.153</v>
      </c>
      <c r="AJ176" s="431">
        <v>0.15</v>
      </c>
      <c r="AK176" s="431">
        <v>0.15</v>
      </c>
      <c r="AL176" s="431">
        <v>0.15</v>
      </c>
      <c r="AM176" s="431">
        <v>0.15</v>
      </c>
      <c r="AN176" s="431">
        <v>0.15</v>
      </c>
      <c r="AO176" s="431">
        <v>0.15</v>
      </c>
      <c r="AP176" s="432">
        <v>0.15</v>
      </c>
      <c r="AQ176" s="432">
        <v>0.15</v>
      </c>
      <c r="AR176" s="432">
        <v>0.15</v>
      </c>
      <c r="AS176" s="432">
        <v>0.15</v>
      </c>
      <c r="AT176" s="431">
        <v>0.15</v>
      </c>
      <c r="AU176" s="431">
        <v>0.15</v>
      </c>
      <c r="AV176" s="431">
        <v>0.16500000000000001</v>
      </c>
      <c r="AW176" s="291">
        <v>7.0234719189375003E-2</v>
      </c>
      <c r="AX176" s="291"/>
      <c r="AY176" s="306">
        <f t="shared" si="18"/>
        <v>0.16500000000000001</v>
      </c>
      <c r="AZ176" s="306">
        <f t="shared" si="19"/>
        <v>0.16500000000000001</v>
      </c>
      <c r="BA176" s="309">
        <f t="shared" si="20"/>
        <v>0.16500000000000001</v>
      </c>
      <c r="BB176" s="308">
        <f t="shared" si="21"/>
        <v>0</v>
      </c>
      <c r="BC176" s="308">
        <v>0.39530653228090834</v>
      </c>
      <c r="BD176" s="291">
        <v>0.39538173548485789</v>
      </c>
      <c r="BF176" s="194">
        <v>41640</v>
      </c>
      <c r="BG176" s="206">
        <v>164</v>
      </c>
      <c r="HZ176" s="308">
        <f t="shared" si="16"/>
        <v>0</v>
      </c>
      <c r="IA176" s="291">
        <v>166</v>
      </c>
    </row>
    <row r="177" spans="1:235" x14ac:dyDescent="0.25">
      <c r="A177" s="319"/>
      <c r="B177" s="314"/>
      <c r="C177" s="294">
        <v>3.556</v>
      </c>
      <c r="D177" s="294">
        <v>0.15</v>
      </c>
      <c r="E177" s="294">
        <v>7.0609002715652999E-2</v>
      </c>
      <c r="F177" s="294">
        <v>-0.20250000000000001</v>
      </c>
      <c r="G177" s="294">
        <v>-0.04</v>
      </c>
      <c r="H177" s="294">
        <v>-0.20250000000000001</v>
      </c>
      <c r="I177" s="294">
        <v>0.26</v>
      </c>
      <c r="J177" s="294">
        <v>0.30499999999999999</v>
      </c>
      <c r="K177" s="294">
        <v>0.435</v>
      </c>
      <c r="L177" s="294">
        <v>-6.0999999999999999E-2</v>
      </c>
      <c r="M177" s="294">
        <v>3.5000000000000001E-3</v>
      </c>
      <c r="N177" s="294">
        <v>0</v>
      </c>
      <c r="O177" s="294">
        <v>0</v>
      </c>
      <c r="P177" s="294">
        <v>1.6E-2</v>
      </c>
      <c r="Q177" s="294">
        <v>6.4999999999999997E-3</v>
      </c>
      <c r="R177" s="389">
        <v>-9.9999990000000007E-3</v>
      </c>
      <c r="S177" s="291">
        <v>-3.7499999999999999E-2</v>
      </c>
      <c r="T177" s="291">
        <v>-3.5000000000000003E-2</v>
      </c>
      <c r="U177" s="291">
        <v>-2.0500000000000001E-2</v>
      </c>
      <c r="V177" s="291">
        <v>-0.1075</v>
      </c>
      <c r="W177" s="291">
        <v>-0.1275</v>
      </c>
      <c r="X177" s="291">
        <v>1.4550000000000001</v>
      </c>
      <c r="Y177" s="291">
        <v>5.0000000000000001E-3</v>
      </c>
      <c r="Z177" s="291">
        <v>-0.19</v>
      </c>
      <c r="AA177" s="291">
        <v>-1.4500000000000001E-2</v>
      </c>
      <c r="AB177" s="306">
        <v>0.12</v>
      </c>
      <c r="AC177" s="306">
        <v>0.97499999999999998</v>
      </c>
      <c r="AD177" s="306">
        <v>0.35499999999999998</v>
      </c>
      <c r="AE177" s="431">
        <v>0.15</v>
      </c>
      <c r="AF177" s="431">
        <v>0.15</v>
      </c>
      <c r="AG177" s="431">
        <v>0.16500000000000001</v>
      </c>
      <c r="AH177" s="431">
        <v>0.15</v>
      </c>
      <c r="AI177" s="431">
        <v>0.153</v>
      </c>
      <c r="AJ177" s="431">
        <v>0.15</v>
      </c>
      <c r="AK177" s="431">
        <v>0.15</v>
      </c>
      <c r="AL177" s="431">
        <v>0.15</v>
      </c>
      <c r="AM177" s="431">
        <v>0.15</v>
      </c>
      <c r="AN177" s="431">
        <v>0.15</v>
      </c>
      <c r="AO177" s="431">
        <v>0.15</v>
      </c>
      <c r="AP177" s="432">
        <v>0.15</v>
      </c>
      <c r="AQ177" s="432">
        <v>0.15</v>
      </c>
      <c r="AR177" s="432">
        <v>0.15</v>
      </c>
      <c r="AS177" s="432">
        <v>0.15</v>
      </c>
      <c r="AT177" s="431">
        <v>0.15</v>
      </c>
      <c r="AU177" s="431">
        <v>0.15</v>
      </c>
      <c r="AV177" s="431">
        <v>0.16500000000000001</v>
      </c>
      <c r="AW177" s="291">
        <v>7.0241672706391006E-2</v>
      </c>
      <c r="AX177" s="291"/>
      <c r="AY177" s="306">
        <f t="shared" si="18"/>
        <v>0.16500000000000001</v>
      </c>
      <c r="AZ177" s="306">
        <f t="shared" si="19"/>
        <v>0.16500000000000001</v>
      </c>
      <c r="BA177" s="309">
        <f t="shared" si="20"/>
        <v>0.16500000000000001</v>
      </c>
      <c r="BB177" s="308">
        <f t="shared" si="21"/>
        <v>0</v>
      </c>
      <c r="BC177" s="308">
        <v>0.39295696290216536</v>
      </c>
      <c r="BD177" s="291">
        <v>0.39303172428752747</v>
      </c>
      <c r="BF177" s="194">
        <v>41671</v>
      </c>
      <c r="BG177" s="206">
        <v>165</v>
      </c>
      <c r="HZ177" s="308">
        <f t="shared" si="16"/>
        <v>0</v>
      </c>
      <c r="IA177" s="291">
        <v>167</v>
      </c>
    </row>
    <row r="178" spans="1:235" x14ac:dyDescent="0.25">
      <c r="A178" s="319"/>
      <c r="B178" s="314"/>
      <c r="C178" s="294">
        <v>3.419</v>
      </c>
      <c r="D178" s="294">
        <v>0.15</v>
      </c>
      <c r="E178" s="294">
        <v>7.0610055891073997E-2</v>
      </c>
      <c r="F178" s="294">
        <v>-0.20499999999999999</v>
      </c>
      <c r="G178" s="294">
        <v>-2.75E-2</v>
      </c>
      <c r="H178" s="294">
        <v>-0.20499999999999999</v>
      </c>
      <c r="I178" s="294">
        <v>0.25800000000000001</v>
      </c>
      <c r="J178" s="294">
        <v>0.26500000000000001</v>
      </c>
      <c r="K178" s="294">
        <v>0.30249999999999999</v>
      </c>
      <c r="L178" s="294">
        <v>-6.0999999999999999E-2</v>
      </c>
      <c r="M178" s="294">
        <v>3.5000000000000001E-3</v>
      </c>
      <c r="N178" s="294">
        <v>0</v>
      </c>
      <c r="O178" s="294">
        <v>-0.18</v>
      </c>
      <c r="P178" s="294">
        <v>1.6E-2</v>
      </c>
      <c r="Q178" s="294">
        <v>6.4999999999999997E-3</v>
      </c>
      <c r="R178" s="389">
        <v>-9.9999990000000007E-3</v>
      </c>
      <c r="S178" s="291">
        <v>-3.7499999999999999E-2</v>
      </c>
      <c r="T178" s="291">
        <v>-3.5000000000000003E-2</v>
      </c>
      <c r="U178" s="291">
        <v>-1.9999990000000001E-3</v>
      </c>
      <c r="V178" s="291">
        <v>-0.09</v>
      </c>
      <c r="W178" s="291">
        <v>-0.13250000000000001</v>
      </c>
      <c r="X178" s="291">
        <v>0.83499999999999996</v>
      </c>
      <c r="Y178" s="291">
        <v>5.0000000000000001E-3</v>
      </c>
      <c r="Z178" s="291">
        <v>-0.19</v>
      </c>
      <c r="AA178" s="291">
        <v>-1.4500000000000001E-2</v>
      </c>
      <c r="AB178" s="306">
        <v>0.12</v>
      </c>
      <c r="AC178" s="306">
        <v>0.60750000000000004</v>
      </c>
      <c r="AD178" s="306">
        <v>0.35299999999999998</v>
      </c>
      <c r="AE178" s="431">
        <v>0.15</v>
      </c>
      <c r="AF178" s="431">
        <v>0.15</v>
      </c>
      <c r="AG178" s="431">
        <v>0.16500000000000001</v>
      </c>
      <c r="AH178" s="431">
        <v>0.15</v>
      </c>
      <c r="AI178" s="431">
        <v>0.153</v>
      </c>
      <c r="AJ178" s="431">
        <v>0.15</v>
      </c>
      <c r="AK178" s="431">
        <v>0.15</v>
      </c>
      <c r="AL178" s="431">
        <v>0.15</v>
      </c>
      <c r="AM178" s="431">
        <v>0.15</v>
      </c>
      <c r="AN178" s="431">
        <v>0.15</v>
      </c>
      <c r="AO178" s="431">
        <v>0.15</v>
      </c>
      <c r="AP178" s="432">
        <v>0.15</v>
      </c>
      <c r="AQ178" s="432">
        <v>0.15</v>
      </c>
      <c r="AR178" s="432">
        <v>0.15</v>
      </c>
      <c r="AS178" s="432">
        <v>0.15</v>
      </c>
      <c r="AT178" s="431">
        <v>0.15</v>
      </c>
      <c r="AU178" s="431">
        <v>0.15</v>
      </c>
      <c r="AV178" s="431">
        <v>0.16500000000000001</v>
      </c>
      <c r="AW178" s="291">
        <v>7.0247953302417995E-2</v>
      </c>
      <c r="AX178" s="291"/>
      <c r="AY178" s="306">
        <f t="shared" si="18"/>
        <v>0.16500000000000001</v>
      </c>
      <c r="AZ178" s="306">
        <f t="shared" si="19"/>
        <v>0.16500000000000001</v>
      </c>
      <c r="BA178" s="309">
        <f t="shared" si="20"/>
        <v>0.16500000000000001</v>
      </c>
      <c r="BB178" s="308">
        <f t="shared" si="21"/>
        <v>0</v>
      </c>
      <c r="BC178" s="308">
        <v>0.39084650316029595</v>
      </c>
      <c r="BD178" s="291">
        <v>0.39092086766280243</v>
      </c>
      <c r="BF178" s="194">
        <v>41699</v>
      </c>
      <c r="BG178" s="206">
        <v>166</v>
      </c>
      <c r="HZ178" s="308">
        <f t="shared" si="16"/>
        <v>0</v>
      </c>
      <c r="IA178" s="291">
        <v>168</v>
      </c>
    </row>
    <row r="179" spans="1:235" x14ac:dyDescent="0.25">
      <c r="A179" s="319"/>
      <c r="B179" s="314"/>
      <c r="C179" s="294">
        <v>3.274</v>
      </c>
      <c r="D179" s="294">
        <v>0.15</v>
      </c>
      <c r="E179" s="294">
        <v>7.0611221906720006E-2</v>
      </c>
      <c r="F179" s="294">
        <v>-0.19500000000000001</v>
      </c>
      <c r="G179" s="294">
        <v>1.4999999999999999E-2</v>
      </c>
      <c r="H179" s="294">
        <v>-0.19500000000000001</v>
      </c>
      <c r="I179" s="294">
        <v>0.16300000000000001</v>
      </c>
      <c r="J179" s="294">
        <v>0.19500000000000001</v>
      </c>
      <c r="K179" s="294">
        <v>0.25</v>
      </c>
      <c r="L179" s="294">
        <v>-5.3999999999999999E-2</v>
      </c>
      <c r="M179" s="294">
        <v>-3.9999989999999997E-3</v>
      </c>
      <c r="N179" s="294">
        <v>0</v>
      </c>
      <c r="O179" s="294">
        <v>-0.28999999999999998</v>
      </c>
      <c r="P179" s="294">
        <v>6.4999999999999997E-3</v>
      </c>
      <c r="Q179" s="294">
        <v>1.6500000000000001E-2</v>
      </c>
      <c r="R179" s="389">
        <v>-9.4999990000000003E-3</v>
      </c>
      <c r="S179" s="291">
        <v>-0.03</v>
      </c>
      <c r="T179" s="291">
        <v>-0.08</v>
      </c>
      <c r="U179" s="389">
        <v>-1.9999990000000001E-3</v>
      </c>
      <c r="V179" s="291">
        <v>-8.2500000000000004E-2</v>
      </c>
      <c r="W179" s="291">
        <v>-0.12</v>
      </c>
      <c r="X179" s="291">
        <v>0.45</v>
      </c>
      <c r="Y179" s="291">
        <v>5.0000000000000001E-3</v>
      </c>
      <c r="Z179" s="291">
        <v>-0.19</v>
      </c>
      <c r="AA179" s="291">
        <v>-1.2E-2</v>
      </c>
      <c r="AB179" s="306">
        <v>0.29499999999999998</v>
      </c>
      <c r="AC179" s="306">
        <v>0.35499999999999998</v>
      </c>
      <c r="AD179" s="306">
        <v>0.25800000000000001</v>
      </c>
      <c r="AE179" s="431">
        <v>0.15</v>
      </c>
      <c r="AF179" s="431">
        <v>0.15</v>
      </c>
      <c r="AG179" s="431">
        <v>0.14699999999999999</v>
      </c>
      <c r="AH179" s="431">
        <v>0.15</v>
      </c>
      <c r="AI179" s="431">
        <v>0.153</v>
      </c>
      <c r="AJ179" s="431">
        <v>0.15</v>
      </c>
      <c r="AK179" s="431">
        <v>0.14699999999999999</v>
      </c>
      <c r="AL179" s="431">
        <v>0.14699999999999999</v>
      </c>
      <c r="AM179" s="431">
        <v>0.15</v>
      </c>
      <c r="AN179" s="431">
        <v>0.15</v>
      </c>
      <c r="AO179" s="431">
        <v>0.15</v>
      </c>
      <c r="AP179" s="432">
        <v>0.15</v>
      </c>
      <c r="AQ179" s="432">
        <v>0.15</v>
      </c>
      <c r="AR179" s="432">
        <v>0.15</v>
      </c>
      <c r="AS179" s="432">
        <v>0.15</v>
      </c>
      <c r="AT179" s="431">
        <v>0.15</v>
      </c>
      <c r="AU179" s="431">
        <v>0.15</v>
      </c>
      <c r="AV179" s="431">
        <v>0.14699999999999999</v>
      </c>
      <c r="AW179" s="291">
        <v>7.0254906819465002E-2</v>
      </c>
      <c r="AX179" s="291"/>
      <c r="AY179" s="306">
        <f t="shared" si="18"/>
        <v>0.14699999999999999</v>
      </c>
      <c r="AZ179" s="306">
        <f t="shared" si="19"/>
        <v>0.14699999999999999</v>
      </c>
      <c r="BA179" s="309">
        <f t="shared" si="20"/>
        <v>0.14699999999999999</v>
      </c>
      <c r="BB179" s="308">
        <f t="shared" si="21"/>
        <v>0</v>
      </c>
      <c r="BC179" s="308">
        <v>0.38852284044965191</v>
      </c>
      <c r="BD179" s="291">
        <v>0.38859676794565007</v>
      </c>
      <c r="BF179" s="194">
        <v>41730</v>
      </c>
      <c r="BG179" s="206">
        <v>167</v>
      </c>
      <c r="HZ179" s="308">
        <f t="shared" si="16"/>
        <v>0</v>
      </c>
      <c r="IA179" s="291">
        <v>169</v>
      </c>
    </row>
    <row r="180" spans="1:235" x14ac:dyDescent="0.25">
      <c r="A180" s="319"/>
      <c r="B180" s="314"/>
      <c r="C180" s="294">
        <v>3.2730000000000001</v>
      </c>
      <c r="D180" s="294">
        <v>0.15</v>
      </c>
      <c r="E180" s="294">
        <v>7.0612350308958002E-2</v>
      </c>
      <c r="F180" s="294">
        <v>-0.19500000000000001</v>
      </c>
      <c r="G180" s="294">
        <v>1.4999999999999999E-2</v>
      </c>
      <c r="H180" s="294">
        <v>-0.19500000000000001</v>
      </c>
      <c r="I180" s="294">
        <v>0.17299999999999999</v>
      </c>
      <c r="J180" s="294">
        <v>0.1825</v>
      </c>
      <c r="K180" s="294">
        <v>0.20250000000000001</v>
      </c>
      <c r="L180" s="294">
        <v>-5.3999999999999999E-2</v>
      </c>
      <c r="M180" s="388">
        <v>-3.9999989999999997E-3</v>
      </c>
      <c r="N180" s="294">
        <v>0</v>
      </c>
      <c r="O180" s="294">
        <v>-0.28999999999999998</v>
      </c>
      <c r="P180" s="294">
        <v>6.4999999999999997E-3</v>
      </c>
      <c r="Q180" s="294">
        <v>1.6500000000000001E-2</v>
      </c>
      <c r="R180" s="389">
        <v>-9.4999990000000003E-3</v>
      </c>
      <c r="S180" s="291">
        <v>-0.03</v>
      </c>
      <c r="T180" s="291">
        <v>-9.5000000000000001E-2</v>
      </c>
      <c r="U180" s="389">
        <v>-2.2499999999999998E-3</v>
      </c>
      <c r="V180" s="291">
        <v>-8.2500000000000004E-2</v>
      </c>
      <c r="W180" s="291">
        <v>-0.12</v>
      </c>
      <c r="X180" s="291">
        <v>0.40500000000000003</v>
      </c>
      <c r="Y180" s="291">
        <v>5.0000000000000001E-3</v>
      </c>
      <c r="Z180" s="291">
        <v>-0.19</v>
      </c>
      <c r="AA180" s="291">
        <v>-1.2E-2</v>
      </c>
      <c r="AB180" s="306">
        <v>0.29499999999999998</v>
      </c>
      <c r="AC180" s="306">
        <v>0.28749999999999998</v>
      </c>
      <c r="AD180" s="306">
        <v>0.26800000000000002</v>
      </c>
      <c r="AE180" s="431">
        <v>0.15</v>
      </c>
      <c r="AF180" s="431">
        <v>0.15</v>
      </c>
      <c r="AG180" s="431">
        <v>0.14699999999999999</v>
      </c>
      <c r="AH180" s="431">
        <v>0.15</v>
      </c>
      <c r="AI180" s="431">
        <v>0.153</v>
      </c>
      <c r="AJ180" s="431">
        <v>0.15</v>
      </c>
      <c r="AK180" s="431">
        <v>0.14699999999999999</v>
      </c>
      <c r="AL180" s="431">
        <v>0.14699999999999999</v>
      </c>
      <c r="AM180" s="431">
        <v>0.15</v>
      </c>
      <c r="AN180" s="431">
        <v>0.15</v>
      </c>
      <c r="AO180" s="431">
        <v>0.15</v>
      </c>
      <c r="AP180" s="432">
        <v>0.15</v>
      </c>
      <c r="AQ180" s="432">
        <v>0.15</v>
      </c>
      <c r="AR180" s="432">
        <v>0.15</v>
      </c>
      <c r="AS180" s="432">
        <v>0.15</v>
      </c>
      <c r="AT180" s="431">
        <v>0.15</v>
      </c>
      <c r="AU180" s="431">
        <v>0.15</v>
      </c>
      <c r="AV180" s="431">
        <v>0.14699999999999999</v>
      </c>
      <c r="AW180" s="291">
        <v>7.0261636029523997E-2</v>
      </c>
      <c r="AX180" s="291"/>
      <c r="AY180" s="306">
        <f t="shared" si="18"/>
        <v>0.14699999999999999</v>
      </c>
      <c r="AZ180" s="306">
        <f t="shared" si="19"/>
        <v>0.14699999999999999</v>
      </c>
      <c r="BA180" s="309">
        <f t="shared" si="20"/>
        <v>0.14699999999999999</v>
      </c>
      <c r="BB180" s="308">
        <f t="shared" si="21"/>
        <v>0</v>
      </c>
      <c r="BC180" s="308">
        <v>0.38628698927812599</v>
      </c>
      <c r="BD180" s="291">
        <v>0.38636049625257018</v>
      </c>
      <c r="BF180" s="194">
        <v>41760</v>
      </c>
      <c r="BG180" s="206">
        <v>168</v>
      </c>
      <c r="HZ180" s="308">
        <f t="shared" si="16"/>
        <v>0</v>
      </c>
      <c r="IA180" s="291">
        <v>170</v>
      </c>
    </row>
    <row r="181" spans="1:235" x14ac:dyDescent="0.25">
      <c r="A181" s="319"/>
      <c r="B181" s="314"/>
      <c r="C181" s="294">
        <v>3.3039999999999998</v>
      </c>
      <c r="D181" s="294">
        <v>0.15</v>
      </c>
      <c r="E181" s="294">
        <v>7.0613516324604997E-2</v>
      </c>
      <c r="F181" s="294">
        <v>-0.19500000000000001</v>
      </c>
      <c r="G181" s="294">
        <v>0.02</v>
      </c>
      <c r="H181" s="294">
        <v>-0.19500000000000001</v>
      </c>
      <c r="I181" s="294">
        <v>0.16800000000000001</v>
      </c>
      <c r="J181" s="294">
        <v>0.1825</v>
      </c>
      <c r="K181" s="294">
        <v>0.20250000000000001</v>
      </c>
      <c r="L181" s="294">
        <v>-7.0000000000000007E-2</v>
      </c>
      <c r="M181" s="388">
        <v>-3.9999989999999997E-3</v>
      </c>
      <c r="N181" s="294">
        <v>0</v>
      </c>
      <c r="O181" s="294">
        <v>-0.28999999999999998</v>
      </c>
      <c r="P181" s="294">
        <v>6.4999999999999997E-3</v>
      </c>
      <c r="Q181" s="294">
        <v>1.6500000000000001E-2</v>
      </c>
      <c r="R181" s="389">
        <v>-9.4999990000000003E-3</v>
      </c>
      <c r="S181" s="291">
        <v>-0.03</v>
      </c>
      <c r="T181" s="291">
        <v>-0.105</v>
      </c>
      <c r="U181" s="291">
        <v>-2.2499999999999998E-3</v>
      </c>
      <c r="V181" s="291">
        <v>-7.2499999999999995E-2</v>
      </c>
      <c r="W181" s="291">
        <v>-0.12</v>
      </c>
      <c r="X181" s="291">
        <v>0.39500000000000002</v>
      </c>
      <c r="Y181" s="291">
        <v>5.0000000000000001E-3</v>
      </c>
      <c r="Z181" s="291">
        <v>-0.19</v>
      </c>
      <c r="AA181" s="291">
        <v>-1.2E-2</v>
      </c>
      <c r="AB181" s="306">
        <v>0.29499999999999998</v>
      </c>
      <c r="AC181" s="306">
        <v>0.28749999999999998</v>
      </c>
      <c r="AD181" s="306">
        <v>0.26300000000000001</v>
      </c>
      <c r="AE181" s="431">
        <v>0.15</v>
      </c>
      <c r="AF181" s="431">
        <v>0.15</v>
      </c>
      <c r="AG181" s="431">
        <v>0.14699999999999999</v>
      </c>
      <c r="AH181" s="431">
        <v>0.15</v>
      </c>
      <c r="AI181" s="431">
        <v>0.153</v>
      </c>
      <c r="AJ181" s="431">
        <v>0.15</v>
      </c>
      <c r="AK181" s="431">
        <v>0.14699999999999999</v>
      </c>
      <c r="AL181" s="431">
        <v>0.14699999999999999</v>
      </c>
      <c r="AM181" s="431">
        <v>0.15</v>
      </c>
      <c r="AN181" s="431">
        <v>0.15</v>
      </c>
      <c r="AO181" s="431">
        <v>0.15</v>
      </c>
      <c r="AP181" s="432">
        <v>0.15</v>
      </c>
      <c r="AQ181" s="432">
        <v>0.15</v>
      </c>
      <c r="AR181" s="432">
        <v>0.15</v>
      </c>
      <c r="AS181" s="432">
        <v>0.15</v>
      </c>
      <c r="AT181" s="431">
        <v>0.15</v>
      </c>
      <c r="AU181" s="431">
        <v>0.15</v>
      </c>
      <c r="AV181" s="431">
        <v>0.14699999999999999</v>
      </c>
      <c r="AW181" s="291">
        <v>7.0268589546602006E-2</v>
      </c>
      <c r="AX181" s="291"/>
      <c r="AY181" s="306">
        <f t="shared" si="18"/>
        <v>0.14699999999999999</v>
      </c>
      <c r="AZ181" s="306">
        <f t="shared" si="19"/>
        <v>0.14699999999999999</v>
      </c>
      <c r="BA181" s="309">
        <f t="shared" si="20"/>
        <v>0.14699999999999999</v>
      </c>
      <c r="BB181" s="308">
        <f t="shared" si="21"/>
        <v>0</v>
      </c>
      <c r="BC181" s="308">
        <v>0.3839898184191804</v>
      </c>
      <c r="BD181" s="291">
        <v>0.38406289330859861</v>
      </c>
      <c r="BF181" s="194">
        <v>41791</v>
      </c>
      <c r="BG181" s="206">
        <v>169</v>
      </c>
      <c r="HZ181" s="308">
        <f t="shared" si="16"/>
        <v>0</v>
      </c>
      <c r="IA181" s="291">
        <v>171</v>
      </c>
    </row>
    <row r="182" spans="1:235" x14ac:dyDescent="0.25">
      <c r="A182" s="319"/>
      <c r="B182" s="314"/>
      <c r="C182" s="294">
        <v>3.3260000000000001</v>
      </c>
      <c r="D182" s="294">
        <v>0.15</v>
      </c>
      <c r="E182" s="294">
        <v>7.0614644726844006E-2</v>
      </c>
      <c r="F182" s="294">
        <v>-0.19500000000000001</v>
      </c>
      <c r="G182" s="294">
        <v>2.2499999999999999E-2</v>
      </c>
      <c r="H182" s="294">
        <v>-0.19500000000000001</v>
      </c>
      <c r="I182" s="294">
        <v>0.158</v>
      </c>
      <c r="J182" s="294">
        <v>0.1825</v>
      </c>
      <c r="K182" s="294">
        <v>0.215</v>
      </c>
      <c r="L182" s="294">
        <v>-6.3E-2</v>
      </c>
      <c r="M182" s="388">
        <v>-3.9999989999999997E-3</v>
      </c>
      <c r="N182" s="294">
        <v>0</v>
      </c>
      <c r="O182" s="294">
        <v>-0.28999999999999998</v>
      </c>
      <c r="P182" s="294">
        <v>6.4999999999999997E-3</v>
      </c>
      <c r="Q182" s="294">
        <v>1.6500000000000001E-2</v>
      </c>
      <c r="R182" s="389">
        <v>-9.4999990000000003E-3</v>
      </c>
      <c r="S182" s="291">
        <v>-0.03</v>
      </c>
      <c r="T182" s="291">
        <v>-0.105</v>
      </c>
      <c r="U182" s="291">
        <v>-2.2499999999999998E-3</v>
      </c>
      <c r="V182" s="291">
        <v>-6.7500000000000004E-2</v>
      </c>
      <c r="W182" s="291">
        <v>-0.12</v>
      </c>
      <c r="X182" s="291">
        <v>0.43</v>
      </c>
      <c r="Y182" s="291">
        <v>5.0000000000000001E-3</v>
      </c>
      <c r="Z182" s="291">
        <v>-0.19</v>
      </c>
      <c r="AA182" s="291">
        <v>-1.2E-2</v>
      </c>
      <c r="AB182" s="306">
        <v>0.29499999999999998</v>
      </c>
      <c r="AC182" s="306">
        <v>0.3</v>
      </c>
      <c r="AD182" s="306">
        <v>0.253</v>
      </c>
      <c r="AE182" s="431">
        <v>0.15</v>
      </c>
      <c r="AF182" s="431">
        <v>0.15</v>
      </c>
      <c r="AG182" s="431">
        <v>0.14699999999999999</v>
      </c>
      <c r="AH182" s="431">
        <v>0.15</v>
      </c>
      <c r="AI182" s="431">
        <v>0.153</v>
      </c>
      <c r="AJ182" s="431">
        <v>0.15</v>
      </c>
      <c r="AK182" s="431">
        <v>0.14699999999999999</v>
      </c>
      <c r="AL182" s="431">
        <v>0.14699999999999999</v>
      </c>
      <c r="AM182" s="431">
        <v>0.15</v>
      </c>
      <c r="AN182" s="431">
        <v>0.15</v>
      </c>
      <c r="AO182" s="431">
        <v>0.15</v>
      </c>
      <c r="AP182" s="432">
        <v>0.15</v>
      </c>
      <c r="AQ182" s="432">
        <v>0.15</v>
      </c>
      <c r="AR182" s="432">
        <v>0.15</v>
      </c>
      <c r="AS182" s="432">
        <v>0.15</v>
      </c>
      <c r="AT182" s="431">
        <v>0.15</v>
      </c>
      <c r="AU182" s="431">
        <v>0.15</v>
      </c>
      <c r="AV182" s="431">
        <v>0.14699999999999999</v>
      </c>
      <c r="AW182" s="291">
        <v>7.0275318756692004E-2</v>
      </c>
      <c r="AX182" s="291"/>
      <c r="AY182" s="306">
        <f t="shared" si="18"/>
        <v>0.14699999999999999</v>
      </c>
      <c r="AZ182" s="306">
        <f t="shared" si="19"/>
        <v>0.14699999999999999</v>
      </c>
      <c r="BA182" s="309">
        <f t="shared" si="20"/>
        <v>0.14699999999999999</v>
      </c>
      <c r="BB182" s="308">
        <f t="shared" si="21"/>
        <v>0</v>
      </c>
      <c r="BC182" s="308">
        <v>0.38177946153582265</v>
      </c>
      <c r="BD182" s="291">
        <v>0.38185212064019458</v>
      </c>
      <c r="BF182" s="194">
        <v>41821</v>
      </c>
      <c r="BG182" s="206">
        <v>170</v>
      </c>
      <c r="HZ182" s="308">
        <f t="shared" si="16"/>
        <v>0</v>
      </c>
      <c r="IA182" s="291">
        <v>172</v>
      </c>
    </row>
    <row r="183" spans="1:235" x14ac:dyDescent="0.25">
      <c r="A183" s="319"/>
      <c r="B183" s="314"/>
      <c r="C183" s="294">
        <v>3.347</v>
      </c>
      <c r="D183" s="294">
        <v>0.15</v>
      </c>
      <c r="E183" s="294">
        <v>7.0615810742491E-2</v>
      </c>
      <c r="F183" s="294">
        <v>-0.19500000000000001</v>
      </c>
      <c r="G183" s="294">
        <v>2.5000000000000001E-2</v>
      </c>
      <c r="H183" s="294">
        <v>-0.19500000000000001</v>
      </c>
      <c r="I183" s="294">
        <v>0.155</v>
      </c>
      <c r="J183" s="294">
        <v>0.1825</v>
      </c>
      <c r="K183" s="294">
        <v>0.215</v>
      </c>
      <c r="L183" s="294">
        <v>-5.3999999999999999E-2</v>
      </c>
      <c r="M183" s="388">
        <v>-3.9999989999999997E-3</v>
      </c>
      <c r="N183" s="294">
        <v>0</v>
      </c>
      <c r="O183" s="294">
        <v>-0.28999999999999998</v>
      </c>
      <c r="P183" s="294">
        <v>6.4999999999999997E-3</v>
      </c>
      <c r="Q183" s="294">
        <v>1.6500000000000001E-2</v>
      </c>
      <c r="R183" s="389">
        <v>-9.4999990000000003E-3</v>
      </c>
      <c r="S183" s="291">
        <v>-0.03</v>
      </c>
      <c r="T183" s="291">
        <v>-0.105</v>
      </c>
      <c r="U183" s="291">
        <v>-2.2499999999999998E-3</v>
      </c>
      <c r="V183" s="291">
        <v>-6.7500000000000004E-2</v>
      </c>
      <c r="W183" s="291">
        <v>-0.12</v>
      </c>
      <c r="X183" s="291">
        <v>0.495</v>
      </c>
      <c r="Y183" s="291">
        <v>5.0000000000000001E-3</v>
      </c>
      <c r="Z183" s="291">
        <v>-0.19</v>
      </c>
      <c r="AA183" s="291">
        <v>-1.2E-2</v>
      </c>
      <c r="AB183" s="306">
        <v>0.29499999999999998</v>
      </c>
      <c r="AC183" s="306">
        <v>0.3</v>
      </c>
      <c r="AD183" s="306">
        <v>0.25</v>
      </c>
      <c r="AE183" s="431">
        <v>0.15</v>
      </c>
      <c r="AF183" s="431">
        <v>0.15</v>
      </c>
      <c r="AG183" s="431">
        <v>0.14699999999999999</v>
      </c>
      <c r="AH183" s="431">
        <v>0.15</v>
      </c>
      <c r="AI183" s="431">
        <v>0.153</v>
      </c>
      <c r="AJ183" s="431">
        <v>0.15</v>
      </c>
      <c r="AK183" s="431">
        <v>0.14699999999999999</v>
      </c>
      <c r="AL183" s="431">
        <v>0.14699999999999999</v>
      </c>
      <c r="AM183" s="431">
        <v>0.15</v>
      </c>
      <c r="AN183" s="431">
        <v>0.15</v>
      </c>
      <c r="AO183" s="431">
        <v>0.15</v>
      </c>
      <c r="AP183" s="432">
        <v>0.15</v>
      </c>
      <c r="AQ183" s="432">
        <v>0.15</v>
      </c>
      <c r="AR183" s="432">
        <v>0.15</v>
      </c>
      <c r="AS183" s="432">
        <v>0.15</v>
      </c>
      <c r="AT183" s="431">
        <v>0.15</v>
      </c>
      <c r="AU183" s="431">
        <v>0.15</v>
      </c>
      <c r="AV183" s="431">
        <v>0.14699999999999999</v>
      </c>
      <c r="AW183" s="291">
        <v>7.0282272273801003E-2</v>
      </c>
      <c r="AX183" s="291"/>
      <c r="AY183" s="306">
        <f t="shared" si="18"/>
        <v>0.14699999999999999</v>
      </c>
      <c r="AZ183" s="306">
        <f t="shared" si="19"/>
        <v>0.14699999999999999</v>
      </c>
      <c r="BA183" s="309">
        <f t="shared" si="20"/>
        <v>0.14699999999999999</v>
      </c>
      <c r="BB183" s="308">
        <f t="shared" si="21"/>
        <v>0</v>
      </c>
      <c r="BC183" s="308">
        <v>0.37950848782747809</v>
      </c>
      <c r="BD183" s="291">
        <v>0.3795807197142701</v>
      </c>
      <c r="BF183" s="194">
        <v>41852</v>
      </c>
      <c r="BG183" s="206">
        <v>171</v>
      </c>
      <c r="HZ183" s="308">
        <f t="shared" si="16"/>
        <v>0</v>
      </c>
      <c r="IA183" s="291">
        <v>173</v>
      </c>
    </row>
    <row r="184" spans="1:235" x14ac:dyDescent="0.25">
      <c r="A184" s="319"/>
      <c r="B184" s="314"/>
      <c r="C184" s="294">
        <v>3.319</v>
      </c>
      <c r="D184" s="294">
        <v>0.15</v>
      </c>
      <c r="E184" s="294">
        <v>7.0616976758138994E-2</v>
      </c>
      <c r="F184" s="294">
        <v>-0.19500000000000001</v>
      </c>
      <c r="G184" s="294">
        <v>1.7500000000000002E-2</v>
      </c>
      <c r="H184" s="294">
        <v>-0.19500000000000001</v>
      </c>
      <c r="I184" s="294">
        <v>0.153</v>
      </c>
      <c r="J184" s="294">
        <v>0.1825</v>
      </c>
      <c r="K184" s="294">
        <v>0.19500000000000001</v>
      </c>
      <c r="L184" s="294">
        <v>-3.4000000000000002E-2</v>
      </c>
      <c r="M184" s="388">
        <v>-3.9999989999999997E-3</v>
      </c>
      <c r="N184" s="294">
        <v>0</v>
      </c>
      <c r="O184" s="294">
        <v>-0.28999999999999998</v>
      </c>
      <c r="P184" s="294">
        <v>6.4999999999999997E-3</v>
      </c>
      <c r="Q184" s="294">
        <v>1.6500000000000001E-2</v>
      </c>
      <c r="R184" s="389">
        <v>-9.4999990000000003E-3</v>
      </c>
      <c r="S184" s="291">
        <v>-0.03</v>
      </c>
      <c r="T184" s="291">
        <v>-9.5000000000000001E-2</v>
      </c>
      <c r="U184" s="291">
        <v>-2.2499999999999998E-3</v>
      </c>
      <c r="V184" s="291">
        <v>-8.2500000000000004E-2</v>
      </c>
      <c r="W184" s="291">
        <v>-0.12</v>
      </c>
      <c r="X184" s="291">
        <v>0.39500000000000002</v>
      </c>
      <c r="Y184" s="291">
        <v>5.0000000000000001E-3</v>
      </c>
      <c r="Z184" s="291">
        <v>-0.19</v>
      </c>
      <c r="AA184" s="291">
        <v>-1.2E-2</v>
      </c>
      <c r="AB184" s="306">
        <v>0.29499999999999998</v>
      </c>
      <c r="AC184" s="306">
        <v>0.28999999999999998</v>
      </c>
      <c r="AD184" s="306">
        <v>0.248</v>
      </c>
      <c r="AE184" s="431">
        <v>0.15</v>
      </c>
      <c r="AF184" s="431">
        <v>0.15</v>
      </c>
      <c r="AG184" s="431">
        <v>0.14699999999999999</v>
      </c>
      <c r="AH184" s="431">
        <v>0.15</v>
      </c>
      <c r="AI184" s="431">
        <v>0.153</v>
      </c>
      <c r="AJ184" s="431">
        <v>0.15</v>
      </c>
      <c r="AK184" s="431">
        <v>0.14699999999999999</v>
      </c>
      <c r="AL184" s="431">
        <v>0.14699999999999999</v>
      </c>
      <c r="AM184" s="431">
        <v>0.15</v>
      </c>
      <c r="AN184" s="431">
        <v>0.15</v>
      </c>
      <c r="AO184" s="431">
        <v>0.15</v>
      </c>
      <c r="AP184" s="432">
        <v>0.15</v>
      </c>
      <c r="AQ184" s="432">
        <v>0.15</v>
      </c>
      <c r="AR184" s="432">
        <v>0.15</v>
      </c>
      <c r="AS184" s="432">
        <v>0.15</v>
      </c>
      <c r="AT184" s="431">
        <v>0.15</v>
      </c>
      <c r="AU184" s="431">
        <v>0.15</v>
      </c>
      <c r="AV184" s="431">
        <v>0.14699999999999999</v>
      </c>
      <c r="AW184" s="291">
        <v>7.0289225790926002E-2</v>
      </c>
      <c r="AX184" s="291"/>
      <c r="AY184" s="306">
        <f t="shared" si="18"/>
        <v>0.14699999999999999</v>
      </c>
      <c r="AZ184" s="306">
        <f t="shared" si="19"/>
        <v>0.14699999999999999</v>
      </c>
      <c r="BA184" s="309">
        <f t="shared" si="20"/>
        <v>0.14699999999999999</v>
      </c>
      <c r="BB184" s="308">
        <f t="shared" si="21"/>
        <v>0</v>
      </c>
      <c r="BC184" s="308">
        <v>0.37725071551100614</v>
      </c>
      <c r="BD184" s="291">
        <v>0.37732252263331528</v>
      </c>
      <c r="BF184" s="194">
        <v>41883</v>
      </c>
      <c r="BG184" s="206">
        <v>172</v>
      </c>
      <c r="HZ184" s="308">
        <f t="shared" si="16"/>
        <v>0</v>
      </c>
      <c r="IA184" s="291">
        <v>174</v>
      </c>
    </row>
    <row r="185" spans="1:235" x14ac:dyDescent="0.25">
      <c r="A185" s="319"/>
      <c r="B185" s="314"/>
      <c r="C185" s="294">
        <v>3.323</v>
      </c>
      <c r="D185" s="294">
        <v>0.15</v>
      </c>
      <c r="E185" s="294">
        <v>7.0618105160380001E-2</v>
      </c>
      <c r="F185" s="294">
        <v>-0.19500000000000001</v>
      </c>
      <c r="G185" s="294">
        <v>7.4999999999999997E-3</v>
      </c>
      <c r="H185" s="294">
        <v>-0.19500000000000001</v>
      </c>
      <c r="I185" s="294">
        <v>0.16800000000000001</v>
      </c>
      <c r="J185" s="294">
        <v>0.1875</v>
      </c>
      <c r="K185" s="294">
        <v>0.215</v>
      </c>
      <c r="L185" s="294">
        <v>-4.3999999999999997E-2</v>
      </c>
      <c r="M185" s="388">
        <v>-3.9999989999999997E-3</v>
      </c>
      <c r="N185" s="294">
        <v>0</v>
      </c>
      <c r="O185" s="294">
        <v>-0.28999999999999998</v>
      </c>
      <c r="P185" s="294">
        <v>6.4999999999999997E-3</v>
      </c>
      <c r="Q185" s="294">
        <v>1.6500000000000001E-2</v>
      </c>
      <c r="R185" s="389">
        <v>-9.4999990000000003E-3</v>
      </c>
      <c r="S185" s="291">
        <v>-0.03</v>
      </c>
      <c r="T185" s="291">
        <v>-0.08</v>
      </c>
      <c r="U185" s="291">
        <v>-2.0500000000000001E-2</v>
      </c>
      <c r="V185" s="291">
        <v>-8.5000000000000006E-2</v>
      </c>
      <c r="W185" s="291">
        <v>-0.12</v>
      </c>
      <c r="X185" s="291">
        <v>0.46100000000000002</v>
      </c>
      <c r="Y185" s="291">
        <v>5.0000000000000001E-3</v>
      </c>
      <c r="Z185" s="291">
        <v>-0.19</v>
      </c>
      <c r="AA185" s="291">
        <v>-1.2E-2</v>
      </c>
      <c r="AB185" s="306">
        <v>0.29499999999999998</v>
      </c>
      <c r="AC185" s="306">
        <v>0.36249999999999999</v>
      </c>
      <c r="AD185" s="306">
        <v>0.26300000000000001</v>
      </c>
      <c r="AE185" s="431">
        <v>0.15</v>
      </c>
      <c r="AF185" s="431">
        <v>0.15</v>
      </c>
      <c r="AG185" s="431">
        <v>0.14699999999999999</v>
      </c>
      <c r="AH185" s="431">
        <v>0.15</v>
      </c>
      <c r="AI185" s="431">
        <v>0.153</v>
      </c>
      <c r="AJ185" s="431">
        <v>0.15</v>
      </c>
      <c r="AK185" s="431">
        <v>0.14699999999999999</v>
      </c>
      <c r="AL185" s="431">
        <v>0.14699999999999999</v>
      </c>
      <c r="AM185" s="431">
        <v>0.15</v>
      </c>
      <c r="AN185" s="431">
        <v>0.15</v>
      </c>
      <c r="AO185" s="431">
        <v>0.15</v>
      </c>
      <c r="AP185" s="432">
        <v>0.15</v>
      </c>
      <c r="AQ185" s="432">
        <v>0.15</v>
      </c>
      <c r="AR185" s="432">
        <v>0.15</v>
      </c>
      <c r="AS185" s="432">
        <v>0.15</v>
      </c>
      <c r="AT185" s="431">
        <v>0.15</v>
      </c>
      <c r="AU185" s="431">
        <v>0.15</v>
      </c>
      <c r="AV185" s="431">
        <v>0.14699999999999999</v>
      </c>
      <c r="AW185" s="291">
        <v>7.0295955001062005E-2</v>
      </c>
      <c r="AX185" s="291"/>
      <c r="AY185" s="306">
        <f t="shared" si="18"/>
        <v>0.14699999999999999</v>
      </c>
      <c r="AZ185" s="306">
        <f t="shared" si="19"/>
        <v>0.14699999999999999</v>
      </c>
      <c r="BA185" s="309">
        <f t="shared" si="20"/>
        <v>0.14699999999999999</v>
      </c>
      <c r="BB185" s="308">
        <f t="shared" si="21"/>
        <v>0</v>
      </c>
      <c r="BC185" s="308">
        <v>0.37507827352022782</v>
      </c>
      <c r="BD185" s="291">
        <v>0.37514967190287524</v>
      </c>
      <c r="BF185" s="194">
        <v>41913</v>
      </c>
      <c r="BG185" s="206">
        <v>173</v>
      </c>
      <c r="HZ185" s="308">
        <f t="shared" si="16"/>
        <v>0</v>
      </c>
      <c r="IA185" s="291">
        <v>175</v>
      </c>
    </row>
    <row r="186" spans="1:235" x14ac:dyDescent="0.25">
      <c r="A186" s="319"/>
      <c r="B186" s="314"/>
      <c r="C186" s="294">
        <v>3.36</v>
      </c>
      <c r="D186" s="294">
        <v>0.15</v>
      </c>
      <c r="E186" s="294">
        <v>7.0619271176027995E-2</v>
      </c>
      <c r="F186" s="294">
        <v>-0.19</v>
      </c>
      <c r="G186" s="294">
        <v>-3.2500000000000001E-2</v>
      </c>
      <c r="H186" s="294">
        <v>-0.19</v>
      </c>
      <c r="I186" s="294">
        <v>0.23</v>
      </c>
      <c r="J186" s="294">
        <v>0.27</v>
      </c>
      <c r="K186" s="294">
        <v>0.28749999999999998</v>
      </c>
      <c r="L186" s="294">
        <v>-5.8999999999999997E-2</v>
      </c>
      <c r="M186" s="388">
        <v>3.5000000000000001E-3</v>
      </c>
      <c r="N186" s="294">
        <v>0</v>
      </c>
      <c r="O186" s="294">
        <v>0</v>
      </c>
      <c r="P186" s="294">
        <v>1.6E-2</v>
      </c>
      <c r="Q186" s="294">
        <v>8.5000000000000006E-3</v>
      </c>
      <c r="R186" s="389">
        <v>-1.2500000000000001E-2</v>
      </c>
      <c r="S186" s="291">
        <v>-0.03</v>
      </c>
      <c r="T186" s="291">
        <v>-4.2500000000000003E-2</v>
      </c>
      <c r="U186" s="291">
        <v>-1.95E-2</v>
      </c>
      <c r="V186" s="291">
        <v>-8.2500000000000004E-2</v>
      </c>
      <c r="W186" s="291">
        <v>-0.13250000000000001</v>
      </c>
      <c r="X186" s="291">
        <v>0.76749999999999996</v>
      </c>
      <c r="Y186" s="291">
        <v>5.0000000000000001E-3</v>
      </c>
      <c r="Z186" s="291">
        <v>-0.19</v>
      </c>
      <c r="AA186" s="291">
        <v>-1.35E-2</v>
      </c>
      <c r="AB186" s="306">
        <v>0.12</v>
      </c>
      <c r="AC186" s="306">
        <v>0.46500000000000002</v>
      </c>
      <c r="AD186" s="306">
        <v>0.32500000000000001</v>
      </c>
      <c r="AE186" s="431">
        <v>0.15</v>
      </c>
      <c r="AF186" s="431">
        <v>0.15</v>
      </c>
      <c r="AG186" s="431">
        <v>0.16500000000000001</v>
      </c>
      <c r="AH186" s="431">
        <v>0.15</v>
      </c>
      <c r="AI186" s="431">
        <v>0.153</v>
      </c>
      <c r="AJ186" s="431">
        <v>0.15</v>
      </c>
      <c r="AK186" s="431">
        <v>0.15</v>
      </c>
      <c r="AL186" s="431">
        <v>0.15</v>
      </c>
      <c r="AM186" s="431">
        <v>0.15</v>
      </c>
      <c r="AN186" s="431">
        <v>0.15</v>
      </c>
      <c r="AO186" s="431">
        <v>0.15</v>
      </c>
      <c r="AP186" s="432">
        <v>0.15</v>
      </c>
      <c r="AQ186" s="432">
        <v>0.15</v>
      </c>
      <c r="AR186" s="432">
        <v>0.15</v>
      </c>
      <c r="AS186" s="432">
        <v>0.15</v>
      </c>
      <c r="AT186" s="431">
        <v>0.15</v>
      </c>
      <c r="AU186" s="431">
        <v>0.15</v>
      </c>
      <c r="AV186" s="431">
        <v>0.16500000000000001</v>
      </c>
      <c r="AW186" s="291">
        <v>7.0302908518217994E-2</v>
      </c>
      <c r="AX186" s="291"/>
      <c r="AY186" s="306">
        <f t="shared" si="18"/>
        <v>0.16500000000000001</v>
      </c>
      <c r="AZ186" s="306">
        <f t="shared" si="19"/>
        <v>0.16500000000000001</v>
      </c>
      <c r="BA186" s="309">
        <f t="shared" si="20"/>
        <v>0.16500000000000001</v>
      </c>
      <c r="BB186" s="308">
        <f t="shared" si="21"/>
        <v>0</v>
      </c>
      <c r="BC186" s="308">
        <v>0.3728462599147559</v>
      </c>
      <c r="BD186" s="291">
        <v>0.37291723831995865</v>
      </c>
      <c r="BF186" s="194">
        <v>41944</v>
      </c>
      <c r="BG186" s="206">
        <v>174</v>
      </c>
      <c r="HZ186" s="308">
        <f t="shared" si="16"/>
        <v>0</v>
      </c>
      <c r="IA186" s="291">
        <v>176</v>
      </c>
    </row>
    <row r="187" spans="1:235" x14ac:dyDescent="0.25">
      <c r="A187" s="319"/>
      <c r="B187" s="314"/>
      <c r="C187" s="294">
        <v>3.4129999999999998</v>
      </c>
      <c r="D187" s="294">
        <v>0.15</v>
      </c>
      <c r="E187" s="294">
        <v>7.0620399578269002E-2</v>
      </c>
      <c r="F187" s="294">
        <v>-0.19750000000000001</v>
      </c>
      <c r="G187" s="294">
        <v>-5.5E-2</v>
      </c>
      <c r="H187" s="294">
        <v>-0.19750000000000001</v>
      </c>
      <c r="I187" s="294">
        <v>0.27</v>
      </c>
      <c r="J187" s="294">
        <v>0.30499999999999999</v>
      </c>
      <c r="K187" s="294">
        <v>0.33750000000000002</v>
      </c>
      <c r="L187" s="294">
        <v>-5.8999999999999997E-2</v>
      </c>
      <c r="M187" s="294">
        <v>3.5000000000000001E-3</v>
      </c>
      <c r="N187" s="294">
        <v>0</v>
      </c>
      <c r="O187" s="294">
        <v>0.06</v>
      </c>
      <c r="P187" s="294">
        <v>1.6E-2</v>
      </c>
      <c r="Q187" s="294">
        <v>8.5000000000000006E-3</v>
      </c>
      <c r="R187" s="291">
        <v>-1.2500000000000001E-2</v>
      </c>
      <c r="S187" s="291">
        <v>-0.03</v>
      </c>
      <c r="T187" s="291">
        <v>-3.5000000000000003E-2</v>
      </c>
      <c r="U187" s="291">
        <v>-1.95E-2</v>
      </c>
      <c r="V187" s="291">
        <v>-0.11749999999999999</v>
      </c>
      <c r="W187" s="291">
        <v>-0.1275</v>
      </c>
      <c r="X187" s="291">
        <v>1.19</v>
      </c>
      <c r="Y187" s="291">
        <v>5.0000000000000001E-3</v>
      </c>
      <c r="Z187" s="291">
        <v>-0.19</v>
      </c>
      <c r="AA187" s="291">
        <v>-1.35E-2</v>
      </c>
      <c r="AB187" s="306">
        <v>0.12</v>
      </c>
      <c r="AC187" s="306">
        <v>0.8</v>
      </c>
      <c r="AD187" s="306">
        <v>0.36499999999999999</v>
      </c>
      <c r="AE187" s="431">
        <v>0.15</v>
      </c>
      <c r="AF187" s="431">
        <v>0.15</v>
      </c>
      <c r="AG187" s="431">
        <v>0.16500000000000001</v>
      </c>
      <c r="AH187" s="431">
        <v>0.15</v>
      </c>
      <c r="AI187" s="431">
        <v>0.153</v>
      </c>
      <c r="AJ187" s="431">
        <v>0.15</v>
      </c>
      <c r="AK187" s="431">
        <v>0.15</v>
      </c>
      <c r="AL187" s="431">
        <v>0.15</v>
      </c>
      <c r="AM187" s="431">
        <v>0.15</v>
      </c>
      <c r="AN187" s="431">
        <v>0.15</v>
      </c>
      <c r="AO187" s="431">
        <v>0.15</v>
      </c>
      <c r="AP187" s="432">
        <v>0.15</v>
      </c>
      <c r="AQ187" s="432">
        <v>0.15</v>
      </c>
      <c r="AR187" s="432">
        <v>0.15</v>
      </c>
      <c r="AS187" s="432">
        <v>0.15</v>
      </c>
      <c r="AT187" s="431">
        <v>0.15</v>
      </c>
      <c r="AU187" s="431">
        <v>0.15</v>
      </c>
      <c r="AV187" s="431">
        <v>0.16500000000000001</v>
      </c>
      <c r="AW187" s="291">
        <v>7.0309637728384999E-2</v>
      </c>
      <c r="AX187" s="291"/>
      <c r="AY187" s="306">
        <f t="shared" si="18"/>
        <v>0.16500000000000001</v>
      </c>
      <c r="AZ187" s="306">
        <f t="shared" si="19"/>
        <v>0.16500000000000001</v>
      </c>
      <c r="BA187" s="309">
        <f t="shared" si="20"/>
        <v>0.16500000000000001</v>
      </c>
      <c r="BB187" s="308">
        <f t="shared" si="21"/>
        <v>0</v>
      </c>
      <c r="BC187" s="308">
        <v>0.37069860657525538</v>
      </c>
      <c r="BD187" s="291">
        <v>0.37076918084789395</v>
      </c>
      <c r="BF187" s="194">
        <v>41974</v>
      </c>
      <c r="BG187" s="206">
        <v>175</v>
      </c>
      <c r="HZ187" s="308">
        <f t="shared" si="16"/>
        <v>0</v>
      </c>
      <c r="IA187" s="291">
        <v>177</v>
      </c>
    </row>
    <row r="188" spans="1:235" x14ac:dyDescent="0.25">
      <c r="A188" s="319"/>
      <c r="B188" s="314"/>
      <c r="C188" s="294">
        <v>3.7309999999999999</v>
      </c>
      <c r="D188" s="294">
        <v>0.15</v>
      </c>
      <c r="E188" s="294">
        <v>7.0621565593918995E-2</v>
      </c>
      <c r="F188" s="294">
        <v>-0.2</v>
      </c>
      <c r="G188" s="294">
        <v>-5.7500000000000002E-2</v>
      </c>
      <c r="H188" s="294">
        <v>-0.2</v>
      </c>
      <c r="I188" s="294">
        <v>0.28000000000000003</v>
      </c>
      <c r="J188" s="294">
        <v>0.30499999999999999</v>
      </c>
      <c r="K188" s="294">
        <v>0.4375</v>
      </c>
      <c r="L188" s="294">
        <v>-5.8999999999999997E-2</v>
      </c>
      <c r="M188" s="294">
        <v>5.4999999999999997E-3</v>
      </c>
      <c r="N188" s="294">
        <v>0</v>
      </c>
      <c r="O188" s="294"/>
      <c r="P188" s="294">
        <v>1.6E-2</v>
      </c>
      <c r="Q188" s="294">
        <v>8.5000000000000006E-3</v>
      </c>
      <c r="R188" s="291">
        <v>-7.9999990000000007E-3</v>
      </c>
      <c r="S188" s="291">
        <v>-0.03</v>
      </c>
      <c r="T188" s="291">
        <v>-0.02</v>
      </c>
      <c r="U188" s="291">
        <v>-1.95E-2</v>
      </c>
      <c r="V188" s="291">
        <v>-0.123</v>
      </c>
      <c r="W188" s="291">
        <v>-0.1275</v>
      </c>
      <c r="X188" s="291">
        <v>1.5249999999999999</v>
      </c>
      <c r="Y188" s="291">
        <v>5.0000000000000001E-3</v>
      </c>
      <c r="Z188" s="291">
        <v>-0.19</v>
      </c>
      <c r="AA188" s="291">
        <v>-1.35E-2</v>
      </c>
      <c r="AB188" s="306">
        <v>0.12</v>
      </c>
      <c r="AC188" s="306">
        <v>0.97499999999999998</v>
      </c>
      <c r="AD188" s="306">
        <v>0.375</v>
      </c>
      <c r="AE188" s="431">
        <v>0.15</v>
      </c>
      <c r="AF188" s="431">
        <v>0.15</v>
      </c>
      <c r="AG188" s="431">
        <v>0.16500000000000001</v>
      </c>
      <c r="AH188" s="431">
        <v>0.15</v>
      </c>
      <c r="AI188" s="431">
        <v>0.153</v>
      </c>
      <c r="AJ188" s="431">
        <v>0.15</v>
      </c>
      <c r="AK188" s="431">
        <v>0.15</v>
      </c>
      <c r="AL188" s="431">
        <v>0.15</v>
      </c>
      <c r="AM188" s="431">
        <v>0.15</v>
      </c>
      <c r="AN188" s="431">
        <v>0.15</v>
      </c>
      <c r="AO188" s="431">
        <v>0.15</v>
      </c>
      <c r="AP188" s="432">
        <v>0.15</v>
      </c>
      <c r="AQ188" s="432">
        <v>0.15</v>
      </c>
      <c r="AR188" s="432">
        <v>0.15</v>
      </c>
      <c r="AS188" s="432">
        <v>0.15</v>
      </c>
      <c r="AT188" s="431">
        <v>0.15</v>
      </c>
      <c r="AU188" s="431">
        <v>0.15</v>
      </c>
      <c r="AV188" s="431">
        <v>0.16500000000000001</v>
      </c>
      <c r="AW188" s="291">
        <v>7.0316591245573004E-2</v>
      </c>
      <c r="AX188" s="291"/>
      <c r="AY188" s="306">
        <f t="shared" si="18"/>
        <v>0.16500000000000001</v>
      </c>
      <c r="AZ188" s="306">
        <f t="shared" si="19"/>
        <v>0.16500000000000001</v>
      </c>
      <c r="BA188" s="309">
        <f t="shared" si="20"/>
        <v>0.16500000000000001</v>
      </c>
      <c r="BB188" s="308">
        <f t="shared" si="21"/>
        <v>0</v>
      </c>
      <c r="BC188" s="308">
        <v>0.36849206492368991</v>
      </c>
      <c r="BD188" s="291">
        <v>0.36856222395332239</v>
      </c>
      <c r="BF188" s="194">
        <v>42005</v>
      </c>
      <c r="BG188" s="206">
        <v>176</v>
      </c>
      <c r="HZ188" s="308">
        <f t="shared" si="16"/>
        <v>0</v>
      </c>
      <c r="IA188" s="291">
        <v>178</v>
      </c>
    </row>
    <row r="189" spans="1:235" x14ac:dyDescent="0.25">
      <c r="A189" s="319"/>
      <c r="B189" s="314"/>
      <c r="C189" s="294">
        <v>3.637</v>
      </c>
      <c r="D189" s="294">
        <v>0.15</v>
      </c>
      <c r="E189" s="294">
        <v>7.0622731609569001E-2</v>
      </c>
      <c r="F189" s="294">
        <v>-0.20250000000000001</v>
      </c>
      <c r="G189" s="294">
        <v>-0.04</v>
      </c>
      <c r="H189" s="294">
        <v>-0.20250000000000001</v>
      </c>
      <c r="I189" s="294">
        <v>0.255</v>
      </c>
      <c r="J189" s="294">
        <v>0.30499999999999999</v>
      </c>
      <c r="K189" s="294">
        <v>0.435</v>
      </c>
      <c r="L189" s="294">
        <v>-5.8999999999999997E-2</v>
      </c>
      <c r="M189" s="294">
        <v>5.4999999999999997E-3</v>
      </c>
      <c r="N189" s="294">
        <v>0</v>
      </c>
      <c r="O189" s="294"/>
      <c r="P189" s="294">
        <v>1.6E-2</v>
      </c>
      <c r="Q189" s="294">
        <v>8.5000000000000006E-3</v>
      </c>
      <c r="R189" s="389">
        <v>-7.9999990000000007E-3</v>
      </c>
      <c r="S189" s="291">
        <v>-0.03</v>
      </c>
      <c r="T189" s="291">
        <v>-0.02</v>
      </c>
      <c r="U189" s="291">
        <v>-1.95E-2</v>
      </c>
      <c r="V189" s="291">
        <v>-0.1055</v>
      </c>
      <c r="W189" s="291">
        <v>-0.1275</v>
      </c>
      <c r="X189" s="291">
        <v>1.4550000000000001</v>
      </c>
      <c r="Y189" s="291">
        <v>5.0000000000000001E-3</v>
      </c>
      <c r="Z189" s="291">
        <v>-0.19</v>
      </c>
      <c r="AA189" s="291">
        <v>-1.35E-2</v>
      </c>
      <c r="AB189" s="306">
        <v>0.12</v>
      </c>
      <c r="AC189" s="306">
        <v>0.97499999999999998</v>
      </c>
      <c r="AD189" s="306">
        <v>0.35</v>
      </c>
      <c r="AE189" s="431">
        <v>0.15</v>
      </c>
      <c r="AF189" s="431">
        <v>0.15</v>
      </c>
      <c r="AG189" s="431">
        <v>0.16500000000000001</v>
      </c>
      <c r="AH189" s="431">
        <v>0.15</v>
      </c>
      <c r="AI189" s="431">
        <v>0.153</v>
      </c>
      <c r="AJ189" s="431">
        <v>0.15</v>
      </c>
      <c r="AK189" s="431">
        <v>0.15</v>
      </c>
      <c r="AL189" s="431">
        <v>0.15</v>
      </c>
      <c r="AM189" s="431">
        <v>0.15</v>
      </c>
      <c r="AN189" s="431">
        <v>0.15</v>
      </c>
      <c r="AO189" s="431">
        <v>0.15</v>
      </c>
      <c r="AP189" s="432">
        <v>0.15</v>
      </c>
      <c r="AQ189" s="432">
        <v>0.15</v>
      </c>
      <c r="AR189" s="432">
        <v>0.15</v>
      </c>
      <c r="AS189" s="432">
        <v>0.15</v>
      </c>
      <c r="AT189" s="431">
        <v>0.15</v>
      </c>
      <c r="AU189" s="431">
        <v>0.15</v>
      </c>
      <c r="AV189" s="431">
        <v>0.16500000000000001</v>
      </c>
      <c r="AW189" s="291">
        <v>7.0323544762775997E-2</v>
      </c>
      <c r="AX189" s="291"/>
      <c r="AY189" s="306">
        <f t="shared" si="18"/>
        <v>0.16500000000000001</v>
      </c>
      <c r="AZ189" s="306">
        <f t="shared" si="19"/>
        <v>0.16500000000000001</v>
      </c>
      <c r="BA189" s="309">
        <f t="shared" si="20"/>
        <v>0.16500000000000001</v>
      </c>
      <c r="BB189" s="308">
        <f t="shared" si="21"/>
        <v>0</v>
      </c>
      <c r="BC189" s="308">
        <v>0.36629835913897574</v>
      </c>
      <c r="BD189" s="291">
        <v>0.36636810531165104</v>
      </c>
      <c r="BF189" s="194">
        <v>42036</v>
      </c>
      <c r="BG189" s="206">
        <v>177</v>
      </c>
      <c r="HZ189" s="308">
        <f t="shared" si="16"/>
        <v>0</v>
      </c>
      <c r="IA189" s="291">
        <v>179</v>
      </c>
    </row>
    <row r="190" spans="1:235" x14ac:dyDescent="0.25">
      <c r="B190" s="314"/>
      <c r="C190" s="294">
        <v>3.5030000000000001</v>
      </c>
      <c r="D190" s="294">
        <v>0.15</v>
      </c>
      <c r="E190" s="294">
        <v>7.0623784785000004E-2</v>
      </c>
      <c r="F190" s="294">
        <v>-0.20499999999999999</v>
      </c>
      <c r="G190" s="294">
        <v>-2.75E-2</v>
      </c>
      <c r="H190" s="294">
        <v>-0.20499999999999999</v>
      </c>
      <c r="I190" s="294">
        <v>0.253</v>
      </c>
      <c r="J190" s="294">
        <v>0.26500000000000001</v>
      </c>
      <c r="K190" s="294">
        <v>0.30249999999999999</v>
      </c>
      <c r="L190" s="294">
        <v>-5.8999999999999997E-2</v>
      </c>
      <c r="M190" s="294">
        <v>5.4999999999999997E-3</v>
      </c>
      <c r="N190" s="294">
        <v>0</v>
      </c>
      <c r="O190" s="294"/>
      <c r="P190" s="294">
        <v>1.6E-2</v>
      </c>
      <c r="Q190" s="294">
        <v>8.5000000000000006E-3</v>
      </c>
      <c r="R190" s="389">
        <v>-7.9999990000000007E-3</v>
      </c>
      <c r="S190" s="291">
        <v>-0.03</v>
      </c>
      <c r="T190" s="291">
        <v>-0.02</v>
      </c>
      <c r="U190" s="389">
        <v>9.9999999999999395E-4</v>
      </c>
      <c r="V190" s="291">
        <v>-8.7999999999999995E-2</v>
      </c>
      <c r="W190" s="291">
        <v>-0.13250000000000001</v>
      </c>
      <c r="X190" s="291">
        <v>0.83499999999999996</v>
      </c>
      <c r="Y190" s="291">
        <v>5.0000000000000001E-3</v>
      </c>
      <c r="Z190" s="291">
        <v>-0.19</v>
      </c>
      <c r="AA190" s="291">
        <v>-1.35E-2</v>
      </c>
      <c r="AB190" s="306">
        <v>0.12</v>
      </c>
      <c r="AC190" s="306">
        <v>0.60750000000000004</v>
      </c>
      <c r="AD190" s="306">
        <v>0.34799999999999998</v>
      </c>
      <c r="AE190" s="431">
        <v>0.15</v>
      </c>
      <c r="AF190" s="431">
        <v>0.15</v>
      </c>
      <c r="AG190" s="431">
        <v>0.16500000000000001</v>
      </c>
      <c r="AH190" s="431">
        <v>0.15</v>
      </c>
      <c r="AI190" s="431">
        <v>0.153</v>
      </c>
      <c r="AJ190" s="431">
        <v>0.15</v>
      </c>
      <c r="AK190" s="431">
        <v>0.15</v>
      </c>
      <c r="AL190" s="431">
        <v>0.15</v>
      </c>
      <c r="AM190" s="431">
        <v>0.15</v>
      </c>
      <c r="AN190" s="431">
        <v>0.15</v>
      </c>
      <c r="AO190" s="431">
        <v>0.15</v>
      </c>
      <c r="AP190" s="432">
        <v>0.15</v>
      </c>
      <c r="AQ190" s="432">
        <v>0.15</v>
      </c>
      <c r="AR190" s="432">
        <v>0.15</v>
      </c>
      <c r="AS190" s="432">
        <v>0.15</v>
      </c>
      <c r="AT190" s="431">
        <v>0.15</v>
      </c>
      <c r="AU190" s="431">
        <v>0.15</v>
      </c>
      <c r="AV190" s="431">
        <v>0.16500000000000001</v>
      </c>
      <c r="AW190" s="291">
        <v>7.0329825358974002E-2</v>
      </c>
      <c r="AX190" s="291"/>
      <c r="AY190" s="306">
        <f t="shared" si="18"/>
        <v>0.16500000000000001</v>
      </c>
      <c r="AZ190" s="306">
        <f t="shared" si="19"/>
        <v>0.16500000000000001</v>
      </c>
      <c r="BA190" s="309">
        <f t="shared" si="20"/>
        <v>0.16500000000000001</v>
      </c>
      <c r="BB190" s="308">
        <f t="shared" si="21"/>
        <v>0</v>
      </c>
      <c r="BC190" s="308">
        <v>0.36432791955880994</v>
      </c>
      <c r="BD190" s="291">
        <v>0.36439729486816735</v>
      </c>
      <c r="BF190" s="194">
        <v>42064</v>
      </c>
      <c r="BG190" s="206">
        <v>178</v>
      </c>
      <c r="HZ190" s="308">
        <f t="shared" si="16"/>
        <v>0</v>
      </c>
      <c r="IA190" s="291">
        <v>180</v>
      </c>
    </row>
    <row r="191" spans="1:235" x14ac:dyDescent="0.25">
      <c r="B191" s="314"/>
      <c r="C191" s="294">
        <v>3.3610000000000002</v>
      </c>
      <c r="D191" s="294">
        <v>0.15</v>
      </c>
      <c r="E191" s="294">
        <v>7.0624950800646999E-2</v>
      </c>
      <c r="F191" s="294">
        <v>-0.19500000000000001</v>
      </c>
      <c r="G191" s="294">
        <v>1.4999999999999999E-2</v>
      </c>
      <c r="H191" s="294">
        <v>-0.19500000000000001</v>
      </c>
      <c r="I191" s="294">
        <v>0.158</v>
      </c>
      <c r="J191" s="294">
        <v>0.19500000000000001</v>
      </c>
      <c r="K191" s="294">
        <v>0.25</v>
      </c>
      <c r="L191" s="294">
        <v>-5.1999999999999998E-2</v>
      </c>
      <c r="M191" s="294">
        <v>-1.9999990000000001E-3</v>
      </c>
      <c r="N191" s="294">
        <v>0</v>
      </c>
      <c r="O191" s="294"/>
      <c r="P191" s="294">
        <v>6.4999999999999997E-3</v>
      </c>
      <c r="Q191" s="294">
        <v>1.8499999999999999E-2</v>
      </c>
      <c r="R191" s="389">
        <v>-7.4999990000000002E-3</v>
      </c>
      <c r="S191" s="291">
        <v>-0.03</v>
      </c>
      <c r="T191" s="291">
        <v>-6.5000000000000002E-2</v>
      </c>
      <c r="U191" s="389">
        <v>9.9999999999999395E-4</v>
      </c>
      <c r="V191" s="291">
        <v>-8.0500000000000002E-2</v>
      </c>
      <c r="W191" s="291">
        <v>-0.12</v>
      </c>
      <c r="X191" s="291">
        <v>0.45</v>
      </c>
      <c r="Y191" s="291">
        <v>5.0000000000000001E-3</v>
      </c>
      <c r="Z191" s="291">
        <v>-0.19</v>
      </c>
      <c r="AA191" s="291">
        <v>-1.0999999999999999E-2</v>
      </c>
      <c r="AB191" s="306">
        <v>0.29499999999999998</v>
      </c>
      <c r="AC191" s="306">
        <v>0.35499999999999998</v>
      </c>
      <c r="AD191" s="306">
        <v>0.253</v>
      </c>
      <c r="AE191" s="431">
        <v>0.15</v>
      </c>
      <c r="AF191" s="431">
        <v>0.15</v>
      </c>
      <c r="AG191" s="431">
        <v>0.14699999999999999</v>
      </c>
      <c r="AH191" s="431">
        <v>0.15</v>
      </c>
      <c r="AI191" s="431">
        <v>0.153</v>
      </c>
      <c r="AJ191" s="431">
        <v>0.15</v>
      </c>
      <c r="AK191" s="431">
        <v>0.14699999999999999</v>
      </c>
      <c r="AL191" s="431">
        <v>0.14699999999999999</v>
      </c>
      <c r="AM191" s="431">
        <v>0.15</v>
      </c>
      <c r="AN191" s="431">
        <v>0.15</v>
      </c>
      <c r="AO191" s="431">
        <v>0.15</v>
      </c>
      <c r="AP191" s="432">
        <v>0.15</v>
      </c>
      <c r="AQ191" s="432">
        <v>0.15</v>
      </c>
      <c r="AR191" s="432">
        <v>0.15</v>
      </c>
      <c r="AS191" s="432">
        <v>0.15</v>
      </c>
      <c r="AT191" s="431">
        <v>0.15</v>
      </c>
      <c r="AU191" s="431">
        <v>0.15</v>
      </c>
      <c r="AV191" s="431">
        <v>0.14699999999999999</v>
      </c>
      <c r="AW191" s="291">
        <v>7.0336778876207998E-2</v>
      </c>
      <c r="AX191" s="291"/>
      <c r="AY191" s="306">
        <f t="shared" si="18"/>
        <v>0.14699999999999999</v>
      </c>
      <c r="AZ191" s="306">
        <f t="shared" si="19"/>
        <v>0.14699999999999999</v>
      </c>
      <c r="BA191" s="309">
        <f t="shared" si="20"/>
        <v>0.14699999999999999</v>
      </c>
      <c r="BB191" s="308">
        <f t="shared" si="21"/>
        <v>0</v>
      </c>
      <c r="BC191" s="308">
        <v>0.36215844239377099</v>
      </c>
      <c r="BD191" s="291">
        <v>0.36222740935049402</v>
      </c>
      <c r="BF191" s="194">
        <v>42095</v>
      </c>
      <c r="BG191" s="206">
        <v>179</v>
      </c>
      <c r="HZ191" s="308">
        <f t="shared" si="16"/>
        <v>0</v>
      </c>
      <c r="IA191" s="291">
        <v>181</v>
      </c>
    </row>
    <row r="192" spans="1:235" x14ac:dyDescent="0.25">
      <c r="B192" s="314"/>
      <c r="C192" s="294">
        <v>3.3610000000000002</v>
      </c>
      <c r="D192" s="294">
        <v>0.15</v>
      </c>
      <c r="E192" s="294">
        <v>7.0626079202890005E-2</v>
      </c>
      <c r="F192" s="294">
        <v>-0.19500000000000001</v>
      </c>
      <c r="G192" s="294">
        <v>1.4999999999999999E-2</v>
      </c>
      <c r="H192" s="294">
        <v>-0.19500000000000001</v>
      </c>
      <c r="I192" s="294">
        <v>0.16800000000000001</v>
      </c>
      <c r="J192" s="294">
        <v>0.1825</v>
      </c>
      <c r="K192" s="294">
        <v>0.20250000000000001</v>
      </c>
      <c r="L192" s="294">
        <v>-5.1999999999999998E-2</v>
      </c>
      <c r="M192" s="388">
        <v>-1.9999990000000001E-3</v>
      </c>
      <c r="N192" s="294">
        <v>0</v>
      </c>
      <c r="O192" s="294"/>
      <c r="P192" s="294">
        <v>6.4999999999999997E-3</v>
      </c>
      <c r="Q192" s="294">
        <v>1.8499999999999999E-2</v>
      </c>
      <c r="R192" s="389">
        <v>-7.4999990000000002E-3</v>
      </c>
      <c r="S192" s="291">
        <v>-0.03</v>
      </c>
      <c r="T192" s="291">
        <v>-0.08</v>
      </c>
      <c r="U192" s="389">
        <v>-1.2499989999999999E-3</v>
      </c>
      <c r="V192" s="291">
        <v>-8.0500000000000002E-2</v>
      </c>
      <c r="W192" s="291">
        <v>-0.12</v>
      </c>
      <c r="X192" s="291">
        <v>0.40500000000000003</v>
      </c>
      <c r="Y192" s="291">
        <v>5.0000000000000001E-3</v>
      </c>
      <c r="Z192" s="291">
        <v>-0.19</v>
      </c>
      <c r="AA192" s="291">
        <v>-1.0999999999999999E-2</v>
      </c>
      <c r="AB192" s="306">
        <v>0.29499999999999998</v>
      </c>
      <c r="AC192" s="306">
        <v>0.28749999999999998</v>
      </c>
      <c r="AD192" s="306">
        <v>0.26300000000000001</v>
      </c>
      <c r="AE192" s="431">
        <v>0.15</v>
      </c>
      <c r="AF192" s="431">
        <v>0.15</v>
      </c>
      <c r="AG192" s="431">
        <v>0.14699999999999999</v>
      </c>
      <c r="AH192" s="431">
        <v>0.15</v>
      </c>
      <c r="AI192" s="431">
        <v>0.153</v>
      </c>
      <c r="AJ192" s="431">
        <v>0.15</v>
      </c>
      <c r="AK192" s="431">
        <v>0.14699999999999999</v>
      </c>
      <c r="AL192" s="431">
        <v>0.14699999999999999</v>
      </c>
      <c r="AM192" s="431">
        <v>0.15</v>
      </c>
      <c r="AN192" s="431">
        <v>0.15</v>
      </c>
      <c r="AO192" s="431">
        <v>0.15</v>
      </c>
      <c r="AP192" s="432">
        <v>0.15</v>
      </c>
      <c r="AQ192" s="432">
        <v>0.15</v>
      </c>
      <c r="AR192" s="432">
        <v>0.15</v>
      </c>
      <c r="AS192" s="432">
        <v>0.15</v>
      </c>
      <c r="AT192" s="431">
        <v>0.15</v>
      </c>
      <c r="AU192" s="431">
        <v>0.15</v>
      </c>
      <c r="AV192" s="431">
        <v>0.14699999999999999</v>
      </c>
      <c r="AW192" s="291">
        <v>7.0343508086450998E-2</v>
      </c>
      <c r="AX192" s="291"/>
      <c r="AY192" s="306">
        <f t="shared" si="18"/>
        <v>0.14699999999999999</v>
      </c>
      <c r="AZ192" s="306">
        <f t="shared" si="19"/>
        <v>0.14699999999999999</v>
      </c>
      <c r="BA192" s="309">
        <f t="shared" si="20"/>
        <v>0.14699999999999999</v>
      </c>
      <c r="BB192" s="308">
        <f t="shared" si="21"/>
        <v>0</v>
      </c>
      <c r="BC192" s="308">
        <v>0.36007097023200718</v>
      </c>
      <c r="BD192" s="291">
        <v>0.36013954424397637</v>
      </c>
      <c r="BF192" s="194">
        <v>42125</v>
      </c>
      <c r="BG192" s="206">
        <v>180</v>
      </c>
      <c r="HZ192" s="308">
        <f t="shared" si="16"/>
        <v>0</v>
      </c>
      <c r="IA192" s="291">
        <v>182</v>
      </c>
    </row>
    <row r="193" spans="1:235" x14ac:dyDescent="0.25">
      <c r="B193" s="314"/>
      <c r="C193" s="294">
        <v>3.3929999999999998</v>
      </c>
      <c r="D193" s="294">
        <v>0.15</v>
      </c>
      <c r="E193" s="294">
        <v>7.0627245218541995E-2</v>
      </c>
      <c r="F193" s="294">
        <v>-0.19500000000000001</v>
      </c>
      <c r="G193" s="294">
        <v>0.02</v>
      </c>
      <c r="H193" s="294">
        <v>-0.19500000000000001</v>
      </c>
      <c r="I193" s="294">
        <v>0.16300000000000001</v>
      </c>
      <c r="J193" s="294">
        <v>0.1825</v>
      </c>
      <c r="K193" s="294">
        <v>0.20250000000000001</v>
      </c>
      <c r="L193" s="294">
        <v>-6.8000000000000005E-2</v>
      </c>
      <c r="M193" s="388">
        <v>-1.9999990000000001E-3</v>
      </c>
      <c r="N193" s="294">
        <v>0</v>
      </c>
      <c r="O193" s="294"/>
      <c r="P193" s="294">
        <v>6.4999999999999997E-3</v>
      </c>
      <c r="Q193" s="294">
        <v>1.8499999999999999E-2</v>
      </c>
      <c r="R193" s="389">
        <v>-7.4999990000000002E-3</v>
      </c>
      <c r="S193" s="291">
        <v>-0.03</v>
      </c>
      <c r="T193" s="291">
        <v>-0.09</v>
      </c>
      <c r="U193" s="389">
        <v>-1.2499989999999999E-3</v>
      </c>
      <c r="V193" s="291">
        <v>-7.0499999999999993E-2</v>
      </c>
      <c r="W193" s="291">
        <v>-0.12</v>
      </c>
      <c r="X193" s="291">
        <v>0.39500000000000002</v>
      </c>
      <c r="Y193" s="291">
        <v>5.0000000000000001E-3</v>
      </c>
      <c r="Z193" s="291">
        <v>-0.19</v>
      </c>
      <c r="AA193" s="291">
        <v>-1.0999999999999999E-2</v>
      </c>
      <c r="AB193" s="306">
        <v>0.29499999999999998</v>
      </c>
      <c r="AC193" s="306">
        <v>0.28749999999999998</v>
      </c>
      <c r="AD193" s="306">
        <v>0.25800000000000001</v>
      </c>
      <c r="AE193" s="431">
        <v>0.15</v>
      </c>
      <c r="AF193" s="431">
        <v>0.15</v>
      </c>
      <c r="AG193" s="431">
        <v>0.14699999999999999</v>
      </c>
      <c r="AH193" s="431">
        <v>0.15</v>
      </c>
      <c r="AI193" s="431">
        <v>0.153</v>
      </c>
      <c r="AJ193" s="431">
        <v>0.15</v>
      </c>
      <c r="AK193" s="431">
        <v>0.14699999999999999</v>
      </c>
      <c r="AL193" s="431">
        <v>0.14699999999999999</v>
      </c>
      <c r="AM193" s="431">
        <v>0.15</v>
      </c>
      <c r="AN193" s="431">
        <v>0.15</v>
      </c>
      <c r="AO193" s="431">
        <v>0.15</v>
      </c>
      <c r="AP193" s="432">
        <v>0.15</v>
      </c>
      <c r="AQ193" s="432">
        <v>0.15</v>
      </c>
      <c r="AR193" s="432">
        <v>0.15</v>
      </c>
      <c r="AS193" s="432">
        <v>0.15</v>
      </c>
      <c r="AT193" s="431">
        <v>0.15</v>
      </c>
      <c r="AU193" s="431">
        <v>0.15</v>
      </c>
      <c r="AV193" s="431">
        <v>0.14699999999999999</v>
      </c>
      <c r="AW193" s="291">
        <v>7.0350461603715997E-2</v>
      </c>
      <c r="AX193" s="291"/>
      <c r="AY193" s="306">
        <f t="shared" si="18"/>
        <v>0.14699999999999999</v>
      </c>
      <c r="AZ193" s="306">
        <f t="shared" si="19"/>
        <v>0.14699999999999999</v>
      </c>
      <c r="BA193" s="309">
        <f t="shared" si="20"/>
        <v>0.14699999999999999</v>
      </c>
      <c r="BB193" s="308">
        <f t="shared" si="21"/>
        <v>0</v>
      </c>
      <c r="BC193" s="308">
        <v>0.35792626848329895</v>
      </c>
      <c r="BD193" s="291">
        <v>0.35799443874927256</v>
      </c>
      <c r="BF193" s="194">
        <v>42156</v>
      </c>
      <c r="BG193" s="206">
        <v>181</v>
      </c>
      <c r="HZ193" s="308">
        <f t="shared" si="16"/>
        <v>0</v>
      </c>
      <c r="IA193" s="291">
        <v>183</v>
      </c>
    </row>
    <row r="194" spans="1:235" x14ac:dyDescent="0.25">
      <c r="B194" s="314"/>
      <c r="C194" s="294">
        <v>3.415</v>
      </c>
      <c r="D194" s="294">
        <v>0.15</v>
      </c>
      <c r="E194" s="294">
        <v>7.0628373620786E-2</v>
      </c>
      <c r="F194" s="294">
        <v>-0.19500000000000001</v>
      </c>
      <c r="G194" s="294">
        <v>2.2499999999999999E-2</v>
      </c>
      <c r="H194" s="294">
        <v>-0.19500000000000001</v>
      </c>
      <c r="I194" s="294">
        <v>0.153</v>
      </c>
      <c r="J194" s="294">
        <v>0.1825</v>
      </c>
      <c r="K194" s="294">
        <v>0.215</v>
      </c>
      <c r="L194" s="294">
        <v>-6.0999999999999999E-2</v>
      </c>
      <c r="M194" s="388">
        <v>-1.9999990000000001E-3</v>
      </c>
      <c r="N194" s="294">
        <v>0</v>
      </c>
      <c r="O194" s="294"/>
      <c r="P194" s="294">
        <v>6.4999999999999997E-3</v>
      </c>
      <c r="Q194" s="294">
        <v>1.8499999999999999E-2</v>
      </c>
      <c r="R194" s="389">
        <v>-7.4999990000000002E-3</v>
      </c>
      <c r="S194" s="291">
        <v>-0.03</v>
      </c>
      <c r="T194" s="291">
        <v>-0.09</v>
      </c>
      <c r="U194" s="389">
        <v>-1.2499989999999999E-3</v>
      </c>
      <c r="V194" s="291">
        <v>-6.5500000000000003E-2</v>
      </c>
      <c r="W194" s="291">
        <v>-0.12</v>
      </c>
      <c r="X194" s="291">
        <v>0.43</v>
      </c>
      <c r="Y194" s="291">
        <v>5.0000000000000001E-3</v>
      </c>
      <c r="Z194" s="291">
        <v>-0.19</v>
      </c>
      <c r="AA194" s="291">
        <v>-1.0999999999999999E-2</v>
      </c>
      <c r="AB194" s="306">
        <v>0.29499999999999998</v>
      </c>
      <c r="AC194" s="306">
        <v>0.3</v>
      </c>
      <c r="AD194" s="306">
        <v>0.248</v>
      </c>
      <c r="AE194" s="431">
        <v>0.15</v>
      </c>
      <c r="AF194" s="431">
        <v>0.15</v>
      </c>
      <c r="AG194" s="431">
        <v>0.14699999999999999</v>
      </c>
      <c r="AH194" s="431">
        <v>0.15</v>
      </c>
      <c r="AI194" s="431">
        <v>0.153</v>
      </c>
      <c r="AJ194" s="431">
        <v>0.15</v>
      </c>
      <c r="AK194" s="431">
        <v>0.14699999999999999</v>
      </c>
      <c r="AL194" s="431">
        <v>0.14699999999999999</v>
      </c>
      <c r="AM194" s="431">
        <v>0.15</v>
      </c>
      <c r="AN194" s="431">
        <v>0.15</v>
      </c>
      <c r="AO194" s="431">
        <v>0.15</v>
      </c>
      <c r="AP194" s="432">
        <v>0.15</v>
      </c>
      <c r="AQ194" s="432">
        <v>0.15</v>
      </c>
      <c r="AR194" s="432">
        <v>0.15</v>
      </c>
      <c r="AS194" s="432">
        <v>0.15</v>
      </c>
      <c r="AT194" s="431">
        <v>0.15</v>
      </c>
      <c r="AU194" s="431">
        <v>0.15</v>
      </c>
      <c r="AV194" s="431">
        <v>0.14699999999999999</v>
      </c>
      <c r="AW194" s="291">
        <v>7.0357190813988002E-2</v>
      </c>
      <c r="AX194" s="291"/>
      <c r="AY194" s="306">
        <f t="shared" si="18"/>
        <v>0.14699999999999999</v>
      </c>
      <c r="AZ194" s="306">
        <f t="shared" si="19"/>
        <v>0.14699999999999999</v>
      </c>
      <c r="BA194" s="309">
        <f t="shared" si="20"/>
        <v>0.14699999999999999</v>
      </c>
      <c r="BB194" s="308">
        <f t="shared" si="21"/>
        <v>0</v>
      </c>
      <c r="BC194" s="308">
        <v>0.3558626385713009</v>
      </c>
      <c r="BD194" s="291">
        <v>0.35593042032597405</v>
      </c>
      <c r="BF194" s="194">
        <v>42186</v>
      </c>
      <c r="BG194" s="206">
        <v>182</v>
      </c>
      <c r="HZ194" s="308">
        <f t="shared" si="16"/>
        <v>0</v>
      </c>
      <c r="IA194" s="291">
        <v>184</v>
      </c>
    </row>
    <row r="195" spans="1:235" x14ac:dyDescent="0.25">
      <c r="B195" s="314"/>
      <c r="C195" s="294">
        <v>3.4359999999999999</v>
      </c>
      <c r="D195" s="294">
        <v>0.15</v>
      </c>
      <c r="E195" s="294">
        <v>7.0629539636439004E-2</v>
      </c>
      <c r="F195" s="294">
        <v>-0.19500000000000001</v>
      </c>
      <c r="G195" s="294">
        <v>2.5000000000000001E-2</v>
      </c>
      <c r="H195" s="294">
        <v>-0.19500000000000001</v>
      </c>
      <c r="I195" s="294">
        <v>0.15</v>
      </c>
      <c r="J195" s="294">
        <v>0.1825</v>
      </c>
      <c r="K195" s="294">
        <v>0.215</v>
      </c>
      <c r="L195" s="294">
        <v>-5.1999999999999998E-2</v>
      </c>
      <c r="M195" s="388">
        <v>-1.9999990000000001E-3</v>
      </c>
      <c r="N195" s="294">
        <v>0</v>
      </c>
      <c r="O195" s="294"/>
      <c r="P195" s="294">
        <v>6.4999999999999997E-3</v>
      </c>
      <c r="Q195" s="294">
        <v>1.8499999999999999E-2</v>
      </c>
      <c r="R195" s="389">
        <v>-7.4999990000000002E-3</v>
      </c>
      <c r="S195" s="291">
        <v>-0.03</v>
      </c>
      <c r="T195" s="291">
        <v>-0.09</v>
      </c>
      <c r="U195" s="389">
        <v>-1.2499989999999999E-3</v>
      </c>
      <c r="V195" s="291">
        <v>-6.5500000000000003E-2</v>
      </c>
      <c r="W195" s="291">
        <v>0</v>
      </c>
      <c r="X195" s="291">
        <v>0.495</v>
      </c>
      <c r="Y195" s="291">
        <v>5.0000000000000001E-3</v>
      </c>
      <c r="Z195" s="291">
        <v>-0.19</v>
      </c>
      <c r="AA195" s="291">
        <v>-1.0999999999999999E-2</v>
      </c>
      <c r="AB195" s="306">
        <v>0.29499999999999998</v>
      </c>
      <c r="AC195" s="306">
        <v>0.3</v>
      </c>
      <c r="AD195" s="306">
        <v>0.245</v>
      </c>
      <c r="AE195" s="431">
        <v>0.15</v>
      </c>
      <c r="AF195" s="431">
        <v>0.15</v>
      </c>
      <c r="AG195" s="431">
        <v>0.14699999999999999</v>
      </c>
      <c r="AH195" s="431">
        <v>0.15</v>
      </c>
      <c r="AI195" s="431">
        <v>0.153</v>
      </c>
      <c r="AJ195" s="431">
        <v>0.15</v>
      </c>
      <c r="AK195" s="431">
        <v>0.14699999999999999</v>
      </c>
      <c r="AL195" s="431">
        <v>0.14699999999999999</v>
      </c>
      <c r="AM195" s="431">
        <v>0.15</v>
      </c>
      <c r="AN195" s="431">
        <v>0.15</v>
      </c>
      <c r="AO195" s="431">
        <v>0.15</v>
      </c>
      <c r="AP195" s="432">
        <v>0.15</v>
      </c>
      <c r="AQ195" s="432">
        <v>0.15</v>
      </c>
      <c r="AR195" s="432">
        <v>0.15</v>
      </c>
      <c r="AS195" s="432">
        <v>0.15</v>
      </c>
      <c r="AT195" s="431">
        <v>0.15</v>
      </c>
      <c r="AU195" s="431">
        <v>0.15</v>
      </c>
      <c r="AV195" s="431">
        <v>0.14699999999999999</v>
      </c>
      <c r="AW195" s="291">
        <v>7.0364144331286002E-2</v>
      </c>
      <c r="AX195" s="291"/>
      <c r="AY195" s="306">
        <f t="shared" si="18"/>
        <v>0.14699999999999999</v>
      </c>
      <c r="AZ195" s="306">
        <f t="shared" si="19"/>
        <v>0.14699999999999999</v>
      </c>
      <c r="BA195" s="309">
        <f t="shared" si="20"/>
        <v>0.14699999999999999</v>
      </c>
      <c r="BB195" s="308">
        <f t="shared" si="21"/>
        <v>0</v>
      </c>
      <c r="BC195" s="308">
        <v>0.35374243614631085</v>
      </c>
      <c r="BD195" s="291">
        <v>0.35380981871095674</v>
      </c>
      <c r="BF195" s="194">
        <v>42217</v>
      </c>
      <c r="BG195" s="206">
        <v>183</v>
      </c>
      <c r="HZ195" s="308">
        <f t="shared" si="16"/>
        <v>0</v>
      </c>
      <c r="IA195" s="291">
        <v>185</v>
      </c>
    </row>
    <row r="196" spans="1:235" x14ac:dyDescent="0.25">
      <c r="B196" s="314"/>
      <c r="C196" s="294">
        <v>3.407</v>
      </c>
      <c r="D196" s="294">
        <v>0.15</v>
      </c>
      <c r="E196" s="294">
        <v>7.0630705652091993E-2</v>
      </c>
      <c r="F196" s="294">
        <v>-0.19500000000000001</v>
      </c>
      <c r="G196" s="294">
        <v>1.7500000000000002E-2</v>
      </c>
      <c r="H196" s="294">
        <v>-0.19500000000000001</v>
      </c>
      <c r="I196" s="294">
        <v>0.14799999999999999</v>
      </c>
      <c r="J196" s="294">
        <v>0.1825</v>
      </c>
      <c r="K196" s="294">
        <v>0.19500000000000001</v>
      </c>
      <c r="L196" s="294">
        <v>-3.2000000000000001E-2</v>
      </c>
      <c r="M196" s="388">
        <v>-1.9999990000000001E-3</v>
      </c>
      <c r="N196" s="294">
        <v>0</v>
      </c>
      <c r="O196" s="294"/>
      <c r="P196" s="294">
        <v>6.4999999999999997E-3</v>
      </c>
      <c r="Q196" s="294">
        <v>1.8499999999999999E-2</v>
      </c>
      <c r="R196" s="389">
        <v>-7.4999990000000002E-3</v>
      </c>
      <c r="S196" s="291">
        <v>0</v>
      </c>
      <c r="T196" s="291">
        <v>-0.08</v>
      </c>
      <c r="U196" s="291">
        <v>-1.2499989999999999E-3</v>
      </c>
      <c r="V196" s="291">
        <v>-8.0500000000000002E-2</v>
      </c>
      <c r="W196" s="291">
        <v>0</v>
      </c>
      <c r="X196" s="291">
        <v>0.39500000000000002</v>
      </c>
      <c r="Y196" s="291">
        <v>5.0000000000000001E-3</v>
      </c>
      <c r="Z196" s="291">
        <v>-0.19</v>
      </c>
      <c r="AA196" s="291">
        <v>-1.0999999999999999E-2</v>
      </c>
      <c r="AB196" s="306">
        <v>0.29499999999999998</v>
      </c>
      <c r="AC196" s="306">
        <v>0.28999999999999998</v>
      </c>
      <c r="AD196" s="306">
        <v>0.24299999999999999</v>
      </c>
      <c r="AE196" s="431">
        <v>0.15</v>
      </c>
      <c r="AF196" s="431">
        <v>0.15</v>
      </c>
      <c r="AG196" s="431">
        <v>0.14699999999999999</v>
      </c>
      <c r="AH196" s="431">
        <v>0.15</v>
      </c>
      <c r="AI196" s="431">
        <v>0.153</v>
      </c>
      <c r="AJ196" s="431">
        <v>0.15</v>
      </c>
      <c r="AK196" s="431">
        <v>0.14699999999999999</v>
      </c>
      <c r="AL196" s="431">
        <v>0.14699999999999999</v>
      </c>
      <c r="AM196" s="431">
        <v>0.15</v>
      </c>
      <c r="AN196" s="431">
        <v>0.15</v>
      </c>
      <c r="AO196" s="431">
        <v>0.15</v>
      </c>
      <c r="AP196" s="432">
        <v>0.15</v>
      </c>
      <c r="AQ196" s="432">
        <v>0.15</v>
      </c>
      <c r="AR196" s="432">
        <v>0.15</v>
      </c>
      <c r="AS196" s="432">
        <v>0.15</v>
      </c>
      <c r="AT196" s="431">
        <v>0.15</v>
      </c>
      <c r="AU196" s="431">
        <v>0.15</v>
      </c>
      <c r="AV196" s="431">
        <v>0.14699999999999999</v>
      </c>
      <c r="AW196" s="291">
        <v>7.0371097848598005E-2</v>
      </c>
      <c r="AX196" s="291"/>
      <c r="AY196" s="306">
        <f t="shared" si="18"/>
        <v>0.14699999999999999</v>
      </c>
      <c r="AZ196" s="306">
        <f t="shared" si="19"/>
        <v>0.14699999999999999</v>
      </c>
      <c r="BA196" s="309">
        <f t="shared" si="20"/>
        <v>0.14699999999999999</v>
      </c>
      <c r="BB196" s="308">
        <f t="shared" si="21"/>
        <v>0</v>
      </c>
      <c r="BC196" s="308">
        <v>0.35163457935159381</v>
      </c>
      <c r="BD196" s="291">
        <v>0.35170156502229616</v>
      </c>
      <c r="BF196" s="194">
        <v>42248</v>
      </c>
      <c r="BG196" s="206">
        <v>184</v>
      </c>
      <c r="HZ196" s="308">
        <f t="shared" si="16"/>
        <v>0</v>
      </c>
      <c r="IA196" s="291">
        <v>186</v>
      </c>
    </row>
    <row r="197" spans="1:235" x14ac:dyDescent="0.25">
      <c r="A197" s="318"/>
      <c r="B197" s="314"/>
      <c r="C197" s="294">
        <v>3.41</v>
      </c>
      <c r="D197" s="294">
        <v>0.15</v>
      </c>
      <c r="E197" s="294">
        <v>7.0631834054337997E-2</v>
      </c>
      <c r="F197" s="294">
        <v>-0.19500000000000001</v>
      </c>
      <c r="G197" s="294">
        <v>7.4999999999999997E-3</v>
      </c>
      <c r="H197" s="294">
        <v>-0.19500000000000001</v>
      </c>
      <c r="I197" s="294">
        <v>0.16300000000000001</v>
      </c>
      <c r="J197" s="294">
        <v>0.1875</v>
      </c>
      <c r="K197" s="294">
        <v>0.215</v>
      </c>
      <c r="L197" s="294">
        <v>-4.2000000000000003E-2</v>
      </c>
      <c r="M197" s="388">
        <v>-1.9999990000000001E-3</v>
      </c>
      <c r="N197" s="294">
        <v>0</v>
      </c>
      <c r="O197" s="294"/>
      <c r="P197" s="294">
        <v>6.4999999999999997E-3</v>
      </c>
      <c r="Q197" s="294">
        <v>1.8499999999999999E-2</v>
      </c>
      <c r="R197" s="389">
        <v>-7.4999990000000002E-3</v>
      </c>
      <c r="S197" s="291">
        <v>0</v>
      </c>
      <c r="T197" s="291">
        <v>-6.5000000000000002E-2</v>
      </c>
      <c r="U197" s="291">
        <v>-1.95E-2</v>
      </c>
      <c r="V197" s="291">
        <v>-8.3000000000000004E-2</v>
      </c>
      <c r="W197" s="291">
        <v>0</v>
      </c>
      <c r="X197" s="291">
        <v>0.46100000000000002</v>
      </c>
      <c r="Y197" s="291">
        <v>5.0000000000000001E-3</v>
      </c>
      <c r="Z197" s="291">
        <v>-0.19</v>
      </c>
      <c r="AA197" s="291">
        <v>-1.0999999999999999E-2</v>
      </c>
      <c r="AB197" s="306">
        <v>0.29499999999999998</v>
      </c>
      <c r="AC197" s="306">
        <v>0.36249999999999999</v>
      </c>
      <c r="AD197" s="306">
        <v>0.25800000000000001</v>
      </c>
      <c r="AE197" s="431">
        <v>0.15</v>
      </c>
      <c r="AF197" s="431">
        <v>0.15</v>
      </c>
      <c r="AG197" s="431">
        <v>0.14699999999999999</v>
      </c>
      <c r="AH197" s="431">
        <v>0.15</v>
      </c>
      <c r="AI197" s="431">
        <v>0.153</v>
      </c>
      <c r="AJ197" s="431">
        <v>0.15</v>
      </c>
      <c r="AK197" s="431">
        <v>0.14699999999999999</v>
      </c>
      <c r="AL197" s="431">
        <v>0.14699999999999999</v>
      </c>
      <c r="AM197" s="431">
        <v>0.15</v>
      </c>
      <c r="AN197" s="431">
        <v>0.15</v>
      </c>
      <c r="AO197" s="431">
        <v>0.15</v>
      </c>
      <c r="AP197" s="432">
        <v>0.15</v>
      </c>
      <c r="AQ197" s="432">
        <v>0.15</v>
      </c>
      <c r="AR197" s="432">
        <v>0.15</v>
      </c>
      <c r="AS197" s="432">
        <v>0.15</v>
      </c>
      <c r="AT197" s="431">
        <v>0.15</v>
      </c>
      <c r="AU197" s="431">
        <v>0.15</v>
      </c>
      <c r="AV197" s="431">
        <v>0.14699999999999999</v>
      </c>
      <c r="AW197" s="291">
        <v>7.0377827058917E-2</v>
      </c>
      <c r="AX197" s="291"/>
      <c r="AY197" s="306">
        <f t="shared" si="18"/>
        <v>0.14699999999999999</v>
      </c>
      <c r="AZ197" s="306">
        <f t="shared" si="19"/>
        <v>0.14699999999999999</v>
      </c>
      <c r="BA197" s="309">
        <f t="shared" si="20"/>
        <v>0.14699999999999999</v>
      </c>
      <c r="BB197" s="308">
        <f t="shared" si="21"/>
        <v>0</v>
      </c>
      <c r="BC197" s="308">
        <v>0.34960640655405811</v>
      </c>
      <c r="BD197" s="291">
        <v>0.34967301030789677</v>
      </c>
      <c r="BF197" s="194">
        <v>42278</v>
      </c>
      <c r="BG197" s="206">
        <v>185</v>
      </c>
      <c r="HZ197" s="308">
        <f t="shared" si="16"/>
        <v>0</v>
      </c>
      <c r="IA197" s="291">
        <v>187</v>
      </c>
    </row>
    <row r="198" spans="1:235" x14ac:dyDescent="0.25">
      <c r="A198" s="319"/>
      <c r="B198" s="314"/>
      <c r="C198" s="294">
        <v>3.4420000000000002</v>
      </c>
      <c r="D198" s="294">
        <v>0.15</v>
      </c>
      <c r="E198" s="294">
        <v>7.0633000069999993E-2</v>
      </c>
      <c r="F198" s="294">
        <v>-0.19</v>
      </c>
      <c r="G198" s="294">
        <v>-3.2500000000000001E-2</v>
      </c>
      <c r="H198" s="294">
        <v>-0.19</v>
      </c>
      <c r="I198" s="294">
        <v>0.22500000000000001</v>
      </c>
      <c r="J198" s="294">
        <v>0.27</v>
      </c>
      <c r="K198" s="294">
        <v>0.28749999999999998</v>
      </c>
      <c r="L198" s="294">
        <v>-5.7000000000000002E-2</v>
      </c>
      <c r="M198" s="388">
        <v>5.4999999999999997E-3</v>
      </c>
      <c r="N198" s="294">
        <v>0</v>
      </c>
      <c r="O198" s="294"/>
      <c r="P198" s="294">
        <v>1.6E-2</v>
      </c>
      <c r="Q198" s="294">
        <v>1.0500000000000001E-2</v>
      </c>
      <c r="R198" s="389">
        <v>-1.0500000000000001E-2</v>
      </c>
      <c r="S198" s="291">
        <v>0</v>
      </c>
      <c r="T198" s="291">
        <v>-2.75E-2</v>
      </c>
      <c r="U198" s="291">
        <v>-1.8499999999999999E-2</v>
      </c>
      <c r="V198" s="291">
        <v>-8.0500000000000002E-2</v>
      </c>
      <c r="W198" s="291">
        <v>0</v>
      </c>
      <c r="X198" s="291">
        <v>0.76749999999999996</v>
      </c>
      <c r="Y198" s="291">
        <v>5.0000000000000001E-3</v>
      </c>
      <c r="Z198" s="291">
        <v>-0.19</v>
      </c>
      <c r="AA198" s="389">
        <v>-1.2500000000000001E-2</v>
      </c>
      <c r="AB198" s="306">
        <v>0.12</v>
      </c>
      <c r="AC198" s="306">
        <v>0.46500000000000002</v>
      </c>
      <c r="AD198" s="306">
        <v>0.32</v>
      </c>
      <c r="AE198" s="431">
        <v>0.15</v>
      </c>
      <c r="AF198" s="431">
        <v>0.15</v>
      </c>
      <c r="AG198" s="431">
        <v>0.16500000000000001</v>
      </c>
      <c r="AH198" s="431">
        <v>0.15</v>
      </c>
      <c r="AI198" s="431">
        <v>0.153</v>
      </c>
      <c r="AJ198" s="431">
        <v>0.15</v>
      </c>
      <c r="AK198" s="431">
        <v>0.15</v>
      </c>
      <c r="AL198" s="431">
        <v>0.15</v>
      </c>
      <c r="AM198" s="431">
        <v>0.15</v>
      </c>
      <c r="AN198" s="431">
        <v>0.15</v>
      </c>
      <c r="AO198" s="431">
        <v>0.15</v>
      </c>
      <c r="AP198" s="432">
        <v>0.15</v>
      </c>
      <c r="AQ198" s="432">
        <v>0.15</v>
      </c>
      <c r="AR198" s="432">
        <v>0.15</v>
      </c>
      <c r="AS198" s="432">
        <v>0.15</v>
      </c>
      <c r="AT198" s="431">
        <v>0.15</v>
      </c>
      <c r="AU198" s="431">
        <v>0.15</v>
      </c>
      <c r="AV198" s="431">
        <v>0.16500000000000001</v>
      </c>
      <c r="AW198" s="291">
        <v>7.0384780576261005E-2</v>
      </c>
      <c r="AX198" s="291"/>
      <c r="AY198" s="306">
        <f t="shared" si="18"/>
        <v>0.16500000000000001</v>
      </c>
      <c r="AZ198" s="306">
        <f t="shared" si="19"/>
        <v>0.16500000000000001</v>
      </c>
      <c r="BA198" s="309">
        <f t="shared" si="20"/>
        <v>0.16500000000000001</v>
      </c>
      <c r="BB198" s="308">
        <f t="shared" si="21"/>
        <v>0</v>
      </c>
      <c r="BC198" s="308">
        <v>0.34752263833859204</v>
      </c>
      <c r="BD198" s="291">
        <v>0.34758884967905834</v>
      </c>
      <c r="BF198" s="194">
        <v>42309</v>
      </c>
      <c r="BG198" s="206">
        <v>186</v>
      </c>
      <c r="HZ198" s="308">
        <f t="shared" si="16"/>
        <v>0</v>
      </c>
      <c r="IA198" s="291">
        <v>188</v>
      </c>
    </row>
    <row r="199" spans="1:235" x14ac:dyDescent="0.25">
      <c r="A199" s="319"/>
      <c r="B199" s="314"/>
      <c r="C199" s="294">
        <v>3.492</v>
      </c>
      <c r="D199" s="294">
        <v>0.15</v>
      </c>
      <c r="E199" s="294">
        <v>7.0634128472238003E-2</v>
      </c>
      <c r="F199" s="294">
        <v>-0.19750000000000001</v>
      </c>
      <c r="G199" s="294">
        <v>-5.5E-2</v>
      </c>
      <c r="H199" s="294">
        <v>-0.19750000000000001</v>
      </c>
      <c r="I199" s="294">
        <v>0.26500000000000001</v>
      </c>
      <c r="J199" s="294">
        <v>0.30499999999999999</v>
      </c>
      <c r="K199" s="294">
        <v>0.33750000000000002</v>
      </c>
      <c r="L199" s="294">
        <v>-5.7000000000000002E-2</v>
      </c>
      <c r="M199" s="294">
        <v>5.4999999999999997E-3</v>
      </c>
      <c r="N199" s="294">
        <v>0</v>
      </c>
      <c r="O199" s="294"/>
      <c r="P199" s="294">
        <v>1.6E-2</v>
      </c>
      <c r="Q199" s="294">
        <v>1.0500000000000001E-2</v>
      </c>
      <c r="R199" s="291">
        <v>-1.0500000000000001E-2</v>
      </c>
      <c r="S199" s="291">
        <v>0</v>
      </c>
      <c r="T199" s="291">
        <v>-0.02</v>
      </c>
      <c r="U199" s="291">
        <v>-1.8499999999999999E-2</v>
      </c>
      <c r="V199" s="291">
        <v>-0.11550000000000001</v>
      </c>
      <c r="W199" s="291">
        <v>0</v>
      </c>
      <c r="X199" s="291">
        <v>1.19</v>
      </c>
      <c r="Y199" s="291">
        <v>5.0000000000000001E-3</v>
      </c>
      <c r="Z199" s="291">
        <v>-0.19</v>
      </c>
      <c r="AA199" s="389">
        <v>-1.2500000000000001E-2</v>
      </c>
      <c r="AB199" s="306">
        <v>0.12</v>
      </c>
      <c r="AC199" s="306">
        <v>0.8</v>
      </c>
      <c r="AD199" s="306">
        <v>0.36</v>
      </c>
      <c r="AE199" s="431">
        <v>0.15</v>
      </c>
      <c r="AF199" s="431">
        <v>0.15</v>
      </c>
      <c r="AG199" s="431">
        <v>0.16500000000000001</v>
      </c>
      <c r="AH199" s="431">
        <v>0.15</v>
      </c>
      <c r="AI199" s="431">
        <v>0.153</v>
      </c>
      <c r="AJ199" s="431">
        <v>0.15</v>
      </c>
      <c r="AK199" s="431">
        <v>0.15</v>
      </c>
      <c r="AL199" s="431">
        <v>0.15</v>
      </c>
      <c r="AM199" s="431">
        <v>0.15</v>
      </c>
      <c r="AN199" s="431">
        <v>0.15</v>
      </c>
      <c r="AO199" s="431">
        <v>0.15</v>
      </c>
      <c r="AP199" s="432">
        <v>0.15</v>
      </c>
      <c r="AQ199" s="432">
        <v>0.15</v>
      </c>
      <c r="AR199" s="432">
        <v>0.15</v>
      </c>
      <c r="AS199" s="432">
        <v>0.15</v>
      </c>
      <c r="AT199" s="431">
        <v>0.15</v>
      </c>
      <c r="AU199" s="431">
        <v>0.15</v>
      </c>
      <c r="AV199" s="431">
        <v>0.16500000000000001</v>
      </c>
      <c r="AW199" s="291">
        <v>7.0391509786610004E-2</v>
      </c>
      <c r="AX199" s="291"/>
      <c r="AY199" s="306">
        <f t="shared" si="18"/>
        <v>0.16500000000000001</v>
      </c>
      <c r="AZ199" s="306">
        <f t="shared" si="19"/>
        <v>0.16500000000000001</v>
      </c>
      <c r="BA199" s="309">
        <f t="shared" si="20"/>
        <v>0.16500000000000001</v>
      </c>
      <c r="BB199" s="308">
        <f t="shared" si="21"/>
        <v>0</v>
      </c>
      <c r="BC199" s="308">
        <v>0.34551764672719193</v>
      </c>
      <c r="BD199" s="291">
        <v>0.34558348046290188</v>
      </c>
      <c r="BF199" s="194">
        <v>42339</v>
      </c>
      <c r="BG199" s="206">
        <v>187</v>
      </c>
      <c r="HZ199" s="308">
        <f t="shared" si="16"/>
        <v>0</v>
      </c>
      <c r="IA199" s="291">
        <v>189</v>
      </c>
    </row>
    <row r="200" spans="1:235" x14ac:dyDescent="0.25">
      <c r="A200" s="319"/>
      <c r="B200" s="314"/>
      <c r="C200" s="294">
        <v>3.8130000000000002</v>
      </c>
      <c r="D200" s="294">
        <v>0.15</v>
      </c>
      <c r="E200" s="294">
        <v>7.0635294487893005E-2</v>
      </c>
      <c r="F200" s="294">
        <v>-0.16</v>
      </c>
      <c r="G200" s="294">
        <v>-5.7500000000000002E-2</v>
      </c>
      <c r="H200" s="294">
        <v>-0.16</v>
      </c>
      <c r="I200" s="294">
        <v>0.27500000000000002</v>
      </c>
      <c r="J200" s="294">
        <v>0.30499999999999999</v>
      </c>
      <c r="K200" s="294">
        <v>0.4375</v>
      </c>
      <c r="L200" s="294">
        <v>-5.7000000000000002E-2</v>
      </c>
      <c r="M200" s="294">
        <v>7.4999999999999997E-3</v>
      </c>
      <c r="N200" s="294">
        <v>0</v>
      </c>
      <c r="O200" s="294"/>
      <c r="P200" s="294">
        <v>1.6E-2</v>
      </c>
      <c r="Q200" s="294">
        <v>1.0500000000000001E-2</v>
      </c>
      <c r="R200" s="291">
        <v>-5.9999989999999998E-3</v>
      </c>
      <c r="S200" s="291">
        <v>0</v>
      </c>
      <c r="T200" s="291">
        <v>-5.0000000000000001E-3</v>
      </c>
      <c r="U200" s="291">
        <v>-1.8499999999999999E-2</v>
      </c>
      <c r="V200" s="291">
        <v>-0.121</v>
      </c>
      <c r="W200" s="291">
        <v>0</v>
      </c>
      <c r="X200" s="291">
        <v>1.5249999999999999</v>
      </c>
      <c r="Y200" s="291">
        <v>5.0000000000000001E-3</v>
      </c>
      <c r="Z200" s="291">
        <v>-0.19</v>
      </c>
      <c r="AA200" s="389">
        <v>-1.2500000000000001E-2</v>
      </c>
      <c r="AB200" s="306">
        <v>0.12</v>
      </c>
      <c r="AC200" s="306">
        <v>0.97499999999999998</v>
      </c>
      <c r="AD200" s="306">
        <v>0.37</v>
      </c>
      <c r="AE200" s="431">
        <v>0.15</v>
      </c>
      <c r="AF200" s="431">
        <v>0.15</v>
      </c>
      <c r="AG200" s="431">
        <v>0.16500000000000001</v>
      </c>
      <c r="AH200" s="431">
        <v>0.15</v>
      </c>
      <c r="AI200" s="431">
        <v>0.153</v>
      </c>
      <c r="AJ200" s="431">
        <v>0.15</v>
      </c>
      <c r="AK200" s="431">
        <v>0.15</v>
      </c>
      <c r="AL200" s="431">
        <v>0.15</v>
      </c>
      <c r="AM200" s="431">
        <v>0.15</v>
      </c>
      <c r="AN200" s="431">
        <v>0.15</v>
      </c>
      <c r="AO200" s="431">
        <v>0.15</v>
      </c>
      <c r="AP200" s="432">
        <v>0.15</v>
      </c>
      <c r="AQ200" s="432">
        <v>0.15</v>
      </c>
      <c r="AR200" s="432">
        <v>0.15</v>
      </c>
      <c r="AS200" s="432">
        <v>0.15</v>
      </c>
      <c r="AT200" s="431">
        <v>0.15</v>
      </c>
      <c r="AU200" s="431">
        <v>0.15</v>
      </c>
      <c r="AV200" s="431">
        <v>0.16500000000000001</v>
      </c>
      <c r="AW200" s="291">
        <v>7.0398463303985997E-2</v>
      </c>
      <c r="AX200" s="291"/>
      <c r="AY200" s="306">
        <f t="shared" si="18"/>
        <v>0.16500000000000001</v>
      </c>
      <c r="AZ200" s="306">
        <f t="shared" si="19"/>
        <v>0.16500000000000001</v>
      </c>
      <c r="BA200" s="309">
        <f t="shared" si="20"/>
        <v>0.16500000000000001</v>
      </c>
      <c r="BB200" s="308">
        <f t="shared" si="21"/>
        <v>0</v>
      </c>
      <c r="BC200" s="308">
        <v>0.34345769845449725</v>
      </c>
      <c r="BD200" s="291">
        <v>0.34352314420808511</v>
      </c>
      <c r="BF200" s="194">
        <v>42370</v>
      </c>
      <c r="BG200" s="206">
        <v>188</v>
      </c>
      <c r="HZ200" s="308">
        <f t="shared" si="16"/>
        <v>0</v>
      </c>
      <c r="IA200" s="291">
        <v>190</v>
      </c>
    </row>
    <row r="201" spans="1:235" x14ac:dyDescent="0.25">
      <c r="A201" s="319"/>
      <c r="B201" s="314"/>
      <c r="C201" s="294">
        <v>3.7229999999999999</v>
      </c>
      <c r="D201" s="294">
        <v>0.15</v>
      </c>
      <c r="E201" s="294">
        <v>7.0636460503549006E-2</v>
      </c>
      <c r="F201" s="294">
        <v>-0.16</v>
      </c>
      <c r="G201" s="294">
        <v>-0.04</v>
      </c>
      <c r="H201" s="294">
        <v>-0.16</v>
      </c>
      <c r="I201" s="294">
        <v>0.25</v>
      </c>
      <c r="J201" s="294">
        <v>0.30499999999999999</v>
      </c>
      <c r="K201" s="294">
        <v>0.435</v>
      </c>
      <c r="L201" s="294">
        <v>-5.7000000000000002E-2</v>
      </c>
      <c r="M201" s="294">
        <v>7.4999999999999997E-3</v>
      </c>
      <c r="N201" s="294">
        <v>0</v>
      </c>
      <c r="O201" s="294"/>
      <c r="P201" s="294">
        <v>1.6E-2</v>
      </c>
      <c r="Q201" s="294">
        <v>1.0500000000000001E-2</v>
      </c>
      <c r="R201" s="389">
        <v>-5.9999989999999998E-3</v>
      </c>
      <c r="S201" s="291">
        <v>0</v>
      </c>
      <c r="T201" s="389">
        <v>-5.0000000000000001E-3</v>
      </c>
      <c r="U201" s="291">
        <v>-1.8499999999999999E-2</v>
      </c>
      <c r="V201" s="291">
        <v>-0.10349999999999999</v>
      </c>
      <c r="W201" s="291">
        <v>0</v>
      </c>
      <c r="X201" s="291">
        <v>1.4550000000000001</v>
      </c>
      <c r="Y201" s="291">
        <v>5.0000000000000001E-3</v>
      </c>
      <c r="Z201" s="291">
        <v>-0.19</v>
      </c>
      <c r="AA201" s="389">
        <v>-1.2500000000000001E-2</v>
      </c>
      <c r="AB201" s="306">
        <v>0.12</v>
      </c>
      <c r="AC201" s="306">
        <v>0.97499999999999998</v>
      </c>
      <c r="AD201" s="306">
        <v>0.34499999999999997</v>
      </c>
      <c r="AE201" s="431">
        <v>0.15</v>
      </c>
      <c r="AF201" s="431">
        <v>0.15</v>
      </c>
      <c r="AG201" s="431">
        <v>0.16500000000000001</v>
      </c>
      <c r="AH201" s="431">
        <v>0.15</v>
      </c>
      <c r="AI201" s="431">
        <v>0.153</v>
      </c>
      <c r="AJ201" s="431">
        <v>0.15</v>
      </c>
      <c r="AK201" s="431">
        <v>0.15</v>
      </c>
      <c r="AL201" s="431">
        <v>0.15</v>
      </c>
      <c r="AM201" s="431">
        <v>0.15</v>
      </c>
      <c r="AN201" s="431">
        <v>0.15</v>
      </c>
      <c r="AO201" s="431">
        <v>0.15</v>
      </c>
      <c r="AP201" s="432">
        <v>0.15</v>
      </c>
      <c r="AQ201" s="432">
        <v>0.15</v>
      </c>
      <c r="AR201" s="432">
        <v>0.15</v>
      </c>
      <c r="AS201" s="432">
        <v>0.15</v>
      </c>
      <c r="AT201" s="431">
        <v>0.15</v>
      </c>
      <c r="AU201" s="431">
        <v>0.15</v>
      </c>
      <c r="AV201" s="431">
        <v>0.16500000000000001</v>
      </c>
      <c r="AW201" s="291">
        <v>7.0405416821378006E-2</v>
      </c>
      <c r="AX201" s="291"/>
      <c r="AY201" s="306">
        <f t="shared" si="18"/>
        <v>0.16500000000000001</v>
      </c>
      <c r="AZ201" s="306">
        <f t="shared" si="19"/>
        <v>0.16500000000000001</v>
      </c>
      <c r="BA201" s="309">
        <f t="shared" si="20"/>
        <v>0.16500000000000001</v>
      </c>
      <c r="BB201" s="308">
        <f t="shared" si="21"/>
        <v>0</v>
      </c>
      <c r="BC201" s="308">
        <v>0.34140975338508517</v>
      </c>
      <c r="BD201" s="291">
        <v>0.34147481338976599</v>
      </c>
      <c r="BF201" s="194">
        <v>42401</v>
      </c>
      <c r="BG201" s="206">
        <v>189</v>
      </c>
      <c r="HZ201" s="308">
        <f t="shared" si="16"/>
        <v>0</v>
      </c>
      <c r="IA201" s="291">
        <v>191</v>
      </c>
    </row>
    <row r="202" spans="1:235" x14ac:dyDescent="0.25">
      <c r="A202" s="319"/>
      <c r="B202" s="314"/>
      <c r="C202" s="294">
        <v>3.5920000000000001</v>
      </c>
      <c r="D202" s="294">
        <v>0.15</v>
      </c>
      <c r="E202" s="294">
        <v>7.0637551292387996E-2</v>
      </c>
      <c r="F202" s="294">
        <v>-0.16</v>
      </c>
      <c r="G202" s="294">
        <v>-2.75E-2</v>
      </c>
      <c r="H202" s="294">
        <v>-0.16</v>
      </c>
      <c r="I202" s="294">
        <v>0.248</v>
      </c>
      <c r="J202" s="294">
        <v>0.26500000000000001</v>
      </c>
      <c r="K202" s="294">
        <v>0.30249999999999999</v>
      </c>
      <c r="L202" s="294">
        <v>-5.7000000000000002E-2</v>
      </c>
      <c r="M202" s="388">
        <v>7.4999999999999997E-3</v>
      </c>
      <c r="N202" s="294">
        <v>0</v>
      </c>
      <c r="O202" s="294"/>
      <c r="P202" s="294">
        <v>1.6E-2</v>
      </c>
      <c r="Q202" s="294">
        <v>0</v>
      </c>
      <c r="R202" s="389">
        <v>-5.9999989999999998E-3</v>
      </c>
      <c r="S202" s="291">
        <v>0</v>
      </c>
      <c r="T202" s="389">
        <v>-5.0000000000000001E-3</v>
      </c>
      <c r="U202" s="291">
        <v>0</v>
      </c>
      <c r="V202" s="291">
        <v>-8.5999999999999993E-2</v>
      </c>
      <c r="W202" s="291">
        <v>0</v>
      </c>
      <c r="X202" s="291">
        <v>0.83499999999999996</v>
      </c>
      <c r="Y202" s="291">
        <v>5.0000000000000001E-3</v>
      </c>
      <c r="Z202" s="291">
        <v>-0.19</v>
      </c>
      <c r="AA202" s="389">
        <v>-1.2500000000000001E-2</v>
      </c>
      <c r="AB202" s="306">
        <v>0.12</v>
      </c>
      <c r="AC202" s="306">
        <v>0.60750000000000004</v>
      </c>
      <c r="AD202" s="306">
        <v>0.34300000000000003</v>
      </c>
      <c r="AE202" s="431">
        <v>0.15</v>
      </c>
      <c r="AF202" s="431">
        <v>0.15</v>
      </c>
      <c r="AG202" s="431">
        <v>0.16500000000000001</v>
      </c>
      <c r="AH202" s="431">
        <v>0.15</v>
      </c>
      <c r="AI202" s="431">
        <v>0.153</v>
      </c>
      <c r="AJ202" s="431">
        <v>0.15</v>
      </c>
      <c r="AK202" s="431">
        <v>0.15</v>
      </c>
      <c r="AL202" s="431">
        <v>0.15</v>
      </c>
      <c r="AM202" s="431">
        <v>0.15</v>
      </c>
      <c r="AN202" s="431">
        <v>0.15</v>
      </c>
      <c r="AO202" s="431">
        <v>0.15</v>
      </c>
      <c r="AP202" s="432">
        <v>0.15</v>
      </c>
      <c r="AQ202" s="432">
        <v>0.15</v>
      </c>
      <c r="AR202" s="432">
        <v>0.15</v>
      </c>
      <c r="AS202" s="432">
        <v>0.15</v>
      </c>
      <c r="AT202" s="431">
        <v>0.15</v>
      </c>
      <c r="AU202" s="431">
        <v>0.15</v>
      </c>
      <c r="AV202" s="431">
        <v>0.16500000000000001</v>
      </c>
      <c r="AW202" s="291">
        <v>7.0411921724759005E-2</v>
      </c>
      <c r="AX202" s="291"/>
      <c r="AY202" s="306">
        <f t="shared" si="18"/>
        <v>0.16500000000000001</v>
      </c>
      <c r="AZ202" s="306">
        <f t="shared" si="19"/>
        <v>0.16500000000000001</v>
      </c>
      <c r="BA202" s="309">
        <f t="shared" si="20"/>
        <v>0.16500000000000001</v>
      </c>
      <c r="BB202" s="308">
        <f t="shared" si="21"/>
        <v>0</v>
      </c>
      <c r="BC202" s="308">
        <v>0.33950473992811042</v>
      </c>
      <c r="BD202" s="291">
        <v>0.33956944108155296</v>
      </c>
      <c r="BF202" s="194">
        <v>42430</v>
      </c>
      <c r="BG202" s="206">
        <v>190</v>
      </c>
      <c r="HZ202" s="308">
        <f t="shared" si="16"/>
        <v>0</v>
      </c>
      <c r="IA202" s="291">
        <v>192</v>
      </c>
    </row>
    <row r="203" spans="1:235" x14ac:dyDescent="0.25">
      <c r="A203" s="319"/>
      <c r="B203" s="314"/>
      <c r="C203" s="294">
        <v>3.4529999999999998</v>
      </c>
      <c r="D203" s="294">
        <v>0.15</v>
      </c>
      <c r="E203" s="294">
        <v>7.0638717308043997E-2</v>
      </c>
      <c r="F203" s="294">
        <v>-0.16</v>
      </c>
      <c r="G203" s="294">
        <v>1.4999999999999999E-2</v>
      </c>
      <c r="H203" s="294">
        <v>-0.16</v>
      </c>
      <c r="I203" s="294">
        <v>0.153</v>
      </c>
      <c r="J203" s="294">
        <v>0.19500000000000001</v>
      </c>
      <c r="K203" s="294">
        <v>0.25</v>
      </c>
      <c r="L203" s="294">
        <v>-0.05</v>
      </c>
      <c r="M203" s="388">
        <v>6.9388939039072299E-18</v>
      </c>
      <c r="N203" s="294">
        <v>0</v>
      </c>
      <c r="O203" s="294"/>
      <c r="P203" s="294">
        <v>6.4999999999999997E-3</v>
      </c>
      <c r="Q203" s="294">
        <v>0</v>
      </c>
      <c r="R203" s="389">
        <v>-5.4999990000000002E-3</v>
      </c>
      <c r="S203" s="291">
        <v>0</v>
      </c>
      <c r="T203" s="389">
        <v>-0.05</v>
      </c>
      <c r="U203" s="291">
        <v>0</v>
      </c>
      <c r="V203" s="291">
        <v>-7.85E-2</v>
      </c>
      <c r="W203" s="291">
        <v>0</v>
      </c>
      <c r="X203" s="291">
        <v>0.45</v>
      </c>
      <c r="Y203" s="291">
        <v>5.0000000000000001E-3</v>
      </c>
      <c r="Z203" s="291">
        <v>-0.19</v>
      </c>
      <c r="AA203" s="389">
        <v>-9.9999990000000007E-3</v>
      </c>
      <c r="AB203" s="306">
        <v>0.29499999999999998</v>
      </c>
      <c r="AC203" s="306">
        <v>0.35499999999999998</v>
      </c>
      <c r="AD203" s="306">
        <v>0.248</v>
      </c>
      <c r="AE203" s="431">
        <v>0.15</v>
      </c>
      <c r="AF203" s="431">
        <v>0.15</v>
      </c>
      <c r="AG203" s="431">
        <v>0.14699999999999999</v>
      </c>
      <c r="AH203" s="431">
        <v>0.15</v>
      </c>
      <c r="AI203" s="431">
        <v>0.153</v>
      </c>
      <c r="AJ203" s="431">
        <v>0.15</v>
      </c>
      <c r="AK203" s="431">
        <v>0.14699999999999999</v>
      </c>
      <c r="AL203" s="431">
        <v>0.14699999999999999</v>
      </c>
      <c r="AM203" s="431">
        <v>0.15</v>
      </c>
      <c r="AN203" s="431">
        <v>0.15</v>
      </c>
      <c r="AO203" s="431">
        <v>0.15</v>
      </c>
      <c r="AP203" s="432">
        <v>0.15</v>
      </c>
      <c r="AQ203" s="432">
        <v>0.15</v>
      </c>
      <c r="AR203" s="432">
        <v>0.15</v>
      </c>
      <c r="AS203" s="432">
        <v>0.15</v>
      </c>
      <c r="AT203" s="431">
        <v>0.15</v>
      </c>
      <c r="AU203" s="431">
        <v>0.15</v>
      </c>
      <c r="AV203" s="431">
        <v>0.14699999999999999</v>
      </c>
      <c r="AW203" s="291">
        <v>7.0418875242182002E-2</v>
      </c>
      <c r="AX203" s="291"/>
      <c r="AY203" s="306">
        <f t="shared" si="18"/>
        <v>0.14699999999999999</v>
      </c>
      <c r="AZ203" s="306">
        <f t="shared" si="19"/>
        <v>0.14699999999999999</v>
      </c>
      <c r="BA203" s="309">
        <f t="shared" si="20"/>
        <v>0.14699999999999999</v>
      </c>
      <c r="BB203" s="308">
        <f t="shared" si="21"/>
        <v>0</v>
      </c>
      <c r="BC203" s="308">
        <v>0.33747983332967529</v>
      </c>
      <c r="BD203" s="291">
        <v>0.33754415302102098</v>
      </c>
      <c r="BF203" s="194">
        <v>42461</v>
      </c>
      <c r="BG203" s="206">
        <v>191</v>
      </c>
      <c r="HZ203" s="308">
        <f t="shared" si="16"/>
        <v>0</v>
      </c>
      <c r="IA203" s="291">
        <v>193</v>
      </c>
    </row>
    <row r="204" spans="1:235" x14ac:dyDescent="0.25">
      <c r="A204" s="319"/>
      <c r="B204" s="314"/>
      <c r="C204" s="294">
        <v>3.4540000000000002</v>
      </c>
      <c r="D204" s="294">
        <v>0.15</v>
      </c>
      <c r="E204" s="294">
        <v>7.0639845710292998E-2</v>
      </c>
      <c r="F204" s="294">
        <v>0</v>
      </c>
      <c r="G204" s="294">
        <v>1.4999999999999999E-2</v>
      </c>
      <c r="H204" s="294">
        <v>0</v>
      </c>
      <c r="I204" s="294">
        <v>0</v>
      </c>
      <c r="J204" s="294">
        <v>0.1825</v>
      </c>
      <c r="K204" s="294">
        <v>0.20250000000000001</v>
      </c>
      <c r="L204" s="294">
        <v>-0.05</v>
      </c>
      <c r="M204" s="388">
        <v>6.9388939039072299E-18</v>
      </c>
      <c r="N204" s="294">
        <v>0</v>
      </c>
      <c r="O204" s="294"/>
      <c r="P204" s="294">
        <v>6.4999999999999997E-3</v>
      </c>
      <c r="Q204" s="294">
        <v>0</v>
      </c>
      <c r="R204" s="389">
        <v>-5.4999990000000002E-3</v>
      </c>
      <c r="S204" s="291">
        <v>0</v>
      </c>
      <c r="T204" s="389">
        <v>0</v>
      </c>
      <c r="U204" s="389">
        <v>2.4999999999999301E-4</v>
      </c>
      <c r="V204" s="291">
        <v>-7.85E-2</v>
      </c>
      <c r="W204" s="291">
        <v>0</v>
      </c>
      <c r="X204" s="291">
        <v>0.40500000000000003</v>
      </c>
      <c r="Y204" s="291">
        <v>5.0000000000000001E-3</v>
      </c>
      <c r="Z204" s="291">
        <v>-0.19</v>
      </c>
      <c r="AA204" s="389">
        <v>-9.9999990000000007E-3</v>
      </c>
      <c r="AB204" s="306">
        <v>0.29499999999999998</v>
      </c>
      <c r="AC204" s="306">
        <v>0.28749999999999998</v>
      </c>
      <c r="AD204" s="306">
        <v>0</v>
      </c>
      <c r="AE204" s="431">
        <v>0.15</v>
      </c>
      <c r="AF204" s="431">
        <v>0.15</v>
      </c>
      <c r="AG204" s="431">
        <v>0.14699999999999999</v>
      </c>
      <c r="AH204" s="431">
        <v>0.15</v>
      </c>
      <c r="AI204" s="431">
        <v>0.153</v>
      </c>
      <c r="AJ204" s="431">
        <v>0.15</v>
      </c>
      <c r="AK204" s="431">
        <v>0.14699999999999999</v>
      </c>
      <c r="AL204" s="431">
        <v>0.14699999999999999</v>
      </c>
      <c r="AM204" s="431">
        <v>0.15</v>
      </c>
      <c r="AN204" s="431">
        <v>0.15</v>
      </c>
      <c r="AO204" s="431">
        <v>0.15</v>
      </c>
      <c r="AP204" s="432">
        <v>0.15</v>
      </c>
      <c r="AQ204" s="432">
        <v>0.15</v>
      </c>
      <c r="AR204" s="432">
        <v>0.15</v>
      </c>
      <c r="AS204" s="432">
        <v>0.15</v>
      </c>
      <c r="AT204" s="431">
        <v>0.15</v>
      </c>
      <c r="AU204" s="431">
        <v>0.15</v>
      </c>
      <c r="AV204" s="431">
        <v>0.14699999999999999</v>
      </c>
      <c r="AW204" s="291">
        <v>7.0425604452605997E-2</v>
      </c>
      <c r="AX204" s="291"/>
      <c r="AY204" s="306">
        <f t="shared" si="18"/>
        <v>0.14699999999999999</v>
      </c>
      <c r="AZ204" s="306">
        <f t="shared" si="19"/>
        <v>0.14699999999999999</v>
      </c>
      <c r="BA204" s="309">
        <f t="shared" si="20"/>
        <v>0.14699999999999999</v>
      </c>
      <c r="BB204" s="308">
        <f t="shared" si="21"/>
        <v>0</v>
      </c>
      <c r="BC204" s="308">
        <v>0.33553148591271759</v>
      </c>
      <c r="BD204" s="291">
        <v>0.33559543853879681</v>
      </c>
      <c r="BF204" s="194">
        <v>42491</v>
      </c>
      <c r="BG204" s="206">
        <v>192</v>
      </c>
      <c r="HZ204" s="308">
        <f t="shared" si="16"/>
        <v>0</v>
      </c>
      <c r="IA204" s="291">
        <v>194</v>
      </c>
    </row>
    <row r="205" spans="1:235" x14ac:dyDescent="0.25">
      <c r="A205" s="319"/>
      <c r="B205" s="314"/>
      <c r="C205" s="294">
        <v>3.4870000000000001</v>
      </c>
      <c r="D205" s="294">
        <v>0.15</v>
      </c>
      <c r="E205" s="294">
        <v>7.0641011725949998E-2</v>
      </c>
      <c r="F205" s="294">
        <v>0</v>
      </c>
      <c r="G205" s="294">
        <v>0.02</v>
      </c>
      <c r="H205" s="294">
        <v>0</v>
      </c>
      <c r="I205" s="294">
        <v>0</v>
      </c>
      <c r="J205" s="294">
        <v>0.1825</v>
      </c>
      <c r="K205" s="294">
        <v>0.20250000000000001</v>
      </c>
      <c r="L205" s="294">
        <v>-6.6000000000000003E-2</v>
      </c>
      <c r="M205" s="388">
        <v>6.9388939039072299E-18</v>
      </c>
      <c r="N205" s="294">
        <v>0</v>
      </c>
      <c r="O205" s="294"/>
      <c r="P205" s="294">
        <v>6.4999999999999997E-3</v>
      </c>
      <c r="Q205" s="294">
        <v>0</v>
      </c>
      <c r="R205" s="389">
        <v>-5.4999990000000002E-3</v>
      </c>
      <c r="S205" s="291">
        <v>0</v>
      </c>
      <c r="T205" s="389">
        <v>0</v>
      </c>
      <c r="U205" s="389">
        <v>2.4999999999999301E-4</v>
      </c>
      <c r="V205" s="291">
        <v>-6.8500000000000005E-2</v>
      </c>
      <c r="W205" s="291">
        <v>0</v>
      </c>
      <c r="X205" s="291">
        <v>0.39500000000000002</v>
      </c>
      <c r="Y205" s="291">
        <v>5.0000000000000001E-3</v>
      </c>
      <c r="Z205" s="291">
        <v>-0.19</v>
      </c>
      <c r="AA205" s="389">
        <v>-9.9999990000000007E-3</v>
      </c>
      <c r="AB205" s="306">
        <v>0.29499999999999998</v>
      </c>
      <c r="AC205" s="306">
        <v>0.28749999999999998</v>
      </c>
      <c r="AD205" s="306">
        <v>0</v>
      </c>
      <c r="AE205" s="431">
        <v>0.15</v>
      </c>
      <c r="AF205" s="431">
        <v>0.15</v>
      </c>
      <c r="AG205" s="431">
        <v>0.14699999999999999</v>
      </c>
      <c r="AH205" s="431">
        <v>0.15</v>
      </c>
      <c r="AI205" s="431">
        <v>0.153</v>
      </c>
      <c r="AJ205" s="431">
        <v>0.15</v>
      </c>
      <c r="AK205" s="431">
        <v>0.14699999999999999</v>
      </c>
      <c r="AL205" s="431">
        <v>0.14699999999999999</v>
      </c>
      <c r="AM205" s="431">
        <v>0.15</v>
      </c>
      <c r="AN205" s="431">
        <v>0.15</v>
      </c>
      <c r="AO205" s="431">
        <v>0.15</v>
      </c>
      <c r="AP205" s="432">
        <v>0.15</v>
      </c>
      <c r="AQ205" s="432">
        <v>0.15</v>
      </c>
      <c r="AR205" s="432">
        <v>0.15</v>
      </c>
      <c r="AS205" s="432">
        <v>0.15</v>
      </c>
      <c r="AT205" s="431">
        <v>0.15</v>
      </c>
      <c r="AU205" s="431">
        <v>0.15</v>
      </c>
      <c r="AV205" s="431">
        <v>0.14699999999999999</v>
      </c>
      <c r="AW205" s="291">
        <v>7.0432557970060997E-2</v>
      </c>
      <c r="AX205" s="291"/>
      <c r="AY205" s="306">
        <f t="shared" si="18"/>
        <v>0.14699999999999999</v>
      </c>
      <c r="AZ205" s="306">
        <f t="shared" si="19"/>
        <v>0.14699999999999999</v>
      </c>
      <c r="BA205" s="309">
        <f t="shared" si="20"/>
        <v>0.14699999999999999</v>
      </c>
      <c r="BB205" s="308">
        <f t="shared" si="21"/>
        <v>0</v>
      </c>
      <c r="BC205" s="308">
        <v>0.33352974249517242</v>
      </c>
      <c r="BD205" s="291">
        <v>0.33359331796979341</v>
      </c>
      <c r="BF205" s="194">
        <v>42522</v>
      </c>
      <c r="BG205" s="206">
        <v>193</v>
      </c>
      <c r="HZ205" s="308">
        <f t="shared" si="16"/>
        <v>0</v>
      </c>
      <c r="IA205" s="291">
        <v>195</v>
      </c>
    </row>
    <row r="206" spans="1:235" x14ac:dyDescent="0.25">
      <c r="A206" s="319"/>
      <c r="B206" s="314"/>
      <c r="C206" s="294">
        <v>3.5089999999999999</v>
      </c>
      <c r="D206" s="294">
        <v>0.15</v>
      </c>
      <c r="E206" s="294">
        <v>7.0642140128198999E-2</v>
      </c>
      <c r="F206" s="294">
        <v>0</v>
      </c>
      <c r="G206" s="294">
        <v>2.2499999999999999E-2</v>
      </c>
      <c r="H206" s="294">
        <v>0</v>
      </c>
      <c r="I206" s="294">
        <v>0</v>
      </c>
      <c r="J206" s="294">
        <v>0.1825</v>
      </c>
      <c r="K206" s="294">
        <v>0.215</v>
      </c>
      <c r="L206" s="294">
        <v>-5.8999999999999997E-2</v>
      </c>
      <c r="M206" s="388">
        <v>6.9388939039072299E-18</v>
      </c>
      <c r="N206" s="294">
        <v>0</v>
      </c>
      <c r="O206" s="294"/>
      <c r="P206" s="294">
        <v>6.4999999999999997E-3</v>
      </c>
      <c r="Q206" s="294">
        <v>0</v>
      </c>
      <c r="R206" s="389">
        <v>-5.4999990000000002E-3</v>
      </c>
      <c r="S206" s="291">
        <v>0</v>
      </c>
      <c r="T206" s="291">
        <v>0</v>
      </c>
      <c r="U206" s="389">
        <v>2.4999999999999301E-4</v>
      </c>
      <c r="V206" s="291">
        <v>-6.3500000000000001E-2</v>
      </c>
      <c r="W206" s="291">
        <v>0</v>
      </c>
      <c r="X206" s="291">
        <v>0.43</v>
      </c>
      <c r="Y206" s="291">
        <v>5.0000000000000001E-3</v>
      </c>
      <c r="Z206" s="291">
        <v>-0.19</v>
      </c>
      <c r="AA206" s="389">
        <v>-9.9999990000000007E-3</v>
      </c>
      <c r="AB206" s="306">
        <v>0.29499999999999998</v>
      </c>
      <c r="AC206" s="306">
        <v>0.3</v>
      </c>
      <c r="AD206" s="306">
        <v>0</v>
      </c>
      <c r="AE206" s="431">
        <v>0.15</v>
      </c>
      <c r="AF206" s="431">
        <v>0.15</v>
      </c>
      <c r="AG206" s="431">
        <v>0.14699999999999999</v>
      </c>
      <c r="AH206" s="431">
        <v>0.15</v>
      </c>
      <c r="AI206" s="431">
        <v>0.153</v>
      </c>
      <c r="AJ206" s="431">
        <v>0.15</v>
      </c>
      <c r="AK206" s="431">
        <v>0.14699999999999999</v>
      </c>
      <c r="AL206" s="431">
        <v>0.14699999999999999</v>
      </c>
      <c r="AM206" s="431">
        <v>0.15</v>
      </c>
      <c r="AN206" s="431">
        <v>0.15</v>
      </c>
      <c r="AO206" s="431">
        <v>0.15</v>
      </c>
      <c r="AP206" s="432">
        <v>0.15</v>
      </c>
      <c r="AQ206" s="432">
        <v>0.15</v>
      </c>
      <c r="AR206" s="432">
        <v>0.15</v>
      </c>
      <c r="AS206" s="432">
        <v>0.15</v>
      </c>
      <c r="AT206" s="431">
        <v>0.15</v>
      </c>
      <c r="AU206" s="431">
        <v>0.15</v>
      </c>
      <c r="AV206" s="431">
        <v>0.14699999999999999</v>
      </c>
      <c r="AW206" s="291">
        <v>7.0439287180515994E-2</v>
      </c>
      <c r="AX206" s="291"/>
      <c r="AY206" s="306">
        <f t="shared" si="18"/>
        <v>0.14699999999999999</v>
      </c>
      <c r="AZ206" s="306">
        <f t="shared" si="19"/>
        <v>0.14699999999999999</v>
      </c>
      <c r="BA206" s="309">
        <f t="shared" si="20"/>
        <v>0.14699999999999999</v>
      </c>
      <c r="BB206" s="308">
        <f t="shared" si="21"/>
        <v>0</v>
      </c>
      <c r="BC206" s="308">
        <v>0.33160368559597331</v>
      </c>
      <c r="BD206" s="291">
        <v>0.33166689815386741</v>
      </c>
      <c r="BF206" s="194">
        <v>42552</v>
      </c>
      <c r="BG206" s="206">
        <v>194</v>
      </c>
      <c r="HZ206" s="308">
        <f t="shared" ref="HZ206:HZ233" si="22">B208</f>
        <v>0</v>
      </c>
      <c r="IA206" s="291">
        <v>196</v>
      </c>
    </row>
    <row r="207" spans="1:235" x14ac:dyDescent="0.25">
      <c r="A207" s="319"/>
      <c r="B207" s="314"/>
      <c r="C207" s="294">
        <v>3.53</v>
      </c>
      <c r="D207" s="294">
        <v>0.15</v>
      </c>
      <c r="E207" s="294">
        <v>7.0643306143856999E-2</v>
      </c>
      <c r="F207" s="294">
        <v>0</v>
      </c>
      <c r="G207" s="294">
        <v>2.5000000000000001E-2</v>
      </c>
      <c r="H207" s="294">
        <v>0</v>
      </c>
      <c r="I207" s="294">
        <v>0</v>
      </c>
      <c r="J207" s="294">
        <v>0.1825</v>
      </c>
      <c r="K207" s="294">
        <v>0.215</v>
      </c>
      <c r="L207" s="294">
        <v>-0.05</v>
      </c>
      <c r="M207" s="388">
        <v>6.9388939039072299E-18</v>
      </c>
      <c r="N207" s="294">
        <v>0</v>
      </c>
      <c r="O207" s="294"/>
      <c r="P207" s="294">
        <v>6.4999999999999997E-3</v>
      </c>
      <c r="Q207" s="294">
        <v>0</v>
      </c>
      <c r="R207" s="389">
        <v>-5.4999990000000002E-3</v>
      </c>
      <c r="S207" s="291">
        <v>0</v>
      </c>
      <c r="T207" s="291">
        <v>0</v>
      </c>
      <c r="U207" s="389">
        <v>2.4999999999999301E-4</v>
      </c>
      <c r="V207" s="291">
        <v>-6.3500000000000001E-2</v>
      </c>
      <c r="W207" s="291">
        <v>0</v>
      </c>
      <c r="X207" s="291">
        <v>0.495</v>
      </c>
      <c r="Y207" s="291">
        <v>5.0000000000000001E-3</v>
      </c>
      <c r="Z207" s="291">
        <v>-0.19</v>
      </c>
      <c r="AA207" s="389">
        <v>-9.9999990000000007E-3</v>
      </c>
      <c r="AB207" s="306">
        <v>0.29499999999999998</v>
      </c>
      <c r="AC207" s="306">
        <v>0.3</v>
      </c>
      <c r="AD207" s="306">
        <v>0</v>
      </c>
      <c r="AE207" s="431">
        <v>0.15</v>
      </c>
      <c r="AF207" s="431">
        <v>0.15</v>
      </c>
      <c r="AG207" s="431">
        <v>0.14699999999999999</v>
      </c>
      <c r="AH207" s="431">
        <v>0.15</v>
      </c>
      <c r="AI207" s="431">
        <v>0.153</v>
      </c>
      <c r="AJ207" s="431">
        <v>0.15</v>
      </c>
      <c r="AK207" s="431">
        <v>0.14699999999999999</v>
      </c>
      <c r="AL207" s="431">
        <v>0.14699999999999999</v>
      </c>
      <c r="AM207" s="431">
        <v>0.15</v>
      </c>
      <c r="AN207" s="431">
        <v>0.15</v>
      </c>
      <c r="AO207" s="431">
        <v>0.15</v>
      </c>
      <c r="AP207" s="432">
        <v>0.15</v>
      </c>
      <c r="AQ207" s="432">
        <v>0.15</v>
      </c>
      <c r="AR207" s="432">
        <v>0.15</v>
      </c>
      <c r="AS207" s="432">
        <v>0.15</v>
      </c>
      <c r="AT207" s="431">
        <v>0.15</v>
      </c>
      <c r="AU207" s="431">
        <v>0.15</v>
      </c>
      <c r="AV207" s="431">
        <v>0.14699999999999999</v>
      </c>
      <c r="AW207" s="291">
        <v>7.0446240698001997E-2</v>
      </c>
      <c r="AX207" s="291"/>
      <c r="AY207" s="306">
        <f t="shared" si="18"/>
        <v>0.14699999999999999</v>
      </c>
      <c r="AZ207" s="306">
        <f t="shared" si="19"/>
        <v>0.14699999999999999</v>
      </c>
      <c r="BA207" s="309">
        <f t="shared" si="20"/>
        <v>0.14699999999999999</v>
      </c>
      <c r="BB207" s="308">
        <f t="shared" si="21"/>
        <v>0</v>
      </c>
      <c r="BC207" s="308">
        <v>0.32962484677807474</v>
      </c>
      <c r="BD207" s="291">
        <v>0.32968768644764934</v>
      </c>
      <c r="BF207" s="194">
        <v>42583</v>
      </c>
      <c r="BG207" s="206">
        <v>195</v>
      </c>
      <c r="HZ207" s="308">
        <f t="shared" si="22"/>
        <v>0</v>
      </c>
      <c r="IA207" s="291">
        <v>197</v>
      </c>
    </row>
    <row r="208" spans="1:235" x14ac:dyDescent="0.25">
      <c r="A208" s="319"/>
      <c r="B208" s="314"/>
      <c r="C208" s="294">
        <v>3.5</v>
      </c>
      <c r="D208" s="294">
        <v>0.15</v>
      </c>
      <c r="E208" s="294">
        <v>7.0644472159515997E-2</v>
      </c>
      <c r="F208" s="294">
        <v>0</v>
      </c>
      <c r="G208" s="294">
        <v>1.7500000000000002E-2</v>
      </c>
      <c r="H208" s="294">
        <v>0</v>
      </c>
      <c r="I208" s="294">
        <v>0</v>
      </c>
      <c r="J208" s="294">
        <v>0.1825</v>
      </c>
      <c r="K208" s="294">
        <v>0.19500000000000001</v>
      </c>
      <c r="L208" s="294">
        <v>-0.03</v>
      </c>
      <c r="M208" s="388">
        <v>6.9388939039072299E-18</v>
      </c>
      <c r="N208" s="294">
        <v>0</v>
      </c>
      <c r="O208" s="294"/>
      <c r="P208" s="294">
        <v>6.4999999999999997E-3</v>
      </c>
      <c r="Q208" s="294">
        <v>0</v>
      </c>
      <c r="R208" s="389">
        <v>-5.4999990000000002E-3</v>
      </c>
      <c r="S208" s="291">
        <v>0</v>
      </c>
      <c r="T208" s="291">
        <v>0</v>
      </c>
      <c r="U208" s="389">
        <v>2.4999999999999301E-4</v>
      </c>
      <c r="V208" s="291">
        <v>-7.85E-2</v>
      </c>
      <c r="W208" s="291">
        <v>0</v>
      </c>
      <c r="X208" s="291">
        <v>0.39500000000000002</v>
      </c>
      <c r="Y208" s="291">
        <v>5.0000000000000001E-3</v>
      </c>
      <c r="Z208" s="291">
        <v>-0.19</v>
      </c>
      <c r="AA208" s="291">
        <v>-9.9999990000000007E-3</v>
      </c>
      <c r="AB208" s="306">
        <v>0.29499999999999998</v>
      </c>
      <c r="AC208" s="306">
        <v>0.28999999999999998</v>
      </c>
      <c r="AD208" s="306">
        <v>0</v>
      </c>
      <c r="AE208" s="431">
        <v>0.15</v>
      </c>
      <c r="AF208" s="431">
        <v>0.15</v>
      </c>
      <c r="AG208" s="431">
        <v>0.14699999999999999</v>
      </c>
      <c r="AH208" s="431">
        <v>0.15</v>
      </c>
      <c r="AI208" s="431">
        <v>0.153</v>
      </c>
      <c r="AJ208" s="431">
        <v>0.15</v>
      </c>
      <c r="AK208" s="431">
        <v>0.14699999999999999</v>
      </c>
      <c r="AL208" s="431">
        <v>0.14699999999999999</v>
      </c>
      <c r="AM208" s="431">
        <v>0.15</v>
      </c>
      <c r="AN208" s="431">
        <v>0.15</v>
      </c>
      <c r="AO208" s="431">
        <v>0.15</v>
      </c>
      <c r="AP208" s="432">
        <v>0.15</v>
      </c>
      <c r="AQ208" s="432">
        <v>0.15</v>
      </c>
      <c r="AR208" s="432">
        <v>0.15</v>
      </c>
      <c r="AS208" s="432">
        <v>0.15</v>
      </c>
      <c r="AT208" s="431">
        <v>0.15</v>
      </c>
      <c r="AU208" s="431">
        <v>0.15</v>
      </c>
      <c r="AV208" s="431">
        <v>0.14699999999999999</v>
      </c>
      <c r="AW208" s="291">
        <v>7.0453194215504E-2</v>
      </c>
      <c r="AX208" s="291"/>
      <c r="AY208" s="306">
        <f t="shared" si="18"/>
        <v>0.14699999999999999</v>
      </c>
      <c r="AZ208" s="306">
        <f t="shared" si="19"/>
        <v>0.14699999999999999</v>
      </c>
      <c r="BA208" s="309">
        <f t="shared" si="20"/>
        <v>0.14699999999999999</v>
      </c>
      <c r="BB208" s="308">
        <f t="shared" si="21"/>
        <v>0</v>
      </c>
      <c r="BC208" s="308">
        <v>0.3276575498085052</v>
      </c>
      <c r="BD208" s="291">
        <v>0.32772001873823314</v>
      </c>
      <c r="BF208" s="194">
        <v>42614</v>
      </c>
      <c r="BG208" s="206">
        <v>196</v>
      </c>
      <c r="HZ208" s="308">
        <f t="shared" si="22"/>
        <v>0</v>
      </c>
      <c r="IA208" s="291">
        <v>198</v>
      </c>
    </row>
    <row r="209" spans="1:235" x14ac:dyDescent="0.25">
      <c r="A209" s="319"/>
      <c r="B209" s="314"/>
      <c r="C209" s="294">
        <v>3.5019999999999998</v>
      </c>
      <c r="D209" s="294">
        <v>0.15</v>
      </c>
      <c r="E209" s="388">
        <v>7.0645600561766997E-2</v>
      </c>
      <c r="F209" s="294">
        <v>0</v>
      </c>
      <c r="G209" s="294">
        <v>7.4999999999999997E-3</v>
      </c>
      <c r="H209" s="294">
        <v>0</v>
      </c>
      <c r="I209" s="294">
        <v>0</v>
      </c>
      <c r="J209" s="294">
        <v>0.1875</v>
      </c>
      <c r="K209" s="294">
        <v>0.215</v>
      </c>
      <c r="L209" s="294">
        <v>-0.04</v>
      </c>
      <c r="M209" s="388">
        <v>6.9388939039072299E-18</v>
      </c>
      <c r="N209" s="294">
        <v>0</v>
      </c>
      <c r="O209" s="294"/>
      <c r="P209" s="294">
        <v>6.4999999999999997E-3</v>
      </c>
      <c r="Q209" s="294">
        <v>0</v>
      </c>
      <c r="R209" s="389">
        <v>-5.4999990000000002E-3</v>
      </c>
      <c r="S209" s="291">
        <v>0</v>
      </c>
      <c r="T209" s="291">
        <v>0</v>
      </c>
      <c r="U209" s="291">
        <v>-1.8499999999999999E-2</v>
      </c>
      <c r="V209" s="291">
        <v>-8.1000000000000003E-2</v>
      </c>
      <c r="W209" s="291">
        <v>0</v>
      </c>
      <c r="X209" s="291">
        <v>0.46100000000000002</v>
      </c>
      <c r="Y209" s="291">
        <v>5.0000000000000001E-3</v>
      </c>
      <c r="Z209" s="291">
        <v>-0.19</v>
      </c>
      <c r="AA209" s="291">
        <v>-9.9999990000000007E-3</v>
      </c>
      <c r="AB209" s="306">
        <v>0.29499999999999998</v>
      </c>
      <c r="AC209" s="306">
        <v>0.36249999999999999</v>
      </c>
      <c r="AD209" s="306">
        <v>0</v>
      </c>
      <c r="AE209" s="431">
        <v>0.15</v>
      </c>
      <c r="AF209" s="431">
        <v>0.15</v>
      </c>
      <c r="AG209" s="431">
        <v>0.14699999999999999</v>
      </c>
      <c r="AH209" s="431">
        <v>0.15</v>
      </c>
      <c r="AI209" s="431">
        <v>0.153</v>
      </c>
      <c r="AJ209" s="431">
        <v>0.15</v>
      </c>
      <c r="AK209" s="431">
        <v>0.14699999999999999</v>
      </c>
      <c r="AL209" s="431">
        <v>0.14699999999999999</v>
      </c>
      <c r="AM209" s="431">
        <v>0.15</v>
      </c>
      <c r="AN209" s="431">
        <v>0.15</v>
      </c>
      <c r="AO209" s="431">
        <v>0.15</v>
      </c>
      <c r="AP209" s="432">
        <v>0.15</v>
      </c>
      <c r="AQ209" s="432">
        <v>0.15</v>
      </c>
      <c r="AR209" s="432">
        <v>0.15</v>
      </c>
      <c r="AS209" s="432">
        <v>0.15</v>
      </c>
      <c r="AT209" s="431">
        <v>0.15</v>
      </c>
      <c r="AU209" s="431">
        <v>0.15</v>
      </c>
      <c r="AV209" s="431">
        <v>0.14699999999999999</v>
      </c>
      <c r="AW209" s="389">
        <v>7.0459923426004004E-2</v>
      </c>
      <c r="AX209" s="291"/>
      <c r="AY209" s="306">
        <f t="shared" ref="AY209:AY235" si="23">AG209</f>
        <v>0.14699999999999999</v>
      </c>
      <c r="AZ209" s="306">
        <f t="shared" ref="AZ209:AZ235" si="24">AG209</f>
        <v>0.14699999999999999</v>
      </c>
      <c r="BA209" s="309">
        <f t="shared" ref="BA209:BA235" si="25">AG209</f>
        <v>0.14699999999999999</v>
      </c>
      <c r="BB209" s="308">
        <f t="shared" ref="BB209:BB235" si="26">B209</f>
        <v>0</v>
      </c>
      <c r="BC209" s="308">
        <v>0.32576464153303619</v>
      </c>
      <c r="BD209" s="291">
        <v>0.32582675371653125</v>
      </c>
      <c r="BF209" s="194">
        <v>42644</v>
      </c>
      <c r="BG209" s="206">
        <v>197</v>
      </c>
      <c r="HZ209" s="308">
        <f t="shared" si="22"/>
        <v>0</v>
      </c>
      <c r="IA209" s="291">
        <v>199</v>
      </c>
    </row>
    <row r="210" spans="1:235" x14ac:dyDescent="0.25">
      <c r="A210" s="319"/>
      <c r="B210" s="314"/>
      <c r="C210" s="294">
        <v>3.5289999999999999</v>
      </c>
      <c r="D210" s="294">
        <v>0.15</v>
      </c>
      <c r="E210" s="294">
        <v>7.0646766577425996E-2</v>
      </c>
      <c r="F210" s="294">
        <v>0</v>
      </c>
      <c r="G210" s="294">
        <v>-3.2500000000000001E-2</v>
      </c>
      <c r="H210" s="294">
        <v>0</v>
      </c>
      <c r="I210" s="294">
        <v>0</v>
      </c>
      <c r="J210" s="294">
        <v>0.27</v>
      </c>
      <c r="K210" s="294">
        <v>0.28749999999999998</v>
      </c>
      <c r="L210" s="294">
        <v>-5.5E-2</v>
      </c>
      <c r="M210" s="388">
        <v>7.4999999999999997E-3</v>
      </c>
      <c r="N210" s="294">
        <v>0</v>
      </c>
      <c r="O210" s="294"/>
      <c r="P210" s="294">
        <v>1.6E-2</v>
      </c>
      <c r="Q210" s="294">
        <v>0</v>
      </c>
      <c r="R210" s="389">
        <v>-8.4999989999999994E-3</v>
      </c>
      <c r="S210" s="291">
        <v>0</v>
      </c>
      <c r="T210" s="291">
        <v>0</v>
      </c>
      <c r="U210" s="291">
        <v>-1.7500000000000002E-2</v>
      </c>
      <c r="V210" s="291">
        <v>-7.85E-2</v>
      </c>
      <c r="W210" s="291">
        <v>0</v>
      </c>
      <c r="X210" s="291">
        <v>0.76749999999999996</v>
      </c>
      <c r="Y210" s="291">
        <v>5.0000000000000001E-3</v>
      </c>
      <c r="Z210" s="291">
        <v>-0.19</v>
      </c>
      <c r="AA210" s="291">
        <v>-1.15E-2</v>
      </c>
      <c r="AB210" s="306">
        <v>0.12</v>
      </c>
      <c r="AC210" s="306">
        <v>0.46500000000000002</v>
      </c>
      <c r="AD210" s="306">
        <v>0</v>
      </c>
      <c r="AE210" s="431">
        <v>0.15</v>
      </c>
      <c r="AF210" s="431">
        <v>0.15</v>
      </c>
      <c r="AG210" s="431">
        <v>0.16500000000000001</v>
      </c>
      <c r="AH210" s="431">
        <v>0.15</v>
      </c>
      <c r="AI210" s="431">
        <v>0.153</v>
      </c>
      <c r="AJ210" s="431">
        <v>0.15</v>
      </c>
      <c r="AK210" s="431">
        <v>0.15</v>
      </c>
      <c r="AL210" s="431">
        <v>0.15</v>
      </c>
      <c r="AM210" s="431">
        <v>0.15</v>
      </c>
      <c r="AN210" s="431">
        <v>0.15</v>
      </c>
      <c r="AO210" s="431">
        <v>0.15</v>
      </c>
      <c r="AP210" s="432">
        <v>0.15</v>
      </c>
      <c r="AQ210" s="432">
        <v>0.15</v>
      </c>
      <c r="AR210" s="432">
        <v>0.15</v>
      </c>
      <c r="AS210" s="432">
        <v>0.15</v>
      </c>
      <c r="AT210" s="431">
        <v>0.15</v>
      </c>
      <c r="AU210" s="431">
        <v>0.15</v>
      </c>
      <c r="AV210" s="431">
        <v>0.16500000000000001</v>
      </c>
      <c r="AW210" s="291">
        <v>7.0466876943537995E-2</v>
      </c>
      <c r="AX210" s="291"/>
      <c r="AY210" s="306">
        <f t="shared" si="23"/>
        <v>0.16500000000000001</v>
      </c>
      <c r="AZ210" s="306">
        <f t="shared" si="24"/>
        <v>0.16500000000000001</v>
      </c>
      <c r="BA210" s="309">
        <f t="shared" si="25"/>
        <v>0.16500000000000001</v>
      </c>
      <c r="BB210" s="308">
        <f t="shared" si="26"/>
        <v>0</v>
      </c>
      <c r="BC210" s="308">
        <v>0.32381986448028971</v>
      </c>
      <c r="BD210" s="291">
        <v>0.32388161011639915</v>
      </c>
      <c r="BF210" s="194">
        <v>42675</v>
      </c>
      <c r="BG210" s="206">
        <v>198</v>
      </c>
      <c r="HZ210" s="308">
        <f t="shared" si="22"/>
        <v>0</v>
      </c>
      <c r="IA210" s="291">
        <v>200</v>
      </c>
    </row>
    <row r="211" spans="1:235" x14ac:dyDescent="0.25">
      <c r="A211" s="319"/>
      <c r="B211" s="314"/>
      <c r="C211" s="294">
        <v>3.5760000000000001</v>
      </c>
      <c r="D211" s="294">
        <v>0.15</v>
      </c>
      <c r="E211" s="294">
        <v>7.0647894979677994E-2</v>
      </c>
      <c r="F211" s="294">
        <v>0</v>
      </c>
      <c r="G211" s="294">
        <v>-5.5E-2</v>
      </c>
      <c r="H211" s="294">
        <v>0</v>
      </c>
      <c r="I211" s="294">
        <v>0</v>
      </c>
      <c r="J211" s="294">
        <v>0.30499999999999999</v>
      </c>
      <c r="K211" s="294">
        <v>0.33750000000000002</v>
      </c>
      <c r="L211" s="294">
        <v>-5.5E-2</v>
      </c>
      <c r="M211" s="388">
        <v>7.4999999999999997E-3</v>
      </c>
      <c r="N211" s="294">
        <v>0</v>
      </c>
      <c r="O211" s="294"/>
      <c r="P211" s="294">
        <v>1.6E-2</v>
      </c>
      <c r="Q211" s="294">
        <v>0</v>
      </c>
      <c r="R211" s="389">
        <v>-8.4999989999999994E-3</v>
      </c>
      <c r="S211" s="291">
        <v>0</v>
      </c>
      <c r="T211" s="291">
        <v>0</v>
      </c>
      <c r="U211" s="291">
        <v>-1.7500000000000002E-2</v>
      </c>
      <c r="V211" s="291">
        <v>-0.1135</v>
      </c>
      <c r="W211" s="291">
        <v>0</v>
      </c>
      <c r="X211" s="291">
        <v>1.19</v>
      </c>
      <c r="Y211" s="291">
        <v>5.0000000000000001E-3</v>
      </c>
      <c r="Z211" s="291">
        <v>-0.19</v>
      </c>
      <c r="AA211" s="389">
        <v>-1.15E-2</v>
      </c>
      <c r="AB211" s="306">
        <v>0.12</v>
      </c>
      <c r="AC211" s="306">
        <v>0.8</v>
      </c>
      <c r="AD211" s="306">
        <v>0</v>
      </c>
      <c r="AE211" s="431">
        <v>0.15</v>
      </c>
      <c r="AF211" s="431">
        <v>0.15</v>
      </c>
      <c r="AG211" s="431">
        <v>0.16500000000000001</v>
      </c>
      <c r="AH211" s="431">
        <v>0.15</v>
      </c>
      <c r="AI211" s="431">
        <v>0.153</v>
      </c>
      <c r="AJ211" s="431">
        <v>0.15</v>
      </c>
      <c r="AK211" s="431">
        <v>0.15</v>
      </c>
      <c r="AL211" s="431">
        <v>0.15</v>
      </c>
      <c r="AM211" s="431">
        <v>0.15</v>
      </c>
      <c r="AN211" s="431">
        <v>0.15</v>
      </c>
      <c r="AO211" s="431">
        <v>0.15</v>
      </c>
      <c r="AP211" s="432">
        <v>0.15</v>
      </c>
      <c r="AQ211" s="432">
        <v>0.15</v>
      </c>
      <c r="AR211" s="432">
        <v>0.15</v>
      </c>
      <c r="AS211" s="432">
        <v>0.15</v>
      </c>
      <c r="AT211" s="431">
        <v>0.15</v>
      </c>
      <c r="AU211" s="431">
        <v>0.15</v>
      </c>
      <c r="AV211" s="431">
        <v>0.16500000000000001</v>
      </c>
      <c r="AW211" s="291">
        <v>7.0473606154069002E-2</v>
      </c>
      <c r="AX211" s="291"/>
      <c r="AY211" s="306">
        <f t="shared" si="23"/>
        <v>0.16500000000000001</v>
      </c>
      <c r="AZ211" s="306">
        <f t="shared" si="24"/>
        <v>0.16500000000000001</v>
      </c>
      <c r="BA211" s="309">
        <f t="shared" si="25"/>
        <v>0.16500000000000001</v>
      </c>
      <c r="BB211" s="308">
        <f t="shared" si="26"/>
        <v>0</v>
      </c>
      <c r="BC211" s="308">
        <v>0.32194862760322462</v>
      </c>
      <c r="BD211" s="291">
        <v>0.32201002052789007</v>
      </c>
      <c r="BF211" s="194">
        <v>42705</v>
      </c>
      <c r="BG211" s="206">
        <v>199</v>
      </c>
      <c r="HZ211" s="308">
        <f t="shared" si="22"/>
        <v>0</v>
      </c>
      <c r="IA211" s="291">
        <v>201</v>
      </c>
    </row>
    <row r="212" spans="1:235" x14ac:dyDescent="0.25">
      <c r="A212" s="319"/>
      <c r="B212" s="314"/>
      <c r="C212" s="294">
        <v>3.8975</v>
      </c>
      <c r="D212" s="294">
        <v>0.15</v>
      </c>
      <c r="E212" s="294">
        <v>7.0649060995338006E-2</v>
      </c>
      <c r="F212" s="294">
        <v>0</v>
      </c>
      <c r="G212" s="294">
        <v>-5.7500000000000002E-2</v>
      </c>
      <c r="H212" s="294">
        <v>0</v>
      </c>
      <c r="I212" s="294">
        <v>0</v>
      </c>
      <c r="J212" s="294">
        <v>0.30499999999999999</v>
      </c>
      <c r="K212" s="294">
        <v>0.4375</v>
      </c>
      <c r="L212" s="294">
        <v>-5.5E-2</v>
      </c>
      <c r="M212" s="388">
        <v>9.4999999999999998E-3</v>
      </c>
      <c r="N212" s="294">
        <v>0</v>
      </c>
      <c r="O212" s="294"/>
      <c r="P212" s="294">
        <v>1.6E-2</v>
      </c>
      <c r="Q212" s="294">
        <v>0</v>
      </c>
      <c r="R212" s="389">
        <v>-3.9999989999999997E-3</v>
      </c>
      <c r="S212" s="291">
        <v>0</v>
      </c>
      <c r="T212" s="291">
        <v>0</v>
      </c>
      <c r="U212" s="291">
        <v>-1.7500000000000002E-2</v>
      </c>
      <c r="V212" s="291">
        <v>-0.11899999999999999</v>
      </c>
      <c r="W212" s="291">
        <v>0</v>
      </c>
      <c r="X212" s="291">
        <v>1.5249999999999999</v>
      </c>
      <c r="Y212" s="291">
        <v>5.0000000000000001E-3</v>
      </c>
      <c r="Z212" s="291">
        <v>-0.19</v>
      </c>
      <c r="AA212" s="389">
        <v>-1.15E-2</v>
      </c>
      <c r="AB212" s="306">
        <v>0.12</v>
      </c>
      <c r="AC212" s="306">
        <v>0.97499999999999998</v>
      </c>
      <c r="AD212" s="306">
        <v>0</v>
      </c>
      <c r="AE212" s="431">
        <v>0.15</v>
      </c>
      <c r="AF212" s="431">
        <v>0.15</v>
      </c>
      <c r="AG212" s="431">
        <v>0.16500000000000001</v>
      </c>
      <c r="AH212" s="431">
        <v>0.15</v>
      </c>
      <c r="AI212" s="431">
        <v>0.153</v>
      </c>
      <c r="AJ212" s="431">
        <v>0.15</v>
      </c>
      <c r="AK212" s="431">
        <v>0.15</v>
      </c>
      <c r="AL212" s="431">
        <v>0.15</v>
      </c>
      <c r="AM212" s="431">
        <v>0.15</v>
      </c>
      <c r="AN212" s="431">
        <v>0.15</v>
      </c>
      <c r="AO212" s="431">
        <v>0.15</v>
      </c>
      <c r="AP212" s="432">
        <v>0.15</v>
      </c>
      <c r="AQ212" s="432">
        <v>0.15</v>
      </c>
      <c r="AR212" s="432">
        <v>0.15</v>
      </c>
      <c r="AS212" s="432">
        <v>0.15</v>
      </c>
      <c r="AT212" s="431">
        <v>0.15</v>
      </c>
      <c r="AU212" s="431">
        <v>0.15</v>
      </c>
      <c r="AV212" s="431">
        <v>0.16500000000000001</v>
      </c>
      <c r="AW212" s="291">
        <v>7.0480559671633997E-2</v>
      </c>
      <c r="AX212" s="291"/>
      <c r="AY212" s="306">
        <f t="shared" si="23"/>
        <v>0.16500000000000001</v>
      </c>
      <c r="AZ212" s="306">
        <f t="shared" si="24"/>
        <v>0.16500000000000001</v>
      </c>
      <c r="BA212" s="309">
        <f t="shared" si="25"/>
        <v>0.16500000000000001</v>
      </c>
      <c r="BB212" s="308">
        <f t="shared" si="26"/>
        <v>0</v>
      </c>
      <c r="BC212" s="308">
        <v>0.32002611888219629</v>
      </c>
      <c r="BD212" s="291">
        <v>0.32008714940570454</v>
      </c>
      <c r="BF212" s="194">
        <v>42736</v>
      </c>
      <c r="BG212" s="206">
        <v>200</v>
      </c>
      <c r="HZ212" s="308">
        <f t="shared" si="22"/>
        <v>0</v>
      </c>
      <c r="IA212" s="291">
        <v>202</v>
      </c>
    </row>
    <row r="213" spans="1:235" x14ac:dyDescent="0.25">
      <c r="A213" s="319"/>
      <c r="B213" s="314"/>
      <c r="C213" s="294">
        <v>3.8115000000000001</v>
      </c>
      <c r="D213" s="294">
        <v>0.15</v>
      </c>
      <c r="E213" s="294">
        <v>7.0650227011000002E-2</v>
      </c>
      <c r="F213" s="294">
        <v>0</v>
      </c>
      <c r="G213" s="294">
        <v>-0.04</v>
      </c>
      <c r="H213" s="294">
        <v>0</v>
      </c>
      <c r="I213" s="294">
        <v>0</v>
      </c>
      <c r="J213" s="294">
        <v>0.30499999999999999</v>
      </c>
      <c r="K213" s="294">
        <v>0.435</v>
      </c>
      <c r="L213" s="294">
        <v>-5.5E-2</v>
      </c>
      <c r="M213" s="388">
        <v>9.4999999999999998E-3</v>
      </c>
      <c r="N213" s="294">
        <v>0</v>
      </c>
      <c r="O213" s="294"/>
      <c r="P213" s="294">
        <v>1.6E-2</v>
      </c>
      <c r="Q213" s="294">
        <v>0</v>
      </c>
      <c r="R213" s="389">
        <v>-3.9999989999999997E-3</v>
      </c>
      <c r="S213" s="291">
        <v>0</v>
      </c>
      <c r="T213" s="291">
        <v>0</v>
      </c>
      <c r="U213" s="291">
        <v>-1.7500000000000002E-2</v>
      </c>
      <c r="V213" s="291">
        <v>-0.10150000000000001</v>
      </c>
      <c r="W213" s="291">
        <v>0</v>
      </c>
      <c r="X213" s="291">
        <v>1.4550000000000001</v>
      </c>
      <c r="Y213" s="291">
        <v>5.0000000000000001E-3</v>
      </c>
      <c r="Z213" s="291">
        <v>-0.19</v>
      </c>
      <c r="AA213" s="389">
        <v>-1.15E-2</v>
      </c>
      <c r="AB213" s="306">
        <v>0.12</v>
      </c>
      <c r="AC213" s="306">
        <v>0.97499999999999998</v>
      </c>
      <c r="AD213" s="306">
        <v>0</v>
      </c>
      <c r="AE213" s="431">
        <v>0.15</v>
      </c>
      <c r="AF213" s="431">
        <v>0.15</v>
      </c>
      <c r="AG213" s="431">
        <v>0.16500000000000001</v>
      </c>
      <c r="AH213" s="431">
        <v>0.15</v>
      </c>
      <c r="AI213" s="431">
        <v>0.153</v>
      </c>
      <c r="AJ213" s="431">
        <v>0.15</v>
      </c>
      <c r="AK213" s="431">
        <v>0.15</v>
      </c>
      <c r="AL213" s="431">
        <v>0.15</v>
      </c>
      <c r="AM213" s="431">
        <v>0.15</v>
      </c>
      <c r="AN213" s="431">
        <v>0.15</v>
      </c>
      <c r="AO213" s="431">
        <v>0.15</v>
      </c>
      <c r="AP213" s="432">
        <v>0.15</v>
      </c>
      <c r="AQ213" s="432">
        <v>0.15</v>
      </c>
      <c r="AR213" s="432">
        <v>0.15</v>
      </c>
      <c r="AS213" s="432">
        <v>0.15</v>
      </c>
      <c r="AT213" s="431">
        <v>0.15</v>
      </c>
      <c r="AU213" s="431">
        <v>0.15</v>
      </c>
      <c r="AV213" s="431">
        <v>0.16500000000000001</v>
      </c>
      <c r="AW213" s="291">
        <v>7.0487513189215006E-2</v>
      </c>
      <c r="AX213" s="291"/>
      <c r="AY213" s="306">
        <f t="shared" si="23"/>
        <v>0.16500000000000001</v>
      </c>
      <c r="AZ213" s="306">
        <f t="shared" si="24"/>
        <v>0.16500000000000001</v>
      </c>
      <c r="BA213" s="309">
        <f t="shared" si="25"/>
        <v>0.16500000000000001</v>
      </c>
      <c r="BB213" s="308">
        <f t="shared" si="26"/>
        <v>0</v>
      </c>
      <c r="BC213" s="308">
        <v>0.31811483131762114</v>
      </c>
      <c r="BD213" s="291">
        <v>0.31817550152951335</v>
      </c>
      <c r="BF213" s="194">
        <v>42767</v>
      </c>
      <c r="BG213" s="206">
        <v>201</v>
      </c>
      <c r="HZ213" s="308">
        <f t="shared" si="22"/>
        <v>0</v>
      </c>
      <c r="IA213" s="291">
        <v>203</v>
      </c>
    </row>
    <row r="214" spans="1:235" x14ac:dyDescent="0.25">
      <c r="A214" s="319"/>
      <c r="B214" s="314"/>
      <c r="C214" s="294">
        <v>3.6835</v>
      </c>
      <c r="D214" s="294">
        <v>0.15</v>
      </c>
      <c r="E214" s="294">
        <v>7.0651280186435003E-2</v>
      </c>
      <c r="F214" s="294">
        <v>0</v>
      </c>
      <c r="G214" s="294">
        <v>-2.75E-2</v>
      </c>
      <c r="H214" s="294">
        <v>0</v>
      </c>
      <c r="I214" s="294">
        <v>0</v>
      </c>
      <c r="J214" s="294">
        <v>0.26500000000000001</v>
      </c>
      <c r="K214" s="294">
        <v>0.30249999999999999</v>
      </c>
      <c r="L214" s="294">
        <v>0</v>
      </c>
      <c r="M214" s="294">
        <v>0</v>
      </c>
      <c r="N214" s="294">
        <v>0</v>
      </c>
      <c r="O214" s="294"/>
      <c r="P214" s="294">
        <v>0</v>
      </c>
      <c r="Q214" s="294">
        <v>0</v>
      </c>
      <c r="R214" s="389">
        <v>0</v>
      </c>
      <c r="S214" s="291">
        <v>0</v>
      </c>
      <c r="T214" s="291">
        <v>0</v>
      </c>
      <c r="U214" s="291">
        <v>1E-3</v>
      </c>
      <c r="V214" s="291">
        <v>0</v>
      </c>
      <c r="W214" s="291">
        <v>0</v>
      </c>
      <c r="X214" s="291">
        <v>0.83499999999999996</v>
      </c>
      <c r="Y214" s="291">
        <v>0</v>
      </c>
      <c r="Z214" s="291">
        <v>-0.19</v>
      </c>
      <c r="AA214" s="389">
        <v>0</v>
      </c>
      <c r="AB214" s="306">
        <v>0.12</v>
      </c>
      <c r="AC214" s="306">
        <v>0.60750000000000004</v>
      </c>
      <c r="AD214" s="306">
        <v>0</v>
      </c>
      <c r="AE214" s="431">
        <v>0.15</v>
      </c>
      <c r="AF214" s="431">
        <v>0.15</v>
      </c>
      <c r="AG214" s="431">
        <v>0.16500000000000001</v>
      </c>
      <c r="AH214" s="431">
        <v>0.15</v>
      </c>
      <c r="AI214" s="431">
        <v>0.153</v>
      </c>
      <c r="AJ214" s="431">
        <v>0.15</v>
      </c>
      <c r="AK214" s="431">
        <v>0.15</v>
      </c>
      <c r="AL214" s="431">
        <v>0.15</v>
      </c>
      <c r="AM214" s="431">
        <v>0.15</v>
      </c>
      <c r="AN214" s="431">
        <v>0.15</v>
      </c>
      <c r="AO214" s="431">
        <v>0.15</v>
      </c>
      <c r="AP214" s="432">
        <v>0.15</v>
      </c>
      <c r="AQ214" s="432">
        <v>0.15</v>
      </c>
      <c r="AR214" s="432">
        <v>0.15</v>
      </c>
      <c r="AS214" s="432">
        <v>0.15</v>
      </c>
      <c r="AT214" s="431">
        <v>0.15</v>
      </c>
      <c r="AU214" s="431">
        <v>0.15</v>
      </c>
      <c r="AV214" s="431">
        <v>0.16500000000000001</v>
      </c>
      <c r="AW214" s="291">
        <v>7.0493793785753003E-2</v>
      </c>
      <c r="AX214" s="291"/>
      <c r="AY214" s="306">
        <f t="shared" si="23"/>
        <v>0.16500000000000001</v>
      </c>
      <c r="AZ214" s="306">
        <f t="shared" si="24"/>
        <v>0.16500000000000001</v>
      </c>
      <c r="BA214" s="309">
        <f t="shared" si="25"/>
        <v>0.16500000000000001</v>
      </c>
      <c r="BB214" s="308">
        <f t="shared" si="26"/>
        <v>0</v>
      </c>
      <c r="BC214" s="308">
        <v>0.31639809872079627</v>
      </c>
      <c r="BD214" s="291">
        <v>0.31645844527617112</v>
      </c>
      <c r="BF214" s="194">
        <v>42795</v>
      </c>
      <c r="BG214" s="206">
        <v>202</v>
      </c>
      <c r="HZ214" s="308">
        <f t="shared" si="22"/>
        <v>0</v>
      </c>
      <c r="IA214" s="291">
        <v>204</v>
      </c>
    </row>
    <row r="215" spans="1:235" x14ac:dyDescent="0.25">
      <c r="A215" s="319"/>
      <c r="B215" s="314"/>
      <c r="C215" s="294">
        <v>3.5474999999999999</v>
      </c>
      <c r="D215" s="294">
        <v>0.15</v>
      </c>
      <c r="E215" s="294">
        <v>7.0652446202096E-2</v>
      </c>
      <c r="F215" s="294">
        <v>0</v>
      </c>
      <c r="G215" s="294">
        <v>4.4976599999999999E-2</v>
      </c>
      <c r="H215" s="294">
        <v>0</v>
      </c>
      <c r="I215" s="294">
        <v>0</v>
      </c>
      <c r="J215" s="294">
        <v>0.19500000000000001</v>
      </c>
      <c r="K215" s="294">
        <v>0.25</v>
      </c>
      <c r="L215" s="294">
        <v>0</v>
      </c>
      <c r="M215" s="294">
        <v>0</v>
      </c>
      <c r="N215" s="294">
        <v>0</v>
      </c>
      <c r="O215" s="294"/>
      <c r="P215" s="294">
        <v>0</v>
      </c>
      <c r="Q215" s="294">
        <v>0</v>
      </c>
      <c r="R215" s="291">
        <v>0</v>
      </c>
      <c r="S215" s="291">
        <v>0</v>
      </c>
      <c r="T215" s="291">
        <v>0</v>
      </c>
      <c r="U215" s="389">
        <v>1E-3</v>
      </c>
      <c r="V215" s="291">
        <v>0</v>
      </c>
      <c r="W215" s="291">
        <v>0</v>
      </c>
      <c r="X215" s="291">
        <v>0.45</v>
      </c>
      <c r="Y215" s="291">
        <v>0</v>
      </c>
      <c r="Z215" s="291">
        <v>-0.19</v>
      </c>
      <c r="AA215" s="291">
        <v>0</v>
      </c>
      <c r="AB215" s="306">
        <v>0.29499999999999998</v>
      </c>
      <c r="AC215" s="306">
        <v>0.35499999999999998</v>
      </c>
      <c r="AD215" s="306">
        <v>0</v>
      </c>
      <c r="AE215" s="431">
        <v>0.15</v>
      </c>
      <c r="AF215" s="431">
        <v>0.15</v>
      </c>
      <c r="AG215" s="431">
        <v>0.14699999999999999</v>
      </c>
      <c r="AH215" s="431">
        <v>0.15</v>
      </c>
      <c r="AI215" s="431">
        <v>0.153</v>
      </c>
      <c r="AJ215" s="431">
        <v>0.15</v>
      </c>
      <c r="AK215" s="431">
        <v>0.14699999999999999</v>
      </c>
      <c r="AL215" s="431">
        <v>0.14699999999999999</v>
      </c>
      <c r="AM215" s="431">
        <v>0.15</v>
      </c>
      <c r="AN215" s="431">
        <v>0.15</v>
      </c>
      <c r="AO215" s="431">
        <v>0.15</v>
      </c>
      <c r="AP215" s="432">
        <v>0.15</v>
      </c>
      <c r="AQ215" s="432">
        <v>0.15</v>
      </c>
      <c r="AR215" s="432">
        <v>0.15</v>
      </c>
      <c r="AS215" s="432">
        <v>0.15</v>
      </c>
      <c r="AT215" s="431">
        <v>0.15</v>
      </c>
      <c r="AU215" s="431">
        <v>0.15</v>
      </c>
      <c r="AV215" s="431">
        <v>0.14699999999999999</v>
      </c>
      <c r="AW215" s="291">
        <v>7.0500747303364003E-2</v>
      </c>
      <c r="AX215" s="291"/>
      <c r="AY215" s="306">
        <f t="shared" si="23"/>
        <v>0.14699999999999999</v>
      </c>
      <c r="AZ215" s="306">
        <f t="shared" si="24"/>
        <v>0.14699999999999999</v>
      </c>
      <c r="BA215" s="309">
        <f t="shared" si="25"/>
        <v>0.14699999999999999</v>
      </c>
      <c r="BB215" s="308">
        <f t="shared" si="26"/>
        <v>0</v>
      </c>
      <c r="BC215" s="308">
        <v>0.31450799127471424</v>
      </c>
      <c r="BD215" s="291">
        <v>0.31456798146294007</v>
      </c>
      <c r="BF215" s="194">
        <v>42826</v>
      </c>
      <c r="BG215" s="206">
        <v>203</v>
      </c>
      <c r="HZ215" s="308">
        <f t="shared" si="22"/>
        <v>0</v>
      </c>
      <c r="IA215" s="291">
        <v>205</v>
      </c>
    </row>
    <row r="216" spans="1:235" x14ac:dyDescent="0.25">
      <c r="B216" s="314"/>
      <c r="C216" s="294">
        <v>3.5495000000000001</v>
      </c>
      <c r="D216" s="294">
        <v>0.15</v>
      </c>
      <c r="E216" s="294">
        <v>7.0653574604349997E-2</v>
      </c>
      <c r="F216" s="294">
        <v>0</v>
      </c>
      <c r="G216" s="294">
        <v>4.4968099999999997E-2</v>
      </c>
      <c r="H216" s="294">
        <v>0</v>
      </c>
      <c r="I216" s="294">
        <v>0</v>
      </c>
      <c r="J216" s="294">
        <v>0.1825</v>
      </c>
      <c r="K216" s="294">
        <v>0.20250000000000001</v>
      </c>
      <c r="L216" s="294">
        <v>0</v>
      </c>
      <c r="M216" s="294">
        <v>0</v>
      </c>
      <c r="N216" s="294">
        <v>0</v>
      </c>
      <c r="O216" s="294"/>
      <c r="P216" s="294">
        <v>0</v>
      </c>
      <c r="Q216" s="294">
        <v>0</v>
      </c>
      <c r="R216" s="291">
        <v>0</v>
      </c>
      <c r="S216" s="291">
        <v>0</v>
      </c>
      <c r="T216" s="291">
        <v>0</v>
      </c>
      <c r="U216" s="389">
        <v>7.5000000000000804E-4</v>
      </c>
      <c r="V216" s="291">
        <v>0</v>
      </c>
      <c r="W216" s="291">
        <v>0</v>
      </c>
      <c r="X216" s="291">
        <v>0.40500000000000003</v>
      </c>
      <c r="Y216" s="291">
        <v>0</v>
      </c>
      <c r="Z216" s="291">
        <v>-0.19</v>
      </c>
      <c r="AA216" s="291">
        <v>0</v>
      </c>
      <c r="AB216" s="306">
        <v>0.29499999999999998</v>
      </c>
      <c r="AC216" s="306">
        <v>0.28749999999999998</v>
      </c>
      <c r="AD216" s="306">
        <v>0</v>
      </c>
      <c r="AE216" s="431">
        <v>0.15</v>
      </c>
      <c r="AF216" s="431">
        <v>0.15</v>
      </c>
      <c r="AG216" s="431">
        <v>0.14699999999999999</v>
      </c>
      <c r="AH216" s="431">
        <v>0.15</v>
      </c>
      <c r="AI216" s="431">
        <v>0.153</v>
      </c>
      <c r="AJ216" s="431">
        <v>0.15</v>
      </c>
      <c r="AK216" s="431">
        <v>0.14699999999999999</v>
      </c>
      <c r="AL216" s="431">
        <v>0.14699999999999999</v>
      </c>
      <c r="AM216" s="431">
        <v>0.15</v>
      </c>
      <c r="AN216" s="431">
        <v>0.15</v>
      </c>
      <c r="AO216" s="431">
        <v>0.15</v>
      </c>
      <c r="AP216" s="432">
        <v>0.15</v>
      </c>
      <c r="AQ216" s="432">
        <v>0.15</v>
      </c>
      <c r="AR216" s="432">
        <v>0.15</v>
      </c>
      <c r="AS216" s="432">
        <v>0.15</v>
      </c>
      <c r="AT216" s="431">
        <v>0.15</v>
      </c>
      <c r="AU216" s="431">
        <v>0.15</v>
      </c>
      <c r="AV216" s="431">
        <v>0.14699999999999999</v>
      </c>
      <c r="AW216" s="291">
        <v>7.0507476513971004E-2</v>
      </c>
      <c r="AX216" s="291"/>
      <c r="AY216" s="306">
        <f t="shared" si="23"/>
        <v>0.14699999999999999</v>
      </c>
      <c r="AZ216" s="306">
        <f t="shared" si="24"/>
        <v>0.14699999999999999</v>
      </c>
      <c r="BA216" s="309">
        <f t="shared" si="25"/>
        <v>0.14699999999999999</v>
      </c>
      <c r="BB216" s="308">
        <f t="shared" si="26"/>
        <v>0</v>
      </c>
      <c r="BC216" s="308">
        <v>0.31268936398042224</v>
      </c>
      <c r="BD216" s="291">
        <v>0.31274901125454979</v>
      </c>
      <c r="BF216" s="194">
        <v>42856</v>
      </c>
      <c r="BG216" s="206">
        <v>204</v>
      </c>
      <c r="HZ216" s="308">
        <f t="shared" si="22"/>
        <v>0</v>
      </c>
      <c r="IA216" s="291">
        <v>206</v>
      </c>
    </row>
    <row r="217" spans="1:235" x14ac:dyDescent="0.25">
      <c r="B217" s="314"/>
      <c r="C217" s="294">
        <v>3.5834999999999999</v>
      </c>
      <c r="D217" s="294">
        <v>0.15</v>
      </c>
      <c r="E217" s="294">
        <v>7.0654740620011994E-2</v>
      </c>
      <c r="F217" s="294">
        <v>0</v>
      </c>
      <c r="G217" s="294">
        <v>4.4968099999999997E-2</v>
      </c>
      <c r="H217" s="294">
        <v>0</v>
      </c>
      <c r="I217" s="294">
        <v>0</v>
      </c>
      <c r="J217" s="294">
        <v>0.1825</v>
      </c>
      <c r="K217" s="294">
        <v>0.20250000000000001</v>
      </c>
      <c r="L217" s="294">
        <v>0</v>
      </c>
      <c r="M217" s="294">
        <v>0</v>
      </c>
      <c r="N217" s="294">
        <v>0</v>
      </c>
      <c r="O217" s="294"/>
      <c r="P217" s="294">
        <v>0</v>
      </c>
      <c r="Q217" s="294">
        <v>0</v>
      </c>
      <c r="R217" s="291">
        <v>0</v>
      </c>
      <c r="S217" s="291">
        <v>0</v>
      </c>
      <c r="T217" s="291">
        <v>0</v>
      </c>
      <c r="U217" s="389">
        <v>7.5000000000000804E-4</v>
      </c>
      <c r="V217" s="291">
        <v>0</v>
      </c>
      <c r="W217" s="291">
        <v>0</v>
      </c>
      <c r="X217" s="291">
        <v>0.39500000000000002</v>
      </c>
      <c r="Y217" s="291">
        <v>0</v>
      </c>
      <c r="Z217" s="291">
        <v>-0.19</v>
      </c>
      <c r="AA217" s="291">
        <v>0</v>
      </c>
      <c r="AB217" s="306">
        <v>0.29499999999999998</v>
      </c>
      <c r="AC217" s="306">
        <v>0.28749999999999998</v>
      </c>
      <c r="AD217" s="306">
        <v>0</v>
      </c>
      <c r="AE217" s="431">
        <v>0.15</v>
      </c>
      <c r="AF217" s="431">
        <v>0.15</v>
      </c>
      <c r="AG217" s="431">
        <v>0.14699999999999999</v>
      </c>
      <c r="AH217" s="431">
        <v>0.15</v>
      </c>
      <c r="AI217" s="431">
        <v>0.153</v>
      </c>
      <c r="AJ217" s="431">
        <v>0.15</v>
      </c>
      <c r="AK217" s="431">
        <v>0.14699999999999999</v>
      </c>
      <c r="AL217" s="431">
        <v>0.14699999999999999</v>
      </c>
      <c r="AM217" s="431">
        <v>0.15</v>
      </c>
      <c r="AN217" s="431">
        <v>0.15</v>
      </c>
      <c r="AO217" s="431">
        <v>0.15</v>
      </c>
      <c r="AP217" s="432">
        <v>0.15</v>
      </c>
      <c r="AQ217" s="432">
        <v>0.15</v>
      </c>
      <c r="AR217" s="432">
        <v>0.15</v>
      </c>
      <c r="AS217" s="432">
        <v>0.15</v>
      </c>
      <c r="AT217" s="431">
        <v>0.15</v>
      </c>
      <c r="AU217" s="431">
        <v>0.15</v>
      </c>
      <c r="AV217" s="431">
        <v>0.14699999999999999</v>
      </c>
      <c r="AW217" s="291">
        <v>7.0514430031613007E-2</v>
      </c>
      <c r="AX217" s="291"/>
      <c r="AY217" s="306">
        <f t="shared" si="23"/>
        <v>0.14699999999999999</v>
      </c>
      <c r="AZ217" s="306">
        <f t="shared" si="24"/>
        <v>0.14699999999999999</v>
      </c>
      <c r="BA217" s="309">
        <f t="shared" si="25"/>
        <v>0.14699999999999999</v>
      </c>
      <c r="BB217" s="308">
        <f t="shared" si="26"/>
        <v>0</v>
      </c>
      <c r="BC217" s="308">
        <v>0.31082091380506727</v>
      </c>
      <c r="BD217" s="291">
        <v>0.31088020874595329</v>
      </c>
      <c r="BF217" s="194">
        <v>42887</v>
      </c>
      <c r="BG217" s="206">
        <v>205</v>
      </c>
      <c r="HZ217" s="308">
        <f t="shared" si="22"/>
        <v>0</v>
      </c>
      <c r="IA217" s="291">
        <v>207</v>
      </c>
    </row>
    <row r="218" spans="1:235" x14ac:dyDescent="0.25">
      <c r="B218" s="314"/>
      <c r="C218" s="294">
        <v>3.6055000000000001</v>
      </c>
      <c r="D218" s="294">
        <v>0.15</v>
      </c>
      <c r="E218" s="294">
        <v>7.0655869022267004E-2</v>
      </c>
      <c r="F218" s="294">
        <v>0</v>
      </c>
      <c r="G218" s="294">
        <v>4.4968099999999997E-2</v>
      </c>
      <c r="H218" s="294">
        <v>0</v>
      </c>
      <c r="I218" s="294">
        <v>0</v>
      </c>
      <c r="J218" s="294">
        <v>0.1825</v>
      </c>
      <c r="K218" s="294">
        <v>0.215</v>
      </c>
      <c r="L218" s="294">
        <v>0</v>
      </c>
      <c r="M218" s="294">
        <v>0</v>
      </c>
      <c r="N218" s="294">
        <v>0</v>
      </c>
      <c r="O218" s="294"/>
      <c r="P218" s="294">
        <v>0</v>
      </c>
      <c r="Q218" s="294">
        <v>0</v>
      </c>
      <c r="R218" s="291">
        <v>0</v>
      </c>
      <c r="S218" s="291">
        <v>0</v>
      </c>
      <c r="T218" s="291">
        <v>0</v>
      </c>
      <c r="U218" s="389">
        <v>7.5000000000000804E-4</v>
      </c>
      <c r="V218" s="291">
        <v>0</v>
      </c>
      <c r="W218" s="291">
        <v>0</v>
      </c>
      <c r="X218" s="291">
        <v>0.43</v>
      </c>
      <c r="Y218" s="291">
        <v>0</v>
      </c>
      <c r="Z218" s="291">
        <v>-0.19</v>
      </c>
      <c r="AA218" s="291">
        <v>0</v>
      </c>
      <c r="AB218" s="306">
        <v>0.29499999999999998</v>
      </c>
      <c r="AC218" s="306">
        <v>0.3</v>
      </c>
      <c r="AD218" s="306">
        <v>0</v>
      </c>
      <c r="AE218" s="431">
        <v>0.15</v>
      </c>
      <c r="AF218" s="431">
        <v>0.15</v>
      </c>
      <c r="AG218" s="431">
        <v>0.14699999999999999</v>
      </c>
      <c r="AH218" s="431">
        <v>0.15</v>
      </c>
      <c r="AI218" s="431">
        <v>0.153</v>
      </c>
      <c r="AJ218" s="431">
        <v>0.15</v>
      </c>
      <c r="AK218" s="431">
        <v>0.14699999999999999</v>
      </c>
      <c r="AL218" s="431">
        <v>0.14699999999999999</v>
      </c>
      <c r="AM218" s="431">
        <v>0.15</v>
      </c>
      <c r="AN218" s="431">
        <v>0.15</v>
      </c>
      <c r="AO218" s="431">
        <v>0.15</v>
      </c>
      <c r="AP218" s="432">
        <v>0.15</v>
      </c>
      <c r="AQ218" s="432">
        <v>0.15</v>
      </c>
      <c r="AR218" s="432">
        <v>0.15</v>
      </c>
      <c r="AS218" s="432">
        <v>0.15</v>
      </c>
      <c r="AT218" s="431">
        <v>0.15</v>
      </c>
      <c r="AU218" s="431">
        <v>0.15</v>
      </c>
      <c r="AV218" s="431">
        <v>0.14699999999999999</v>
      </c>
      <c r="AW218" s="291">
        <v>7.0521159242249998E-2</v>
      </c>
      <c r="AX218" s="291"/>
      <c r="AY218" s="306">
        <f t="shared" si="23"/>
        <v>0.14699999999999999</v>
      </c>
      <c r="AZ218" s="306">
        <f t="shared" si="24"/>
        <v>0.14699999999999999</v>
      </c>
      <c r="BA218" s="309">
        <f t="shared" si="25"/>
        <v>0.14699999999999999</v>
      </c>
      <c r="BB218" s="308">
        <f t="shared" si="26"/>
        <v>0</v>
      </c>
      <c r="BC218" s="308">
        <v>0.3090231276464665</v>
      </c>
      <c r="BD218" s="291">
        <v>0.30908208355543004</v>
      </c>
      <c r="BF218" s="194">
        <v>42917</v>
      </c>
      <c r="BG218" s="206">
        <v>206</v>
      </c>
      <c r="HZ218" s="308">
        <f t="shared" si="22"/>
        <v>0</v>
      </c>
      <c r="IA218" s="291">
        <v>208</v>
      </c>
    </row>
    <row r="219" spans="1:235" x14ac:dyDescent="0.25">
      <c r="B219" s="314"/>
      <c r="C219" s="294">
        <v>3.6265000000000001</v>
      </c>
      <c r="D219" s="294">
        <v>0.15</v>
      </c>
      <c r="E219" s="294">
        <v>7.0657035037929999E-2</v>
      </c>
      <c r="F219" s="294">
        <v>0</v>
      </c>
      <c r="G219" s="294">
        <v>4.4968099999999997E-2</v>
      </c>
      <c r="H219" s="294">
        <v>0</v>
      </c>
      <c r="I219" s="294">
        <v>0</v>
      </c>
      <c r="J219" s="294">
        <v>0.1825</v>
      </c>
      <c r="K219" s="294">
        <v>0.215</v>
      </c>
      <c r="L219" s="294">
        <v>0</v>
      </c>
      <c r="M219" s="294">
        <v>0</v>
      </c>
      <c r="N219" s="294">
        <v>0</v>
      </c>
      <c r="O219" s="294"/>
      <c r="P219" s="294">
        <v>0</v>
      </c>
      <c r="Q219" s="294">
        <v>0</v>
      </c>
      <c r="R219" s="291">
        <v>0</v>
      </c>
      <c r="S219" s="291">
        <v>0</v>
      </c>
      <c r="T219" s="291">
        <v>0</v>
      </c>
      <c r="U219" s="389">
        <v>7.5000000000000804E-4</v>
      </c>
      <c r="V219" s="291">
        <v>0</v>
      </c>
      <c r="W219" s="291">
        <v>0</v>
      </c>
      <c r="X219" s="291">
        <v>0.495</v>
      </c>
      <c r="Y219" s="291">
        <v>0</v>
      </c>
      <c r="Z219" s="291">
        <v>-0.19</v>
      </c>
      <c r="AA219" s="291">
        <v>0</v>
      </c>
      <c r="AB219" s="306">
        <v>0.29499999999999998</v>
      </c>
      <c r="AC219" s="306">
        <v>0.3</v>
      </c>
      <c r="AD219" s="306">
        <v>0</v>
      </c>
      <c r="AE219" s="431">
        <v>0.15</v>
      </c>
      <c r="AF219" s="431">
        <v>0.15</v>
      </c>
      <c r="AG219" s="431">
        <v>0.14699999999999999</v>
      </c>
      <c r="AH219" s="431">
        <v>0.15</v>
      </c>
      <c r="AI219" s="431">
        <v>0.153</v>
      </c>
      <c r="AJ219" s="431">
        <v>0.15</v>
      </c>
      <c r="AK219" s="431">
        <v>0.14699999999999999</v>
      </c>
      <c r="AL219" s="431">
        <v>0.14699999999999999</v>
      </c>
      <c r="AM219" s="431">
        <v>0.15</v>
      </c>
      <c r="AN219" s="431">
        <v>0.15</v>
      </c>
      <c r="AO219" s="431">
        <v>0.15</v>
      </c>
      <c r="AP219" s="432">
        <v>0.15</v>
      </c>
      <c r="AQ219" s="432">
        <v>0.15</v>
      </c>
      <c r="AR219" s="432">
        <v>0.15</v>
      </c>
      <c r="AS219" s="432">
        <v>0.15</v>
      </c>
      <c r="AT219" s="431">
        <v>0.15</v>
      </c>
      <c r="AU219" s="431">
        <v>0.15</v>
      </c>
      <c r="AV219" s="431">
        <v>0.14699999999999999</v>
      </c>
      <c r="AW219" s="291">
        <v>7.0528112759924003E-2</v>
      </c>
      <c r="AX219" s="291"/>
      <c r="AY219" s="306">
        <f t="shared" si="23"/>
        <v>0.14699999999999999</v>
      </c>
      <c r="AZ219" s="306">
        <f t="shared" si="24"/>
        <v>0.14699999999999999</v>
      </c>
      <c r="BA219" s="309">
        <f t="shared" si="25"/>
        <v>0.14699999999999999</v>
      </c>
      <c r="BB219" s="308">
        <f t="shared" si="26"/>
        <v>0</v>
      </c>
      <c r="BC219" s="308">
        <v>0.30717609254753603</v>
      </c>
      <c r="BD219" s="291">
        <v>0.30723470011263504</v>
      </c>
      <c r="BF219" s="194">
        <v>42948</v>
      </c>
      <c r="BG219" s="206">
        <v>207</v>
      </c>
      <c r="HZ219" s="308">
        <f t="shared" si="22"/>
        <v>0</v>
      </c>
      <c r="IA219" s="291">
        <v>209</v>
      </c>
    </row>
    <row r="220" spans="1:235" x14ac:dyDescent="0.25">
      <c r="B220" s="314"/>
      <c r="C220" s="294">
        <v>3.5954999999999999</v>
      </c>
      <c r="D220" s="294">
        <v>0.15</v>
      </c>
      <c r="E220" s="294">
        <v>7.0658201053593994E-2</v>
      </c>
      <c r="F220" s="294">
        <v>0</v>
      </c>
      <c r="G220" s="294">
        <v>4.4968099999999997E-2</v>
      </c>
      <c r="H220" s="294">
        <v>0</v>
      </c>
      <c r="I220" s="294">
        <v>0</v>
      </c>
      <c r="J220" s="294">
        <v>0.1825</v>
      </c>
      <c r="K220" s="294">
        <v>0.19500000000000001</v>
      </c>
      <c r="L220" s="294">
        <v>0</v>
      </c>
      <c r="M220" s="294">
        <v>0</v>
      </c>
      <c r="N220" s="294">
        <v>0</v>
      </c>
      <c r="O220" s="294"/>
      <c r="P220" s="294">
        <v>0</v>
      </c>
      <c r="Q220" s="294">
        <v>0</v>
      </c>
      <c r="R220" s="291">
        <v>0</v>
      </c>
      <c r="S220" s="291">
        <v>0</v>
      </c>
      <c r="T220" s="291">
        <v>0</v>
      </c>
      <c r="U220" s="389">
        <v>7.5000000000000804E-4</v>
      </c>
      <c r="V220" s="291">
        <v>0</v>
      </c>
      <c r="W220" s="291">
        <v>0</v>
      </c>
      <c r="X220" s="291">
        <v>0.39500000000000002</v>
      </c>
      <c r="Y220" s="291">
        <v>0</v>
      </c>
      <c r="Z220" s="291">
        <v>-0.19</v>
      </c>
      <c r="AA220" s="291">
        <v>0</v>
      </c>
      <c r="AB220" s="306">
        <v>0.29499999999999998</v>
      </c>
      <c r="AC220" s="306">
        <v>0.28999999999999998</v>
      </c>
      <c r="AD220" s="306">
        <v>0</v>
      </c>
      <c r="AE220" s="431">
        <v>0.15</v>
      </c>
      <c r="AF220" s="431">
        <v>0.15</v>
      </c>
      <c r="AG220" s="431">
        <v>0.14699999999999999</v>
      </c>
      <c r="AH220" s="431">
        <v>0.15</v>
      </c>
      <c r="AI220" s="431">
        <v>0.153</v>
      </c>
      <c r="AJ220" s="431">
        <v>0.15</v>
      </c>
      <c r="AK220" s="431">
        <v>0.14699999999999999</v>
      </c>
      <c r="AL220" s="431">
        <v>0.14699999999999999</v>
      </c>
      <c r="AM220" s="431">
        <v>0.15</v>
      </c>
      <c r="AN220" s="431">
        <v>0.15</v>
      </c>
      <c r="AO220" s="431">
        <v>0.15</v>
      </c>
      <c r="AP220" s="432">
        <v>0.15</v>
      </c>
      <c r="AQ220" s="432">
        <v>0.15</v>
      </c>
      <c r="AR220" s="432">
        <v>0.15</v>
      </c>
      <c r="AS220" s="432">
        <v>0.15</v>
      </c>
      <c r="AT220" s="431">
        <v>0.15</v>
      </c>
      <c r="AU220" s="431">
        <v>0.15</v>
      </c>
      <c r="AV220" s="431">
        <v>0.14699999999999999</v>
      </c>
      <c r="AW220" s="291">
        <v>7.0535066277613995E-2</v>
      </c>
      <c r="AX220" s="291"/>
      <c r="AY220" s="306">
        <f t="shared" si="23"/>
        <v>0.14699999999999999</v>
      </c>
      <c r="AZ220" s="306">
        <f t="shared" si="24"/>
        <v>0.14699999999999999</v>
      </c>
      <c r="BA220" s="309">
        <f t="shared" si="25"/>
        <v>0.14699999999999999</v>
      </c>
      <c r="BB220" s="308">
        <f t="shared" si="26"/>
        <v>0</v>
      </c>
      <c r="BC220" s="308">
        <v>0.30533984855049245</v>
      </c>
      <c r="BD220" s="291">
        <v>0.30539810978220339</v>
      </c>
      <c r="BF220" s="194">
        <v>42979</v>
      </c>
      <c r="BG220" s="206">
        <v>208</v>
      </c>
      <c r="HZ220" s="308">
        <f t="shared" si="22"/>
        <v>0</v>
      </c>
      <c r="IA220" s="291">
        <v>210</v>
      </c>
    </row>
    <row r="221" spans="1:235" x14ac:dyDescent="0.25">
      <c r="B221" s="314"/>
      <c r="C221" s="294">
        <v>3.5964999999999998</v>
      </c>
      <c r="D221" s="294">
        <v>0.15</v>
      </c>
      <c r="E221" s="294">
        <v>7.0659329455849004E-2</v>
      </c>
      <c r="F221" s="294">
        <v>0</v>
      </c>
      <c r="G221" s="294">
        <v>4.4968099999999997E-2</v>
      </c>
      <c r="H221" s="294">
        <v>0</v>
      </c>
      <c r="I221" s="294">
        <v>0</v>
      </c>
      <c r="J221" s="294">
        <v>0.1875</v>
      </c>
      <c r="K221" s="294">
        <v>0.215</v>
      </c>
      <c r="L221" s="294">
        <v>0</v>
      </c>
      <c r="M221" s="294">
        <v>0</v>
      </c>
      <c r="N221" s="294">
        <v>0</v>
      </c>
      <c r="O221" s="294"/>
      <c r="P221" s="294">
        <v>0</v>
      </c>
      <c r="Q221" s="294">
        <v>0</v>
      </c>
      <c r="R221" s="291">
        <v>0</v>
      </c>
      <c r="S221" s="291">
        <v>0</v>
      </c>
      <c r="T221" s="291">
        <v>0</v>
      </c>
      <c r="U221" s="389">
        <v>-1.7500000000000002E-2</v>
      </c>
      <c r="V221" s="291">
        <v>0</v>
      </c>
      <c r="W221" s="291">
        <v>0</v>
      </c>
      <c r="X221" s="291">
        <v>0.46100000000000002</v>
      </c>
      <c r="Y221" s="291">
        <v>0</v>
      </c>
      <c r="Z221" s="291">
        <v>-0.19</v>
      </c>
      <c r="AA221" s="291">
        <v>0</v>
      </c>
      <c r="AB221" s="306">
        <v>0.29499999999999998</v>
      </c>
      <c r="AC221" s="306">
        <v>0.36249999999999999</v>
      </c>
      <c r="AD221" s="306">
        <v>0</v>
      </c>
      <c r="AE221" s="431">
        <v>0.15</v>
      </c>
      <c r="AF221" s="431">
        <v>0.15</v>
      </c>
      <c r="AG221" s="431">
        <v>0.14699999999999999</v>
      </c>
      <c r="AH221" s="431">
        <v>0.15</v>
      </c>
      <c r="AI221" s="431">
        <v>0.153</v>
      </c>
      <c r="AJ221" s="431">
        <v>0.15</v>
      </c>
      <c r="AK221" s="431">
        <v>0.14699999999999999</v>
      </c>
      <c r="AL221" s="431">
        <v>0.14699999999999999</v>
      </c>
      <c r="AM221" s="431">
        <v>0.15</v>
      </c>
      <c r="AN221" s="431">
        <v>0.15</v>
      </c>
      <c r="AO221" s="431">
        <v>0.15</v>
      </c>
      <c r="AP221" s="432">
        <v>0.15</v>
      </c>
      <c r="AQ221" s="432">
        <v>0.15</v>
      </c>
      <c r="AR221" s="432">
        <v>0.15</v>
      </c>
      <c r="AS221" s="432">
        <v>0.15</v>
      </c>
      <c r="AT221" s="431">
        <v>0.15</v>
      </c>
      <c r="AU221" s="431">
        <v>0.15</v>
      </c>
      <c r="AV221" s="431">
        <v>0.14699999999999999</v>
      </c>
      <c r="AW221" s="291">
        <v>7.0541795488297004E-2</v>
      </c>
      <c r="AX221" s="291"/>
      <c r="AY221" s="306">
        <f t="shared" si="23"/>
        <v>0.14699999999999999</v>
      </c>
      <c r="AZ221" s="306">
        <f t="shared" si="24"/>
        <v>0.14699999999999999</v>
      </c>
      <c r="BA221" s="309">
        <f t="shared" si="25"/>
        <v>0.14699999999999999</v>
      </c>
      <c r="BB221" s="308">
        <f t="shared" si="26"/>
        <v>0</v>
      </c>
      <c r="BC221" s="308">
        <v>0.30357305484467428</v>
      </c>
      <c r="BD221" s="291">
        <v>0.30363098281862555</v>
      </c>
      <c r="BF221" s="194">
        <v>43009</v>
      </c>
      <c r="BG221" s="206">
        <v>209</v>
      </c>
      <c r="HZ221" s="308">
        <f t="shared" si="22"/>
        <v>0</v>
      </c>
      <c r="IA221" s="291">
        <v>211</v>
      </c>
    </row>
    <row r="222" spans="1:235" x14ac:dyDescent="0.25">
      <c r="B222" s="314"/>
      <c r="C222" s="294">
        <v>3.6185</v>
      </c>
      <c r="D222" s="294">
        <v>0.15</v>
      </c>
      <c r="E222" s="294">
        <v>7.0660495471513998E-2</v>
      </c>
      <c r="F222" s="294"/>
      <c r="G222" s="294">
        <v>-3.4988699999999998E-2</v>
      </c>
      <c r="H222" s="294"/>
      <c r="I222" s="294"/>
      <c r="J222" s="294">
        <v>0.27</v>
      </c>
      <c r="K222" s="294">
        <v>0.28749999999999998</v>
      </c>
      <c r="L222" s="294">
        <v>0</v>
      </c>
      <c r="M222" s="294">
        <v>0</v>
      </c>
      <c r="N222" s="294">
        <v>0</v>
      </c>
      <c r="O222" s="294"/>
      <c r="P222" s="294">
        <v>0</v>
      </c>
      <c r="Q222" s="294">
        <v>0</v>
      </c>
      <c r="R222" s="291">
        <v>0</v>
      </c>
      <c r="S222" s="291"/>
      <c r="T222" s="291"/>
      <c r="U222" s="291">
        <v>-1.6500000000000001E-2</v>
      </c>
      <c r="V222" s="291">
        <v>0</v>
      </c>
      <c r="W222" s="291">
        <v>0</v>
      </c>
      <c r="X222" s="291">
        <v>0.76749999999999996</v>
      </c>
      <c r="Y222" s="291">
        <v>0</v>
      </c>
      <c r="Z222" s="291">
        <v>-0.19</v>
      </c>
      <c r="AA222" s="291">
        <v>0</v>
      </c>
      <c r="AB222" s="306">
        <v>0.12</v>
      </c>
      <c r="AC222" s="306">
        <v>0.46500000000000002</v>
      </c>
      <c r="AD222" s="306"/>
      <c r="AE222" s="431">
        <v>0.15</v>
      </c>
      <c r="AF222" s="431">
        <v>0.15</v>
      </c>
      <c r="AG222" s="431">
        <v>0.16500000000000001</v>
      </c>
      <c r="AH222" s="431">
        <v>0.15</v>
      </c>
      <c r="AI222" s="431">
        <v>0.153</v>
      </c>
      <c r="AJ222" s="431">
        <v>0.15</v>
      </c>
      <c r="AK222" s="431">
        <v>0.15</v>
      </c>
      <c r="AL222" s="431">
        <v>0.15</v>
      </c>
      <c r="AM222" s="431">
        <v>0.15</v>
      </c>
      <c r="AN222" s="431">
        <v>0.15</v>
      </c>
      <c r="AO222" s="431">
        <v>0.15</v>
      </c>
      <c r="AP222" s="432">
        <v>0.15</v>
      </c>
      <c r="AQ222" s="432">
        <v>0.15</v>
      </c>
      <c r="AR222" s="432">
        <v>0.15</v>
      </c>
      <c r="AS222" s="432">
        <v>0.15</v>
      </c>
      <c r="AT222" s="431">
        <v>0.15</v>
      </c>
      <c r="AU222" s="431">
        <v>0.15</v>
      </c>
      <c r="AV222" s="431">
        <v>0.16500000000000001</v>
      </c>
      <c r="AW222" s="291">
        <v>7.0548749006018999E-2</v>
      </c>
      <c r="AX222" s="291"/>
      <c r="AY222" s="306">
        <f t="shared" si="23"/>
        <v>0.16500000000000001</v>
      </c>
      <c r="AZ222" s="306">
        <f t="shared" si="24"/>
        <v>0.16500000000000001</v>
      </c>
      <c r="BA222" s="309">
        <f t="shared" si="25"/>
        <v>0.16500000000000001</v>
      </c>
      <c r="BB222" s="308">
        <f t="shared" si="26"/>
        <v>0</v>
      </c>
      <c r="BC222" s="308">
        <v>0.30175786562875107</v>
      </c>
      <c r="BD222" s="291">
        <v>0.30181545119243408</v>
      </c>
      <c r="BF222" s="194">
        <v>43040</v>
      </c>
      <c r="BG222" s="206">
        <v>210</v>
      </c>
      <c r="HZ222" s="308">
        <f t="shared" si="22"/>
        <v>0</v>
      </c>
      <c r="IA222" s="291">
        <v>212</v>
      </c>
    </row>
    <row r="223" spans="1:235" x14ac:dyDescent="0.25">
      <c r="A223" s="318"/>
      <c r="B223" s="314"/>
      <c r="C223" s="294">
        <v>3.6625000000000001</v>
      </c>
      <c r="D223" s="294">
        <v>0.15</v>
      </c>
      <c r="E223" s="294">
        <v>7.0661623873771007E-2</v>
      </c>
      <c r="F223" s="294"/>
      <c r="G223" s="294">
        <v>-4.99519E-2</v>
      </c>
      <c r="H223" s="294"/>
      <c r="I223" s="294"/>
      <c r="J223" s="294">
        <v>0.30499999999999999</v>
      </c>
      <c r="K223" s="294">
        <v>0.33750000000000002</v>
      </c>
      <c r="L223" s="294">
        <v>0</v>
      </c>
      <c r="M223" s="294">
        <v>0</v>
      </c>
      <c r="N223" s="294">
        <v>0</v>
      </c>
      <c r="O223" s="294"/>
      <c r="P223" s="294">
        <v>0</v>
      </c>
      <c r="Q223" s="294">
        <v>0</v>
      </c>
      <c r="R223" s="291">
        <v>0</v>
      </c>
      <c r="S223" s="291"/>
      <c r="T223" s="291"/>
      <c r="U223" s="291">
        <v>-1.6500000000000001E-2</v>
      </c>
      <c r="V223" s="291">
        <v>0</v>
      </c>
      <c r="W223" s="291">
        <v>0</v>
      </c>
      <c r="X223" s="291">
        <v>1.19</v>
      </c>
      <c r="Y223" s="291">
        <v>0</v>
      </c>
      <c r="Z223" s="291">
        <v>-0.19</v>
      </c>
      <c r="AA223" s="291">
        <v>0</v>
      </c>
      <c r="AB223" s="306">
        <v>0.12</v>
      </c>
      <c r="AC223" s="306">
        <v>0.8</v>
      </c>
      <c r="AD223" s="306"/>
      <c r="AE223" s="431">
        <v>0.15</v>
      </c>
      <c r="AF223" s="431">
        <v>0.15</v>
      </c>
      <c r="AG223" s="431">
        <v>0.16500000000000001</v>
      </c>
      <c r="AH223" s="431">
        <v>0.15</v>
      </c>
      <c r="AI223" s="431">
        <v>0.153</v>
      </c>
      <c r="AJ223" s="431">
        <v>0.15</v>
      </c>
      <c r="AK223" s="431">
        <v>0.15</v>
      </c>
      <c r="AL223" s="431">
        <v>0.15</v>
      </c>
      <c r="AM223" s="431">
        <v>0.15</v>
      </c>
      <c r="AN223" s="431">
        <v>0.15</v>
      </c>
      <c r="AO223" s="431">
        <v>0.15</v>
      </c>
      <c r="AP223" s="432">
        <v>0.15</v>
      </c>
      <c r="AQ223" s="432">
        <v>0.15</v>
      </c>
      <c r="AR223" s="432">
        <v>0.15</v>
      </c>
      <c r="AS223" s="432">
        <v>0.15</v>
      </c>
      <c r="AT223" s="431">
        <v>0.15</v>
      </c>
      <c r="AU223" s="431">
        <v>0.15</v>
      </c>
      <c r="AV223" s="431">
        <v>0.16500000000000001</v>
      </c>
      <c r="AW223" s="291">
        <v>7.0555478216731998E-2</v>
      </c>
      <c r="AX223" s="291"/>
      <c r="AY223" s="306">
        <f t="shared" si="23"/>
        <v>0.16500000000000001</v>
      </c>
      <c r="AZ223" s="306">
        <f t="shared" si="24"/>
        <v>0.16500000000000001</v>
      </c>
      <c r="BA223" s="309">
        <f t="shared" si="25"/>
        <v>0.16500000000000001</v>
      </c>
      <c r="BB223" s="308">
        <f t="shared" si="26"/>
        <v>0</v>
      </c>
      <c r="BC223" s="308">
        <v>0.30001133318919071</v>
      </c>
      <c r="BD223" s="291">
        <v>0.30006858927065394</v>
      </c>
      <c r="BF223" s="194">
        <v>43070</v>
      </c>
      <c r="BG223" s="206">
        <v>211</v>
      </c>
      <c r="HZ223" s="308">
        <f t="shared" si="22"/>
        <v>0</v>
      </c>
      <c r="IA223" s="291">
        <v>213</v>
      </c>
    </row>
    <row r="224" spans="1:235" x14ac:dyDescent="0.25">
      <c r="A224" s="319"/>
      <c r="B224" s="314"/>
      <c r="C224" s="294">
        <v>3.9845000000000002</v>
      </c>
      <c r="D224" s="294">
        <v>0.15</v>
      </c>
      <c r="E224" s="294">
        <v>7.0662789889436001E-2</v>
      </c>
      <c r="F224" s="294"/>
      <c r="G224" s="294">
        <v>-4.4955099999999998E-2</v>
      </c>
      <c r="H224" s="294"/>
      <c r="I224" s="294"/>
      <c r="J224" s="294">
        <v>0.30499999999999999</v>
      </c>
      <c r="K224" s="294">
        <v>0.4375</v>
      </c>
      <c r="L224" s="294">
        <v>0</v>
      </c>
      <c r="M224" s="294">
        <v>0</v>
      </c>
      <c r="N224" s="294">
        <v>0</v>
      </c>
      <c r="O224" s="294"/>
      <c r="P224" s="294">
        <v>0</v>
      </c>
      <c r="Q224" s="294">
        <v>0</v>
      </c>
      <c r="R224" s="291">
        <v>0</v>
      </c>
      <c r="S224" s="291"/>
      <c r="T224" s="291"/>
      <c r="U224" s="291">
        <v>-1.6500000000000001E-2</v>
      </c>
      <c r="V224" s="291">
        <v>0</v>
      </c>
      <c r="W224" s="291">
        <v>0</v>
      </c>
      <c r="X224" s="291">
        <v>1.5249999999999999</v>
      </c>
      <c r="Y224" s="291">
        <v>0</v>
      </c>
      <c r="Z224" s="291">
        <v>-0.19</v>
      </c>
      <c r="AA224" s="291">
        <v>0</v>
      </c>
      <c r="AB224" s="306">
        <v>0.12</v>
      </c>
      <c r="AC224" s="306">
        <v>0.97499999999999998</v>
      </c>
      <c r="AD224" s="306"/>
      <c r="AE224" s="431">
        <v>0.15</v>
      </c>
      <c r="AF224" s="431">
        <v>0.15</v>
      </c>
      <c r="AG224" s="431">
        <v>0.16500000000000001</v>
      </c>
      <c r="AH224" s="431">
        <v>0.15</v>
      </c>
      <c r="AI224" s="431">
        <v>0.153</v>
      </c>
      <c r="AJ224" s="431">
        <v>0.15</v>
      </c>
      <c r="AK224" s="431">
        <v>0.15</v>
      </c>
      <c r="AL224" s="431">
        <v>0.15</v>
      </c>
      <c r="AM224" s="431">
        <v>0.15</v>
      </c>
      <c r="AN224" s="431">
        <v>0.15</v>
      </c>
      <c r="AO224" s="431">
        <v>0.15</v>
      </c>
      <c r="AP224" s="432">
        <v>0.15</v>
      </c>
      <c r="AQ224" s="432">
        <v>0.15</v>
      </c>
      <c r="AR224" s="432">
        <v>0.15</v>
      </c>
      <c r="AS224" s="432">
        <v>0.15</v>
      </c>
      <c r="AT224" s="431">
        <v>0.15</v>
      </c>
      <c r="AU224" s="431">
        <v>0.15</v>
      </c>
      <c r="AV224" s="431">
        <v>0.16500000000000001</v>
      </c>
      <c r="AW224" s="291">
        <v>7.0562431734484996E-2</v>
      </c>
      <c r="AX224" s="291"/>
      <c r="AY224" s="306">
        <f t="shared" si="23"/>
        <v>0.16500000000000001</v>
      </c>
      <c r="AZ224" s="306">
        <f t="shared" si="24"/>
        <v>0.16500000000000001</v>
      </c>
      <c r="BA224" s="309">
        <f t="shared" si="25"/>
        <v>0.16500000000000001</v>
      </c>
      <c r="BB224" s="308">
        <f t="shared" si="26"/>
        <v>0</v>
      </c>
      <c r="BC224" s="308">
        <v>0.29821696312491297</v>
      </c>
      <c r="BD224" s="291">
        <v>0.29827388067588795</v>
      </c>
      <c r="BF224" s="194">
        <v>43101</v>
      </c>
      <c r="BG224" s="206">
        <v>212</v>
      </c>
      <c r="HZ224" s="308">
        <f t="shared" si="22"/>
        <v>0</v>
      </c>
      <c r="IA224" s="291">
        <v>214</v>
      </c>
    </row>
    <row r="225" spans="1:235" x14ac:dyDescent="0.25">
      <c r="A225" s="319"/>
      <c r="B225" s="314"/>
      <c r="C225" s="294">
        <v>3.9024999999999999</v>
      </c>
      <c r="D225" s="294">
        <v>0.15</v>
      </c>
      <c r="E225" s="294">
        <v>7.0663955905102993E-2</v>
      </c>
      <c r="F225" s="294"/>
      <c r="G225" s="294">
        <v>-1.99574E-2</v>
      </c>
      <c r="H225" s="294"/>
      <c r="I225" s="294"/>
      <c r="J225" s="294">
        <v>0.30499999999999999</v>
      </c>
      <c r="K225" s="294">
        <v>0.435</v>
      </c>
      <c r="L225" s="294">
        <v>0</v>
      </c>
      <c r="M225" s="294">
        <v>0</v>
      </c>
      <c r="N225" s="294">
        <v>0</v>
      </c>
      <c r="O225" s="294"/>
      <c r="P225" s="294">
        <v>0</v>
      </c>
      <c r="Q225" s="294">
        <v>0</v>
      </c>
      <c r="R225" s="291">
        <v>0</v>
      </c>
      <c r="S225" s="291"/>
      <c r="T225" s="291"/>
      <c r="U225" s="291">
        <v>-1.6500000000000001E-2</v>
      </c>
      <c r="V225" s="291">
        <v>0</v>
      </c>
      <c r="W225" s="291">
        <v>0</v>
      </c>
      <c r="X225" s="291">
        <v>1.4550000000000001</v>
      </c>
      <c r="Y225" s="291">
        <v>0</v>
      </c>
      <c r="Z225" s="291">
        <v>-0.19</v>
      </c>
      <c r="AA225" s="291">
        <v>0</v>
      </c>
      <c r="AB225" s="306">
        <v>0.12</v>
      </c>
      <c r="AC225" s="306">
        <v>0.97499999999999998</v>
      </c>
      <c r="AD225" s="306"/>
      <c r="AE225" s="431">
        <v>0.15</v>
      </c>
      <c r="AF225" s="431">
        <v>0.15</v>
      </c>
      <c r="AG225" s="431">
        <v>0.16500000000000001</v>
      </c>
      <c r="AH225" s="431">
        <v>0.15</v>
      </c>
      <c r="AI225" s="431">
        <v>0.153</v>
      </c>
      <c r="AJ225" s="431">
        <v>0.15</v>
      </c>
      <c r="AK225" s="431">
        <v>0.15</v>
      </c>
      <c r="AL225" s="431">
        <v>0.15</v>
      </c>
      <c r="AM225" s="431">
        <v>0.15</v>
      </c>
      <c r="AN225" s="431">
        <v>0.15</v>
      </c>
      <c r="AO225" s="431">
        <v>0.15</v>
      </c>
      <c r="AP225" s="432">
        <v>0.15</v>
      </c>
      <c r="AQ225" s="432">
        <v>0.15</v>
      </c>
      <c r="AR225" s="432">
        <v>0.15</v>
      </c>
      <c r="AS225" s="432">
        <v>0.15</v>
      </c>
      <c r="AT225" s="431">
        <v>0.15</v>
      </c>
      <c r="AU225" s="431">
        <v>0.15</v>
      </c>
      <c r="AV225" s="431">
        <v>0.16500000000000001</v>
      </c>
      <c r="AW225" s="291">
        <v>7.0569385252253994E-2</v>
      </c>
      <c r="AX225" s="291"/>
      <c r="AY225" s="306">
        <f t="shared" si="23"/>
        <v>0.16500000000000001</v>
      </c>
      <c r="AZ225" s="306">
        <f t="shared" si="24"/>
        <v>0.16500000000000001</v>
      </c>
      <c r="BA225" s="309">
        <f t="shared" si="25"/>
        <v>0.16500000000000001</v>
      </c>
      <c r="BB225" s="308">
        <f t="shared" si="26"/>
        <v>0</v>
      </c>
      <c r="BC225" s="308">
        <v>0.29643308380902822</v>
      </c>
      <c r="BD225" s="291">
        <v>0.29648966478474692</v>
      </c>
      <c r="BF225" s="194">
        <v>43132</v>
      </c>
      <c r="BG225" s="206">
        <v>213</v>
      </c>
      <c r="HZ225" s="308">
        <f t="shared" si="22"/>
        <v>0</v>
      </c>
      <c r="IA225" s="291">
        <v>215</v>
      </c>
    </row>
    <row r="226" spans="1:235" x14ac:dyDescent="0.25">
      <c r="A226" s="319"/>
      <c r="B226" s="314"/>
      <c r="C226" s="294">
        <v>3.7774999999999999</v>
      </c>
      <c r="D226" s="294">
        <v>0.15</v>
      </c>
      <c r="E226" s="294">
        <v>7.0665009080543004E-2</v>
      </c>
      <c r="F226" s="294"/>
      <c r="G226" s="294">
        <v>-9.9573999999999999E-3</v>
      </c>
      <c r="H226" s="294"/>
      <c r="I226" s="294"/>
      <c r="J226" s="294">
        <v>0.26500000000000001</v>
      </c>
      <c r="K226" s="294">
        <v>0.30249999999999999</v>
      </c>
      <c r="L226" s="294">
        <v>0</v>
      </c>
      <c r="M226" s="294">
        <v>0</v>
      </c>
      <c r="N226" s="294">
        <v>0</v>
      </c>
      <c r="O226" s="294"/>
      <c r="P226" s="294">
        <v>0</v>
      </c>
      <c r="Q226" s="294">
        <v>0</v>
      </c>
      <c r="R226" s="291">
        <v>0</v>
      </c>
      <c r="S226" s="291"/>
      <c r="T226" s="291"/>
      <c r="U226" s="291">
        <v>2E-3</v>
      </c>
      <c r="V226" s="291">
        <v>0</v>
      </c>
      <c r="W226" s="291">
        <v>0</v>
      </c>
      <c r="X226" s="291">
        <v>0.83499999999999996</v>
      </c>
      <c r="Y226" s="291">
        <v>0</v>
      </c>
      <c r="Z226" s="291">
        <v>-0.19</v>
      </c>
      <c r="AA226" s="291">
        <v>0</v>
      </c>
      <c r="AB226" s="306">
        <v>0.12</v>
      </c>
      <c r="AC226" s="306">
        <v>0.60750000000000004</v>
      </c>
      <c r="AD226" s="306"/>
      <c r="AE226" s="431">
        <v>0.15</v>
      </c>
      <c r="AF226" s="431">
        <v>0.15</v>
      </c>
      <c r="AG226" s="431">
        <v>0.16500000000000001</v>
      </c>
      <c r="AH226" s="431">
        <v>0.15</v>
      </c>
      <c r="AI226" s="431">
        <v>0.153</v>
      </c>
      <c r="AJ226" s="431">
        <v>0.15</v>
      </c>
      <c r="AK226" s="431">
        <v>0.15</v>
      </c>
      <c r="AL226" s="431">
        <v>0.15</v>
      </c>
      <c r="AM226" s="431">
        <v>0.15</v>
      </c>
      <c r="AN226" s="431">
        <v>0.15</v>
      </c>
      <c r="AO226" s="431">
        <v>0.15</v>
      </c>
      <c r="AP226" s="432">
        <v>0.15</v>
      </c>
      <c r="AQ226" s="432">
        <v>0.15</v>
      </c>
      <c r="AR226" s="432">
        <v>0.15</v>
      </c>
      <c r="AS226" s="432">
        <v>0.15</v>
      </c>
      <c r="AT226" s="431">
        <v>0.15</v>
      </c>
      <c r="AU226" s="431">
        <v>0.15</v>
      </c>
      <c r="AV226" s="431">
        <v>0.16500000000000001</v>
      </c>
      <c r="AW226" s="291">
        <v>7.0575665848961994E-2</v>
      </c>
      <c r="AX226" s="291"/>
      <c r="AY226" s="306">
        <f t="shared" si="23"/>
        <v>0.16500000000000001</v>
      </c>
      <c r="AZ226" s="306">
        <f t="shared" si="24"/>
        <v>0.16500000000000001</v>
      </c>
      <c r="BA226" s="309">
        <f t="shared" si="25"/>
        <v>0.16500000000000001</v>
      </c>
      <c r="BB226" s="308">
        <f t="shared" si="26"/>
        <v>0</v>
      </c>
      <c r="BC226" s="308">
        <v>0.29483080520254384</v>
      </c>
      <c r="BD226" s="291">
        <v>0.29488708384620776</v>
      </c>
      <c r="BF226" s="194">
        <v>43160</v>
      </c>
      <c r="BG226" s="206">
        <v>214</v>
      </c>
      <c r="HZ226" s="308">
        <f t="shared" si="22"/>
        <v>0</v>
      </c>
      <c r="IA226" s="291">
        <v>216</v>
      </c>
    </row>
    <row r="227" spans="1:235" x14ac:dyDescent="0.25">
      <c r="A227" s="319"/>
      <c r="B227" s="314"/>
      <c r="C227" s="294">
        <v>3.6444999999999999</v>
      </c>
      <c r="D227" s="294">
        <v>0.15</v>
      </c>
      <c r="E227" s="294">
        <v>7.0666175096209996E-2</v>
      </c>
      <c r="F227" s="294"/>
      <c r="G227" s="294">
        <v>4.9976600000000003E-2</v>
      </c>
      <c r="H227" s="294"/>
      <c r="I227" s="294"/>
      <c r="J227" s="294">
        <v>0.19500000000000001</v>
      </c>
      <c r="K227" s="294">
        <v>0.25</v>
      </c>
      <c r="L227" s="294">
        <v>0</v>
      </c>
      <c r="M227" s="294">
        <v>0</v>
      </c>
      <c r="N227" s="294">
        <v>0</v>
      </c>
      <c r="O227" s="294"/>
      <c r="P227" s="294">
        <v>0</v>
      </c>
      <c r="Q227" s="294">
        <v>0</v>
      </c>
      <c r="R227" s="291">
        <v>0</v>
      </c>
      <c r="S227" s="291"/>
      <c r="T227" s="291"/>
      <c r="U227" s="389">
        <v>2E-3</v>
      </c>
      <c r="V227" s="291">
        <v>0</v>
      </c>
      <c r="W227" s="291">
        <v>0</v>
      </c>
      <c r="X227" s="291">
        <v>0.45</v>
      </c>
      <c r="Y227" s="291">
        <v>0</v>
      </c>
      <c r="Z227" s="291">
        <v>-0.19</v>
      </c>
      <c r="AA227" s="291">
        <v>0</v>
      </c>
      <c r="AB227" s="306">
        <v>0.29499999999999998</v>
      </c>
      <c r="AC227" s="306">
        <v>0.35499999999999998</v>
      </c>
      <c r="AD227" s="306"/>
      <c r="AE227" s="306">
        <v>0.15</v>
      </c>
      <c r="AF227" s="431">
        <v>0.15</v>
      </c>
      <c r="AG227" s="431">
        <v>0.14699999999999999</v>
      </c>
      <c r="AH227" s="431">
        <v>0.15</v>
      </c>
      <c r="AI227" s="431">
        <v>0.153</v>
      </c>
      <c r="AJ227" s="431">
        <v>0.15</v>
      </c>
      <c r="AK227" s="431">
        <v>0.14699999999999999</v>
      </c>
      <c r="AL227" s="431">
        <v>0.14699999999999999</v>
      </c>
      <c r="AM227" s="431">
        <v>0.15</v>
      </c>
      <c r="AN227" s="431">
        <v>0.15</v>
      </c>
      <c r="AO227" s="431">
        <v>0.15</v>
      </c>
      <c r="AP227" s="432">
        <v>0.15</v>
      </c>
      <c r="AQ227" s="432">
        <v>0.15</v>
      </c>
      <c r="AR227" s="432">
        <v>0.15</v>
      </c>
      <c r="AS227" s="432">
        <v>0.15</v>
      </c>
      <c r="AT227" s="431">
        <v>0.15</v>
      </c>
      <c r="AU227" s="431">
        <v>0.15</v>
      </c>
      <c r="AV227" s="431">
        <v>0.14699999999999999</v>
      </c>
      <c r="AW227" s="291">
        <v>7.0582619366761995E-2</v>
      </c>
      <c r="AX227" s="291"/>
      <c r="AY227" s="306">
        <f t="shared" si="23"/>
        <v>0.14699999999999999</v>
      </c>
      <c r="AZ227" s="306">
        <f t="shared" si="24"/>
        <v>0.14699999999999999</v>
      </c>
      <c r="BA227" s="309">
        <f t="shared" si="25"/>
        <v>0.14699999999999999</v>
      </c>
      <c r="BB227" s="308">
        <f t="shared" si="26"/>
        <v>0</v>
      </c>
      <c r="BC227" s="308">
        <v>0.29306672705878228</v>
      </c>
      <c r="BD227" s="291">
        <v>0.29312267281806453</v>
      </c>
      <c r="BF227" s="194">
        <v>43191</v>
      </c>
      <c r="BG227" s="206">
        <v>215</v>
      </c>
      <c r="HZ227" s="308">
        <f t="shared" si="22"/>
        <v>0</v>
      </c>
      <c r="IA227" s="291">
        <v>217</v>
      </c>
    </row>
    <row r="228" spans="1:235" x14ac:dyDescent="0.25">
      <c r="A228" s="319"/>
      <c r="B228" s="314"/>
      <c r="C228" s="294">
        <v>3.6475</v>
      </c>
      <c r="D228" s="294">
        <v>0.15</v>
      </c>
      <c r="E228" s="294">
        <v>7.0667303498469003E-2</v>
      </c>
      <c r="F228" s="294"/>
      <c r="G228" s="294">
        <v>4.9968100000000001E-2</v>
      </c>
      <c r="H228" s="294"/>
      <c r="I228" s="294"/>
      <c r="J228" s="294">
        <v>0.1825</v>
      </c>
      <c r="K228" s="294">
        <v>0.20250000000000001</v>
      </c>
      <c r="L228" s="294">
        <v>0</v>
      </c>
      <c r="M228" s="294">
        <v>0</v>
      </c>
      <c r="N228" s="294">
        <v>0</v>
      </c>
      <c r="O228" s="294"/>
      <c r="P228" s="294">
        <v>0</v>
      </c>
      <c r="Q228" s="294">
        <v>0</v>
      </c>
      <c r="R228" s="291">
        <v>0</v>
      </c>
      <c r="S228" s="291"/>
      <c r="T228" s="291"/>
      <c r="U228" s="389">
        <v>1.75E-3</v>
      </c>
      <c r="V228" s="291">
        <v>0</v>
      </c>
      <c r="W228" s="291">
        <v>0</v>
      </c>
      <c r="X228" s="291">
        <v>0.40500000000000003</v>
      </c>
      <c r="Y228" s="291">
        <v>0</v>
      </c>
      <c r="Z228" s="291">
        <v>-0.19</v>
      </c>
      <c r="AA228" s="291">
        <v>0</v>
      </c>
      <c r="AB228" s="306">
        <v>0.29499999999999998</v>
      </c>
      <c r="AC228" s="306">
        <v>0.28749999999999998</v>
      </c>
      <c r="AD228" s="306"/>
      <c r="AE228" s="306">
        <v>0.15</v>
      </c>
      <c r="AF228" s="291">
        <v>0.15</v>
      </c>
      <c r="AG228" s="291">
        <v>0.14699999999999999</v>
      </c>
      <c r="AH228" s="305">
        <v>0.15</v>
      </c>
      <c r="AI228" s="305">
        <v>0.153</v>
      </c>
      <c r="AJ228" s="305">
        <v>0.15</v>
      </c>
      <c r="AK228" s="291">
        <v>0.14699999999999999</v>
      </c>
      <c r="AL228" s="291">
        <v>0.14699999999999999</v>
      </c>
      <c r="AM228" s="305">
        <v>0.15</v>
      </c>
      <c r="AN228" s="291">
        <v>0.15</v>
      </c>
      <c r="AO228" s="291">
        <v>0.15</v>
      </c>
      <c r="AP228" s="306">
        <v>0.15</v>
      </c>
      <c r="AQ228" s="306">
        <v>0.15</v>
      </c>
      <c r="AR228" s="306">
        <v>0.15</v>
      </c>
      <c r="AS228" s="306">
        <v>0.15</v>
      </c>
      <c r="AT228" s="291">
        <v>0.15</v>
      </c>
      <c r="AU228" s="291">
        <v>0.15</v>
      </c>
      <c r="AV228" s="291">
        <v>0.14699999999999999</v>
      </c>
      <c r="AW228" s="291">
        <v>7.0589348577550004E-2</v>
      </c>
      <c r="AX228" s="291"/>
      <c r="AY228" s="306">
        <f t="shared" si="23"/>
        <v>0.14699999999999999</v>
      </c>
      <c r="AZ228" s="306">
        <f t="shared" si="24"/>
        <v>0.14699999999999999</v>
      </c>
      <c r="BA228" s="309">
        <f t="shared" si="25"/>
        <v>0.14699999999999999</v>
      </c>
      <c r="BB228" s="308">
        <f t="shared" si="26"/>
        <v>0</v>
      </c>
      <c r="BC228" s="308">
        <v>0.29136937927072548</v>
      </c>
      <c r="BD228" s="291">
        <v>0.29142500471530269</v>
      </c>
      <c r="BF228" s="194">
        <v>43221</v>
      </c>
      <c r="BG228" s="206">
        <v>216</v>
      </c>
      <c r="HZ228" s="308">
        <f t="shared" si="22"/>
        <v>0</v>
      </c>
      <c r="IA228" s="291">
        <v>218</v>
      </c>
    </row>
    <row r="229" spans="1:235" x14ac:dyDescent="0.25">
      <c r="A229" s="319"/>
      <c r="B229" s="314"/>
      <c r="C229" s="294">
        <v>3.6825000000000001</v>
      </c>
      <c r="D229" s="294">
        <v>0.15</v>
      </c>
      <c r="E229" s="294">
        <v>7.0668469514135995E-2</v>
      </c>
      <c r="F229" s="294"/>
      <c r="G229" s="294">
        <v>4.9968100000000001E-2</v>
      </c>
      <c r="H229" s="294"/>
      <c r="I229" s="294"/>
      <c r="J229" s="294">
        <v>0.1825</v>
      </c>
      <c r="K229" s="294">
        <v>0.20250000000000001</v>
      </c>
      <c r="L229" s="294">
        <v>0</v>
      </c>
      <c r="M229" s="294">
        <v>0</v>
      </c>
      <c r="N229" s="294">
        <v>0</v>
      </c>
      <c r="O229" s="294"/>
      <c r="P229" s="294">
        <v>0</v>
      </c>
      <c r="Q229" s="294">
        <v>0</v>
      </c>
      <c r="R229" s="291">
        <v>0</v>
      </c>
      <c r="S229" s="291"/>
      <c r="T229" s="291"/>
      <c r="U229" s="389">
        <v>1.75E-3</v>
      </c>
      <c r="V229" s="291">
        <v>0</v>
      </c>
      <c r="W229" s="291">
        <v>0</v>
      </c>
      <c r="X229" s="291">
        <v>0.39500000000000002</v>
      </c>
      <c r="Y229" s="291">
        <v>0</v>
      </c>
      <c r="Z229" s="291">
        <v>-0.19</v>
      </c>
      <c r="AA229" s="291">
        <v>0</v>
      </c>
      <c r="AB229" s="306">
        <v>0.29499999999999998</v>
      </c>
      <c r="AC229" s="306">
        <v>0.28749999999999998</v>
      </c>
      <c r="AD229" s="306"/>
      <c r="AE229" s="306">
        <v>0.15</v>
      </c>
      <c r="AF229" s="291">
        <v>0.15</v>
      </c>
      <c r="AG229" s="291">
        <v>0.14699999999999999</v>
      </c>
      <c r="AH229" s="305">
        <v>0.15</v>
      </c>
      <c r="AI229" s="305">
        <v>0.153</v>
      </c>
      <c r="AJ229" s="305">
        <v>0.15</v>
      </c>
      <c r="AK229" s="291">
        <v>0.14699999999999999</v>
      </c>
      <c r="AL229" s="291">
        <v>0.14699999999999999</v>
      </c>
      <c r="AM229" s="305">
        <v>0.15</v>
      </c>
      <c r="AN229" s="291">
        <v>0.15</v>
      </c>
      <c r="AO229" s="291">
        <v>0.15</v>
      </c>
      <c r="AP229" s="306">
        <v>0.15</v>
      </c>
      <c r="AQ229" s="306">
        <v>0.15</v>
      </c>
      <c r="AR229" s="306">
        <v>0.15</v>
      </c>
      <c r="AS229" s="306">
        <v>0.15</v>
      </c>
      <c r="AT229" s="291">
        <v>0.15</v>
      </c>
      <c r="AU229" s="291">
        <v>0.15</v>
      </c>
      <c r="AV229" s="291">
        <v>0.14699999999999999</v>
      </c>
      <c r="AW229" s="291">
        <v>7.0596302095380994E-2</v>
      </c>
      <c r="AX229" s="291"/>
      <c r="AY229" s="306">
        <f t="shared" si="23"/>
        <v>0.14699999999999999</v>
      </c>
      <c r="AZ229" s="306">
        <f t="shared" si="24"/>
        <v>0.14699999999999999</v>
      </c>
      <c r="BA229" s="309">
        <f t="shared" si="25"/>
        <v>0.14699999999999999</v>
      </c>
      <c r="BB229" s="308">
        <f t="shared" si="26"/>
        <v>0</v>
      </c>
      <c r="BC229" s="308">
        <v>0.28962554799157003</v>
      </c>
      <c r="BD229" s="291">
        <v>0.28968084432625613</v>
      </c>
      <c r="BF229" s="194">
        <v>43252</v>
      </c>
      <c r="BG229" s="206">
        <v>217</v>
      </c>
      <c r="HZ229" s="308">
        <f t="shared" si="22"/>
        <v>0</v>
      </c>
      <c r="IA229" s="291">
        <v>219</v>
      </c>
    </row>
    <row r="230" spans="1:235" x14ac:dyDescent="0.25">
      <c r="A230" s="319"/>
      <c r="B230" s="314"/>
      <c r="C230" s="294">
        <v>3.7044999999999999</v>
      </c>
      <c r="D230" s="294">
        <v>0.15</v>
      </c>
      <c r="E230" s="294">
        <v>7.0669597916396001E-2</v>
      </c>
      <c r="F230" s="294"/>
      <c r="G230" s="294">
        <v>4.9968100000000001E-2</v>
      </c>
      <c r="H230" s="294"/>
      <c r="I230" s="294"/>
      <c r="J230" s="294">
        <v>0.1825</v>
      </c>
      <c r="K230" s="294">
        <v>0.215</v>
      </c>
      <c r="L230" s="294">
        <v>0</v>
      </c>
      <c r="M230" s="294">
        <v>0</v>
      </c>
      <c r="N230" s="294">
        <v>0</v>
      </c>
      <c r="O230" s="294"/>
      <c r="P230" s="294">
        <v>0</v>
      </c>
      <c r="Q230" s="294">
        <v>0</v>
      </c>
      <c r="R230" s="291">
        <v>0</v>
      </c>
      <c r="S230" s="291"/>
      <c r="T230" s="291"/>
      <c r="U230" s="389">
        <v>1.75E-3</v>
      </c>
      <c r="V230" s="291">
        <v>0</v>
      </c>
      <c r="W230" s="291">
        <v>0</v>
      </c>
      <c r="X230" s="291">
        <v>0.43</v>
      </c>
      <c r="Y230" s="291">
        <v>0</v>
      </c>
      <c r="Z230" s="291">
        <v>-0.19</v>
      </c>
      <c r="AA230" s="291">
        <v>0</v>
      </c>
      <c r="AB230" s="306">
        <v>0.29499999999999998</v>
      </c>
      <c r="AC230" s="306">
        <v>0.3</v>
      </c>
      <c r="AD230" s="306"/>
      <c r="AE230" s="306"/>
      <c r="AF230" s="291"/>
      <c r="AG230" s="291"/>
      <c r="AH230" s="305"/>
      <c r="AI230" s="305"/>
      <c r="AJ230" s="305"/>
      <c r="AK230" s="291"/>
      <c r="AL230" s="291"/>
      <c r="AM230" s="305"/>
      <c r="AN230" s="291"/>
      <c r="AO230" s="291"/>
      <c r="AP230" s="306"/>
      <c r="AQ230" s="306"/>
      <c r="AR230" s="306"/>
      <c r="AS230" s="306"/>
      <c r="AT230" s="291"/>
      <c r="AU230" s="291"/>
      <c r="AV230" s="291"/>
      <c r="AW230" s="291">
        <v>7.0603031306200006E-2</v>
      </c>
      <c r="AX230" s="291"/>
      <c r="AY230" s="306">
        <f t="shared" si="23"/>
        <v>0</v>
      </c>
      <c r="AZ230" s="306">
        <f t="shared" si="24"/>
        <v>0</v>
      </c>
      <c r="BA230" s="309">
        <f t="shared" si="25"/>
        <v>0</v>
      </c>
      <c r="BB230" s="308">
        <f t="shared" si="26"/>
        <v>0</v>
      </c>
      <c r="BC230" s="308">
        <v>0.28794768389003517</v>
      </c>
      <c r="BD230" s="291">
        <v>0.28800266354249676</v>
      </c>
      <c r="BF230" s="194">
        <v>43282</v>
      </c>
      <c r="BG230" s="206">
        <v>218</v>
      </c>
      <c r="HZ230" s="308">
        <f t="shared" si="22"/>
        <v>0</v>
      </c>
      <c r="IA230" s="291">
        <v>220</v>
      </c>
    </row>
    <row r="231" spans="1:235" x14ac:dyDescent="0.25">
      <c r="A231" s="319"/>
      <c r="B231" s="314"/>
      <c r="C231" s="294">
        <v>3.7254999999999998</v>
      </c>
      <c r="D231" s="294">
        <v>0.15</v>
      </c>
      <c r="E231" s="294">
        <v>7.0670763932065006E-2</v>
      </c>
      <c r="F231" s="294"/>
      <c r="G231" s="294">
        <v>4.9968100000000001E-2</v>
      </c>
      <c r="H231" s="294"/>
      <c r="I231" s="294"/>
      <c r="J231" s="294">
        <v>0.1825</v>
      </c>
      <c r="K231" s="294">
        <v>0.215</v>
      </c>
      <c r="L231" s="294">
        <v>0</v>
      </c>
      <c r="M231" s="294">
        <v>0</v>
      </c>
      <c r="N231" s="294">
        <v>0</v>
      </c>
      <c r="O231" s="294"/>
      <c r="P231" s="294">
        <v>0</v>
      </c>
      <c r="Q231" s="294">
        <v>0</v>
      </c>
      <c r="R231" s="291">
        <v>0</v>
      </c>
      <c r="S231" s="291"/>
      <c r="T231" s="291"/>
      <c r="U231" s="389">
        <v>1.75E-3</v>
      </c>
      <c r="V231" s="291">
        <v>0</v>
      </c>
      <c r="W231" s="291">
        <v>0</v>
      </c>
      <c r="X231" s="291">
        <v>0.495</v>
      </c>
      <c r="Y231" s="291">
        <v>0</v>
      </c>
      <c r="Z231" s="291">
        <v>-0.19</v>
      </c>
      <c r="AA231" s="291">
        <v>0</v>
      </c>
      <c r="AB231" s="306">
        <v>0.29499999999999998</v>
      </c>
      <c r="AC231" s="306">
        <v>0.3</v>
      </c>
      <c r="AD231" s="306"/>
      <c r="AE231" s="306"/>
      <c r="AF231" s="291"/>
      <c r="AG231" s="291"/>
      <c r="AH231" s="305"/>
      <c r="AI231" s="305"/>
      <c r="AJ231" s="305"/>
      <c r="AK231" s="291"/>
      <c r="AL231" s="291"/>
      <c r="AM231" s="305"/>
      <c r="AN231" s="291"/>
      <c r="AO231" s="291"/>
      <c r="AP231" s="306"/>
      <c r="AQ231" s="306"/>
      <c r="AR231" s="306"/>
      <c r="AS231" s="306"/>
      <c r="AT231" s="291"/>
      <c r="AU231" s="291"/>
      <c r="AV231" s="291"/>
      <c r="AW231" s="291">
        <v>7.0609984824062E-2</v>
      </c>
      <c r="AX231" s="291"/>
      <c r="AY231" s="306">
        <f t="shared" si="23"/>
        <v>0</v>
      </c>
      <c r="AZ231" s="306">
        <f t="shared" si="24"/>
        <v>0</v>
      </c>
      <c r="BA231" s="309">
        <f t="shared" si="25"/>
        <v>0</v>
      </c>
      <c r="BB231" s="308">
        <f t="shared" si="26"/>
        <v>0</v>
      </c>
      <c r="BC231" s="308">
        <v>0.28622387265732258</v>
      </c>
      <c r="BD231" s="291">
        <v>0.28627852693264244</v>
      </c>
      <c r="BF231" s="194">
        <v>43313</v>
      </c>
      <c r="BG231" s="206">
        <v>219</v>
      </c>
      <c r="HZ231" s="308">
        <f t="shared" si="22"/>
        <v>0</v>
      </c>
      <c r="IA231" s="291">
        <v>221</v>
      </c>
    </row>
    <row r="232" spans="1:235" x14ac:dyDescent="0.25">
      <c r="A232" s="319"/>
      <c r="B232" s="314"/>
      <c r="C232" s="294">
        <v>3.6934999999999998</v>
      </c>
      <c r="D232" s="294">
        <v>0.15</v>
      </c>
      <c r="E232" s="294">
        <v>7.0671929947733997E-2</v>
      </c>
      <c r="F232" s="294"/>
      <c r="G232" s="294">
        <v>4.9968100000000001E-2</v>
      </c>
      <c r="H232" s="294"/>
      <c r="I232" s="294"/>
      <c r="J232" s="294">
        <v>0.1825</v>
      </c>
      <c r="K232" s="294">
        <v>0.19500000000000001</v>
      </c>
      <c r="L232" s="294">
        <v>0</v>
      </c>
      <c r="M232" s="294">
        <v>0</v>
      </c>
      <c r="N232" s="294">
        <v>0</v>
      </c>
      <c r="O232" s="294"/>
      <c r="P232" s="294">
        <v>0</v>
      </c>
      <c r="Q232" s="294">
        <v>0</v>
      </c>
      <c r="R232" s="291">
        <v>0</v>
      </c>
      <c r="S232" s="291"/>
      <c r="T232" s="291"/>
      <c r="U232" s="389">
        <v>1.75E-3</v>
      </c>
      <c r="V232" s="291">
        <v>0</v>
      </c>
      <c r="W232" s="291">
        <v>0</v>
      </c>
      <c r="X232" s="291">
        <v>0.39500000000000002</v>
      </c>
      <c r="Y232" s="291">
        <v>0</v>
      </c>
      <c r="Z232" s="291">
        <v>-0.19</v>
      </c>
      <c r="AA232" s="291">
        <v>0</v>
      </c>
      <c r="AB232" s="306">
        <v>0.29499999999999998</v>
      </c>
      <c r="AC232" s="306">
        <v>0.28999999999999998</v>
      </c>
      <c r="AD232" s="306"/>
      <c r="AE232" s="306"/>
      <c r="AF232" s="291"/>
      <c r="AG232" s="291"/>
      <c r="AH232" s="305"/>
      <c r="AI232" s="305"/>
      <c r="AJ232" s="305"/>
      <c r="AK232" s="291"/>
      <c r="AL232" s="291"/>
      <c r="AM232" s="305"/>
      <c r="AN232" s="291"/>
      <c r="AO232" s="291"/>
      <c r="AP232" s="306"/>
      <c r="AQ232" s="306"/>
      <c r="AR232" s="306"/>
      <c r="AS232" s="306"/>
      <c r="AT232" s="291"/>
      <c r="AU232" s="291"/>
      <c r="AV232" s="291"/>
      <c r="AW232" s="291">
        <v>7.0616938341940994E-2</v>
      </c>
      <c r="AX232" s="291"/>
      <c r="AY232" s="306">
        <f t="shared" si="23"/>
        <v>0</v>
      </c>
      <c r="AZ232" s="306">
        <f t="shared" si="24"/>
        <v>0</v>
      </c>
      <c r="BA232" s="309">
        <f t="shared" si="25"/>
        <v>0</v>
      </c>
      <c r="BB232" s="308">
        <f t="shared" si="26"/>
        <v>0</v>
      </c>
      <c r="BC232" s="308">
        <v>0.28451014941715974</v>
      </c>
      <c r="BD232" s="291">
        <v>0.28456448019645653</v>
      </c>
      <c r="BF232" s="194">
        <v>43344</v>
      </c>
      <c r="BG232" s="206">
        <v>220</v>
      </c>
      <c r="HZ232" s="308">
        <f t="shared" si="22"/>
        <v>0</v>
      </c>
      <c r="IA232" s="291">
        <v>222</v>
      </c>
    </row>
    <row r="233" spans="1:235" x14ac:dyDescent="0.25">
      <c r="A233" s="319"/>
      <c r="B233" s="314"/>
      <c r="C233" s="294">
        <v>3.6934999999999998</v>
      </c>
      <c r="D233" s="294">
        <v>0.15</v>
      </c>
      <c r="E233" s="294">
        <v>7.0673058349999998E-2</v>
      </c>
      <c r="F233" s="294"/>
      <c r="G233" s="294">
        <v>4.9968100000000001E-2</v>
      </c>
      <c r="H233" s="294"/>
      <c r="I233" s="294"/>
      <c r="J233" s="294">
        <v>0.1875</v>
      </c>
      <c r="K233" s="294">
        <v>0.215</v>
      </c>
      <c r="L233" s="294">
        <v>0</v>
      </c>
      <c r="M233" s="294">
        <v>0</v>
      </c>
      <c r="N233" s="294">
        <v>0</v>
      </c>
      <c r="O233" s="294"/>
      <c r="P233" s="294">
        <v>0</v>
      </c>
      <c r="Q233" s="294">
        <v>0</v>
      </c>
      <c r="R233" s="291">
        <v>0</v>
      </c>
      <c r="S233" s="291"/>
      <c r="T233" s="291"/>
      <c r="U233" s="389">
        <v>-1.6500000000000001E-2</v>
      </c>
      <c r="V233" s="291">
        <v>0</v>
      </c>
      <c r="W233" s="291">
        <v>0</v>
      </c>
      <c r="X233" s="291">
        <v>0.46100000000000002</v>
      </c>
      <c r="Y233" s="291">
        <v>0</v>
      </c>
      <c r="Z233" s="291">
        <v>-0.19</v>
      </c>
      <c r="AA233" s="291">
        <v>0</v>
      </c>
      <c r="AB233" s="306">
        <v>0.29499999999999998</v>
      </c>
      <c r="AC233" s="306">
        <v>0.36249999999999999</v>
      </c>
      <c r="AD233" s="306"/>
      <c r="AE233" s="306"/>
      <c r="AF233" s="291"/>
      <c r="AG233" s="291"/>
      <c r="AH233" s="305"/>
      <c r="AI233" s="305"/>
      <c r="AJ233" s="305"/>
      <c r="AK233" s="291"/>
      <c r="AL233" s="291"/>
      <c r="AM233" s="305"/>
      <c r="AN233" s="291"/>
      <c r="AO233" s="291"/>
      <c r="AP233" s="306"/>
      <c r="AQ233" s="306"/>
      <c r="AR233" s="306"/>
      <c r="AS233" s="306"/>
      <c r="AT233" s="291"/>
      <c r="AU233" s="291"/>
      <c r="AV233" s="291"/>
      <c r="AW233" s="291">
        <v>7.0623667552805997E-2</v>
      </c>
      <c r="AX233" s="291"/>
      <c r="AY233" s="306">
        <f t="shared" si="23"/>
        <v>0</v>
      </c>
      <c r="AZ233" s="306">
        <f t="shared" si="24"/>
        <v>0</v>
      </c>
      <c r="BA233" s="309">
        <f t="shared" si="25"/>
        <v>0</v>
      </c>
      <c r="BB233" s="308">
        <f t="shared" si="26"/>
        <v>0</v>
      </c>
      <c r="BC233" s="308">
        <v>0.28286125841287835</v>
      </c>
      <c r="BD233" s="291">
        <v>0.28291527791259347</v>
      </c>
      <c r="BF233" s="194">
        <v>43374</v>
      </c>
      <c r="BG233" s="206">
        <v>221</v>
      </c>
      <c r="HZ233" s="308">
        <f t="shared" si="22"/>
        <v>0</v>
      </c>
      <c r="IA233" s="291">
        <v>223</v>
      </c>
    </row>
    <row r="234" spans="1:235" x14ac:dyDescent="0.25">
      <c r="A234" s="319"/>
      <c r="B234" s="314"/>
      <c r="C234" s="294">
        <v>3.7105000000000001</v>
      </c>
      <c r="D234" s="294">
        <v>0.15</v>
      </c>
      <c r="E234" s="294">
        <v>7.0674224365665006E-2</v>
      </c>
      <c r="F234" s="294"/>
      <c r="G234" s="294">
        <v>-2.99887E-2</v>
      </c>
      <c r="H234" s="294"/>
      <c r="I234" s="294"/>
      <c r="J234" s="294">
        <v>0.27</v>
      </c>
      <c r="K234" s="294">
        <v>0.28749999999999998</v>
      </c>
      <c r="L234" s="294">
        <v>0</v>
      </c>
      <c r="M234" s="294">
        <v>0</v>
      </c>
      <c r="N234" s="294">
        <v>0</v>
      </c>
      <c r="O234" s="294"/>
      <c r="P234" s="294">
        <v>0</v>
      </c>
      <c r="Q234" s="294">
        <v>0</v>
      </c>
      <c r="R234" s="291">
        <v>0</v>
      </c>
      <c r="S234" s="291"/>
      <c r="T234" s="291"/>
      <c r="U234" s="291">
        <v>-1.55E-2</v>
      </c>
      <c r="V234" s="291">
        <v>0</v>
      </c>
      <c r="W234" s="291">
        <v>0</v>
      </c>
      <c r="X234" s="291">
        <v>0.76749999999999996</v>
      </c>
      <c r="Y234" s="291">
        <v>0</v>
      </c>
      <c r="Z234" s="291">
        <v>-0.19</v>
      </c>
      <c r="AA234" s="291">
        <v>0</v>
      </c>
      <c r="AB234" s="306">
        <v>0.12</v>
      </c>
      <c r="AC234" s="306">
        <v>0.46500000000000002</v>
      </c>
      <c r="AD234" s="306"/>
      <c r="AE234" s="306"/>
      <c r="AF234" s="291"/>
      <c r="AG234" s="291"/>
      <c r="AH234" s="305"/>
      <c r="AI234" s="305"/>
      <c r="AJ234" s="305"/>
      <c r="AK234" s="291"/>
      <c r="AL234" s="291"/>
      <c r="AM234" s="305"/>
      <c r="AN234" s="291"/>
      <c r="AO234" s="291"/>
      <c r="AP234" s="306"/>
      <c r="AQ234" s="306"/>
      <c r="AR234" s="306"/>
      <c r="AS234" s="306"/>
      <c r="AT234" s="291"/>
      <c r="AU234" s="291"/>
      <c r="AV234" s="291"/>
      <c r="AW234" s="291">
        <v>7.0630621070715993E-2</v>
      </c>
      <c r="AX234" s="291"/>
      <c r="AY234" s="306">
        <f t="shared" si="23"/>
        <v>0</v>
      </c>
      <c r="AZ234" s="306">
        <f t="shared" si="24"/>
        <v>0</v>
      </c>
      <c r="BA234" s="309">
        <f t="shared" si="25"/>
        <v>0</v>
      </c>
      <c r="BB234" s="308">
        <f t="shared" si="26"/>
        <v>0</v>
      </c>
      <c r="BC234" s="308">
        <v>0.28116721780644988</v>
      </c>
      <c r="BD234" s="291">
        <v>0.28122091748078593</v>
      </c>
      <c r="BF234" s="194">
        <v>43405</v>
      </c>
      <c r="BG234" s="206">
        <v>222</v>
      </c>
    </row>
    <row r="235" spans="1:235" x14ac:dyDescent="0.25">
      <c r="A235" s="319"/>
      <c r="B235" s="314"/>
      <c r="C235" s="294">
        <v>3.7515000000000001</v>
      </c>
      <c r="D235" s="294">
        <v>0.15</v>
      </c>
      <c r="E235" s="294">
        <v>7.0675352767925997E-2</v>
      </c>
      <c r="F235" s="294"/>
      <c r="G235" s="294">
        <v>-4.4951900000000003E-2</v>
      </c>
      <c r="H235" s="294"/>
      <c r="I235" s="294"/>
      <c r="J235" s="294">
        <v>0.30499999999999999</v>
      </c>
      <c r="K235" s="294">
        <v>0.33750000000000002</v>
      </c>
      <c r="L235" s="294">
        <v>0</v>
      </c>
      <c r="M235" s="294">
        <v>0</v>
      </c>
      <c r="N235" s="294">
        <v>0</v>
      </c>
      <c r="O235" s="294"/>
      <c r="P235" s="294">
        <v>0</v>
      </c>
      <c r="Q235" s="294">
        <v>0</v>
      </c>
      <c r="R235" s="291">
        <v>0</v>
      </c>
      <c r="S235" s="291"/>
      <c r="T235" s="291"/>
      <c r="U235" s="291">
        <v>-1.55E-2</v>
      </c>
      <c r="V235" s="291">
        <v>0</v>
      </c>
      <c r="W235" s="291">
        <v>0</v>
      </c>
      <c r="X235" s="291">
        <v>1.19</v>
      </c>
      <c r="Y235" s="291">
        <v>0</v>
      </c>
      <c r="Z235" s="291">
        <v>-0.19</v>
      </c>
      <c r="AA235" s="291">
        <v>0</v>
      </c>
      <c r="AB235" s="306">
        <v>0.12</v>
      </c>
      <c r="AC235" s="306">
        <v>0.8</v>
      </c>
      <c r="AD235" s="306"/>
      <c r="AE235" s="306"/>
      <c r="AF235" s="291"/>
      <c r="AG235" s="291"/>
      <c r="AH235" s="305"/>
      <c r="AI235" s="305"/>
      <c r="AJ235" s="305"/>
      <c r="AK235" s="291"/>
      <c r="AL235" s="291"/>
      <c r="AM235" s="305"/>
      <c r="AN235" s="291"/>
      <c r="AO235" s="291"/>
      <c r="AP235" s="306"/>
      <c r="AQ235" s="306"/>
      <c r="AR235" s="306"/>
      <c r="AS235" s="306"/>
      <c r="AT235" s="291"/>
      <c r="AU235" s="291"/>
      <c r="AV235" s="291"/>
      <c r="AW235" s="291">
        <v>7.0637350281611E-2</v>
      </c>
      <c r="AX235" s="291"/>
      <c r="AY235" s="306">
        <f t="shared" si="23"/>
        <v>0</v>
      </c>
      <c r="AZ235" s="306">
        <f t="shared" si="24"/>
        <v>0</v>
      </c>
      <c r="BA235" s="309">
        <f t="shared" si="25"/>
        <v>0</v>
      </c>
      <c r="BB235" s="308">
        <f t="shared" si="26"/>
        <v>0</v>
      </c>
      <c r="BC235" s="308"/>
      <c r="BD235" s="291"/>
      <c r="BF235" s="194">
        <v>43435</v>
      </c>
      <c r="BG235" s="206">
        <v>223</v>
      </c>
    </row>
    <row r="236" spans="1:235" x14ac:dyDescent="0.25">
      <c r="A236" s="319"/>
      <c r="B236" s="314"/>
      <c r="C236" s="294">
        <v>4.0199999999999996</v>
      </c>
      <c r="D236" s="294">
        <v>0.15</v>
      </c>
      <c r="E236" s="294">
        <v>7.0350774050038006E-2</v>
      </c>
      <c r="F236" s="294"/>
      <c r="G236" s="294">
        <v>-3.99551E-2</v>
      </c>
      <c r="H236" s="294"/>
      <c r="I236" s="294"/>
      <c r="J236" s="294">
        <v>0.30499999999999999</v>
      </c>
      <c r="K236" s="294">
        <v>0.4375</v>
      </c>
      <c r="L236" s="294">
        <v>0</v>
      </c>
      <c r="M236" s="294">
        <v>0</v>
      </c>
      <c r="N236" s="294">
        <v>0</v>
      </c>
      <c r="O236" s="294"/>
      <c r="P236" s="291">
        <v>0</v>
      </c>
      <c r="Q236" s="291">
        <v>0</v>
      </c>
      <c r="R236" s="291">
        <v>0</v>
      </c>
      <c r="S236" s="291"/>
      <c r="T236" s="291"/>
      <c r="U236" s="291">
        <v>-1.55E-2</v>
      </c>
      <c r="V236" s="291">
        <v>0</v>
      </c>
      <c r="W236" s="291">
        <v>0</v>
      </c>
      <c r="X236" s="291">
        <v>1.5249999999999999</v>
      </c>
      <c r="Y236" s="306">
        <v>0</v>
      </c>
      <c r="Z236" s="306">
        <v>-0.19</v>
      </c>
      <c r="AA236" s="306">
        <v>0</v>
      </c>
      <c r="AB236" s="291">
        <v>0.12</v>
      </c>
      <c r="AC236" s="291">
        <v>0.97499999999999998</v>
      </c>
      <c r="AD236" s="305"/>
      <c r="AE236" s="305"/>
      <c r="AF236" s="291"/>
      <c r="AG236" s="305"/>
      <c r="AH236" s="291"/>
      <c r="AI236" s="291"/>
      <c r="AJ236" s="306"/>
      <c r="AK236" s="306"/>
      <c r="AL236" s="306"/>
      <c r="AM236" s="291"/>
      <c r="AN236" s="291"/>
      <c r="AO236" s="291"/>
      <c r="AP236" s="306"/>
      <c r="AQ236" s="306"/>
      <c r="AR236" s="306"/>
      <c r="AS236" s="309"/>
      <c r="AW236" s="206">
        <v>7.1272650938883006E-2</v>
      </c>
      <c r="BB236" s="206">
        <v>43466</v>
      </c>
      <c r="BF236" s="194">
        <v>43466</v>
      </c>
      <c r="BG236" s="206">
        <v>223</v>
      </c>
    </row>
    <row r="237" spans="1:235" x14ac:dyDescent="0.25">
      <c r="A237" s="319"/>
      <c r="B237" s="314"/>
      <c r="C237" s="294">
        <v>3.9420000000000002</v>
      </c>
      <c r="D237" s="294">
        <v>0.15</v>
      </c>
      <c r="E237" s="294">
        <v>7.0356345100123993E-2</v>
      </c>
      <c r="F237" s="294"/>
      <c r="G237" s="294">
        <v>-1.4957399999999999E-2</v>
      </c>
      <c r="H237" s="294"/>
      <c r="I237" s="294"/>
      <c r="J237" s="294">
        <v>0.30499999999999999</v>
      </c>
      <c r="K237" s="294">
        <v>0.435</v>
      </c>
      <c r="L237" s="294">
        <v>0</v>
      </c>
      <c r="M237" s="294">
        <v>0</v>
      </c>
      <c r="N237" s="294">
        <v>0</v>
      </c>
      <c r="O237" s="294"/>
      <c r="P237" s="291">
        <v>0</v>
      </c>
      <c r="Q237" s="291">
        <v>0</v>
      </c>
      <c r="R237" s="291">
        <v>0</v>
      </c>
      <c r="S237" s="291"/>
      <c r="T237" s="291"/>
      <c r="U237" s="291">
        <v>-1.55E-2</v>
      </c>
      <c r="V237" s="291">
        <v>0</v>
      </c>
      <c r="W237" s="291">
        <v>0</v>
      </c>
      <c r="X237" s="291">
        <v>1.4550000000000001</v>
      </c>
      <c r="Y237" s="306">
        <v>0</v>
      </c>
      <c r="Z237" s="306">
        <v>0</v>
      </c>
      <c r="AA237" s="306">
        <v>0</v>
      </c>
      <c r="AB237" s="291">
        <v>0.31</v>
      </c>
      <c r="AC237" s="291">
        <v>0.97499999999999998</v>
      </c>
      <c r="AD237" s="305"/>
      <c r="AE237" s="305"/>
      <c r="AF237" s="291"/>
      <c r="AG237" s="305"/>
      <c r="AH237" s="291"/>
      <c r="AI237" s="291"/>
      <c r="AJ237" s="306"/>
      <c r="AK237" s="306"/>
      <c r="AL237" s="306"/>
      <c r="AM237" s="291"/>
      <c r="AN237" s="291"/>
      <c r="AO237" s="291"/>
      <c r="AP237" s="306"/>
      <c r="AQ237" s="306"/>
      <c r="AR237" s="306"/>
      <c r="AS237" s="309"/>
      <c r="AW237" s="206">
        <v>7.1277800450599005E-2</v>
      </c>
      <c r="BB237" s="206">
        <v>43497</v>
      </c>
      <c r="BF237" s="194">
        <v>43497</v>
      </c>
      <c r="BG237" s="206">
        <v>223</v>
      </c>
    </row>
    <row r="238" spans="1:235" x14ac:dyDescent="0.25">
      <c r="A238" s="319"/>
      <c r="B238" s="314"/>
      <c r="C238" s="294">
        <v>3.8239999999999998</v>
      </c>
      <c r="D238" s="294">
        <v>0.15</v>
      </c>
      <c r="E238" s="294">
        <v>7.0361377016339002E-2</v>
      </c>
      <c r="F238" s="294"/>
      <c r="G238" s="294">
        <v>-4.9573999999999998E-3</v>
      </c>
      <c r="H238" s="294"/>
      <c r="I238" s="294"/>
      <c r="J238" s="294">
        <v>0.26500000000000001</v>
      </c>
      <c r="K238" s="294">
        <v>0.30249999999999999</v>
      </c>
      <c r="L238" s="294">
        <v>0</v>
      </c>
      <c r="M238" s="294">
        <v>0</v>
      </c>
      <c r="N238" s="294">
        <v>0</v>
      </c>
      <c r="O238" s="294"/>
      <c r="P238" s="291">
        <v>0</v>
      </c>
      <c r="Q238" s="291">
        <v>0</v>
      </c>
      <c r="R238" s="291">
        <v>0</v>
      </c>
      <c r="S238" s="291"/>
      <c r="T238" s="291"/>
      <c r="U238" s="291">
        <v>3.0000000000000001E-3</v>
      </c>
      <c r="V238" s="291">
        <v>0</v>
      </c>
      <c r="W238" s="291">
        <v>0</v>
      </c>
      <c r="X238" s="291">
        <v>0.83499999999999996</v>
      </c>
      <c r="Y238" s="291">
        <v>0</v>
      </c>
      <c r="Z238" s="291">
        <v>0</v>
      </c>
      <c r="AA238" s="291">
        <v>0</v>
      </c>
      <c r="AB238" s="291">
        <v>0.31</v>
      </c>
      <c r="AC238" s="291">
        <v>0.60750000000000004</v>
      </c>
      <c r="AD238" s="291"/>
      <c r="AE238" s="291"/>
      <c r="AF238" s="291"/>
      <c r="AG238" s="291"/>
      <c r="AH238" s="291"/>
      <c r="AI238" s="291"/>
      <c r="AJ238" s="306"/>
      <c r="AK238" s="306"/>
      <c r="AL238" s="306"/>
      <c r="AM238" s="291"/>
      <c r="AN238" s="291"/>
      <c r="AO238" s="291"/>
      <c r="AP238" s="306"/>
      <c r="AQ238" s="306"/>
      <c r="AR238" s="306"/>
      <c r="AS238" s="309"/>
      <c r="AW238" s="206">
        <v>7.1282451622478996E-2</v>
      </c>
      <c r="BB238" s="206">
        <v>43525</v>
      </c>
      <c r="BF238" s="194">
        <v>43525</v>
      </c>
      <c r="BG238" s="206">
        <v>223</v>
      </c>
    </row>
    <row r="239" spans="1:235" x14ac:dyDescent="0.25">
      <c r="A239" s="319"/>
      <c r="B239" s="314"/>
      <c r="C239" s="294">
        <v>3.698</v>
      </c>
      <c r="D239" s="294">
        <v>0.15</v>
      </c>
      <c r="E239" s="294">
        <v>7.0366948066444002E-2</v>
      </c>
      <c r="F239" s="294"/>
      <c r="G239" s="294">
        <v>5.49766E-2</v>
      </c>
      <c r="H239" s="294"/>
      <c r="I239" s="294"/>
      <c r="J239" s="294">
        <v>0.19500000000000001</v>
      </c>
      <c r="K239" s="294">
        <v>0.25</v>
      </c>
      <c r="L239" s="294">
        <v>0</v>
      </c>
      <c r="M239" s="294">
        <v>0</v>
      </c>
      <c r="N239" s="294">
        <v>0</v>
      </c>
      <c r="O239" s="294"/>
      <c r="P239" s="291">
        <v>0</v>
      </c>
      <c r="Q239" s="291">
        <v>0</v>
      </c>
      <c r="R239" s="291">
        <v>0</v>
      </c>
      <c r="S239" s="291"/>
      <c r="T239" s="291"/>
      <c r="U239" s="291">
        <v>3.0000000000000001E-3</v>
      </c>
      <c r="V239" s="291">
        <v>0</v>
      </c>
      <c r="W239" s="291">
        <v>0</v>
      </c>
      <c r="X239" s="291">
        <v>0.45</v>
      </c>
      <c r="Y239" s="291">
        <v>0</v>
      </c>
      <c r="Z239" s="291">
        <v>0</v>
      </c>
      <c r="AA239" s="291">
        <v>0</v>
      </c>
      <c r="AB239" s="291">
        <v>0.3775</v>
      </c>
      <c r="AC239" s="291">
        <v>0.33500000000000002</v>
      </c>
      <c r="AD239" s="291"/>
      <c r="AE239" s="291"/>
      <c r="AF239" s="291"/>
      <c r="AG239" s="291"/>
      <c r="AH239" s="291"/>
      <c r="AI239" s="291"/>
      <c r="AJ239" s="306"/>
      <c r="AK239" s="306"/>
      <c r="AL239" s="306"/>
      <c r="AM239" s="291"/>
      <c r="AN239" s="291"/>
      <c r="AO239" s="291"/>
      <c r="AP239" s="291"/>
      <c r="AQ239" s="291"/>
      <c r="AR239" s="291"/>
      <c r="AS239" s="291"/>
      <c r="AW239" s="206">
        <v>7.1287601134211995E-2</v>
      </c>
      <c r="BB239" s="206">
        <v>43556</v>
      </c>
      <c r="BF239" s="194">
        <v>43556</v>
      </c>
      <c r="BG239" s="206">
        <v>223</v>
      </c>
    </row>
    <row r="240" spans="1:235" x14ac:dyDescent="0.25">
      <c r="A240" s="319"/>
      <c r="B240" s="314"/>
      <c r="C240" s="294">
        <v>3.6989999999999998</v>
      </c>
      <c r="D240" s="294">
        <v>0.15</v>
      </c>
      <c r="E240" s="294">
        <v>7.0372339405264994E-2</v>
      </c>
      <c r="F240" s="294"/>
      <c r="G240" s="294">
        <v>5.4968099999999999E-2</v>
      </c>
      <c r="H240" s="294"/>
      <c r="I240" s="294"/>
      <c r="J240" s="294">
        <v>0.1825</v>
      </c>
      <c r="K240" s="294">
        <v>0.20250000000000001</v>
      </c>
      <c r="L240" s="294">
        <v>0</v>
      </c>
      <c r="M240" s="294">
        <v>0</v>
      </c>
      <c r="N240" s="294">
        <v>0</v>
      </c>
      <c r="O240" s="294"/>
      <c r="P240" s="291">
        <v>0</v>
      </c>
      <c r="Q240" s="291">
        <v>0</v>
      </c>
      <c r="R240" s="291">
        <v>0</v>
      </c>
      <c r="S240" s="291"/>
      <c r="T240" s="291"/>
      <c r="U240" s="291">
        <v>2.7499999999999998E-3</v>
      </c>
      <c r="V240" s="291">
        <v>0</v>
      </c>
      <c r="W240" s="291">
        <v>0</v>
      </c>
      <c r="X240" s="291">
        <v>0.40500000000000003</v>
      </c>
      <c r="Y240" s="291">
        <v>0</v>
      </c>
      <c r="Z240" s="291">
        <v>0</v>
      </c>
      <c r="AA240" s="291">
        <v>0</v>
      </c>
      <c r="AB240" s="291">
        <v>0.3775</v>
      </c>
      <c r="AC240" s="291">
        <v>0.26750000000000002</v>
      </c>
      <c r="AD240" s="291"/>
      <c r="AE240" s="291"/>
      <c r="AF240" s="291"/>
      <c r="AG240" s="291"/>
      <c r="AH240" s="291"/>
      <c r="AI240" s="291"/>
      <c r="AJ240" s="306"/>
      <c r="AK240" s="306"/>
      <c r="AL240" s="306"/>
      <c r="AM240" s="291"/>
      <c r="AN240" s="291"/>
      <c r="AO240" s="291"/>
      <c r="AP240" s="291"/>
      <c r="AQ240" s="291"/>
      <c r="AR240" s="291"/>
      <c r="AS240" s="291"/>
      <c r="AW240" s="206">
        <v>7.1292584532670997E-2</v>
      </c>
      <c r="BB240" s="206">
        <v>43586</v>
      </c>
      <c r="BF240" s="194">
        <v>43586</v>
      </c>
      <c r="BG240" s="206">
        <v>223</v>
      </c>
    </row>
    <row r="241" spans="1:59" x14ac:dyDescent="0.25">
      <c r="A241" s="319"/>
      <c r="B241" s="314"/>
      <c r="C241" s="294">
        <v>3.7349999999999999</v>
      </c>
      <c r="D241" s="294">
        <v>0.15</v>
      </c>
      <c r="E241" s="294">
        <v>7.0377910455391005E-2</v>
      </c>
      <c r="F241" s="294"/>
      <c r="G241" s="294">
        <v>5.4968099999999999E-2</v>
      </c>
      <c r="H241" s="294"/>
      <c r="I241" s="294"/>
      <c r="J241" s="294">
        <v>0.1825</v>
      </c>
      <c r="K241" s="294">
        <v>0.20250000000000001</v>
      </c>
      <c r="L241" s="294">
        <v>0</v>
      </c>
      <c r="M241" s="294">
        <v>0</v>
      </c>
      <c r="N241" s="294">
        <v>0</v>
      </c>
      <c r="O241" s="294"/>
      <c r="P241" s="291">
        <v>0</v>
      </c>
      <c r="Q241" s="291">
        <v>0</v>
      </c>
      <c r="R241" s="291">
        <v>0</v>
      </c>
      <c r="S241" s="291"/>
      <c r="T241" s="291"/>
      <c r="U241" s="291">
        <v>2.7499999999999998E-3</v>
      </c>
      <c r="V241" s="291">
        <v>0</v>
      </c>
      <c r="W241" s="291">
        <v>0</v>
      </c>
      <c r="X241" s="291">
        <v>0.39500000000000002</v>
      </c>
      <c r="Y241" s="291">
        <v>0</v>
      </c>
      <c r="Z241" s="291">
        <v>0</v>
      </c>
      <c r="AA241" s="291">
        <v>0</v>
      </c>
      <c r="AB241" s="291">
        <v>0.3775</v>
      </c>
      <c r="AC241" s="291">
        <v>0.26750000000000002</v>
      </c>
      <c r="AD241" s="291"/>
      <c r="AE241" s="291"/>
      <c r="AF241" s="291"/>
      <c r="AG241" s="291"/>
      <c r="AH241" s="291"/>
      <c r="AI241" s="291"/>
      <c r="AJ241" s="306"/>
      <c r="AK241" s="306"/>
      <c r="AL241" s="306"/>
      <c r="AM241" s="291"/>
      <c r="AN241" s="291"/>
      <c r="AO241" s="291"/>
      <c r="AP241" s="291"/>
      <c r="AQ241" s="291"/>
      <c r="AR241" s="291"/>
      <c r="AS241" s="291"/>
      <c r="AW241" s="206">
        <v>7.1297734044420996E-2</v>
      </c>
      <c r="BB241" s="206">
        <v>43617</v>
      </c>
      <c r="BF241" s="194">
        <v>43617</v>
      </c>
      <c r="BG241" s="206">
        <v>223</v>
      </c>
    </row>
    <row r="242" spans="1:59" x14ac:dyDescent="0.25">
      <c r="B242" s="314"/>
      <c r="C242" s="294">
        <v>3.7570000000000001</v>
      </c>
      <c r="D242" s="294">
        <v>0.15</v>
      </c>
      <c r="E242" s="294">
        <v>7.0383301794231995E-2</v>
      </c>
      <c r="F242" s="294"/>
      <c r="G242" s="294">
        <v>5.4968099999999999E-2</v>
      </c>
      <c r="H242" s="294"/>
      <c r="I242" s="294"/>
      <c r="J242" s="294">
        <v>0.1825</v>
      </c>
      <c r="K242" s="294">
        <v>0.215</v>
      </c>
      <c r="L242" s="294">
        <v>0</v>
      </c>
      <c r="M242" s="294">
        <v>0</v>
      </c>
      <c r="N242" s="294">
        <v>0</v>
      </c>
      <c r="O242" s="294"/>
      <c r="P242" s="291">
        <v>0</v>
      </c>
      <c r="Q242" s="291">
        <v>0</v>
      </c>
      <c r="R242" s="291">
        <v>0</v>
      </c>
      <c r="S242" s="291"/>
      <c r="T242" s="291"/>
      <c r="U242" s="291">
        <v>2.7499999999999998E-3</v>
      </c>
      <c r="V242" s="291">
        <v>0</v>
      </c>
      <c r="W242" s="291">
        <v>0</v>
      </c>
      <c r="X242" s="291">
        <v>0.43</v>
      </c>
      <c r="Y242" s="291">
        <v>0</v>
      </c>
      <c r="Z242" s="291">
        <v>0</v>
      </c>
      <c r="AA242" s="291">
        <v>0</v>
      </c>
      <c r="AB242" s="291">
        <v>0.3775</v>
      </c>
      <c r="AC242" s="291">
        <v>0.28000000000000003</v>
      </c>
      <c r="AD242" s="291"/>
      <c r="AE242" s="291"/>
      <c r="AF242" s="291"/>
      <c r="AG242" s="291"/>
      <c r="AH242" s="291"/>
      <c r="AI242" s="291"/>
      <c r="AJ242" s="306"/>
      <c r="AK242" s="306"/>
      <c r="AL242" s="306"/>
      <c r="AM242" s="291"/>
      <c r="AN242" s="291"/>
      <c r="AO242" s="291"/>
      <c r="AP242" s="291"/>
      <c r="AQ242" s="291"/>
      <c r="AR242" s="291"/>
      <c r="AS242" s="291"/>
      <c r="AW242" s="206">
        <v>7.1302717442896998E-2</v>
      </c>
      <c r="BB242" s="206">
        <v>43647</v>
      </c>
      <c r="BF242" s="194">
        <v>43647</v>
      </c>
      <c r="BG242" s="206">
        <v>223</v>
      </c>
    </row>
    <row r="243" spans="1:59" x14ac:dyDescent="0.25">
      <c r="B243" s="314"/>
      <c r="C243" s="294">
        <v>3.778</v>
      </c>
      <c r="D243" s="294">
        <v>0.15</v>
      </c>
      <c r="E243" s="294">
        <v>7.0388872844377004E-2</v>
      </c>
      <c r="F243" s="294"/>
      <c r="G243" s="294">
        <v>5.4968099999999999E-2</v>
      </c>
      <c r="H243" s="294"/>
      <c r="I243" s="294"/>
      <c r="J243" s="294">
        <v>0.1825</v>
      </c>
      <c r="K243" s="294">
        <v>0.215</v>
      </c>
      <c r="L243" s="294">
        <v>0</v>
      </c>
      <c r="M243" s="294">
        <v>0</v>
      </c>
      <c r="N243" s="294">
        <v>0</v>
      </c>
      <c r="O243" s="294"/>
      <c r="P243" s="291">
        <v>0</v>
      </c>
      <c r="Q243" s="291">
        <v>0</v>
      </c>
      <c r="R243" s="291">
        <v>0</v>
      </c>
      <c r="S243" s="291"/>
      <c r="T243" s="291"/>
      <c r="U243" s="291">
        <v>2.7499999999999998E-3</v>
      </c>
      <c r="V243" s="291">
        <v>0</v>
      </c>
      <c r="W243" s="291">
        <v>0</v>
      </c>
      <c r="X243" s="291">
        <v>0.495</v>
      </c>
      <c r="Y243" s="291">
        <v>0</v>
      </c>
      <c r="Z243" s="291">
        <v>0</v>
      </c>
      <c r="AA243" s="291">
        <v>0</v>
      </c>
      <c r="AB243" s="291">
        <v>0.3775</v>
      </c>
      <c r="AC243" s="291">
        <v>0.28000000000000003</v>
      </c>
      <c r="AD243" s="291"/>
      <c r="AE243" s="291"/>
      <c r="AF243" s="291"/>
      <c r="AG243" s="291"/>
      <c r="AH243" s="291"/>
      <c r="AI243" s="291"/>
      <c r="AJ243" s="306"/>
      <c r="AK243" s="306"/>
      <c r="AL243" s="306"/>
      <c r="AM243" s="291"/>
      <c r="AN243" s="291"/>
      <c r="AO243" s="291"/>
      <c r="AP243" s="291"/>
      <c r="AQ243" s="291"/>
      <c r="AR243" s="291"/>
      <c r="AS243" s="291"/>
      <c r="AW243" s="206">
        <v>7.1307866954664997E-2</v>
      </c>
      <c r="BB243" s="206">
        <v>43678</v>
      </c>
      <c r="BF243" s="194">
        <v>43678</v>
      </c>
      <c r="BG243" s="206">
        <v>223</v>
      </c>
    </row>
    <row r="244" spans="1:59" x14ac:dyDescent="0.25">
      <c r="B244" s="314"/>
      <c r="C244" s="294">
        <v>3.758</v>
      </c>
      <c r="D244" s="294">
        <v>0.15</v>
      </c>
      <c r="E244" s="294">
        <v>7.0394443894533004E-2</v>
      </c>
      <c r="F244" s="294"/>
      <c r="G244" s="294">
        <v>5.4968099999999999E-2</v>
      </c>
      <c r="H244" s="294"/>
      <c r="I244" s="294"/>
      <c r="J244" s="294">
        <v>0.1825</v>
      </c>
      <c r="K244" s="294">
        <v>0.19500000000000001</v>
      </c>
      <c r="L244" s="294">
        <v>0</v>
      </c>
      <c r="M244" s="294">
        <v>0</v>
      </c>
      <c r="N244" s="294">
        <v>0</v>
      </c>
      <c r="O244" s="294"/>
      <c r="P244" s="291">
        <v>0</v>
      </c>
      <c r="Q244" s="291">
        <v>0</v>
      </c>
      <c r="R244" s="291">
        <v>0</v>
      </c>
      <c r="S244" s="291"/>
      <c r="T244" s="291"/>
      <c r="U244" s="291">
        <v>2.7499999999999998E-3</v>
      </c>
      <c r="V244" s="291">
        <v>0</v>
      </c>
      <c r="W244" s="291">
        <v>0</v>
      </c>
      <c r="X244" s="291">
        <v>0.39500000000000002</v>
      </c>
      <c r="Y244" s="291">
        <v>0</v>
      </c>
      <c r="Z244" s="291">
        <v>0</v>
      </c>
      <c r="AA244" s="291">
        <v>0</v>
      </c>
      <c r="AB244" s="291">
        <v>0.3775</v>
      </c>
      <c r="AC244" s="291">
        <v>0.27</v>
      </c>
      <c r="AD244" s="291"/>
      <c r="AE244" s="291"/>
      <c r="AF244" s="291"/>
      <c r="AG244" s="291"/>
      <c r="AH244" s="291"/>
      <c r="AI244" s="291"/>
      <c r="AJ244" s="306"/>
      <c r="AK244" s="306"/>
      <c r="AL244" s="306"/>
      <c r="AM244" s="291"/>
      <c r="AN244" s="291"/>
      <c r="AO244" s="291"/>
      <c r="AP244" s="291"/>
      <c r="AQ244" s="291"/>
      <c r="AR244" s="291"/>
      <c r="AS244" s="291"/>
      <c r="AW244" s="206">
        <v>7.1313016466441004E-2</v>
      </c>
      <c r="BB244" s="206">
        <v>43709</v>
      </c>
      <c r="BF244" s="194">
        <v>43709</v>
      </c>
      <c r="BG244" s="206">
        <v>223</v>
      </c>
    </row>
    <row r="245" spans="1:59" x14ac:dyDescent="0.25">
      <c r="B245" s="314"/>
      <c r="C245" s="294">
        <v>3.7570000000000001</v>
      </c>
      <c r="D245" s="294">
        <v>0.15</v>
      </c>
      <c r="E245" s="294">
        <v>7.0399835233402999E-2</v>
      </c>
      <c r="F245" s="294"/>
      <c r="G245" s="294">
        <v>5.4968099999999999E-2</v>
      </c>
      <c r="H245" s="294"/>
      <c r="I245" s="294"/>
      <c r="J245" s="294">
        <v>0.1875</v>
      </c>
      <c r="K245" s="294">
        <v>0.215</v>
      </c>
      <c r="L245" s="294">
        <v>0</v>
      </c>
      <c r="M245" s="294">
        <v>0</v>
      </c>
      <c r="N245" s="294">
        <v>0</v>
      </c>
      <c r="O245" s="294"/>
      <c r="P245" s="291">
        <v>0</v>
      </c>
      <c r="Q245" s="291">
        <v>0</v>
      </c>
      <c r="R245" s="291">
        <v>0</v>
      </c>
      <c r="S245" s="291"/>
      <c r="T245" s="291"/>
      <c r="U245" s="291">
        <v>-1.55E-2</v>
      </c>
      <c r="V245" s="291">
        <v>0</v>
      </c>
      <c r="W245" s="291">
        <v>0</v>
      </c>
      <c r="X245" s="291">
        <v>0.46100000000000002</v>
      </c>
      <c r="Y245" s="291">
        <v>0</v>
      </c>
      <c r="Z245" s="291">
        <v>0</v>
      </c>
      <c r="AA245" s="291">
        <v>0</v>
      </c>
      <c r="AB245" s="291">
        <v>0.3775</v>
      </c>
      <c r="AC245" s="291">
        <v>0.34250000000000003</v>
      </c>
      <c r="AD245" s="291"/>
      <c r="AE245" s="291"/>
      <c r="AF245" s="291"/>
      <c r="AG245" s="291"/>
      <c r="AH245" s="291"/>
      <c r="AI245" s="291"/>
      <c r="AJ245" s="306"/>
      <c r="AK245" s="306"/>
      <c r="AL245" s="306"/>
      <c r="AM245" s="291"/>
      <c r="AN245" s="291"/>
      <c r="AO245" s="291"/>
      <c r="AP245" s="291"/>
      <c r="AQ245" s="291"/>
      <c r="AR245" s="291"/>
      <c r="AS245" s="291"/>
      <c r="AW245" s="206">
        <v>7.1317999864942E-2</v>
      </c>
      <c r="BB245" s="206">
        <v>43739</v>
      </c>
      <c r="BF245" s="194">
        <v>43739</v>
      </c>
      <c r="BG245" s="206">
        <v>223</v>
      </c>
    </row>
    <row r="246" spans="1:59" x14ac:dyDescent="0.25">
      <c r="B246" s="314"/>
      <c r="C246" s="294">
        <v>3.7690000000000001</v>
      </c>
      <c r="D246" s="294">
        <v>0.15</v>
      </c>
      <c r="E246" s="294">
        <v>7.0405406283578997E-2</v>
      </c>
      <c r="F246" s="294"/>
      <c r="G246" s="294">
        <v>-2.4988699999999999E-2</v>
      </c>
      <c r="H246" s="294"/>
      <c r="I246" s="294"/>
      <c r="J246" s="294">
        <v>0.27</v>
      </c>
      <c r="K246" s="294">
        <v>0.28749999999999998</v>
      </c>
      <c r="L246" s="294">
        <v>0</v>
      </c>
      <c r="M246" s="294">
        <v>0</v>
      </c>
      <c r="N246" s="294">
        <v>0</v>
      </c>
      <c r="O246" s="294"/>
      <c r="P246" s="291">
        <v>0</v>
      </c>
      <c r="Q246" s="291">
        <v>0</v>
      </c>
      <c r="R246" s="291">
        <v>0</v>
      </c>
      <c r="S246" s="291"/>
      <c r="T246" s="291"/>
      <c r="U246" s="291">
        <v>-1.4500000000000001E-2</v>
      </c>
      <c r="V246" s="291">
        <v>0</v>
      </c>
      <c r="W246" s="291">
        <v>0</v>
      </c>
      <c r="X246" s="291">
        <v>0.76749999999999996</v>
      </c>
      <c r="Y246" s="291">
        <v>0</v>
      </c>
      <c r="Z246" s="291">
        <v>0</v>
      </c>
      <c r="AA246" s="291">
        <v>0</v>
      </c>
      <c r="AB246" s="291">
        <v>0.31</v>
      </c>
      <c r="AC246" s="291">
        <v>0.46500000000000002</v>
      </c>
      <c r="AD246" s="291"/>
      <c r="AE246" s="291"/>
      <c r="AF246" s="291"/>
      <c r="AG246" s="291"/>
      <c r="AH246" s="291"/>
      <c r="AI246" s="291"/>
      <c r="AJ246" s="306"/>
      <c r="AK246" s="306"/>
      <c r="AL246" s="306"/>
      <c r="AM246" s="291"/>
      <c r="AN246" s="291"/>
      <c r="AO246" s="291"/>
      <c r="AP246" s="291"/>
      <c r="AQ246" s="291"/>
      <c r="AR246" s="291"/>
      <c r="AS246" s="291"/>
      <c r="AW246" s="206">
        <v>7.1323149376735007E-2</v>
      </c>
      <c r="BB246" s="206">
        <v>43770</v>
      </c>
      <c r="BF246" s="194">
        <v>43770</v>
      </c>
      <c r="BG246" s="206">
        <v>223</v>
      </c>
    </row>
    <row r="247" spans="1:59" x14ac:dyDescent="0.25">
      <c r="B247" s="314"/>
      <c r="C247" s="294">
        <v>3.8069999999999999</v>
      </c>
      <c r="D247" s="294">
        <v>0.15</v>
      </c>
      <c r="E247" s="294">
        <v>7.0410797622469004E-2</v>
      </c>
      <c r="F247" s="294"/>
      <c r="G247" s="294">
        <v>-3.9951899999999999E-2</v>
      </c>
      <c r="H247" s="294"/>
      <c r="I247" s="294"/>
      <c r="J247" s="294">
        <v>0.30499999999999999</v>
      </c>
      <c r="K247" s="294">
        <v>0.33750000000000002</v>
      </c>
      <c r="L247" s="294">
        <v>0</v>
      </c>
      <c r="M247" s="294">
        <v>0</v>
      </c>
      <c r="N247" s="294">
        <v>0</v>
      </c>
      <c r="O247" s="294"/>
      <c r="P247" s="291">
        <v>0</v>
      </c>
      <c r="Q247" s="291">
        <v>0</v>
      </c>
      <c r="R247" s="291">
        <v>0</v>
      </c>
      <c r="S247" s="291"/>
      <c r="T247" s="291"/>
      <c r="U247" s="291">
        <v>-1.4500000000000001E-2</v>
      </c>
      <c r="V247" s="291">
        <v>0</v>
      </c>
      <c r="W247" s="291">
        <v>0</v>
      </c>
      <c r="X247" s="291">
        <v>1.19</v>
      </c>
      <c r="Y247" s="291">
        <v>0</v>
      </c>
      <c r="Z247" s="291">
        <v>0</v>
      </c>
      <c r="AA247" s="291">
        <v>0</v>
      </c>
      <c r="AB247" s="291">
        <v>0.31</v>
      </c>
      <c r="AC247" s="291">
        <v>0.8</v>
      </c>
      <c r="AD247" s="291"/>
      <c r="AE247" s="291"/>
      <c r="AF247" s="291"/>
      <c r="AG247" s="291"/>
      <c r="AH247" s="291"/>
      <c r="AI247" s="291"/>
      <c r="AJ247" s="306"/>
      <c r="AK247" s="306"/>
      <c r="AL247" s="306"/>
      <c r="AM247" s="291"/>
      <c r="AN247" s="291"/>
      <c r="AO247" s="291"/>
      <c r="AP247" s="291"/>
      <c r="AQ247" s="291"/>
      <c r="AR247" s="291"/>
      <c r="AS247" s="291"/>
      <c r="AW247" s="206">
        <v>7.1328132775253003E-2</v>
      </c>
      <c r="BB247" s="206">
        <v>43800</v>
      </c>
      <c r="BF247" s="194">
        <v>43800</v>
      </c>
      <c r="BG247" s="206">
        <v>223</v>
      </c>
    </row>
    <row r="248" spans="1:59" x14ac:dyDescent="0.25">
      <c r="B248" s="314"/>
      <c r="C248" s="294">
        <v>4.1120000000000001</v>
      </c>
      <c r="D248" s="294">
        <v>0.15</v>
      </c>
      <c r="E248" s="294">
        <v>7.0416368672665E-2</v>
      </c>
      <c r="F248" s="294"/>
      <c r="G248" s="294">
        <v>-3.4955100000000003E-2</v>
      </c>
      <c r="H248" s="294"/>
      <c r="I248" s="294"/>
      <c r="J248" s="294">
        <v>0.30499999999999999</v>
      </c>
      <c r="K248" s="294">
        <v>0.4375</v>
      </c>
      <c r="L248" s="294">
        <v>0</v>
      </c>
      <c r="M248" s="294">
        <v>0</v>
      </c>
      <c r="N248" s="294">
        <v>0</v>
      </c>
      <c r="O248" s="294"/>
      <c r="P248" s="291">
        <v>0</v>
      </c>
      <c r="Q248" s="291">
        <v>0</v>
      </c>
      <c r="R248" s="291">
        <v>0</v>
      </c>
      <c r="S248" s="291"/>
      <c r="T248" s="291"/>
      <c r="U248" s="291">
        <v>-1.4500000000000001E-2</v>
      </c>
      <c r="V248" s="291">
        <v>0</v>
      </c>
      <c r="W248" s="291">
        <v>0</v>
      </c>
      <c r="X248" s="291">
        <v>1.5249999999999999</v>
      </c>
      <c r="Y248" s="291">
        <v>0</v>
      </c>
      <c r="Z248" s="291">
        <v>0</v>
      </c>
      <c r="AA248" s="291">
        <v>0</v>
      </c>
      <c r="AB248" s="291">
        <v>0.31</v>
      </c>
      <c r="AC248" s="291">
        <v>0.97499999999999998</v>
      </c>
      <c r="AD248" s="291"/>
      <c r="AE248" s="291"/>
      <c r="AF248" s="291"/>
      <c r="AG248" s="291"/>
      <c r="AH248" s="291"/>
      <c r="AI248" s="291"/>
      <c r="AJ248" s="306"/>
      <c r="AK248" s="306"/>
      <c r="AL248" s="306"/>
      <c r="AM248" s="291"/>
      <c r="AN248" s="291"/>
      <c r="AO248" s="291"/>
      <c r="AP248" s="291"/>
      <c r="AQ248" s="291"/>
      <c r="AR248" s="291"/>
      <c r="AS248" s="291"/>
      <c r="AW248" s="206">
        <v>7.1333282287062996E-2</v>
      </c>
      <c r="BB248" s="206">
        <v>43831</v>
      </c>
      <c r="BF248" s="194">
        <v>43831</v>
      </c>
      <c r="BG248" s="206">
        <v>223</v>
      </c>
    </row>
    <row r="249" spans="1:59" x14ac:dyDescent="0.25">
      <c r="A249" s="318"/>
      <c r="B249" s="314"/>
      <c r="C249" s="294">
        <v>4.0380000000000003</v>
      </c>
      <c r="D249" s="294">
        <v>0.15</v>
      </c>
      <c r="E249" s="294">
        <v>7.0421939722871002E-2</v>
      </c>
      <c r="F249" s="294"/>
      <c r="G249" s="294">
        <v>-9.9573999999999999E-3</v>
      </c>
      <c r="H249" s="294"/>
      <c r="I249" s="294"/>
      <c r="J249" s="294">
        <v>0.30499999999999999</v>
      </c>
      <c r="K249" s="294">
        <v>0.435</v>
      </c>
      <c r="L249" s="294">
        <v>0</v>
      </c>
      <c r="M249" s="294">
        <v>0</v>
      </c>
      <c r="N249" s="294">
        <v>0</v>
      </c>
      <c r="O249" s="294"/>
      <c r="P249" s="291">
        <v>0</v>
      </c>
      <c r="Q249" s="291">
        <v>0</v>
      </c>
      <c r="R249" s="291">
        <v>0</v>
      </c>
      <c r="S249" s="291"/>
      <c r="T249" s="291"/>
      <c r="U249" s="291">
        <v>-1.4500000000000001E-2</v>
      </c>
      <c r="V249" s="291">
        <v>0</v>
      </c>
      <c r="W249" s="291">
        <v>0</v>
      </c>
      <c r="X249" s="291">
        <v>1.4550000000000001</v>
      </c>
      <c r="Y249" s="291">
        <v>0</v>
      </c>
      <c r="Z249" s="291">
        <v>0</v>
      </c>
      <c r="AA249" s="291">
        <v>0</v>
      </c>
      <c r="AB249" s="291">
        <v>0.31</v>
      </c>
      <c r="AC249" s="291">
        <v>0.97499999999999998</v>
      </c>
      <c r="AD249" s="291"/>
      <c r="AE249" s="291"/>
      <c r="AF249" s="291"/>
      <c r="AG249" s="291"/>
      <c r="AH249" s="291"/>
      <c r="AI249" s="291"/>
      <c r="AJ249" s="306"/>
      <c r="AK249" s="306"/>
      <c r="AL249" s="306"/>
      <c r="AM249" s="291"/>
      <c r="AN249" s="291"/>
      <c r="AO249" s="291"/>
      <c r="AP249" s="291"/>
      <c r="AQ249" s="291"/>
      <c r="AR249" s="291"/>
      <c r="AS249" s="291"/>
      <c r="AW249" s="206">
        <v>7.1338431798882995E-2</v>
      </c>
      <c r="BB249" s="206">
        <v>43862</v>
      </c>
      <c r="BF249" s="194">
        <v>43862</v>
      </c>
      <c r="BG249" s="206">
        <v>223</v>
      </c>
    </row>
    <row r="250" spans="1:59" x14ac:dyDescent="0.25">
      <c r="A250" s="319"/>
      <c r="B250" s="314"/>
      <c r="C250" s="294">
        <v>3.923</v>
      </c>
      <c r="D250" s="294">
        <v>0.15</v>
      </c>
      <c r="E250" s="294">
        <v>7.0427151350493003E-2</v>
      </c>
      <c r="F250" s="294"/>
      <c r="G250" s="294">
        <v>4.2500000000000003E-5</v>
      </c>
      <c r="H250" s="294"/>
      <c r="I250" s="294"/>
      <c r="J250" s="294">
        <v>0.26500000000000001</v>
      </c>
      <c r="K250" s="294">
        <v>0.30249999999999999</v>
      </c>
      <c r="L250" s="294">
        <v>0</v>
      </c>
      <c r="M250" s="294">
        <v>0</v>
      </c>
      <c r="N250" s="294">
        <v>0</v>
      </c>
      <c r="O250" s="294"/>
      <c r="P250" s="291">
        <v>0</v>
      </c>
      <c r="Q250" s="291">
        <v>0</v>
      </c>
      <c r="R250" s="291">
        <v>0</v>
      </c>
      <c r="S250" s="291"/>
      <c r="T250" s="291"/>
      <c r="U250" s="291">
        <v>4.0000000000000001E-3</v>
      </c>
      <c r="V250" s="291">
        <v>0</v>
      </c>
      <c r="W250" s="291">
        <v>0</v>
      </c>
      <c r="X250" s="291">
        <v>0.83499999999999996</v>
      </c>
      <c r="Y250" s="291">
        <v>0</v>
      </c>
      <c r="Z250" s="291">
        <v>0</v>
      </c>
      <c r="AA250" s="291">
        <v>0</v>
      </c>
      <c r="AB250" s="291">
        <v>0.31</v>
      </c>
      <c r="AC250" s="291">
        <v>0.60750000000000004</v>
      </c>
      <c r="AD250" s="291"/>
      <c r="AE250" s="291"/>
      <c r="AF250" s="291"/>
      <c r="AG250" s="291"/>
      <c r="AH250" s="291"/>
      <c r="AI250" s="291"/>
      <c r="AJ250" s="306"/>
      <c r="AK250" s="306"/>
      <c r="AL250" s="306"/>
      <c r="AM250" s="291"/>
      <c r="AN250" s="291"/>
      <c r="AO250" s="291"/>
      <c r="AP250" s="291"/>
      <c r="AQ250" s="291"/>
      <c r="AR250" s="291"/>
      <c r="AS250" s="291"/>
      <c r="AW250" s="206">
        <v>7.1343249084140997E-2</v>
      </c>
      <c r="BB250" s="206">
        <v>43891</v>
      </c>
      <c r="BF250" s="194">
        <v>43891</v>
      </c>
      <c r="BG250" s="206">
        <v>223</v>
      </c>
    </row>
    <row r="251" spans="1:59" x14ac:dyDescent="0.25">
      <c r="A251" s="319"/>
      <c r="B251" s="314"/>
      <c r="C251" s="294">
        <v>3.8</v>
      </c>
      <c r="D251" s="294">
        <v>0.15</v>
      </c>
      <c r="E251" s="294">
        <v>7.0432722400720002E-2</v>
      </c>
      <c r="F251" s="294"/>
      <c r="G251" s="294">
        <v>5.9976599999999998E-2</v>
      </c>
      <c r="H251" s="294"/>
      <c r="I251" s="294"/>
      <c r="J251" s="294">
        <v>0.19500000000000001</v>
      </c>
      <c r="K251" s="294">
        <v>0.25</v>
      </c>
      <c r="L251" s="294">
        <v>0</v>
      </c>
      <c r="M251" s="294">
        <v>0</v>
      </c>
      <c r="N251" s="294">
        <v>0</v>
      </c>
      <c r="O251" s="294"/>
      <c r="P251" s="291">
        <v>0</v>
      </c>
      <c r="Q251" s="291">
        <v>0</v>
      </c>
      <c r="R251" s="291">
        <v>0</v>
      </c>
      <c r="S251" s="291"/>
      <c r="T251" s="291"/>
      <c r="U251" s="291">
        <v>4.0000000000000001E-3</v>
      </c>
      <c r="V251" s="291">
        <v>0</v>
      </c>
      <c r="W251" s="291">
        <v>0</v>
      </c>
      <c r="X251" s="291">
        <v>0.45</v>
      </c>
      <c r="Y251" s="291">
        <v>0</v>
      </c>
      <c r="Z251" s="291">
        <v>0</v>
      </c>
      <c r="AA251" s="291">
        <v>0</v>
      </c>
      <c r="AB251" s="291">
        <v>0.3775</v>
      </c>
      <c r="AC251" s="291">
        <v>0.33500000000000002</v>
      </c>
      <c r="AD251" s="291"/>
      <c r="AE251" s="291"/>
      <c r="AF251" s="291"/>
      <c r="AG251" s="291"/>
      <c r="AH251" s="291"/>
      <c r="AI251" s="291"/>
      <c r="AJ251" s="306"/>
      <c r="AK251" s="306"/>
      <c r="AL251" s="306"/>
      <c r="AM251" s="291"/>
      <c r="AN251" s="291"/>
      <c r="AO251" s="291"/>
      <c r="AP251" s="291"/>
      <c r="AQ251" s="291"/>
      <c r="AR251" s="291"/>
      <c r="AS251" s="291"/>
      <c r="AW251" s="206">
        <v>7.1348398595976997E-2</v>
      </c>
      <c r="BB251" s="206">
        <v>43922</v>
      </c>
      <c r="BF251" s="194">
        <v>43922</v>
      </c>
      <c r="BG251" s="206">
        <v>223</v>
      </c>
    </row>
    <row r="252" spans="1:59" x14ac:dyDescent="0.25">
      <c r="A252" s="319"/>
      <c r="B252" s="314"/>
      <c r="C252" s="294">
        <v>3.802</v>
      </c>
      <c r="D252" s="294">
        <v>0.15</v>
      </c>
      <c r="E252" s="294">
        <v>7.0438113739657998E-2</v>
      </c>
      <c r="F252" s="294"/>
      <c r="G252" s="294">
        <v>5.9968100000000003E-2</v>
      </c>
      <c r="H252" s="294"/>
      <c r="I252" s="294"/>
      <c r="J252" s="294">
        <v>0.1825</v>
      </c>
      <c r="K252" s="294">
        <v>0.20250000000000001</v>
      </c>
      <c r="L252" s="294">
        <v>0</v>
      </c>
      <c r="M252" s="294">
        <v>0</v>
      </c>
      <c r="N252" s="294">
        <v>0</v>
      </c>
      <c r="O252" s="294"/>
      <c r="P252" s="291">
        <v>0</v>
      </c>
      <c r="Q252" s="291">
        <v>0</v>
      </c>
      <c r="R252" s="291">
        <v>0</v>
      </c>
      <c r="S252" s="291"/>
      <c r="T252" s="291"/>
      <c r="U252" s="291">
        <v>3.7499999999999999E-3</v>
      </c>
      <c r="V252" s="291">
        <v>0</v>
      </c>
      <c r="W252" s="291">
        <v>0</v>
      </c>
      <c r="X252" s="291">
        <v>0.40500000000000003</v>
      </c>
      <c r="Y252" s="291">
        <v>0</v>
      </c>
      <c r="Z252" s="291">
        <v>0</v>
      </c>
      <c r="AA252" s="291">
        <v>0</v>
      </c>
      <c r="AB252" s="291">
        <v>0.3775</v>
      </c>
      <c r="AC252" s="291">
        <v>0.26750000000000002</v>
      </c>
      <c r="AD252" s="291"/>
      <c r="AE252" s="291"/>
      <c r="AF252" s="291"/>
      <c r="AG252" s="291"/>
      <c r="AH252" s="291"/>
      <c r="AI252" s="291"/>
      <c r="AJ252" s="306"/>
      <c r="AK252" s="306"/>
      <c r="AL252" s="306"/>
      <c r="AM252" s="291"/>
      <c r="AN252" s="291"/>
      <c r="AO252" s="291"/>
      <c r="AP252" s="291"/>
      <c r="AQ252" s="291"/>
      <c r="AR252" s="291"/>
      <c r="AS252" s="291"/>
      <c r="AW252" s="206">
        <v>7.1353381994537002E-2</v>
      </c>
      <c r="BB252" s="206">
        <v>43952</v>
      </c>
      <c r="BF252" s="194">
        <v>43952</v>
      </c>
      <c r="BG252" s="206">
        <v>223</v>
      </c>
    </row>
    <row r="253" spans="1:59" x14ac:dyDescent="0.25">
      <c r="A253" s="319"/>
      <c r="B253" s="314"/>
      <c r="C253" s="294">
        <v>3.839</v>
      </c>
      <c r="D253" s="294">
        <v>0.15</v>
      </c>
      <c r="E253" s="294">
        <v>7.0443684789903996E-2</v>
      </c>
      <c r="F253" s="294"/>
      <c r="G253" s="294">
        <v>5.9968100000000003E-2</v>
      </c>
      <c r="H253" s="294"/>
      <c r="I253" s="294"/>
      <c r="J253" s="294">
        <v>0.1825</v>
      </c>
      <c r="K253" s="294">
        <v>0.20250000000000001</v>
      </c>
      <c r="L253" s="294">
        <v>0</v>
      </c>
      <c r="M253" s="294">
        <v>0</v>
      </c>
      <c r="N253" s="294">
        <v>0</v>
      </c>
      <c r="O253" s="294"/>
      <c r="P253" s="291">
        <v>0</v>
      </c>
      <c r="Q253" s="291">
        <v>0</v>
      </c>
      <c r="R253" s="291">
        <v>0</v>
      </c>
      <c r="S253" s="291"/>
      <c r="T253" s="291"/>
      <c r="U253" s="291">
        <v>3.7499999999999999E-3</v>
      </c>
      <c r="V253" s="291">
        <v>0</v>
      </c>
      <c r="W253" s="291">
        <v>0</v>
      </c>
      <c r="X253" s="291">
        <v>0.39500000000000002</v>
      </c>
      <c r="Y253" s="291">
        <v>0</v>
      </c>
      <c r="Z253" s="291">
        <v>0</v>
      </c>
      <c r="AA253" s="291">
        <v>0</v>
      </c>
      <c r="AB253" s="291">
        <v>0.3775</v>
      </c>
      <c r="AC253" s="291">
        <v>0.26750000000000002</v>
      </c>
      <c r="AD253" s="291"/>
      <c r="AE253" s="291"/>
      <c r="AF253" s="291"/>
      <c r="AG253" s="291"/>
      <c r="AH253" s="291"/>
      <c r="AI253" s="291"/>
      <c r="AJ253" s="306"/>
      <c r="AK253" s="306"/>
      <c r="AL253" s="306"/>
      <c r="AM253" s="291"/>
      <c r="AN253" s="291"/>
      <c r="AO253" s="291"/>
      <c r="AP253" s="291"/>
      <c r="AQ253" s="291"/>
      <c r="AR253" s="291"/>
      <c r="AS253" s="291"/>
      <c r="AW253" s="206">
        <v>7.1358531506390002E-2</v>
      </c>
      <c r="BB253" s="206">
        <v>43983</v>
      </c>
      <c r="BF253" s="194">
        <v>43983</v>
      </c>
      <c r="BG253" s="206">
        <v>223</v>
      </c>
    </row>
    <row r="254" spans="1:59" x14ac:dyDescent="0.25">
      <c r="A254" s="319"/>
      <c r="B254" s="314"/>
      <c r="C254" s="294">
        <v>3.8610000000000002</v>
      </c>
      <c r="D254" s="294">
        <v>0.15</v>
      </c>
      <c r="E254" s="294">
        <v>7.0449076128862004E-2</v>
      </c>
      <c r="F254" s="294"/>
      <c r="G254" s="294">
        <v>5.9968100000000003E-2</v>
      </c>
      <c r="H254" s="294"/>
      <c r="I254" s="294"/>
      <c r="J254" s="294">
        <v>0.1825</v>
      </c>
      <c r="K254" s="294">
        <v>0.215</v>
      </c>
      <c r="L254" s="294">
        <v>0</v>
      </c>
      <c r="M254" s="294">
        <v>0</v>
      </c>
      <c r="N254" s="294">
        <v>0</v>
      </c>
      <c r="O254" s="294"/>
      <c r="P254" s="291">
        <v>0</v>
      </c>
      <c r="Q254" s="291">
        <v>0</v>
      </c>
      <c r="R254" s="291">
        <v>0</v>
      </c>
      <c r="S254" s="291"/>
      <c r="T254" s="291"/>
      <c r="U254" s="291">
        <v>3.7499999999999999E-3</v>
      </c>
      <c r="V254" s="291">
        <v>0</v>
      </c>
      <c r="W254" s="291">
        <v>0</v>
      </c>
      <c r="X254" s="291">
        <v>0.43</v>
      </c>
      <c r="Y254" s="291">
        <v>0</v>
      </c>
      <c r="Z254" s="291">
        <v>0</v>
      </c>
      <c r="AA254" s="291">
        <v>0</v>
      </c>
      <c r="AB254" s="291">
        <v>0.3775</v>
      </c>
      <c r="AC254" s="291">
        <v>0.28000000000000003</v>
      </c>
      <c r="AD254" s="291"/>
      <c r="AE254" s="291"/>
      <c r="AF254" s="291"/>
      <c r="AG254" s="291"/>
      <c r="AH254" s="291"/>
      <c r="AI254" s="291"/>
      <c r="AJ254" s="306"/>
      <c r="AK254" s="306"/>
      <c r="AL254" s="306"/>
      <c r="AM254" s="291"/>
      <c r="AN254" s="291"/>
      <c r="AO254" s="291"/>
      <c r="AP254" s="291"/>
      <c r="AQ254" s="291"/>
      <c r="AR254" s="291"/>
      <c r="AS254" s="291"/>
      <c r="AW254" s="206">
        <v>7.1363514904966993E-2</v>
      </c>
      <c r="BB254" s="206">
        <v>44013</v>
      </c>
      <c r="BF254" s="194">
        <v>44013</v>
      </c>
      <c r="BG254" s="206">
        <v>223</v>
      </c>
    </row>
    <row r="255" spans="1:59" x14ac:dyDescent="0.25">
      <c r="A255" s="319"/>
      <c r="B255" s="314"/>
      <c r="C255" s="294">
        <v>3.8820000000000001</v>
      </c>
      <c r="D255" s="294">
        <v>0.15</v>
      </c>
      <c r="E255" s="294">
        <v>7.0454647179127999E-2</v>
      </c>
      <c r="F255" s="294"/>
      <c r="G255" s="294">
        <v>5.9968100000000003E-2</v>
      </c>
      <c r="H255" s="294"/>
      <c r="I255" s="294"/>
      <c r="J255" s="294">
        <v>0.1825</v>
      </c>
      <c r="K255" s="294">
        <v>0.215</v>
      </c>
      <c r="L255" s="294">
        <v>0</v>
      </c>
      <c r="M255" s="294">
        <v>0</v>
      </c>
      <c r="N255" s="294">
        <v>0</v>
      </c>
      <c r="O255" s="294"/>
      <c r="P255" s="291">
        <v>0</v>
      </c>
      <c r="Q255" s="291">
        <v>0</v>
      </c>
      <c r="R255" s="291">
        <v>0</v>
      </c>
      <c r="S255" s="291"/>
      <c r="T255" s="291"/>
      <c r="U255" s="291">
        <v>3.7499999999999999E-3</v>
      </c>
      <c r="V255" s="291">
        <v>0</v>
      </c>
      <c r="W255" s="291">
        <v>0</v>
      </c>
      <c r="X255" s="291">
        <v>0.495</v>
      </c>
      <c r="Y255" s="291">
        <v>0</v>
      </c>
      <c r="Z255" s="291">
        <v>0</v>
      </c>
      <c r="AA255" s="291">
        <v>0</v>
      </c>
      <c r="AB255" s="291">
        <v>0.3775</v>
      </c>
      <c r="AC255" s="291">
        <v>0.28000000000000003</v>
      </c>
      <c r="AD255" s="291"/>
      <c r="AE255" s="291"/>
      <c r="AF255" s="291"/>
      <c r="AG255" s="291"/>
      <c r="AH255" s="291"/>
      <c r="AI255" s="291"/>
      <c r="AJ255" s="306"/>
      <c r="AK255" s="306"/>
      <c r="AL255" s="306"/>
      <c r="AM255" s="291"/>
      <c r="AN255" s="291"/>
      <c r="AO255" s="291"/>
      <c r="AP255" s="291"/>
      <c r="AQ255" s="291"/>
      <c r="AR255" s="291"/>
      <c r="AS255" s="291"/>
      <c r="AW255" s="206">
        <v>7.1368664416838007E-2</v>
      </c>
      <c r="BB255" s="206">
        <v>44044</v>
      </c>
      <c r="BF255" s="194">
        <v>44044</v>
      </c>
      <c r="BG255" s="206">
        <v>223</v>
      </c>
    </row>
    <row r="256" spans="1:59" x14ac:dyDescent="0.25">
      <c r="A256" s="319"/>
      <c r="B256" s="314"/>
      <c r="C256" s="294">
        <v>3.8610000000000002</v>
      </c>
      <c r="D256" s="294">
        <v>0.15</v>
      </c>
      <c r="E256" s="294">
        <v>7.0458588203473005E-2</v>
      </c>
      <c r="F256" s="294"/>
      <c r="G256" s="294">
        <v>5.9968100000000003E-2</v>
      </c>
      <c r="H256" s="294"/>
      <c r="I256" s="294"/>
      <c r="J256" s="294">
        <v>0.1825</v>
      </c>
      <c r="K256" s="294">
        <v>0.19500000000000001</v>
      </c>
      <c r="L256" s="294">
        <v>0</v>
      </c>
      <c r="M256" s="294">
        <v>0</v>
      </c>
      <c r="N256" s="294">
        <v>0</v>
      </c>
      <c r="O256" s="294"/>
      <c r="P256" s="291">
        <v>0</v>
      </c>
      <c r="Q256" s="291">
        <v>0</v>
      </c>
      <c r="R256" s="291">
        <v>0</v>
      </c>
      <c r="S256" s="291"/>
      <c r="T256" s="291"/>
      <c r="U256" s="291">
        <v>3.7499999999999999E-3</v>
      </c>
      <c r="V256" s="291">
        <v>0</v>
      </c>
      <c r="W256" s="291">
        <v>0</v>
      </c>
      <c r="X256" s="291">
        <v>0.39500000000000002</v>
      </c>
      <c r="Y256" s="291">
        <v>0</v>
      </c>
      <c r="Z256" s="291">
        <v>0</v>
      </c>
      <c r="AA256" s="291">
        <v>0</v>
      </c>
      <c r="AB256" s="291">
        <v>0.3775</v>
      </c>
      <c r="AC256" s="291">
        <v>0.27</v>
      </c>
      <c r="AD256" s="291"/>
      <c r="AE256" s="291"/>
      <c r="AF256" s="291"/>
      <c r="AG256" s="291"/>
      <c r="AH256" s="291"/>
      <c r="AI256" s="291"/>
      <c r="AJ256" s="306"/>
      <c r="AK256" s="306"/>
      <c r="AL256" s="306"/>
      <c r="AM256" s="291"/>
      <c r="AN256" s="291"/>
      <c r="AO256" s="291"/>
      <c r="AP256" s="291"/>
      <c r="AQ256" s="291"/>
      <c r="AR256" s="291"/>
      <c r="AS256" s="291"/>
      <c r="AW256" s="206">
        <v>7.1370150757591996E-2</v>
      </c>
      <c r="BB256" s="206">
        <v>44075</v>
      </c>
      <c r="BF256" s="194">
        <v>44075</v>
      </c>
      <c r="BG256" s="206">
        <v>223</v>
      </c>
    </row>
    <row r="257" spans="1:59" x14ac:dyDescent="0.25">
      <c r="A257" s="319"/>
      <c r="B257" s="314"/>
      <c r="C257" s="294">
        <v>3.859</v>
      </c>
      <c r="D257" s="294">
        <v>0.15</v>
      </c>
      <c r="E257" s="294">
        <v>7.0451754347971005E-2</v>
      </c>
      <c r="F257" s="294"/>
      <c r="G257" s="294">
        <v>5.9968100000000003E-2</v>
      </c>
      <c r="H257" s="294"/>
      <c r="I257" s="294"/>
      <c r="J257" s="294">
        <v>0.1875</v>
      </c>
      <c r="K257" s="294">
        <v>0.215</v>
      </c>
      <c r="L257" s="294">
        <v>0</v>
      </c>
      <c r="M257" s="294">
        <v>0</v>
      </c>
      <c r="N257" s="294">
        <v>0</v>
      </c>
      <c r="O257" s="294"/>
      <c r="P257" s="291">
        <v>0</v>
      </c>
      <c r="Q257" s="291">
        <v>0</v>
      </c>
      <c r="R257" s="291">
        <v>0</v>
      </c>
      <c r="S257" s="291"/>
      <c r="T257" s="291"/>
      <c r="U257" s="291">
        <v>-1.4500000000000001E-2</v>
      </c>
      <c r="V257" s="291">
        <v>0</v>
      </c>
      <c r="W257" s="291">
        <v>0</v>
      </c>
      <c r="X257" s="291">
        <v>0.46100000000000002</v>
      </c>
      <c r="Y257" s="291">
        <v>0</v>
      </c>
      <c r="Z257" s="291">
        <v>0</v>
      </c>
      <c r="AA257" s="291">
        <v>0</v>
      </c>
      <c r="AB257" s="291">
        <v>0.3775</v>
      </c>
      <c r="AC257" s="291">
        <v>0.34250000000000003</v>
      </c>
      <c r="AD257" s="291"/>
      <c r="AE257" s="291"/>
      <c r="AF257" s="291"/>
      <c r="AG257" s="291"/>
      <c r="AH257" s="291"/>
      <c r="AI257" s="291"/>
      <c r="AJ257" s="306"/>
      <c r="AK257" s="306"/>
      <c r="AL257" s="306"/>
      <c r="AM257" s="291"/>
      <c r="AN257" s="291"/>
      <c r="AO257" s="291"/>
      <c r="AP257" s="291"/>
      <c r="AQ257" s="291"/>
      <c r="AR257" s="291"/>
      <c r="AS257" s="291"/>
      <c r="AW257" s="206">
        <v>7.1361397264483997E-2</v>
      </c>
      <c r="BB257" s="206">
        <v>44105</v>
      </c>
      <c r="BF257" s="194">
        <v>44105</v>
      </c>
      <c r="BG257" s="206">
        <v>223</v>
      </c>
    </row>
    <row r="258" spans="1:59" x14ac:dyDescent="0.25">
      <c r="A258" s="319"/>
      <c r="B258" s="314"/>
      <c r="C258" s="294">
        <v>3.8660000000000001</v>
      </c>
      <c r="D258" s="294">
        <v>0.15</v>
      </c>
      <c r="E258" s="294">
        <v>7.0444692697300998E-2</v>
      </c>
      <c r="F258" s="294"/>
      <c r="G258" s="294">
        <v>-1.9988700000000002E-2</v>
      </c>
      <c r="H258" s="294"/>
      <c r="I258" s="294"/>
      <c r="J258" s="294">
        <v>0.27</v>
      </c>
      <c r="K258" s="294">
        <v>0.28749999999999998</v>
      </c>
      <c r="L258" s="294">
        <v>0</v>
      </c>
      <c r="M258" s="294">
        <v>0</v>
      </c>
      <c r="N258" s="294">
        <v>0</v>
      </c>
      <c r="O258" s="294"/>
      <c r="P258" s="291">
        <v>0</v>
      </c>
      <c r="Q258" s="291">
        <v>0</v>
      </c>
      <c r="R258" s="291">
        <v>0</v>
      </c>
      <c r="S258" s="291"/>
      <c r="T258" s="291"/>
      <c r="U258" s="291">
        <v>-1.35E-2</v>
      </c>
      <c r="V258" s="291">
        <v>0</v>
      </c>
      <c r="W258" s="291">
        <v>0</v>
      </c>
      <c r="X258" s="291">
        <v>0.76749999999999996</v>
      </c>
      <c r="Y258" s="291">
        <v>0</v>
      </c>
      <c r="Z258" s="291">
        <v>0</v>
      </c>
      <c r="AA258" s="291">
        <v>0</v>
      </c>
      <c r="AB258" s="291">
        <v>0.33</v>
      </c>
      <c r="AC258" s="291">
        <v>0.46500000000000002</v>
      </c>
      <c r="AD258" s="291"/>
      <c r="AE258" s="291"/>
      <c r="AF258" s="291"/>
      <c r="AG258" s="291"/>
      <c r="AH258" s="291"/>
      <c r="AI258" s="291"/>
      <c r="AJ258" s="306"/>
      <c r="AK258" s="306"/>
      <c r="AL258" s="306"/>
      <c r="AM258" s="291"/>
      <c r="AN258" s="291"/>
      <c r="AO258" s="291"/>
      <c r="AP258" s="291"/>
      <c r="AQ258" s="291"/>
      <c r="AR258" s="291"/>
      <c r="AS258" s="291"/>
      <c r="AW258" s="206">
        <v>7.1352351988300006E-2</v>
      </c>
      <c r="BB258" s="206">
        <v>44136</v>
      </c>
      <c r="BF258" s="194">
        <v>44136</v>
      </c>
      <c r="BG258" s="206">
        <v>223</v>
      </c>
    </row>
    <row r="259" spans="1:59" x14ac:dyDescent="0.25">
      <c r="A259" s="319"/>
      <c r="B259" s="314"/>
      <c r="C259" s="294">
        <v>3.9009999999999998</v>
      </c>
      <c r="D259" s="294">
        <v>0.15</v>
      </c>
      <c r="E259" s="294">
        <v>7.0437858841831E-2</v>
      </c>
      <c r="F259" s="294"/>
      <c r="G259" s="294">
        <v>-3.4951900000000001E-2</v>
      </c>
      <c r="H259" s="294"/>
      <c r="I259" s="294"/>
      <c r="J259" s="294">
        <v>0.30499999999999999</v>
      </c>
      <c r="K259" s="294">
        <v>0.33750000000000002</v>
      </c>
      <c r="L259" s="294">
        <v>0</v>
      </c>
      <c r="M259" s="294">
        <v>0</v>
      </c>
      <c r="N259" s="294">
        <v>0</v>
      </c>
      <c r="O259" s="294"/>
      <c r="P259" s="291">
        <v>0</v>
      </c>
      <c r="Q259" s="291">
        <v>0</v>
      </c>
      <c r="R259" s="291">
        <v>0</v>
      </c>
      <c r="S259" s="291"/>
      <c r="T259" s="291"/>
      <c r="U259" s="291">
        <v>-1.35E-2</v>
      </c>
      <c r="V259" s="291">
        <v>0</v>
      </c>
      <c r="W259" s="291">
        <v>0</v>
      </c>
      <c r="X259" s="291">
        <v>1.19</v>
      </c>
      <c r="Y259" s="291">
        <v>0</v>
      </c>
      <c r="Z259" s="291">
        <v>0</v>
      </c>
      <c r="AA259" s="291">
        <v>0</v>
      </c>
      <c r="AB259" s="291">
        <v>0.33</v>
      </c>
      <c r="AC259" s="291">
        <v>0.8</v>
      </c>
      <c r="AD259" s="291"/>
      <c r="AE259" s="291"/>
      <c r="AF259" s="291"/>
      <c r="AG259" s="291"/>
      <c r="AH259" s="291"/>
      <c r="AI259" s="291"/>
      <c r="AJ259" s="306"/>
      <c r="AK259" s="306"/>
      <c r="AL259" s="306"/>
      <c r="AM259" s="291"/>
      <c r="AN259" s="291"/>
      <c r="AO259" s="291"/>
      <c r="AP259" s="291"/>
      <c r="AQ259" s="291"/>
      <c r="AR259" s="291"/>
      <c r="AS259" s="291"/>
      <c r="AW259" s="206">
        <v>7.1343598495245006E-2</v>
      </c>
      <c r="BB259" s="206">
        <v>44166</v>
      </c>
      <c r="BF259" s="194">
        <v>44166</v>
      </c>
      <c r="BG259" s="206">
        <v>223</v>
      </c>
    </row>
    <row r="260" spans="1:59" x14ac:dyDescent="0.25">
      <c r="A260" s="319"/>
      <c r="B260" s="314"/>
      <c r="C260" s="294">
        <v>4.2065000000000001</v>
      </c>
      <c r="D260" s="294">
        <v>0.15</v>
      </c>
      <c r="E260" s="294">
        <v>7.0430797191192995E-2</v>
      </c>
      <c r="F260" s="294"/>
      <c r="G260" s="294">
        <v>-2.9955099999999998E-2</v>
      </c>
      <c r="H260" s="294"/>
      <c r="I260" s="294"/>
      <c r="J260" s="294">
        <v>0.30499999999999999</v>
      </c>
      <c r="K260" s="294">
        <v>0.4375</v>
      </c>
      <c r="L260" s="294"/>
      <c r="M260" s="294"/>
      <c r="N260" s="294">
        <v>0</v>
      </c>
      <c r="O260" s="294"/>
      <c r="P260" s="291"/>
      <c r="Q260" s="291"/>
      <c r="R260" s="291"/>
      <c r="S260" s="291"/>
      <c r="T260" s="291"/>
      <c r="U260" s="291"/>
      <c r="V260" s="291"/>
      <c r="W260" s="291">
        <v>0</v>
      </c>
      <c r="X260" s="291">
        <v>1.5249999999999999</v>
      </c>
      <c r="Y260" s="291"/>
      <c r="Z260" s="291">
        <v>0</v>
      </c>
      <c r="AA260" s="291"/>
      <c r="AB260" s="291">
        <v>0.33</v>
      </c>
      <c r="AC260" s="291">
        <v>0.97499999999999998</v>
      </c>
      <c r="AD260" s="291"/>
      <c r="AE260" s="291"/>
      <c r="AF260" s="291"/>
      <c r="AG260" s="291"/>
      <c r="AH260" s="291"/>
      <c r="AI260" s="291"/>
      <c r="AJ260" s="306"/>
      <c r="AK260" s="306"/>
      <c r="AL260" s="306"/>
      <c r="AM260" s="291"/>
      <c r="AN260" s="291"/>
      <c r="AO260" s="291"/>
      <c r="AP260" s="291"/>
      <c r="AQ260" s="291"/>
      <c r="AR260" s="291"/>
      <c r="AS260" s="291"/>
      <c r="AW260" s="206">
        <v>7.1334553219113001E-2</v>
      </c>
      <c r="BB260" s="206">
        <v>44197</v>
      </c>
      <c r="BF260" s="194">
        <v>44197</v>
      </c>
      <c r="BG260" s="206">
        <v>223</v>
      </c>
    </row>
    <row r="261" spans="1:59" x14ac:dyDescent="0.25">
      <c r="A261" s="319"/>
      <c r="B261" s="314"/>
      <c r="C261" s="294">
        <v>4.1364999999999998</v>
      </c>
      <c r="D261" s="294">
        <v>0.15</v>
      </c>
      <c r="E261" s="294">
        <v>7.0423735540573004E-2</v>
      </c>
      <c r="F261" s="294"/>
      <c r="G261" s="294">
        <v>-4.9573999999999998E-3</v>
      </c>
      <c r="H261" s="294"/>
      <c r="I261" s="294"/>
      <c r="J261" s="294">
        <v>0.30499999999999999</v>
      </c>
      <c r="K261" s="294">
        <v>0.435</v>
      </c>
      <c r="L261" s="294"/>
      <c r="M261" s="294"/>
      <c r="N261" s="294">
        <v>0</v>
      </c>
      <c r="O261" s="294"/>
      <c r="P261" s="291"/>
      <c r="Q261" s="291"/>
      <c r="R261" s="291"/>
      <c r="S261" s="291"/>
      <c r="T261" s="291"/>
      <c r="U261" s="291"/>
      <c r="V261" s="291"/>
      <c r="W261" s="291">
        <v>0</v>
      </c>
      <c r="X261" s="291">
        <v>1.4550000000000001</v>
      </c>
      <c r="Y261" s="291"/>
      <c r="Z261" s="291">
        <v>0</v>
      </c>
      <c r="AA261" s="291"/>
      <c r="AB261" s="291">
        <v>0.33</v>
      </c>
      <c r="AC261" s="291">
        <v>0.97499999999999998</v>
      </c>
      <c r="AD261" s="291"/>
      <c r="AE261" s="291"/>
      <c r="AF261" s="291"/>
      <c r="AG261" s="291"/>
      <c r="AH261" s="291"/>
      <c r="AI261" s="291"/>
      <c r="AJ261" s="306"/>
      <c r="AK261" s="306"/>
      <c r="AL261" s="306"/>
      <c r="AM261" s="291"/>
      <c r="AN261" s="291"/>
      <c r="AO261" s="291"/>
      <c r="AP261" s="291"/>
      <c r="AQ261" s="291"/>
      <c r="AR261" s="291"/>
      <c r="AS261" s="291"/>
      <c r="AW261" s="206">
        <v>7.132550794301E-2</v>
      </c>
      <c r="BB261" s="206">
        <v>44228</v>
      </c>
      <c r="BF261" s="194">
        <v>44228</v>
      </c>
      <c r="BG261" s="206">
        <v>223</v>
      </c>
    </row>
    <row r="262" spans="1:59" x14ac:dyDescent="0.25">
      <c r="A262" s="319"/>
      <c r="B262" s="314"/>
      <c r="C262" s="294">
        <v>4.0244999999999997</v>
      </c>
      <c r="D262" s="294">
        <v>0.15</v>
      </c>
      <c r="E262" s="294">
        <v>7.0417357275510004E-2</v>
      </c>
      <c r="F262" s="294"/>
      <c r="G262" s="294">
        <v>5.0425000000000001E-3</v>
      </c>
      <c r="H262" s="294"/>
      <c r="I262" s="294"/>
      <c r="J262" s="294">
        <v>0.26500000000000001</v>
      </c>
      <c r="K262" s="294">
        <v>0.30249999999999999</v>
      </c>
      <c r="L262" s="294"/>
      <c r="M262" s="294"/>
      <c r="N262" s="294">
        <v>0</v>
      </c>
      <c r="O262" s="294"/>
      <c r="P262" s="291"/>
      <c r="Q262" s="291"/>
      <c r="R262" s="291"/>
      <c r="S262" s="291"/>
      <c r="T262" s="291"/>
      <c r="U262" s="291"/>
      <c r="V262" s="291"/>
      <c r="W262" s="291">
        <v>0</v>
      </c>
      <c r="X262" s="291">
        <v>0.83499999999999996</v>
      </c>
      <c r="Y262" s="291"/>
      <c r="Z262" s="291">
        <v>0</v>
      </c>
      <c r="AA262" s="291"/>
      <c r="AB262" s="291">
        <v>0.33</v>
      </c>
      <c r="AC262" s="291">
        <v>0.60750000000000004</v>
      </c>
      <c r="AD262" s="291"/>
      <c r="AE262" s="291"/>
      <c r="AF262" s="291"/>
      <c r="AG262" s="291"/>
      <c r="AH262" s="291"/>
      <c r="AI262" s="291"/>
      <c r="AJ262" s="306"/>
      <c r="AK262" s="306"/>
      <c r="AL262" s="306"/>
      <c r="AM262" s="291"/>
      <c r="AN262" s="291"/>
      <c r="AO262" s="291"/>
      <c r="AP262" s="291"/>
      <c r="AQ262" s="291"/>
      <c r="AR262" s="291"/>
      <c r="AS262" s="291"/>
      <c r="AW262" s="206">
        <v>7.1317338016228998E-2</v>
      </c>
      <c r="BB262" s="206">
        <v>44256</v>
      </c>
      <c r="BF262" s="194">
        <v>44256</v>
      </c>
      <c r="BG262" s="206">
        <v>223</v>
      </c>
    </row>
    <row r="263" spans="1:59" x14ac:dyDescent="0.25">
      <c r="A263" s="319"/>
      <c r="B263" s="314"/>
      <c r="C263" s="294">
        <v>3.9045000000000001</v>
      </c>
      <c r="D263" s="294">
        <v>0.15</v>
      </c>
      <c r="E263" s="294">
        <v>7.0410295624921002E-2</v>
      </c>
      <c r="F263" s="294"/>
      <c r="G263" s="294">
        <v>6.4976599999999995E-2</v>
      </c>
      <c r="H263" s="294"/>
      <c r="I263" s="294"/>
      <c r="J263" s="294">
        <v>0.19500000000000001</v>
      </c>
      <c r="K263" s="294">
        <v>0.25</v>
      </c>
      <c r="L263" s="294"/>
      <c r="M263" s="294"/>
      <c r="N263" s="294">
        <v>0</v>
      </c>
      <c r="O263" s="294"/>
      <c r="P263" s="291"/>
      <c r="Q263" s="291"/>
      <c r="R263" s="291"/>
      <c r="S263" s="291"/>
      <c r="T263" s="291"/>
      <c r="U263" s="291"/>
      <c r="V263" s="291"/>
      <c r="W263" s="291">
        <v>0</v>
      </c>
      <c r="X263" s="291">
        <v>0.45</v>
      </c>
      <c r="Y263" s="291"/>
      <c r="Z263" s="291">
        <v>0</v>
      </c>
      <c r="AA263" s="291"/>
      <c r="AB263" s="291">
        <v>0.33</v>
      </c>
      <c r="AC263" s="291">
        <v>0.33500000000000002</v>
      </c>
      <c r="AD263" s="291"/>
      <c r="AE263" s="291"/>
      <c r="AF263" s="291"/>
      <c r="AG263" s="291"/>
      <c r="AH263" s="291"/>
      <c r="AI263" s="291"/>
      <c r="AJ263" s="306"/>
      <c r="AK263" s="306"/>
      <c r="AL263" s="306"/>
      <c r="AM263" s="291"/>
      <c r="AN263" s="291"/>
      <c r="AO263" s="291"/>
      <c r="AP263" s="291"/>
      <c r="AQ263" s="291"/>
      <c r="AR263" s="291"/>
      <c r="AS263" s="291"/>
      <c r="AW263" s="206">
        <v>7.1308292740176998E-2</v>
      </c>
      <c r="BB263" s="206">
        <v>44287</v>
      </c>
      <c r="BF263" s="194">
        <v>44287</v>
      </c>
      <c r="BG263" s="206">
        <v>223</v>
      </c>
    </row>
    <row r="264" spans="1:59" x14ac:dyDescent="0.25">
      <c r="A264" s="319"/>
      <c r="B264" s="314"/>
      <c r="C264" s="294">
        <v>3.9075000000000002</v>
      </c>
      <c r="D264" s="294">
        <v>0.15</v>
      </c>
      <c r="E264" s="294">
        <v>7.0403461769527997E-2</v>
      </c>
      <c r="F264" s="294"/>
      <c r="G264" s="294">
        <v>6.4968100000000001E-2</v>
      </c>
      <c r="H264" s="294"/>
      <c r="I264" s="294"/>
      <c r="J264" s="294">
        <v>0.1825</v>
      </c>
      <c r="K264" s="294">
        <v>0.20250000000000001</v>
      </c>
      <c r="L264" s="294"/>
      <c r="M264" s="294"/>
      <c r="N264" s="294">
        <v>0</v>
      </c>
      <c r="O264" s="294"/>
      <c r="P264" s="291"/>
      <c r="Q264" s="291"/>
      <c r="R264" s="291"/>
      <c r="S264" s="291"/>
      <c r="T264" s="291"/>
      <c r="U264" s="291"/>
      <c r="V264" s="291"/>
      <c r="W264" s="291">
        <v>0</v>
      </c>
      <c r="X264" s="291">
        <v>0.40500000000000003</v>
      </c>
      <c r="Y264" s="291"/>
      <c r="Z264" s="291">
        <v>0</v>
      </c>
      <c r="AA264" s="291"/>
      <c r="AB264" s="291">
        <v>0.33</v>
      </c>
      <c r="AC264" s="291">
        <v>0.26750000000000002</v>
      </c>
      <c r="AD264" s="291"/>
      <c r="AE264" s="291"/>
      <c r="AF264" s="291"/>
      <c r="AG264" s="291"/>
      <c r="AH264" s="291"/>
      <c r="AI264" s="291"/>
      <c r="AJ264" s="306"/>
      <c r="AK264" s="306"/>
      <c r="AL264" s="306"/>
      <c r="AM264" s="291"/>
      <c r="AN264" s="291"/>
      <c r="AO264" s="291"/>
      <c r="AP264" s="291"/>
      <c r="AQ264" s="291"/>
      <c r="AR264" s="291"/>
      <c r="AS264" s="291"/>
      <c r="AW264" s="206">
        <v>7.1299539247247995E-2</v>
      </c>
      <c r="BB264" s="206">
        <v>44317</v>
      </c>
      <c r="BF264" s="194">
        <v>44317</v>
      </c>
      <c r="BG264" s="206">
        <v>223</v>
      </c>
    </row>
    <row r="265" spans="1:59" x14ac:dyDescent="0.25">
      <c r="A265" s="319"/>
      <c r="B265" s="314"/>
      <c r="C265" s="294">
        <v>3.9455</v>
      </c>
      <c r="D265" s="294">
        <v>0.15</v>
      </c>
      <c r="E265" s="294">
        <v>7.0396400118970998E-2</v>
      </c>
      <c r="F265" s="294"/>
      <c r="G265" s="294">
        <v>6.4968100000000001E-2</v>
      </c>
      <c r="H265" s="294"/>
      <c r="I265" s="294"/>
      <c r="J265" s="294">
        <v>0.1825</v>
      </c>
      <c r="K265" s="294">
        <v>0.20250000000000001</v>
      </c>
      <c r="L265" s="294"/>
      <c r="M265" s="294"/>
      <c r="N265" s="294">
        <v>0</v>
      </c>
      <c r="O265" s="294"/>
      <c r="P265" s="291"/>
      <c r="Q265" s="291"/>
      <c r="R265" s="291"/>
      <c r="S265" s="291"/>
      <c r="T265" s="291"/>
      <c r="U265" s="291"/>
      <c r="V265" s="291"/>
      <c r="W265" s="291">
        <v>0</v>
      </c>
      <c r="X265" s="291">
        <v>0.39500000000000002</v>
      </c>
      <c r="Y265" s="291"/>
      <c r="Z265" s="291">
        <v>0</v>
      </c>
      <c r="AA265" s="291"/>
      <c r="AB265" s="291">
        <v>0.33</v>
      </c>
      <c r="AC265" s="291">
        <v>0.26750000000000002</v>
      </c>
      <c r="AD265" s="291"/>
      <c r="AE265" s="291"/>
      <c r="AF265" s="291"/>
      <c r="AG265" s="291"/>
      <c r="AH265" s="291"/>
      <c r="AI265" s="291"/>
      <c r="AJ265" s="306"/>
      <c r="AK265" s="306"/>
      <c r="AL265" s="306"/>
      <c r="AM265" s="291"/>
      <c r="AN265" s="291"/>
      <c r="AO265" s="291"/>
      <c r="AP265" s="291"/>
      <c r="AQ265" s="291"/>
      <c r="AR265" s="291"/>
      <c r="AS265" s="291"/>
      <c r="AW265" s="206">
        <v>7.1290493971248994E-2</v>
      </c>
      <c r="BB265" s="206">
        <v>44348</v>
      </c>
      <c r="BF265" s="194">
        <v>44348</v>
      </c>
      <c r="BG265" s="206">
        <v>223</v>
      </c>
    </row>
    <row r="266" spans="1:59" x14ac:dyDescent="0.25">
      <c r="A266" s="319"/>
      <c r="B266" s="314"/>
      <c r="C266" s="294">
        <v>3.9674999999999998</v>
      </c>
      <c r="D266" s="294">
        <v>0.15</v>
      </c>
      <c r="E266" s="294">
        <v>7.0389566263608996E-2</v>
      </c>
      <c r="F266" s="294"/>
      <c r="G266" s="294">
        <v>6.4968100000000001E-2</v>
      </c>
      <c r="H266" s="294"/>
      <c r="I266" s="294"/>
      <c r="J266" s="294">
        <v>0.1825</v>
      </c>
      <c r="K266" s="294">
        <v>0.215</v>
      </c>
      <c r="L266" s="294"/>
      <c r="M266" s="294"/>
      <c r="N266" s="294">
        <v>0</v>
      </c>
      <c r="O266" s="294"/>
      <c r="P266" s="291"/>
      <c r="Q266" s="291"/>
      <c r="R266" s="291"/>
      <c r="S266" s="291"/>
      <c r="T266" s="291"/>
      <c r="U266" s="291"/>
      <c r="V266" s="291"/>
      <c r="W266" s="291">
        <v>0</v>
      </c>
      <c r="X266" s="291">
        <v>0.43</v>
      </c>
      <c r="Y266" s="291"/>
      <c r="Z266" s="291">
        <v>0</v>
      </c>
      <c r="AA266" s="291"/>
      <c r="AB266" s="291">
        <v>0.33</v>
      </c>
      <c r="AC266" s="291">
        <v>0.28000000000000003</v>
      </c>
      <c r="AD266" s="291"/>
      <c r="AE266" s="291"/>
      <c r="AF266" s="291"/>
      <c r="AG266" s="291"/>
      <c r="AH266" s="291"/>
      <c r="AI266" s="291"/>
      <c r="AJ266" s="306"/>
      <c r="AK266" s="306"/>
      <c r="AL266" s="306"/>
      <c r="AM266" s="291"/>
      <c r="AN266" s="291"/>
      <c r="AO266" s="291"/>
      <c r="AP266" s="291"/>
      <c r="AQ266" s="291"/>
      <c r="AR266" s="291"/>
      <c r="AS266" s="291"/>
      <c r="AW266" s="206">
        <v>7.1281740478372005E-2</v>
      </c>
      <c r="BB266" s="206">
        <v>44378</v>
      </c>
      <c r="BF266" s="194">
        <v>44378</v>
      </c>
      <c r="BG266" s="206">
        <v>223</v>
      </c>
    </row>
    <row r="267" spans="1:59" x14ac:dyDescent="0.25">
      <c r="A267" s="319"/>
      <c r="B267" s="314"/>
      <c r="C267" s="294">
        <v>3.9885000000000002</v>
      </c>
      <c r="D267" s="294">
        <v>0.15</v>
      </c>
      <c r="E267" s="294">
        <v>7.0382504613084998E-2</v>
      </c>
      <c r="F267" s="294"/>
      <c r="G267" s="294">
        <v>6.4968100000000001E-2</v>
      </c>
      <c r="H267" s="294"/>
      <c r="I267" s="294"/>
      <c r="J267" s="294">
        <v>0.1825</v>
      </c>
      <c r="K267" s="294">
        <v>0.215</v>
      </c>
      <c r="L267" s="294"/>
      <c r="M267" s="294"/>
      <c r="N267" s="294">
        <v>0</v>
      </c>
      <c r="O267" s="294"/>
      <c r="P267" s="291"/>
      <c r="Q267" s="291"/>
      <c r="R267" s="291"/>
      <c r="S267" s="291"/>
      <c r="T267" s="291"/>
      <c r="U267" s="291"/>
      <c r="V267" s="291"/>
      <c r="W267" s="291">
        <v>0</v>
      </c>
      <c r="X267" s="291">
        <v>0.495</v>
      </c>
      <c r="Y267" s="291"/>
      <c r="Z267" s="291">
        <v>0</v>
      </c>
      <c r="AA267" s="291"/>
      <c r="AB267" s="291">
        <v>0.33</v>
      </c>
      <c r="AC267" s="291">
        <v>0.28000000000000003</v>
      </c>
      <c r="AD267" s="291"/>
      <c r="AE267" s="291"/>
      <c r="AF267" s="291"/>
      <c r="AG267" s="291"/>
      <c r="AH267" s="291"/>
      <c r="AI267" s="291"/>
      <c r="AJ267" s="306"/>
      <c r="AK267" s="306"/>
      <c r="AL267" s="306"/>
      <c r="AM267" s="291"/>
      <c r="AN267" s="291"/>
      <c r="AO267" s="291"/>
      <c r="AP267" s="291"/>
      <c r="AQ267" s="291"/>
      <c r="AR267" s="291"/>
      <c r="AS267" s="291"/>
      <c r="AW267" s="206">
        <v>7.1272695202426004E-2</v>
      </c>
      <c r="BB267" s="206">
        <v>44409</v>
      </c>
      <c r="BF267" s="194">
        <v>44409</v>
      </c>
      <c r="BG267" s="206">
        <v>223</v>
      </c>
    </row>
    <row r="268" spans="1:59" x14ac:dyDescent="0.25">
      <c r="B268" s="314"/>
      <c r="C268" s="294">
        <v>3.9664999999999999</v>
      </c>
      <c r="D268" s="294">
        <v>0.15</v>
      </c>
      <c r="E268" s="294">
        <v>7.0375442962578E-2</v>
      </c>
      <c r="F268" s="294"/>
      <c r="G268" s="294">
        <v>6.4968100000000001E-2</v>
      </c>
      <c r="H268" s="294"/>
      <c r="I268" s="294"/>
      <c r="J268" s="294">
        <v>0.1825</v>
      </c>
      <c r="K268" s="294">
        <v>0.19500000000000001</v>
      </c>
      <c r="L268" s="294"/>
      <c r="M268" s="294"/>
      <c r="N268" s="294">
        <v>0</v>
      </c>
      <c r="O268" s="294"/>
      <c r="P268" s="291"/>
      <c r="Q268" s="291"/>
      <c r="R268" s="291"/>
      <c r="S268" s="291"/>
      <c r="T268" s="291"/>
      <c r="U268" s="291"/>
      <c r="V268" s="291"/>
      <c r="W268" s="291">
        <v>0</v>
      </c>
      <c r="X268" s="291">
        <v>0.39500000000000002</v>
      </c>
      <c r="Y268" s="291"/>
      <c r="Z268" s="291">
        <v>0</v>
      </c>
      <c r="AA268" s="291"/>
      <c r="AB268" s="291">
        <v>0.33</v>
      </c>
      <c r="AC268" s="291">
        <v>0.27</v>
      </c>
      <c r="AD268" s="291"/>
      <c r="AE268" s="291"/>
      <c r="AF268" s="291"/>
      <c r="AG268" s="291"/>
      <c r="AH268" s="291"/>
      <c r="AI268" s="291"/>
      <c r="AJ268" s="306"/>
      <c r="AK268" s="306"/>
      <c r="AL268" s="306"/>
      <c r="AM268" s="291"/>
      <c r="AN268" s="291"/>
      <c r="AO268" s="291"/>
      <c r="AP268" s="291"/>
      <c r="AQ268" s="291"/>
      <c r="AR268" s="291"/>
      <c r="AS268" s="291"/>
      <c r="AW268" s="206">
        <v>7.1263649926506994E-2</v>
      </c>
      <c r="BB268" s="206">
        <v>44440</v>
      </c>
      <c r="BF268" s="194">
        <v>44440</v>
      </c>
      <c r="BG268" s="206">
        <v>223</v>
      </c>
    </row>
    <row r="269" spans="1:59" x14ac:dyDescent="0.25">
      <c r="B269" s="314"/>
      <c r="C269" s="294">
        <v>3.9634999999999998</v>
      </c>
      <c r="D269" s="294">
        <v>0.15</v>
      </c>
      <c r="E269" s="294">
        <v>7.0368609107263003E-2</v>
      </c>
      <c r="F269" s="294"/>
      <c r="G269" s="294">
        <v>6.4968100000000001E-2</v>
      </c>
      <c r="H269" s="294"/>
      <c r="I269" s="294"/>
      <c r="J269" s="294">
        <v>0.1875</v>
      </c>
      <c r="K269" s="294">
        <v>0.215</v>
      </c>
      <c r="L269" s="294"/>
      <c r="M269" s="294"/>
      <c r="N269" s="294">
        <v>0</v>
      </c>
      <c r="O269" s="294"/>
      <c r="P269" s="291"/>
      <c r="Q269" s="291"/>
      <c r="R269" s="291"/>
      <c r="S269" s="291"/>
      <c r="T269" s="291"/>
      <c r="U269" s="291"/>
      <c r="V269" s="291"/>
      <c r="W269" s="291">
        <v>0</v>
      </c>
      <c r="X269" s="291">
        <v>0.46100000000000002</v>
      </c>
      <c r="Y269" s="291"/>
      <c r="Z269" s="291">
        <v>0</v>
      </c>
      <c r="AA269" s="291"/>
      <c r="AB269" s="291">
        <v>0.33</v>
      </c>
      <c r="AC269" s="291">
        <v>0.34250000000000003</v>
      </c>
      <c r="AD269" s="291"/>
      <c r="AE269" s="291"/>
      <c r="AF269" s="291"/>
      <c r="AG269" s="291"/>
      <c r="AH269" s="291"/>
      <c r="AI269" s="291"/>
      <c r="AJ269" s="306"/>
      <c r="AK269" s="306"/>
      <c r="AL269" s="306"/>
      <c r="AM269" s="291"/>
      <c r="AN269" s="291"/>
      <c r="AO269" s="291"/>
      <c r="AP269" s="291"/>
      <c r="AQ269" s="291"/>
      <c r="AR269" s="291"/>
      <c r="AS269" s="291"/>
      <c r="AW269" s="206">
        <v>7.1254896433707998E-2</v>
      </c>
      <c r="BB269" s="206">
        <v>44470</v>
      </c>
      <c r="BF269" s="194">
        <v>44470</v>
      </c>
      <c r="BG269" s="206">
        <v>223</v>
      </c>
    </row>
    <row r="270" spans="1:59" x14ac:dyDescent="0.25">
      <c r="B270" s="314"/>
      <c r="C270" s="294">
        <v>3.9655</v>
      </c>
      <c r="D270" s="294">
        <v>0.15</v>
      </c>
      <c r="E270" s="294">
        <v>7.0361547456788007E-2</v>
      </c>
      <c r="F270" s="294"/>
      <c r="G270" s="294">
        <v>-1.4988700000000001E-2</v>
      </c>
      <c r="H270" s="294"/>
      <c r="I270" s="294"/>
      <c r="J270" s="294">
        <v>0.27</v>
      </c>
      <c r="K270" s="294">
        <v>0.28749999999999998</v>
      </c>
      <c r="L270" s="294"/>
      <c r="M270" s="294"/>
      <c r="N270" s="294">
        <v>0</v>
      </c>
      <c r="O270" s="294"/>
      <c r="P270" s="291"/>
      <c r="Q270" s="291"/>
      <c r="R270" s="291"/>
      <c r="S270" s="291"/>
      <c r="T270" s="291"/>
      <c r="U270" s="291"/>
      <c r="V270" s="291"/>
      <c r="W270" s="291">
        <v>0</v>
      </c>
      <c r="X270" s="291">
        <v>0.76749999999999996</v>
      </c>
      <c r="Y270" s="291"/>
      <c r="Z270" s="291">
        <v>0</v>
      </c>
      <c r="AA270" s="291"/>
      <c r="AB270" s="291">
        <v>0</v>
      </c>
      <c r="AC270" s="291">
        <v>0.46500000000000002</v>
      </c>
      <c r="AD270" s="291"/>
      <c r="AE270" s="291"/>
      <c r="AF270" s="291"/>
      <c r="AG270" s="291"/>
      <c r="AH270" s="291"/>
      <c r="AI270" s="291"/>
      <c r="AJ270" s="306"/>
      <c r="AK270" s="306"/>
      <c r="AL270" s="306"/>
      <c r="AM270" s="291"/>
      <c r="AN270" s="291"/>
      <c r="AO270" s="291"/>
      <c r="AP270" s="291"/>
      <c r="AQ270" s="291"/>
      <c r="AR270" s="291"/>
      <c r="AS270" s="291"/>
      <c r="AW270" s="206">
        <v>7.1245851157842002E-2</v>
      </c>
      <c r="BB270" s="206">
        <v>44501</v>
      </c>
      <c r="BF270" s="194">
        <v>44501</v>
      </c>
      <c r="BG270" s="206">
        <v>223</v>
      </c>
    </row>
    <row r="271" spans="1:59" x14ac:dyDescent="0.25">
      <c r="B271" s="314"/>
      <c r="C271" s="294">
        <v>3.9975000000000001</v>
      </c>
      <c r="D271" s="294">
        <v>0.15</v>
      </c>
      <c r="E271" s="294">
        <v>7.0354713601503999E-2</v>
      </c>
      <c r="F271" s="294"/>
      <c r="G271" s="294">
        <v>-2.99519E-2</v>
      </c>
      <c r="H271" s="294"/>
      <c r="I271" s="294"/>
      <c r="J271" s="294">
        <v>0.30499999999999999</v>
      </c>
      <c r="K271" s="294">
        <v>0.33750000000000002</v>
      </c>
      <c r="L271" s="294"/>
      <c r="M271" s="294"/>
      <c r="N271" s="294">
        <v>0</v>
      </c>
      <c r="O271" s="294"/>
      <c r="P271" s="291"/>
      <c r="Q271" s="291"/>
      <c r="R271" s="291"/>
      <c r="S271" s="291"/>
      <c r="T271" s="291"/>
      <c r="U271" s="291"/>
      <c r="V271" s="291"/>
      <c r="W271" s="291">
        <v>0</v>
      </c>
      <c r="X271" s="291">
        <v>1.19</v>
      </c>
      <c r="Y271" s="291"/>
      <c r="Z271" s="291">
        <v>0</v>
      </c>
      <c r="AA271" s="291"/>
      <c r="AB271" s="291">
        <v>0</v>
      </c>
      <c r="AC271" s="291">
        <v>0.8</v>
      </c>
      <c r="AD271" s="291"/>
      <c r="AE271" s="291"/>
      <c r="AF271" s="291"/>
      <c r="AG271" s="291"/>
      <c r="AH271" s="291"/>
      <c r="AI271" s="291"/>
      <c r="AJ271" s="306"/>
      <c r="AK271" s="306"/>
      <c r="AL271" s="306"/>
      <c r="AM271" s="291"/>
      <c r="AN271" s="291"/>
      <c r="AO271" s="291"/>
      <c r="AP271" s="291"/>
      <c r="AQ271" s="291"/>
      <c r="AR271" s="291"/>
      <c r="AS271" s="291"/>
      <c r="AW271" s="206">
        <v>7.1237097665094007E-2</v>
      </c>
      <c r="BB271" s="206">
        <v>44531</v>
      </c>
      <c r="BF271" s="194">
        <v>44531</v>
      </c>
      <c r="BG271" s="206">
        <v>223</v>
      </c>
    </row>
    <row r="272" spans="1:59" x14ac:dyDescent="0.25">
      <c r="B272" s="314"/>
      <c r="C272" s="294">
        <v>4.3034999999999997</v>
      </c>
      <c r="D272" s="294">
        <v>0.15</v>
      </c>
      <c r="E272" s="294">
        <v>7.0347651951062004E-2</v>
      </c>
      <c r="F272" s="294"/>
      <c r="G272" s="294">
        <v>-2.4955100000000001E-2</v>
      </c>
      <c r="H272" s="294"/>
      <c r="I272" s="294"/>
      <c r="J272" s="294">
        <v>0.30499999999999999</v>
      </c>
      <c r="K272" s="294">
        <v>0.4375</v>
      </c>
      <c r="L272" s="294"/>
      <c r="M272" s="294"/>
      <c r="N272" s="294">
        <v>0</v>
      </c>
      <c r="O272" s="294"/>
      <c r="P272" s="291"/>
      <c r="Q272" s="291"/>
      <c r="R272" s="291"/>
      <c r="S272" s="291"/>
      <c r="T272" s="291"/>
      <c r="U272" s="291"/>
      <c r="V272" s="291"/>
      <c r="W272" s="291">
        <v>0</v>
      </c>
      <c r="X272" s="291">
        <v>1.5249999999999999</v>
      </c>
      <c r="Y272" s="291"/>
      <c r="Z272" s="291">
        <v>0</v>
      </c>
      <c r="AA272" s="291"/>
      <c r="AB272" s="291">
        <v>0</v>
      </c>
      <c r="AC272" s="291">
        <v>0.97499999999999998</v>
      </c>
      <c r="AD272" s="291"/>
      <c r="AE272" s="291"/>
      <c r="AF272" s="291"/>
      <c r="AG272" s="291"/>
      <c r="AH272" s="291"/>
      <c r="AI272" s="291"/>
      <c r="AJ272" s="306"/>
      <c r="AK272" s="306"/>
      <c r="AL272" s="306"/>
      <c r="AM272" s="291"/>
      <c r="AN272" s="291"/>
      <c r="AO272" s="291"/>
      <c r="AP272" s="291"/>
      <c r="AQ272" s="291"/>
      <c r="AR272" s="291"/>
      <c r="AS272" s="291"/>
      <c r="AW272" s="206">
        <v>7.1228052389280996E-2</v>
      </c>
      <c r="BB272" s="206">
        <v>44562</v>
      </c>
      <c r="BF272" s="194">
        <v>44562</v>
      </c>
      <c r="BG272" s="206">
        <v>223</v>
      </c>
    </row>
    <row r="273" spans="1:49" x14ac:dyDescent="0.25">
      <c r="B273" s="314"/>
      <c r="C273" s="294">
        <v>4.2374999999999998</v>
      </c>
      <c r="D273" s="294">
        <v>0.15</v>
      </c>
      <c r="E273" s="294">
        <v>7.0340590300634998E-2</v>
      </c>
      <c r="F273" s="294"/>
      <c r="G273" s="294">
        <v>4.2500000000000003E-5</v>
      </c>
      <c r="H273" s="294"/>
      <c r="I273" s="294"/>
      <c r="J273" s="294">
        <v>0.30499999999999999</v>
      </c>
      <c r="K273" s="294">
        <v>0.435</v>
      </c>
      <c r="L273" s="294"/>
      <c r="M273" s="294"/>
      <c r="N273" s="294">
        <v>0</v>
      </c>
      <c r="O273" s="294"/>
      <c r="P273" s="291"/>
      <c r="Q273" s="291"/>
      <c r="R273" s="291"/>
      <c r="S273" s="291"/>
      <c r="T273" s="291"/>
      <c r="U273" s="291"/>
      <c r="V273" s="291"/>
      <c r="W273" s="291">
        <v>0</v>
      </c>
      <c r="X273" s="291">
        <v>1.4550000000000001</v>
      </c>
      <c r="Y273" s="291"/>
      <c r="Z273" s="291">
        <v>0</v>
      </c>
      <c r="AA273" s="291"/>
      <c r="AB273" s="291">
        <v>0</v>
      </c>
      <c r="AC273" s="291">
        <v>0.97499999999999998</v>
      </c>
      <c r="AD273" s="291"/>
      <c r="AE273" s="291"/>
      <c r="AF273" s="291"/>
      <c r="AG273" s="291"/>
      <c r="AH273" s="291"/>
      <c r="AI273" s="291"/>
      <c r="AJ273" s="306"/>
      <c r="AK273" s="306"/>
      <c r="AL273" s="306"/>
      <c r="AM273" s="291"/>
      <c r="AN273" s="291"/>
      <c r="AO273" s="291"/>
      <c r="AP273" s="291"/>
      <c r="AQ273" s="291"/>
      <c r="AR273" s="291"/>
      <c r="AS273" s="291"/>
      <c r="AW273" s="206">
        <v>7.1219007113496005E-2</v>
      </c>
    </row>
    <row r="274" spans="1:49" x14ac:dyDescent="0.25">
      <c r="B274" s="314"/>
      <c r="C274" s="294">
        <v>4.1284999999999998</v>
      </c>
      <c r="D274" s="294">
        <v>0.15</v>
      </c>
      <c r="E274" s="294">
        <v>7.0334212035747995E-2</v>
      </c>
      <c r="F274" s="294"/>
      <c r="G274" s="294">
        <v>1.0042499999999999E-2</v>
      </c>
      <c r="H274" s="294"/>
      <c r="I274" s="294"/>
      <c r="J274" s="294">
        <v>0.26500000000000001</v>
      </c>
      <c r="K274" s="294">
        <v>0.30249999999999999</v>
      </c>
      <c r="L274" s="294"/>
      <c r="M274" s="294"/>
      <c r="N274" s="294">
        <v>0</v>
      </c>
      <c r="O274" s="294"/>
      <c r="P274" s="291"/>
      <c r="Q274" s="291"/>
      <c r="R274" s="291"/>
      <c r="S274" s="291"/>
      <c r="T274" s="291"/>
      <c r="U274" s="291"/>
      <c r="V274" s="291"/>
      <c r="W274" s="291">
        <v>0</v>
      </c>
      <c r="X274" s="291">
        <v>0.83499999999999996</v>
      </c>
      <c r="Y274" s="291"/>
      <c r="Z274" s="291">
        <v>0</v>
      </c>
      <c r="AA274" s="291"/>
      <c r="AB274" s="291">
        <v>0</v>
      </c>
      <c r="AC274" s="291">
        <v>0.60750000000000004</v>
      </c>
      <c r="AD274" s="291"/>
      <c r="AE274" s="291"/>
      <c r="AF274" s="291"/>
      <c r="AG274" s="291"/>
      <c r="AH274" s="291"/>
      <c r="AI274" s="291"/>
      <c r="AJ274" s="306"/>
      <c r="AK274" s="306"/>
      <c r="AL274" s="306"/>
      <c r="AM274" s="291"/>
      <c r="AN274" s="291"/>
      <c r="AO274" s="291"/>
      <c r="AP274" s="291"/>
      <c r="AQ274" s="291"/>
      <c r="AR274" s="291"/>
      <c r="AS274" s="291"/>
      <c r="AW274" s="206">
        <v>7.1210837187002995E-2</v>
      </c>
    </row>
    <row r="275" spans="1:49" x14ac:dyDescent="0.25">
      <c r="A275" s="318"/>
      <c r="B275" s="314"/>
      <c r="C275" s="294">
        <v>4.0114999999999998</v>
      </c>
      <c r="D275" s="294">
        <v>0.15</v>
      </c>
      <c r="E275" s="294">
        <v>7.0327150385353004E-2</v>
      </c>
      <c r="F275" s="294"/>
      <c r="G275" s="294">
        <v>6.99766E-2</v>
      </c>
      <c r="H275" s="294"/>
      <c r="I275" s="294"/>
      <c r="J275" s="294">
        <v>0.19500000000000001</v>
      </c>
      <c r="K275" s="294">
        <v>0.25</v>
      </c>
      <c r="L275" s="294"/>
      <c r="M275" s="294"/>
      <c r="N275" s="294">
        <v>0</v>
      </c>
      <c r="O275" s="294"/>
      <c r="P275" s="291"/>
      <c r="Q275" s="291"/>
      <c r="R275" s="291"/>
      <c r="S275" s="291"/>
      <c r="T275" s="291"/>
      <c r="U275" s="291"/>
      <c r="V275" s="291"/>
      <c r="W275" s="291">
        <v>0</v>
      </c>
      <c r="X275" s="291">
        <v>0.45</v>
      </c>
      <c r="Y275" s="291"/>
      <c r="Z275" s="291">
        <v>0</v>
      </c>
      <c r="AA275" s="291"/>
      <c r="AB275" s="291">
        <v>0</v>
      </c>
      <c r="AC275" s="291">
        <v>0.33500000000000002</v>
      </c>
      <c r="AD275" s="291"/>
      <c r="AE275" s="291"/>
      <c r="AF275" s="291"/>
      <c r="AG275" s="291"/>
      <c r="AH275" s="291"/>
      <c r="AI275" s="291"/>
      <c r="AJ275" s="306"/>
      <c r="AK275" s="306"/>
      <c r="AL275" s="306"/>
      <c r="AM275" s="291"/>
      <c r="AN275" s="291"/>
      <c r="AO275" s="291"/>
      <c r="AP275" s="291"/>
      <c r="AQ275" s="291"/>
      <c r="AR275" s="291"/>
      <c r="AS275" s="291"/>
      <c r="AW275" s="206">
        <v>7.1201791911269005E-2</v>
      </c>
    </row>
    <row r="276" spans="1:49" x14ac:dyDescent="0.25">
      <c r="A276" s="319"/>
      <c r="B276" s="314"/>
      <c r="C276" s="294">
        <v>4.0155000000000003</v>
      </c>
      <c r="D276" s="294">
        <v>0.15</v>
      </c>
      <c r="E276" s="294">
        <v>7.0320316530148003E-2</v>
      </c>
      <c r="F276" s="294"/>
      <c r="G276" s="294">
        <v>6.9968100000000005E-2</v>
      </c>
      <c r="H276" s="294"/>
      <c r="I276" s="294"/>
      <c r="J276" s="294">
        <v>0.1825</v>
      </c>
      <c r="K276" s="294">
        <v>0.20250000000000001</v>
      </c>
      <c r="L276" s="294"/>
      <c r="M276" s="294"/>
      <c r="N276" s="294">
        <v>0</v>
      </c>
      <c r="O276" s="294"/>
      <c r="P276" s="291"/>
      <c r="Q276" s="291"/>
      <c r="R276" s="291"/>
      <c r="S276" s="291"/>
      <c r="T276" s="291"/>
      <c r="U276" s="291"/>
      <c r="V276" s="291"/>
      <c r="W276" s="291">
        <v>0</v>
      </c>
      <c r="X276" s="291">
        <v>0.40500000000000003</v>
      </c>
      <c r="Y276" s="291"/>
      <c r="Z276" s="291">
        <v>0</v>
      </c>
      <c r="AA276" s="291"/>
      <c r="AB276" s="291">
        <v>0</v>
      </c>
      <c r="AC276" s="291">
        <v>0.26750000000000002</v>
      </c>
      <c r="AD276" s="291"/>
      <c r="AE276" s="291"/>
      <c r="AF276" s="291"/>
      <c r="AG276" s="291"/>
      <c r="AH276" s="291"/>
      <c r="AI276" s="291"/>
      <c r="AJ276" s="306"/>
      <c r="AK276" s="306"/>
      <c r="AL276" s="306"/>
      <c r="AM276" s="291"/>
      <c r="AN276" s="291"/>
      <c r="AO276" s="291"/>
      <c r="AP276" s="291"/>
      <c r="AQ276" s="291"/>
      <c r="AR276" s="291"/>
      <c r="AS276" s="291"/>
      <c r="AW276" s="206">
        <v>7.1193038418648005E-2</v>
      </c>
    </row>
    <row r="277" spans="1:49" x14ac:dyDescent="0.25">
      <c r="A277" s="319"/>
      <c r="B277" s="314"/>
      <c r="C277" s="294">
        <v>4.0545</v>
      </c>
      <c r="D277" s="294">
        <v>0.15</v>
      </c>
      <c r="E277" s="294">
        <v>7.0313254879785E-2</v>
      </c>
      <c r="F277" s="294"/>
      <c r="G277" s="294">
        <v>6.9968100000000005E-2</v>
      </c>
      <c r="H277" s="294"/>
      <c r="I277" s="294"/>
      <c r="J277" s="294">
        <v>0.1825</v>
      </c>
      <c r="K277" s="294">
        <v>0.20250000000000001</v>
      </c>
      <c r="L277" s="294"/>
      <c r="M277" s="294"/>
      <c r="N277" s="294">
        <v>0</v>
      </c>
      <c r="O277" s="294"/>
      <c r="P277" s="291"/>
      <c r="Q277" s="291"/>
      <c r="R277" s="291"/>
      <c r="S277" s="291"/>
      <c r="T277" s="291"/>
      <c r="U277" s="291"/>
      <c r="V277" s="291"/>
      <c r="W277" s="291">
        <v>0</v>
      </c>
      <c r="X277" s="291">
        <v>0.39500000000000002</v>
      </c>
      <c r="Y277" s="291"/>
      <c r="Z277" s="291">
        <v>0</v>
      </c>
      <c r="AA277" s="291"/>
      <c r="AB277" s="291">
        <v>0</v>
      </c>
      <c r="AC277" s="291">
        <v>0.26750000000000002</v>
      </c>
      <c r="AD277" s="291"/>
      <c r="AE277" s="291"/>
      <c r="AF277" s="291"/>
      <c r="AG277" s="291"/>
      <c r="AH277" s="291"/>
      <c r="AI277" s="291"/>
      <c r="AJ277" s="306"/>
      <c r="AK277" s="306"/>
      <c r="AL277" s="306"/>
      <c r="AM277" s="291"/>
      <c r="AN277" s="291"/>
      <c r="AO277" s="291"/>
      <c r="AP277" s="291"/>
      <c r="AQ277" s="291"/>
      <c r="AR277" s="291"/>
      <c r="AS277" s="291"/>
      <c r="AW277" s="206">
        <v>7.1183993142967E-2</v>
      </c>
    </row>
    <row r="278" spans="1:49" x14ac:dyDescent="0.25">
      <c r="A278" s="319"/>
      <c r="B278" s="314"/>
      <c r="C278" s="294">
        <v>4.0765000000000002</v>
      </c>
      <c r="D278" s="294">
        <v>0.15</v>
      </c>
      <c r="E278" s="294">
        <v>7.0306421024611002E-2</v>
      </c>
      <c r="F278" s="294"/>
      <c r="G278" s="294">
        <v>6.9968100000000005E-2</v>
      </c>
      <c r="H278" s="294"/>
      <c r="I278" s="294"/>
      <c r="J278" s="294">
        <v>0.1825</v>
      </c>
      <c r="K278" s="294">
        <v>0.215</v>
      </c>
      <c r="L278" s="294"/>
      <c r="M278" s="294"/>
      <c r="N278" s="294">
        <v>0</v>
      </c>
      <c r="O278" s="294"/>
      <c r="P278" s="291"/>
      <c r="Q278" s="291"/>
      <c r="R278" s="291"/>
      <c r="S278" s="291"/>
      <c r="T278" s="291"/>
      <c r="U278" s="291"/>
      <c r="V278" s="291"/>
      <c r="W278" s="291">
        <v>0</v>
      </c>
      <c r="X278" s="291">
        <v>0.43</v>
      </c>
      <c r="Y278" s="291"/>
      <c r="Z278" s="291">
        <v>0</v>
      </c>
      <c r="AA278" s="291"/>
      <c r="AB278" s="291">
        <v>0</v>
      </c>
      <c r="AC278" s="291">
        <v>0.28000000000000003</v>
      </c>
      <c r="AD278" s="291"/>
      <c r="AE278" s="291"/>
      <c r="AF278" s="291"/>
      <c r="AG278" s="291"/>
      <c r="AH278" s="291"/>
      <c r="AI278" s="291"/>
      <c r="AJ278" s="306"/>
      <c r="AK278" s="306"/>
      <c r="AL278" s="306"/>
      <c r="AM278" s="291"/>
      <c r="AN278" s="291"/>
      <c r="AO278" s="291"/>
      <c r="AP278" s="291"/>
      <c r="AQ278" s="291"/>
      <c r="AR278" s="291"/>
      <c r="AS278" s="291"/>
      <c r="AW278" s="206">
        <v>7.1175239650399E-2</v>
      </c>
    </row>
    <row r="279" spans="1:49" x14ac:dyDescent="0.25">
      <c r="A279" s="319"/>
      <c r="B279" s="314"/>
      <c r="C279" s="294">
        <v>4.0975000000000001</v>
      </c>
      <c r="D279" s="294">
        <v>0.15</v>
      </c>
      <c r="E279" s="294">
        <v>7.0299359374281001E-2</v>
      </c>
      <c r="F279" s="294"/>
      <c r="G279" s="294">
        <v>6.9968100000000005E-2</v>
      </c>
      <c r="H279" s="294"/>
      <c r="I279" s="294"/>
      <c r="J279" s="294">
        <v>0.1825</v>
      </c>
      <c r="K279" s="294">
        <v>0.215</v>
      </c>
      <c r="L279" s="294"/>
      <c r="M279" s="294"/>
      <c r="N279" s="294">
        <v>0</v>
      </c>
      <c r="O279" s="294"/>
      <c r="P279" s="291"/>
      <c r="Q279" s="291"/>
      <c r="R279" s="291"/>
      <c r="S279" s="291"/>
      <c r="T279" s="291"/>
      <c r="U279" s="291"/>
      <c r="V279" s="291"/>
      <c r="W279" s="291">
        <v>0</v>
      </c>
      <c r="X279" s="291">
        <v>0.495</v>
      </c>
      <c r="Y279" s="291"/>
      <c r="Z279" s="291">
        <v>0</v>
      </c>
      <c r="AA279" s="291"/>
      <c r="AB279" s="291">
        <v>0</v>
      </c>
      <c r="AC279" s="291">
        <v>0.28000000000000003</v>
      </c>
      <c r="AD279" s="291"/>
      <c r="AE279" s="291"/>
      <c r="AF279" s="291"/>
      <c r="AG279" s="291"/>
      <c r="AH279" s="291"/>
      <c r="AI279" s="291"/>
      <c r="AJ279" s="306"/>
      <c r="AK279" s="306"/>
      <c r="AL279" s="306"/>
      <c r="AM279" s="291"/>
      <c r="AN279" s="291"/>
      <c r="AO279" s="291"/>
      <c r="AP279" s="291"/>
      <c r="AQ279" s="291"/>
      <c r="AR279" s="291"/>
      <c r="AS279" s="291"/>
      <c r="AW279" s="206">
        <v>7.1166194374770994E-2</v>
      </c>
    </row>
    <row r="280" spans="1:49" x14ac:dyDescent="0.25">
      <c r="A280" s="319"/>
      <c r="B280" s="314"/>
      <c r="C280" s="294">
        <v>4.0744999999999996</v>
      </c>
      <c r="D280" s="294">
        <v>0.15</v>
      </c>
      <c r="E280" s="294">
        <v>7.0292297723967001E-2</v>
      </c>
      <c r="F280" s="294"/>
      <c r="G280" s="294">
        <v>6.9968100000000005E-2</v>
      </c>
      <c r="H280" s="294"/>
      <c r="I280" s="294"/>
      <c r="J280" s="294">
        <v>0.1825</v>
      </c>
      <c r="K280" s="294">
        <v>0.19500000000000001</v>
      </c>
      <c r="L280" s="294"/>
      <c r="M280" s="294"/>
      <c r="N280" s="294">
        <v>0</v>
      </c>
      <c r="O280" s="294"/>
      <c r="P280" s="291"/>
      <c r="Q280" s="291"/>
      <c r="R280" s="291"/>
      <c r="S280" s="291"/>
      <c r="T280" s="291"/>
      <c r="U280" s="291"/>
      <c r="V280" s="291"/>
      <c r="W280" s="291">
        <v>0</v>
      </c>
      <c r="X280" s="291">
        <v>0.39500000000000002</v>
      </c>
      <c r="Y280" s="291"/>
      <c r="Z280" s="291">
        <v>0</v>
      </c>
      <c r="AA280" s="291"/>
      <c r="AB280" s="291">
        <v>0</v>
      </c>
      <c r="AC280" s="291">
        <v>0.27</v>
      </c>
      <c r="AD280" s="291"/>
      <c r="AE280" s="291"/>
      <c r="AF280" s="291"/>
      <c r="AG280" s="291"/>
      <c r="AH280" s="291"/>
      <c r="AI280" s="291"/>
      <c r="AJ280" s="306"/>
      <c r="AK280" s="306"/>
      <c r="AL280" s="306"/>
      <c r="AM280" s="291"/>
      <c r="AN280" s="291"/>
      <c r="AO280" s="291"/>
      <c r="AP280" s="291"/>
      <c r="AQ280" s="291"/>
      <c r="AR280" s="291"/>
      <c r="AS280" s="291"/>
      <c r="AW280" s="206">
        <v>7.1157149099169995E-2</v>
      </c>
    </row>
    <row r="281" spans="1:49" x14ac:dyDescent="0.25">
      <c r="A281" s="319"/>
      <c r="B281" s="314"/>
      <c r="C281" s="294">
        <v>4.0705</v>
      </c>
      <c r="D281" s="294">
        <v>0.15</v>
      </c>
      <c r="E281" s="294">
        <v>7.0285463868841005E-2</v>
      </c>
      <c r="F281" s="294"/>
      <c r="G281" s="294">
        <v>6.9968100000000005E-2</v>
      </c>
      <c r="H281" s="294"/>
      <c r="I281" s="294"/>
      <c r="J281" s="294">
        <v>0.1875</v>
      </c>
      <c r="K281" s="294">
        <v>0.215</v>
      </c>
      <c r="L281" s="294"/>
      <c r="M281" s="294"/>
      <c r="N281" s="294">
        <v>0</v>
      </c>
      <c r="O281" s="294"/>
      <c r="P281" s="291"/>
      <c r="Q281" s="291"/>
      <c r="R281" s="291"/>
      <c r="S281" s="291"/>
      <c r="T281" s="291"/>
      <c r="U281" s="291"/>
      <c r="V281" s="291"/>
      <c r="W281" s="291">
        <v>0</v>
      </c>
      <c r="X281" s="291">
        <v>0.46100000000000002</v>
      </c>
      <c r="Y281" s="291"/>
      <c r="Z281" s="291">
        <v>0</v>
      </c>
      <c r="AA281" s="291"/>
      <c r="AB281" s="291">
        <v>0</v>
      </c>
      <c r="AC281" s="291">
        <v>0.34250000000000003</v>
      </c>
      <c r="AD281" s="291"/>
      <c r="AE281" s="291"/>
      <c r="AF281" s="291"/>
      <c r="AG281" s="291"/>
      <c r="AH281" s="291"/>
      <c r="AI281" s="291"/>
      <c r="AJ281" s="306"/>
      <c r="AK281" s="306"/>
      <c r="AL281" s="306"/>
      <c r="AM281" s="291"/>
      <c r="AN281" s="291"/>
      <c r="AO281" s="291"/>
      <c r="AP281" s="291"/>
      <c r="AQ281" s="291"/>
      <c r="AR281" s="291"/>
      <c r="AS281" s="291"/>
      <c r="AW281" s="206">
        <v>7.1148395606679002E-2</v>
      </c>
    </row>
    <row r="282" spans="1:49" x14ac:dyDescent="0.25">
      <c r="A282" s="319"/>
      <c r="B282" s="314"/>
      <c r="C282" s="294">
        <v>4.0674999999999999</v>
      </c>
      <c r="D282" s="294">
        <v>0.15</v>
      </c>
      <c r="E282" s="294">
        <v>7.0278402218558994E-2</v>
      </c>
      <c r="F282" s="294"/>
      <c r="G282" s="294">
        <v>-9.9886999999999997E-3</v>
      </c>
      <c r="H282" s="294"/>
      <c r="I282" s="294"/>
      <c r="J282" s="294">
        <v>0.27</v>
      </c>
      <c r="K282" s="294">
        <v>0.28749999999999998</v>
      </c>
      <c r="L282" s="294"/>
      <c r="M282" s="294"/>
      <c r="N282" s="294">
        <v>0</v>
      </c>
      <c r="O282" s="294"/>
      <c r="P282" s="291"/>
      <c r="Q282" s="291"/>
      <c r="R282" s="291"/>
      <c r="S282" s="291"/>
      <c r="T282" s="291"/>
      <c r="U282" s="291"/>
      <c r="V282" s="291"/>
      <c r="W282" s="291">
        <v>0</v>
      </c>
      <c r="X282" s="291">
        <v>0.76749999999999996</v>
      </c>
      <c r="Y282" s="291"/>
      <c r="Z282" s="291">
        <v>0</v>
      </c>
      <c r="AA282" s="291"/>
      <c r="AB282" s="291">
        <v>0</v>
      </c>
      <c r="AC282" s="291">
        <v>0.46500000000000002</v>
      </c>
      <c r="AD282" s="291"/>
      <c r="AE282" s="291"/>
      <c r="AF282" s="291"/>
      <c r="AG282" s="291"/>
      <c r="AH282" s="291"/>
      <c r="AI282" s="291"/>
      <c r="AJ282" s="306"/>
      <c r="AK282" s="306"/>
      <c r="AL282" s="306"/>
      <c r="AM282" s="291"/>
      <c r="AN282" s="291"/>
      <c r="AO282" s="291"/>
      <c r="AP282" s="291"/>
      <c r="AQ282" s="291"/>
      <c r="AR282" s="291"/>
      <c r="AS282" s="291"/>
      <c r="AW282" s="206">
        <v>7.1139350331131002E-2</v>
      </c>
    </row>
    <row r="283" spans="1:49" x14ac:dyDescent="0.25">
      <c r="A283" s="319"/>
      <c r="B283" s="314"/>
      <c r="C283" s="294">
        <v>4.0964999999999998</v>
      </c>
      <c r="D283" s="294">
        <v>0.15</v>
      </c>
      <c r="E283" s="294">
        <v>7.0271568363464001E-2</v>
      </c>
      <c r="F283" s="294"/>
      <c r="G283" s="294">
        <v>-2.4951899999999999E-2</v>
      </c>
      <c r="H283" s="294"/>
      <c r="I283" s="294"/>
      <c r="J283" s="294">
        <v>0.30499999999999999</v>
      </c>
      <c r="K283" s="294">
        <v>0.33750000000000002</v>
      </c>
      <c r="L283" s="294"/>
      <c r="M283" s="294"/>
      <c r="N283" s="294">
        <v>0</v>
      </c>
      <c r="O283" s="294"/>
      <c r="P283" s="291"/>
      <c r="Q283" s="291"/>
      <c r="R283" s="291"/>
      <c r="S283" s="291"/>
      <c r="T283" s="291"/>
      <c r="U283" s="291"/>
      <c r="V283" s="291"/>
      <c r="W283" s="291">
        <v>0</v>
      </c>
      <c r="X283" s="291">
        <v>1.19</v>
      </c>
      <c r="Y283" s="291"/>
      <c r="Z283" s="291">
        <v>0</v>
      </c>
      <c r="AA283" s="291"/>
      <c r="AB283" s="291">
        <v>0</v>
      </c>
      <c r="AC283" s="291">
        <v>0.8</v>
      </c>
      <c r="AD283" s="291"/>
      <c r="AE283" s="291"/>
      <c r="AF283" s="291"/>
      <c r="AG283" s="291"/>
      <c r="AH283" s="291"/>
      <c r="AI283" s="291"/>
      <c r="AJ283" s="306"/>
      <c r="AK283" s="306"/>
      <c r="AL283" s="306"/>
      <c r="AM283" s="291"/>
      <c r="AN283" s="291"/>
      <c r="AO283" s="291"/>
      <c r="AP283" s="291"/>
      <c r="AQ283" s="291"/>
      <c r="AR283" s="291"/>
      <c r="AS283" s="291"/>
      <c r="AW283" s="206">
        <v>7.1130596838691995E-2</v>
      </c>
    </row>
    <row r="284" spans="1:49" x14ac:dyDescent="0.25">
      <c r="A284" s="319"/>
      <c r="B284" s="314"/>
      <c r="C284" s="294">
        <v>4.4029999999999996</v>
      </c>
      <c r="D284" s="294">
        <v>0.15</v>
      </c>
      <c r="E284" s="294">
        <v>7.0264506713215005E-2</v>
      </c>
      <c r="F284" s="294"/>
      <c r="G284" s="294">
        <v>-1.99551E-2</v>
      </c>
      <c r="H284" s="294"/>
      <c r="I284" s="294"/>
      <c r="J284" s="294">
        <v>0.30499999999999999</v>
      </c>
      <c r="K284" s="294">
        <v>0.4375</v>
      </c>
      <c r="L284" s="294"/>
      <c r="M284" s="294"/>
      <c r="N284" s="294">
        <v>0</v>
      </c>
      <c r="O284" s="294"/>
      <c r="P284" s="291"/>
      <c r="Q284" s="291"/>
      <c r="R284" s="291"/>
      <c r="S284" s="291"/>
      <c r="T284" s="291"/>
      <c r="U284" s="291"/>
      <c r="V284" s="291"/>
      <c r="W284" s="291">
        <v>0</v>
      </c>
      <c r="X284" s="291">
        <v>1.5249999999999999</v>
      </c>
      <c r="Y284" s="291"/>
      <c r="Z284" s="291">
        <v>0</v>
      </c>
      <c r="AA284" s="291"/>
      <c r="AB284" s="291">
        <v>0</v>
      </c>
      <c r="AC284" s="291">
        <v>0.97499999999999998</v>
      </c>
      <c r="AD284" s="291"/>
      <c r="AE284" s="291"/>
      <c r="AF284" s="291"/>
      <c r="AG284" s="291"/>
      <c r="AH284" s="291"/>
      <c r="AI284" s="291"/>
      <c r="AJ284" s="306"/>
      <c r="AK284" s="306"/>
      <c r="AL284" s="306"/>
      <c r="AM284" s="291"/>
      <c r="AN284" s="291"/>
      <c r="AO284" s="291"/>
      <c r="AP284" s="291"/>
      <c r="AQ284" s="291"/>
      <c r="AR284" s="291"/>
      <c r="AS284" s="291"/>
      <c r="AW284" s="206">
        <v>7.1121551563196994E-2</v>
      </c>
    </row>
    <row r="285" spans="1:49" x14ac:dyDescent="0.25">
      <c r="A285" s="319"/>
      <c r="B285" s="314"/>
      <c r="C285" s="294">
        <v>4.3410000000000002</v>
      </c>
      <c r="D285" s="294">
        <v>0.15</v>
      </c>
      <c r="E285" s="294">
        <v>7.0257445062982996E-2</v>
      </c>
      <c r="F285" s="294"/>
      <c r="G285" s="294">
        <v>5.0425000000000001E-3</v>
      </c>
      <c r="H285" s="294"/>
      <c r="I285" s="294"/>
      <c r="J285" s="294">
        <v>0.30499999999999999</v>
      </c>
      <c r="K285" s="294">
        <v>0.435</v>
      </c>
      <c r="L285" s="294"/>
      <c r="M285" s="294"/>
      <c r="N285" s="294">
        <v>0</v>
      </c>
      <c r="O285" s="294"/>
      <c r="P285" s="291"/>
      <c r="Q285" s="291"/>
      <c r="R285" s="291"/>
      <c r="S285" s="291"/>
      <c r="T285" s="291"/>
      <c r="U285" s="291"/>
      <c r="V285" s="291"/>
      <c r="W285" s="291">
        <v>0</v>
      </c>
      <c r="X285" s="291">
        <v>1.4550000000000001</v>
      </c>
      <c r="Y285" s="291"/>
      <c r="Z285" s="291">
        <v>0</v>
      </c>
      <c r="AA285" s="291"/>
      <c r="AB285" s="291">
        <v>0</v>
      </c>
      <c r="AC285" s="291">
        <v>0.97499999999999998</v>
      </c>
      <c r="AD285" s="291"/>
      <c r="AE285" s="291"/>
      <c r="AF285" s="291"/>
      <c r="AG285" s="291"/>
      <c r="AH285" s="291"/>
      <c r="AI285" s="291"/>
      <c r="AJ285" s="306"/>
      <c r="AK285" s="306"/>
      <c r="AL285" s="306"/>
      <c r="AM285" s="291"/>
      <c r="AN285" s="291"/>
      <c r="AO285" s="291"/>
      <c r="AP285" s="291"/>
      <c r="AQ285" s="291"/>
      <c r="AR285" s="291"/>
      <c r="AS285" s="291"/>
      <c r="AW285" s="206">
        <v>7.1112506287729998E-2</v>
      </c>
    </row>
    <row r="286" spans="1:49" x14ac:dyDescent="0.25">
      <c r="A286" s="319"/>
      <c r="B286" s="314"/>
      <c r="C286" s="294">
        <v>4.2350000000000003</v>
      </c>
      <c r="D286" s="294">
        <v>0.15</v>
      </c>
      <c r="E286" s="294">
        <v>7.0251066798271006E-2</v>
      </c>
      <c r="F286" s="294"/>
      <c r="G286" s="294">
        <v>1.50425E-2</v>
      </c>
      <c r="H286" s="294"/>
      <c r="I286" s="294"/>
      <c r="J286" s="294">
        <v>0.26500000000000001</v>
      </c>
      <c r="K286" s="294">
        <v>0.30249999999999999</v>
      </c>
      <c r="L286" s="294"/>
      <c r="M286" s="294"/>
      <c r="N286" s="294">
        <v>0</v>
      </c>
      <c r="O286" s="294"/>
      <c r="P286" s="291"/>
      <c r="Q286" s="291"/>
      <c r="R286" s="291"/>
      <c r="S286" s="291"/>
      <c r="T286" s="291"/>
      <c r="U286" s="291"/>
      <c r="V286" s="291"/>
      <c r="W286" s="291">
        <v>0</v>
      </c>
      <c r="X286" s="291">
        <v>0.83499999999999996</v>
      </c>
      <c r="Y286" s="291"/>
      <c r="Z286" s="291">
        <v>0</v>
      </c>
      <c r="AA286" s="291"/>
      <c r="AB286" s="291">
        <v>0</v>
      </c>
      <c r="AC286" s="291">
        <v>0.60750000000000004</v>
      </c>
      <c r="AD286" s="291"/>
      <c r="AE286" s="291"/>
      <c r="AF286" s="291"/>
      <c r="AG286" s="291"/>
      <c r="AH286" s="291"/>
      <c r="AI286" s="291"/>
      <c r="AJ286" s="306"/>
      <c r="AK286" s="306"/>
      <c r="AL286" s="306"/>
      <c r="AM286" s="291"/>
      <c r="AN286" s="291"/>
      <c r="AO286" s="291"/>
      <c r="AP286" s="291"/>
      <c r="AQ286" s="291"/>
      <c r="AR286" s="291"/>
      <c r="AS286" s="291"/>
      <c r="AW286" s="206">
        <v>7.1104336361524995E-2</v>
      </c>
    </row>
    <row r="287" spans="1:49" x14ac:dyDescent="0.25">
      <c r="A287" s="319"/>
      <c r="B287" s="314"/>
      <c r="C287" s="294">
        <v>4.1210000000000004</v>
      </c>
      <c r="D287" s="294">
        <v>0.15</v>
      </c>
      <c r="E287" s="294">
        <v>7.0244005148069999E-2</v>
      </c>
      <c r="F287" s="294"/>
      <c r="G287" s="294">
        <v>7.4976600000000004E-2</v>
      </c>
      <c r="H287" s="294"/>
      <c r="I287" s="294"/>
      <c r="J287" s="294">
        <v>0.19500000000000001</v>
      </c>
      <c r="K287" s="294">
        <v>0.25</v>
      </c>
      <c r="L287" s="294"/>
      <c r="M287" s="294"/>
      <c r="N287" s="294">
        <v>0</v>
      </c>
      <c r="O287" s="294"/>
      <c r="P287" s="291"/>
      <c r="Q287" s="291"/>
      <c r="R287" s="291"/>
      <c r="S287" s="291"/>
      <c r="T287" s="291"/>
      <c r="U287" s="291"/>
      <c r="V287" s="291"/>
      <c r="W287" s="291">
        <v>0</v>
      </c>
      <c r="X287" s="291">
        <v>0.45</v>
      </c>
      <c r="Y287" s="291"/>
      <c r="Z287" s="291">
        <v>0</v>
      </c>
      <c r="AA287" s="291"/>
      <c r="AB287" s="291">
        <v>0</v>
      </c>
      <c r="AC287" s="291">
        <v>0.33500000000000002</v>
      </c>
      <c r="AD287" s="291"/>
      <c r="AE287" s="291"/>
      <c r="AF287" s="291"/>
      <c r="AG287" s="291"/>
      <c r="AH287" s="291"/>
      <c r="AI287" s="291"/>
      <c r="AJ287" s="306"/>
      <c r="AK287" s="306"/>
      <c r="AL287" s="306"/>
      <c r="AM287" s="291"/>
      <c r="AN287" s="291"/>
      <c r="AO287" s="291"/>
      <c r="AP287" s="291"/>
      <c r="AQ287" s="291"/>
      <c r="AR287" s="291"/>
      <c r="AS287" s="291"/>
      <c r="AW287" s="206">
        <v>7.1095291086109E-2</v>
      </c>
    </row>
    <row r="288" spans="1:49" x14ac:dyDescent="0.25">
      <c r="A288" s="319"/>
      <c r="B288" s="314"/>
      <c r="C288" s="294">
        <v>4.1260000000000003</v>
      </c>
      <c r="D288" s="294">
        <v>0.15</v>
      </c>
      <c r="E288" s="294">
        <v>7.0237171293053E-2</v>
      </c>
      <c r="F288" s="294"/>
      <c r="G288" s="294">
        <v>7.4968099999999996E-2</v>
      </c>
      <c r="H288" s="294"/>
      <c r="I288" s="294"/>
      <c r="J288" s="294">
        <v>0.1825</v>
      </c>
      <c r="K288" s="294">
        <v>0.20250000000000001</v>
      </c>
      <c r="L288" s="294"/>
      <c r="M288" s="294"/>
      <c r="N288" s="294">
        <v>0</v>
      </c>
      <c r="O288" s="294"/>
      <c r="P288" s="291"/>
      <c r="Q288" s="291"/>
      <c r="R288" s="291"/>
      <c r="S288" s="291"/>
      <c r="T288" s="291"/>
      <c r="U288" s="291"/>
      <c r="V288" s="291"/>
      <c r="W288" s="291">
        <v>0</v>
      </c>
      <c r="X288" s="291">
        <v>0.40500000000000003</v>
      </c>
      <c r="Y288" s="291"/>
      <c r="Z288" s="291">
        <v>0</v>
      </c>
      <c r="AA288" s="291"/>
      <c r="AB288" s="291">
        <v>0</v>
      </c>
      <c r="AC288" s="291">
        <v>0.26750000000000002</v>
      </c>
      <c r="AD288" s="291"/>
      <c r="AE288" s="291"/>
      <c r="AF288" s="291"/>
      <c r="AG288" s="291"/>
      <c r="AH288" s="291"/>
      <c r="AI288" s="291"/>
      <c r="AJ288" s="306"/>
      <c r="AK288" s="306"/>
      <c r="AL288" s="306"/>
      <c r="AM288" s="291"/>
      <c r="AN288" s="291"/>
      <c r="AO288" s="291"/>
      <c r="AP288" s="291"/>
      <c r="AQ288" s="291"/>
      <c r="AR288" s="291"/>
      <c r="AS288" s="291"/>
      <c r="AW288" s="206">
        <v>7.1086537593797003E-2</v>
      </c>
    </row>
    <row r="289" spans="1:49" x14ac:dyDescent="0.25">
      <c r="A289" s="319"/>
      <c r="B289" s="314"/>
      <c r="C289" s="294">
        <v>4.1660000000000004</v>
      </c>
      <c r="D289" s="294">
        <v>0.15</v>
      </c>
      <c r="E289" s="294">
        <v>7.0230109642883995E-2</v>
      </c>
      <c r="F289" s="294"/>
      <c r="G289" s="294">
        <v>7.4968099999999996E-2</v>
      </c>
      <c r="H289" s="294"/>
      <c r="I289" s="294"/>
      <c r="J289" s="294">
        <v>0.1825</v>
      </c>
      <c r="K289" s="294">
        <v>0.20250000000000001</v>
      </c>
      <c r="L289" s="294"/>
      <c r="M289" s="294"/>
      <c r="N289" s="294">
        <v>0</v>
      </c>
      <c r="O289" s="294"/>
      <c r="P289" s="291"/>
      <c r="Q289" s="291"/>
      <c r="R289" s="291"/>
      <c r="S289" s="291"/>
      <c r="T289" s="291"/>
      <c r="U289" s="291"/>
      <c r="V289" s="291"/>
      <c r="W289" s="291">
        <v>0</v>
      </c>
      <c r="X289" s="291">
        <v>0.39500000000000002</v>
      </c>
      <c r="Y289" s="291"/>
      <c r="Z289" s="291">
        <v>0</v>
      </c>
      <c r="AA289" s="291"/>
      <c r="AB289" s="291">
        <v>0</v>
      </c>
      <c r="AC289" s="291">
        <v>0.26750000000000002</v>
      </c>
      <c r="AD289" s="291"/>
      <c r="AE289" s="291"/>
      <c r="AF289" s="291"/>
      <c r="AG289" s="291"/>
      <c r="AH289" s="291"/>
      <c r="AI289" s="291"/>
      <c r="AJ289" s="306"/>
      <c r="AK289" s="306"/>
      <c r="AL289" s="306"/>
      <c r="AM289" s="291"/>
      <c r="AN289" s="291"/>
      <c r="AO289" s="291"/>
      <c r="AP289" s="291"/>
      <c r="AQ289" s="291"/>
      <c r="AR289" s="291"/>
      <c r="AS289" s="291"/>
      <c r="AW289" s="206">
        <v>7.1077492318433994E-2</v>
      </c>
    </row>
    <row r="290" spans="1:49" x14ac:dyDescent="0.25">
      <c r="A290" s="319"/>
      <c r="B290" s="314"/>
      <c r="C290" s="294">
        <v>4.1879999999999997</v>
      </c>
      <c r="D290" s="294">
        <v>0.15</v>
      </c>
      <c r="E290" s="294">
        <v>7.0223275787897999E-2</v>
      </c>
      <c r="F290" s="294"/>
      <c r="G290" s="294">
        <v>7.4968099999999996E-2</v>
      </c>
      <c r="H290" s="294"/>
      <c r="I290" s="294"/>
      <c r="J290" s="294">
        <v>0.1825</v>
      </c>
      <c r="K290" s="294">
        <v>0.215</v>
      </c>
      <c r="L290" s="294"/>
      <c r="M290" s="294"/>
      <c r="N290" s="294">
        <v>0</v>
      </c>
      <c r="O290" s="294"/>
      <c r="P290" s="291"/>
      <c r="Q290" s="291"/>
      <c r="R290" s="291"/>
      <c r="S290" s="291"/>
      <c r="T290" s="291"/>
      <c r="U290" s="291"/>
      <c r="V290" s="291"/>
      <c r="W290" s="291">
        <v>0</v>
      </c>
      <c r="X290" s="291">
        <v>0.43</v>
      </c>
      <c r="Y290" s="291"/>
      <c r="Z290" s="291">
        <v>0</v>
      </c>
      <c r="AA290" s="291"/>
      <c r="AB290" s="291">
        <v>0</v>
      </c>
      <c r="AC290" s="291">
        <v>0.28000000000000003</v>
      </c>
      <c r="AD290" s="291"/>
      <c r="AE290" s="291"/>
      <c r="AF290" s="291"/>
      <c r="AG290" s="291"/>
      <c r="AH290" s="291"/>
      <c r="AI290" s="291"/>
      <c r="AJ290" s="306"/>
      <c r="AK290" s="306"/>
      <c r="AL290" s="306"/>
      <c r="AM290" s="291"/>
      <c r="AN290" s="291"/>
      <c r="AO290" s="291"/>
      <c r="AP290" s="291"/>
      <c r="AQ290" s="291"/>
      <c r="AR290" s="291"/>
      <c r="AS290" s="291"/>
      <c r="AW290" s="206">
        <v>7.1068738826172997E-2</v>
      </c>
    </row>
    <row r="291" spans="1:49" x14ac:dyDescent="0.25">
      <c r="A291" s="319"/>
      <c r="B291" s="314"/>
      <c r="C291" s="294">
        <v>4.2089999999999996</v>
      </c>
      <c r="D291" s="294">
        <v>0.15</v>
      </c>
      <c r="E291" s="294">
        <v>7.0216214137761995E-2</v>
      </c>
      <c r="F291" s="294"/>
      <c r="G291" s="294">
        <v>7.4968099999999996E-2</v>
      </c>
      <c r="H291" s="294"/>
      <c r="I291" s="294"/>
      <c r="J291" s="294">
        <v>0.1825</v>
      </c>
      <c r="K291" s="294">
        <v>0.215</v>
      </c>
      <c r="L291" s="294"/>
      <c r="M291" s="294"/>
      <c r="N291" s="294">
        <v>0</v>
      </c>
      <c r="O291" s="294"/>
      <c r="P291" s="291"/>
      <c r="Q291" s="291"/>
      <c r="R291" s="291"/>
      <c r="S291" s="291"/>
      <c r="T291" s="291"/>
      <c r="U291" s="291"/>
      <c r="V291" s="291"/>
      <c r="W291" s="291">
        <v>0</v>
      </c>
      <c r="X291" s="291">
        <v>0.495</v>
      </c>
      <c r="Y291" s="291"/>
      <c r="Z291" s="291">
        <v>0</v>
      </c>
      <c r="AA291" s="291"/>
      <c r="AB291" s="291">
        <v>0</v>
      </c>
      <c r="AC291" s="291">
        <v>0.28000000000000003</v>
      </c>
      <c r="AD291" s="291"/>
      <c r="AE291" s="291"/>
      <c r="AF291" s="291"/>
      <c r="AG291" s="291"/>
      <c r="AH291" s="291"/>
      <c r="AI291" s="291"/>
      <c r="AJ291" s="306"/>
      <c r="AK291" s="306"/>
      <c r="AL291" s="306"/>
      <c r="AM291" s="291"/>
      <c r="AN291" s="291"/>
      <c r="AO291" s="291"/>
      <c r="AP291" s="291"/>
      <c r="AQ291" s="291"/>
      <c r="AR291" s="291"/>
      <c r="AS291" s="291"/>
      <c r="AW291" s="206">
        <v>7.1059693550864E-2</v>
      </c>
    </row>
    <row r="292" spans="1:49" x14ac:dyDescent="0.25">
      <c r="A292" s="319"/>
      <c r="B292" s="314"/>
      <c r="C292" s="294">
        <v>4.1849999999999996</v>
      </c>
      <c r="D292" s="294"/>
      <c r="E292" s="294">
        <v>7.0209152487643006E-2</v>
      </c>
      <c r="F292" s="294"/>
      <c r="G292" s="294">
        <v>7.4968099999999996E-2</v>
      </c>
      <c r="H292" s="294"/>
      <c r="I292" s="294"/>
      <c r="J292" s="294">
        <v>0.1825</v>
      </c>
      <c r="K292" s="294">
        <v>0.19500000000000001</v>
      </c>
      <c r="L292" s="294"/>
      <c r="M292" s="294"/>
      <c r="N292" s="294">
        <v>0</v>
      </c>
      <c r="O292" s="294"/>
      <c r="P292" s="291"/>
      <c r="Q292" s="291"/>
      <c r="R292" s="291"/>
      <c r="S292" s="291"/>
      <c r="T292" s="291"/>
      <c r="U292" s="291"/>
      <c r="V292" s="291"/>
      <c r="W292" s="291">
        <v>0</v>
      </c>
      <c r="X292" s="291">
        <v>0.39500000000000002</v>
      </c>
      <c r="Y292" s="291"/>
      <c r="Z292" s="291">
        <v>0</v>
      </c>
      <c r="AA292" s="291"/>
      <c r="AB292" s="291">
        <v>0</v>
      </c>
      <c r="AC292" s="291">
        <v>0.27</v>
      </c>
      <c r="AD292" s="291"/>
      <c r="AE292" s="291"/>
      <c r="AF292" s="291"/>
      <c r="AG292" s="291"/>
      <c r="AH292" s="291"/>
      <c r="AI292" s="291"/>
      <c r="AJ292" s="306"/>
      <c r="AK292" s="306"/>
      <c r="AL292" s="306"/>
      <c r="AM292" s="291"/>
      <c r="AN292" s="291"/>
      <c r="AO292" s="291"/>
      <c r="AP292" s="291"/>
      <c r="AQ292" s="291"/>
      <c r="AR292" s="291"/>
      <c r="AS292" s="291"/>
      <c r="AW292" s="206">
        <v>7.1050648275581996E-2</v>
      </c>
    </row>
    <row r="293" spans="1:49" x14ac:dyDescent="0.25">
      <c r="A293" s="319"/>
      <c r="B293" s="314"/>
      <c r="C293" s="294">
        <v>4.18</v>
      </c>
      <c r="D293" s="294"/>
      <c r="E293" s="294">
        <v>7.0202318632704E-2</v>
      </c>
      <c r="F293" s="294"/>
      <c r="G293" s="294">
        <v>7.4968099999999996E-2</v>
      </c>
      <c r="H293" s="294"/>
      <c r="I293" s="294"/>
      <c r="J293" s="294">
        <v>0.1875</v>
      </c>
      <c r="K293" s="294">
        <v>0.215</v>
      </c>
      <c r="L293" s="294"/>
      <c r="M293" s="294"/>
      <c r="N293" s="294">
        <v>0</v>
      </c>
      <c r="O293" s="294"/>
      <c r="P293" s="291"/>
      <c r="Q293" s="291"/>
      <c r="R293" s="291"/>
      <c r="S293" s="291"/>
      <c r="T293" s="291"/>
      <c r="U293" s="291"/>
      <c r="V293" s="291"/>
      <c r="W293" s="291">
        <v>0</v>
      </c>
      <c r="X293" s="291">
        <v>0.46100000000000002</v>
      </c>
      <c r="Y293" s="291"/>
      <c r="Z293" s="291">
        <v>0</v>
      </c>
      <c r="AA293" s="291"/>
      <c r="AB293" s="291">
        <v>0</v>
      </c>
      <c r="AC293" s="291">
        <v>0.34250000000000003</v>
      </c>
      <c r="AD293" s="291"/>
      <c r="AE293" s="291"/>
      <c r="AF293" s="291"/>
      <c r="AG293" s="291"/>
      <c r="AH293" s="291"/>
      <c r="AI293" s="291"/>
      <c r="AJ293" s="306"/>
      <c r="AK293" s="306"/>
      <c r="AL293" s="306"/>
      <c r="AM293" s="291"/>
      <c r="AN293" s="291"/>
      <c r="AO293" s="291"/>
      <c r="AP293" s="291"/>
      <c r="AQ293" s="291"/>
      <c r="AR293" s="291"/>
      <c r="AS293" s="291"/>
      <c r="AW293" s="206">
        <v>7.1041894783399007E-2</v>
      </c>
    </row>
    <row r="294" spans="1:49" x14ac:dyDescent="0.25">
      <c r="B294" s="314"/>
      <c r="C294" s="294">
        <v>4.1719999999999997</v>
      </c>
      <c r="D294" s="294"/>
      <c r="E294" s="294">
        <v>7.0195256982616E-2</v>
      </c>
      <c r="F294" s="294"/>
      <c r="G294" s="294">
        <v>-4.9887000000000004E-3</v>
      </c>
      <c r="H294" s="294"/>
      <c r="I294" s="294"/>
      <c r="J294" s="294">
        <v>0.27</v>
      </c>
      <c r="K294" s="294">
        <v>0.28749999999999998</v>
      </c>
      <c r="L294" s="294"/>
      <c r="M294" s="294"/>
      <c r="N294" s="294">
        <v>0</v>
      </c>
      <c r="O294" s="294"/>
      <c r="P294" s="291"/>
      <c r="Q294" s="291"/>
      <c r="R294" s="291"/>
      <c r="S294" s="291"/>
      <c r="T294" s="291"/>
      <c r="U294" s="291"/>
      <c r="V294" s="291"/>
      <c r="W294" s="291">
        <v>0</v>
      </c>
      <c r="X294" s="291">
        <v>0.76749999999999996</v>
      </c>
      <c r="Y294" s="291"/>
      <c r="Z294" s="291">
        <v>0</v>
      </c>
      <c r="AA294" s="291"/>
      <c r="AB294" s="291">
        <v>0</v>
      </c>
      <c r="AC294" s="291">
        <v>0.46500000000000002</v>
      </c>
      <c r="AD294" s="291"/>
      <c r="AE294" s="291"/>
      <c r="AF294" s="291"/>
      <c r="AG294" s="291"/>
      <c r="AH294" s="291"/>
      <c r="AI294" s="291"/>
      <c r="AJ294" s="306"/>
      <c r="AK294" s="306"/>
      <c r="AL294" s="306"/>
      <c r="AM294" s="291"/>
      <c r="AN294" s="291"/>
      <c r="AO294" s="291"/>
      <c r="AP294" s="291"/>
      <c r="AQ294" s="291"/>
      <c r="AR294" s="291"/>
      <c r="AS294" s="291"/>
      <c r="AW294" s="206">
        <v>7.1032849508169002E-2</v>
      </c>
    </row>
    <row r="295" spans="1:49" x14ac:dyDescent="0.25">
      <c r="B295" s="314"/>
      <c r="C295" s="294">
        <v>4.1980000000000004</v>
      </c>
      <c r="D295" s="294"/>
      <c r="E295" s="294">
        <v>7.0188423127708996E-2</v>
      </c>
      <c r="F295" s="294"/>
      <c r="G295" s="294">
        <v>-1.9951900000000002E-2</v>
      </c>
      <c r="H295" s="294"/>
      <c r="I295" s="294"/>
      <c r="J295" s="294">
        <v>0.30499999999999999</v>
      </c>
      <c r="K295" s="294">
        <v>0.33750000000000002</v>
      </c>
      <c r="L295" s="294"/>
      <c r="M295" s="294"/>
      <c r="N295" s="294">
        <v>0</v>
      </c>
      <c r="O295" s="294"/>
      <c r="P295" s="291"/>
      <c r="Q295" s="291"/>
      <c r="R295" s="291"/>
      <c r="S295" s="291"/>
      <c r="T295" s="291"/>
      <c r="U295" s="291"/>
      <c r="V295" s="291"/>
      <c r="W295" s="291">
        <v>0</v>
      </c>
      <c r="X295" s="291">
        <v>1.19</v>
      </c>
      <c r="Y295" s="291"/>
      <c r="Z295" s="291">
        <v>0</v>
      </c>
      <c r="AA295" s="291"/>
      <c r="AB295" s="291">
        <v>0</v>
      </c>
      <c r="AC295" s="291">
        <v>0.8</v>
      </c>
      <c r="AD295" s="291"/>
      <c r="AE295" s="291"/>
      <c r="AF295" s="291"/>
      <c r="AG295" s="291"/>
      <c r="AH295" s="291"/>
      <c r="AI295" s="291"/>
      <c r="AJ295" s="306"/>
      <c r="AK295" s="306"/>
      <c r="AL295" s="306"/>
      <c r="AM295" s="291"/>
      <c r="AN295" s="291"/>
      <c r="AO295" s="291"/>
      <c r="AP295" s="291"/>
      <c r="AQ295" s="291"/>
      <c r="AR295" s="291"/>
      <c r="AS295" s="291"/>
      <c r="AW295" s="206">
        <v>7.1024096016037999E-2</v>
      </c>
    </row>
    <row r="296" spans="1:49" x14ac:dyDescent="0.25">
      <c r="B296" s="314"/>
      <c r="C296" s="294"/>
      <c r="D296" s="294"/>
      <c r="E296" s="294">
        <v>7.0181361477654997E-2</v>
      </c>
      <c r="F296" s="294"/>
      <c r="G296" s="294">
        <v>-1.4955100000000001E-2</v>
      </c>
      <c r="H296" s="294"/>
      <c r="I296" s="294"/>
      <c r="J296" s="294">
        <v>0.30499999999999999</v>
      </c>
      <c r="K296" s="294">
        <v>0.4375</v>
      </c>
      <c r="L296" s="294"/>
      <c r="M296" s="294"/>
      <c r="N296" s="294">
        <v>0</v>
      </c>
      <c r="O296" s="294"/>
      <c r="P296" s="291"/>
      <c r="Q296" s="291"/>
      <c r="R296" s="291"/>
      <c r="S296" s="291"/>
      <c r="T296" s="291"/>
      <c r="U296" s="291"/>
      <c r="V296" s="291"/>
      <c r="W296" s="291">
        <v>0</v>
      </c>
      <c r="X296" s="291">
        <v>1.5249999999999999</v>
      </c>
      <c r="Y296" s="291"/>
      <c r="Z296" s="291">
        <v>0</v>
      </c>
      <c r="AA296" s="291"/>
      <c r="AB296" s="291">
        <v>0</v>
      </c>
      <c r="AC296" s="291">
        <v>0.97499999999999998</v>
      </c>
      <c r="AD296" s="291"/>
      <c r="AE296" s="291"/>
      <c r="AF296" s="291"/>
      <c r="AG296" s="291"/>
      <c r="AH296" s="291"/>
      <c r="AI296" s="291"/>
      <c r="AJ296" s="306"/>
      <c r="AK296" s="306"/>
      <c r="AL296" s="306"/>
      <c r="AM296" s="291"/>
      <c r="AN296" s="291"/>
      <c r="AO296" s="291"/>
      <c r="AP296" s="291"/>
      <c r="AQ296" s="291"/>
      <c r="AR296" s="291"/>
      <c r="AS296" s="291"/>
      <c r="AW296" s="206">
        <v>7.1015050740862007E-2</v>
      </c>
    </row>
    <row r="297" spans="1:49" x14ac:dyDescent="0.25">
      <c r="B297" s="314"/>
      <c r="C297" s="294"/>
      <c r="D297" s="294"/>
      <c r="E297" s="294">
        <v>7.0174299827616998E-2</v>
      </c>
      <c r="F297" s="294"/>
      <c r="G297" s="294">
        <v>1.0042499999999999E-2</v>
      </c>
      <c r="H297" s="294"/>
      <c r="I297" s="294"/>
      <c r="J297" s="294">
        <v>0.30499999999999999</v>
      </c>
      <c r="K297" s="294">
        <v>0.435</v>
      </c>
      <c r="L297" s="294"/>
      <c r="M297" s="294"/>
      <c r="N297" s="294">
        <v>0</v>
      </c>
      <c r="O297" s="294"/>
      <c r="P297" s="291"/>
      <c r="Q297" s="291"/>
      <c r="R297" s="291"/>
      <c r="S297" s="291"/>
      <c r="T297" s="291"/>
      <c r="U297" s="291"/>
      <c r="V297" s="291"/>
      <c r="W297" s="291">
        <v>0</v>
      </c>
      <c r="X297" s="291">
        <v>1.4550000000000001</v>
      </c>
      <c r="Y297" s="291"/>
      <c r="Z297" s="291">
        <v>0</v>
      </c>
      <c r="AA297" s="291"/>
      <c r="AB297" s="291">
        <v>0</v>
      </c>
      <c r="AC297" s="291">
        <v>0.97499999999999998</v>
      </c>
      <c r="AD297" s="291"/>
      <c r="AE297" s="291"/>
      <c r="AF297" s="291"/>
      <c r="AG297" s="291"/>
      <c r="AH297" s="291"/>
      <c r="AI297" s="291"/>
      <c r="AJ297" s="306"/>
      <c r="AK297" s="306"/>
      <c r="AL297" s="306"/>
      <c r="AM297" s="291"/>
      <c r="AN297" s="291"/>
      <c r="AO297" s="291"/>
      <c r="AP297" s="291"/>
      <c r="AQ297" s="291"/>
      <c r="AR297" s="291"/>
      <c r="AS297" s="291"/>
      <c r="AW297" s="206">
        <v>7.1006005465713007E-2</v>
      </c>
    </row>
    <row r="298" spans="1:49" x14ac:dyDescent="0.25">
      <c r="C298" s="294"/>
      <c r="D298" s="294"/>
      <c r="E298" s="294">
        <v>7.0167693767917996E-2</v>
      </c>
      <c r="F298" s="294"/>
      <c r="G298" s="294">
        <v>2.0042500000000001E-2</v>
      </c>
      <c r="H298" s="294"/>
      <c r="I298" s="294"/>
      <c r="J298" s="294">
        <v>0.26500000000000001</v>
      </c>
      <c r="K298" s="294">
        <v>0.30249999999999999</v>
      </c>
      <c r="L298" s="294"/>
      <c r="M298" s="294"/>
      <c r="N298" s="294">
        <v>0</v>
      </c>
      <c r="O298" s="294"/>
      <c r="P298" s="291"/>
      <c r="Q298" s="291"/>
      <c r="R298" s="291"/>
      <c r="S298" s="291"/>
      <c r="T298" s="291"/>
      <c r="U298" s="291"/>
      <c r="V298" s="291"/>
      <c r="W298" s="291">
        <v>0</v>
      </c>
      <c r="X298" s="291">
        <v>0.83499999999999996</v>
      </c>
      <c r="Y298" s="291"/>
      <c r="Z298" s="291">
        <v>0</v>
      </c>
      <c r="AA298" s="291"/>
      <c r="AB298" s="291">
        <v>0</v>
      </c>
      <c r="AC298" s="291">
        <v>0.60750000000000004</v>
      </c>
      <c r="AD298" s="291"/>
      <c r="AE298" s="291"/>
      <c r="AF298" s="291"/>
      <c r="AG298" s="291"/>
      <c r="AH298" s="291"/>
      <c r="AI298" s="291"/>
      <c r="AJ298" s="306"/>
      <c r="AK298" s="306"/>
      <c r="AL298" s="306"/>
      <c r="AM298" s="291"/>
      <c r="AN298" s="291"/>
      <c r="AO298" s="291"/>
      <c r="AP298" s="291"/>
      <c r="AQ298" s="291"/>
      <c r="AR298" s="291"/>
      <c r="AS298" s="291"/>
      <c r="AW298" s="206">
        <v>7.0997543756726997E-2</v>
      </c>
    </row>
    <row r="299" spans="1:49" x14ac:dyDescent="0.25">
      <c r="C299" s="294"/>
      <c r="D299" s="294"/>
      <c r="E299" s="294">
        <v>7.0160632117912E-2</v>
      </c>
      <c r="F299" s="294"/>
      <c r="G299" s="294">
        <v>7.9976599999999995E-2</v>
      </c>
      <c r="H299" s="294"/>
      <c r="I299" s="294"/>
      <c r="J299" s="294">
        <v>0.19500000000000001</v>
      </c>
      <c r="K299" s="294">
        <v>0.25</v>
      </c>
      <c r="L299" s="294"/>
      <c r="M299" s="294"/>
      <c r="N299" s="294">
        <v>0</v>
      </c>
      <c r="O299" s="294"/>
      <c r="P299" s="291"/>
      <c r="Q299" s="291"/>
      <c r="R299" s="291"/>
      <c r="S299" s="291"/>
      <c r="T299" s="291"/>
      <c r="U299" s="291"/>
      <c r="V299" s="291"/>
      <c r="W299" s="291">
        <v>0</v>
      </c>
      <c r="X299" s="291">
        <v>0.45</v>
      </c>
      <c r="Y299" s="291"/>
      <c r="Z299" s="291">
        <v>0</v>
      </c>
      <c r="AA299" s="291"/>
      <c r="AB299" s="291">
        <v>0</v>
      </c>
      <c r="AC299" s="291">
        <v>0.33500000000000002</v>
      </c>
      <c r="AD299" s="291"/>
      <c r="AE299" s="291"/>
      <c r="AF299" s="291"/>
      <c r="AG299" s="291"/>
      <c r="AH299" s="291"/>
      <c r="AI299" s="291"/>
      <c r="AJ299" s="306"/>
      <c r="AK299" s="306"/>
      <c r="AL299" s="306"/>
      <c r="AM299" s="291"/>
      <c r="AN299" s="291"/>
      <c r="AO299" s="291"/>
      <c r="AP299" s="291"/>
      <c r="AQ299" s="291"/>
      <c r="AR299" s="291"/>
      <c r="AS299" s="291"/>
      <c r="AW299" s="206">
        <v>7.0988498481629997E-2</v>
      </c>
    </row>
    <row r="300" spans="1:49" x14ac:dyDescent="0.25">
      <c r="C300" s="294"/>
      <c r="D300" s="294"/>
      <c r="E300" s="294">
        <v>7.0153798263083003E-2</v>
      </c>
      <c r="F300" s="294"/>
      <c r="G300" s="294">
        <v>7.99681E-2</v>
      </c>
      <c r="H300" s="294"/>
      <c r="I300" s="294"/>
      <c r="J300" s="294">
        <v>0.1825</v>
      </c>
      <c r="K300" s="294">
        <v>0.20250000000000001</v>
      </c>
      <c r="L300" s="294"/>
      <c r="M300" s="294"/>
      <c r="N300" s="294">
        <v>0</v>
      </c>
      <c r="O300" s="294"/>
      <c r="P300" s="291"/>
      <c r="Q300" s="291"/>
      <c r="R300" s="291"/>
      <c r="S300" s="291"/>
      <c r="T300" s="291"/>
      <c r="U300" s="291"/>
      <c r="V300" s="291"/>
      <c r="W300" s="291">
        <v>0</v>
      </c>
      <c r="X300" s="291">
        <v>0.40500000000000003</v>
      </c>
      <c r="Y300" s="291"/>
      <c r="Z300" s="291">
        <v>0</v>
      </c>
      <c r="AA300" s="291"/>
      <c r="AB300" s="291">
        <v>0</v>
      </c>
      <c r="AC300" s="291">
        <v>0.26750000000000002</v>
      </c>
      <c r="AD300" s="291"/>
      <c r="AE300" s="291"/>
      <c r="AF300" s="291"/>
      <c r="AG300" s="291"/>
      <c r="AH300" s="291"/>
      <c r="AI300" s="291"/>
      <c r="AJ300" s="306"/>
      <c r="AK300" s="306"/>
      <c r="AL300" s="306"/>
      <c r="AM300" s="291"/>
      <c r="AN300" s="291"/>
      <c r="AO300" s="291"/>
      <c r="AP300" s="291"/>
      <c r="AQ300" s="291"/>
      <c r="AR300" s="291"/>
      <c r="AS300" s="291"/>
      <c r="AW300" s="206">
        <v>7.0979744989628002E-2</v>
      </c>
    </row>
    <row r="301" spans="1:49" x14ac:dyDescent="0.25">
      <c r="A301" s="318"/>
      <c r="C301" s="294"/>
      <c r="D301" s="294"/>
      <c r="E301" s="294">
        <v>7.0146736613108995E-2</v>
      </c>
      <c r="F301" s="294"/>
      <c r="G301" s="294">
        <v>7.99681E-2</v>
      </c>
      <c r="H301" s="294"/>
      <c r="I301" s="294"/>
      <c r="J301" s="294">
        <v>0.1825</v>
      </c>
      <c r="K301" s="294">
        <v>0.20250000000000001</v>
      </c>
      <c r="L301" s="294"/>
      <c r="M301" s="294"/>
      <c r="N301" s="294">
        <v>0</v>
      </c>
      <c r="O301" s="294"/>
      <c r="P301" s="291"/>
      <c r="Q301" s="291"/>
      <c r="R301" s="291"/>
      <c r="S301" s="291"/>
      <c r="T301" s="291"/>
      <c r="U301" s="291"/>
      <c r="V301" s="291"/>
      <c r="W301" s="291">
        <v>0</v>
      </c>
      <c r="X301" s="291">
        <v>0.39500000000000002</v>
      </c>
      <c r="Y301" s="291"/>
      <c r="Z301" s="291">
        <v>0</v>
      </c>
      <c r="AA301" s="291"/>
      <c r="AB301" s="291">
        <v>0</v>
      </c>
      <c r="AC301" s="291">
        <v>0.26750000000000002</v>
      </c>
      <c r="AD301" s="291"/>
      <c r="AE301" s="291"/>
      <c r="AF301" s="291"/>
      <c r="AG301" s="291"/>
      <c r="AH301" s="291"/>
      <c r="AI301" s="291"/>
      <c r="AJ301" s="306"/>
      <c r="AK301" s="306"/>
      <c r="AL301" s="306"/>
      <c r="AM301" s="291"/>
      <c r="AN301" s="291"/>
      <c r="AO301" s="291"/>
      <c r="AP301" s="291"/>
      <c r="AQ301" s="291"/>
      <c r="AR301" s="291"/>
      <c r="AS301" s="291"/>
      <c r="AW301" s="206">
        <v>7.0970699714584001E-2</v>
      </c>
    </row>
    <row r="302" spans="1:49" x14ac:dyDescent="0.25">
      <c r="A302" s="319"/>
      <c r="C302" s="294"/>
      <c r="D302" s="294"/>
      <c r="E302" s="294">
        <v>7.0139902758311001E-2</v>
      </c>
      <c r="F302" s="294"/>
      <c r="G302" s="294">
        <v>7.99681E-2</v>
      </c>
      <c r="H302" s="294"/>
      <c r="I302" s="294"/>
      <c r="J302" s="294">
        <v>0.1825</v>
      </c>
      <c r="K302" s="294">
        <v>0.215</v>
      </c>
      <c r="L302" s="294"/>
      <c r="M302" s="294"/>
      <c r="N302" s="294">
        <v>0</v>
      </c>
      <c r="O302" s="294"/>
      <c r="P302" s="291"/>
      <c r="Q302" s="291"/>
      <c r="R302" s="291"/>
      <c r="S302" s="291"/>
      <c r="T302" s="291"/>
      <c r="U302" s="291"/>
      <c r="V302" s="291"/>
      <c r="W302" s="291">
        <v>0</v>
      </c>
      <c r="X302" s="291">
        <v>0.43</v>
      </c>
      <c r="Y302" s="291"/>
      <c r="Z302" s="291">
        <v>0</v>
      </c>
      <c r="AA302" s="291"/>
      <c r="AB302" s="291">
        <v>0</v>
      </c>
      <c r="AC302" s="291">
        <v>0.28000000000000003</v>
      </c>
      <c r="AD302" s="291"/>
      <c r="AE302" s="291"/>
      <c r="AF302" s="291"/>
      <c r="AG302" s="291"/>
      <c r="AH302" s="291"/>
      <c r="AI302" s="291"/>
      <c r="AJ302" s="306"/>
      <c r="AK302" s="306"/>
      <c r="AL302" s="306"/>
      <c r="AM302" s="291"/>
      <c r="AN302" s="291"/>
      <c r="AO302" s="291"/>
      <c r="AP302" s="291"/>
      <c r="AQ302" s="291"/>
      <c r="AR302" s="291"/>
      <c r="AS302" s="291"/>
      <c r="AW302" s="206">
        <v>7.0961946222631994E-2</v>
      </c>
    </row>
    <row r="303" spans="1:49" x14ac:dyDescent="0.25">
      <c r="A303" s="319"/>
      <c r="C303" s="294"/>
      <c r="D303" s="294"/>
      <c r="E303" s="294">
        <v>7.0132841108369995E-2</v>
      </c>
      <c r="F303" s="294"/>
      <c r="G303" s="294">
        <v>7.99681E-2</v>
      </c>
      <c r="H303" s="294"/>
      <c r="I303" s="294"/>
      <c r="J303" s="294">
        <v>0.1825</v>
      </c>
      <c r="K303" s="294">
        <v>0.215</v>
      </c>
      <c r="L303" s="294"/>
      <c r="M303" s="294"/>
      <c r="N303" s="294">
        <v>0</v>
      </c>
      <c r="O303" s="294"/>
      <c r="P303" s="291"/>
      <c r="Q303" s="291"/>
      <c r="R303" s="291"/>
      <c r="S303" s="291"/>
      <c r="T303" s="291"/>
      <c r="U303" s="291"/>
      <c r="V303" s="291"/>
      <c r="W303" s="291">
        <v>0</v>
      </c>
      <c r="X303" s="291">
        <v>0.495</v>
      </c>
      <c r="Y303" s="291"/>
      <c r="Z303" s="291">
        <v>0</v>
      </c>
      <c r="AA303" s="291"/>
      <c r="AB303" s="291">
        <v>0</v>
      </c>
      <c r="AC303" s="291">
        <v>0.28000000000000003</v>
      </c>
      <c r="AD303" s="291"/>
      <c r="AE303" s="291"/>
      <c r="AF303" s="291"/>
      <c r="AG303" s="291"/>
      <c r="AH303" s="291"/>
      <c r="AI303" s="291"/>
      <c r="AJ303" s="306"/>
      <c r="AK303" s="306"/>
      <c r="AL303" s="306"/>
      <c r="AM303" s="291"/>
      <c r="AN303" s="291"/>
      <c r="AO303" s="291"/>
      <c r="AP303" s="291"/>
      <c r="AQ303" s="291"/>
      <c r="AR303" s="291"/>
      <c r="AS303" s="291"/>
      <c r="AW303" s="206">
        <v>7.0952900947642006E-2</v>
      </c>
    </row>
    <row r="304" spans="1:49" x14ac:dyDescent="0.25">
      <c r="A304" s="319"/>
      <c r="C304" s="294"/>
      <c r="D304" s="294"/>
      <c r="E304" s="294">
        <v>7.0125779458445003E-2</v>
      </c>
      <c r="F304" s="294"/>
      <c r="G304" s="294">
        <v>7.99681E-2</v>
      </c>
      <c r="H304" s="294"/>
      <c r="I304" s="294"/>
      <c r="J304" s="294">
        <v>0.1825</v>
      </c>
      <c r="K304" s="294">
        <v>0.19500000000000001</v>
      </c>
      <c r="L304" s="294"/>
      <c r="M304" s="294"/>
      <c r="N304" s="294">
        <v>0</v>
      </c>
      <c r="O304" s="294"/>
      <c r="P304" s="291"/>
      <c r="Q304" s="291"/>
      <c r="R304" s="291"/>
      <c r="S304" s="291"/>
      <c r="T304" s="291"/>
      <c r="U304" s="291"/>
      <c r="V304" s="291"/>
      <c r="W304" s="291">
        <v>0</v>
      </c>
      <c r="X304" s="291">
        <v>0.39500000000000002</v>
      </c>
      <c r="Y304" s="291"/>
      <c r="Z304" s="291">
        <v>0</v>
      </c>
      <c r="AA304" s="291"/>
      <c r="AB304" s="291">
        <v>0</v>
      </c>
      <c r="AC304" s="291">
        <v>0.27</v>
      </c>
      <c r="AD304" s="291"/>
      <c r="AE304" s="291"/>
      <c r="AF304" s="291"/>
      <c r="AG304" s="291"/>
      <c r="AH304" s="291"/>
      <c r="AI304" s="291"/>
      <c r="AJ304" s="306"/>
      <c r="AK304" s="306"/>
      <c r="AL304" s="306"/>
      <c r="AM304" s="291"/>
      <c r="AN304" s="291"/>
      <c r="AO304" s="291"/>
      <c r="AP304" s="291"/>
      <c r="AQ304" s="291"/>
      <c r="AR304" s="291"/>
      <c r="AS304" s="291"/>
      <c r="AW304" s="206">
        <v>7.0943855672678996E-2</v>
      </c>
    </row>
    <row r="305" spans="1:49" x14ac:dyDescent="0.25">
      <c r="A305" s="319"/>
      <c r="C305" s="294"/>
      <c r="D305" s="294"/>
      <c r="E305" s="294">
        <v>7.0118945603694E-2</v>
      </c>
      <c r="F305" s="294"/>
      <c r="G305" s="294">
        <v>7.99681E-2</v>
      </c>
      <c r="H305" s="294"/>
      <c r="I305" s="294"/>
      <c r="J305" s="294">
        <v>0.1875</v>
      </c>
      <c r="K305" s="294">
        <v>0.215</v>
      </c>
      <c r="L305" s="294"/>
      <c r="M305" s="294"/>
      <c r="N305" s="294">
        <v>0</v>
      </c>
      <c r="O305" s="294"/>
      <c r="P305" s="291"/>
      <c r="Q305" s="291"/>
      <c r="R305" s="291"/>
      <c r="S305" s="291"/>
      <c r="T305" s="291"/>
      <c r="U305" s="291"/>
      <c r="V305" s="291"/>
      <c r="W305" s="291">
        <v>0</v>
      </c>
      <c r="X305" s="291">
        <v>0.46100000000000002</v>
      </c>
      <c r="Y305" s="291"/>
      <c r="Z305" s="291">
        <v>0</v>
      </c>
      <c r="AA305" s="291"/>
      <c r="AB305" s="291">
        <v>0</v>
      </c>
      <c r="AC305" s="291">
        <v>0.34250000000000003</v>
      </c>
      <c r="AD305" s="291"/>
      <c r="AE305" s="291"/>
      <c r="AF305" s="291"/>
      <c r="AG305" s="291"/>
      <c r="AH305" s="291"/>
      <c r="AI305" s="291"/>
      <c r="AJ305" s="306"/>
      <c r="AK305" s="306"/>
      <c r="AL305" s="306"/>
      <c r="AM305" s="291"/>
      <c r="AN305" s="291"/>
      <c r="AO305" s="291"/>
      <c r="AP305" s="291"/>
      <c r="AQ305" s="291"/>
      <c r="AR305" s="291"/>
      <c r="AS305" s="291"/>
      <c r="AW305" s="206">
        <v>7.0935102180804996E-2</v>
      </c>
    </row>
    <row r="306" spans="1:49" x14ac:dyDescent="0.25">
      <c r="A306" s="319"/>
      <c r="C306" s="294"/>
      <c r="D306" s="294"/>
      <c r="E306" s="294">
        <v>7.0111883953801996E-2</v>
      </c>
      <c r="F306" s="294"/>
      <c r="G306" s="294">
        <v>1.1199999999999999E-5</v>
      </c>
      <c r="H306" s="294"/>
      <c r="I306" s="294"/>
      <c r="J306" s="294">
        <v>0.27</v>
      </c>
      <c r="K306" s="294">
        <v>0.28749999999999998</v>
      </c>
      <c r="L306" s="294"/>
      <c r="M306" s="294"/>
      <c r="N306" s="294">
        <v>0</v>
      </c>
      <c r="O306" s="294"/>
      <c r="P306" s="291"/>
      <c r="Q306" s="291"/>
      <c r="R306" s="291"/>
      <c r="S306" s="291"/>
      <c r="T306" s="291"/>
      <c r="U306" s="291"/>
      <c r="V306" s="291"/>
      <c r="W306" s="291">
        <v>0</v>
      </c>
      <c r="X306" s="291">
        <v>0.76749999999999996</v>
      </c>
      <c r="Y306" s="291"/>
      <c r="Z306" s="291">
        <v>0</v>
      </c>
      <c r="AA306" s="291"/>
      <c r="AB306" s="291">
        <v>0</v>
      </c>
      <c r="AC306" s="291">
        <v>0.46500000000000002</v>
      </c>
      <c r="AD306" s="291"/>
      <c r="AE306" s="291"/>
      <c r="AF306" s="291"/>
      <c r="AG306" s="291"/>
      <c r="AH306" s="291"/>
      <c r="AI306" s="291"/>
      <c r="AJ306" s="306"/>
      <c r="AK306" s="306"/>
      <c r="AL306" s="306"/>
      <c r="AM306" s="291"/>
      <c r="AN306" s="291"/>
      <c r="AO306" s="291"/>
      <c r="AP306" s="291"/>
      <c r="AQ306" s="291"/>
      <c r="AR306" s="291"/>
      <c r="AS306" s="291"/>
      <c r="AW306" s="206">
        <v>7.0926056905894999E-2</v>
      </c>
    </row>
    <row r="307" spans="1:49" x14ac:dyDescent="0.25">
      <c r="A307" s="319"/>
      <c r="C307" s="294"/>
      <c r="D307" s="294"/>
      <c r="E307" s="294">
        <v>7.0105050099082994E-2</v>
      </c>
      <c r="F307" s="294"/>
      <c r="G307" s="294">
        <v>-1.4951900000000001E-2</v>
      </c>
      <c r="H307" s="294"/>
      <c r="I307" s="294"/>
      <c r="J307" s="294">
        <v>0.30499999999999999</v>
      </c>
      <c r="K307" s="294">
        <v>0.33750000000000002</v>
      </c>
      <c r="L307" s="294"/>
      <c r="M307" s="294"/>
      <c r="N307" s="294">
        <v>0</v>
      </c>
      <c r="O307" s="294"/>
      <c r="P307" s="291"/>
      <c r="Q307" s="291"/>
      <c r="R307" s="291"/>
      <c r="S307" s="291"/>
      <c r="T307" s="291"/>
      <c r="U307" s="291"/>
      <c r="V307" s="291"/>
      <c r="W307" s="291">
        <v>0</v>
      </c>
      <c r="X307" s="291">
        <v>1.19</v>
      </c>
      <c r="Y307" s="291"/>
      <c r="Z307" s="291">
        <v>0</v>
      </c>
      <c r="AA307" s="291"/>
      <c r="AB307" s="291">
        <v>0</v>
      </c>
      <c r="AC307" s="291">
        <v>0.8</v>
      </c>
      <c r="AD307" s="291"/>
      <c r="AE307" s="291"/>
      <c r="AF307" s="291"/>
      <c r="AG307" s="291"/>
      <c r="AH307" s="291"/>
      <c r="AI307" s="291"/>
      <c r="AJ307" s="306"/>
      <c r="AK307" s="306"/>
      <c r="AL307" s="306"/>
      <c r="AM307" s="291"/>
      <c r="AN307" s="291"/>
      <c r="AO307" s="291"/>
      <c r="AP307" s="291"/>
      <c r="AQ307" s="291"/>
      <c r="AR307" s="291"/>
      <c r="AS307" s="291"/>
      <c r="AW307" s="206">
        <v>7.0917303414072999E-2</v>
      </c>
    </row>
    <row r="308" spans="1:49" x14ac:dyDescent="0.25">
      <c r="A308" s="319"/>
      <c r="C308" s="294"/>
      <c r="D308" s="294"/>
      <c r="E308" s="294">
        <v>7.0097988449223006E-2</v>
      </c>
      <c r="F308" s="294"/>
      <c r="G308" s="294">
        <v>-9.9550999999999997E-3</v>
      </c>
      <c r="H308" s="294"/>
      <c r="I308" s="294"/>
      <c r="J308" s="294">
        <v>0.30499999999999999</v>
      </c>
      <c r="K308" s="294">
        <v>0.4375</v>
      </c>
      <c r="L308" s="294"/>
      <c r="M308" s="294"/>
      <c r="N308" s="294">
        <v>0</v>
      </c>
      <c r="O308" s="291"/>
      <c r="P308" s="291"/>
      <c r="Q308" s="291"/>
      <c r="R308" s="291"/>
      <c r="S308" s="291"/>
      <c r="T308" s="291"/>
      <c r="U308" s="291"/>
      <c r="V308" s="291"/>
      <c r="W308" s="291">
        <v>0</v>
      </c>
      <c r="X308" s="291">
        <v>1.5249999999999999</v>
      </c>
      <c r="Y308" s="291"/>
      <c r="Z308" s="291">
        <v>0</v>
      </c>
      <c r="AA308" s="291"/>
      <c r="AB308" s="291">
        <v>0</v>
      </c>
      <c r="AC308" s="291">
        <v>0.97499999999999998</v>
      </c>
      <c r="AD308" s="291"/>
      <c r="AE308" s="291"/>
      <c r="AF308" s="291"/>
      <c r="AG308" s="291"/>
      <c r="AH308" s="306"/>
      <c r="AI308" s="306"/>
      <c r="AJ308" s="291"/>
      <c r="AK308" s="291"/>
      <c r="AL308" s="291"/>
      <c r="AM308" s="291"/>
      <c r="AN308" s="291"/>
      <c r="AO308" s="291"/>
      <c r="AP308" s="291"/>
      <c r="AQ308" s="291"/>
      <c r="AR308" s="291"/>
      <c r="AS308" s="291"/>
      <c r="AW308" s="206">
        <v>7.0908258139216002E-2</v>
      </c>
    </row>
    <row r="309" spans="1:49" x14ac:dyDescent="0.25">
      <c r="A309" s="319"/>
      <c r="D309" s="315"/>
      <c r="E309" s="320">
        <v>7.0090926799379005E-2</v>
      </c>
      <c r="F309" s="320"/>
      <c r="G309" s="320">
        <v>1.50425E-2</v>
      </c>
      <c r="H309" s="320"/>
      <c r="I309" s="320"/>
      <c r="J309" s="320">
        <v>0.30499999999999999</v>
      </c>
      <c r="K309" s="320">
        <v>0.435</v>
      </c>
      <c r="L309" s="320"/>
      <c r="M309" s="320"/>
      <c r="N309" s="320">
        <v>0</v>
      </c>
      <c r="O309" s="320"/>
      <c r="P309" s="320"/>
      <c r="Q309" s="320"/>
      <c r="R309" s="320"/>
      <c r="S309" s="320"/>
      <c r="T309" s="320"/>
      <c r="U309" s="320"/>
      <c r="V309" s="320"/>
      <c r="W309" s="320">
        <v>0</v>
      </c>
      <c r="X309" s="320">
        <v>1.4550000000000001</v>
      </c>
      <c r="Y309" s="320"/>
      <c r="Z309" s="320">
        <v>0</v>
      </c>
      <c r="AA309" s="320"/>
      <c r="AB309" s="320">
        <v>0</v>
      </c>
      <c r="AC309" s="320">
        <v>0.97499999999999998</v>
      </c>
      <c r="AD309" s="320"/>
      <c r="AE309" s="320"/>
      <c r="AF309" s="320"/>
      <c r="AG309" s="320"/>
      <c r="AH309" s="320"/>
      <c r="AI309" s="320"/>
      <c r="AJ309" s="320"/>
      <c r="AK309" s="320"/>
      <c r="AO309" s="291"/>
      <c r="AP309" s="291"/>
      <c r="AQ309" s="291"/>
      <c r="AW309" s="206">
        <v>7.0899212864385996E-2</v>
      </c>
    </row>
    <row r="310" spans="1:49" x14ac:dyDescent="0.25">
      <c r="A310" s="319"/>
      <c r="D310" s="315"/>
      <c r="E310" s="320">
        <v>7.0084548535018998E-2</v>
      </c>
      <c r="F310" s="320"/>
      <c r="G310" s="320">
        <v>2.5042499999999999E-2</v>
      </c>
      <c r="H310" s="320"/>
      <c r="I310" s="320"/>
      <c r="J310" s="320">
        <v>0.26500000000000001</v>
      </c>
      <c r="K310" s="320">
        <v>0.30249999999999999</v>
      </c>
      <c r="L310" s="320"/>
      <c r="M310" s="320"/>
      <c r="N310" s="320">
        <v>0</v>
      </c>
      <c r="O310" s="320"/>
      <c r="P310" s="320"/>
      <c r="Q310" s="320"/>
      <c r="R310" s="320"/>
      <c r="S310" s="320"/>
      <c r="T310" s="320"/>
      <c r="U310" s="320"/>
      <c r="V310" s="320"/>
      <c r="W310" s="320">
        <v>0</v>
      </c>
      <c r="X310" s="320">
        <v>0.83499999999999996</v>
      </c>
      <c r="Y310" s="320"/>
      <c r="Z310" s="320">
        <v>0</v>
      </c>
      <c r="AA310" s="320"/>
      <c r="AB310" s="320">
        <v>0</v>
      </c>
      <c r="AC310" s="320">
        <v>0.60750000000000004</v>
      </c>
      <c r="AD310" s="320"/>
      <c r="AE310" s="320"/>
      <c r="AF310" s="320"/>
      <c r="AG310" s="320"/>
      <c r="AH310" s="320"/>
      <c r="AI310" s="320"/>
      <c r="AJ310" s="320"/>
      <c r="AK310" s="320"/>
      <c r="AW310" s="206">
        <v>7.0891042938757004E-2</v>
      </c>
    </row>
    <row r="311" spans="1:49" x14ac:dyDescent="0.25">
      <c r="A311" s="319"/>
      <c r="D311" s="315"/>
      <c r="E311" s="320">
        <v>7.0077486885206999E-2</v>
      </c>
      <c r="F311" s="320"/>
      <c r="G311" s="320">
        <v>8.4976599999999999E-2</v>
      </c>
      <c r="H311" s="320"/>
      <c r="I311" s="320"/>
      <c r="J311" s="320">
        <v>0.19500000000000001</v>
      </c>
      <c r="K311" s="320">
        <v>0.25</v>
      </c>
      <c r="L311" s="320"/>
      <c r="M311" s="320"/>
      <c r="N311" s="320">
        <v>0</v>
      </c>
      <c r="O311" s="320"/>
      <c r="P311" s="320"/>
      <c r="Q311" s="320"/>
      <c r="R311" s="320"/>
      <c r="S311" s="320"/>
      <c r="T311" s="320"/>
      <c r="U311" s="320"/>
      <c r="V311" s="320"/>
      <c r="W311" s="320">
        <v>0</v>
      </c>
      <c r="X311" s="320">
        <v>0.45</v>
      </c>
      <c r="Y311" s="320"/>
      <c r="Z311" s="320">
        <v>0</v>
      </c>
      <c r="AA311" s="320"/>
      <c r="AB311" s="320">
        <v>0</v>
      </c>
      <c r="AC311" s="320">
        <v>0.33500000000000002</v>
      </c>
      <c r="AD311" s="320"/>
      <c r="AE311" s="320"/>
      <c r="AF311" s="320"/>
      <c r="AG311" s="320"/>
      <c r="AH311" s="320"/>
      <c r="AI311" s="320"/>
      <c r="AJ311" s="320"/>
      <c r="AK311" s="320"/>
      <c r="AW311" s="206">
        <v>7.0881997663978999E-2</v>
      </c>
    </row>
    <row r="312" spans="1:49" x14ac:dyDescent="0.25">
      <c r="A312" s="319"/>
      <c r="D312" s="315"/>
      <c r="E312" s="320">
        <v>7.0070653030565005E-2</v>
      </c>
      <c r="F312" s="320"/>
      <c r="G312" s="320">
        <v>8.4968100000000005E-2</v>
      </c>
      <c r="H312" s="320"/>
      <c r="I312" s="320"/>
      <c r="J312" s="320">
        <v>0.1825</v>
      </c>
      <c r="K312" s="320">
        <v>0.20250000000000001</v>
      </c>
      <c r="L312" s="320"/>
      <c r="M312" s="320"/>
      <c r="N312" s="320">
        <v>0</v>
      </c>
      <c r="O312" s="320"/>
      <c r="P312" s="320"/>
      <c r="Q312" s="320"/>
      <c r="R312" s="320"/>
      <c r="S312" s="320"/>
      <c r="T312" s="320"/>
      <c r="U312" s="320"/>
      <c r="V312" s="320"/>
      <c r="W312" s="320">
        <v>0</v>
      </c>
      <c r="X312" s="320">
        <v>0.40500000000000003</v>
      </c>
      <c r="Y312" s="320"/>
      <c r="Z312" s="320">
        <v>0</v>
      </c>
      <c r="AA312" s="320"/>
      <c r="AB312" s="320">
        <v>0</v>
      </c>
      <c r="AC312" s="320">
        <v>0.26750000000000002</v>
      </c>
      <c r="AD312" s="320"/>
      <c r="AE312" s="320"/>
      <c r="AF312" s="320"/>
      <c r="AG312" s="320"/>
      <c r="AH312" s="320"/>
      <c r="AI312" s="320"/>
      <c r="AJ312" s="320"/>
      <c r="AK312" s="320"/>
      <c r="AW312" s="206">
        <v>7.0873244172282995E-2</v>
      </c>
    </row>
    <row r="313" spans="1:49" x14ac:dyDescent="0.25">
      <c r="A313" s="319"/>
      <c r="D313" s="315"/>
      <c r="E313" s="320">
        <v>7.0063591380785994E-2</v>
      </c>
      <c r="F313" s="320"/>
      <c r="G313" s="320">
        <v>8.4968100000000005E-2</v>
      </c>
      <c r="H313" s="320"/>
      <c r="I313" s="320"/>
      <c r="J313" s="320">
        <v>0.1825</v>
      </c>
      <c r="K313" s="320">
        <v>0.20250000000000001</v>
      </c>
      <c r="L313" s="320"/>
      <c r="M313" s="320"/>
      <c r="N313" s="320">
        <v>0</v>
      </c>
      <c r="O313" s="320"/>
      <c r="P313" s="320"/>
      <c r="Q313" s="320"/>
      <c r="R313" s="320"/>
      <c r="S313" s="320"/>
      <c r="T313" s="320"/>
      <c r="U313" s="320"/>
      <c r="V313" s="320"/>
      <c r="W313" s="320">
        <v>0</v>
      </c>
      <c r="X313" s="320">
        <v>0.39500000000000002</v>
      </c>
      <c r="Y313" s="320"/>
      <c r="Z313" s="320">
        <v>0</v>
      </c>
      <c r="AA313" s="320"/>
      <c r="AB313" s="320">
        <v>0</v>
      </c>
      <c r="AC313" s="320">
        <v>0.26750000000000002</v>
      </c>
      <c r="AD313" s="320"/>
      <c r="AE313" s="320"/>
      <c r="AF313" s="320"/>
      <c r="AG313" s="320"/>
      <c r="AH313" s="320"/>
      <c r="AI313" s="320"/>
      <c r="AJ313" s="320"/>
      <c r="AK313" s="320"/>
      <c r="AW313" s="206">
        <v>7.0864198897558003E-2</v>
      </c>
    </row>
    <row r="314" spans="1:49" x14ac:dyDescent="0.25">
      <c r="A314" s="319"/>
      <c r="D314" s="315"/>
      <c r="E314" s="320">
        <v>7.0056757526176003E-2</v>
      </c>
      <c r="F314" s="320"/>
      <c r="G314" s="320">
        <v>8.4968100000000005E-2</v>
      </c>
      <c r="H314" s="320"/>
      <c r="I314" s="320"/>
      <c r="J314" s="320">
        <v>0.1825</v>
      </c>
      <c r="K314" s="320">
        <v>0.215</v>
      </c>
      <c r="L314" s="320"/>
      <c r="M314" s="320"/>
      <c r="N314" s="320">
        <v>0</v>
      </c>
      <c r="O314" s="320"/>
      <c r="P314" s="320"/>
      <c r="Q314" s="320"/>
      <c r="R314" s="320"/>
      <c r="S314" s="320"/>
      <c r="T314" s="320"/>
      <c r="U314" s="320"/>
      <c r="V314" s="320"/>
      <c r="W314" s="320">
        <v>0</v>
      </c>
      <c r="X314" s="320">
        <v>0.43</v>
      </c>
      <c r="Y314" s="320"/>
      <c r="Z314" s="320">
        <v>0</v>
      </c>
      <c r="AA314" s="320"/>
      <c r="AB314" s="320">
        <v>0</v>
      </c>
      <c r="AC314" s="320">
        <v>0.28000000000000003</v>
      </c>
      <c r="AD314" s="320"/>
      <c r="AE314" s="320"/>
      <c r="AF314" s="320"/>
      <c r="AG314" s="320"/>
      <c r="AH314" s="320"/>
      <c r="AI314" s="320"/>
      <c r="AJ314" s="320"/>
      <c r="AK314" s="320"/>
      <c r="AW314" s="206">
        <v>7.0855445405914999E-2</v>
      </c>
    </row>
    <row r="315" spans="1:49" x14ac:dyDescent="0.25">
      <c r="A315" s="319"/>
      <c r="D315" s="315"/>
      <c r="E315" s="320">
        <v>7.0049695876428994E-2</v>
      </c>
      <c r="F315" s="320"/>
      <c r="G315" s="320">
        <v>8.4968100000000005E-2</v>
      </c>
      <c r="H315" s="320"/>
      <c r="I315" s="320"/>
      <c r="J315" s="320">
        <v>0.1825</v>
      </c>
      <c r="K315" s="320">
        <v>0.215</v>
      </c>
      <c r="L315" s="320"/>
      <c r="M315" s="320"/>
      <c r="N315" s="320">
        <v>0</v>
      </c>
      <c r="O315" s="320"/>
      <c r="P315" s="320"/>
      <c r="Q315" s="320"/>
      <c r="R315" s="320"/>
      <c r="S315" s="320"/>
      <c r="T315" s="320"/>
      <c r="U315" s="320"/>
      <c r="V315" s="320"/>
      <c r="W315" s="320">
        <v>0</v>
      </c>
      <c r="X315" s="320">
        <v>0.495</v>
      </c>
      <c r="Y315" s="320"/>
      <c r="Z315" s="320">
        <v>0</v>
      </c>
      <c r="AA315" s="320"/>
      <c r="AB315" s="320">
        <v>0</v>
      </c>
      <c r="AC315" s="320">
        <v>0.28000000000000003</v>
      </c>
      <c r="AD315" s="320"/>
      <c r="AE315" s="320"/>
      <c r="AF315" s="320"/>
      <c r="AG315" s="320"/>
      <c r="AH315" s="320"/>
      <c r="AI315" s="320"/>
      <c r="AJ315" s="320"/>
      <c r="AK315" s="320"/>
      <c r="AW315" s="206">
        <v>7.0846400131243006E-2</v>
      </c>
    </row>
    <row r="316" spans="1:49" x14ac:dyDescent="0.25">
      <c r="A316" s="319"/>
      <c r="D316" s="315"/>
      <c r="E316" s="320">
        <v>7.0042634226698E-2</v>
      </c>
      <c r="F316" s="320"/>
      <c r="G316" s="320">
        <v>8.4968100000000005E-2</v>
      </c>
      <c r="H316" s="320"/>
      <c r="I316" s="320"/>
      <c r="J316" s="320">
        <v>0.1825</v>
      </c>
      <c r="K316" s="320">
        <v>0.19500000000000001</v>
      </c>
      <c r="L316" s="320"/>
      <c r="M316" s="320"/>
      <c r="N316" s="320">
        <v>0</v>
      </c>
      <c r="O316" s="320"/>
      <c r="P316" s="320"/>
      <c r="Q316" s="320"/>
      <c r="R316" s="320"/>
      <c r="S316" s="320"/>
      <c r="T316" s="320"/>
      <c r="U316" s="320"/>
      <c r="V316" s="320"/>
      <c r="W316" s="320">
        <v>0</v>
      </c>
      <c r="X316" s="320">
        <v>0.39500000000000002</v>
      </c>
      <c r="Y316" s="320"/>
      <c r="Z316" s="320">
        <v>0</v>
      </c>
      <c r="AA316" s="320"/>
      <c r="AB316" s="320">
        <v>0</v>
      </c>
      <c r="AC316" s="320">
        <v>0.27</v>
      </c>
      <c r="AD316" s="320"/>
      <c r="AE316" s="320"/>
      <c r="AF316" s="320"/>
      <c r="AG316" s="320"/>
      <c r="AH316" s="320"/>
      <c r="AI316" s="320"/>
      <c r="AJ316" s="320"/>
      <c r="AK316" s="320"/>
      <c r="AW316" s="206">
        <v>7.0837354856598006E-2</v>
      </c>
    </row>
    <row r="317" spans="1:49" x14ac:dyDescent="0.25">
      <c r="A317" s="319"/>
      <c r="D317" s="315"/>
      <c r="E317" s="320">
        <v>7.0035800372134999E-2</v>
      </c>
      <c r="F317" s="320"/>
      <c r="G317" s="320">
        <v>8.4968100000000005E-2</v>
      </c>
      <c r="H317" s="320"/>
      <c r="I317" s="320"/>
      <c r="J317" s="320">
        <v>0.1875</v>
      </c>
      <c r="K317" s="320">
        <v>0.215</v>
      </c>
      <c r="L317" s="320"/>
      <c r="M317" s="320"/>
      <c r="N317" s="320">
        <v>0</v>
      </c>
      <c r="O317" s="320"/>
      <c r="P317" s="320"/>
      <c r="Q317" s="320"/>
      <c r="R317" s="320"/>
      <c r="S317" s="320"/>
      <c r="T317" s="320"/>
      <c r="U317" s="320"/>
      <c r="V317" s="320"/>
      <c r="W317" s="320">
        <v>0</v>
      </c>
      <c r="X317" s="320">
        <v>0.46100000000000002</v>
      </c>
      <c r="Y317" s="320"/>
      <c r="Z317" s="320">
        <v>0</v>
      </c>
      <c r="AA317" s="320"/>
      <c r="AB317" s="320">
        <v>0</v>
      </c>
      <c r="AC317" s="320">
        <v>0.34250000000000003</v>
      </c>
      <c r="AD317" s="320"/>
      <c r="AE317" s="320"/>
      <c r="AF317" s="320"/>
      <c r="AG317" s="320"/>
      <c r="AH317" s="320"/>
      <c r="AI317" s="320"/>
      <c r="AJ317" s="320"/>
      <c r="AK317" s="320"/>
      <c r="AW317" s="206">
        <v>7.0828601365031996E-2</v>
      </c>
    </row>
    <row r="318" spans="1:49" x14ac:dyDescent="0.25">
      <c r="A318" s="319"/>
      <c r="D318" s="315"/>
      <c r="E318" s="320">
        <v>7.0028738722437006E-2</v>
      </c>
      <c r="F318" s="320"/>
      <c r="G318" s="320">
        <v>5.0112000000000004E-3</v>
      </c>
      <c r="H318" s="320"/>
      <c r="I318" s="320"/>
      <c r="J318" s="320">
        <v>0.27</v>
      </c>
      <c r="K318" s="320">
        <v>0.28749999999999998</v>
      </c>
      <c r="L318" s="320"/>
      <c r="M318" s="320"/>
      <c r="N318" s="320">
        <v>0</v>
      </c>
      <c r="O318" s="320"/>
      <c r="P318" s="320"/>
      <c r="Q318" s="320"/>
      <c r="R318" s="320"/>
      <c r="S318" s="320"/>
      <c r="T318" s="320"/>
      <c r="U318" s="320"/>
      <c r="V318" s="320"/>
      <c r="W318" s="320">
        <v>0</v>
      </c>
      <c r="X318" s="320">
        <v>0.76749999999999996</v>
      </c>
      <c r="Y318" s="320"/>
      <c r="Z318" s="320">
        <v>0</v>
      </c>
      <c r="AA318" s="320"/>
      <c r="AB318" s="320">
        <v>0</v>
      </c>
      <c r="AC318" s="320">
        <v>0.46500000000000002</v>
      </c>
      <c r="AD318" s="320"/>
      <c r="AE318" s="320"/>
      <c r="AF318" s="320"/>
      <c r="AG318" s="320"/>
      <c r="AH318" s="320"/>
      <c r="AI318" s="320"/>
      <c r="AJ318" s="320"/>
      <c r="AK318" s="320"/>
      <c r="AW318" s="206">
        <v>7.0819556090440994E-2</v>
      </c>
    </row>
    <row r="319" spans="1:49" x14ac:dyDescent="0.25">
      <c r="A319" s="319"/>
      <c r="D319" s="315"/>
      <c r="E319" s="320">
        <v>7.0021904867906007E-2</v>
      </c>
      <c r="F319" s="320"/>
      <c r="G319" s="320">
        <v>-9.9518999999999996E-3</v>
      </c>
      <c r="H319" s="320"/>
      <c r="I319" s="320"/>
      <c r="J319" s="320">
        <v>0.30499999999999999</v>
      </c>
      <c r="K319" s="320">
        <v>0.33750000000000002</v>
      </c>
      <c r="L319" s="320"/>
      <c r="M319" s="320"/>
      <c r="N319" s="320">
        <v>0</v>
      </c>
      <c r="O319" s="320"/>
      <c r="P319" s="320"/>
      <c r="Q319" s="320"/>
      <c r="R319" s="320"/>
      <c r="S319" s="320"/>
      <c r="T319" s="320"/>
      <c r="U319" s="320"/>
      <c r="V319" s="320"/>
      <c r="W319" s="320">
        <v>0</v>
      </c>
      <c r="X319" s="320">
        <v>1.19</v>
      </c>
      <c r="Y319" s="320"/>
      <c r="Z319" s="320">
        <v>0</v>
      </c>
      <c r="AA319" s="320"/>
      <c r="AB319" s="320">
        <v>0</v>
      </c>
      <c r="AC319" s="320">
        <v>0.8</v>
      </c>
      <c r="AD319" s="320"/>
      <c r="AE319" s="320"/>
      <c r="AF319" s="320"/>
      <c r="AG319" s="320"/>
      <c r="AH319" s="320"/>
      <c r="AI319" s="320"/>
      <c r="AJ319" s="320"/>
      <c r="AK319" s="320"/>
      <c r="AW319" s="206">
        <v>7.0810802598925998E-2</v>
      </c>
    </row>
    <row r="320" spans="1:49" x14ac:dyDescent="0.25">
      <c r="D320" s="315"/>
      <c r="E320" s="320">
        <v>7.0014843218240003E-2</v>
      </c>
      <c r="F320" s="320"/>
      <c r="G320" s="320">
        <v>-4.9550999999999996E-3</v>
      </c>
      <c r="H320" s="320"/>
      <c r="I320" s="320"/>
      <c r="J320" s="320">
        <v>0.30499999999999999</v>
      </c>
      <c r="K320" s="320">
        <v>0.4375</v>
      </c>
      <c r="L320" s="320"/>
      <c r="M320" s="320"/>
      <c r="N320" s="320">
        <v>0</v>
      </c>
      <c r="O320" s="320"/>
      <c r="P320" s="320"/>
      <c r="Q320" s="320"/>
      <c r="R320" s="320"/>
      <c r="S320" s="320"/>
      <c r="T320" s="320"/>
      <c r="U320" s="320"/>
      <c r="V320" s="320"/>
      <c r="W320" s="320">
        <v>0</v>
      </c>
      <c r="X320" s="320">
        <v>1.5249999999999999</v>
      </c>
      <c r="Y320" s="320"/>
      <c r="Z320" s="320">
        <v>0</v>
      </c>
      <c r="AA320" s="320"/>
      <c r="AB320" s="320">
        <v>0</v>
      </c>
      <c r="AC320" s="320">
        <v>0.97499999999999998</v>
      </c>
      <c r="AD320" s="320"/>
      <c r="AE320" s="320"/>
      <c r="AF320" s="320"/>
      <c r="AG320" s="320"/>
      <c r="AH320" s="320"/>
      <c r="AI320" s="320"/>
      <c r="AJ320" s="320"/>
      <c r="AK320" s="320"/>
      <c r="AW320" s="206">
        <v>7.0801757324387996E-2</v>
      </c>
    </row>
    <row r="321" spans="1:49" x14ac:dyDescent="0.25">
      <c r="D321" s="315"/>
      <c r="E321" s="320">
        <v>7.0007781568590999E-2</v>
      </c>
      <c r="F321" s="320"/>
      <c r="G321" s="320">
        <v>2.0042500000000001E-2</v>
      </c>
      <c r="H321" s="320"/>
      <c r="I321" s="320"/>
      <c r="J321" s="320">
        <v>0.30499999999999999</v>
      </c>
      <c r="K321" s="320">
        <v>0.435</v>
      </c>
      <c r="L321" s="320"/>
      <c r="M321" s="320"/>
      <c r="N321" s="320">
        <v>0</v>
      </c>
      <c r="O321" s="320"/>
      <c r="P321" s="320"/>
      <c r="Q321" s="320"/>
      <c r="R321" s="320"/>
      <c r="S321" s="320"/>
      <c r="T321" s="320"/>
      <c r="U321" s="320"/>
      <c r="V321" s="320"/>
      <c r="W321" s="320">
        <v>0</v>
      </c>
      <c r="X321" s="320">
        <v>1.4550000000000001</v>
      </c>
      <c r="Y321" s="320"/>
      <c r="Z321" s="320">
        <v>0</v>
      </c>
      <c r="AA321" s="320"/>
      <c r="AB321" s="320">
        <v>0</v>
      </c>
      <c r="AC321" s="320">
        <v>0.97499999999999998</v>
      </c>
      <c r="AD321" s="320"/>
      <c r="AE321" s="320"/>
      <c r="AF321" s="320"/>
      <c r="AG321" s="320"/>
      <c r="AH321" s="320"/>
      <c r="AI321" s="320"/>
      <c r="AJ321" s="320"/>
      <c r="AK321" s="320"/>
      <c r="AW321" s="206">
        <v>7.0792712049876999E-2</v>
      </c>
    </row>
    <row r="322" spans="1:49" x14ac:dyDescent="0.25">
      <c r="D322" s="315"/>
      <c r="E322" s="320">
        <v>7.0001403304405005E-2</v>
      </c>
      <c r="F322" s="320"/>
      <c r="G322" s="320">
        <v>3.00425E-2</v>
      </c>
      <c r="H322" s="320"/>
      <c r="I322" s="320"/>
      <c r="J322" s="320">
        <v>0.26500000000000001</v>
      </c>
      <c r="K322" s="320">
        <v>0.30249999999999999</v>
      </c>
      <c r="L322" s="320"/>
      <c r="M322" s="320"/>
      <c r="N322" s="320">
        <v>0</v>
      </c>
      <c r="O322" s="320"/>
      <c r="P322" s="320"/>
      <c r="Q322" s="320"/>
      <c r="R322" s="320"/>
      <c r="S322" s="320"/>
      <c r="T322" s="320"/>
      <c r="U322" s="320"/>
      <c r="V322" s="320"/>
      <c r="W322" s="320">
        <v>0</v>
      </c>
      <c r="X322" s="320">
        <v>0.83499999999999996</v>
      </c>
      <c r="Y322" s="320"/>
      <c r="Z322" s="320">
        <v>0</v>
      </c>
      <c r="AA322" s="320"/>
      <c r="AB322" s="320">
        <v>0</v>
      </c>
      <c r="AC322" s="320">
        <v>0.60750000000000004</v>
      </c>
      <c r="AD322" s="320"/>
      <c r="AE322" s="320"/>
      <c r="AF322" s="320"/>
      <c r="AG322" s="320"/>
      <c r="AH322" s="320"/>
      <c r="AI322" s="320"/>
      <c r="AJ322" s="320"/>
      <c r="AK322" s="320"/>
      <c r="AW322" s="206">
        <v>7.0784542124534999E-2</v>
      </c>
    </row>
    <row r="323" spans="1:49" x14ac:dyDescent="0.25">
      <c r="D323" s="315"/>
      <c r="E323" s="320">
        <v>6.9994341654787004E-2</v>
      </c>
      <c r="F323" s="320"/>
      <c r="G323" s="320">
        <v>8.9976600000000004E-2</v>
      </c>
      <c r="H323" s="320"/>
      <c r="I323" s="320"/>
      <c r="J323" s="320">
        <v>0.19500000000000001</v>
      </c>
      <c r="K323" s="320">
        <v>0.25</v>
      </c>
      <c r="L323" s="320"/>
      <c r="M323" s="320"/>
      <c r="N323" s="320">
        <v>0</v>
      </c>
      <c r="O323" s="320"/>
      <c r="P323" s="320"/>
      <c r="Q323" s="320"/>
      <c r="R323" s="320"/>
      <c r="S323" s="320"/>
      <c r="T323" s="320"/>
      <c r="U323" s="320"/>
      <c r="V323" s="320"/>
      <c r="W323" s="320">
        <v>0</v>
      </c>
      <c r="X323" s="320">
        <v>0.45</v>
      </c>
      <c r="Y323" s="320"/>
      <c r="Z323" s="320">
        <v>0</v>
      </c>
      <c r="AA323" s="320"/>
      <c r="AB323" s="320">
        <v>0</v>
      </c>
      <c r="AC323" s="320">
        <v>0.33500000000000002</v>
      </c>
      <c r="AD323" s="320"/>
      <c r="AE323" s="320"/>
      <c r="AF323" s="320"/>
      <c r="AG323" s="320"/>
      <c r="AH323" s="320"/>
      <c r="AI323" s="320"/>
      <c r="AJ323" s="320"/>
      <c r="AK323" s="320"/>
      <c r="AW323" s="206">
        <v>7.0775496850075004E-2</v>
      </c>
    </row>
    <row r="324" spans="1:49" x14ac:dyDescent="0.25">
      <c r="D324" s="315"/>
      <c r="E324" s="320">
        <v>6.9987507800333998E-2</v>
      </c>
      <c r="F324" s="320"/>
      <c r="G324" s="320">
        <v>8.9968099999999995E-2</v>
      </c>
      <c r="H324" s="320"/>
      <c r="I324" s="320"/>
      <c r="J324" s="320">
        <v>0.1825</v>
      </c>
      <c r="K324" s="320">
        <v>0.20250000000000001</v>
      </c>
      <c r="L324" s="320"/>
      <c r="M324" s="320"/>
      <c r="N324" s="320">
        <v>0</v>
      </c>
      <c r="O324" s="320"/>
      <c r="P324" s="320"/>
      <c r="Q324" s="320"/>
      <c r="R324" s="320"/>
      <c r="S324" s="320"/>
      <c r="T324" s="320"/>
      <c r="U324" s="320"/>
      <c r="V324" s="320"/>
      <c r="W324" s="320">
        <v>0</v>
      </c>
      <c r="X324" s="320">
        <v>0.40500000000000003</v>
      </c>
      <c r="Y324" s="320"/>
      <c r="Z324" s="320">
        <v>0</v>
      </c>
      <c r="AA324" s="320"/>
      <c r="AB324" s="320">
        <v>0</v>
      </c>
      <c r="AC324" s="320">
        <v>0.26750000000000002</v>
      </c>
      <c r="AD324" s="320"/>
      <c r="AE324" s="320"/>
      <c r="AF324" s="320"/>
      <c r="AG324" s="320"/>
      <c r="AH324" s="320"/>
      <c r="AI324" s="320"/>
      <c r="AJ324" s="320"/>
      <c r="AK324" s="320"/>
      <c r="AW324" s="206">
        <v>7.0766743358688003E-2</v>
      </c>
    </row>
    <row r="325" spans="1:49" x14ac:dyDescent="0.25">
      <c r="D325" s="315"/>
      <c r="E325" s="320">
        <v>6.9980446150747999E-2</v>
      </c>
      <c r="F325" s="320"/>
      <c r="G325" s="320">
        <v>8.9968099999999995E-2</v>
      </c>
      <c r="H325" s="320"/>
      <c r="I325" s="320"/>
      <c r="J325" s="320">
        <v>0.1825</v>
      </c>
      <c r="K325" s="320">
        <v>0.20250000000000001</v>
      </c>
      <c r="L325" s="320"/>
      <c r="M325" s="320"/>
      <c r="N325" s="320">
        <v>0</v>
      </c>
      <c r="O325" s="320"/>
      <c r="P325" s="320"/>
      <c r="Q325" s="320"/>
      <c r="R325" s="320"/>
      <c r="S325" s="320"/>
      <c r="T325" s="320"/>
      <c r="U325" s="320"/>
      <c r="V325" s="320"/>
      <c r="W325" s="320">
        <v>0</v>
      </c>
      <c r="X325" s="320">
        <v>0.39500000000000002</v>
      </c>
      <c r="Y325" s="320"/>
      <c r="Z325" s="320">
        <v>0</v>
      </c>
      <c r="AA325" s="320"/>
      <c r="AB325" s="320">
        <v>0</v>
      </c>
      <c r="AC325" s="320">
        <v>0.26750000000000002</v>
      </c>
      <c r="AD325" s="320"/>
      <c r="AE325" s="320"/>
      <c r="AF325" s="320"/>
      <c r="AG325" s="320"/>
      <c r="AH325" s="320"/>
      <c r="AI325" s="320"/>
      <c r="AJ325" s="320"/>
      <c r="AK325" s="320"/>
      <c r="AW325" s="206">
        <v>7.0757698084282006E-2</v>
      </c>
    </row>
    <row r="326" spans="1:49" x14ac:dyDescent="0.25">
      <c r="D326" s="315"/>
      <c r="E326" s="320">
        <v>6.9973612296325996E-2</v>
      </c>
      <c r="F326" s="320"/>
      <c r="G326" s="320">
        <v>8.9968099999999995E-2</v>
      </c>
      <c r="H326" s="320"/>
      <c r="I326" s="320"/>
      <c r="J326" s="320">
        <v>0.1825</v>
      </c>
      <c r="K326" s="320">
        <v>0.215</v>
      </c>
      <c r="L326" s="320"/>
      <c r="M326" s="320"/>
      <c r="N326" s="320">
        <v>0</v>
      </c>
      <c r="O326" s="320"/>
      <c r="P326" s="320"/>
      <c r="Q326" s="320"/>
      <c r="R326" s="320"/>
      <c r="S326" s="320"/>
      <c r="T326" s="320"/>
      <c r="U326" s="320"/>
      <c r="V326" s="320"/>
      <c r="W326" s="320">
        <v>0</v>
      </c>
      <c r="X326" s="320">
        <v>0.43</v>
      </c>
      <c r="Y326" s="320"/>
      <c r="Z326" s="320">
        <v>0</v>
      </c>
      <c r="AA326" s="320"/>
      <c r="AB326" s="320">
        <v>0</v>
      </c>
      <c r="AC326" s="320">
        <v>0.28000000000000003</v>
      </c>
      <c r="AD326" s="320"/>
      <c r="AE326" s="320"/>
      <c r="AF326" s="320"/>
      <c r="AG326" s="320"/>
      <c r="AH326" s="320"/>
      <c r="AI326" s="320"/>
      <c r="AJ326" s="320"/>
      <c r="AK326" s="320"/>
      <c r="AW326" s="206">
        <v>7.0748944592946006E-2</v>
      </c>
    </row>
    <row r="327" spans="1:49" x14ac:dyDescent="0.25">
      <c r="A327" s="318"/>
      <c r="D327" s="315"/>
      <c r="E327" s="320">
        <v>6.9966550646772999E-2</v>
      </c>
      <c r="F327" s="320"/>
      <c r="G327" s="320">
        <v>8.9968099999999995E-2</v>
      </c>
      <c r="H327" s="320"/>
      <c r="I327" s="320"/>
      <c r="J327" s="320">
        <v>0.1825</v>
      </c>
      <c r="K327" s="320">
        <v>0.215</v>
      </c>
      <c r="L327" s="320"/>
      <c r="M327" s="320"/>
      <c r="N327" s="320">
        <v>0</v>
      </c>
      <c r="O327" s="320"/>
      <c r="P327" s="320"/>
      <c r="Q327" s="320"/>
      <c r="R327" s="320"/>
      <c r="S327" s="320"/>
      <c r="T327" s="320"/>
      <c r="U327" s="320"/>
      <c r="V327" s="320"/>
      <c r="W327" s="320">
        <v>0</v>
      </c>
      <c r="X327" s="320">
        <v>0.495</v>
      </c>
      <c r="Y327" s="320"/>
      <c r="Z327" s="320">
        <v>0</v>
      </c>
      <c r="AA327" s="320"/>
      <c r="AB327" s="320">
        <v>0</v>
      </c>
      <c r="AC327" s="320">
        <v>0.28000000000000003</v>
      </c>
      <c r="AD327" s="320"/>
      <c r="AE327" s="320"/>
      <c r="AF327" s="320"/>
      <c r="AG327" s="320"/>
      <c r="AH327" s="320"/>
      <c r="AI327" s="320"/>
      <c r="AJ327" s="320"/>
      <c r="AK327" s="320"/>
      <c r="AW327" s="206">
        <v>7.0739899318592994E-2</v>
      </c>
    </row>
    <row r="328" spans="1:49" x14ac:dyDescent="0.25">
      <c r="A328" s="319"/>
      <c r="D328" s="315"/>
      <c r="E328" s="320">
        <v>6.9959488997237002E-2</v>
      </c>
      <c r="F328" s="320"/>
      <c r="G328" s="320">
        <v>8.9968099999999995E-2</v>
      </c>
      <c r="H328" s="320"/>
      <c r="I328" s="320"/>
      <c r="J328" s="320">
        <v>0.1825</v>
      </c>
      <c r="K328" s="320">
        <v>0.19500000000000001</v>
      </c>
      <c r="L328" s="320"/>
      <c r="M328" s="320"/>
      <c r="N328" s="320">
        <v>0</v>
      </c>
      <c r="O328" s="320"/>
      <c r="P328" s="320"/>
      <c r="Q328" s="320"/>
      <c r="R328" s="320"/>
      <c r="S328" s="320"/>
      <c r="T328" s="320"/>
      <c r="U328" s="320"/>
      <c r="V328" s="320"/>
      <c r="W328" s="320">
        <v>0</v>
      </c>
      <c r="X328" s="320">
        <v>0.39500000000000002</v>
      </c>
      <c r="Y328" s="320"/>
      <c r="Z328" s="320">
        <v>0</v>
      </c>
      <c r="AA328" s="320"/>
      <c r="AB328" s="320">
        <v>0</v>
      </c>
      <c r="AC328" s="320">
        <v>0.27</v>
      </c>
      <c r="AD328" s="320"/>
      <c r="AE328" s="320"/>
      <c r="AF328" s="320"/>
      <c r="AG328" s="320"/>
      <c r="AH328" s="320"/>
      <c r="AI328" s="320"/>
      <c r="AJ328" s="320"/>
      <c r="AK328" s="320"/>
      <c r="AW328" s="206">
        <v>7.0730854044267003E-2</v>
      </c>
    </row>
    <row r="329" spans="1:49" x14ac:dyDescent="0.25">
      <c r="A329" s="319"/>
      <c r="D329" s="315"/>
      <c r="E329" s="320">
        <v>6.9952655142862002E-2</v>
      </c>
      <c r="F329" s="320"/>
      <c r="G329" s="320">
        <v>8.9968099999999995E-2</v>
      </c>
      <c r="H329" s="320"/>
      <c r="I329" s="320"/>
      <c r="J329" s="320">
        <v>0.1875</v>
      </c>
      <c r="K329" s="320">
        <v>0.215</v>
      </c>
      <c r="L329" s="320"/>
      <c r="M329" s="320"/>
      <c r="N329" s="320">
        <v>0</v>
      </c>
      <c r="O329" s="320"/>
      <c r="P329" s="320"/>
      <c r="Q329" s="320"/>
      <c r="R329" s="320"/>
      <c r="S329" s="320"/>
      <c r="T329" s="320"/>
      <c r="U329" s="320"/>
      <c r="V329" s="320"/>
      <c r="W329" s="320">
        <v>0</v>
      </c>
      <c r="X329" s="320">
        <v>0.46100000000000002</v>
      </c>
      <c r="Y329" s="320"/>
      <c r="Z329" s="320">
        <v>0</v>
      </c>
      <c r="AA329" s="320"/>
      <c r="AB329" s="320">
        <v>0</v>
      </c>
      <c r="AC329" s="320">
        <v>0.34250000000000003</v>
      </c>
      <c r="AD329" s="320"/>
      <c r="AE329" s="320"/>
      <c r="AF329" s="320"/>
      <c r="AG329" s="320"/>
      <c r="AH329" s="320"/>
      <c r="AI329" s="320"/>
      <c r="AJ329" s="320"/>
      <c r="AK329" s="320"/>
      <c r="AW329" s="206">
        <v>7.0722100553007997E-2</v>
      </c>
    </row>
    <row r="330" spans="1:49" x14ac:dyDescent="0.25">
      <c r="A330" s="319"/>
      <c r="D330" s="315"/>
      <c r="E330" s="320">
        <v>6.9945593493357994E-2</v>
      </c>
      <c r="F330" s="320"/>
      <c r="G330" s="320">
        <v>1.00112E-2</v>
      </c>
      <c r="H330" s="320"/>
      <c r="I330" s="320"/>
      <c r="J330" s="320">
        <v>0.27</v>
      </c>
      <c r="K330" s="320">
        <v>0.28749999999999998</v>
      </c>
      <c r="L330" s="320"/>
      <c r="M330" s="320"/>
      <c r="N330" s="320">
        <v>0</v>
      </c>
      <c r="O330" s="320"/>
      <c r="P330" s="320"/>
      <c r="Q330" s="320"/>
      <c r="R330" s="320"/>
      <c r="S330" s="320"/>
      <c r="T330" s="320"/>
      <c r="U330" s="320"/>
      <c r="V330" s="320"/>
      <c r="W330" s="320">
        <v>0</v>
      </c>
      <c r="X330" s="320">
        <v>0.76749999999999996</v>
      </c>
      <c r="Y330" s="320"/>
      <c r="Z330" s="320">
        <v>0</v>
      </c>
      <c r="AA330" s="320"/>
      <c r="AB330" s="320">
        <v>0</v>
      </c>
      <c r="AC330" s="320">
        <v>0.46500000000000002</v>
      </c>
      <c r="AD330" s="320"/>
      <c r="AE330" s="320"/>
      <c r="AF330" s="320"/>
      <c r="AG330" s="320"/>
      <c r="AH330" s="320"/>
      <c r="AI330" s="320"/>
      <c r="AJ330" s="320"/>
      <c r="AK330" s="320"/>
      <c r="AW330" s="206">
        <v>7.0713055278736003E-2</v>
      </c>
    </row>
    <row r="331" spans="1:49" x14ac:dyDescent="0.25">
      <c r="A331" s="319"/>
      <c r="D331" s="315"/>
      <c r="E331" s="320">
        <v>6.9938759639014997E-2</v>
      </c>
      <c r="F331" s="320"/>
      <c r="G331" s="320">
        <v>-4.9519000000000004E-3</v>
      </c>
      <c r="H331" s="320"/>
      <c r="I331" s="320"/>
      <c r="J331" s="320">
        <v>0.30499999999999999</v>
      </c>
      <c r="K331" s="320">
        <v>0.33750000000000002</v>
      </c>
      <c r="L331" s="320"/>
      <c r="M331" s="320"/>
      <c r="N331" s="320">
        <v>0</v>
      </c>
      <c r="O331" s="320"/>
      <c r="P331" s="320"/>
      <c r="Q331" s="320"/>
      <c r="R331" s="320"/>
      <c r="S331" s="320"/>
      <c r="T331" s="320"/>
      <c r="U331" s="320"/>
      <c r="V331" s="320"/>
      <c r="W331" s="320">
        <v>0</v>
      </c>
      <c r="X331" s="320">
        <v>1.19</v>
      </c>
      <c r="Y331" s="320"/>
      <c r="Z331" s="320">
        <v>0</v>
      </c>
      <c r="AA331" s="320"/>
      <c r="AB331" s="320">
        <v>0</v>
      </c>
      <c r="AC331" s="320">
        <v>0.8</v>
      </c>
      <c r="AD331" s="320"/>
      <c r="AE331" s="320"/>
      <c r="AF331" s="320"/>
      <c r="AG331" s="320"/>
      <c r="AH331" s="320"/>
      <c r="AI331" s="320"/>
      <c r="AJ331" s="320"/>
      <c r="AK331" s="320"/>
      <c r="AW331" s="206">
        <v>7.0704301787528998E-2</v>
      </c>
    </row>
    <row r="332" spans="1:49" x14ac:dyDescent="0.25">
      <c r="A332" s="319"/>
      <c r="D332" s="315"/>
      <c r="E332" s="320">
        <v>6.9931697989543004E-2</v>
      </c>
      <c r="F332" s="320"/>
      <c r="G332" s="320">
        <v>4.4799999999999998E-5</v>
      </c>
      <c r="H332" s="320"/>
      <c r="I332" s="320"/>
      <c r="J332" s="320">
        <v>0.30499999999999999</v>
      </c>
      <c r="K332" s="320">
        <v>0.4375</v>
      </c>
      <c r="L332" s="320"/>
      <c r="M332" s="320"/>
      <c r="N332" s="320">
        <v>0</v>
      </c>
      <c r="O332" s="320"/>
      <c r="P332" s="320"/>
      <c r="Q332" s="320"/>
      <c r="R332" s="320"/>
      <c r="S332" s="320"/>
      <c r="T332" s="320"/>
      <c r="U332" s="320"/>
      <c r="V332" s="320"/>
      <c r="W332" s="320">
        <v>0</v>
      </c>
      <c r="X332" s="320">
        <v>1.5249999999999999</v>
      </c>
      <c r="Y332" s="320"/>
      <c r="Z332" s="320">
        <v>0</v>
      </c>
      <c r="AA332" s="320"/>
      <c r="AB332" s="320">
        <v>0</v>
      </c>
      <c r="AC332" s="320">
        <v>0.97499999999999998</v>
      </c>
      <c r="AD332" s="320"/>
      <c r="AE332" s="320"/>
      <c r="AF332" s="320"/>
      <c r="AG332" s="320"/>
      <c r="AH332" s="320"/>
      <c r="AI332" s="320"/>
      <c r="AJ332" s="320"/>
      <c r="AK332" s="320"/>
      <c r="AW332" s="206">
        <v>7.0695256513309004E-2</v>
      </c>
    </row>
    <row r="333" spans="1:49" x14ac:dyDescent="0.25">
      <c r="A333" s="319"/>
      <c r="D333" s="315"/>
      <c r="E333" s="320">
        <v>6.9924636340087998E-2</v>
      </c>
      <c r="F333" s="320"/>
      <c r="G333" s="320">
        <v>2.5042499999999999E-2</v>
      </c>
      <c r="H333" s="320"/>
      <c r="I333" s="320"/>
      <c r="J333" s="320">
        <v>0.30499999999999999</v>
      </c>
      <c r="K333" s="320">
        <v>0.435</v>
      </c>
      <c r="L333" s="320"/>
      <c r="M333" s="320"/>
      <c r="N333" s="320">
        <v>0</v>
      </c>
      <c r="O333" s="320"/>
      <c r="P333" s="320"/>
      <c r="Q333" s="320"/>
      <c r="R333" s="320"/>
      <c r="S333" s="320"/>
      <c r="T333" s="320"/>
      <c r="U333" s="320"/>
      <c r="V333" s="320"/>
      <c r="W333" s="320">
        <v>0</v>
      </c>
      <c r="X333" s="320">
        <v>1.4550000000000001</v>
      </c>
      <c r="Y333" s="320"/>
      <c r="Z333" s="320">
        <v>0</v>
      </c>
      <c r="AA333" s="320"/>
      <c r="AB333" s="320">
        <v>0</v>
      </c>
      <c r="AC333" s="320">
        <v>0.97499999999999998</v>
      </c>
      <c r="AD333" s="320"/>
      <c r="AE333" s="320"/>
      <c r="AF333" s="320"/>
      <c r="AG333" s="320"/>
      <c r="AH333" s="320"/>
      <c r="AI333" s="320"/>
      <c r="AJ333" s="320"/>
      <c r="AK333" s="320"/>
      <c r="AW333" s="206">
        <v>7.0686211239117003E-2</v>
      </c>
    </row>
    <row r="334" spans="1:49" x14ac:dyDescent="0.25">
      <c r="A334" s="319"/>
      <c r="D334" s="315"/>
      <c r="E334" s="320">
        <v>6.9918258076078002E-2</v>
      </c>
      <c r="F334" s="320"/>
      <c r="G334" s="320">
        <v>3.5042499999999997E-2</v>
      </c>
      <c r="H334" s="320"/>
      <c r="I334" s="320"/>
      <c r="J334" s="320">
        <v>0.26500000000000001</v>
      </c>
      <c r="K334" s="320">
        <v>0.30249999999999999</v>
      </c>
      <c r="L334" s="320"/>
      <c r="M334" s="320"/>
      <c r="N334" s="320">
        <v>0</v>
      </c>
      <c r="O334" s="320"/>
      <c r="P334" s="320"/>
      <c r="Q334" s="320"/>
      <c r="R334" s="320"/>
      <c r="S334" s="320"/>
      <c r="T334" s="320"/>
      <c r="U334" s="320"/>
      <c r="V334" s="320"/>
      <c r="W334" s="320">
        <v>0</v>
      </c>
      <c r="X334" s="320">
        <v>0.83499999999999996</v>
      </c>
      <c r="Y334" s="320"/>
      <c r="Z334" s="320">
        <v>0</v>
      </c>
      <c r="AA334" s="320"/>
      <c r="AB334" s="320">
        <v>0</v>
      </c>
      <c r="AC334" s="320">
        <v>0.60750000000000004</v>
      </c>
      <c r="AD334" s="320"/>
      <c r="AE334" s="320"/>
      <c r="AF334" s="320"/>
      <c r="AG334" s="320"/>
      <c r="AH334" s="320"/>
      <c r="AI334" s="320"/>
      <c r="AJ334" s="320"/>
      <c r="AK334" s="320"/>
      <c r="AW334" s="206">
        <v>7.0678041314061996E-2</v>
      </c>
    </row>
    <row r="335" spans="1:49" x14ac:dyDescent="0.25">
      <c r="A335" s="319"/>
      <c r="D335" s="315"/>
      <c r="E335" s="320">
        <v>6.9911196426653999E-2</v>
      </c>
      <c r="F335" s="320"/>
      <c r="G335" s="320">
        <v>9.4976599999999994E-2</v>
      </c>
      <c r="H335" s="320"/>
      <c r="I335" s="320"/>
      <c r="J335" s="320">
        <v>0.19500000000000001</v>
      </c>
      <c r="K335" s="320">
        <v>0.25</v>
      </c>
      <c r="L335" s="320"/>
      <c r="M335" s="320"/>
      <c r="N335" s="320">
        <v>0</v>
      </c>
      <c r="O335" s="320"/>
      <c r="P335" s="320"/>
      <c r="Q335" s="320"/>
      <c r="R335" s="320"/>
      <c r="S335" s="320"/>
      <c r="T335" s="320"/>
      <c r="U335" s="320"/>
      <c r="V335" s="320"/>
      <c r="W335" s="320">
        <v>0</v>
      </c>
      <c r="X335" s="320">
        <v>0.45</v>
      </c>
      <c r="Y335" s="320"/>
      <c r="Z335" s="320">
        <v>0</v>
      </c>
      <c r="AA335" s="320"/>
      <c r="AB335" s="320">
        <v>0</v>
      </c>
      <c r="AC335" s="320">
        <v>0.33500000000000002</v>
      </c>
      <c r="AD335" s="320"/>
      <c r="AE335" s="320"/>
      <c r="AF335" s="320"/>
      <c r="AG335" s="320"/>
      <c r="AH335" s="320"/>
      <c r="AI335" s="320"/>
      <c r="AJ335" s="320"/>
      <c r="AK335" s="320"/>
      <c r="AW335" s="206">
        <v>7.0668996039920995E-2</v>
      </c>
    </row>
    <row r="336" spans="1:49" x14ac:dyDescent="0.25">
      <c r="A336" s="319"/>
      <c r="D336" s="315"/>
      <c r="E336" s="320">
        <v>6.9904362572387996E-2</v>
      </c>
      <c r="F336" s="320"/>
      <c r="G336" s="320">
        <v>9.49681E-2</v>
      </c>
      <c r="H336" s="320"/>
      <c r="I336" s="320"/>
      <c r="J336" s="320">
        <v>0.1825</v>
      </c>
      <c r="K336" s="320">
        <v>0.20250000000000001</v>
      </c>
      <c r="L336" s="320"/>
      <c r="M336" s="320"/>
      <c r="N336" s="320">
        <v>0</v>
      </c>
      <c r="O336" s="320"/>
      <c r="P336" s="320"/>
      <c r="Q336" s="320"/>
      <c r="R336" s="320"/>
      <c r="S336" s="320"/>
      <c r="T336" s="320"/>
      <c r="U336" s="320"/>
      <c r="V336" s="320"/>
      <c r="W336" s="320">
        <v>0</v>
      </c>
      <c r="X336" s="320">
        <v>0.40500000000000003</v>
      </c>
      <c r="Y336" s="320"/>
      <c r="Z336" s="320">
        <v>0</v>
      </c>
      <c r="AA336" s="320"/>
      <c r="AB336" s="320">
        <v>0</v>
      </c>
      <c r="AC336" s="320">
        <v>0.26750000000000002</v>
      </c>
      <c r="AD336" s="320"/>
      <c r="AE336" s="320"/>
      <c r="AF336" s="320"/>
      <c r="AG336" s="320"/>
      <c r="AH336" s="320"/>
      <c r="AI336" s="320"/>
      <c r="AJ336" s="320"/>
      <c r="AK336" s="320"/>
      <c r="AW336" s="206">
        <v>7.0660242548841998E-2</v>
      </c>
    </row>
    <row r="337" spans="1:49" x14ac:dyDescent="0.25">
      <c r="A337" s="319"/>
      <c r="D337" s="315"/>
      <c r="E337" s="320">
        <v>6.9897300923000005E-2</v>
      </c>
      <c r="F337" s="320"/>
      <c r="G337" s="320">
        <v>9.49681E-2</v>
      </c>
      <c r="H337" s="320"/>
      <c r="I337" s="320"/>
      <c r="J337" s="320">
        <v>0.1825</v>
      </c>
      <c r="K337" s="320">
        <v>0.20250000000000001</v>
      </c>
      <c r="L337" s="320"/>
      <c r="M337" s="320"/>
      <c r="N337" s="320">
        <v>0</v>
      </c>
      <c r="O337" s="320"/>
      <c r="P337" s="320"/>
      <c r="Q337" s="320"/>
      <c r="R337" s="320"/>
      <c r="S337" s="320"/>
      <c r="T337" s="320"/>
      <c r="U337" s="320"/>
      <c r="V337" s="320"/>
      <c r="W337" s="320">
        <v>0</v>
      </c>
      <c r="X337" s="320">
        <v>0.39500000000000002</v>
      </c>
      <c r="Y337" s="320"/>
      <c r="Z337" s="320">
        <v>0</v>
      </c>
      <c r="AA337" s="320"/>
      <c r="AB337" s="320">
        <v>0</v>
      </c>
      <c r="AC337" s="320">
        <v>0.26750000000000002</v>
      </c>
      <c r="AD337" s="320"/>
      <c r="AE337" s="320"/>
      <c r="AF337" s="320"/>
      <c r="AG337" s="320"/>
      <c r="AH337" s="320"/>
      <c r="AI337" s="320"/>
      <c r="AJ337" s="320"/>
      <c r="AK337" s="320"/>
      <c r="AW337" s="206">
        <v>7.0651197274753996E-2</v>
      </c>
    </row>
    <row r="338" spans="1:49" x14ac:dyDescent="0.25">
      <c r="A338" s="319"/>
      <c r="D338" s="315"/>
      <c r="E338" s="320">
        <v>6.9890467068762993E-2</v>
      </c>
      <c r="F338" s="320"/>
      <c r="G338" s="320">
        <v>9.49681E-2</v>
      </c>
      <c r="H338" s="320"/>
      <c r="I338" s="320"/>
      <c r="J338" s="320">
        <v>0.1825</v>
      </c>
      <c r="K338" s="320">
        <v>0.215</v>
      </c>
      <c r="L338" s="320"/>
      <c r="M338" s="320"/>
      <c r="N338" s="320">
        <v>0</v>
      </c>
      <c r="O338" s="320"/>
      <c r="P338" s="320"/>
      <c r="Q338" s="320"/>
      <c r="R338" s="320"/>
      <c r="S338" s="320"/>
      <c r="T338" s="320"/>
      <c r="U338" s="320"/>
      <c r="V338" s="320"/>
      <c r="W338" s="320">
        <v>0</v>
      </c>
      <c r="X338" s="320">
        <v>0.43</v>
      </c>
      <c r="Y338" s="320"/>
      <c r="Z338" s="320">
        <v>0</v>
      </c>
      <c r="AA338" s="320"/>
      <c r="AB338" s="320">
        <v>0</v>
      </c>
      <c r="AC338" s="320">
        <v>0.28000000000000003</v>
      </c>
      <c r="AD338" s="320"/>
      <c r="AE338" s="320"/>
      <c r="AF338" s="320"/>
      <c r="AG338" s="320"/>
      <c r="AH338" s="320"/>
      <c r="AI338" s="320"/>
      <c r="AJ338" s="320"/>
      <c r="AK338" s="320"/>
      <c r="AW338" s="206">
        <v>7.0642443783726E-2</v>
      </c>
    </row>
    <row r="339" spans="1:49" x14ac:dyDescent="0.25">
      <c r="A339" s="319"/>
      <c r="D339" s="315"/>
      <c r="E339" s="320">
        <v>6.9883405419403993E-2</v>
      </c>
      <c r="F339" s="320"/>
      <c r="G339" s="320">
        <v>9.49681E-2</v>
      </c>
      <c r="H339" s="320"/>
      <c r="I339" s="320"/>
      <c r="J339" s="320">
        <v>0.1825</v>
      </c>
      <c r="K339" s="320">
        <v>0.215</v>
      </c>
      <c r="L339" s="320"/>
      <c r="M339" s="320"/>
      <c r="N339" s="320">
        <v>0</v>
      </c>
      <c r="O339" s="320"/>
      <c r="P339" s="320"/>
      <c r="Q339" s="320"/>
      <c r="R339" s="320"/>
      <c r="S339" s="320"/>
      <c r="T339" s="320"/>
      <c r="U339" s="320"/>
      <c r="V339" s="320"/>
      <c r="W339" s="320">
        <v>0</v>
      </c>
      <c r="X339" s="320">
        <v>0.495</v>
      </c>
      <c r="Y339" s="320"/>
      <c r="Z339" s="320">
        <v>0</v>
      </c>
      <c r="AA339" s="320"/>
      <c r="AB339" s="320">
        <v>0</v>
      </c>
      <c r="AC339" s="320">
        <v>0.28000000000000003</v>
      </c>
      <c r="AD339" s="320"/>
      <c r="AE339" s="320"/>
      <c r="AF339" s="320"/>
      <c r="AG339" s="320"/>
      <c r="AH339" s="320"/>
      <c r="AI339" s="320"/>
      <c r="AJ339" s="320"/>
      <c r="AK339" s="320"/>
      <c r="AW339" s="206">
        <v>7.0633398509691997E-2</v>
      </c>
    </row>
    <row r="340" spans="1:49" x14ac:dyDescent="0.25">
      <c r="A340" s="319"/>
      <c r="D340" s="315"/>
      <c r="E340" s="320">
        <v>6.9876343770060995E-2</v>
      </c>
      <c r="F340" s="320"/>
      <c r="G340" s="320">
        <v>9.49681E-2</v>
      </c>
      <c r="H340" s="320"/>
      <c r="I340" s="320"/>
      <c r="J340" s="320">
        <v>0.1825</v>
      </c>
      <c r="K340" s="320">
        <v>0.19500000000000001</v>
      </c>
      <c r="L340" s="320"/>
      <c r="M340" s="320"/>
      <c r="N340" s="320">
        <v>0</v>
      </c>
      <c r="O340" s="320"/>
      <c r="P340" s="320"/>
      <c r="Q340" s="320"/>
      <c r="R340" s="320"/>
      <c r="S340" s="320"/>
      <c r="T340" s="320"/>
      <c r="U340" s="320"/>
      <c r="V340" s="320"/>
      <c r="W340" s="320">
        <v>0</v>
      </c>
      <c r="X340" s="320">
        <v>0.39500000000000002</v>
      </c>
      <c r="Y340" s="320"/>
      <c r="Z340" s="320">
        <v>0</v>
      </c>
      <c r="AA340" s="320"/>
      <c r="AB340" s="320">
        <v>0</v>
      </c>
      <c r="AC340" s="320">
        <v>0.27</v>
      </c>
      <c r="AD340" s="320"/>
      <c r="AE340" s="320"/>
      <c r="AF340" s="320"/>
      <c r="AG340" s="320"/>
      <c r="AH340" s="320"/>
      <c r="AI340" s="320"/>
      <c r="AJ340" s="320"/>
      <c r="AK340" s="320"/>
      <c r="AW340" s="206">
        <v>7.0624353235684001E-2</v>
      </c>
    </row>
    <row r="341" spans="1:49" x14ac:dyDescent="0.25">
      <c r="A341" s="319"/>
      <c r="D341" s="315"/>
      <c r="E341" s="320">
        <v>6.9869509915873998E-2</v>
      </c>
      <c r="F341" s="320"/>
      <c r="G341" s="320">
        <v>9.49681E-2</v>
      </c>
      <c r="H341" s="320"/>
      <c r="I341" s="320"/>
      <c r="J341" s="320">
        <v>0.1875</v>
      </c>
      <c r="K341" s="320">
        <v>0.215</v>
      </c>
      <c r="L341" s="320"/>
      <c r="M341" s="320"/>
      <c r="N341" s="320">
        <v>0</v>
      </c>
      <c r="O341" s="320"/>
      <c r="P341" s="320"/>
      <c r="Q341" s="320"/>
      <c r="R341" s="320"/>
      <c r="S341" s="320"/>
      <c r="T341" s="320"/>
      <c r="U341" s="320"/>
      <c r="V341" s="320"/>
      <c r="W341" s="320">
        <v>0</v>
      </c>
      <c r="X341" s="320">
        <v>0.46100000000000002</v>
      </c>
      <c r="Y341" s="320"/>
      <c r="Z341" s="320">
        <v>0</v>
      </c>
      <c r="AA341" s="320"/>
      <c r="AB341" s="320">
        <v>0</v>
      </c>
      <c r="AC341" s="320">
        <v>0.34250000000000003</v>
      </c>
      <c r="AD341" s="320"/>
      <c r="AE341" s="320"/>
      <c r="AF341" s="320"/>
      <c r="AG341" s="320"/>
      <c r="AH341" s="320"/>
      <c r="AI341" s="320"/>
      <c r="AJ341" s="320"/>
      <c r="AK341" s="320"/>
      <c r="AW341" s="206">
        <v>7.0615599744733998E-2</v>
      </c>
    </row>
    <row r="342" spans="1:49" x14ac:dyDescent="0.25">
      <c r="A342" s="319"/>
      <c r="D342" s="315"/>
      <c r="E342" s="320">
        <v>6.9862448266565E-2</v>
      </c>
      <c r="F342" s="320"/>
      <c r="G342" s="320">
        <v>1.5011200000000001E-2</v>
      </c>
      <c r="H342" s="320"/>
      <c r="I342" s="320"/>
      <c r="J342" s="320">
        <v>0.27</v>
      </c>
      <c r="K342" s="320">
        <v>0.28749999999999998</v>
      </c>
      <c r="L342" s="320"/>
      <c r="M342" s="320"/>
      <c r="N342" s="320">
        <v>0</v>
      </c>
      <c r="O342" s="320"/>
      <c r="P342" s="320"/>
      <c r="Q342" s="320"/>
      <c r="R342" s="320"/>
      <c r="S342" s="320"/>
      <c r="T342" s="320"/>
      <c r="U342" s="320"/>
      <c r="V342" s="320"/>
      <c r="W342" s="320">
        <v>0</v>
      </c>
      <c r="X342" s="320">
        <v>0.76749999999999996</v>
      </c>
      <c r="Y342" s="320"/>
      <c r="Z342" s="320">
        <v>0</v>
      </c>
      <c r="AA342" s="320"/>
      <c r="AB342" s="320">
        <v>0</v>
      </c>
      <c r="AC342" s="320">
        <v>0.46500000000000002</v>
      </c>
      <c r="AD342" s="320"/>
      <c r="AE342" s="320"/>
      <c r="AF342" s="320"/>
      <c r="AG342" s="320"/>
      <c r="AH342" s="320"/>
      <c r="AI342" s="320"/>
      <c r="AJ342" s="320"/>
      <c r="AK342" s="320"/>
      <c r="AW342" s="206">
        <v>7.060655447078E-2</v>
      </c>
    </row>
    <row r="343" spans="1:49" x14ac:dyDescent="0.25">
      <c r="A343" s="319"/>
      <c r="D343" s="315"/>
      <c r="E343" s="320">
        <v>6.9855614412409006E-2</v>
      </c>
      <c r="F343" s="320"/>
      <c r="G343" s="320">
        <v>4.8000000000000001E-5</v>
      </c>
      <c r="H343" s="320"/>
      <c r="I343" s="320"/>
      <c r="J343" s="320">
        <v>0.30499999999999999</v>
      </c>
      <c r="K343" s="320">
        <v>0.33750000000000002</v>
      </c>
      <c r="L343" s="320"/>
      <c r="M343" s="320"/>
      <c r="N343" s="320">
        <v>0</v>
      </c>
      <c r="O343" s="320"/>
      <c r="P343" s="320"/>
      <c r="Q343" s="320"/>
      <c r="R343" s="320"/>
      <c r="S343" s="320"/>
      <c r="T343" s="320"/>
      <c r="U343" s="320"/>
      <c r="V343" s="320"/>
      <c r="W343" s="320">
        <v>0</v>
      </c>
      <c r="X343" s="320">
        <v>1.19</v>
      </c>
      <c r="Y343" s="320"/>
      <c r="Z343" s="320">
        <v>0</v>
      </c>
      <c r="AA343" s="320"/>
      <c r="AB343" s="320">
        <v>0</v>
      </c>
      <c r="AC343" s="320">
        <v>0.8</v>
      </c>
      <c r="AD343" s="320"/>
      <c r="AE343" s="320"/>
      <c r="AF343" s="320"/>
      <c r="AG343" s="320"/>
      <c r="AH343" s="320"/>
      <c r="AI343" s="320"/>
      <c r="AJ343" s="320"/>
      <c r="AK343" s="320"/>
      <c r="AW343" s="206">
        <v>7.0597800979880998E-2</v>
      </c>
    </row>
    <row r="344" spans="1:49" x14ac:dyDescent="0.25">
      <c r="A344" s="319"/>
      <c r="D344" s="315"/>
      <c r="E344" s="320">
        <v>6.9848552763131996E-2</v>
      </c>
      <c r="F344" s="320"/>
      <c r="G344" s="320">
        <v>5.0448000000000003E-3</v>
      </c>
      <c r="H344" s="320"/>
      <c r="I344" s="320"/>
      <c r="J344" s="320">
        <v>0.30499999999999999</v>
      </c>
      <c r="K344" s="320">
        <v>0.4375</v>
      </c>
      <c r="L344" s="320"/>
      <c r="M344" s="320"/>
      <c r="N344" s="320">
        <v>0</v>
      </c>
      <c r="O344" s="320"/>
      <c r="P344" s="320"/>
      <c r="Q344" s="320"/>
      <c r="R344" s="320"/>
      <c r="S344" s="320"/>
      <c r="T344" s="320"/>
      <c r="U344" s="320"/>
      <c r="V344" s="320"/>
      <c r="W344" s="320">
        <v>0</v>
      </c>
      <c r="X344" s="320">
        <v>1.5249999999999999</v>
      </c>
      <c r="Y344" s="320"/>
      <c r="Z344" s="320">
        <v>0</v>
      </c>
      <c r="AA344" s="320"/>
      <c r="AB344" s="320">
        <v>0</v>
      </c>
      <c r="AC344" s="320">
        <v>0.97499999999999998</v>
      </c>
      <c r="AD344" s="320"/>
      <c r="AE344" s="320"/>
      <c r="AF344" s="320"/>
      <c r="AG344" s="320"/>
      <c r="AH344" s="320"/>
      <c r="AI344" s="320"/>
      <c r="AJ344" s="320"/>
      <c r="AK344" s="320"/>
      <c r="AW344" s="206">
        <v>7.058875570598E-2</v>
      </c>
    </row>
    <row r="345" spans="1:49" x14ac:dyDescent="0.25">
      <c r="A345" s="319"/>
      <c r="D345" s="315"/>
      <c r="E345" s="320">
        <v>6.9841491113871002E-2</v>
      </c>
      <c r="F345" s="320"/>
      <c r="G345" s="320">
        <v>3.00425E-2</v>
      </c>
      <c r="H345" s="320"/>
      <c r="I345" s="320"/>
      <c r="J345" s="320">
        <v>0.30499999999999999</v>
      </c>
      <c r="K345" s="320">
        <v>0.435</v>
      </c>
      <c r="L345" s="320"/>
      <c r="M345" s="320"/>
      <c r="N345" s="320">
        <v>0</v>
      </c>
      <c r="O345" s="320"/>
      <c r="P345" s="320"/>
      <c r="Q345" s="320"/>
      <c r="R345" s="320"/>
      <c r="S345" s="320"/>
      <c r="T345" s="320"/>
      <c r="U345" s="320"/>
      <c r="V345" s="320"/>
      <c r="W345" s="320">
        <v>0</v>
      </c>
      <c r="X345" s="320">
        <v>1.4550000000000001</v>
      </c>
      <c r="Y345" s="320"/>
      <c r="Z345" s="320">
        <v>0</v>
      </c>
      <c r="AA345" s="320"/>
      <c r="AB345" s="320">
        <v>0</v>
      </c>
      <c r="AC345" s="320">
        <v>0.97499999999999998</v>
      </c>
      <c r="AD345" s="320"/>
      <c r="AE345" s="320"/>
      <c r="AF345" s="320"/>
      <c r="AG345" s="320"/>
      <c r="AH345" s="320"/>
      <c r="AI345" s="320"/>
      <c r="AJ345" s="320"/>
      <c r="AK345" s="320"/>
      <c r="AW345" s="206">
        <v>7.0579710432104995E-2</v>
      </c>
    </row>
    <row r="346" spans="1:49" x14ac:dyDescent="0.25">
      <c r="D346" s="315"/>
      <c r="E346" s="320">
        <v>6.9834885054900001E-2</v>
      </c>
      <c r="F346" s="320"/>
      <c r="G346" s="320">
        <v>4.0042500000000002E-2</v>
      </c>
      <c r="H346" s="320"/>
      <c r="I346" s="320"/>
      <c r="J346" s="320">
        <v>0.26500000000000001</v>
      </c>
      <c r="K346" s="320">
        <v>0.30249999999999999</v>
      </c>
      <c r="L346" s="320"/>
      <c r="M346" s="320"/>
      <c r="N346" s="320">
        <v>0</v>
      </c>
      <c r="O346" s="320"/>
      <c r="P346" s="320"/>
      <c r="Q346" s="320"/>
      <c r="R346" s="320"/>
      <c r="S346" s="320"/>
      <c r="T346" s="320"/>
      <c r="U346" s="320"/>
      <c r="V346" s="320"/>
      <c r="W346" s="320">
        <v>0</v>
      </c>
      <c r="X346" s="320">
        <v>0.83499999999999996</v>
      </c>
      <c r="Y346" s="320"/>
      <c r="Z346" s="320">
        <v>0</v>
      </c>
      <c r="AA346" s="320"/>
      <c r="AB346" s="320">
        <v>0</v>
      </c>
      <c r="AC346" s="320">
        <v>0.60750000000000004</v>
      </c>
      <c r="AD346" s="320"/>
      <c r="AE346" s="320"/>
      <c r="AF346" s="320"/>
      <c r="AG346" s="320"/>
      <c r="AH346" s="320"/>
      <c r="AI346" s="320"/>
      <c r="AJ346" s="320"/>
      <c r="AK346" s="320"/>
      <c r="AW346" s="206">
        <v>7.0571248724312002E-2</v>
      </c>
    </row>
    <row r="347" spans="1:49" x14ac:dyDescent="0.25">
      <c r="D347" s="315"/>
      <c r="E347" s="320">
        <v>6.9827823405669995E-2</v>
      </c>
      <c r="F347" s="320"/>
      <c r="G347" s="320">
        <v>9.9976599999999999E-2</v>
      </c>
      <c r="H347" s="320"/>
      <c r="I347" s="320"/>
      <c r="J347" s="320">
        <v>0.19500000000000001</v>
      </c>
      <c r="K347" s="320">
        <v>0.25</v>
      </c>
      <c r="L347" s="320"/>
      <c r="M347" s="320"/>
      <c r="N347" s="320">
        <v>0</v>
      </c>
      <c r="O347" s="320"/>
      <c r="P347" s="320"/>
      <c r="Q347" s="320"/>
      <c r="R347" s="320"/>
      <c r="S347" s="320"/>
      <c r="T347" s="320"/>
      <c r="U347" s="320"/>
      <c r="V347" s="320"/>
      <c r="W347" s="320">
        <v>0</v>
      </c>
      <c r="X347" s="320">
        <v>0.45</v>
      </c>
      <c r="Y347" s="320"/>
      <c r="Z347" s="320">
        <v>0</v>
      </c>
      <c r="AA347" s="320"/>
      <c r="AB347" s="320">
        <v>0</v>
      </c>
      <c r="AC347" s="320">
        <v>0.33500000000000002</v>
      </c>
      <c r="AD347" s="320"/>
      <c r="AE347" s="320"/>
      <c r="AF347" s="320"/>
      <c r="AG347" s="320"/>
      <c r="AH347" s="320"/>
      <c r="AI347" s="320"/>
      <c r="AJ347" s="320"/>
      <c r="AK347" s="320"/>
      <c r="AW347" s="206">
        <v>7.0562203450488997E-2</v>
      </c>
    </row>
    <row r="348" spans="1:49" x14ac:dyDescent="0.25">
      <c r="D348" s="315"/>
      <c r="E348" s="320">
        <v>6.9820989551592993E-2</v>
      </c>
      <c r="F348" s="320"/>
      <c r="G348" s="320">
        <v>9.9968100000000004E-2</v>
      </c>
      <c r="H348" s="320"/>
      <c r="I348" s="320"/>
      <c r="J348" s="320">
        <v>0.1825</v>
      </c>
      <c r="K348" s="320">
        <v>0.20250000000000001</v>
      </c>
      <c r="L348" s="320"/>
      <c r="M348" s="320"/>
      <c r="N348" s="320">
        <v>0</v>
      </c>
      <c r="O348" s="320"/>
      <c r="P348" s="320"/>
      <c r="Q348" s="320"/>
      <c r="R348" s="320"/>
      <c r="S348" s="320"/>
      <c r="T348" s="320"/>
      <c r="U348" s="320"/>
      <c r="V348" s="320"/>
      <c r="W348" s="320">
        <v>0</v>
      </c>
      <c r="X348" s="320">
        <v>0.40500000000000003</v>
      </c>
      <c r="Y348" s="320"/>
      <c r="Z348" s="320">
        <v>0</v>
      </c>
      <c r="AA348" s="320"/>
      <c r="AB348" s="320">
        <v>0</v>
      </c>
      <c r="AC348" s="320">
        <v>0.26750000000000002</v>
      </c>
      <c r="AD348" s="320"/>
      <c r="AE348" s="320"/>
      <c r="AF348" s="320"/>
      <c r="AG348" s="320"/>
      <c r="AH348" s="320"/>
      <c r="AI348" s="320"/>
      <c r="AJ348" s="320"/>
      <c r="AK348" s="320"/>
      <c r="AW348" s="206">
        <v>7.0553449959720002E-2</v>
      </c>
    </row>
    <row r="349" spans="1:49" x14ac:dyDescent="0.25">
      <c r="D349" s="315"/>
      <c r="E349" s="320">
        <v>6.9813927902397002E-2</v>
      </c>
      <c r="F349" s="320"/>
      <c r="G349" s="320">
        <v>9.9968100000000004E-2</v>
      </c>
      <c r="H349" s="320"/>
      <c r="I349" s="320"/>
      <c r="J349" s="320">
        <v>0.1825</v>
      </c>
      <c r="K349" s="320">
        <v>0.20250000000000001</v>
      </c>
      <c r="L349" s="320"/>
      <c r="M349" s="320"/>
      <c r="N349" s="320">
        <v>0</v>
      </c>
      <c r="O349" s="320"/>
      <c r="P349" s="320"/>
      <c r="Q349" s="320"/>
      <c r="R349" s="320"/>
      <c r="S349" s="320"/>
      <c r="T349" s="320"/>
      <c r="U349" s="320"/>
      <c r="V349" s="320"/>
      <c r="W349" s="320">
        <v>0</v>
      </c>
      <c r="X349" s="320">
        <v>0.39500000000000002</v>
      </c>
      <c r="Y349" s="320"/>
      <c r="Z349" s="320">
        <v>0</v>
      </c>
      <c r="AA349" s="320"/>
      <c r="AB349" s="320">
        <v>0</v>
      </c>
      <c r="AC349" s="320">
        <v>0.26750000000000002</v>
      </c>
      <c r="AD349" s="320"/>
      <c r="AE349" s="320"/>
      <c r="AF349" s="320"/>
      <c r="AG349" s="320"/>
      <c r="AH349" s="320"/>
      <c r="AI349" s="320"/>
      <c r="AJ349" s="320"/>
      <c r="AK349" s="320"/>
      <c r="AW349" s="206">
        <v>7.0544404685950995E-2</v>
      </c>
    </row>
    <row r="350" spans="1:49" x14ac:dyDescent="0.25">
      <c r="D350" s="315"/>
      <c r="E350" s="320">
        <v>6.9807094048351004E-2</v>
      </c>
      <c r="F350" s="320"/>
      <c r="G350" s="320">
        <v>9.9968100000000004E-2</v>
      </c>
      <c r="H350" s="320"/>
      <c r="I350" s="320"/>
      <c r="J350" s="320">
        <v>0.1825</v>
      </c>
      <c r="K350" s="320">
        <v>0.215</v>
      </c>
      <c r="L350" s="320"/>
      <c r="M350" s="320"/>
      <c r="N350" s="320">
        <v>0</v>
      </c>
      <c r="O350" s="320"/>
      <c r="P350" s="320"/>
      <c r="Q350" s="320"/>
      <c r="R350" s="320"/>
      <c r="S350" s="320"/>
      <c r="T350" s="320"/>
      <c r="U350" s="320"/>
      <c r="V350" s="320"/>
      <c r="W350" s="320">
        <v>0</v>
      </c>
      <c r="X350" s="320">
        <v>0.43</v>
      </c>
      <c r="Y350" s="320"/>
      <c r="Z350" s="320">
        <v>0</v>
      </c>
      <c r="AA350" s="320"/>
      <c r="AB350" s="320">
        <v>0</v>
      </c>
      <c r="AC350" s="320">
        <v>0.28000000000000003</v>
      </c>
      <c r="AD350" s="320"/>
      <c r="AE350" s="320"/>
      <c r="AF350" s="320"/>
      <c r="AG350" s="320"/>
      <c r="AH350" s="320"/>
      <c r="AI350" s="320"/>
      <c r="AJ350" s="320"/>
      <c r="AK350" s="320"/>
      <c r="AW350" s="206">
        <v>7.0535651195232002E-2</v>
      </c>
    </row>
    <row r="351" spans="1:49" x14ac:dyDescent="0.25">
      <c r="D351" s="315"/>
      <c r="E351" s="320">
        <v>6.9800032399187001E-2</v>
      </c>
      <c r="F351" s="320"/>
      <c r="G351" s="320">
        <v>9.9968100000000004E-2</v>
      </c>
      <c r="H351" s="320"/>
      <c r="I351" s="320"/>
      <c r="J351" s="320">
        <v>0.1825</v>
      </c>
      <c r="K351" s="320">
        <v>0.215</v>
      </c>
      <c r="L351" s="320"/>
      <c r="M351" s="320"/>
      <c r="N351" s="320">
        <v>0</v>
      </c>
      <c r="O351" s="320"/>
      <c r="P351" s="320"/>
      <c r="Q351" s="320"/>
      <c r="R351" s="320"/>
      <c r="S351" s="320"/>
      <c r="T351" s="320"/>
      <c r="U351" s="320"/>
      <c r="V351" s="320"/>
      <c r="W351" s="320">
        <v>0</v>
      </c>
      <c r="X351" s="320">
        <v>0.495</v>
      </c>
      <c r="Y351" s="320"/>
      <c r="Z351" s="320">
        <v>0</v>
      </c>
      <c r="AA351" s="320"/>
      <c r="AB351" s="320">
        <v>0</v>
      </c>
      <c r="AC351" s="320">
        <v>0.28000000000000003</v>
      </c>
      <c r="AD351" s="320"/>
      <c r="AE351" s="320"/>
      <c r="AF351" s="320"/>
      <c r="AG351" s="320"/>
      <c r="AH351" s="320"/>
      <c r="AI351" s="320"/>
      <c r="AJ351" s="320"/>
      <c r="AK351" s="320"/>
      <c r="AW351" s="206">
        <v>7.0526605921516994E-2</v>
      </c>
    </row>
    <row r="352" spans="1:49" x14ac:dyDescent="0.25">
      <c r="D352" s="315"/>
      <c r="E352" s="320">
        <v>6.9792970750038999E-2</v>
      </c>
      <c r="F352" s="320"/>
      <c r="G352" s="320">
        <v>9.9968100000000004E-2</v>
      </c>
      <c r="H352" s="320"/>
      <c r="I352" s="320"/>
      <c r="J352" s="320">
        <v>0.1825</v>
      </c>
      <c r="K352" s="320">
        <v>0.19500000000000001</v>
      </c>
      <c r="L352" s="320"/>
      <c r="M352" s="320"/>
      <c r="N352" s="320">
        <v>0</v>
      </c>
      <c r="O352" s="320"/>
      <c r="P352" s="320"/>
      <c r="Q352" s="320"/>
      <c r="R352" s="320"/>
      <c r="S352" s="320"/>
      <c r="T352" s="320"/>
      <c r="U352" s="320"/>
      <c r="V352" s="320"/>
      <c r="W352" s="320">
        <v>0</v>
      </c>
      <c r="X352" s="320">
        <v>0.39500000000000002</v>
      </c>
      <c r="Y352" s="320"/>
      <c r="Z352" s="320">
        <v>0</v>
      </c>
      <c r="AA352" s="320"/>
      <c r="AB352" s="320">
        <v>0</v>
      </c>
      <c r="AC352" s="320">
        <v>0.27</v>
      </c>
      <c r="AD352" s="320"/>
      <c r="AE352" s="320"/>
      <c r="AF352" s="320"/>
      <c r="AG352" s="320"/>
      <c r="AH352" s="320"/>
      <c r="AI352" s="320"/>
      <c r="AJ352" s="320"/>
      <c r="AK352" s="320"/>
      <c r="AW352" s="206">
        <v>7.0517560647828006E-2</v>
      </c>
    </row>
    <row r="353" spans="1:49" x14ac:dyDescent="0.25">
      <c r="A353" s="318"/>
      <c r="D353" s="315"/>
      <c r="E353" s="320">
        <v>6.9786136896040005E-2</v>
      </c>
      <c r="F353" s="320"/>
      <c r="G353" s="320">
        <v>9.9968100000000004E-2</v>
      </c>
      <c r="H353" s="320"/>
      <c r="I353" s="320"/>
      <c r="J353" s="320">
        <v>0.1875</v>
      </c>
      <c r="K353" s="320">
        <v>0.215</v>
      </c>
      <c r="L353" s="320"/>
      <c r="M353" s="320"/>
      <c r="N353" s="320">
        <v>0</v>
      </c>
      <c r="O353" s="320"/>
      <c r="P353" s="320"/>
      <c r="Q353" s="320"/>
      <c r="R353" s="320"/>
      <c r="S353" s="320"/>
      <c r="T353" s="320"/>
      <c r="U353" s="320"/>
      <c r="V353" s="320"/>
      <c r="W353" s="320">
        <v>0</v>
      </c>
      <c r="X353" s="320">
        <v>0.46100000000000002</v>
      </c>
      <c r="Y353" s="320"/>
      <c r="Z353" s="320">
        <v>0</v>
      </c>
      <c r="AA353" s="320"/>
      <c r="AB353" s="320">
        <v>0</v>
      </c>
      <c r="AC353" s="320">
        <v>0.34250000000000003</v>
      </c>
      <c r="AD353" s="320"/>
      <c r="AE353" s="320"/>
      <c r="AF353" s="320"/>
      <c r="AG353" s="320"/>
      <c r="AH353" s="320"/>
      <c r="AI353" s="320"/>
      <c r="AJ353" s="320"/>
      <c r="AK353" s="320"/>
      <c r="AW353" s="206">
        <v>7.0508807157188005E-2</v>
      </c>
    </row>
    <row r="354" spans="1:49" x14ac:dyDescent="0.25">
      <c r="A354" s="319"/>
      <c r="D354" s="315"/>
      <c r="E354" s="320">
        <v>6.9779075246925004E-2</v>
      </c>
      <c r="F354" s="320"/>
      <c r="G354" s="320">
        <v>2.00112E-2</v>
      </c>
      <c r="H354" s="320"/>
      <c r="I354" s="320"/>
      <c r="J354" s="320">
        <v>0.27</v>
      </c>
      <c r="K354" s="320">
        <v>0.28749999999999998</v>
      </c>
      <c r="L354" s="320"/>
      <c r="M354" s="320"/>
      <c r="N354" s="320">
        <v>0</v>
      </c>
      <c r="O354" s="320"/>
      <c r="P354" s="320"/>
      <c r="Q354" s="320"/>
      <c r="R354" s="320"/>
      <c r="S354" s="320"/>
      <c r="T354" s="320"/>
      <c r="U354" s="320"/>
      <c r="V354" s="320"/>
      <c r="W354" s="320">
        <v>0</v>
      </c>
      <c r="X354" s="320">
        <v>0.76749999999999996</v>
      </c>
      <c r="Y354" s="320"/>
      <c r="Z354" s="320">
        <v>0</v>
      </c>
      <c r="AA354" s="320"/>
      <c r="AB354" s="320">
        <v>0</v>
      </c>
      <c r="AC354" s="320">
        <v>0.46500000000000002</v>
      </c>
      <c r="AD354" s="320"/>
      <c r="AE354" s="320"/>
      <c r="AF354" s="320"/>
      <c r="AG354" s="320"/>
      <c r="AH354" s="320"/>
      <c r="AI354" s="320"/>
      <c r="AJ354" s="320"/>
      <c r="AK354" s="320"/>
      <c r="AW354" s="206">
        <v>7.0499761883553003E-2</v>
      </c>
    </row>
    <row r="355" spans="1:49" x14ac:dyDescent="0.25">
      <c r="A355" s="319"/>
      <c r="D355" s="315"/>
      <c r="E355" s="320">
        <v>6.9772241392957998E-2</v>
      </c>
      <c r="F355" s="320"/>
      <c r="G355" s="320">
        <v>5.0480000000000004E-3</v>
      </c>
      <c r="H355" s="320"/>
      <c r="I355" s="320"/>
      <c r="J355" s="320">
        <v>0.30499999999999999</v>
      </c>
      <c r="K355" s="320">
        <v>0.33750000000000002</v>
      </c>
      <c r="L355" s="320"/>
      <c r="M355" s="320"/>
      <c r="N355" s="320">
        <v>0</v>
      </c>
      <c r="O355" s="320"/>
      <c r="P355" s="320"/>
      <c r="Q355" s="320"/>
      <c r="R355" s="320"/>
      <c r="S355" s="320"/>
      <c r="T355" s="320"/>
      <c r="U355" s="320"/>
      <c r="V355" s="320"/>
      <c r="W355" s="320">
        <v>0</v>
      </c>
      <c r="X355" s="320">
        <v>1.19</v>
      </c>
      <c r="Y355" s="320"/>
      <c r="Z355" s="320">
        <v>0</v>
      </c>
      <c r="AA355" s="320"/>
      <c r="AB355" s="320">
        <v>0</v>
      </c>
      <c r="AC355" s="320">
        <v>0.8</v>
      </c>
      <c r="AD355" s="320"/>
      <c r="AE355" s="320"/>
      <c r="AF355" s="320"/>
      <c r="AG355" s="320"/>
      <c r="AH355" s="320"/>
      <c r="AI355" s="320"/>
      <c r="AJ355" s="320"/>
      <c r="AK355" s="320"/>
      <c r="AW355" s="206">
        <v>7.0491008392964002E-2</v>
      </c>
    </row>
    <row r="356" spans="1:49" x14ac:dyDescent="0.25">
      <c r="A356" s="319"/>
      <c r="D356" s="315"/>
      <c r="E356" s="320">
        <v>6.9765179743875999E-2</v>
      </c>
      <c r="F356" s="320"/>
      <c r="G356" s="320">
        <v>1.00448E-2</v>
      </c>
      <c r="H356" s="320"/>
      <c r="I356" s="320"/>
      <c r="J356" s="320">
        <v>0.30499999999999999</v>
      </c>
      <c r="K356" s="320">
        <v>0.4375</v>
      </c>
      <c r="L356" s="320"/>
      <c r="M356" s="320"/>
      <c r="N356" s="320">
        <v>0</v>
      </c>
      <c r="O356" s="320"/>
      <c r="P356" s="320"/>
      <c r="Q356" s="320"/>
      <c r="R356" s="320"/>
      <c r="S356" s="320"/>
      <c r="T356" s="320"/>
      <c r="U356" s="320"/>
      <c r="V356" s="320"/>
      <c r="W356" s="320">
        <v>0</v>
      </c>
      <c r="X356" s="320">
        <v>1.5249999999999999</v>
      </c>
      <c r="Y356" s="320"/>
      <c r="Z356" s="320">
        <v>0</v>
      </c>
      <c r="AA356" s="320"/>
      <c r="AB356" s="320">
        <v>0</v>
      </c>
      <c r="AC356" s="320">
        <v>0.97499999999999998</v>
      </c>
      <c r="AD356" s="320"/>
      <c r="AE356" s="320"/>
      <c r="AF356" s="320"/>
      <c r="AG356" s="320"/>
      <c r="AH356" s="320"/>
      <c r="AI356" s="320"/>
      <c r="AJ356" s="320"/>
      <c r="AK356" s="320"/>
      <c r="AW356" s="206">
        <v>7.0481963119381E-2</v>
      </c>
    </row>
    <row r="357" spans="1:49" x14ac:dyDescent="0.25">
      <c r="A357" s="319"/>
      <c r="D357" s="315"/>
      <c r="E357" s="320">
        <v>6.9758118094809002E-2</v>
      </c>
      <c r="F357" s="320"/>
      <c r="G357" s="320">
        <v>3.5042499999999997E-2</v>
      </c>
      <c r="H357" s="320"/>
      <c r="I357" s="320"/>
      <c r="J357" s="320">
        <v>0.30499999999999999</v>
      </c>
      <c r="K357" s="320">
        <v>0.435</v>
      </c>
      <c r="L357" s="320"/>
      <c r="M357" s="320"/>
      <c r="N357" s="320">
        <v>0</v>
      </c>
      <c r="O357" s="320"/>
      <c r="P357" s="320"/>
      <c r="Q357" s="320"/>
      <c r="R357" s="320"/>
      <c r="S357" s="320"/>
      <c r="T357" s="320"/>
      <c r="U357" s="320"/>
      <c r="V357" s="320"/>
      <c r="W357" s="320">
        <v>0</v>
      </c>
      <c r="X357" s="320">
        <v>1.4550000000000001</v>
      </c>
      <c r="Y357" s="320"/>
      <c r="Z357" s="320">
        <v>0</v>
      </c>
      <c r="AA357" s="320"/>
      <c r="AB357" s="320">
        <v>0</v>
      </c>
      <c r="AC357" s="320">
        <v>0.97499999999999998</v>
      </c>
      <c r="AD357" s="320"/>
      <c r="AE357" s="320"/>
      <c r="AF357" s="320"/>
      <c r="AG357" s="320"/>
      <c r="AH357" s="320"/>
      <c r="AI357" s="320"/>
      <c r="AJ357" s="320"/>
      <c r="AK357" s="320"/>
      <c r="AW357" s="206">
        <v>7.0472917845826002E-2</v>
      </c>
    </row>
    <row r="358" spans="1:49" x14ac:dyDescent="0.25">
      <c r="A358" s="319"/>
      <c r="D358" s="315"/>
      <c r="E358" s="320">
        <v>6.9751739831150003E-2</v>
      </c>
      <c r="F358" s="320"/>
      <c r="G358" s="320">
        <v>4.5042499999999999E-2</v>
      </c>
      <c r="H358" s="320"/>
      <c r="I358" s="320"/>
      <c r="J358" s="320">
        <v>0.26500000000000001</v>
      </c>
      <c r="K358" s="320">
        <v>0.30249999999999999</v>
      </c>
      <c r="L358" s="320"/>
      <c r="M358" s="320"/>
      <c r="N358" s="320">
        <v>0</v>
      </c>
      <c r="O358" s="320"/>
      <c r="P358" s="320"/>
      <c r="Q358" s="320"/>
      <c r="R358" s="320"/>
      <c r="S358" s="320"/>
      <c r="T358" s="320"/>
      <c r="U358" s="320"/>
      <c r="V358" s="320"/>
      <c r="W358" s="320">
        <v>0</v>
      </c>
      <c r="X358" s="320">
        <v>0.83499999999999996</v>
      </c>
      <c r="Y358" s="320"/>
      <c r="Z358" s="320">
        <v>0</v>
      </c>
      <c r="AA358" s="320"/>
      <c r="AB358" s="320">
        <v>0</v>
      </c>
      <c r="AC358" s="320">
        <v>0.60750000000000004</v>
      </c>
      <c r="AD358" s="320"/>
      <c r="AE358" s="320"/>
      <c r="AF358" s="320"/>
      <c r="AG358" s="320"/>
      <c r="AH358" s="320"/>
      <c r="AI358" s="320"/>
      <c r="AJ358" s="320"/>
      <c r="AK358" s="320"/>
      <c r="AW358" s="206">
        <v>7.0464747921348006E-2</v>
      </c>
    </row>
    <row r="359" spans="1:49" x14ac:dyDescent="0.25">
      <c r="A359" s="319"/>
      <c r="D359" s="315"/>
      <c r="E359" s="320">
        <v>6.9744678182114994E-2</v>
      </c>
      <c r="F359" s="320"/>
      <c r="G359" s="320">
        <v>0.1049766</v>
      </c>
      <c r="H359" s="320"/>
      <c r="I359" s="320"/>
      <c r="J359" s="320">
        <v>0.19500000000000001</v>
      </c>
      <c r="K359" s="320">
        <v>0.25</v>
      </c>
      <c r="L359" s="320"/>
      <c r="M359" s="320"/>
      <c r="N359" s="320">
        <v>0</v>
      </c>
      <c r="O359" s="320"/>
      <c r="P359" s="320"/>
      <c r="Q359" s="320"/>
      <c r="R359" s="320"/>
      <c r="S359" s="320"/>
      <c r="T359" s="320"/>
      <c r="U359" s="320"/>
      <c r="V359" s="320"/>
      <c r="W359" s="320">
        <v>0</v>
      </c>
      <c r="X359" s="320">
        <v>0.45</v>
      </c>
      <c r="Y359" s="320"/>
      <c r="Z359" s="320">
        <v>0</v>
      </c>
      <c r="AA359" s="320"/>
      <c r="AB359" s="320">
        <v>0</v>
      </c>
      <c r="AC359" s="320">
        <v>0.33500000000000002</v>
      </c>
      <c r="AD359" s="320"/>
      <c r="AE359" s="320"/>
      <c r="AF359" s="320"/>
      <c r="AG359" s="320"/>
      <c r="AH359" s="320"/>
      <c r="AI359" s="320"/>
      <c r="AJ359" s="320"/>
      <c r="AK359" s="320"/>
      <c r="AW359" s="206">
        <v>7.0455702647843996E-2</v>
      </c>
    </row>
    <row r="360" spans="1:49" x14ac:dyDescent="0.25">
      <c r="A360" s="319"/>
      <c r="D360" s="315"/>
      <c r="E360" s="320">
        <v>6.9737844328225995E-2</v>
      </c>
      <c r="F360" s="320"/>
      <c r="G360" s="320">
        <v>0.10496809999999999</v>
      </c>
      <c r="H360" s="320"/>
      <c r="I360" s="320"/>
      <c r="J360" s="320">
        <v>0.1825</v>
      </c>
      <c r="K360" s="320">
        <v>0.20250000000000001</v>
      </c>
      <c r="L360" s="320"/>
      <c r="M360" s="320"/>
      <c r="N360" s="320">
        <v>0</v>
      </c>
      <c r="O360" s="320"/>
      <c r="P360" s="320"/>
      <c r="Q360" s="320"/>
      <c r="R360" s="320"/>
      <c r="S360" s="320"/>
      <c r="T360" s="320"/>
      <c r="U360" s="320"/>
      <c r="V360" s="320"/>
      <c r="W360" s="320">
        <v>0</v>
      </c>
      <c r="X360" s="320">
        <v>0.40500000000000003</v>
      </c>
      <c r="Y360" s="320"/>
      <c r="Z360" s="320">
        <v>0</v>
      </c>
      <c r="AA360" s="320"/>
      <c r="AB360" s="320">
        <v>0</v>
      </c>
      <c r="AC360" s="320">
        <v>0.26750000000000002</v>
      </c>
      <c r="AD360" s="320"/>
      <c r="AE360" s="320"/>
      <c r="AF360" s="320"/>
      <c r="AG360" s="320"/>
      <c r="AH360" s="320"/>
      <c r="AI360" s="320"/>
      <c r="AJ360" s="320"/>
      <c r="AK360" s="320"/>
      <c r="AW360" s="206">
        <v>7.0446949157382005E-2</v>
      </c>
    </row>
    <row r="361" spans="1:49" x14ac:dyDescent="0.25">
      <c r="A361" s="319"/>
      <c r="D361" s="315"/>
      <c r="E361" s="320">
        <v>6.9730782679223002E-2</v>
      </c>
      <c r="F361" s="320"/>
      <c r="G361" s="320">
        <v>0.10496809999999999</v>
      </c>
      <c r="H361" s="320"/>
      <c r="I361" s="320"/>
      <c r="J361" s="320">
        <v>0.1825</v>
      </c>
      <c r="K361" s="320">
        <v>0.20250000000000001</v>
      </c>
      <c r="L361" s="320"/>
      <c r="M361" s="320"/>
      <c r="N361" s="320">
        <v>0</v>
      </c>
      <c r="O361" s="320"/>
      <c r="P361" s="320"/>
      <c r="Q361" s="320"/>
      <c r="R361" s="320"/>
      <c r="S361" s="320"/>
      <c r="T361" s="320"/>
      <c r="U361" s="320"/>
      <c r="V361" s="320"/>
      <c r="W361" s="320">
        <v>0</v>
      </c>
      <c r="X361" s="320">
        <v>0.39500000000000002</v>
      </c>
      <c r="Y361" s="320"/>
      <c r="Z361" s="320">
        <v>0</v>
      </c>
      <c r="AA361" s="320"/>
      <c r="AB361" s="320">
        <v>0</v>
      </c>
      <c r="AC361" s="320">
        <v>0.26750000000000002</v>
      </c>
      <c r="AD361" s="320"/>
      <c r="AE361" s="320"/>
      <c r="AF361" s="320"/>
      <c r="AG361" s="320"/>
      <c r="AH361" s="320"/>
      <c r="AI361" s="320"/>
      <c r="AJ361" s="320"/>
      <c r="AK361" s="320"/>
      <c r="AW361" s="206">
        <v>7.0437903883931993E-2</v>
      </c>
    </row>
    <row r="362" spans="1:49" x14ac:dyDescent="0.25">
      <c r="A362" s="319"/>
      <c r="D362" s="315"/>
      <c r="E362" s="320">
        <v>6.9723948825366006E-2</v>
      </c>
      <c r="F362" s="320"/>
      <c r="G362" s="320">
        <v>0.10496809999999999</v>
      </c>
      <c r="H362" s="320"/>
      <c r="I362" s="320"/>
      <c r="J362" s="320">
        <v>0.1825</v>
      </c>
      <c r="K362" s="320">
        <v>0.215</v>
      </c>
      <c r="L362" s="320"/>
      <c r="M362" s="320"/>
      <c r="N362" s="320">
        <v>0</v>
      </c>
      <c r="O362" s="320"/>
      <c r="P362" s="320"/>
      <c r="Q362" s="320"/>
      <c r="R362" s="320"/>
      <c r="S362" s="320"/>
      <c r="T362" s="320"/>
      <c r="U362" s="320"/>
      <c r="V362" s="320"/>
      <c r="W362" s="320">
        <v>0</v>
      </c>
      <c r="X362" s="320">
        <v>0.43</v>
      </c>
      <c r="Y362" s="320"/>
      <c r="Z362" s="320">
        <v>0</v>
      </c>
      <c r="AA362" s="320"/>
      <c r="AB362" s="320">
        <v>0</v>
      </c>
      <c r="AC362" s="320">
        <v>0.28000000000000003</v>
      </c>
      <c r="AD362" s="320"/>
      <c r="AE362" s="320"/>
      <c r="AF362" s="320"/>
      <c r="AG362" s="320"/>
      <c r="AH362" s="320"/>
      <c r="AI362" s="320"/>
      <c r="AJ362" s="320"/>
      <c r="AK362" s="320"/>
      <c r="AW362" s="206">
        <v>7.0429150393522003E-2</v>
      </c>
    </row>
    <row r="363" spans="1:49" x14ac:dyDescent="0.25">
      <c r="A363" s="319"/>
      <c r="D363" s="315"/>
      <c r="E363" s="320">
        <v>6.9716887176395001E-2</v>
      </c>
      <c r="F363" s="320"/>
      <c r="G363" s="320">
        <v>0.10496809999999999</v>
      </c>
      <c r="H363" s="320"/>
      <c r="I363" s="320"/>
      <c r="J363" s="320">
        <v>0.1825</v>
      </c>
      <c r="K363" s="320">
        <v>0.215</v>
      </c>
      <c r="L363" s="320"/>
      <c r="M363" s="320"/>
      <c r="N363" s="320">
        <v>0</v>
      </c>
      <c r="O363" s="320"/>
      <c r="P363" s="320"/>
      <c r="Q363" s="320"/>
      <c r="R363" s="320"/>
      <c r="S363" s="320"/>
      <c r="T363" s="320"/>
      <c r="U363" s="320"/>
      <c r="V363" s="320"/>
      <c r="W363" s="320">
        <v>0</v>
      </c>
      <c r="X363" s="320">
        <v>0.495</v>
      </c>
      <c r="Y363" s="320"/>
      <c r="Z363" s="320">
        <v>0</v>
      </c>
      <c r="AA363" s="320"/>
      <c r="AB363" s="320">
        <v>0</v>
      </c>
      <c r="AC363" s="320">
        <v>0.28000000000000003</v>
      </c>
      <c r="AD363" s="320"/>
      <c r="AE363" s="320"/>
      <c r="AF363" s="320"/>
      <c r="AG363" s="320"/>
      <c r="AH363" s="320"/>
      <c r="AI363" s="320"/>
      <c r="AJ363" s="320"/>
      <c r="AK363" s="320"/>
      <c r="AW363" s="206">
        <v>7.0420105120125004E-2</v>
      </c>
    </row>
    <row r="364" spans="1:49" x14ac:dyDescent="0.25">
      <c r="A364" s="319"/>
      <c r="D364" s="315"/>
      <c r="E364" s="320">
        <v>6.9709825527441996E-2</v>
      </c>
      <c r="F364" s="320"/>
      <c r="G364" s="320">
        <v>0.10496809999999999</v>
      </c>
      <c r="H364" s="320"/>
      <c r="I364" s="320"/>
      <c r="J364" s="320">
        <v>0.1825</v>
      </c>
      <c r="K364" s="320">
        <v>0.19500000000000001</v>
      </c>
      <c r="L364" s="320"/>
      <c r="M364" s="320"/>
      <c r="N364" s="320">
        <v>0</v>
      </c>
      <c r="O364" s="320"/>
      <c r="P364" s="320"/>
      <c r="Q364" s="320"/>
      <c r="R364" s="320"/>
      <c r="S364" s="320"/>
      <c r="T364" s="320"/>
      <c r="U364" s="320"/>
      <c r="V364" s="320"/>
      <c r="W364" s="320">
        <v>0</v>
      </c>
      <c r="X364" s="320">
        <v>0.39500000000000002</v>
      </c>
      <c r="Y364" s="320"/>
      <c r="Z364" s="320">
        <v>0</v>
      </c>
      <c r="AA364" s="320"/>
      <c r="AB364" s="320">
        <v>0</v>
      </c>
      <c r="AC364" s="320">
        <v>0.27</v>
      </c>
      <c r="AD364" s="320"/>
      <c r="AE364" s="320"/>
      <c r="AF364" s="320"/>
      <c r="AG364" s="320"/>
      <c r="AH364" s="320"/>
      <c r="AI364" s="320"/>
      <c r="AJ364" s="320"/>
      <c r="AK364" s="320"/>
      <c r="AW364" s="206">
        <v>7.0411059846754998E-2</v>
      </c>
    </row>
    <row r="365" spans="1:49" x14ac:dyDescent="0.25">
      <c r="A365" s="319"/>
      <c r="D365" s="315"/>
      <c r="E365" s="320">
        <v>6.9702991673632003E-2</v>
      </c>
      <c r="F365" s="320"/>
      <c r="G365" s="320">
        <v>0.10496809999999999</v>
      </c>
      <c r="H365" s="320"/>
      <c r="I365" s="320"/>
      <c r="J365" s="320">
        <v>0.1875</v>
      </c>
      <c r="K365" s="320">
        <v>0.215</v>
      </c>
      <c r="L365" s="320"/>
      <c r="M365" s="320"/>
      <c r="N365" s="320">
        <v>0</v>
      </c>
      <c r="O365" s="320"/>
      <c r="P365" s="320"/>
      <c r="Q365" s="320"/>
      <c r="R365" s="320"/>
      <c r="S365" s="320"/>
      <c r="T365" s="320"/>
      <c r="U365" s="320"/>
      <c r="V365" s="320"/>
      <c r="W365" s="320">
        <v>0</v>
      </c>
      <c r="X365" s="320">
        <v>0.46100000000000002</v>
      </c>
      <c r="Y365" s="320"/>
      <c r="Z365" s="320">
        <v>0</v>
      </c>
      <c r="AA365" s="320"/>
      <c r="AB365" s="320">
        <v>0</v>
      </c>
      <c r="AC365" s="320">
        <v>0.34250000000000003</v>
      </c>
      <c r="AD365" s="320"/>
      <c r="AE365" s="320"/>
      <c r="AF365" s="320"/>
      <c r="AG365" s="320"/>
      <c r="AH365" s="320"/>
      <c r="AI365" s="320"/>
      <c r="AJ365" s="320"/>
      <c r="AK365" s="320"/>
      <c r="AW365" s="206">
        <v>7.0402306356423E-2</v>
      </c>
    </row>
    <row r="366" spans="1:49" x14ac:dyDescent="0.25">
      <c r="A366" s="319"/>
      <c r="D366" s="315"/>
      <c r="E366" s="320">
        <v>6.9695930024710001E-2</v>
      </c>
      <c r="F366" s="320"/>
      <c r="G366" s="320">
        <v>2.5011200000000001E-2</v>
      </c>
      <c r="H366" s="320"/>
      <c r="I366" s="320"/>
      <c r="J366" s="320">
        <v>0.27</v>
      </c>
      <c r="K366" s="320">
        <v>0.28749999999999998</v>
      </c>
      <c r="L366" s="320"/>
      <c r="M366" s="320"/>
      <c r="N366" s="320">
        <v>0</v>
      </c>
      <c r="O366" s="320"/>
      <c r="P366" s="320"/>
      <c r="Q366" s="320"/>
      <c r="R366" s="320"/>
      <c r="S366" s="320"/>
      <c r="T366" s="320"/>
      <c r="U366" s="320"/>
      <c r="V366" s="320"/>
      <c r="W366" s="320">
        <v>0</v>
      </c>
      <c r="X366" s="320">
        <v>0.76749999999999996</v>
      </c>
      <c r="Y366" s="320"/>
      <c r="Z366" s="320">
        <v>0</v>
      </c>
      <c r="AA366" s="320"/>
      <c r="AB366" s="320">
        <v>0</v>
      </c>
      <c r="AC366" s="320">
        <v>0.46500000000000002</v>
      </c>
      <c r="AD366" s="320"/>
      <c r="AE366" s="320"/>
      <c r="AF366" s="320"/>
      <c r="AG366" s="320"/>
      <c r="AH366" s="320"/>
      <c r="AI366" s="320"/>
      <c r="AJ366" s="320"/>
      <c r="AK366" s="320"/>
      <c r="AW366" s="206">
        <v>7.0393261083106007E-2</v>
      </c>
    </row>
    <row r="367" spans="1:49" x14ac:dyDescent="0.25">
      <c r="A367" s="319"/>
      <c r="D367" s="315"/>
      <c r="E367" s="320">
        <v>6.9689096170930998E-2</v>
      </c>
      <c r="F367" s="320"/>
      <c r="G367" s="320">
        <v>1.0048E-2</v>
      </c>
      <c r="H367" s="320"/>
      <c r="I367" s="320"/>
      <c r="J367" s="320">
        <v>0.30499999999999999</v>
      </c>
      <c r="K367" s="320">
        <v>0.33750000000000002</v>
      </c>
      <c r="L367" s="320"/>
      <c r="M367" s="320"/>
      <c r="N367" s="320">
        <v>0</v>
      </c>
      <c r="O367" s="320"/>
      <c r="P367" s="320"/>
      <c r="Q367" s="320"/>
      <c r="R367" s="320"/>
      <c r="S367" s="320"/>
      <c r="T367" s="320"/>
      <c r="U367" s="320"/>
      <c r="V367" s="320"/>
      <c r="W367" s="320">
        <v>0</v>
      </c>
      <c r="X367" s="320">
        <v>1.19</v>
      </c>
      <c r="Y367" s="320"/>
      <c r="Z367" s="320">
        <v>0</v>
      </c>
      <c r="AA367" s="320"/>
      <c r="AB367" s="320">
        <v>0</v>
      </c>
      <c r="AC367" s="320">
        <v>0.8</v>
      </c>
      <c r="AD367" s="320"/>
      <c r="AE367" s="320"/>
      <c r="AF367" s="320"/>
      <c r="AG367" s="320"/>
      <c r="AH367" s="320"/>
      <c r="AI367" s="320"/>
      <c r="AJ367" s="320"/>
      <c r="AK367" s="320"/>
      <c r="AW367" s="206">
        <v>7.0384507592824996E-2</v>
      </c>
    </row>
    <row r="368" spans="1:49" x14ac:dyDescent="0.25">
      <c r="A368" s="319"/>
      <c r="D368" s="315"/>
      <c r="E368" s="320">
        <v>6.9682034522042996E-2</v>
      </c>
      <c r="F368" s="320"/>
      <c r="G368" s="320"/>
      <c r="H368" s="320"/>
      <c r="I368" s="320"/>
      <c r="J368" s="320"/>
      <c r="K368" s="320"/>
      <c r="L368" s="320"/>
      <c r="M368" s="320"/>
      <c r="N368" s="320"/>
      <c r="O368" s="320"/>
      <c r="P368" s="320"/>
      <c r="Q368" s="320"/>
      <c r="R368" s="320"/>
      <c r="S368" s="320"/>
      <c r="T368" s="320"/>
      <c r="U368" s="320"/>
      <c r="V368" s="320"/>
      <c r="W368" s="320"/>
      <c r="X368" s="320"/>
      <c r="Y368" s="320"/>
      <c r="Z368" s="320"/>
      <c r="AA368" s="320"/>
      <c r="AB368" s="320"/>
      <c r="AC368" s="320"/>
      <c r="AD368" s="320"/>
      <c r="AE368" s="320"/>
      <c r="AF368" s="320"/>
      <c r="AG368" s="320"/>
      <c r="AH368" s="320"/>
      <c r="AI368" s="320"/>
      <c r="AJ368" s="320"/>
      <c r="AK368" s="320"/>
      <c r="AW368" s="206">
        <v>7.0375462319561002E-2</v>
      </c>
    </row>
    <row r="369" spans="1:49" x14ac:dyDescent="0.25">
      <c r="A369" s="319"/>
      <c r="D369" s="315"/>
      <c r="E369" s="320">
        <v>6.9674972873169996E-2</v>
      </c>
      <c r="F369" s="320"/>
      <c r="G369" s="320"/>
      <c r="H369" s="320"/>
      <c r="I369" s="320"/>
      <c r="J369" s="320"/>
      <c r="K369" s="320"/>
      <c r="L369" s="320"/>
      <c r="M369" s="320"/>
      <c r="N369" s="320"/>
      <c r="O369" s="320"/>
      <c r="P369" s="320"/>
      <c r="Q369" s="320"/>
      <c r="R369" s="320"/>
      <c r="S369" s="320"/>
      <c r="T369" s="320"/>
      <c r="U369" s="320"/>
      <c r="V369" s="320"/>
      <c r="W369" s="320"/>
      <c r="X369" s="320"/>
      <c r="Y369" s="320"/>
      <c r="Z369" s="320"/>
      <c r="AA369" s="320"/>
      <c r="AB369" s="320"/>
      <c r="AC369" s="320"/>
      <c r="AD369" s="320"/>
      <c r="AE369" s="320"/>
      <c r="AF369" s="320"/>
      <c r="AG369" s="320"/>
      <c r="AH369" s="320"/>
      <c r="AI369" s="320"/>
      <c r="AJ369" s="320"/>
      <c r="AK369" s="320"/>
      <c r="AW369" s="206">
        <v>7.0366417046324001E-2</v>
      </c>
    </row>
    <row r="370" spans="1:49" x14ac:dyDescent="0.25">
      <c r="A370" s="319"/>
      <c r="D370" s="315"/>
      <c r="E370" s="320">
        <v>6.9668594609686996E-2</v>
      </c>
      <c r="F370" s="320"/>
      <c r="G370" s="320"/>
      <c r="H370" s="320"/>
      <c r="I370" s="320"/>
      <c r="J370" s="320"/>
      <c r="K370" s="320"/>
      <c r="L370" s="320"/>
      <c r="M370" s="320"/>
      <c r="N370" s="320"/>
      <c r="O370" s="320"/>
      <c r="P370" s="320"/>
      <c r="Q370" s="320"/>
      <c r="R370" s="320"/>
      <c r="S370" s="320"/>
      <c r="T370" s="320"/>
      <c r="U370" s="320"/>
      <c r="V370" s="320"/>
      <c r="W370" s="320"/>
      <c r="X370" s="320"/>
      <c r="Y370" s="320"/>
      <c r="Z370" s="320"/>
      <c r="AA370" s="320"/>
      <c r="AB370" s="320"/>
      <c r="AC370" s="320"/>
      <c r="AD370" s="320"/>
      <c r="AE370" s="320"/>
      <c r="AF370" s="320"/>
      <c r="AG370" s="320"/>
      <c r="AH370" s="320"/>
      <c r="AI370" s="320"/>
      <c r="AJ370" s="320"/>
      <c r="AK370" s="320"/>
      <c r="AW370" s="206">
        <v>7.0358247122133996E-2</v>
      </c>
    </row>
    <row r="371" spans="1:49" x14ac:dyDescent="0.25">
      <c r="A371" s="319"/>
      <c r="D371" s="315"/>
      <c r="E371" s="320">
        <v>6.9661532960846997E-2</v>
      </c>
      <c r="F371" s="320"/>
      <c r="G371" s="320"/>
      <c r="H371" s="320"/>
      <c r="I371" s="320"/>
      <c r="J371" s="320"/>
      <c r="K371" s="320"/>
      <c r="L371" s="320"/>
      <c r="M371" s="320"/>
      <c r="N371" s="320"/>
      <c r="O371" s="320"/>
      <c r="P371" s="320"/>
      <c r="Q371" s="320"/>
      <c r="R371" s="320"/>
      <c r="S371" s="320"/>
      <c r="T371" s="320"/>
      <c r="U371" s="320"/>
      <c r="V371" s="320"/>
      <c r="W371" s="320"/>
      <c r="X371" s="320"/>
      <c r="Y371" s="320"/>
      <c r="Z371" s="320"/>
      <c r="AA371" s="320"/>
      <c r="AB371" s="320"/>
      <c r="AC371" s="320"/>
      <c r="AD371" s="320"/>
      <c r="AE371" s="320"/>
      <c r="AF371" s="320"/>
      <c r="AG371" s="320"/>
      <c r="AH371" s="320"/>
      <c r="AI371" s="320"/>
      <c r="AJ371" s="320"/>
      <c r="AK371" s="320"/>
      <c r="AW371" s="206">
        <v>7.0349201848948995E-2</v>
      </c>
    </row>
    <row r="372" spans="1:49" x14ac:dyDescent="0.25">
      <c r="D372" s="315"/>
      <c r="E372" s="320">
        <v>6.9654699107145002E-2</v>
      </c>
      <c r="F372" s="320"/>
      <c r="G372" s="320"/>
      <c r="H372" s="320"/>
      <c r="I372" s="320"/>
      <c r="J372" s="320"/>
      <c r="K372" s="320"/>
      <c r="L372" s="320"/>
      <c r="M372" s="320"/>
      <c r="N372" s="320"/>
      <c r="O372" s="320"/>
      <c r="P372" s="320"/>
      <c r="Q372" s="320"/>
      <c r="R372" s="320"/>
      <c r="S372" s="320"/>
      <c r="T372" s="320"/>
      <c r="U372" s="320"/>
      <c r="V372" s="320"/>
      <c r="W372" s="320"/>
      <c r="X372" s="320"/>
      <c r="Y372" s="320"/>
      <c r="Z372" s="320"/>
      <c r="AA372" s="320"/>
      <c r="AB372" s="320"/>
      <c r="AC372" s="320"/>
      <c r="AD372" s="320"/>
      <c r="AE372" s="320"/>
      <c r="AF372" s="320"/>
      <c r="AG372" s="320"/>
      <c r="AH372" s="320"/>
      <c r="AI372" s="320"/>
      <c r="AJ372" s="320"/>
      <c r="AK372" s="320"/>
      <c r="AW372" s="206">
        <v>7.0340448358794994E-2</v>
      </c>
    </row>
    <row r="373" spans="1:49" x14ac:dyDescent="0.25">
      <c r="D373" s="315"/>
      <c r="E373" s="320">
        <v>6.9647637458337006E-2</v>
      </c>
      <c r="F373" s="320"/>
      <c r="G373" s="320"/>
      <c r="H373" s="320"/>
      <c r="I373" s="320"/>
      <c r="J373" s="320"/>
      <c r="K373" s="320"/>
      <c r="L373" s="320"/>
      <c r="M373" s="320"/>
      <c r="N373" s="320"/>
      <c r="O373" s="320"/>
      <c r="P373" s="320"/>
      <c r="Q373" s="320"/>
      <c r="R373" s="320"/>
      <c r="S373" s="320"/>
      <c r="T373" s="320"/>
      <c r="U373" s="320"/>
      <c r="V373" s="320"/>
      <c r="W373" s="320"/>
      <c r="X373" s="320"/>
      <c r="Y373" s="320"/>
      <c r="Z373" s="320"/>
      <c r="AA373" s="320"/>
      <c r="AB373" s="320"/>
      <c r="AC373" s="320"/>
      <c r="AD373" s="320"/>
      <c r="AE373" s="320"/>
      <c r="AF373" s="320"/>
      <c r="AG373" s="320"/>
      <c r="AH373" s="320"/>
      <c r="AI373" s="320"/>
      <c r="AJ373" s="320"/>
      <c r="AK373" s="320"/>
      <c r="AW373" s="206">
        <v>7.0331403085663005E-2</v>
      </c>
    </row>
    <row r="374" spans="1:49" x14ac:dyDescent="0.25">
      <c r="D374" s="315"/>
      <c r="E374" s="320">
        <v>6.9640803604666998E-2</v>
      </c>
      <c r="F374" s="320"/>
      <c r="G374" s="320"/>
      <c r="H374" s="320"/>
      <c r="I374" s="320"/>
      <c r="J374" s="320"/>
      <c r="K374" s="320"/>
      <c r="L374" s="320"/>
      <c r="M374" s="320"/>
      <c r="N374" s="320"/>
      <c r="O374" s="320"/>
      <c r="P374" s="320"/>
      <c r="Q374" s="320"/>
      <c r="R374" s="320"/>
      <c r="S374" s="320"/>
      <c r="T374" s="320"/>
      <c r="U374" s="320"/>
      <c r="V374" s="320"/>
      <c r="W374" s="320"/>
      <c r="X374" s="320"/>
      <c r="Y374" s="320"/>
      <c r="Z374" s="320"/>
      <c r="AA374" s="320"/>
      <c r="AB374" s="320"/>
      <c r="AC374" s="320"/>
      <c r="AD374" s="320"/>
      <c r="AE374" s="320"/>
      <c r="AF374" s="320"/>
      <c r="AG374" s="320"/>
      <c r="AH374" s="320"/>
      <c r="AI374" s="320"/>
      <c r="AJ374" s="320"/>
      <c r="AK374" s="320"/>
      <c r="AW374" s="206">
        <v>7.0322649595562003E-2</v>
      </c>
    </row>
    <row r="375" spans="1:49" x14ac:dyDescent="0.25">
      <c r="D375" s="315"/>
      <c r="E375" s="320">
        <v>6.9633741955891004E-2</v>
      </c>
      <c r="F375" s="320"/>
      <c r="G375" s="320"/>
      <c r="H375" s="320"/>
      <c r="I375" s="320"/>
      <c r="J375" s="320"/>
      <c r="K375" s="320"/>
      <c r="L375" s="320"/>
      <c r="M375" s="320"/>
      <c r="N375" s="320"/>
      <c r="O375" s="320"/>
      <c r="P375" s="320"/>
      <c r="Q375" s="320"/>
      <c r="R375" s="320"/>
      <c r="S375" s="320"/>
      <c r="T375" s="320"/>
      <c r="U375" s="320"/>
      <c r="V375" s="320"/>
      <c r="W375" s="320"/>
      <c r="X375" s="320"/>
      <c r="Y375" s="320"/>
      <c r="Z375" s="320"/>
      <c r="AA375" s="320"/>
      <c r="AB375" s="320"/>
      <c r="AC375" s="320"/>
      <c r="AD375" s="320"/>
      <c r="AE375" s="320"/>
      <c r="AF375" s="320"/>
      <c r="AG375" s="320"/>
      <c r="AH375" s="320"/>
      <c r="AI375" s="320"/>
      <c r="AJ375" s="320"/>
      <c r="AK375" s="320"/>
      <c r="AW375" s="206">
        <v>7.0313604322483E-2</v>
      </c>
    </row>
    <row r="376" spans="1:49" x14ac:dyDescent="0.25">
      <c r="D376" s="315"/>
      <c r="E376" s="320"/>
      <c r="F376" s="320"/>
      <c r="G376" s="320"/>
      <c r="H376" s="320"/>
      <c r="I376" s="320"/>
      <c r="J376" s="320"/>
      <c r="K376" s="320"/>
      <c r="L376" s="320"/>
      <c r="M376" s="320"/>
      <c r="N376" s="320"/>
      <c r="O376" s="320"/>
      <c r="P376" s="320"/>
      <c r="Q376" s="320"/>
      <c r="R376" s="320"/>
      <c r="S376" s="320"/>
      <c r="T376" s="320"/>
      <c r="U376" s="320"/>
      <c r="V376" s="320"/>
      <c r="W376" s="320"/>
      <c r="X376" s="320"/>
      <c r="Y376" s="320"/>
      <c r="Z376" s="320"/>
      <c r="AA376" s="320"/>
      <c r="AB376" s="320"/>
      <c r="AC376" s="320"/>
      <c r="AD376" s="320"/>
      <c r="AE376" s="320"/>
      <c r="AF376" s="320"/>
      <c r="AG376" s="320"/>
      <c r="AH376" s="320"/>
      <c r="AI376" s="320"/>
      <c r="AJ376" s="320"/>
      <c r="AK376" s="320"/>
    </row>
    <row r="377" spans="1:49" x14ac:dyDescent="0.25">
      <c r="D377" s="315"/>
      <c r="E377" s="320"/>
      <c r="F377" s="320"/>
      <c r="G377" s="320"/>
      <c r="H377" s="320"/>
      <c r="I377" s="320"/>
      <c r="J377" s="320"/>
      <c r="K377" s="320"/>
      <c r="L377" s="320"/>
      <c r="M377" s="320"/>
      <c r="N377" s="320"/>
      <c r="O377" s="320"/>
      <c r="P377" s="320"/>
      <c r="Q377" s="320"/>
      <c r="R377" s="320"/>
      <c r="S377" s="320"/>
      <c r="T377" s="320"/>
      <c r="U377" s="320"/>
      <c r="V377" s="320"/>
      <c r="W377" s="320"/>
      <c r="X377" s="320"/>
      <c r="Y377" s="320"/>
      <c r="Z377" s="320"/>
      <c r="AA377" s="320"/>
      <c r="AB377" s="320"/>
      <c r="AC377" s="320"/>
      <c r="AD377" s="320"/>
      <c r="AE377" s="320"/>
      <c r="AF377" s="320"/>
      <c r="AG377" s="320"/>
      <c r="AH377" s="320"/>
      <c r="AI377" s="320"/>
      <c r="AJ377" s="320"/>
      <c r="AK377" s="320"/>
    </row>
    <row r="378" spans="1:49" x14ac:dyDescent="0.25">
      <c r="D378" s="315"/>
      <c r="E378" s="320"/>
      <c r="F378" s="320"/>
      <c r="G378" s="320"/>
      <c r="H378" s="320"/>
      <c r="I378" s="320"/>
      <c r="J378" s="320"/>
      <c r="K378" s="320"/>
      <c r="L378" s="320"/>
      <c r="M378" s="320"/>
      <c r="N378" s="320"/>
      <c r="O378" s="320"/>
      <c r="P378" s="320"/>
      <c r="Q378" s="320"/>
      <c r="R378" s="320"/>
      <c r="S378" s="320"/>
      <c r="T378" s="320"/>
      <c r="U378" s="320"/>
      <c r="V378" s="320"/>
      <c r="W378" s="320"/>
      <c r="X378" s="320"/>
      <c r="Y378" s="320"/>
      <c r="Z378" s="320"/>
      <c r="AA378" s="320"/>
      <c r="AB378" s="320"/>
      <c r="AC378" s="320"/>
      <c r="AD378" s="320"/>
      <c r="AE378" s="320"/>
      <c r="AF378" s="320"/>
      <c r="AG378" s="320"/>
      <c r="AH378" s="320"/>
      <c r="AI378" s="320"/>
      <c r="AJ378" s="320"/>
      <c r="AK378" s="320"/>
    </row>
    <row r="379" spans="1:49" x14ac:dyDescent="0.25">
      <c r="A379" s="318"/>
      <c r="D379" s="315"/>
      <c r="E379" s="320"/>
      <c r="F379" s="320"/>
      <c r="G379" s="320"/>
      <c r="H379" s="320"/>
      <c r="I379" s="320"/>
      <c r="J379" s="320"/>
      <c r="K379" s="320"/>
      <c r="L379" s="320"/>
      <c r="M379" s="320"/>
      <c r="N379" s="320"/>
      <c r="O379" s="320"/>
      <c r="P379" s="320"/>
      <c r="Q379" s="320"/>
      <c r="R379" s="320"/>
      <c r="S379" s="320"/>
      <c r="T379" s="320"/>
      <c r="U379" s="320"/>
      <c r="V379" s="320"/>
      <c r="W379" s="320"/>
      <c r="X379" s="320"/>
      <c r="Y379" s="320"/>
      <c r="Z379" s="320"/>
      <c r="AA379" s="320"/>
      <c r="AB379" s="320"/>
      <c r="AC379" s="320"/>
      <c r="AD379" s="320"/>
      <c r="AE379" s="320"/>
      <c r="AF379" s="320"/>
      <c r="AG379" s="320"/>
      <c r="AH379" s="320"/>
      <c r="AI379" s="320"/>
      <c r="AJ379" s="320"/>
      <c r="AK379" s="320"/>
    </row>
    <row r="380" spans="1:49" x14ac:dyDescent="0.25">
      <c r="A380" s="319"/>
      <c r="D380" s="315"/>
      <c r="E380" s="320"/>
      <c r="F380" s="320"/>
      <c r="G380" s="320"/>
      <c r="H380" s="320"/>
      <c r="I380" s="320"/>
      <c r="J380" s="320"/>
      <c r="K380" s="320"/>
      <c r="L380" s="320"/>
      <c r="M380" s="320"/>
      <c r="N380" s="320"/>
      <c r="O380" s="320"/>
      <c r="P380" s="320"/>
      <c r="Q380" s="320"/>
      <c r="R380" s="320"/>
      <c r="S380" s="320"/>
      <c r="T380" s="320"/>
      <c r="U380" s="320"/>
      <c r="V380" s="320"/>
      <c r="W380" s="320"/>
      <c r="X380" s="320"/>
      <c r="Y380" s="320"/>
      <c r="Z380" s="320"/>
      <c r="AA380" s="320"/>
      <c r="AB380" s="320"/>
      <c r="AC380" s="320"/>
      <c r="AD380" s="320"/>
      <c r="AE380" s="320"/>
      <c r="AF380" s="320"/>
      <c r="AG380" s="320"/>
      <c r="AH380" s="320"/>
      <c r="AI380" s="320"/>
      <c r="AJ380" s="320"/>
      <c r="AK380" s="320"/>
    </row>
    <row r="381" spans="1:49" x14ac:dyDescent="0.25">
      <c r="A381" s="319"/>
      <c r="D381" s="315"/>
      <c r="E381" s="320"/>
      <c r="F381" s="320"/>
      <c r="G381" s="320"/>
      <c r="H381" s="320"/>
      <c r="I381" s="320"/>
      <c r="J381" s="320"/>
      <c r="K381" s="320"/>
      <c r="L381" s="320"/>
      <c r="M381" s="320"/>
      <c r="N381" s="320"/>
      <c r="O381" s="320"/>
      <c r="P381" s="320"/>
      <c r="Q381" s="320"/>
      <c r="R381" s="320"/>
      <c r="S381" s="320"/>
      <c r="T381" s="320"/>
      <c r="U381" s="320"/>
      <c r="V381" s="320"/>
      <c r="W381" s="320"/>
      <c r="X381" s="320"/>
      <c r="Y381" s="320"/>
      <c r="Z381" s="320"/>
      <c r="AA381" s="320"/>
      <c r="AB381" s="320"/>
      <c r="AC381" s="320"/>
      <c r="AD381" s="320"/>
      <c r="AE381" s="320"/>
      <c r="AF381" s="320"/>
      <c r="AG381" s="320"/>
      <c r="AH381" s="320"/>
      <c r="AI381" s="320"/>
      <c r="AJ381" s="320"/>
      <c r="AK381" s="320"/>
    </row>
    <row r="382" spans="1:49" x14ac:dyDescent="0.25">
      <c r="A382" s="319"/>
      <c r="D382" s="315"/>
      <c r="E382" s="320"/>
      <c r="F382" s="320"/>
      <c r="G382" s="320"/>
      <c r="H382" s="320"/>
      <c r="I382" s="320"/>
      <c r="J382" s="320"/>
      <c r="K382" s="320"/>
      <c r="L382" s="320"/>
      <c r="M382" s="320"/>
      <c r="N382" s="320"/>
      <c r="O382" s="320"/>
      <c r="P382" s="320"/>
      <c r="Q382" s="320"/>
      <c r="R382" s="320"/>
      <c r="S382" s="320"/>
      <c r="T382" s="320"/>
      <c r="U382" s="320"/>
      <c r="V382" s="320"/>
      <c r="W382" s="320"/>
      <c r="X382" s="320"/>
      <c r="Y382" s="320"/>
      <c r="Z382" s="320"/>
      <c r="AA382" s="320"/>
      <c r="AB382" s="320"/>
      <c r="AC382" s="320"/>
      <c r="AD382" s="320"/>
      <c r="AE382" s="320"/>
      <c r="AF382" s="320"/>
      <c r="AG382" s="320"/>
      <c r="AH382" s="320"/>
      <c r="AI382" s="320"/>
      <c r="AJ382" s="320"/>
      <c r="AK382" s="320"/>
    </row>
    <row r="383" spans="1:49" x14ac:dyDescent="0.25">
      <c r="A383" s="319"/>
      <c r="D383" s="315"/>
      <c r="E383" s="320"/>
      <c r="F383" s="320"/>
      <c r="G383" s="320"/>
      <c r="H383" s="320"/>
      <c r="I383" s="320"/>
      <c r="J383" s="320"/>
      <c r="K383" s="320"/>
      <c r="L383" s="320"/>
      <c r="M383" s="320"/>
      <c r="N383" s="320"/>
      <c r="O383" s="320"/>
      <c r="P383" s="320"/>
      <c r="Q383" s="320"/>
      <c r="R383" s="320"/>
      <c r="S383" s="320"/>
      <c r="T383" s="320"/>
      <c r="U383" s="320"/>
      <c r="V383" s="320"/>
      <c r="W383" s="320"/>
      <c r="X383" s="320"/>
      <c r="Y383" s="320"/>
      <c r="Z383" s="320"/>
      <c r="AA383" s="320"/>
      <c r="AB383" s="320"/>
      <c r="AC383" s="320"/>
      <c r="AD383" s="320"/>
      <c r="AE383" s="320"/>
      <c r="AF383" s="320"/>
      <c r="AG383" s="320"/>
      <c r="AH383" s="320"/>
      <c r="AI383" s="320"/>
      <c r="AJ383" s="320"/>
      <c r="AK383" s="320"/>
    </row>
    <row r="384" spans="1:49" x14ac:dyDescent="0.25">
      <c r="A384" s="319"/>
      <c r="D384" s="315"/>
      <c r="E384" s="320"/>
      <c r="F384" s="320"/>
      <c r="G384" s="320"/>
      <c r="H384" s="320"/>
      <c r="I384" s="320"/>
      <c r="J384" s="320"/>
      <c r="K384" s="320"/>
      <c r="L384" s="320"/>
      <c r="M384" s="320"/>
      <c r="N384" s="320"/>
      <c r="O384" s="320"/>
      <c r="P384" s="320"/>
      <c r="Q384" s="320"/>
      <c r="R384" s="320"/>
      <c r="S384" s="320"/>
      <c r="T384" s="320"/>
      <c r="U384" s="320"/>
      <c r="V384" s="320"/>
      <c r="W384" s="320"/>
      <c r="X384" s="320"/>
      <c r="Y384" s="320"/>
      <c r="Z384" s="320"/>
      <c r="AA384" s="320"/>
      <c r="AB384" s="320"/>
      <c r="AC384" s="320"/>
      <c r="AD384" s="320"/>
      <c r="AE384" s="320"/>
      <c r="AF384" s="320"/>
      <c r="AG384" s="320"/>
      <c r="AH384" s="320"/>
      <c r="AI384" s="320"/>
      <c r="AJ384" s="320"/>
      <c r="AK384" s="320"/>
    </row>
    <row r="385" spans="1:37" x14ac:dyDescent="0.25">
      <c r="A385" s="319"/>
      <c r="D385" s="315"/>
      <c r="E385" s="320"/>
      <c r="F385" s="320"/>
      <c r="G385" s="320"/>
      <c r="H385" s="320"/>
      <c r="I385" s="320"/>
      <c r="J385" s="320"/>
      <c r="K385" s="320"/>
      <c r="L385" s="320"/>
      <c r="M385" s="320"/>
      <c r="N385" s="320"/>
      <c r="O385" s="320"/>
      <c r="P385" s="320"/>
      <c r="Q385" s="320"/>
      <c r="R385" s="320"/>
      <c r="S385" s="320"/>
      <c r="T385" s="320"/>
      <c r="U385" s="320"/>
      <c r="V385" s="320"/>
      <c r="W385" s="320"/>
      <c r="X385" s="320"/>
      <c r="Y385" s="320"/>
      <c r="Z385" s="320"/>
      <c r="AA385" s="320"/>
      <c r="AB385" s="320"/>
      <c r="AC385" s="320"/>
      <c r="AD385" s="320"/>
      <c r="AE385" s="320"/>
      <c r="AF385" s="320"/>
      <c r="AG385" s="320"/>
      <c r="AH385" s="320"/>
      <c r="AI385" s="320"/>
      <c r="AJ385" s="320"/>
      <c r="AK385" s="320"/>
    </row>
    <row r="386" spans="1:37" x14ac:dyDescent="0.25">
      <c r="A386" s="319"/>
      <c r="D386" s="315"/>
      <c r="E386" s="320"/>
      <c r="F386" s="320"/>
      <c r="G386" s="320"/>
      <c r="H386" s="320"/>
      <c r="I386" s="320"/>
      <c r="J386" s="320"/>
      <c r="K386" s="320"/>
      <c r="L386" s="320"/>
      <c r="M386" s="320"/>
      <c r="N386" s="320"/>
      <c r="O386" s="320"/>
      <c r="P386" s="320"/>
      <c r="Q386" s="320"/>
      <c r="R386" s="320"/>
      <c r="S386" s="320"/>
      <c r="T386" s="320"/>
      <c r="U386" s="320"/>
      <c r="V386" s="320"/>
      <c r="W386" s="320"/>
      <c r="X386" s="320"/>
      <c r="Y386" s="320"/>
      <c r="Z386" s="320"/>
      <c r="AA386" s="320"/>
      <c r="AB386" s="320"/>
      <c r="AC386" s="320"/>
      <c r="AD386" s="320"/>
      <c r="AE386" s="320"/>
      <c r="AF386" s="320"/>
      <c r="AG386" s="320"/>
      <c r="AH386" s="320"/>
      <c r="AI386" s="320"/>
      <c r="AJ386" s="320"/>
      <c r="AK386" s="320"/>
    </row>
    <row r="387" spans="1:37" x14ac:dyDescent="0.25">
      <c r="A387" s="319"/>
      <c r="D387" s="315"/>
      <c r="E387" s="320"/>
      <c r="F387" s="320"/>
      <c r="G387" s="320"/>
      <c r="H387" s="320"/>
      <c r="I387" s="320"/>
      <c r="J387" s="320"/>
      <c r="K387" s="320"/>
      <c r="L387" s="320"/>
      <c r="M387" s="320"/>
      <c r="N387" s="320"/>
      <c r="O387" s="320"/>
      <c r="P387" s="320"/>
      <c r="Q387" s="320"/>
      <c r="R387" s="320"/>
      <c r="S387" s="320"/>
      <c r="T387" s="320"/>
      <c r="U387" s="320"/>
      <c r="V387" s="320"/>
      <c r="W387" s="320"/>
      <c r="X387" s="320"/>
      <c r="Y387" s="320"/>
      <c r="Z387" s="320"/>
      <c r="AA387" s="320"/>
      <c r="AB387" s="320"/>
      <c r="AC387" s="320"/>
      <c r="AD387" s="320"/>
      <c r="AE387" s="320"/>
      <c r="AF387" s="320"/>
      <c r="AG387" s="320"/>
      <c r="AH387" s="320"/>
      <c r="AI387" s="320"/>
      <c r="AJ387" s="320"/>
      <c r="AK387" s="320"/>
    </row>
    <row r="388" spans="1:37" x14ac:dyDescent="0.25">
      <c r="A388" s="319"/>
      <c r="D388" s="315"/>
      <c r="E388" s="320"/>
      <c r="F388" s="320"/>
      <c r="G388" s="320"/>
      <c r="H388" s="320"/>
      <c r="I388" s="320"/>
      <c r="J388" s="320"/>
      <c r="K388" s="320"/>
      <c r="L388" s="320"/>
      <c r="M388" s="320"/>
      <c r="N388" s="320"/>
      <c r="O388" s="320"/>
      <c r="P388" s="320"/>
      <c r="Q388" s="320"/>
      <c r="R388" s="320"/>
      <c r="S388" s="320"/>
      <c r="T388" s="320"/>
      <c r="U388" s="320"/>
      <c r="V388" s="320"/>
      <c r="W388" s="320"/>
      <c r="X388" s="320"/>
      <c r="Y388" s="320"/>
      <c r="Z388" s="320"/>
      <c r="AA388" s="320"/>
      <c r="AB388" s="320"/>
      <c r="AC388" s="320"/>
      <c r="AD388" s="320"/>
      <c r="AE388" s="320"/>
      <c r="AF388" s="320"/>
      <c r="AG388" s="320"/>
      <c r="AH388" s="320"/>
      <c r="AI388" s="320"/>
      <c r="AJ388" s="320"/>
      <c r="AK388" s="320"/>
    </row>
    <row r="389" spans="1:37" x14ac:dyDescent="0.25">
      <c r="A389" s="319"/>
      <c r="D389" s="315"/>
      <c r="E389" s="320"/>
      <c r="F389" s="320"/>
      <c r="G389" s="320"/>
      <c r="H389" s="320"/>
      <c r="I389" s="320"/>
      <c r="J389" s="320"/>
      <c r="K389" s="320"/>
      <c r="L389" s="320"/>
      <c r="M389" s="320"/>
      <c r="N389" s="320"/>
      <c r="O389" s="320"/>
      <c r="P389" s="320"/>
      <c r="Q389" s="320"/>
      <c r="R389" s="320"/>
      <c r="S389" s="320"/>
      <c r="T389" s="320"/>
      <c r="U389" s="320"/>
      <c r="V389" s="320"/>
      <c r="W389" s="320"/>
      <c r="X389" s="320"/>
      <c r="Y389" s="320"/>
      <c r="Z389" s="320"/>
      <c r="AA389" s="320"/>
      <c r="AB389" s="320"/>
      <c r="AC389" s="320"/>
      <c r="AD389" s="320"/>
      <c r="AE389" s="320"/>
      <c r="AF389" s="320"/>
      <c r="AG389" s="320"/>
      <c r="AH389" s="320"/>
      <c r="AI389" s="320"/>
      <c r="AJ389" s="320"/>
      <c r="AK389" s="320"/>
    </row>
    <row r="390" spans="1:37" x14ac:dyDescent="0.25">
      <c r="A390" s="319"/>
      <c r="D390" s="315"/>
      <c r="E390" s="320"/>
      <c r="F390" s="320"/>
      <c r="G390" s="320"/>
      <c r="H390" s="320"/>
      <c r="I390" s="320"/>
      <c r="J390" s="320"/>
      <c r="K390" s="320"/>
      <c r="L390" s="320"/>
      <c r="M390" s="320"/>
      <c r="N390" s="320"/>
      <c r="O390" s="320"/>
      <c r="P390" s="320"/>
      <c r="Q390" s="320"/>
      <c r="R390" s="320"/>
      <c r="S390" s="320"/>
      <c r="T390" s="320"/>
      <c r="U390" s="320"/>
      <c r="V390" s="320"/>
      <c r="W390" s="320"/>
      <c r="X390" s="320"/>
      <c r="Y390" s="320"/>
      <c r="Z390" s="320"/>
      <c r="AA390" s="320"/>
      <c r="AB390" s="320"/>
      <c r="AC390" s="320"/>
      <c r="AD390" s="320"/>
      <c r="AE390" s="320"/>
      <c r="AF390" s="320"/>
      <c r="AG390" s="320"/>
      <c r="AH390" s="320"/>
      <c r="AI390" s="320"/>
      <c r="AJ390" s="320"/>
      <c r="AK390" s="320"/>
    </row>
    <row r="391" spans="1:37" x14ac:dyDescent="0.25">
      <c r="A391" s="319"/>
      <c r="D391" s="315"/>
      <c r="E391" s="320"/>
      <c r="F391" s="320"/>
      <c r="G391" s="320"/>
      <c r="H391" s="320"/>
      <c r="I391" s="320"/>
      <c r="J391" s="320"/>
      <c r="K391" s="320"/>
      <c r="L391" s="320"/>
      <c r="M391" s="320"/>
      <c r="N391" s="320"/>
      <c r="O391" s="320"/>
      <c r="P391" s="320"/>
      <c r="Q391" s="320"/>
      <c r="R391" s="320"/>
      <c r="S391" s="320"/>
      <c r="T391" s="320"/>
      <c r="U391" s="320"/>
      <c r="V391" s="320"/>
      <c r="W391" s="320"/>
      <c r="X391" s="320"/>
      <c r="Y391" s="320"/>
      <c r="Z391" s="320"/>
      <c r="AA391" s="320"/>
      <c r="AB391" s="320"/>
      <c r="AC391" s="320"/>
      <c r="AD391" s="320"/>
      <c r="AE391" s="320"/>
      <c r="AF391" s="320"/>
      <c r="AG391" s="320"/>
      <c r="AH391" s="320"/>
      <c r="AI391" s="320"/>
      <c r="AJ391" s="320"/>
      <c r="AK391" s="320"/>
    </row>
    <row r="392" spans="1:37" x14ac:dyDescent="0.25">
      <c r="A392" s="319"/>
      <c r="D392" s="315"/>
      <c r="E392" s="320"/>
      <c r="F392" s="320"/>
      <c r="G392" s="320"/>
      <c r="H392" s="320"/>
      <c r="I392" s="320"/>
      <c r="J392" s="320"/>
      <c r="K392" s="320"/>
      <c r="L392" s="320"/>
      <c r="M392" s="320"/>
      <c r="N392" s="320"/>
      <c r="O392" s="320"/>
      <c r="P392" s="320"/>
      <c r="Q392" s="320"/>
      <c r="R392" s="320"/>
      <c r="S392" s="320"/>
      <c r="T392" s="320"/>
      <c r="U392" s="320"/>
      <c r="V392" s="320"/>
      <c r="W392" s="320"/>
      <c r="X392" s="320"/>
      <c r="Y392" s="320"/>
      <c r="Z392" s="320"/>
      <c r="AA392" s="320"/>
      <c r="AB392" s="320"/>
      <c r="AC392" s="320"/>
      <c r="AD392" s="320"/>
      <c r="AE392" s="320"/>
      <c r="AF392" s="320"/>
      <c r="AG392" s="320"/>
      <c r="AH392" s="320"/>
      <c r="AI392" s="320"/>
      <c r="AJ392" s="320"/>
      <c r="AK392" s="320"/>
    </row>
    <row r="393" spans="1:37" x14ac:dyDescent="0.25">
      <c r="A393" s="319"/>
      <c r="D393" s="315"/>
      <c r="E393" s="320"/>
      <c r="F393" s="320"/>
      <c r="G393" s="320"/>
      <c r="H393" s="320"/>
      <c r="I393" s="320"/>
      <c r="J393" s="320"/>
      <c r="K393" s="320"/>
      <c r="L393" s="320"/>
      <c r="M393" s="320"/>
      <c r="N393" s="320"/>
      <c r="O393" s="320"/>
      <c r="P393" s="320"/>
      <c r="Q393" s="320"/>
      <c r="R393" s="320"/>
      <c r="S393" s="320"/>
      <c r="T393" s="320"/>
      <c r="U393" s="320"/>
      <c r="V393" s="320"/>
      <c r="W393" s="320"/>
      <c r="X393" s="320"/>
      <c r="Y393" s="320"/>
      <c r="Z393" s="320"/>
      <c r="AA393" s="320"/>
      <c r="AB393" s="320"/>
      <c r="AC393" s="320"/>
      <c r="AD393" s="320"/>
      <c r="AE393" s="320"/>
      <c r="AF393" s="320"/>
      <c r="AG393" s="320"/>
      <c r="AH393" s="320"/>
      <c r="AI393" s="320"/>
      <c r="AJ393" s="320"/>
      <c r="AK393" s="320"/>
    </row>
    <row r="394" spans="1:37" x14ac:dyDescent="0.25">
      <c r="A394" s="319"/>
      <c r="D394" s="315"/>
      <c r="E394" s="320"/>
      <c r="F394" s="320"/>
      <c r="G394" s="320"/>
      <c r="H394" s="320"/>
      <c r="I394" s="320"/>
      <c r="J394" s="320"/>
      <c r="K394" s="320"/>
      <c r="L394" s="320"/>
      <c r="M394" s="320"/>
      <c r="N394" s="320"/>
      <c r="O394" s="320"/>
      <c r="P394" s="320"/>
      <c r="Q394" s="320"/>
      <c r="R394" s="320"/>
      <c r="S394" s="320"/>
      <c r="T394" s="320"/>
      <c r="U394" s="320"/>
      <c r="V394" s="320"/>
      <c r="W394" s="320"/>
      <c r="X394" s="320"/>
      <c r="Y394" s="320"/>
      <c r="Z394" s="320"/>
      <c r="AA394" s="320"/>
      <c r="AB394" s="320"/>
      <c r="AC394" s="320"/>
      <c r="AD394" s="320"/>
      <c r="AE394" s="320"/>
      <c r="AF394" s="320"/>
      <c r="AG394" s="320"/>
      <c r="AH394" s="320"/>
      <c r="AI394" s="320"/>
      <c r="AJ394" s="320"/>
      <c r="AK394" s="320"/>
    </row>
    <row r="395" spans="1:37" x14ac:dyDescent="0.25">
      <c r="A395" s="319"/>
      <c r="D395" s="315"/>
      <c r="E395" s="320"/>
      <c r="F395" s="320"/>
      <c r="G395" s="320"/>
      <c r="H395" s="320"/>
      <c r="I395" s="320"/>
      <c r="J395" s="320"/>
      <c r="K395" s="320"/>
      <c r="L395" s="320"/>
      <c r="M395" s="320"/>
      <c r="N395" s="320"/>
      <c r="O395" s="320"/>
      <c r="P395" s="320"/>
      <c r="Q395" s="320"/>
      <c r="R395" s="320"/>
      <c r="S395" s="320"/>
      <c r="T395" s="320"/>
      <c r="U395" s="320"/>
      <c r="V395" s="320"/>
      <c r="W395" s="320"/>
      <c r="X395" s="320"/>
      <c r="Y395" s="320"/>
      <c r="Z395" s="320"/>
      <c r="AA395" s="320"/>
      <c r="AB395" s="320"/>
      <c r="AC395" s="320"/>
      <c r="AD395" s="320"/>
      <c r="AE395" s="320"/>
      <c r="AF395" s="320"/>
      <c r="AG395" s="320"/>
      <c r="AH395" s="320"/>
      <c r="AI395" s="320"/>
      <c r="AJ395" s="320"/>
      <c r="AK395" s="320"/>
    </row>
    <row r="396" spans="1:37" x14ac:dyDescent="0.25">
      <c r="A396" s="319"/>
      <c r="D396" s="315"/>
      <c r="E396" s="320"/>
      <c r="F396" s="320"/>
      <c r="G396" s="320"/>
      <c r="H396" s="320"/>
      <c r="I396" s="320"/>
      <c r="J396" s="320"/>
      <c r="K396" s="320"/>
      <c r="L396" s="320"/>
      <c r="M396" s="320"/>
      <c r="N396" s="320"/>
      <c r="O396" s="320"/>
      <c r="P396" s="320"/>
      <c r="Q396" s="320"/>
      <c r="R396" s="320"/>
      <c r="S396" s="320"/>
      <c r="T396" s="320"/>
      <c r="U396" s="320"/>
      <c r="V396" s="320"/>
      <c r="W396" s="320"/>
      <c r="X396" s="320"/>
      <c r="Y396" s="320"/>
      <c r="Z396" s="320"/>
      <c r="AA396" s="320"/>
      <c r="AB396" s="320"/>
      <c r="AC396" s="320"/>
      <c r="AD396" s="320"/>
      <c r="AE396" s="320"/>
      <c r="AF396" s="320"/>
      <c r="AG396" s="320"/>
      <c r="AH396" s="320"/>
      <c r="AI396" s="320"/>
      <c r="AJ396" s="320"/>
      <c r="AK396" s="320"/>
    </row>
    <row r="397" spans="1:37" x14ac:dyDescent="0.25">
      <c r="A397" s="319"/>
      <c r="D397" s="315"/>
      <c r="E397" s="320"/>
      <c r="F397" s="320"/>
      <c r="G397" s="320"/>
      <c r="H397" s="320"/>
      <c r="I397" s="320"/>
      <c r="J397" s="320"/>
      <c r="K397" s="320"/>
      <c r="L397" s="320"/>
      <c r="M397" s="320"/>
      <c r="N397" s="320"/>
      <c r="O397" s="320"/>
      <c r="P397" s="320"/>
      <c r="Q397" s="320"/>
      <c r="R397" s="320"/>
      <c r="S397" s="320"/>
      <c r="T397" s="320"/>
      <c r="U397" s="320"/>
      <c r="V397" s="320"/>
      <c r="W397" s="320"/>
      <c r="X397" s="320"/>
      <c r="Y397" s="320"/>
      <c r="Z397" s="320"/>
      <c r="AA397" s="320"/>
      <c r="AB397" s="320"/>
      <c r="AC397" s="320"/>
      <c r="AD397" s="320"/>
      <c r="AE397" s="320"/>
      <c r="AF397" s="320"/>
      <c r="AG397" s="320"/>
      <c r="AH397" s="320"/>
      <c r="AI397" s="320"/>
      <c r="AJ397" s="320"/>
      <c r="AK397" s="320"/>
    </row>
    <row r="398" spans="1:37" x14ac:dyDescent="0.25">
      <c r="D398" s="315"/>
      <c r="E398" s="320"/>
      <c r="F398" s="320"/>
      <c r="G398" s="320"/>
      <c r="H398" s="320"/>
      <c r="I398" s="320"/>
      <c r="J398" s="320"/>
      <c r="K398" s="320"/>
      <c r="L398" s="320"/>
      <c r="M398" s="320"/>
      <c r="N398" s="320"/>
      <c r="O398" s="320"/>
      <c r="P398" s="320"/>
      <c r="Q398" s="320"/>
      <c r="R398" s="320"/>
      <c r="S398" s="320"/>
      <c r="T398" s="320"/>
      <c r="U398" s="320"/>
      <c r="V398" s="320"/>
      <c r="W398" s="320"/>
      <c r="X398" s="320"/>
      <c r="Y398" s="320"/>
      <c r="Z398" s="320"/>
      <c r="AA398" s="320"/>
      <c r="AB398" s="320"/>
      <c r="AC398" s="320"/>
      <c r="AD398" s="320"/>
      <c r="AE398" s="320"/>
      <c r="AF398" s="320"/>
      <c r="AG398" s="320"/>
      <c r="AH398" s="320"/>
      <c r="AI398" s="320"/>
      <c r="AJ398" s="320"/>
      <c r="AK398" s="320"/>
    </row>
    <row r="399" spans="1:37" x14ac:dyDescent="0.25">
      <c r="D399" s="315"/>
      <c r="E399" s="320"/>
      <c r="F399" s="320"/>
      <c r="G399" s="320"/>
      <c r="H399" s="320"/>
      <c r="I399" s="320"/>
      <c r="J399" s="320"/>
      <c r="K399" s="320"/>
      <c r="L399" s="320"/>
      <c r="M399" s="320"/>
      <c r="N399" s="320"/>
      <c r="O399" s="320"/>
      <c r="P399" s="320"/>
      <c r="Q399" s="320"/>
      <c r="R399" s="320"/>
      <c r="S399" s="320"/>
      <c r="T399" s="320"/>
      <c r="U399" s="320"/>
      <c r="V399" s="320"/>
      <c r="W399" s="320"/>
      <c r="X399" s="320"/>
      <c r="Y399" s="320"/>
      <c r="Z399" s="320"/>
      <c r="AA399" s="320"/>
      <c r="AB399" s="320"/>
      <c r="AC399" s="320"/>
      <c r="AD399" s="320"/>
      <c r="AE399" s="320"/>
      <c r="AF399" s="320"/>
      <c r="AG399" s="320"/>
      <c r="AH399" s="320"/>
      <c r="AI399" s="320"/>
      <c r="AJ399" s="320"/>
      <c r="AK399" s="320"/>
    </row>
    <row r="400" spans="1:37" x14ac:dyDescent="0.25">
      <c r="D400" s="315"/>
      <c r="E400" s="320"/>
      <c r="F400" s="320"/>
      <c r="G400" s="320"/>
      <c r="H400" s="320"/>
      <c r="I400" s="320"/>
      <c r="J400" s="320"/>
      <c r="K400" s="320"/>
      <c r="L400" s="320"/>
      <c r="M400" s="320"/>
      <c r="N400" s="320"/>
      <c r="O400" s="320"/>
      <c r="P400" s="320"/>
      <c r="Q400" s="320"/>
      <c r="R400" s="320"/>
      <c r="S400" s="320"/>
      <c r="T400" s="320"/>
      <c r="U400" s="320"/>
      <c r="V400" s="320"/>
      <c r="W400" s="320"/>
      <c r="X400" s="320"/>
      <c r="Y400" s="320"/>
      <c r="Z400" s="320"/>
      <c r="AA400" s="320"/>
      <c r="AB400" s="320"/>
      <c r="AC400" s="320"/>
      <c r="AD400" s="320"/>
      <c r="AE400" s="320"/>
      <c r="AF400" s="320"/>
      <c r="AG400" s="320"/>
      <c r="AH400" s="320"/>
      <c r="AI400" s="320"/>
      <c r="AJ400" s="320"/>
      <c r="AK400" s="320"/>
    </row>
    <row r="401" spans="1:37" x14ac:dyDescent="0.25">
      <c r="D401" s="315"/>
      <c r="E401" s="320"/>
      <c r="F401" s="320"/>
      <c r="G401" s="320"/>
      <c r="H401" s="320"/>
      <c r="I401" s="320"/>
      <c r="J401" s="320"/>
      <c r="K401" s="320"/>
      <c r="L401" s="320"/>
      <c r="M401" s="320"/>
      <c r="N401" s="320"/>
      <c r="O401" s="320"/>
      <c r="P401" s="320"/>
      <c r="Q401" s="320"/>
      <c r="R401" s="320"/>
      <c r="S401" s="320"/>
      <c r="T401" s="320"/>
      <c r="U401" s="320"/>
      <c r="V401" s="320"/>
      <c r="W401" s="320"/>
      <c r="X401" s="320"/>
      <c r="Y401" s="320"/>
      <c r="Z401" s="320"/>
      <c r="AA401" s="320"/>
      <c r="AB401" s="320"/>
      <c r="AC401" s="320"/>
      <c r="AD401" s="320"/>
      <c r="AE401" s="320"/>
      <c r="AF401" s="320"/>
      <c r="AG401" s="320"/>
      <c r="AH401" s="320"/>
      <c r="AI401" s="320"/>
      <c r="AJ401" s="320"/>
      <c r="AK401" s="320"/>
    </row>
    <row r="402" spans="1:37" x14ac:dyDescent="0.25">
      <c r="D402" s="315"/>
      <c r="E402" s="320"/>
      <c r="F402" s="320"/>
      <c r="G402" s="320"/>
      <c r="H402" s="320"/>
      <c r="I402" s="320"/>
      <c r="J402" s="320"/>
      <c r="K402" s="320"/>
      <c r="L402" s="320"/>
      <c r="M402" s="320"/>
      <c r="N402" s="320"/>
      <c r="O402" s="320"/>
      <c r="P402" s="320"/>
      <c r="Q402" s="320"/>
      <c r="R402" s="320"/>
      <c r="S402" s="320"/>
      <c r="T402" s="320"/>
      <c r="U402" s="320"/>
      <c r="V402" s="320"/>
      <c r="W402" s="320"/>
      <c r="X402" s="320"/>
      <c r="Y402" s="320"/>
      <c r="Z402" s="320"/>
      <c r="AA402" s="320"/>
      <c r="AB402" s="320"/>
      <c r="AC402" s="320"/>
      <c r="AD402" s="320"/>
      <c r="AE402" s="320"/>
      <c r="AF402" s="320"/>
      <c r="AG402" s="320"/>
      <c r="AH402" s="320"/>
      <c r="AI402" s="320"/>
      <c r="AJ402" s="320"/>
      <c r="AK402" s="320"/>
    </row>
    <row r="403" spans="1:37" x14ac:dyDescent="0.25">
      <c r="D403" s="315"/>
      <c r="E403" s="320"/>
      <c r="F403" s="320"/>
      <c r="G403" s="320"/>
      <c r="H403" s="320"/>
      <c r="I403" s="320"/>
      <c r="J403" s="320"/>
      <c r="K403" s="320"/>
      <c r="L403" s="320"/>
      <c r="M403" s="320"/>
      <c r="N403" s="320"/>
      <c r="O403" s="320"/>
      <c r="P403" s="320"/>
      <c r="Q403" s="320"/>
      <c r="R403" s="320"/>
      <c r="S403" s="320"/>
      <c r="T403" s="320"/>
      <c r="U403" s="320"/>
      <c r="V403" s="320"/>
      <c r="W403" s="320"/>
      <c r="X403" s="320"/>
      <c r="Y403" s="320"/>
      <c r="Z403" s="320"/>
      <c r="AA403" s="320"/>
      <c r="AB403" s="320"/>
      <c r="AC403" s="320"/>
      <c r="AD403" s="320"/>
      <c r="AE403" s="320"/>
      <c r="AF403" s="320"/>
      <c r="AG403" s="320"/>
      <c r="AH403" s="320"/>
      <c r="AI403" s="320"/>
      <c r="AJ403" s="320"/>
      <c r="AK403" s="320"/>
    </row>
    <row r="404" spans="1:37" x14ac:dyDescent="0.25">
      <c r="D404" s="315"/>
      <c r="E404" s="320"/>
      <c r="F404" s="320"/>
      <c r="G404" s="320"/>
      <c r="H404" s="320"/>
      <c r="I404" s="320"/>
      <c r="J404" s="320"/>
      <c r="K404" s="320"/>
      <c r="L404" s="320"/>
      <c r="M404" s="320"/>
      <c r="N404" s="320"/>
      <c r="O404" s="320"/>
      <c r="P404" s="320"/>
      <c r="Q404" s="320"/>
      <c r="R404" s="320"/>
      <c r="S404" s="320"/>
      <c r="T404" s="320"/>
      <c r="U404" s="320"/>
      <c r="V404" s="320"/>
      <c r="W404" s="320"/>
      <c r="X404" s="320"/>
      <c r="Y404" s="320"/>
      <c r="Z404" s="320"/>
      <c r="AA404" s="320"/>
      <c r="AB404" s="320"/>
      <c r="AC404" s="320"/>
      <c r="AD404" s="320"/>
      <c r="AE404" s="320"/>
      <c r="AF404" s="320"/>
      <c r="AG404" s="320"/>
      <c r="AH404" s="320"/>
      <c r="AI404" s="320"/>
      <c r="AJ404" s="320"/>
      <c r="AK404" s="320"/>
    </row>
    <row r="405" spans="1:37" x14ac:dyDescent="0.25">
      <c r="A405" s="318"/>
      <c r="D405" s="315"/>
      <c r="E405" s="320"/>
      <c r="F405" s="320"/>
      <c r="G405" s="320"/>
      <c r="H405" s="320"/>
      <c r="I405" s="320"/>
      <c r="J405" s="320"/>
      <c r="K405" s="320"/>
      <c r="L405" s="320"/>
      <c r="M405" s="320"/>
      <c r="N405" s="320"/>
      <c r="O405" s="320"/>
      <c r="P405" s="320"/>
      <c r="Q405" s="320"/>
      <c r="R405" s="320"/>
      <c r="S405" s="320"/>
      <c r="T405" s="320"/>
      <c r="U405" s="320"/>
      <c r="V405" s="320"/>
      <c r="W405" s="320"/>
      <c r="X405" s="320"/>
      <c r="Y405" s="320"/>
      <c r="Z405" s="320"/>
      <c r="AA405" s="320"/>
      <c r="AB405" s="320"/>
      <c r="AC405" s="320"/>
      <c r="AD405" s="320"/>
      <c r="AE405" s="320"/>
      <c r="AF405" s="320"/>
      <c r="AG405" s="320"/>
      <c r="AH405" s="320"/>
      <c r="AI405" s="320"/>
      <c r="AJ405" s="320"/>
      <c r="AK405" s="320"/>
    </row>
    <row r="406" spans="1:37" x14ac:dyDescent="0.25">
      <c r="A406" s="319"/>
      <c r="D406" s="315"/>
      <c r="E406" s="320"/>
      <c r="F406" s="320"/>
      <c r="G406" s="320"/>
      <c r="H406" s="320"/>
      <c r="I406" s="320"/>
      <c r="J406" s="320"/>
      <c r="K406" s="320"/>
      <c r="L406" s="320"/>
      <c r="M406" s="320"/>
      <c r="N406" s="320"/>
      <c r="O406" s="320"/>
      <c r="P406" s="320"/>
      <c r="Q406" s="320"/>
      <c r="R406" s="320"/>
      <c r="S406" s="320"/>
      <c r="T406" s="320"/>
      <c r="U406" s="320"/>
      <c r="V406" s="320"/>
      <c r="W406" s="320"/>
      <c r="X406" s="320"/>
      <c r="Y406" s="320"/>
      <c r="Z406" s="320"/>
      <c r="AA406" s="320"/>
      <c r="AB406" s="320"/>
      <c r="AC406" s="320"/>
      <c r="AD406" s="320"/>
      <c r="AE406" s="320"/>
      <c r="AF406" s="320"/>
      <c r="AG406" s="320"/>
      <c r="AH406" s="320"/>
      <c r="AI406" s="320"/>
      <c r="AJ406" s="320"/>
      <c r="AK406" s="320"/>
    </row>
    <row r="407" spans="1:37" x14ac:dyDescent="0.25">
      <c r="A407" s="319"/>
      <c r="D407" s="315"/>
      <c r="E407" s="320"/>
      <c r="F407" s="320"/>
      <c r="G407" s="320"/>
      <c r="H407" s="320"/>
      <c r="I407" s="320"/>
      <c r="J407" s="320"/>
      <c r="K407" s="320"/>
      <c r="L407" s="320"/>
      <c r="M407" s="320"/>
      <c r="N407" s="320"/>
      <c r="O407" s="320"/>
      <c r="P407" s="320"/>
      <c r="Q407" s="320"/>
      <c r="R407" s="320"/>
      <c r="S407" s="320"/>
      <c r="T407" s="320"/>
      <c r="U407" s="320"/>
      <c r="V407" s="320"/>
      <c r="W407" s="320"/>
      <c r="X407" s="320"/>
      <c r="Y407" s="320"/>
      <c r="Z407" s="320"/>
      <c r="AA407" s="320"/>
      <c r="AB407" s="320"/>
      <c r="AC407" s="320"/>
      <c r="AD407" s="320"/>
      <c r="AE407" s="320"/>
      <c r="AF407" s="320"/>
      <c r="AG407" s="320"/>
      <c r="AH407" s="320"/>
      <c r="AI407" s="320"/>
      <c r="AJ407" s="320"/>
      <c r="AK407" s="320"/>
    </row>
    <row r="408" spans="1:37" x14ac:dyDescent="0.25">
      <c r="A408" s="319"/>
      <c r="D408" s="315"/>
      <c r="E408" s="320"/>
      <c r="F408" s="320"/>
      <c r="G408" s="320"/>
      <c r="H408" s="320"/>
      <c r="I408" s="320"/>
      <c r="J408" s="320"/>
      <c r="K408" s="320"/>
      <c r="L408" s="320"/>
      <c r="M408" s="320"/>
      <c r="N408" s="320"/>
      <c r="O408" s="320"/>
      <c r="P408" s="320"/>
      <c r="Q408" s="320"/>
      <c r="R408" s="320"/>
      <c r="S408" s="320"/>
      <c r="T408" s="320"/>
      <c r="U408" s="320"/>
      <c r="V408" s="320"/>
      <c r="W408" s="320"/>
      <c r="X408" s="320"/>
      <c r="Y408" s="320"/>
      <c r="Z408" s="320"/>
      <c r="AA408" s="320"/>
      <c r="AB408" s="320"/>
      <c r="AC408" s="320"/>
      <c r="AD408" s="320"/>
      <c r="AE408" s="320"/>
      <c r="AF408" s="320"/>
      <c r="AG408" s="320"/>
      <c r="AH408" s="320"/>
      <c r="AI408" s="320"/>
      <c r="AJ408" s="320"/>
      <c r="AK408" s="320"/>
    </row>
    <row r="409" spans="1:37" x14ac:dyDescent="0.25">
      <c r="A409" s="319"/>
      <c r="D409" s="315"/>
      <c r="E409" s="320"/>
      <c r="F409" s="320"/>
      <c r="G409" s="320"/>
      <c r="H409" s="320"/>
      <c r="I409" s="320"/>
      <c r="J409" s="320"/>
      <c r="K409" s="320"/>
      <c r="L409" s="320"/>
      <c r="M409" s="320"/>
      <c r="N409" s="320"/>
      <c r="O409" s="320"/>
      <c r="P409" s="320"/>
      <c r="Q409" s="320"/>
      <c r="R409" s="320"/>
      <c r="S409" s="320"/>
      <c r="T409" s="320"/>
      <c r="U409" s="320"/>
      <c r="V409" s="320"/>
      <c r="W409" s="320"/>
      <c r="X409" s="320"/>
      <c r="Y409" s="320"/>
      <c r="Z409" s="320"/>
      <c r="AA409" s="320"/>
      <c r="AB409" s="320"/>
      <c r="AC409" s="320"/>
      <c r="AD409" s="320"/>
      <c r="AE409" s="320"/>
      <c r="AF409" s="320"/>
      <c r="AG409" s="320"/>
      <c r="AH409" s="320"/>
      <c r="AI409" s="320"/>
      <c r="AJ409" s="320"/>
      <c r="AK409" s="320"/>
    </row>
    <row r="410" spans="1:37" x14ac:dyDescent="0.25">
      <c r="A410" s="319"/>
      <c r="D410" s="315"/>
      <c r="E410" s="320"/>
      <c r="F410" s="320"/>
      <c r="G410" s="320"/>
      <c r="H410" s="320"/>
      <c r="I410" s="320"/>
      <c r="J410" s="320"/>
      <c r="K410" s="320"/>
      <c r="L410" s="320"/>
      <c r="M410" s="320"/>
      <c r="N410" s="320"/>
      <c r="O410" s="320"/>
      <c r="P410" s="320"/>
      <c r="Q410" s="320"/>
      <c r="R410" s="320"/>
      <c r="S410" s="320"/>
      <c r="T410" s="320"/>
      <c r="U410" s="320"/>
      <c r="V410" s="320"/>
      <c r="W410" s="320"/>
      <c r="X410" s="320"/>
      <c r="Y410" s="320"/>
      <c r="Z410" s="320"/>
      <c r="AA410" s="320"/>
      <c r="AB410" s="320"/>
      <c r="AC410" s="320"/>
      <c r="AD410" s="320"/>
      <c r="AE410" s="320"/>
      <c r="AF410" s="320"/>
      <c r="AG410" s="320"/>
      <c r="AH410" s="320"/>
      <c r="AI410" s="320"/>
      <c r="AJ410" s="320"/>
      <c r="AK410" s="320"/>
    </row>
    <row r="411" spans="1:37" x14ac:dyDescent="0.25">
      <c r="A411" s="319"/>
      <c r="D411" s="315"/>
      <c r="E411" s="320"/>
      <c r="F411" s="320"/>
      <c r="G411" s="320"/>
      <c r="H411" s="320"/>
      <c r="I411" s="320"/>
      <c r="J411" s="320"/>
      <c r="K411" s="320"/>
      <c r="L411" s="320"/>
      <c r="M411" s="320"/>
      <c r="N411" s="320"/>
      <c r="O411" s="320"/>
      <c r="P411" s="320"/>
      <c r="Q411" s="320"/>
      <c r="R411" s="320"/>
      <c r="S411" s="320"/>
      <c r="T411" s="320"/>
      <c r="U411" s="320"/>
      <c r="V411" s="320"/>
      <c r="W411" s="320"/>
      <c r="X411" s="320"/>
      <c r="Y411" s="320"/>
      <c r="Z411" s="320"/>
      <c r="AA411" s="320"/>
      <c r="AB411" s="320"/>
      <c r="AC411" s="320"/>
      <c r="AD411" s="320"/>
      <c r="AE411" s="320"/>
      <c r="AF411" s="320"/>
      <c r="AG411" s="320"/>
      <c r="AH411" s="320"/>
      <c r="AI411" s="320"/>
      <c r="AJ411" s="320"/>
      <c r="AK411" s="320"/>
    </row>
    <row r="412" spans="1:37" x14ac:dyDescent="0.25">
      <c r="A412" s="319"/>
      <c r="D412" s="315"/>
      <c r="E412" s="320"/>
      <c r="F412" s="320"/>
      <c r="G412" s="320"/>
      <c r="H412" s="320"/>
      <c r="I412" s="320"/>
      <c r="J412" s="320"/>
      <c r="K412" s="320"/>
      <c r="L412" s="320"/>
      <c r="M412" s="320"/>
      <c r="N412" s="320"/>
      <c r="O412" s="320"/>
      <c r="P412" s="320"/>
      <c r="Q412" s="320"/>
      <c r="R412" s="320"/>
      <c r="S412" s="320"/>
      <c r="T412" s="320"/>
      <c r="U412" s="320"/>
      <c r="V412" s="320"/>
      <c r="W412" s="320"/>
      <c r="X412" s="320"/>
      <c r="Y412" s="320"/>
      <c r="Z412" s="320"/>
      <c r="AA412" s="320"/>
      <c r="AB412" s="320"/>
      <c r="AC412" s="320"/>
      <c r="AD412" s="320"/>
      <c r="AE412" s="320"/>
      <c r="AF412" s="320"/>
      <c r="AG412" s="320"/>
      <c r="AH412" s="320"/>
      <c r="AI412" s="320"/>
      <c r="AJ412" s="320"/>
      <c r="AK412" s="320"/>
    </row>
    <row r="413" spans="1:37" x14ac:dyDescent="0.25">
      <c r="A413" s="319"/>
      <c r="D413" s="315"/>
      <c r="E413" s="320"/>
      <c r="F413" s="320"/>
      <c r="G413" s="320"/>
      <c r="H413" s="320"/>
      <c r="I413" s="320"/>
      <c r="J413" s="320"/>
      <c r="K413" s="320"/>
      <c r="L413" s="320"/>
      <c r="M413" s="320"/>
      <c r="N413" s="320"/>
      <c r="O413" s="320"/>
      <c r="P413" s="320"/>
      <c r="Q413" s="320"/>
      <c r="R413" s="320"/>
      <c r="S413" s="320"/>
      <c r="T413" s="320"/>
      <c r="U413" s="320"/>
      <c r="V413" s="320"/>
      <c r="W413" s="320"/>
      <c r="X413" s="320"/>
      <c r="Y413" s="320"/>
      <c r="Z413" s="320"/>
      <c r="AA413" s="320"/>
      <c r="AB413" s="320"/>
      <c r="AC413" s="320"/>
      <c r="AD413" s="320"/>
      <c r="AE413" s="320"/>
      <c r="AF413" s="320"/>
      <c r="AG413" s="320"/>
      <c r="AH413" s="320"/>
      <c r="AI413" s="320"/>
      <c r="AJ413" s="320"/>
      <c r="AK413" s="320"/>
    </row>
    <row r="414" spans="1:37" x14ac:dyDescent="0.25">
      <c r="A414" s="319"/>
      <c r="D414" s="315"/>
      <c r="E414" s="320"/>
      <c r="F414" s="320"/>
      <c r="G414" s="320"/>
      <c r="H414" s="320"/>
      <c r="I414" s="320"/>
      <c r="J414" s="320"/>
      <c r="K414" s="320"/>
      <c r="L414" s="320"/>
      <c r="M414" s="320"/>
      <c r="N414" s="320"/>
      <c r="O414" s="320"/>
      <c r="P414" s="320"/>
      <c r="Q414" s="320"/>
      <c r="R414" s="320"/>
      <c r="S414" s="320"/>
      <c r="T414" s="320"/>
      <c r="U414" s="320"/>
      <c r="V414" s="320"/>
      <c r="W414" s="320"/>
      <c r="X414" s="320"/>
      <c r="Y414" s="320"/>
      <c r="Z414" s="320"/>
      <c r="AA414" s="320"/>
      <c r="AB414" s="320"/>
      <c r="AC414" s="320"/>
      <c r="AD414" s="320"/>
      <c r="AE414" s="320"/>
      <c r="AF414" s="320"/>
      <c r="AG414" s="320"/>
      <c r="AH414" s="320"/>
      <c r="AI414" s="320"/>
      <c r="AJ414" s="320"/>
      <c r="AK414" s="320"/>
    </row>
    <row r="415" spans="1:37" x14ac:dyDescent="0.25">
      <c r="A415" s="319"/>
      <c r="D415" s="315"/>
      <c r="E415" s="320"/>
      <c r="F415" s="320"/>
      <c r="G415" s="320"/>
      <c r="H415" s="320"/>
      <c r="I415" s="320"/>
      <c r="J415" s="320"/>
      <c r="K415" s="320"/>
      <c r="L415" s="320"/>
      <c r="M415" s="320"/>
      <c r="N415" s="320"/>
      <c r="O415" s="320"/>
      <c r="P415" s="320"/>
      <c r="Q415" s="320"/>
      <c r="R415" s="320"/>
      <c r="S415" s="320"/>
      <c r="T415" s="320"/>
      <c r="U415" s="320"/>
      <c r="V415" s="320"/>
      <c r="W415" s="320"/>
      <c r="X415" s="320"/>
      <c r="Y415" s="320"/>
      <c r="Z415" s="320"/>
      <c r="AA415" s="320"/>
      <c r="AB415" s="320"/>
      <c r="AC415" s="320"/>
      <c r="AD415" s="320"/>
      <c r="AE415" s="320"/>
      <c r="AF415" s="320"/>
      <c r="AG415" s="320"/>
      <c r="AH415" s="320"/>
      <c r="AI415" s="320"/>
      <c r="AJ415" s="320"/>
      <c r="AK415" s="320"/>
    </row>
    <row r="416" spans="1:37" x14ac:dyDescent="0.25">
      <c r="A416" s="319"/>
      <c r="D416" s="315"/>
      <c r="E416" s="320"/>
      <c r="F416" s="320"/>
      <c r="G416" s="320"/>
      <c r="H416" s="320"/>
      <c r="I416" s="320"/>
      <c r="J416" s="320"/>
      <c r="K416" s="320"/>
      <c r="L416" s="320"/>
      <c r="M416" s="320"/>
      <c r="N416" s="320"/>
      <c r="O416" s="320"/>
      <c r="P416" s="320"/>
      <c r="Q416" s="320"/>
      <c r="R416" s="320"/>
      <c r="S416" s="320"/>
      <c r="T416" s="320"/>
      <c r="U416" s="320"/>
      <c r="V416" s="320"/>
      <c r="W416" s="320"/>
      <c r="X416" s="320"/>
      <c r="Y416" s="320"/>
      <c r="Z416" s="320"/>
      <c r="AA416" s="320"/>
      <c r="AB416" s="320"/>
      <c r="AC416" s="320"/>
      <c r="AD416" s="320"/>
      <c r="AE416" s="320"/>
      <c r="AF416" s="320"/>
      <c r="AG416" s="320"/>
      <c r="AH416" s="320"/>
      <c r="AI416" s="320"/>
      <c r="AJ416" s="320"/>
      <c r="AK416" s="320"/>
    </row>
    <row r="417" spans="1:37" x14ac:dyDescent="0.25">
      <c r="A417" s="319"/>
      <c r="D417" s="315"/>
      <c r="E417" s="320"/>
      <c r="F417" s="320"/>
      <c r="G417" s="320"/>
      <c r="H417" s="320"/>
      <c r="I417" s="320"/>
      <c r="J417" s="320"/>
      <c r="K417" s="320"/>
      <c r="L417" s="320"/>
      <c r="M417" s="320"/>
      <c r="N417" s="320"/>
      <c r="O417" s="320"/>
      <c r="P417" s="320"/>
      <c r="Q417" s="320"/>
      <c r="R417" s="320"/>
      <c r="S417" s="320"/>
      <c r="T417" s="320"/>
      <c r="U417" s="320"/>
      <c r="V417" s="320"/>
      <c r="W417" s="320"/>
      <c r="X417" s="320"/>
      <c r="Y417" s="320"/>
      <c r="Z417" s="320"/>
      <c r="AA417" s="320"/>
      <c r="AB417" s="320"/>
      <c r="AC417" s="320"/>
      <c r="AD417" s="320"/>
      <c r="AE417" s="320"/>
      <c r="AF417" s="320"/>
      <c r="AG417" s="320"/>
      <c r="AH417" s="320"/>
      <c r="AI417" s="320"/>
      <c r="AJ417" s="320"/>
      <c r="AK417" s="320"/>
    </row>
    <row r="418" spans="1:37" x14ac:dyDescent="0.25">
      <c r="A418" s="319"/>
      <c r="D418" s="315"/>
      <c r="E418" s="320"/>
      <c r="F418" s="320"/>
      <c r="G418" s="320"/>
      <c r="H418" s="320"/>
      <c r="I418" s="320"/>
      <c r="J418" s="320"/>
      <c r="K418" s="320"/>
      <c r="L418" s="320"/>
      <c r="M418" s="320"/>
      <c r="N418" s="320"/>
      <c r="O418" s="320"/>
      <c r="P418" s="320"/>
      <c r="Q418" s="320"/>
      <c r="R418" s="320"/>
      <c r="S418" s="320"/>
      <c r="T418" s="320"/>
      <c r="U418" s="320"/>
      <c r="V418" s="320"/>
      <c r="W418" s="320"/>
      <c r="X418" s="320"/>
      <c r="Y418" s="320"/>
      <c r="Z418" s="320"/>
      <c r="AA418" s="320"/>
      <c r="AB418" s="320"/>
      <c r="AC418" s="320"/>
      <c r="AD418" s="320"/>
      <c r="AE418" s="320"/>
      <c r="AF418" s="320"/>
      <c r="AG418" s="320"/>
      <c r="AH418" s="320"/>
      <c r="AI418" s="320"/>
      <c r="AJ418" s="320"/>
      <c r="AK418" s="320"/>
    </row>
    <row r="419" spans="1:37" x14ac:dyDescent="0.25">
      <c r="A419" s="319"/>
      <c r="D419" s="315"/>
      <c r="E419" s="320"/>
      <c r="F419" s="320"/>
      <c r="G419" s="320"/>
      <c r="H419" s="320"/>
      <c r="I419" s="320"/>
      <c r="J419" s="320"/>
      <c r="K419" s="320"/>
      <c r="L419" s="320"/>
      <c r="M419" s="320"/>
      <c r="N419" s="320"/>
      <c r="O419" s="320"/>
      <c r="P419" s="320"/>
      <c r="Q419" s="320"/>
      <c r="R419" s="320"/>
      <c r="S419" s="320"/>
      <c r="T419" s="320"/>
      <c r="U419" s="320"/>
      <c r="V419" s="320"/>
      <c r="W419" s="320"/>
      <c r="X419" s="320"/>
      <c r="Y419" s="320"/>
      <c r="Z419" s="320"/>
      <c r="AA419" s="320"/>
      <c r="AB419" s="320"/>
      <c r="AC419" s="320"/>
      <c r="AD419" s="320"/>
      <c r="AE419" s="320"/>
      <c r="AF419" s="320"/>
      <c r="AG419" s="320"/>
      <c r="AH419" s="320"/>
      <c r="AI419" s="320"/>
      <c r="AJ419" s="320"/>
      <c r="AK419" s="320"/>
    </row>
    <row r="420" spans="1:37" x14ac:dyDescent="0.25">
      <c r="A420" s="319"/>
      <c r="D420" s="315"/>
      <c r="E420" s="320"/>
      <c r="F420" s="320"/>
      <c r="G420" s="320"/>
      <c r="H420" s="320"/>
      <c r="I420" s="320"/>
      <c r="J420" s="320"/>
      <c r="K420" s="320"/>
      <c r="L420" s="320"/>
      <c r="M420" s="320"/>
      <c r="N420" s="320"/>
      <c r="O420" s="320"/>
      <c r="P420" s="320"/>
      <c r="Q420" s="320"/>
      <c r="R420" s="320"/>
      <c r="S420" s="320"/>
      <c r="T420" s="320"/>
      <c r="U420" s="320"/>
      <c r="V420" s="320"/>
      <c r="W420" s="320"/>
      <c r="X420" s="320"/>
      <c r="Y420" s="320"/>
      <c r="Z420" s="320"/>
      <c r="AA420" s="320"/>
      <c r="AB420" s="320"/>
      <c r="AC420" s="320"/>
      <c r="AD420" s="320"/>
      <c r="AE420" s="320"/>
      <c r="AF420" s="320"/>
      <c r="AG420" s="320"/>
      <c r="AH420" s="320"/>
      <c r="AI420" s="320"/>
      <c r="AJ420" s="320"/>
      <c r="AK420" s="320"/>
    </row>
    <row r="421" spans="1:37" x14ac:dyDescent="0.25">
      <c r="A421" s="319"/>
      <c r="D421" s="315"/>
      <c r="E421" s="320"/>
      <c r="F421" s="320"/>
      <c r="G421" s="320"/>
      <c r="H421" s="320"/>
      <c r="I421" s="320"/>
      <c r="J421" s="320"/>
      <c r="K421" s="320"/>
      <c r="L421" s="320"/>
      <c r="M421" s="320"/>
      <c r="N421" s="320"/>
      <c r="O421" s="320"/>
      <c r="P421" s="320"/>
      <c r="Q421" s="320"/>
      <c r="R421" s="320"/>
      <c r="S421" s="320"/>
      <c r="T421" s="320"/>
      <c r="U421" s="320"/>
      <c r="V421" s="320"/>
      <c r="W421" s="320"/>
      <c r="X421" s="320"/>
      <c r="Y421" s="320"/>
      <c r="Z421" s="320"/>
      <c r="AA421" s="320"/>
      <c r="AB421" s="320"/>
      <c r="AC421" s="320"/>
      <c r="AD421" s="320"/>
      <c r="AE421" s="320"/>
      <c r="AF421" s="320"/>
      <c r="AG421" s="320"/>
      <c r="AH421" s="320"/>
      <c r="AI421" s="320"/>
      <c r="AJ421" s="320"/>
      <c r="AK421" s="320"/>
    </row>
    <row r="422" spans="1:37" x14ac:dyDescent="0.25">
      <c r="A422" s="319"/>
      <c r="D422" s="315"/>
      <c r="E422" s="320"/>
      <c r="F422" s="320"/>
      <c r="G422" s="320"/>
      <c r="H422" s="320"/>
      <c r="I422" s="320"/>
      <c r="J422" s="320"/>
      <c r="K422" s="320"/>
      <c r="L422" s="320"/>
      <c r="M422" s="320"/>
      <c r="N422" s="320"/>
      <c r="O422" s="320"/>
      <c r="P422" s="320"/>
      <c r="Q422" s="320"/>
      <c r="R422" s="320"/>
      <c r="S422" s="320"/>
      <c r="T422" s="320"/>
      <c r="U422" s="320"/>
      <c r="V422" s="320"/>
      <c r="W422" s="320"/>
      <c r="X422" s="320"/>
      <c r="Y422" s="320"/>
      <c r="Z422" s="320"/>
      <c r="AA422" s="320"/>
      <c r="AB422" s="320"/>
      <c r="AC422" s="320"/>
      <c r="AD422" s="320"/>
      <c r="AE422" s="320"/>
      <c r="AF422" s="320"/>
      <c r="AG422" s="320"/>
      <c r="AH422" s="320"/>
      <c r="AI422" s="320"/>
      <c r="AJ422" s="320"/>
      <c r="AK422" s="320"/>
    </row>
    <row r="423" spans="1:37" x14ac:dyDescent="0.25">
      <c r="A423" s="319"/>
      <c r="D423" s="315"/>
      <c r="E423" s="320"/>
      <c r="F423" s="320"/>
      <c r="G423" s="320"/>
      <c r="H423" s="320"/>
      <c r="I423" s="320"/>
      <c r="J423" s="320"/>
      <c r="K423" s="320"/>
      <c r="L423" s="320"/>
      <c r="M423" s="320"/>
      <c r="N423" s="320"/>
      <c r="O423" s="320"/>
      <c r="P423" s="320"/>
      <c r="Q423" s="320"/>
      <c r="R423" s="320"/>
      <c r="S423" s="320"/>
      <c r="T423" s="320"/>
      <c r="U423" s="320"/>
      <c r="V423" s="320"/>
      <c r="W423" s="320"/>
      <c r="X423" s="320"/>
      <c r="Y423" s="320"/>
      <c r="Z423" s="320"/>
      <c r="AA423" s="320"/>
      <c r="AB423" s="320"/>
      <c r="AC423" s="320"/>
      <c r="AD423" s="320"/>
      <c r="AE423" s="320"/>
      <c r="AF423" s="320"/>
      <c r="AG423" s="320"/>
      <c r="AH423" s="320"/>
      <c r="AI423" s="320"/>
      <c r="AJ423" s="320"/>
      <c r="AK423" s="320"/>
    </row>
    <row r="424" spans="1:37" x14ac:dyDescent="0.25">
      <c r="D424" s="315"/>
      <c r="E424" s="320"/>
      <c r="F424" s="320"/>
      <c r="G424" s="320"/>
      <c r="H424" s="320"/>
      <c r="I424" s="320"/>
      <c r="J424" s="320"/>
      <c r="K424" s="320"/>
      <c r="L424" s="320"/>
      <c r="M424" s="320"/>
      <c r="N424" s="320"/>
      <c r="O424" s="320"/>
      <c r="P424" s="320"/>
      <c r="Q424" s="320"/>
      <c r="R424" s="320"/>
      <c r="S424" s="320"/>
      <c r="T424" s="320"/>
      <c r="U424" s="320"/>
      <c r="V424" s="320"/>
      <c r="W424" s="320"/>
      <c r="X424" s="320"/>
      <c r="Y424" s="320"/>
      <c r="Z424" s="320"/>
      <c r="AA424" s="320"/>
      <c r="AB424" s="320"/>
      <c r="AC424" s="320"/>
      <c r="AD424" s="320"/>
      <c r="AE424" s="320"/>
      <c r="AF424" s="320"/>
      <c r="AG424" s="320"/>
      <c r="AH424" s="320"/>
      <c r="AI424" s="320"/>
      <c r="AJ424" s="320"/>
      <c r="AK424" s="320"/>
    </row>
    <row r="425" spans="1:37" x14ac:dyDescent="0.25">
      <c r="D425" s="315"/>
      <c r="E425" s="320"/>
      <c r="F425" s="320"/>
      <c r="G425" s="320"/>
      <c r="H425" s="320"/>
      <c r="I425" s="320"/>
      <c r="J425" s="320"/>
      <c r="K425" s="320"/>
      <c r="L425" s="320"/>
      <c r="M425" s="320"/>
      <c r="N425" s="320"/>
      <c r="O425" s="320"/>
      <c r="P425" s="320"/>
      <c r="Q425" s="320"/>
      <c r="R425" s="320"/>
      <c r="S425" s="320"/>
      <c r="T425" s="320"/>
      <c r="U425" s="320"/>
      <c r="V425" s="320"/>
      <c r="W425" s="320"/>
      <c r="X425" s="320"/>
      <c r="Y425" s="320"/>
      <c r="Z425" s="320"/>
      <c r="AA425" s="320"/>
      <c r="AB425" s="320"/>
      <c r="AC425" s="320"/>
      <c r="AD425" s="320"/>
      <c r="AE425" s="320"/>
      <c r="AF425" s="320"/>
      <c r="AG425" s="320"/>
      <c r="AH425" s="320"/>
      <c r="AI425" s="320"/>
      <c r="AJ425" s="320"/>
      <c r="AK425" s="320"/>
    </row>
    <row r="426" spans="1:37" x14ac:dyDescent="0.25">
      <c r="D426" s="315"/>
      <c r="E426" s="320"/>
      <c r="F426" s="320"/>
      <c r="G426" s="320"/>
      <c r="H426" s="320"/>
      <c r="I426" s="320"/>
      <c r="J426" s="320"/>
      <c r="K426" s="320"/>
      <c r="L426" s="320"/>
      <c r="M426" s="320"/>
      <c r="N426" s="320"/>
      <c r="O426" s="320"/>
      <c r="P426" s="320"/>
      <c r="Q426" s="320"/>
      <c r="R426" s="320"/>
      <c r="S426" s="320"/>
      <c r="T426" s="320"/>
      <c r="U426" s="320"/>
      <c r="V426" s="320"/>
      <c r="W426" s="320"/>
      <c r="X426" s="320"/>
      <c r="Y426" s="320"/>
      <c r="Z426" s="320"/>
      <c r="AA426" s="320"/>
      <c r="AB426" s="320"/>
      <c r="AC426" s="320"/>
      <c r="AD426" s="320"/>
      <c r="AE426" s="320"/>
      <c r="AF426" s="320"/>
      <c r="AG426" s="320"/>
      <c r="AH426" s="320"/>
      <c r="AI426" s="320"/>
      <c r="AJ426" s="320"/>
      <c r="AK426" s="320"/>
    </row>
    <row r="427" spans="1:37" x14ac:dyDescent="0.25">
      <c r="D427" s="315"/>
      <c r="E427" s="320"/>
      <c r="F427" s="320"/>
      <c r="G427" s="320"/>
      <c r="H427" s="320"/>
      <c r="I427" s="320"/>
      <c r="J427" s="320"/>
      <c r="K427" s="320"/>
      <c r="L427" s="320"/>
      <c r="M427" s="320"/>
      <c r="N427" s="320"/>
      <c r="O427" s="320"/>
      <c r="P427" s="320"/>
      <c r="Q427" s="320"/>
      <c r="R427" s="320"/>
      <c r="S427" s="320"/>
      <c r="T427" s="320"/>
      <c r="U427" s="320"/>
      <c r="V427" s="320"/>
      <c r="W427" s="320"/>
      <c r="X427" s="320"/>
      <c r="Y427" s="320"/>
      <c r="Z427" s="320"/>
      <c r="AA427" s="320"/>
      <c r="AB427" s="320"/>
      <c r="AC427" s="320"/>
      <c r="AD427" s="320"/>
      <c r="AE427" s="320"/>
      <c r="AF427" s="320"/>
      <c r="AG427" s="320"/>
      <c r="AH427" s="320"/>
      <c r="AI427" s="320"/>
      <c r="AJ427" s="320"/>
      <c r="AK427" s="320"/>
    </row>
    <row r="428" spans="1:37" x14ac:dyDescent="0.25">
      <c r="D428" s="315"/>
      <c r="E428" s="320"/>
      <c r="F428" s="320"/>
      <c r="G428" s="320"/>
      <c r="H428" s="320"/>
      <c r="I428" s="320"/>
      <c r="J428" s="320"/>
      <c r="K428" s="320"/>
      <c r="L428" s="320"/>
      <c r="M428" s="320"/>
      <c r="N428" s="320"/>
      <c r="O428" s="320"/>
      <c r="P428" s="320"/>
      <c r="Q428" s="320"/>
      <c r="R428" s="320"/>
      <c r="S428" s="320"/>
      <c r="T428" s="320"/>
      <c r="U428" s="320"/>
      <c r="V428" s="320"/>
      <c r="W428" s="320"/>
      <c r="X428" s="320"/>
      <c r="Y428" s="320"/>
      <c r="Z428" s="320"/>
      <c r="AA428" s="320"/>
      <c r="AB428" s="320"/>
      <c r="AC428" s="320"/>
      <c r="AD428" s="320"/>
      <c r="AE428" s="320"/>
      <c r="AF428" s="320"/>
      <c r="AG428" s="320"/>
      <c r="AH428" s="320"/>
      <c r="AI428" s="320"/>
      <c r="AJ428" s="320"/>
      <c r="AK428" s="320"/>
    </row>
    <row r="429" spans="1:37" x14ac:dyDescent="0.25">
      <c r="D429" s="315"/>
      <c r="E429" s="320"/>
      <c r="F429" s="320"/>
      <c r="G429" s="320"/>
      <c r="H429" s="320"/>
      <c r="I429" s="320"/>
      <c r="J429" s="320"/>
      <c r="K429" s="320"/>
      <c r="L429" s="320"/>
      <c r="M429" s="320"/>
      <c r="N429" s="320"/>
      <c r="O429" s="320"/>
      <c r="P429" s="320"/>
      <c r="Q429" s="320"/>
      <c r="R429" s="320"/>
      <c r="S429" s="320"/>
      <c r="T429" s="320"/>
      <c r="U429" s="320"/>
      <c r="V429" s="320"/>
      <c r="W429" s="320"/>
      <c r="X429" s="320"/>
      <c r="Y429" s="320"/>
      <c r="Z429" s="320"/>
      <c r="AA429" s="320"/>
      <c r="AB429" s="320"/>
      <c r="AC429" s="320"/>
      <c r="AD429" s="320"/>
      <c r="AE429" s="320"/>
      <c r="AF429" s="320"/>
      <c r="AG429" s="320"/>
      <c r="AH429" s="320"/>
      <c r="AI429" s="320"/>
      <c r="AJ429" s="320"/>
      <c r="AK429" s="320"/>
    </row>
    <row r="430" spans="1:37" x14ac:dyDescent="0.25">
      <c r="D430" s="315"/>
      <c r="E430" s="320"/>
      <c r="F430" s="320"/>
      <c r="G430" s="320"/>
      <c r="H430" s="320"/>
      <c r="I430" s="320"/>
      <c r="J430" s="320"/>
      <c r="K430" s="320"/>
      <c r="L430" s="320"/>
      <c r="M430" s="320"/>
      <c r="N430" s="320"/>
      <c r="O430" s="320"/>
      <c r="P430" s="320"/>
      <c r="Q430" s="320"/>
      <c r="R430" s="320"/>
      <c r="S430" s="320"/>
      <c r="T430" s="320"/>
      <c r="U430" s="320"/>
      <c r="V430" s="320"/>
      <c r="W430" s="320"/>
      <c r="X430" s="320"/>
      <c r="Y430" s="320"/>
      <c r="Z430" s="320"/>
      <c r="AA430" s="320"/>
      <c r="AB430" s="320"/>
      <c r="AC430" s="320"/>
      <c r="AD430" s="320"/>
      <c r="AE430" s="320"/>
      <c r="AF430" s="320"/>
      <c r="AG430" s="320"/>
      <c r="AH430" s="320"/>
      <c r="AI430" s="320"/>
      <c r="AJ430" s="320"/>
      <c r="AK430" s="320"/>
    </row>
    <row r="431" spans="1:37" x14ac:dyDescent="0.25">
      <c r="A431" s="318"/>
      <c r="D431" s="315"/>
      <c r="E431" s="320"/>
      <c r="F431" s="320"/>
      <c r="G431" s="320"/>
      <c r="H431" s="320"/>
      <c r="I431" s="320"/>
      <c r="J431" s="320"/>
      <c r="K431" s="320"/>
      <c r="L431" s="320"/>
      <c r="M431" s="320"/>
      <c r="N431" s="320"/>
      <c r="O431" s="320"/>
      <c r="P431" s="320"/>
      <c r="Q431" s="320"/>
      <c r="R431" s="320"/>
      <c r="S431" s="320"/>
      <c r="T431" s="320"/>
      <c r="U431" s="320"/>
      <c r="V431" s="320"/>
      <c r="W431" s="320"/>
      <c r="X431" s="320"/>
      <c r="Y431" s="320"/>
      <c r="Z431" s="320"/>
      <c r="AA431" s="320"/>
      <c r="AB431" s="320"/>
      <c r="AC431" s="320"/>
      <c r="AD431" s="320"/>
      <c r="AE431" s="320"/>
      <c r="AF431" s="320"/>
      <c r="AG431" s="320"/>
      <c r="AH431" s="320"/>
      <c r="AI431" s="320"/>
      <c r="AJ431" s="320"/>
      <c r="AK431" s="320"/>
    </row>
    <row r="432" spans="1:37" x14ac:dyDescent="0.25">
      <c r="A432" s="319"/>
      <c r="D432" s="315"/>
      <c r="E432" s="320"/>
      <c r="F432" s="320"/>
      <c r="G432" s="320"/>
      <c r="H432" s="320"/>
      <c r="I432" s="320"/>
      <c r="J432" s="320"/>
      <c r="K432" s="320"/>
      <c r="L432" s="320"/>
      <c r="M432" s="320"/>
      <c r="N432" s="320"/>
      <c r="O432" s="320"/>
      <c r="P432" s="320"/>
      <c r="Q432" s="320"/>
      <c r="R432" s="320"/>
      <c r="S432" s="320"/>
      <c r="T432" s="320"/>
      <c r="U432" s="320"/>
      <c r="V432" s="320"/>
      <c r="W432" s="320"/>
      <c r="X432" s="320"/>
      <c r="Y432" s="320"/>
      <c r="Z432" s="320"/>
      <c r="AA432" s="320"/>
      <c r="AB432" s="320"/>
      <c r="AC432" s="320"/>
      <c r="AD432" s="320"/>
      <c r="AE432" s="320"/>
      <c r="AF432" s="320"/>
      <c r="AG432" s="320"/>
      <c r="AH432" s="320"/>
      <c r="AI432" s="320"/>
      <c r="AJ432" s="320"/>
      <c r="AK432" s="320"/>
    </row>
    <row r="433" spans="1:37" x14ac:dyDescent="0.25">
      <c r="A433" s="319"/>
      <c r="D433" s="315"/>
      <c r="E433" s="320"/>
      <c r="F433" s="320"/>
      <c r="G433" s="320"/>
      <c r="H433" s="320"/>
      <c r="I433" s="320"/>
      <c r="J433" s="320"/>
      <c r="K433" s="320"/>
      <c r="L433" s="320"/>
      <c r="M433" s="320"/>
      <c r="N433" s="320"/>
      <c r="O433" s="320"/>
      <c r="P433" s="320"/>
      <c r="Q433" s="320"/>
      <c r="R433" s="320"/>
      <c r="S433" s="320"/>
      <c r="T433" s="320"/>
      <c r="U433" s="320"/>
      <c r="V433" s="320"/>
      <c r="W433" s="320"/>
      <c r="X433" s="320"/>
      <c r="Y433" s="320"/>
      <c r="Z433" s="320"/>
      <c r="AA433" s="320"/>
      <c r="AB433" s="320"/>
      <c r="AC433" s="320"/>
      <c r="AD433" s="320"/>
      <c r="AE433" s="320"/>
      <c r="AF433" s="320"/>
      <c r="AG433" s="320"/>
      <c r="AH433" s="320"/>
      <c r="AI433" s="320"/>
      <c r="AJ433" s="320"/>
      <c r="AK433" s="320"/>
    </row>
    <row r="434" spans="1:37" x14ac:dyDescent="0.25">
      <c r="A434" s="319"/>
      <c r="D434" s="315"/>
      <c r="E434" s="320"/>
      <c r="F434" s="320"/>
      <c r="G434" s="320"/>
      <c r="H434" s="320"/>
      <c r="I434" s="320"/>
      <c r="J434" s="320"/>
      <c r="K434" s="320"/>
      <c r="L434" s="320"/>
      <c r="M434" s="320"/>
      <c r="N434" s="320"/>
      <c r="O434" s="320"/>
      <c r="P434" s="320"/>
      <c r="Q434" s="320"/>
      <c r="R434" s="320"/>
      <c r="S434" s="320"/>
      <c r="T434" s="320"/>
      <c r="U434" s="320"/>
      <c r="V434" s="320"/>
      <c r="W434" s="320"/>
      <c r="X434" s="320"/>
      <c r="Y434" s="320"/>
      <c r="Z434" s="320"/>
      <c r="AA434" s="320"/>
      <c r="AB434" s="320"/>
      <c r="AC434" s="320"/>
      <c r="AD434" s="320"/>
      <c r="AE434" s="320"/>
      <c r="AF434" s="320"/>
      <c r="AG434" s="320"/>
      <c r="AH434" s="320"/>
      <c r="AI434" s="320"/>
      <c r="AJ434" s="320"/>
      <c r="AK434" s="320"/>
    </row>
    <row r="435" spans="1:37" x14ac:dyDescent="0.25">
      <c r="A435" s="319"/>
      <c r="D435" s="315"/>
      <c r="E435" s="320"/>
      <c r="F435" s="320"/>
      <c r="G435" s="320"/>
      <c r="H435" s="320"/>
      <c r="I435" s="320"/>
      <c r="J435" s="320"/>
      <c r="K435" s="320"/>
      <c r="L435" s="320"/>
      <c r="M435" s="320"/>
      <c r="N435" s="320"/>
      <c r="O435" s="320"/>
      <c r="P435" s="320"/>
      <c r="Q435" s="320"/>
      <c r="R435" s="320"/>
      <c r="S435" s="320"/>
      <c r="T435" s="320"/>
      <c r="U435" s="320"/>
      <c r="V435" s="320"/>
      <c r="W435" s="320"/>
      <c r="X435" s="320"/>
      <c r="Y435" s="320"/>
      <c r="Z435" s="320"/>
      <c r="AA435" s="320"/>
      <c r="AB435" s="320"/>
      <c r="AC435" s="320"/>
      <c r="AD435" s="320"/>
      <c r="AE435" s="320"/>
      <c r="AF435" s="320"/>
      <c r="AG435" s="320"/>
      <c r="AH435" s="320"/>
      <c r="AI435" s="320"/>
      <c r="AJ435" s="320"/>
      <c r="AK435" s="320"/>
    </row>
    <row r="436" spans="1:37" x14ac:dyDescent="0.25">
      <c r="A436" s="319"/>
      <c r="D436" s="315"/>
      <c r="E436" s="320"/>
      <c r="F436" s="320"/>
      <c r="G436" s="320"/>
      <c r="H436" s="320"/>
      <c r="I436" s="320"/>
      <c r="J436" s="320"/>
      <c r="K436" s="320"/>
      <c r="L436" s="320"/>
      <c r="M436" s="320"/>
      <c r="N436" s="320"/>
      <c r="O436" s="320"/>
      <c r="P436" s="320"/>
      <c r="Q436" s="320"/>
      <c r="R436" s="320"/>
      <c r="S436" s="320"/>
      <c r="T436" s="320"/>
      <c r="U436" s="320"/>
      <c r="V436" s="320"/>
      <c r="W436" s="320"/>
      <c r="X436" s="320"/>
      <c r="Y436" s="320"/>
      <c r="Z436" s="320"/>
      <c r="AA436" s="320"/>
      <c r="AB436" s="320"/>
      <c r="AC436" s="320"/>
      <c r="AD436" s="320"/>
      <c r="AE436" s="320"/>
      <c r="AF436" s="320"/>
      <c r="AG436" s="320"/>
      <c r="AH436" s="320"/>
      <c r="AI436" s="320"/>
      <c r="AJ436" s="320"/>
      <c r="AK436" s="320"/>
    </row>
    <row r="437" spans="1:37" x14ac:dyDescent="0.25">
      <c r="A437" s="319"/>
      <c r="D437" s="315"/>
      <c r="E437" s="320"/>
      <c r="F437" s="320"/>
      <c r="G437" s="320"/>
      <c r="H437" s="320"/>
      <c r="I437" s="320"/>
      <c r="J437" s="320"/>
      <c r="K437" s="320"/>
      <c r="L437" s="320"/>
      <c r="M437" s="320"/>
      <c r="N437" s="320"/>
      <c r="O437" s="320"/>
      <c r="P437" s="320"/>
      <c r="Q437" s="320"/>
      <c r="R437" s="320"/>
      <c r="S437" s="320"/>
      <c r="T437" s="320"/>
      <c r="U437" s="320"/>
      <c r="V437" s="320"/>
      <c r="W437" s="320"/>
      <c r="X437" s="320"/>
      <c r="Y437" s="320"/>
      <c r="Z437" s="320"/>
      <c r="AA437" s="320"/>
      <c r="AB437" s="320"/>
      <c r="AC437" s="320"/>
      <c r="AD437" s="320"/>
      <c r="AE437" s="320"/>
      <c r="AF437" s="320"/>
      <c r="AG437" s="320"/>
      <c r="AH437" s="320"/>
      <c r="AI437" s="320"/>
      <c r="AJ437" s="320"/>
      <c r="AK437" s="320"/>
    </row>
    <row r="438" spans="1:37" x14ac:dyDescent="0.25">
      <c r="A438" s="319"/>
      <c r="D438" s="315"/>
      <c r="E438" s="320"/>
      <c r="F438" s="320"/>
      <c r="G438" s="320"/>
      <c r="H438" s="320"/>
      <c r="I438" s="320"/>
      <c r="J438" s="320"/>
      <c r="K438" s="320"/>
      <c r="L438" s="320"/>
      <c r="M438" s="320"/>
      <c r="N438" s="320"/>
      <c r="O438" s="320"/>
      <c r="P438" s="320"/>
      <c r="Q438" s="320"/>
      <c r="R438" s="320"/>
      <c r="S438" s="320"/>
      <c r="T438" s="320"/>
      <c r="U438" s="320"/>
      <c r="V438" s="320"/>
      <c r="W438" s="320"/>
      <c r="X438" s="320"/>
      <c r="Y438" s="320"/>
      <c r="Z438" s="320"/>
      <c r="AA438" s="320"/>
      <c r="AB438" s="320"/>
      <c r="AC438" s="320"/>
      <c r="AD438" s="320"/>
      <c r="AE438" s="320"/>
      <c r="AF438" s="320"/>
      <c r="AG438" s="320"/>
      <c r="AH438" s="320"/>
      <c r="AI438" s="320"/>
      <c r="AJ438" s="320"/>
      <c r="AK438" s="320"/>
    </row>
    <row r="439" spans="1:37" x14ac:dyDescent="0.25">
      <c r="A439" s="319"/>
      <c r="D439" s="315"/>
      <c r="E439" s="320"/>
      <c r="F439" s="320"/>
      <c r="G439" s="320"/>
      <c r="H439" s="320"/>
      <c r="I439" s="320"/>
      <c r="J439" s="320"/>
      <c r="K439" s="320"/>
      <c r="L439" s="320"/>
      <c r="M439" s="320"/>
      <c r="N439" s="320"/>
      <c r="O439" s="320"/>
      <c r="P439" s="320"/>
      <c r="Q439" s="320"/>
      <c r="R439" s="320"/>
      <c r="S439" s="320"/>
      <c r="T439" s="320"/>
      <c r="U439" s="320"/>
      <c r="V439" s="320"/>
      <c r="W439" s="320"/>
      <c r="X439" s="320"/>
      <c r="Y439" s="320"/>
      <c r="Z439" s="320"/>
      <c r="AA439" s="320"/>
      <c r="AB439" s="320"/>
      <c r="AC439" s="320"/>
      <c r="AD439" s="320"/>
      <c r="AE439" s="320"/>
      <c r="AF439" s="320"/>
      <c r="AG439" s="320"/>
      <c r="AH439" s="320"/>
      <c r="AI439" s="320"/>
      <c r="AJ439" s="320"/>
      <c r="AK439" s="320"/>
    </row>
    <row r="440" spans="1:37" x14ac:dyDescent="0.25">
      <c r="A440" s="319"/>
      <c r="D440" s="315"/>
      <c r="E440" s="320"/>
      <c r="F440" s="320"/>
      <c r="G440" s="320"/>
      <c r="H440" s="320"/>
      <c r="I440" s="320"/>
      <c r="J440" s="320"/>
      <c r="K440" s="320"/>
      <c r="L440" s="320"/>
      <c r="M440" s="320"/>
      <c r="N440" s="320"/>
      <c r="O440" s="320"/>
      <c r="P440" s="320"/>
      <c r="Q440" s="320"/>
      <c r="R440" s="320"/>
      <c r="S440" s="320"/>
      <c r="T440" s="320"/>
      <c r="U440" s="320"/>
      <c r="V440" s="320"/>
      <c r="W440" s="320"/>
      <c r="X440" s="320"/>
      <c r="Y440" s="320"/>
      <c r="Z440" s="320"/>
      <c r="AA440" s="320"/>
      <c r="AB440" s="320"/>
      <c r="AC440" s="320"/>
      <c r="AD440" s="320"/>
      <c r="AE440" s="320"/>
      <c r="AF440" s="320"/>
      <c r="AG440" s="320"/>
      <c r="AH440" s="320"/>
      <c r="AI440" s="320"/>
      <c r="AJ440" s="320"/>
      <c r="AK440" s="320"/>
    </row>
    <row r="441" spans="1:37" x14ac:dyDescent="0.25">
      <c r="A441" s="319"/>
      <c r="D441" s="315"/>
      <c r="E441" s="320"/>
      <c r="F441" s="320"/>
      <c r="G441" s="320"/>
      <c r="H441" s="320"/>
      <c r="I441" s="320"/>
      <c r="J441" s="320"/>
      <c r="K441" s="320"/>
      <c r="L441" s="320"/>
      <c r="M441" s="320"/>
      <c r="N441" s="320"/>
      <c r="O441" s="320"/>
      <c r="P441" s="320"/>
      <c r="Q441" s="320"/>
      <c r="R441" s="320"/>
      <c r="S441" s="320"/>
      <c r="T441" s="320"/>
      <c r="U441" s="320"/>
      <c r="V441" s="320"/>
      <c r="W441" s="320"/>
      <c r="X441" s="320"/>
      <c r="Y441" s="320"/>
      <c r="Z441" s="320"/>
      <c r="AA441" s="320"/>
      <c r="AB441" s="320"/>
      <c r="AC441" s="320"/>
      <c r="AD441" s="320"/>
      <c r="AE441" s="320"/>
      <c r="AF441" s="320"/>
      <c r="AG441" s="320"/>
      <c r="AH441" s="320"/>
      <c r="AI441" s="320"/>
      <c r="AJ441" s="320"/>
      <c r="AK441" s="320"/>
    </row>
    <row r="442" spans="1:37" x14ac:dyDescent="0.25">
      <c r="A442" s="319"/>
      <c r="D442" s="315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320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320"/>
    </row>
    <row r="443" spans="1:37" x14ac:dyDescent="0.25">
      <c r="A443" s="319"/>
      <c r="D443" s="315"/>
      <c r="E443" s="320"/>
      <c r="F443" s="320"/>
      <c r="G443" s="320"/>
      <c r="H443" s="320"/>
      <c r="I443" s="320"/>
      <c r="J443" s="320"/>
      <c r="K443" s="320"/>
      <c r="L443" s="320"/>
      <c r="M443" s="320"/>
      <c r="N443" s="320"/>
      <c r="O443" s="320"/>
      <c r="P443" s="320"/>
      <c r="Q443" s="320"/>
      <c r="R443" s="320"/>
      <c r="S443" s="320"/>
      <c r="T443" s="320"/>
      <c r="U443" s="320"/>
      <c r="V443" s="320"/>
      <c r="W443" s="320"/>
      <c r="X443" s="320"/>
      <c r="Y443" s="320"/>
      <c r="Z443" s="320"/>
      <c r="AA443" s="320"/>
      <c r="AB443" s="320"/>
      <c r="AC443" s="320"/>
      <c r="AD443" s="320"/>
      <c r="AE443" s="320"/>
      <c r="AF443" s="320"/>
      <c r="AG443" s="320"/>
      <c r="AH443" s="320"/>
      <c r="AI443" s="320"/>
      <c r="AJ443" s="320"/>
      <c r="AK443" s="320"/>
    </row>
    <row r="444" spans="1:37" x14ac:dyDescent="0.25">
      <c r="A444" s="319"/>
      <c r="D444" s="315"/>
      <c r="E444" s="320"/>
      <c r="F444" s="320"/>
      <c r="G444" s="320"/>
      <c r="H444" s="320"/>
      <c r="I444" s="320"/>
      <c r="J444" s="320"/>
      <c r="K444" s="320"/>
      <c r="L444" s="320"/>
      <c r="M444" s="320"/>
      <c r="N444" s="320"/>
      <c r="O444" s="320"/>
      <c r="P444" s="320"/>
      <c r="Q444" s="320"/>
      <c r="R444" s="320"/>
      <c r="S444" s="320"/>
      <c r="T444" s="320"/>
      <c r="U444" s="320"/>
      <c r="V444" s="320"/>
      <c r="W444" s="320"/>
      <c r="X444" s="320"/>
      <c r="Y444" s="320"/>
      <c r="Z444" s="320"/>
      <c r="AA444" s="320"/>
      <c r="AB444" s="320"/>
      <c r="AC444" s="320"/>
      <c r="AD444" s="320"/>
      <c r="AE444" s="320"/>
      <c r="AF444" s="320"/>
      <c r="AG444" s="320"/>
      <c r="AH444" s="320"/>
      <c r="AI444" s="320"/>
      <c r="AJ444" s="320"/>
      <c r="AK444" s="320"/>
    </row>
    <row r="445" spans="1:37" x14ac:dyDescent="0.25">
      <c r="A445" s="319"/>
      <c r="D445" s="315"/>
      <c r="E445" s="320"/>
      <c r="F445" s="320"/>
      <c r="G445" s="320"/>
      <c r="H445" s="320"/>
      <c r="I445" s="320"/>
      <c r="J445" s="320"/>
      <c r="K445" s="320"/>
      <c r="L445" s="320"/>
      <c r="M445" s="320"/>
      <c r="N445" s="320"/>
      <c r="O445" s="320"/>
      <c r="P445" s="320"/>
      <c r="Q445" s="320"/>
      <c r="R445" s="320"/>
      <c r="S445" s="320"/>
      <c r="T445" s="320"/>
      <c r="U445" s="320"/>
      <c r="V445" s="320"/>
      <c r="W445" s="320"/>
      <c r="X445" s="320"/>
      <c r="Y445" s="320"/>
      <c r="Z445" s="320"/>
      <c r="AA445" s="320"/>
      <c r="AB445" s="320"/>
      <c r="AC445" s="320"/>
      <c r="AD445" s="320"/>
      <c r="AE445" s="320"/>
      <c r="AF445" s="320"/>
      <c r="AG445" s="320"/>
      <c r="AH445" s="320"/>
      <c r="AI445" s="320"/>
      <c r="AJ445" s="320"/>
      <c r="AK445" s="320"/>
    </row>
    <row r="446" spans="1:37" x14ac:dyDescent="0.25">
      <c r="A446" s="319"/>
      <c r="D446" s="315"/>
      <c r="E446" s="320"/>
      <c r="F446" s="320"/>
      <c r="G446" s="320"/>
      <c r="H446" s="320"/>
      <c r="I446" s="320"/>
      <c r="J446" s="320"/>
      <c r="K446" s="320"/>
      <c r="L446" s="320"/>
      <c r="M446" s="320"/>
      <c r="N446" s="320"/>
      <c r="O446" s="320"/>
      <c r="P446" s="320"/>
      <c r="Q446" s="320"/>
      <c r="R446" s="320"/>
      <c r="S446" s="320"/>
      <c r="T446" s="320"/>
      <c r="U446" s="320"/>
      <c r="V446" s="320"/>
      <c r="W446" s="320"/>
      <c r="X446" s="320"/>
      <c r="Y446" s="320"/>
      <c r="Z446" s="320"/>
      <c r="AA446" s="320"/>
      <c r="AB446" s="320"/>
      <c r="AC446" s="320"/>
      <c r="AD446" s="320"/>
      <c r="AE446" s="320"/>
      <c r="AF446" s="320"/>
      <c r="AG446" s="320"/>
      <c r="AH446" s="320"/>
      <c r="AI446" s="320"/>
      <c r="AJ446" s="320"/>
      <c r="AK446" s="320"/>
    </row>
    <row r="447" spans="1:37" x14ac:dyDescent="0.25">
      <c r="A447" s="319"/>
      <c r="D447" s="315"/>
      <c r="E447" s="320"/>
      <c r="F447" s="320"/>
      <c r="G447" s="320"/>
      <c r="H447" s="320"/>
      <c r="I447" s="320"/>
      <c r="J447" s="320"/>
      <c r="K447" s="320"/>
      <c r="L447" s="320"/>
      <c r="M447" s="320"/>
      <c r="N447" s="320"/>
      <c r="O447" s="320"/>
      <c r="P447" s="320"/>
      <c r="Q447" s="320"/>
      <c r="R447" s="320"/>
      <c r="S447" s="320"/>
      <c r="T447" s="320"/>
      <c r="U447" s="320"/>
      <c r="V447" s="320"/>
      <c r="W447" s="320"/>
      <c r="X447" s="320"/>
      <c r="Y447" s="320"/>
      <c r="Z447" s="320"/>
      <c r="AA447" s="320"/>
      <c r="AB447" s="320"/>
      <c r="AC447" s="320"/>
      <c r="AD447" s="320"/>
      <c r="AE447" s="320"/>
      <c r="AF447" s="320"/>
      <c r="AG447" s="320"/>
      <c r="AH447" s="320"/>
      <c r="AI447" s="320"/>
      <c r="AJ447" s="320"/>
      <c r="AK447" s="320"/>
    </row>
    <row r="448" spans="1:37" x14ac:dyDescent="0.25">
      <c r="A448" s="319"/>
      <c r="D448" s="315"/>
      <c r="E448" s="320"/>
      <c r="F448" s="320"/>
      <c r="G448" s="320"/>
      <c r="H448" s="320"/>
      <c r="I448" s="320"/>
      <c r="J448" s="320"/>
      <c r="K448" s="320"/>
      <c r="L448" s="320"/>
      <c r="M448" s="320"/>
      <c r="N448" s="320"/>
      <c r="O448" s="320"/>
      <c r="P448" s="320"/>
      <c r="Q448" s="320"/>
      <c r="R448" s="320"/>
      <c r="S448" s="320"/>
      <c r="T448" s="320"/>
      <c r="U448" s="320"/>
      <c r="V448" s="320"/>
      <c r="W448" s="320"/>
      <c r="X448" s="320"/>
      <c r="Y448" s="320"/>
      <c r="Z448" s="320"/>
      <c r="AA448" s="320"/>
      <c r="AB448" s="320"/>
      <c r="AC448" s="320"/>
      <c r="AD448" s="320"/>
      <c r="AE448" s="320"/>
      <c r="AF448" s="320"/>
      <c r="AG448" s="320"/>
      <c r="AH448" s="320"/>
      <c r="AI448" s="320"/>
      <c r="AJ448" s="320"/>
      <c r="AK448" s="320"/>
    </row>
    <row r="449" spans="1:37" x14ac:dyDescent="0.25">
      <c r="A449" s="319"/>
      <c r="D449" s="315"/>
      <c r="E449" s="320"/>
      <c r="F449" s="320"/>
      <c r="G449" s="320"/>
      <c r="H449" s="320"/>
      <c r="I449" s="320"/>
      <c r="J449" s="320"/>
      <c r="K449" s="320"/>
      <c r="L449" s="320"/>
      <c r="M449" s="320"/>
      <c r="N449" s="320"/>
      <c r="O449" s="320"/>
      <c r="P449" s="320"/>
      <c r="Q449" s="320"/>
      <c r="R449" s="320"/>
      <c r="S449" s="320"/>
      <c r="T449" s="320"/>
      <c r="U449" s="320"/>
      <c r="V449" s="320"/>
      <c r="W449" s="320"/>
      <c r="X449" s="320"/>
      <c r="Y449" s="320"/>
      <c r="Z449" s="320"/>
      <c r="AA449" s="320"/>
      <c r="AB449" s="320"/>
      <c r="AC449" s="320"/>
      <c r="AD449" s="320"/>
      <c r="AE449" s="320"/>
      <c r="AF449" s="320"/>
      <c r="AG449" s="320"/>
      <c r="AH449" s="320"/>
      <c r="AI449" s="320"/>
      <c r="AJ449" s="320"/>
      <c r="AK449" s="320"/>
    </row>
    <row r="450" spans="1:37" x14ac:dyDescent="0.25">
      <c r="D450" s="315"/>
      <c r="E450" s="320"/>
      <c r="F450" s="320"/>
      <c r="G450" s="320"/>
      <c r="H450" s="320"/>
      <c r="I450" s="320"/>
      <c r="J450" s="320"/>
      <c r="K450" s="320"/>
      <c r="L450" s="320"/>
      <c r="M450" s="320"/>
      <c r="N450" s="320"/>
      <c r="O450" s="320"/>
      <c r="P450" s="320"/>
      <c r="Q450" s="320"/>
      <c r="R450" s="320"/>
      <c r="S450" s="320"/>
      <c r="T450" s="320"/>
      <c r="U450" s="320"/>
      <c r="V450" s="320"/>
      <c r="W450" s="320"/>
      <c r="X450" s="320"/>
      <c r="Y450" s="320"/>
      <c r="Z450" s="320"/>
      <c r="AA450" s="320"/>
      <c r="AB450" s="320"/>
      <c r="AC450" s="320"/>
      <c r="AD450" s="320"/>
      <c r="AE450" s="320"/>
      <c r="AF450" s="320"/>
      <c r="AG450" s="320"/>
      <c r="AH450" s="320"/>
      <c r="AI450" s="320"/>
      <c r="AJ450" s="320"/>
      <c r="AK450" s="320"/>
    </row>
    <row r="451" spans="1:37" x14ac:dyDescent="0.25">
      <c r="D451" s="315"/>
      <c r="E451" s="320"/>
      <c r="F451" s="320"/>
      <c r="G451" s="320"/>
      <c r="H451" s="320"/>
      <c r="I451" s="320"/>
      <c r="J451" s="320"/>
      <c r="K451" s="320"/>
      <c r="L451" s="320"/>
      <c r="M451" s="320"/>
      <c r="N451" s="320"/>
      <c r="O451" s="320"/>
      <c r="P451" s="320"/>
      <c r="Q451" s="320"/>
      <c r="R451" s="320"/>
      <c r="S451" s="320"/>
      <c r="T451" s="320"/>
      <c r="U451" s="320"/>
      <c r="V451" s="320"/>
      <c r="W451" s="320"/>
      <c r="X451" s="320"/>
      <c r="Y451" s="320"/>
      <c r="Z451" s="320"/>
      <c r="AA451" s="320"/>
      <c r="AB451" s="320"/>
      <c r="AC451" s="320"/>
      <c r="AD451" s="320"/>
      <c r="AE451" s="320"/>
      <c r="AF451" s="320"/>
      <c r="AG451" s="320"/>
      <c r="AH451" s="320"/>
      <c r="AI451" s="320"/>
      <c r="AJ451" s="320"/>
      <c r="AK451" s="320"/>
    </row>
    <row r="452" spans="1:37" x14ac:dyDescent="0.25">
      <c r="D452" s="315"/>
      <c r="E452" s="320"/>
      <c r="F452" s="320"/>
      <c r="G452" s="320"/>
      <c r="H452" s="320"/>
      <c r="I452" s="320"/>
      <c r="J452" s="320"/>
      <c r="K452" s="320"/>
      <c r="L452" s="320"/>
      <c r="M452" s="320"/>
      <c r="N452" s="320"/>
      <c r="O452" s="320"/>
      <c r="P452" s="320"/>
      <c r="Q452" s="320"/>
      <c r="R452" s="320"/>
      <c r="S452" s="320"/>
      <c r="T452" s="320"/>
      <c r="U452" s="320"/>
      <c r="V452" s="320"/>
      <c r="W452" s="320"/>
      <c r="X452" s="320"/>
      <c r="Y452" s="320"/>
      <c r="Z452" s="320"/>
      <c r="AA452" s="320"/>
      <c r="AB452" s="320"/>
      <c r="AC452" s="320"/>
      <c r="AD452" s="320"/>
      <c r="AE452" s="320"/>
      <c r="AF452" s="320"/>
      <c r="AG452" s="320"/>
      <c r="AH452" s="320"/>
      <c r="AI452" s="320"/>
      <c r="AJ452" s="320"/>
      <c r="AK452" s="320"/>
    </row>
    <row r="453" spans="1:37" x14ac:dyDescent="0.25">
      <c r="D453" s="315"/>
      <c r="E453" s="320"/>
      <c r="F453" s="320"/>
      <c r="G453" s="320"/>
      <c r="H453" s="320"/>
      <c r="I453" s="320"/>
      <c r="J453" s="320"/>
      <c r="K453" s="320"/>
      <c r="L453" s="320"/>
      <c r="M453" s="320"/>
      <c r="N453" s="320"/>
      <c r="O453" s="320"/>
      <c r="P453" s="320"/>
      <c r="Q453" s="320"/>
      <c r="R453" s="320"/>
      <c r="S453" s="320"/>
      <c r="T453" s="320"/>
      <c r="U453" s="320"/>
      <c r="V453" s="320"/>
      <c r="W453" s="320"/>
      <c r="X453" s="320"/>
      <c r="Y453" s="320"/>
      <c r="Z453" s="320"/>
      <c r="AA453" s="320"/>
      <c r="AB453" s="320"/>
      <c r="AC453" s="320"/>
      <c r="AD453" s="320"/>
      <c r="AE453" s="320"/>
      <c r="AF453" s="320"/>
      <c r="AG453" s="320"/>
      <c r="AH453" s="320"/>
      <c r="AI453" s="320"/>
      <c r="AJ453" s="320"/>
      <c r="AK453" s="320"/>
    </row>
    <row r="454" spans="1:37" x14ac:dyDescent="0.25">
      <c r="D454" s="315"/>
      <c r="E454" s="320"/>
      <c r="F454" s="320"/>
      <c r="G454" s="320"/>
      <c r="H454" s="320"/>
      <c r="I454" s="320"/>
      <c r="J454" s="320"/>
      <c r="K454" s="320"/>
      <c r="L454" s="320"/>
      <c r="M454" s="320"/>
      <c r="N454" s="320"/>
      <c r="O454" s="320"/>
      <c r="P454" s="320"/>
      <c r="Q454" s="320"/>
      <c r="R454" s="320"/>
      <c r="S454" s="320"/>
      <c r="T454" s="320"/>
      <c r="U454" s="320"/>
      <c r="V454" s="320"/>
      <c r="W454" s="320"/>
      <c r="X454" s="320"/>
      <c r="Y454" s="320"/>
      <c r="Z454" s="320"/>
      <c r="AA454" s="320"/>
      <c r="AB454" s="320"/>
      <c r="AC454" s="320"/>
      <c r="AD454" s="320"/>
      <c r="AE454" s="320"/>
      <c r="AF454" s="320"/>
      <c r="AG454" s="320"/>
      <c r="AH454" s="320"/>
      <c r="AI454" s="320"/>
      <c r="AJ454" s="320"/>
      <c r="AK454" s="320"/>
    </row>
    <row r="455" spans="1:37" x14ac:dyDescent="0.25">
      <c r="D455" s="315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320"/>
      <c r="T455" s="320"/>
      <c r="U455" s="320"/>
      <c r="V455" s="320"/>
      <c r="W455" s="320"/>
      <c r="X455" s="320"/>
      <c r="Y455" s="320"/>
      <c r="Z455" s="320"/>
      <c r="AA455" s="320"/>
      <c r="AB455" s="320"/>
      <c r="AC455" s="320"/>
      <c r="AD455" s="320"/>
      <c r="AE455" s="320"/>
      <c r="AF455" s="320"/>
      <c r="AG455" s="320"/>
      <c r="AH455" s="320"/>
      <c r="AI455" s="320"/>
      <c r="AJ455" s="320"/>
      <c r="AK455" s="320"/>
    </row>
    <row r="456" spans="1:37" x14ac:dyDescent="0.25">
      <c r="D456" s="315"/>
      <c r="E456" s="320"/>
      <c r="F456" s="320"/>
      <c r="G456" s="320"/>
      <c r="H456" s="320"/>
      <c r="I456" s="320"/>
      <c r="J456" s="320"/>
      <c r="K456" s="320"/>
      <c r="L456" s="320"/>
      <c r="M456" s="320"/>
      <c r="N456" s="320"/>
      <c r="O456" s="320"/>
      <c r="P456" s="320"/>
      <c r="Q456" s="320"/>
      <c r="R456" s="320"/>
      <c r="S456" s="320"/>
      <c r="T456" s="320"/>
      <c r="U456" s="320"/>
      <c r="V456" s="320"/>
      <c r="W456" s="320"/>
      <c r="X456" s="320"/>
      <c r="Y456" s="320"/>
      <c r="Z456" s="320"/>
      <c r="AA456" s="320"/>
      <c r="AB456" s="320"/>
      <c r="AC456" s="320"/>
      <c r="AD456" s="320"/>
      <c r="AE456" s="320"/>
      <c r="AF456" s="320"/>
      <c r="AG456" s="320"/>
      <c r="AH456" s="320"/>
      <c r="AI456" s="320"/>
      <c r="AJ456" s="320"/>
      <c r="AK456" s="320"/>
    </row>
    <row r="457" spans="1:37" x14ac:dyDescent="0.25">
      <c r="A457" s="318"/>
      <c r="D457" s="315"/>
      <c r="E457" s="320"/>
      <c r="F457" s="320"/>
      <c r="G457" s="320"/>
      <c r="H457" s="320"/>
      <c r="I457" s="320"/>
      <c r="J457" s="320"/>
      <c r="K457" s="320"/>
      <c r="L457" s="320"/>
      <c r="M457" s="320"/>
      <c r="N457" s="320"/>
      <c r="O457" s="320"/>
      <c r="P457" s="320"/>
      <c r="Q457" s="320"/>
      <c r="R457" s="320"/>
      <c r="S457" s="320"/>
      <c r="T457" s="320"/>
      <c r="U457" s="320"/>
      <c r="V457" s="320"/>
      <c r="W457" s="320"/>
      <c r="X457" s="320"/>
      <c r="Y457" s="320"/>
      <c r="Z457" s="320"/>
      <c r="AA457" s="320"/>
      <c r="AB457" s="320"/>
      <c r="AC457" s="320"/>
      <c r="AD457" s="320"/>
      <c r="AE457" s="320"/>
      <c r="AF457" s="320"/>
      <c r="AG457" s="320"/>
      <c r="AH457" s="320"/>
      <c r="AI457" s="320"/>
      <c r="AJ457" s="320"/>
      <c r="AK457" s="320"/>
    </row>
    <row r="458" spans="1:37" x14ac:dyDescent="0.25">
      <c r="A458" s="319"/>
      <c r="D458" s="315"/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320"/>
      <c r="T458" s="320"/>
      <c r="U458" s="320"/>
      <c r="V458" s="320"/>
      <c r="W458" s="320"/>
      <c r="X458" s="320"/>
      <c r="Y458" s="320"/>
      <c r="Z458" s="320"/>
      <c r="AA458" s="320"/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320"/>
    </row>
    <row r="459" spans="1:37" x14ac:dyDescent="0.25">
      <c r="A459" s="319"/>
      <c r="D459" s="315"/>
      <c r="E459" s="320"/>
      <c r="F459" s="320"/>
      <c r="G459" s="320"/>
      <c r="H459" s="320"/>
      <c r="I459" s="320"/>
      <c r="J459" s="320"/>
      <c r="K459" s="320"/>
      <c r="L459" s="320"/>
      <c r="M459" s="320"/>
      <c r="N459" s="320"/>
      <c r="O459" s="320"/>
      <c r="P459" s="320"/>
      <c r="Q459" s="320"/>
      <c r="R459" s="320"/>
      <c r="S459" s="320"/>
      <c r="T459" s="320"/>
      <c r="U459" s="320"/>
      <c r="V459" s="320"/>
      <c r="W459" s="320"/>
      <c r="X459" s="320"/>
      <c r="Y459" s="320"/>
      <c r="Z459" s="320"/>
      <c r="AA459" s="320"/>
      <c r="AB459" s="320"/>
      <c r="AC459" s="320"/>
      <c r="AD459" s="320"/>
      <c r="AE459" s="320"/>
      <c r="AF459" s="320"/>
      <c r="AG459" s="320"/>
      <c r="AH459" s="320"/>
      <c r="AI459" s="320"/>
      <c r="AJ459" s="320"/>
      <c r="AK459" s="320"/>
    </row>
    <row r="460" spans="1:37" x14ac:dyDescent="0.25">
      <c r="A460" s="319"/>
      <c r="D460" s="315"/>
      <c r="E460" s="320"/>
      <c r="F460" s="320"/>
      <c r="G460" s="320"/>
      <c r="H460" s="320"/>
      <c r="I460" s="320"/>
      <c r="J460" s="320"/>
      <c r="K460" s="320"/>
      <c r="L460" s="320"/>
      <c r="M460" s="320"/>
      <c r="N460" s="320"/>
      <c r="O460" s="320"/>
      <c r="P460" s="320"/>
      <c r="Q460" s="320"/>
      <c r="R460" s="320"/>
      <c r="S460" s="320"/>
      <c r="T460" s="320"/>
      <c r="U460" s="320"/>
      <c r="V460" s="320"/>
      <c r="W460" s="320"/>
      <c r="X460" s="320"/>
      <c r="Y460" s="320"/>
      <c r="Z460" s="320"/>
      <c r="AA460" s="320"/>
      <c r="AB460" s="320"/>
      <c r="AC460" s="320"/>
      <c r="AD460" s="320"/>
      <c r="AE460" s="320"/>
      <c r="AF460" s="320"/>
      <c r="AG460" s="320"/>
      <c r="AH460" s="320"/>
      <c r="AI460" s="320"/>
      <c r="AJ460" s="320"/>
      <c r="AK460" s="320"/>
    </row>
    <row r="461" spans="1:37" x14ac:dyDescent="0.25">
      <c r="A461" s="319"/>
      <c r="D461" s="315"/>
      <c r="E461" s="320"/>
      <c r="F461" s="320"/>
      <c r="G461" s="320"/>
      <c r="H461" s="320"/>
      <c r="I461" s="320"/>
      <c r="J461" s="320"/>
      <c r="K461" s="320"/>
      <c r="L461" s="320"/>
      <c r="M461" s="320"/>
      <c r="N461" s="320"/>
      <c r="O461" s="320"/>
      <c r="P461" s="320"/>
      <c r="Q461" s="320"/>
      <c r="R461" s="320"/>
      <c r="S461" s="320"/>
      <c r="T461" s="320"/>
      <c r="U461" s="320"/>
      <c r="V461" s="320"/>
      <c r="W461" s="320"/>
      <c r="X461" s="320"/>
      <c r="Y461" s="320"/>
      <c r="Z461" s="320"/>
      <c r="AA461" s="320"/>
      <c r="AB461" s="320"/>
      <c r="AC461" s="320"/>
      <c r="AD461" s="320"/>
      <c r="AE461" s="320"/>
      <c r="AF461" s="320"/>
      <c r="AG461" s="320"/>
      <c r="AH461" s="320"/>
      <c r="AI461" s="320"/>
      <c r="AJ461" s="320"/>
      <c r="AK461" s="320"/>
    </row>
    <row r="462" spans="1:37" x14ac:dyDescent="0.25">
      <c r="A462" s="319"/>
      <c r="D462" s="315"/>
      <c r="E462" s="320"/>
      <c r="F462" s="320"/>
      <c r="G462" s="320"/>
      <c r="H462" s="320"/>
      <c r="I462" s="320"/>
      <c r="J462" s="320"/>
      <c r="K462" s="320"/>
      <c r="L462" s="320"/>
      <c r="M462" s="320"/>
      <c r="N462" s="320"/>
      <c r="O462" s="320"/>
      <c r="P462" s="320"/>
      <c r="Q462" s="320"/>
      <c r="R462" s="320"/>
      <c r="S462" s="320"/>
      <c r="T462" s="320"/>
      <c r="U462" s="320"/>
      <c r="V462" s="320"/>
      <c r="W462" s="320"/>
      <c r="X462" s="320"/>
      <c r="Y462" s="320"/>
      <c r="Z462" s="320"/>
      <c r="AA462" s="320"/>
      <c r="AB462" s="320"/>
      <c r="AC462" s="320"/>
      <c r="AD462" s="320"/>
      <c r="AE462" s="320"/>
      <c r="AF462" s="320"/>
      <c r="AG462" s="320"/>
      <c r="AH462" s="320"/>
      <c r="AI462" s="320"/>
      <c r="AJ462" s="320"/>
      <c r="AK462" s="320"/>
    </row>
    <row r="463" spans="1:37" x14ac:dyDescent="0.25">
      <c r="A463" s="319"/>
      <c r="D463" s="315"/>
      <c r="E463" s="320"/>
      <c r="F463" s="320"/>
      <c r="G463" s="320"/>
      <c r="H463" s="320"/>
      <c r="I463" s="320"/>
      <c r="J463" s="320"/>
      <c r="K463" s="320"/>
      <c r="L463" s="320"/>
      <c r="M463" s="320"/>
      <c r="N463" s="320"/>
      <c r="O463" s="320"/>
      <c r="P463" s="320"/>
      <c r="Q463" s="320"/>
      <c r="R463" s="320"/>
      <c r="S463" s="320"/>
      <c r="T463" s="320"/>
      <c r="U463" s="320"/>
      <c r="V463" s="320"/>
      <c r="W463" s="320"/>
      <c r="X463" s="320"/>
      <c r="Y463" s="320"/>
      <c r="Z463" s="320"/>
      <c r="AA463" s="320"/>
      <c r="AB463" s="320"/>
      <c r="AC463" s="320"/>
      <c r="AD463" s="320"/>
      <c r="AE463" s="320"/>
      <c r="AF463" s="320"/>
      <c r="AG463" s="320"/>
      <c r="AH463" s="320"/>
      <c r="AI463" s="320"/>
      <c r="AJ463" s="320"/>
      <c r="AK463" s="320"/>
    </row>
    <row r="464" spans="1:37" x14ac:dyDescent="0.25">
      <c r="A464" s="319"/>
      <c r="D464" s="315"/>
      <c r="E464" s="320"/>
      <c r="F464" s="320"/>
      <c r="G464" s="320"/>
      <c r="H464" s="320"/>
      <c r="I464" s="320"/>
      <c r="J464" s="320"/>
      <c r="K464" s="320"/>
      <c r="L464" s="320"/>
      <c r="M464" s="320"/>
      <c r="N464" s="320"/>
      <c r="O464" s="320"/>
      <c r="P464" s="320"/>
      <c r="Q464" s="320"/>
      <c r="R464" s="320"/>
      <c r="S464" s="320"/>
      <c r="T464" s="320"/>
      <c r="U464" s="320"/>
      <c r="V464" s="320"/>
      <c r="W464" s="320"/>
      <c r="X464" s="320"/>
      <c r="Y464" s="320"/>
      <c r="Z464" s="320"/>
      <c r="AA464" s="320"/>
      <c r="AB464" s="320"/>
      <c r="AC464" s="320"/>
      <c r="AD464" s="320"/>
      <c r="AE464" s="320"/>
      <c r="AF464" s="320"/>
      <c r="AG464" s="320"/>
      <c r="AH464" s="320"/>
      <c r="AI464" s="320"/>
      <c r="AJ464" s="320"/>
      <c r="AK464" s="320"/>
    </row>
    <row r="465" spans="1:37" x14ac:dyDescent="0.25">
      <c r="A465" s="319"/>
      <c r="D465" s="315"/>
      <c r="E465" s="320"/>
      <c r="F465" s="320"/>
      <c r="G465" s="320"/>
      <c r="H465" s="320"/>
      <c r="I465" s="320"/>
      <c r="J465" s="320"/>
      <c r="K465" s="320"/>
      <c r="L465" s="320"/>
      <c r="M465" s="320"/>
      <c r="N465" s="320"/>
      <c r="O465" s="320"/>
      <c r="P465" s="320"/>
      <c r="Q465" s="320"/>
      <c r="R465" s="320"/>
      <c r="S465" s="320"/>
      <c r="T465" s="320"/>
      <c r="U465" s="320"/>
      <c r="V465" s="320"/>
      <c r="W465" s="320"/>
      <c r="X465" s="320"/>
      <c r="Y465" s="320"/>
      <c r="Z465" s="320"/>
      <c r="AA465" s="320"/>
      <c r="AB465" s="320"/>
      <c r="AC465" s="320"/>
      <c r="AD465" s="320"/>
      <c r="AE465" s="320"/>
      <c r="AF465" s="320"/>
      <c r="AG465" s="320"/>
      <c r="AH465" s="320"/>
      <c r="AI465" s="320"/>
      <c r="AJ465" s="320"/>
      <c r="AK465" s="320"/>
    </row>
    <row r="466" spans="1:37" x14ac:dyDescent="0.25">
      <c r="A466" s="319"/>
      <c r="D466" s="315"/>
      <c r="E466" s="320"/>
      <c r="F466" s="320"/>
      <c r="G466" s="320"/>
      <c r="H466" s="320"/>
      <c r="I466" s="320"/>
      <c r="J466" s="320"/>
      <c r="K466" s="320"/>
      <c r="L466" s="320"/>
      <c r="M466" s="320"/>
      <c r="N466" s="320"/>
      <c r="O466" s="320"/>
      <c r="P466" s="320"/>
      <c r="Q466" s="320"/>
      <c r="R466" s="320"/>
      <c r="S466" s="320"/>
      <c r="T466" s="320"/>
      <c r="U466" s="320"/>
      <c r="V466" s="320"/>
      <c r="W466" s="320"/>
      <c r="X466" s="320"/>
      <c r="Y466" s="320"/>
      <c r="Z466" s="320"/>
      <c r="AA466" s="320"/>
      <c r="AB466" s="320"/>
      <c r="AC466" s="320"/>
      <c r="AD466" s="320"/>
      <c r="AE466" s="320"/>
      <c r="AF466" s="320"/>
      <c r="AG466" s="320"/>
      <c r="AH466" s="320"/>
      <c r="AI466" s="320"/>
      <c r="AJ466" s="320"/>
      <c r="AK466" s="320"/>
    </row>
    <row r="467" spans="1:37" x14ac:dyDescent="0.25">
      <c r="A467" s="319"/>
      <c r="D467" s="315"/>
      <c r="E467" s="320"/>
      <c r="F467" s="320"/>
      <c r="G467" s="320"/>
      <c r="H467" s="320"/>
      <c r="I467" s="320"/>
      <c r="J467" s="320"/>
      <c r="K467" s="320"/>
      <c r="L467" s="320"/>
      <c r="M467" s="320"/>
      <c r="N467" s="320"/>
      <c r="O467" s="320"/>
      <c r="P467" s="320"/>
      <c r="Q467" s="320"/>
      <c r="R467" s="320"/>
      <c r="S467" s="320"/>
      <c r="T467" s="320"/>
      <c r="U467" s="320"/>
      <c r="V467" s="320"/>
      <c r="W467" s="320"/>
      <c r="X467" s="320"/>
      <c r="Y467" s="320"/>
      <c r="Z467" s="320"/>
      <c r="AA467" s="320"/>
      <c r="AB467" s="320"/>
      <c r="AC467" s="320"/>
      <c r="AD467" s="320"/>
      <c r="AE467" s="320"/>
      <c r="AF467" s="320"/>
      <c r="AG467" s="320"/>
      <c r="AH467" s="320"/>
      <c r="AI467" s="320"/>
      <c r="AJ467" s="320"/>
      <c r="AK467" s="320"/>
    </row>
    <row r="468" spans="1:37" x14ac:dyDescent="0.25">
      <c r="A468" s="319"/>
      <c r="D468" s="315"/>
      <c r="E468" s="320"/>
      <c r="F468" s="320"/>
      <c r="G468" s="320"/>
      <c r="H468" s="320"/>
      <c r="I468" s="320"/>
      <c r="J468" s="320"/>
      <c r="K468" s="320"/>
      <c r="L468" s="320"/>
      <c r="M468" s="320"/>
      <c r="N468" s="320"/>
      <c r="O468" s="320"/>
      <c r="P468" s="320"/>
      <c r="Q468" s="320"/>
      <c r="R468" s="320"/>
      <c r="S468" s="320"/>
      <c r="T468" s="320"/>
      <c r="U468" s="320"/>
      <c r="V468" s="320"/>
      <c r="W468" s="320"/>
      <c r="X468" s="320"/>
      <c r="Y468" s="320"/>
      <c r="Z468" s="320"/>
      <c r="AA468" s="320"/>
      <c r="AB468" s="320"/>
      <c r="AC468" s="320"/>
      <c r="AD468" s="320"/>
      <c r="AE468" s="320"/>
      <c r="AF468" s="320"/>
      <c r="AG468" s="320"/>
      <c r="AH468" s="320"/>
      <c r="AI468" s="320"/>
      <c r="AJ468" s="320"/>
      <c r="AK468" s="320"/>
    </row>
    <row r="469" spans="1:37" x14ac:dyDescent="0.25">
      <c r="A469" s="319"/>
      <c r="D469" s="315"/>
      <c r="E469" s="320"/>
      <c r="F469" s="320"/>
      <c r="G469" s="320"/>
      <c r="H469" s="320"/>
      <c r="I469" s="320"/>
      <c r="J469" s="320"/>
      <c r="K469" s="320"/>
      <c r="L469" s="320"/>
      <c r="M469" s="320"/>
      <c r="N469" s="320"/>
      <c r="O469" s="320"/>
      <c r="P469" s="320"/>
      <c r="Q469" s="320"/>
      <c r="R469" s="320"/>
      <c r="S469" s="320"/>
      <c r="T469" s="320"/>
      <c r="U469" s="320"/>
      <c r="V469" s="320"/>
      <c r="W469" s="320"/>
      <c r="X469" s="320"/>
      <c r="Y469" s="320"/>
      <c r="Z469" s="320"/>
      <c r="AA469" s="320"/>
      <c r="AB469" s="320"/>
      <c r="AC469" s="320"/>
      <c r="AD469" s="320"/>
      <c r="AE469" s="320"/>
      <c r="AF469" s="320"/>
      <c r="AG469" s="320"/>
      <c r="AH469" s="320"/>
      <c r="AI469" s="320"/>
      <c r="AJ469" s="320"/>
      <c r="AK469" s="320"/>
    </row>
    <row r="470" spans="1:37" x14ac:dyDescent="0.25">
      <c r="A470" s="319"/>
      <c r="D470" s="315"/>
      <c r="E470" s="320"/>
      <c r="F470" s="320"/>
      <c r="G470" s="320"/>
      <c r="H470" s="320"/>
      <c r="I470" s="320"/>
      <c r="J470" s="320"/>
      <c r="K470" s="320"/>
      <c r="L470" s="320"/>
      <c r="M470" s="320"/>
      <c r="N470" s="320"/>
      <c r="O470" s="320"/>
      <c r="P470" s="320"/>
      <c r="Q470" s="320"/>
      <c r="R470" s="320"/>
      <c r="S470" s="320"/>
      <c r="T470" s="320"/>
      <c r="U470" s="320"/>
      <c r="V470" s="320"/>
      <c r="W470" s="320"/>
      <c r="X470" s="320"/>
      <c r="Y470" s="320"/>
      <c r="Z470" s="320"/>
      <c r="AA470" s="320"/>
      <c r="AB470" s="320"/>
      <c r="AC470" s="320"/>
      <c r="AD470" s="320"/>
      <c r="AE470" s="320"/>
      <c r="AF470" s="320"/>
      <c r="AG470" s="320"/>
      <c r="AH470" s="320"/>
      <c r="AI470" s="320"/>
      <c r="AJ470" s="320"/>
      <c r="AK470" s="320"/>
    </row>
    <row r="471" spans="1:37" x14ac:dyDescent="0.25">
      <c r="A471" s="319"/>
      <c r="D471" s="315"/>
      <c r="E471" s="320"/>
      <c r="F471" s="320"/>
      <c r="G471" s="320"/>
      <c r="H471" s="320"/>
      <c r="I471" s="320"/>
      <c r="J471" s="320"/>
      <c r="K471" s="320"/>
      <c r="L471" s="320"/>
      <c r="M471" s="320"/>
      <c r="N471" s="320"/>
      <c r="O471" s="320"/>
      <c r="P471" s="320"/>
      <c r="Q471" s="320"/>
      <c r="R471" s="320"/>
      <c r="S471" s="320"/>
      <c r="T471" s="320"/>
      <c r="U471" s="320"/>
      <c r="V471" s="320"/>
      <c r="W471" s="320"/>
      <c r="X471" s="320"/>
      <c r="Y471" s="320"/>
      <c r="Z471" s="320"/>
      <c r="AA471" s="320"/>
      <c r="AB471" s="320"/>
      <c r="AC471" s="320"/>
      <c r="AD471" s="320"/>
      <c r="AE471" s="320"/>
      <c r="AF471" s="320"/>
      <c r="AG471" s="320"/>
      <c r="AH471" s="320"/>
      <c r="AI471" s="320"/>
      <c r="AJ471" s="320"/>
      <c r="AK471" s="320"/>
    </row>
    <row r="472" spans="1:37" x14ac:dyDescent="0.25">
      <c r="A472" s="319"/>
      <c r="D472" s="315"/>
      <c r="E472" s="320"/>
      <c r="F472" s="320"/>
      <c r="G472" s="320"/>
      <c r="H472" s="320"/>
      <c r="I472" s="320"/>
      <c r="J472" s="320"/>
      <c r="K472" s="320"/>
      <c r="L472" s="320"/>
      <c r="M472" s="320"/>
      <c r="N472" s="320"/>
      <c r="O472" s="320"/>
      <c r="P472" s="320"/>
      <c r="Q472" s="320"/>
      <c r="R472" s="320"/>
      <c r="S472" s="320"/>
      <c r="T472" s="320"/>
      <c r="U472" s="320"/>
      <c r="V472" s="320"/>
      <c r="W472" s="320"/>
      <c r="X472" s="320"/>
      <c r="Y472" s="320"/>
      <c r="Z472" s="320"/>
      <c r="AA472" s="320"/>
      <c r="AB472" s="320"/>
      <c r="AC472" s="320"/>
      <c r="AD472" s="320"/>
      <c r="AE472" s="320"/>
      <c r="AF472" s="320"/>
      <c r="AG472" s="320"/>
      <c r="AH472" s="320"/>
      <c r="AI472" s="320"/>
      <c r="AJ472" s="320"/>
      <c r="AK472" s="320"/>
    </row>
    <row r="473" spans="1:37" x14ac:dyDescent="0.25">
      <c r="A473" s="319"/>
      <c r="D473" s="315"/>
      <c r="E473" s="320"/>
      <c r="F473" s="320"/>
      <c r="G473" s="320"/>
      <c r="H473" s="320"/>
      <c r="I473" s="320"/>
      <c r="J473" s="320"/>
      <c r="K473" s="320"/>
      <c r="L473" s="320"/>
      <c r="M473" s="320"/>
      <c r="N473" s="320"/>
      <c r="O473" s="320"/>
      <c r="P473" s="320"/>
      <c r="Q473" s="320"/>
      <c r="R473" s="320"/>
      <c r="S473" s="320"/>
      <c r="T473" s="320"/>
      <c r="U473" s="320"/>
      <c r="V473" s="320"/>
      <c r="W473" s="320"/>
      <c r="X473" s="320"/>
      <c r="Y473" s="320"/>
      <c r="Z473" s="320"/>
      <c r="AA473" s="320"/>
      <c r="AB473" s="320"/>
      <c r="AC473" s="320"/>
      <c r="AD473" s="320"/>
      <c r="AE473" s="320"/>
      <c r="AF473" s="320"/>
      <c r="AG473" s="320"/>
      <c r="AH473" s="320"/>
      <c r="AI473" s="320"/>
      <c r="AJ473" s="320"/>
      <c r="AK473" s="320"/>
    </row>
    <row r="474" spans="1:37" x14ac:dyDescent="0.25">
      <c r="A474" s="319"/>
      <c r="D474" s="315"/>
      <c r="E474" s="320"/>
      <c r="F474" s="320"/>
      <c r="G474" s="320"/>
      <c r="H474" s="320"/>
      <c r="I474" s="320"/>
      <c r="J474" s="320"/>
      <c r="K474" s="320"/>
      <c r="L474" s="320"/>
      <c r="M474" s="320"/>
      <c r="N474" s="320"/>
      <c r="O474" s="320"/>
      <c r="P474" s="320"/>
      <c r="Q474" s="320"/>
      <c r="R474" s="320"/>
      <c r="S474" s="320"/>
      <c r="T474" s="320"/>
      <c r="U474" s="320"/>
      <c r="V474" s="320"/>
      <c r="W474" s="320"/>
      <c r="X474" s="320"/>
      <c r="Y474" s="320"/>
      <c r="Z474" s="320"/>
      <c r="AA474" s="320"/>
      <c r="AB474" s="320"/>
      <c r="AC474" s="320"/>
      <c r="AD474" s="320"/>
      <c r="AE474" s="320"/>
      <c r="AF474" s="320"/>
      <c r="AG474" s="320"/>
      <c r="AH474" s="320"/>
      <c r="AI474" s="320"/>
      <c r="AJ474" s="320"/>
      <c r="AK474" s="320"/>
    </row>
    <row r="475" spans="1:37" x14ac:dyDescent="0.25">
      <c r="A475" s="319"/>
      <c r="D475" s="315"/>
      <c r="E475" s="320"/>
      <c r="F475" s="320"/>
      <c r="G475" s="320"/>
      <c r="H475" s="320"/>
      <c r="I475" s="320"/>
      <c r="J475" s="320"/>
      <c r="K475" s="320"/>
      <c r="L475" s="320"/>
      <c r="M475" s="320"/>
      <c r="N475" s="320"/>
      <c r="O475" s="320"/>
      <c r="P475" s="320"/>
      <c r="Q475" s="320"/>
      <c r="R475" s="320"/>
      <c r="S475" s="320"/>
      <c r="T475" s="320"/>
      <c r="U475" s="320"/>
      <c r="V475" s="320"/>
      <c r="W475" s="320"/>
      <c r="X475" s="320"/>
      <c r="Y475" s="320"/>
      <c r="Z475" s="320"/>
      <c r="AA475" s="320"/>
      <c r="AB475" s="320"/>
      <c r="AC475" s="320"/>
      <c r="AD475" s="320"/>
      <c r="AE475" s="320"/>
      <c r="AF475" s="320"/>
      <c r="AG475" s="320"/>
      <c r="AH475" s="320"/>
      <c r="AI475" s="320"/>
      <c r="AJ475" s="320"/>
      <c r="AK475" s="320"/>
    </row>
    <row r="476" spans="1:37" x14ac:dyDescent="0.25">
      <c r="D476" s="315"/>
      <c r="E476" s="320"/>
      <c r="F476" s="320"/>
      <c r="G476" s="320"/>
      <c r="H476" s="320"/>
      <c r="I476" s="320"/>
      <c r="J476" s="320"/>
      <c r="K476" s="320"/>
      <c r="L476" s="320"/>
      <c r="M476" s="320"/>
      <c r="N476" s="320"/>
      <c r="O476" s="320"/>
      <c r="P476" s="320"/>
      <c r="Q476" s="320"/>
      <c r="R476" s="320"/>
      <c r="S476" s="320"/>
      <c r="T476" s="320"/>
      <c r="U476" s="320"/>
      <c r="V476" s="320"/>
      <c r="W476" s="320"/>
      <c r="X476" s="320"/>
      <c r="Y476" s="320"/>
      <c r="Z476" s="320"/>
      <c r="AA476" s="320"/>
      <c r="AB476" s="320"/>
      <c r="AC476" s="320"/>
      <c r="AD476" s="320"/>
      <c r="AE476" s="320"/>
      <c r="AF476" s="320"/>
      <c r="AG476" s="320"/>
      <c r="AH476" s="320"/>
      <c r="AI476" s="320"/>
      <c r="AJ476" s="320"/>
      <c r="AK476" s="320"/>
    </row>
    <row r="477" spans="1:37" x14ac:dyDescent="0.25">
      <c r="D477" s="315"/>
      <c r="E477" s="320"/>
      <c r="F477" s="320"/>
      <c r="G477" s="320"/>
      <c r="H477" s="320"/>
      <c r="I477" s="320"/>
      <c r="J477" s="320"/>
      <c r="K477" s="320"/>
      <c r="L477" s="320"/>
      <c r="M477" s="320"/>
      <c r="N477" s="320"/>
      <c r="O477" s="320"/>
      <c r="P477" s="320"/>
      <c r="Q477" s="320"/>
      <c r="R477" s="320"/>
      <c r="S477" s="320"/>
      <c r="T477" s="320"/>
      <c r="U477" s="320"/>
      <c r="V477" s="320"/>
      <c r="W477" s="320"/>
      <c r="X477" s="320"/>
      <c r="Y477" s="320"/>
      <c r="Z477" s="320"/>
      <c r="AA477" s="320"/>
      <c r="AB477" s="320"/>
      <c r="AC477" s="320"/>
      <c r="AD477" s="320"/>
      <c r="AE477" s="320"/>
      <c r="AF477" s="320"/>
      <c r="AG477" s="320"/>
      <c r="AH477" s="320"/>
      <c r="AI477" s="320"/>
      <c r="AJ477" s="320"/>
      <c r="AK477" s="320"/>
    </row>
    <row r="478" spans="1:37" x14ac:dyDescent="0.25">
      <c r="D478" s="315"/>
      <c r="E478" s="320"/>
      <c r="F478" s="320"/>
      <c r="G478" s="320"/>
      <c r="H478" s="320"/>
      <c r="I478" s="320"/>
      <c r="J478" s="320"/>
      <c r="K478" s="320"/>
      <c r="L478" s="320"/>
      <c r="M478" s="320"/>
      <c r="N478" s="320"/>
      <c r="O478" s="320"/>
      <c r="P478" s="320"/>
      <c r="Q478" s="320"/>
      <c r="R478" s="320"/>
      <c r="S478" s="320"/>
      <c r="T478" s="320"/>
      <c r="U478" s="320"/>
      <c r="V478" s="320"/>
      <c r="W478" s="320"/>
      <c r="X478" s="320"/>
      <c r="Y478" s="320"/>
      <c r="Z478" s="320"/>
      <c r="AA478" s="320"/>
      <c r="AB478" s="320"/>
      <c r="AC478" s="320"/>
      <c r="AD478" s="320"/>
      <c r="AE478" s="320"/>
      <c r="AF478" s="320"/>
      <c r="AG478" s="320"/>
      <c r="AH478" s="320"/>
      <c r="AI478" s="320"/>
      <c r="AJ478" s="320"/>
      <c r="AK478" s="320"/>
    </row>
    <row r="479" spans="1:37" x14ac:dyDescent="0.25">
      <c r="D479" s="315"/>
      <c r="E479" s="320"/>
      <c r="F479" s="320"/>
      <c r="G479" s="320"/>
      <c r="H479" s="320"/>
      <c r="I479" s="320"/>
      <c r="J479" s="320"/>
      <c r="K479" s="320"/>
      <c r="L479" s="320"/>
      <c r="M479" s="320"/>
      <c r="N479" s="320"/>
      <c r="O479" s="320"/>
      <c r="P479" s="320"/>
      <c r="Q479" s="320"/>
      <c r="R479" s="320"/>
      <c r="S479" s="320"/>
      <c r="T479" s="320"/>
      <c r="U479" s="320"/>
      <c r="V479" s="320"/>
      <c r="W479" s="320"/>
      <c r="X479" s="320"/>
      <c r="Y479" s="320"/>
      <c r="Z479" s="320"/>
      <c r="AA479" s="320"/>
      <c r="AB479" s="320"/>
      <c r="AC479" s="320"/>
      <c r="AD479" s="320"/>
      <c r="AE479" s="320"/>
      <c r="AF479" s="320"/>
      <c r="AG479" s="320"/>
      <c r="AH479" s="320"/>
      <c r="AI479" s="320"/>
      <c r="AJ479" s="320"/>
      <c r="AK479" s="320"/>
    </row>
    <row r="480" spans="1:37" x14ac:dyDescent="0.25">
      <c r="D480" s="315"/>
      <c r="E480" s="320"/>
      <c r="F480" s="320"/>
      <c r="G480" s="320"/>
      <c r="H480" s="320"/>
      <c r="I480" s="320"/>
      <c r="J480" s="320"/>
      <c r="K480" s="320"/>
      <c r="L480" s="320"/>
      <c r="M480" s="320"/>
      <c r="N480" s="320"/>
      <c r="O480" s="320"/>
      <c r="P480" s="320"/>
      <c r="Q480" s="320"/>
      <c r="R480" s="320"/>
      <c r="S480" s="320"/>
      <c r="T480" s="320"/>
      <c r="U480" s="320"/>
      <c r="V480" s="320"/>
      <c r="W480" s="320"/>
      <c r="X480" s="320"/>
      <c r="Y480" s="320"/>
      <c r="Z480" s="320"/>
      <c r="AA480" s="320"/>
      <c r="AB480" s="320"/>
      <c r="AC480" s="320"/>
      <c r="AD480" s="320"/>
      <c r="AE480" s="320"/>
      <c r="AF480" s="320"/>
      <c r="AG480" s="320"/>
      <c r="AH480" s="320"/>
      <c r="AI480" s="320"/>
      <c r="AJ480" s="320"/>
      <c r="AK480" s="320"/>
    </row>
    <row r="481" spans="1:37" x14ac:dyDescent="0.25">
      <c r="D481" s="315"/>
      <c r="E481" s="320"/>
      <c r="F481" s="320"/>
      <c r="G481" s="320"/>
      <c r="H481" s="320"/>
      <c r="I481" s="320"/>
      <c r="J481" s="320"/>
      <c r="K481" s="320"/>
      <c r="L481" s="320"/>
      <c r="M481" s="320"/>
      <c r="N481" s="320"/>
      <c r="O481" s="320"/>
      <c r="P481" s="320"/>
      <c r="Q481" s="320"/>
      <c r="R481" s="320"/>
      <c r="S481" s="320"/>
      <c r="T481" s="320"/>
      <c r="U481" s="320"/>
      <c r="V481" s="320"/>
      <c r="W481" s="320"/>
      <c r="X481" s="320"/>
      <c r="Y481" s="320"/>
      <c r="Z481" s="320"/>
      <c r="AA481" s="320"/>
      <c r="AB481" s="320"/>
      <c r="AC481" s="320"/>
      <c r="AD481" s="320"/>
      <c r="AE481" s="320"/>
      <c r="AF481" s="320"/>
      <c r="AG481" s="320"/>
      <c r="AH481" s="320"/>
      <c r="AI481" s="320"/>
      <c r="AJ481" s="320"/>
      <c r="AK481" s="320"/>
    </row>
    <row r="482" spans="1:37" x14ac:dyDescent="0.25">
      <c r="D482" s="315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320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320"/>
      <c r="AF482" s="320"/>
      <c r="AG482" s="320"/>
      <c r="AH482" s="320"/>
      <c r="AI482" s="320"/>
      <c r="AJ482" s="320"/>
      <c r="AK482" s="320"/>
    </row>
    <row r="483" spans="1:37" x14ac:dyDescent="0.25">
      <c r="A483" s="318"/>
      <c r="D483" s="315"/>
      <c r="E483" s="320"/>
      <c r="F483" s="320"/>
      <c r="G483" s="320"/>
      <c r="H483" s="320"/>
      <c r="I483" s="320"/>
      <c r="J483" s="320"/>
      <c r="K483" s="320"/>
      <c r="L483" s="320"/>
      <c r="M483" s="320"/>
      <c r="N483" s="320"/>
      <c r="O483" s="320"/>
      <c r="P483" s="320"/>
      <c r="Q483" s="320"/>
      <c r="R483" s="320"/>
      <c r="S483" s="320"/>
      <c r="T483" s="320"/>
      <c r="U483" s="320"/>
      <c r="V483" s="320"/>
      <c r="W483" s="320"/>
      <c r="X483" s="320"/>
      <c r="Y483" s="320"/>
      <c r="Z483" s="320"/>
      <c r="AA483" s="320"/>
      <c r="AB483" s="320"/>
      <c r="AC483" s="320"/>
      <c r="AD483" s="320"/>
      <c r="AE483" s="320"/>
      <c r="AF483" s="320"/>
      <c r="AG483" s="320"/>
      <c r="AH483" s="320"/>
      <c r="AI483" s="320"/>
      <c r="AJ483" s="320"/>
      <c r="AK483" s="320"/>
    </row>
    <row r="484" spans="1:37" x14ac:dyDescent="0.25">
      <c r="A484" s="319"/>
      <c r="D484" s="315"/>
      <c r="E484" s="320"/>
      <c r="F484" s="320"/>
      <c r="G484" s="320"/>
      <c r="H484" s="320"/>
      <c r="I484" s="320"/>
      <c r="J484" s="320"/>
      <c r="K484" s="320"/>
      <c r="L484" s="320"/>
      <c r="M484" s="320"/>
      <c r="N484" s="320"/>
      <c r="O484" s="320"/>
      <c r="P484" s="320"/>
      <c r="Q484" s="320"/>
      <c r="R484" s="320"/>
      <c r="S484" s="320"/>
      <c r="T484" s="320"/>
      <c r="U484" s="320"/>
      <c r="V484" s="320"/>
      <c r="W484" s="320"/>
      <c r="X484" s="320"/>
      <c r="Y484" s="320"/>
      <c r="Z484" s="320"/>
      <c r="AA484" s="320"/>
      <c r="AB484" s="320"/>
      <c r="AC484" s="320"/>
      <c r="AD484" s="320"/>
      <c r="AE484" s="320"/>
      <c r="AF484" s="320"/>
      <c r="AG484" s="320"/>
      <c r="AH484" s="320"/>
      <c r="AI484" s="320"/>
      <c r="AJ484" s="320"/>
      <c r="AK484" s="320"/>
    </row>
    <row r="485" spans="1:37" x14ac:dyDescent="0.25">
      <c r="A485" s="319"/>
      <c r="D485" s="315"/>
      <c r="E485" s="320"/>
      <c r="F485" s="320"/>
      <c r="G485" s="320"/>
      <c r="H485" s="320"/>
      <c r="I485" s="320"/>
      <c r="J485" s="320"/>
      <c r="K485" s="320"/>
      <c r="L485" s="320"/>
      <c r="M485" s="320"/>
      <c r="N485" s="320"/>
      <c r="O485" s="320"/>
      <c r="P485" s="320"/>
      <c r="Q485" s="320"/>
      <c r="R485" s="320"/>
      <c r="S485" s="320"/>
      <c r="T485" s="320"/>
      <c r="U485" s="320"/>
      <c r="V485" s="320"/>
      <c r="W485" s="320"/>
      <c r="X485" s="320"/>
      <c r="Y485" s="320"/>
      <c r="Z485" s="320"/>
      <c r="AA485" s="320"/>
      <c r="AB485" s="320"/>
      <c r="AC485" s="320"/>
      <c r="AD485" s="320"/>
      <c r="AE485" s="320"/>
      <c r="AF485" s="320"/>
      <c r="AG485" s="320"/>
      <c r="AH485" s="320"/>
      <c r="AI485" s="320"/>
      <c r="AJ485" s="320"/>
      <c r="AK485" s="320"/>
    </row>
    <row r="486" spans="1:37" x14ac:dyDescent="0.25">
      <c r="A486" s="319"/>
      <c r="D486" s="315"/>
      <c r="E486" s="320"/>
      <c r="F486" s="320"/>
      <c r="G486" s="320"/>
      <c r="H486" s="320"/>
      <c r="I486" s="320"/>
      <c r="J486" s="320"/>
      <c r="K486" s="320"/>
      <c r="L486" s="320"/>
      <c r="M486" s="320"/>
      <c r="N486" s="320"/>
      <c r="O486" s="320"/>
      <c r="P486" s="320"/>
      <c r="Q486" s="320"/>
      <c r="R486" s="320"/>
      <c r="S486" s="320"/>
      <c r="T486" s="320"/>
      <c r="U486" s="320"/>
      <c r="V486" s="320"/>
      <c r="W486" s="320"/>
      <c r="X486" s="320"/>
      <c r="Y486" s="320"/>
      <c r="Z486" s="320"/>
      <c r="AA486" s="320"/>
      <c r="AB486" s="320"/>
      <c r="AC486" s="320"/>
      <c r="AD486" s="320"/>
      <c r="AE486" s="320"/>
      <c r="AF486" s="320"/>
      <c r="AG486" s="320"/>
      <c r="AH486" s="320"/>
      <c r="AI486" s="320"/>
      <c r="AJ486" s="320"/>
      <c r="AK486" s="320"/>
    </row>
    <row r="487" spans="1:37" x14ac:dyDescent="0.25">
      <c r="A487" s="319"/>
      <c r="D487" s="315"/>
      <c r="E487" s="320"/>
      <c r="F487" s="320"/>
      <c r="G487" s="320"/>
      <c r="H487" s="320"/>
      <c r="I487" s="320"/>
      <c r="J487" s="320"/>
      <c r="K487" s="320"/>
      <c r="L487" s="320"/>
      <c r="M487" s="320"/>
      <c r="N487" s="320"/>
      <c r="O487" s="320"/>
      <c r="P487" s="320"/>
      <c r="Q487" s="320"/>
      <c r="R487" s="320"/>
      <c r="S487" s="320"/>
      <c r="T487" s="320"/>
      <c r="U487" s="320"/>
      <c r="V487" s="320"/>
      <c r="W487" s="320"/>
      <c r="X487" s="320"/>
      <c r="Y487" s="320"/>
      <c r="Z487" s="320"/>
      <c r="AA487" s="320"/>
      <c r="AB487" s="320"/>
      <c r="AC487" s="320"/>
      <c r="AD487" s="320"/>
      <c r="AE487" s="320"/>
      <c r="AF487" s="320"/>
      <c r="AG487" s="320"/>
      <c r="AH487" s="320"/>
      <c r="AI487" s="320"/>
      <c r="AJ487" s="320"/>
      <c r="AK487" s="320"/>
    </row>
    <row r="488" spans="1:37" x14ac:dyDescent="0.25">
      <c r="A488" s="319"/>
      <c r="D488" s="315"/>
      <c r="E488" s="320"/>
      <c r="F488" s="320"/>
      <c r="G488" s="320"/>
      <c r="H488" s="320"/>
      <c r="I488" s="320"/>
      <c r="J488" s="320"/>
      <c r="K488" s="320"/>
      <c r="L488" s="320"/>
      <c r="M488" s="320"/>
      <c r="N488" s="320"/>
      <c r="O488" s="320"/>
      <c r="P488" s="320"/>
      <c r="Q488" s="320"/>
      <c r="R488" s="320"/>
      <c r="S488" s="320"/>
      <c r="T488" s="320"/>
      <c r="U488" s="320"/>
      <c r="V488" s="320"/>
      <c r="W488" s="320"/>
      <c r="X488" s="320"/>
      <c r="Y488" s="320"/>
      <c r="Z488" s="320"/>
      <c r="AA488" s="320"/>
      <c r="AB488" s="320"/>
      <c r="AC488" s="320"/>
      <c r="AD488" s="320"/>
      <c r="AE488" s="320"/>
      <c r="AF488" s="320"/>
      <c r="AG488" s="320"/>
      <c r="AH488" s="320"/>
      <c r="AI488" s="320"/>
      <c r="AJ488" s="320"/>
      <c r="AK488" s="320"/>
    </row>
    <row r="489" spans="1:37" x14ac:dyDescent="0.25">
      <c r="A489" s="319"/>
      <c r="D489" s="315"/>
      <c r="E489" s="320"/>
      <c r="F489" s="320"/>
      <c r="G489" s="320"/>
      <c r="H489" s="320"/>
      <c r="I489" s="320"/>
      <c r="J489" s="320"/>
      <c r="K489" s="320"/>
      <c r="L489" s="320"/>
      <c r="M489" s="320"/>
      <c r="N489" s="320"/>
      <c r="O489" s="320"/>
      <c r="P489" s="320"/>
      <c r="Q489" s="320"/>
      <c r="R489" s="320"/>
      <c r="S489" s="320"/>
      <c r="T489" s="320"/>
      <c r="U489" s="320"/>
      <c r="V489" s="320"/>
      <c r="W489" s="320"/>
      <c r="X489" s="320"/>
      <c r="Y489" s="320"/>
      <c r="Z489" s="320"/>
      <c r="AA489" s="320"/>
      <c r="AB489" s="320"/>
      <c r="AC489" s="320"/>
      <c r="AD489" s="320"/>
      <c r="AE489" s="320"/>
      <c r="AF489" s="320"/>
      <c r="AG489" s="320"/>
      <c r="AH489" s="320"/>
      <c r="AI489" s="320"/>
      <c r="AJ489" s="320"/>
      <c r="AK489" s="320"/>
    </row>
    <row r="490" spans="1:37" x14ac:dyDescent="0.25">
      <c r="A490" s="319"/>
      <c r="D490" s="315"/>
      <c r="E490" s="320"/>
      <c r="F490" s="320"/>
      <c r="G490" s="320"/>
      <c r="H490" s="320"/>
      <c r="I490" s="320"/>
      <c r="J490" s="320"/>
      <c r="K490" s="320"/>
      <c r="L490" s="320"/>
      <c r="M490" s="320"/>
      <c r="N490" s="320"/>
      <c r="O490" s="320"/>
      <c r="P490" s="320"/>
      <c r="Q490" s="320"/>
      <c r="R490" s="320"/>
      <c r="S490" s="320"/>
      <c r="T490" s="320"/>
      <c r="U490" s="320"/>
      <c r="V490" s="320"/>
      <c r="W490" s="320"/>
      <c r="X490" s="320"/>
      <c r="Y490" s="320"/>
      <c r="Z490" s="320"/>
      <c r="AA490" s="320"/>
      <c r="AB490" s="320"/>
      <c r="AC490" s="320"/>
      <c r="AD490" s="320"/>
      <c r="AE490" s="320"/>
      <c r="AF490" s="320"/>
      <c r="AG490" s="320"/>
      <c r="AH490" s="320"/>
      <c r="AI490" s="320"/>
      <c r="AJ490" s="320"/>
      <c r="AK490" s="320"/>
    </row>
    <row r="491" spans="1:37" x14ac:dyDescent="0.25">
      <c r="A491" s="319"/>
      <c r="D491" s="315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320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320"/>
    </row>
    <row r="492" spans="1:37" x14ac:dyDescent="0.25">
      <c r="A492" s="319"/>
      <c r="D492" s="315"/>
      <c r="E492" s="320"/>
      <c r="F492" s="320"/>
      <c r="G492" s="320"/>
      <c r="H492" s="320"/>
      <c r="I492" s="320"/>
      <c r="J492" s="320"/>
      <c r="K492" s="320"/>
      <c r="L492" s="320"/>
      <c r="M492" s="320"/>
      <c r="N492" s="320"/>
      <c r="O492" s="320"/>
      <c r="P492" s="320"/>
      <c r="Q492" s="320"/>
      <c r="R492" s="320"/>
      <c r="S492" s="320"/>
      <c r="T492" s="320"/>
      <c r="U492" s="320"/>
      <c r="V492" s="320"/>
      <c r="W492" s="320"/>
      <c r="X492" s="320"/>
      <c r="Y492" s="320"/>
      <c r="Z492" s="320"/>
      <c r="AA492" s="320"/>
      <c r="AB492" s="320"/>
      <c r="AC492" s="320"/>
      <c r="AD492" s="320"/>
      <c r="AE492" s="320"/>
      <c r="AF492" s="320"/>
      <c r="AG492" s="320"/>
      <c r="AH492" s="320"/>
      <c r="AI492" s="320"/>
      <c r="AJ492" s="320"/>
      <c r="AK492" s="320"/>
    </row>
    <row r="493" spans="1:37" x14ac:dyDescent="0.25">
      <c r="A493" s="319"/>
      <c r="D493" s="315"/>
      <c r="E493" s="320"/>
      <c r="F493" s="320"/>
      <c r="G493" s="320"/>
      <c r="H493" s="320"/>
      <c r="I493" s="320"/>
      <c r="J493" s="320"/>
      <c r="K493" s="320"/>
      <c r="L493" s="320"/>
      <c r="M493" s="320"/>
      <c r="N493" s="320"/>
      <c r="O493" s="320"/>
      <c r="P493" s="320"/>
      <c r="Q493" s="320"/>
      <c r="R493" s="320"/>
      <c r="S493" s="320"/>
      <c r="T493" s="320"/>
      <c r="U493" s="320"/>
      <c r="V493" s="320"/>
      <c r="W493" s="320"/>
      <c r="X493" s="320"/>
      <c r="Y493" s="320"/>
      <c r="Z493" s="320"/>
      <c r="AA493" s="320"/>
      <c r="AB493" s="320"/>
      <c r="AC493" s="320"/>
      <c r="AD493" s="320"/>
      <c r="AE493" s="320"/>
      <c r="AF493" s="320"/>
      <c r="AG493" s="320"/>
      <c r="AH493" s="320"/>
      <c r="AI493" s="320"/>
      <c r="AJ493" s="320"/>
      <c r="AK493" s="320"/>
    </row>
    <row r="494" spans="1:37" x14ac:dyDescent="0.25">
      <c r="A494" s="319"/>
      <c r="D494" s="315"/>
      <c r="E494" s="320"/>
      <c r="F494" s="320"/>
      <c r="G494" s="320"/>
      <c r="H494" s="320"/>
      <c r="I494" s="320"/>
      <c r="J494" s="320"/>
      <c r="K494" s="320"/>
      <c r="L494" s="320"/>
      <c r="M494" s="320"/>
      <c r="N494" s="320"/>
      <c r="O494" s="320"/>
      <c r="P494" s="320"/>
      <c r="Q494" s="320"/>
      <c r="R494" s="320"/>
      <c r="S494" s="320"/>
      <c r="T494" s="320"/>
      <c r="U494" s="320"/>
      <c r="V494" s="320"/>
      <c r="W494" s="320"/>
      <c r="X494" s="320"/>
      <c r="Y494" s="320"/>
      <c r="Z494" s="320"/>
      <c r="AA494" s="320"/>
      <c r="AB494" s="320"/>
      <c r="AC494" s="320"/>
      <c r="AD494" s="320"/>
      <c r="AE494" s="320"/>
      <c r="AF494" s="320"/>
      <c r="AG494" s="320"/>
      <c r="AH494" s="320"/>
      <c r="AI494" s="320"/>
      <c r="AJ494" s="320"/>
      <c r="AK494" s="320"/>
    </row>
    <row r="495" spans="1:37" x14ac:dyDescent="0.25">
      <c r="A495" s="319"/>
      <c r="D495" s="315"/>
      <c r="E495" s="320"/>
      <c r="F495" s="320"/>
      <c r="G495" s="320"/>
      <c r="H495" s="320"/>
      <c r="I495" s="320"/>
      <c r="J495" s="320"/>
      <c r="K495" s="320"/>
      <c r="L495" s="320"/>
      <c r="M495" s="320"/>
      <c r="N495" s="320"/>
      <c r="O495" s="320"/>
      <c r="P495" s="320"/>
      <c r="Q495" s="320"/>
      <c r="R495" s="320"/>
      <c r="S495" s="320"/>
      <c r="T495" s="320"/>
      <c r="U495" s="320"/>
      <c r="V495" s="320"/>
      <c r="W495" s="320"/>
      <c r="X495" s="320"/>
      <c r="Y495" s="320"/>
      <c r="Z495" s="320"/>
      <c r="AA495" s="320"/>
      <c r="AB495" s="320"/>
      <c r="AC495" s="320"/>
      <c r="AD495" s="320"/>
      <c r="AE495" s="320"/>
      <c r="AF495" s="320"/>
      <c r="AG495" s="320"/>
      <c r="AH495" s="320"/>
      <c r="AI495" s="320"/>
      <c r="AJ495" s="320"/>
      <c r="AK495" s="320"/>
    </row>
    <row r="496" spans="1:37" x14ac:dyDescent="0.25">
      <c r="A496" s="319"/>
      <c r="D496" s="315"/>
      <c r="E496" s="320"/>
      <c r="F496" s="320"/>
      <c r="G496" s="320"/>
      <c r="H496" s="320"/>
      <c r="I496" s="320"/>
      <c r="J496" s="320"/>
      <c r="K496" s="320"/>
      <c r="L496" s="320"/>
      <c r="M496" s="320"/>
      <c r="N496" s="320"/>
      <c r="O496" s="320"/>
      <c r="P496" s="320"/>
      <c r="Q496" s="320"/>
      <c r="R496" s="320"/>
      <c r="S496" s="320"/>
      <c r="T496" s="320"/>
      <c r="U496" s="320"/>
      <c r="V496" s="320"/>
      <c r="W496" s="320"/>
      <c r="X496" s="320"/>
      <c r="Y496" s="320"/>
      <c r="Z496" s="320"/>
      <c r="AA496" s="320"/>
      <c r="AB496" s="320"/>
      <c r="AC496" s="320"/>
      <c r="AD496" s="320"/>
      <c r="AE496" s="320"/>
      <c r="AF496" s="320"/>
      <c r="AG496" s="320"/>
      <c r="AH496" s="320"/>
      <c r="AI496" s="320"/>
      <c r="AJ496" s="320"/>
      <c r="AK496" s="320"/>
    </row>
    <row r="497" spans="1:37" x14ac:dyDescent="0.25">
      <c r="A497" s="319"/>
      <c r="D497" s="315"/>
      <c r="E497" s="320"/>
      <c r="F497" s="320"/>
      <c r="G497" s="320"/>
      <c r="H497" s="320"/>
      <c r="I497" s="320"/>
      <c r="J497" s="320"/>
      <c r="K497" s="320"/>
      <c r="L497" s="320"/>
      <c r="M497" s="320"/>
      <c r="N497" s="320"/>
      <c r="O497" s="320"/>
      <c r="P497" s="320"/>
      <c r="Q497" s="320"/>
      <c r="R497" s="320"/>
      <c r="S497" s="320"/>
      <c r="T497" s="320"/>
      <c r="U497" s="320"/>
      <c r="V497" s="320"/>
      <c r="W497" s="320"/>
      <c r="X497" s="320"/>
      <c r="Y497" s="320"/>
      <c r="Z497" s="320"/>
      <c r="AA497" s="320"/>
      <c r="AB497" s="320"/>
      <c r="AC497" s="320"/>
      <c r="AD497" s="320"/>
      <c r="AE497" s="320"/>
      <c r="AF497" s="320"/>
      <c r="AG497" s="320"/>
      <c r="AH497" s="320"/>
      <c r="AI497" s="320"/>
      <c r="AJ497" s="320"/>
      <c r="AK497" s="320"/>
    </row>
    <row r="498" spans="1:37" x14ac:dyDescent="0.25">
      <c r="A498" s="319"/>
      <c r="D498" s="315"/>
      <c r="E498" s="320"/>
      <c r="F498" s="320"/>
      <c r="G498" s="320"/>
      <c r="H498" s="320"/>
      <c r="I498" s="320"/>
      <c r="J498" s="320"/>
      <c r="K498" s="320"/>
      <c r="L498" s="320"/>
      <c r="M498" s="320"/>
      <c r="N498" s="320"/>
      <c r="O498" s="320"/>
      <c r="P498" s="320"/>
      <c r="Q498" s="320"/>
      <c r="R498" s="320"/>
      <c r="S498" s="320"/>
      <c r="T498" s="320"/>
      <c r="U498" s="320"/>
      <c r="V498" s="320"/>
      <c r="W498" s="320"/>
      <c r="X498" s="320"/>
      <c r="Y498" s="320"/>
      <c r="Z498" s="320"/>
      <c r="AA498" s="320"/>
      <c r="AB498" s="320"/>
      <c r="AC498" s="320"/>
      <c r="AD498" s="320"/>
      <c r="AE498" s="320"/>
      <c r="AF498" s="320"/>
      <c r="AG498" s="320"/>
      <c r="AH498" s="320"/>
      <c r="AI498" s="320"/>
      <c r="AJ498" s="320"/>
      <c r="AK498" s="320"/>
    </row>
    <row r="499" spans="1:37" x14ac:dyDescent="0.25">
      <c r="A499" s="319"/>
      <c r="E499" s="320"/>
      <c r="F499" s="320"/>
      <c r="G499" s="320"/>
      <c r="H499" s="320"/>
      <c r="I499" s="320"/>
      <c r="J499" s="320"/>
      <c r="K499" s="320"/>
      <c r="L499" s="320"/>
      <c r="M499" s="320"/>
      <c r="N499" s="320"/>
      <c r="O499" s="320"/>
      <c r="P499" s="320"/>
      <c r="Q499" s="320"/>
      <c r="R499" s="320"/>
      <c r="S499" s="320"/>
      <c r="T499" s="320"/>
      <c r="U499" s="320"/>
      <c r="V499" s="320"/>
      <c r="W499" s="320"/>
      <c r="X499" s="320"/>
      <c r="Y499" s="320"/>
      <c r="Z499" s="320"/>
      <c r="AA499" s="320"/>
      <c r="AB499" s="320"/>
      <c r="AC499" s="320"/>
      <c r="AD499" s="320"/>
      <c r="AE499" s="320"/>
      <c r="AF499" s="320"/>
      <c r="AG499" s="320"/>
      <c r="AH499" s="320"/>
      <c r="AI499" s="320"/>
      <c r="AJ499" s="320"/>
      <c r="AK499" s="320"/>
    </row>
    <row r="500" spans="1:37" x14ac:dyDescent="0.25">
      <c r="A500" s="319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320"/>
      <c r="T500" s="320"/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320"/>
    </row>
    <row r="501" spans="1:37" x14ac:dyDescent="0.25">
      <c r="A501" s="319"/>
      <c r="E501" s="320"/>
      <c r="F501" s="320"/>
      <c r="G501" s="320"/>
      <c r="H501" s="320"/>
      <c r="I501" s="320"/>
      <c r="J501" s="320"/>
      <c r="K501" s="320"/>
      <c r="L501" s="320"/>
      <c r="M501" s="320"/>
      <c r="N501" s="320"/>
      <c r="O501" s="320"/>
      <c r="P501" s="320"/>
      <c r="Q501" s="320"/>
      <c r="R501" s="320"/>
      <c r="S501" s="320"/>
      <c r="T501" s="320"/>
      <c r="U501" s="320"/>
      <c r="V501" s="320"/>
      <c r="W501" s="320"/>
      <c r="X501" s="320"/>
      <c r="Y501" s="320"/>
      <c r="Z501" s="320"/>
      <c r="AA501" s="320"/>
      <c r="AB501" s="320"/>
      <c r="AC501" s="320"/>
      <c r="AD501" s="320"/>
      <c r="AE501" s="320"/>
      <c r="AF501" s="320"/>
      <c r="AG501" s="320"/>
      <c r="AH501" s="320"/>
      <c r="AI501" s="320"/>
      <c r="AJ501" s="320"/>
      <c r="AK501" s="320"/>
    </row>
    <row r="502" spans="1:37" x14ac:dyDescent="0.25">
      <c r="E502" s="320"/>
      <c r="F502" s="320"/>
      <c r="G502" s="320"/>
      <c r="H502" s="320"/>
      <c r="I502" s="320"/>
      <c r="J502" s="320"/>
      <c r="K502" s="320"/>
      <c r="L502" s="320"/>
      <c r="M502" s="320"/>
      <c r="N502" s="320"/>
      <c r="O502" s="320"/>
      <c r="P502" s="320"/>
      <c r="Q502" s="320"/>
      <c r="R502" s="320"/>
      <c r="S502" s="320"/>
      <c r="T502" s="320"/>
      <c r="U502" s="320"/>
      <c r="V502" s="320"/>
      <c r="W502" s="320"/>
      <c r="X502" s="320"/>
      <c r="Y502" s="320"/>
      <c r="Z502" s="320"/>
      <c r="AA502" s="320"/>
      <c r="AB502" s="320"/>
      <c r="AC502" s="320"/>
      <c r="AD502" s="320"/>
      <c r="AE502" s="320"/>
      <c r="AF502" s="320"/>
      <c r="AG502" s="320"/>
      <c r="AH502" s="320"/>
      <c r="AI502" s="320"/>
      <c r="AJ502" s="320"/>
      <c r="AK502" s="320"/>
    </row>
    <row r="503" spans="1:37" x14ac:dyDescent="0.25"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320"/>
      <c r="T503" s="320"/>
      <c r="U503" s="320"/>
      <c r="V503" s="320"/>
      <c r="W503" s="320"/>
      <c r="X503" s="320"/>
      <c r="Y503" s="320"/>
      <c r="Z503" s="320"/>
      <c r="AA503" s="320"/>
      <c r="AB503" s="320"/>
      <c r="AC503" s="320"/>
      <c r="AD503" s="320"/>
      <c r="AE503" s="320"/>
      <c r="AF503" s="320"/>
      <c r="AG503" s="320"/>
      <c r="AH503" s="320"/>
      <c r="AI503" s="320"/>
      <c r="AJ503" s="320"/>
      <c r="AK503" s="320"/>
    </row>
    <row r="504" spans="1:37" x14ac:dyDescent="0.25">
      <c r="E504" s="320"/>
      <c r="F504" s="320"/>
      <c r="G504" s="320"/>
      <c r="H504" s="320"/>
      <c r="I504" s="320"/>
      <c r="J504" s="320"/>
      <c r="K504" s="320"/>
      <c r="L504" s="320"/>
      <c r="M504" s="320"/>
      <c r="N504" s="320"/>
      <c r="O504" s="320"/>
      <c r="P504" s="320"/>
      <c r="Q504" s="320"/>
      <c r="R504" s="320"/>
      <c r="S504" s="320"/>
      <c r="T504" s="320"/>
      <c r="U504" s="320"/>
      <c r="V504" s="320"/>
      <c r="W504" s="320"/>
      <c r="X504" s="320"/>
      <c r="Y504" s="320"/>
      <c r="Z504" s="320"/>
      <c r="AA504" s="320"/>
      <c r="AB504" s="320"/>
      <c r="AC504" s="320"/>
      <c r="AD504" s="320"/>
      <c r="AE504" s="320"/>
      <c r="AF504" s="320"/>
      <c r="AG504" s="320"/>
      <c r="AH504" s="320"/>
      <c r="AI504" s="320"/>
      <c r="AJ504" s="320"/>
      <c r="AK504" s="320"/>
    </row>
    <row r="505" spans="1:37" x14ac:dyDescent="0.25">
      <c r="E505" s="320"/>
      <c r="F505" s="320"/>
      <c r="G505" s="320"/>
      <c r="H505" s="320"/>
      <c r="I505" s="320"/>
      <c r="J505" s="320"/>
      <c r="K505" s="320"/>
      <c r="L505" s="320"/>
      <c r="M505" s="320"/>
      <c r="N505" s="320"/>
      <c r="O505" s="320"/>
      <c r="P505" s="320"/>
      <c r="Q505" s="320"/>
      <c r="R505" s="320"/>
      <c r="S505" s="320"/>
      <c r="T505" s="320"/>
      <c r="U505" s="320"/>
      <c r="V505" s="320"/>
      <c r="W505" s="320"/>
      <c r="X505" s="320"/>
      <c r="Y505" s="320"/>
      <c r="Z505" s="320"/>
      <c r="AA505" s="320"/>
      <c r="AB505" s="320"/>
      <c r="AC505" s="320"/>
      <c r="AD505" s="320"/>
      <c r="AE505" s="320"/>
      <c r="AF505" s="320"/>
      <c r="AG505" s="320"/>
      <c r="AH505" s="320"/>
      <c r="AI505" s="320"/>
      <c r="AJ505" s="320"/>
      <c r="AK505" s="320"/>
    </row>
    <row r="506" spans="1:37" x14ac:dyDescent="0.25">
      <c r="E506" s="320"/>
      <c r="F506" s="320"/>
      <c r="G506" s="320"/>
      <c r="H506" s="320"/>
      <c r="I506" s="320"/>
      <c r="J506" s="320"/>
      <c r="K506" s="320"/>
      <c r="L506" s="320"/>
      <c r="M506" s="320"/>
      <c r="N506" s="320"/>
      <c r="O506" s="320"/>
      <c r="P506" s="320"/>
      <c r="Q506" s="320"/>
      <c r="R506" s="320"/>
      <c r="S506" s="320"/>
      <c r="T506" s="320"/>
      <c r="U506" s="320"/>
      <c r="V506" s="320"/>
      <c r="W506" s="320"/>
      <c r="X506" s="320"/>
      <c r="Y506" s="320"/>
      <c r="Z506" s="320"/>
      <c r="AA506" s="320"/>
      <c r="AB506" s="320"/>
      <c r="AC506" s="320"/>
      <c r="AD506" s="320"/>
      <c r="AE506" s="320"/>
      <c r="AF506" s="320"/>
      <c r="AG506" s="320"/>
      <c r="AH506" s="320"/>
      <c r="AI506" s="320"/>
      <c r="AJ506" s="320"/>
      <c r="AK506" s="320"/>
    </row>
    <row r="507" spans="1:37" x14ac:dyDescent="0.25">
      <c r="E507" s="320"/>
      <c r="F507" s="320"/>
      <c r="G507" s="320"/>
      <c r="H507" s="320"/>
      <c r="I507" s="320"/>
      <c r="J507" s="320"/>
      <c r="K507" s="320"/>
      <c r="L507" s="320"/>
      <c r="M507" s="320"/>
      <c r="N507" s="320"/>
      <c r="O507" s="320"/>
      <c r="P507" s="320"/>
      <c r="Q507" s="320"/>
      <c r="R507" s="320"/>
      <c r="S507" s="320"/>
      <c r="T507" s="320"/>
      <c r="U507" s="320"/>
      <c r="V507" s="320"/>
      <c r="W507" s="320"/>
      <c r="X507" s="320"/>
      <c r="Y507" s="320"/>
      <c r="Z507" s="320"/>
      <c r="AA507" s="320"/>
      <c r="AB507" s="320"/>
      <c r="AC507" s="320"/>
      <c r="AD507" s="320"/>
      <c r="AE507" s="320"/>
      <c r="AF507" s="320"/>
      <c r="AG507" s="320"/>
      <c r="AH507" s="320"/>
      <c r="AI507" s="320"/>
      <c r="AJ507" s="320"/>
      <c r="AK507" s="320"/>
    </row>
    <row r="508" spans="1:37" x14ac:dyDescent="0.25">
      <c r="E508" s="320"/>
      <c r="F508" s="320"/>
      <c r="G508" s="320"/>
      <c r="H508" s="320"/>
      <c r="I508" s="320"/>
      <c r="J508" s="320"/>
      <c r="K508" s="320"/>
      <c r="L508" s="320"/>
      <c r="M508" s="320"/>
      <c r="N508" s="320"/>
      <c r="O508" s="320"/>
      <c r="P508" s="320"/>
      <c r="Q508" s="320"/>
      <c r="R508" s="320"/>
      <c r="S508" s="320"/>
      <c r="T508" s="320"/>
      <c r="U508" s="320"/>
      <c r="V508" s="320"/>
      <c r="W508" s="320"/>
      <c r="X508" s="320"/>
      <c r="Y508" s="320"/>
      <c r="Z508" s="320"/>
      <c r="AA508" s="320"/>
      <c r="AB508" s="320"/>
      <c r="AC508" s="320"/>
      <c r="AD508" s="320"/>
      <c r="AE508" s="320"/>
      <c r="AF508" s="320"/>
      <c r="AG508" s="320"/>
      <c r="AH508" s="320"/>
      <c r="AI508" s="320"/>
      <c r="AJ508" s="320"/>
      <c r="AK508" s="320"/>
    </row>
    <row r="509" spans="1:37" x14ac:dyDescent="0.25">
      <c r="A509" s="318"/>
      <c r="E509" s="320"/>
      <c r="F509" s="320"/>
      <c r="G509" s="320"/>
      <c r="H509" s="320"/>
      <c r="I509" s="320"/>
      <c r="J509" s="320"/>
      <c r="K509" s="320"/>
      <c r="L509" s="320"/>
      <c r="M509" s="320"/>
      <c r="N509" s="320"/>
      <c r="O509" s="320"/>
      <c r="P509" s="320"/>
      <c r="Q509" s="320"/>
      <c r="R509" s="320"/>
      <c r="S509" s="320"/>
      <c r="T509" s="320"/>
      <c r="U509" s="320"/>
      <c r="V509" s="320"/>
      <c r="W509" s="320"/>
      <c r="X509" s="320"/>
      <c r="Y509" s="320"/>
      <c r="Z509" s="320"/>
      <c r="AA509" s="320"/>
      <c r="AB509" s="320"/>
      <c r="AC509" s="320"/>
      <c r="AD509" s="320"/>
      <c r="AE509" s="320"/>
      <c r="AF509" s="320"/>
      <c r="AG509" s="320"/>
      <c r="AH509" s="320"/>
      <c r="AI509" s="320"/>
      <c r="AJ509" s="320"/>
      <c r="AK509" s="320"/>
    </row>
    <row r="510" spans="1:37" x14ac:dyDescent="0.25">
      <c r="A510" s="319"/>
      <c r="E510" s="320"/>
      <c r="F510" s="320"/>
      <c r="G510" s="320"/>
      <c r="H510" s="320"/>
      <c r="I510" s="320"/>
      <c r="J510" s="320"/>
      <c r="K510" s="320"/>
      <c r="L510" s="320"/>
      <c r="M510" s="320"/>
      <c r="N510" s="320"/>
      <c r="O510" s="320"/>
      <c r="P510" s="320"/>
      <c r="Q510" s="320"/>
      <c r="R510" s="320"/>
      <c r="S510" s="320"/>
      <c r="T510" s="320"/>
      <c r="U510" s="320"/>
      <c r="V510" s="320"/>
      <c r="W510" s="320"/>
      <c r="X510" s="320"/>
      <c r="Y510" s="320"/>
      <c r="Z510" s="320"/>
      <c r="AA510" s="320"/>
      <c r="AB510" s="320"/>
      <c r="AC510" s="320"/>
      <c r="AD510" s="320"/>
      <c r="AE510" s="320"/>
      <c r="AF510" s="320"/>
      <c r="AG510" s="320"/>
      <c r="AH510" s="320"/>
      <c r="AI510" s="320"/>
      <c r="AJ510" s="320"/>
      <c r="AK510" s="320"/>
    </row>
    <row r="511" spans="1:37" x14ac:dyDescent="0.25">
      <c r="A511" s="319"/>
      <c r="E511" s="320"/>
      <c r="F511" s="320"/>
      <c r="G511" s="320"/>
      <c r="H511" s="320"/>
      <c r="I511" s="320"/>
      <c r="J511" s="320"/>
      <c r="K511" s="320"/>
      <c r="L511" s="320"/>
      <c r="M511" s="320"/>
      <c r="N511" s="320"/>
      <c r="O511" s="320"/>
      <c r="P511" s="320"/>
      <c r="Q511" s="320"/>
      <c r="R511" s="320"/>
      <c r="S511" s="320"/>
      <c r="T511" s="320"/>
      <c r="U511" s="320"/>
      <c r="V511" s="320"/>
      <c r="W511" s="320"/>
      <c r="X511" s="320"/>
      <c r="Y511" s="320"/>
      <c r="Z511" s="320"/>
      <c r="AA511" s="320"/>
      <c r="AB511" s="320"/>
      <c r="AC511" s="320"/>
      <c r="AD511" s="320"/>
      <c r="AE511" s="320"/>
      <c r="AF511" s="320"/>
      <c r="AG511" s="320"/>
      <c r="AH511" s="320"/>
      <c r="AI511" s="320"/>
      <c r="AJ511" s="320"/>
      <c r="AK511" s="320"/>
    </row>
    <row r="512" spans="1:37" x14ac:dyDescent="0.25">
      <c r="A512" s="319"/>
      <c r="E512" s="320"/>
      <c r="F512" s="320"/>
      <c r="G512" s="320"/>
      <c r="H512" s="320"/>
      <c r="I512" s="320"/>
      <c r="J512" s="320"/>
      <c r="K512" s="320"/>
      <c r="L512" s="320"/>
      <c r="M512" s="320"/>
      <c r="N512" s="320"/>
      <c r="O512" s="320"/>
      <c r="P512" s="320"/>
      <c r="Q512" s="320"/>
      <c r="R512" s="320"/>
      <c r="S512" s="320"/>
      <c r="T512" s="320"/>
      <c r="U512" s="320"/>
      <c r="V512" s="320"/>
      <c r="W512" s="320"/>
      <c r="X512" s="320"/>
      <c r="Y512" s="320"/>
      <c r="Z512" s="320"/>
      <c r="AA512" s="320"/>
      <c r="AB512" s="320"/>
      <c r="AC512" s="320"/>
      <c r="AD512" s="320"/>
      <c r="AE512" s="320"/>
      <c r="AF512" s="320"/>
      <c r="AG512" s="320"/>
      <c r="AH512" s="320"/>
      <c r="AI512" s="320"/>
      <c r="AJ512" s="320"/>
      <c r="AK512" s="320"/>
    </row>
    <row r="513" spans="1:37" x14ac:dyDescent="0.25">
      <c r="A513" s="319"/>
      <c r="E513" s="320"/>
      <c r="F513" s="320"/>
      <c r="G513" s="320"/>
      <c r="H513" s="320"/>
      <c r="I513" s="320"/>
      <c r="J513" s="320"/>
      <c r="K513" s="320"/>
      <c r="L513" s="320"/>
      <c r="M513" s="320"/>
      <c r="N513" s="320"/>
      <c r="O513" s="320"/>
      <c r="P513" s="320"/>
      <c r="Q513" s="320"/>
      <c r="R513" s="320"/>
      <c r="S513" s="320"/>
      <c r="T513" s="320"/>
      <c r="U513" s="320"/>
      <c r="V513" s="320"/>
      <c r="W513" s="320"/>
      <c r="X513" s="320"/>
      <c r="Y513" s="320"/>
      <c r="Z513" s="320"/>
      <c r="AA513" s="320"/>
      <c r="AB513" s="320"/>
      <c r="AC513" s="320"/>
      <c r="AD513" s="320"/>
      <c r="AE513" s="320"/>
      <c r="AF513" s="320"/>
      <c r="AG513" s="320"/>
      <c r="AH513" s="320"/>
      <c r="AI513" s="320"/>
      <c r="AJ513" s="320"/>
      <c r="AK513" s="320"/>
    </row>
    <row r="514" spans="1:37" x14ac:dyDescent="0.25">
      <c r="A514" s="319"/>
      <c r="E514" s="320"/>
      <c r="F514" s="320"/>
      <c r="G514" s="320"/>
      <c r="H514" s="320"/>
      <c r="I514" s="320"/>
      <c r="J514" s="320"/>
      <c r="K514" s="320"/>
      <c r="L514" s="320"/>
      <c r="M514" s="320"/>
      <c r="N514" s="320"/>
      <c r="O514" s="320"/>
      <c r="P514" s="320"/>
      <c r="Q514" s="320"/>
      <c r="R514" s="320"/>
      <c r="S514" s="320"/>
      <c r="T514" s="320"/>
      <c r="U514" s="320"/>
      <c r="V514" s="320"/>
      <c r="W514" s="320"/>
      <c r="X514" s="320"/>
      <c r="Y514" s="320"/>
      <c r="Z514" s="320"/>
      <c r="AA514" s="320"/>
      <c r="AB514" s="320"/>
      <c r="AC514" s="320"/>
      <c r="AD514" s="320"/>
      <c r="AE514" s="320"/>
      <c r="AF514" s="320"/>
      <c r="AG514" s="320"/>
      <c r="AH514" s="320"/>
      <c r="AI514" s="320"/>
      <c r="AJ514" s="320"/>
      <c r="AK514" s="320"/>
    </row>
    <row r="515" spans="1:37" x14ac:dyDescent="0.25">
      <c r="A515" s="319"/>
      <c r="E515" s="320"/>
      <c r="F515" s="320"/>
      <c r="G515" s="320"/>
      <c r="H515" s="320"/>
      <c r="I515" s="320"/>
      <c r="J515" s="320"/>
      <c r="K515" s="320"/>
      <c r="L515" s="320"/>
      <c r="M515" s="320"/>
      <c r="N515" s="320"/>
      <c r="O515" s="320"/>
      <c r="P515" s="320"/>
      <c r="Q515" s="320"/>
      <c r="R515" s="320"/>
      <c r="S515" s="320"/>
      <c r="T515" s="320"/>
      <c r="U515" s="320"/>
      <c r="V515" s="320"/>
      <c r="W515" s="320"/>
      <c r="X515" s="320"/>
      <c r="Y515" s="320"/>
      <c r="Z515" s="320"/>
      <c r="AA515" s="320"/>
      <c r="AB515" s="320"/>
      <c r="AC515" s="320"/>
      <c r="AD515" s="320"/>
      <c r="AE515" s="320"/>
      <c r="AF515" s="320"/>
      <c r="AG515" s="320"/>
      <c r="AH515" s="320"/>
      <c r="AI515" s="320"/>
      <c r="AJ515" s="320"/>
      <c r="AK515" s="320"/>
    </row>
    <row r="516" spans="1:37" x14ac:dyDescent="0.25">
      <c r="A516" s="319"/>
      <c r="E516" s="320"/>
      <c r="F516" s="320"/>
      <c r="G516" s="320"/>
      <c r="H516" s="320"/>
      <c r="I516" s="320"/>
      <c r="J516" s="320"/>
      <c r="K516" s="320"/>
      <c r="L516" s="320"/>
      <c r="M516" s="320"/>
      <c r="N516" s="320"/>
      <c r="O516" s="320"/>
      <c r="P516" s="320"/>
      <c r="Q516" s="320"/>
      <c r="R516" s="320"/>
      <c r="S516" s="320"/>
      <c r="T516" s="320"/>
      <c r="U516" s="320"/>
      <c r="V516" s="320"/>
      <c r="W516" s="320"/>
      <c r="X516" s="320"/>
      <c r="Y516" s="320"/>
      <c r="Z516" s="320"/>
      <c r="AA516" s="320"/>
      <c r="AB516" s="320"/>
      <c r="AC516" s="320"/>
      <c r="AD516" s="320"/>
      <c r="AE516" s="320"/>
      <c r="AF516" s="320"/>
      <c r="AG516" s="320"/>
      <c r="AH516" s="320"/>
      <c r="AI516" s="320"/>
      <c r="AJ516" s="320"/>
      <c r="AK516" s="320"/>
    </row>
    <row r="517" spans="1:37" x14ac:dyDescent="0.25">
      <c r="A517" s="319"/>
      <c r="E517" s="320"/>
      <c r="F517" s="320"/>
      <c r="G517" s="320"/>
      <c r="H517" s="320"/>
      <c r="I517" s="320"/>
      <c r="J517" s="320"/>
      <c r="K517" s="320"/>
      <c r="L517" s="320"/>
      <c r="M517" s="320"/>
      <c r="N517" s="320"/>
      <c r="O517" s="320"/>
      <c r="P517" s="320"/>
      <c r="Q517" s="320"/>
      <c r="R517" s="320"/>
      <c r="S517" s="320"/>
      <c r="T517" s="320"/>
      <c r="U517" s="320"/>
      <c r="V517" s="320"/>
      <c r="W517" s="320"/>
      <c r="X517" s="320"/>
      <c r="Y517" s="320"/>
      <c r="Z517" s="320"/>
      <c r="AA517" s="320"/>
      <c r="AB517" s="320"/>
      <c r="AC517" s="320"/>
      <c r="AD517" s="320"/>
      <c r="AE517" s="320"/>
      <c r="AF517" s="320"/>
      <c r="AG517" s="320"/>
      <c r="AH517" s="320"/>
      <c r="AI517" s="320"/>
      <c r="AJ517" s="320"/>
      <c r="AK517" s="320"/>
    </row>
    <row r="518" spans="1:37" x14ac:dyDescent="0.25">
      <c r="A518" s="319"/>
      <c r="E518" s="320"/>
      <c r="F518" s="320"/>
      <c r="G518" s="320"/>
      <c r="H518" s="320"/>
      <c r="I518" s="320"/>
      <c r="J518" s="320"/>
      <c r="K518" s="320"/>
      <c r="L518" s="320"/>
      <c r="M518" s="320"/>
      <c r="N518" s="320"/>
      <c r="O518" s="320"/>
      <c r="P518" s="320"/>
      <c r="Q518" s="320"/>
      <c r="R518" s="320"/>
      <c r="S518" s="320"/>
      <c r="T518" s="320"/>
      <c r="U518" s="320"/>
      <c r="V518" s="320"/>
      <c r="W518" s="320"/>
      <c r="X518" s="320"/>
      <c r="Y518" s="320"/>
      <c r="Z518" s="320"/>
      <c r="AA518" s="320"/>
      <c r="AB518" s="320"/>
      <c r="AC518" s="320"/>
      <c r="AD518" s="320"/>
      <c r="AE518" s="320"/>
      <c r="AF518" s="320"/>
      <c r="AG518" s="320"/>
      <c r="AH518" s="320"/>
      <c r="AI518" s="320"/>
      <c r="AJ518" s="320"/>
      <c r="AK518" s="320"/>
    </row>
    <row r="519" spans="1:37" x14ac:dyDescent="0.25">
      <c r="A519" s="319"/>
      <c r="E519" s="320"/>
      <c r="F519" s="320"/>
      <c r="G519" s="320"/>
      <c r="H519" s="320"/>
      <c r="I519" s="320"/>
      <c r="J519" s="320"/>
      <c r="K519" s="320"/>
      <c r="L519" s="320"/>
      <c r="M519" s="320"/>
      <c r="N519" s="320"/>
      <c r="O519" s="320"/>
      <c r="P519" s="320"/>
      <c r="Q519" s="320"/>
      <c r="R519" s="320"/>
      <c r="S519" s="320"/>
      <c r="T519" s="320"/>
      <c r="U519" s="320"/>
      <c r="V519" s="320"/>
      <c r="W519" s="320"/>
      <c r="X519" s="320"/>
      <c r="Y519" s="320"/>
      <c r="Z519" s="320"/>
      <c r="AA519" s="320"/>
      <c r="AB519" s="320"/>
      <c r="AC519" s="320"/>
      <c r="AD519" s="320"/>
      <c r="AE519" s="320"/>
      <c r="AF519" s="320"/>
      <c r="AG519" s="320"/>
      <c r="AH519" s="320"/>
      <c r="AI519" s="320"/>
      <c r="AJ519" s="320"/>
      <c r="AK519" s="320"/>
    </row>
    <row r="520" spans="1:37" x14ac:dyDescent="0.25">
      <c r="A520" s="319"/>
      <c r="E520" s="320"/>
      <c r="F520" s="320"/>
      <c r="G520" s="320"/>
      <c r="H520" s="320"/>
      <c r="I520" s="320"/>
      <c r="J520" s="320"/>
      <c r="K520" s="320"/>
      <c r="L520" s="320"/>
      <c r="M520" s="320"/>
      <c r="N520" s="320"/>
      <c r="O520" s="320"/>
      <c r="P520" s="320"/>
      <c r="Q520" s="320"/>
      <c r="R520" s="320"/>
      <c r="S520" s="320"/>
      <c r="T520" s="320"/>
      <c r="U520" s="320"/>
      <c r="V520" s="320"/>
      <c r="W520" s="320"/>
      <c r="X520" s="320"/>
      <c r="Y520" s="320"/>
      <c r="Z520" s="320"/>
      <c r="AA520" s="320"/>
      <c r="AB520" s="320"/>
      <c r="AC520" s="320"/>
      <c r="AD520" s="320"/>
      <c r="AE520" s="320"/>
      <c r="AF520" s="320"/>
      <c r="AG520" s="320"/>
      <c r="AH520" s="320"/>
      <c r="AI520" s="320"/>
      <c r="AJ520" s="320"/>
      <c r="AK520" s="320"/>
    </row>
    <row r="521" spans="1:37" x14ac:dyDescent="0.25">
      <c r="A521" s="319"/>
      <c r="E521" s="320"/>
      <c r="F521" s="320"/>
      <c r="G521" s="320"/>
      <c r="H521" s="320"/>
      <c r="I521" s="320"/>
      <c r="J521" s="320"/>
      <c r="K521" s="320"/>
      <c r="L521" s="320"/>
      <c r="M521" s="320"/>
      <c r="N521" s="320"/>
      <c r="O521" s="320"/>
      <c r="P521" s="320"/>
      <c r="Q521" s="320"/>
      <c r="R521" s="320"/>
      <c r="S521" s="320"/>
      <c r="T521" s="320"/>
      <c r="U521" s="320"/>
      <c r="V521" s="320"/>
      <c r="W521" s="320"/>
      <c r="X521" s="320"/>
      <c r="Y521" s="320"/>
      <c r="Z521" s="320"/>
      <c r="AA521" s="320"/>
      <c r="AB521" s="320"/>
      <c r="AC521" s="320"/>
      <c r="AD521" s="320"/>
      <c r="AE521" s="320"/>
      <c r="AF521" s="320"/>
      <c r="AG521" s="320"/>
      <c r="AH521" s="320"/>
      <c r="AI521" s="320"/>
      <c r="AJ521" s="320"/>
      <c r="AK521" s="320"/>
    </row>
    <row r="522" spans="1:37" x14ac:dyDescent="0.25">
      <c r="A522" s="319"/>
      <c r="E522" s="320"/>
      <c r="F522" s="320"/>
      <c r="G522" s="320"/>
      <c r="H522" s="320"/>
      <c r="I522" s="320"/>
      <c r="J522" s="320"/>
      <c r="K522" s="320"/>
      <c r="L522" s="320"/>
      <c r="M522" s="320"/>
      <c r="N522" s="320"/>
      <c r="O522" s="320"/>
      <c r="P522" s="320"/>
      <c r="Q522" s="320"/>
      <c r="R522" s="320"/>
      <c r="S522" s="320"/>
      <c r="T522" s="320"/>
      <c r="U522" s="320"/>
      <c r="V522" s="320"/>
      <c r="W522" s="320"/>
      <c r="X522" s="320"/>
      <c r="Y522" s="320"/>
      <c r="Z522" s="320"/>
      <c r="AA522" s="320"/>
      <c r="AB522" s="320"/>
      <c r="AC522" s="320"/>
      <c r="AD522" s="320"/>
      <c r="AE522" s="320"/>
      <c r="AF522" s="320"/>
      <c r="AG522" s="320"/>
      <c r="AH522" s="320"/>
      <c r="AI522" s="320"/>
      <c r="AJ522" s="320"/>
      <c r="AK522" s="320"/>
    </row>
    <row r="523" spans="1:37" x14ac:dyDescent="0.25">
      <c r="A523" s="319"/>
      <c r="E523" s="320"/>
      <c r="F523" s="320"/>
      <c r="G523" s="320"/>
      <c r="H523" s="320"/>
      <c r="I523" s="320"/>
      <c r="J523" s="320"/>
      <c r="K523" s="320"/>
      <c r="L523" s="320"/>
      <c r="M523" s="320"/>
      <c r="N523" s="320"/>
      <c r="O523" s="320"/>
      <c r="P523" s="320"/>
      <c r="Q523" s="320"/>
      <c r="R523" s="320"/>
      <c r="S523" s="320"/>
      <c r="T523" s="320"/>
      <c r="U523" s="320"/>
      <c r="V523" s="320"/>
      <c r="W523" s="320"/>
      <c r="X523" s="320"/>
      <c r="Y523" s="320"/>
      <c r="Z523" s="320"/>
      <c r="AA523" s="320"/>
      <c r="AB523" s="320"/>
      <c r="AC523" s="320"/>
      <c r="AD523" s="320"/>
      <c r="AE523" s="320"/>
      <c r="AF523" s="320"/>
      <c r="AG523" s="320"/>
      <c r="AH523" s="320"/>
      <c r="AI523" s="320"/>
      <c r="AJ523" s="320"/>
      <c r="AK523" s="320"/>
    </row>
    <row r="524" spans="1:37" x14ac:dyDescent="0.25">
      <c r="A524" s="319"/>
      <c r="E524" s="320"/>
      <c r="F524" s="320"/>
      <c r="G524" s="320"/>
      <c r="H524" s="320"/>
      <c r="I524" s="320"/>
      <c r="J524" s="320"/>
      <c r="K524" s="320"/>
      <c r="L524" s="320"/>
      <c r="M524" s="320"/>
      <c r="N524" s="320"/>
      <c r="O524" s="320"/>
      <c r="P524" s="320"/>
      <c r="Q524" s="320"/>
      <c r="R524" s="320"/>
      <c r="S524" s="320"/>
      <c r="T524" s="320"/>
      <c r="U524" s="320"/>
      <c r="V524" s="320"/>
      <c r="W524" s="320"/>
      <c r="X524" s="320"/>
      <c r="Y524" s="320"/>
      <c r="Z524" s="320"/>
      <c r="AA524" s="320"/>
      <c r="AB524" s="320"/>
      <c r="AC524" s="320"/>
      <c r="AD524" s="320"/>
      <c r="AE524" s="320"/>
      <c r="AF524" s="320"/>
      <c r="AG524" s="320"/>
      <c r="AH524" s="320"/>
      <c r="AI524" s="320"/>
      <c r="AJ524" s="320"/>
      <c r="AK524" s="320"/>
    </row>
    <row r="525" spans="1:37" x14ac:dyDescent="0.25">
      <c r="A525" s="319"/>
      <c r="E525" s="320"/>
      <c r="F525" s="320"/>
      <c r="G525" s="320"/>
      <c r="H525" s="320"/>
      <c r="I525" s="320"/>
      <c r="J525" s="320"/>
      <c r="K525" s="320"/>
      <c r="L525" s="320"/>
      <c r="M525" s="320"/>
      <c r="N525" s="320"/>
      <c r="O525" s="320"/>
      <c r="P525" s="320"/>
      <c r="Q525" s="320"/>
      <c r="R525" s="320"/>
      <c r="S525" s="320"/>
      <c r="T525" s="320"/>
      <c r="U525" s="320"/>
      <c r="V525" s="320"/>
      <c r="W525" s="320"/>
      <c r="X525" s="320"/>
      <c r="Y525" s="320"/>
      <c r="Z525" s="320"/>
      <c r="AA525" s="320"/>
      <c r="AB525" s="320"/>
      <c r="AC525" s="320"/>
      <c r="AD525" s="320"/>
      <c r="AE525" s="320"/>
      <c r="AF525" s="320"/>
      <c r="AG525" s="320"/>
      <c r="AH525" s="320"/>
      <c r="AI525" s="320"/>
      <c r="AJ525" s="320"/>
      <c r="AK525" s="320"/>
    </row>
    <row r="526" spans="1:37" x14ac:dyDescent="0.25">
      <c r="A526" s="319"/>
      <c r="E526" s="320"/>
      <c r="F526" s="320"/>
      <c r="G526" s="320"/>
      <c r="H526" s="320"/>
      <c r="I526" s="320"/>
      <c r="J526" s="320"/>
      <c r="K526" s="320"/>
      <c r="L526" s="320"/>
      <c r="M526" s="320"/>
      <c r="N526" s="320"/>
      <c r="O526" s="320"/>
      <c r="P526" s="320"/>
      <c r="Q526" s="320"/>
      <c r="R526" s="320"/>
      <c r="S526" s="320"/>
      <c r="T526" s="320"/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320"/>
      <c r="AH526" s="320"/>
      <c r="AI526" s="320"/>
      <c r="AJ526" s="320"/>
      <c r="AK526" s="320"/>
    </row>
    <row r="527" spans="1:37" x14ac:dyDescent="0.25">
      <c r="A527" s="319"/>
      <c r="E527" s="320"/>
      <c r="F527" s="320"/>
      <c r="G527" s="320"/>
      <c r="H527" s="320"/>
      <c r="I527" s="320"/>
      <c r="J527" s="320"/>
      <c r="K527" s="320"/>
      <c r="L527" s="320"/>
      <c r="M527" s="320"/>
      <c r="N527" s="320"/>
      <c r="O527" s="320"/>
      <c r="P527" s="320"/>
      <c r="Q527" s="320"/>
      <c r="R527" s="320"/>
      <c r="S527" s="320"/>
      <c r="T527" s="320"/>
      <c r="U527" s="320"/>
      <c r="V527" s="320"/>
      <c r="W527" s="320"/>
      <c r="X527" s="320"/>
      <c r="Y527" s="320"/>
      <c r="Z527" s="320"/>
      <c r="AA527" s="320"/>
      <c r="AB527" s="320"/>
      <c r="AC527" s="320"/>
      <c r="AD527" s="320"/>
      <c r="AE527" s="320"/>
      <c r="AF527" s="320"/>
      <c r="AG527" s="320"/>
      <c r="AH527" s="320"/>
      <c r="AI527" s="320"/>
      <c r="AJ527" s="320"/>
      <c r="AK527" s="320"/>
    </row>
    <row r="528" spans="1:37" x14ac:dyDescent="0.25">
      <c r="E528" s="320"/>
      <c r="F528" s="320"/>
      <c r="G528" s="320"/>
      <c r="H528" s="320"/>
      <c r="I528" s="320"/>
      <c r="J528" s="320"/>
      <c r="K528" s="320"/>
      <c r="L528" s="320"/>
      <c r="M528" s="320"/>
      <c r="N528" s="320"/>
      <c r="O528" s="320"/>
      <c r="P528" s="320"/>
      <c r="Q528" s="320"/>
      <c r="R528" s="320"/>
      <c r="S528" s="320"/>
      <c r="T528" s="320"/>
      <c r="U528" s="320"/>
      <c r="V528" s="320"/>
      <c r="W528" s="320"/>
      <c r="X528" s="320"/>
      <c r="Y528" s="320"/>
      <c r="Z528" s="320"/>
      <c r="AA528" s="320"/>
      <c r="AB528" s="320"/>
      <c r="AC528" s="320"/>
      <c r="AD528" s="320"/>
      <c r="AE528" s="320"/>
      <c r="AF528" s="320"/>
      <c r="AG528" s="320"/>
      <c r="AH528" s="320"/>
      <c r="AI528" s="320"/>
      <c r="AJ528" s="320"/>
      <c r="AK528" s="320"/>
    </row>
    <row r="529" spans="1:37" x14ac:dyDescent="0.25">
      <c r="E529" s="320"/>
      <c r="F529" s="320"/>
      <c r="G529" s="320"/>
      <c r="H529" s="320"/>
      <c r="I529" s="320"/>
      <c r="J529" s="320"/>
      <c r="K529" s="320"/>
      <c r="L529" s="320"/>
      <c r="M529" s="320"/>
      <c r="N529" s="320"/>
      <c r="O529" s="320"/>
      <c r="P529" s="320"/>
      <c r="Q529" s="320"/>
      <c r="R529" s="320"/>
      <c r="S529" s="320"/>
      <c r="T529" s="320"/>
      <c r="U529" s="320"/>
      <c r="V529" s="320"/>
      <c r="W529" s="320"/>
      <c r="X529" s="320"/>
      <c r="Y529" s="320"/>
      <c r="Z529" s="320"/>
      <c r="AA529" s="320"/>
      <c r="AB529" s="320"/>
      <c r="AC529" s="320"/>
      <c r="AD529" s="320"/>
      <c r="AE529" s="320"/>
      <c r="AF529" s="320"/>
      <c r="AG529" s="320"/>
      <c r="AH529" s="320"/>
      <c r="AI529" s="320"/>
      <c r="AJ529" s="320"/>
      <c r="AK529" s="320"/>
    </row>
    <row r="530" spans="1:37" x14ac:dyDescent="0.25">
      <c r="E530" s="320"/>
      <c r="F530" s="320"/>
      <c r="G530" s="320"/>
      <c r="H530" s="320"/>
      <c r="I530" s="320"/>
      <c r="J530" s="320"/>
      <c r="K530" s="320"/>
      <c r="L530" s="320"/>
      <c r="M530" s="320"/>
      <c r="N530" s="320"/>
      <c r="O530" s="320"/>
      <c r="P530" s="320"/>
      <c r="Q530" s="320"/>
      <c r="R530" s="320"/>
      <c r="S530" s="320"/>
      <c r="T530" s="320"/>
      <c r="U530" s="320"/>
      <c r="V530" s="320"/>
      <c r="W530" s="320"/>
      <c r="X530" s="320"/>
      <c r="Y530" s="320"/>
      <c r="Z530" s="320"/>
      <c r="AA530" s="320"/>
      <c r="AB530" s="320"/>
      <c r="AC530" s="320"/>
      <c r="AD530" s="320"/>
      <c r="AE530" s="320"/>
      <c r="AF530" s="320"/>
      <c r="AG530" s="320"/>
      <c r="AH530" s="320"/>
      <c r="AI530" s="320"/>
      <c r="AJ530" s="320"/>
      <c r="AK530" s="320"/>
    </row>
    <row r="531" spans="1:37" x14ac:dyDescent="0.25">
      <c r="E531" s="320"/>
      <c r="F531" s="320"/>
      <c r="G531" s="320"/>
      <c r="H531" s="320"/>
      <c r="I531" s="320"/>
      <c r="J531" s="320"/>
      <c r="K531" s="320"/>
      <c r="L531" s="320"/>
      <c r="M531" s="320"/>
      <c r="N531" s="320"/>
      <c r="O531" s="320"/>
      <c r="P531" s="320"/>
      <c r="Q531" s="320"/>
      <c r="R531" s="320"/>
      <c r="S531" s="320"/>
      <c r="T531" s="320"/>
      <c r="U531" s="320"/>
      <c r="V531" s="320"/>
      <c r="W531" s="320"/>
      <c r="X531" s="320"/>
      <c r="Y531" s="320"/>
      <c r="Z531" s="320"/>
      <c r="AA531" s="320"/>
      <c r="AB531" s="320"/>
      <c r="AC531" s="320"/>
      <c r="AD531" s="320"/>
      <c r="AE531" s="320"/>
      <c r="AF531" s="320"/>
      <c r="AG531" s="320"/>
      <c r="AH531" s="320"/>
      <c r="AI531" s="320"/>
      <c r="AJ531" s="320"/>
      <c r="AK531" s="320"/>
    </row>
    <row r="532" spans="1:37" x14ac:dyDescent="0.25">
      <c r="E532" s="320"/>
      <c r="F532" s="320"/>
      <c r="G532" s="320"/>
      <c r="H532" s="320"/>
      <c r="I532" s="320"/>
      <c r="J532" s="320"/>
      <c r="K532" s="320"/>
      <c r="L532" s="320"/>
      <c r="M532" s="320"/>
      <c r="N532" s="320"/>
      <c r="O532" s="320"/>
      <c r="P532" s="320"/>
      <c r="Q532" s="320"/>
      <c r="R532" s="320"/>
      <c r="S532" s="320"/>
      <c r="T532" s="320"/>
      <c r="U532" s="320"/>
      <c r="V532" s="320"/>
      <c r="W532" s="320"/>
      <c r="X532" s="320"/>
      <c r="Y532" s="320"/>
      <c r="Z532" s="320"/>
      <c r="AA532" s="320"/>
      <c r="AB532" s="320"/>
      <c r="AC532" s="320"/>
      <c r="AD532" s="320"/>
      <c r="AE532" s="320"/>
      <c r="AF532" s="320"/>
      <c r="AG532" s="320"/>
      <c r="AH532" s="320"/>
      <c r="AI532" s="320"/>
      <c r="AJ532" s="320"/>
      <c r="AK532" s="320"/>
    </row>
    <row r="533" spans="1:37" x14ac:dyDescent="0.25">
      <c r="E533" s="320"/>
      <c r="F533" s="320"/>
      <c r="G533" s="320"/>
      <c r="H533" s="320"/>
      <c r="I533" s="320"/>
      <c r="J533" s="320"/>
      <c r="K533" s="320"/>
      <c r="L533" s="320"/>
      <c r="M533" s="320"/>
      <c r="N533" s="320"/>
      <c r="O533" s="320"/>
      <c r="P533" s="320"/>
      <c r="Q533" s="320"/>
      <c r="R533" s="320"/>
      <c r="S533" s="320"/>
      <c r="T533" s="320"/>
      <c r="U533" s="320"/>
      <c r="V533" s="320"/>
      <c r="W533" s="320"/>
      <c r="X533" s="320"/>
      <c r="Y533" s="320"/>
      <c r="Z533" s="320"/>
      <c r="AA533" s="320"/>
      <c r="AB533" s="320"/>
      <c r="AC533" s="320"/>
      <c r="AD533" s="320"/>
      <c r="AE533" s="320"/>
      <c r="AF533" s="320"/>
      <c r="AG533" s="320"/>
      <c r="AH533" s="320"/>
      <c r="AI533" s="320"/>
      <c r="AJ533" s="320"/>
      <c r="AK533" s="320"/>
    </row>
    <row r="534" spans="1:37" x14ac:dyDescent="0.25">
      <c r="E534" s="320"/>
      <c r="F534" s="320"/>
      <c r="G534" s="320"/>
      <c r="H534" s="320"/>
      <c r="I534" s="320"/>
      <c r="J534" s="320"/>
      <c r="K534" s="320"/>
      <c r="L534" s="320"/>
      <c r="M534" s="320"/>
      <c r="N534" s="320"/>
      <c r="O534" s="320"/>
      <c r="P534" s="320"/>
      <c r="Q534" s="320"/>
      <c r="R534" s="320"/>
      <c r="S534" s="320"/>
      <c r="T534" s="320"/>
      <c r="U534" s="320"/>
      <c r="V534" s="320"/>
      <c r="W534" s="320"/>
      <c r="X534" s="320"/>
      <c r="Y534" s="320"/>
      <c r="Z534" s="320"/>
      <c r="AA534" s="320"/>
      <c r="AB534" s="320"/>
      <c r="AC534" s="320"/>
      <c r="AD534" s="320"/>
      <c r="AE534" s="320"/>
      <c r="AF534" s="320"/>
      <c r="AG534" s="320"/>
      <c r="AH534" s="320"/>
      <c r="AI534" s="320"/>
      <c r="AJ534" s="320"/>
      <c r="AK534" s="320"/>
    </row>
    <row r="535" spans="1:37" x14ac:dyDescent="0.25">
      <c r="A535" s="318"/>
      <c r="E535" s="320"/>
      <c r="F535" s="320"/>
      <c r="G535" s="320"/>
      <c r="H535" s="320"/>
      <c r="I535" s="320"/>
      <c r="J535" s="320"/>
      <c r="K535" s="320"/>
      <c r="L535" s="320"/>
      <c r="M535" s="320"/>
      <c r="N535" s="320"/>
      <c r="O535" s="320"/>
      <c r="P535" s="320"/>
      <c r="Q535" s="320"/>
      <c r="R535" s="320"/>
      <c r="S535" s="320"/>
      <c r="T535" s="320"/>
      <c r="U535" s="320"/>
      <c r="V535" s="320"/>
      <c r="W535" s="320"/>
      <c r="X535" s="320"/>
      <c r="Y535" s="320"/>
      <c r="Z535" s="320"/>
      <c r="AA535" s="320"/>
      <c r="AB535" s="320"/>
      <c r="AC535" s="320"/>
      <c r="AD535" s="320"/>
      <c r="AE535" s="320"/>
      <c r="AF535" s="320"/>
      <c r="AG535" s="320"/>
      <c r="AH535" s="320"/>
      <c r="AI535" s="320"/>
      <c r="AJ535" s="320"/>
      <c r="AK535" s="320"/>
    </row>
    <row r="536" spans="1:37" x14ac:dyDescent="0.25">
      <c r="A536" s="319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320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320"/>
    </row>
    <row r="537" spans="1:37" x14ac:dyDescent="0.25">
      <c r="A537" s="319"/>
      <c r="E537" s="320"/>
      <c r="F537" s="320"/>
      <c r="G537" s="320"/>
      <c r="H537" s="320"/>
      <c r="I537" s="320"/>
      <c r="J537" s="320"/>
      <c r="K537" s="320"/>
      <c r="L537" s="320"/>
      <c r="M537" s="320"/>
      <c r="N537" s="320"/>
      <c r="O537" s="320"/>
      <c r="P537" s="320"/>
      <c r="Q537" s="320"/>
      <c r="R537" s="320"/>
      <c r="S537" s="320"/>
      <c r="T537" s="320"/>
      <c r="U537" s="320"/>
      <c r="V537" s="320"/>
      <c r="W537" s="320"/>
      <c r="X537" s="320"/>
      <c r="Y537" s="320"/>
      <c r="Z537" s="320"/>
      <c r="AA537" s="320"/>
      <c r="AB537" s="320"/>
      <c r="AC537" s="320"/>
      <c r="AD537" s="320"/>
      <c r="AE537" s="320"/>
      <c r="AF537" s="320"/>
      <c r="AG537" s="320"/>
      <c r="AH537" s="320"/>
      <c r="AI537" s="320"/>
      <c r="AJ537" s="320"/>
      <c r="AK537" s="320"/>
    </row>
    <row r="538" spans="1:37" x14ac:dyDescent="0.25">
      <c r="A538" s="319"/>
      <c r="E538" s="320"/>
      <c r="F538" s="320"/>
      <c r="G538" s="320"/>
      <c r="H538" s="320"/>
      <c r="I538" s="320"/>
      <c r="J538" s="320"/>
      <c r="K538" s="320"/>
      <c r="L538" s="320"/>
      <c r="M538" s="320"/>
      <c r="N538" s="320"/>
      <c r="O538" s="320"/>
      <c r="P538" s="320"/>
      <c r="Q538" s="320"/>
      <c r="R538" s="320"/>
      <c r="S538" s="320"/>
      <c r="T538" s="320"/>
      <c r="U538" s="320"/>
      <c r="V538" s="320"/>
      <c r="W538" s="320"/>
      <c r="X538" s="320"/>
      <c r="Y538" s="320"/>
      <c r="Z538" s="320"/>
      <c r="AA538" s="320"/>
      <c r="AB538" s="320"/>
      <c r="AC538" s="320"/>
      <c r="AD538" s="320"/>
      <c r="AE538" s="320"/>
      <c r="AF538" s="320"/>
      <c r="AG538" s="320"/>
      <c r="AH538" s="320"/>
      <c r="AI538" s="320"/>
      <c r="AJ538" s="320"/>
      <c r="AK538" s="320"/>
    </row>
    <row r="539" spans="1:37" x14ac:dyDescent="0.25">
      <c r="A539" s="319"/>
      <c r="E539" s="320"/>
      <c r="F539" s="320"/>
      <c r="G539" s="320"/>
      <c r="H539" s="320"/>
      <c r="I539" s="320"/>
      <c r="J539" s="320"/>
      <c r="K539" s="320"/>
      <c r="L539" s="320"/>
      <c r="M539" s="320"/>
      <c r="N539" s="320"/>
      <c r="O539" s="320"/>
      <c r="P539" s="320"/>
      <c r="Q539" s="320"/>
      <c r="R539" s="320"/>
      <c r="S539" s="320"/>
      <c r="T539" s="320"/>
      <c r="U539" s="320"/>
      <c r="V539" s="320"/>
      <c r="W539" s="320"/>
      <c r="X539" s="320"/>
      <c r="Y539" s="320"/>
      <c r="Z539" s="320"/>
      <c r="AA539" s="320"/>
      <c r="AB539" s="320"/>
      <c r="AC539" s="320"/>
      <c r="AD539" s="320"/>
      <c r="AE539" s="320"/>
      <c r="AF539" s="320"/>
      <c r="AG539" s="320"/>
      <c r="AH539" s="320"/>
      <c r="AI539" s="320"/>
      <c r="AJ539" s="320"/>
      <c r="AK539" s="320"/>
    </row>
    <row r="540" spans="1:37" x14ac:dyDescent="0.25">
      <c r="A540" s="319"/>
      <c r="E540" s="320"/>
      <c r="F540" s="320"/>
      <c r="G540" s="320"/>
      <c r="H540" s="320"/>
      <c r="I540" s="320"/>
      <c r="J540" s="320"/>
      <c r="K540" s="320"/>
      <c r="L540" s="320"/>
      <c r="M540" s="320"/>
      <c r="N540" s="320"/>
      <c r="O540" s="320"/>
      <c r="P540" s="320"/>
      <c r="Q540" s="320"/>
      <c r="R540" s="320"/>
      <c r="S540" s="320"/>
      <c r="T540" s="320"/>
      <c r="U540" s="320"/>
      <c r="V540" s="320"/>
      <c r="W540" s="320"/>
      <c r="X540" s="320"/>
      <c r="Y540" s="320"/>
      <c r="Z540" s="320"/>
      <c r="AA540" s="320"/>
      <c r="AB540" s="320"/>
      <c r="AC540" s="320"/>
      <c r="AD540" s="320"/>
      <c r="AE540" s="320"/>
      <c r="AF540" s="320"/>
      <c r="AG540" s="320"/>
      <c r="AH540" s="320"/>
      <c r="AI540" s="320"/>
      <c r="AJ540" s="320"/>
      <c r="AK540" s="320"/>
    </row>
    <row r="541" spans="1:37" x14ac:dyDescent="0.25">
      <c r="A541" s="319"/>
      <c r="E541" s="320"/>
      <c r="F541" s="320"/>
      <c r="G541" s="320"/>
      <c r="H541" s="320"/>
      <c r="I541" s="320"/>
      <c r="J541" s="320"/>
      <c r="K541" s="320"/>
      <c r="L541" s="320"/>
      <c r="M541" s="320"/>
      <c r="N541" s="320"/>
      <c r="O541" s="320"/>
      <c r="P541" s="320"/>
      <c r="Q541" s="320"/>
      <c r="R541" s="320"/>
      <c r="S541" s="320"/>
      <c r="T541" s="320"/>
      <c r="U541" s="320"/>
      <c r="V541" s="320"/>
      <c r="W541" s="320"/>
      <c r="X541" s="320"/>
      <c r="Y541" s="320"/>
      <c r="Z541" s="320"/>
      <c r="AA541" s="320"/>
      <c r="AB541" s="320"/>
      <c r="AC541" s="320"/>
      <c r="AD541" s="320"/>
      <c r="AE541" s="320"/>
      <c r="AF541" s="320"/>
      <c r="AG541" s="320"/>
      <c r="AH541" s="320"/>
      <c r="AI541" s="320"/>
      <c r="AJ541" s="320"/>
      <c r="AK541" s="320"/>
    </row>
    <row r="542" spans="1:37" x14ac:dyDescent="0.25">
      <c r="A542" s="319"/>
      <c r="E542" s="320"/>
      <c r="F542" s="320"/>
      <c r="G542" s="320"/>
      <c r="H542" s="320"/>
      <c r="I542" s="320"/>
      <c r="J542" s="320"/>
      <c r="K542" s="320"/>
      <c r="L542" s="320"/>
      <c r="M542" s="320"/>
      <c r="N542" s="320"/>
      <c r="O542" s="320"/>
      <c r="P542" s="320"/>
      <c r="Q542" s="320"/>
      <c r="R542" s="320"/>
      <c r="S542" s="320"/>
      <c r="T542" s="320"/>
      <c r="U542" s="320"/>
      <c r="V542" s="320"/>
      <c r="W542" s="320"/>
      <c r="X542" s="320"/>
      <c r="Y542" s="320"/>
      <c r="Z542" s="320"/>
      <c r="AA542" s="320"/>
      <c r="AB542" s="320"/>
      <c r="AC542" s="320"/>
      <c r="AD542" s="320"/>
      <c r="AE542" s="320"/>
      <c r="AF542" s="320"/>
      <c r="AG542" s="320"/>
      <c r="AH542" s="320"/>
      <c r="AI542" s="320"/>
      <c r="AJ542" s="320"/>
      <c r="AK542" s="320"/>
    </row>
    <row r="543" spans="1:37" x14ac:dyDescent="0.25">
      <c r="A543" s="319"/>
      <c r="E543" s="320"/>
      <c r="F543" s="320"/>
      <c r="G543" s="320"/>
      <c r="H543" s="320"/>
      <c r="I543" s="320"/>
      <c r="J543" s="320"/>
      <c r="K543" s="320"/>
      <c r="L543" s="320"/>
      <c r="M543" s="320"/>
      <c r="N543" s="320"/>
      <c r="O543" s="320"/>
      <c r="P543" s="320"/>
      <c r="Q543" s="320"/>
      <c r="R543" s="320"/>
      <c r="S543" s="320"/>
      <c r="T543" s="320"/>
      <c r="U543" s="320"/>
      <c r="V543" s="320"/>
      <c r="W543" s="320"/>
      <c r="X543" s="320"/>
      <c r="Y543" s="320"/>
      <c r="Z543" s="320"/>
      <c r="AA543" s="320"/>
      <c r="AB543" s="320"/>
      <c r="AC543" s="320"/>
      <c r="AD543" s="320"/>
      <c r="AE543" s="320"/>
      <c r="AF543" s="320"/>
      <c r="AG543" s="320"/>
      <c r="AH543" s="320"/>
      <c r="AI543" s="320"/>
      <c r="AJ543" s="320"/>
      <c r="AK543" s="320"/>
    </row>
    <row r="544" spans="1:37" x14ac:dyDescent="0.25">
      <c r="A544" s="319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320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320"/>
      <c r="AH544" s="320"/>
      <c r="AI544" s="320"/>
      <c r="AJ544" s="320"/>
      <c r="AK544" s="320"/>
    </row>
    <row r="545" spans="1:37" x14ac:dyDescent="0.25">
      <c r="A545" s="319"/>
      <c r="E545" s="320"/>
      <c r="F545" s="320"/>
      <c r="G545" s="320"/>
      <c r="H545" s="320"/>
      <c r="I545" s="320"/>
      <c r="J545" s="320"/>
      <c r="K545" s="320"/>
      <c r="L545" s="320"/>
      <c r="M545" s="320"/>
      <c r="N545" s="320"/>
      <c r="O545" s="320"/>
      <c r="P545" s="320"/>
      <c r="Q545" s="320"/>
      <c r="R545" s="320"/>
      <c r="S545" s="320"/>
      <c r="T545" s="320"/>
      <c r="U545" s="320"/>
      <c r="V545" s="320"/>
      <c r="W545" s="320"/>
      <c r="X545" s="320"/>
      <c r="Y545" s="320"/>
      <c r="Z545" s="320"/>
      <c r="AA545" s="320"/>
      <c r="AB545" s="320"/>
      <c r="AC545" s="320"/>
      <c r="AD545" s="320"/>
      <c r="AE545" s="320"/>
      <c r="AF545" s="320"/>
      <c r="AG545" s="320"/>
      <c r="AH545" s="320"/>
      <c r="AI545" s="320"/>
      <c r="AJ545" s="320"/>
      <c r="AK545" s="320"/>
    </row>
    <row r="546" spans="1:37" x14ac:dyDescent="0.25">
      <c r="A546" s="319"/>
      <c r="E546" s="320"/>
      <c r="F546" s="320"/>
      <c r="G546" s="320"/>
      <c r="H546" s="320"/>
      <c r="I546" s="320"/>
      <c r="J546" s="320"/>
      <c r="K546" s="320"/>
      <c r="L546" s="320"/>
      <c r="M546" s="320"/>
      <c r="N546" s="320"/>
      <c r="O546" s="320"/>
      <c r="P546" s="320"/>
      <c r="Q546" s="320"/>
      <c r="R546" s="320"/>
      <c r="S546" s="320"/>
      <c r="T546" s="320"/>
      <c r="U546" s="320"/>
      <c r="V546" s="320"/>
      <c r="W546" s="320"/>
      <c r="X546" s="320"/>
      <c r="Y546" s="320"/>
      <c r="Z546" s="320"/>
      <c r="AA546" s="320"/>
      <c r="AB546" s="320"/>
      <c r="AC546" s="320"/>
      <c r="AD546" s="320"/>
      <c r="AE546" s="320"/>
      <c r="AF546" s="320"/>
      <c r="AG546" s="320"/>
      <c r="AH546" s="320"/>
      <c r="AI546" s="320"/>
      <c r="AJ546" s="320"/>
      <c r="AK546" s="320"/>
    </row>
    <row r="547" spans="1:37" x14ac:dyDescent="0.25">
      <c r="A547" s="319"/>
      <c r="E547" s="320"/>
      <c r="F547" s="320"/>
      <c r="G547" s="320"/>
      <c r="H547" s="320"/>
      <c r="I547" s="320"/>
      <c r="J547" s="320"/>
      <c r="K547" s="320"/>
      <c r="L547" s="320"/>
      <c r="M547" s="320"/>
      <c r="N547" s="320"/>
      <c r="O547" s="320"/>
      <c r="P547" s="320"/>
      <c r="Q547" s="320"/>
      <c r="R547" s="320"/>
      <c r="S547" s="320"/>
      <c r="T547" s="320"/>
      <c r="U547" s="320"/>
      <c r="V547" s="320"/>
      <c r="W547" s="320"/>
      <c r="X547" s="320"/>
      <c r="Y547" s="320"/>
      <c r="Z547" s="320"/>
      <c r="AA547" s="320"/>
      <c r="AB547" s="320"/>
      <c r="AC547" s="320"/>
      <c r="AD547" s="320"/>
      <c r="AE547" s="320"/>
      <c r="AF547" s="320"/>
      <c r="AG547" s="320"/>
      <c r="AH547" s="320"/>
      <c r="AI547" s="320"/>
      <c r="AJ547" s="320"/>
      <c r="AK547" s="320"/>
    </row>
    <row r="548" spans="1:37" x14ac:dyDescent="0.25">
      <c r="A548" s="319"/>
      <c r="E548" s="320"/>
      <c r="F548" s="320"/>
      <c r="G548" s="320"/>
      <c r="H548" s="320"/>
      <c r="I548" s="320"/>
      <c r="J548" s="320"/>
      <c r="K548" s="320"/>
      <c r="L548" s="320"/>
      <c r="M548" s="320"/>
      <c r="N548" s="320"/>
      <c r="O548" s="320"/>
      <c r="P548" s="320"/>
      <c r="Q548" s="320"/>
      <c r="R548" s="320"/>
      <c r="S548" s="320"/>
      <c r="T548" s="320"/>
      <c r="U548" s="320"/>
      <c r="V548" s="320"/>
      <c r="W548" s="320"/>
      <c r="X548" s="320"/>
      <c r="Y548" s="320"/>
      <c r="Z548" s="320"/>
      <c r="AA548" s="320"/>
      <c r="AB548" s="320"/>
      <c r="AC548" s="320"/>
      <c r="AD548" s="320"/>
      <c r="AE548" s="320"/>
      <c r="AF548" s="320"/>
      <c r="AG548" s="320"/>
      <c r="AH548" s="320"/>
      <c r="AI548" s="320"/>
      <c r="AJ548" s="320"/>
      <c r="AK548" s="320"/>
    </row>
    <row r="549" spans="1:37" x14ac:dyDescent="0.25">
      <c r="A549" s="319"/>
      <c r="E549" s="320"/>
      <c r="F549" s="320"/>
      <c r="G549" s="320"/>
      <c r="H549" s="320"/>
      <c r="I549" s="320"/>
      <c r="J549" s="320"/>
      <c r="K549" s="320"/>
      <c r="L549" s="320"/>
      <c r="M549" s="320"/>
      <c r="N549" s="320"/>
      <c r="O549" s="320"/>
      <c r="P549" s="320"/>
      <c r="Q549" s="320"/>
      <c r="R549" s="320"/>
      <c r="S549" s="320"/>
      <c r="T549" s="320"/>
      <c r="U549" s="320"/>
      <c r="V549" s="320"/>
      <c r="W549" s="320"/>
      <c r="X549" s="320"/>
      <c r="Y549" s="320"/>
      <c r="Z549" s="320"/>
      <c r="AA549" s="320"/>
      <c r="AB549" s="320"/>
      <c r="AC549" s="320"/>
      <c r="AD549" s="320"/>
      <c r="AE549" s="320"/>
      <c r="AF549" s="320"/>
      <c r="AG549" s="320"/>
      <c r="AH549" s="320"/>
      <c r="AI549" s="320"/>
      <c r="AJ549" s="320"/>
      <c r="AK549" s="320"/>
    </row>
    <row r="550" spans="1:37" x14ac:dyDescent="0.25">
      <c r="A550" s="319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320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320"/>
      <c r="AH550" s="320"/>
      <c r="AI550" s="320"/>
      <c r="AJ550" s="320"/>
      <c r="AK550" s="320"/>
    </row>
    <row r="551" spans="1:37" x14ac:dyDescent="0.25">
      <c r="A551" s="319"/>
      <c r="E551" s="320"/>
      <c r="F551" s="320"/>
      <c r="G551" s="320"/>
      <c r="H551" s="320"/>
      <c r="I551" s="320"/>
      <c r="J551" s="320"/>
      <c r="K551" s="320"/>
      <c r="L551" s="320"/>
      <c r="M551" s="320"/>
      <c r="N551" s="320"/>
      <c r="O551" s="320"/>
      <c r="P551" s="320"/>
      <c r="Q551" s="320"/>
      <c r="R551" s="320"/>
      <c r="S551" s="320"/>
      <c r="T551" s="320"/>
      <c r="U551" s="320"/>
      <c r="V551" s="320"/>
      <c r="W551" s="320"/>
      <c r="X551" s="320"/>
      <c r="Y551" s="320"/>
      <c r="Z551" s="320"/>
      <c r="AA551" s="320"/>
      <c r="AB551" s="320"/>
      <c r="AC551" s="320"/>
      <c r="AD551" s="320"/>
      <c r="AE551" s="320"/>
      <c r="AF551" s="320"/>
      <c r="AG551" s="320"/>
      <c r="AH551" s="320"/>
      <c r="AI551" s="320"/>
      <c r="AJ551" s="320"/>
      <c r="AK551" s="320"/>
    </row>
    <row r="552" spans="1:37" x14ac:dyDescent="0.25">
      <c r="A552" s="319"/>
      <c r="E552" s="320"/>
      <c r="F552" s="320"/>
      <c r="G552" s="320"/>
      <c r="H552" s="320"/>
      <c r="I552" s="320"/>
      <c r="J552" s="320"/>
      <c r="K552" s="320"/>
      <c r="L552" s="320"/>
      <c r="M552" s="320"/>
      <c r="N552" s="320"/>
      <c r="O552" s="320"/>
      <c r="P552" s="320"/>
      <c r="Q552" s="320"/>
      <c r="R552" s="320"/>
      <c r="S552" s="320"/>
      <c r="T552" s="320"/>
      <c r="U552" s="320"/>
      <c r="V552" s="320"/>
      <c r="W552" s="320"/>
      <c r="X552" s="320"/>
      <c r="Y552" s="320"/>
      <c r="Z552" s="320"/>
      <c r="AA552" s="320"/>
      <c r="AB552" s="320"/>
      <c r="AC552" s="320"/>
      <c r="AD552" s="320"/>
      <c r="AE552" s="320"/>
      <c r="AF552" s="320"/>
      <c r="AG552" s="320"/>
      <c r="AH552" s="320"/>
      <c r="AI552" s="320"/>
      <c r="AJ552" s="320"/>
      <c r="AK552" s="320"/>
    </row>
    <row r="553" spans="1:37" x14ac:dyDescent="0.25">
      <c r="A553" s="319"/>
      <c r="E553" s="320"/>
      <c r="F553" s="320"/>
      <c r="G553" s="320"/>
      <c r="H553" s="320"/>
      <c r="I553" s="320"/>
      <c r="J553" s="320"/>
      <c r="K553" s="320"/>
      <c r="L553" s="320"/>
      <c r="M553" s="320"/>
      <c r="N553" s="320"/>
      <c r="O553" s="320"/>
      <c r="P553" s="320"/>
      <c r="Q553" s="320"/>
      <c r="R553" s="320"/>
      <c r="S553" s="320"/>
      <c r="T553" s="320"/>
      <c r="U553" s="320"/>
      <c r="V553" s="320"/>
      <c r="W553" s="320"/>
      <c r="X553" s="320"/>
      <c r="Y553" s="320"/>
      <c r="Z553" s="320"/>
      <c r="AA553" s="320"/>
      <c r="AB553" s="320"/>
      <c r="AC553" s="320"/>
      <c r="AD553" s="320"/>
      <c r="AE553" s="320"/>
      <c r="AF553" s="320"/>
      <c r="AG553" s="320"/>
      <c r="AH553" s="320"/>
      <c r="AI553" s="320"/>
      <c r="AJ553" s="320"/>
      <c r="AK553" s="320"/>
    </row>
    <row r="554" spans="1:37" x14ac:dyDescent="0.25">
      <c r="E554" s="320"/>
      <c r="F554" s="320"/>
      <c r="G554" s="320"/>
      <c r="H554" s="320"/>
      <c r="I554" s="320"/>
      <c r="J554" s="320"/>
      <c r="K554" s="320"/>
      <c r="L554" s="320"/>
      <c r="M554" s="320"/>
      <c r="N554" s="320"/>
      <c r="O554" s="320"/>
      <c r="P554" s="320"/>
      <c r="Q554" s="320"/>
      <c r="R554" s="320"/>
      <c r="S554" s="320"/>
      <c r="T554" s="320"/>
      <c r="U554" s="320"/>
      <c r="V554" s="320"/>
      <c r="W554" s="320"/>
      <c r="X554" s="320"/>
      <c r="Y554" s="320"/>
      <c r="Z554" s="320"/>
      <c r="AA554" s="320"/>
      <c r="AB554" s="320"/>
      <c r="AC554" s="320"/>
      <c r="AD554" s="320"/>
      <c r="AE554" s="320"/>
      <c r="AF554" s="320"/>
      <c r="AG554" s="320"/>
      <c r="AH554" s="320"/>
      <c r="AI554" s="320"/>
      <c r="AJ554" s="320"/>
      <c r="AK554" s="320"/>
    </row>
    <row r="555" spans="1:37" x14ac:dyDescent="0.25">
      <c r="E555" s="320"/>
      <c r="F555" s="320"/>
      <c r="G555" s="320"/>
      <c r="H555" s="320"/>
      <c r="I555" s="320"/>
      <c r="J555" s="320"/>
      <c r="K555" s="320"/>
      <c r="L555" s="320"/>
      <c r="M555" s="320"/>
      <c r="N555" s="320"/>
      <c r="O555" s="320"/>
      <c r="P555" s="320"/>
      <c r="Q555" s="320"/>
      <c r="R555" s="320"/>
      <c r="S555" s="320"/>
      <c r="T555" s="320"/>
      <c r="U555" s="320"/>
      <c r="V555" s="320"/>
      <c r="W555" s="320"/>
      <c r="X555" s="320"/>
      <c r="Y555" s="320"/>
      <c r="Z555" s="320"/>
      <c r="AA555" s="320"/>
      <c r="AB555" s="320"/>
      <c r="AC555" s="320"/>
      <c r="AD555" s="320"/>
      <c r="AE555" s="320"/>
      <c r="AF555" s="320"/>
      <c r="AG555" s="320"/>
      <c r="AH555" s="320"/>
      <c r="AI555" s="320"/>
      <c r="AJ555" s="320"/>
      <c r="AK555" s="320"/>
    </row>
    <row r="556" spans="1:37" x14ac:dyDescent="0.25"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320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320"/>
      <c r="AH556" s="320"/>
      <c r="AI556" s="320"/>
      <c r="AJ556" s="320"/>
      <c r="AK556" s="320"/>
    </row>
    <row r="557" spans="1:37" x14ac:dyDescent="0.25">
      <c r="E557" s="320"/>
      <c r="F557" s="320"/>
      <c r="G557" s="320"/>
      <c r="H557" s="320"/>
      <c r="I557" s="320"/>
      <c r="J557" s="320"/>
      <c r="K557" s="320"/>
      <c r="L557" s="320"/>
      <c r="M557" s="320"/>
      <c r="N557" s="320"/>
      <c r="O557" s="320"/>
      <c r="P557" s="320"/>
      <c r="Q557" s="320"/>
      <c r="R557" s="320"/>
      <c r="S557" s="320"/>
      <c r="T557" s="320"/>
      <c r="U557" s="320"/>
      <c r="V557" s="320"/>
      <c r="W557" s="320"/>
      <c r="X557" s="320"/>
      <c r="Y557" s="320"/>
      <c r="Z557" s="320"/>
      <c r="AA557" s="320"/>
      <c r="AB557" s="320"/>
      <c r="AC557" s="320"/>
      <c r="AD557" s="320"/>
      <c r="AE557" s="320"/>
      <c r="AF557" s="320"/>
      <c r="AG557" s="320"/>
      <c r="AH557" s="320"/>
      <c r="AI557" s="320"/>
      <c r="AJ557" s="320"/>
      <c r="AK557" s="320"/>
    </row>
    <row r="558" spans="1:37" x14ac:dyDescent="0.25">
      <c r="E558" s="320"/>
      <c r="F558" s="320"/>
      <c r="G558" s="320"/>
      <c r="H558" s="320"/>
      <c r="I558" s="320"/>
      <c r="J558" s="320"/>
      <c r="K558" s="320"/>
      <c r="L558" s="320"/>
      <c r="M558" s="320"/>
      <c r="N558" s="320"/>
      <c r="O558" s="320"/>
      <c r="P558" s="320"/>
      <c r="Q558" s="320"/>
      <c r="R558" s="320"/>
      <c r="S558" s="320"/>
      <c r="T558" s="320"/>
      <c r="U558" s="320"/>
      <c r="V558" s="320"/>
      <c r="W558" s="320"/>
      <c r="X558" s="320"/>
      <c r="Y558" s="320"/>
      <c r="Z558" s="320"/>
      <c r="AA558" s="320"/>
      <c r="AB558" s="320"/>
      <c r="AC558" s="320"/>
      <c r="AD558" s="320"/>
      <c r="AE558" s="320"/>
      <c r="AF558" s="320"/>
      <c r="AG558" s="320"/>
      <c r="AH558" s="320"/>
      <c r="AI558" s="320"/>
      <c r="AJ558" s="320"/>
      <c r="AK558" s="320"/>
    </row>
    <row r="559" spans="1:37" x14ac:dyDescent="0.25">
      <c r="E559" s="320"/>
      <c r="F559" s="320"/>
      <c r="G559" s="320"/>
      <c r="H559" s="320"/>
      <c r="I559" s="320"/>
      <c r="J559" s="320"/>
      <c r="K559" s="320"/>
      <c r="L559" s="320"/>
      <c r="M559" s="320"/>
      <c r="N559" s="320"/>
      <c r="O559" s="320"/>
      <c r="P559" s="320"/>
      <c r="Q559" s="320"/>
      <c r="R559" s="320"/>
      <c r="S559" s="320"/>
      <c r="T559" s="320"/>
      <c r="U559" s="320"/>
      <c r="V559" s="320"/>
      <c r="W559" s="320"/>
      <c r="X559" s="320"/>
      <c r="Y559" s="320"/>
      <c r="Z559" s="320"/>
      <c r="AA559" s="320"/>
      <c r="AB559" s="320"/>
      <c r="AC559" s="320"/>
      <c r="AD559" s="320"/>
      <c r="AE559" s="320"/>
      <c r="AF559" s="320"/>
      <c r="AG559" s="320"/>
      <c r="AH559" s="320"/>
      <c r="AI559" s="320"/>
      <c r="AJ559" s="320"/>
      <c r="AK559" s="320"/>
    </row>
    <row r="560" spans="1:37" x14ac:dyDescent="0.25">
      <c r="E560" s="320"/>
      <c r="F560" s="320"/>
      <c r="G560" s="320"/>
      <c r="H560" s="320"/>
      <c r="I560" s="320"/>
      <c r="J560" s="320"/>
      <c r="K560" s="320"/>
      <c r="L560" s="320"/>
      <c r="M560" s="320"/>
      <c r="N560" s="320"/>
      <c r="O560" s="320"/>
      <c r="P560" s="320"/>
      <c r="Q560" s="320"/>
      <c r="R560" s="320"/>
      <c r="S560" s="320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320"/>
    </row>
    <row r="561" spans="1:37" x14ac:dyDescent="0.25">
      <c r="A561" s="318"/>
      <c r="E561" s="320"/>
      <c r="F561" s="320"/>
      <c r="G561" s="320"/>
      <c r="H561" s="320"/>
      <c r="I561" s="320"/>
      <c r="J561" s="320"/>
      <c r="K561" s="320"/>
      <c r="L561" s="320"/>
      <c r="M561" s="320"/>
      <c r="N561" s="320"/>
      <c r="O561" s="320"/>
      <c r="P561" s="320"/>
      <c r="Q561" s="320"/>
      <c r="R561" s="320"/>
      <c r="S561" s="320"/>
      <c r="T561" s="320"/>
      <c r="U561" s="320"/>
      <c r="V561" s="320"/>
      <c r="W561" s="320"/>
      <c r="X561" s="320"/>
      <c r="Y561" s="320"/>
      <c r="Z561" s="320"/>
      <c r="AA561" s="320"/>
      <c r="AB561" s="320"/>
      <c r="AC561" s="320"/>
      <c r="AD561" s="320"/>
      <c r="AE561" s="320"/>
      <c r="AF561" s="320"/>
      <c r="AG561" s="320"/>
      <c r="AH561" s="320"/>
      <c r="AI561" s="320"/>
      <c r="AJ561" s="320"/>
      <c r="AK561" s="320"/>
    </row>
    <row r="562" spans="1:37" x14ac:dyDescent="0.25">
      <c r="A562" s="319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320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320"/>
      <c r="AH562" s="320"/>
      <c r="AI562" s="320"/>
      <c r="AJ562" s="320"/>
      <c r="AK562" s="320"/>
    </row>
    <row r="563" spans="1:37" x14ac:dyDescent="0.25">
      <c r="A563" s="319"/>
      <c r="E563" s="320"/>
      <c r="F563" s="320"/>
      <c r="G563" s="320"/>
      <c r="H563" s="320"/>
      <c r="I563" s="320"/>
      <c r="J563" s="320"/>
      <c r="K563" s="320"/>
      <c r="L563" s="320"/>
      <c r="M563" s="320"/>
      <c r="N563" s="320"/>
      <c r="O563" s="320"/>
      <c r="P563" s="320"/>
      <c r="Q563" s="320"/>
      <c r="R563" s="320"/>
      <c r="S563" s="320"/>
      <c r="T563" s="320"/>
      <c r="U563" s="320"/>
      <c r="V563" s="320"/>
      <c r="W563" s="320"/>
      <c r="X563" s="320"/>
      <c r="Y563" s="320"/>
      <c r="Z563" s="320"/>
      <c r="AA563" s="320"/>
      <c r="AB563" s="320"/>
      <c r="AC563" s="320"/>
      <c r="AD563" s="320"/>
      <c r="AE563" s="320"/>
      <c r="AF563" s="320"/>
      <c r="AG563" s="320"/>
      <c r="AH563" s="320"/>
      <c r="AI563" s="320"/>
      <c r="AJ563" s="320"/>
      <c r="AK563" s="320"/>
    </row>
    <row r="564" spans="1:37" x14ac:dyDescent="0.25">
      <c r="A564" s="319"/>
      <c r="E564" s="320"/>
      <c r="F564" s="320"/>
      <c r="G564" s="320"/>
      <c r="H564" s="320"/>
      <c r="I564" s="320"/>
      <c r="J564" s="320"/>
      <c r="K564" s="320"/>
      <c r="L564" s="320"/>
      <c r="M564" s="320"/>
      <c r="N564" s="320"/>
      <c r="O564" s="320"/>
      <c r="P564" s="320"/>
      <c r="Q564" s="320"/>
      <c r="R564" s="320"/>
      <c r="S564" s="320"/>
      <c r="T564" s="320"/>
      <c r="U564" s="320"/>
      <c r="V564" s="320"/>
      <c r="W564" s="320"/>
      <c r="X564" s="320"/>
      <c r="Y564" s="320"/>
      <c r="Z564" s="320"/>
      <c r="AA564" s="320"/>
      <c r="AB564" s="320"/>
      <c r="AC564" s="320"/>
      <c r="AD564" s="320"/>
      <c r="AE564" s="320"/>
      <c r="AF564" s="320"/>
      <c r="AG564" s="320"/>
      <c r="AH564" s="320"/>
      <c r="AI564" s="320"/>
      <c r="AJ564" s="320"/>
      <c r="AK564" s="320"/>
    </row>
    <row r="565" spans="1:37" x14ac:dyDescent="0.25">
      <c r="A565" s="319"/>
      <c r="E565" s="320"/>
      <c r="F565" s="320"/>
      <c r="G565" s="320"/>
      <c r="H565" s="320"/>
      <c r="I565" s="320"/>
      <c r="J565" s="320"/>
      <c r="K565" s="320"/>
      <c r="L565" s="320"/>
      <c r="M565" s="320"/>
      <c r="N565" s="320"/>
      <c r="O565" s="320"/>
      <c r="P565" s="320"/>
      <c r="Q565" s="320"/>
      <c r="R565" s="320"/>
      <c r="S565" s="320"/>
      <c r="T565" s="320"/>
      <c r="U565" s="320"/>
      <c r="V565" s="320"/>
      <c r="W565" s="320"/>
      <c r="X565" s="320"/>
      <c r="Y565" s="320"/>
      <c r="Z565" s="320"/>
      <c r="AA565" s="320"/>
      <c r="AB565" s="320"/>
      <c r="AC565" s="320"/>
      <c r="AD565" s="320"/>
      <c r="AE565" s="320"/>
      <c r="AF565" s="320"/>
      <c r="AG565" s="320"/>
      <c r="AH565" s="320"/>
      <c r="AI565" s="320"/>
      <c r="AJ565" s="320"/>
      <c r="AK565" s="320"/>
    </row>
    <row r="566" spans="1:37" x14ac:dyDescent="0.25">
      <c r="A566" s="319"/>
      <c r="E566" s="320"/>
      <c r="F566" s="320"/>
      <c r="G566" s="320"/>
      <c r="H566" s="320"/>
      <c r="I566" s="320"/>
      <c r="J566" s="320"/>
      <c r="K566" s="320"/>
      <c r="L566" s="320"/>
      <c r="M566" s="320"/>
      <c r="N566" s="320"/>
      <c r="O566" s="320"/>
      <c r="P566" s="320"/>
      <c r="Q566" s="320"/>
      <c r="R566" s="320"/>
      <c r="S566" s="320"/>
      <c r="T566" s="320"/>
      <c r="U566" s="320"/>
      <c r="V566" s="320"/>
      <c r="W566" s="320"/>
      <c r="X566" s="320"/>
      <c r="Y566" s="320"/>
      <c r="Z566" s="320"/>
      <c r="AA566" s="320"/>
      <c r="AB566" s="320"/>
      <c r="AC566" s="320"/>
      <c r="AD566" s="320"/>
      <c r="AE566" s="320"/>
      <c r="AF566" s="320"/>
      <c r="AG566" s="320"/>
      <c r="AH566" s="320"/>
      <c r="AI566" s="320"/>
      <c r="AJ566" s="320"/>
      <c r="AK566" s="320"/>
    </row>
    <row r="567" spans="1:37" x14ac:dyDescent="0.25">
      <c r="A567" s="319"/>
      <c r="E567" s="320"/>
      <c r="F567" s="320"/>
      <c r="G567" s="320"/>
      <c r="H567" s="320"/>
      <c r="I567" s="320"/>
      <c r="J567" s="320"/>
      <c r="K567" s="320"/>
      <c r="L567" s="320"/>
      <c r="M567" s="320"/>
      <c r="N567" s="320"/>
      <c r="O567" s="320"/>
      <c r="P567" s="320"/>
      <c r="Q567" s="320"/>
      <c r="R567" s="320"/>
      <c r="S567" s="320"/>
      <c r="T567" s="320"/>
      <c r="U567" s="320"/>
      <c r="V567" s="320"/>
      <c r="W567" s="320"/>
      <c r="X567" s="320"/>
      <c r="Y567" s="320"/>
      <c r="Z567" s="320"/>
      <c r="AA567" s="320"/>
      <c r="AB567" s="320"/>
      <c r="AC567" s="320"/>
      <c r="AD567" s="320"/>
      <c r="AE567" s="320"/>
      <c r="AF567" s="320"/>
      <c r="AG567" s="320"/>
      <c r="AH567" s="320"/>
      <c r="AI567" s="320"/>
      <c r="AJ567" s="320"/>
      <c r="AK567" s="320"/>
    </row>
    <row r="568" spans="1:37" x14ac:dyDescent="0.25">
      <c r="A568" s="319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320"/>
      <c r="T568" s="320"/>
      <c r="U568" s="320"/>
      <c r="V568" s="320"/>
      <c r="W568" s="320"/>
      <c r="X568" s="320"/>
      <c r="Y568" s="320"/>
      <c r="Z568" s="320"/>
      <c r="AA568" s="320"/>
      <c r="AB568" s="320"/>
      <c r="AC568" s="320"/>
      <c r="AD568" s="320"/>
      <c r="AE568" s="320"/>
      <c r="AF568" s="320"/>
      <c r="AG568" s="320"/>
      <c r="AH568" s="320"/>
      <c r="AI568" s="320"/>
      <c r="AJ568" s="320"/>
      <c r="AK568" s="320"/>
    </row>
    <row r="569" spans="1:37" x14ac:dyDescent="0.25">
      <c r="A569" s="319"/>
      <c r="E569" s="320"/>
      <c r="F569" s="320"/>
      <c r="G569" s="320"/>
      <c r="H569" s="320"/>
      <c r="I569" s="320"/>
      <c r="J569" s="320"/>
      <c r="K569" s="320"/>
      <c r="L569" s="320"/>
      <c r="M569" s="320"/>
      <c r="N569" s="320"/>
      <c r="O569" s="320"/>
      <c r="P569" s="320"/>
      <c r="Q569" s="320"/>
      <c r="R569" s="320"/>
      <c r="S569" s="320"/>
      <c r="T569" s="320"/>
      <c r="U569" s="320"/>
      <c r="V569" s="320"/>
      <c r="W569" s="320"/>
      <c r="X569" s="320"/>
      <c r="Y569" s="320"/>
      <c r="Z569" s="320"/>
      <c r="AA569" s="320"/>
      <c r="AB569" s="320"/>
      <c r="AC569" s="320"/>
      <c r="AD569" s="320"/>
      <c r="AE569" s="320"/>
      <c r="AF569" s="320"/>
      <c r="AG569" s="320"/>
      <c r="AH569" s="320"/>
      <c r="AI569" s="320"/>
      <c r="AJ569" s="320"/>
      <c r="AK569" s="320"/>
    </row>
    <row r="570" spans="1:37" x14ac:dyDescent="0.25">
      <c r="A570" s="319"/>
      <c r="E570" s="320"/>
      <c r="F570" s="320"/>
      <c r="G570" s="320"/>
      <c r="H570" s="320"/>
      <c r="I570" s="320"/>
      <c r="J570" s="320"/>
      <c r="K570" s="320"/>
      <c r="L570" s="320"/>
      <c r="M570" s="320"/>
      <c r="N570" s="320"/>
      <c r="O570" s="320"/>
      <c r="P570" s="320"/>
      <c r="Q570" s="320"/>
      <c r="R570" s="320"/>
      <c r="S570" s="320"/>
      <c r="T570" s="320"/>
      <c r="U570" s="320"/>
      <c r="V570" s="320"/>
      <c r="W570" s="320"/>
      <c r="X570" s="320"/>
      <c r="Y570" s="320"/>
      <c r="Z570" s="320"/>
      <c r="AA570" s="320"/>
      <c r="AB570" s="320"/>
      <c r="AC570" s="320"/>
      <c r="AD570" s="320"/>
      <c r="AE570" s="320"/>
      <c r="AF570" s="320"/>
      <c r="AG570" s="320"/>
      <c r="AH570" s="320"/>
      <c r="AI570" s="320"/>
      <c r="AJ570" s="320"/>
      <c r="AK570" s="320"/>
    </row>
    <row r="571" spans="1:37" x14ac:dyDescent="0.25">
      <c r="A571" s="319"/>
      <c r="E571" s="320"/>
      <c r="F571" s="320"/>
      <c r="G571" s="320"/>
      <c r="H571" s="320"/>
      <c r="I571" s="320"/>
      <c r="J571" s="320"/>
      <c r="K571" s="320"/>
      <c r="L571" s="320"/>
      <c r="M571" s="320"/>
      <c r="N571" s="320"/>
      <c r="O571" s="320"/>
      <c r="P571" s="320"/>
      <c r="Q571" s="320"/>
      <c r="R571" s="320"/>
      <c r="S571" s="320"/>
      <c r="T571" s="320"/>
      <c r="U571" s="320"/>
      <c r="V571" s="320"/>
      <c r="W571" s="320"/>
      <c r="X571" s="320"/>
      <c r="Y571" s="320"/>
      <c r="Z571" s="320"/>
      <c r="AA571" s="320"/>
      <c r="AB571" s="320"/>
      <c r="AC571" s="320"/>
      <c r="AD571" s="320"/>
      <c r="AE571" s="320"/>
      <c r="AF571" s="320"/>
      <c r="AG571" s="320"/>
      <c r="AH571" s="320"/>
      <c r="AI571" s="320"/>
      <c r="AJ571" s="320"/>
      <c r="AK571" s="320"/>
    </row>
    <row r="572" spans="1:37" x14ac:dyDescent="0.25">
      <c r="A572" s="319"/>
      <c r="E572" s="320"/>
      <c r="F572" s="320"/>
      <c r="G572" s="320"/>
      <c r="H572" s="320"/>
      <c r="I572" s="320"/>
      <c r="J572" s="320"/>
      <c r="K572" s="320"/>
      <c r="L572" s="320"/>
      <c r="M572" s="320"/>
      <c r="N572" s="320"/>
      <c r="O572" s="320"/>
      <c r="P572" s="320"/>
      <c r="Q572" s="320"/>
      <c r="R572" s="320"/>
      <c r="S572" s="320"/>
      <c r="T572" s="320"/>
      <c r="U572" s="320"/>
      <c r="V572" s="320"/>
      <c r="W572" s="320"/>
      <c r="X572" s="320"/>
      <c r="Y572" s="320"/>
      <c r="Z572" s="320"/>
      <c r="AA572" s="320"/>
      <c r="AB572" s="320"/>
      <c r="AC572" s="320"/>
      <c r="AD572" s="320"/>
      <c r="AE572" s="320"/>
      <c r="AF572" s="320"/>
      <c r="AG572" s="320"/>
      <c r="AH572" s="320"/>
      <c r="AI572" s="320"/>
      <c r="AJ572" s="320"/>
      <c r="AK572" s="320"/>
    </row>
    <row r="573" spans="1:37" x14ac:dyDescent="0.25">
      <c r="A573" s="319"/>
      <c r="E573" s="320"/>
      <c r="F573" s="320"/>
      <c r="G573" s="320"/>
      <c r="H573" s="320"/>
      <c r="I573" s="320"/>
      <c r="J573" s="320"/>
      <c r="K573" s="320"/>
      <c r="L573" s="320"/>
      <c r="M573" s="320"/>
      <c r="N573" s="320"/>
      <c r="O573" s="320"/>
      <c r="P573" s="320"/>
      <c r="Q573" s="320"/>
      <c r="R573" s="320"/>
      <c r="S573" s="320"/>
      <c r="T573" s="320"/>
      <c r="U573" s="320"/>
      <c r="V573" s="320"/>
      <c r="W573" s="320"/>
      <c r="X573" s="320"/>
      <c r="Y573" s="320"/>
      <c r="Z573" s="320"/>
      <c r="AA573" s="320"/>
      <c r="AB573" s="320"/>
      <c r="AC573" s="320"/>
      <c r="AD573" s="320"/>
      <c r="AE573" s="320"/>
      <c r="AF573" s="320"/>
      <c r="AG573" s="320"/>
      <c r="AH573" s="320"/>
      <c r="AI573" s="320"/>
      <c r="AJ573" s="320"/>
      <c r="AK573" s="320"/>
    </row>
    <row r="574" spans="1:37" x14ac:dyDescent="0.25">
      <c r="A574" s="319"/>
      <c r="E574" s="320"/>
      <c r="F574" s="320"/>
      <c r="G574" s="320"/>
      <c r="H574" s="320"/>
      <c r="I574" s="320"/>
      <c r="J574" s="320"/>
      <c r="K574" s="320"/>
      <c r="L574" s="320"/>
      <c r="M574" s="320"/>
      <c r="N574" s="320"/>
      <c r="O574" s="320"/>
      <c r="P574" s="320"/>
      <c r="Q574" s="320"/>
      <c r="R574" s="320"/>
      <c r="S574" s="320"/>
      <c r="T574" s="320"/>
      <c r="U574" s="320"/>
      <c r="V574" s="320"/>
      <c r="W574" s="320"/>
      <c r="X574" s="320"/>
      <c r="Y574" s="320"/>
      <c r="Z574" s="320"/>
      <c r="AA574" s="320"/>
      <c r="AB574" s="320"/>
      <c r="AC574" s="320"/>
      <c r="AD574" s="320"/>
      <c r="AE574" s="320"/>
      <c r="AF574" s="320"/>
      <c r="AG574" s="320"/>
      <c r="AH574" s="320"/>
      <c r="AI574" s="320"/>
      <c r="AJ574" s="320"/>
      <c r="AK574" s="320"/>
    </row>
    <row r="575" spans="1:37" x14ac:dyDescent="0.25">
      <c r="A575" s="319"/>
      <c r="E575" s="320"/>
      <c r="F575" s="320"/>
      <c r="G575" s="320"/>
      <c r="H575" s="320"/>
      <c r="I575" s="320"/>
      <c r="J575" s="320"/>
      <c r="K575" s="320"/>
      <c r="L575" s="320"/>
      <c r="M575" s="320"/>
      <c r="N575" s="320"/>
      <c r="O575" s="320"/>
      <c r="P575" s="320"/>
      <c r="Q575" s="320"/>
      <c r="R575" s="320"/>
      <c r="S575" s="320"/>
      <c r="T575" s="320"/>
      <c r="U575" s="320"/>
      <c r="V575" s="320"/>
      <c r="W575" s="320"/>
      <c r="X575" s="320"/>
      <c r="Y575" s="320"/>
      <c r="Z575" s="320"/>
      <c r="AA575" s="320"/>
      <c r="AB575" s="320"/>
      <c r="AC575" s="320"/>
      <c r="AD575" s="320"/>
      <c r="AE575" s="320"/>
      <c r="AF575" s="320"/>
      <c r="AG575" s="320"/>
      <c r="AH575" s="320"/>
      <c r="AI575" s="320"/>
      <c r="AJ575" s="320"/>
      <c r="AK575" s="320"/>
    </row>
    <row r="576" spans="1:37" x14ac:dyDescent="0.25">
      <c r="A576" s="319"/>
      <c r="E576" s="320"/>
      <c r="F576" s="320"/>
      <c r="G576" s="320"/>
      <c r="H576" s="320"/>
      <c r="I576" s="320"/>
      <c r="J576" s="320"/>
      <c r="K576" s="320"/>
      <c r="L576" s="320"/>
      <c r="M576" s="320"/>
      <c r="N576" s="320"/>
      <c r="O576" s="320"/>
      <c r="P576" s="320"/>
      <c r="Q576" s="320"/>
      <c r="R576" s="320"/>
      <c r="S576" s="320"/>
      <c r="T576" s="320"/>
      <c r="U576" s="320"/>
      <c r="V576" s="320"/>
      <c r="W576" s="320"/>
      <c r="X576" s="320"/>
      <c r="Y576" s="320"/>
      <c r="Z576" s="320"/>
      <c r="AA576" s="320"/>
      <c r="AB576" s="320"/>
      <c r="AC576" s="320"/>
      <c r="AD576" s="320"/>
      <c r="AE576" s="320"/>
      <c r="AF576" s="320"/>
      <c r="AG576" s="320"/>
      <c r="AH576" s="320"/>
      <c r="AI576" s="320"/>
      <c r="AJ576" s="320"/>
      <c r="AK576" s="320"/>
    </row>
    <row r="577" spans="1:37" x14ac:dyDescent="0.25">
      <c r="A577" s="319"/>
      <c r="E577" s="320"/>
      <c r="F577" s="320"/>
      <c r="G577" s="320"/>
      <c r="H577" s="320"/>
      <c r="I577" s="320"/>
      <c r="J577" s="320"/>
      <c r="K577" s="320"/>
      <c r="L577" s="320"/>
      <c r="M577" s="320"/>
      <c r="N577" s="320"/>
      <c r="O577" s="320"/>
      <c r="P577" s="320"/>
      <c r="Q577" s="320"/>
      <c r="R577" s="320"/>
      <c r="S577" s="320"/>
      <c r="T577" s="320"/>
      <c r="U577" s="320"/>
      <c r="V577" s="320"/>
      <c r="W577" s="320"/>
      <c r="X577" s="320"/>
      <c r="Y577" s="320"/>
      <c r="Z577" s="320"/>
      <c r="AA577" s="320"/>
      <c r="AB577" s="320"/>
      <c r="AC577" s="320"/>
      <c r="AD577" s="320"/>
      <c r="AE577" s="320"/>
      <c r="AF577" s="320"/>
      <c r="AG577" s="320"/>
      <c r="AH577" s="320"/>
      <c r="AI577" s="320"/>
      <c r="AJ577" s="320"/>
      <c r="AK577" s="320"/>
    </row>
    <row r="578" spans="1:37" x14ac:dyDescent="0.25">
      <c r="A578" s="319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320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320"/>
    </row>
    <row r="579" spans="1:37" x14ac:dyDescent="0.25">
      <c r="A579" s="319"/>
      <c r="E579" s="320"/>
      <c r="F579" s="320"/>
      <c r="G579" s="320"/>
      <c r="H579" s="320"/>
      <c r="I579" s="320"/>
      <c r="J579" s="320"/>
      <c r="K579" s="320"/>
      <c r="L579" s="320"/>
      <c r="M579" s="320"/>
      <c r="N579" s="320"/>
      <c r="O579" s="320"/>
      <c r="P579" s="320"/>
      <c r="Q579" s="320"/>
      <c r="R579" s="320"/>
      <c r="S579" s="320"/>
      <c r="T579" s="320"/>
      <c r="U579" s="320"/>
      <c r="V579" s="320"/>
      <c r="W579" s="320"/>
      <c r="X579" s="320"/>
      <c r="Y579" s="320"/>
      <c r="Z579" s="320"/>
      <c r="AA579" s="320"/>
      <c r="AB579" s="320"/>
      <c r="AC579" s="320"/>
      <c r="AD579" s="320"/>
      <c r="AE579" s="320"/>
      <c r="AF579" s="320"/>
      <c r="AG579" s="320"/>
      <c r="AH579" s="320"/>
      <c r="AI579" s="320"/>
      <c r="AJ579" s="320"/>
      <c r="AK579" s="320"/>
    </row>
    <row r="580" spans="1:37" x14ac:dyDescent="0.25"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320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320"/>
      <c r="AH580" s="320"/>
      <c r="AI580" s="320"/>
      <c r="AJ580" s="320"/>
      <c r="AK580" s="320"/>
    </row>
    <row r="581" spans="1:37" x14ac:dyDescent="0.25">
      <c r="E581" s="320"/>
      <c r="F581" s="320"/>
      <c r="G581" s="320"/>
      <c r="H581" s="320"/>
      <c r="I581" s="320"/>
      <c r="J581" s="320"/>
      <c r="K581" s="320"/>
      <c r="L581" s="320"/>
      <c r="M581" s="320"/>
      <c r="N581" s="320"/>
      <c r="O581" s="320"/>
      <c r="P581" s="320"/>
      <c r="Q581" s="320"/>
      <c r="R581" s="320"/>
      <c r="S581" s="320"/>
      <c r="T581" s="320"/>
      <c r="U581" s="320"/>
      <c r="V581" s="320"/>
      <c r="W581" s="320"/>
      <c r="X581" s="320"/>
      <c r="Y581" s="320"/>
      <c r="Z581" s="320"/>
      <c r="AA581" s="320"/>
      <c r="AB581" s="320"/>
      <c r="AC581" s="320"/>
      <c r="AD581" s="320"/>
      <c r="AE581" s="320"/>
      <c r="AF581" s="320"/>
      <c r="AG581" s="320"/>
      <c r="AH581" s="320"/>
      <c r="AI581" s="320"/>
      <c r="AJ581" s="320"/>
      <c r="AK581" s="320"/>
    </row>
    <row r="582" spans="1:37" x14ac:dyDescent="0.25">
      <c r="E582" s="320"/>
      <c r="F582" s="320"/>
      <c r="G582" s="320"/>
      <c r="H582" s="320"/>
      <c r="I582" s="320"/>
      <c r="J582" s="320"/>
      <c r="K582" s="320"/>
      <c r="L582" s="320"/>
      <c r="M582" s="320"/>
      <c r="N582" s="320"/>
      <c r="O582" s="320"/>
      <c r="P582" s="320"/>
      <c r="Q582" s="320"/>
      <c r="R582" s="320"/>
      <c r="S582" s="320"/>
      <c r="T582" s="320"/>
      <c r="U582" s="320"/>
      <c r="V582" s="320"/>
      <c r="W582" s="320"/>
      <c r="X582" s="320"/>
      <c r="Y582" s="320"/>
      <c r="Z582" s="320"/>
      <c r="AA582" s="320"/>
      <c r="AB582" s="320"/>
      <c r="AC582" s="320"/>
      <c r="AD582" s="320"/>
      <c r="AE582" s="320"/>
      <c r="AF582" s="320"/>
      <c r="AG582" s="320"/>
      <c r="AH582" s="320"/>
      <c r="AI582" s="320"/>
      <c r="AJ582" s="320"/>
      <c r="AK582" s="320"/>
    </row>
    <row r="583" spans="1:37" x14ac:dyDescent="0.25">
      <c r="E583" s="320"/>
      <c r="F583" s="320"/>
      <c r="G583" s="320"/>
      <c r="H583" s="320"/>
      <c r="I583" s="320"/>
      <c r="J583" s="320"/>
      <c r="K583" s="320"/>
      <c r="L583" s="320"/>
      <c r="M583" s="320"/>
      <c r="N583" s="320"/>
      <c r="O583" s="320"/>
      <c r="P583" s="320"/>
      <c r="Q583" s="320"/>
      <c r="R583" s="320"/>
      <c r="S583" s="320"/>
      <c r="T583" s="320"/>
      <c r="U583" s="320"/>
      <c r="V583" s="320"/>
      <c r="W583" s="320"/>
      <c r="X583" s="320"/>
      <c r="Y583" s="320"/>
      <c r="Z583" s="320"/>
      <c r="AA583" s="320"/>
      <c r="AB583" s="320"/>
      <c r="AC583" s="320"/>
      <c r="AD583" s="320"/>
      <c r="AE583" s="320"/>
      <c r="AF583" s="320"/>
      <c r="AG583" s="320"/>
      <c r="AH583" s="320"/>
      <c r="AI583" s="320"/>
      <c r="AJ583" s="320"/>
      <c r="AK583" s="320"/>
    </row>
    <row r="584" spans="1:37" x14ac:dyDescent="0.25">
      <c r="E584" s="320"/>
      <c r="F584" s="320"/>
      <c r="G584" s="320"/>
      <c r="H584" s="320"/>
      <c r="I584" s="320"/>
      <c r="J584" s="320"/>
      <c r="K584" s="320"/>
      <c r="L584" s="320"/>
      <c r="M584" s="320"/>
      <c r="N584" s="320"/>
      <c r="O584" s="320"/>
      <c r="P584" s="320"/>
      <c r="Q584" s="320"/>
      <c r="R584" s="320"/>
      <c r="S584" s="320"/>
      <c r="T584" s="320"/>
      <c r="U584" s="320"/>
      <c r="V584" s="320"/>
      <c r="W584" s="320"/>
      <c r="X584" s="320"/>
      <c r="Y584" s="320"/>
      <c r="Z584" s="320"/>
      <c r="AA584" s="320"/>
      <c r="AB584" s="320"/>
      <c r="AC584" s="320"/>
      <c r="AD584" s="320"/>
      <c r="AE584" s="320"/>
      <c r="AF584" s="320"/>
      <c r="AG584" s="320"/>
      <c r="AH584" s="320"/>
      <c r="AI584" s="320"/>
      <c r="AJ584" s="320"/>
      <c r="AK584" s="320"/>
    </row>
    <row r="585" spans="1:37" x14ac:dyDescent="0.25">
      <c r="E585" s="320"/>
      <c r="F585" s="320"/>
      <c r="G585" s="320"/>
      <c r="H585" s="320"/>
      <c r="I585" s="320"/>
      <c r="J585" s="320"/>
      <c r="K585" s="320"/>
      <c r="L585" s="320"/>
      <c r="M585" s="320"/>
      <c r="N585" s="320"/>
      <c r="O585" s="320"/>
      <c r="P585" s="320"/>
      <c r="Q585" s="320"/>
      <c r="R585" s="320"/>
      <c r="S585" s="320"/>
      <c r="T585" s="320"/>
      <c r="U585" s="320"/>
      <c r="V585" s="320"/>
      <c r="W585" s="320"/>
      <c r="X585" s="320"/>
      <c r="Y585" s="320"/>
      <c r="Z585" s="320"/>
      <c r="AA585" s="320"/>
      <c r="AB585" s="320"/>
      <c r="AC585" s="320"/>
      <c r="AD585" s="320"/>
      <c r="AE585" s="320"/>
      <c r="AF585" s="320"/>
      <c r="AG585" s="320"/>
      <c r="AH585" s="320"/>
      <c r="AI585" s="320"/>
      <c r="AJ585" s="320"/>
      <c r="AK585" s="320"/>
    </row>
    <row r="586" spans="1:37" x14ac:dyDescent="0.25"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320"/>
      <c r="T586" s="320"/>
      <c r="U586" s="320"/>
      <c r="V586" s="320"/>
      <c r="W586" s="320"/>
      <c r="X586" s="320"/>
      <c r="Y586" s="320"/>
      <c r="Z586" s="320"/>
      <c r="AA586" s="320"/>
      <c r="AB586" s="320"/>
      <c r="AC586" s="320"/>
      <c r="AD586" s="320"/>
      <c r="AE586" s="320"/>
      <c r="AF586" s="320"/>
      <c r="AG586" s="320"/>
      <c r="AH586" s="320"/>
      <c r="AI586" s="320"/>
      <c r="AJ586" s="320"/>
      <c r="AK586" s="320"/>
    </row>
    <row r="587" spans="1:37" x14ac:dyDescent="0.25">
      <c r="A587" s="318"/>
      <c r="E587" s="320"/>
      <c r="F587" s="320"/>
      <c r="G587" s="320"/>
      <c r="H587" s="320"/>
      <c r="I587" s="320"/>
      <c r="J587" s="320"/>
      <c r="K587" s="320"/>
      <c r="L587" s="320"/>
      <c r="M587" s="320"/>
      <c r="N587" s="320"/>
      <c r="O587" s="320"/>
      <c r="P587" s="320"/>
      <c r="Q587" s="320"/>
      <c r="R587" s="320"/>
      <c r="S587" s="320"/>
      <c r="T587" s="320"/>
      <c r="U587" s="320"/>
      <c r="V587" s="320"/>
      <c r="W587" s="320"/>
      <c r="X587" s="320"/>
      <c r="Y587" s="320"/>
      <c r="Z587" s="320"/>
      <c r="AA587" s="320"/>
      <c r="AB587" s="320"/>
      <c r="AC587" s="320"/>
      <c r="AD587" s="320"/>
      <c r="AE587" s="320"/>
      <c r="AF587" s="320"/>
      <c r="AG587" s="320"/>
      <c r="AH587" s="320"/>
      <c r="AI587" s="320"/>
      <c r="AJ587" s="320"/>
      <c r="AK587" s="320"/>
    </row>
    <row r="588" spans="1:37" x14ac:dyDescent="0.25">
      <c r="A588" s="319"/>
      <c r="E588" s="320"/>
      <c r="F588" s="320"/>
      <c r="G588" s="320"/>
      <c r="H588" s="320"/>
      <c r="I588" s="320"/>
      <c r="J588" s="320"/>
      <c r="K588" s="320"/>
      <c r="L588" s="320"/>
      <c r="M588" s="320"/>
      <c r="N588" s="320"/>
      <c r="O588" s="320"/>
      <c r="P588" s="320"/>
      <c r="Q588" s="320"/>
      <c r="R588" s="320"/>
      <c r="S588" s="320"/>
      <c r="T588" s="320"/>
      <c r="U588" s="320"/>
      <c r="V588" s="320"/>
      <c r="W588" s="320"/>
      <c r="X588" s="320"/>
      <c r="Y588" s="320"/>
      <c r="Z588" s="320"/>
      <c r="AA588" s="320"/>
      <c r="AB588" s="320"/>
      <c r="AC588" s="320"/>
      <c r="AD588" s="320"/>
      <c r="AE588" s="320"/>
      <c r="AF588" s="320"/>
      <c r="AG588" s="320"/>
      <c r="AH588" s="320"/>
      <c r="AI588" s="320"/>
      <c r="AJ588" s="320"/>
      <c r="AK588" s="320"/>
    </row>
    <row r="589" spans="1:37" x14ac:dyDescent="0.25">
      <c r="A589" s="319"/>
      <c r="E589" s="320"/>
      <c r="F589" s="320"/>
      <c r="G589" s="320"/>
      <c r="H589" s="320"/>
      <c r="I589" s="320"/>
      <c r="J589" s="320"/>
      <c r="K589" s="320"/>
      <c r="L589" s="320"/>
      <c r="M589" s="320"/>
      <c r="N589" s="320"/>
      <c r="O589" s="320"/>
      <c r="P589" s="320"/>
      <c r="Q589" s="320"/>
      <c r="R589" s="320"/>
      <c r="S589" s="320"/>
      <c r="T589" s="320"/>
      <c r="U589" s="320"/>
      <c r="V589" s="320"/>
      <c r="W589" s="320"/>
      <c r="X589" s="320"/>
      <c r="Y589" s="320"/>
      <c r="Z589" s="320"/>
      <c r="AA589" s="320"/>
      <c r="AB589" s="320"/>
      <c r="AC589" s="320"/>
      <c r="AD589" s="320"/>
      <c r="AE589" s="320"/>
      <c r="AF589" s="320"/>
      <c r="AG589" s="320"/>
      <c r="AH589" s="320"/>
      <c r="AI589" s="320"/>
      <c r="AJ589" s="320"/>
      <c r="AK589" s="320"/>
    </row>
    <row r="590" spans="1:37" x14ac:dyDescent="0.25">
      <c r="A590" s="319"/>
      <c r="E590" s="320"/>
      <c r="F590" s="320"/>
      <c r="G590" s="320"/>
      <c r="H590" s="320"/>
      <c r="I590" s="320"/>
      <c r="J590" s="320"/>
      <c r="K590" s="320"/>
      <c r="L590" s="320"/>
      <c r="M590" s="320"/>
      <c r="N590" s="320"/>
      <c r="O590" s="320"/>
      <c r="P590" s="320"/>
      <c r="Q590" s="320"/>
      <c r="R590" s="320"/>
      <c r="S590" s="320"/>
      <c r="T590" s="320"/>
      <c r="U590" s="320"/>
      <c r="V590" s="320"/>
      <c r="W590" s="320"/>
      <c r="X590" s="320"/>
      <c r="Y590" s="320"/>
      <c r="Z590" s="320"/>
      <c r="AA590" s="320"/>
      <c r="AB590" s="320"/>
      <c r="AC590" s="320"/>
      <c r="AD590" s="320"/>
      <c r="AE590" s="320"/>
      <c r="AF590" s="320"/>
      <c r="AG590" s="320"/>
      <c r="AH590" s="320"/>
      <c r="AI590" s="320"/>
      <c r="AJ590" s="320"/>
      <c r="AK590" s="320"/>
    </row>
    <row r="591" spans="1:37" x14ac:dyDescent="0.25">
      <c r="A591" s="319"/>
      <c r="E591" s="320"/>
      <c r="F591" s="320"/>
      <c r="G591" s="320"/>
      <c r="H591" s="320"/>
      <c r="I591" s="320"/>
      <c r="J591" s="320"/>
      <c r="K591" s="320"/>
      <c r="L591" s="320"/>
      <c r="M591" s="320"/>
      <c r="N591" s="320"/>
      <c r="O591" s="320"/>
      <c r="P591" s="320"/>
      <c r="Q591" s="320"/>
      <c r="R591" s="320"/>
      <c r="S591" s="320"/>
      <c r="T591" s="320"/>
      <c r="U591" s="320"/>
      <c r="V591" s="320"/>
      <c r="W591" s="320"/>
      <c r="X591" s="320"/>
      <c r="Y591" s="320"/>
      <c r="Z591" s="320"/>
      <c r="AA591" s="320"/>
      <c r="AB591" s="320"/>
      <c r="AC591" s="320"/>
      <c r="AD591" s="320"/>
      <c r="AE591" s="320"/>
      <c r="AF591" s="320"/>
      <c r="AG591" s="320"/>
      <c r="AH591" s="320"/>
      <c r="AI591" s="320"/>
      <c r="AJ591" s="320"/>
      <c r="AK591" s="320"/>
    </row>
    <row r="592" spans="1:37" x14ac:dyDescent="0.25">
      <c r="A592" s="319"/>
      <c r="E592" s="320"/>
      <c r="F592" s="320"/>
      <c r="G592" s="320"/>
      <c r="H592" s="320"/>
      <c r="I592" s="320"/>
      <c r="J592" s="320"/>
      <c r="K592" s="320"/>
      <c r="L592" s="320"/>
      <c r="M592" s="320"/>
      <c r="N592" s="320"/>
      <c r="O592" s="320"/>
      <c r="P592" s="320"/>
      <c r="Q592" s="320"/>
      <c r="R592" s="320"/>
      <c r="S592" s="320"/>
      <c r="T592" s="320"/>
      <c r="U592" s="320"/>
      <c r="V592" s="320"/>
      <c r="W592" s="320"/>
      <c r="X592" s="320"/>
      <c r="Y592" s="320"/>
      <c r="Z592" s="320"/>
      <c r="AA592" s="320"/>
      <c r="AB592" s="320"/>
      <c r="AC592" s="320"/>
      <c r="AD592" s="320"/>
      <c r="AE592" s="320"/>
      <c r="AF592" s="320"/>
      <c r="AG592" s="320"/>
      <c r="AH592" s="320"/>
      <c r="AI592" s="320"/>
      <c r="AJ592" s="320"/>
      <c r="AK592" s="320"/>
    </row>
    <row r="593" spans="1:37" x14ac:dyDescent="0.25">
      <c r="A593" s="319"/>
      <c r="E593" s="320"/>
      <c r="F593" s="320"/>
      <c r="G593" s="320"/>
      <c r="H593" s="320"/>
      <c r="I593" s="320"/>
      <c r="J593" s="320"/>
      <c r="K593" s="320"/>
      <c r="L593" s="320"/>
      <c r="M593" s="320"/>
      <c r="N593" s="320"/>
      <c r="O593" s="320"/>
      <c r="P593" s="320"/>
      <c r="Q593" s="320"/>
      <c r="R593" s="320"/>
      <c r="S593" s="320"/>
      <c r="T593" s="320"/>
      <c r="U593" s="320"/>
      <c r="V593" s="320"/>
      <c r="W593" s="320"/>
      <c r="X593" s="320"/>
      <c r="Y593" s="320"/>
      <c r="Z593" s="320"/>
      <c r="AA593" s="320"/>
      <c r="AB593" s="320"/>
      <c r="AC593" s="320"/>
      <c r="AD593" s="320"/>
      <c r="AE593" s="320"/>
      <c r="AF593" s="320"/>
      <c r="AG593" s="320"/>
      <c r="AH593" s="320"/>
      <c r="AI593" s="320"/>
      <c r="AJ593" s="320"/>
      <c r="AK593" s="320"/>
    </row>
    <row r="594" spans="1:37" x14ac:dyDescent="0.25">
      <c r="A594" s="319"/>
      <c r="E594" s="320"/>
      <c r="F594" s="320"/>
      <c r="G594" s="320"/>
      <c r="H594" s="320"/>
      <c r="I594" s="320"/>
      <c r="J594" s="320"/>
      <c r="K594" s="320"/>
      <c r="L594" s="320"/>
      <c r="M594" s="320"/>
      <c r="N594" s="320"/>
      <c r="O594" s="320"/>
      <c r="P594" s="320"/>
      <c r="Q594" s="320"/>
      <c r="R594" s="320"/>
      <c r="S594" s="320"/>
      <c r="T594" s="320"/>
      <c r="U594" s="320"/>
      <c r="V594" s="320"/>
      <c r="W594" s="320"/>
      <c r="X594" s="320"/>
      <c r="Y594" s="320"/>
      <c r="Z594" s="320"/>
      <c r="AA594" s="320"/>
      <c r="AB594" s="320"/>
      <c r="AC594" s="320"/>
      <c r="AD594" s="320"/>
      <c r="AE594" s="320"/>
      <c r="AF594" s="320"/>
      <c r="AG594" s="320"/>
      <c r="AH594" s="320"/>
      <c r="AI594" s="320"/>
      <c r="AJ594" s="320"/>
      <c r="AK594" s="320"/>
    </row>
    <row r="595" spans="1:37" x14ac:dyDescent="0.25">
      <c r="A595" s="319"/>
      <c r="E595" s="320"/>
      <c r="F595" s="320"/>
      <c r="G595" s="320"/>
      <c r="H595" s="320"/>
      <c r="I595" s="320"/>
      <c r="J595" s="320"/>
      <c r="K595" s="320"/>
      <c r="L595" s="320"/>
      <c r="M595" s="320"/>
      <c r="N595" s="320"/>
      <c r="O595" s="320"/>
      <c r="P595" s="320"/>
      <c r="Q595" s="320"/>
      <c r="R595" s="320"/>
      <c r="S595" s="320"/>
      <c r="T595" s="320"/>
      <c r="U595" s="320"/>
      <c r="V595" s="320"/>
      <c r="W595" s="320"/>
      <c r="X595" s="320"/>
      <c r="Y595" s="320"/>
      <c r="Z595" s="320"/>
      <c r="AA595" s="320"/>
      <c r="AB595" s="320"/>
      <c r="AC595" s="320"/>
      <c r="AD595" s="320"/>
      <c r="AE595" s="320"/>
      <c r="AF595" s="320"/>
      <c r="AG595" s="320"/>
      <c r="AH595" s="320"/>
      <c r="AI595" s="320"/>
      <c r="AJ595" s="320"/>
      <c r="AK595" s="320"/>
    </row>
    <row r="596" spans="1:37" x14ac:dyDescent="0.25">
      <c r="A596" s="319"/>
      <c r="E596" s="320"/>
      <c r="F596" s="320"/>
      <c r="G596" s="320"/>
      <c r="H596" s="320"/>
      <c r="I596" s="320"/>
      <c r="J596" s="320"/>
      <c r="K596" s="320"/>
      <c r="L596" s="320"/>
      <c r="M596" s="320"/>
      <c r="N596" s="320"/>
      <c r="O596" s="320"/>
      <c r="P596" s="320"/>
      <c r="Q596" s="320"/>
      <c r="R596" s="320"/>
      <c r="S596" s="320"/>
      <c r="T596" s="320"/>
      <c r="U596" s="320"/>
      <c r="V596" s="320"/>
      <c r="W596" s="320"/>
      <c r="X596" s="320"/>
      <c r="Y596" s="320"/>
      <c r="Z596" s="320"/>
      <c r="AA596" s="320"/>
      <c r="AB596" s="320"/>
      <c r="AC596" s="320"/>
      <c r="AD596" s="320"/>
      <c r="AE596" s="320"/>
      <c r="AF596" s="320"/>
      <c r="AG596" s="320"/>
      <c r="AH596" s="320"/>
      <c r="AI596" s="320"/>
      <c r="AJ596" s="320"/>
      <c r="AK596" s="320"/>
    </row>
    <row r="597" spans="1:37" x14ac:dyDescent="0.25">
      <c r="A597" s="319"/>
      <c r="E597" s="320"/>
      <c r="F597" s="320"/>
      <c r="G597" s="320"/>
      <c r="H597" s="320"/>
      <c r="I597" s="320"/>
      <c r="J597" s="320"/>
      <c r="K597" s="320"/>
      <c r="L597" s="320"/>
      <c r="M597" s="320"/>
      <c r="N597" s="320"/>
      <c r="O597" s="320"/>
      <c r="P597" s="320"/>
      <c r="Q597" s="320"/>
      <c r="R597" s="320"/>
      <c r="S597" s="320"/>
      <c r="T597" s="320"/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320"/>
    </row>
    <row r="598" spans="1:37" x14ac:dyDescent="0.25">
      <c r="A598" s="319"/>
      <c r="E598" s="320"/>
      <c r="F598" s="320"/>
      <c r="G598" s="320"/>
      <c r="H598" s="320"/>
      <c r="I598" s="320"/>
      <c r="J598" s="320"/>
      <c r="K598" s="320"/>
      <c r="L598" s="320"/>
      <c r="M598" s="320"/>
      <c r="N598" s="320"/>
      <c r="O598" s="320"/>
      <c r="P598" s="320"/>
      <c r="Q598" s="320"/>
      <c r="R598" s="320"/>
      <c r="S598" s="320"/>
      <c r="T598" s="320"/>
      <c r="U598" s="320"/>
      <c r="V598" s="320"/>
      <c r="W598" s="320"/>
      <c r="X598" s="320"/>
      <c r="Y598" s="320"/>
      <c r="Z598" s="320"/>
      <c r="AA598" s="320"/>
      <c r="AB598" s="320"/>
      <c r="AC598" s="320"/>
      <c r="AD598" s="320"/>
      <c r="AE598" s="320"/>
      <c r="AF598" s="320"/>
      <c r="AG598" s="320"/>
      <c r="AH598" s="320"/>
      <c r="AI598" s="320"/>
      <c r="AJ598" s="320"/>
      <c r="AK598" s="320"/>
    </row>
    <row r="599" spans="1:37" x14ac:dyDescent="0.25">
      <c r="A599" s="319"/>
      <c r="E599" s="320"/>
      <c r="F599" s="320"/>
      <c r="G599" s="320"/>
      <c r="H599" s="320"/>
      <c r="I599" s="320"/>
      <c r="J599" s="320"/>
      <c r="K599" s="320"/>
      <c r="L599" s="320"/>
      <c r="M599" s="320"/>
      <c r="N599" s="320"/>
      <c r="O599" s="320"/>
      <c r="P599" s="320"/>
      <c r="Q599" s="320"/>
      <c r="R599" s="320"/>
      <c r="S599" s="320"/>
      <c r="T599" s="320"/>
      <c r="U599" s="320"/>
      <c r="V599" s="320"/>
      <c r="W599" s="320"/>
      <c r="X599" s="320"/>
      <c r="Y599" s="320"/>
      <c r="Z599" s="320"/>
      <c r="AA599" s="320"/>
      <c r="AB599" s="320"/>
      <c r="AC599" s="320"/>
      <c r="AD599" s="320"/>
      <c r="AE599" s="320"/>
      <c r="AF599" s="320"/>
      <c r="AG599" s="320"/>
      <c r="AH599" s="320"/>
      <c r="AI599" s="320"/>
      <c r="AJ599" s="320"/>
      <c r="AK599" s="320"/>
    </row>
    <row r="600" spans="1:37" x14ac:dyDescent="0.25">
      <c r="A600" s="319"/>
      <c r="E600" s="320"/>
      <c r="F600" s="320"/>
      <c r="G600" s="320"/>
      <c r="H600" s="320"/>
      <c r="I600" s="320"/>
      <c r="J600" s="320"/>
      <c r="K600" s="320"/>
      <c r="L600" s="320"/>
      <c r="M600" s="320"/>
      <c r="N600" s="320"/>
      <c r="O600" s="320"/>
      <c r="P600" s="320"/>
      <c r="Q600" s="320"/>
      <c r="R600" s="320"/>
      <c r="S600" s="320"/>
      <c r="T600" s="320"/>
      <c r="U600" s="320"/>
      <c r="V600" s="320"/>
      <c r="W600" s="320"/>
      <c r="X600" s="320"/>
      <c r="Y600" s="320"/>
      <c r="Z600" s="320"/>
      <c r="AA600" s="320"/>
      <c r="AB600" s="320"/>
      <c r="AC600" s="320"/>
      <c r="AD600" s="320"/>
      <c r="AE600" s="320"/>
      <c r="AF600" s="320"/>
      <c r="AG600" s="320"/>
      <c r="AH600" s="320"/>
      <c r="AI600" s="320"/>
      <c r="AJ600" s="320"/>
      <c r="AK600" s="320"/>
    </row>
    <row r="601" spans="1:37" x14ac:dyDescent="0.25">
      <c r="A601" s="319"/>
      <c r="E601" s="320"/>
      <c r="F601" s="320"/>
      <c r="G601" s="320"/>
      <c r="H601" s="320"/>
      <c r="I601" s="320"/>
      <c r="J601" s="320"/>
      <c r="K601" s="320"/>
      <c r="L601" s="320"/>
      <c r="M601" s="320"/>
      <c r="N601" s="320"/>
      <c r="O601" s="320"/>
      <c r="P601" s="320"/>
      <c r="Q601" s="320"/>
      <c r="R601" s="320"/>
      <c r="S601" s="320"/>
      <c r="T601" s="320"/>
      <c r="U601" s="320"/>
      <c r="V601" s="320"/>
      <c r="W601" s="320"/>
      <c r="X601" s="320"/>
      <c r="Y601" s="320"/>
      <c r="Z601" s="320"/>
      <c r="AA601" s="320"/>
      <c r="AB601" s="320"/>
      <c r="AC601" s="320"/>
      <c r="AD601" s="320"/>
      <c r="AE601" s="320"/>
      <c r="AF601" s="320"/>
      <c r="AG601" s="320"/>
      <c r="AH601" s="320"/>
      <c r="AI601" s="320"/>
      <c r="AJ601" s="320"/>
      <c r="AK601" s="320"/>
    </row>
    <row r="602" spans="1:37" x14ac:dyDescent="0.25">
      <c r="A602" s="319"/>
      <c r="E602" s="320"/>
      <c r="F602" s="320"/>
      <c r="G602" s="320"/>
      <c r="H602" s="320"/>
      <c r="I602" s="320"/>
      <c r="J602" s="320"/>
      <c r="K602" s="320"/>
      <c r="L602" s="320"/>
      <c r="M602" s="320"/>
      <c r="N602" s="320"/>
      <c r="O602" s="320"/>
      <c r="P602" s="320"/>
      <c r="Q602" s="320"/>
      <c r="R602" s="320"/>
      <c r="S602" s="320"/>
      <c r="T602" s="320"/>
      <c r="U602" s="320"/>
      <c r="V602" s="320"/>
      <c r="W602" s="320"/>
      <c r="X602" s="320"/>
      <c r="Y602" s="320"/>
      <c r="Z602" s="320"/>
      <c r="AA602" s="320"/>
      <c r="AB602" s="320"/>
      <c r="AC602" s="320"/>
      <c r="AD602" s="320"/>
      <c r="AE602" s="320"/>
      <c r="AF602" s="320"/>
      <c r="AG602" s="320"/>
      <c r="AH602" s="320"/>
      <c r="AI602" s="320"/>
      <c r="AJ602" s="320"/>
      <c r="AK602" s="320"/>
    </row>
    <row r="603" spans="1:37" x14ac:dyDescent="0.25">
      <c r="A603" s="319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320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320"/>
    </row>
    <row r="604" spans="1:37" x14ac:dyDescent="0.25">
      <c r="A604" s="319"/>
      <c r="E604" s="320"/>
      <c r="F604" s="320"/>
      <c r="G604" s="320"/>
      <c r="H604" s="320"/>
      <c r="I604" s="320"/>
      <c r="J604" s="320"/>
      <c r="K604" s="320"/>
      <c r="L604" s="320"/>
      <c r="M604" s="320"/>
      <c r="N604" s="320"/>
      <c r="O604" s="320"/>
      <c r="P604" s="320"/>
      <c r="Q604" s="320"/>
      <c r="R604" s="320"/>
      <c r="S604" s="320"/>
      <c r="T604" s="320"/>
      <c r="U604" s="320"/>
      <c r="V604" s="320"/>
      <c r="W604" s="320"/>
      <c r="X604" s="320"/>
      <c r="Y604" s="320"/>
      <c r="Z604" s="320"/>
      <c r="AA604" s="320"/>
      <c r="AB604" s="320"/>
      <c r="AC604" s="320"/>
      <c r="AD604" s="320"/>
      <c r="AE604" s="320"/>
      <c r="AF604" s="320"/>
      <c r="AG604" s="320"/>
      <c r="AH604" s="320"/>
      <c r="AI604" s="320"/>
      <c r="AJ604" s="320"/>
      <c r="AK604" s="320"/>
    </row>
    <row r="605" spans="1:37" x14ac:dyDescent="0.25">
      <c r="A605" s="319"/>
      <c r="E605" s="320"/>
      <c r="F605" s="320"/>
      <c r="G605" s="320"/>
      <c r="H605" s="320"/>
      <c r="I605" s="320"/>
      <c r="J605" s="320"/>
      <c r="K605" s="320"/>
      <c r="L605" s="320"/>
      <c r="M605" s="320"/>
      <c r="N605" s="320"/>
      <c r="O605" s="320"/>
      <c r="P605" s="320"/>
      <c r="Q605" s="320"/>
      <c r="R605" s="320"/>
      <c r="S605" s="320"/>
      <c r="T605" s="320"/>
      <c r="U605" s="320"/>
      <c r="V605" s="320"/>
      <c r="W605" s="320"/>
      <c r="X605" s="320"/>
      <c r="Y605" s="320"/>
      <c r="Z605" s="320"/>
      <c r="AA605" s="320"/>
      <c r="AB605" s="320"/>
      <c r="AC605" s="320"/>
      <c r="AD605" s="320"/>
      <c r="AE605" s="320"/>
      <c r="AF605" s="320"/>
      <c r="AG605" s="320"/>
      <c r="AH605" s="320"/>
      <c r="AI605" s="320"/>
      <c r="AJ605" s="320"/>
      <c r="AK605" s="320"/>
    </row>
    <row r="606" spans="1:37" x14ac:dyDescent="0.25">
      <c r="E606" s="320"/>
      <c r="F606" s="320"/>
      <c r="G606" s="320"/>
      <c r="H606" s="320"/>
      <c r="I606" s="320"/>
      <c r="J606" s="320"/>
      <c r="K606" s="320"/>
      <c r="L606" s="320"/>
      <c r="M606" s="320"/>
      <c r="N606" s="320"/>
      <c r="O606" s="320"/>
      <c r="P606" s="320"/>
      <c r="Q606" s="320"/>
      <c r="R606" s="320"/>
      <c r="S606" s="320"/>
      <c r="T606" s="320"/>
      <c r="U606" s="320"/>
      <c r="V606" s="320"/>
      <c r="W606" s="320"/>
      <c r="X606" s="320"/>
      <c r="Y606" s="320"/>
      <c r="Z606" s="320"/>
      <c r="AA606" s="320"/>
      <c r="AB606" s="320"/>
      <c r="AC606" s="320"/>
      <c r="AD606" s="320"/>
      <c r="AE606" s="320"/>
      <c r="AF606" s="320"/>
      <c r="AG606" s="320"/>
      <c r="AH606" s="320"/>
      <c r="AI606" s="320"/>
      <c r="AJ606" s="320"/>
      <c r="AK606" s="320"/>
    </row>
    <row r="607" spans="1:37" x14ac:dyDescent="0.25">
      <c r="E607" s="320"/>
      <c r="F607" s="320"/>
      <c r="G607" s="320"/>
      <c r="H607" s="320"/>
      <c r="I607" s="320"/>
      <c r="J607" s="320"/>
      <c r="K607" s="320"/>
      <c r="L607" s="320"/>
      <c r="M607" s="320"/>
      <c r="N607" s="320"/>
      <c r="O607" s="320"/>
      <c r="P607" s="320"/>
      <c r="Q607" s="320"/>
      <c r="R607" s="320"/>
      <c r="S607" s="320"/>
      <c r="T607" s="320"/>
      <c r="U607" s="320"/>
      <c r="V607" s="320"/>
      <c r="W607" s="320"/>
      <c r="X607" s="320"/>
      <c r="Y607" s="320"/>
      <c r="Z607" s="320"/>
      <c r="AA607" s="320"/>
      <c r="AB607" s="320"/>
      <c r="AC607" s="320"/>
      <c r="AD607" s="320"/>
      <c r="AE607" s="320"/>
      <c r="AF607" s="320"/>
      <c r="AG607" s="320"/>
      <c r="AH607" s="320"/>
      <c r="AI607" s="320"/>
      <c r="AJ607" s="320"/>
      <c r="AK607" s="320"/>
    </row>
    <row r="608" spans="1:37" x14ac:dyDescent="0.25">
      <c r="E608" s="320"/>
      <c r="F608" s="320"/>
      <c r="G608" s="320"/>
      <c r="H608" s="320"/>
      <c r="I608" s="320"/>
      <c r="J608" s="320"/>
      <c r="K608" s="320"/>
      <c r="L608" s="320"/>
      <c r="M608" s="320"/>
      <c r="N608" s="320"/>
      <c r="O608" s="320"/>
      <c r="P608" s="320"/>
      <c r="Q608" s="320"/>
      <c r="R608" s="320"/>
      <c r="S608" s="320"/>
      <c r="T608" s="320"/>
      <c r="U608" s="320"/>
      <c r="V608" s="320"/>
      <c r="W608" s="320"/>
      <c r="X608" s="320"/>
      <c r="Y608" s="320"/>
      <c r="Z608" s="320"/>
      <c r="AA608" s="320"/>
      <c r="AB608" s="320"/>
      <c r="AC608" s="320"/>
      <c r="AD608" s="320"/>
      <c r="AE608" s="320"/>
      <c r="AF608" s="320"/>
      <c r="AG608" s="320"/>
      <c r="AH608" s="320"/>
      <c r="AI608" s="320"/>
      <c r="AJ608" s="320"/>
      <c r="AK608" s="320"/>
    </row>
    <row r="609" spans="1:37" x14ac:dyDescent="0.25">
      <c r="E609" s="320"/>
      <c r="F609" s="320"/>
      <c r="G609" s="320"/>
      <c r="H609" s="320"/>
      <c r="I609" s="320"/>
      <c r="J609" s="320"/>
      <c r="K609" s="320"/>
      <c r="L609" s="320"/>
      <c r="M609" s="320"/>
      <c r="N609" s="320"/>
      <c r="O609" s="320"/>
      <c r="P609" s="320"/>
      <c r="Q609" s="320"/>
      <c r="R609" s="320"/>
      <c r="S609" s="320"/>
      <c r="T609" s="320"/>
      <c r="U609" s="320"/>
      <c r="V609" s="320"/>
      <c r="W609" s="320"/>
      <c r="X609" s="320"/>
      <c r="Y609" s="320"/>
      <c r="Z609" s="320"/>
      <c r="AA609" s="320"/>
      <c r="AB609" s="320"/>
      <c r="AC609" s="320"/>
      <c r="AD609" s="320"/>
      <c r="AE609" s="320"/>
      <c r="AF609" s="320"/>
      <c r="AG609" s="320"/>
      <c r="AH609" s="320"/>
      <c r="AI609" s="320"/>
      <c r="AJ609" s="320"/>
      <c r="AK609" s="320"/>
    </row>
    <row r="610" spans="1:37" x14ac:dyDescent="0.25">
      <c r="E610" s="320"/>
      <c r="F610" s="320"/>
      <c r="G610" s="320"/>
      <c r="H610" s="320"/>
      <c r="I610" s="320"/>
      <c r="J610" s="320"/>
      <c r="K610" s="320"/>
      <c r="L610" s="320"/>
      <c r="M610" s="320"/>
      <c r="N610" s="320"/>
      <c r="O610" s="320"/>
      <c r="P610" s="320"/>
      <c r="Q610" s="320"/>
      <c r="R610" s="320"/>
      <c r="S610" s="320"/>
      <c r="T610" s="320"/>
      <c r="U610" s="320"/>
      <c r="V610" s="320"/>
      <c r="W610" s="320"/>
      <c r="X610" s="320"/>
      <c r="Y610" s="320"/>
      <c r="Z610" s="320"/>
      <c r="AA610" s="320"/>
      <c r="AB610" s="320"/>
      <c r="AC610" s="320"/>
      <c r="AD610" s="320"/>
      <c r="AE610" s="320"/>
      <c r="AF610" s="320"/>
      <c r="AG610" s="320"/>
      <c r="AH610" s="320"/>
      <c r="AI610" s="320"/>
      <c r="AJ610" s="320"/>
      <c r="AK610" s="320"/>
    </row>
    <row r="611" spans="1:37" x14ac:dyDescent="0.25">
      <c r="E611" s="320"/>
      <c r="F611" s="320"/>
      <c r="G611" s="320"/>
      <c r="H611" s="320"/>
      <c r="I611" s="320"/>
      <c r="J611" s="320"/>
      <c r="K611" s="320"/>
      <c r="L611" s="320"/>
      <c r="M611" s="320"/>
      <c r="N611" s="320"/>
      <c r="O611" s="320"/>
      <c r="P611" s="320"/>
      <c r="Q611" s="320"/>
      <c r="R611" s="320"/>
      <c r="S611" s="320"/>
      <c r="T611" s="320"/>
      <c r="U611" s="320"/>
      <c r="V611" s="320"/>
      <c r="W611" s="320"/>
      <c r="X611" s="320"/>
      <c r="Y611" s="320"/>
      <c r="Z611" s="320"/>
      <c r="AA611" s="320"/>
      <c r="AB611" s="320"/>
      <c r="AC611" s="320"/>
      <c r="AD611" s="320"/>
      <c r="AE611" s="320"/>
      <c r="AF611" s="320"/>
      <c r="AG611" s="320"/>
      <c r="AH611" s="320"/>
      <c r="AI611" s="320"/>
      <c r="AJ611" s="320"/>
      <c r="AK611" s="320"/>
    </row>
    <row r="612" spans="1:37" x14ac:dyDescent="0.25">
      <c r="E612" s="320"/>
      <c r="F612" s="320"/>
      <c r="G612" s="320"/>
      <c r="H612" s="320"/>
      <c r="I612" s="320"/>
      <c r="J612" s="320"/>
      <c r="K612" s="320"/>
      <c r="L612" s="320"/>
      <c r="M612" s="320"/>
      <c r="N612" s="320"/>
      <c r="O612" s="320"/>
      <c r="P612" s="320"/>
      <c r="Q612" s="320"/>
      <c r="R612" s="320"/>
      <c r="S612" s="320"/>
      <c r="T612" s="320"/>
      <c r="U612" s="320"/>
      <c r="V612" s="320"/>
      <c r="W612" s="320"/>
      <c r="X612" s="320"/>
      <c r="Y612" s="320"/>
      <c r="Z612" s="320"/>
      <c r="AA612" s="320"/>
      <c r="AB612" s="320"/>
      <c r="AC612" s="320"/>
      <c r="AD612" s="320"/>
      <c r="AE612" s="320"/>
      <c r="AF612" s="320"/>
      <c r="AG612" s="320"/>
      <c r="AH612" s="320"/>
      <c r="AI612" s="320"/>
      <c r="AJ612" s="320"/>
      <c r="AK612" s="320"/>
    </row>
    <row r="613" spans="1:37" x14ac:dyDescent="0.25">
      <c r="A613" s="318"/>
      <c r="E613" s="320"/>
      <c r="F613" s="320"/>
      <c r="G613" s="320"/>
      <c r="H613" s="320"/>
      <c r="I613" s="320"/>
      <c r="J613" s="320"/>
      <c r="K613" s="320"/>
      <c r="L613" s="320"/>
      <c r="M613" s="320"/>
      <c r="N613" s="320"/>
      <c r="O613" s="320"/>
      <c r="P613" s="320"/>
      <c r="Q613" s="320"/>
      <c r="R613" s="320"/>
      <c r="S613" s="320"/>
      <c r="T613" s="320"/>
      <c r="U613" s="320"/>
      <c r="V613" s="320"/>
      <c r="W613" s="320"/>
      <c r="X613" s="320"/>
      <c r="Y613" s="320"/>
      <c r="Z613" s="320"/>
      <c r="AA613" s="320"/>
      <c r="AB613" s="320"/>
      <c r="AC613" s="320"/>
      <c r="AD613" s="320"/>
      <c r="AE613" s="320"/>
      <c r="AF613" s="320"/>
      <c r="AG613" s="320"/>
      <c r="AH613" s="320"/>
      <c r="AI613" s="320"/>
      <c r="AJ613" s="320"/>
      <c r="AK613" s="320"/>
    </row>
    <row r="614" spans="1:37" x14ac:dyDescent="0.25">
      <c r="A614" s="319"/>
      <c r="E614" s="320"/>
      <c r="F614" s="320"/>
      <c r="G614" s="320"/>
      <c r="H614" s="320"/>
      <c r="I614" s="320"/>
      <c r="J614" s="320"/>
      <c r="K614" s="320"/>
      <c r="L614" s="320"/>
      <c r="M614" s="320"/>
      <c r="N614" s="320"/>
      <c r="O614" s="320"/>
      <c r="P614" s="320"/>
      <c r="Q614" s="320"/>
      <c r="R614" s="320"/>
      <c r="S614" s="320"/>
      <c r="T614" s="320"/>
      <c r="U614" s="320"/>
      <c r="V614" s="320"/>
      <c r="W614" s="320"/>
      <c r="X614" s="320"/>
      <c r="Y614" s="320"/>
      <c r="Z614" s="320"/>
      <c r="AA614" s="320"/>
      <c r="AB614" s="320"/>
      <c r="AC614" s="320"/>
      <c r="AD614" s="320"/>
      <c r="AE614" s="320"/>
      <c r="AF614" s="320"/>
      <c r="AG614" s="320"/>
      <c r="AH614" s="320"/>
      <c r="AI614" s="320"/>
      <c r="AJ614" s="320"/>
      <c r="AK614" s="320"/>
    </row>
    <row r="615" spans="1:37" x14ac:dyDescent="0.25">
      <c r="A615" s="319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320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320"/>
    </row>
    <row r="616" spans="1:37" x14ac:dyDescent="0.25">
      <c r="A616" s="319"/>
      <c r="E616" s="320"/>
      <c r="F616" s="320"/>
      <c r="G616" s="320"/>
      <c r="H616" s="320"/>
      <c r="I616" s="320"/>
      <c r="J616" s="320"/>
      <c r="K616" s="320"/>
      <c r="L616" s="320"/>
      <c r="M616" s="320"/>
      <c r="N616" s="320"/>
      <c r="O616" s="320"/>
      <c r="P616" s="320"/>
      <c r="Q616" s="320"/>
      <c r="R616" s="320"/>
      <c r="S616" s="320"/>
      <c r="T616" s="320"/>
      <c r="U616" s="320"/>
      <c r="V616" s="320"/>
      <c r="W616" s="320"/>
      <c r="X616" s="320"/>
      <c r="Y616" s="320"/>
      <c r="Z616" s="320"/>
      <c r="AA616" s="320"/>
      <c r="AB616" s="320"/>
      <c r="AC616" s="320"/>
      <c r="AD616" s="320"/>
      <c r="AE616" s="320"/>
      <c r="AF616" s="320"/>
      <c r="AG616" s="320"/>
      <c r="AH616" s="320"/>
      <c r="AI616" s="320"/>
      <c r="AJ616" s="320"/>
      <c r="AK616" s="320"/>
    </row>
    <row r="617" spans="1:37" x14ac:dyDescent="0.25">
      <c r="A617" s="319"/>
      <c r="E617" s="320"/>
      <c r="F617" s="320"/>
      <c r="G617" s="320"/>
      <c r="H617" s="320"/>
      <c r="I617" s="320"/>
      <c r="J617" s="320"/>
      <c r="K617" s="320"/>
      <c r="L617" s="320"/>
      <c r="M617" s="320"/>
      <c r="N617" s="320"/>
      <c r="O617" s="320"/>
      <c r="P617" s="320"/>
      <c r="Q617" s="320"/>
      <c r="R617" s="320"/>
      <c r="S617" s="320"/>
      <c r="T617" s="320"/>
      <c r="U617" s="320"/>
      <c r="V617" s="320"/>
      <c r="W617" s="320"/>
      <c r="X617" s="320"/>
      <c r="Y617" s="320"/>
      <c r="Z617" s="320"/>
      <c r="AA617" s="320"/>
      <c r="AB617" s="320"/>
      <c r="AC617" s="320"/>
      <c r="AD617" s="320"/>
      <c r="AE617" s="320"/>
      <c r="AF617" s="320"/>
      <c r="AG617" s="320"/>
      <c r="AH617" s="320"/>
      <c r="AI617" s="320"/>
      <c r="AJ617" s="320"/>
      <c r="AK617" s="320"/>
    </row>
    <row r="618" spans="1:37" x14ac:dyDescent="0.25">
      <c r="A618" s="319"/>
      <c r="E618" s="320"/>
      <c r="F618" s="320"/>
      <c r="G618" s="320"/>
      <c r="H618" s="320"/>
      <c r="I618" s="320"/>
      <c r="J618" s="320"/>
      <c r="K618" s="320"/>
      <c r="L618" s="320"/>
      <c r="M618" s="320"/>
      <c r="N618" s="320"/>
      <c r="O618" s="320"/>
      <c r="P618" s="320"/>
      <c r="Q618" s="320"/>
      <c r="R618" s="320"/>
      <c r="S618" s="320"/>
      <c r="T618" s="320"/>
      <c r="U618" s="320"/>
      <c r="V618" s="320"/>
      <c r="W618" s="320"/>
      <c r="X618" s="320"/>
      <c r="Y618" s="320"/>
      <c r="Z618" s="320"/>
      <c r="AA618" s="320"/>
      <c r="AB618" s="320"/>
      <c r="AC618" s="320"/>
      <c r="AD618" s="320"/>
      <c r="AE618" s="320"/>
      <c r="AF618" s="320"/>
      <c r="AG618" s="320"/>
      <c r="AH618" s="320"/>
      <c r="AI618" s="320"/>
      <c r="AJ618" s="320"/>
      <c r="AK618" s="320"/>
    </row>
    <row r="619" spans="1:37" x14ac:dyDescent="0.25">
      <c r="A619" s="319"/>
      <c r="E619" s="320"/>
      <c r="F619" s="320"/>
      <c r="G619" s="320"/>
      <c r="H619" s="320"/>
      <c r="I619" s="320"/>
      <c r="J619" s="320"/>
      <c r="K619" s="320"/>
      <c r="L619" s="320"/>
      <c r="M619" s="320"/>
      <c r="N619" s="320"/>
      <c r="O619" s="320"/>
      <c r="P619" s="320"/>
      <c r="Q619" s="320"/>
      <c r="R619" s="320"/>
      <c r="S619" s="320"/>
      <c r="T619" s="320"/>
      <c r="U619" s="320"/>
      <c r="V619" s="320"/>
      <c r="W619" s="320"/>
      <c r="X619" s="320"/>
      <c r="Y619" s="320"/>
      <c r="Z619" s="320"/>
      <c r="AA619" s="320"/>
      <c r="AB619" s="320"/>
      <c r="AC619" s="320"/>
      <c r="AD619" s="320"/>
      <c r="AE619" s="320"/>
      <c r="AF619" s="320"/>
      <c r="AG619" s="320"/>
      <c r="AH619" s="320"/>
      <c r="AI619" s="320"/>
      <c r="AJ619" s="320"/>
      <c r="AK619" s="320"/>
    </row>
    <row r="620" spans="1:37" x14ac:dyDescent="0.25">
      <c r="A620" s="319"/>
      <c r="E620" s="320"/>
      <c r="F620" s="320"/>
      <c r="G620" s="320"/>
      <c r="H620" s="320"/>
      <c r="I620" s="320"/>
      <c r="J620" s="320"/>
      <c r="K620" s="320"/>
      <c r="L620" s="320"/>
      <c r="M620" s="320"/>
      <c r="N620" s="320"/>
      <c r="O620" s="320"/>
      <c r="P620" s="320"/>
      <c r="Q620" s="320"/>
      <c r="R620" s="320"/>
      <c r="S620" s="320"/>
      <c r="T620" s="320"/>
      <c r="U620" s="320"/>
      <c r="V620" s="320"/>
      <c r="W620" s="320"/>
      <c r="X620" s="320"/>
      <c r="Y620" s="320"/>
      <c r="Z620" s="320"/>
      <c r="AA620" s="320"/>
      <c r="AB620" s="320"/>
      <c r="AC620" s="320"/>
      <c r="AD620" s="320"/>
      <c r="AE620" s="320"/>
      <c r="AF620" s="320"/>
      <c r="AG620" s="320"/>
      <c r="AH620" s="320"/>
      <c r="AI620" s="320"/>
      <c r="AJ620" s="320"/>
      <c r="AK620" s="320"/>
    </row>
    <row r="621" spans="1:37" x14ac:dyDescent="0.25">
      <c r="A621" s="319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320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320"/>
    </row>
    <row r="622" spans="1:37" x14ac:dyDescent="0.25">
      <c r="A622" s="319"/>
      <c r="E622" s="320"/>
      <c r="F622" s="320"/>
      <c r="G622" s="320"/>
      <c r="H622" s="320"/>
      <c r="I622" s="320"/>
      <c r="J622" s="320"/>
      <c r="K622" s="320"/>
      <c r="L622" s="320"/>
      <c r="M622" s="320"/>
      <c r="N622" s="320"/>
      <c r="O622" s="320"/>
      <c r="P622" s="320"/>
      <c r="Q622" s="320"/>
      <c r="R622" s="320"/>
      <c r="S622" s="320"/>
      <c r="T622" s="320"/>
      <c r="U622" s="320"/>
      <c r="V622" s="320"/>
      <c r="W622" s="320"/>
      <c r="X622" s="320"/>
      <c r="Y622" s="320"/>
      <c r="Z622" s="320"/>
      <c r="AA622" s="320"/>
      <c r="AB622" s="320"/>
      <c r="AC622" s="320"/>
      <c r="AD622" s="320"/>
      <c r="AE622" s="320"/>
      <c r="AF622" s="320"/>
      <c r="AG622" s="320"/>
      <c r="AH622" s="320"/>
      <c r="AI622" s="320"/>
      <c r="AJ622" s="320"/>
      <c r="AK622" s="320"/>
    </row>
    <row r="623" spans="1:37" x14ac:dyDescent="0.25">
      <c r="A623" s="319"/>
      <c r="E623" s="320"/>
      <c r="F623" s="320"/>
      <c r="G623" s="320"/>
      <c r="H623" s="320"/>
      <c r="I623" s="320"/>
      <c r="J623" s="320"/>
      <c r="K623" s="320"/>
      <c r="L623" s="320"/>
      <c r="M623" s="320"/>
      <c r="N623" s="320"/>
      <c r="O623" s="320"/>
      <c r="P623" s="320"/>
      <c r="Q623" s="320"/>
      <c r="R623" s="320"/>
      <c r="S623" s="320"/>
      <c r="T623" s="320"/>
      <c r="U623" s="320"/>
      <c r="V623" s="320"/>
      <c r="W623" s="320"/>
      <c r="X623" s="320"/>
      <c r="Y623" s="320"/>
      <c r="Z623" s="320"/>
      <c r="AA623" s="320"/>
      <c r="AB623" s="320"/>
      <c r="AC623" s="320"/>
      <c r="AD623" s="320"/>
      <c r="AE623" s="320"/>
      <c r="AF623" s="320"/>
      <c r="AG623" s="320"/>
      <c r="AH623" s="320"/>
      <c r="AI623" s="320"/>
      <c r="AJ623" s="320"/>
      <c r="AK623" s="320"/>
    </row>
    <row r="624" spans="1:37" x14ac:dyDescent="0.25">
      <c r="A624" s="319"/>
      <c r="E624" s="320"/>
      <c r="F624" s="320"/>
      <c r="G624" s="320"/>
      <c r="H624" s="320"/>
      <c r="I624" s="320"/>
      <c r="J624" s="320"/>
      <c r="K624" s="320"/>
      <c r="L624" s="320"/>
      <c r="M624" s="320"/>
      <c r="N624" s="320"/>
      <c r="O624" s="320"/>
      <c r="P624" s="320"/>
      <c r="Q624" s="320"/>
      <c r="R624" s="320"/>
      <c r="S624" s="320"/>
      <c r="T624" s="320"/>
      <c r="U624" s="320"/>
      <c r="V624" s="320"/>
      <c r="W624" s="320"/>
      <c r="X624" s="320"/>
      <c r="Y624" s="320"/>
      <c r="Z624" s="320"/>
      <c r="AA624" s="320"/>
      <c r="AB624" s="320"/>
      <c r="AC624" s="320"/>
      <c r="AD624" s="320"/>
      <c r="AE624" s="320"/>
      <c r="AF624" s="320"/>
      <c r="AG624" s="320"/>
      <c r="AH624" s="320"/>
      <c r="AI624" s="320"/>
      <c r="AJ624" s="320"/>
      <c r="AK624" s="320"/>
    </row>
    <row r="625" spans="1:37" x14ac:dyDescent="0.25">
      <c r="A625" s="319"/>
      <c r="E625" s="320"/>
      <c r="F625" s="320"/>
      <c r="G625" s="320"/>
      <c r="H625" s="320"/>
      <c r="I625" s="320"/>
      <c r="J625" s="320"/>
      <c r="K625" s="320"/>
      <c r="L625" s="320"/>
      <c r="M625" s="320"/>
      <c r="N625" s="320"/>
      <c r="O625" s="320"/>
      <c r="P625" s="320"/>
      <c r="Q625" s="320"/>
      <c r="R625" s="320"/>
      <c r="S625" s="320"/>
      <c r="T625" s="320"/>
      <c r="U625" s="320"/>
      <c r="V625" s="320"/>
      <c r="W625" s="320"/>
      <c r="X625" s="320"/>
      <c r="Y625" s="320"/>
      <c r="Z625" s="320"/>
      <c r="AA625" s="320"/>
      <c r="AB625" s="320"/>
      <c r="AC625" s="320"/>
      <c r="AD625" s="320"/>
      <c r="AE625" s="320"/>
      <c r="AF625" s="320"/>
      <c r="AG625" s="320"/>
      <c r="AH625" s="320"/>
      <c r="AI625" s="320"/>
      <c r="AJ625" s="320"/>
      <c r="AK625" s="320"/>
    </row>
    <row r="626" spans="1:37" x14ac:dyDescent="0.25">
      <c r="A626" s="319"/>
      <c r="E626" s="320"/>
      <c r="F626" s="320"/>
      <c r="G626" s="320"/>
      <c r="H626" s="320"/>
      <c r="I626" s="320"/>
      <c r="J626" s="320"/>
      <c r="K626" s="320"/>
      <c r="L626" s="320"/>
      <c r="M626" s="320"/>
      <c r="N626" s="320"/>
      <c r="O626" s="320"/>
      <c r="P626" s="320"/>
      <c r="Q626" s="320"/>
      <c r="R626" s="320"/>
      <c r="S626" s="320"/>
      <c r="T626" s="320"/>
      <c r="U626" s="320"/>
      <c r="V626" s="320"/>
      <c r="W626" s="320"/>
      <c r="X626" s="320"/>
      <c r="Y626" s="320"/>
      <c r="Z626" s="320"/>
      <c r="AA626" s="320"/>
      <c r="AB626" s="320"/>
      <c r="AC626" s="320"/>
      <c r="AD626" s="320"/>
      <c r="AE626" s="320"/>
      <c r="AF626" s="320"/>
      <c r="AG626" s="320"/>
      <c r="AH626" s="320"/>
      <c r="AI626" s="320"/>
      <c r="AJ626" s="320"/>
      <c r="AK626" s="320"/>
    </row>
    <row r="627" spans="1:37" x14ac:dyDescent="0.25">
      <c r="A627" s="319"/>
      <c r="E627" s="320"/>
      <c r="F627" s="320"/>
      <c r="G627" s="320"/>
      <c r="H627" s="320"/>
      <c r="I627" s="320"/>
      <c r="J627" s="320"/>
      <c r="K627" s="320"/>
      <c r="L627" s="320"/>
      <c r="M627" s="320"/>
      <c r="N627" s="320"/>
      <c r="O627" s="320"/>
      <c r="P627" s="320"/>
      <c r="Q627" s="320"/>
      <c r="R627" s="320"/>
      <c r="S627" s="320"/>
      <c r="T627" s="320"/>
      <c r="U627" s="320"/>
      <c r="V627" s="320"/>
      <c r="W627" s="320"/>
      <c r="X627" s="320"/>
      <c r="Y627" s="320"/>
      <c r="Z627" s="320"/>
      <c r="AA627" s="320"/>
      <c r="AB627" s="320"/>
      <c r="AC627" s="320"/>
      <c r="AD627" s="320"/>
      <c r="AE627" s="320"/>
      <c r="AF627" s="320"/>
      <c r="AG627" s="320"/>
      <c r="AH627" s="320"/>
      <c r="AI627" s="320"/>
      <c r="AJ627" s="320"/>
      <c r="AK627" s="320"/>
    </row>
    <row r="628" spans="1:37" x14ac:dyDescent="0.25">
      <c r="A628" s="319"/>
      <c r="E628" s="320"/>
      <c r="F628" s="320"/>
      <c r="G628" s="320"/>
      <c r="H628" s="320"/>
      <c r="I628" s="320"/>
      <c r="J628" s="320"/>
      <c r="K628" s="320"/>
      <c r="L628" s="320"/>
      <c r="M628" s="320"/>
      <c r="N628" s="320"/>
      <c r="O628" s="320"/>
      <c r="P628" s="320"/>
      <c r="Q628" s="320"/>
      <c r="R628" s="320"/>
      <c r="S628" s="320"/>
      <c r="T628" s="320"/>
      <c r="U628" s="320"/>
      <c r="V628" s="320"/>
      <c r="W628" s="320"/>
      <c r="X628" s="320"/>
      <c r="Y628" s="320"/>
      <c r="Z628" s="320"/>
      <c r="AA628" s="320"/>
      <c r="AB628" s="320"/>
      <c r="AC628" s="320"/>
      <c r="AD628" s="320"/>
      <c r="AE628" s="320"/>
      <c r="AF628" s="320"/>
      <c r="AG628" s="320"/>
      <c r="AH628" s="320"/>
      <c r="AI628" s="320"/>
      <c r="AJ628" s="320"/>
      <c r="AK628" s="320"/>
    </row>
    <row r="629" spans="1:37" x14ac:dyDescent="0.25">
      <c r="A629" s="319"/>
      <c r="E629" s="320"/>
      <c r="F629" s="320"/>
      <c r="G629" s="320"/>
      <c r="H629" s="320"/>
      <c r="I629" s="320"/>
      <c r="J629" s="320"/>
      <c r="K629" s="320"/>
      <c r="L629" s="320"/>
      <c r="M629" s="320"/>
      <c r="N629" s="320"/>
      <c r="O629" s="320"/>
      <c r="P629" s="320"/>
      <c r="Q629" s="320"/>
      <c r="R629" s="320"/>
      <c r="S629" s="320"/>
      <c r="T629" s="320"/>
      <c r="U629" s="320"/>
      <c r="V629" s="320"/>
      <c r="W629" s="320"/>
      <c r="X629" s="320"/>
      <c r="Y629" s="320"/>
      <c r="Z629" s="320"/>
      <c r="AA629" s="320"/>
      <c r="AB629" s="320"/>
      <c r="AC629" s="320"/>
      <c r="AD629" s="320"/>
      <c r="AE629" s="320"/>
      <c r="AF629" s="320"/>
      <c r="AG629" s="320"/>
      <c r="AH629" s="320"/>
      <c r="AI629" s="320"/>
      <c r="AJ629" s="320"/>
      <c r="AK629" s="320"/>
    </row>
    <row r="630" spans="1:37" x14ac:dyDescent="0.25">
      <c r="A630" s="319"/>
      <c r="E630" s="320"/>
      <c r="F630" s="320"/>
      <c r="G630" s="320"/>
      <c r="H630" s="320"/>
      <c r="I630" s="320"/>
      <c r="J630" s="320"/>
      <c r="K630" s="320"/>
      <c r="L630" s="320"/>
      <c r="M630" s="320"/>
      <c r="N630" s="320"/>
      <c r="O630" s="320"/>
      <c r="P630" s="320"/>
      <c r="Q630" s="320"/>
      <c r="R630" s="320"/>
      <c r="S630" s="320"/>
      <c r="T630" s="320"/>
      <c r="U630" s="320"/>
      <c r="V630" s="320"/>
      <c r="W630" s="320"/>
      <c r="X630" s="320"/>
      <c r="Y630" s="320"/>
      <c r="Z630" s="320"/>
      <c r="AA630" s="320"/>
      <c r="AB630" s="320"/>
      <c r="AC630" s="320"/>
      <c r="AD630" s="320"/>
      <c r="AE630" s="320"/>
      <c r="AF630" s="320"/>
      <c r="AG630" s="320"/>
      <c r="AH630" s="320"/>
      <c r="AI630" s="320"/>
      <c r="AJ630" s="320"/>
      <c r="AK630" s="320"/>
    </row>
    <row r="631" spans="1:37" x14ac:dyDescent="0.25">
      <c r="A631" s="319"/>
      <c r="E631" s="320"/>
      <c r="F631" s="320"/>
      <c r="G631" s="320"/>
      <c r="H631" s="320"/>
      <c r="I631" s="320"/>
      <c r="J631" s="320"/>
      <c r="K631" s="320"/>
      <c r="L631" s="320"/>
      <c r="M631" s="320"/>
      <c r="N631" s="320"/>
      <c r="O631" s="320"/>
      <c r="P631" s="320"/>
      <c r="Q631" s="320"/>
      <c r="R631" s="320"/>
      <c r="S631" s="320"/>
      <c r="T631" s="320"/>
      <c r="U631" s="320"/>
      <c r="V631" s="320"/>
      <c r="W631" s="320"/>
      <c r="X631" s="320"/>
      <c r="Y631" s="320"/>
      <c r="Z631" s="320"/>
      <c r="AA631" s="320"/>
      <c r="AB631" s="320"/>
      <c r="AC631" s="320"/>
      <c r="AD631" s="320"/>
      <c r="AE631" s="320"/>
      <c r="AF631" s="320"/>
      <c r="AG631" s="320"/>
      <c r="AH631" s="320"/>
      <c r="AI631" s="320"/>
      <c r="AJ631" s="320"/>
      <c r="AK631" s="320"/>
    </row>
    <row r="632" spans="1:37" x14ac:dyDescent="0.25">
      <c r="E632" s="320"/>
      <c r="F632" s="320"/>
      <c r="G632" s="320"/>
      <c r="H632" s="320"/>
      <c r="I632" s="320"/>
      <c r="J632" s="320"/>
      <c r="K632" s="320"/>
      <c r="L632" s="320"/>
      <c r="M632" s="320"/>
      <c r="N632" s="320"/>
      <c r="O632" s="320"/>
      <c r="P632" s="320"/>
      <c r="Q632" s="320"/>
      <c r="R632" s="320"/>
      <c r="S632" s="320"/>
      <c r="T632" s="320"/>
      <c r="U632" s="320"/>
      <c r="V632" s="320"/>
      <c r="W632" s="320"/>
      <c r="X632" s="320"/>
      <c r="Y632" s="320"/>
      <c r="Z632" s="320"/>
      <c r="AA632" s="320"/>
      <c r="AB632" s="320"/>
      <c r="AC632" s="320"/>
      <c r="AD632" s="320"/>
      <c r="AE632" s="320"/>
      <c r="AF632" s="320"/>
      <c r="AG632" s="320"/>
      <c r="AH632" s="320"/>
      <c r="AI632" s="320"/>
      <c r="AJ632" s="320"/>
      <c r="AK632" s="320"/>
    </row>
    <row r="633" spans="1:37" x14ac:dyDescent="0.25"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320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320"/>
    </row>
    <row r="639" spans="1:37" x14ac:dyDescent="0.25">
      <c r="A639" s="318"/>
    </row>
    <row r="640" spans="1:37" x14ac:dyDescent="0.25">
      <c r="A640" s="319"/>
    </row>
    <row r="641" spans="1:1" x14ac:dyDescent="0.25">
      <c r="A641" s="319"/>
    </row>
    <row r="642" spans="1:1" x14ac:dyDescent="0.25">
      <c r="A642" s="319"/>
    </row>
    <row r="643" spans="1:1" x14ac:dyDescent="0.25">
      <c r="A643" s="319"/>
    </row>
    <row r="644" spans="1:1" x14ac:dyDescent="0.25">
      <c r="A644" s="319"/>
    </row>
    <row r="645" spans="1:1" x14ac:dyDescent="0.25">
      <c r="A645" s="319"/>
    </row>
    <row r="646" spans="1:1" x14ac:dyDescent="0.25">
      <c r="A646" s="319"/>
    </row>
    <row r="647" spans="1:1" x14ac:dyDescent="0.25">
      <c r="A647" s="319"/>
    </row>
    <row r="648" spans="1:1" x14ac:dyDescent="0.25">
      <c r="A648" s="319"/>
    </row>
    <row r="649" spans="1:1" x14ac:dyDescent="0.25">
      <c r="A649" s="319"/>
    </row>
    <row r="650" spans="1:1" x14ac:dyDescent="0.25">
      <c r="A650" s="319"/>
    </row>
    <row r="651" spans="1:1" x14ac:dyDescent="0.25">
      <c r="A651" s="319"/>
    </row>
    <row r="652" spans="1:1" x14ac:dyDescent="0.25">
      <c r="A652" s="319"/>
    </row>
    <row r="653" spans="1:1" x14ac:dyDescent="0.25">
      <c r="A653" s="319"/>
    </row>
    <row r="654" spans="1:1" x14ac:dyDescent="0.25">
      <c r="A654" s="319"/>
    </row>
    <row r="655" spans="1:1" x14ac:dyDescent="0.25">
      <c r="A655" s="319"/>
    </row>
    <row r="656" spans="1:1" x14ac:dyDescent="0.25">
      <c r="A656" s="319"/>
    </row>
    <row r="657" spans="1:1" x14ac:dyDescent="0.25">
      <c r="A657" s="319"/>
    </row>
    <row r="665" spans="1:1" x14ac:dyDescent="0.25">
      <c r="A665" s="318"/>
    </row>
    <row r="666" spans="1:1" x14ac:dyDescent="0.25">
      <c r="A666" s="319"/>
    </row>
    <row r="667" spans="1:1" x14ac:dyDescent="0.25">
      <c r="A667" s="319"/>
    </row>
    <row r="668" spans="1:1" x14ac:dyDescent="0.25">
      <c r="A668" s="319"/>
    </row>
    <row r="669" spans="1:1" x14ac:dyDescent="0.25">
      <c r="A669" s="319"/>
    </row>
    <row r="670" spans="1:1" x14ac:dyDescent="0.25">
      <c r="A670" s="319"/>
    </row>
    <row r="671" spans="1:1" x14ac:dyDescent="0.25">
      <c r="A671" s="319"/>
    </row>
    <row r="672" spans="1:1" x14ac:dyDescent="0.25">
      <c r="A672" s="319"/>
    </row>
    <row r="673" spans="1:1" x14ac:dyDescent="0.25">
      <c r="A673" s="319"/>
    </row>
    <row r="674" spans="1:1" x14ac:dyDescent="0.25">
      <c r="A674" s="319"/>
    </row>
    <row r="675" spans="1:1" x14ac:dyDescent="0.25">
      <c r="A675" s="319"/>
    </row>
    <row r="676" spans="1:1" x14ac:dyDescent="0.25">
      <c r="A676" s="319"/>
    </row>
    <row r="677" spans="1:1" x14ac:dyDescent="0.25">
      <c r="A677" s="319"/>
    </row>
    <row r="678" spans="1:1" x14ac:dyDescent="0.25">
      <c r="A678" s="319"/>
    </row>
    <row r="679" spans="1:1" x14ac:dyDescent="0.25">
      <c r="A679" s="319"/>
    </row>
    <row r="680" spans="1:1" x14ac:dyDescent="0.25">
      <c r="A680" s="319"/>
    </row>
    <row r="681" spans="1:1" x14ac:dyDescent="0.25">
      <c r="A681" s="319"/>
    </row>
    <row r="682" spans="1:1" x14ac:dyDescent="0.25">
      <c r="A682" s="319"/>
    </row>
    <row r="683" spans="1:1" x14ac:dyDescent="0.25">
      <c r="A683" s="319"/>
    </row>
    <row r="691" spans="1:1" x14ac:dyDescent="0.25">
      <c r="A691" s="318"/>
    </row>
    <row r="692" spans="1:1" x14ac:dyDescent="0.25">
      <c r="A692" s="319"/>
    </row>
    <row r="693" spans="1:1" x14ac:dyDescent="0.25">
      <c r="A693" s="319"/>
    </row>
    <row r="694" spans="1:1" x14ac:dyDescent="0.25">
      <c r="A694" s="319"/>
    </row>
    <row r="695" spans="1:1" x14ac:dyDescent="0.25">
      <c r="A695" s="319"/>
    </row>
    <row r="696" spans="1:1" x14ac:dyDescent="0.25">
      <c r="A696" s="319"/>
    </row>
    <row r="697" spans="1:1" x14ac:dyDescent="0.25">
      <c r="A697" s="319"/>
    </row>
    <row r="698" spans="1:1" x14ac:dyDescent="0.25">
      <c r="A698" s="319"/>
    </row>
    <row r="699" spans="1:1" x14ac:dyDescent="0.25">
      <c r="A699" s="319"/>
    </row>
    <row r="700" spans="1:1" x14ac:dyDescent="0.25">
      <c r="A700" s="319"/>
    </row>
    <row r="701" spans="1:1" x14ac:dyDescent="0.25">
      <c r="A701" s="319"/>
    </row>
    <row r="702" spans="1:1" x14ac:dyDescent="0.25">
      <c r="A702" s="319"/>
    </row>
    <row r="703" spans="1:1" x14ac:dyDescent="0.25">
      <c r="A703" s="319"/>
    </row>
    <row r="704" spans="1:1" x14ac:dyDescent="0.25">
      <c r="A704" s="319"/>
    </row>
    <row r="705" spans="1:1" x14ac:dyDescent="0.25">
      <c r="A705" s="319"/>
    </row>
    <row r="706" spans="1:1" x14ac:dyDescent="0.25">
      <c r="A706" s="319"/>
    </row>
    <row r="707" spans="1:1" x14ac:dyDescent="0.25">
      <c r="A707" s="319"/>
    </row>
    <row r="708" spans="1:1" x14ac:dyDescent="0.25">
      <c r="A708" s="319"/>
    </row>
    <row r="709" spans="1:1" x14ac:dyDescent="0.25">
      <c r="A709" s="319"/>
    </row>
    <row r="717" spans="1:1" x14ac:dyDescent="0.25">
      <c r="A717" s="318"/>
    </row>
    <row r="718" spans="1:1" x14ac:dyDescent="0.25">
      <c r="A718" s="319"/>
    </row>
    <row r="719" spans="1:1" x14ac:dyDescent="0.25">
      <c r="A719" s="319"/>
    </row>
    <row r="720" spans="1:1" x14ac:dyDescent="0.25">
      <c r="A720" s="319"/>
    </row>
    <row r="721" spans="1:1" x14ac:dyDescent="0.25">
      <c r="A721" s="319"/>
    </row>
    <row r="722" spans="1:1" x14ac:dyDescent="0.25">
      <c r="A722" s="319"/>
    </row>
    <row r="723" spans="1:1" x14ac:dyDescent="0.25">
      <c r="A723" s="319"/>
    </row>
    <row r="724" spans="1:1" x14ac:dyDescent="0.25">
      <c r="A724" s="319"/>
    </row>
    <row r="725" spans="1:1" x14ac:dyDescent="0.25">
      <c r="A725" s="319"/>
    </row>
    <row r="726" spans="1:1" x14ac:dyDescent="0.25">
      <c r="A726" s="319"/>
    </row>
    <row r="727" spans="1:1" x14ac:dyDescent="0.25">
      <c r="A727" s="319"/>
    </row>
    <row r="728" spans="1:1" x14ac:dyDescent="0.25">
      <c r="A728" s="319"/>
    </row>
    <row r="729" spans="1:1" x14ac:dyDescent="0.25">
      <c r="A729" s="319"/>
    </row>
    <row r="730" spans="1:1" x14ac:dyDescent="0.25">
      <c r="A730" s="319"/>
    </row>
    <row r="731" spans="1:1" x14ac:dyDescent="0.25">
      <c r="A731" s="319"/>
    </row>
    <row r="732" spans="1:1" x14ac:dyDescent="0.25">
      <c r="A732" s="319"/>
    </row>
    <row r="733" spans="1:1" x14ac:dyDescent="0.25">
      <c r="A733" s="319"/>
    </row>
    <row r="734" spans="1:1" x14ac:dyDescent="0.25">
      <c r="A734" s="319"/>
    </row>
    <row r="735" spans="1:1" x14ac:dyDescent="0.25">
      <c r="A735" s="319"/>
    </row>
    <row r="743" spans="1:1" x14ac:dyDescent="0.25">
      <c r="A743" s="318"/>
    </row>
    <row r="744" spans="1:1" x14ac:dyDescent="0.25">
      <c r="A744" s="319"/>
    </row>
    <row r="745" spans="1:1" x14ac:dyDescent="0.25">
      <c r="A745" s="319"/>
    </row>
    <row r="746" spans="1:1" x14ac:dyDescent="0.25">
      <c r="A746" s="319"/>
    </row>
    <row r="747" spans="1:1" x14ac:dyDescent="0.25">
      <c r="A747" s="319"/>
    </row>
    <row r="748" spans="1:1" x14ac:dyDescent="0.25">
      <c r="A748" s="319"/>
    </row>
    <row r="749" spans="1:1" x14ac:dyDescent="0.25">
      <c r="A749" s="319"/>
    </row>
    <row r="750" spans="1:1" x14ac:dyDescent="0.25">
      <c r="A750" s="319"/>
    </row>
    <row r="751" spans="1:1" x14ac:dyDescent="0.25">
      <c r="A751" s="319"/>
    </row>
    <row r="752" spans="1:1" x14ac:dyDescent="0.25">
      <c r="A752" s="319"/>
    </row>
    <row r="753" spans="1:1" x14ac:dyDescent="0.25">
      <c r="A753" s="319"/>
    </row>
    <row r="754" spans="1:1" x14ac:dyDescent="0.25">
      <c r="A754" s="319"/>
    </row>
    <row r="755" spans="1:1" x14ac:dyDescent="0.25">
      <c r="A755" s="319"/>
    </row>
    <row r="756" spans="1:1" x14ac:dyDescent="0.25">
      <c r="A756" s="319"/>
    </row>
    <row r="757" spans="1:1" x14ac:dyDescent="0.25">
      <c r="A757" s="319"/>
    </row>
    <row r="758" spans="1:1" x14ac:dyDescent="0.25">
      <c r="A758" s="319"/>
    </row>
    <row r="759" spans="1:1" x14ac:dyDescent="0.25">
      <c r="A759" s="319"/>
    </row>
    <row r="760" spans="1:1" x14ac:dyDescent="0.25">
      <c r="A760" s="319"/>
    </row>
    <row r="761" spans="1:1" x14ac:dyDescent="0.25">
      <c r="A761" s="319"/>
    </row>
    <row r="769" spans="1:1" x14ac:dyDescent="0.25">
      <c r="A769" s="318"/>
    </row>
    <row r="770" spans="1:1" x14ac:dyDescent="0.25">
      <c r="A770" s="319"/>
    </row>
    <row r="771" spans="1:1" x14ac:dyDescent="0.25">
      <c r="A771" s="319"/>
    </row>
    <row r="772" spans="1:1" x14ac:dyDescent="0.25">
      <c r="A772" s="319"/>
    </row>
    <row r="773" spans="1:1" x14ac:dyDescent="0.25">
      <c r="A773" s="319"/>
    </row>
    <row r="774" spans="1:1" x14ac:dyDescent="0.25">
      <c r="A774" s="319"/>
    </row>
    <row r="775" spans="1:1" x14ac:dyDescent="0.25">
      <c r="A775" s="319"/>
    </row>
    <row r="776" spans="1:1" x14ac:dyDescent="0.25">
      <c r="A776" s="319"/>
    </row>
    <row r="777" spans="1:1" x14ac:dyDescent="0.25">
      <c r="A777" s="319"/>
    </row>
    <row r="778" spans="1:1" x14ac:dyDescent="0.25">
      <c r="A778" s="319"/>
    </row>
    <row r="779" spans="1:1" x14ac:dyDescent="0.25">
      <c r="A779" s="319"/>
    </row>
    <row r="780" spans="1:1" x14ac:dyDescent="0.25">
      <c r="A780" s="319"/>
    </row>
    <row r="781" spans="1:1" x14ac:dyDescent="0.25">
      <c r="A781" s="319"/>
    </row>
    <row r="782" spans="1:1" x14ac:dyDescent="0.25">
      <c r="A782" s="319"/>
    </row>
    <row r="783" spans="1:1" x14ac:dyDescent="0.25">
      <c r="A783" s="319"/>
    </row>
    <row r="784" spans="1:1" x14ac:dyDescent="0.25">
      <c r="A784" s="319"/>
    </row>
    <row r="785" spans="1:1" x14ac:dyDescent="0.25">
      <c r="A785" s="319"/>
    </row>
    <row r="786" spans="1:1" x14ac:dyDescent="0.25">
      <c r="A786" s="319"/>
    </row>
    <row r="787" spans="1:1" x14ac:dyDescent="0.25">
      <c r="A787" s="319"/>
    </row>
    <row r="795" spans="1:1" x14ac:dyDescent="0.25">
      <c r="A795" s="318"/>
    </row>
    <row r="796" spans="1:1" x14ac:dyDescent="0.25">
      <c r="A796" s="319"/>
    </row>
    <row r="797" spans="1:1" x14ac:dyDescent="0.25">
      <c r="A797" s="319"/>
    </row>
    <row r="798" spans="1:1" x14ac:dyDescent="0.25">
      <c r="A798" s="319"/>
    </row>
    <row r="799" spans="1:1" x14ac:dyDescent="0.25">
      <c r="A799" s="319"/>
    </row>
    <row r="800" spans="1:1" x14ac:dyDescent="0.25">
      <c r="A800" s="319"/>
    </row>
    <row r="801" spans="1:1" x14ac:dyDescent="0.25">
      <c r="A801" s="319"/>
    </row>
    <row r="802" spans="1:1" x14ac:dyDescent="0.25">
      <c r="A802" s="319"/>
    </row>
    <row r="803" spans="1:1" x14ac:dyDescent="0.25">
      <c r="A803" s="319"/>
    </row>
    <row r="804" spans="1:1" x14ac:dyDescent="0.25">
      <c r="A804" s="319"/>
    </row>
    <row r="805" spans="1:1" x14ac:dyDescent="0.25">
      <c r="A805" s="319"/>
    </row>
    <row r="806" spans="1:1" x14ac:dyDescent="0.25">
      <c r="A806" s="319"/>
    </row>
    <row r="807" spans="1:1" x14ac:dyDescent="0.25">
      <c r="A807" s="319"/>
    </row>
    <row r="808" spans="1:1" x14ac:dyDescent="0.25">
      <c r="A808" s="319"/>
    </row>
    <row r="809" spans="1:1" x14ac:dyDescent="0.25">
      <c r="A809" s="319"/>
    </row>
    <row r="810" spans="1:1" x14ac:dyDescent="0.25">
      <c r="A810" s="319"/>
    </row>
    <row r="811" spans="1:1" x14ac:dyDescent="0.25">
      <c r="A811" s="319"/>
    </row>
    <row r="812" spans="1:1" x14ac:dyDescent="0.25">
      <c r="A812" s="319"/>
    </row>
    <row r="813" spans="1:1" x14ac:dyDescent="0.25">
      <c r="A813" s="319"/>
    </row>
    <row r="821" spans="1:1" x14ac:dyDescent="0.25">
      <c r="A821" s="318"/>
    </row>
    <row r="822" spans="1:1" x14ac:dyDescent="0.25">
      <c r="A822" s="319"/>
    </row>
    <row r="823" spans="1:1" x14ac:dyDescent="0.25">
      <c r="A823" s="319"/>
    </row>
    <row r="824" spans="1:1" x14ac:dyDescent="0.25">
      <c r="A824" s="319"/>
    </row>
    <row r="825" spans="1:1" x14ac:dyDescent="0.25">
      <c r="A825" s="319"/>
    </row>
    <row r="826" spans="1:1" x14ac:dyDescent="0.25">
      <c r="A826" s="319"/>
    </row>
    <row r="998" spans="3:37" x14ac:dyDescent="0.25">
      <c r="D998" s="323"/>
      <c r="K998" s="206"/>
      <c r="L998" s="206"/>
      <c r="M998" s="206"/>
      <c r="N998" s="206"/>
      <c r="O998" s="206"/>
      <c r="P998" s="206"/>
      <c r="Q998" s="206"/>
      <c r="R998" s="206"/>
      <c r="S998" s="206"/>
      <c r="T998" s="206"/>
      <c r="U998" s="206"/>
      <c r="V998" s="206"/>
      <c r="W998" s="206"/>
      <c r="X998" s="206"/>
      <c r="Y998" s="206"/>
      <c r="Z998" s="206"/>
      <c r="AA998" s="206"/>
      <c r="AB998" s="206"/>
      <c r="AC998" s="206"/>
      <c r="AD998" s="206"/>
      <c r="AE998" s="206"/>
      <c r="AF998" s="206"/>
      <c r="AG998" s="206"/>
      <c r="AH998" s="206"/>
      <c r="AI998" s="206"/>
      <c r="AJ998" s="206"/>
      <c r="AK998" s="206"/>
    </row>
    <row r="999" spans="3:37" x14ac:dyDescent="0.25">
      <c r="C999" s="323"/>
    </row>
    <row r="1000" spans="3:37" x14ac:dyDescent="0.25">
      <c r="AF1000" s="206"/>
      <c r="AG1000" s="206"/>
      <c r="AH1000" s="206"/>
      <c r="AI1000" s="206"/>
      <c r="AJ1000" s="206"/>
      <c r="AK1000" s="206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E865"/>
  <sheetViews>
    <sheetView topLeftCell="A841" workbookViewId="0">
      <selection activeCell="A828" sqref="A828"/>
    </sheetView>
  </sheetViews>
  <sheetFormatPr defaultRowHeight="13.2" x14ac:dyDescent="0.25"/>
  <cols>
    <col min="11" max="11" width="10.6640625" style="380" bestFit="1" customWidth="1"/>
    <col min="12" max="12" width="12" style="235" customWidth="1"/>
    <col min="13" max="13" width="11.5546875" style="380" customWidth="1"/>
    <col min="15" max="19" width="9.33203125" bestFit="1" customWidth="1"/>
    <col min="21" max="21" width="14.33203125" customWidth="1"/>
    <col min="29" max="29" width="13.5546875" style="235" customWidth="1"/>
    <col min="30" max="30" width="10.109375" style="235" bestFit="1" customWidth="1"/>
    <col min="31" max="33" width="9.33203125" bestFit="1" customWidth="1"/>
    <col min="34" max="34" width="12" style="235" customWidth="1"/>
    <col min="35" max="35" width="9.33203125" bestFit="1" customWidth="1"/>
    <col min="37" max="39" width="9.33203125" bestFit="1" customWidth="1"/>
  </cols>
  <sheetData>
    <row r="1" spans="1:213" x14ac:dyDescent="0.25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s="380" t="s">
        <v>204</v>
      </c>
      <c r="L1" s="235" t="s">
        <v>205</v>
      </c>
      <c r="M1" s="380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s="235" t="s">
        <v>222</v>
      </c>
      <c r="AD1" s="235" t="s">
        <v>223</v>
      </c>
      <c r="AE1" t="s">
        <v>224</v>
      </c>
      <c r="AF1" t="s">
        <v>225</v>
      </c>
      <c r="AG1" t="s">
        <v>226</v>
      </c>
      <c r="AH1" s="235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  <c r="GS1" t="s">
        <v>233</v>
      </c>
      <c r="GT1">
        <f>'Extendible Collars'!GT6</f>
        <v>0</v>
      </c>
      <c r="GU1" t="s">
        <v>255</v>
      </c>
      <c r="GV1" t="s">
        <v>234</v>
      </c>
      <c r="GW1" t="s">
        <v>20</v>
      </c>
      <c r="GX1">
        <f>'Extendible Collars'!GS6</f>
        <v>0</v>
      </c>
      <c r="GY1" t="s">
        <v>253</v>
      </c>
      <c r="GZ1" t="s">
        <v>254</v>
      </c>
      <c r="HA1" t="s">
        <v>242</v>
      </c>
      <c r="HB1" t="s">
        <v>235</v>
      </c>
      <c r="HC1">
        <f>'Extendible Collars'!GV6</f>
        <v>0</v>
      </c>
      <c r="HD1" t="e">
        <f>'Extendible Collars'!$V$7/6</f>
        <v>#VALUE!</v>
      </c>
      <c r="HE1">
        <f>'Extendible Collars'!$E$7</f>
        <v>36637</v>
      </c>
    </row>
    <row r="2" spans="1:213" x14ac:dyDescent="0.25">
      <c r="A2" t="s">
        <v>233</v>
      </c>
      <c r="B2" t="str">
        <f>'Basis Options'!C7</f>
        <v>EM1452.2</v>
      </c>
      <c r="C2" t="s">
        <v>255</v>
      </c>
      <c r="D2" t="s">
        <v>234</v>
      </c>
      <c r="E2" t="s">
        <v>20</v>
      </c>
      <c r="F2" t="str">
        <f>'Basis Options'!A7</f>
        <v>TXUENETRA</v>
      </c>
      <c r="G2" t="s">
        <v>269</v>
      </c>
      <c r="H2" t="s">
        <v>254</v>
      </c>
      <c r="I2" t="s">
        <v>242</v>
      </c>
      <c r="J2" t="s">
        <v>235</v>
      </c>
      <c r="K2" s="380">
        <f>'Basis Options'!G7</f>
        <v>37316</v>
      </c>
      <c r="L2" s="235">
        <f>'Basis Options'!U7</f>
        <v>-332459.50950180658</v>
      </c>
      <c r="M2" s="380">
        <f>'Basis Options'!Q7</f>
        <v>37314</v>
      </c>
      <c r="N2" t="str">
        <f>'Basis Options'!F7</f>
        <v>C</v>
      </c>
      <c r="O2">
        <f>'Basis Options'!I7</f>
        <v>0.95</v>
      </c>
      <c r="P2">
        <v>0</v>
      </c>
      <c r="Q2">
        <v>0</v>
      </c>
      <c r="R2">
        <v>0</v>
      </c>
      <c r="S2">
        <v>0</v>
      </c>
      <c r="T2" t="s">
        <v>253</v>
      </c>
      <c r="U2" t="str">
        <f>IF('Basis Options'!D7="NGI/CHI. GATE","""NGI/CHI. GATE""",TRIM('Basis Options'!D7))</f>
        <v>IF-TRANSCO/Z6</v>
      </c>
      <c r="V2" t="s">
        <v>253</v>
      </c>
      <c r="W2" t="s">
        <v>132</v>
      </c>
      <c r="X2" t="s">
        <v>253</v>
      </c>
      <c r="Y2" t="s">
        <v>235</v>
      </c>
      <c r="Z2" t="s">
        <v>236</v>
      </c>
      <c r="AA2" t="s">
        <v>253</v>
      </c>
      <c r="AB2" t="s">
        <v>1</v>
      </c>
      <c r="AC2" s="235">
        <f>'Basis Options'!H7</f>
        <v>-1000000</v>
      </c>
      <c r="AD2" s="235">
        <f>'Basis Options'!W7</f>
        <v>-48893.618411800009</v>
      </c>
      <c r="AE2">
        <v>0</v>
      </c>
      <c r="AF2">
        <v>0</v>
      </c>
      <c r="AG2">
        <v>0</v>
      </c>
      <c r="AH2" s="235">
        <f>'Basis Options'!CD7</f>
        <v>0</v>
      </c>
      <c r="AI2">
        <v>226</v>
      </c>
      <c r="AJ2" t="s">
        <v>256</v>
      </c>
      <c r="AK2">
        <v>0</v>
      </c>
      <c r="AL2">
        <v>0</v>
      </c>
      <c r="AM2">
        <v>0</v>
      </c>
    </row>
    <row r="3" spans="1:213" x14ac:dyDescent="0.25">
      <c r="A3" t="s">
        <v>233</v>
      </c>
      <c r="B3" t="str">
        <f>'Basis Options'!C8</f>
        <v>EM1452.2</v>
      </c>
      <c r="C3" t="s">
        <v>255</v>
      </c>
      <c r="D3" t="s">
        <v>234</v>
      </c>
      <c r="E3" t="s">
        <v>20</v>
      </c>
      <c r="F3" t="str">
        <f>'Basis Options'!A8</f>
        <v>TXUENETRA</v>
      </c>
      <c r="G3" t="s">
        <v>269</v>
      </c>
      <c r="H3" t="s">
        <v>254</v>
      </c>
      <c r="I3" t="s">
        <v>242</v>
      </c>
      <c r="J3" t="s">
        <v>235</v>
      </c>
      <c r="K3" s="380">
        <f>'Basis Options'!G8</f>
        <v>37288</v>
      </c>
      <c r="L3" s="235">
        <f>'Basis Options'!U8</f>
        <v>-708454.57801566634</v>
      </c>
      <c r="M3" s="380">
        <f>'Basis Options'!Q8</f>
        <v>37286</v>
      </c>
      <c r="N3" t="str">
        <f>'Basis Options'!F8</f>
        <v>C</v>
      </c>
      <c r="O3">
        <f>'Basis Options'!I8</f>
        <v>0.95</v>
      </c>
      <c r="P3">
        <v>0</v>
      </c>
      <c r="Q3">
        <v>0</v>
      </c>
      <c r="R3">
        <v>0</v>
      </c>
      <c r="S3">
        <v>0</v>
      </c>
      <c r="T3" t="s">
        <v>253</v>
      </c>
      <c r="U3" t="str">
        <f>IF('Basis Options'!D8="NGI/CHI. GATE","""NGI/CHI. GATE""",TRIM('Basis Options'!D8))</f>
        <v>IF-TRANSCO/Z6</v>
      </c>
      <c r="V3" t="s">
        <v>253</v>
      </c>
      <c r="W3" t="s">
        <v>132</v>
      </c>
      <c r="X3" t="s">
        <v>253</v>
      </c>
      <c r="Y3" t="s">
        <v>235</v>
      </c>
      <c r="Z3" t="s">
        <v>236</v>
      </c>
      <c r="AA3" t="s">
        <v>253</v>
      </c>
      <c r="AB3" t="s">
        <v>1</v>
      </c>
      <c r="AC3" s="235">
        <f>'Basis Options'!H8</f>
        <v>-1000000</v>
      </c>
      <c r="AD3" s="235">
        <f>'Basis Options'!W8</f>
        <v>-41058.597840782837</v>
      </c>
      <c r="AE3">
        <v>0</v>
      </c>
      <c r="AF3">
        <v>0</v>
      </c>
      <c r="AG3">
        <v>0</v>
      </c>
      <c r="AH3" s="235">
        <f>'Basis Options'!CD8</f>
        <v>0</v>
      </c>
      <c r="AI3">
        <v>226</v>
      </c>
      <c r="AJ3" t="s">
        <v>256</v>
      </c>
      <c r="AK3">
        <v>0</v>
      </c>
      <c r="AL3">
        <v>0</v>
      </c>
      <c r="AM3">
        <v>0</v>
      </c>
    </row>
    <row r="4" spans="1:213" x14ac:dyDescent="0.25">
      <c r="A4" t="s">
        <v>233</v>
      </c>
      <c r="B4" t="str">
        <f>'Basis Options'!C9</f>
        <v>EM1452.2</v>
      </c>
      <c r="C4" t="s">
        <v>255</v>
      </c>
      <c r="D4" t="s">
        <v>234</v>
      </c>
      <c r="E4" t="s">
        <v>20</v>
      </c>
      <c r="F4" t="str">
        <f>'Basis Options'!A9</f>
        <v>TXUENETRA</v>
      </c>
      <c r="G4" t="s">
        <v>269</v>
      </c>
      <c r="H4" t="s">
        <v>254</v>
      </c>
      <c r="I4" t="s">
        <v>242</v>
      </c>
      <c r="J4" t="s">
        <v>235</v>
      </c>
      <c r="K4" s="380">
        <f>'Basis Options'!G9</f>
        <v>37257</v>
      </c>
      <c r="L4" s="235">
        <f>'Basis Options'!U9</f>
        <v>-723015.33077679807</v>
      </c>
      <c r="M4" s="380">
        <f>'Basis Options'!Q9</f>
        <v>37253</v>
      </c>
      <c r="N4" t="str">
        <f>'Basis Options'!F9</f>
        <v>C</v>
      </c>
      <c r="O4">
        <f>'Basis Options'!I9</f>
        <v>0.95</v>
      </c>
      <c r="P4">
        <v>0</v>
      </c>
      <c r="Q4">
        <v>0</v>
      </c>
      <c r="R4">
        <v>0</v>
      </c>
      <c r="S4">
        <v>0</v>
      </c>
      <c r="T4" t="s">
        <v>253</v>
      </c>
      <c r="U4" t="str">
        <f>IF('Basis Options'!D9="NGI/CHI. GATE","""NGI/CHI. GATE""",TRIM('Basis Options'!D9))</f>
        <v>IF-TRANSCO/Z6</v>
      </c>
      <c r="V4" t="s">
        <v>253</v>
      </c>
      <c r="W4" t="s">
        <v>132</v>
      </c>
      <c r="X4" t="s">
        <v>253</v>
      </c>
      <c r="Y4" t="s">
        <v>235</v>
      </c>
      <c r="Z4" t="s">
        <v>236</v>
      </c>
      <c r="AA4" t="s">
        <v>253</v>
      </c>
      <c r="AB4" t="s">
        <v>1</v>
      </c>
      <c r="AC4" s="235">
        <f>'Basis Options'!H9</f>
        <v>-1000000</v>
      </c>
      <c r="AD4" s="235">
        <f>'Basis Options'!W9</f>
        <v>-42673.424947680091</v>
      </c>
      <c r="AE4">
        <v>0</v>
      </c>
      <c r="AF4">
        <v>0</v>
      </c>
      <c r="AG4">
        <v>0</v>
      </c>
      <c r="AH4" s="235">
        <f>'Basis Options'!CD9</f>
        <v>0</v>
      </c>
      <c r="AI4">
        <v>226</v>
      </c>
      <c r="AJ4" t="s">
        <v>256</v>
      </c>
      <c r="AK4">
        <v>0</v>
      </c>
      <c r="AL4">
        <v>0</v>
      </c>
      <c r="AM4">
        <v>0</v>
      </c>
    </row>
    <row r="5" spans="1:213" x14ac:dyDescent="0.25">
      <c r="A5" t="s">
        <v>233</v>
      </c>
      <c r="B5" t="str">
        <f>'Basis Options'!C10</f>
        <v>EM1452.2</v>
      </c>
      <c r="C5" t="s">
        <v>255</v>
      </c>
      <c r="D5" t="s">
        <v>234</v>
      </c>
      <c r="E5" t="s">
        <v>20</v>
      </c>
      <c r="F5" t="str">
        <f>'Basis Options'!A10</f>
        <v>TXUENETRA</v>
      </c>
      <c r="G5" t="s">
        <v>269</v>
      </c>
      <c r="H5" t="s">
        <v>254</v>
      </c>
      <c r="I5" t="s">
        <v>242</v>
      </c>
      <c r="J5" t="s">
        <v>235</v>
      </c>
      <c r="K5" s="380">
        <f>'Basis Options'!G10</f>
        <v>37226</v>
      </c>
      <c r="L5" s="235">
        <f>'Basis Options'!U10</f>
        <v>-546683.04233818059</v>
      </c>
      <c r="M5" s="380">
        <f>'Basis Options'!Q10</f>
        <v>37224</v>
      </c>
      <c r="N5" t="str">
        <f>'Basis Options'!F10</f>
        <v>C</v>
      </c>
      <c r="O5">
        <f>'Basis Options'!I10</f>
        <v>0.95</v>
      </c>
      <c r="P5">
        <v>0</v>
      </c>
      <c r="Q5">
        <v>0</v>
      </c>
      <c r="R5">
        <v>0</v>
      </c>
      <c r="S5">
        <v>0</v>
      </c>
      <c r="T5" t="s">
        <v>253</v>
      </c>
      <c r="U5" t="str">
        <f>IF('Basis Options'!D10="NGI/CHI. GATE","""NGI/CHI. GATE""",TRIM('Basis Options'!D10))</f>
        <v>IF-TRANSCO/Z6</v>
      </c>
      <c r="V5" t="s">
        <v>253</v>
      </c>
      <c r="W5" t="s">
        <v>132</v>
      </c>
      <c r="X5" t="s">
        <v>253</v>
      </c>
      <c r="Y5" t="s">
        <v>235</v>
      </c>
      <c r="Z5" t="s">
        <v>236</v>
      </c>
      <c r="AA5" t="s">
        <v>253</v>
      </c>
      <c r="AB5" t="s">
        <v>1</v>
      </c>
      <c r="AC5" s="235">
        <f>'Basis Options'!H10</f>
        <v>-1000000</v>
      </c>
      <c r="AD5" s="235">
        <f>'Basis Options'!W10</f>
        <v>-46580.786347213434</v>
      </c>
      <c r="AE5">
        <v>0</v>
      </c>
      <c r="AF5">
        <v>0</v>
      </c>
      <c r="AG5">
        <v>0</v>
      </c>
      <c r="AH5" s="235">
        <f>'Basis Options'!CD10</f>
        <v>0</v>
      </c>
      <c r="AI5">
        <v>226</v>
      </c>
      <c r="AJ5" t="s">
        <v>256</v>
      </c>
      <c r="AK5">
        <v>0</v>
      </c>
      <c r="AL5">
        <v>0</v>
      </c>
      <c r="AM5">
        <v>0</v>
      </c>
    </row>
    <row r="6" spans="1:213" x14ac:dyDescent="0.25">
      <c r="A6" t="s">
        <v>233</v>
      </c>
      <c r="B6" t="str">
        <f>'Basis Options'!C11</f>
        <v>EM1452.2</v>
      </c>
      <c r="C6" t="s">
        <v>255</v>
      </c>
      <c r="D6" t="s">
        <v>234</v>
      </c>
      <c r="E6" t="s">
        <v>20</v>
      </c>
      <c r="F6" t="str">
        <f>'Basis Options'!A11</f>
        <v>TXUENETRA</v>
      </c>
      <c r="G6" t="s">
        <v>269</v>
      </c>
      <c r="H6" t="s">
        <v>254</v>
      </c>
      <c r="I6" t="s">
        <v>242</v>
      </c>
      <c r="J6" t="s">
        <v>235</v>
      </c>
      <c r="K6" s="380">
        <f>'Basis Options'!G11</f>
        <v>37196</v>
      </c>
      <c r="L6" s="235">
        <f>'Basis Options'!U11</f>
        <v>-294915.13591550261</v>
      </c>
      <c r="M6" s="380">
        <f>'Basis Options'!Q11</f>
        <v>37194</v>
      </c>
      <c r="N6" t="str">
        <f>'Basis Options'!F11</f>
        <v>C</v>
      </c>
      <c r="O6">
        <f>'Basis Options'!I11</f>
        <v>0.95</v>
      </c>
      <c r="P6">
        <v>0</v>
      </c>
      <c r="Q6">
        <v>0</v>
      </c>
      <c r="R6">
        <v>0</v>
      </c>
      <c r="S6">
        <v>0</v>
      </c>
      <c r="T6" t="s">
        <v>253</v>
      </c>
      <c r="U6" t="str">
        <f>IF('Basis Options'!D11="NGI/CHI. GATE","""NGI/CHI. GATE""",TRIM('Basis Options'!D11))</f>
        <v>IF-TRANSCO/Z6</v>
      </c>
      <c r="V6" t="s">
        <v>253</v>
      </c>
      <c r="W6" t="s">
        <v>132</v>
      </c>
      <c r="X6" t="s">
        <v>253</v>
      </c>
      <c r="Y6" t="s">
        <v>235</v>
      </c>
      <c r="Z6" t="s">
        <v>236</v>
      </c>
      <c r="AA6" t="s">
        <v>253</v>
      </c>
      <c r="AB6" t="s">
        <v>1</v>
      </c>
      <c r="AC6" s="235">
        <f>'Basis Options'!H11</f>
        <v>-1000000</v>
      </c>
      <c r="AD6" s="235">
        <f>'Basis Options'!W11</f>
        <v>-49662.659813048202</v>
      </c>
      <c r="AE6">
        <v>0</v>
      </c>
      <c r="AF6">
        <v>0</v>
      </c>
      <c r="AG6">
        <v>0</v>
      </c>
      <c r="AH6" s="235">
        <f>'Basis Options'!CD11</f>
        <v>0</v>
      </c>
      <c r="AI6">
        <v>226</v>
      </c>
      <c r="AJ6" t="s">
        <v>256</v>
      </c>
      <c r="AK6">
        <v>0</v>
      </c>
      <c r="AL6">
        <v>0</v>
      </c>
      <c r="AM6">
        <v>0</v>
      </c>
    </row>
    <row r="7" spans="1:213" x14ac:dyDescent="0.25">
      <c r="A7" t="s">
        <v>233</v>
      </c>
      <c r="B7" t="str">
        <f>'Basis Options'!C12</f>
        <v>EW1882</v>
      </c>
      <c r="C7" t="s">
        <v>255</v>
      </c>
      <c r="D7" t="s">
        <v>234</v>
      </c>
      <c r="E7" t="s">
        <v>20</v>
      </c>
      <c r="F7" t="str">
        <f>'Basis Options'!A12</f>
        <v>STATOILENETRA</v>
      </c>
      <c r="G7" t="s">
        <v>269</v>
      </c>
      <c r="H7" t="s">
        <v>254</v>
      </c>
      <c r="I7" t="s">
        <v>242</v>
      </c>
      <c r="J7" t="s">
        <v>235</v>
      </c>
      <c r="K7" s="380">
        <f>'Basis Options'!G12</f>
        <v>37165</v>
      </c>
      <c r="L7" s="235">
        <f>'Basis Options'!U12</f>
        <v>115757.06639824038</v>
      </c>
      <c r="M7" s="380">
        <f>'Basis Options'!Q12</f>
        <v>37161</v>
      </c>
      <c r="N7" t="str">
        <f>'Basis Options'!F12</f>
        <v>C</v>
      </c>
      <c r="O7">
        <f>'Basis Options'!I12</f>
        <v>0.3</v>
      </c>
      <c r="P7">
        <v>0</v>
      </c>
      <c r="Q7">
        <v>0</v>
      </c>
      <c r="R7">
        <v>0</v>
      </c>
      <c r="S7">
        <v>0</v>
      </c>
      <c r="T7" t="s">
        <v>253</v>
      </c>
      <c r="U7" t="str">
        <f>IF('Basis Options'!D12="NGI/CHI. GATE","""NGI/CHI. GATE""",TRIM('Basis Options'!D12))</f>
        <v>IF-TRANSCO/Z6</v>
      </c>
      <c r="V7" t="s">
        <v>253</v>
      </c>
      <c r="W7" t="s">
        <v>132</v>
      </c>
      <c r="X7" t="s">
        <v>253</v>
      </c>
      <c r="Y7" t="s">
        <v>235</v>
      </c>
      <c r="Z7" t="s">
        <v>236</v>
      </c>
      <c r="AA7" t="s">
        <v>253</v>
      </c>
      <c r="AB7" t="s">
        <v>1</v>
      </c>
      <c r="AC7" s="235">
        <f>'Basis Options'!H12</f>
        <v>500000</v>
      </c>
      <c r="AD7" s="235">
        <f>'Basis Options'!W12</f>
        <v>15213.612349130097</v>
      </c>
      <c r="AE7">
        <v>0</v>
      </c>
      <c r="AF7">
        <v>0</v>
      </c>
      <c r="AG7">
        <v>0</v>
      </c>
      <c r="AH7" s="235">
        <f>'Basis Options'!CD12</f>
        <v>0</v>
      </c>
      <c r="AI7">
        <v>226</v>
      </c>
      <c r="AJ7" t="s">
        <v>256</v>
      </c>
      <c r="AK7">
        <v>0</v>
      </c>
      <c r="AL7">
        <v>0</v>
      </c>
      <c r="AM7">
        <v>0</v>
      </c>
    </row>
    <row r="8" spans="1:213" x14ac:dyDescent="0.25">
      <c r="A8" t="s">
        <v>233</v>
      </c>
      <c r="B8" t="str">
        <f>'Basis Options'!C13</f>
        <v>EW1882</v>
      </c>
      <c r="C8" t="s">
        <v>255</v>
      </c>
      <c r="D8" t="s">
        <v>234</v>
      </c>
      <c r="E8" t="s">
        <v>20</v>
      </c>
      <c r="F8" t="str">
        <f>'Basis Options'!A13</f>
        <v>STATOILENETRA</v>
      </c>
      <c r="G8" t="s">
        <v>269</v>
      </c>
      <c r="H8" t="s">
        <v>254</v>
      </c>
      <c r="I8" t="s">
        <v>242</v>
      </c>
      <c r="J8" t="s">
        <v>235</v>
      </c>
      <c r="K8" s="380">
        <f>'Basis Options'!G13</f>
        <v>37135</v>
      </c>
      <c r="L8" s="235">
        <f>'Basis Options'!U13</f>
        <v>93840.262330768994</v>
      </c>
      <c r="M8" s="380">
        <f>'Basis Options'!Q13</f>
        <v>37133</v>
      </c>
      <c r="N8" t="str">
        <f>'Basis Options'!F13</f>
        <v>C</v>
      </c>
      <c r="O8">
        <f>'Basis Options'!I13</f>
        <v>0.3</v>
      </c>
      <c r="P8">
        <v>0</v>
      </c>
      <c r="Q8">
        <v>0</v>
      </c>
      <c r="R8">
        <v>0</v>
      </c>
      <c r="S8">
        <v>0</v>
      </c>
      <c r="T8" t="s">
        <v>253</v>
      </c>
      <c r="U8" t="str">
        <f>IF('Basis Options'!D13="NGI/CHI. GATE","""NGI/CHI. GATE""",TRIM('Basis Options'!D13))</f>
        <v>IF-TRANSCO/Z6</v>
      </c>
      <c r="V8" t="s">
        <v>253</v>
      </c>
      <c r="W8" t="s">
        <v>132</v>
      </c>
      <c r="X8" t="s">
        <v>253</v>
      </c>
      <c r="Y8" t="s">
        <v>235</v>
      </c>
      <c r="Z8" t="s">
        <v>236</v>
      </c>
      <c r="AA8" t="s">
        <v>253</v>
      </c>
      <c r="AB8" t="s">
        <v>1</v>
      </c>
      <c r="AC8" s="235">
        <f>'Basis Options'!H13</f>
        <v>500000</v>
      </c>
      <c r="AD8" s="235">
        <f>'Basis Options'!W13</f>
        <v>15478.53299218847</v>
      </c>
      <c r="AE8">
        <v>0</v>
      </c>
      <c r="AF8">
        <v>0</v>
      </c>
      <c r="AG8">
        <v>0</v>
      </c>
      <c r="AH8" s="235">
        <f>'Basis Options'!CD13</f>
        <v>0</v>
      </c>
      <c r="AI8">
        <v>226</v>
      </c>
      <c r="AJ8" t="s">
        <v>256</v>
      </c>
      <c r="AK8">
        <v>0</v>
      </c>
      <c r="AL8">
        <v>0</v>
      </c>
      <c r="AM8">
        <v>0</v>
      </c>
    </row>
    <row r="9" spans="1:213" x14ac:dyDescent="0.25">
      <c r="A9" t="s">
        <v>233</v>
      </c>
      <c r="B9" t="str">
        <f>'Basis Options'!C14</f>
        <v>EW1882</v>
      </c>
      <c r="C9" t="s">
        <v>255</v>
      </c>
      <c r="D9" t="s">
        <v>234</v>
      </c>
      <c r="E9" t="s">
        <v>20</v>
      </c>
      <c r="F9" t="str">
        <f>'Basis Options'!A14</f>
        <v>STATOILENETRA</v>
      </c>
      <c r="G9" t="s">
        <v>269</v>
      </c>
      <c r="H9" t="s">
        <v>254</v>
      </c>
      <c r="I9" t="s">
        <v>242</v>
      </c>
      <c r="J9" t="s">
        <v>235</v>
      </c>
      <c r="K9" s="380">
        <f>'Basis Options'!G14</f>
        <v>37104</v>
      </c>
      <c r="L9" s="235">
        <f>'Basis Options'!U14</f>
        <v>111722.46579750627</v>
      </c>
      <c r="M9" s="380">
        <f>'Basis Options'!Q14</f>
        <v>37102</v>
      </c>
      <c r="N9" t="str">
        <f>'Basis Options'!F14</f>
        <v>C</v>
      </c>
      <c r="O9">
        <f>'Basis Options'!I14</f>
        <v>0.3</v>
      </c>
      <c r="P9">
        <v>0</v>
      </c>
      <c r="Q9">
        <v>0</v>
      </c>
      <c r="R9">
        <v>0</v>
      </c>
      <c r="S9">
        <v>0</v>
      </c>
      <c r="T9" t="s">
        <v>253</v>
      </c>
      <c r="U9" t="str">
        <f>IF('Basis Options'!D14="NGI/CHI. GATE","""NGI/CHI. GATE""",TRIM('Basis Options'!D14))</f>
        <v>IF-TRANSCO/Z6</v>
      </c>
      <c r="V9" t="s">
        <v>253</v>
      </c>
      <c r="W9" t="s">
        <v>132</v>
      </c>
      <c r="X9" t="s">
        <v>253</v>
      </c>
      <c r="Y9" t="s">
        <v>235</v>
      </c>
      <c r="Z9" t="s">
        <v>236</v>
      </c>
      <c r="AA9" t="s">
        <v>253</v>
      </c>
      <c r="AB9" t="s">
        <v>1</v>
      </c>
      <c r="AC9" s="235">
        <f>'Basis Options'!H14</f>
        <v>500000</v>
      </c>
      <c r="AD9" s="235">
        <f>'Basis Options'!W14</f>
        <v>13937.846761756169</v>
      </c>
      <c r="AE9">
        <v>0</v>
      </c>
      <c r="AF9">
        <v>0</v>
      </c>
      <c r="AG9">
        <v>0</v>
      </c>
      <c r="AH9" s="235">
        <f>'Basis Options'!CD14</f>
        <v>0</v>
      </c>
      <c r="AI9">
        <v>226</v>
      </c>
      <c r="AJ9" t="s">
        <v>256</v>
      </c>
      <c r="AK9">
        <v>0</v>
      </c>
      <c r="AL9">
        <v>0</v>
      </c>
      <c r="AM9">
        <v>0</v>
      </c>
    </row>
    <row r="10" spans="1:213" x14ac:dyDescent="0.25">
      <c r="A10" t="s">
        <v>233</v>
      </c>
      <c r="B10" t="str">
        <f>'Basis Options'!C15</f>
        <v>EW1882</v>
      </c>
      <c r="C10" t="s">
        <v>255</v>
      </c>
      <c r="D10" t="s">
        <v>234</v>
      </c>
      <c r="E10" t="s">
        <v>20</v>
      </c>
      <c r="F10" t="str">
        <f>'Basis Options'!A15</f>
        <v>STATOILENETRA</v>
      </c>
      <c r="G10" t="s">
        <v>269</v>
      </c>
      <c r="H10" t="s">
        <v>254</v>
      </c>
      <c r="I10" t="s">
        <v>242</v>
      </c>
      <c r="J10" t="s">
        <v>235</v>
      </c>
      <c r="K10" s="380">
        <f>'Basis Options'!G15</f>
        <v>37073</v>
      </c>
      <c r="L10" s="235">
        <f>'Basis Options'!U15</f>
        <v>109316.60500966824</v>
      </c>
      <c r="M10" s="380">
        <f>'Basis Options'!Q15</f>
        <v>37070</v>
      </c>
      <c r="N10" t="str">
        <f>'Basis Options'!F15</f>
        <v>C</v>
      </c>
      <c r="O10">
        <f>'Basis Options'!I15</f>
        <v>0.3</v>
      </c>
      <c r="P10">
        <v>0</v>
      </c>
      <c r="Q10">
        <v>0</v>
      </c>
      <c r="R10">
        <v>0</v>
      </c>
      <c r="S10">
        <v>0</v>
      </c>
      <c r="T10" t="s">
        <v>253</v>
      </c>
      <c r="U10" t="str">
        <f>IF('Basis Options'!D15="NGI/CHI. GATE","""NGI/CHI. GATE""",TRIM('Basis Options'!D15))</f>
        <v>IF-TRANSCO/Z6</v>
      </c>
      <c r="V10" t="s">
        <v>253</v>
      </c>
      <c r="W10" t="s">
        <v>132</v>
      </c>
      <c r="X10" t="s">
        <v>253</v>
      </c>
      <c r="Y10" t="s">
        <v>235</v>
      </c>
      <c r="Z10" t="s">
        <v>236</v>
      </c>
      <c r="AA10" t="s">
        <v>253</v>
      </c>
      <c r="AB10" t="s">
        <v>1</v>
      </c>
      <c r="AC10" s="235">
        <f>'Basis Options'!H15</f>
        <v>500000</v>
      </c>
      <c r="AD10" s="235">
        <f>'Basis Options'!W15</f>
        <v>13195.84729500534</v>
      </c>
      <c r="AE10">
        <v>0</v>
      </c>
      <c r="AF10">
        <v>0</v>
      </c>
      <c r="AG10">
        <v>0</v>
      </c>
      <c r="AH10" s="235">
        <f>'Basis Options'!CD15</f>
        <v>0</v>
      </c>
      <c r="AI10">
        <v>226</v>
      </c>
      <c r="AJ10" t="s">
        <v>256</v>
      </c>
      <c r="AK10">
        <v>0</v>
      </c>
      <c r="AL10">
        <v>0</v>
      </c>
      <c r="AM10">
        <v>0</v>
      </c>
    </row>
    <row r="11" spans="1:213" x14ac:dyDescent="0.25">
      <c r="A11" t="s">
        <v>233</v>
      </c>
      <c r="B11" t="str">
        <f>'Basis Options'!C16</f>
        <v>EW1882</v>
      </c>
      <c r="C11" t="s">
        <v>255</v>
      </c>
      <c r="D11" t="s">
        <v>234</v>
      </c>
      <c r="E11" t="s">
        <v>20</v>
      </c>
      <c r="F11" t="str">
        <f>'Basis Options'!A16</f>
        <v>STATOILENETRA</v>
      </c>
      <c r="G11" t="s">
        <v>269</v>
      </c>
      <c r="H11" t="s">
        <v>254</v>
      </c>
      <c r="I11" t="s">
        <v>242</v>
      </c>
      <c r="J11" t="s">
        <v>235</v>
      </c>
      <c r="K11" s="380">
        <f>'Basis Options'!G16</f>
        <v>37043</v>
      </c>
      <c r="L11" s="235">
        <f>'Basis Options'!U16</f>
        <v>86683.912224148997</v>
      </c>
      <c r="M11" s="380">
        <f>'Basis Options'!Q16</f>
        <v>37041</v>
      </c>
      <c r="N11" t="str">
        <f>'Basis Options'!F16</f>
        <v>C</v>
      </c>
      <c r="O11">
        <f>'Basis Options'!I16</f>
        <v>0.3</v>
      </c>
      <c r="P11">
        <v>0</v>
      </c>
      <c r="Q11">
        <v>0</v>
      </c>
      <c r="R11">
        <v>0</v>
      </c>
      <c r="S11">
        <v>0</v>
      </c>
      <c r="T11" t="s">
        <v>253</v>
      </c>
      <c r="U11" t="str">
        <f>IF('Basis Options'!D16="NGI/CHI. GATE","""NGI/CHI. GATE""",TRIM('Basis Options'!D16))</f>
        <v>IF-TRANSCO/Z6</v>
      </c>
      <c r="V11" t="s">
        <v>253</v>
      </c>
      <c r="W11" t="s">
        <v>132</v>
      </c>
      <c r="X11" t="s">
        <v>253</v>
      </c>
      <c r="Y11" t="s">
        <v>235</v>
      </c>
      <c r="Z11" t="s">
        <v>236</v>
      </c>
      <c r="AA11" t="s">
        <v>253</v>
      </c>
      <c r="AB11" t="s">
        <v>1</v>
      </c>
      <c r="AC11" s="235">
        <f>'Basis Options'!H16</f>
        <v>500000</v>
      </c>
      <c r="AD11" s="235">
        <f>'Basis Options'!W16</f>
        <v>13507.961953606107</v>
      </c>
      <c r="AE11">
        <v>0</v>
      </c>
      <c r="AF11">
        <v>0</v>
      </c>
      <c r="AG11">
        <v>0</v>
      </c>
      <c r="AH11" s="235">
        <f>'Basis Options'!CD16</f>
        <v>0</v>
      </c>
      <c r="AI11">
        <v>226</v>
      </c>
      <c r="AJ11" t="s">
        <v>256</v>
      </c>
      <c r="AK11">
        <v>0</v>
      </c>
      <c r="AL11">
        <v>0</v>
      </c>
      <c r="AM11">
        <v>0</v>
      </c>
    </row>
    <row r="12" spans="1:213" x14ac:dyDescent="0.25">
      <c r="A12" t="s">
        <v>233</v>
      </c>
      <c r="B12" t="str">
        <f>'Basis Options'!C17</f>
        <v>EW1882</v>
      </c>
      <c r="C12" t="s">
        <v>255</v>
      </c>
      <c r="D12" t="s">
        <v>234</v>
      </c>
      <c r="E12" t="s">
        <v>20</v>
      </c>
      <c r="F12" t="str">
        <f>'Basis Options'!A17</f>
        <v>STATOILENETRA</v>
      </c>
      <c r="G12" t="s">
        <v>269</v>
      </c>
      <c r="H12" t="s">
        <v>254</v>
      </c>
      <c r="I12" t="s">
        <v>242</v>
      </c>
      <c r="J12" t="s">
        <v>235</v>
      </c>
      <c r="K12" s="380">
        <f>'Basis Options'!G17</f>
        <v>37012</v>
      </c>
      <c r="L12" s="235">
        <f>'Basis Options'!U17</f>
        <v>87571.104373445618</v>
      </c>
      <c r="M12" s="380">
        <f>'Basis Options'!Q17</f>
        <v>37008</v>
      </c>
      <c r="N12" t="str">
        <f>'Basis Options'!F17</f>
        <v>C</v>
      </c>
      <c r="O12">
        <f>'Basis Options'!I17</f>
        <v>0.3</v>
      </c>
      <c r="P12">
        <v>0</v>
      </c>
      <c r="Q12">
        <v>0</v>
      </c>
      <c r="R12">
        <v>0</v>
      </c>
      <c r="S12">
        <v>0</v>
      </c>
      <c r="T12" t="s">
        <v>253</v>
      </c>
      <c r="U12" t="str">
        <f>IF('Basis Options'!D17="NGI/CHI. GATE","""NGI/CHI. GATE""",TRIM('Basis Options'!D17))</f>
        <v>IF-TRANSCO/Z6</v>
      </c>
      <c r="V12" t="s">
        <v>253</v>
      </c>
      <c r="W12" t="s">
        <v>132</v>
      </c>
      <c r="X12" t="s">
        <v>253</v>
      </c>
      <c r="Y12" t="s">
        <v>235</v>
      </c>
      <c r="Z12" t="s">
        <v>236</v>
      </c>
      <c r="AA12" t="s">
        <v>253</v>
      </c>
      <c r="AB12" t="s">
        <v>1</v>
      </c>
      <c r="AC12" s="235">
        <f>'Basis Options'!H17</f>
        <v>500000</v>
      </c>
      <c r="AD12" s="235">
        <f>'Basis Options'!W17</f>
        <v>12728.69669134065</v>
      </c>
      <c r="AE12">
        <v>0</v>
      </c>
      <c r="AF12">
        <v>0</v>
      </c>
      <c r="AG12">
        <v>0</v>
      </c>
      <c r="AH12" s="235">
        <f>'Basis Options'!CD17</f>
        <v>0</v>
      </c>
      <c r="AI12">
        <v>226</v>
      </c>
      <c r="AJ12" t="s">
        <v>256</v>
      </c>
      <c r="AK12">
        <v>0</v>
      </c>
      <c r="AL12">
        <v>0</v>
      </c>
      <c r="AM12">
        <v>0</v>
      </c>
    </row>
    <row r="13" spans="1:213" x14ac:dyDescent="0.25">
      <c r="A13" t="s">
        <v>233</v>
      </c>
      <c r="B13" t="str">
        <f>'Basis Options'!C18</f>
        <v>EW1882</v>
      </c>
      <c r="C13" t="s">
        <v>255</v>
      </c>
      <c r="D13" t="s">
        <v>234</v>
      </c>
      <c r="E13" t="s">
        <v>20</v>
      </c>
      <c r="F13" t="str">
        <f>'Basis Options'!A18</f>
        <v>STATOILENETRA</v>
      </c>
      <c r="G13" t="s">
        <v>269</v>
      </c>
      <c r="H13" t="s">
        <v>254</v>
      </c>
      <c r="I13" t="s">
        <v>242</v>
      </c>
      <c r="J13" t="s">
        <v>235</v>
      </c>
      <c r="K13" s="380">
        <f>'Basis Options'!G18</f>
        <v>36982</v>
      </c>
      <c r="L13" s="235">
        <f>'Basis Options'!U18</f>
        <v>129627.92405272847</v>
      </c>
      <c r="M13" s="380">
        <f>'Basis Options'!Q18</f>
        <v>36979</v>
      </c>
      <c r="N13" t="str">
        <f>'Basis Options'!F18</f>
        <v>C</v>
      </c>
      <c r="O13">
        <f>'Basis Options'!I18</f>
        <v>0.3</v>
      </c>
      <c r="P13">
        <v>0</v>
      </c>
      <c r="Q13">
        <v>0</v>
      </c>
      <c r="R13">
        <v>0</v>
      </c>
      <c r="S13">
        <v>0</v>
      </c>
      <c r="T13" t="s">
        <v>253</v>
      </c>
      <c r="U13" t="str">
        <f>IF('Basis Options'!D18="NGI/CHI. GATE","""NGI/CHI. GATE""",TRIM('Basis Options'!D18))</f>
        <v>IF-TRANSCO/Z6</v>
      </c>
      <c r="V13" t="s">
        <v>253</v>
      </c>
      <c r="W13" t="s">
        <v>132</v>
      </c>
      <c r="X13" t="s">
        <v>253</v>
      </c>
      <c r="Y13" t="s">
        <v>235</v>
      </c>
      <c r="Z13" t="s">
        <v>236</v>
      </c>
      <c r="AA13" t="s">
        <v>253</v>
      </c>
      <c r="AB13" t="s">
        <v>1</v>
      </c>
      <c r="AC13" s="235">
        <f>'Basis Options'!H18</f>
        <v>500000</v>
      </c>
      <c r="AD13" s="235">
        <f>'Basis Options'!W18</f>
        <v>11123.270880271099</v>
      </c>
      <c r="AE13">
        <v>0</v>
      </c>
      <c r="AF13">
        <v>0</v>
      </c>
      <c r="AG13">
        <v>0</v>
      </c>
      <c r="AH13" s="235">
        <f>'Basis Options'!CD18</f>
        <v>0</v>
      </c>
      <c r="AI13">
        <v>226</v>
      </c>
      <c r="AJ13" t="s">
        <v>256</v>
      </c>
      <c r="AK13">
        <v>0</v>
      </c>
      <c r="AL13">
        <v>0</v>
      </c>
      <c r="AM13">
        <v>0</v>
      </c>
    </row>
    <row r="14" spans="1:213" x14ac:dyDescent="0.25">
      <c r="A14" t="s">
        <v>233</v>
      </c>
      <c r="B14" t="str">
        <f>'Basis Options'!C19</f>
        <v>EW1882</v>
      </c>
      <c r="C14" t="s">
        <v>255</v>
      </c>
      <c r="D14" t="s">
        <v>234</v>
      </c>
      <c r="E14" t="s">
        <v>20</v>
      </c>
      <c r="F14" t="str">
        <f>'Basis Options'!A19</f>
        <v>STATOILENETRA</v>
      </c>
      <c r="G14" t="s">
        <v>269</v>
      </c>
      <c r="H14" t="s">
        <v>254</v>
      </c>
      <c r="I14" t="s">
        <v>242</v>
      </c>
      <c r="J14" t="s">
        <v>235</v>
      </c>
      <c r="K14" s="380">
        <f>'Basis Options'!G19</f>
        <v>36800</v>
      </c>
      <c r="L14" s="235">
        <f>'Basis Options'!U19</f>
        <v>60696.978585747893</v>
      </c>
      <c r="M14" s="380">
        <f>'Basis Options'!Q19</f>
        <v>36797</v>
      </c>
      <c r="N14" t="str">
        <f>'Basis Options'!F19</f>
        <v>C</v>
      </c>
      <c r="O14">
        <f>'Basis Options'!I19</f>
        <v>0.3</v>
      </c>
      <c r="P14">
        <v>0</v>
      </c>
      <c r="Q14">
        <v>0</v>
      </c>
      <c r="R14">
        <v>0</v>
      </c>
      <c r="S14">
        <v>0</v>
      </c>
      <c r="T14" t="s">
        <v>253</v>
      </c>
      <c r="U14" t="str">
        <f>IF('Basis Options'!D19="NGI/CHI. GATE","""NGI/CHI. GATE""",TRIM('Basis Options'!D19))</f>
        <v>IF-TRANSCO/Z6</v>
      </c>
      <c r="V14" t="s">
        <v>253</v>
      </c>
      <c r="W14" t="s">
        <v>132</v>
      </c>
      <c r="X14" t="s">
        <v>253</v>
      </c>
      <c r="Y14" t="s">
        <v>235</v>
      </c>
      <c r="Z14" t="s">
        <v>236</v>
      </c>
      <c r="AA14" t="s">
        <v>253</v>
      </c>
      <c r="AB14" t="s">
        <v>1</v>
      </c>
      <c r="AC14" s="235">
        <f>'Basis Options'!H19</f>
        <v>500000</v>
      </c>
      <c r="AD14" s="235">
        <f>'Basis Options'!W19</f>
        <v>1887.9713721165899</v>
      </c>
      <c r="AE14">
        <v>0</v>
      </c>
      <c r="AF14">
        <v>0</v>
      </c>
      <c r="AG14">
        <v>0</v>
      </c>
      <c r="AH14" s="235">
        <f>'Basis Options'!CD19</f>
        <v>0</v>
      </c>
      <c r="AI14">
        <v>226</v>
      </c>
      <c r="AJ14" t="s">
        <v>256</v>
      </c>
      <c r="AK14">
        <v>0</v>
      </c>
      <c r="AL14">
        <v>0</v>
      </c>
      <c r="AM14">
        <v>0</v>
      </c>
    </row>
    <row r="15" spans="1:213" x14ac:dyDescent="0.25">
      <c r="A15" t="s">
        <v>233</v>
      </c>
      <c r="B15" t="str">
        <f>'Basis Options'!C20</f>
        <v>EW1882</v>
      </c>
      <c r="C15" t="s">
        <v>255</v>
      </c>
      <c r="D15" t="s">
        <v>234</v>
      </c>
      <c r="E15" t="s">
        <v>20</v>
      </c>
      <c r="F15" t="str">
        <f>'Basis Options'!A20</f>
        <v>STATOILENETRA</v>
      </c>
      <c r="G15" t="s">
        <v>269</v>
      </c>
      <c r="H15" t="s">
        <v>254</v>
      </c>
      <c r="I15" t="s">
        <v>242</v>
      </c>
      <c r="J15" t="s">
        <v>235</v>
      </c>
      <c r="K15" s="380">
        <f>'Basis Options'!G20</f>
        <v>36770</v>
      </c>
      <c r="L15" s="235">
        <f>'Basis Options'!U20</f>
        <v>7897.5612646748177</v>
      </c>
      <c r="M15" s="380">
        <f>'Basis Options'!Q20</f>
        <v>36768</v>
      </c>
      <c r="N15" t="str">
        <f>'Basis Options'!F20</f>
        <v>C</v>
      </c>
      <c r="O15">
        <f>'Basis Options'!I20</f>
        <v>0.3</v>
      </c>
      <c r="P15">
        <v>0</v>
      </c>
      <c r="Q15">
        <v>0</v>
      </c>
      <c r="R15">
        <v>0</v>
      </c>
      <c r="S15">
        <v>0</v>
      </c>
      <c r="T15" t="s">
        <v>253</v>
      </c>
      <c r="U15" t="str">
        <f>IF('Basis Options'!D20="NGI/CHI. GATE","""NGI/CHI. GATE""",TRIM('Basis Options'!D20))</f>
        <v>IF-TRANSCO/Z6</v>
      </c>
      <c r="V15" t="s">
        <v>253</v>
      </c>
      <c r="W15" t="s">
        <v>132</v>
      </c>
      <c r="X15" t="s">
        <v>253</v>
      </c>
      <c r="Y15" t="s">
        <v>235</v>
      </c>
      <c r="Z15" t="s">
        <v>236</v>
      </c>
      <c r="AA15" t="s">
        <v>253</v>
      </c>
      <c r="AB15" t="s">
        <v>1</v>
      </c>
      <c r="AC15" s="235">
        <f>'Basis Options'!H20</f>
        <v>500000</v>
      </c>
      <c r="AD15" s="235">
        <f>'Basis Options'!W20</f>
        <v>231.50364506454207</v>
      </c>
      <c r="AE15">
        <v>0</v>
      </c>
      <c r="AF15">
        <v>0</v>
      </c>
      <c r="AG15">
        <v>0</v>
      </c>
      <c r="AH15" s="235">
        <f>'Basis Options'!CD20</f>
        <v>0</v>
      </c>
      <c r="AI15">
        <v>226</v>
      </c>
      <c r="AJ15" t="s">
        <v>256</v>
      </c>
      <c r="AK15">
        <v>0</v>
      </c>
      <c r="AL15">
        <v>0</v>
      </c>
      <c r="AM15">
        <v>0</v>
      </c>
    </row>
    <row r="16" spans="1:213" x14ac:dyDescent="0.25">
      <c r="A16" t="s">
        <v>233</v>
      </c>
      <c r="B16" t="str">
        <f>'Basis Options'!C21</f>
        <v>EW2420</v>
      </c>
      <c r="C16" t="s">
        <v>255</v>
      </c>
      <c r="D16" t="s">
        <v>234</v>
      </c>
      <c r="E16" t="s">
        <v>20</v>
      </c>
      <c r="F16" t="str">
        <f>'Basis Options'!A21</f>
        <v>RELIANTENESER</v>
      </c>
      <c r="G16" t="s">
        <v>269</v>
      </c>
      <c r="H16" t="s">
        <v>254</v>
      </c>
      <c r="I16" t="s">
        <v>242</v>
      </c>
      <c r="J16" t="s">
        <v>235</v>
      </c>
      <c r="K16" s="380">
        <f>'Basis Options'!G21</f>
        <v>36800</v>
      </c>
      <c r="L16" s="235">
        <f>'Basis Options'!U21</f>
        <v>135008.13474164816</v>
      </c>
      <c r="M16" s="380">
        <f>'Basis Options'!Q21</f>
        <v>36797</v>
      </c>
      <c r="N16" t="str">
        <f>'Basis Options'!F21</f>
        <v>P</v>
      </c>
      <c r="O16">
        <f>'Basis Options'!I21</f>
        <v>-0.4</v>
      </c>
      <c r="P16">
        <v>0</v>
      </c>
      <c r="Q16">
        <v>0</v>
      </c>
      <c r="R16">
        <v>0</v>
      </c>
      <c r="S16">
        <v>0</v>
      </c>
      <c r="T16" t="s">
        <v>253</v>
      </c>
      <c r="U16" t="str">
        <f>IF('Basis Options'!D21="NGI/CHI. GATE","""NGI/CHI. GATE""",TRIM('Basis Options'!D21))</f>
        <v>IF-NWPL_ROCKY_M</v>
      </c>
      <c r="V16" t="s">
        <v>253</v>
      </c>
      <c r="W16" t="s">
        <v>132</v>
      </c>
      <c r="X16" t="s">
        <v>253</v>
      </c>
      <c r="Y16" t="s">
        <v>235</v>
      </c>
      <c r="Z16" t="s">
        <v>236</v>
      </c>
      <c r="AA16" t="s">
        <v>253</v>
      </c>
      <c r="AB16" t="s">
        <v>1</v>
      </c>
      <c r="AC16" s="235">
        <f>'Basis Options'!H21</f>
        <v>310000</v>
      </c>
      <c r="AD16" s="235">
        <f>'Basis Options'!W21</f>
        <v>6691.9772532828792</v>
      </c>
      <c r="AE16">
        <v>0</v>
      </c>
      <c r="AF16">
        <v>0</v>
      </c>
      <c r="AG16">
        <v>0</v>
      </c>
      <c r="AH16" s="235">
        <f>'Basis Options'!CD21</f>
        <v>0</v>
      </c>
      <c r="AI16">
        <v>226</v>
      </c>
      <c r="AJ16" t="s">
        <v>256</v>
      </c>
      <c r="AK16">
        <v>0</v>
      </c>
      <c r="AL16">
        <v>0</v>
      </c>
      <c r="AM16">
        <v>0</v>
      </c>
    </row>
    <row r="17" spans="1:39" x14ac:dyDescent="0.25">
      <c r="A17" t="s">
        <v>233</v>
      </c>
      <c r="B17" t="str">
        <f>'Basis Options'!C22</f>
        <v>EW2420</v>
      </c>
      <c r="C17" t="s">
        <v>255</v>
      </c>
      <c r="D17" t="s">
        <v>234</v>
      </c>
      <c r="E17" t="s">
        <v>20</v>
      </c>
      <c r="F17" t="str">
        <f>'Basis Options'!A22</f>
        <v>RELIANTENESER</v>
      </c>
      <c r="G17" t="s">
        <v>269</v>
      </c>
      <c r="H17" t="s">
        <v>254</v>
      </c>
      <c r="I17" t="s">
        <v>242</v>
      </c>
      <c r="J17" t="s">
        <v>235</v>
      </c>
      <c r="K17" s="380">
        <f>'Basis Options'!G22</f>
        <v>36770</v>
      </c>
      <c r="L17" s="235">
        <f>'Basis Options'!U22</f>
        <v>251953.66226738316</v>
      </c>
      <c r="M17" s="380">
        <f>'Basis Options'!Q22</f>
        <v>36768</v>
      </c>
      <c r="N17" t="str">
        <f>'Basis Options'!F22</f>
        <v>P</v>
      </c>
      <c r="O17">
        <f>'Basis Options'!I22</f>
        <v>-0.4</v>
      </c>
      <c r="P17">
        <v>0</v>
      </c>
      <c r="Q17">
        <v>0</v>
      </c>
      <c r="R17">
        <v>0</v>
      </c>
      <c r="S17">
        <v>0</v>
      </c>
      <c r="T17" t="s">
        <v>253</v>
      </c>
      <c r="U17" t="str">
        <f>IF('Basis Options'!D22="NGI/CHI. GATE","""NGI/CHI. GATE""",TRIM('Basis Options'!D22))</f>
        <v>IF-NWPL_ROCKY_M</v>
      </c>
      <c r="V17" t="s">
        <v>253</v>
      </c>
      <c r="W17" t="s">
        <v>132</v>
      </c>
      <c r="X17" t="s">
        <v>253</v>
      </c>
      <c r="Y17" t="s">
        <v>235</v>
      </c>
      <c r="Z17" t="s">
        <v>236</v>
      </c>
      <c r="AA17" t="s">
        <v>253</v>
      </c>
      <c r="AB17" t="s">
        <v>1</v>
      </c>
      <c r="AC17" s="235">
        <f>'Basis Options'!H22</f>
        <v>300000</v>
      </c>
      <c r="AD17" s="235">
        <f>'Basis Options'!W22</f>
        <v>-1.1578383331652731E-2</v>
      </c>
      <c r="AE17">
        <v>0</v>
      </c>
      <c r="AF17">
        <v>0</v>
      </c>
      <c r="AG17">
        <v>0</v>
      </c>
      <c r="AH17" s="235">
        <f>'Basis Options'!CD22</f>
        <v>0</v>
      </c>
      <c r="AI17">
        <v>226</v>
      </c>
      <c r="AJ17" t="s">
        <v>256</v>
      </c>
      <c r="AK17">
        <v>0</v>
      </c>
      <c r="AL17">
        <v>0</v>
      </c>
      <c r="AM17">
        <v>0</v>
      </c>
    </row>
    <row r="18" spans="1:39" x14ac:dyDescent="0.25">
      <c r="A18" t="s">
        <v>233</v>
      </c>
      <c r="B18" t="str">
        <f>'Basis Options'!C23</f>
        <v>EY1230</v>
      </c>
      <c r="C18" t="s">
        <v>255</v>
      </c>
      <c r="D18" t="s">
        <v>234</v>
      </c>
      <c r="E18" t="s">
        <v>20</v>
      </c>
      <c r="F18" t="str">
        <f>'Basis Options'!A23</f>
        <v>ELPASMER</v>
      </c>
      <c r="G18" t="s">
        <v>269</v>
      </c>
      <c r="H18" t="s">
        <v>254</v>
      </c>
      <c r="I18" t="s">
        <v>242</v>
      </c>
      <c r="J18" t="s">
        <v>235</v>
      </c>
      <c r="K18" s="380">
        <f>'Basis Options'!G23</f>
        <v>36800</v>
      </c>
      <c r="L18" s="235">
        <f>'Basis Options'!U23</f>
        <v>51552.648061552856</v>
      </c>
      <c r="M18" s="380">
        <f>'Basis Options'!Q23</f>
        <v>36797</v>
      </c>
      <c r="N18" t="str">
        <f>'Basis Options'!F23</f>
        <v>C</v>
      </c>
      <c r="O18">
        <f>'Basis Options'!I23</f>
        <v>0.25</v>
      </c>
      <c r="P18">
        <v>0</v>
      </c>
      <c r="Q18">
        <v>0</v>
      </c>
      <c r="R18">
        <v>0</v>
      </c>
      <c r="S18">
        <v>0</v>
      </c>
      <c r="T18" t="s">
        <v>253</v>
      </c>
      <c r="U18" t="str">
        <f>IF('Basis Options'!D23="NGI/CHI. GATE","""NGI/CHI. GATE""",TRIM('Basis Options'!D23))</f>
        <v>IF-TRANSCO/Z6</v>
      </c>
      <c r="V18" t="s">
        <v>253</v>
      </c>
      <c r="W18" t="s">
        <v>132</v>
      </c>
      <c r="X18" t="s">
        <v>253</v>
      </c>
      <c r="Y18" t="s">
        <v>235</v>
      </c>
      <c r="Z18" t="s">
        <v>236</v>
      </c>
      <c r="AA18" t="s">
        <v>253</v>
      </c>
      <c r="AB18" t="s">
        <v>1</v>
      </c>
      <c r="AC18" s="235">
        <f>'Basis Options'!H23</f>
        <v>310000</v>
      </c>
      <c r="AD18" s="235">
        <f>'Basis Options'!W23</f>
        <v>599.6797665465856</v>
      </c>
      <c r="AE18">
        <v>0</v>
      </c>
      <c r="AF18">
        <v>0</v>
      </c>
      <c r="AG18">
        <v>0</v>
      </c>
      <c r="AH18" s="235">
        <f>'Basis Options'!CD23</f>
        <v>0</v>
      </c>
      <c r="AI18">
        <v>226</v>
      </c>
      <c r="AJ18" t="s">
        <v>256</v>
      </c>
      <c r="AK18">
        <v>0</v>
      </c>
      <c r="AL18">
        <v>0</v>
      </c>
      <c r="AM18">
        <v>0</v>
      </c>
    </row>
    <row r="19" spans="1:39" x14ac:dyDescent="0.25">
      <c r="A19" t="s">
        <v>233</v>
      </c>
      <c r="B19" t="str">
        <f>'Basis Options'!C24</f>
        <v>EY1230</v>
      </c>
      <c r="C19" t="s">
        <v>255</v>
      </c>
      <c r="D19" t="s">
        <v>234</v>
      </c>
      <c r="E19" t="s">
        <v>20</v>
      </c>
      <c r="F19" t="str">
        <f>'Basis Options'!A24</f>
        <v>ELPASMER</v>
      </c>
      <c r="G19" t="s">
        <v>269</v>
      </c>
      <c r="H19" t="s">
        <v>254</v>
      </c>
      <c r="I19" t="s">
        <v>242</v>
      </c>
      <c r="J19" t="s">
        <v>235</v>
      </c>
      <c r="K19" s="380">
        <f>'Basis Options'!G24</f>
        <v>36770</v>
      </c>
      <c r="L19" s="235">
        <f>'Basis Options'!U24</f>
        <v>19496.414448148593</v>
      </c>
      <c r="M19" s="380">
        <f>'Basis Options'!Q24</f>
        <v>36768</v>
      </c>
      <c r="N19" t="str">
        <f>'Basis Options'!F24</f>
        <v>C</v>
      </c>
      <c r="O19">
        <f>'Basis Options'!I24</f>
        <v>0.25</v>
      </c>
      <c r="P19">
        <v>0</v>
      </c>
      <c r="Q19">
        <v>0</v>
      </c>
      <c r="R19">
        <v>0</v>
      </c>
      <c r="S19">
        <v>0</v>
      </c>
      <c r="T19" t="s">
        <v>253</v>
      </c>
      <c r="U19" t="str">
        <f>IF('Basis Options'!D24="NGI/CHI. GATE","""NGI/CHI. GATE""",TRIM('Basis Options'!D24))</f>
        <v>IF-TRANSCO/Z6</v>
      </c>
      <c r="V19" t="s">
        <v>253</v>
      </c>
      <c r="W19" t="s">
        <v>132</v>
      </c>
      <c r="X19" t="s">
        <v>253</v>
      </c>
      <c r="Y19" t="s">
        <v>235</v>
      </c>
      <c r="Z19" t="s">
        <v>236</v>
      </c>
      <c r="AA19" t="s">
        <v>253</v>
      </c>
      <c r="AB19" t="s">
        <v>1</v>
      </c>
      <c r="AC19" s="235">
        <f>'Basis Options'!H24</f>
        <v>300000</v>
      </c>
      <c r="AD19" s="235">
        <f>'Basis Options'!W24</f>
        <v>-1.7361909267492592E-3</v>
      </c>
      <c r="AE19">
        <v>0</v>
      </c>
      <c r="AF19">
        <v>0</v>
      </c>
      <c r="AG19">
        <v>0</v>
      </c>
      <c r="AH19" s="235">
        <f>'Basis Options'!CD24</f>
        <v>0</v>
      </c>
      <c r="AI19">
        <v>226</v>
      </c>
      <c r="AJ19" t="s">
        <v>256</v>
      </c>
      <c r="AK19">
        <v>0</v>
      </c>
      <c r="AL19">
        <v>0</v>
      </c>
      <c r="AM19">
        <v>0</v>
      </c>
    </row>
    <row r="20" spans="1:39" x14ac:dyDescent="0.25">
      <c r="A20" t="s">
        <v>233</v>
      </c>
      <c r="B20" t="str">
        <f>'Basis Options'!C25</f>
        <v>N33626.2</v>
      </c>
      <c r="C20" t="s">
        <v>255</v>
      </c>
      <c r="D20" t="s">
        <v>234</v>
      </c>
      <c r="E20" t="s">
        <v>20</v>
      </c>
      <c r="F20" t="str">
        <f>'Basis Options'!A25</f>
        <v>STATOILENETRA</v>
      </c>
      <c r="G20" t="s">
        <v>269</v>
      </c>
      <c r="H20" t="s">
        <v>254</v>
      </c>
      <c r="I20" t="s">
        <v>242</v>
      </c>
      <c r="J20" t="s">
        <v>235</v>
      </c>
      <c r="K20" s="380">
        <f>'Basis Options'!G25</f>
        <v>36800</v>
      </c>
      <c r="L20" s="235">
        <f>'Basis Options'!U25</f>
        <v>28083.82536962123</v>
      </c>
      <c r="M20" s="380">
        <f>'Basis Options'!Q25</f>
        <v>36797</v>
      </c>
      <c r="N20" t="str">
        <f>'Basis Options'!F25</f>
        <v>C</v>
      </c>
      <c r="O20">
        <f>'Basis Options'!I25</f>
        <v>0.16</v>
      </c>
      <c r="P20">
        <v>0</v>
      </c>
      <c r="Q20">
        <v>0</v>
      </c>
      <c r="R20">
        <v>0</v>
      </c>
      <c r="S20">
        <v>0</v>
      </c>
      <c r="T20" t="s">
        <v>253</v>
      </c>
      <c r="U20" t="str">
        <f>IF('Basis Options'!D25="NGI/CHI. GATE","""NGI/CHI. GATE""",TRIM('Basis Options'!D25))</f>
        <v>IF-CGT/APPALAC</v>
      </c>
      <c r="V20" t="s">
        <v>253</v>
      </c>
      <c r="W20" t="s">
        <v>132</v>
      </c>
      <c r="X20" t="s">
        <v>253</v>
      </c>
      <c r="Y20" t="s">
        <v>235</v>
      </c>
      <c r="Z20" t="s">
        <v>236</v>
      </c>
      <c r="AA20" t="s">
        <v>253</v>
      </c>
      <c r="AB20" t="s">
        <v>1</v>
      </c>
      <c r="AC20" s="235">
        <f>'Basis Options'!H25</f>
        <v>620000</v>
      </c>
      <c r="AD20" s="235">
        <f>'Basis Options'!W25</f>
        <v>3671.9211484521511</v>
      </c>
      <c r="AE20">
        <v>0</v>
      </c>
      <c r="AF20">
        <v>0</v>
      </c>
      <c r="AG20">
        <v>0</v>
      </c>
      <c r="AH20" s="235">
        <f>'Basis Options'!CD25</f>
        <v>0</v>
      </c>
      <c r="AI20">
        <v>226</v>
      </c>
      <c r="AJ20" t="s">
        <v>256</v>
      </c>
      <c r="AK20">
        <v>0</v>
      </c>
      <c r="AL20">
        <v>0</v>
      </c>
      <c r="AM20">
        <v>0</v>
      </c>
    </row>
    <row r="21" spans="1:39" x14ac:dyDescent="0.25">
      <c r="A21" t="s">
        <v>233</v>
      </c>
      <c r="B21" t="str">
        <f>'Basis Options'!C26</f>
        <v>N33626.2</v>
      </c>
      <c r="C21" t="s">
        <v>255</v>
      </c>
      <c r="D21" t="s">
        <v>234</v>
      </c>
      <c r="E21" t="s">
        <v>20</v>
      </c>
      <c r="F21" t="str">
        <f>'Basis Options'!A26</f>
        <v>STATOILENETRA</v>
      </c>
      <c r="G21" t="s">
        <v>269</v>
      </c>
      <c r="H21" t="s">
        <v>254</v>
      </c>
      <c r="I21" t="s">
        <v>242</v>
      </c>
      <c r="J21" t="s">
        <v>235</v>
      </c>
      <c r="K21" s="380">
        <f>'Basis Options'!G26</f>
        <v>36770</v>
      </c>
      <c r="L21" s="235">
        <f>'Basis Options'!U26</f>
        <v>6494.3464324633087</v>
      </c>
      <c r="M21" s="380">
        <f>'Basis Options'!Q26</f>
        <v>36768</v>
      </c>
      <c r="N21" t="str">
        <f>'Basis Options'!F26</f>
        <v>C</v>
      </c>
      <c r="O21">
        <f>'Basis Options'!I26</f>
        <v>0.16</v>
      </c>
      <c r="P21">
        <v>0</v>
      </c>
      <c r="Q21">
        <v>0</v>
      </c>
      <c r="R21">
        <v>0</v>
      </c>
      <c r="S21">
        <v>0</v>
      </c>
      <c r="T21" t="s">
        <v>253</v>
      </c>
      <c r="U21" t="str">
        <f>IF('Basis Options'!D26="NGI/CHI. GATE","""NGI/CHI. GATE""",TRIM('Basis Options'!D26))</f>
        <v>IF-CGT/APPALAC</v>
      </c>
      <c r="V21" t="s">
        <v>253</v>
      </c>
      <c r="W21" t="s">
        <v>132</v>
      </c>
      <c r="X21" t="s">
        <v>253</v>
      </c>
      <c r="Y21" t="s">
        <v>235</v>
      </c>
      <c r="Z21" t="s">
        <v>236</v>
      </c>
      <c r="AA21" t="s">
        <v>253</v>
      </c>
      <c r="AB21" t="s">
        <v>1</v>
      </c>
      <c r="AC21" s="235">
        <f>'Basis Options'!H26</f>
        <v>600000</v>
      </c>
      <c r="AD21" s="235">
        <f>'Basis Options'!W26</f>
        <v>289.13427734636934</v>
      </c>
      <c r="AE21">
        <v>0</v>
      </c>
      <c r="AF21">
        <v>0</v>
      </c>
      <c r="AG21">
        <v>0</v>
      </c>
      <c r="AH21" s="235">
        <f>'Basis Options'!CD26</f>
        <v>0</v>
      </c>
      <c r="AI21">
        <v>226</v>
      </c>
      <c r="AJ21" t="s">
        <v>256</v>
      </c>
      <c r="AK21">
        <v>0</v>
      </c>
      <c r="AL21">
        <v>0</v>
      </c>
      <c r="AM21">
        <v>0</v>
      </c>
    </row>
    <row r="22" spans="1:39" x14ac:dyDescent="0.25">
      <c r="A22" t="s">
        <v>233</v>
      </c>
      <c r="B22" t="str">
        <f>'Basis Options'!C27</f>
        <v>NA9501.1</v>
      </c>
      <c r="C22" t="s">
        <v>255</v>
      </c>
      <c r="D22" t="s">
        <v>234</v>
      </c>
      <c r="E22" t="s">
        <v>20</v>
      </c>
      <c r="F22" t="str">
        <f>'Basis Options'!A27</f>
        <v>LT-TRANS-EA</v>
      </c>
      <c r="G22" t="s">
        <v>269</v>
      </c>
      <c r="H22" t="s">
        <v>254</v>
      </c>
      <c r="I22" t="s">
        <v>242</v>
      </c>
      <c r="J22" t="s">
        <v>235</v>
      </c>
      <c r="K22" s="380">
        <f>'Basis Options'!G27</f>
        <v>36800</v>
      </c>
      <c r="L22" s="235">
        <f>'Basis Options'!U27</f>
        <v>14041.912684810615</v>
      </c>
      <c r="M22" s="380">
        <f>'Basis Options'!Q27</f>
        <v>36797</v>
      </c>
      <c r="N22" t="str">
        <f>'Basis Options'!F27</f>
        <v>C</v>
      </c>
      <c r="O22">
        <f>'Basis Options'!I27</f>
        <v>0.16</v>
      </c>
      <c r="P22">
        <v>0</v>
      </c>
      <c r="Q22">
        <v>0</v>
      </c>
      <c r="R22">
        <v>0</v>
      </c>
      <c r="S22">
        <v>0</v>
      </c>
      <c r="T22" t="s">
        <v>253</v>
      </c>
      <c r="U22" t="str">
        <f>IF('Basis Options'!D27="NGI/CHI. GATE","""NGI/CHI. GATE""",TRIM('Basis Options'!D27))</f>
        <v>IF-CGT/APPALAC</v>
      </c>
      <c r="V22" t="s">
        <v>253</v>
      </c>
      <c r="W22" t="s">
        <v>132</v>
      </c>
      <c r="X22" t="s">
        <v>253</v>
      </c>
      <c r="Y22" t="s">
        <v>235</v>
      </c>
      <c r="Z22" t="s">
        <v>236</v>
      </c>
      <c r="AA22" t="s">
        <v>253</v>
      </c>
      <c r="AB22" t="s">
        <v>1</v>
      </c>
      <c r="AC22" s="235">
        <f>'Basis Options'!H27</f>
        <v>310000</v>
      </c>
      <c r="AD22" s="235">
        <f>'Basis Options'!W27</f>
        <v>1835.9605742260756</v>
      </c>
      <c r="AE22">
        <v>0</v>
      </c>
      <c r="AF22">
        <v>0</v>
      </c>
      <c r="AG22">
        <v>0</v>
      </c>
      <c r="AH22" s="235">
        <f>'Basis Options'!CD27</f>
        <v>0</v>
      </c>
      <c r="AI22">
        <v>226</v>
      </c>
      <c r="AJ22" t="s">
        <v>256</v>
      </c>
      <c r="AK22">
        <v>0</v>
      </c>
      <c r="AL22">
        <v>0</v>
      </c>
      <c r="AM22">
        <v>0</v>
      </c>
    </row>
    <row r="23" spans="1:39" x14ac:dyDescent="0.25">
      <c r="A23" t="s">
        <v>233</v>
      </c>
      <c r="B23" t="str">
        <f>'Basis Options'!C28</f>
        <v>NA9501.1</v>
      </c>
      <c r="C23" t="s">
        <v>255</v>
      </c>
      <c r="D23" t="s">
        <v>234</v>
      </c>
      <c r="E23" t="s">
        <v>20</v>
      </c>
      <c r="F23" t="str">
        <f>'Basis Options'!A28</f>
        <v>LT-TRANS-EA</v>
      </c>
      <c r="G23" t="s">
        <v>269</v>
      </c>
      <c r="H23" t="s">
        <v>254</v>
      </c>
      <c r="I23" t="s">
        <v>242</v>
      </c>
      <c r="J23" t="s">
        <v>235</v>
      </c>
      <c r="K23" s="380">
        <f>'Basis Options'!G28</f>
        <v>36770</v>
      </c>
      <c r="L23" s="235">
        <f>'Basis Options'!U28</f>
        <v>3247.1732162316544</v>
      </c>
      <c r="M23" s="380">
        <f>'Basis Options'!Q28</f>
        <v>36768</v>
      </c>
      <c r="N23" t="str">
        <f>'Basis Options'!F28</f>
        <v>C</v>
      </c>
      <c r="O23">
        <f>'Basis Options'!I28</f>
        <v>0.16</v>
      </c>
      <c r="P23">
        <v>0</v>
      </c>
      <c r="Q23">
        <v>0</v>
      </c>
      <c r="R23">
        <v>0</v>
      </c>
      <c r="S23">
        <v>0</v>
      </c>
      <c r="T23" t="s">
        <v>253</v>
      </c>
      <c r="U23" t="str">
        <f>IF('Basis Options'!D28="NGI/CHI. GATE","""NGI/CHI. GATE""",TRIM('Basis Options'!D28))</f>
        <v>IF-CGT/APPALAC</v>
      </c>
      <c r="V23" t="s">
        <v>253</v>
      </c>
      <c r="W23" t="s">
        <v>132</v>
      </c>
      <c r="X23" t="s">
        <v>253</v>
      </c>
      <c r="Y23" t="s">
        <v>235</v>
      </c>
      <c r="Z23" t="s">
        <v>236</v>
      </c>
      <c r="AA23" t="s">
        <v>253</v>
      </c>
      <c r="AB23" t="s">
        <v>1</v>
      </c>
      <c r="AC23" s="235">
        <f>'Basis Options'!H28</f>
        <v>300000</v>
      </c>
      <c r="AD23" s="235">
        <f>'Basis Options'!W28</f>
        <v>144.56713867318467</v>
      </c>
      <c r="AE23">
        <v>0</v>
      </c>
      <c r="AF23">
        <v>0</v>
      </c>
      <c r="AG23">
        <v>0</v>
      </c>
      <c r="AH23" s="235">
        <f>'Basis Options'!CD28</f>
        <v>0</v>
      </c>
      <c r="AI23">
        <v>226</v>
      </c>
      <c r="AJ23" t="s">
        <v>256</v>
      </c>
      <c r="AK23">
        <v>0</v>
      </c>
      <c r="AL23">
        <v>0</v>
      </c>
      <c r="AM23">
        <v>0</v>
      </c>
    </row>
    <row r="24" spans="1:39" x14ac:dyDescent="0.25">
      <c r="A24" t="s">
        <v>233</v>
      </c>
      <c r="B24" t="str">
        <f>'Basis Options'!C29</f>
        <v>NB4804</v>
      </c>
      <c r="C24" t="s">
        <v>255</v>
      </c>
      <c r="D24" t="s">
        <v>234</v>
      </c>
      <c r="E24" t="s">
        <v>20</v>
      </c>
      <c r="F24" t="str">
        <f>'Basis Options'!A29</f>
        <v>UPRENESER</v>
      </c>
      <c r="G24" t="s">
        <v>269</v>
      </c>
      <c r="H24" t="s">
        <v>254</v>
      </c>
      <c r="I24" t="s">
        <v>242</v>
      </c>
      <c r="J24" t="s">
        <v>235</v>
      </c>
      <c r="K24" s="380">
        <f>'Basis Options'!G29</f>
        <v>36951</v>
      </c>
      <c r="L24" s="235">
        <f>'Basis Options'!U29</f>
        <v>23226.169228598977</v>
      </c>
      <c r="M24" s="380">
        <f>'Basis Options'!Q29</f>
        <v>36949</v>
      </c>
      <c r="N24" t="str">
        <f>'Basis Options'!F29</f>
        <v>C</v>
      </c>
      <c r="O24">
        <f>'Basis Options'!I29</f>
        <v>0.33</v>
      </c>
      <c r="P24">
        <v>0</v>
      </c>
      <c r="Q24">
        <v>0</v>
      </c>
      <c r="R24">
        <v>0</v>
      </c>
      <c r="S24">
        <v>0</v>
      </c>
      <c r="T24" t="s">
        <v>253</v>
      </c>
      <c r="U24" t="str">
        <f>IF('Basis Options'!D29="NGI/CHI. GATE","""NGI/CHI. GATE""",TRIM('Basis Options'!D29))</f>
        <v>IF-CGT/APPALAC</v>
      </c>
      <c r="V24" t="s">
        <v>253</v>
      </c>
      <c r="W24" t="s">
        <v>132</v>
      </c>
      <c r="X24" t="s">
        <v>253</v>
      </c>
      <c r="Y24" t="s">
        <v>235</v>
      </c>
      <c r="Z24" t="s">
        <v>236</v>
      </c>
      <c r="AA24" t="s">
        <v>253</v>
      </c>
      <c r="AB24" t="s">
        <v>1</v>
      </c>
      <c r="AC24" s="235">
        <f>'Basis Options'!H29</f>
        <v>310000</v>
      </c>
      <c r="AD24" s="235">
        <f>'Basis Options'!W29</f>
        <v>5548.5933882568061</v>
      </c>
      <c r="AE24">
        <v>0</v>
      </c>
      <c r="AF24">
        <v>0</v>
      </c>
      <c r="AG24">
        <v>0</v>
      </c>
      <c r="AH24" s="235">
        <f>'Basis Options'!CD29</f>
        <v>0</v>
      </c>
      <c r="AI24">
        <v>226</v>
      </c>
      <c r="AJ24" t="s">
        <v>256</v>
      </c>
      <c r="AK24">
        <v>0</v>
      </c>
      <c r="AL24">
        <v>0</v>
      </c>
      <c r="AM24">
        <v>0</v>
      </c>
    </row>
    <row r="25" spans="1:39" x14ac:dyDescent="0.25">
      <c r="A25" t="s">
        <v>233</v>
      </c>
      <c r="B25" t="str">
        <f>'Basis Options'!C30</f>
        <v>NB4804</v>
      </c>
      <c r="C25" t="s">
        <v>255</v>
      </c>
      <c r="D25" t="s">
        <v>234</v>
      </c>
      <c r="E25" t="s">
        <v>20</v>
      </c>
      <c r="F25" t="str">
        <f>'Basis Options'!A30</f>
        <v>UPRENESER</v>
      </c>
      <c r="G25" t="s">
        <v>269</v>
      </c>
      <c r="H25" t="s">
        <v>254</v>
      </c>
      <c r="I25" t="s">
        <v>242</v>
      </c>
      <c r="J25" t="s">
        <v>235</v>
      </c>
      <c r="K25" s="380">
        <f>'Basis Options'!G30</f>
        <v>36923</v>
      </c>
      <c r="L25" s="235">
        <f>'Basis Options'!U30</f>
        <v>26185.060730106994</v>
      </c>
      <c r="M25" s="380">
        <f>'Basis Options'!Q30</f>
        <v>36921</v>
      </c>
      <c r="N25" t="str">
        <f>'Basis Options'!F30</f>
        <v>C</v>
      </c>
      <c r="O25">
        <f>'Basis Options'!I30</f>
        <v>0.33</v>
      </c>
      <c r="P25">
        <v>0</v>
      </c>
      <c r="Q25">
        <v>0</v>
      </c>
      <c r="R25">
        <v>0</v>
      </c>
      <c r="S25">
        <v>0</v>
      </c>
      <c r="T25" t="s">
        <v>253</v>
      </c>
      <c r="U25" t="str">
        <f>IF('Basis Options'!D30="NGI/CHI. GATE","""NGI/CHI. GATE""",TRIM('Basis Options'!D30))</f>
        <v>IF-CGT/APPALAC</v>
      </c>
      <c r="V25" t="s">
        <v>253</v>
      </c>
      <c r="W25" t="s">
        <v>132</v>
      </c>
      <c r="X25" t="s">
        <v>253</v>
      </c>
      <c r="Y25" t="s">
        <v>235</v>
      </c>
      <c r="Z25" t="s">
        <v>236</v>
      </c>
      <c r="AA25" t="s">
        <v>253</v>
      </c>
      <c r="AB25" t="s">
        <v>1</v>
      </c>
      <c r="AC25" s="235">
        <f>'Basis Options'!H30</f>
        <v>280000</v>
      </c>
      <c r="AD25" s="235">
        <f>'Basis Options'!W30</f>
        <v>5284.7346293521841</v>
      </c>
      <c r="AE25">
        <v>0</v>
      </c>
      <c r="AF25">
        <v>0</v>
      </c>
      <c r="AG25">
        <v>0</v>
      </c>
      <c r="AH25" s="235">
        <f>'Basis Options'!CD30</f>
        <v>0</v>
      </c>
      <c r="AI25">
        <v>226</v>
      </c>
      <c r="AJ25" t="s">
        <v>256</v>
      </c>
      <c r="AK25">
        <v>0</v>
      </c>
      <c r="AL25">
        <v>0</v>
      </c>
      <c r="AM25">
        <v>0</v>
      </c>
    </row>
    <row r="26" spans="1:39" x14ac:dyDescent="0.25">
      <c r="A26" t="s">
        <v>233</v>
      </c>
      <c r="B26" t="str">
        <f>'Basis Options'!C31</f>
        <v>NB4804</v>
      </c>
      <c r="C26" t="s">
        <v>255</v>
      </c>
      <c r="D26" t="s">
        <v>234</v>
      </c>
      <c r="E26" t="s">
        <v>20</v>
      </c>
      <c r="F26" t="str">
        <f>'Basis Options'!A31</f>
        <v>UPRENESER</v>
      </c>
      <c r="G26" t="s">
        <v>269</v>
      </c>
      <c r="H26" t="s">
        <v>254</v>
      </c>
      <c r="I26" t="s">
        <v>242</v>
      </c>
      <c r="J26" t="s">
        <v>235</v>
      </c>
      <c r="K26" s="380">
        <f>'Basis Options'!G31</f>
        <v>36892</v>
      </c>
      <c r="L26" s="235">
        <f>'Basis Options'!U31</f>
        <v>27967.381720440128</v>
      </c>
      <c r="M26" s="380">
        <f>'Basis Options'!Q31</f>
        <v>36888</v>
      </c>
      <c r="N26" t="str">
        <f>'Basis Options'!F31</f>
        <v>C</v>
      </c>
      <c r="O26">
        <f>'Basis Options'!I31</f>
        <v>0.33</v>
      </c>
      <c r="P26">
        <v>0</v>
      </c>
      <c r="Q26">
        <v>0</v>
      </c>
      <c r="R26">
        <v>0</v>
      </c>
      <c r="S26">
        <v>0</v>
      </c>
      <c r="T26" t="s">
        <v>253</v>
      </c>
      <c r="U26" t="str">
        <f>IF('Basis Options'!D31="NGI/CHI. GATE","""NGI/CHI. GATE""",TRIM('Basis Options'!D31))</f>
        <v>IF-CGT/APPALAC</v>
      </c>
      <c r="V26" t="s">
        <v>253</v>
      </c>
      <c r="W26" t="s">
        <v>132</v>
      </c>
      <c r="X26" t="s">
        <v>253</v>
      </c>
      <c r="Y26" t="s">
        <v>235</v>
      </c>
      <c r="Z26" t="s">
        <v>236</v>
      </c>
      <c r="AA26" t="s">
        <v>253</v>
      </c>
      <c r="AB26" t="s">
        <v>1</v>
      </c>
      <c r="AC26" s="235">
        <f>'Basis Options'!H31</f>
        <v>310000</v>
      </c>
      <c r="AD26" s="235">
        <f>'Basis Options'!W31</f>
        <v>5373.7241406115354</v>
      </c>
      <c r="AE26">
        <v>0</v>
      </c>
      <c r="AF26">
        <v>0</v>
      </c>
      <c r="AG26">
        <v>0</v>
      </c>
      <c r="AH26" s="235">
        <f>'Basis Options'!CD31</f>
        <v>0</v>
      </c>
      <c r="AI26">
        <v>226</v>
      </c>
      <c r="AJ26" t="s">
        <v>256</v>
      </c>
      <c r="AK26">
        <v>0</v>
      </c>
      <c r="AL26">
        <v>0</v>
      </c>
      <c r="AM26">
        <v>0</v>
      </c>
    </row>
    <row r="27" spans="1:39" x14ac:dyDescent="0.25">
      <c r="A27" t="s">
        <v>233</v>
      </c>
      <c r="B27" t="str">
        <f>'Basis Options'!C32</f>
        <v>NB4804</v>
      </c>
      <c r="C27" t="s">
        <v>255</v>
      </c>
      <c r="D27" t="s">
        <v>234</v>
      </c>
      <c r="E27" t="s">
        <v>20</v>
      </c>
      <c r="F27" t="str">
        <f>'Basis Options'!A32</f>
        <v>UPRENESER</v>
      </c>
      <c r="G27" t="s">
        <v>269</v>
      </c>
      <c r="H27" t="s">
        <v>254</v>
      </c>
      <c r="I27" t="s">
        <v>242</v>
      </c>
      <c r="J27" t="s">
        <v>235</v>
      </c>
      <c r="K27" s="380">
        <f>'Basis Options'!G32</f>
        <v>36861</v>
      </c>
      <c r="L27" s="235">
        <f>'Basis Options'!U32</f>
        <v>23304.82590605388</v>
      </c>
      <c r="M27" s="380">
        <f>'Basis Options'!Q32</f>
        <v>36859</v>
      </c>
      <c r="N27" t="str">
        <f>'Basis Options'!F32</f>
        <v>C</v>
      </c>
      <c r="O27">
        <f>'Basis Options'!I32</f>
        <v>0.33</v>
      </c>
      <c r="P27">
        <v>0</v>
      </c>
      <c r="Q27">
        <v>0</v>
      </c>
      <c r="R27">
        <v>0</v>
      </c>
      <c r="S27">
        <v>0</v>
      </c>
      <c r="T27" t="s">
        <v>253</v>
      </c>
      <c r="U27" t="str">
        <f>IF('Basis Options'!D32="NGI/CHI. GATE","""NGI/CHI. GATE""",TRIM('Basis Options'!D32))</f>
        <v>IF-CGT/APPALAC</v>
      </c>
      <c r="V27" t="s">
        <v>253</v>
      </c>
      <c r="W27" t="s">
        <v>132</v>
      </c>
      <c r="X27" t="s">
        <v>253</v>
      </c>
      <c r="Y27" t="s">
        <v>235</v>
      </c>
      <c r="Z27" t="s">
        <v>236</v>
      </c>
      <c r="AA27" t="s">
        <v>253</v>
      </c>
      <c r="AB27" t="s">
        <v>1</v>
      </c>
      <c r="AC27" s="235">
        <f>'Basis Options'!H32</f>
        <v>310000</v>
      </c>
      <c r="AD27" s="235">
        <f>'Basis Options'!W32</f>
        <v>4658.9390337437799</v>
      </c>
      <c r="AE27">
        <v>0</v>
      </c>
      <c r="AF27">
        <v>0</v>
      </c>
      <c r="AG27">
        <v>0</v>
      </c>
      <c r="AH27" s="235">
        <f>'Basis Options'!CD32</f>
        <v>0</v>
      </c>
      <c r="AI27">
        <v>226</v>
      </c>
      <c r="AJ27" t="s">
        <v>256</v>
      </c>
      <c r="AK27">
        <v>0</v>
      </c>
      <c r="AL27">
        <v>0</v>
      </c>
      <c r="AM27">
        <v>0</v>
      </c>
    </row>
    <row r="28" spans="1:39" x14ac:dyDescent="0.25">
      <c r="A28" t="s">
        <v>233</v>
      </c>
      <c r="B28" t="str">
        <f>'Basis Options'!C33</f>
        <v>NB4804</v>
      </c>
      <c r="C28" t="s">
        <v>255</v>
      </c>
      <c r="D28" t="s">
        <v>234</v>
      </c>
      <c r="E28" t="s">
        <v>20</v>
      </c>
      <c r="F28" t="str">
        <f>'Basis Options'!A33</f>
        <v>UPRENESER</v>
      </c>
      <c r="G28" t="s">
        <v>269</v>
      </c>
      <c r="H28" t="s">
        <v>254</v>
      </c>
      <c r="I28" t="s">
        <v>242</v>
      </c>
      <c r="J28" t="s">
        <v>235</v>
      </c>
      <c r="K28" s="380">
        <f>'Basis Options'!G33</f>
        <v>36831</v>
      </c>
      <c r="L28" s="235">
        <f>'Basis Options'!U33</f>
        <v>13779.960884532462</v>
      </c>
      <c r="M28" s="380">
        <f>'Basis Options'!Q33</f>
        <v>36829</v>
      </c>
      <c r="N28" t="str">
        <f>'Basis Options'!F33</f>
        <v>C</v>
      </c>
      <c r="O28">
        <f>'Basis Options'!I33</f>
        <v>0.33</v>
      </c>
      <c r="P28">
        <v>0</v>
      </c>
      <c r="Q28">
        <v>0</v>
      </c>
      <c r="R28">
        <v>0</v>
      </c>
      <c r="S28">
        <v>0</v>
      </c>
      <c r="T28" t="s">
        <v>253</v>
      </c>
      <c r="U28" t="str">
        <f>IF('Basis Options'!D33="NGI/CHI. GATE","""NGI/CHI. GATE""",TRIM('Basis Options'!D33))</f>
        <v>IF-CGT/APPALAC</v>
      </c>
      <c r="V28" t="s">
        <v>253</v>
      </c>
      <c r="W28" t="s">
        <v>132</v>
      </c>
      <c r="X28" t="s">
        <v>253</v>
      </c>
      <c r="Y28" t="s">
        <v>235</v>
      </c>
      <c r="Z28" t="s">
        <v>236</v>
      </c>
      <c r="AA28" t="s">
        <v>253</v>
      </c>
      <c r="AB28" t="s">
        <v>1</v>
      </c>
      <c r="AC28" s="235">
        <f>'Basis Options'!H33</f>
        <v>300000</v>
      </c>
      <c r="AD28" s="235">
        <f>'Basis Options'!W33</f>
        <v>3518.3684171256609</v>
      </c>
      <c r="AE28">
        <v>0</v>
      </c>
      <c r="AF28">
        <v>0</v>
      </c>
      <c r="AG28">
        <v>0</v>
      </c>
      <c r="AH28" s="235">
        <f>'Basis Options'!CD33</f>
        <v>0</v>
      </c>
      <c r="AI28">
        <v>226</v>
      </c>
      <c r="AJ28" t="s">
        <v>256</v>
      </c>
      <c r="AK28">
        <v>0</v>
      </c>
      <c r="AL28">
        <v>0</v>
      </c>
      <c r="AM28">
        <v>0</v>
      </c>
    </row>
    <row r="29" spans="1:39" x14ac:dyDescent="0.25">
      <c r="A29" t="s">
        <v>233</v>
      </c>
      <c r="B29" t="str">
        <f>'Basis Options'!C34</f>
        <v>NE3899</v>
      </c>
      <c r="C29" t="s">
        <v>255</v>
      </c>
      <c r="D29" t="s">
        <v>234</v>
      </c>
      <c r="E29" t="s">
        <v>20</v>
      </c>
      <c r="F29" t="str">
        <f>'Basis Options'!A34</f>
        <v>SOUTHERCOMENEMA</v>
      </c>
      <c r="G29" t="s">
        <v>269</v>
      </c>
      <c r="H29" t="s">
        <v>254</v>
      </c>
      <c r="I29" t="s">
        <v>242</v>
      </c>
      <c r="J29" t="s">
        <v>235</v>
      </c>
      <c r="K29" s="380">
        <f>'Basis Options'!G34</f>
        <v>36831</v>
      </c>
      <c r="L29" s="235">
        <f>'Basis Options'!U34</f>
        <v>151597.59883729368</v>
      </c>
      <c r="M29" s="380">
        <f>'Basis Options'!Q34</f>
        <v>36829</v>
      </c>
      <c r="N29" t="str">
        <f>'Basis Options'!F34</f>
        <v>C</v>
      </c>
      <c r="O29">
        <f>'Basis Options'!I34</f>
        <v>1</v>
      </c>
      <c r="P29">
        <v>0</v>
      </c>
      <c r="Q29">
        <v>0</v>
      </c>
      <c r="R29">
        <v>0</v>
      </c>
      <c r="S29">
        <v>0</v>
      </c>
      <c r="T29" t="s">
        <v>253</v>
      </c>
      <c r="U29" t="str">
        <f>IF('Basis Options'!D34="NGI/CHI. GATE","""NGI/CHI. GATE""",TRIM('Basis Options'!D34))</f>
        <v>IF-TRANSCO/Z6</v>
      </c>
      <c r="V29" t="s">
        <v>253</v>
      </c>
      <c r="W29" t="s">
        <v>132</v>
      </c>
      <c r="X29" t="s">
        <v>253</v>
      </c>
      <c r="Y29" t="s">
        <v>235</v>
      </c>
      <c r="Z29" t="s">
        <v>236</v>
      </c>
      <c r="AA29" t="s">
        <v>253</v>
      </c>
      <c r="AB29" t="s">
        <v>1</v>
      </c>
      <c r="AC29" s="235">
        <f>'Basis Options'!H34</f>
        <v>900000</v>
      </c>
      <c r="AD29" s="235">
        <f>'Basis Options'!W34</f>
        <v>37305.505875407427</v>
      </c>
      <c r="AE29">
        <v>0</v>
      </c>
      <c r="AF29">
        <v>0</v>
      </c>
      <c r="AG29">
        <v>0</v>
      </c>
      <c r="AH29" s="235">
        <f>'Basis Options'!CD34</f>
        <v>0</v>
      </c>
      <c r="AI29">
        <v>226</v>
      </c>
      <c r="AJ29" t="s">
        <v>256</v>
      </c>
      <c r="AK29">
        <v>0</v>
      </c>
      <c r="AL29">
        <v>0</v>
      </c>
      <c r="AM29">
        <v>0</v>
      </c>
    </row>
    <row r="30" spans="1:39" x14ac:dyDescent="0.25">
      <c r="A30" t="s">
        <v>233</v>
      </c>
      <c r="B30" t="str">
        <f>'Basis Options'!C35</f>
        <v>NE3901</v>
      </c>
      <c r="C30" t="s">
        <v>255</v>
      </c>
      <c r="D30" t="s">
        <v>234</v>
      </c>
      <c r="E30" t="s">
        <v>20</v>
      </c>
      <c r="F30" t="str">
        <f>'Basis Options'!A35</f>
        <v>TRACTEBEENEMAR</v>
      </c>
      <c r="G30" t="s">
        <v>269</v>
      </c>
      <c r="H30" t="s">
        <v>254</v>
      </c>
      <c r="I30" t="s">
        <v>242</v>
      </c>
      <c r="J30" t="s">
        <v>235</v>
      </c>
      <c r="K30" s="380">
        <f>'Basis Options'!G35</f>
        <v>36831</v>
      </c>
      <c r="L30" s="235">
        <f>'Basis Options'!U35</f>
        <v>36295.36076447861</v>
      </c>
      <c r="M30" s="380">
        <f>'Basis Options'!Q35</f>
        <v>36829</v>
      </c>
      <c r="N30" t="str">
        <f>'Basis Options'!F35</f>
        <v>P</v>
      </c>
      <c r="O30">
        <f>'Basis Options'!I35</f>
        <v>0.45</v>
      </c>
      <c r="P30">
        <v>0</v>
      </c>
      <c r="Q30">
        <v>0</v>
      </c>
      <c r="R30">
        <v>0</v>
      </c>
      <c r="S30">
        <v>0</v>
      </c>
      <c r="T30" t="s">
        <v>253</v>
      </c>
      <c r="U30" t="str">
        <f>IF('Basis Options'!D35="NGI/CHI. GATE","""NGI/CHI. GATE""",TRIM('Basis Options'!D35))</f>
        <v>IF-TRANSCO/Z6</v>
      </c>
      <c r="V30" t="s">
        <v>253</v>
      </c>
      <c r="W30" t="s">
        <v>132</v>
      </c>
      <c r="X30" t="s">
        <v>253</v>
      </c>
      <c r="Y30" t="s">
        <v>235</v>
      </c>
      <c r="Z30" t="s">
        <v>236</v>
      </c>
      <c r="AA30" t="s">
        <v>253</v>
      </c>
      <c r="AB30" t="s">
        <v>1</v>
      </c>
      <c r="AC30" s="235">
        <f>'Basis Options'!H35</f>
        <v>300000</v>
      </c>
      <c r="AD30" s="235">
        <f>'Basis Options'!W35</f>
        <v>12099.423918756132</v>
      </c>
      <c r="AE30">
        <v>0</v>
      </c>
      <c r="AF30">
        <v>0</v>
      </c>
      <c r="AG30">
        <v>0</v>
      </c>
      <c r="AH30" s="235">
        <f>'Basis Options'!CD35</f>
        <v>0</v>
      </c>
      <c r="AI30">
        <v>226</v>
      </c>
      <c r="AJ30" t="s">
        <v>256</v>
      </c>
      <c r="AK30">
        <v>0</v>
      </c>
      <c r="AL30">
        <v>0</v>
      </c>
      <c r="AM30">
        <v>0</v>
      </c>
    </row>
    <row r="31" spans="1:39" x14ac:dyDescent="0.25">
      <c r="A31" t="s">
        <v>233</v>
      </c>
      <c r="B31" t="str">
        <f>'Basis Options'!C36</f>
        <v>NE3903</v>
      </c>
      <c r="C31" t="s">
        <v>255</v>
      </c>
      <c r="D31" t="s">
        <v>234</v>
      </c>
      <c r="E31" t="s">
        <v>20</v>
      </c>
      <c r="F31" t="str">
        <f>'Basis Options'!A36</f>
        <v>DUKEENETRA</v>
      </c>
      <c r="G31" t="s">
        <v>269</v>
      </c>
      <c r="H31" t="s">
        <v>254</v>
      </c>
      <c r="I31" t="s">
        <v>242</v>
      </c>
      <c r="J31" t="s">
        <v>235</v>
      </c>
      <c r="K31" s="380">
        <f>'Basis Options'!G36</f>
        <v>36831</v>
      </c>
      <c r="L31" s="235">
        <f>'Basis Options'!U36</f>
        <v>108886.08229343581</v>
      </c>
      <c r="M31" s="380">
        <f>'Basis Options'!Q36</f>
        <v>36829</v>
      </c>
      <c r="N31" t="str">
        <f>'Basis Options'!F36</f>
        <v>P</v>
      </c>
      <c r="O31">
        <f>'Basis Options'!I36</f>
        <v>0.45</v>
      </c>
      <c r="P31">
        <v>0</v>
      </c>
      <c r="Q31">
        <v>0</v>
      </c>
      <c r="R31">
        <v>0</v>
      </c>
      <c r="S31">
        <v>0</v>
      </c>
      <c r="T31" t="s">
        <v>253</v>
      </c>
      <c r="U31" t="str">
        <f>IF('Basis Options'!D36="NGI/CHI. GATE","""NGI/CHI. GATE""",TRIM('Basis Options'!D36))</f>
        <v>IF-TRANSCO/Z6</v>
      </c>
      <c r="V31" t="s">
        <v>253</v>
      </c>
      <c r="W31" t="s">
        <v>132</v>
      </c>
      <c r="X31" t="s">
        <v>253</v>
      </c>
      <c r="Y31" t="s">
        <v>235</v>
      </c>
      <c r="Z31" t="s">
        <v>236</v>
      </c>
      <c r="AA31" t="s">
        <v>253</v>
      </c>
      <c r="AB31" t="s">
        <v>1</v>
      </c>
      <c r="AC31" s="235">
        <f>'Basis Options'!H36</f>
        <v>900000</v>
      </c>
      <c r="AD31" s="235">
        <f>'Basis Options'!W36</f>
        <v>36298.271756268339</v>
      </c>
      <c r="AE31">
        <v>0</v>
      </c>
      <c r="AF31">
        <v>0</v>
      </c>
      <c r="AG31">
        <v>0</v>
      </c>
      <c r="AH31" s="235">
        <f>'Basis Options'!CD36</f>
        <v>0</v>
      </c>
      <c r="AI31">
        <v>226</v>
      </c>
      <c r="AJ31" t="s">
        <v>256</v>
      </c>
      <c r="AK31">
        <v>0</v>
      </c>
      <c r="AL31">
        <v>0</v>
      </c>
      <c r="AM31">
        <v>0</v>
      </c>
    </row>
    <row r="32" spans="1:39" x14ac:dyDescent="0.25">
      <c r="A32" t="s">
        <v>233</v>
      </c>
      <c r="B32" t="str">
        <f>'Basis Options'!C37</f>
        <v>NE3906</v>
      </c>
      <c r="C32" t="s">
        <v>255</v>
      </c>
      <c r="D32" t="s">
        <v>234</v>
      </c>
      <c r="E32" t="s">
        <v>20</v>
      </c>
      <c r="F32" t="str">
        <f>'Basis Options'!A37</f>
        <v>DYNEGYMARAND</v>
      </c>
      <c r="G32" t="s">
        <v>269</v>
      </c>
      <c r="H32" t="s">
        <v>254</v>
      </c>
      <c r="I32" t="s">
        <v>242</v>
      </c>
      <c r="J32" t="s">
        <v>235</v>
      </c>
      <c r="K32" s="380">
        <f>'Basis Options'!G37</f>
        <v>36831</v>
      </c>
      <c r="L32" s="235">
        <f>'Basis Options'!U37</f>
        <v>181476.80382239303</v>
      </c>
      <c r="M32" s="380">
        <f>'Basis Options'!Q37</f>
        <v>36829</v>
      </c>
      <c r="N32" t="str">
        <f>'Basis Options'!F37</f>
        <v>P</v>
      </c>
      <c r="O32">
        <f>'Basis Options'!I37</f>
        <v>0.45</v>
      </c>
      <c r="P32">
        <v>0</v>
      </c>
      <c r="Q32">
        <v>0</v>
      </c>
      <c r="R32">
        <v>0</v>
      </c>
      <c r="S32">
        <v>0</v>
      </c>
      <c r="T32" t="s">
        <v>253</v>
      </c>
      <c r="U32" t="str">
        <f>IF('Basis Options'!D37="NGI/CHI. GATE","""NGI/CHI. GATE""",TRIM('Basis Options'!D37))</f>
        <v>IF-TRANSCO/Z6</v>
      </c>
      <c r="V32" t="s">
        <v>253</v>
      </c>
      <c r="W32" t="s">
        <v>132</v>
      </c>
      <c r="X32" t="s">
        <v>253</v>
      </c>
      <c r="Y32" t="s">
        <v>235</v>
      </c>
      <c r="Z32" t="s">
        <v>236</v>
      </c>
      <c r="AA32" t="s">
        <v>253</v>
      </c>
      <c r="AB32" t="s">
        <v>1</v>
      </c>
      <c r="AC32" s="235">
        <f>'Basis Options'!H37</f>
        <v>1500000</v>
      </c>
      <c r="AD32" s="235">
        <f>'Basis Options'!W37</f>
        <v>60497.119593780662</v>
      </c>
      <c r="AE32">
        <v>0</v>
      </c>
      <c r="AF32">
        <v>0</v>
      </c>
      <c r="AG32">
        <v>0</v>
      </c>
      <c r="AH32" s="235">
        <f>'Basis Options'!CD37</f>
        <v>0</v>
      </c>
      <c r="AI32">
        <v>226</v>
      </c>
      <c r="AJ32" t="s">
        <v>256</v>
      </c>
      <c r="AK32">
        <v>0</v>
      </c>
      <c r="AL32">
        <v>0</v>
      </c>
      <c r="AM32">
        <v>0</v>
      </c>
    </row>
    <row r="33" spans="1:39" x14ac:dyDescent="0.25">
      <c r="A33" t="s">
        <v>233</v>
      </c>
      <c r="B33" t="str">
        <f>'Basis Options'!C38</f>
        <v>NE5062.1</v>
      </c>
      <c r="C33" t="s">
        <v>255</v>
      </c>
      <c r="D33" t="s">
        <v>234</v>
      </c>
      <c r="E33" t="s">
        <v>20</v>
      </c>
      <c r="F33" t="str">
        <f>'Basis Options'!A38</f>
        <v>SOUTHERCOMENEMA</v>
      </c>
      <c r="G33" t="s">
        <v>269</v>
      </c>
      <c r="H33" t="s">
        <v>254</v>
      </c>
      <c r="I33" t="s">
        <v>242</v>
      </c>
      <c r="J33" t="s">
        <v>235</v>
      </c>
      <c r="K33" s="380">
        <f>'Basis Options'!G38</f>
        <v>36951</v>
      </c>
      <c r="L33" s="235">
        <f>'Basis Options'!U38</f>
        <v>543304.95078822307</v>
      </c>
      <c r="M33" s="380">
        <f>'Basis Options'!Q38</f>
        <v>36949</v>
      </c>
      <c r="N33" t="str">
        <f>'Basis Options'!F38</f>
        <v>c</v>
      </c>
      <c r="O33">
        <f>'Basis Options'!I38</f>
        <v>1.25</v>
      </c>
      <c r="P33">
        <v>0</v>
      </c>
      <c r="Q33">
        <v>0</v>
      </c>
      <c r="R33">
        <v>0</v>
      </c>
      <c r="S33">
        <v>0</v>
      </c>
      <c r="T33" t="s">
        <v>253</v>
      </c>
      <c r="U33" t="str">
        <f>IF('Basis Options'!D38="NGI/CHI. GATE","""NGI/CHI. GATE""",TRIM('Basis Options'!D38))</f>
        <v>IF-TRANSCO/Z6</v>
      </c>
      <c r="V33" t="s">
        <v>253</v>
      </c>
      <c r="W33" t="s">
        <v>132</v>
      </c>
      <c r="X33" t="s">
        <v>253</v>
      </c>
      <c r="Y33" t="s">
        <v>235</v>
      </c>
      <c r="Z33" t="s">
        <v>236</v>
      </c>
      <c r="AA33" t="s">
        <v>253</v>
      </c>
      <c r="AB33" t="s">
        <v>1</v>
      </c>
      <c r="AC33" s="235">
        <f>'Basis Options'!H38</f>
        <v>1240000</v>
      </c>
      <c r="AD33" s="235">
        <f>'Basis Options'!W38</f>
        <v>107855.60528861475</v>
      </c>
      <c r="AE33">
        <v>0</v>
      </c>
      <c r="AF33">
        <v>0</v>
      </c>
      <c r="AG33">
        <v>0</v>
      </c>
      <c r="AH33" s="235">
        <f>'Basis Options'!CD38</f>
        <v>0</v>
      </c>
      <c r="AI33">
        <v>226</v>
      </c>
      <c r="AJ33" t="s">
        <v>256</v>
      </c>
      <c r="AK33">
        <v>0</v>
      </c>
      <c r="AL33">
        <v>0</v>
      </c>
      <c r="AM33">
        <v>0</v>
      </c>
    </row>
    <row r="34" spans="1:39" x14ac:dyDescent="0.25">
      <c r="A34" t="s">
        <v>233</v>
      </c>
      <c r="B34" t="str">
        <f>'Basis Options'!C39</f>
        <v>NE5062.2</v>
      </c>
      <c r="C34" t="s">
        <v>255</v>
      </c>
      <c r="D34" t="s">
        <v>234</v>
      </c>
      <c r="E34" t="s">
        <v>20</v>
      </c>
      <c r="F34" t="str">
        <f>'Basis Options'!A39</f>
        <v>OMICRON</v>
      </c>
      <c r="G34" t="s">
        <v>269</v>
      </c>
      <c r="H34" t="s">
        <v>254</v>
      </c>
      <c r="I34" t="s">
        <v>242</v>
      </c>
      <c r="J34" t="s">
        <v>235</v>
      </c>
      <c r="K34" s="380">
        <f>'Basis Options'!G39</f>
        <v>36951</v>
      </c>
      <c r="L34" s="235">
        <f>'Basis Options'!U39</f>
        <v>-135826.23769705577</v>
      </c>
      <c r="M34" s="380">
        <f>'Basis Options'!Q39</f>
        <v>36949</v>
      </c>
      <c r="N34" t="str">
        <f>'Basis Options'!F39</f>
        <v>C</v>
      </c>
      <c r="O34">
        <f>'Basis Options'!I39</f>
        <v>1.25</v>
      </c>
      <c r="P34">
        <v>0</v>
      </c>
      <c r="Q34">
        <v>0</v>
      </c>
      <c r="R34">
        <v>0</v>
      </c>
      <c r="S34">
        <v>0</v>
      </c>
      <c r="T34" t="s">
        <v>253</v>
      </c>
      <c r="U34" t="str">
        <f>IF('Basis Options'!D39="NGI/CHI. GATE","""NGI/CHI. GATE""",TRIM('Basis Options'!D39))</f>
        <v>IF-TRANSCO/Z6</v>
      </c>
      <c r="V34" t="s">
        <v>253</v>
      </c>
      <c r="W34" t="s">
        <v>132</v>
      </c>
      <c r="X34" t="s">
        <v>253</v>
      </c>
      <c r="Y34" t="s">
        <v>235</v>
      </c>
      <c r="Z34" t="s">
        <v>236</v>
      </c>
      <c r="AA34" t="s">
        <v>253</v>
      </c>
      <c r="AB34" t="s">
        <v>1</v>
      </c>
      <c r="AC34" s="235">
        <f>'Basis Options'!H39</f>
        <v>-310000</v>
      </c>
      <c r="AD34" s="235">
        <f>'Basis Options'!W39</f>
        <v>-26963.901322153688</v>
      </c>
      <c r="AE34">
        <v>0</v>
      </c>
      <c r="AF34">
        <v>0</v>
      </c>
      <c r="AG34">
        <v>0</v>
      </c>
      <c r="AH34" s="235">
        <f>'Basis Options'!CD39</f>
        <v>0</v>
      </c>
      <c r="AI34">
        <v>226</v>
      </c>
      <c r="AJ34" t="s">
        <v>256</v>
      </c>
      <c r="AK34">
        <v>0</v>
      </c>
      <c r="AL34">
        <v>0</v>
      </c>
      <c r="AM34">
        <v>0</v>
      </c>
    </row>
    <row r="35" spans="1:39" x14ac:dyDescent="0.25">
      <c r="A35" t="s">
        <v>233</v>
      </c>
      <c r="B35" t="str">
        <f>'Basis Options'!C40</f>
        <v>NE6161.1</v>
      </c>
      <c r="C35" t="s">
        <v>255</v>
      </c>
      <c r="D35" t="s">
        <v>234</v>
      </c>
      <c r="E35" t="s">
        <v>20</v>
      </c>
      <c r="F35" t="str">
        <f>'Basis Options'!A40</f>
        <v>JARON</v>
      </c>
      <c r="G35" t="s">
        <v>269</v>
      </c>
      <c r="H35" t="s">
        <v>254</v>
      </c>
      <c r="I35" t="s">
        <v>242</v>
      </c>
      <c r="J35" t="s">
        <v>235</v>
      </c>
      <c r="K35" s="380">
        <f>'Basis Options'!G40</f>
        <v>36800</v>
      </c>
      <c r="L35" s="235">
        <f>'Basis Options'!U40</f>
        <v>6676.2706512939794</v>
      </c>
      <c r="M35" s="380">
        <f>'Basis Options'!Q40</f>
        <v>36797</v>
      </c>
      <c r="N35" t="str">
        <f>'Basis Options'!F40</f>
        <v>C</v>
      </c>
      <c r="O35">
        <f>'Basis Options'!I40</f>
        <v>-0.32</v>
      </c>
      <c r="P35">
        <v>0</v>
      </c>
      <c r="Q35">
        <v>0</v>
      </c>
      <c r="R35">
        <v>0</v>
      </c>
      <c r="S35">
        <v>0</v>
      </c>
      <c r="T35" t="s">
        <v>253</v>
      </c>
      <c r="U35" t="str">
        <f>IF('Basis Options'!D40="NGI/CHI. GATE","""NGI/CHI. GATE""",TRIM('Basis Options'!D40))</f>
        <v>IF-NWPL_ROCKY_M</v>
      </c>
      <c r="V35" t="s">
        <v>253</v>
      </c>
      <c r="W35" t="s">
        <v>132</v>
      </c>
      <c r="X35" t="s">
        <v>253</v>
      </c>
      <c r="Y35" t="s">
        <v>235</v>
      </c>
      <c r="Z35" t="s">
        <v>236</v>
      </c>
      <c r="AA35" t="s">
        <v>253</v>
      </c>
      <c r="AB35" t="s">
        <v>1</v>
      </c>
      <c r="AC35" s="235">
        <f>'Basis Options'!H40</f>
        <v>310000</v>
      </c>
      <c r="AD35" s="235">
        <f>'Basis Options'!W40</f>
        <v>5338.4428050745337</v>
      </c>
      <c r="AE35">
        <v>0</v>
      </c>
      <c r="AF35">
        <v>0</v>
      </c>
      <c r="AG35">
        <v>0</v>
      </c>
      <c r="AH35" s="235">
        <f>'Basis Options'!CD40</f>
        <v>0</v>
      </c>
      <c r="AI35">
        <v>226</v>
      </c>
      <c r="AJ35" t="s">
        <v>256</v>
      </c>
      <c r="AK35">
        <v>0</v>
      </c>
      <c r="AL35">
        <v>0</v>
      </c>
      <c r="AM35">
        <v>0</v>
      </c>
    </row>
    <row r="36" spans="1:39" x14ac:dyDescent="0.25">
      <c r="A36" t="s">
        <v>233</v>
      </c>
      <c r="B36" t="str">
        <f>'Basis Options'!C41</f>
        <v>NE6161.1</v>
      </c>
      <c r="C36" t="s">
        <v>255</v>
      </c>
      <c r="D36" t="s">
        <v>234</v>
      </c>
      <c r="E36" t="s">
        <v>20</v>
      </c>
      <c r="F36" t="str">
        <f>'Basis Options'!A41</f>
        <v>JARON</v>
      </c>
      <c r="G36" t="s">
        <v>269</v>
      </c>
      <c r="H36" t="s">
        <v>254</v>
      </c>
      <c r="I36" t="s">
        <v>242</v>
      </c>
      <c r="J36" t="s">
        <v>235</v>
      </c>
      <c r="K36" s="380">
        <f>'Basis Options'!G41</f>
        <v>36770</v>
      </c>
      <c r="L36" s="235">
        <f>'Basis Options'!U41</f>
        <v>3.6181633689125192E-2</v>
      </c>
      <c r="M36" s="380">
        <f>'Basis Options'!Q41</f>
        <v>36768</v>
      </c>
      <c r="N36" t="str">
        <f>'Basis Options'!F41</f>
        <v>C</v>
      </c>
      <c r="O36">
        <f>'Basis Options'!I41</f>
        <v>-0.32</v>
      </c>
      <c r="P36">
        <v>0</v>
      </c>
      <c r="Q36">
        <v>0</v>
      </c>
      <c r="R36">
        <v>0</v>
      </c>
      <c r="S36">
        <v>0</v>
      </c>
      <c r="T36" t="s">
        <v>253</v>
      </c>
      <c r="U36" t="str">
        <f>IF('Basis Options'!D41="NGI/CHI. GATE","""NGI/CHI. GATE""",TRIM('Basis Options'!D41))</f>
        <v>IF-NWPL_ROCKY_M</v>
      </c>
      <c r="V36" t="s">
        <v>253</v>
      </c>
      <c r="W36" t="s">
        <v>132</v>
      </c>
      <c r="X36" t="s">
        <v>253</v>
      </c>
      <c r="Y36" t="s">
        <v>235</v>
      </c>
      <c r="Z36" t="s">
        <v>236</v>
      </c>
      <c r="AA36" t="s">
        <v>253</v>
      </c>
      <c r="AB36" t="s">
        <v>1</v>
      </c>
      <c r="AC36" s="235">
        <f>'Basis Options'!H41</f>
        <v>300000</v>
      </c>
      <c r="AD36" s="235">
        <f>'Basis Options'!W41</f>
        <v>-1.1578383218857624E-2</v>
      </c>
      <c r="AE36">
        <v>0</v>
      </c>
      <c r="AF36">
        <v>0</v>
      </c>
      <c r="AG36">
        <v>0</v>
      </c>
      <c r="AH36" s="235">
        <f>'Basis Options'!CD41</f>
        <v>0</v>
      </c>
      <c r="AI36">
        <v>226</v>
      </c>
      <c r="AJ36" t="s">
        <v>256</v>
      </c>
      <c r="AK36">
        <v>0</v>
      </c>
      <c r="AL36">
        <v>0</v>
      </c>
      <c r="AM36">
        <v>0</v>
      </c>
    </row>
    <row r="37" spans="1:39" x14ac:dyDescent="0.25">
      <c r="A37" t="s">
        <v>233</v>
      </c>
      <c r="B37" t="str">
        <f>'Basis Options'!C42</f>
        <v>NE6161.2</v>
      </c>
      <c r="C37" t="s">
        <v>255</v>
      </c>
      <c r="D37" t="s">
        <v>234</v>
      </c>
      <c r="E37" t="s">
        <v>20</v>
      </c>
      <c r="F37" t="str">
        <f>'Basis Options'!A42</f>
        <v>JARON</v>
      </c>
      <c r="G37" t="s">
        <v>269</v>
      </c>
      <c r="H37" t="s">
        <v>254</v>
      </c>
      <c r="I37" t="s">
        <v>242</v>
      </c>
      <c r="J37" t="s">
        <v>235</v>
      </c>
      <c r="K37" s="380">
        <f>'Basis Options'!G42</f>
        <v>36800</v>
      </c>
      <c r="L37" s="235">
        <f>'Basis Options'!U42</f>
        <v>156188.25047399625</v>
      </c>
      <c r="M37" s="380">
        <f>'Basis Options'!Q42</f>
        <v>36797</v>
      </c>
      <c r="N37" t="str">
        <f>'Basis Options'!F42</f>
        <v>P</v>
      </c>
      <c r="O37">
        <f>'Basis Options'!I42</f>
        <v>-0.32</v>
      </c>
      <c r="P37">
        <v>0</v>
      </c>
      <c r="Q37">
        <v>0</v>
      </c>
      <c r="R37">
        <v>0</v>
      </c>
      <c r="S37">
        <v>0</v>
      </c>
      <c r="T37" t="s">
        <v>253</v>
      </c>
      <c r="U37" t="str">
        <f>IF('Basis Options'!D42="NGI/CHI. GATE","""NGI/CHI. GATE""",TRIM('Basis Options'!D42))</f>
        <v>IF-NWPL_ROCKY_M</v>
      </c>
      <c r="V37" t="s">
        <v>253</v>
      </c>
      <c r="W37" t="s">
        <v>132</v>
      </c>
      <c r="X37" t="s">
        <v>253</v>
      </c>
      <c r="Y37" t="s">
        <v>235</v>
      </c>
      <c r="Z37" t="s">
        <v>236</v>
      </c>
      <c r="AA37" t="s">
        <v>253</v>
      </c>
      <c r="AB37" t="s">
        <v>1</v>
      </c>
      <c r="AC37" s="235">
        <f>'Basis Options'!H42</f>
        <v>310000</v>
      </c>
      <c r="AD37" s="235">
        <f>'Basis Options'!W42</f>
        <v>5338.4428050745046</v>
      </c>
      <c r="AE37">
        <v>0</v>
      </c>
      <c r="AF37">
        <v>0</v>
      </c>
      <c r="AG37">
        <v>0</v>
      </c>
      <c r="AH37" s="235">
        <f>'Basis Options'!CD42</f>
        <v>0</v>
      </c>
      <c r="AI37">
        <v>226</v>
      </c>
      <c r="AJ37" t="s">
        <v>256</v>
      </c>
      <c r="AK37">
        <v>0</v>
      </c>
      <c r="AL37">
        <v>0</v>
      </c>
      <c r="AM37">
        <v>0</v>
      </c>
    </row>
    <row r="38" spans="1:39" x14ac:dyDescent="0.25">
      <c r="A38" t="s">
        <v>233</v>
      </c>
      <c r="B38" t="str">
        <f>'Basis Options'!C43</f>
        <v>NE6161.2</v>
      </c>
      <c r="C38" t="s">
        <v>255</v>
      </c>
      <c r="D38" t="s">
        <v>234</v>
      </c>
      <c r="E38" t="s">
        <v>20</v>
      </c>
      <c r="F38" t="str">
        <f>'Basis Options'!A43</f>
        <v>JARON</v>
      </c>
      <c r="G38" t="s">
        <v>269</v>
      </c>
      <c r="H38" t="s">
        <v>254</v>
      </c>
      <c r="I38" t="s">
        <v>242</v>
      </c>
      <c r="J38" t="s">
        <v>235</v>
      </c>
      <c r="K38" s="380">
        <f>'Basis Options'!G43</f>
        <v>36770</v>
      </c>
      <c r="L38" s="235">
        <f>'Basis Options'!U43</f>
        <v>275949.24915015756</v>
      </c>
      <c r="M38" s="380">
        <f>'Basis Options'!Q43</f>
        <v>36768</v>
      </c>
      <c r="N38" t="str">
        <f>'Basis Options'!F43</f>
        <v>P</v>
      </c>
      <c r="O38">
        <f>'Basis Options'!I43</f>
        <v>-0.32</v>
      </c>
      <c r="P38">
        <v>0</v>
      </c>
      <c r="Q38">
        <v>0</v>
      </c>
      <c r="R38">
        <v>0</v>
      </c>
      <c r="S38">
        <v>0</v>
      </c>
      <c r="T38" t="s">
        <v>253</v>
      </c>
      <c r="U38" t="str">
        <f>IF('Basis Options'!D43="NGI/CHI. GATE","""NGI/CHI. GATE""",TRIM('Basis Options'!D43))</f>
        <v>IF-NWPL_ROCKY_M</v>
      </c>
      <c r="V38" t="s">
        <v>253</v>
      </c>
      <c r="W38" t="s">
        <v>132</v>
      </c>
      <c r="X38" t="s">
        <v>253</v>
      </c>
      <c r="Y38" t="s">
        <v>235</v>
      </c>
      <c r="Z38" t="s">
        <v>236</v>
      </c>
      <c r="AA38" t="s">
        <v>253</v>
      </c>
      <c r="AB38" t="s">
        <v>1</v>
      </c>
      <c r="AC38" s="235">
        <f>'Basis Options'!H43</f>
        <v>300000</v>
      </c>
      <c r="AD38" s="235">
        <f>'Basis Options'!W43</f>
        <v>-1.1578383215237409E-2</v>
      </c>
      <c r="AE38">
        <v>0</v>
      </c>
      <c r="AF38">
        <v>0</v>
      </c>
      <c r="AG38">
        <v>0</v>
      </c>
      <c r="AH38" s="235">
        <f>'Basis Options'!CD43</f>
        <v>0</v>
      </c>
      <c r="AI38">
        <v>226</v>
      </c>
      <c r="AJ38" t="s">
        <v>256</v>
      </c>
      <c r="AK38">
        <v>0</v>
      </c>
      <c r="AL38">
        <v>0</v>
      </c>
      <c r="AM38">
        <v>0</v>
      </c>
    </row>
    <row r="39" spans="1:39" x14ac:dyDescent="0.25">
      <c r="A39" t="s">
        <v>233</v>
      </c>
      <c r="B39" t="str">
        <f>'Basis Options'!C44</f>
        <v>NE6195</v>
      </c>
      <c r="C39" t="s">
        <v>255</v>
      </c>
      <c r="D39" t="s">
        <v>234</v>
      </c>
      <c r="E39" t="s">
        <v>20</v>
      </c>
      <c r="F39" t="str">
        <f>'Basis Options'!A44</f>
        <v>JARON</v>
      </c>
      <c r="G39" t="s">
        <v>269</v>
      </c>
      <c r="H39" t="s">
        <v>254</v>
      </c>
      <c r="I39" t="s">
        <v>242</v>
      </c>
      <c r="J39" t="s">
        <v>235</v>
      </c>
      <c r="K39" s="380">
        <f>'Basis Options'!G44</f>
        <v>36800</v>
      </c>
      <c r="L39" s="235">
        <f>'Basis Options'!U44</f>
        <v>270016.26948329632</v>
      </c>
      <c r="M39" s="380">
        <f>'Basis Options'!Q44</f>
        <v>36797</v>
      </c>
      <c r="N39" t="str">
        <f>'Basis Options'!F44</f>
        <v>P</v>
      </c>
      <c r="O39">
        <f>'Basis Options'!I44</f>
        <v>-0.4</v>
      </c>
      <c r="P39">
        <v>0</v>
      </c>
      <c r="Q39">
        <v>0</v>
      </c>
      <c r="R39">
        <v>0</v>
      </c>
      <c r="S39">
        <v>0</v>
      </c>
      <c r="T39" t="s">
        <v>253</v>
      </c>
      <c r="U39" t="str">
        <f>IF('Basis Options'!D44="NGI/CHI. GATE","""NGI/CHI. GATE""",TRIM('Basis Options'!D44))</f>
        <v>IF-NWPL_ROCKY_M</v>
      </c>
      <c r="V39" t="s">
        <v>253</v>
      </c>
      <c r="W39" t="s">
        <v>132</v>
      </c>
      <c r="X39" t="s">
        <v>253</v>
      </c>
      <c r="Y39" t="s">
        <v>235</v>
      </c>
      <c r="Z39" t="s">
        <v>236</v>
      </c>
      <c r="AA39" t="s">
        <v>253</v>
      </c>
      <c r="AB39" t="s">
        <v>1</v>
      </c>
      <c r="AC39" s="235">
        <f>'Basis Options'!H44</f>
        <v>620000</v>
      </c>
      <c r="AD39" s="235">
        <f>'Basis Options'!W44</f>
        <v>13383.954506565758</v>
      </c>
      <c r="AE39">
        <v>0</v>
      </c>
      <c r="AF39">
        <v>0</v>
      </c>
      <c r="AG39">
        <v>0</v>
      </c>
      <c r="AH39" s="235">
        <f>'Basis Options'!CD44</f>
        <v>0</v>
      </c>
      <c r="AI39">
        <v>226</v>
      </c>
      <c r="AJ39" t="s">
        <v>256</v>
      </c>
      <c r="AK39">
        <v>0</v>
      </c>
      <c r="AL39">
        <v>0</v>
      </c>
      <c r="AM39">
        <v>0</v>
      </c>
    </row>
    <row r="40" spans="1:39" x14ac:dyDescent="0.25">
      <c r="A40" t="s">
        <v>233</v>
      </c>
      <c r="B40" t="str">
        <f>'Basis Options'!C45</f>
        <v>NE6195</v>
      </c>
      <c r="C40" t="s">
        <v>255</v>
      </c>
      <c r="D40" t="s">
        <v>234</v>
      </c>
      <c r="E40" t="s">
        <v>20</v>
      </c>
      <c r="F40" t="str">
        <f>'Basis Options'!A45</f>
        <v>JARON</v>
      </c>
      <c r="G40" t="s">
        <v>269</v>
      </c>
      <c r="H40" t="s">
        <v>254</v>
      </c>
      <c r="I40" t="s">
        <v>242</v>
      </c>
      <c r="J40" t="s">
        <v>235</v>
      </c>
      <c r="K40" s="380">
        <f>'Basis Options'!G45</f>
        <v>36770</v>
      </c>
      <c r="L40" s="235">
        <f>'Basis Options'!U45</f>
        <v>503907.32453476632</v>
      </c>
      <c r="M40" s="380">
        <f>'Basis Options'!Q45</f>
        <v>36768</v>
      </c>
      <c r="N40" t="str">
        <f>'Basis Options'!F45</f>
        <v>P</v>
      </c>
      <c r="O40">
        <f>'Basis Options'!I45</f>
        <v>-0.4</v>
      </c>
      <c r="P40">
        <v>0</v>
      </c>
      <c r="Q40">
        <v>0</v>
      </c>
      <c r="R40">
        <v>0</v>
      </c>
      <c r="S40">
        <v>0</v>
      </c>
      <c r="T40" t="s">
        <v>253</v>
      </c>
      <c r="U40" t="str">
        <f>IF('Basis Options'!D45="NGI/CHI. GATE","""NGI/CHI. GATE""",TRIM('Basis Options'!D45))</f>
        <v>IF-NWPL_ROCKY_M</v>
      </c>
      <c r="V40" t="s">
        <v>253</v>
      </c>
      <c r="W40" t="s">
        <v>132</v>
      </c>
      <c r="X40" t="s">
        <v>253</v>
      </c>
      <c r="Y40" t="s">
        <v>235</v>
      </c>
      <c r="Z40" t="s">
        <v>236</v>
      </c>
      <c r="AA40" t="s">
        <v>253</v>
      </c>
      <c r="AB40" t="s">
        <v>1</v>
      </c>
      <c r="AC40" s="235">
        <f>'Basis Options'!H45</f>
        <v>600000</v>
      </c>
      <c r="AD40" s="235">
        <f>'Basis Options'!W45</f>
        <v>-2.3156766663305461E-2</v>
      </c>
      <c r="AE40">
        <v>0</v>
      </c>
      <c r="AF40">
        <v>0</v>
      </c>
      <c r="AG40">
        <v>0</v>
      </c>
      <c r="AH40" s="235">
        <f>'Basis Options'!CD45</f>
        <v>0</v>
      </c>
      <c r="AI40">
        <v>226</v>
      </c>
      <c r="AJ40" t="s">
        <v>256</v>
      </c>
      <c r="AK40">
        <v>0</v>
      </c>
      <c r="AL40">
        <v>0</v>
      </c>
      <c r="AM40">
        <v>0</v>
      </c>
    </row>
    <row r="41" spans="1:39" x14ac:dyDescent="0.25">
      <c r="A41" t="s">
        <v>233</v>
      </c>
      <c r="B41" t="str">
        <f>'Basis Options'!C46</f>
        <v>NE6212</v>
      </c>
      <c r="C41" t="s">
        <v>255</v>
      </c>
      <c r="D41" t="s">
        <v>234</v>
      </c>
      <c r="E41" t="s">
        <v>20</v>
      </c>
      <c r="F41" t="str">
        <f>'Basis Options'!A46</f>
        <v>RELIANTENESER</v>
      </c>
      <c r="G41" t="s">
        <v>269</v>
      </c>
      <c r="H41" t="s">
        <v>254</v>
      </c>
      <c r="I41" t="s">
        <v>242</v>
      </c>
      <c r="J41" t="s">
        <v>235</v>
      </c>
      <c r="K41" s="380">
        <f>'Basis Options'!G46</f>
        <v>36800</v>
      </c>
      <c r="L41" s="235">
        <f>'Basis Options'!U46</f>
        <v>4493.8935215804549</v>
      </c>
      <c r="M41" s="380">
        <f>'Basis Options'!Q46</f>
        <v>36797</v>
      </c>
      <c r="N41" t="str">
        <f>'Basis Options'!F46</f>
        <v>C</v>
      </c>
      <c r="O41">
        <f>'Basis Options'!I46</f>
        <v>-0.25</v>
      </c>
      <c r="P41">
        <v>0</v>
      </c>
      <c r="Q41">
        <v>0</v>
      </c>
      <c r="R41">
        <v>0</v>
      </c>
      <c r="S41">
        <v>0</v>
      </c>
      <c r="T41" t="s">
        <v>253</v>
      </c>
      <c r="U41" t="str">
        <f>IF('Basis Options'!D46="NGI/CHI. GATE","""NGI/CHI. GATE""",TRIM('Basis Options'!D46))</f>
        <v>IF-NWPL_ROCKY_M</v>
      </c>
      <c r="V41" t="s">
        <v>253</v>
      </c>
      <c r="W41" t="s">
        <v>132</v>
      </c>
      <c r="X41" t="s">
        <v>253</v>
      </c>
      <c r="Y41" t="s">
        <v>235</v>
      </c>
      <c r="Z41" t="s">
        <v>236</v>
      </c>
      <c r="AA41" t="s">
        <v>253</v>
      </c>
      <c r="AB41" t="s">
        <v>1</v>
      </c>
      <c r="AC41" s="235">
        <f>'Basis Options'!H46</f>
        <v>310000</v>
      </c>
      <c r="AD41" s="235">
        <f>'Basis Options'!W46</f>
        <v>4217.2382838271806</v>
      </c>
      <c r="AE41">
        <v>0</v>
      </c>
      <c r="AF41">
        <v>0</v>
      </c>
      <c r="AG41">
        <v>0</v>
      </c>
      <c r="AH41" s="235">
        <f>'Basis Options'!CD46</f>
        <v>0</v>
      </c>
      <c r="AI41">
        <v>226</v>
      </c>
      <c r="AJ41" t="s">
        <v>256</v>
      </c>
      <c r="AK41">
        <v>0</v>
      </c>
      <c r="AL41">
        <v>0</v>
      </c>
      <c r="AM41">
        <v>0</v>
      </c>
    </row>
    <row r="42" spans="1:39" x14ac:dyDescent="0.25">
      <c r="A42" t="s">
        <v>233</v>
      </c>
      <c r="B42" t="str">
        <f>'Basis Options'!C47</f>
        <v>NE6212</v>
      </c>
      <c r="C42" t="s">
        <v>255</v>
      </c>
      <c r="D42" t="s">
        <v>234</v>
      </c>
      <c r="E42" t="s">
        <v>20</v>
      </c>
      <c r="F42" t="str">
        <f>'Basis Options'!A47</f>
        <v>RELIANTENESER</v>
      </c>
      <c r="G42" t="s">
        <v>269</v>
      </c>
      <c r="H42" t="s">
        <v>254</v>
      </c>
      <c r="I42" t="s">
        <v>242</v>
      </c>
      <c r="J42" t="s">
        <v>235</v>
      </c>
      <c r="K42" s="380">
        <f>'Basis Options'!G47</f>
        <v>36770</v>
      </c>
      <c r="L42" s="235">
        <f>'Basis Options'!U47</f>
        <v>3.8934716800609337E-2</v>
      </c>
      <c r="M42" s="380">
        <f>'Basis Options'!Q47</f>
        <v>36768</v>
      </c>
      <c r="N42" t="str">
        <f>'Basis Options'!F47</f>
        <v>C</v>
      </c>
      <c r="O42">
        <f>'Basis Options'!I47</f>
        <v>-0.25</v>
      </c>
      <c r="P42">
        <v>0</v>
      </c>
      <c r="Q42">
        <v>0</v>
      </c>
      <c r="R42">
        <v>0</v>
      </c>
      <c r="S42">
        <v>0</v>
      </c>
      <c r="T42" t="s">
        <v>253</v>
      </c>
      <c r="U42" t="str">
        <f>IF('Basis Options'!D47="NGI/CHI. GATE","""NGI/CHI. GATE""",TRIM('Basis Options'!D47))</f>
        <v>IF-NWPL_ROCKY_M</v>
      </c>
      <c r="V42" t="s">
        <v>253</v>
      </c>
      <c r="W42" t="s">
        <v>132</v>
      </c>
      <c r="X42" t="s">
        <v>253</v>
      </c>
      <c r="Y42" t="s">
        <v>235</v>
      </c>
      <c r="Z42" t="s">
        <v>236</v>
      </c>
      <c r="AA42" t="s">
        <v>253</v>
      </c>
      <c r="AB42" t="s">
        <v>1</v>
      </c>
      <c r="AC42" s="235">
        <f>'Basis Options'!H47</f>
        <v>300000</v>
      </c>
      <c r="AD42" s="235">
        <f>'Basis Options'!W47</f>
        <v>-1.1578383751764676E-2</v>
      </c>
      <c r="AE42">
        <v>0</v>
      </c>
      <c r="AF42">
        <v>0</v>
      </c>
      <c r="AG42">
        <v>0</v>
      </c>
      <c r="AH42" s="235">
        <f>'Basis Options'!CD47</f>
        <v>0</v>
      </c>
      <c r="AI42">
        <v>226</v>
      </c>
      <c r="AJ42" t="s">
        <v>256</v>
      </c>
      <c r="AK42">
        <v>0</v>
      </c>
      <c r="AL42">
        <v>0</v>
      </c>
      <c r="AM42">
        <v>0</v>
      </c>
    </row>
    <row r="43" spans="1:39" x14ac:dyDescent="0.25">
      <c r="A43" t="s">
        <v>233</v>
      </c>
      <c r="B43" t="str">
        <f>'Basis Options'!C48</f>
        <v>NE7612</v>
      </c>
      <c r="C43" t="s">
        <v>255</v>
      </c>
      <c r="D43" t="s">
        <v>234</v>
      </c>
      <c r="E43" t="s">
        <v>20</v>
      </c>
      <c r="F43" t="str">
        <f>'Basis Options'!A48</f>
        <v>DYNEGYMARAND</v>
      </c>
      <c r="G43" t="s">
        <v>269</v>
      </c>
      <c r="H43" t="s">
        <v>254</v>
      </c>
      <c r="I43" t="s">
        <v>242</v>
      </c>
      <c r="J43" t="s">
        <v>235</v>
      </c>
      <c r="K43" s="380">
        <f>'Basis Options'!G48</f>
        <v>36800</v>
      </c>
      <c r="L43" s="235">
        <f>'Basis Options'!U48</f>
        <v>5978.6718980528376</v>
      </c>
      <c r="M43" s="380">
        <f>'Basis Options'!Q48</f>
        <v>36797</v>
      </c>
      <c r="N43" t="str">
        <f>'Basis Options'!F48</f>
        <v>C</v>
      </c>
      <c r="O43">
        <f>'Basis Options'!I48</f>
        <v>-0.3</v>
      </c>
      <c r="P43">
        <v>0</v>
      </c>
      <c r="Q43">
        <v>0</v>
      </c>
      <c r="R43">
        <v>0</v>
      </c>
      <c r="S43">
        <v>0</v>
      </c>
      <c r="T43" t="s">
        <v>253</v>
      </c>
      <c r="U43" t="str">
        <f>IF('Basis Options'!D48="NGI/CHI. GATE","""NGI/CHI. GATE""",TRIM('Basis Options'!D48))</f>
        <v>IF-NWPL_ROCKY_M</v>
      </c>
      <c r="V43" t="s">
        <v>253</v>
      </c>
      <c r="W43" t="s">
        <v>132</v>
      </c>
      <c r="X43" t="s">
        <v>253</v>
      </c>
      <c r="Y43" t="s">
        <v>235</v>
      </c>
      <c r="Z43" t="s">
        <v>236</v>
      </c>
      <c r="AA43" t="s">
        <v>253</v>
      </c>
      <c r="AB43" t="s">
        <v>1</v>
      </c>
      <c r="AC43" s="235">
        <f>'Basis Options'!H48</f>
        <v>310000</v>
      </c>
      <c r="AD43" s="235">
        <f>'Basis Options'!W48</f>
        <v>5008.8613064340097</v>
      </c>
      <c r="AE43">
        <v>0</v>
      </c>
      <c r="AF43">
        <v>0</v>
      </c>
      <c r="AG43">
        <v>0</v>
      </c>
      <c r="AH43" s="235">
        <f>'Basis Options'!CD48</f>
        <v>0</v>
      </c>
      <c r="AI43">
        <v>226</v>
      </c>
      <c r="AJ43" t="s">
        <v>256</v>
      </c>
      <c r="AK43">
        <v>0</v>
      </c>
      <c r="AL43">
        <v>0</v>
      </c>
      <c r="AM43">
        <v>0</v>
      </c>
    </row>
    <row r="44" spans="1:39" x14ac:dyDescent="0.25">
      <c r="A44" t="s">
        <v>233</v>
      </c>
      <c r="B44" t="str">
        <f>'Basis Options'!C49</f>
        <v>NE7612</v>
      </c>
      <c r="C44" t="s">
        <v>255</v>
      </c>
      <c r="D44" t="s">
        <v>234</v>
      </c>
      <c r="E44" t="s">
        <v>20</v>
      </c>
      <c r="F44" t="str">
        <f>'Basis Options'!A49</f>
        <v>DYNEGYMARAND</v>
      </c>
      <c r="G44" t="s">
        <v>269</v>
      </c>
      <c r="H44" t="s">
        <v>254</v>
      </c>
      <c r="I44" t="s">
        <v>242</v>
      </c>
      <c r="J44" t="s">
        <v>235</v>
      </c>
      <c r="K44" s="380">
        <f>'Basis Options'!G49</f>
        <v>36800</v>
      </c>
      <c r="L44" s="235">
        <f>'Basis Options'!U49</f>
        <v>161656.09418767071</v>
      </c>
      <c r="M44" s="380">
        <f>'Basis Options'!Q49</f>
        <v>36797</v>
      </c>
      <c r="N44" t="str">
        <f>'Basis Options'!F49</f>
        <v>P</v>
      </c>
      <c r="O44">
        <f>'Basis Options'!I49</f>
        <v>-0.3</v>
      </c>
      <c r="P44">
        <v>0</v>
      </c>
      <c r="Q44">
        <v>0</v>
      </c>
      <c r="R44">
        <v>0</v>
      </c>
      <c r="S44">
        <v>0</v>
      </c>
      <c r="T44" t="s">
        <v>253</v>
      </c>
      <c r="U44" t="str">
        <f>IF('Basis Options'!D49="NGI/CHI. GATE","""NGI/CHI. GATE""",TRIM('Basis Options'!D49))</f>
        <v>IF-NWPL_ROCKY_M</v>
      </c>
      <c r="V44" t="s">
        <v>253</v>
      </c>
      <c r="W44" t="s">
        <v>132</v>
      </c>
      <c r="X44" t="s">
        <v>253</v>
      </c>
      <c r="Y44" t="s">
        <v>235</v>
      </c>
      <c r="Z44" t="s">
        <v>236</v>
      </c>
      <c r="AA44" t="s">
        <v>253</v>
      </c>
      <c r="AB44" t="s">
        <v>1</v>
      </c>
      <c r="AC44" s="235">
        <f>'Basis Options'!H49</f>
        <v>310000</v>
      </c>
      <c r="AD44" s="235">
        <f>'Basis Options'!W49</f>
        <v>5008.8613064339734</v>
      </c>
      <c r="AE44">
        <v>0</v>
      </c>
      <c r="AF44">
        <v>0</v>
      </c>
      <c r="AG44">
        <v>0</v>
      </c>
      <c r="AH44" s="235">
        <f>'Basis Options'!CD49</f>
        <v>0</v>
      </c>
      <c r="AI44">
        <v>226</v>
      </c>
      <c r="AJ44" t="s">
        <v>256</v>
      </c>
      <c r="AK44">
        <v>0</v>
      </c>
      <c r="AL44">
        <v>0</v>
      </c>
      <c r="AM44">
        <v>0</v>
      </c>
    </row>
    <row r="45" spans="1:39" x14ac:dyDescent="0.25">
      <c r="A45" t="s">
        <v>233</v>
      </c>
      <c r="B45" t="str">
        <f>'Basis Options'!C50</f>
        <v>NE7612</v>
      </c>
      <c r="C45" t="s">
        <v>255</v>
      </c>
      <c r="D45" t="s">
        <v>234</v>
      </c>
      <c r="E45" t="s">
        <v>20</v>
      </c>
      <c r="F45" t="str">
        <f>'Basis Options'!A50</f>
        <v>DYNEGYMARAND</v>
      </c>
      <c r="G45" t="s">
        <v>269</v>
      </c>
      <c r="H45" t="s">
        <v>254</v>
      </c>
      <c r="I45" t="s">
        <v>242</v>
      </c>
      <c r="J45" t="s">
        <v>235</v>
      </c>
      <c r="K45" s="380">
        <f>'Basis Options'!G50</f>
        <v>36770</v>
      </c>
      <c r="L45" s="235">
        <f>'Basis Options'!U50</f>
        <v>3.6968228761535826E-2</v>
      </c>
      <c r="M45" s="380">
        <f>'Basis Options'!Q50</f>
        <v>36768</v>
      </c>
      <c r="N45" t="str">
        <f>'Basis Options'!F50</f>
        <v>C</v>
      </c>
      <c r="O45">
        <f>'Basis Options'!I50</f>
        <v>-0.3</v>
      </c>
      <c r="P45">
        <v>0</v>
      </c>
      <c r="Q45">
        <v>0</v>
      </c>
      <c r="R45">
        <v>0</v>
      </c>
      <c r="S45">
        <v>0</v>
      </c>
      <c r="T45" t="s">
        <v>253</v>
      </c>
      <c r="U45" t="str">
        <f>IF('Basis Options'!D50="NGI/CHI. GATE","""NGI/CHI. GATE""",TRIM('Basis Options'!D50))</f>
        <v>IF-NWPL_ROCKY_M</v>
      </c>
      <c r="V45" t="s">
        <v>253</v>
      </c>
      <c r="W45" t="s">
        <v>132</v>
      </c>
      <c r="X45" t="s">
        <v>253</v>
      </c>
      <c r="Y45" t="s">
        <v>235</v>
      </c>
      <c r="Z45" t="s">
        <v>236</v>
      </c>
      <c r="AA45" t="s">
        <v>253</v>
      </c>
      <c r="AB45" t="s">
        <v>1</v>
      </c>
      <c r="AC45" s="235">
        <f>'Basis Options'!H50</f>
        <v>300000</v>
      </c>
      <c r="AD45" s="235">
        <f>'Basis Options'!W50</f>
        <v>-1.1578383185550933E-2</v>
      </c>
      <c r="AE45">
        <v>0</v>
      </c>
      <c r="AF45">
        <v>0</v>
      </c>
      <c r="AG45">
        <v>0</v>
      </c>
      <c r="AH45" s="235">
        <f>'Basis Options'!CD50</f>
        <v>0</v>
      </c>
      <c r="AI45">
        <v>226</v>
      </c>
      <c r="AJ45" t="s">
        <v>256</v>
      </c>
      <c r="AK45">
        <v>0</v>
      </c>
      <c r="AL45">
        <v>0</v>
      </c>
      <c r="AM45">
        <v>0</v>
      </c>
    </row>
    <row r="46" spans="1:39" x14ac:dyDescent="0.25">
      <c r="A46" t="s">
        <v>233</v>
      </c>
      <c r="B46" t="str">
        <f>'Basis Options'!C51</f>
        <v>NE7612</v>
      </c>
      <c r="C46" t="s">
        <v>255</v>
      </c>
      <c r="D46" t="s">
        <v>234</v>
      </c>
      <c r="E46" t="s">
        <v>20</v>
      </c>
      <c r="F46" t="str">
        <f>'Basis Options'!A51</f>
        <v>DYNEGYMARAND</v>
      </c>
      <c r="G46" t="s">
        <v>269</v>
      </c>
      <c r="H46" t="s">
        <v>254</v>
      </c>
      <c r="I46" t="s">
        <v>242</v>
      </c>
      <c r="J46" t="s">
        <v>235</v>
      </c>
      <c r="K46" s="380">
        <f>'Basis Options'!G51</f>
        <v>36770</v>
      </c>
      <c r="L46" s="235">
        <f>'Basis Options'!U51</f>
        <v>281948.14587085106</v>
      </c>
      <c r="M46" s="380">
        <f>'Basis Options'!Q51</f>
        <v>36768</v>
      </c>
      <c r="N46" t="str">
        <f>'Basis Options'!F51</f>
        <v>P</v>
      </c>
      <c r="O46">
        <f>'Basis Options'!I51</f>
        <v>-0.3</v>
      </c>
      <c r="P46">
        <v>0</v>
      </c>
      <c r="Q46">
        <v>0</v>
      </c>
      <c r="R46">
        <v>0</v>
      </c>
      <c r="S46">
        <v>0</v>
      </c>
      <c r="T46" t="s">
        <v>253</v>
      </c>
      <c r="U46" t="str">
        <f>IF('Basis Options'!D51="NGI/CHI. GATE","""NGI/CHI. GATE""",TRIM('Basis Options'!D51))</f>
        <v>IF-NWPL_ROCKY_M</v>
      </c>
      <c r="V46" t="s">
        <v>253</v>
      </c>
      <c r="W46" t="s">
        <v>132</v>
      </c>
      <c r="X46" t="s">
        <v>253</v>
      </c>
      <c r="Y46" t="s">
        <v>235</v>
      </c>
      <c r="Z46" t="s">
        <v>236</v>
      </c>
      <c r="AA46" t="s">
        <v>253</v>
      </c>
      <c r="AB46" t="s">
        <v>1</v>
      </c>
      <c r="AC46" s="235">
        <f>'Basis Options'!H51</f>
        <v>300000</v>
      </c>
      <c r="AD46" s="235">
        <f>'Basis Options'!W51</f>
        <v>-1.1578383157029748E-2</v>
      </c>
      <c r="AE46">
        <v>0</v>
      </c>
      <c r="AF46">
        <v>0</v>
      </c>
      <c r="AG46">
        <v>0</v>
      </c>
      <c r="AH46" s="235">
        <f>'Basis Options'!CD51</f>
        <v>0</v>
      </c>
      <c r="AI46">
        <v>226</v>
      </c>
      <c r="AJ46" t="s">
        <v>256</v>
      </c>
      <c r="AK46">
        <v>0</v>
      </c>
      <c r="AL46">
        <v>0</v>
      </c>
      <c r="AM46">
        <v>0</v>
      </c>
    </row>
    <row r="47" spans="1:39" x14ac:dyDescent="0.25">
      <c r="A47" t="s">
        <v>233</v>
      </c>
      <c r="B47" t="str">
        <f>'Basis Options'!C52</f>
        <v>NE8609</v>
      </c>
      <c r="C47" t="s">
        <v>255</v>
      </c>
      <c r="D47" t="s">
        <v>234</v>
      </c>
      <c r="E47" t="s">
        <v>20</v>
      </c>
      <c r="F47" t="str">
        <f>'Basis Options'!A52</f>
        <v>ELPASMER</v>
      </c>
      <c r="G47" t="s">
        <v>269</v>
      </c>
      <c r="H47" t="s">
        <v>254</v>
      </c>
      <c r="I47" t="s">
        <v>242</v>
      </c>
      <c r="J47" t="s">
        <v>235</v>
      </c>
      <c r="K47" s="380">
        <f>'Basis Options'!G52</f>
        <v>36923</v>
      </c>
      <c r="L47" s="235">
        <f>'Basis Options'!U52</f>
        <v>101823.26979244682</v>
      </c>
      <c r="M47" s="380">
        <f>'Basis Options'!Q52</f>
        <v>36921</v>
      </c>
      <c r="N47" t="str">
        <f>'Basis Options'!F52</f>
        <v>P</v>
      </c>
      <c r="O47">
        <f>'Basis Options'!I52</f>
        <v>1</v>
      </c>
      <c r="P47">
        <v>0</v>
      </c>
      <c r="Q47">
        <v>0</v>
      </c>
      <c r="R47">
        <v>0</v>
      </c>
      <c r="S47">
        <v>0</v>
      </c>
      <c r="T47" t="s">
        <v>253</v>
      </c>
      <c r="U47" t="str">
        <f>IF('Basis Options'!D52="NGI/CHI. GATE","""NGI/CHI. GATE""",TRIM('Basis Options'!D52))</f>
        <v>IF-TRANSCO/Z6</v>
      </c>
      <c r="V47" t="s">
        <v>253</v>
      </c>
      <c r="W47" t="s">
        <v>132</v>
      </c>
      <c r="X47" t="s">
        <v>253</v>
      </c>
      <c r="Y47" t="s">
        <v>235</v>
      </c>
      <c r="Z47" t="s">
        <v>236</v>
      </c>
      <c r="AA47" t="s">
        <v>253</v>
      </c>
      <c r="AB47" t="s">
        <v>1</v>
      </c>
      <c r="AC47" s="235">
        <f>'Basis Options'!H52</f>
        <v>500000</v>
      </c>
      <c r="AD47" s="235">
        <f>'Basis Options'!W52</f>
        <v>35155.6370506354</v>
      </c>
      <c r="AE47">
        <v>0</v>
      </c>
      <c r="AF47">
        <v>0</v>
      </c>
      <c r="AG47">
        <v>0</v>
      </c>
      <c r="AH47" s="235">
        <f>'Basis Options'!CD52</f>
        <v>0</v>
      </c>
      <c r="AI47">
        <v>226</v>
      </c>
      <c r="AJ47" t="s">
        <v>256</v>
      </c>
      <c r="AK47">
        <v>0</v>
      </c>
      <c r="AL47">
        <v>0</v>
      </c>
      <c r="AM47">
        <v>0</v>
      </c>
    </row>
    <row r="48" spans="1:39" x14ac:dyDescent="0.25">
      <c r="A48" t="s">
        <v>233</v>
      </c>
      <c r="B48" t="str">
        <f>'Basis Options'!C53</f>
        <v>NE8609</v>
      </c>
      <c r="C48" t="s">
        <v>255</v>
      </c>
      <c r="D48" t="s">
        <v>234</v>
      </c>
      <c r="E48" t="s">
        <v>20</v>
      </c>
      <c r="F48" t="str">
        <f>'Basis Options'!A53</f>
        <v>ELPASMER</v>
      </c>
      <c r="G48" t="s">
        <v>269</v>
      </c>
      <c r="H48" t="s">
        <v>254</v>
      </c>
      <c r="I48" t="s">
        <v>242</v>
      </c>
      <c r="J48" t="s">
        <v>235</v>
      </c>
      <c r="K48" s="380">
        <f>'Basis Options'!G53</f>
        <v>36892</v>
      </c>
      <c r="L48" s="235">
        <f>'Basis Options'!U53</f>
        <v>82595.657109539592</v>
      </c>
      <c r="M48" s="380">
        <f>'Basis Options'!Q53</f>
        <v>36888</v>
      </c>
      <c r="N48" t="str">
        <f>'Basis Options'!F53</f>
        <v>P</v>
      </c>
      <c r="O48">
        <f>'Basis Options'!I53</f>
        <v>1</v>
      </c>
      <c r="P48">
        <v>0</v>
      </c>
      <c r="Q48">
        <v>0</v>
      </c>
      <c r="R48">
        <v>0</v>
      </c>
      <c r="S48">
        <v>0</v>
      </c>
      <c r="T48" t="s">
        <v>253</v>
      </c>
      <c r="U48" t="str">
        <f>IF('Basis Options'!D53="NGI/CHI. GATE","""NGI/CHI. GATE""",TRIM('Basis Options'!D53))</f>
        <v>IF-TRANSCO/Z6</v>
      </c>
      <c r="V48" t="s">
        <v>253</v>
      </c>
      <c r="W48" t="s">
        <v>132</v>
      </c>
      <c r="X48" t="s">
        <v>253</v>
      </c>
      <c r="Y48" t="s">
        <v>235</v>
      </c>
      <c r="Z48" t="s">
        <v>236</v>
      </c>
      <c r="AA48" t="s">
        <v>253</v>
      </c>
      <c r="AB48" t="s">
        <v>1</v>
      </c>
      <c r="AC48" s="235">
        <f>'Basis Options'!H53</f>
        <v>500000</v>
      </c>
      <c r="AD48" s="235">
        <f>'Basis Options'!W53</f>
        <v>29967.86078998493</v>
      </c>
      <c r="AE48">
        <v>0</v>
      </c>
      <c r="AF48">
        <v>0</v>
      </c>
      <c r="AG48">
        <v>0</v>
      </c>
      <c r="AH48" s="235">
        <f>'Basis Options'!CD53</f>
        <v>0</v>
      </c>
      <c r="AI48">
        <v>226</v>
      </c>
      <c r="AJ48" t="s">
        <v>256</v>
      </c>
      <c r="AK48">
        <v>0</v>
      </c>
      <c r="AL48">
        <v>0</v>
      </c>
      <c r="AM48">
        <v>0</v>
      </c>
    </row>
    <row r="49" spans="1:39" x14ac:dyDescent="0.25">
      <c r="A49" t="s">
        <v>233</v>
      </c>
      <c r="B49" t="str">
        <f>'Basis Options'!C54</f>
        <v>NE8609</v>
      </c>
      <c r="C49" t="s">
        <v>255</v>
      </c>
      <c r="D49" t="s">
        <v>234</v>
      </c>
      <c r="E49" t="s">
        <v>20</v>
      </c>
      <c r="F49" t="str">
        <f>'Basis Options'!A54</f>
        <v>ELPASMER</v>
      </c>
      <c r="G49" t="s">
        <v>269</v>
      </c>
      <c r="H49" t="s">
        <v>254</v>
      </c>
      <c r="I49" t="s">
        <v>242</v>
      </c>
      <c r="J49" t="s">
        <v>235</v>
      </c>
      <c r="K49" s="380">
        <f>'Basis Options'!G54</f>
        <v>36861</v>
      </c>
      <c r="L49" s="235">
        <f>'Basis Options'!U54</f>
        <v>110710.3290856119</v>
      </c>
      <c r="M49" s="380">
        <f>'Basis Options'!Q54</f>
        <v>36859</v>
      </c>
      <c r="N49" t="str">
        <f>'Basis Options'!F54</f>
        <v>P</v>
      </c>
      <c r="O49">
        <f>'Basis Options'!I54</f>
        <v>1</v>
      </c>
      <c r="P49">
        <v>0</v>
      </c>
      <c r="Q49">
        <v>0</v>
      </c>
      <c r="R49">
        <v>0</v>
      </c>
      <c r="S49">
        <v>0</v>
      </c>
      <c r="T49" t="s">
        <v>253</v>
      </c>
      <c r="U49" t="str">
        <f>IF('Basis Options'!D54="NGI/CHI. GATE","""NGI/CHI. GATE""",TRIM('Basis Options'!D54))</f>
        <v>IF-TRANSCO/Z6</v>
      </c>
      <c r="V49" t="s">
        <v>253</v>
      </c>
      <c r="W49" t="s">
        <v>132</v>
      </c>
      <c r="X49" t="s">
        <v>253</v>
      </c>
      <c r="Y49" t="s">
        <v>235</v>
      </c>
      <c r="Z49" t="s">
        <v>236</v>
      </c>
      <c r="AA49" t="s">
        <v>253</v>
      </c>
      <c r="AB49" t="s">
        <v>1</v>
      </c>
      <c r="AC49" s="235">
        <f>'Basis Options'!H54</f>
        <v>500000</v>
      </c>
      <c r="AD49" s="235">
        <f>'Basis Options'!W54</f>
        <v>31543.706207547439</v>
      </c>
      <c r="AE49">
        <v>0</v>
      </c>
      <c r="AF49">
        <v>0</v>
      </c>
      <c r="AG49">
        <v>0</v>
      </c>
      <c r="AH49" s="235">
        <f>'Basis Options'!CD54</f>
        <v>0</v>
      </c>
      <c r="AI49">
        <v>226</v>
      </c>
      <c r="AJ49" t="s">
        <v>256</v>
      </c>
      <c r="AK49">
        <v>0</v>
      </c>
      <c r="AL49">
        <v>0</v>
      </c>
      <c r="AM49">
        <v>0</v>
      </c>
    </row>
    <row r="50" spans="1:39" x14ac:dyDescent="0.25">
      <c r="A50" t="s">
        <v>233</v>
      </c>
      <c r="B50" t="str">
        <f>'Basis Options'!C55</f>
        <v>NE8644</v>
      </c>
      <c r="C50" t="s">
        <v>255</v>
      </c>
      <c r="D50" t="s">
        <v>234</v>
      </c>
      <c r="E50" t="s">
        <v>20</v>
      </c>
      <c r="F50" t="str">
        <f>'Basis Options'!A55</f>
        <v>JARON</v>
      </c>
      <c r="G50" t="s">
        <v>269</v>
      </c>
      <c r="H50" t="s">
        <v>254</v>
      </c>
      <c r="I50" t="s">
        <v>242</v>
      </c>
      <c r="J50" t="s">
        <v>235</v>
      </c>
      <c r="K50" s="380">
        <f>'Basis Options'!G55</f>
        <v>36951</v>
      </c>
      <c r="L50" s="235">
        <f>'Basis Options'!U55</f>
        <v>170472.48978845702</v>
      </c>
      <c r="M50" s="380">
        <f>'Basis Options'!Q55</f>
        <v>36949</v>
      </c>
      <c r="N50" t="str">
        <f>'Basis Options'!F55</f>
        <v>P</v>
      </c>
      <c r="O50">
        <f>'Basis Options'!I55</f>
        <v>0.75</v>
      </c>
      <c r="P50">
        <v>0</v>
      </c>
      <c r="Q50">
        <v>0</v>
      </c>
      <c r="R50">
        <v>0</v>
      </c>
      <c r="S50">
        <v>0</v>
      </c>
      <c r="T50" t="s">
        <v>253</v>
      </c>
      <c r="U50" t="str">
        <f>IF('Basis Options'!D55="NGI/CHI. GATE","""NGI/CHI. GATE""",TRIM('Basis Options'!D55))</f>
        <v>IF-TRANSCO/Z6</v>
      </c>
      <c r="V50" t="s">
        <v>253</v>
      </c>
      <c r="W50" t="s">
        <v>132</v>
      </c>
      <c r="X50" t="s">
        <v>253</v>
      </c>
      <c r="Y50" t="s">
        <v>235</v>
      </c>
      <c r="Z50" t="s">
        <v>236</v>
      </c>
      <c r="AA50" t="s">
        <v>253</v>
      </c>
      <c r="AB50" t="s">
        <v>1</v>
      </c>
      <c r="AC50" s="235">
        <f>'Basis Options'!H55</f>
        <v>500000</v>
      </c>
      <c r="AD50" s="235">
        <f>'Basis Options'!W55</f>
        <v>43591.332513912144</v>
      </c>
      <c r="AE50">
        <v>0</v>
      </c>
      <c r="AF50">
        <v>0</v>
      </c>
      <c r="AG50">
        <v>0</v>
      </c>
      <c r="AH50" s="235">
        <f>'Basis Options'!CD55</f>
        <v>0</v>
      </c>
      <c r="AI50">
        <v>226</v>
      </c>
      <c r="AJ50" t="s">
        <v>256</v>
      </c>
      <c r="AK50">
        <v>0</v>
      </c>
      <c r="AL50">
        <v>0</v>
      </c>
      <c r="AM50">
        <v>0</v>
      </c>
    </row>
    <row r="51" spans="1:39" x14ac:dyDescent="0.25">
      <c r="A51" t="s">
        <v>233</v>
      </c>
      <c r="B51" t="str">
        <f>'Basis Options'!C56</f>
        <v>NE8644</v>
      </c>
      <c r="C51" t="s">
        <v>255</v>
      </c>
      <c r="D51" t="s">
        <v>234</v>
      </c>
      <c r="E51" t="s">
        <v>20</v>
      </c>
      <c r="F51" t="str">
        <f>'Basis Options'!A56</f>
        <v>JARON</v>
      </c>
      <c r="G51" t="s">
        <v>269</v>
      </c>
      <c r="H51" t="s">
        <v>254</v>
      </c>
      <c r="I51" t="s">
        <v>242</v>
      </c>
      <c r="J51" t="s">
        <v>235</v>
      </c>
      <c r="K51" s="380">
        <f>'Basis Options'!G56</f>
        <v>36923</v>
      </c>
      <c r="L51" s="235">
        <f>'Basis Options'!U56</f>
        <v>69532.829044974991</v>
      </c>
      <c r="M51" s="380">
        <f>'Basis Options'!Q56</f>
        <v>36921</v>
      </c>
      <c r="N51" t="str">
        <f>'Basis Options'!F56</f>
        <v>P</v>
      </c>
      <c r="O51">
        <f>'Basis Options'!I56</f>
        <v>0.75</v>
      </c>
      <c r="P51">
        <v>0</v>
      </c>
      <c r="Q51">
        <v>0</v>
      </c>
      <c r="R51">
        <v>0</v>
      </c>
      <c r="S51">
        <v>0</v>
      </c>
      <c r="T51" t="s">
        <v>253</v>
      </c>
      <c r="U51" t="str">
        <f>IF('Basis Options'!D56="NGI/CHI. GATE","""NGI/CHI. GATE""",TRIM('Basis Options'!D56))</f>
        <v>IF-TRANSCO/Z6</v>
      </c>
      <c r="V51" t="s">
        <v>253</v>
      </c>
      <c r="W51" t="s">
        <v>132</v>
      </c>
      <c r="X51" t="s">
        <v>253</v>
      </c>
      <c r="Y51" t="s">
        <v>235</v>
      </c>
      <c r="Z51" t="s">
        <v>236</v>
      </c>
      <c r="AA51" t="s">
        <v>253</v>
      </c>
      <c r="AB51" t="s">
        <v>1</v>
      </c>
      <c r="AC51" s="235">
        <f>'Basis Options'!H56</f>
        <v>500000</v>
      </c>
      <c r="AD51" s="235">
        <f>'Basis Options'!W56</f>
        <v>30559.427158733772</v>
      </c>
      <c r="AE51">
        <v>0</v>
      </c>
      <c r="AF51">
        <v>0</v>
      </c>
      <c r="AG51">
        <v>0</v>
      </c>
      <c r="AH51" s="235">
        <f>'Basis Options'!CD56</f>
        <v>0</v>
      </c>
      <c r="AI51">
        <v>226</v>
      </c>
      <c r="AJ51" t="s">
        <v>256</v>
      </c>
      <c r="AK51">
        <v>0</v>
      </c>
      <c r="AL51">
        <v>0</v>
      </c>
      <c r="AM51">
        <v>0</v>
      </c>
    </row>
    <row r="52" spans="1:39" x14ac:dyDescent="0.25">
      <c r="A52" t="s">
        <v>233</v>
      </c>
      <c r="B52" t="str">
        <f>'Basis Options'!C57</f>
        <v>NE8644</v>
      </c>
      <c r="C52" t="s">
        <v>255</v>
      </c>
      <c r="D52" t="s">
        <v>234</v>
      </c>
      <c r="E52" t="s">
        <v>20</v>
      </c>
      <c r="F52" t="str">
        <f>'Basis Options'!A57</f>
        <v>JARON</v>
      </c>
      <c r="G52" t="s">
        <v>269</v>
      </c>
      <c r="H52" t="s">
        <v>254</v>
      </c>
      <c r="I52" t="s">
        <v>242</v>
      </c>
      <c r="J52" t="s">
        <v>235</v>
      </c>
      <c r="K52" s="380">
        <f>'Basis Options'!G57</f>
        <v>36892</v>
      </c>
      <c r="L52" s="235">
        <f>'Basis Options'!U57</f>
        <v>54713.722490727865</v>
      </c>
      <c r="M52" s="380">
        <f>'Basis Options'!Q57</f>
        <v>36888</v>
      </c>
      <c r="N52" t="str">
        <f>'Basis Options'!F57</f>
        <v>P</v>
      </c>
      <c r="O52">
        <f>'Basis Options'!I57</f>
        <v>0.75</v>
      </c>
      <c r="P52">
        <v>0</v>
      </c>
      <c r="Q52">
        <v>0</v>
      </c>
      <c r="R52">
        <v>0</v>
      </c>
      <c r="S52">
        <v>0</v>
      </c>
      <c r="T52" t="s">
        <v>253</v>
      </c>
      <c r="U52" t="str">
        <f>IF('Basis Options'!D57="NGI/CHI. GATE","""NGI/CHI. GATE""",TRIM('Basis Options'!D57))</f>
        <v>IF-TRANSCO/Z6</v>
      </c>
      <c r="V52" t="s">
        <v>253</v>
      </c>
      <c r="W52" t="s">
        <v>132</v>
      </c>
      <c r="X52" t="s">
        <v>253</v>
      </c>
      <c r="Y52" t="s">
        <v>235</v>
      </c>
      <c r="Z52" t="s">
        <v>236</v>
      </c>
      <c r="AA52" t="s">
        <v>253</v>
      </c>
      <c r="AB52" t="s">
        <v>1</v>
      </c>
      <c r="AC52" s="235">
        <f>'Basis Options'!H57</f>
        <v>500000</v>
      </c>
      <c r="AD52" s="235">
        <f>'Basis Options'!W57</f>
        <v>25281.884867561384</v>
      </c>
      <c r="AE52">
        <v>0</v>
      </c>
      <c r="AF52">
        <v>0</v>
      </c>
      <c r="AG52">
        <v>0</v>
      </c>
      <c r="AH52" s="235">
        <f>'Basis Options'!CD57</f>
        <v>0</v>
      </c>
      <c r="AI52">
        <v>226</v>
      </c>
      <c r="AJ52" t="s">
        <v>256</v>
      </c>
      <c r="AK52">
        <v>0</v>
      </c>
      <c r="AL52">
        <v>0</v>
      </c>
      <c r="AM52">
        <v>0</v>
      </c>
    </row>
    <row r="53" spans="1:39" x14ac:dyDescent="0.25">
      <c r="A53" t="s">
        <v>233</v>
      </c>
      <c r="B53" t="str">
        <f>'Basis Options'!C58</f>
        <v>NE8644</v>
      </c>
      <c r="C53" t="s">
        <v>255</v>
      </c>
      <c r="D53" t="s">
        <v>234</v>
      </c>
      <c r="E53" t="s">
        <v>20</v>
      </c>
      <c r="F53" t="str">
        <f>'Basis Options'!A58</f>
        <v>JARON</v>
      </c>
      <c r="G53" t="s">
        <v>269</v>
      </c>
      <c r="H53" t="s">
        <v>254</v>
      </c>
      <c r="I53" t="s">
        <v>242</v>
      </c>
      <c r="J53" t="s">
        <v>235</v>
      </c>
      <c r="K53" s="380">
        <f>'Basis Options'!G58</f>
        <v>36861</v>
      </c>
      <c r="L53" s="235">
        <f>'Basis Options'!U58</f>
        <v>73048.403199083463</v>
      </c>
      <c r="M53" s="380">
        <f>'Basis Options'!Q58</f>
        <v>36859</v>
      </c>
      <c r="N53" t="str">
        <f>'Basis Options'!F58</f>
        <v>P</v>
      </c>
      <c r="O53">
        <f>'Basis Options'!I58</f>
        <v>0.75</v>
      </c>
      <c r="P53">
        <v>0</v>
      </c>
      <c r="Q53">
        <v>0</v>
      </c>
      <c r="R53">
        <v>0</v>
      </c>
      <c r="S53">
        <v>0</v>
      </c>
      <c r="T53" t="s">
        <v>253</v>
      </c>
      <c r="U53" t="str">
        <f>IF('Basis Options'!D58="NGI/CHI. GATE","""NGI/CHI. GATE""",TRIM('Basis Options'!D58))</f>
        <v>IF-TRANSCO/Z6</v>
      </c>
      <c r="V53" t="s">
        <v>253</v>
      </c>
      <c r="W53" t="s">
        <v>132</v>
      </c>
      <c r="X53" t="s">
        <v>253</v>
      </c>
      <c r="Y53" t="s">
        <v>235</v>
      </c>
      <c r="Z53" t="s">
        <v>236</v>
      </c>
      <c r="AA53" t="s">
        <v>253</v>
      </c>
      <c r="AB53" t="s">
        <v>1</v>
      </c>
      <c r="AC53" s="235">
        <f>'Basis Options'!H58</f>
        <v>500000</v>
      </c>
      <c r="AD53" s="235">
        <f>'Basis Options'!W58</f>
        <v>27560.290282280752</v>
      </c>
      <c r="AE53">
        <v>0</v>
      </c>
      <c r="AF53">
        <v>0</v>
      </c>
      <c r="AG53">
        <v>0</v>
      </c>
      <c r="AH53" s="235">
        <f>'Basis Options'!CD58</f>
        <v>0</v>
      </c>
      <c r="AI53">
        <v>226</v>
      </c>
      <c r="AJ53" t="s">
        <v>256</v>
      </c>
      <c r="AK53">
        <v>0</v>
      </c>
      <c r="AL53">
        <v>0</v>
      </c>
      <c r="AM53">
        <v>0</v>
      </c>
    </row>
    <row r="54" spans="1:39" x14ac:dyDescent="0.25">
      <c r="A54" t="s">
        <v>233</v>
      </c>
      <c r="B54" t="str">
        <f>'Basis Options'!C59</f>
        <v>NE8644</v>
      </c>
      <c r="C54" t="s">
        <v>255</v>
      </c>
      <c r="D54" t="s">
        <v>234</v>
      </c>
      <c r="E54" t="s">
        <v>20</v>
      </c>
      <c r="F54" t="str">
        <f>'Basis Options'!A59</f>
        <v>JARON</v>
      </c>
      <c r="G54" t="s">
        <v>269</v>
      </c>
      <c r="H54" t="s">
        <v>254</v>
      </c>
      <c r="I54" t="s">
        <v>242</v>
      </c>
      <c r="J54" t="s">
        <v>235</v>
      </c>
      <c r="K54" s="380">
        <f>'Basis Options'!G59</f>
        <v>36831</v>
      </c>
      <c r="L54" s="235">
        <f>'Basis Options'!U59</f>
        <v>123798.66974732462</v>
      </c>
      <c r="M54" s="380">
        <f>'Basis Options'!Q59</f>
        <v>36829</v>
      </c>
      <c r="N54" t="str">
        <f>'Basis Options'!F59</f>
        <v>P</v>
      </c>
      <c r="O54">
        <f>'Basis Options'!I59</f>
        <v>0.75</v>
      </c>
      <c r="P54">
        <v>0</v>
      </c>
      <c r="Q54">
        <v>0</v>
      </c>
      <c r="R54">
        <v>0</v>
      </c>
      <c r="S54">
        <v>0</v>
      </c>
      <c r="T54" t="s">
        <v>253</v>
      </c>
      <c r="U54" t="str">
        <f>IF('Basis Options'!D59="NGI/CHI. GATE","""NGI/CHI. GATE""",TRIM('Basis Options'!D59))</f>
        <v>IF-TRANSCO/Z6</v>
      </c>
      <c r="V54" t="s">
        <v>253</v>
      </c>
      <c r="W54" t="s">
        <v>132</v>
      </c>
      <c r="X54" t="s">
        <v>253</v>
      </c>
      <c r="Y54" t="s">
        <v>235</v>
      </c>
      <c r="Z54" t="s">
        <v>236</v>
      </c>
      <c r="AA54" t="s">
        <v>253</v>
      </c>
      <c r="AB54" t="s">
        <v>1</v>
      </c>
      <c r="AC54" s="235">
        <f>'Basis Options'!H59</f>
        <v>500000</v>
      </c>
      <c r="AD54" s="235">
        <f>'Basis Options'!W59</f>
        <v>22399.683834987489</v>
      </c>
      <c r="AE54">
        <v>0</v>
      </c>
      <c r="AF54">
        <v>0</v>
      </c>
      <c r="AG54">
        <v>0</v>
      </c>
      <c r="AH54" s="235">
        <f>'Basis Options'!CD59</f>
        <v>0</v>
      </c>
      <c r="AI54">
        <v>226</v>
      </c>
      <c r="AJ54" t="s">
        <v>256</v>
      </c>
      <c r="AK54">
        <v>0</v>
      </c>
      <c r="AL54">
        <v>0</v>
      </c>
      <c r="AM54">
        <v>0</v>
      </c>
    </row>
    <row r="55" spans="1:39" x14ac:dyDescent="0.25">
      <c r="A55" t="s">
        <v>233</v>
      </c>
      <c r="B55" t="str">
        <f>'Basis Options'!C60</f>
        <v>NE9017</v>
      </c>
      <c r="C55" t="s">
        <v>255</v>
      </c>
      <c r="D55" t="s">
        <v>234</v>
      </c>
      <c r="E55" t="s">
        <v>20</v>
      </c>
      <c r="F55" t="str">
        <f>'Basis Options'!A60</f>
        <v>ELPASMER</v>
      </c>
      <c r="G55" t="s">
        <v>269</v>
      </c>
      <c r="H55" t="s">
        <v>254</v>
      </c>
      <c r="I55" t="s">
        <v>242</v>
      </c>
      <c r="J55" t="s">
        <v>235</v>
      </c>
      <c r="K55" s="380">
        <f>'Basis Options'!G60</f>
        <v>36951</v>
      </c>
      <c r="L55" s="235">
        <f>'Basis Options'!U60</f>
        <v>-237676.36339519246</v>
      </c>
      <c r="M55" s="380">
        <f>'Basis Options'!Q60</f>
        <v>36949</v>
      </c>
      <c r="N55" t="str">
        <f>'Basis Options'!F60</f>
        <v>C</v>
      </c>
      <c r="O55">
        <f>'Basis Options'!I60</f>
        <v>1.1499999999999999</v>
      </c>
      <c r="P55">
        <v>0</v>
      </c>
      <c r="Q55">
        <v>0</v>
      </c>
      <c r="R55">
        <v>0</v>
      </c>
      <c r="S55">
        <v>0</v>
      </c>
      <c r="T55" t="s">
        <v>253</v>
      </c>
      <c r="U55" t="str">
        <f>IF('Basis Options'!D60="NGI/CHI. GATE","""NGI/CHI. GATE""",TRIM('Basis Options'!D60))</f>
        <v>IF-TRANSCO/Z6</v>
      </c>
      <c r="V55" t="s">
        <v>253</v>
      </c>
      <c r="W55" t="s">
        <v>132</v>
      </c>
      <c r="X55" t="s">
        <v>253</v>
      </c>
      <c r="Y55" t="s">
        <v>235</v>
      </c>
      <c r="Z55" t="s">
        <v>236</v>
      </c>
      <c r="AA55" t="s">
        <v>253</v>
      </c>
      <c r="AB55" t="s">
        <v>1</v>
      </c>
      <c r="AC55" s="235">
        <f>'Basis Options'!H60</f>
        <v>-500000</v>
      </c>
      <c r="AD55" s="235">
        <f>'Basis Options'!W60</f>
        <v>-44004.415327242081</v>
      </c>
      <c r="AE55">
        <v>0</v>
      </c>
      <c r="AF55">
        <v>0</v>
      </c>
      <c r="AG55">
        <v>0</v>
      </c>
      <c r="AH55" s="235">
        <f>'Basis Options'!CD60</f>
        <v>0</v>
      </c>
      <c r="AI55">
        <v>226</v>
      </c>
      <c r="AJ55" t="s">
        <v>256</v>
      </c>
      <c r="AK55">
        <v>0</v>
      </c>
      <c r="AL55">
        <v>0</v>
      </c>
      <c r="AM55">
        <v>0</v>
      </c>
    </row>
    <row r="56" spans="1:39" x14ac:dyDescent="0.25">
      <c r="A56" t="s">
        <v>233</v>
      </c>
      <c r="B56" t="str">
        <f>'Basis Options'!C61</f>
        <v>NE9017</v>
      </c>
      <c r="C56" t="s">
        <v>255</v>
      </c>
      <c r="D56" t="s">
        <v>234</v>
      </c>
      <c r="E56" t="s">
        <v>20</v>
      </c>
      <c r="F56" t="str">
        <f>'Basis Options'!A61</f>
        <v>ELPASMER</v>
      </c>
      <c r="G56" t="s">
        <v>269</v>
      </c>
      <c r="H56" t="s">
        <v>254</v>
      </c>
      <c r="I56" t="s">
        <v>242</v>
      </c>
      <c r="J56" t="s">
        <v>235</v>
      </c>
      <c r="K56" s="380">
        <f>'Basis Options'!G61</f>
        <v>36923</v>
      </c>
      <c r="L56" s="235">
        <f>'Basis Options'!U61</f>
        <v>-581880.16986633604</v>
      </c>
      <c r="M56" s="380">
        <f>'Basis Options'!Q61</f>
        <v>36921</v>
      </c>
      <c r="N56" t="str">
        <f>'Basis Options'!F61</f>
        <v>C</v>
      </c>
      <c r="O56">
        <f>'Basis Options'!I61</f>
        <v>1.1499999999999999</v>
      </c>
      <c r="P56">
        <v>0</v>
      </c>
      <c r="Q56">
        <v>0</v>
      </c>
      <c r="R56">
        <v>0</v>
      </c>
      <c r="S56">
        <v>0</v>
      </c>
      <c r="T56" t="s">
        <v>253</v>
      </c>
      <c r="U56" t="str">
        <f>IF('Basis Options'!D61="NGI/CHI. GATE","""NGI/CHI. GATE""",TRIM('Basis Options'!D61))</f>
        <v>IF-TRANSCO/Z6</v>
      </c>
      <c r="V56" t="s">
        <v>253</v>
      </c>
      <c r="W56" t="s">
        <v>132</v>
      </c>
      <c r="X56" t="s">
        <v>253</v>
      </c>
      <c r="Y56" t="s">
        <v>235</v>
      </c>
      <c r="Z56" t="s">
        <v>236</v>
      </c>
      <c r="AA56" t="s">
        <v>253</v>
      </c>
      <c r="AB56" t="s">
        <v>1</v>
      </c>
      <c r="AC56" s="235">
        <f>'Basis Options'!H61</f>
        <v>-500000</v>
      </c>
      <c r="AD56" s="235">
        <f>'Basis Options'!W61</f>
        <v>-37436.006247210724</v>
      </c>
      <c r="AE56">
        <v>0</v>
      </c>
      <c r="AF56">
        <v>0</v>
      </c>
      <c r="AG56">
        <v>0</v>
      </c>
      <c r="AH56" s="235">
        <f>'Basis Options'!CD61</f>
        <v>0</v>
      </c>
      <c r="AI56">
        <v>226</v>
      </c>
      <c r="AJ56" t="s">
        <v>256</v>
      </c>
      <c r="AK56">
        <v>0</v>
      </c>
      <c r="AL56">
        <v>0</v>
      </c>
      <c r="AM56">
        <v>0</v>
      </c>
    </row>
    <row r="57" spans="1:39" x14ac:dyDescent="0.25">
      <c r="A57" t="s">
        <v>233</v>
      </c>
      <c r="B57" t="str">
        <f>'Basis Options'!C62</f>
        <v>NE9017</v>
      </c>
      <c r="C57" t="s">
        <v>255</v>
      </c>
      <c r="D57" t="s">
        <v>234</v>
      </c>
      <c r="E57" t="s">
        <v>20</v>
      </c>
      <c r="F57" t="str">
        <f>'Basis Options'!A62</f>
        <v>ELPASMER</v>
      </c>
      <c r="G57" t="s">
        <v>269</v>
      </c>
      <c r="H57" t="s">
        <v>254</v>
      </c>
      <c r="I57" t="s">
        <v>242</v>
      </c>
      <c r="J57" t="s">
        <v>235</v>
      </c>
      <c r="K57" s="380">
        <f>'Basis Options'!G62</f>
        <v>36892</v>
      </c>
      <c r="L57" s="235">
        <f>'Basis Options'!U62</f>
        <v>-601909.46530661907</v>
      </c>
      <c r="M57" s="380">
        <f>'Basis Options'!Q62</f>
        <v>36888</v>
      </c>
      <c r="N57" t="str">
        <f>'Basis Options'!F62</f>
        <v>C</v>
      </c>
      <c r="O57">
        <f>'Basis Options'!I62</f>
        <v>1.1499999999999999</v>
      </c>
      <c r="P57">
        <v>0</v>
      </c>
      <c r="Q57">
        <v>0</v>
      </c>
      <c r="R57">
        <v>0</v>
      </c>
      <c r="S57">
        <v>0</v>
      </c>
      <c r="T57" t="s">
        <v>253</v>
      </c>
      <c r="U57" t="str">
        <f>IF('Basis Options'!D62="NGI/CHI. GATE","""NGI/CHI. GATE""",TRIM('Basis Options'!D62))</f>
        <v>IF-TRANSCO/Z6</v>
      </c>
      <c r="V57" t="s">
        <v>253</v>
      </c>
      <c r="W57" t="s">
        <v>132</v>
      </c>
      <c r="X57" t="s">
        <v>253</v>
      </c>
      <c r="Y57" t="s">
        <v>235</v>
      </c>
      <c r="Z57" t="s">
        <v>236</v>
      </c>
      <c r="AA57" t="s">
        <v>253</v>
      </c>
      <c r="AB57" t="s">
        <v>1</v>
      </c>
      <c r="AC57" s="235">
        <f>'Basis Options'!H62</f>
        <v>-500000</v>
      </c>
      <c r="AD57" s="235">
        <f>'Basis Options'!W62</f>
        <v>-32405.476505737694</v>
      </c>
      <c r="AE57">
        <v>0</v>
      </c>
      <c r="AF57">
        <v>0</v>
      </c>
      <c r="AG57">
        <v>0</v>
      </c>
      <c r="AH57" s="235">
        <f>'Basis Options'!CD62</f>
        <v>0</v>
      </c>
      <c r="AI57">
        <v>226</v>
      </c>
      <c r="AJ57" t="s">
        <v>256</v>
      </c>
      <c r="AK57">
        <v>0</v>
      </c>
      <c r="AL57">
        <v>0</v>
      </c>
      <c r="AM57">
        <v>0</v>
      </c>
    </row>
    <row r="58" spans="1:39" x14ac:dyDescent="0.25">
      <c r="A58" t="s">
        <v>233</v>
      </c>
      <c r="B58" t="str">
        <f>'Basis Options'!C63</f>
        <v>NE9017</v>
      </c>
      <c r="C58" t="s">
        <v>255</v>
      </c>
      <c r="D58" t="s">
        <v>234</v>
      </c>
      <c r="E58" t="s">
        <v>20</v>
      </c>
      <c r="F58" t="str">
        <f>'Basis Options'!A63</f>
        <v>ELPASMER</v>
      </c>
      <c r="G58" t="s">
        <v>269</v>
      </c>
      <c r="H58" t="s">
        <v>254</v>
      </c>
      <c r="I58" t="s">
        <v>242</v>
      </c>
      <c r="J58" t="s">
        <v>235</v>
      </c>
      <c r="K58" s="380">
        <f>'Basis Options'!G63</f>
        <v>36861</v>
      </c>
      <c r="L58" s="235">
        <f>'Basis Options'!U63</f>
        <v>-381681.70744700439</v>
      </c>
      <c r="M58" s="380">
        <f>'Basis Options'!Q63</f>
        <v>36859</v>
      </c>
      <c r="N58" t="str">
        <f>'Basis Options'!F63</f>
        <v>C</v>
      </c>
      <c r="O58">
        <f>'Basis Options'!I63</f>
        <v>1.1499999999999999</v>
      </c>
      <c r="P58">
        <v>0</v>
      </c>
      <c r="Q58">
        <v>0</v>
      </c>
      <c r="R58">
        <v>0</v>
      </c>
      <c r="S58">
        <v>0</v>
      </c>
      <c r="T58" t="s">
        <v>253</v>
      </c>
      <c r="U58" t="str">
        <f>IF('Basis Options'!D63="NGI/CHI. GATE","""NGI/CHI. GATE""",TRIM('Basis Options'!D63))</f>
        <v>IF-TRANSCO/Z6</v>
      </c>
      <c r="V58" t="s">
        <v>253</v>
      </c>
      <c r="W58" t="s">
        <v>132</v>
      </c>
      <c r="X58" t="s">
        <v>253</v>
      </c>
      <c r="Y58" t="s">
        <v>235</v>
      </c>
      <c r="Z58" t="s">
        <v>236</v>
      </c>
      <c r="AA58" t="s">
        <v>253</v>
      </c>
      <c r="AB58" t="s">
        <v>1</v>
      </c>
      <c r="AC58" s="235">
        <f>'Basis Options'!H63</f>
        <v>-500000</v>
      </c>
      <c r="AD58" s="235">
        <f>'Basis Options'!W63</f>
        <v>-33263.027011799451</v>
      </c>
      <c r="AE58">
        <v>0</v>
      </c>
      <c r="AF58">
        <v>0</v>
      </c>
      <c r="AG58">
        <v>0</v>
      </c>
      <c r="AH58" s="235">
        <f>'Basis Options'!CD63</f>
        <v>0</v>
      </c>
      <c r="AI58">
        <v>226</v>
      </c>
      <c r="AJ58" t="s">
        <v>256</v>
      </c>
      <c r="AK58">
        <v>0</v>
      </c>
      <c r="AL58">
        <v>0</v>
      </c>
      <c r="AM58">
        <v>0</v>
      </c>
    </row>
    <row r="59" spans="1:39" x14ac:dyDescent="0.25">
      <c r="A59" t="s">
        <v>233</v>
      </c>
      <c r="B59" t="str">
        <f>'Basis Options'!C64</f>
        <v>NE9017</v>
      </c>
      <c r="C59" t="s">
        <v>255</v>
      </c>
      <c r="D59" t="s">
        <v>234</v>
      </c>
      <c r="E59" t="s">
        <v>20</v>
      </c>
      <c r="F59" t="str">
        <f>'Basis Options'!A64</f>
        <v>ELPASMER</v>
      </c>
      <c r="G59" t="s">
        <v>269</v>
      </c>
      <c r="H59" t="s">
        <v>254</v>
      </c>
      <c r="I59" t="s">
        <v>242</v>
      </c>
      <c r="J59" t="s">
        <v>235</v>
      </c>
      <c r="K59" s="380">
        <f>'Basis Options'!G64</f>
        <v>36831</v>
      </c>
      <c r="L59" s="235">
        <f>'Basis Options'!U64</f>
        <v>-62632.222445207401</v>
      </c>
      <c r="M59" s="380">
        <f>'Basis Options'!Q64</f>
        <v>36829</v>
      </c>
      <c r="N59" t="str">
        <f>'Basis Options'!F64</f>
        <v>C</v>
      </c>
      <c r="O59">
        <f>'Basis Options'!I64</f>
        <v>1.1499999999999999</v>
      </c>
      <c r="P59">
        <v>0</v>
      </c>
      <c r="Q59">
        <v>0</v>
      </c>
      <c r="R59">
        <v>0</v>
      </c>
      <c r="S59">
        <v>0</v>
      </c>
      <c r="T59" t="s">
        <v>253</v>
      </c>
      <c r="U59" t="str">
        <f>IF('Basis Options'!D64="NGI/CHI. GATE","""NGI/CHI. GATE""",TRIM('Basis Options'!D64))</f>
        <v>IF-TRANSCO/Z6</v>
      </c>
      <c r="V59" t="s">
        <v>253</v>
      </c>
      <c r="W59" t="s">
        <v>132</v>
      </c>
      <c r="X59" t="s">
        <v>253</v>
      </c>
      <c r="Y59" t="s">
        <v>235</v>
      </c>
      <c r="Z59" t="s">
        <v>236</v>
      </c>
      <c r="AA59" t="s">
        <v>253</v>
      </c>
      <c r="AB59" t="s">
        <v>1</v>
      </c>
      <c r="AC59" s="235">
        <f>'Basis Options'!H64</f>
        <v>-500000</v>
      </c>
      <c r="AD59" s="235">
        <f>'Basis Options'!W64</f>
        <v>-18677.671223290672</v>
      </c>
      <c r="AE59">
        <v>0</v>
      </c>
      <c r="AF59">
        <v>0</v>
      </c>
      <c r="AG59">
        <v>0</v>
      </c>
      <c r="AH59" s="235">
        <f>'Basis Options'!CD64</f>
        <v>0</v>
      </c>
      <c r="AI59">
        <v>226</v>
      </c>
      <c r="AJ59" t="s">
        <v>256</v>
      </c>
      <c r="AK59">
        <v>0</v>
      </c>
      <c r="AL59">
        <v>0</v>
      </c>
      <c r="AM59">
        <v>0</v>
      </c>
    </row>
    <row r="60" spans="1:39" x14ac:dyDescent="0.25">
      <c r="A60" t="s">
        <v>233</v>
      </c>
      <c r="B60" t="str">
        <f>'Basis Options'!C65</f>
        <v>NF0077.1</v>
      </c>
      <c r="C60" t="s">
        <v>255</v>
      </c>
      <c r="D60" t="s">
        <v>234</v>
      </c>
      <c r="E60" t="s">
        <v>20</v>
      </c>
      <c r="F60" t="str">
        <f>'Basis Options'!A65</f>
        <v>JARON</v>
      </c>
      <c r="G60" t="s">
        <v>269</v>
      </c>
      <c r="H60" t="s">
        <v>254</v>
      </c>
      <c r="I60" t="s">
        <v>242</v>
      </c>
      <c r="J60" t="s">
        <v>235</v>
      </c>
      <c r="K60" s="380">
        <f>'Basis Options'!G65</f>
        <v>36800</v>
      </c>
      <c r="L60" s="235">
        <f>'Basis Options'!U65</f>
        <v>-30348.489292873946</v>
      </c>
      <c r="M60" s="380">
        <f>'Basis Options'!Q65</f>
        <v>36797</v>
      </c>
      <c r="N60" t="str">
        <f>'Basis Options'!F65</f>
        <v>C</v>
      </c>
      <c r="O60">
        <f>'Basis Options'!I65</f>
        <v>0.3</v>
      </c>
      <c r="P60">
        <v>0</v>
      </c>
      <c r="Q60">
        <v>0</v>
      </c>
      <c r="R60">
        <v>0</v>
      </c>
      <c r="S60">
        <v>0</v>
      </c>
      <c r="T60" t="s">
        <v>253</v>
      </c>
      <c r="U60" t="str">
        <f>IF('Basis Options'!D65="NGI/CHI. GATE","""NGI/CHI. GATE""",TRIM('Basis Options'!D65))</f>
        <v>IF-TRANSCO/Z6</v>
      </c>
      <c r="V60" t="s">
        <v>253</v>
      </c>
      <c r="W60" t="s">
        <v>132</v>
      </c>
      <c r="X60" t="s">
        <v>253</v>
      </c>
      <c r="Y60" t="s">
        <v>235</v>
      </c>
      <c r="Z60" t="s">
        <v>236</v>
      </c>
      <c r="AA60" t="s">
        <v>253</v>
      </c>
      <c r="AB60" t="s">
        <v>1</v>
      </c>
      <c r="AC60" s="235">
        <f>'Basis Options'!H65</f>
        <v>-250000</v>
      </c>
      <c r="AD60" s="235">
        <f>'Basis Options'!W65</f>
        <v>-943.98568605829496</v>
      </c>
      <c r="AE60">
        <v>0</v>
      </c>
      <c r="AF60">
        <v>0</v>
      </c>
      <c r="AG60">
        <v>0</v>
      </c>
      <c r="AH60" s="235">
        <f>'Basis Options'!CD65</f>
        <v>0</v>
      </c>
      <c r="AI60">
        <v>226</v>
      </c>
      <c r="AJ60" t="s">
        <v>256</v>
      </c>
      <c r="AK60">
        <v>0</v>
      </c>
      <c r="AL60">
        <v>0</v>
      </c>
      <c r="AM60">
        <v>0</v>
      </c>
    </row>
    <row r="61" spans="1:39" x14ac:dyDescent="0.25">
      <c r="A61" t="s">
        <v>233</v>
      </c>
      <c r="B61" t="str">
        <f>'Basis Options'!C66</f>
        <v>NF0077.1</v>
      </c>
      <c r="C61" t="s">
        <v>255</v>
      </c>
      <c r="D61" t="s">
        <v>234</v>
      </c>
      <c r="E61" t="s">
        <v>20</v>
      </c>
      <c r="F61" t="str">
        <f>'Basis Options'!A66</f>
        <v>JARON</v>
      </c>
      <c r="G61" t="s">
        <v>269</v>
      </c>
      <c r="H61" t="s">
        <v>254</v>
      </c>
      <c r="I61" t="s">
        <v>242</v>
      </c>
      <c r="J61" t="s">
        <v>235</v>
      </c>
      <c r="K61" s="380">
        <f>'Basis Options'!G66</f>
        <v>36770</v>
      </c>
      <c r="L61" s="235">
        <f>'Basis Options'!U66</f>
        <v>-3948.7806323374089</v>
      </c>
      <c r="M61" s="380">
        <f>'Basis Options'!Q66</f>
        <v>36768</v>
      </c>
      <c r="N61" t="str">
        <f>'Basis Options'!F66</f>
        <v>C</v>
      </c>
      <c r="O61">
        <f>'Basis Options'!I66</f>
        <v>0.3</v>
      </c>
      <c r="P61">
        <v>0</v>
      </c>
      <c r="Q61">
        <v>0</v>
      </c>
      <c r="R61">
        <v>0</v>
      </c>
      <c r="S61">
        <v>0</v>
      </c>
      <c r="T61" t="s">
        <v>253</v>
      </c>
      <c r="U61" t="str">
        <f>IF('Basis Options'!D66="NGI/CHI. GATE","""NGI/CHI. GATE""",TRIM('Basis Options'!D66))</f>
        <v>IF-TRANSCO/Z6</v>
      </c>
      <c r="V61" t="s">
        <v>253</v>
      </c>
      <c r="W61" t="s">
        <v>132</v>
      </c>
      <c r="X61" t="s">
        <v>253</v>
      </c>
      <c r="Y61" t="s">
        <v>235</v>
      </c>
      <c r="Z61" t="s">
        <v>236</v>
      </c>
      <c r="AA61" t="s">
        <v>253</v>
      </c>
      <c r="AB61" t="s">
        <v>1</v>
      </c>
      <c r="AC61" s="235">
        <f>'Basis Options'!H66</f>
        <v>-250000</v>
      </c>
      <c r="AD61" s="235">
        <f>'Basis Options'!W66</f>
        <v>-115.75182253227104</v>
      </c>
      <c r="AE61">
        <v>0</v>
      </c>
      <c r="AF61">
        <v>0</v>
      </c>
      <c r="AG61">
        <v>0</v>
      </c>
      <c r="AH61" s="235">
        <f>'Basis Options'!CD66</f>
        <v>0</v>
      </c>
      <c r="AI61">
        <v>226</v>
      </c>
      <c r="AJ61" t="s">
        <v>256</v>
      </c>
      <c r="AK61">
        <v>0</v>
      </c>
      <c r="AL61">
        <v>0</v>
      </c>
      <c r="AM61">
        <v>0</v>
      </c>
    </row>
    <row r="62" spans="1:39" x14ac:dyDescent="0.25">
      <c r="A62" t="s">
        <v>233</v>
      </c>
      <c r="B62" t="str">
        <f>'Basis Options'!C67</f>
        <v>NF0077.2</v>
      </c>
      <c r="C62" t="s">
        <v>255</v>
      </c>
      <c r="D62" t="s">
        <v>234</v>
      </c>
      <c r="E62" t="s">
        <v>20</v>
      </c>
      <c r="F62" t="str">
        <f>'Basis Options'!A67</f>
        <v>JARON</v>
      </c>
      <c r="G62" t="s">
        <v>269</v>
      </c>
      <c r="H62" t="s">
        <v>254</v>
      </c>
      <c r="I62" t="s">
        <v>242</v>
      </c>
      <c r="J62" t="s">
        <v>235</v>
      </c>
      <c r="K62" s="380">
        <f>'Basis Options'!G67</f>
        <v>36800</v>
      </c>
      <c r="L62" s="235">
        <f>'Basis Options'!U67</f>
        <v>-1758.7359180640944</v>
      </c>
      <c r="M62" s="380">
        <f>'Basis Options'!Q67</f>
        <v>36797</v>
      </c>
      <c r="N62" t="str">
        <f>'Basis Options'!F67</f>
        <v>P</v>
      </c>
      <c r="O62">
        <f>'Basis Options'!I67</f>
        <v>0.3</v>
      </c>
      <c r="P62">
        <v>0</v>
      </c>
      <c r="Q62">
        <v>0</v>
      </c>
      <c r="R62">
        <v>0</v>
      </c>
      <c r="S62">
        <v>0</v>
      </c>
      <c r="T62" t="s">
        <v>253</v>
      </c>
      <c r="U62" t="str">
        <f>IF('Basis Options'!D67="NGI/CHI. GATE","""NGI/CHI. GATE""",TRIM('Basis Options'!D67))</f>
        <v>IF-TRANSCO/Z6</v>
      </c>
      <c r="V62" t="s">
        <v>253</v>
      </c>
      <c r="W62" t="s">
        <v>132</v>
      </c>
      <c r="X62" t="s">
        <v>253</v>
      </c>
      <c r="Y62" t="s">
        <v>235</v>
      </c>
      <c r="Z62" t="s">
        <v>236</v>
      </c>
      <c r="AA62" t="s">
        <v>253</v>
      </c>
      <c r="AB62" t="s">
        <v>1</v>
      </c>
      <c r="AC62" s="235">
        <f>'Basis Options'!H67</f>
        <v>-250000</v>
      </c>
      <c r="AD62" s="235">
        <f>'Basis Options'!W67</f>
        <v>-943.98568605830224</v>
      </c>
      <c r="AE62">
        <v>0</v>
      </c>
      <c r="AF62">
        <v>0</v>
      </c>
      <c r="AG62">
        <v>0</v>
      </c>
      <c r="AH62" s="235">
        <f>'Basis Options'!CD67</f>
        <v>0</v>
      </c>
      <c r="AI62">
        <v>226</v>
      </c>
      <c r="AJ62" t="s">
        <v>256</v>
      </c>
      <c r="AK62">
        <v>0</v>
      </c>
      <c r="AL62">
        <v>0</v>
      </c>
      <c r="AM62">
        <v>0</v>
      </c>
    </row>
    <row r="63" spans="1:39" x14ac:dyDescent="0.25">
      <c r="A63" t="s">
        <v>233</v>
      </c>
      <c r="B63" t="str">
        <f>'Basis Options'!C68</f>
        <v>NF0077.2</v>
      </c>
      <c r="C63" t="s">
        <v>255</v>
      </c>
      <c r="D63" t="s">
        <v>234</v>
      </c>
      <c r="E63" t="s">
        <v>20</v>
      </c>
      <c r="F63" t="str">
        <f>'Basis Options'!A68</f>
        <v>JARON</v>
      </c>
      <c r="G63" t="s">
        <v>269</v>
      </c>
      <c r="H63" t="s">
        <v>254</v>
      </c>
      <c r="I63" t="s">
        <v>242</v>
      </c>
      <c r="J63" t="s">
        <v>235</v>
      </c>
      <c r="K63" s="380">
        <f>'Basis Options'!G68</f>
        <v>36770</v>
      </c>
      <c r="L63" s="235">
        <f>'Basis Options'!U68</f>
        <v>-199.47067352600601</v>
      </c>
      <c r="M63" s="380">
        <f>'Basis Options'!Q68</f>
        <v>36768</v>
      </c>
      <c r="N63" t="str">
        <f>'Basis Options'!F68</f>
        <v>P</v>
      </c>
      <c r="O63">
        <f>'Basis Options'!I68</f>
        <v>0.3</v>
      </c>
      <c r="P63">
        <v>0</v>
      </c>
      <c r="Q63">
        <v>0</v>
      </c>
      <c r="R63">
        <v>0</v>
      </c>
      <c r="S63">
        <v>0</v>
      </c>
      <c r="T63" t="s">
        <v>253</v>
      </c>
      <c r="U63" t="str">
        <f>IF('Basis Options'!D68="NGI/CHI. GATE","""NGI/CHI. GATE""",TRIM('Basis Options'!D68))</f>
        <v>IF-TRANSCO/Z6</v>
      </c>
      <c r="V63" t="s">
        <v>253</v>
      </c>
      <c r="W63" t="s">
        <v>132</v>
      </c>
      <c r="X63" t="s">
        <v>253</v>
      </c>
      <c r="Y63" t="s">
        <v>235</v>
      </c>
      <c r="Z63" t="s">
        <v>236</v>
      </c>
      <c r="AA63" t="s">
        <v>253</v>
      </c>
      <c r="AB63" t="s">
        <v>1</v>
      </c>
      <c r="AC63" s="235">
        <f>'Basis Options'!H68</f>
        <v>-250000</v>
      </c>
      <c r="AD63" s="235">
        <f>'Basis Options'!W68</f>
        <v>-115.75182253229286</v>
      </c>
      <c r="AE63">
        <v>0</v>
      </c>
      <c r="AF63">
        <v>0</v>
      </c>
      <c r="AG63">
        <v>0</v>
      </c>
      <c r="AH63" s="235">
        <f>'Basis Options'!CD68</f>
        <v>0</v>
      </c>
      <c r="AI63">
        <v>226</v>
      </c>
      <c r="AJ63" t="s">
        <v>256</v>
      </c>
      <c r="AK63">
        <v>0</v>
      </c>
      <c r="AL63">
        <v>0</v>
      </c>
      <c r="AM63">
        <v>0</v>
      </c>
    </row>
    <row r="64" spans="1:39" x14ac:dyDescent="0.25">
      <c r="A64" t="s">
        <v>233</v>
      </c>
      <c r="B64" t="str">
        <f>'Basis Options'!C69</f>
        <v>NF0106.1</v>
      </c>
      <c r="C64" t="s">
        <v>255</v>
      </c>
      <c r="D64" t="s">
        <v>234</v>
      </c>
      <c r="E64" t="s">
        <v>20</v>
      </c>
      <c r="F64" t="str">
        <f>'Basis Options'!A69</f>
        <v>ELPASMER</v>
      </c>
      <c r="G64" t="s">
        <v>269</v>
      </c>
      <c r="H64" t="s">
        <v>254</v>
      </c>
      <c r="I64" t="s">
        <v>242</v>
      </c>
      <c r="J64" t="s">
        <v>235</v>
      </c>
      <c r="K64" s="380">
        <f>'Basis Options'!G69</f>
        <v>36800</v>
      </c>
      <c r="L64" s="235">
        <f>'Basis Options'!U69</f>
        <v>-30348.489292873946</v>
      </c>
      <c r="M64" s="380">
        <f>'Basis Options'!Q69</f>
        <v>36797</v>
      </c>
      <c r="N64" t="str">
        <f>'Basis Options'!F69</f>
        <v>C</v>
      </c>
      <c r="O64">
        <f>'Basis Options'!I69</f>
        <v>0.3</v>
      </c>
      <c r="P64">
        <v>0</v>
      </c>
      <c r="Q64">
        <v>0</v>
      </c>
      <c r="R64">
        <v>0</v>
      </c>
      <c r="S64">
        <v>0</v>
      </c>
      <c r="T64" t="s">
        <v>253</v>
      </c>
      <c r="U64" t="str">
        <f>IF('Basis Options'!D69="NGI/CHI. GATE","""NGI/CHI. GATE""",TRIM('Basis Options'!D69))</f>
        <v>IF-TRANSCO/Z6</v>
      </c>
      <c r="V64" t="s">
        <v>253</v>
      </c>
      <c r="W64" t="s">
        <v>132</v>
      </c>
      <c r="X64" t="s">
        <v>253</v>
      </c>
      <c r="Y64" t="s">
        <v>235</v>
      </c>
      <c r="Z64" t="s">
        <v>236</v>
      </c>
      <c r="AA64" t="s">
        <v>253</v>
      </c>
      <c r="AB64" t="s">
        <v>1</v>
      </c>
      <c r="AC64" s="235">
        <f>'Basis Options'!H69</f>
        <v>-250000</v>
      </c>
      <c r="AD64" s="235">
        <f>'Basis Options'!W69</f>
        <v>-943.98568605829496</v>
      </c>
      <c r="AE64">
        <v>0</v>
      </c>
      <c r="AF64">
        <v>0</v>
      </c>
      <c r="AG64">
        <v>0</v>
      </c>
      <c r="AH64" s="235">
        <f>'Basis Options'!CD69</f>
        <v>0</v>
      </c>
      <c r="AI64">
        <v>226</v>
      </c>
      <c r="AJ64" t="s">
        <v>256</v>
      </c>
      <c r="AK64">
        <v>0</v>
      </c>
      <c r="AL64">
        <v>0</v>
      </c>
      <c r="AM64">
        <v>0</v>
      </c>
    </row>
    <row r="65" spans="1:39" x14ac:dyDescent="0.25">
      <c r="A65" t="s">
        <v>233</v>
      </c>
      <c r="B65" t="str">
        <f>'Basis Options'!C70</f>
        <v>NF0106.1</v>
      </c>
      <c r="C65" t="s">
        <v>255</v>
      </c>
      <c r="D65" t="s">
        <v>234</v>
      </c>
      <c r="E65" t="s">
        <v>20</v>
      </c>
      <c r="F65" t="str">
        <f>'Basis Options'!A70</f>
        <v>ELPASMER</v>
      </c>
      <c r="G65" t="s">
        <v>269</v>
      </c>
      <c r="H65" t="s">
        <v>254</v>
      </c>
      <c r="I65" t="s">
        <v>242</v>
      </c>
      <c r="J65" t="s">
        <v>235</v>
      </c>
      <c r="K65" s="380">
        <f>'Basis Options'!G70</f>
        <v>36800</v>
      </c>
      <c r="L65" s="235">
        <f>'Basis Options'!U70</f>
        <v>-60696.978585747893</v>
      </c>
      <c r="M65" s="380">
        <f>'Basis Options'!Q70</f>
        <v>36797</v>
      </c>
      <c r="N65" t="str">
        <f>'Basis Options'!F70</f>
        <v>C</v>
      </c>
      <c r="O65">
        <f>'Basis Options'!I70</f>
        <v>0.3</v>
      </c>
      <c r="P65">
        <v>0</v>
      </c>
      <c r="Q65">
        <v>0</v>
      </c>
      <c r="R65">
        <v>0</v>
      </c>
      <c r="S65">
        <v>0</v>
      </c>
      <c r="T65" t="s">
        <v>253</v>
      </c>
      <c r="U65" t="str">
        <f>IF('Basis Options'!D70="NGI/CHI. GATE","""NGI/CHI. GATE""",TRIM('Basis Options'!D70))</f>
        <v>IF-TRANSCO/Z6</v>
      </c>
      <c r="V65" t="s">
        <v>253</v>
      </c>
      <c r="W65" t="s">
        <v>132</v>
      </c>
      <c r="X65" t="s">
        <v>253</v>
      </c>
      <c r="Y65" t="s">
        <v>235</v>
      </c>
      <c r="Z65" t="s">
        <v>236</v>
      </c>
      <c r="AA65" t="s">
        <v>253</v>
      </c>
      <c r="AB65" t="s">
        <v>1</v>
      </c>
      <c r="AC65" s="235">
        <f>'Basis Options'!H70</f>
        <v>-500000</v>
      </c>
      <c r="AD65" s="235">
        <f>'Basis Options'!W70</f>
        <v>-1887.9713721165899</v>
      </c>
      <c r="AE65">
        <v>0</v>
      </c>
      <c r="AF65">
        <v>0</v>
      </c>
      <c r="AG65">
        <v>0</v>
      </c>
      <c r="AH65" s="235">
        <f>'Basis Options'!CD70</f>
        <v>0</v>
      </c>
      <c r="AI65">
        <v>226</v>
      </c>
      <c r="AJ65" t="s">
        <v>256</v>
      </c>
      <c r="AK65">
        <v>0</v>
      </c>
      <c r="AL65">
        <v>0</v>
      </c>
      <c r="AM65">
        <v>0</v>
      </c>
    </row>
    <row r="66" spans="1:39" x14ac:dyDescent="0.25">
      <c r="A66" t="s">
        <v>233</v>
      </c>
      <c r="B66" t="str">
        <f>'Basis Options'!C71</f>
        <v>NF0106.1</v>
      </c>
      <c r="C66" t="s">
        <v>255</v>
      </c>
      <c r="D66" t="s">
        <v>234</v>
      </c>
      <c r="E66" t="s">
        <v>20</v>
      </c>
      <c r="F66" t="str">
        <f>'Basis Options'!A71</f>
        <v>ELPASMER</v>
      </c>
      <c r="G66" t="s">
        <v>269</v>
      </c>
      <c r="H66" t="s">
        <v>254</v>
      </c>
      <c r="I66" t="s">
        <v>242</v>
      </c>
      <c r="J66" t="s">
        <v>235</v>
      </c>
      <c r="K66" s="380">
        <f>'Basis Options'!G71</f>
        <v>36770</v>
      </c>
      <c r="L66" s="235">
        <f>'Basis Options'!U71</f>
        <v>-3948.7806323374089</v>
      </c>
      <c r="M66" s="380">
        <f>'Basis Options'!Q71</f>
        <v>36768</v>
      </c>
      <c r="N66" t="str">
        <f>'Basis Options'!F71</f>
        <v>C</v>
      </c>
      <c r="O66">
        <f>'Basis Options'!I71</f>
        <v>0.3</v>
      </c>
      <c r="P66">
        <v>0</v>
      </c>
      <c r="Q66">
        <v>0</v>
      </c>
      <c r="R66">
        <v>0</v>
      </c>
      <c r="S66">
        <v>0</v>
      </c>
      <c r="T66" t="s">
        <v>253</v>
      </c>
      <c r="U66" t="str">
        <f>IF('Basis Options'!D71="NGI/CHI. GATE","""NGI/CHI. GATE""",TRIM('Basis Options'!D71))</f>
        <v>IF-TRANSCO/Z6</v>
      </c>
      <c r="V66" t="s">
        <v>253</v>
      </c>
      <c r="W66" t="s">
        <v>132</v>
      </c>
      <c r="X66" t="s">
        <v>253</v>
      </c>
      <c r="Y66" t="s">
        <v>235</v>
      </c>
      <c r="Z66" t="s">
        <v>236</v>
      </c>
      <c r="AA66" t="s">
        <v>253</v>
      </c>
      <c r="AB66" t="s">
        <v>1</v>
      </c>
      <c r="AC66" s="235">
        <f>'Basis Options'!H71</f>
        <v>-250000</v>
      </c>
      <c r="AD66" s="235">
        <f>'Basis Options'!W71</f>
        <v>-115.75182253227104</v>
      </c>
      <c r="AE66">
        <v>0</v>
      </c>
      <c r="AF66">
        <v>0</v>
      </c>
      <c r="AG66">
        <v>0</v>
      </c>
      <c r="AH66" s="235">
        <f>'Basis Options'!CD71</f>
        <v>0</v>
      </c>
      <c r="AI66">
        <v>226</v>
      </c>
      <c r="AJ66" t="s">
        <v>256</v>
      </c>
      <c r="AK66">
        <v>0</v>
      </c>
      <c r="AL66">
        <v>0</v>
      </c>
      <c r="AM66">
        <v>0</v>
      </c>
    </row>
    <row r="67" spans="1:39" x14ac:dyDescent="0.25">
      <c r="A67" t="s">
        <v>233</v>
      </c>
      <c r="B67" t="str">
        <f>'Basis Options'!C72</f>
        <v>NF0106.1</v>
      </c>
      <c r="C67" t="s">
        <v>255</v>
      </c>
      <c r="D67" t="s">
        <v>234</v>
      </c>
      <c r="E67" t="s">
        <v>20</v>
      </c>
      <c r="F67" t="str">
        <f>'Basis Options'!A72</f>
        <v>ELPASMER</v>
      </c>
      <c r="G67" t="s">
        <v>269</v>
      </c>
      <c r="H67" t="s">
        <v>254</v>
      </c>
      <c r="I67" t="s">
        <v>242</v>
      </c>
      <c r="J67" t="s">
        <v>235</v>
      </c>
      <c r="K67" s="380">
        <f>'Basis Options'!G72</f>
        <v>36770</v>
      </c>
      <c r="L67" s="235">
        <f>'Basis Options'!U72</f>
        <v>-7897.5612646748177</v>
      </c>
      <c r="M67" s="380">
        <f>'Basis Options'!Q72</f>
        <v>36768</v>
      </c>
      <c r="N67" t="str">
        <f>'Basis Options'!F72</f>
        <v>C</v>
      </c>
      <c r="O67">
        <f>'Basis Options'!I72</f>
        <v>0.3</v>
      </c>
      <c r="P67">
        <v>0</v>
      </c>
      <c r="Q67">
        <v>0</v>
      </c>
      <c r="R67">
        <v>0</v>
      </c>
      <c r="S67">
        <v>0</v>
      </c>
      <c r="T67" t="s">
        <v>253</v>
      </c>
      <c r="U67" t="str">
        <f>IF('Basis Options'!D72="NGI/CHI. GATE","""NGI/CHI. GATE""",TRIM('Basis Options'!D72))</f>
        <v>IF-TRANSCO/Z6</v>
      </c>
      <c r="V67" t="s">
        <v>253</v>
      </c>
      <c r="W67" t="s">
        <v>132</v>
      </c>
      <c r="X67" t="s">
        <v>253</v>
      </c>
      <c r="Y67" t="s">
        <v>235</v>
      </c>
      <c r="Z67" t="s">
        <v>236</v>
      </c>
      <c r="AA67" t="s">
        <v>253</v>
      </c>
      <c r="AB67" t="s">
        <v>1</v>
      </c>
      <c r="AC67" s="235">
        <f>'Basis Options'!H72</f>
        <v>-500000</v>
      </c>
      <c r="AD67" s="235">
        <f>'Basis Options'!W72</f>
        <v>-231.50364506454207</v>
      </c>
      <c r="AE67">
        <v>0</v>
      </c>
      <c r="AF67">
        <v>0</v>
      </c>
      <c r="AG67">
        <v>0</v>
      </c>
      <c r="AH67" s="235">
        <f>'Basis Options'!CD72</f>
        <v>0</v>
      </c>
      <c r="AI67">
        <v>226</v>
      </c>
      <c r="AJ67" t="s">
        <v>256</v>
      </c>
      <c r="AK67">
        <v>0</v>
      </c>
      <c r="AL67">
        <v>0</v>
      </c>
      <c r="AM67">
        <v>0</v>
      </c>
    </row>
    <row r="68" spans="1:39" x14ac:dyDescent="0.25">
      <c r="A68" t="s">
        <v>233</v>
      </c>
      <c r="B68" t="str">
        <f>'Basis Options'!C73</f>
        <v>NF0106.2</v>
      </c>
      <c r="C68" t="s">
        <v>255</v>
      </c>
      <c r="D68" t="s">
        <v>234</v>
      </c>
      <c r="E68" t="s">
        <v>20</v>
      </c>
      <c r="F68" t="str">
        <f>'Basis Options'!A73</f>
        <v>ELPASMER</v>
      </c>
      <c r="G68" t="s">
        <v>269</v>
      </c>
      <c r="H68" t="s">
        <v>254</v>
      </c>
      <c r="I68" t="s">
        <v>242</v>
      </c>
      <c r="J68" t="s">
        <v>235</v>
      </c>
      <c r="K68" s="380">
        <f>'Basis Options'!G73</f>
        <v>36800</v>
      </c>
      <c r="L68" s="235">
        <f>'Basis Options'!U73</f>
        <v>-1758.7359180640944</v>
      </c>
      <c r="M68" s="380">
        <f>'Basis Options'!Q73</f>
        <v>36797</v>
      </c>
      <c r="N68" t="str">
        <f>'Basis Options'!F73</f>
        <v>P</v>
      </c>
      <c r="O68">
        <f>'Basis Options'!I73</f>
        <v>0.3</v>
      </c>
      <c r="P68">
        <v>0</v>
      </c>
      <c r="Q68">
        <v>0</v>
      </c>
      <c r="R68">
        <v>0</v>
      </c>
      <c r="S68">
        <v>0</v>
      </c>
      <c r="T68" t="s">
        <v>253</v>
      </c>
      <c r="U68" t="str">
        <f>IF('Basis Options'!D73="NGI/CHI. GATE","""NGI/CHI. GATE""",TRIM('Basis Options'!D73))</f>
        <v>IF-TRANSCO/Z6</v>
      </c>
      <c r="V68" t="s">
        <v>253</v>
      </c>
      <c r="W68" t="s">
        <v>132</v>
      </c>
      <c r="X68" t="s">
        <v>253</v>
      </c>
      <c r="Y68" t="s">
        <v>235</v>
      </c>
      <c r="Z68" t="s">
        <v>236</v>
      </c>
      <c r="AA68" t="s">
        <v>253</v>
      </c>
      <c r="AB68" t="s">
        <v>1</v>
      </c>
      <c r="AC68" s="235">
        <f>'Basis Options'!H73</f>
        <v>-250000</v>
      </c>
      <c r="AD68" s="235">
        <f>'Basis Options'!W73</f>
        <v>-943.98568605830224</v>
      </c>
      <c r="AE68">
        <v>0</v>
      </c>
      <c r="AF68">
        <v>0</v>
      </c>
      <c r="AG68">
        <v>0</v>
      </c>
      <c r="AH68" s="235">
        <f>'Basis Options'!CD73</f>
        <v>0</v>
      </c>
      <c r="AI68">
        <v>226</v>
      </c>
      <c r="AJ68" t="s">
        <v>256</v>
      </c>
      <c r="AK68">
        <v>0</v>
      </c>
      <c r="AL68">
        <v>0</v>
      </c>
      <c r="AM68">
        <v>0</v>
      </c>
    </row>
    <row r="69" spans="1:39" x14ac:dyDescent="0.25">
      <c r="A69" t="s">
        <v>233</v>
      </c>
      <c r="B69" t="str">
        <f>'Basis Options'!C74</f>
        <v>NF0106.2</v>
      </c>
      <c r="C69" t="s">
        <v>255</v>
      </c>
      <c r="D69" t="s">
        <v>234</v>
      </c>
      <c r="E69" t="s">
        <v>20</v>
      </c>
      <c r="F69" t="str">
        <f>'Basis Options'!A74</f>
        <v>ELPASMER</v>
      </c>
      <c r="G69" t="s">
        <v>269</v>
      </c>
      <c r="H69" t="s">
        <v>254</v>
      </c>
      <c r="I69" t="s">
        <v>242</v>
      </c>
      <c r="J69" t="s">
        <v>235</v>
      </c>
      <c r="K69" s="380">
        <f>'Basis Options'!G74</f>
        <v>36800</v>
      </c>
      <c r="L69" s="235">
        <f>'Basis Options'!U74</f>
        <v>-3517.4718361281889</v>
      </c>
      <c r="M69" s="380">
        <f>'Basis Options'!Q74</f>
        <v>36797</v>
      </c>
      <c r="N69" t="str">
        <f>'Basis Options'!F74</f>
        <v>P</v>
      </c>
      <c r="O69">
        <f>'Basis Options'!I74</f>
        <v>0.3</v>
      </c>
      <c r="P69">
        <v>0</v>
      </c>
      <c r="Q69">
        <v>0</v>
      </c>
      <c r="R69">
        <v>0</v>
      </c>
      <c r="S69">
        <v>0</v>
      </c>
      <c r="T69" t="s">
        <v>253</v>
      </c>
      <c r="U69" t="str">
        <f>IF('Basis Options'!D74="NGI/CHI. GATE","""NGI/CHI. GATE""",TRIM('Basis Options'!D74))</f>
        <v>IF-TRANSCO/Z6</v>
      </c>
      <c r="V69" t="s">
        <v>253</v>
      </c>
      <c r="W69" t="s">
        <v>132</v>
      </c>
      <c r="X69" t="s">
        <v>253</v>
      </c>
      <c r="Y69" t="s">
        <v>235</v>
      </c>
      <c r="Z69" t="s">
        <v>236</v>
      </c>
      <c r="AA69" t="s">
        <v>253</v>
      </c>
      <c r="AB69" t="s">
        <v>1</v>
      </c>
      <c r="AC69" s="235">
        <f>'Basis Options'!H74</f>
        <v>-500000</v>
      </c>
      <c r="AD69" s="235">
        <f>'Basis Options'!W74</f>
        <v>-1887.9713721166045</v>
      </c>
      <c r="AE69">
        <v>0</v>
      </c>
      <c r="AF69">
        <v>0</v>
      </c>
      <c r="AG69">
        <v>0</v>
      </c>
      <c r="AH69" s="235">
        <f>'Basis Options'!CD74</f>
        <v>0</v>
      </c>
      <c r="AI69">
        <v>226</v>
      </c>
      <c r="AJ69" t="s">
        <v>256</v>
      </c>
      <c r="AK69">
        <v>0</v>
      </c>
      <c r="AL69">
        <v>0</v>
      </c>
      <c r="AM69">
        <v>0</v>
      </c>
    </row>
    <row r="70" spans="1:39" x14ac:dyDescent="0.25">
      <c r="A70" t="s">
        <v>233</v>
      </c>
      <c r="B70" t="str">
        <f>'Basis Options'!C75</f>
        <v>NF0106.2</v>
      </c>
      <c r="C70" t="s">
        <v>255</v>
      </c>
      <c r="D70" t="s">
        <v>234</v>
      </c>
      <c r="E70" t="s">
        <v>20</v>
      </c>
      <c r="F70" t="str">
        <f>'Basis Options'!A75</f>
        <v>ELPASMER</v>
      </c>
      <c r="G70" t="s">
        <v>269</v>
      </c>
      <c r="H70" t="s">
        <v>254</v>
      </c>
      <c r="I70" t="s">
        <v>242</v>
      </c>
      <c r="J70" t="s">
        <v>235</v>
      </c>
      <c r="K70" s="380">
        <f>'Basis Options'!G75</f>
        <v>36770</v>
      </c>
      <c r="L70" s="235">
        <f>'Basis Options'!U75</f>
        <v>-199.47067352600601</v>
      </c>
      <c r="M70" s="380">
        <f>'Basis Options'!Q75</f>
        <v>36768</v>
      </c>
      <c r="N70" t="str">
        <f>'Basis Options'!F75</f>
        <v>P</v>
      </c>
      <c r="O70">
        <f>'Basis Options'!I75</f>
        <v>0.3</v>
      </c>
      <c r="P70">
        <v>0</v>
      </c>
      <c r="Q70">
        <v>0</v>
      </c>
      <c r="R70">
        <v>0</v>
      </c>
      <c r="S70">
        <v>0</v>
      </c>
      <c r="T70" t="s">
        <v>253</v>
      </c>
      <c r="U70" t="str">
        <f>IF('Basis Options'!D75="NGI/CHI. GATE","""NGI/CHI. GATE""",TRIM('Basis Options'!D75))</f>
        <v>IF-TRANSCO/Z6</v>
      </c>
      <c r="V70" t="s">
        <v>253</v>
      </c>
      <c r="W70" t="s">
        <v>132</v>
      </c>
      <c r="X70" t="s">
        <v>253</v>
      </c>
      <c r="Y70" t="s">
        <v>235</v>
      </c>
      <c r="Z70" t="s">
        <v>236</v>
      </c>
      <c r="AA70" t="s">
        <v>253</v>
      </c>
      <c r="AB70" t="s">
        <v>1</v>
      </c>
      <c r="AC70" s="235">
        <f>'Basis Options'!H75</f>
        <v>-250000</v>
      </c>
      <c r="AD70" s="235">
        <f>'Basis Options'!W75</f>
        <v>-115.75182253229286</v>
      </c>
      <c r="AE70">
        <v>0</v>
      </c>
      <c r="AF70">
        <v>0</v>
      </c>
      <c r="AG70">
        <v>0</v>
      </c>
      <c r="AH70" s="235">
        <f>'Basis Options'!CD75</f>
        <v>0</v>
      </c>
      <c r="AI70">
        <v>226</v>
      </c>
      <c r="AJ70" t="s">
        <v>256</v>
      </c>
      <c r="AK70">
        <v>0</v>
      </c>
      <c r="AL70">
        <v>0</v>
      </c>
      <c r="AM70">
        <v>0</v>
      </c>
    </row>
    <row r="71" spans="1:39" x14ac:dyDescent="0.25">
      <c r="A71" t="s">
        <v>233</v>
      </c>
      <c r="B71" t="str">
        <f>'Basis Options'!C76</f>
        <v>NF0106.2</v>
      </c>
      <c r="C71" t="s">
        <v>255</v>
      </c>
      <c r="D71" t="s">
        <v>234</v>
      </c>
      <c r="E71" t="s">
        <v>20</v>
      </c>
      <c r="F71" t="str">
        <f>'Basis Options'!A76</f>
        <v>ELPASMER</v>
      </c>
      <c r="G71" t="s">
        <v>269</v>
      </c>
      <c r="H71" t="s">
        <v>254</v>
      </c>
      <c r="I71" t="s">
        <v>242</v>
      </c>
      <c r="J71" t="s">
        <v>235</v>
      </c>
      <c r="K71" s="380">
        <f>'Basis Options'!G76</f>
        <v>36770</v>
      </c>
      <c r="L71" s="235">
        <f>'Basis Options'!U76</f>
        <v>-398.94134705201202</v>
      </c>
      <c r="M71" s="380">
        <f>'Basis Options'!Q76</f>
        <v>36768</v>
      </c>
      <c r="N71" t="str">
        <f>'Basis Options'!F76</f>
        <v>P</v>
      </c>
      <c r="O71">
        <f>'Basis Options'!I76</f>
        <v>0.3</v>
      </c>
      <c r="P71">
        <v>0</v>
      </c>
      <c r="Q71">
        <v>0</v>
      </c>
      <c r="R71">
        <v>0</v>
      </c>
      <c r="S71">
        <v>0</v>
      </c>
      <c r="T71" t="s">
        <v>253</v>
      </c>
      <c r="U71" t="str">
        <f>IF('Basis Options'!D76="NGI/CHI. GATE","""NGI/CHI. GATE""",TRIM('Basis Options'!D76))</f>
        <v>IF-TRANSCO/Z6</v>
      </c>
      <c r="V71" t="s">
        <v>253</v>
      </c>
      <c r="W71" t="s">
        <v>132</v>
      </c>
      <c r="X71" t="s">
        <v>253</v>
      </c>
      <c r="Y71" t="s">
        <v>235</v>
      </c>
      <c r="Z71" t="s">
        <v>236</v>
      </c>
      <c r="AA71" t="s">
        <v>253</v>
      </c>
      <c r="AB71" t="s">
        <v>1</v>
      </c>
      <c r="AC71" s="235">
        <f>'Basis Options'!H76</f>
        <v>-500000</v>
      </c>
      <c r="AD71" s="235">
        <f>'Basis Options'!W76</f>
        <v>-231.50364506458573</v>
      </c>
      <c r="AE71">
        <v>0</v>
      </c>
      <c r="AF71">
        <v>0</v>
      </c>
      <c r="AG71">
        <v>0</v>
      </c>
      <c r="AH71" s="235">
        <f>'Basis Options'!CD76</f>
        <v>0</v>
      </c>
      <c r="AI71">
        <v>226</v>
      </c>
      <c r="AJ71" t="s">
        <v>256</v>
      </c>
      <c r="AK71">
        <v>0</v>
      </c>
      <c r="AL71">
        <v>0</v>
      </c>
      <c r="AM71">
        <v>0</v>
      </c>
    </row>
    <row r="72" spans="1:39" x14ac:dyDescent="0.25">
      <c r="A72" t="s">
        <v>233</v>
      </c>
      <c r="B72" t="str">
        <f>'Basis Options'!C77</f>
        <v>NF1092.1</v>
      </c>
      <c r="C72" t="s">
        <v>255</v>
      </c>
      <c r="D72" t="s">
        <v>234</v>
      </c>
      <c r="E72" t="s">
        <v>20</v>
      </c>
      <c r="F72" t="str">
        <f>'Basis Options'!A77</f>
        <v>ELPASMER</v>
      </c>
      <c r="G72" t="s">
        <v>269</v>
      </c>
      <c r="H72" t="s">
        <v>254</v>
      </c>
      <c r="I72" t="s">
        <v>242</v>
      </c>
      <c r="J72" t="s">
        <v>235</v>
      </c>
      <c r="K72" s="380">
        <f>'Basis Options'!G77</f>
        <v>36800</v>
      </c>
      <c r="L72" s="235">
        <f>'Basis Options'!U77</f>
        <v>-14496.430714775661</v>
      </c>
      <c r="M72" s="380">
        <f>'Basis Options'!Q77</f>
        <v>36797</v>
      </c>
      <c r="N72" t="str">
        <f>'Basis Options'!F77</f>
        <v>C</v>
      </c>
      <c r="O72">
        <f>'Basis Options'!I77</f>
        <v>-0.25</v>
      </c>
      <c r="P72">
        <v>0</v>
      </c>
      <c r="Q72">
        <v>0</v>
      </c>
      <c r="R72">
        <v>0</v>
      </c>
      <c r="S72">
        <v>0</v>
      </c>
      <c r="T72" t="s">
        <v>253</v>
      </c>
      <c r="U72" t="str">
        <f>IF('Basis Options'!D77="NGI/CHI. GATE","""NGI/CHI. GATE""",TRIM('Basis Options'!D77))</f>
        <v>IF-NWPL_ROCKY_M</v>
      </c>
      <c r="V72" t="s">
        <v>253</v>
      </c>
      <c r="W72" t="s">
        <v>132</v>
      </c>
      <c r="X72" t="s">
        <v>253</v>
      </c>
      <c r="Y72" t="s">
        <v>235</v>
      </c>
      <c r="Z72" t="s">
        <v>236</v>
      </c>
      <c r="AA72" t="s">
        <v>253</v>
      </c>
      <c r="AB72" t="s">
        <v>1</v>
      </c>
      <c r="AC72" s="235">
        <f>'Basis Options'!H77</f>
        <v>-1000000</v>
      </c>
      <c r="AD72" s="235">
        <f>'Basis Options'!W77</f>
        <v>-13603.994463958661</v>
      </c>
      <c r="AE72">
        <v>0</v>
      </c>
      <c r="AF72">
        <v>0</v>
      </c>
      <c r="AG72">
        <v>0</v>
      </c>
      <c r="AH72" s="235">
        <f>'Basis Options'!CD77</f>
        <v>0</v>
      </c>
      <c r="AI72">
        <v>226</v>
      </c>
      <c r="AJ72" t="s">
        <v>256</v>
      </c>
      <c r="AK72">
        <v>0</v>
      </c>
      <c r="AL72">
        <v>0</v>
      </c>
      <c r="AM72">
        <v>0</v>
      </c>
    </row>
    <row r="73" spans="1:39" x14ac:dyDescent="0.25">
      <c r="A73" t="s">
        <v>233</v>
      </c>
      <c r="B73" t="str">
        <f>'Basis Options'!C78</f>
        <v>NF1092.1</v>
      </c>
      <c r="C73" t="s">
        <v>255</v>
      </c>
      <c r="D73" t="s">
        <v>234</v>
      </c>
      <c r="E73" t="s">
        <v>20</v>
      </c>
      <c r="F73" t="str">
        <f>'Basis Options'!A78</f>
        <v>ELPASMER</v>
      </c>
      <c r="G73" t="s">
        <v>269</v>
      </c>
      <c r="H73" t="s">
        <v>254</v>
      </c>
      <c r="I73" t="s">
        <v>242</v>
      </c>
      <c r="J73" t="s">
        <v>235</v>
      </c>
      <c r="K73" s="380">
        <f>'Basis Options'!G78</f>
        <v>36770</v>
      </c>
      <c r="L73" s="235">
        <f>'Basis Options'!U78</f>
        <v>-0.12978238933536446</v>
      </c>
      <c r="M73" s="380">
        <f>'Basis Options'!Q78</f>
        <v>36768</v>
      </c>
      <c r="N73" t="str">
        <f>'Basis Options'!F78</f>
        <v>C</v>
      </c>
      <c r="O73">
        <f>'Basis Options'!I78</f>
        <v>-0.25</v>
      </c>
      <c r="P73">
        <v>0</v>
      </c>
      <c r="Q73">
        <v>0</v>
      </c>
      <c r="R73">
        <v>0</v>
      </c>
      <c r="S73">
        <v>0</v>
      </c>
      <c r="T73" t="s">
        <v>253</v>
      </c>
      <c r="U73" t="str">
        <f>IF('Basis Options'!D78="NGI/CHI. GATE","""NGI/CHI. GATE""",TRIM('Basis Options'!D78))</f>
        <v>IF-NWPL_ROCKY_M</v>
      </c>
      <c r="V73" t="s">
        <v>253</v>
      </c>
      <c r="W73" t="s">
        <v>132</v>
      </c>
      <c r="X73" t="s">
        <v>253</v>
      </c>
      <c r="Y73" t="s">
        <v>235</v>
      </c>
      <c r="Z73" t="s">
        <v>236</v>
      </c>
      <c r="AA73" t="s">
        <v>253</v>
      </c>
      <c r="AB73" t="s">
        <v>1</v>
      </c>
      <c r="AC73" s="235">
        <f>'Basis Options'!H78</f>
        <v>-1000000</v>
      </c>
      <c r="AD73" s="235">
        <f>'Basis Options'!W78</f>
        <v>3.8594612505882253E-2</v>
      </c>
      <c r="AE73">
        <v>0</v>
      </c>
      <c r="AF73">
        <v>0</v>
      </c>
      <c r="AG73">
        <v>0</v>
      </c>
      <c r="AH73" s="235">
        <f>'Basis Options'!CD78</f>
        <v>0</v>
      </c>
      <c r="AI73">
        <v>226</v>
      </c>
      <c r="AJ73" t="s">
        <v>256</v>
      </c>
      <c r="AK73">
        <v>0</v>
      </c>
      <c r="AL73">
        <v>0</v>
      </c>
      <c r="AM73">
        <v>0</v>
      </c>
    </row>
    <row r="74" spans="1:39" x14ac:dyDescent="0.25">
      <c r="A74" t="s">
        <v>233</v>
      </c>
      <c r="B74" t="str">
        <f>'Basis Options'!C79</f>
        <v>NF1092.2</v>
      </c>
      <c r="C74" t="s">
        <v>255</v>
      </c>
      <c r="D74" t="s">
        <v>234</v>
      </c>
      <c r="E74" t="s">
        <v>20</v>
      </c>
      <c r="F74" t="str">
        <f>'Basis Options'!A79</f>
        <v>ELPASMER</v>
      </c>
      <c r="G74" t="s">
        <v>269</v>
      </c>
      <c r="H74" t="s">
        <v>254</v>
      </c>
      <c r="I74" t="s">
        <v>242</v>
      </c>
      <c r="J74" t="s">
        <v>235</v>
      </c>
      <c r="K74" s="380">
        <f>'Basis Options'!G79</f>
        <v>36800</v>
      </c>
      <c r="L74" s="235">
        <f>'Basis Options'!U79</f>
        <v>435510.1120698328</v>
      </c>
      <c r="M74" s="380">
        <f>'Basis Options'!Q79</f>
        <v>36797</v>
      </c>
      <c r="N74" t="str">
        <f>'Basis Options'!F79</f>
        <v>P</v>
      </c>
      <c r="O74">
        <f>'Basis Options'!I79</f>
        <v>-0.4</v>
      </c>
      <c r="P74">
        <v>0</v>
      </c>
      <c r="Q74">
        <v>0</v>
      </c>
      <c r="R74">
        <v>0</v>
      </c>
      <c r="S74">
        <v>0</v>
      </c>
      <c r="T74" t="s">
        <v>253</v>
      </c>
      <c r="U74" t="str">
        <f>IF('Basis Options'!D79="NGI/CHI. GATE","""NGI/CHI. GATE""",TRIM('Basis Options'!D79))</f>
        <v>IF-NWPL_ROCKY_M</v>
      </c>
      <c r="V74" t="s">
        <v>253</v>
      </c>
      <c r="W74" t="s">
        <v>132</v>
      </c>
      <c r="X74" t="s">
        <v>253</v>
      </c>
      <c r="Y74" t="s">
        <v>235</v>
      </c>
      <c r="Z74" t="s">
        <v>236</v>
      </c>
      <c r="AA74" t="s">
        <v>253</v>
      </c>
      <c r="AB74" t="s">
        <v>1</v>
      </c>
      <c r="AC74" s="235">
        <f>'Basis Options'!H79</f>
        <v>1000000</v>
      </c>
      <c r="AD74" s="235">
        <f>'Basis Options'!W79</f>
        <v>21587.023397686658</v>
      </c>
      <c r="AE74">
        <v>0</v>
      </c>
      <c r="AF74">
        <v>0</v>
      </c>
      <c r="AG74">
        <v>0</v>
      </c>
      <c r="AH74" s="235">
        <f>'Basis Options'!CD79</f>
        <v>0</v>
      </c>
      <c r="AI74">
        <v>226</v>
      </c>
      <c r="AJ74" t="s">
        <v>256</v>
      </c>
      <c r="AK74">
        <v>0</v>
      </c>
      <c r="AL74">
        <v>0</v>
      </c>
      <c r="AM74">
        <v>0</v>
      </c>
    </row>
    <row r="75" spans="1:39" x14ac:dyDescent="0.25">
      <c r="A75" t="s">
        <v>233</v>
      </c>
      <c r="B75" t="str">
        <f>'Basis Options'!C80</f>
        <v>NF1092.2</v>
      </c>
      <c r="C75" t="s">
        <v>255</v>
      </c>
      <c r="D75" t="s">
        <v>234</v>
      </c>
      <c r="E75" t="s">
        <v>20</v>
      </c>
      <c r="F75" t="str">
        <f>'Basis Options'!A80</f>
        <v>ELPASMER</v>
      </c>
      <c r="G75" t="s">
        <v>269</v>
      </c>
      <c r="H75" t="s">
        <v>254</v>
      </c>
      <c r="I75" t="s">
        <v>242</v>
      </c>
      <c r="J75" t="s">
        <v>235</v>
      </c>
      <c r="K75" s="380">
        <f>'Basis Options'!G80</f>
        <v>36770</v>
      </c>
      <c r="L75" s="235">
        <f>'Basis Options'!U80</f>
        <v>839845.54089127714</v>
      </c>
      <c r="M75" s="380">
        <f>'Basis Options'!Q80</f>
        <v>36768</v>
      </c>
      <c r="N75" t="str">
        <f>'Basis Options'!F80</f>
        <v>P</v>
      </c>
      <c r="O75">
        <f>'Basis Options'!I80</f>
        <v>-0.4</v>
      </c>
      <c r="P75">
        <v>0</v>
      </c>
      <c r="Q75">
        <v>0</v>
      </c>
      <c r="R75">
        <v>0</v>
      </c>
      <c r="S75">
        <v>0</v>
      </c>
      <c r="T75" t="s">
        <v>253</v>
      </c>
      <c r="U75" t="str">
        <f>IF('Basis Options'!D80="NGI/CHI. GATE","""NGI/CHI. GATE""",TRIM('Basis Options'!D80))</f>
        <v>IF-NWPL_ROCKY_M</v>
      </c>
      <c r="V75" t="s">
        <v>253</v>
      </c>
      <c r="W75" t="s">
        <v>132</v>
      </c>
      <c r="X75" t="s">
        <v>253</v>
      </c>
      <c r="Y75" t="s">
        <v>235</v>
      </c>
      <c r="Z75" t="s">
        <v>236</v>
      </c>
      <c r="AA75" t="s">
        <v>253</v>
      </c>
      <c r="AB75" t="s">
        <v>1</v>
      </c>
      <c r="AC75" s="235">
        <f>'Basis Options'!H80</f>
        <v>1000000</v>
      </c>
      <c r="AD75" s="235">
        <f>'Basis Options'!W80</f>
        <v>-3.8594611105509102E-2</v>
      </c>
      <c r="AE75">
        <v>0</v>
      </c>
      <c r="AF75">
        <v>0</v>
      </c>
      <c r="AG75">
        <v>0</v>
      </c>
      <c r="AH75" s="235">
        <f>'Basis Options'!CD80</f>
        <v>0</v>
      </c>
      <c r="AI75">
        <v>226</v>
      </c>
      <c r="AJ75" t="s">
        <v>256</v>
      </c>
      <c r="AK75">
        <v>0</v>
      </c>
      <c r="AL75">
        <v>0</v>
      </c>
      <c r="AM75">
        <v>0</v>
      </c>
    </row>
    <row r="76" spans="1:39" x14ac:dyDescent="0.25">
      <c r="A76" t="s">
        <v>233</v>
      </c>
      <c r="B76" t="str">
        <f>'Basis Options'!C81</f>
        <v>NF1105.1</v>
      </c>
      <c r="C76" t="s">
        <v>255</v>
      </c>
      <c r="D76" t="s">
        <v>234</v>
      </c>
      <c r="E76" t="s">
        <v>20</v>
      </c>
      <c r="F76" t="str">
        <f>'Basis Options'!A81</f>
        <v>ELPASMER</v>
      </c>
      <c r="G76" t="s">
        <v>269</v>
      </c>
      <c r="H76" t="s">
        <v>254</v>
      </c>
      <c r="I76" t="s">
        <v>242</v>
      </c>
      <c r="J76" t="s">
        <v>235</v>
      </c>
      <c r="K76" s="380">
        <f>'Basis Options'!G81</f>
        <v>36951</v>
      </c>
      <c r="L76" s="235">
        <f>'Basis Options'!U81</f>
        <v>-118838.18169759623</v>
      </c>
      <c r="M76" s="380">
        <f>'Basis Options'!Q81</f>
        <v>36949</v>
      </c>
      <c r="N76" t="str">
        <f>'Basis Options'!F81</f>
        <v>C</v>
      </c>
      <c r="O76">
        <f>'Basis Options'!I81</f>
        <v>1.1499999999999999</v>
      </c>
      <c r="P76">
        <v>0</v>
      </c>
      <c r="Q76">
        <v>0</v>
      </c>
      <c r="R76">
        <v>0</v>
      </c>
      <c r="S76">
        <v>0</v>
      </c>
      <c r="T76" t="s">
        <v>253</v>
      </c>
      <c r="U76" t="str">
        <f>IF('Basis Options'!D81="NGI/CHI. GATE","""NGI/CHI. GATE""",TRIM('Basis Options'!D81))</f>
        <v>IF-TRANSCO/Z6</v>
      </c>
      <c r="V76" t="s">
        <v>253</v>
      </c>
      <c r="W76" t="s">
        <v>132</v>
      </c>
      <c r="X76" t="s">
        <v>253</v>
      </c>
      <c r="Y76" t="s">
        <v>235</v>
      </c>
      <c r="Z76" t="s">
        <v>236</v>
      </c>
      <c r="AA76" t="s">
        <v>253</v>
      </c>
      <c r="AB76" t="s">
        <v>1</v>
      </c>
      <c r="AC76" s="235">
        <f>'Basis Options'!H81</f>
        <v>-250000</v>
      </c>
      <c r="AD76" s="235">
        <f>'Basis Options'!W81</f>
        <v>-22002.20766362104</v>
      </c>
      <c r="AE76">
        <v>0</v>
      </c>
      <c r="AF76">
        <v>0</v>
      </c>
      <c r="AG76">
        <v>0</v>
      </c>
      <c r="AH76" s="235">
        <f>'Basis Options'!CD81</f>
        <v>0</v>
      </c>
      <c r="AI76">
        <v>226</v>
      </c>
      <c r="AJ76" t="s">
        <v>256</v>
      </c>
      <c r="AK76">
        <v>0</v>
      </c>
      <c r="AL76">
        <v>0</v>
      </c>
      <c r="AM76">
        <v>0</v>
      </c>
    </row>
    <row r="77" spans="1:39" x14ac:dyDescent="0.25">
      <c r="A77" t="s">
        <v>233</v>
      </c>
      <c r="B77" t="str">
        <f>'Basis Options'!C82</f>
        <v>NF1105.1</v>
      </c>
      <c r="C77" t="s">
        <v>255</v>
      </c>
      <c r="D77" t="s">
        <v>234</v>
      </c>
      <c r="E77" t="s">
        <v>20</v>
      </c>
      <c r="F77" t="str">
        <f>'Basis Options'!A82</f>
        <v>ELPASMER</v>
      </c>
      <c r="G77" t="s">
        <v>269</v>
      </c>
      <c r="H77" t="s">
        <v>254</v>
      </c>
      <c r="I77" t="s">
        <v>242</v>
      </c>
      <c r="J77" t="s">
        <v>235</v>
      </c>
      <c r="K77" s="380">
        <f>'Basis Options'!G82</f>
        <v>36923</v>
      </c>
      <c r="L77" s="235">
        <f>'Basis Options'!U82</f>
        <v>-290940.08493316802</v>
      </c>
      <c r="M77" s="380">
        <f>'Basis Options'!Q82</f>
        <v>36921</v>
      </c>
      <c r="N77" t="str">
        <f>'Basis Options'!F82</f>
        <v>C</v>
      </c>
      <c r="O77">
        <f>'Basis Options'!I82</f>
        <v>1.1499999999999999</v>
      </c>
      <c r="P77">
        <v>0</v>
      </c>
      <c r="Q77">
        <v>0</v>
      </c>
      <c r="R77">
        <v>0</v>
      </c>
      <c r="S77">
        <v>0</v>
      </c>
      <c r="T77" t="s">
        <v>253</v>
      </c>
      <c r="U77" t="str">
        <f>IF('Basis Options'!D82="NGI/CHI. GATE","""NGI/CHI. GATE""",TRIM('Basis Options'!D82))</f>
        <v>IF-TRANSCO/Z6</v>
      </c>
      <c r="V77" t="s">
        <v>253</v>
      </c>
      <c r="W77" t="s">
        <v>132</v>
      </c>
      <c r="X77" t="s">
        <v>253</v>
      </c>
      <c r="Y77" t="s">
        <v>235</v>
      </c>
      <c r="Z77" t="s">
        <v>236</v>
      </c>
      <c r="AA77" t="s">
        <v>253</v>
      </c>
      <c r="AB77" t="s">
        <v>1</v>
      </c>
      <c r="AC77" s="235">
        <f>'Basis Options'!H82</f>
        <v>-250000</v>
      </c>
      <c r="AD77" s="235">
        <f>'Basis Options'!W82</f>
        <v>-18718.003123605362</v>
      </c>
      <c r="AE77">
        <v>0</v>
      </c>
      <c r="AF77">
        <v>0</v>
      </c>
      <c r="AG77">
        <v>0</v>
      </c>
      <c r="AH77" s="235">
        <f>'Basis Options'!CD82</f>
        <v>0</v>
      </c>
      <c r="AI77">
        <v>226</v>
      </c>
      <c r="AJ77" t="s">
        <v>256</v>
      </c>
      <c r="AK77">
        <v>0</v>
      </c>
      <c r="AL77">
        <v>0</v>
      </c>
      <c r="AM77">
        <v>0</v>
      </c>
    </row>
    <row r="78" spans="1:39" x14ac:dyDescent="0.25">
      <c r="A78" t="s">
        <v>233</v>
      </c>
      <c r="B78" t="str">
        <f>'Basis Options'!C83</f>
        <v>NF1105.1</v>
      </c>
      <c r="C78" t="s">
        <v>255</v>
      </c>
      <c r="D78" t="s">
        <v>234</v>
      </c>
      <c r="E78" t="s">
        <v>20</v>
      </c>
      <c r="F78" t="str">
        <f>'Basis Options'!A83</f>
        <v>ELPASMER</v>
      </c>
      <c r="G78" t="s">
        <v>269</v>
      </c>
      <c r="H78" t="s">
        <v>254</v>
      </c>
      <c r="I78" t="s">
        <v>242</v>
      </c>
      <c r="J78" t="s">
        <v>235</v>
      </c>
      <c r="K78" s="380">
        <f>'Basis Options'!G83</f>
        <v>36892</v>
      </c>
      <c r="L78" s="235">
        <f>'Basis Options'!U83</f>
        <v>-300954.73265330953</v>
      </c>
      <c r="M78" s="380">
        <f>'Basis Options'!Q83</f>
        <v>36888</v>
      </c>
      <c r="N78" t="str">
        <f>'Basis Options'!F83</f>
        <v>C</v>
      </c>
      <c r="O78">
        <f>'Basis Options'!I83</f>
        <v>1.1499999999999999</v>
      </c>
      <c r="P78">
        <v>0</v>
      </c>
      <c r="Q78">
        <v>0</v>
      </c>
      <c r="R78">
        <v>0</v>
      </c>
      <c r="S78">
        <v>0</v>
      </c>
      <c r="T78" t="s">
        <v>253</v>
      </c>
      <c r="U78" t="str">
        <f>IF('Basis Options'!D83="NGI/CHI. GATE","""NGI/CHI. GATE""",TRIM('Basis Options'!D83))</f>
        <v>IF-TRANSCO/Z6</v>
      </c>
      <c r="V78" t="s">
        <v>253</v>
      </c>
      <c r="W78" t="s">
        <v>132</v>
      </c>
      <c r="X78" t="s">
        <v>253</v>
      </c>
      <c r="Y78" t="s">
        <v>235</v>
      </c>
      <c r="Z78" t="s">
        <v>236</v>
      </c>
      <c r="AA78" t="s">
        <v>253</v>
      </c>
      <c r="AB78" t="s">
        <v>1</v>
      </c>
      <c r="AC78" s="235">
        <f>'Basis Options'!H83</f>
        <v>-250000</v>
      </c>
      <c r="AD78" s="235">
        <f>'Basis Options'!W83</f>
        <v>-16202.738252868847</v>
      </c>
      <c r="AE78">
        <v>0</v>
      </c>
      <c r="AF78">
        <v>0</v>
      </c>
      <c r="AG78">
        <v>0</v>
      </c>
      <c r="AH78" s="235">
        <f>'Basis Options'!CD83</f>
        <v>0</v>
      </c>
      <c r="AI78">
        <v>226</v>
      </c>
      <c r="AJ78" t="s">
        <v>256</v>
      </c>
      <c r="AK78">
        <v>0</v>
      </c>
      <c r="AL78">
        <v>0</v>
      </c>
      <c r="AM78">
        <v>0</v>
      </c>
    </row>
    <row r="79" spans="1:39" x14ac:dyDescent="0.25">
      <c r="A79" t="s">
        <v>233</v>
      </c>
      <c r="B79" t="str">
        <f>'Basis Options'!C84</f>
        <v>NF1105.1</v>
      </c>
      <c r="C79" t="s">
        <v>255</v>
      </c>
      <c r="D79" t="s">
        <v>234</v>
      </c>
      <c r="E79" t="s">
        <v>20</v>
      </c>
      <c r="F79" t="str">
        <f>'Basis Options'!A84</f>
        <v>ELPASMER</v>
      </c>
      <c r="G79" t="s">
        <v>269</v>
      </c>
      <c r="H79" t="s">
        <v>254</v>
      </c>
      <c r="I79" t="s">
        <v>242</v>
      </c>
      <c r="J79" t="s">
        <v>235</v>
      </c>
      <c r="K79" s="380">
        <f>'Basis Options'!G84</f>
        <v>36861</v>
      </c>
      <c r="L79" s="235">
        <f>'Basis Options'!U84</f>
        <v>-190840.85372350219</v>
      </c>
      <c r="M79" s="380">
        <f>'Basis Options'!Q84</f>
        <v>36859</v>
      </c>
      <c r="N79" t="str">
        <f>'Basis Options'!F84</f>
        <v>C</v>
      </c>
      <c r="O79">
        <f>'Basis Options'!I84</f>
        <v>1.1499999999999999</v>
      </c>
      <c r="P79">
        <v>0</v>
      </c>
      <c r="Q79">
        <v>0</v>
      </c>
      <c r="R79">
        <v>0</v>
      </c>
      <c r="S79">
        <v>0</v>
      </c>
      <c r="T79" t="s">
        <v>253</v>
      </c>
      <c r="U79" t="str">
        <f>IF('Basis Options'!D84="NGI/CHI. GATE","""NGI/CHI. GATE""",TRIM('Basis Options'!D84))</f>
        <v>IF-TRANSCO/Z6</v>
      </c>
      <c r="V79" t="s">
        <v>253</v>
      </c>
      <c r="W79" t="s">
        <v>132</v>
      </c>
      <c r="X79" t="s">
        <v>253</v>
      </c>
      <c r="Y79" t="s">
        <v>235</v>
      </c>
      <c r="Z79" t="s">
        <v>236</v>
      </c>
      <c r="AA79" t="s">
        <v>253</v>
      </c>
      <c r="AB79" t="s">
        <v>1</v>
      </c>
      <c r="AC79" s="235">
        <f>'Basis Options'!H84</f>
        <v>-250000</v>
      </c>
      <c r="AD79" s="235">
        <f>'Basis Options'!W84</f>
        <v>-16631.513505899726</v>
      </c>
      <c r="AE79">
        <v>0</v>
      </c>
      <c r="AF79">
        <v>0</v>
      </c>
      <c r="AG79">
        <v>0</v>
      </c>
      <c r="AH79" s="235">
        <f>'Basis Options'!CD84</f>
        <v>0</v>
      </c>
      <c r="AI79">
        <v>226</v>
      </c>
      <c r="AJ79" t="s">
        <v>256</v>
      </c>
      <c r="AK79">
        <v>0</v>
      </c>
      <c r="AL79">
        <v>0</v>
      </c>
      <c r="AM79">
        <v>0</v>
      </c>
    </row>
    <row r="80" spans="1:39" x14ac:dyDescent="0.25">
      <c r="A80" t="s">
        <v>233</v>
      </c>
      <c r="B80" t="str">
        <f>'Basis Options'!C85</f>
        <v>NF1105.1</v>
      </c>
      <c r="C80" t="s">
        <v>255</v>
      </c>
      <c r="D80" t="s">
        <v>234</v>
      </c>
      <c r="E80" t="s">
        <v>20</v>
      </c>
      <c r="F80" t="str">
        <f>'Basis Options'!A85</f>
        <v>ELPASMER</v>
      </c>
      <c r="G80" t="s">
        <v>269</v>
      </c>
      <c r="H80" t="s">
        <v>254</v>
      </c>
      <c r="I80" t="s">
        <v>242</v>
      </c>
      <c r="J80" t="s">
        <v>235</v>
      </c>
      <c r="K80" s="380">
        <f>'Basis Options'!G85</f>
        <v>36831</v>
      </c>
      <c r="L80" s="235">
        <f>'Basis Options'!U85</f>
        <v>-31316.1112226037</v>
      </c>
      <c r="M80" s="380">
        <f>'Basis Options'!Q85</f>
        <v>36829</v>
      </c>
      <c r="N80" t="str">
        <f>'Basis Options'!F85</f>
        <v>C</v>
      </c>
      <c r="O80">
        <f>'Basis Options'!I85</f>
        <v>1.1499999999999999</v>
      </c>
      <c r="P80">
        <v>0</v>
      </c>
      <c r="Q80">
        <v>0</v>
      </c>
      <c r="R80">
        <v>0</v>
      </c>
      <c r="S80">
        <v>0</v>
      </c>
      <c r="T80" t="s">
        <v>253</v>
      </c>
      <c r="U80" t="str">
        <f>IF('Basis Options'!D85="NGI/CHI. GATE","""NGI/CHI. GATE""",TRIM('Basis Options'!D85))</f>
        <v>IF-TRANSCO/Z6</v>
      </c>
      <c r="V80" t="s">
        <v>253</v>
      </c>
      <c r="W80" t="s">
        <v>132</v>
      </c>
      <c r="X80" t="s">
        <v>253</v>
      </c>
      <c r="Y80" t="s">
        <v>235</v>
      </c>
      <c r="Z80" t="s">
        <v>236</v>
      </c>
      <c r="AA80" t="s">
        <v>253</v>
      </c>
      <c r="AB80" t="s">
        <v>1</v>
      </c>
      <c r="AC80" s="235">
        <f>'Basis Options'!H85</f>
        <v>-250000</v>
      </c>
      <c r="AD80" s="235">
        <f>'Basis Options'!W85</f>
        <v>-9338.835611645336</v>
      </c>
      <c r="AE80">
        <v>0</v>
      </c>
      <c r="AF80">
        <v>0</v>
      </c>
      <c r="AG80">
        <v>0</v>
      </c>
      <c r="AH80" s="235">
        <f>'Basis Options'!CD85</f>
        <v>0</v>
      </c>
      <c r="AI80">
        <v>226</v>
      </c>
      <c r="AJ80" t="s">
        <v>256</v>
      </c>
      <c r="AK80">
        <v>0</v>
      </c>
      <c r="AL80">
        <v>0</v>
      </c>
      <c r="AM80">
        <v>0</v>
      </c>
    </row>
    <row r="81" spans="1:39" x14ac:dyDescent="0.25">
      <c r="A81" t="s">
        <v>233</v>
      </c>
      <c r="B81" t="str">
        <f>'Basis Options'!C86</f>
        <v>NF1105.2</v>
      </c>
      <c r="C81" t="s">
        <v>255</v>
      </c>
      <c r="D81" t="s">
        <v>234</v>
      </c>
      <c r="E81" t="s">
        <v>20</v>
      </c>
      <c r="F81" t="str">
        <f>'Basis Options'!A86</f>
        <v>ELPASMER</v>
      </c>
      <c r="G81" t="s">
        <v>269</v>
      </c>
      <c r="H81" t="s">
        <v>254</v>
      </c>
      <c r="I81" t="s">
        <v>242</v>
      </c>
      <c r="J81" t="s">
        <v>235</v>
      </c>
      <c r="K81" s="380">
        <f>'Basis Options'!G86</f>
        <v>36951</v>
      </c>
      <c r="L81" s="235">
        <f>'Basis Options'!U86</f>
        <v>-136955.56188874962</v>
      </c>
      <c r="M81" s="380">
        <f>'Basis Options'!Q86</f>
        <v>36949</v>
      </c>
      <c r="N81" t="str">
        <f>'Basis Options'!F86</f>
        <v>P</v>
      </c>
      <c r="O81">
        <f>'Basis Options'!I86</f>
        <v>1.1499999999999999</v>
      </c>
      <c r="P81">
        <v>0</v>
      </c>
      <c r="Q81">
        <v>0</v>
      </c>
      <c r="R81">
        <v>0</v>
      </c>
      <c r="S81">
        <v>0</v>
      </c>
      <c r="T81" t="s">
        <v>253</v>
      </c>
      <c r="U81" t="str">
        <f>IF('Basis Options'!D86="NGI/CHI. GATE","""NGI/CHI. GATE""",TRIM('Basis Options'!D86))</f>
        <v>IF-TRANSCO/Z6</v>
      </c>
      <c r="V81" t="s">
        <v>253</v>
      </c>
      <c r="W81" t="s">
        <v>132</v>
      </c>
      <c r="X81" t="s">
        <v>253</v>
      </c>
      <c r="Y81" t="s">
        <v>235</v>
      </c>
      <c r="Z81" t="s">
        <v>236</v>
      </c>
      <c r="AA81" t="s">
        <v>253</v>
      </c>
      <c r="AB81" t="s">
        <v>1</v>
      </c>
      <c r="AC81" s="235">
        <f>'Basis Options'!H86</f>
        <v>-250000</v>
      </c>
      <c r="AD81" s="235">
        <f>'Basis Options'!W86</f>
        <v>-22002.20766362104</v>
      </c>
      <c r="AE81">
        <v>0</v>
      </c>
      <c r="AF81">
        <v>0</v>
      </c>
      <c r="AG81">
        <v>0</v>
      </c>
      <c r="AH81" s="235">
        <f>'Basis Options'!CD86</f>
        <v>0</v>
      </c>
      <c r="AI81">
        <v>226</v>
      </c>
      <c r="AJ81" t="s">
        <v>256</v>
      </c>
      <c r="AK81">
        <v>0</v>
      </c>
      <c r="AL81">
        <v>0</v>
      </c>
      <c r="AM81">
        <v>0</v>
      </c>
    </row>
    <row r="82" spans="1:39" x14ac:dyDescent="0.25">
      <c r="A82" t="s">
        <v>233</v>
      </c>
      <c r="B82" t="str">
        <f>'Basis Options'!C87</f>
        <v>NF1105.2</v>
      </c>
      <c r="C82" t="s">
        <v>255</v>
      </c>
      <c r="D82" t="s">
        <v>234</v>
      </c>
      <c r="E82" t="s">
        <v>20</v>
      </c>
      <c r="F82" t="str">
        <f>'Basis Options'!A87</f>
        <v>ELPASMER</v>
      </c>
      <c r="G82" t="s">
        <v>269</v>
      </c>
      <c r="H82" t="s">
        <v>254</v>
      </c>
      <c r="I82" t="s">
        <v>242</v>
      </c>
      <c r="J82" t="s">
        <v>235</v>
      </c>
      <c r="K82" s="380">
        <f>'Basis Options'!G87</f>
        <v>36923</v>
      </c>
      <c r="L82" s="235">
        <f>'Basis Options'!U87</f>
        <v>-62643.674590969647</v>
      </c>
      <c r="M82" s="380">
        <f>'Basis Options'!Q87</f>
        <v>36921</v>
      </c>
      <c r="N82" t="str">
        <f>'Basis Options'!F87</f>
        <v>P</v>
      </c>
      <c r="O82">
        <f>'Basis Options'!I87</f>
        <v>1.1499999999999999</v>
      </c>
      <c r="P82">
        <v>0</v>
      </c>
      <c r="Q82">
        <v>0</v>
      </c>
      <c r="R82">
        <v>0</v>
      </c>
      <c r="S82">
        <v>0</v>
      </c>
      <c r="T82" t="s">
        <v>253</v>
      </c>
      <c r="U82" t="str">
        <f>IF('Basis Options'!D87="NGI/CHI. GATE","""NGI/CHI. GATE""",TRIM('Basis Options'!D87))</f>
        <v>IF-TRANSCO/Z6</v>
      </c>
      <c r="V82" t="s">
        <v>253</v>
      </c>
      <c r="W82" t="s">
        <v>132</v>
      </c>
      <c r="X82" t="s">
        <v>253</v>
      </c>
      <c r="Y82" t="s">
        <v>235</v>
      </c>
      <c r="Z82" t="s">
        <v>236</v>
      </c>
      <c r="AA82" t="s">
        <v>253</v>
      </c>
      <c r="AB82" t="s">
        <v>1</v>
      </c>
      <c r="AC82" s="235">
        <f>'Basis Options'!H87</f>
        <v>-250000</v>
      </c>
      <c r="AD82" s="235">
        <f>'Basis Options'!W87</f>
        <v>-18718.003123605355</v>
      </c>
      <c r="AE82">
        <v>0</v>
      </c>
      <c r="AF82">
        <v>0</v>
      </c>
      <c r="AG82">
        <v>0</v>
      </c>
      <c r="AH82" s="235">
        <f>'Basis Options'!CD87</f>
        <v>0</v>
      </c>
      <c r="AI82">
        <v>226</v>
      </c>
      <c r="AJ82" t="s">
        <v>256</v>
      </c>
      <c r="AK82">
        <v>0</v>
      </c>
      <c r="AL82">
        <v>0</v>
      </c>
      <c r="AM82">
        <v>0</v>
      </c>
    </row>
    <row r="83" spans="1:39" x14ac:dyDescent="0.25">
      <c r="A83" t="s">
        <v>233</v>
      </c>
      <c r="B83" t="str">
        <f>'Basis Options'!C88</f>
        <v>NF1105.2</v>
      </c>
      <c r="C83" t="s">
        <v>255</v>
      </c>
      <c r="D83" t="s">
        <v>234</v>
      </c>
      <c r="E83" t="s">
        <v>20</v>
      </c>
      <c r="F83" t="str">
        <f>'Basis Options'!A88</f>
        <v>ELPASMER</v>
      </c>
      <c r="G83" t="s">
        <v>269</v>
      </c>
      <c r="H83" t="s">
        <v>254</v>
      </c>
      <c r="I83" t="s">
        <v>242</v>
      </c>
      <c r="J83" t="s">
        <v>235</v>
      </c>
      <c r="K83" s="380">
        <f>'Basis Options'!G88</f>
        <v>36892</v>
      </c>
      <c r="L83" s="235">
        <f>'Basis Options'!U88</f>
        <v>-51665.865068250991</v>
      </c>
      <c r="M83" s="380">
        <f>'Basis Options'!Q88</f>
        <v>36888</v>
      </c>
      <c r="N83" t="str">
        <f>'Basis Options'!F88</f>
        <v>P</v>
      </c>
      <c r="O83">
        <f>'Basis Options'!I88</f>
        <v>1.1499999999999999</v>
      </c>
      <c r="P83">
        <v>0</v>
      </c>
      <c r="Q83">
        <v>0</v>
      </c>
      <c r="R83">
        <v>0</v>
      </c>
      <c r="S83">
        <v>0</v>
      </c>
      <c r="T83" t="s">
        <v>253</v>
      </c>
      <c r="U83" t="str">
        <f>IF('Basis Options'!D88="NGI/CHI. GATE","""NGI/CHI. GATE""",TRIM('Basis Options'!D88))</f>
        <v>IF-TRANSCO/Z6</v>
      </c>
      <c r="V83" t="s">
        <v>253</v>
      </c>
      <c r="W83" t="s">
        <v>132</v>
      </c>
      <c r="X83" t="s">
        <v>253</v>
      </c>
      <c r="Y83" t="s">
        <v>235</v>
      </c>
      <c r="Z83" t="s">
        <v>236</v>
      </c>
      <c r="AA83" t="s">
        <v>253</v>
      </c>
      <c r="AB83" t="s">
        <v>1</v>
      </c>
      <c r="AC83" s="235">
        <f>'Basis Options'!H88</f>
        <v>-250000</v>
      </c>
      <c r="AD83" s="235">
        <f>'Basis Options'!W88</f>
        <v>-16202.738252868861</v>
      </c>
      <c r="AE83">
        <v>0</v>
      </c>
      <c r="AF83">
        <v>0</v>
      </c>
      <c r="AG83">
        <v>0</v>
      </c>
      <c r="AH83" s="235">
        <f>'Basis Options'!CD88</f>
        <v>0</v>
      </c>
      <c r="AI83">
        <v>226</v>
      </c>
      <c r="AJ83" t="s">
        <v>256</v>
      </c>
      <c r="AK83">
        <v>0</v>
      </c>
      <c r="AL83">
        <v>0</v>
      </c>
      <c r="AM83">
        <v>0</v>
      </c>
    </row>
    <row r="84" spans="1:39" x14ac:dyDescent="0.25">
      <c r="A84" t="s">
        <v>233</v>
      </c>
      <c r="B84" t="str">
        <f>'Basis Options'!C89</f>
        <v>NF1105.2</v>
      </c>
      <c r="C84" t="s">
        <v>255</v>
      </c>
      <c r="D84" t="s">
        <v>234</v>
      </c>
      <c r="E84" t="s">
        <v>20</v>
      </c>
      <c r="F84" t="str">
        <f>'Basis Options'!A89</f>
        <v>ELPASMER</v>
      </c>
      <c r="G84" t="s">
        <v>269</v>
      </c>
      <c r="H84" t="s">
        <v>254</v>
      </c>
      <c r="I84" t="s">
        <v>242</v>
      </c>
      <c r="J84" t="s">
        <v>235</v>
      </c>
      <c r="K84" s="380">
        <f>'Basis Options'!G89</f>
        <v>36861</v>
      </c>
      <c r="L84" s="235">
        <f>'Basis Options'!U89</f>
        <v>-69202.015862951826</v>
      </c>
      <c r="M84" s="380">
        <f>'Basis Options'!Q89</f>
        <v>36859</v>
      </c>
      <c r="N84" t="str">
        <f>'Basis Options'!F89</f>
        <v>P</v>
      </c>
      <c r="O84">
        <f>'Basis Options'!I89</f>
        <v>1.1499999999999999</v>
      </c>
      <c r="P84">
        <v>0</v>
      </c>
      <c r="Q84">
        <v>0</v>
      </c>
      <c r="R84">
        <v>0</v>
      </c>
      <c r="S84">
        <v>0</v>
      </c>
      <c r="T84" t="s">
        <v>253</v>
      </c>
      <c r="U84" t="str">
        <f>IF('Basis Options'!D89="NGI/CHI. GATE","""NGI/CHI. GATE""",TRIM('Basis Options'!D89))</f>
        <v>IF-TRANSCO/Z6</v>
      </c>
      <c r="V84" t="s">
        <v>253</v>
      </c>
      <c r="W84" t="s">
        <v>132</v>
      </c>
      <c r="X84" t="s">
        <v>253</v>
      </c>
      <c r="Y84" t="s">
        <v>235</v>
      </c>
      <c r="Z84" t="s">
        <v>236</v>
      </c>
      <c r="AA84" t="s">
        <v>253</v>
      </c>
      <c r="AB84" t="s">
        <v>1</v>
      </c>
      <c r="AC84" s="235">
        <f>'Basis Options'!H89</f>
        <v>-250000</v>
      </c>
      <c r="AD84" s="235">
        <f>'Basis Options'!W89</f>
        <v>-16631.513505899726</v>
      </c>
      <c r="AE84">
        <v>0</v>
      </c>
      <c r="AF84">
        <v>0</v>
      </c>
      <c r="AG84">
        <v>0</v>
      </c>
      <c r="AH84" s="235">
        <f>'Basis Options'!CD89</f>
        <v>0</v>
      </c>
      <c r="AI84">
        <v>226</v>
      </c>
      <c r="AJ84" t="s">
        <v>256</v>
      </c>
      <c r="AK84">
        <v>0</v>
      </c>
      <c r="AL84">
        <v>0</v>
      </c>
      <c r="AM84">
        <v>0</v>
      </c>
    </row>
    <row r="85" spans="1:39" x14ac:dyDescent="0.25">
      <c r="A85" t="s">
        <v>233</v>
      </c>
      <c r="B85" t="str">
        <f>'Basis Options'!C90</f>
        <v>NF1105.2</v>
      </c>
      <c r="C85" t="s">
        <v>255</v>
      </c>
      <c r="D85" t="s">
        <v>234</v>
      </c>
      <c r="E85" t="s">
        <v>20</v>
      </c>
      <c r="F85" t="str">
        <f>'Basis Options'!A90</f>
        <v>ELPASMER</v>
      </c>
      <c r="G85" t="s">
        <v>269</v>
      </c>
      <c r="H85" t="s">
        <v>254</v>
      </c>
      <c r="I85" t="s">
        <v>242</v>
      </c>
      <c r="J85" t="s">
        <v>235</v>
      </c>
      <c r="K85" s="380">
        <f>'Basis Options'!G90</f>
        <v>36831</v>
      </c>
      <c r="L85" s="235">
        <f>'Basis Options'!U90</f>
        <v>-125224.1498134788</v>
      </c>
      <c r="M85" s="380">
        <f>'Basis Options'!Q90</f>
        <v>36829</v>
      </c>
      <c r="N85" t="str">
        <f>'Basis Options'!F90</f>
        <v>P</v>
      </c>
      <c r="O85">
        <f>'Basis Options'!I90</f>
        <v>1.1499999999999999</v>
      </c>
      <c r="P85">
        <v>0</v>
      </c>
      <c r="Q85">
        <v>0</v>
      </c>
      <c r="R85">
        <v>0</v>
      </c>
      <c r="S85">
        <v>0</v>
      </c>
      <c r="T85" t="s">
        <v>253</v>
      </c>
      <c r="U85" t="str">
        <f>IF('Basis Options'!D90="NGI/CHI. GATE","""NGI/CHI. GATE""",TRIM('Basis Options'!D90))</f>
        <v>IF-TRANSCO/Z6</v>
      </c>
      <c r="V85" t="s">
        <v>253</v>
      </c>
      <c r="W85" t="s">
        <v>132</v>
      </c>
      <c r="X85" t="s">
        <v>253</v>
      </c>
      <c r="Y85" t="s">
        <v>235</v>
      </c>
      <c r="Z85" t="s">
        <v>236</v>
      </c>
      <c r="AA85" t="s">
        <v>253</v>
      </c>
      <c r="AB85" t="s">
        <v>1</v>
      </c>
      <c r="AC85" s="235">
        <f>'Basis Options'!H90</f>
        <v>-250000</v>
      </c>
      <c r="AD85" s="235">
        <f>'Basis Options'!W90</f>
        <v>-9338.835611645336</v>
      </c>
      <c r="AE85">
        <v>0</v>
      </c>
      <c r="AF85">
        <v>0</v>
      </c>
      <c r="AG85">
        <v>0</v>
      </c>
      <c r="AH85" s="235">
        <f>'Basis Options'!CD90</f>
        <v>0</v>
      </c>
      <c r="AI85">
        <v>226</v>
      </c>
      <c r="AJ85" t="s">
        <v>256</v>
      </c>
      <c r="AK85">
        <v>0</v>
      </c>
      <c r="AL85">
        <v>0</v>
      </c>
      <c r="AM85">
        <v>0</v>
      </c>
    </row>
    <row r="86" spans="1:39" x14ac:dyDescent="0.25">
      <c r="A86" t="s">
        <v>233</v>
      </c>
      <c r="B86" t="str">
        <f>'Basis Options'!C91</f>
        <v>NF1114.1</v>
      </c>
      <c r="C86" t="s">
        <v>255</v>
      </c>
      <c r="D86" t="s">
        <v>234</v>
      </c>
      <c r="E86" t="s">
        <v>20</v>
      </c>
      <c r="F86" t="str">
        <f>'Basis Options'!A91</f>
        <v>ELPASMER</v>
      </c>
      <c r="G86" t="s">
        <v>269</v>
      </c>
      <c r="H86" t="s">
        <v>254</v>
      </c>
      <c r="I86" t="s">
        <v>242</v>
      </c>
      <c r="J86" t="s">
        <v>235</v>
      </c>
      <c r="K86" s="380">
        <f>'Basis Options'!G91</f>
        <v>36800</v>
      </c>
      <c r="L86" s="235">
        <f>'Basis Options'!U91</f>
        <v>-10768.178469828998</v>
      </c>
      <c r="M86" s="380">
        <f>'Basis Options'!Q91</f>
        <v>36797</v>
      </c>
      <c r="N86" t="str">
        <f>'Basis Options'!F91</f>
        <v>C</v>
      </c>
      <c r="O86">
        <f>'Basis Options'!I91</f>
        <v>-0.32</v>
      </c>
      <c r="P86">
        <v>0</v>
      </c>
      <c r="Q86">
        <v>0</v>
      </c>
      <c r="R86">
        <v>0</v>
      </c>
      <c r="S86">
        <v>0</v>
      </c>
      <c r="T86" t="s">
        <v>253</v>
      </c>
      <c r="U86" t="str">
        <f>IF('Basis Options'!D91="NGI/CHI. GATE","""NGI/CHI. GATE""",TRIM('Basis Options'!D91))</f>
        <v>IF-NWPL_ROCKY_M</v>
      </c>
      <c r="V86" t="s">
        <v>253</v>
      </c>
      <c r="W86" t="s">
        <v>132</v>
      </c>
      <c r="X86" t="s">
        <v>253</v>
      </c>
      <c r="Y86" t="s">
        <v>235</v>
      </c>
      <c r="Z86" t="s">
        <v>236</v>
      </c>
      <c r="AA86" t="s">
        <v>253</v>
      </c>
      <c r="AB86" t="s">
        <v>1</v>
      </c>
      <c r="AC86" s="235">
        <f>'Basis Options'!H91</f>
        <v>-500000</v>
      </c>
      <c r="AD86" s="235">
        <f>'Basis Options'!W91</f>
        <v>-8610.391621087947</v>
      </c>
      <c r="AE86">
        <v>0</v>
      </c>
      <c r="AF86">
        <v>0</v>
      </c>
      <c r="AG86">
        <v>0</v>
      </c>
      <c r="AH86" s="235">
        <f>'Basis Options'!CD91</f>
        <v>0</v>
      </c>
      <c r="AI86">
        <v>226</v>
      </c>
      <c r="AJ86" t="s">
        <v>256</v>
      </c>
      <c r="AK86">
        <v>0</v>
      </c>
      <c r="AL86">
        <v>0</v>
      </c>
      <c r="AM86">
        <v>0</v>
      </c>
    </row>
    <row r="87" spans="1:39" x14ac:dyDescent="0.25">
      <c r="A87" t="s">
        <v>233</v>
      </c>
      <c r="B87" t="str">
        <f>'Basis Options'!C92</f>
        <v>NF1114.1</v>
      </c>
      <c r="C87" t="s">
        <v>255</v>
      </c>
      <c r="D87" t="s">
        <v>234</v>
      </c>
      <c r="E87" t="s">
        <v>20</v>
      </c>
      <c r="F87" t="str">
        <f>'Basis Options'!A92</f>
        <v>ELPASMER</v>
      </c>
      <c r="G87" t="s">
        <v>269</v>
      </c>
      <c r="H87" t="s">
        <v>254</v>
      </c>
      <c r="I87" t="s">
        <v>242</v>
      </c>
      <c r="J87" t="s">
        <v>235</v>
      </c>
      <c r="K87" s="380">
        <f>'Basis Options'!G92</f>
        <v>36770</v>
      </c>
      <c r="L87" s="235">
        <f>'Basis Options'!U92</f>
        <v>-6.0302722815208654E-2</v>
      </c>
      <c r="M87" s="380">
        <f>'Basis Options'!Q92</f>
        <v>36768</v>
      </c>
      <c r="N87" t="str">
        <f>'Basis Options'!F92</f>
        <v>C</v>
      </c>
      <c r="O87">
        <f>'Basis Options'!I92</f>
        <v>-0.32</v>
      </c>
      <c r="P87">
        <v>0</v>
      </c>
      <c r="Q87">
        <v>0</v>
      </c>
      <c r="R87">
        <v>0</v>
      </c>
      <c r="S87">
        <v>0</v>
      </c>
      <c r="T87" t="s">
        <v>253</v>
      </c>
      <c r="U87" t="str">
        <f>IF('Basis Options'!D92="NGI/CHI. GATE","""NGI/CHI. GATE""",TRIM('Basis Options'!D92))</f>
        <v>IF-NWPL_ROCKY_M</v>
      </c>
      <c r="V87" t="s">
        <v>253</v>
      </c>
      <c r="W87" t="s">
        <v>132</v>
      </c>
      <c r="X87" t="s">
        <v>253</v>
      </c>
      <c r="Y87" t="s">
        <v>235</v>
      </c>
      <c r="Z87" t="s">
        <v>236</v>
      </c>
      <c r="AA87" t="s">
        <v>253</v>
      </c>
      <c r="AB87" t="s">
        <v>1</v>
      </c>
      <c r="AC87" s="235">
        <f>'Basis Options'!H92</f>
        <v>-500000</v>
      </c>
      <c r="AD87" s="235">
        <f>'Basis Options'!W92</f>
        <v>1.9297305364762707E-2</v>
      </c>
      <c r="AE87">
        <v>0</v>
      </c>
      <c r="AF87">
        <v>0</v>
      </c>
      <c r="AG87">
        <v>0</v>
      </c>
      <c r="AH87" s="235">
        <f>'Basis Options'!CD92</f>
        <v>0</v>
      </c>
      <c r="AI87">
        <v>226</v>
      </c>
      <c r="AJ87" t="s">
        <v>256</v>
      </c>
      <c r="AK87">
        <v>0</v>
      </c>
      <c r="AL87">
        <v>0</v>
      </c>
      <c r="AM87">
        <v>0</v>
      </c>
    </row>
    <row r="88" spans="1:39" x14ac:dyDescent="0.25">
      <c r="A88" t="s">
        <v>233</v>
      </c>
      <c r="B88" t="str">
        <f>'Basis Options'!C93</f>
        <v>NF1114.2</v>
      </c>
      <c r="C88" t="s">
        <v>255</v>
      </c>
      <c r="D88" t="s">
        <v>234</v>
      </c>
      <c r="E88" t="s">
        <v>20</v>
      </c>
      <c r="F88" t="str">
        <f>'Basis Options'!A93</f>
        <v>ELPASMER</v>
      </c>
      <c r="G88" t="s">
        <v>269</v>
      </c>
      <c r="H88" t="s">
        <v>254</v>
      </c>
      <c r="I88" t="s">
        <v>242</v>
      </c>
      <c r="J88" t="s">
        <v>235</v>
      </c>
      <c r="K88" s="380">
        <f>'Basis Options'!G93</f>
        <v>36800</v>
      </c>
      <c r="L88" s="235">
        <f>'Basis Options'!U93</f>
        <v>-251916.53302257461</v>
      </c>
      <c r="M88" s="380">
        <f>'Basis Options'!Q93</f>
        <v>36797</v>
      </c>
      <c r="N88" t="str">
        <f>'Basis Options'!F93</f>
        <v>P</v>
      </c>
      <c r="O88">
        <f>'Basis Options'!I93</f>
        <v>-0.32</v>
      </c>
      <c r="P88">
        <v>0</v>
      </c>
      <c r="Q88">
        <v>0</v>
      </c>
      <c r="R88">
        <v>0</v>
      </c>
      <c r="S88">
        <v>0</v>
      </c>
      <c r="T88" t="s">
        <v>253</v>
      </c>
      <c r="U88" t="str">
        <f>IF('Basis Options'!D93="NGI/CHI. GATE","""NGI/CHI. GATE""",TRIM('Basis Options'!D93))</f>
        <v>IF-NWPL_ROCKY_M</v>
      </c>
      <c r="V88" t="s">
        <v>253</v>
      </c>
      <c r="W88" t="s">
        <v>132</v>
      </c>
      <c r="X88" t="s">
        <v>253</v>
      </c>
      <c r="Y88" t="s">
        <v>235</v>
      </c>
      <c r="Z88" t="s">
        <v>236</v>
      </c>
      <c r="AA88" t="s">
        <v>253</v>
      </c>
      <c r="AB88" t="s">
        <v>1</v>
      </c>
      <c r="AC88" s="235">
        <f>'Basis Options'!H93</f>
        <v>-500000</v>
      </c>
      <c r="AD88" s="235">
        <f>'Basis Options'!W93</f>
        <v>-8610.3916210879106</v>
      </c>
      <c r="AE88">
        <v>0</v>
      </c>
      <c r="AF88">
        <v>0</v>
      </c>
      <c r="AG88">
        <v>0</v>
      </c>
      <c r="AH88" s="235">
        <f>'Basis Options'!CD93</f>
        <v>0</v>
      </c>
      <c r="AI88">
        <v>226</v>
      </c>
      <c r="AJ88" t="s">
        <v>256</v>
      </c>
      <c r="AK88">
        <v>0</v>
      </c>
      <c r="AL88">
        <v>0</v>
      </c>
      <c r="AM88">
        <v>0</v>
      </c>
    </row>
    <row r="89" spans="1:39" x14ac:dyDescent="0.25">
      <c r="A89" t="s">
        <v>233</v>
      </c>
      <c r="B89" t="str">
        <f>'Basis Options'!C94</f>
        <v>NF1114.2</v>
      </c>
      <c r="C89" t="s">
        <v>255</v>
      </c>
      <c r="D89" t="s">
        <v>234</v>
      </c>
      <c r="E89" t="s">
        <v>20</v>
      </c>
      <c r="F89" t="str">
        <f>'Basis Options'!A94</f>
        <v>ELPASMER</v>
      </c>
      <c r="G89" t="s">
        <v>269</v>
      </c>
      <c r="H89" t="s">
        <v>254</v>
      </c>
      <c r="I89" t="s">
        <v>242</v>
      </c>
      <c r="J89" t="s">
        <v>235</v>
      </c>
      <c r="K89" s="380">
        <f>'Basis Options'!G94</f>
        <v>36770</v>
      </c>
      <c r="L89" s="235">
        <f>'Basis Options'!U94</f>
        <v>-459915.41525026265</v>
      </c>
      <c r="M89" s="380">
        <f>'Basis Options'!Q94</f>
        <v>36768</v>
      </c>
      <c r="N89" t="str">
        <f>'Basis Options'!F94</f>
        <v>P</v>
      </c>
      <c r="O89">
        <f>'Basis Options'!I94</f>
        <v>-0.32</v>
      </c>
      <c r="P89">
        <v>0</v>
      </c>
      <c r="Q89">
        <v>0</v>
      </c>
      <c r="R89">
        <v>0</v>
      </c>
      <c r="S89">
        <v>0</v>
      </c>
      <c r="T89" t="s">
        <v>253</v>
      </c>
      <c r="U89" t="str">
        <f>IF('Basis Options'!D94="NGI/CHI. GATE","""NGI/CHI. GATE""",TRIM('Basis Options'!D94))</f>
        <v>IF-NWPL_ROCKY_M</v>
      </c>
      <c r="V89" t="s">
        <v>253</v>
      </c>
      <c r="W89" t="s">
        <v>132</v>
      </c>
      <c r="X89" t="s">
        <v>253</v>
      </c>
      <c r="Y89" t="s">
        <v>235</v>
      </c>
      <c r="Z89" t="s">
        <v>236</v>
      </c>
      <c r="AA89" t="s">
        <v>253</v>
      </c>
      <c r="AB89" t="s">
        <v>1</v>
      </c>
      <c r="AC89" s="235">
        <f>'Basis Options'!H94</f>
        <v>-500000</v>
      </c>
      <c r="AD89" s="235">
        <f>'Basis Options'!W94</f>
        <v>1.9297305378131568E-2</v>
      </c>
      <c r="AE89">
        <v>0</v>
      </c>
      <c r="AF89">
        <v>0</v>
      </c>
      <c r="AG89">
        <v>0</v>
      </c>
      <c r="AH89" s="235">
        <f>'Basis Options'!CD94</f>
        <v>0</v>
      </c>
      <c r="AI89">
        <v>226</v>
      </c>
      <c r="AJ89" t="s">
        <v>256</v>
      </c>
      <c r="AK89">
        <v>0</v>
      </c>
      <c r="AL89">
        <v>0</v>
      </c>
      <c r="AM89">
        <v>0</v>
      </c>
    </row>
    <row r="90" spans="1:39" x14ac:dyDescent="0.25">
      <c r="A90" t="s">
        <v>233</v>
      </c>
      <c r="B90" t="str">
        <f>'Basis Options'!C95</f>
        <v>NF2908.1</v>
      </c>
      <c r="C90" t="s">
        <v>255</v>
      </c>
      <c r="D90" t="s">
        <v>234</v>
      </c>
      <c r="E90" t="s">
        <v>20</v>
      </c>
      <c r="F90" t="str">
        <f>'Basis Options'!A95</f>
        <v>ELPASMER</v>
      </c>
      <c r="G90" t="s">
        <v>269</v>
      </c>
      <c r="H90" t="s">
        <v>254</v>
      </c>
      <c r="I90" t="s">
        <v>242</v>
      </c>
      <c r="J90" t="s">
        <v>235</v>
      </c>
      <c r="K90" s="380">
        <f>'Basis Options'!G95</f>
        <v>36800</v>
      </c>
      <c r="L90" s="235">
        <f>'Basis Options'!U95</f>
        <v>-52459.128418940913</v>
      </c>
      <c r="M90" s="380">
        <f>'Basis Options'!Q95</f>
        <v>36797</v>
      </c>
      <c r="N90" t="str">
        <f>'Basis Options'!F95</f>
        <v>C</v>
      </c>
      <c r="O90">
        <f>'Basis Options'!I95</f>
        <v>0.32</v>
      </c>
      <c r="P90">
        <v>0</v>
      </c>
      <c r="Q90">
        <v>0</v>
      </c>
      <c r="R90">
        <v>0</v>
      </c>
      <c r="S90">
        <v>0</v>
      </c>
      <c r="T90" t="s">
        <v>253</v>
      </c>
      <c r="U90" t="str">
        <f>IF('Basis Options'!D95="NGI/CHI. GATE","""NGI/CHI. GATE""",TRIM('Basis Options'!D95))</f>
        <v>IF-TRANSCO/Z6</v>
      </c>
      <c r="V90" t="s">
        <v>253</v>
      </c>
      <c r="W90" t="s">
        <v>132</v>
      </c>
      <c r="X90" t="s">
        <v>253</v>
      </c>
      <c r="Y90" t="s">
        <v>235</v>
      </c>
      <c r="Z90" t="s">
        <v>236</v>
      </c>
      <c r="AA90" t="s">
        <v>253</v>
      </c>
      <c r="AB90" t="s">
        <v>1</v>
      </c>
      <c r="AC90" s="235">
        <f>'Basis Options'!H95</f>
        <v>-500000</v>
      </c>
      <c r="AD90" s="235">
        <f>'Basis Options'!W95</f>
        <v>-2276.7538599656546</v>
      </c>
      <c r="AE90">
        <v>0</v>
      </c>
      <c r="AF90">
        <v>0</v>
      </c>
      <c r="AG90">
        <v>0</v>
      </c>
      <c r="AH90" s="235">
        <f>'Basis Options'!CD95</f>
        <v>0</v>
      </c>
      <c r="AI90">
        <v>226</v>
      </c>
      <c r="AJ90" t="s">
        <v>256</v>
      </c>
      <c r="AK90">
        <v>0</v>
      </c>
      <c r="AL90">
        <v>0</v>
      </c>
      <c r="AM90">
        <v>0</v>
      </c>
    </row>
    <row r="91" spans="1:39" x14ac:dyDescent="0.25">
      <c r="A91" t="s">
        <v>233</v>
      </c>
      <c r="B91" t="str">
        <f>'Basis Options'!C96</f>
        <v>NF2908.1</v>
      </c>
      <c r="C91" t="s">
        <v>255</v>
      </c>
      <c r="D91" t="s">
        <v>234</v>
      </c>
      <c r="E91" t="s">
        <v>20</v>
      </c>
      <c r="F91" t="str">
        <f>'Basis Options'!A96</f>
        <v>ELPASMER</v>
      </c>
      <c r="G91" t="s">
        <v>269</v>
      </c>
      <c r="H91" t="s">
        <v>254</v>
      </c>
      <c r="I91" t="s">
        <v>242</v>
      </c>
      <c r="J91" t="s">
        <v>235</v>
      </c>
      <c r="K91" s="380">
        <f>'Basis Options'!G96</f>
        <v>36770</v>
      </c>
      <c r="L91" s="235">
        <f>'Basis Options'!U96</f>
        <v>-1553.2919597489667</v>
      </c>
      <c r="M91" s="380">
        <f>'Basis Options'!Q96</f>
        <v>36768</v>
      </c>
      <c r="N91" t="str">
        <f>'Basis Options'!F96</f>
        <v>C</v>
      </c>
      <c r="O91">
        <f>'Basis Options'!I96</f>
        <v>0.32</v>
      </c>
      <c r="P91">
        <v>0</v>
      </c>
      <c r="Q91">
        <v>0</v>
      </c>
      <c r="R91">
        <v>0</v>
      </c>
      <c r="S91">
        <v>0</v>
      </c>
      <c r="T91" t="s">
        <v>253</v>
      </c>
      <c r="U91" t="str">
        <f>IF('Basis Options'!D96="NGI/CHI. GATE","""NGI/CHI. GATE""",TRIM('Basis Options'!D96))</f>
        <v>IF-TRANSCO/Z6</v>
      </c>
      <c r="V91" t="s">
        <v>253</v>
      </c>
      <c r="W91" t="s">
        <v>132</v>
      </c>
      <c r="X91" t="s">
        <v>253</v>
      </c>
      <c r="Y91" t="s">
        <v>235</v>
      </c>
      <c r="Z91" t="s">
        <v>236</v>
      </c>
      <c r="AA91" t="s">
        <v>253</v>
      </c>
      <c r="AB91" t="s">
        <v>1</v>
      </c>
      <c r="AC91" s="235">
        <f>'Basis Options'!H96</f>
        <v>-500000</v>
      </c>
      <c r="AD91" s="235">
        <f>'Basis Options'!W96</f>
        <v>-414.05994473633473</v>
      </c>
      <c r="AE91">
        <v>0</v>
      </c>
      <c r="AF91">
        <v>0</v>
      </c>
      <c r="AG91">
        <v>0</v>
      </c>
      <c r="AH91" s="235">
        <f>'Basis Options'!CD96</f>
        <v>0</v>
      </c>
      <c r="AI91">
        <v>226</v>
      </c>
      <c r="AJ91" t="s">
        <v>256</v>
      </c>
      <c r="AK91">
        <v>0</v>
      </c>
      <c r="AL91">
        <v>0</v>
      </c>
      <c r="AM91">
        <v>0</v>
      </c>
    </row>
    <row r="92" spans="1:39" x14ac:dyDescent="0.25">
      <c r="A92" t="s">
        <v>233</v>
      </c>
      <c r="B92" t="str">
        <f>'Basis Options'!C97</f>
        <v>NF2908.2</v>
      </c>
      <c r="C92" t="s">
        <v>255</v>
      </c>
      <c r="D92" t="s">
        <v>234</v>
      </c>
      <c r="E92" t="s">
        <v>20</v>
      </c>
      <c r="F92" t="str">
        <f>'Basis Options'!A97</f>
        <v>ELPASMER</v>
      </c>
      <c r="G92" t="s">
        <v>269</v>
      </c>
      <c r="H92" t="s">
        <v>254</v>
      </c>
      <c r="I92" t="s">
        <v>242</v>
      </c>
      <c r="J92" t="s">
        <v>235</v>
      </c>
      <c r="K92" s="380">
        <f>'Basis Options'!G97</f>
        <v>36800</v>
      </c>
      <c r="L92" s="235">
        <f>'Basis Options'!U97</f>
        <v>-5223.8837127333845</v>
      </c>
      <c r="M92" s="380">
        <f>'Basis Options'!Q97</f>
        <v>36797</v>
      </c>
      <c r="N92" t="str">
        <f>'Basis Options'!F97</f>
        <v>P</v>
      </c>
      <c r="O92">
        <f>'Basis Options'!I97</f>
        <v>0.32</v>
      </c>
      <c r="P92">
        <v>0</v>
      </c>
      <c r="Q92">
        <v>0</v>
      </c>
      <c r="R92">
        <v>0</v>
      </c>
      <c r="S92">
        <v>0</v>
      </c>
      <c r="T92" t="s">
        <v>253</v>
      </c>
      <c r="U92" t="str">
        <f>IF('Basis Options'!D97="NGI/CHI. GATE","""NGI/CHI. GATE""",TRIM('Basis Options'!D97))</f>
        <v>IF-TRANSCO/Z6</v>
      </c>
      <c r="V92" t="s">
        <v>253</v>
      </c>
      <c r="W92" t="s">
        <v>132</v>
      </c>
      <c r="X92" t="s">
        <v>253</v>
      </c>
      <c r="Y92" t="s">
        <v>235</v>
      </c>
      <c r="Z92" t="s">
        <v>236</v>
      </c>
      <c r="AA92" t="s">
        <v>253</v>
      </c>
      <c r="AB92" t="s">
        <v>1</v>
      </c>
      <c r="AC92" s="235">
        <f>'Basis Options'!H97</f>
        <v>-500000</v>
      </c>
      <c r="AD92" s="235">
        <f>'Basis Options'!W97</f>
        <v>-2276.7538599656691</v>
      </c>
      <c r="AE92">
        <v>0</v>
      </c>
      <c r="AF92">
        <v>0</v>
      </c>
      <c r="AG92">
        <v>0</v>
      </c>
      <c r="AH92" s="235">
        <f>'Basis Options'!CD97</f>
        <v>0</v>
      </c>
      <c r="AI92">
        <v>226</v>
      </c>
      <c r="AJ92" t="s">
        <v>256</v>
      </c>
      <c r="AK92">
        <v>0</v>
      </c>
      <c r="AL92">
        <v>0</v>
      </c>
      <c r="AM92">
        <v>0</v>
      </c>
    </row>
    <row r="93" spans="1:39" x14ac:dyDescent="0.25">
      <c r="A93" t="s">
        <v>233</v>
      </c>
      <c r="B93" t="str">
        <f>'Basis Options'!C98</f>
        <v>NF2908.2</v>
      </c>
      <c r="C93" t="s">
        <v>255</v>
      </c>
      <c r="D93" t="s">
        <v>234</v>
      </c>
      <c r="E93" t="s">
        <v>20</v>
      </c>
      <c r="F93" t="str">
        <f>'Basis Options'!A98</f>
        <v>ELPASMER</v>
      </c>
      <c r="G93" t="s">
        <v>269</v>
      </c>
      <c r="H93" t="s">
        <v>254</v>
      </c>
      <c r="I93" t="s">
        <v>242</v>
      </c>
      <c r="J93" t="s">
        <v>235</v>
      </c>
      <c r="K93" s="380">
        <f>'Basis Options'!G98</f>
        <v>36770</v>
      </c>
      <c r="L93" s="235">
        <f>'Basis Options'!U98</f>
        <v>-4052.8319322901129</v>
      </c>
      <c r="M93" s="380">
        <f>'Basis Options'!Q98</f>
        <v>36768</v>
      </c>
      <c r="N93" t="str">
        <f>'Basis Options'!F98</f>
        <v>P</v>
      </c>
      <c r="O93">
        <f>'Basis Options'!I98</f>
        <v>0.32</v>
      </c>
      <c r="P93">
        <v>0</v>
      </c>
      <c r="Q93">
        <v>0</v>
      </c>
      <c r="R93">
        <v>0</v>
      </c>
      <c r="S93">
        <v>0</v>
      </c>
      <c r="T93" t="s">
        <v>253</v>
      </c>
      <c r="U93" t="str">
        <f>IF('Basis Options'!D98="NGI/CHI. GATE","""NGI/CHI. GATE""",TRIM('Basis Options'!D98))</f>
        <v>IF-TRANSCO/Z6</v>
      </c>
      <c r="V93" t="s">
        <v>253</v>
      </c>
      <c r="W93" t="s">
        <v>132</v>
      </c>
      <c r="X93" t="s">
        <v>253</v>
      </c>
      <c r="Y93" t="s">
        <v>235</v>
      </c>
      <c r="Z93" t="s">
        <v>236</v>
      </c>
      <c r="AA93" t="s">
        <v>253</v>
      </c>
      <c r="AB93" t="s">
        <v>1</v>
      </c>
      <c r="AC93" s="235">
        <f>'Basis Options'!H98</f>
        <v>-500000</v>
      </c>
      <c r="AD93" s="235">
        <f>'Basis Options'!W98</f>
        <v>-414.05994473636383</v>
      </c>
      <c r="AE93">
        <v>0</v>
      </c>
      <c r="AF93">
        <v>0</v>
      </c>
      <c r="AG93">
        <v>0</v>
      </c>
      <c r="AH93" s="235">
        <f>'Basis Options'!CD98</f>
        <v>0</v>
      </c>
      <c r="AI93">
        <v>226</v>
      </c>
      <c r="AJ93" t="s">
        <v>256</v>
      </c>
      <c r="AK93">
        <v>0</v>
      </c>
      <c r="AL93">
        <v>0</v>
      </c>
      <c r="AM93">
        <v>0</v>
      </c>
    </row>
    <row r="94" spans="1:39" x14ac:dyDescent="0.25">
      <c r="A94" t="s">
        <v>233</v>
      </c>
      <c r="B94" t="str">
        <f>'Basis Options'!C99</f>
        <v>NF2912.1</v>
      </c>
      <c r="C94" t="s">
        <v>255</v>
      </c>
      <c r="D94" t="s">
        <v>234</v>
      </c>
      <c r="E94" t="s">
        <v>20</v>
      </c>
      <c r="F94" t="str">
        <f>'Basis Options'!A99</f>
        <v>ELPASMER</v>
      </c>
      <c r="G94" t="s">
        <v>269</v>
      </c>
      <c r="H94" t="s">
        <v>254</v>
      </c>
      <c r="I94" t="s">
        <v>242</v>
      </c>
      <c r="J94" t="s">
        <v>235</v>
      </c>
      <c r="K94" s="380">
        <f>'Basis Options'!G99</f>
        <v>36800</v>
      </c>
      <c r="L94" s="235">
        <f>'Basis Options'!U99</f>
        <v>-52459.128418940913</v>
      </c>
      <c r="M94" s="380">
        <f>'Basis Options'!Q99</f>
        <v>36797</v>
      </c>
      <c r="N94" t="str">
        <f>'Basis Options'!F99</f>
        <v>C</v>
      </c>
      <c r="O94">
        <f>'Basis Options'!I99</f>
        <v>0.32</v>
      </c>
      <c r="P94">
        <v>0</v>
      </c>
      <c r="Q94">
        <v>0</v>
      </c>
      <c r="R94">
        <v>0</v>
      </c>
      <c r="S94">
        <v>0</v>
      </c>
      <c r="T94" t="s">
        <v>253</v>
      </c>
      <c r="U94" t="str">
        <f>IF('Basis Options'!D99="NGI/CHI. GATE","""NGI/CHI. GATE""",TRIM('Basis Options'!D99))</f>
        <v>IF-TRANSCO/Z6</v>
      </c>
      <c r="V94" t="s">
        <v>253</v>
      </c>
      <c r="W94" t="s">
        <v>132</v>
      </c>
      <c r="X94" t="s">
        <v>253</v>
      </c>
      <c r="Y94" t="s">
        <v>235</v>
      </c>
      <c r="Z94" t="s">
        <v>236</v>
      </c>
      <c r="AA94" t="s">
        <v>253</v>
      </c>
      <c r="AB94" t="s">
        <v>1</v>
      </c>
      <c r="AC94" s="235">
        <f>'Basis Options'!H99</f>
        <v>-500000</v>
      </c>
      <c r="AD94" s="235">
        <f>'Basis Options'!W99</f>
        <v>-2276.7538599656546</v>
      </c>
      <c r="AE94">
        <v>0</v>
      </c>
      <c r="AF94">
        <v>0</v>
      </c>
      <c r="AG94">
        <v>0</v>
      </c>
      <c r="AH94" s="235">
        <f>'Basis Options'!CD99</f>
        <v>0</v>
      </c>
      <c r="AI94">
        <v>226</v>
      </c>
      <c r="AJ94" t="s">
        <v>256</v>
      </c>
      <c r="AK94">
        <v>0</v>
      </c>
      <c r="AL94">
        <v>0</v>
      </c>
      <c r="AM94">
        <v>0</v>
      </c>
    </row>
    <row r="95" spans="1:39" x14ac:dyDescent="0.25">
      <c r="A95" t="s">
        <v>233</v>
      </c>
      <c r="B95" t="str">
        <f>'Basis Options'!C100</f>
        <v>NF2912.1</v>
      </c>
      <c r="C95" t="s">
        <v>255</v>
      </c>
      <c r="D95" t="s">
        <v>234</v>
      </c>
      <c r="E95" t="s">
        <v>20</v>
      </c>
      <c r="F95" t="str">
        <f>'Basis Options'!A100</f>
        <v>ELPASMER</v>
      </c>
      <c r="G95" t="s">
        <v>269</v>
      </c>
      <c r="H95" t="s">
        <v>254</v>
      </c>
      <c r="I95" t="s">
        <v>242</v>
      </c>
      <c r="J95" t="s">
        <v>235</v>
      </c>
      <c r="K95" s="380">
        <f>'Basis Options'!G100</f>
        <v>36770</v>
      </c>
      <c r="L95" s="235">
        <f>'Basis Options'!U100</f>
        <v>-1553.2919597489667</v>
      </c>
      <c r="M95" s="380">
        <f>'Basis Options'!Q100</f>
        <v>36768</v>
      </c>
      <c r="N95" t="str">
        <f>'Basis Options'!F100</f>
        <v>C</v>
      </c>
      <c r="O95">
        <f>'Basis Options'!I100</f>
        <v>0.32</v>
      </c>
      <c r="P95">
        <v>0</v>
      </c>
      <c r="Q95">
        <v>0</v>
      </c>
      <c r="R95">
        <v>0</v>
      </c>
      <c r="S95">
        <v>0</v>
      </c>
      <c r="T95" t="s">
        <v>253</v>
      </c>
      <c r="U95" t="str">
        <f>IF('Basis Options'!D100="NGI/CHI. GATE","""NGI/CHI. GATE""",TRIM('Basis Options'!D100))</f>
        <v>IF-TRANSCO/Z6</v>
      </c>
      <c r="V95" t="s">
        <v>253</v>
      </c>
      <c r="W95" t="s">
        <v>132</v>
      </c>
      <c r="X95" t="s">
        <v>253</v>
      </c>
      <c r="Y95" t="s">
        <v>235</v>
      </c>
      <c r="Z95" t="s">
        <v>236</v>
      </c>
      <c r="AA95" t="s">
        <v>253</v>
      </c>
      <c r="AB95" t="s">
        <v>1</v>
      </c>
      <c r="AC95" s="235">
        <f>'Basis Options'!H100</f>
        <v>-500000</v>
      </c>
      <c r="AD95" s="235">
        <f>'Basis Options'!W100</f>
        <v>-414.05994473633473</v>
      </c>
      <c r="AE95">
        <v>0</v>
      </c>
      <c r="AF95">
        <v>0</v>
      </c>
      <c r="AG95">
        <v>0</v>
      </c>
      <c r="AH95" s="235">
        <f>'Basis Options'!CD100</f>
        <v>0</v>
      </c>
      <c r="AI95">
        <v>226</v>
      </c>
      <c r="AJ95" t="s">
        <v>256</v>
      </c>
      <c r="AK95">
        <v>0</v>
      </c>
      <c r="AL95">
        <v>0</v>
      </c>
      <c r="AM95">
        <v>0</v>
      </c>
    </row>
    <row r="96" spans="1:39" x14ac:dyDescent="0.25">
      <c r="A96" t="s">
        <v>233</v>
      </c>
      <c r="B96" t="str">
        <f>'Basis Options'!C101</f>
        <v>NF2912.2</v>
      </c>
      <c r="C96" t="s">
        <v>255</v>
      </c>
      <c r="D96" t="s">
        <v>234</v>
      </c>
      <c r="E96" t="s">
        <v>20</v>
      </c>
      <c r="F96" t="str">
        <f>'Basis Options'!A101</f>
        <v>ELPASMER</v>
      </c>
      <c r="G96" t="s">
        <v>269</v>
      </c>
      <c r="H96" t="s">
        <v>254</v>
      </c>
      <c r="I96" t="s">
        <v>242</v>
      </c>
      <c r="J96" t="s">
        <v>235</v>
      </c>
      <c r="K96" s="380">
        <f>'Basis Options'!G101</f>
        <v>36800</v>
      </c>
      <c r="L96" s="235">
        <f>'Basis Options'!U101</f>
        <v>-5223.8837127333845</v>
      </c>
      <c r="M96" s="380">
        <f>'Basis Options'!Q101</f>
        <v>36797</v>
      </c>
      <c r="N96" t="str">
        <f>'Basis Options'!F101</f>
        <v>P</v>
      </c>
      <c r="O96">
        <f>'Basis Options'!I101</f>
        <v>0.32</v>
      </c>
      <c r="P96">
        <v>0</v>
      </c>
      <c r="Q96">
        <v>0</v>
      </c>
      <c r="R96">
        <v>0</v>
      </c>
      <c r="S96">
        <v>0</v>
      </c>
      <c r="T96" t="s">
        <v>253</v>
      </c>
      <c r="U96" t="str">
        <f>IF('Basis Options'!D101="NGI/CHI. GATE","""NGI/CHI. GATE""",TRIM('Basis Options'!D101))</f>
        <v>IF-TRANSCO/Z6</v>
      </c>
      <c r="V96" t="s">
        <v>253</v>
      </c>
      <c r="W96" t="s">
        <v>132</v>
      </c>
      <c r="X96" t="s">
        <v>253</v>
      </c>
      <c r="Y96" t="s">
        <v>235</v>
      </c>
      <c r="Z96" t="s">
        <v>236</v>
      </c>
      <c r="AA96" t="s">
        <v>253</v>
      </c>
      <c r="AB96" t="s">
        <v>1</v>
      </c>
      <c r="AC96" s="235">
        <f>'Basis Options'!H101</f>
        <v>-500000</v>
      </c>
      <c r="AD96" s="235">
        <f>'Basis Options'!W101</f>
        <v>-2276.7538599656691</v>
      </c>
      <c r="AE96">
        <v>0</v>
      </c>
      <c r="AF96">
        <v>0</v>
      </c>
      <c r="AG96">
        <v>0</v>
      </c>
      <c r="AH96" s="235">
        <f>'Basis Options'!CD101</f>
        <v>0</v>
      </c>
      <c r="AI96">
        <v>226</v>
      </c>
      <c r="AJ96" t="s">
        <v>256</v>
      </c>
      <c r="AK96">
        <v>0</v>
      </c>
      <c r="AL96">
        <v>0</v>
      </c>
      <c r="AM96">
        <v>0</v>
      </c>
    </row>
    <row r="97" spans="1:39" x14ac:dyDescent="0.25">
      <c r="A97" t="s">
        <v>233</v>
      </c>
      <c r="B97" t="str">
        <f>'Basis Options'!C102</f>
        <v>NF2912.2</v>
      </c>
      <c r="C97" t="s">
        <v>255</v>
      </c>
      <c r="D97" t="s">
        <v>234</v>
      </c>
      <c r="E97" t="s">
        <v>20</v>
      </c>
      <c r="F97" t="str">
        <f>'Basis Options'!A102</f>
        <v>ELPASMER</v>
      </c>
      <c r="G97" t="s">
        <v>269</v>
      </c>
      <c r="H97" t="s">
        <v>254</v>
      </c>
      <c r="I97" t="s">
        <v>242</v>
      </c>
      <c r="J97" t="s">
        <v>235</v>
      </c>
      <c r="K97" s="380">
        <f>'Basis Options'!G102</f>
        <v>36770</v>
      </c>
      <c r="L97" s="235">
        <f>'Basis Options'!U102</f>
        <v>-4052.8319322901129</v>
      </c>
      <c r="M97" s="380">
        <f>'Basis Options'!Q102</f>
        <v>36768</v>
      </c>
      <c r="N97" t="str">
        <f>'Basis Options'!F102</f>
        <v>P</v>
      </c>
      <c r="O97">
        <f>'Basis Options'!I102</f>
        <v>0.32</v>
      </c>
      <c r="P97">
        <v>0</v>
      </c>
      <c r="Q97">
        <v>0</v>
      </c>
      <c r="R97">
        <v>0</v>
      </c>
      <c r="S97">
        <v>0</v>
      </c>
      <c r="T97" t="s">
        <v>253</v>
      </c>
      <c r="U97" t="str">
        <f>IF('Basis Options'!D102="NGI/CHI. GATE","""NGI/CHI. GATE""",TRIM('Basis Options'!D102))</f>
        <v>IF-TRANSCO/Z6</v>
      </c>
      <c r="V97" t="s">
        <v>253</v>
      </c>
      <c r="W97" t="s">
        <v>132</v>
      </c>
      <c r="X97" t="s">
        <v>253</v>
      </c>
      <c r="Y97" t="s">
        <v>235</v>
      </c>
      <c r="Z97" t="s">
        <v>236</v>
      </c>
      <c r="AA97" t="s">
        <v>253</v>
      </c>
      <c r="AB97" t="s">
        <v>1</v>
      </c>
      <c r="AC97" s="235">
        <f>'Basis Options'!H102</f>
        <v>-500000</v>
      </c>
      <c r="AD97" s="235">
        <f>'Basis Options'!W102</f>
        <v>-414.05994473636383</v>
      </c>
      <c r="AE97">
        <v>0</v>
      </c>
      <c r="AF97">
        <v>0</v>
      </c>
      <c r="AG97">
        <v>0</v>
      </c>
      <c r="AH97" s="235">
        <f>'Basis Options'!CD102</f>
        <v>0</v>
      </c>
      <c r="AI97">
        <v>226</v>
      </c>
      <c r="AJ97" t="s">
        <v>256</v>
      </c>
      <c r="AK97">
        <v>0</v>
      </c>
      <c r="AL97">
        <v>0</v>
      </c>
      <c r="AM97">
        <v>0</v>
      </c>
    </row>
    <row r="98" spans="1:39" x14ac:dyDescent="0.25">
      <c r="A98" t="s">
        <v>233</v>
      </c>
      <c r="B98" t="str">
        <f>'Basis Options'!C103</f>
        <v>NF3896.1</v>
      </c>
      <c r="C98" t="s">
        <v>255</v>
      </c>
      <c r="D98" t="s">
        <v>234</v>
      </c>
      <c r="E98" t="s">
        <v>20</v>
      </c>
      <c r="F98" t="str">
        <f>'Basis Options'!A103</f>
        <v>ELPASMER</v>
      </c>
      <c r="G98" t="s">
        <v>269</v>
      </c>
      <c r="H98" t="s">
        <v>254</v>
      </c>
      <c r="I98" t="s">
        <v>242</v>
      </c>
      <c r="J98" t="s">
        <v>235</v>
      </c>
      <c r="K98" s="380">
        <f>'Basis Options'!G103</f>
        <v>36800</v>
      </c>
      <c r="L98" s="235">
        <f>'Basis Options'!U103</f>
        <v>-2611.9418563666923</v>
      </c>
      <c r="M98" s="380">
        <f>'Basis Options'!Q103</f>
        <v>36797</v>
      </c>
      <c r="N98" t="str">
        <f>'Basis Options'!F103</f>
        <v>P</v>
      </c>
      <c r="O98">
        <f>'Basis Options'!I103</f>
        <v>0.32</v>
      </c>
      <c r="P98">
        <v>0</v>
      </c>
      <c r="Q98">
        <v>0</v>
      </c>
      <c r="R98">
        <v>0</v>
      </c>
      <c r="S98">
        <v>0</v>
      </c>
      <c r="T98" t="s">
        <v>253</v>
      </c>
      <c r="U98" t="str">
        <f>IF('Basis Options'!D103="NGI/CHI. GATE","""NGI/CHI. GATE""",TRIM('Basis Options'!D103))</f>
        <v>IF-TRANSCO/Z6</v>
      </c>
      <c r="V98" t="s">
        <v>253</v>
      </c>
      <c r="W98" t="s">
        <v>132</v>
      </c>
      <c r="X98" t="s">
        <v>253</v>
      </c>
      <c r="Y98" t="s">
        <v>235</v>
      </c>
      <c r="Z98" t="s">
        <v>236</v>
      </c>
      <c r="AA98" t="s">
        <v>253</v>
      </c>
      <c r="AB98" t="s">
        <v>1</v>
      </c>
      <c r="AC98" s="235">
        <f>'Basis Options'!H103</f>
        <v>-250000</v>
      </c>
      <c r="AD98" s="235">
        <f>'Basis Options'!W103</f>
        <v>-1138.3769299828346</v>
      </c>
      <c r="AE98">
        <v>0</v>
      </c>
      <c r="AF98">
        <v>0</v>
      </c>
      <c r="AG98">
        <v>0</v>
      </c>
      <c r="AH98" s="235">
        <f>'Basis Options'!CD103</f>
        <v>0</v>
      </c>
      <c r="AI98">
        <v>226</v>
      </c>
      <c r="AJ98" t="s">
        <v>256</v>
      </c>
      <c r="AK98">
        <v>0</v>
      </c>
      <c r="AL98">
        <v>0</v>
      </c>
      <c r="AM98">
        <v>0</v>
      </c>
    </row>
    <row r="99" spans="1:39" x14ac:dyDescent="0.25">
      <c r="A99" t="s">
        <v>233</v>
      </c>
      <c r="B99" t="str">
        <f>'Basis Options'!C104</f>
        <v>NF3896.1</v>
      </c>
      <c r="C99" t="s">
        <v>255</v>
      </c>
      <c r="D99" t="s">
        <v>234</v>
      </c>
      <c r="E99" t="s">
        <v>20</v>
      </c>
      <c r="F99" t="str">
        <f>'Basis Options'!A104</f>
        <v>ELPASMER</v>
      </c>
      <c r="G99" t="s">
        <v>269</v>
      </c>
      <c r="H99" t="s">
        <v>254</v>
      </c>
      <c r="I99" t="s">
        <v>242</v>
      </c>
      <c r="J99" t="s">
        <v>235</v>
      </c>
      <c r="K99" s="380">
        <f>'Basis Options'!G104</f>
        <v>36770</v>
      </c>
      <c r="L99" s="235">
        <f>'Basis Options'!U104</f>
        <v>-2026.4159661450565</v>
      </c>
      <c r="M99" s="380">
        <f>'Basis Options'!Q104</f>
        <v>36768</v>
      </c>
      <c r="N99" t="str">
        <f>'Basis Options'!F104</f>
        <v>P</v>
      </c>
      <c r="O99">
        <f>'Basis Options'!I104</f>
        <v>0.32</v>
      </c>
      <c r="P99">
        <v>0</v>
      </c>
      <c r="Q99">
        <v>0</v>
      </c>
      <c r="R99">
        <v>0</v>
      </c>
      <c r="S99">
        <v>0</v>
      </c>
      <c r="T99" t="s">
        <v>253</v>
      </c>
      <c r="U99" t="str">
        <f>IF('Basis Options'!D104="NGI/CHI. GATE","""NGI/CHI. GATE""",TRIM('Basis Options'!D104))</f>
        <v>IF-TRANSCO/Z6</v>
      </c>
      <c r="V99" t="s">
        <v>253</v>
      </c>
      <c r="W99" t="s">
        <v>132</v>
      </c>
      <c r="X99" t="s">
        <v>253</v>
      </c>
      <c r="Y99" t="s">
        <v>235</v>
      </c>
      <c r="Z99" t="s">
        <v>236</v>
      </c>
      <c r="AA99" t="s">
        <v>253</v>
      </c>
      <c r="AB99" t="s">
        <v>1</v>
      </c>
      <c r="AC99" s="235">
        <f>'Basis Options'!H104</f>
        <v>-250000</v>
      </c>
      <c r="AD99" s="235">
        <f>'Basis Options'!W104</f>
        <v>-207.02997236818192</v>
      </c>
      <c r="AE99">
        <v>0</v>
      </c>
      <c r="AF99">
        <v>0</v>
      </c>
      <c r="AG99">
        <v>0</v>
      </c>
      <c r="AH99" s="235">
        <f>'Basis Options'!CD104</f>
        <v>0</v>
      </c>
      <c r="AI99">
        <v>226</v>
      </c>
      <c r="AJ99" t="s">
        <v>256</v>
      </c>
      <c r="AK99">
        <v>0</v>
      </c>
      <c r="AL99">
        <v>0</v>
      </c>
      <c r="AM99">
        <v>0</v>
      </c>
    </row>
    <row r="100" spans="1:39" x14ac:dyDescent="0.25">
      <c r="A100" t="s">
        <v>233</v>
      </c>
      <c r="B100" t="str">
        <f>'Basis Options'!C105</f>
        <v>NF3896.2</v>
      </c>
      <c r="C100" t="s">
        <v>255</v>
      </c>
      <c r="D100" t="s">
        <v>234</v>
      </c>
      <c r="E100" t="s">
        <v>20</v>
      </c>
      <c r="F100" t="str">
        <f>'Basis Options'!A105</f>
        <v>ELPASMER</v>
      </c>
      <c r="G100" t="s">
        <v>269</v>
      </c>
      <c r="H100" t="s">
        <v>254</v>
      </c>
      <c r="I100" t="s">
        <v>242</v>
      </c>
      <c r="J100" t="s">
        <v>235</v>
      </c>
      <c r="K100" s="380">
        <f>'Basis Options'!G105</f>
        <v>36800</v>
      </c>
      <c r="L100" s="235">
        <f>'Basis Options'!U105</f>
        <v>-712.44295968406198</v>
      </c>
      <c r="M100" s="380">
        <f>'Basis Options'!Q105</f>
        <v>36797</v>
      </c>
      <c r="N100" t="str">
        <f>'Basis Options'!F105</f>
        <v>P</v>
      </c>
      <c r="O100">
        <f>'Basis Options'!I105</f>
        <v>0.26</v>
      </c>
      <c r="P100">
        <v>0</v>
      </c>
      <c r="Q100">
        <v>0</v>
      </c>
      <c r="R100">
        <v>0</v>
      </c>
      <c r="S100">
        <v>0</v>
      </c>
      <c r="T100" t="s">
        <v>253</v>
      </c>
      <c r="U100" t="str">
        <f>IF('Basis Options'!D105="NGI/CHI. GATE","""NGI/CHI. GATE""",TRIM('Basis Options'!D105))</f>
        <v>IF-TRANSCO/Z6</v>
      </c>
      <c r="V100" t="s">
        <v>253</v>
      </c>
      <c r="W100" t="s">
        <v>132</v>
      </c>
      <c r="X100" t="s">
        <v>253</v>
      </c>
      <c r="Y100" t="s">
        <v>235</v>
      </c>
      <c r="Z100" t="s">
        <v>236</v>
      </c>
      <c r="AA100" t="s">
        <v>253</v>
      </c>
      <c r="AB100" t="s">
        <v>1</v>
      </c>
      <c r="AC100" s="235">
        <f>'Basis Options'!H105</f>
        <v>-250000</v>
      </c>
      <c r="AD100" s="235">
        <f>'Basis Options'!W105</f>
        <v>-566.11842594839254</v>
      </c>
      <c r="AE100">
        <v>0</v>
      </c>
      <c r="AF100">
        <v>0</v>
      </c>
      <c r="AG100">
        <v>0</v>
      </c>
      <c r="AH100" s="235">
        <f>'Basis Options'!CD105</f>
        <v>0</v>
      </c>
      <c r="AI100">
        <v>226</v>
      </c>
      <c r="AJ100" t="s">
        <v>256</v>
      </c>
      <c r="AK100">
        <v>0</v>
      </c>
      <c r="AL100">
        <v>0</v>
      </c>
      <c r="AM100">
        <v>0</v>
      </c>
    </row>
    <row r="101" spans="1:39" x14ac:dyDescent="0.25">
      <c r="A101" t="s">
        <v>233</v>
      </c>
      <c r="B101" t="str">
        <f>'Basis Options'!C106</f>
        <v>NF3896.2</v>
      </c>
      <c r="C101" t="s">
        <v>255</v>
      </c>
      <c r="D101" t="s">
        <v>234</v>
      </c>
      <c r="E101" t="s">
        <v>20</v>
      </c>
      <c r="F101" t="str">
        <f>'Basis Options'!A106</f>
        <v>ELPASMER</v>
      </c>
      <c r="G101" t="s">
        <v>269</v>
      </c>
      <c r="H101" t="s">
        <v>254</v>
      </c>
      <c r="I101" t="s">
        <v>242</v>
      </c>
      <c r="J101" t="s">
        <v>235</v>
      </c>
      <c r="K101" s="380">
        <f>'Basis Options'!G106</f>
        <v>36770</v>
      </c>
      <c r="L101" s="235">
        <f>'Basis Options'!U106</f>
        <v>-7.2181974286600337E-3</v>
      </c>
      <c r="M101" s="380">
        <f>'Basis Options'!Q106</f>
        <v>36768</v>
      </c>
      <c r="N101" t="str">
        <f>'Basis Options'!F106</f>
        <v>P</v>
      </c>
      <c r="O101">
        <f>'Basis Options'!I106</f>
        <v>0.26</v>
      </c>
      <c r="P101">
        <v>0</v>
      </c>
      <c r="Q101">
        <v>0</v>
      </c>
      <c r="R101">
        <v>0</v>
      </c>
      <c r="S101">
        <v>0</v>
      </c>
      <c r="T101" t="s">
        <v>253</v>
      </c>
      <c r="U101" t="str">
        <f>IF('Basis Options'!D106="NGI/CHI. GATE","""NGI/CHI. GATE""",TRIM('Basis Options'!D106))</f>
        <v>IF-TRANSCO/Z6</v>
      </c>
      <c r="V101" t="s">
        <v>253</v>
      </c>
      <c r="W101" t="s">
        <v>132</v>
      </c>
      <c r="X101" t="s">
        <v>253</v>
      </c>
      <c r="Y101" t="s">
        <v>235</v>
      </c>
      <c r="Z101" t="s">
        <v>236</v>
      </c>
      <c r="AA101" t="s">
        <v>253</v>
      </c>
      <c r="AB101" t="s">
        <v>1</v>
      </c>
      <c r="AC101" s="235">
        <f>'Basis Options'!H106</f>
        <v>-250000</v>
      </c>
      <c r="AD101" s="235">
        <f>'Basis Options'!W106</f>
        <v>-1.9419825830757631E-2</v>
      </c>
      <c r="AE101">
        <v>0</v>
      </c>
      <c r="AF101">
        <v>0</v>
      </c>
      <c r="AG101">
        <v>0</v>
      </c>
      <c r="AH101" s="235">
        <f>'Basis Options'!CD106</f>
        <v>0</v>
      </c>
      <c r="AI101">
        <v>226</v>
      </c>
      <c r="AJ101" t="s">
        <v>256</v>
      </c>
      <c r="AK101">
        <v>0</v>
      </c>
      <c r="AL101">
        <v>0</v>
      </c>
      <c r="AM101">
        <v>0</v>
      </c>
    </row>
    <row r="102" spans="1:39" x14ac:dyDescent="0.25">
      <c r="A102" t="s">
        <v>233</v>
      </c>
      <c r="B102" t="str">
        <f>'Basis Options'!C107</f>
        <v>NF4362</v>
      </c>
      <c r="C102" t="s">
        <v>255</v>
      </c>
      <c r="D102" t="s">
        <v>234</v>
      </c>
      <c r="E102" t="s">
        <v>20</v>
      </c>
      <c r="F102" t="str">
        <f>'Basis Options'!A107</f>
        <v>DUKEENETRA</v>
      </c>
      <c r="G102" t="s">
        <v>269</v>
      </c>
      <c r="H102" t="s">
        <v>254</v>
      </c>
      <c r="I102" t="s">
        <v>242</v>
      </c>
      <c r="J102" t="s">
        <v>235</v>
      </c>
      <c r="K102" s="380">
        <f>'Basis Options'!G107</f>
        <v>36951</v>
      </c>
      <c r="L102" s="235">
        <f>'Basis Options'!U107</f>
        <v>124194.88052041749</v>
      </c>
      <c r="M102" s="380">
        <f>'Basis Options'!Q107</f>
        <v>36949</v>
      </c>
      <c r="N102" t="str">
        <f>'Basis Options'!F107</f>
        <v>C</v>
      </c>
      <c r="O102">
        <f>'Basis Options'!I107</f>
        <v>2.2000000000000002</v>
      </c>
      <c r="P102">
        <v>0</v>
      </c>
      <c r="Q102">
        <v>0</v>
      </c>
      <c r="R102">
        <v>0</v>
      </c>
      <c r="S102">
        <v>0</v>
      </c>
      <c r="T102" t="s">
        <v>253</v>
      </c>
      <c r="U102" t="str">
        <f>IF('Basis Options'!D107="NGI/CHI. GATE","""NGI/CHI. GATE""",TRIM('Basis Options'!D107))</f>
        <v>IF-TRANSCO/Z6</v>
      </c>
      <c r="V102" t="s">
        <v>253</v>
      </c>
      <c r="W102" t="s">
        <v>132</v>
      </c>
      <c r="X102" t="s">
        <v>253</v>
      </c>
      <c r="Y102" t="s">
        <v>235</v>
      </c>
      <c r="Z102" t="s">
        <v>236</v>
      </c>
      <c r="AA102" t="s">
        <v>253</v>
      </c>
      <c r="AB102" t="s">
        <v>1</v>
      </c>
      <c r="AC102" s="235">
        <f>'Basis Options'!H107</f>
        <v>620000</v>
      </c>
      <c r="AD102" s="235">
        <f>'Basis Options'!W107</f>
        <v>40423.634114723594</v>
      </c>
      <c r="AE102">
        <v>0</v>
      </c>
      <c r="AF102">
        <v>0</v>
      </c>
      <c r="AG102">
        <v>0</v>
      </c>
      <c r="AH102" s="235">
        <f>'Basis Options'!CD107</f>
        <v>0</v>
      </c>
      <c r="AI102">
        <v>226</v>
      </c>
      <c r="AJ102" t="s">
        <v>256</v>
      </c>
      <c r="AK102">
        <v>0</v>
      </c>
      <c r="AL102">
        <v>0</v>
      </c>
      <c r="AM102">
        <v>0</v>
      </c>
    </row>
    <row r="103" spans="1:39" x14ac:dyDescent="0.25">
      <c r="A103" t="s">
        <v>233</v>
      </c>
      <c r="B103" t="str">
        <f>'Basis Options'!C108</f>
        <v>NF4362</v>
      </c>
      <c r="C103" t="s">
        <v>255</v>
      </c>
      <c r="D103" t="s">
        <v>234</v>
      </c>
      <c r="E103" t="s">
        <v>20</v>
      </c>
      <c r="F103" t="str">
        <f>'Basis Options'!A108</f>
        <v>DUKEENETRA</v>
      </c>
      <c r="G103" t="s">
        <v>269</v>
      </c>
      <c r="H103" t="s">
        <v>254</v>
      </c>
      <c r="I103" t="s">
        <v>242</v>
      </c>
      <c r="J103" t="s">
        <v>235</v>
      </c>
      <c r="K103" s="380">
        <f>'Basis Options'!G108</f>
        <v>36923</v>
      </c>
      <c r="L103" s="235">
        <f>'Basis Options'!U108</f>
        <v>357524.22951511259</v>
      </c>
      <c r="M103" s="380">
        <f>'Basis Options'!Q108</f>
        <v>36921</v>
      </c>
      <c r="N103" t="str">
        <f>'Basis Options'!F108</f>
        <v>C</v>
      </c>
      <c r="O103">
        <f>'Basis Options'!I108</f>
        <v>2.2000000000000002</v>
      </c>
      <c r="P103">
        <v>0</v>
      </c>
      <c r="Q103">
        <v>0</v>
      </c>
      <c r="R103">
        <v>0</v>
      </c>
      <c r="S103">
        <v>0</v>
      </c>
      <c r="T103" t="s">
        <v>253</v>
      </c>
      <c r="U103" t="str">
        <f>IF('Basis Options'!D108="NGI/CHI. GATE","""NGI/CHI. GATE""",TRIM('Basis Options'!D108))</f>
        <v>IF-TRANSCO/Z6</v>
      </c>
      <c r="V103" t="s">
        <v>253</v>
      </c>
      <c r="W103" t="s">
        <v>132</v>
      </c>
      <c r="X103" t="s">
        <v>253</v>
      </c>
      <c r="Y103" t="s">
        <v>235</v>
      </c>
      <c r="Z103" t="s">
        <v>236</v>
      </c>
      <c r="AA103" t="s">
        <v>253</v>
      </c>
      <c r="AB103" t="s">
        <v>1</v>
      </c>
      <c r="AC103" s="235">
        <f>'Basis Options'!H108</f>
        <v>560000</v>
      </c>
      <c r="AD103" s="235">
        <f>'Basis Options'!W108</f>
        <v>47650.076724129176</v>
      </c>
      <c r="AE103">
        <v>0</v>
      </c>
      <c r="AF103">
        <v>0</v>
      </c>
      <c r="AG103">
        <v>0</v>
      </c>
      <c r="AH103" s="235">
        <f>'Basis Options'!CD108</f>
        <v>0</v>
      </c>
      <c r="AI103">
        <v>226</v>
      </c>
      <c r="AJ103" t="s">
        <v>256</v>
      </c>
      <c r="AK103">
        <v>0</v>
      </c>
      <c r="AL103">
        <v>0</v>
      </c>
      <c r="AM103">
        <v>0</v>
      </c>
    </row>
    <row r="104" spans="1:39" x14ac:dyDescent="0.25">
      <c r="A104" t="s">
        <v>233</v>
      </c>
      <c r="B104" t="str">
        <f>'Basis Options'!C109</f>
        <v>NF4362</v>
      </c>
      <c r="C104" t="s">
        <v>255</v>
      </c>
      <c r="D104" t="s">
        <v>234</v>
      </c>
      <c r="E104" t="s">
        <v>20</v>
      </c>
      <c r="F104" t="str">
        <f>'Basis Options'!A109</f>
        <v>DUKEENETRA</v>
      </c>
      <c r="G104" t="s">
        <v>269</v>
      </c>
      <c r="H104" t="s">
        <v>254</v>
      </c>
      <c r="I104" t="s">
        <v>242</v>
      </c>
      <c r="J104" t="s">
        <v>235</v>
      </c>
      <c r="K104" s="380">
        <f>'Basis Options'!G109</f>
        <v>36892</v>
      </c>
      <c r="L104" s="235">
        <f>'Basis Options'!U109</f>
        <v>396833.64398924174</v>
      </c>
      <c r="M104" s="380">
        <f>'Basis Options'!Q109</f>
        <v>36888</v>
      </c>
      <c r="N104" t="str">
        <f>'Basis Options'!F109</f>
        <v>C</v>
      </c>
      <c r="O104">
        <f>'Basis Options'!I109</f>
        <v>2.2000000000000002</v>
      </c>
      <c r="P104">
        <v>0</v>
      </c>
      <c r="Q104">
        <v>0</v>
      </c>
      <c r="R104">
        <v>0</v>
      </c>
      <c r="S104">
        <v>0</v>
      </c>
      <c r="T104" t="s">
        <v>253</v>
      </c>
      <c r="U104" t="str">
        <f>IF('Basis Options'!D109="NGI/CHI. GATE","""NGI/CHI. GATE""",TRIM('Basis Options'!D109))</f>
        <v>IF-TRANSCO/Z6</v>
      </c>
      <c r="V104" t="s">
        <v>253</v>
      </c>
      <c r="W104" t="s">
        <v>132</v>
      </c>
      <c r="X104" t="s">
        <v>253</v>
      </c>
      <c r="Y104" t="s">
        <v>235</v>
      </c>
      <c r="Z104" t="s">
        <v>236</v>
      </c>
      <c r="AA104" t="s">
        <v>253</v>
      </c>
      <c r="AB104" t="s">
        <v>1</v>
      </c>
      <c r="AC104" s="235">
        <f>'Basis Options'!H109</f>
        <v>620000</v>
      </c>
      <c r="AD104" s="235">
        <f>'Basis Options'!W109</f>
        <v>48423.462270816264</v>
      </c>
      <c r="AE104">
        <v>0</v>
      </c>
      <c r="AF104">
        <v>0</v>
      </c>
      <c r="AG104">
        <v>0</v>
      </c>
      <c r="AH104" s="235">
        <f>'Basis Options'!CD109</f>
        <v>0</v>
      </c>
      <c r="AI104">
        <v>226</v>
      </c>
      <c r="AJ104" t="s">
        <v>256</v>
      </c>
      <c r="AK104">
        <v>0</v>
      </c>
      <c r="AL104">
        <v>0</v>
      </c>
      <c r="AM104">
        <v>0</v>
      </c>
    </row>
    <row r="105" spans="1:39" x14ac:dyDescent="0.25">
      <c r="A105" t="s">
        <v>233</v>
      </c>
      <c r="B105" t="str">
        <f>'Basis Options'!C110</f>
        <v>NF4362</v>
      </c>
      <c r="C105" t="s">
        <v>255</v>
      </c>
      <c r="D105" t="s">
        <v>234</v>
      </c>
      <c r="E105" t="s">
        <v>20</v>
      </c>
      <c r="F105" t="str">
        <f>'Basis Options'!A110</f>
        <v>DUKEENETRA</v>
      </c>
      <c r="G105" t="s">
        <v>269</v>
      </c>
      <c r="H105" t="s">
        <v>254</v>
      </c>
      <c r="I105" t="s">
        <v>242</v>
      </c>
      <c r="J105" t="s">
        <v>235</v>
      </c>
      <c r="K105" s="380">
        <f>'Basis Options'!G110</f>
        <v>36861</v>
      </c>
      <c r="L105" s="235">
        <f>'Basis Options'!U110</f>
        <v>198070.68729187507</v>
      </c>
      <c r="M105" s="380">
        <f>'Basis Options'!Q110</f>
        <v>36859</v>
      </c>
      <c r="N105" t="str">
        <f>'Basis Options'!F110</f>
        <v>C</v>
      </c>
      <c r="O105">
        <f>'Basis Options'!I110</f>
        <v>2.2000000000000002</v>
      </c>
      <c r="P105">
        <v>0</v>
      </c>
      <c r="Q105">
        <v>0</v>
      </c>
      <c r="R105">
        <v>0</v>
      </c>
      <c r="S105">
        <v>0</v>
      </c>
      <c r="T105" t="s">
        <v>253</v>
      </c>
      <c r="U105" t="str">
        <f>IF('Basis Options'!D110="NGI/CHI. GATE","""NGI/CHI. GATE""",TRIM('Basis Options'!D110))</f>
        <v>IF-TRANSCO/Z6</v>
      </c>
      <c r="V105" t="s">
        <v>253</v>
      </c>
      <c r="W105" t="s">
        <v>132</v>
      </c>
      <c r="X105" t="s">
        <v>253</v>
      </c>
      <c r="Y105" t="s">
        <v>235</v>
      </c>
      <c r="Z105" t="s">
        <v>236</v>
      </c>
      <c r="AA105" t="s">
        <v>253</v>
      </c>
      <c r="AB105" t="s">
        <v>1</v>
      </c>
      <c r="AC105" s="235">
        <f>'Basis Options'!H110</f>
        <v>620000</v>
      </c>
      <c r="AD105" s="235">
        <f>'Basis Options'!W110</f>
        <v>39547.125742910372</v>
      </c>
      <c r="AE105">
        <v>0</v>
      </c>
      <c r="AF105">
        <v>0</v>
      </c>
      <c r="AG105">
        <v>0</v>
      </c>
      <c r="AH105" s="235">
        <f>'Basis Options'!CD110</f>
        <v>0</v>
      </c>
      <c r="AI105">
        <v>226</v>
      </c>
      <c r="AJ105" t="s">
        <v>256</v>
      </c>
      <c r="AK105">
        <v>0</v>
      </c>
      <c r="AL105">
        <v>0</v>
      </c>
      <c r="AM105">
        <v>0</v>
      </c>
    </row>
    <row r="106" spans="1:39" x14ac:dyDescent="0.25">
      <c r="A106" t="s">
        <v>233</v>
      </c>
      <c r="B106" t="str">
        <f>'Basis Options'!C111</f>
        <v>NF4362</v>
      </c>
      <c r="C106" t="s">
        <v>255</v>
      </c>
      <c r="D106" t="s">
        <v>234</v>
      </c>
      <c r="E106" t="s">
        <v>20</v>
      </c>
      <c r="F106" t="str">
        <f>'Basis Options'!A111</f>
        <v>DUKEENETRA</v>
      </c>
      <c r="G106" t="s">
        <v>269</v>
      </c>
      <c r="H106" t="s">
        <v>254</v>
      </c>
      <c r="I106" t="s">
        <v>242</v>
      </c>
      <c r="J106" t="s">
        <v>235</v>
      </c>
      <c r="K106" s="380">
        <f>'Basis Options'!G111</f>
        <v>36831</v>
      </c>
      <c r="L106" s="235">
        <f>'Basis Options'!U111</f>
        <v>7403.9567913846413</v>
      </c>
      <c r="M106" s="380">
        <f>'Basis Options'!Q111</f>
        <v>36829</v>
      </c>
      <c r="N106" t="str">
        <f>'Basis Options'!F111</f>
        <v>C</v>
      </c>
      <c r="O106">
        <f>'Basis Options'!I111</f>
        <v>2.2000000000000002</v>
      </c>
      <c r="P106">
        <v>0</v>
      </c>
      <c r="Q106">
        <v>0</v>
      </c>
      <c r="R106">
        <v>0</v>
      </c>
      <c r="S106">
        <v>0</v>
      </c>
      <c r="T106" t="s">
        <v>253</v>
      </c>
      <c r="U106" t="str">
        <f>IF('Basis Options'!D111="NGI/CHI. GATE","""NGI/CHI. GATE""",TRIM('Basis Options'!D111))</f>
        <v>IF-TRANSCO/Z6</v>
      </c>
      <c r="V106" t="s">
        <v>253</v>
      </c>
      <c r="W106" t="s">
        <v>132</v>
      </c>
      <c r="X106" t="s">
        <v>253</v>
      </c>
      <c r="Y106" t="s">
        <v>235</v>
      </c>
      <c r="Z106" t="s">
        <v>236</v>
      </c>
      <c r="AA106" t="s">
        <v>253</v>
      </c>
      <c r="AB106" t="s">
        <v>1</v>
      </c>
      <c r="AC106" s="235">
        <f>'Basis Options'!H111</f>
        <v>600000</v>
      </c>
      <c r="AD106" s="235">
        <f>'Basis Options'!W111</f>
        <v>5216.3566297750549</v>
      </c>
      <c r="AE106">
        <v>0</v>
      </c>
      <c r="AF106">
        <v>0</v>
      </c>
      <c r="AG106">
        <v>0</v>
      </c>
      <c r="AH106" s="235">
        <f>'Basis Options'!CD111</f>
        <v>0</v>
      </c>
      <c r="AI106">
        <v>226</v>
      </c>
      <c r="AJ106" t="s">
        <v>256</v>
      </c>
      <c r="AK106">
        <v>0</v>
      </c>
      <c r="AL106">
        <v>0</v>
      </c>
      <c r="AM106">
        <v>0</v>
      </c>
    </row>
    <row r="107" spans="1:39" x14ac:dyDescent="0.25">
      <c r="A107" t="s">
        <v>233</v>
      </c>
      <c r="B107" t="str">
        <f>'Basis Options'!C112</f>
        <v>NF4364.1</v>
      </c>
      <c r="C107" t="s">
        <v>255</v>
      </c>
      <c r="D107" t="s">
        <v>234</v>
      </c>
      <c r="E107" t="s">
        <v>20</v>
      </c>
      <c r="F107" t="str">
        <f>'Basis Options'!A112</f>
        <v>AEPENESER</v>
      </c>
      <c r="G107" t="s">
        <v>269</v>
      </c>
      <c r="H107" t="s">
        <v>254</v>
      </c>
      <c r="I107" t="s">
        <v>242</v>
      </c>
      <c r="J107" t="s">
        <v>235</v>
      </c>
      <c r="K107" s="380">
        <f>'Basis Options'!G112</f>
        <v>36951</v>
      </c>
      <c r="L107" s="235">
        <f>'Basis Options'!U112</f>
        <v>159418.49132696429</v>
      </c>
      <c r="M107" s="380">
        <f>'Basis Options'!Q112</f>
        <v>36949</v>
      </c>
      <c r="N107" t="str">
        <f>'Basis Options'!F112</f>
        <v>P</v>
      </c>
      <c r="O107">
        <f>'Basis Options'!I112</f>
        <v>0.7</v>
      </c>
      <c r="P107">
        <v>0</v>
      </c>
      <c r="Q107">
        <v>0</v>
      </c>
      <c r="R107">
        <v>0</v>
      </c>
      <c r="S107">
        <v>0</v>
      </c>
      <c r="T107" t="s">
        <v>253</v>
      </c>
      <c r="U107" t="str">
        <f>IF('Basis Options'!D112="NGI/CHI. GATE","""NGI/CHI. GATE""",TRIM('Basis Options'!D112))</f>
        <v>IF-TRANSCO/Z6</v>
      </c>
      <c r="V107" t="s">
        <v>253</v>
      </c>
      <c r="W107" t="s">
        <v>132</v>
      </c>
      <c r="X107" t="s">
        <v>253</v>
      </c>
      <c r="Y107" t="s">
        <v>235</v>
      </c>
      <c r="Z107" t="s">
        <v>236</v>
      </c>
      <c r="AA107" t="s">
        <v>253</v>
      </c>
      <c r="AB107" t="s">
        <v>1</v>
      </c>
      <c r="AC107" s="235">
        <f>'Basis Options'!H112</f>
        <v>500000</v>
      </c>
      <c r="AD107" s="235">
        <f>'Basis Options'!W112</f>
        <v>43210.321055210399</v>
      </c>
      <c r="AE107">
        <v>0</v>
      </c>
      <c r="AF107">
        <v>0</v>
      </c>
      <c r="AG107">
        <v>0</v>
      </c>
      <c r="AH107" s="235">
        <f>'Basis Options'!CD112</f>
        <v>0</v>
      </c>
      <c r="AI107">
        <v>226</v>
      </c>
      <c r="AJ107" t="s">
        <v>256</v>
      </c>
      <c r="AK107">
        <v>0</v>
      </c>
      <c r="AL107">
        <v>0</v>
      </c>
      <c r="AM107">
        <v>0</v>
      </c>
    </row>
    <row r="108" spans="1:39" x14ac:dyDescent="0.25">
      <c r="A108" t="s">
        <v>233</v>
      </c>
      <c r="B108" t="str">
        <f>'Basis Options'!C113</f>
        <v>NF4364.1</v>
      </c>
      <c r="C108" t="s">
        <v>255</v>
      </c>
      <c r="D108" t="s">
        <v>234</v>
      </c>
      <c r="E108" t="s">
        <v>20</v>
      </c>
      <c r="F108" t="str">
        <f>'Basis Options'!A113</f>
        <v>AEPENESER</v>
      </c>
      <c r="G108" t="s">
        <v>269</v>
      </c>
      <c r="H108" t="s">
        <v>254</v>
      </c>
      <c r="I108" t="s">
        <v>242</v>
      </c>
      <c r="J108" t="s">
        <v>235</v>
      </c>
      <c r="K108" s="380">
        <f>'Basis Options'!G113</f>
        <v>36923</v>
      </c>
      <c r="L108" s="235">
        <f>'Basis Options'!U113</f>
        <v>64067.817874507826</v>
      </c>
      <c r="M108" s="380">
        <f>'Basis Options'!Q113</f>
        <v>36921</v>
      </c>
      <c r="N108" t="str">
        <f>'Basis Options'!F113</f>
        <v>P</v>
      </c>
      <c r="O108">
        <f>'Basis Options'!I113</f>
        <v>0.7</v>
      </c>
      <c r="P108">
        <v>0</v>
      </c>
      <c r="Q108">
        <v>0</v>
      </c>
      <c r="R108">
        <v>0</v>
      </c>
      <c r="S108">
        <v>0</v>
      </c>
      <c r="T108" t="s">
        <v>253</v>
      </c>
      <c r="U108" t="str">
        <f>IF('Basis Options'!D113="NGI/CHI. GATE","""NGI/CHI. GATE""",TRIM('Basis Options'!D113))</f>
        <v>IF-TRANSCO/Z6</v>
      </c>
      <c r="V108" t="s">
        <v>253</v>
      </c>
      <c r="W108" t="s">
        <v>132</v>
      </c>
      <c r="X108" t="s">
        <v>253</v>
      </c>
      <c r="Y108" t="s">
        <v>235</v>
      </c>
      <c r="Z108" t="s">
        <v>236</v>
      </c>
      <c r="AA108" t="s">
        <v>253</v>
      </c>
      <c r="AB108" t="s">
        <v>1</v>
      </c>
      <c r="AC108" s="235">
        <f>'Basis Options'!H113</f>
        <v>500000</v>
      </c>
      <c r="AD108" s="235">
        <f>'Basis Options'!W113</f>
        <v>29540.971487128147</v>
      </c>
      <c r="AE108">
        <v>0</v>
      </c>
      <c r="AF108">
        <v>0</v>
      </c>
      <c r="AG108">
        <v>0</v>
      </c>
      <c r="AH108" s="235">
        <f>'Basis Options'!CD113</f>
        <v>0</v>
      </c>
      <c r="AI108">
        <v>226</v>
      </c>
      <c r="AJ108" t="s">
        <v>256</v>
      </c>
      <c r="AK108">
        <v>0</v>
      </c>
      <c r="AL108">
        <v>0</v>
      </c>
      <c r="AM108">
        <v>0</v>
      </c>
    </row>
    <row r="109" spans="1:39" x14ac:dyDescent="0.25">
      <c r="A109" t="s">
        <v>233</v>
      </c>
      <c r="B109" t="str">
        <f>'Basis Options'!C114</f>
        <v>NF4364.1</v>
      </c>
      <c r="C109" t="s">
        <v>255</v>
      </c>
      <c r="D109" t="s">
        <v>234</v>
      </c>
      <c r="E109" t="s">
        <v>20</v>
      </c>
      <c r="F109" t="str">
        <f>'Basis Options'!A114</f>
        <v>AEPENESER</v>
      </c>
      <c r="G109" t="s">
        <v>269</v>
      </c>
      <c r="H109" t="s">
        <v>254</v>
      </c>
      <c r="I109" t="s">
        <v>242</v>
      </c>
      <c r="J109" t="s">
        <v>235</v>
      </c>
      <c r="K109" s="380">
        <f>'Basis Options'!G114</f>
        <v>36892</v>
      </c>
      <c r="L109" s="235">
        <f>'Basis Options'!U114</f>
        <v>50087.308302811049</v>
      </c>
      <c r="M109" s="380">
        <f>'Basis Options'!Q114</f>
        <v>36888</v>
      </c>
      <c r="N109" t="str">
        <f>'Basis Options'!F114</f>
        <v>P</v>
      </c>
      <c r="O109">
        <f>'Basis Options'!I114</f>
        <v>0.7</v>
      </c>
      <c r="P109">
        <v>0</v>
      </c>
      <c r="Q109">
        <v>0</v>
      </c>
      <c r="R109">
        <v>0</v>
      </c>
      <c r="S109">
        <v>0</v>
      </c>
      <c r="T109" t="s">
        <v>253</v>
      </c>
      <c r="U109" t="str">
        <f>IF('Basis Options'!D114="NGI/CHI. GATE","""NGI/CHI. GATE""",TRIM('Basis Options'!D114))</f>
        <v>IF-TRANSCO/Z6</v>
      </c>
      <c r="V109" t="s">
        <v>253</v>
      </c>
      <c r="W109" t="s">
        <v>132</v>
      </c>
      <c r="X109" t="s">
        <v>253</v>
      </c>
      <c r="Y109" t="s">
        <v>235</v>
      </c>
      <c r="Z109" t="s">
        <v>236</v>
      </c>
      <c r="AA109" t="s">
        <v>253</v>
      </c>
      <c r="AB109" t="s">
        <v>1</v>
      </c>
      <c r="AC109" s="235">
        <f>'Basis Options'!H114</f>
        <v>500000</v>
      </c>
      <c r="AD109" s="235">
        <f>'Basis Options'!W114</f>
        <v>24277.991889915415</v>
      </c>
      <c r="AE109">
        <v>0</v>
      </c>
      <c r="AF109">
        <v>0</v>
      </c>
      <c r="AG109">
        <v>0</v>
      </c>
      <c r="AH109" s="235">
        <f>'Basis Options'!CD114</f>
        <v>0</v>
      </c>
      <c r="AI109">
        <v>226</v>
      </c>
      <c r="AJ109" t="s">
        <v>256</v>
      </c>
      <c r="AK109">
        <v>0</v>
      </c>
      <c r="AL109">
        <v>0</v>
      </c>
      <c r="AM109">
        <v>0</v>
      </c>
    </row>
    <row r="110" spans="1:39" x14ac:dyDescent="0.25">
      <c r="A110" t="s">
        <v>233</v>
      </c>
      <c r="B110" t="str">
        <f>'Basis Options'!C115</f>
        <v>NF4364.1</v>
      </c>
      <c r="C110" t="s">
        <v>255</v>
      </c>
      <c r="D110" t="s">
        <v>234</v>
      </c>
      <c r="E110" t="s">
        <v>20</v>
      </c>
      <c r="F110" t="str">
        <f>'Basis Options'!A115</f>
        <v>AEPENESER</v>
      </c>
      <c r="G110" t="s">
        <v>269</v>
      </c>
      <c r="H110" t="s">
        <v>254</v>
      </c>
      <c r="I110" t="s">
        <v>242</v>
      </c>
      <c r="J110" t="s">
        <v>235</v>
      </c>
      <c r="K110" s="380">
        <f>'Basis Options'!G115</f>
        <v>36861</v>
      </c>
      <c r="L110" s="235">
        <f>'Basis Options'!U115</f>
        <v>66753.677744784029</v>
      </c>
      <c r="M110" s="380">
        <f>'Basis Options'!Q115</f>
        <v>36859</v>
      </c>
      <c r="N110" t="str">
        <f>'Basis Options'!F115</f>
        <v>P</v>
      </c>
      <c r="O110">
        <f>'Basis Options'!I115</f>
        <v>0.7</v>
      </c>
      <c r="P110">
        <v>0</v>
      </c>
      <c r="Q110">
        <v>0</v>
      </c>
      <c r="R110">
        <v>0</v>
      </c>
      <c r="S110">
        <v>0</v>
      </c>
      <c r="T110" t="s">
        <v>253</v>
      </c>
      <c r="U110" t="str">
        <f>IF('Basis Options'!D115="NGI/CHI. GATE","""NGI/CHI. GATE""",TRIM('Basis Options'!D115))</f>
        <v>IF-TRANSCO/Z6</v>
      </c>
      <c r="V110" t="s">
        <v>253</v>
      </c>
      <c r="W110" t="s">
        <v>132</v>
      </c>
      <c r="X110" t="s">
        <v>253</v>
      </c>
      <c r="Y110" t="s">
        <v>235</v>
      </c>
      <c r="Z110" t="s">
        <v>236</v>
      </c>
      <c r="AA110" t="s">
        <v>253</v>
      </c>
      <c r="AB110" t="s">
        <v>1</v>
      </c>
      <c r="AC110" s="235">
        <f>'Basis Options'!H115</f>
        <v>500000</v>
      </c>
      <c r="AD110" s="235">
        <f>'Basis Options'!W115</f>
        <v>26620.024739098633</v>
      </c>
      <c r="AE110">
        <v>0</v>
      </c>
      <c r="AF110">
        <v>0</v>
      </c>
      <c r="AG110">
        <v>0</v>
      </c>
      <c r="AH110" s="235">
        <f>'Basis Options'!CD115</f>
        <v>0</v>
      </c>
      <c r="AI110">
        <v>226</v>
      </c>
      <c r="AJ110" t="s">
        <v>256</v>
      </c>
      <c r="AK110">
        <v>0</v>
      </c>
      <c r="AL110">
        <v>0</v>
      </c>
      <c r="AM110">
        <v>0</v>
      </c>
    </row>
    <row r="111" spans="1:39" x14ac:dyDescent="0.25">
      <c r="A111" t="s">
        <v>233</v>
      </c>
      <c r="B111" t="str">
        <f>'Basis Options'!C116</f>
        <v>NF4364.1</v>
      </c>
      <c r="C111" t="s">
        <v>255</v>
      </c>
      <c r="D111" t="s">
        <v>234</v>
      </c>
      <c r="E111" t="s">
        <v>20</v>
      </c>
      <c r="F111" t="str">
        <f>'Basis Options'!A116</f>
        <v>AEPENESER</v>
      </c>
      <c r="G111" t="s">
        <v>269</v>
      </c>
      <c r="H111" t="s">
        <v>254</v>
      </c>
      <c r="I111" t="s">
        <v>242</v>
      </c>
      <c r="J111" t="s">
        <v>235</v>
      </c>
      <c r="K111" s="380">
        <f>'Basis Options'!G116</f>
        <v>36831</v>
      </c>
      <c r="L111" s="235">
        <f>'Basis Options'!U116</f>
        <v>111243.70370502134</v>
      </c>
      <c r="M111" s="380">
        <f>'Basis Options'!Q116</f>
        <v>36829</v>
      </c>
      <c r="N111" t="str">
        <f>'Basis Options'!F116</f>
        <v>P</v>
      </c>
      <c r="O111">
        <f>'Basis Options'!I116</f>
        <v>0.7</v>
      </c>
      <c r="P111">
        <v>0</v>
      </c>
      <c r="Q111">
        <v>0</v>
      </c>
      <c r="R111">
        <v>0</v>
      </c>
      <c r="S111">
        <v>0</v>
      </c>
      <c r="T111" t="s">
        <v>253</v>
      </c>
      <c r="U111" t="str">
        <f>IF('Basis Options'!D116="NGI/CHI. GATE","""NGI/CHI. GATE""",TRIM('Basis Options'!D116))</f>
        <v>IF-TRANSCO/Z6</v>
      </c>
      <c r="V111" t="s">
        <v>253</v>
      </c>
      <c r="W111" t="s">
        <v>132</v>
      </c>
      <c r="X111" t="s">
        <v>253</v>
      </c>
      <c r="Y111" t="s">
        <v>235</v>
      </c>
      <c r="Z111" t="s">
        <v>236</v>
      </c>
      <c r="AA111" t="s">
        <v>253</v>
      </c>
      <c r="AB111" t="s">
        <v>1</v>
      </c>
      <c r="AC111" s="235">
        <f>'Basis Options'!H116</f>
        <v>500000</v>
      </c>
      <c r="AD111" s="235">
        <f>'Basis Options'!W116</f>
        <v>22373.910690690216</v>
      </c>
      <c r="AE111">
        <v>0</v>
      </c>
      <c r="AF111">
        <v>0</v>
      </c>
      <c r="AG111">
        <v>0</v>
      </c>
      <c r="AH111" s="235">
        <f>'Basis Options'!CD116</f>
        <v>0</v>
      </c>
      <c r="AI111">
        <v>226</v>
      </c>
      <c r="AJ111" t="s">
        <v>256</v>
      </c>
      <c r="AK111">
        <v>0</v>
      </c>
      <c r="AL111">
        <v>0</v>
      </c>
      <c r="AM111">
        <v>0</v>
      </c>
    </row>
    <row r="112" spans="1:39" x14ac:dyDescent="0.25">
      <c r="A112" t="s">
        <v>233</v>
      </c>
      <c r="B112" t="str">
        <f>'Basis Options'!C117</f>
        <v>NF4364.2</v>
      </c>
      <c r="C112" t="s">
        <v>255</v>
      </c>
      <c r="D112" t="s">
        <v>234</v>
      </c>
      <c r="E112" t="s">
        <v>20</v>
      </c>
      <c r="F112" t="str">
        <f>'Basis Options'!A117</f>
        <v>AEPENESER</v>
      </c>
      <c r="G112" t="s">
        <v>269</v>
      </c>
      <c r="H112" t="s">
        <v>254</v>
      </c>
      <c r="I112" t="s">
        <v>242</v>
      </c>
      <c r="J112" t="s">
        <v>235</v>
      </c>
      <c r="K112" s="380">
        <f>'Basis Options'!G117</f>
        <v>36923</v>
      </c>
      <c r="L112" s="235">
        <f>'Basis Options'!U117</f>
        <v>-506441.21435166278</v>
      </c>
      <c r="M112" s="380">
        <f>'Basis Options'!Q117</f>
        <v>36921</v>
      </c>
      <c r="N112" t="str">
        <f>'Basis Options'!F117</f>
        <v>C</v>
      </c>
      <c r="O112">
        <f>'Basis Options'!I117</f>
        <v>1.4</v>
      </c>
      <c r="P112">
        <v>0</v>
      </c>
      <c r="Q112">
        <v>0</v>
      </c>
      <c r="R112">
        <v>0</v>
      </c>
      <c r="S112">
        <v>0</v>
      </c>
      <c r="T112" t="s">
        <v>253</v>
      </c>
      <c r="U112" t="str">
        <f>IF('Basis Options'!D117="NGI/CHI. GATE","""NGI/CHI. GATE""",TRIM('Basis Options'!D117))</f>
        <v>IF-TRANSCO/Z6</v>
      </c>
      <c r="V112" t="s">
        <v>253</v>
      </c>
      <c r="W112" t="s">
        <v>132</v>
      </c>
      <c r="X112" t="s">
        <v>253</v>
      </c>
      <c r="Y112" t="s">
        <v>235</v>
      </c>
      <c r="Z112" t="s">
        <v>236</v>
      </c>
      <c r="AA112" t="s">
        <v>253</v>
      </c>
      <c r="AB112" t="s">
        <v>1</v>
      </c>
      <c r="AC112" s="235">
        <f>'Basis Options'!H117</f>
        <v>-500000</v>
      </c>
      <c r="AD112" s="235">
        <f>'Basis Options'!W117</f>
        <v>-40338.726643221569</v>
      </c>
      <c r="AE112">
        <v>0</v>
      </c>
      <c r="AF112">
        <v>0</v>
      </c>
      <c r="AG112">
        <v>0</v>
      </c>
      <c r="AH112" s="235">
        <f>'Basis Options'!CD117</f>
        <v>0</v>
      </c>
      <c r="AI112">
        <v>226</v>
      </c>
      <c r="AJ112" t="s">
        <v>256</v>
      </c>
      <c r="AK112">
        <v>0</v>
      </c>
      <c r="AL112">
        <v>0</v>
      </c>
      <c r="AM112">
        <v>0</v>
      </c>
    </row>
    <row r="113" spans="1:39" x14ac:dyDescent="0.25">
      <c r="A113" t="s">
        <v>233</v>
      </c>
      <c r="B113" t="str">
        <f>'Basis Options'!C118</f>
        <v>NF4364.2</v>
      </c>
      <c r="C113" t="s">
        <v>255</v>
      </c>
      <c r="D113" t="s">
        <v>234</v>
      </c>
      <c r="E113" t="s">
        <v>20</v>
      </c>
      <c r="F113" t="str">
        <f>'Basis Options'!A118</f>
        <v>AEPENESER</v>
      </c>
      <c r="G113" t="s">
        <v>269</v>
      </c>
      <c r="H113" t="s">
        <v>254</v>
      </c>
      <c r="I113" t="s">
        <v>242</v>
      </c>
      <c r="J113" t="s">
        <v>235</v>
      </c>
      <c r="K113" s="380">
        <f>'Basis Options'!G118</f>
        <v>36892</v>
      </c>
      <c r="L113" s="235">
        <f>'Basis Options'!U118</f>
        <v>-521226.04453705414</v>
      </c>
      <c r="M113" s="380">
        <f>'Basis Options'!Q118</f>
        <v>36888</v>
      </c>
      <c r="N113" t="str">
        <f>'Basis Options'!F118</f>
        <v>C</v>
      </c>
      <c r="O113">
        <f>'Basis Options'!I118</f>
        <v>1.4</v>
      </c>
      <c r="P113">
        <v>0</v>
      </c>
      <c r="Q113">
        <v>0</v>
      </c>
      <c r="R113">
        <v>0</v>
      </c>
      <c r="S113">
        <v>0</v>
      </c>
      <c r="T113" t="s">
        <v>253</v>
      </c>
      <c r="U113" t="str">
        <f>IF('Basis Options'!D118="NGI/CHI. GATE","""NGI/CHI. GATE""",TRIM('Basis Options'!D118))</f>
        <v>IF-TRANSCO/Z6</v>
      </c>
      <c r="V113" t="s">
        <v>253</v>
      </c>
      <c r="W113" t="s">
        <v>132</v>
      </c>
      <c r="X113" t="s">
        <v>253</v>
      </c>
      <c r="Y113" t="s">
        <v>235</v>
      </c>
      <c r="Z113" t="s">
        <v>236</v>
      </c>
      <c r="AA113" t="s">
        <v>253</v>
      </c>
      <c r="AB113" t="s">
        <v>1</v>
      </c>
      <c r="AC113" s="235">
        <f>'Basis Options'!H118</f>
        <v>-500000</v>
      </c>
      <c r="AD113" s="235">
        <f>'Basis Options'!W118</f>
        <v>-35671.298090598139</v>
      </c>
      <c r="AE113">
        <v>0</v>
      </c>
      <c r="AF113">
        <v>0</v>
      </c>
      <c r="AG113">
        <v>0</v>
      </c>
      <c r="AH113" s="235">
        <f>'Basis Options'!CD118</f>
        <v>0</v>
      </c>
      <c r="AI113">
        <v>226</v>
      </c>
      <c r="AJ113" t="s">
        <v>256</v>
      </c>
      <c r="AK113">
        <v>0</v>
      </c>
      <c r="AL113">
        <v>0</v>
      </c>
      <c r="AM113">
        <v>0</v>
      </c>
    </row>
    <row r="114" spans="1:39" x14ac:dyDescent="0.25">
      <c r="A114" t="s">
        <v>233</v>
      </c>
      <c r="B114" t="str">
        <f>'Basis Options'!C119</f>
        <v>NF4364.2</v>
      </c>
      <c r="C114" t="s">
        <v>255</v>
      </c>
      <c r="D114" t="s">
        <v>234</v>
      </c>
      <c r="E114" t="s">
        <v>20</v>
      </c>
      <c r="F114" t="str">
        <f>'Basis Options'!A119</f>
        <v>AEPENESER</v>
      </c>
      <c r="G114" t="s">
        <v>269</v>
      </c>
      <c r="H114" t="s">
        <v>254</v>
      </c>
      <c r="I114" t="s">
        <v>242</v>
      </c>
      <c r="J114" t="s">
        <v>235</v>
      </c>
      <c r="K114" s="380">
        <f>'Basis Options'!G119</f>
        <v>36861</v>
      </c>
      <c r="L114" s="235">
        <f>'Basis Options'!U119</f>
        <v>-313488.14777892537</v>
      </c>
      <c r="M114" s="380">
        <f>'Basis Options'!Q119</f>
        <v>36859</v>
      </c>
      <c r="N114" t="str">
        <f>'Basis Options'!F119</f>
        <v>C</v>
      </c>
      <c r="O114">
        <f>'Basis Options'!I119</f>
        <v>1.4</v>
      </c>
      <c r="P114">
        <v>0</v>
      </c>
      <c r="Q114">
        <v>0</v>
      </c>
      <c r="R114">
        <v>0</v>
      </c>
      <c r="S114">
        <v>0</v>
      </c>
      <c r="T114" t="s">
        <v>253</v>
      </c>
      <c r="U114" t="str">
        <f>IF('Basis Options'!D119="NGI/CHI. GATE","""NGI/CHI. GATE""",TRIM('Basis Options'!D119))</f>
        <v>IF-TRANSCO/Z6</v>
      </c>
      <c r="V114" t="s">
        <v>253</v>
      </c>
      <c r="W114" t="s">
        <v>132</v>
      </c>
      <c r="X114" t="s">
        <v>253</v>
      </c>
      <c r="Y114" t="s">
        <v>235</v>
      </c>
      <c r="Z114" t="s">
        <v>236</v>
      </c>
      <c r="AA114" t="s">
        <v>253</v>
      </c>
      <c r="AB114" t="s">
        <v>1</v>
      </c>
      <c r="AC114" s="235">
        <f>'Basis Options'!H119</f>
        <v>-500000</v>
      </c>
      <c r="AD114" s="235">
        <f>'Basis Options'!W119</f>
        <v>-34923.800520163495</v>
      </c>
      <c r="AE114">
        <v>0</v>
      </c>
      <c r="AF114">
        <v>0</v>
      </c>
      <c r="AG114">
        <v>0</v>
      </c>
      <c r="AH114" s="235">
        <f>'Basis Options'!CD119</f>
        <v>0</v>
      </c>
      <c r="AI114">
        <v>226</v>
      </c>
      <c r="AJ114" t="s">
        <v>256</v>
      </c>
      <c r="AK114">
        <v>0</v>
      </c>
      <c r="AL114">
        <v>0</v>
      </c>
      <c r="AM114">
        <v>0</v>
      </c>
    </row>
    <row r="115" spans="1:39" x14ac:dyDescent="0.25">
      <c r="A115" t="s">
        <v>233</v>
      </c>
      <c r="B115" t="str">
        <f>'Basis Options'!C120</f>
        <v>NF4364.3</v>
      </c>
      <c r="C115" t="s">
        <v>255</v>
      </c>
      <c r="D115" t="s">
        <v>234</v>
      </c>
      <c r="E115" t="s">
        <v>20</v>
      </c>
      <c r="F115" t="str">
        <f>'Basis Options'!A120</f>
        <v>AEPENESER</v>
      </c>
      <c r="G115" t="s">
        <v>269</v>
      </c>
      <c r="H115" t="s">
        <v>254</v>
      </c>
      <c r="I115" t="s">
        <v>242</v>
      </c>
      <c r="J115" t="s">
        <v>235</v>
      </c>
      <c r="K115" s="380">
        <f>'Basis Options'!G120</f>
        <v>36923</v>
      </c>
      <c r="L115" s="235">
        <f>'Basis Options'!U120</f>
        <v>-171282.6544875844</v>
      </c>
      <c r="M115" s="380">
        <f>'Basis Options'!Q120</f>
        <v>36921</v>
      </c>
      <c r="N115" t="str">
        <f>'Basis Options'!F120</f>
        <v>P</v>
      </c>
      <c r="O115">
        <f>'Basis Options'!I120</f>
        <v>1.4</v>
      </c>
      <c r="P115">
        <v>0</v>
      </c>
      <c r="Q115">
        <v>0</v>
      </c>
      <c r="R115">
        <v>0</v>
      </c>
      <c r="S115">
        <v>0</v>
      </c>
      <c r="T115" t="s">
        <v>253</v>
      </c>
      <c r="U115" t="str">
        <f>IF('Basis Options'!D120="NGI/CHI. GATE","""NGI/CHI. GATE""",TRIM('Basis Options'!D120))</f>
        <v>IF-TRANSCO/Z6</v>
      </c>
      <c r="V115" t="s">
        <v>253</v>
      </c>
      <c r="W115" t="s">
        <v>132</v>
      </c>
      <c r="X115" t="s">
        <v>253</v>
      </c>
      <c r="Y115" t="s">
        <v>235</v>
      </c>
      <c r="Z115" t="s">
        <v>236</v>
      </c>
      <c r="AA115" t="s">
        <v>253</v>
      </c>
      <c r="AB115" t="s">
        <v>1</v>
      </c>
      <c r="AC115" s="235">
        <f>'Basis Options'!H120</f>
        <v>-500000</v>
      </c>
      <c r="AD115" s="235">
        <f>'Basis Options'!W120</f>
        <v>-40338.726643221569</v>
      </c>
      <c r="AE115">
        <v>0</v>
      </c>
      <c r="AF115">
        <v>0</v>
      </c>
      <c r="AG115">
        <v>0</v>
      </c>
      <c r="AH115" s="235">
        <f>'Basis Options'!CD120</f>
        <v>0</v>
      </c>
      <c r="AI115">
        <v>226</v>
      </c>
      <c r="AJ115" t="s">
        <v>256</v>
      </c>
      <c r="AK115">
        <v>0</v>
      </c>
      <c r="AL115">
        <v>0</v>
      </c>
      <c r="AM115">
        <v>0</v>
      </c>
    </row>
    <row r="116" spans="1:39" x14ac:dyDescent="0.25">
      <c r="A116" t="s">
        <v>233</v>
      </c>
      <c r="B116" t="str">
        <f>'Basis Options'!C121</f>
        <v>NF4364.3</v>
      </c>
      <c r="C116" t="s">
        <v>255</v>
      </c>
      <c r="D116" t="s">
        <v>234</v>
      </c>
      <c r="E116" t="s">
        <v>20</v>
      </c>
      <c r="F116" t="str">
        <f>'Basis Options'!A121</f>
        <v>AEPENESER</v>
      </c>
      <c r="G116" t="s">
        <v>269</v>
      </c>
      <c r="H116" t="s">
        <v>254</v>
      </c>
      <c r="I116" t="s">
        <v>242</v>
      </c>
      <c r="J116" t="s">
        <v>235</v>
      </c>
      <c r="K116" s="380">
        <f>'Basis Options'!G121</f>
        <v>36892</v>
      </c>
      <c r="L116" s="235">
        <f>'Basis Options'!U121</f>
        <v>-144848.73465373038</v>
      </c>
      <c r="M116" s="380">
        <f>'Basis Options'!Q121</f>
        <v>36888</v>
      </c>
      <c r="N116" t="str">
        <f>'Basis Options'!F121</f>
        <v>P</v>
      </c>
      <c r="O116">
        <f>'Basis Options'!I121</f>
        <v>1.4</v>
      </c>
      <c r="P116">
        <v>0</v>
      </c>
      <c r="Q116">
        <v>0</v>
      </c>
      <c r="R116">
        <v>0</v>
      </c>
      <c r="S116">
        <v>0</v>
      </c>
      <c r="T116" t="s">
        <v>253</v>
      </c>
      <c r="U116" t="str">
        <f>IF('Basis Options'!D121="NGI/CHI. GATE","""NGI/CHI. GATE""",TRIM('Basis Options'!D121))</f>
        <v>IF-TRANSCO/Z6</v>
      </c>
      <c r="V116" t="s">
        <v>253</v>
      </c>
      <c r="W116" t="s">
        <v>132</v>
      </c>
      <c r="X116" t="s">
        <v>253</v>
      </c>
      <c r="Y116" t="s">
        <v>235</v>
      </c>
      <c r="Z116" t="s">
        <v>236</v>
      </c>
      <c r="AA116" t="s">
        <v>253</v>
      </c>
      <c r="AB116" t="s">
        <v>1</v>
      </c>
      <c r="AC116" s="235">
        <f>'Basis Options'!H121</f>
        <v>-500000</v>
      </c>
      <c r="AD116" s="235">
        <f>'Basis Options'!W121</f>
        <v>-35671.298090598153</v>
      </c>
      <c r="AE116">
        <v>0</v>
      </c>
      <c r="AF116">
        <v>0</v>
      </c>
      <c r="AG116">
        <v>0</v>
      </c>
      <c r="AH116" s="235">
        <f>'Basis Options'!CD121</f>
        <v>0</v>
      </c>
      <c r="AI116">
        <v>226</v>
      </c>
      <c r="AJ116" t="s">
        <v>256</v>
      </c>
      <c r="AK116">
        <v>0</v>
      </c>
      <c r="AL116">
        <v>0</v>
      </c>
      <c r="AM116">
        <v>0</v>
      </c>
    </row>
    <row r="117" spans="1:39" x14ac:dyDescent="0.25">
      <c r="A117" t="s">
        <v>233</v>
      </c>
      <c r="B117" t="str">
        <f>'Basis Options'!C122</f>
        <v>NF4364.3</v>
      </c>
      <c r="C117" t="s">
        <v>255</v>
      </c>
      <c r="D117" t="s">
        <v>234</v>
      </c>
      <c r="E117" t="s">
        <v>20</v>
      </c>
      <c r="F117" t="str">
        <f>'Basis Options'!A122</f>
        <v>AEPENESER</v>
      </c>
      <c r="G117" t="s">
        <v>269</v>
      </c>
      <c r="H117" t="s">
        <v>254</v>
      </c>
      <c r="I117" t="s">
        <v>242</v>
      </c>
      <c r="J117" t="s">
        <v>235</v>
      </c>
      <c r="K117" s="380">
        <f>'Basis Options'!G122</f>
        <v>36861</v>
      </c>
      <c r="L117" s="235">
        <f>'Basis Options'!U122</f>
        <v>-193077.98504827978</v>
      </c>
      <c r="M117" s="380">
        <f>'Basis Options'!Q122</f>
        <v>36859</v>
      </c>
      <c r="N117" t="str">
        <f>'Basis Options'!F122</f>
        <v>P</v>
      </c>
      <c r="O117">
        <f>'Basis Options'!I122</f>
        <v>1.4</v>
      </c>
      <c r="P117">
        <v>0</v>
      </c>
      <c r="Q117">
        <v>0</v>
      </c>
      <c r="R117">
        <v>0</v>
      </c>
      <c r="S117">
        <v>0</v>
      </c>
      <c r="T117" t="s">
        <v>253</v>
      </c>
      <c r="U117" t="str">
        <f>IF('Basis Options'!D122="NGI/CHI. GATE","""NGI/CHI. GATE""",TRIM('Basis Options'!D122))</f>
        <v>IF-TRANSCO/Z6</v>
      </c>
      <c r="V117" t="s">
        <v>253</v>
      </c>
      <c r="W117" t="s">
        <v>132</v>
      </c>
      <c r="X117" t="s">
        <v>253</v>
      </c>
      <c r="Y117" t="s">
        <v>235</v>
      </c>
      <c r="Z117" t="s">
        <v>236</v>
      </c>
      <c r="AA117" t="s">
        <v>253</v>
      </c>
      <c r="AB117" t="s">
        <v>1</v>
      </c>
      <c r="AC117" s="235">
        <f>'Basis Options'!H122</f>
        <v>-500000</v>
      </c>
      <c r="AD117" s="235">
        <f>'Basis Options'!W122</f>
        <v>-34923.800520163524</v>
      </c>
      <c r="AE117">
        <v>0</v>
      </c>
      <c r="AF117">
        <v>0</v>
      </c>
      <c r="AG117">
        <v>0</v>
      </c>
      <c r="AH117" s="235">
        <f>'Basis Options'!CD122</f>
        <v>0</v>
      </c>
      <c r="AI117">
        <v>226</v>
      </c>
      <c r="AJ117" t="s">
        <v>256</v>
      </c>
      <c r="AK117">
        <v>0</v>
      </c>
      <c r="AL117">
        <v>0</v>
      </c>
      <c r="AM117">
        <v>0</v>
      </c>
    </row>
    <row r="118" spans="1:39" x14ac:dyDescent="0.25">
      <c r="A118" t="s">
        <v>233</v>
      </c>
      <c r="B118" t="str">
        <f>'Basis Options'!C123</f>
        <v>NF5550.1</v>
      </c>
      <c r="C118" t="s">
        <v>255</v>
      </c>
      <c r="D118" t="s">
        <v>234</v>
      </c>
      <c r="E118" t="s">
        <v>20</v>
      </c>
      <c r="F118" t="str">
        <f>'Basis Options'!A123</f>
        <v>ELPASMER</v>
      </c>
      <c r="G118" t="s">
        <v>269</v>
      </c>
      <c r="H118" t="s">
        <v>254</v>
      </c>
      <c r="I118" t="s">
        <v>242</v>
      </c>
      <c r="J118" t="s">
        <v>235</v>
      </c>
      <c r="K118" s="380">
        <f>'Basis Options'!G123</f>
        <v>36951</v>
      </c>
      <c r="L118" s="235">
        <f>'Basis Options'!U123</f>
        <v>-71012.288118638724</v>
      </c>
      <c r="M118" s="380">
        <f>'Basis Options'!Q123</f>
        <v>36949</v>
      </c>
      <c r="N118" t="str">
        <f>'Basis Options'!F123</f>
        <v>C</v>
      </c>
      <c r="O118">
        <f>'Basis Options'!I123</f>
        <v>0</v>
      </c>
      <c r="P118">
        <v>0</v>
      </c>
      <c r="Q118">
        <v>0</v>
      </c>
      <c r="R118">
        <v>0</v>
      </c>
      <c r="S118">
        <v>0</v>
      </c>
      <c r="T118" t="s">
        <v>253</v>
      </c>
      <c r="U118" t="str">
        <f>IF('Basis Options'!D123="NGI/CHI. GATE","""NGI/CHI. GATE""",TRIM('Basis Options'!D123))</f>
        <v>IF-NNG/VENT</v>
      </c>
      <c r="V118" t="s">
        <v>253</v>
      </c>
      <c r="W118" t="s">
        <v>132</v>
      </c>
      <c r="X118" t="s">
        <v>253</v>
      </c>
      <c r="Y118" t="s">
        <v>235</v>
      </c>
      <c r="Z118" t="s">
        <v>236</v>
      </c>
      <c r="AA118" t="s">
        <v>253</v>
      </c>
      <c r="AB118" t="s">
        <v>1</v>
      </c>
      <c r="AC118" s="235">
        <f>'Basis Options'!H123</f>
        <v>-1000000</v>
      </c>
      <c r="AD118" s="235">
        <f>'Basis Options'!W123</f>
        <v>-12395.335573286051</v>
      </c>
      <c r="AE118">
        <v>0</v>
      </c>
      <c r="AF118">
        <v>0</v>
      </c>
      <c r="AG118">
        <v>0</v>
      </c>
      <c r="AH118" s="235">
        <f>'Basis Options'!CD123</f>
        <v>0</v>
      </c>
      <c r="AI118">
        <v>226</v>
      </c>
      <c r="AJ118" t="s">
        <v>256</v>
      </c>
      <c r="AK118">
        <v>0</v>
      </c>
      <c r="AL118">
        <v>0</v>
      </c>
      <c r="AM118">
        <v>0</v>
      </c>
    </row>
    <row r="119" spans="1:39" x14ac:dyDescent="0.25">
      <c r="A119" t="s">
        <v>233</v>
      </c>
      <c r="B119" t="str">
        <f>'Basis Options'!C124</f>
        <v>NF5550.1</v>
      </c>
      <c r="C119" t="s">
        <v>255</v>
      </c>
      <c r="D119" t="s">
        <v>234</v>
      </c>
      <c r="E119" t="s">
        <v>20</v>
      </c>
      <c r="F119" t="str">
        <f>'Basis Options'!A124</f>
        <v>ELPASMER</v>
      </c>
      <c r="G119" t="s">
        <v>269</v>
      </c>
      <c r="H119" t="s">
        <v>254</v>
      </c>
      <c r="I119" t="s">
        <v>242</v>
      </c>
      <c r="J119" t="s">
        <v>235</v>
      </c>
      <c r="K119" s="380">
        <f>'Basis Options'!G124</f>
        <v>36923</v>
      </c>
      <c r="L119" s="235">
        <f>'Basis Options'!U124</f>
        <v>-77503.26781332033</v>
      </c>
      <c r="M119" s="380">
        <f>'Basis Options'!Q124</f>
        <v>36921</v>
      </c>
      <c r="N119" t="str">
        <f>'Basis Options'!F124</f>
        <v>C</v>
      </c>
      <c r="O119">
        <f>'Basis Options'!I124</f>
        <v>0</v>
      </c>
      <c r="P119">
        <v>0</v>
      </c>
      <c r="Q119">
        <v>0</v>
      </c>
      <c r="R119">
        <v>0</v>
      </c>
      <c r="S119">
        <v>0</v>
      </c>
      <c r="T119" t="s">
        <v>253</v>
      </c>
      <c r="U119" t="str">
        <f>IF('Basis Options'!D124="NGI/CHI. GATE","""NGI/CHI. GATE""",TRIM('Basis Options'!D124))</f>
        <v>IF-NNG/VENT</v>
      </c>
      <c r="V119" t="s">
        <v>253</v>
      </c>
      <c r="W119" t="s">
        <v>132</v>
      </c>
      <c r="X119" t="s">
        <v>253</v>
      </c>
      <c r="Y119" t="s">
        <v>235</v>
      </c>
      <c r="Z119" t="s">
        <v>236</v>
      </c>
      <c r="AA119" t="s">
        <v>253</v>
      </c>
      <c r="AB119" t="s">
        <v>1</v>
      </c>
      <c r="AC119" s="235">
        <f>'Basis Options'!H124</f>
        <v>-1000000</v>
      </c>
      <c r="AD119" s="235">
        <f>'Basis Options'!W124</f>
        <v>-12764.63911799225</v>
      </c>
      <c r="AE119">
        <v>0</v>
      </c>
      <c r="AF119">
        <v>0</v>
      </c>
      <c r="AG119">
        <v>0</v>
      </c>
      <c r="AH119" s="235">
        <f>'Basis Options'!CD124</f>
        <v>0</v>
      </c>
      <c r="AI119">
        <v>226</v>
      </c>
      <c r="AJ119" t="s">
        <v>256</v>
      </c>
      <c r="AK119">
        <v>0</v>
      </c>
      <c r="AL119">
        <v>0</v>
      </c>
      <c r="AM119">
        <v>0</v>
      </c>
    </row>
    <row r="120" spans="1:39" x14ac:dyDescent="0.25">
      <c r="A120" t="s">
        <v>233</v>
      </c>
      <c r="B120" t="str">
        <f>'Basis Options'!C125</f>
        <v>NF5550.1</v>
      </c>
      <c r="C120" t="s">
        <v>255</v>
      </c>
      <c r="D120" t="s">
        <v>234</v>
      </c>
      <c r="E120" t="s">
        <v>20</v>
      </c>
      <c r="F120" t="str">
        <f>'Basis Options'!A125</f>
        <v>ELPASMER</v>
      </c>
      <c r="G120" t="s">
        <v>269</v>
      </c>
      <c r="H120" t="s">
        <v>254</v>
      </c>
      <c r="I120" t="s">
        <v>242</v>
      </c>
      <c r="J120" t="s">
        <v>235</v>
      </c>
      <c r="K120" s="380">
        <f>'Basis Options'!G125</f>
        <v>36892</v>
      </c>
      <c r="L120" s="235">
        <f>'Basis Options'!U125</f>
        <v>-72602.342046592239</v>
      </c>
      <c r="M120" s="380">
        <f>'Basis Options'!Q125</f>
        <v>36888</v>
      </c>
      <c r="N120" t="str">
        <f>'Basis Options'!F125</f>
        <v>C</v>
      </c>
      <c r="O120">
        <f>'Basis Options'!I125</f>
        <v>0</v>
      </c>
      <c r="P120">
        <v>0</v>
      </c>
      <c r="Q120">
        <v>0</v>
      </c>
      <c r="R120">
        <v>0</v>
      </c>
      <c r="S120">
        <v>0</v>
      </c>
      <c r="T120" t="s">
        <v>253</v>
      </c>
      <c r="U120" t="str">
        <f>IF('Basis Options'!D125="NGI/CHI. GATE","""NGI/CHI. GATE""",TRIM('Basis Options'!D125))</f>
        <v>IF-NNG/VENT</v>
      </c>
      <c r="V120" t="s">
        <v>253</v>
      </c>
      <c r="W120" t="s">
        <v>132</v>
      </c>
      <c r="X120" t="s">
        <v>253</v>
      </c>
      <c r="Y120" t="s">
        <v>235</v>
      </c>
      <c r="Z120" t="s">
        <v>236</v>
      </c>
      <c r="AA120" t="s">
        <v>253</v>
      </c>
      <c r="AB120" t="s">
        <v>1</v>
      </c>
      <c r="AC120" s="235">
        <f>'Basis Options'!H125</f>
        <v>-1000000</v>
      </c>
      <c r="AD120" s="235">
        <f>'Basis Options'!W125</f>
        <v>-11671.09974734264</v>
      </c>
      <c r="AE120">
        <v>0</v>
      </c>
      <c r="AF120">
        <v>0</v>
      </c>
      <c r="AG120">
        <v>0</v>
      </c>
      <c r="AH120" s="235">
        <f>'Basis Options'!CD125</f>
        <v>0</v>
      </c>
      <c r="AI120">
        <v>226</v>
      </c>
      <c r="AJ120" t="s">
        <v>256</v>
      </c>
      <c r="AK120">
        <v>0</v>
      </c>
      <c r="AL120">
        <v>0</v>
      </c>
      <c r="AM120">
        <v>0</v>
      </c>
    </row>
    <row r="121" spans="1:39" x14ac:dyDescent="0.25">
      <c r="A121" t="s">
        <v>233</v>
      </c>
      <c r="B121" t="str">
        <f>'Basis Options'!C126</f>
        <v>NF5550.1</v>
      </c>
      <c r="C121" t="s">
        <v>255</v>
      </c>
      <c r="D121" t="s">
        <v>234</v>
      </c>
      <c r="E121" t="s">
        <v>20</v>
      </c>
      <c r="F121" t="str">
        <f>'Basis Options'!A126</f>
        <v>ELPASMER</v>
      </c>
      <c r="G121" t="s">
        <v>269</v>
      </c>
      <c r="H121" t="s">
        <v>254</v>
      </c>
      <c r="I121" t="s">
        <v>242</v>
      </c>
      <c r="J121" t="s">
        <v>235</v>
      </c>
      <c r="K121" s="380">
        <f>'Basis Options'!G126</f>
        <v>36861</v>
      </c>
      <c r="L121" s="235">
        <f>'Basis Options'!U126</f>
        <v>-59058.031642160378</v>
      </c>
      <c r="M121" s="380">
        <f>'Basis Options'!Q126</f>
        <v>36859</v>
      </c>
      <c r="N121" t="str">
        <f>'Basis Options'!F126</f>
        <v>C</v>
      </c>
      <c r="O121">
        <f>'Basis Options'!I126</f>
        <v>0</v>
      </c>
      <c r="P121">
        <v>0</v>
      </c>
      <c r="Q121">
        <v>0</v>
      </c>
      <c r="R121">
        <v>0</v>
      </c>
      <c r="S121">
        <v>0</v>
      </c>
      <c r="T121" t="s">
        <v>253</v>
      </c>
      <c r="U121" t="str">
        <f>IF('Basis Options'!D126="NGI/CHI. GATE","""NGI/CHI. GATE""",TRIM('Basis Options'!D126))</f>
        <v>IF-NNG/VENT</v>
      </c>
      <c r="V121" t="s">
        <v>253</v>
      </c>
      <c r="W121" t="s">
        <v>132</v>
      </c>
      <c r="X121" t="s">
        <v>253</v>
      </c>
      <c r="Y121" t="s">
        <v>235</v>
      </c>
      <c r="Z121" t="s">
        <v>236</v>
      </c>
      <c r="AA121" t="s">
        <v>253</v>
      </c>
      <c r="AB121" t="s">
        <v>1</v>
      </c>
      <c r="AC121" s="235">
        <f>'Basis Options'!H126</f>
        <v>-1000000</v>
      </c>
      <c r="AD121" s="235">
        <f>'Basis Options'!W126</f>
        <v>-10297.527120982297</v>
      </c>
      <c r="AE121">
        <v>0</v>
      </c>
      <c r="AF121">
        <v>0</v>
      </c>
      <c r="AG121">
        <v>0</v>
      </c>
      <c r="AH121" s="235">
        <f>'Basis Options'!CD126</f>
        <v>0</v>
      </c>
      <c r="AI121">
        <v>226</v>
      </c>
      <c r="AJ121" t="s">
        <v>256</v>
      </c>
      <c r="AK121">
        <v>0</v>
      </c>
      <c r="AL121">
        <v>0</v>
      </c>
      <c r="AM121">
        <v>0</v>
      </c>
    </row>
    <row r="122" spans="1:39" x14ac:dyDescent="0.25">
      <c r="A122" t="s">
        <v>233</v>
      </c>
      <c r="B122" t="str">
        <f>'Basis Options'!C127</f>
        <v>NF5550.1</v>
      </c>
      <c r="C122" t="s">
        <v>255</v>
      </c>
      <c r="D122" t="s">
        <v>234</v>
      </c>
      <c r="E122" t="s">
        <v>20</v>
      </c>
      <c r="F122" t="str">
        <f>'Basis Options'!A127</f>
        <v>ELPASMER</v>
      </c>
      <c r="G122" t="s">
        <v>269</v>
      </c>
      <c r="H122" t="s">
        <v>254</v>
      </c>
      <c r="I122" t="s">
        <v>242</v>
      </c>
      <c r="J122" t="s">
        <v>235</v>
      </c>
      <c r="K122" s="380">
        <f>'Basis Options'!G127</f>
        <v>36831</v>
      </c>
      <c r="L122" s="235">
        <f>'Basis Options'!U127</f>
        <v>-39185.934235893976</v>
      </c>
      <c r="M122" s="380">
        <f>'Basis Options'!Q127</f>
        <v>36829</v>
      </c>
      <c r="N122" t="str">
        <f>'Basis Options'!F127</f>
        <v>C</v>
      </c>
      <c r="O122">
        <f>'Basis Options'!I127</f>
        <v>0</v>
      </c>
      <c r="P122">
        <v>0</v>
      </c>
      <c r="Q122">
        <v>0</v>
      </c>
      <c r="R122">
        <v>0</v>
      </c>
      <c r="S122">
        <v>0</v>
      </c>
      <c r="T122" t="s">
        <v>253</v>
      </c>
      <c r="U122" t="str">
        <f>IF('Basis Options'!D127="NGI/CHI. GATE","""NGI/CHI. GATE""",TRIM('Basis Options'!D127))</f>
        <v>IF-NNG/VENT</v>
      </c>
      <c r="V122" t="s">
        <v>253</v>
      </c>
      <c r="W122" t="s">
        <v>132</v>
      </c>
      <c r="X122" t="s">
        <v>253</v>
      </c>
      <c r="Y122" t="s">
        <v>235</v>
      </c>
      <c r="Z122" t="s">
        <v>236</v>
      </c>
      <c r="AA122" t="s">
        <v>253</v>
      </c>
      <c r="AB122" t="s">
        <v>1</v>
      </c>
      <c r="AC122" s="235">
        <f>'Basis Options'!H127</f>
        <v>-1000000</v>
      </c>
      <c r="AD122" s="235">
        <f>'Basis Options'!W127</f>
        <v>-8532.1265833156649</v>
      </c>
      <c r="AE122">
        <v>0</v>
      </c>
      <c r="AF122">
        <v>0</v>
      </c>
      <c r="AG122">
        <v>0</v>
      </c>
      <c r="AH122" s="235">
        <f>'Basis Options'!CD127</f>
        <v>0</v>
      </c>
      <c r="AI122">
        <v>226</v>
      </c>
      <c r="AJ122" t="s">
        <v>256</v>
      </c>
      <c r="AK122">
        <v>0</v>
      </c>
      <c r="AL122">
        <v>0</v>
      </c>
      <c r="AM122">
        <v>0</v>
      </c>
    </row>
    <row r="123" spans="1:39" x14ac:dyDescent="0.25">
      <c r="A123" t="s">
        <v>233</v>
      </c>
      <c r="B123" t="str">
        <f>'Basis Options'!C128</f>
        <v>NF5550.1</v>
      </c>
      <c r="C123" t="s">
        <v>255</v>
      </c>
      <c r="D123" t="s">
        <v>234</v>
      </c>
      <c r="E123" t="s">
        <v>20</v>
      </c>
      <c r="F123" t="str">
        <f>'Basis Options'!A128</f>
        <v>ELPASMER</v>
      </c>
      <c r="G123" t="s">
        <v>269</v>
      </c>
      <c r="H123" t="s">
        <v>254</v>
      </c>
      <c r="I123" t="s">
        <v>242</v>
      </c>
      <c r="J123" t="s">
        <v>235</v>
      </c>
      <c r="K123" s="380">
        <f>'Basis Options'!G128</f>
        <v>36800</v>
      </c>
      <c r="L123" s="235">
        <f>'Basis Options'!U128</f>
        <v>-1079.2874875249986</v>
      </c>
      <c r="M123" s="380">
        <f>'Basis Options'!Q128</f>
        <v>36797</v>
      </c>
      <c r="N123" t="str">
        <f>'Basis Options'!F128</f>
        <v>C</v>
      </c>
      <c r="O123">
        <f>'Basis Options'!I128</f>
        <v>0</v>
      </c>
      <c r="P123">
        <v>0</v>
      </c>
      <c r="Q123">
        <v>0</v>
      </c>
      <c r="R123">
        <v>0</v>
      </c>
      <c r="S123">
        <v>0</v>
      </c>
      <c r="T123" t="s">
        <v>253</v>
      </c>
      <c r="U123" t="str">
        <f>IF('Basis Options'!D128="NGI/CHI. GATE","""NGI/CHI. GATE""",TRIM('Basis Options'!D128))</f>
        <v>IF-NNG/VENT</v>
      </c>
      <c r="V123" t="s">
        <v>253</v>
      </c>
      <c r="W123" t="s">
        <v>132</v>
      </c>
      <c r="X123" t="s">
        <v>253</v>
      </c>
      <c r="Y123" t="s">
        <v>235</v>
      </c>
      <c r="Z123" t="s">
        <v>236</v>
      </c>
      <c r="AA123" t="s">
        <v>253</v>
      </c>
      <c r="AB123" t="s">
        <v>1</v>
      </c>
      <c r="AC123" s="235">
        <f>'Basis Options'!H128</f>
        <v>-1000000</v>
      </c>
      <c r="AD123" s="235">
        <f>'Basis Options'!W128</f>
        <v>-1161.4457449279653</v>
      </c>
      <c r="AE123">
        <v>0</v>
      </c>
      <c r="AF123">
        <v>0</v>
      </c>
      <c r="AG123">
        <v>0</v>
      </c>
      <c r="AH123" s="235">
        <f>'Basis Options'!CD128</f>
        <v>0</v>
      </c>
      <c r="AI123">
        <v>226</v>
      </c>
      <c r="AJ123" t="s">
        <v>256</v>
      </c>
      <c r="AK123">
        <v>0</v>
      </c>
      <c r="AL123">
        <v>0</v>
      </c>
      <c r="AM123">
        <v>0</v>
      </c>
    </row>
    <row r="124" spans="1:39" x14ac:dyDescent="0.25">
      <c r="A124" t="s">
        <v>233</v>
      </c>
      <c r="B124" t="str">
        <f>'Basis Options'!C129</f>
        <v>NF5550.1</v>
      </c>
      <c r="C124" t="s">
        <v>255</v>
      </c>
      <c r="D124" t="s">
        <v>234</v>
      </c>
      <c r="E124" t="s">
        <v>20</v>
      </c>
      <c r="F124" t="str">
        <f>'Basis Options'!A129</f>
        <v>ELPASMER</v>
      </c>
      <c r="G124" t="s">
        <v>269</v>
      </c>
      <c r="H124" t="s">
        <v>254</v>
      </c>
      <c r="I124" t="s">
        <v>242</v>
      </c>
      <c r="J124" t="s">
        <v>235</v>
      </c>
      <c r="K124" s="380">
        <f>'Basis Options'!G129</f>
        <v>36770</v>
      </c>
      <c r="L124" s="235">
        <f>'Basis Options'!U129</f>
        <v>-1.085106857254381E-55</v>
      </c>
      <c r="M124" s="380">
        <f>'Basis Options'!Q129</f>
        <v>36768</v>
      </c>
      <c r="N124" t="str">
        <f>'Basis Options'!F129</f>
        <v>C</v>
      </c>
      <c r="O124">
        <f>'Basis Options'!I129</f>
        <v>0</v>
      </c>
      <c r="P124">
        <v>0</v>
      </c>
      <c r="Q124">
        <v>0</v>
      </c>
      <c r="R124">
        <v>0</v>
      </c>
      <c r="S124">
        <v>0</v>
      </c>
      <c r="T124" t="s">
        <v>253</v>
      </c>
      <c r="U124" t="str">
        <f>IF('Basis Options'!D129="NGI/CHI. GATE","""NGI/CHI. GATE""",TRIM('Basis Options'!D129))</f>
        <v>IF-NNG/VENT</v>
      </c>
      <c r="V124" t="s">
        <v>253</v>
      </c>
      <c r="W124" t="s">
        <v>132</v>
      </c>
      <c r="X124" t="s">
        <v>253</v>
      </c>
      <c r="Y124" t="s">
        <v>235</v>
      </c>
      <c r="Z124" t="s">
        <v>236</v>
      </c>
      <c r="AA124" t="s">
        <v>253</v>
      </c>
      <c r="AB124" t="s">
        <v>1</v>
      </c>
      <c r="AC124" s="235">
        <f>'Basis Options'!H129</f>
        <v>-1000000</v>
      </c>
      <c r="AD124" s="235">
        <f>'Basis Options'!W129</f>
        <v>-6.815357753602389E-54</v>
      </c>
      <c r="AE124">
        <v>0</v>
      </c>
      <c r="AF124">
        <v>0</v>
      </c>
      <c r="AG124">
        <v>0</v>
      </c>
      <c r="AH124" s="235">
        <f>'Basis Options'!CD129</f>
        <v>0</v>
      </c>
      <c r="AI124">
        <v>226</v>
      </c>
      <c r="AJ124" t="s">
        <v>256</v>
      </c>
      <c r="AK124">
        <v>0</v>
      </c>
      <c r="AL124">
        <v>0</v>
      </c>
      <c r="AM124">
        <v>0</v>
      </c>
    </row>
    <row r="125" spans="1:39" x14ac:dyDescent="0.25">
      <c r="A125" t="s">
        <v>233</v>
      </c>
      <c r="B125" t="str">
        <f>'Basis Options'!C130</f>
        <v>NF5550.2</v>
      </c>
      <c r="C125" t="s">
        <v>255</v>
      </c>
      <c r="D125" t="s">
        <v>234</v>
      </c>
      <c r="E125" t="s">
        <v>20</v>
      </c>
      <c r="F125" t="str">
        <f>'Basis Options'!A130</f>
        <v>ELPASMER</v>
      </c>
      <c r="G125" t="s">
        <v>269</v>
      </c>
      <c r="H125" t="s">
        <v>254</v>
      </c>
      <c r="I125" t="s">
        <v>242</v>
      </c>
      <c r="J125" t="s">
        <v>235</v>
      </c>
      <c r="K125" s="380">
        <f>'Basis Options'!G130</f>
        <v>36951</v>
      </c>
      <c r="L125" s="235">
        <f>'Basis Options'!U130</f>
        <v>-39608.82912064001</v>
      </c>
      <c r="M125" s="380">
        <f>'Basis Options'!Q130</f>
        <v>36949</v>
      </c>
      <c r="N125" t="str">
        <f>'Basis Options'!F130</f>
        <v>P</v>
      </c>
      <c r="O125">
        <f>'Basis Options'!I130</f>
        <v>0</v>
      </c>
      <c r="P125">
        <v>0</v>
      </c>
      <c r="Q125">
        <v>0</v>
      </c>
      <c r="R125">
        <v>0</v>
      </c>
      <c r="S125">
        <v>0</v>
      </c>
      <c r="T125" t="s">
        <v>253</v>
      </c>
      <c r="U125" t="str">
        <f>IF('Basis Options'!D130="NGI/CHI. GATE","""NGI/CHI. GATE""",TRIM('Basis Options'!D130))</f>
        <v>IF-NNG/VENT</v>
      </c>
      <c r="V125" t="s">
        <v>253</v>
      </c>
      <c r="W125" t="s">
        <v>132</v>
      </c>
      <c r="X125" t="s">
        <v>253</v>
      </c>
      <c r="Y125" t="s">
        <v>235</v>
      </c>
      <c r="Z125" t="s">
        <v>236</v>
      </c>
      <c r="AA125" t="s">
        <v>253</v>
      </c>
      <c r="AB125" t="s">
        <v>1</v>
      </c>
      <c r="AC125" s="235">
        <f>'Basis Options'!H130</f>
        <v>-1000000</v>
      </c>
      <c r="AD125" s="235">
        <f>'Basis Options'!W130</f>
        <v>-12395.335573286109</v>
      </c>
      <c r="AE125">
        <v>0</v>
      </c>
      <c r="AF125">
        <v>0</v>
      </c>
      <c r="AG125">
        <v>0</v>
      </c>
      <c r="AH125" s="235">
        <f>'Basis Options'!CD130</f>
        <v>0</v>
      </c>
      <c r="AI125">
        <v>226</v>
      </c>
      <c r="AJ125" t="s">
        <v>256</v>
      </c>
      <c r="AK125">
        <v>0</v>
      </c>
      <c r="AL125">
        <v>0</v>
      </c>
      <c r="AM125">
        <v>0</v>
      </c>
    </row>
    <row r="126" spans="1:39" x14ac:dyDescent="0.25">
      <c r="A126" t="s">
        <v>233</v>
      </c>
      <c r="B126" t="str">
        <f>'Basis Options'!C131</f>
        <v>NF5550.2</v>
      </c>
      <c r="C126" t="s">
        <v>255</v>
      </c>
      <c r="D126" t="s">
        <v>234</v>
      </c>
      <c r="E126" t="s">
        <v>20</v>
      </c>
      <c r="F126" t="str">
        <f>'Basis Options'!A131</f>
        <v>ELPASMER</v>
      </c>
      <c r="G126" t="s">
        <v>269</v>
      </c>
      <c r="H126" t="s">
        <v>254</v>
      </c>
      <c r="I126" t="s">
        <v>242</v>
      </c>
      <c r="J126" t="s">
        <v>235</v>
      </c>
      <c r="K126" s="380">
        <f>'Basis Options'!G131</f>
        <v>36923</v>
      </c>
      <c r="L126" s="235">
        <f>'Basis Options'!U131</f>
        <v>-43501.674783630762</v>
      </c>
      <c r="M126" s="380">
        <f>'Basis Options'!Q131</f>
        <v>36921</v>
      </c>
      <c r="N126" t="str">
        <f>'Basis Options'!F131</f>
        <v>P</v>
      </c>
      <c r="O126">
        <f>'Basis Options'!I131</f>
        <v>0</v>
      </c>
      <c r="P126">
        <v>0</v>
      </c>
      <c r="Q126">
        <v>0</v>
      </c>
      <c r="R126">
        <v>0</v>
      </c>
      <c r="S126">
        <v>0</v>
      </c>
      <c r="T126" t="s">
        <v>253</v>
      </c>
      <c r="U126" t="str">
        <f>IF('Basis Options'!D131="NGI/CHI. GATE","""NGI/CHI. GATE""",TRIM('Basis Options'!D131))</f>
        <v>IF-NNG/VENT</v>
      </c>
      <c r="V126" t="s">
        <v>253</v>
      </c>
      <c r="W126" t="s">
        <v>132</v>
      </c>
      <c r="X126" t="s">
        <v>253</v>
      </c>
      <c r="Y126" t="s">
        <v>235</v>
      </c>
      <c r="Z126" t="s">
        <v>236</v>
      </c>
      <c r="AA126" t="s">
        <v>253</v>
      </c>
      <c r="AB126" t="s">
        <v>1</v>
      </c>
      <c r="AC126" s="235">
        <f>'Basis Options'!H131</f>
        <v>-1000000</v>
      </c>
      <c r="AD126" s="235">
        <f>'Basis Options'!W131</f>
        <v>-12764.639117992308</v>
      </c>
      <c r="AE126">
        <v>0</v>
      </c>
      <c r="AF126">
        <v>0</v>
      </c>
      <c r="AG126">
        <v>0</v>
      </c>
      <c r="AH126" s="235">
        <f>'Basis Options'!CD131</f>
        <v>0</v>
      </c>
      <c r="AI126">
        <v>226</v>
      </c>
      <c r="AJ126" t="s">
        <v>256</v>
      </c>
      <c r="AK126">
        <v>0</v>
      </c>
      <c r="AL126">
        <v>0</v>
      </c>
      <c r="AM126">
        <v>0</v>
      </c>
    </row>
    <row r="127" spans="1:39" x14ac:dyDescent="0.25">
      <c r="A127" t="s">
        <v>233</v>
      </c>
      <c r="B127" t="str">
        <f>'Basis Options'!C132</f>
        <v>NF5550.2</v>
      </c>
      <c r="C127" t="s">
        <v>255</v>
      </c>
      <c r="D127" t="s">
        <v>234</v>
      </c>
      <c r="E127" t="s">
        <v>20</v>
      </c>
      <c r="F127" t="str">
        <f>'Basis Options'!A132</f>
        <v>ELPASMER</v>
      </c>
      <c r="G127" t="s">
        <v>269</v>
      </c>
      <c r="H127" t="s">
        <v>254</v>
      </c>
      <c r="I127" t="s">
        <v>242</v>
      </c>
      <c r="J127" t="s">
        <v>235</v>
      </c>
      <c r="K127" s="380">
        <f>'Basis Options'!G132</f>
        <v>36892</v>
      </c>
      <c r="L127" s="235">
        <f>'Basis Options'!U132</f>
        <v>-43274.239977761477</v>
      </c>
      <c r="M127" s="380">
        <f>'Basis Options'!Q132</f>
        <v>36888</v>
      </c>
      <c r="N127" t="str">
        <f>'Basis Options'!F132</f>
        <v>P</v>
      </c>
      <c r="O127">
        <f>'Basis Options'!I132</f>
        <v>0</v>
      </c>
      <c r="P127">
        <v>0</v>
      </c>
      <c r="Q127">
        <v>0</v>
      </c>
      <c r="R127">
        <v>0</v>
      </c>
      <c r="S127">
        <v>0</v>
      </c>
      <c r="T127" t="s">
        <v>253</v>
      </c>
      <c r="U127" t="str">
        <f>IF('Basis Options'!D132="NGI/CHI. GATE","""NGI/CHI. GATE""",TRIM('Basis Options'!D132))</f>
        <v>IF-NNG/VENT</v>
      </c>
      <c r="V127" t="s">
        <v>253</v>
      </c>
      <c r="W127" t="s">
        <v>132</v>
      </c>
      <c r="X127" t="s">
        <v>253</v>
      </c>
      <c r="Y127" t="s">
        <v>235</v>
      </c>
      <c r="Z127" t="s">
        <v>236</v>
      </c>
      <c r="AA127" t="s">
        <v>253</v>
      </c>
      <c r="AB127" t="s">
        <v>1</v>
      </c>
      <c r="AC127" s="235">
        <f>'Basis Options'!H132</f>
        <v>-1000000</v>
      </c>
      <c r="AD127" s="235">
        <f>'Basis Options'!W132</f>
        <v>-11671.099747342698</v>
      </c>
      <c r="AE127">
        <v>0</v>
      </c>
      <c r="AF127">
        <v>0</v>
      </c>
      <c r="AG127">
        <v>0</v>
      </c>
      <c r="AH127" s="235">
        <f>'Basis Options'!CD132</f>
        <v>0</v>
      </c>
      <c r="AI127">
        <v>226</v>
      </c>
      <c r="AJ127" t="s">
        <v>256</v>
      </c>
      <c r="AK127">
        <v>0</v>
      </c>
      <c r="AL127">
        <v>0</v>
      </c>
      <c r="AM127">
        <v>0</v>
      </c>
    </row>
    <row r="128" spans="1:39" x14ac:dyDescent="0.25">
      <c r="A128" t="s">
        <v>233</v>
      </c>
      <c r="B128" t="str">
        <f>'Basis Options'!C133</f>
        <v>NF5550.2</v>
      </c>
      <c r="C128" t="s">
        <v>255</v>
      </c>
      <c r="D128" t="s">
        <v>234</v>
      </c>
      <c r="E128" t="s">
        <v>20</v>
      </c>
      <c r="F128" t="str">
        <f>'Basis Options'!A133</f>
        <v>ELPASMER</v>
      </c>
      <c r="G128" t="s">
        <v>269</v>
      </c>
      <c r="H128" t="s">
        <v>254</v>
      </c>
      <c r="I128" t="s">
        <v>242</v>
      </c>
      <c r="J128" t="s">
        <v>235</v>
      </c>
      <c r="K128" s="380">
        <f>'Basis Options'!G133</f>
        <v>36861</v>
      </c>
      <c r="L128" s="235">
        <f>'Basis Options'!U133</f>
        <v>-41856.57982349689</v>
      </c>
      <c r="M128" s="380">
        <f>'Basis Options'!Q133</f>
        <v>36859</v>
      </c>
      <c r="N128" t="str">
        <f>'Basis Options'!F133</f>
        <v>P</v>
      </c>
      <c r="O128">
        <f>'Basis Options'!I133</f>
        <v>0</v>
      </c>
      <c r="P128">
        <v>0</v>
      </c>
      <c r="Q128">
        <v>0</v>
      </c>
      <c r="R128">
        <v>0</v>
      </c>
      <c r="S128">
        <v>0</v>
      </c>
      <c r="T128" t="s">
        <v>253</v>
      </c>
      <c r="U128" t="str">
        <f>IF('Basis Options'!D133="NGI/CHI. GATE","""NGI/CHI. GATE""",TRIM('Basis Options'!D133))</f>
        <v>IF-NNG/VENT</v>
      </c>
      <c r="V128" t="s">
        <v>253</v>
      </c>
      <c r="W128" t="s">
        <v>132</v>
      </c>
      <c r="X128" t="s">
        <v>253</v>
      </c>
      <c r="Y128" t="s">
        <v>235</v>
      </c>
      <c r="Z128" t="s">
        <v>236</v>
      </c>
      <c r="AA128" t="s">
        <v>253</v>
      </c>
      <c r="AB128" t="s">
        <v>1</v>
      </c>
      <c r="AC128" s="235">
        <f>'Basis Options'!H133</f>
        <v>-1000000</v>
      </c>
      <c r="AD128" s="235">
        <f>'Basis Options'!W133</f>
        <v>-10297.527120982297</v>
      </c>
      <c r="AE128">
        <v>0</v>
      </c>
      <c r="AF128">
        <v>0</v>
      </c>
      <c r="AG128">
        <v>0</v>
      </c>
      <c r="AH128" s="235">
        <f>'Basis Options'!CD133</f>
        <v>0</v>
      </c>
      <c r="AI128">
        <v>226</v>
      </c>
      <c r="AJ128" t="s">
        <v>256</v>
      </c>
      <c r="AK128">
        <v>0</v>
      </c>
      <c r="AL128">
        <v>0</v>
      </c>
      <c r="AM128">
        <v>0</v>
      </c>
    </row>
    <row r="129" spans="1:39" x14ac:dyDescent="0.25">
      <c r="A129" t="s">
        <v>233</v>
      </c>
      <c r="B129" t="str">
        <f>'Basis Options'!C134</f>
        <v>NF5550.2</v>
      </c>
      <c r="C129" t="s">
        <v>255</v>
      </c>
      <c r="D129" t="s">
        <v>234</v>
      </c>
      <c r="E129" t="s">
        <v>20</v>
      </c>
      <c r="F129" t="str">
        <f>'Basis Options'!A134</f>
        <v>ELPASMER</v>
      </c>
      <c r="G129" t="s">
        <v>269</v>
      </c>
      <c r="H129" t="s">
        <v>254</v>
      </c>
      <c r="I129" t="s">
        <v>242</v>
      </c>
      <c r="J129" t="s">
        <v>235</v>
      </c>
      <c r="K129" s="380">
        <f>'Basis Options'!G134</f>
        <v>36831</v>
      </c>
      <c r="L129" s="235">
        <f>'Basis Options'!U134</f>
        <v>-41657.198409338569</v>
      </c>
      <c r="M129" s="380">
        <f>'Basis Options'!Q134</f>
        <v>36829</v>
      </c>
      <c r="N129" t="str">
        <f>'Basis Options'!F134</f>
        <v>P</v>
      </c>
      <c r="O129">
        <f>'Basis Options'!I134</f>
        <v>0</v>
      </c>
      <c r="P129">
        <v>0</v>
      </c>
      <c r="Q129">
        <v>0</v>
      </c>
      <c r="R129">
        <v>0</v>
      </c>
      <c r="S129">
        <v>0</v>
      </c>
      <c r="T129" t="s">
        <v>253</v>
      </c>
      <c r="U129" t="str">
        <f>IF('Basis Options'!D134="NGI/CHI. GATE","""NGI/CHI. GATE""",TRIM('Basis Options'!D134))</f>
        <v>IF-NNG/VENT</v>
      </c>
      <c r="V129" t="s">
        <v>253</v>
      </c>
      <c r="W129" t="s">
        <v>132</v>
      </c>
      <c r="X129" t="s">
        <v>253</v>
      </c>
      <c r="Y129" t="s">
        <v>235</v>
      </c>
      <c r="Z129" t="s">
        <v>236</v>
      </c>
      <c r="AA129" t="s">
        <v>253</v>
      </c>
      <c r="AB129" t="s">
        <v>1</v>
      </c>
      <c r="AC129" s="235">
        <f>'Basis Options'!H134</f>
        <v>-1000000</v>
      </c>
      <c r="AD129" s="235">
        <f>'Basis Options'!W134</f>
        <v>-8532.1265833155485</v>
      </c>
      <c r="AE129">
        <v>0</v>
      </c>
      <c r="AF129">
        <v>0</v>
      </c>
      <c r="AG129">
        <v>0</v>
      </c>
      <c r="AH129" s="235">
        <f>'Basis Options'!CD134</f>
        <v>0</v>
      </c>
      <c r="AI129">
        <v>226</v>
      </c>
      <c r="AJ129" t="s">
        <v>256</v>
      </c>
      <c r="AK129">
        <v>0</v>
      </c>
      <c r="AL129">
        <v>0</v>
      </c>
      <c r="AM129">
        <v>0</v>
      </c>
    </row>
    <row r="130" spans="1:39" x14ac:dyDescent="0.25">
      <c r="A130" t="s">
        <v>233</v>
      </c>
      <c r="B130" t="str">
        <f>'Basis Options'!C135</f>
        <v>NF5550.2</v>
      </c>
      <c r="C130" t="s">
        <v>255</v>
      </c>
      <c r="D130" t="s">
        <v>234</v>
      </c>
      <c r="E130" t="s">
        <v>20</v>
      </c>
      <c r="F130" t="str">
        <f>'Basis Options'!A135</f>
        <v>ELPASMER</v>
      </c>
      <c r="G130" t="s">
        <v>269</v>
      </c>
      <c r="H130" t="s">
        <v>254</v>
      </c>
      <c r="I130" t="s">
        <v>242</v>
      </c>
      <c r="J130" t="s">
        <v>235</v>
      </c>
      <c r="K130" s="380">
        <f>'Basis Options'!G135</f>
        <v>36800</v>
      </c>
      <c r="L130" s="235">
        <f>'Basis Options'!U135</f>
        <v>-90577.645878235024</v>
      </c>
      <c r="M130" s="380">
        <f>'Basis Options'!Q135</f>
        <v>36797</v>
      </c>
      <c r="N130" t="str">
        <f>'Basis Options'!F135</f>
        <v>P</v>
      </c>
      <c r="O130">
        <f>'Basis Options'!I135</f>
        <v>0</v>
      </c>
      <c r="P130">
        <v>0</v>
      </c>
      <c r="Q130">
        <v>0</v>
      </c>
      <c r="R130">
        <v>0</v>
      </c>
      <c r="S130">
        <v>0</v>
      </c>
      <c r="T130" t="s">
        <v>253</v>
      </c>
      <c r="U130" t="str">
        <f>IF('Basis Options'!D135="NGI/CHI. GATE","""NGI/CHI. GATE""",TRIM('Basis Options'!D135))</f>
        <v>IF-NNG/VENT</v>
      </c>
      <c r="V130" t="s">
        <v>253</v>
      </c>
      <c r="W130" t="s">
        <v>132</v>
      </c>
      <c r="X130" t="s">
        <v>253</v>
      </c>
      <c r="Y130" t="s">
        <v>235</v>
      </c>
      <c r="Z130" t="s">
        <v>236</v>
      </c>
      <c r="AA130" t="s">
        <v>253</v>
      </c>
      <c r="AB130" t="s">
        <v>1</v>
      </c>
      <c r="AC130" s="235">
        <f>'Basis Options'!H135</f>
        <v>-1000000</v>
      </c>
      <c r="AD130" s="235">
        <f>'Basis Options'!W135</f>
        <v>-1161.4457449278561</v>
      </c>
      <c r="AE130">
        <v>0</v>
      </c>
      <c r="AF130">
        <v>0</v>
      </c>
      <c r="AG130">
        <v>0</v>
      </c>
      <c r="AH130" s="235">
        <f>'Basis Options'!CD135</f>
        <v>0</v>
      </c>
      <c r="AI130">
        <v>226</v>
      </c>
      <c r="AJ130" t="s">
        <v>256</v>
      </c>
      <c r="AK130">
        <v>0</v>
      </c>
      <c r="AL130">
        <v>0</v>
      </c>
      <c r="AM130">
        <v>0</v>
      </c>
    </row>
    <row r="131" spans="1:39" x14ac:dyDescent="0.25">
      <c r="A131" t="s">
        <v>233</v>
      </c>
      <c r="B131" t="str">
        <f>'Basis Options'!C136</f>
        <v>NF5550.2</v>
      </c>
      <c r="C131" t="s">
        <v>255</v>
      </c>
      <c r="D131" t="s">
        <v>234</v>
      </c>
      <c r="E131" t="s">
        <v>20</v>
      </c>
      <c r="F131" t="str">
        <f>'Basis Options'!A136</f>
        <v>ELPASMER</v>
      </c>
      <c r="G131" t="s">
        <v>269</v>
      </c>
      <c r="H131" t="s">
        <v>254</v>
      </c>
      <c r="I131" t="s">
        <v>242</v>
      </c>
      <c r="J131" t="s">
        <v>235</v>
      </c>
      <c r="K131" s="380">
        <f>'Basis Options'!G136</f>
        <v>36770</v>
      </c>
      <c r="L131" s="235">
        <f>'Basis Options'!U136</f>
        <v>-109979.75879180366</v>
      </c>
      <c r="M131" s="380">
        <f>'Basis Options'!Q136</f>
        <v>36768</v>
      </c>
      <c r="N131" t="str">
        <f>'Basis Options'!F136</f>
        <v>P</v>
      </c>
      <c r="O131">
        <f>'Basis Options'!I136</f>
        <v>0</v>
      </c>
      <c r="P131">
        <v>0</v>
      </c>
      <c r="Q131">
        <v>0</v>
      </c>
      <c r="R131">
        <v>0</v>
      </c>
      <c r="S131">
        <v>0</v>
      </c>
      <c r="T131" t="s">
        <v>253</v>
      </c>
      <c r="U131" t="str">
        <f>IF('Basis Options'!D136="NGI/CHI. GATE","""NGI/CHI. GATE""",TRIM('Basis Options'!D136))</f>
        <v>IF-NNG/VENT</v>
      </c>
      <c r="V131" t="s">
        <v>253</v>
      </c>
      <c r="W131" t="s">
        <v>132</v>
      </c>
      <c r="X131" t="s">
        <v>253</v>
      </c>
      <c r="Y131" t="s">
        <v>235</v>
      </c>
      <c r="Z131" t="s">
        <v>236</v>
      </c>
      <c r="AA131" t="s">
        <v>253</v>
      </c>
      <c r="AB131" t="s">
        <v>1</v>
      </c>
      <c r="AC131" s="235">
        <f>'Basis Options'!H136</f>
        <v>-1000000</v>
      </c>
      <c r="AD131" s="235">
        <f>'Basis Options'!W136</f>
        <v>0</v>
      </c>
      <c r="AE131">
        <v>0</v>
      </c>
      <c r="AF131">
        <v>0</v>
      </c>
      <c r="AG131">
        <v>0</v>
      </c>
      <c r="AH131" s="235">
        <f>'Basis Options'!CD136</f>
        <v>0</v>
      </c>
      <c r="AI131">
        <v>226</v>
      </c>
      <c r="AJ131" t="s">
        <v>256</v>
      </c>
      <c r="AK131">
        <v>0</v>
      </c>
      <c r="AL131">
        <v>0</v>
      </c>
      <c r="AM131">
        <v>0</v>
      </c>
    </row>
    <row r="132" spans="1:39" x14ac:dyDescent="0.25">
      <c r="A132" t="s">
        <v>233</v>
      </c>
      <c r="B132" t="str">
        <f>'Basis Options'!C137</f>
        <v>NF5563</v>
      </c>
      <c r="C132" t="s">
        <v>255</v>
      </c>
      <c r="D132" t="s">
        <v>234</v>
      </c>
      <c r="E132" t="s">
        <v>20</v>
      </c>
      <c r="F132" t="str">
        <f>'Basis Options'!A137</f>
        <v>DUKEENETRA</v>
      </c>
      <c r="G132" t="s">
        <v>269</v>
      </c>
      <c r="H132" t="s">
        <v>254</v>
      </c>
      <c r="I132" t="s">
        <v>242</v>
      </c>
      <c r="J132" t="s">
        <v>235</v>
      </c>
      <c r="K132" s="380">
        <f>'Basis Options'!G137</f>
        <v>36951</v>
      </c>
      <c r="L132" s="235">
        <f>'Basis Options'!U137</f>
        <v>62097.440260208743</v>
      </c>
      <c r="M132" s="380">
        <f>'Basis Options'!Q137</f>
        <v>36949</v>
      </c>
      <c r="N132" t="str">
        <f>'Basis Options'!F137</f>
        <v>C</v>
      </c>
      <c r="O132">
        <f>'Basis Options'!I137</f>
        <v>2.2000000000000002</v>
      </c>
      <c r="P132">
        <v>0</v>
      </c>
      <c r="Q132">
        <v>0</v>
      </c>
      <c r="R132">
        <v>0</v>
      </c>
      <c r="S132">
        <v>0</v>
      </c>
      <c r="T132" t="s">
        <v>253</v>
      </c>
      <c r="U132" t="str">
        <f>IF('Basis Options'!D137="NGI/CHI. GATE","""NGI/CHI. GATE""",TRIM('Basis Options'!D137))</f>
        <v>IF-TRANSCO/Z6</v>
      </c>
      <c r="V132" t="s">
        <v>253</v>
      </c>
      <c r="W132" t="s">
        <v>132</v>
      </c>
      <c r="X132" t="s">
        <v>253</v>
      </c>
      <c r="Y132" t="s">
        <v>235</v>
      </c>
      <c r="Z132" t="s">
        <v>236</v>
      </c>
      <c r="AA132" t="s">
        <v>253</v>
      </c>
      <c r="AB132" t="s">
        <v>1</v>
      </c>
      <c r="AC132" s="235">
        <f>'Basis Options'!H137</f>
        <v>310000</v>
      </c>
      <c r="AD132" s="235">
        <f>'Basis Options'!W137</f>
        <v>20211.817057361797</v>
      </c>
      <c r="AE132">
        <v>0</v>
      </c>
      <c r="AF132">
        <v>0</v>
      </c>
      <c r="AG132">
        <v>0</v>
      </c>
      <c r="AH132" s="235">
        <f>'Basis Options'!CD137</f>
        <v>0</v>
      </c>
      <c r="AI132">
        <v>226</v>
      </c>
      <c r="AJ132" t="s">
        <v>256</v>
      </c>
      <c r="AK132">
        <v>0</v>
      </c>
      <c r="AL132">
        <v>0</v>
      </c>
      <c r="AM132">
        <v>0</v>
      </c>
    </row>
    <row r="133" spans="1:39" x14ac:dyDescent="0.25">
      <c r="A133" t="s">
        <v>233</v>
      </c>
      <c r="B133" t="str">
        <f>'Basis Options'!C138</f>
        <v>NF5563</v>
      </c>
      <c r="C133" t="s">
        <v>255</v>
      </c>
      <c r="D133" t="s">
        <v>234</v>
      </c>
      <c r="E133" t="s">
        <v>20</v>
      </c>
      <c r="F133" t="str">
        <f>'Basis Options'!A138</f>
        <v>DUKEENETRA</v>
      </c>
      <c r="G133" t="s">
        <v>269</v>
      </c>
      <c r="H133" t="s">
        <v>254</v>
      </c>
      <c r="I133" t="s">
        <v>242</v>
      </c>
      <c r="J133" t="s">
        <v>235</v>
      </c>
      <c r="K133" s="380">
        <f>'Basis Options'!G138</f>
        <v>36923</v>
      </c>
      <c r="L133" s="235">
        <f>'Basis Options'!U138</f>
        <v>178762.11475755629</v>
      </c>
      <c r="M133" s="380">
        <f>'Basis Options'!Q138</f>
        <v>36921</v>
      </c>
      <c r="N133" t="str">
        <f>'Basis Options'!F138</f>
        <v>C</v>
      </c>
      <c r="O133">
        <f>'Basis Options'!I138</f>
        <v>2.2000000000000002</v>
      </c>
      <c r="P133">
        <v>0</v>
      </c>
      <c r="Q133">
        <v>0</v>
      </c>
      <c r="R133">
        <v>0</v>
      </c>
      <c r="S133">
        <v>0</v>
      </c>
      <c r="T133" t="s">
        <v>253</v>
      </c>
      <c r="U133" t="str">
        <f>IF('Basis Options'!D138="NGI/CHI. GATE","""NGI/CHI. GATE""",TRIM('Basis Options'!D138))</f>
        <v>IF-TRANSCO/Z6</v>
      </c>
      <c r="V133" t="s">
        <v>253</v>
      </c>
      <c r="W133" t="s">
        <v>132</v>
      </c>
      <c r="X133" t="s">
        <v>253</v>
      </c>
      <c r="Y133" t="s">
        <v>235</v>
      </c>
      <c r="Z133" t="s">
        <v>236</v>
      </c>
      <c r="AA133" t="s">
        <v>253</v>
      </c>
      <c r="AB133" t="s">
        <v>1</v>
      </c>
      <c r="AC133" s="235">
        <f>'Basis Options'!H138</f>
        <v>280000</v>
      </c>
      <c r="AD133" s="235">
        <f>'Basis Options'!W138</f>
        <v>23825.038362064588</v>
      </c>
      <c r="AE133">
        <v>0</v>
      </c>
      <c r="AF133">
        <v>0</v>
      </c>
      <c r="AG133">
        <v>0</v>
      </c>
      <c r="AH133" s="235">
        <f>'Basis Options'!CD138</f>
        <v>0</v>
      </c>
      <c r="AI133">
        <v>226</v>
      </c>
      <c r="AJ133" t="s">
        <v>256</v>
      </c>
      <c r="AK133">
        <v>0</v>
      </c>
      <c r="AL133">
        <v>0</v>
      </c>
      <c r="AM133">
        <v>0</v>
      </c>
    </row>
    <row r="134" spans="1:39" x14ac:dyDescent="0.25">
      <c r="A134" t="s">
        <v>233</v>
      </c>
      <c r="B134" t="str">
        <f>'Basis Options'!C139</f>
        <v>NF5563</v>
      </c>
      <c r="C134" t="s">
        <v>255</v>
      </c>
      <c r="D134" t="s">
        <v>234</v>
      </c>
      <c r="E134" t="s">
        <v>20</v>
      </c>
      <c r="F134" t="str">
        <f>'Basis Options'!A139</f>
        <v>DUKEENETRA</v>
      </c>
      <c r="G134" t="s">
        <v>269</v>
      </c>
      <c r="H134" t="s">
        <v>254</v>
      </c>
      <c r="I134" t="s">
        <v>242</v>
      </c>
      <c r="J134" t="s">
        <v>235</v>
      </c>
      <c r="K134" s="380">
        <f>'Basis Options'!G139</f>
        <v>36892</v>
      </c>
      <c r="L134" s="235">
        <f>'Basis Options'!U139</f>
        <v>198416.82199462087</v>
      </c>
      <c r="M134" s="380">
        <f>'Basis Options'!Q139</f>
        <v>36888</v>
      </c>
      <c r="N134" t="str">
        <f>'Basis Options'!F139</f>
        <v>C</v>
      </c>
      <c r="O134">
        <f>'Basis Options'!I139</f>
        <v>2.2000000000000002</v>
      </c>
      <c r="P134">
        <v>0</v>
      </c>
      <c r="Q134">
        <v>0</v>
      </c>
      <c r="R134">
        <v>0</v>
      </c>
      <c r="S134">
        <v>0</v>
      </c>
      <c r="T134" t="s">
        <v>253</v>
      </c>
      <c r="U134" t="str">
        <f>IF('Basis Options'!D139="NGI/CHI. GATE","""NGI/CHI. GATE""",TRIM('Basis Options'!D139))</f>
        <v>IF-TRANSCO/Z6</v>
      </c>
      <c r="V134" t="s">
        <v>253</v>
      </c>
      <c r="W134" t="s">
        <v>132</v>
      </c>
      <c r="X134" t="s">
        <v>253</v>
      </c>
      <c r="Y134" t="s">
        <v>235</v>
      </c>
      <c r="Z134" t="s">
        <v>236</v>
      </c>
      <c r="AA134" t="s">
        <v>253</v>
      </c>
      <c r="AB134" t="s">
        <v>1</v>
      </c>
      <c r="AC134" s="235">
        <f>'Basis Options'!H139</f>
        <v>310000</v>
      </c>
      <c r="AD134" s="235">
        <f>'Basis Options'!W139</f>
        <v>24211.731135408132</v>
      </c>
      <c r="AE134">
        <v>0</v>
      </c>
      <c r="AF134">
        <v>0</v>
      </c>
      <c r="AG134">
        <v>0</v>
      </c>
      <c r="AH134" s="235">
        <f>'Basis Options'!CD139</f>
        <v>0</v>
      </c>
      <c r="AI134">
        <v>226</v>
      </c>
      <c r="AJ134" t="s">
        <v>256</v>
      </c>
      <c r="AK134">
        <v>0</v>
      </c>
      <c r="AL134">
        <v>0</v>
      </c>
      <c r="AM134">
        <v>0</v>
      </c>
    </row>
    <row r="135" spans="1:39" x14ac:dyDescent="0.25">
      <c r="A135" t="s">
        <v>233</v>
      </c>
      <c r="B135" t="str">
        <f>'Basis Options'!C140</f>
        <v>NF5563</v>
      </c>
      <c r="C135" t="s">
        <v>255</v>
      </c>
      <c r="D135" t="s">
        <v>234</v>
      </c>
      <c r="E135" t="s">
        <v>20</v>
      </c>
      <c r="F135" t="str">
        <f>'Basis Options'!A140</f>
        <v>DUKEENETRA</v>
      </c>
      <c r="G135" t="s">
        <v>269</v>
      </c>
      <c r="H135" t="s">
        <v>254</v>
      </c>
      <c r="I135" t="s">
        <v>242</v>
      </c>
      <c r="J135" t="s">
        <v>235</v>
      </c>
      <c r="K135" s="380">
        <f>'Basis Options'!G140</f>
        <v>36861</v>
      </c>
      <c r="L135" s="235">
        <f>'Basis Options'!U140</f>
        <v>99035.343645937537</v>
      </c>
      <c r="M135" s="380">
        <f>'Basis Options'!Q140</f>
        <v>36859</v>
      </c>
      <c r="N135" t="str">
        <f>'Basis Options'!F140</f>
        <v>C</v>
      </c>
      <c r="O135">
        <f>'Basis Options'!I140</f>
        <v>2.2000000000000002</v>
      </c>
      <c r="P135">
        <v>0</v>
      </c>
      <c r="Q135">
        <v>0</v>
      </c>
      <c r="R135">
        <v>0</v>
      </c>
      <c r="S135">
        <v>0</v>
      </c>
      <c r="T135" t="s">
        <v>253</v>
      </c>
      <c r="U135" t="str">
        <f>IF('Basis Options'!D140="NGI/CHI. GATE","""NGI/CHI. GATE""",TRIM('Basis Options'!D140))</f>
        <v>IF-TRANSCO/Z6</v>
      </c>
      <c r="V135" t="s">
        <v>253</v>
      </c>
      <c r="W135" t="s">
        <v>132</v>
      </c>
      <c r="X135" t="s">
        <v>253</v>
      </c>
      <c r="Y135" t="s">
        <v>235</v>
      </c>
      <c r="Z135" t="s">
        <v>236</v>
      </c>
      <c r="AA135" t="s">
        <v>253</v>
      </c>
      <c r="AB135" t="s">
        <v>1</v>
      </c>
      <c r="AC135" s="235">
        <f>'Basis Options'!H140</f>
        <v>310000</v>
      </c>
      <c r="AD135" s="235">
        <f>'Basis Options'!W140</f>
        <v>19773.562871455186</v>
      </c>
      <c r="AE135">
        <v>0</v>
      </c>
      <c r="AF135">
        <v>0</v>
      </c>
      <c r="AG135">
        <v>0</v>
      </c>
      <c r="AH135" s="235">
        <f>'Basis Options'!CD140</f>
        <v>0</v>
      </c>
      <c r="AI135">
        <v>226</v>
      </c>
      <c r="AJ135" t="s">
        <v>256</v>
      </c>
      <c r="AK135">
        <v>0</v>
      </c>
      <c r="AL135">
        <v>0</v>
      </c>
      <c r="AM135">
        <v>0</v>
      </c>
    </row>
    <row r="136" spans="1:39" x14ac:dyDescent="0.25">
      <c r="A136" t="s">
        <v>233</v>
      </c>
      <c r="B136" t="str">
        <f>'Basis Options'!C141</f>
        <v>NF5563</v>
      </c>
      <c r="C136" t="s">
        <v>255</v>
      </c>
      <c r="D136" t="s">
        <v>234</v>
      </c>
      <c r="E136" t="s">
        <v>20</v>
      </c>
      <c r="F136" t="str">
        <f>'Basis Options'!A141</f>
        <v>DUKEENETRA</v>
      </c>
      <c r="G136" t="s">
        <v>269</v>
      </c>
      <c r="H136" t="s">
        <v>254</v>
      </c>
      <c r="I136" t="s">
        <v>242</v>
      </c>
      <c r="J136" t="s">
        <v>235</v>
      </c>
      <c r="K136" s="380">
        <f>'Basis Options'!G141</f>
        <v>36831</v>
      </c>
      <c r="L136" s="235">
        <f>'Basis Options'!U141</f>
        <v>3701.9783956923206</v>
      </c>
      <c r="M136" s="380">
        <f>'Basis Options'!Q141</f>
        <v>36829</v>
      </c>
      <c r="N136" t="str">
        <f>'Basis Options'!F141</f>
        <v>C</v>
      </c>
      <c r="O136">
        <f>'Basis Options'!I141</f>
        <v>2.2000000000000002</v>
      </c>
      <c r="P136">
        <v>0</v>
      </c>
      <c r="Q136">
        <v>0</v>
      </c>
      <c r="R136">
        <v>0</v>
      </c>
      <c r="S136">
        <v>0</v>
      </c>
      <c r="T136" t="s">
        <v>253</v>
      </c>
      <c r="U136" t="str">
        <f>IF('Basis Options'!D141="NGI/CHI. GATE","""NGI/CHI. GATE""",TRIM('Basis Options'!D141))</f>
        <v>IF-TRANSCO/Z6</v>
      </c>
      <c r="V136" t="s">
        <v>253</v>
      </c>
      <c r="W136" t="s">
        <v>132</v>
      </c>
      <c r="X136" t="s">
        <v>253</v>
      </c>
      <c r="Y136" t="s">
        <v>235</v>
      </c>
      <c r="Z136" t="s">
        <v>236</v>
      </c>
      <c r="AA136" t="s">
        <v>253</v>
      </c>
      <c r="AB136" t="s">
        <v>1</v>
      </c>
      <c r="AC136" s="235">
        <f>'Basis Options'!H141</f>
        <v>300000</v>
      </c>
      <c r="AD136" s="235">
        <f>'Basis Options'!W141</f>
        <v>2608.1783148875274</v>
      </c>
      <c r="AE136">
        <v>0</v>
      </c>
      <c r="AF136">
        <v>0</v>
      </c>
      <c r="AG136">
        <v>0</v>
      </c>
      <c r="AH136" s="235">
        <f>'Basis Options'!CD141</f>
        <v>0</v>
      </c>
      <c r="AI136">
        <v>226</v>
      </c>
      <c r="AJ136" t="s">
        <v>256</v>
      </c>
      <c r="AK136">
        <v>0</v>
      </c>
      <c r="AL136">
        <v>0</v>
      </c>
      <c r="AM136">
        <v>0</v>
      </c>
    </row>
    <row r="137" spans="1:39" x14ac:dyDescent="0.25">
      <c r="A137" t="s">
        <v>233</v>
      </c>
      <c r="B137" t="str">
        <f>'Basis Options'!C142</f>
        <v>NF5578.1</v>
      </c>
      <c r="C137" t="s">
        <v>255</v>
      </c>
      <c r="D137" t="s">
        <v>234</v>
      </c>
      <c r="E137" t="s">
        <v>20</v>
      </c>
      <c r="F137" t="str">
        <f>'Basis Options'!A142</f>
        <v>ELPASMER</v>
      </c>
      <c r="G137" t="s">
        <v>269</v>
      </c>
      <c r="H137" t="s">
        <v>254</v>
      </c>
      <c r="I137" t="s">
        <v>242</v>
      </c>
      <c r="J137" t="s">
        <v>235</v>
      </c>
      <c r="K137" s="380">
        <f>'Basis Options'!G142</f>
        <v>36951</v>
      </c>
      <c r="L137" s="235">
        <f>'Basis Options'!U142</f>
        <v>-71012.288118638724</v>
      </c>
      <c r="M137" s="380">
        <f>'Basis Options'!Q142</f>
        <v>36949</v>
      </c>
      <c r="N137" t="str">
        <f>'Basis Options'!F142</f>
        <v>C</v>
      </c>
      <c r="O137">
        <f>'Basis Options'!I142</f>
        <v>0</v>
      </c>
      <c r="P137">
        <v>0</v>
      </c>
      <c r="Q137">
        <v>0</v>
      </c>
      <c r="R137">
        <v>0</v>
      </c>
      <c r="S137">
        <v>0</v>
      </c>
      <c r="T137" t="s">
        <v>253</v>
      </c>
      <c r="U137" t="str">
        <f>IF('Basis Options'!D142="NGI/CHI. GATE","""NGI/CHI. GATE""",TRIM('Basis Options'!D142))</f>
        <v>IF-NNG/VENT</v>
      </c>
      <c r="V137" t="s">
        <v>253</v>
      </c>
      <c r="W137" t="s">
        <v>132</v>
      </c>
      <c r="X137" t="s">
        <v>253</v>
      </c>
      <c r="Y137" t="s">
        <v>235</v>
      </c>
      <c r="Z137" t="s">
        <v>236</v>
      </c>
      <c r="AA137" t="s">
        <v>253</v>
      </c>
      <c r="AB137" t="s">
        <v>1</v>
      </c>
      <c r="AC137" s="235">
        <f>'Basis Options'!H142</f>
        <v>-1000000</v>
      </c>
      <c r="AD137" s="235">
        <f>'Basis Options'!W142</f>
        <v>-12395.335573286051</v>
      </c>
      <c r="AE137">
        <v>0</v>
      </c>
      <c r="AF137">
        <v>0</v>
      </c>
      <c r="AG137">
        <v>0</v>
      </c>
      <c r="AH137" s="235">
        <f>'Basis Options'!CD142</f>
        <v>0</v>
      </c>
      <c r="AI137">
        <v>226</v>
      </c>
      <c r="AJ137" t="s">
        <v>256</v>
      </c>
      <c r="AK137">
        <v>0</v>
      </c>
      <c r="AL137">
        <v>0</v>
      </c>
      <c r="AM137">
        <v>0</v>
      </c>
    </row>
    <row r="138" spans="1:39" x14ac:dyDescent="0.25">
      <c r="A138" t="s">
        <v>233</v>
      </c>
      <c r="B138" t="str">
        <f>'Basis Options'!C143</f>
        <v>NF5578.1</v>
      </c>
      <c r="C138" t="s">
        <v>255</v>
      </c>
      <c r="D138" t="s">
        <v>234</v>
      </c>
      <c r="E138" t="s">
        <v>20</v>
      </c>
      <c r="F138" t="str">
        <f>'Basis Options'!A143</f>
        <v>ELPASMER</v>
      </c>
      <c r="G138" t="s">
        <v>269</v>
      </c>
      <c r="H138" t="s">
        <v>254</v>
      </c>
      <c r="I138" t="s">
        <v>242</v>
      </c>
      <c r="J138" t="s">
        <v>235</v>
      </c>
      <c r="K138" s="380">
        <f>'Basis Options'!G143</f>
        <v>36923</v>
      </c>
      <c r="L138" s="235">
        <f>'Basis Options'!U143</f>
        <v>-77503.26781332033</v>
      </c>
      <c r="M138" s="380">
        <f>'Basis Options'!Q143</f>
        <v>36921</v>
      </c>
      <c r="N138" t="str">
        <f>'Basis Options'!F143</f>
        <v>C</v>
      </c>
      <c r="O138">
        <f>'Basis Options'!I143</f>
        <v>0</v>
      </c>
      <c r="P138">
        <v>0</v>
      </c>
      <c r="Q138">
        <v>0</v>
      </c>
      <c r="R138">
        <v>0</v>
      </c>
      <c r="S138">
        <v>0</v>
      </c>
      <c r="T138" t="s">
        <v>253</v>
      </c>
      <c r="U138" t="str">
        <f>IF('Basis Options'!D143="NGI/CHI. GATE","""NGI/CHI. GATE""",TRIM('Basis Options'!D143))</f>
        <v>IF-NNG/VENT</v>
      </c>
      <c r="V138" t="s">
        <v>253</v>
      </c>
      <c r="W138" t="s">
        <v>132</v>
      </c>
      <c r="X138" t="s">
        <v>253</v>
      </c>
      <c r="Y138" t="s">
        <v>235</v>
      </c>
      <c r="Z138" t="s">
        <v>236</v>
      </c>
      <c r="AA138" t="s">
        <v>253</v>
      </c>
      <c r="AB138" t="s">
        <v>1</v>
      </c>
      <c r="AC138" s="235">
        <f>'Basis Options'!H143</f>
        <v>-1000000</v>
      </c>
      <c r="AD138" s="235">
        <f>'Basis Options'!W143</f>
        <v>-12764.63911799225</v>
      </c>
      <c r="AE138">
        <v>0</v>
      </c>
      <c r="AF138">
        <v>0</v>
      </c>
      <c r="AG138">
        <v>0</v>
      </c>
      <c r="AH138" s="235">
        <f>'Basis Options'!CD143</f>
        <v>0</v>
      </c>
      <c r="AI138">
        <v>226</v>
      </c>
      <c r="AJ138" t="s">
        <v>256</v>
      </c>
      <c r="AK138">
        <v>0</v>
      </c>
      <c r="AL138">
        <v>0</v>
      </c>
      <c r="AM138">
        <v>0</v>
      </c>
    </row>
    <row r="139" spans="1:39" x14ac:dyDescent="0.25">
      <c r="A139" t="s">
        <v>233</v>
      </c>
      <c r="B139" t="str">
        <f>'Basis Options'!C144</f>
        <v>NF5578.1</v>
      </c>
      <c r="C139" t="s">
        <v>255</v>
      </c>
      <c r="D139" t="s">
        <v>234</v>
      </c>
      <c r="E139" t="s">
        <v>20</v>
      </c>
      <c r="F139" t="str">
        <f>'Basis Options'!A144</f>
        <v>ELPASMER</v>
      </c>
      <c r="G139" t="s">
        <v>269</v>
      </c>
      <c r="H139" t="s">
        <v>254</v>
      </c>
      <c r="I139" t="s">
        <v>242</v>
      </c>
      <c r="J139" t="s">
        <v>235</v>
      </c>
      <c r="K139" s="380">
        <f>'Basis Options'!G144</f>
        <v>36892</v>
      </c>
      <c r="L139" s="235">
        <f>'Basis Options'!U144</f>
        <v>-72602.342046592239</v>
      </c>
      <c r="M139" s="380">
        <f>'Basis Options'!Q144</f>
        <v>36888</v>
      </c>
      <c r="N139" t="str">
        <f>'Basis Options'!F144</f>
        <v>C</v>
      </c>
      <c r="O139">
        <f>'Basis Options'!I144</f>
        <v>0</v>
      </c>
      <c r="P139">
        <v>0</v>
      </c>
      <c r="Q139">
        <v>0</v>
      </c>
      <c r="R139">
        <v>0</v>
      </c>
      <c r="S139">
        <v>0</v>
      </c>
      <c r="T139" t="s">
        <v>253</v>
      </c>
      <c r="U139" t="str">
        <f>IF('Basis Options'!D144="NGI/CHI. GATE","""NGI/CHI. GATE""",TRIM('Basis Options'!D144))</f>
        <v>IF-NNG/VENT</v>
      </c>
      <c r="V139" t="s">
        <v>253</v>
      </c>
      <c r="W139" t="s">
        <v>132</v>
      </c>
      <c r="X139" t="s">
        <v>253</v>
      </c>
      <c r="Y139" t="s">
        <v>235</v>
      </c>
      <c r="Z139" t="s">
        <v>236</v>
      </c>
      <c r="AA139" t="s">
        <v>253</v>
      </c>
      <c r="AB139" t="s">
        <v>1</v>
      </c>
      <c r="AC139" s="235">
        <f>'Basis Options'!H144</f>
        <v>-1000000</v>
      </c>
      <c r="AD139" s="235">
        <f>'Basis Options'!W144</f>
        <v>-11671.09974734264</v>
      </c>
      <c r="AE139">
        <v>0</v>
      </c>
      <c r="AF139">
        <v>0</v>
      </c>
      <c r="AG139">
        <v>0</v>
      </c>
      <c r="AH139" s="235">
        <f>'Basis Options'!CD144</f>
        <v>0</v>
      </c>
      <c r="AI139">
        <v>226</v>
      </c>
      <c r="AJ139" t="s">
        <v>256</v>
      </c>
      <c r="AK139">
        <v>0</v>
      </c>
      <c r="AL139">
        <v>0</v>
      </c>
      <c r="AM139">
        <v>0</v>
      </c>
    </row>
    <row r="140" spans="1:39" x14ac:dyDescent="0.25">
      <c r="A140" t="s">
        <v>233</v>
      </c>
      <c r="B140" t="str">
        <f>'Basis Options'!C145</f>
        <v>NF5578.1</v>
      </c>
      <c r="C140" t="s">
        <v>255</v>
      </c>
      <c r="D140" t="s">
        <v>234</v>
      </c>
      <c r="E140" t="s">
        <v>20</v>
      </c>
      <c r="F140" t="str">
        <f>'Basis Options'!A145</f>
        <v>ELPASMER</v>
      </c>
      <c r="G140" t="s">
        <v>269</v>
      </c>
      <c r="H140" t="s">
        <v>254</v>
      </c>
      <c r="I140" t="s">
        <v>242</v>
      </c>
      <c r="J140" t="s">
        <v>235</v>
      </c>
      <c r="K140" s="380">
        <f>'Basis Options'!G145</f>
        <v>36861</v>
      </c>
      <c r="L140" s="235">
        <f>'Basis Options'!U145</f>
        <v>-59058.031642160378</v>
      </c>
      <c r="M140" s="380">
        <f>'Basis Options'!Q145</f>
        <v>36859</v>
      </c>
      <c r="N140" t="str">
        <f>'Basis Options'!F145</f>
        <v>C</v>
      </c>
      <c r="O140">
        <f>'Basis Options'!I145</f>
        <v>0</v>
      </c>
      <c r="P140">
        <v>0</v>
      </c>
      <c r="Q140">
        <v>0</v>
      </c>
      <c r="R140">
        <v>0</v>
      </c>
      <c r="S140">
        <v>0</v>
      </c>
      <c r="T140" t="s">
        <v>253</v>
      </c>
      <c r="U140" t="str">
        <f>IF('Basis Options'!D145="NGI/CHI. GATE","""NGI/CHI. GATE""",TRIM('Basis Options'!D145))</f>
        <v>IF-NNG/VENT</v>
      </c>
      <c r="V140" t="s">
        <v>253</v>
      </c>
      <c r="W140" t="s">
        <v>132</v>
      </c>
      <c r="X140" t="s">
        <v>253</v>
      </c>
      <c r="Y140" t="s">
        <v>235</v>
      </c>
      <c r="Z140" t="s">
        <v>236</v>
      </c>
      <c r="AA140" t="s">
        <v>253</v>
      </c>
      <c r="AB140" t="s">
        <v>1</v>
      </c>
      <c r="AC140" s="235">
        <f>'Basis Options'!H145</f>
        <v>-1000000</v>
      </c>
      <c r="AD140" s="235">
        <f>'Basis Options'!W145</f>
        <v>-10297.527120982297</v>
      </c>
      <c r="AE140">
        <v>0</v>
      </c>
      <c r="AF140">
        <v>0</v>
      </c>
      <c r="AG140">
        <v>0</v>
      </c>
      <c r="AH140" s="235">
        <f>'Basis Options'!CD145</f>
        <v>0</v>
      </c>
      <c r="AI140">
        <v>226</v>
      </c>
      <c r="AJ140" t="s">
        <v>256</v>
      </c>
      <c r="AK140">
        <v>0</v>
      </c>
      <c r="AL140">
        <v>0</v>
      </c>
      <c r="AM140">
        <v>0</v>
      </c>
    </row>
    <row r="141" spans="1:39" x14ac:dyDescent="0.25">
      <c r="A141" t="s">
        <v>233</v>
      </c>
      <c r="B141" t="str">
        <f>'Basis Options'!C146</f>
        <v>NF5578.1</v>
      </c>
      <c r="C141" t="s">
        <v>255</v>
      </c>
      <c r="D141" t="s">
        <v>234</v>
      </c>
      <c r="E141" t="s">
        <v>20</v>
      </c>
      <c r="F141" t="str">
        <f>'Basis Options'!A146</f>
        <v>ELPASMER</v>
      </c>
      <c r="G141" t="s">
        <v>269</v>
      </c>
      <c r="H141" t="s">
        <v>254</v>
      </c>
      <c r="I141" t="s">
        <v>242</v>
      </c>
      <c r="J141" t="s">
        <v>235</v>
      </c>
      <c r="K141" s="380">
        <f>'Basis Options'!G146</f>
        <v>36831</v>
      </c>
      <c r="L141" s="235">
        <f>'Basis Options'!U146</f>
        <v>-39185.934235893976</v>
      </c>
      <c r="M141" s="380">
        <f>'Basis Options'!Q146</f>
        <v>36829</v>
      </c>
      <c r="N141" t="str">
        <f>'Basis Options'!F146</f>
        <v>C</v>
      </c>
      <c r="O141">
        <f>'Basis Options'!I146</f>
        <v>0</v>
      </c>
      <c r="P141">
        <v>0</v>
      </c>
      <c r="Q141">
        <v>0</v>
      </c>
      <c r="R141">
        <v>0</v>
      </c>
      <c r="S141">
        <v>0</v>
      </c>
      <c r="T141" t="s">
        <v>253</v>
      </c>
      <c r="U141" t="str">
        <f>IF('Basis Options'!D146="NGI/CHI. GATE","""NGI/CHI. GATE""",TRIM('Basis Options'!D146))</f>
        <v>IF-NNG/VENT</v>
      </c>
      <c r="V141" t="s">
        <v>253</v>
      </c>
      <c r="W141" t="s">
        <v>132</v>
      </c>
      <c r="X141" t="s">
        <v>253</v>
      </c>
      <c r="Y141" t="s">
        <v>235</v>
      </c>
      <c r="Z141" t="s">
        <v>236</v>
      </c>
      <c r="AA141" t="s">
        <v>253</v>
      </c>
      <c r="AB141" t="s">
        <v>1</v>
      </c>
      <c r="AC141" s="235">
        <f>'Basis Options'!H146</f>
        <v>-1000000</v>
      </c>
      <c r="AD141" s="235">
        <f>'Basis Options'!W146</f>
        <v>-8532.1265833156649</v>
      </c>
      <c r="AE141">
        <v>0</v>
      </c>
      <c r="AF141">
        <v>0</v>
      </c>
      <c r="AG141">
        <v>0</v>
      </c>
      <c r="AH141" s="235">
        <f>'Basis Options'!CD146</f>
        <v>0</v>
      </c>
      <c r="AI141">
        <v>226</v>
      </c>
      <c r="AJ141" t="s">
        <v>256</v>
      </c>
      <c r="AK141">
        <v>0</v>
      </c>
      <c r="AL141">
        <v>0</v>
      </c>
      <c r="AM141">
        <v>0</v>
      </c>
    </row>
    <row r="142" spans="1:39" x14ac:dyDescent="0.25">
      <c r="A142" t="s">
        <v>233</v>
      </c>
      <c r="B142" t="str">
        <f>'Basis Options'!C147</f>
        <v>NF5578.1</v>
      </c>
      <c r="C142" t="s">
        <v>255</v>
      </c>
      <c r="D142" t="s">
        <v>234</v>
      </c>
      <c r="E142" t="s">
        <v>20</v>
      </c>
      <c r="F142" t="str">
        <f>'Basis Options'!A147</f>
        <v>ELPASMER</v>
      </c>
      <c r="G142" t="s">
        <v>269</v>
      </c>
      <c r="H142" t="s">
        <v>254</v>
      </c>
      <c r="I142" t="s">
        <v>242</v>
      </c>
      <c r="J142" t="s">
        <v>235</v>
      </c>
      <c r="K142" s="380">
        <f>'Basis Options'!G147</f>
        <v>36800</v>
      </c>
      <c r="L142" s="235">
        <f>'Basis Options'!U147</f>
        <v>-1079.2874875249986</v>
      </c>
      <c r="M142" s="380">
        <f>'Basis Options'!Q147</f>
        <v>36797</v>
      </c>
      <c r="N142" t="str">
        <f>'Basis Options'!F147</f>
        <v>C</v>
      </c>
      <c r="O142">
        <f>'Basis Options'!I147</f>
        <v>0</v>
      </c>
      <c r="P142">
        <v>0</v>
      </c>
      <c r="Q142">
        <v>0</v>
      </c>
      <c r="R142">
        <v>0</v>
      </c>
      <c r="S142">
        <v>0</v>
      </c>
      <c r="T142" t="s">
        <v>253</v>
      </c>
      <c r="U142" t="str">
        <f>IF('Basis Options'!D147="NGI/CHI. GATE","""NGI/CHI. GATE""",TRIM('Basis Options'!D147))</f>
        <v>IF-NNG/VENT</v>
      </c>
      <c r="V142" t="s">
        <v>253</v>
      </c>
      <c r="W142" t="s">
        <v>132</v>
      </c>
      <c r="X142" t="s">
        <v>253</v>
      </c>
      <c r="Y142" t="s">
        <v>235</v>
      </c>
      <c r="Z142" t="s">
        <v>236</v>
      </c>
      <c r="AA142" t="s">
        <v>253</v>
      </c>
      <c r="AB142" t="s">
        <v>1</v>
      </c>
      <c r="AC142" s="235">
        <f>'Basis Options'!H147</f>
        <v>-1000000</v>
      </c>
      <c r="AD142" s="235">
        <f>'Basis Options'!W147</f>
        <v>-1161.4457449279653</v>
      </c>
      <c r="AE142">
        <v>0</v>
      </c>
      <c r="AF142">
        <v>0</v>
      </c>
      <c r="AG142">
        <v>0</v>
      </c>
      <c r="AH142" s="235">
        <f>'Basis Options'!CD147</f>
        <v>0</v>
      </c>
      <c r="AI142">
        <v>226</v>
      </c>
      <c r="AJ142" t="s">
        <v>256</v>
      </c>
      <c r="AK142">
        <v>0</v>
      </c>
      <c r="AL142">
        <v>0</v>
      </c>
      <c r="AM142">
        <v>0</v>
      </c>
    </row>
    <row r="143" spans="1:39" x14ac:dyDescent="0.25">
      <c r="A143" t="s">
        <v>233</v>
      </c>
      <c r="B143" t="str">
        <f>'Basis Options'!C148</f>
        <v>NF5578.1</v>
      </c>
      <c r="C143" t="s">
        <v>255</v>
      </c>
      <c r="D143" t="s">
        <v>234</v>
      </c>
      <c r="E143" t="s">
        <v>20</v>
      </c>
      <c r="F143" t="str">
        <f>'Basis Options'!A148</f>
        <v>ELPASMER</v>
      </c>
      <c r="G143" t="s">
        <v>269</v>
      </c>
      <c r="H143" t="s">
        <v>254</v>
      </c>
      <c r="I143" t="s">
        <v>242</v>
      </c>
      <c r="J143" t="s">
        <v>235</v>
      </c>
      <c r="K143" s="380">
        <f>'Basis Options'!G148</f>
        <v>36770</v>
      </c>
      <c r="L143" s="235">
        <f>'Basis Options'!U148</f>
        <v>-1.085106857254381E-55</v>
      </c>
      <c r="M143" s="380">
        <f>'Basis Options'!Q148</f>
        <v>36768</v>
      </c>
      <c r="N143" t="str">
        <f>'Basis Options'!F148</f>
        <v>C</v>
      </c>
      <c r="O143">
        <f>'Basis Options'!I148</f>
        <v>0</v>
      </c>
      <c r="P143">
        <v>0</v>
      </c>
      <c r="Q143">
        <v>0</v>
      </c>
      <c r="R143">
        <v>0</v>
      </c>
      <c r="S143">
        <v>0</v>
      </c>
      <c r="T143" t="s">
        <v>253</v>
      </c>
      <c r="U143" t="str">
        <f>IF('Basis Options'!D148="NGI/CHI. GATE","""NGI/CHI. GATE""",TRIM('Basis Options'!D148))</f>
        <v>IF-NNG/VENT</v>
      </c>
      <c r="V143" t="s">
        <v>253</v>
      </c>
      <c r="W143" t="s">
        <v>132</v>
      </c>
      <c r="X143" t="s">
        <v>253</v>
      </c>
      <c r="Y143" t="s">
        <v>235</v>
      </c>
      <c r="Z143" t="s">
        <v>236</v>
      </c>
      <c r="AA143" t="s">
        <v>253</v>
      </c>
      <c r="AB143" t="s">
        <v>1</v>
      </c>
      <c r="AC143" s="235">
        <f>'Basis Options'!H148</f>
        <v>-1000000</v>
      </c>
      <c r="AD143" s="235">
        <f>'Basis Options'!W148</f>
        <v>-6.815357753602389E-54</v>
      </c>
      <c r="AE143">
        <v>0</v>
      </c>
      <c r="AF143">
        <v>0</v>
      </c>
      <c r="AG143">
        <v>0</v>
      </c>
      <c r="AH143" s="235">
        <f>'Basis Options'!CD148</f>
        <v>0</v>
      </c>
      <c r="AI143">
        <v>226</v>
      </c>
      <c r="AJ143" t="s">
        <v>256</v>
      </c>
      <c r="AK143">
        <v>0</v>
      </c>
      <c r="AL143">
        <v>0</v>
      </c>
      <c r="AM143">
        <v>0</v>
      </c>
    </row>
    <row r="144" spans="1:39" x14ac:dyDescent="0.25">
      <c r="A144" t="s">
        <v>233</v>
      </c>
      <c r="B144" t="str">
        <f>'Basis Options'!C149</f>
        <v>NF5578.2</v>
      </c>
      <c r="C144" t="s">
        <v>255</v>
      </c>
      <c r="D144" t="s">
        <v>234</v>
      </c>
      <c r="E144" t="s">
        <v>20</v>
      </c>
      <c r="F144" t="str">
        <f>'Basis Options'!A149</f>
        <v>ELPASMER</v>
      </c>
      <c r="G144" t="s">
        <v>269</v>
      </c>
      <c r="H144" t="s">
        <v>254</v>
      </c>
      <c r="I144" t="s">
        <v>242</v>
      </c>
      <c r="J144" t="s">
        <v>235</v>
      </c>
      <c r="K144" s="380">
        <f>'Basis Options'!G149</f>
        <v>36951</v>
      </c>
      <c r="L144" s="235">
        <f>'Basis Options'!U149</f>
        <v>-39608.82912064001</v>
      </c>
      <c r="M144" s="380">
        <f>'Basis Options'!Q149</f>
        <v>36949</v>
      </c>
      <c r="N144" t="str">
        <f>'Basis Options'!F149</f>
        <v>P</v>
      </c>
      <c r="O144">
        <f>'Basis Options'!I149</f>
        <v>0</v>
      </c>
      <c r="P144">
        <v>0</v>
      </c>
      <c r="Q144">
        <v>0</v>
      </c>
      <c r="R144">
        <v>0</v>
      </c>
      <c r="S144">
        <v>0</v>
      </c>
      <c r="T144" t="s">
        <v>253</v>
      </c>
      <c r="U144" t="str">
        <f>IF('Basis Options'!D149="NGI/CHI. GATE","""NGI/CHI. GATE""",TRIM('Basis Options'!D149))</f>
        <v>IF-NNG/VENT</v>
      </c>
      <c r="V144" t="s">
        <v>253</v>
      </c>
      <c r="W144" t="s">
        <v>132</v>
      </c>
      <c r="X144" t="s">
        <v>253</v>
      </c>
      <c r="Y144" t="s">
        <v>235</v>
      </c>
      <c r="Z144" t="s">
        <v>236</v>
      </c>
      <c r="AA144" t="s">
        <v>253</v>
      </c>
      <c r="AB144" t="s">
        <v>1</v>
      </c>
      <c r="AC144" s="235">
        <f>'Basis Options'!H149</f>
        <v>-1000000</v>
      </c>
      <c r="AD144" s="235">
        <f>'Basis Options'!W149</f>
        <v>-12395.335573286109</v>
      </c>
      <c r="AE144">
        <v>0</v>
      </c>
      <c r="AF144">
        <v>0</v>
      </c>
      <c r="AG144">
        <v>0</v>
      </c>
      <c r="AH144" s="235">
        <f>'Basis Options'!CD149</f>
        <v>0</v>
      </c>
      <c r="AI144">
        <v>226</v>
      </c>
      <c r="AJ144" t="s">
        <v>256</v>
      </c>
      <c r="AK144">
        <v>0</v>
      </c>
      <c r="AL144">
        <v>0</v>
      </c>
      <c r="AM144">
        <v>0</v>
      </c>
    </row>
    <row r="145" spans="1:39" x14ac:dyDescent="0.25">
      <c r="A145" t="s">
        <v>233</v>
      </c>
      <c r="B145" t="str">
        <f>'Basis Options'!C150</f>
        <v>NF5578.2</v>
      </c>
      <c r="C145" t="s">
        <v>255</v>
      </c>
      <c r="D145" t="s">
        <v>234</v>
      </c>
      <c r="E145" t="s">
        <v>20</v>
      </c>
      <c r="F145" t="str">
        <f>'Basis Options'!A150</f>
        <v>ELPASMER</v>
      </c>
      <c r="G145" t="s">
        <v>269</v>
      </c>
      <c r="H145" t="s">
        <v>254</v>
      </c>
      <c r="I145" t="s">
        <v>242</v>
      </c>
      <c r="J145" t="s">
        <v>235</v>
      </c>
      <c r="K145" s="380">
        <f>'Basis Options'!G150</f>
        <v>36923</v>
      </c>
      <c r="L145" s="235">
        <f>'Basis Options'!U150</f>
        <v>-43501.674783630762</v>
      </c>
      <c r="M145" s="380">
        <f>'Basis Options'!Q150</f>
        <v>36921</v>
      </c>
      <c r="N145" t="str">
        <f>'Basis Options'!F150</f>
        <v>P</v>
      </c>
      <c r="O145">
        <f>'Basis Options'!I150</f>
        <v>0</v>
      </c>
      <c r="P145">
        <v>0</v>
      </c>
      <c r="Q145">
        <v>0</v>
      </c>
      <c r="R145">
        <v>0</v>
      </c>
      <c r="S145">
        <v>0</v>
      </c>
      <c r="T145" t="s">
        <v>253</v>
      </c>
      <c r="U145" t="str">
        <f>IF('Basis Options'!D150="NGI/CHI. GATE","""NGI/CHI. GATE""",TRIM('Basis Options'!D150))</f>
        <v>IF-NNG/VENT</v>
      </c>
      <c r="V145" t="s">
        <v>253</v>
      </c>
      <c r="W145" t="s">
        <v>132</v>
      </c>
      <c r="X145" t="s">
        <v>253</v>
      </c>
      <c r="Y145" t="s">
        <v>235</v>
      </c>
      <c r="Z145" t="s">
        <v>236</v>
      </c>
      <c r="AA145" t="s">
        <v>253</v>
      </c>
      <c r="AB145" t="s">
        <v>1</v>
      </c>
      <c r="AC145" s="235">
        <f>'Basis Options'!H150</f>
        <v>-1000000</v>
      </c>
      <c r="AD145" s="235">
        <f>'Basis Options'!W150</f>
        <v>-12764.639117992308</v>
      </c>
      <c r="AE145">
        <v>0</v>
      </c>
      <c r="AF145">
        <v>0</v>
      </c>
      <c r="AG145">
        <v>0</v>
      </c>
      <c r="AH145" s="235">
        <f>'Basis Options'!CD150</f>
        <v>0</v>
      </c>
      <c r="AI145">
        <v>226</v>
      </c>
      <c r="AJ145" t="s">
        <v>256</v>
      </c>
      <c r="AK145">
        <v>0</v>
      </c>
      <c r="AL145">
        <v>0</v>
      </c>
      <c r="AM145">
        <v>0</v>
      </c>
    </row>
    <row r="146" spans="1:39" x14ac:dyDescent="0.25">
      <c r="A146" t="s">
        <v>233</v>
      </c>
      <c r="B146" t="str">
        <f>'Basis Options'!C151</f>
        <v>NF5578.2</v>
      </c>
      <c r="C146" t="s">
        <v>255</v>
      </c>
      <c r="D146" t="s">
        <v>234</v>
      </c>
      <c r="E146" t="s">
        <v>20</v>
      </c>
      <c r="F146" t="str">
        <f>'Basis Options'!A151</f>
        <v>ELPASMER</v>
      </c>
      <c r="G146" t="s">
        <v>269</v>
      </c>
      <c r="H146" t="s">
        <v>254</v>
      </c>
      <c r="I146" t="s">
        <v>242</v>
      </c>
      <c r="J146" t="s">
        <v>235</v>
      </c>
      <c r="K146" s="380">
        <f>'Basis Options'!G151</f>
        <v>36892</v>
      </c>
      <c r="L146" s="235">
        <f>'Basis Options'!U151</f>
        <v>-43274.239977761477</v>
      </c>
      <c r="M146" s="380">
        <f>'Basis Options'!Q151</f>
        <v>36888</v>
      </c>
      <c r="N146" t="str">
        <f>'Basis Options'!F151</f>
        <v>P</v>
      </c>
      <c r="O146">
        <f>'Basis Options'!I151</f>
        <v>0</v>
      </c>
      <c r="P146">
        <v>0</v>
      </c>
      <c r="Q146">
        <v>0</v>
      </c>
      <c r="R146">
        <v>0</v>
      </c>
      <c r="S146">
        <v>0</v>
      </c>
      <c r="T146" t="s">
        <v>253</v>
      </c>
      <c r="U146" t="str">
        <f>IF('Basis Options'!D151="NGI/CHI. GATE","""NGI/CHI. GATE""",TRIM('Basis Options'!D151))</f>
        <v>IF-NNG/VENT</v>
      </c>
      <c r="V146" t="s">
        <v>253</v>
      </c>
      <c r="W146" t="s">
        <v>132</v>
      </c>
      <c r="X146" t="s">
        <v>253</v>
      </c>
      <c r="Y146" t="s">
        <v>235</v>
      </c>
      <c r="Z146" t="s">
        <v>236</v>
      </c>
      <c r="AA146" t="s">
        <v>253</v>
      </c>
      <c r="AB146" t="s">
        <v>1</v>
      </c>
      <c r="AC146" s="235">
        <f>'Basis Options'!H151</f>
        <v>-1000000</v>
      </c>
      <c r="AD146" s="235">
        <f>'Basis Options'!W151</f>
        <v>-11671.099747342698</v>
      </c>
      <c r="AE146">
        <v>0</v>
      </c>
      <c r="AF146">
        <v>0</v>
      </c>
      <c r="AG146">
        <v>0</v>
      </c>
      <c r="AH146" s="235">
        <f>'Basis Options'!CD151</f>
        <v>0</v>
      </c>
      <c r="AI146">
        <v>226</v>
      </c>
      <c r="AJ146" t="s">
        <v>256</v>
      </c>
      <c r="AK146">
        <v>0</v>
      </c>
      <c r="AL146">
        <v>0</v>
      </c>
      <c r="AM146">
        <v>0</v>
      </c>
    </row>
    <row r="147" spans="1:39" x14ac:dyDescent="0.25">
      <c r="A147" t="s">
        <v>233</v>
      </c>
      <c r="B147" t="str">
        <f>'Basis Options'!C152</f>
        <v>NF5578.2</v>
      </c>
      <c r="C147" t="s">
        <v>255</v>
      </c>
      <c r="D147" t="s">
        <v>234</v>
      </c>
      <c r="E147" t="s">
        <v>20</v>
      </c>
      <c r="F147" t="str">
        <f>'Basis Options'!A152</f>
        <v>ELPASMER</v>
      </c>
      <c r="G147" t="s">
        <v>269</v>
      </c>
      <c r="H147" t="s">
        <v>254</v>
      </c>
      <c r="I147" t="s">
        <v>242</v>
      </c>
      <c r="J147" t="s">
        <v>235</v>
      </c>
      <c r="K147" s="380">
        <f>'Basis Options'!G152</f>
        <v>36861</v>
      </c>
      <c r="L147" s="235">
        <f>'Basis Options'!U152</f>
        <v>-41856.57982349689</v>
      </c>
      <c r="M147" s="380">
        <f>'Basis Options'!Q152</f>
        <v>36859</v>
      </c>
      <c r="N147" t="str">
        <f>'Basis Options'!F152</f>
        <v>P</v>
      </c>
      <c r="O147">
        <f>'Basis Options'!I152</f>
        <v>0</v>
      </c>
      <c r="P147">
        <v>0</v>
      </c>
      <c r="Q147">
        <v>0</v>
      </c>
      <c r="R147">
        <v>0</v>
      </c>
      <c r="S147">
        <v>0</v>
      </c>
      <c r="T147" t="s">
        <v>253</v>
      </c>
      <c r="U147" t="str">
        <f>IF('Basis Options'!D152="NGI/CHI. GATE","""NGI/CHI. GATE""",TRIM('Basis Options'!D152))</f>
        <v>IF-NNG/VENT</v>
      </c>
      <c r="V147" t="s">
        <v>253</v>
      </c>
      <c r="W147" t="s">
        <v>132</v>
      </c>
      <c r="X147" t="s">
        <v>253</v>
      </c>
      <c r="Y147" t="s">
        <v>235</v>
      </c>
      <c r="Z147" t="s">
        <v>236</v>
      </c>
      <c r="AA147" t="s">
        <v>253</v>
      </c>
      <c r="AB147" t="s">
        <v>1</v>
      </c>
      <c r="AC147" s="235">
        <f>'Basis Options'!H152</f>
        <v>-1000000</v>
      </c>
      <c r="AD147" s="235">
        <f>'Basis Options'!W152</f>
        <v>-10297.527120982297</v>
      </c>
      <c r="AE147">
        <v>0</v>
      </c>
      <c r="AF147">
        <v>0</v>
      </c>
      <c r="AG147">
        <v>0</v>
      </c>
      <c r="AH147" s="235">
        <f>'Basis Options'!CD152</f>
        <v>0</v>
      </c>
      <c r="AI147">
        <v>226</v>
      </c>
      <c r="AJ147" t="s">
        <v>256</v>
      </c>
      <c r="AK147">
        <v>0</v>
      </c>
      <c r="AL147">
        <v>0</v>
      </c>
      <c r="AM147">
        <v>0</v>
      </c>
    </row>
    <row r="148" spans="1:39" x14ac:dyDescent="0.25">
      <c r="A148" t="s">
        <v>233</v>
      </c>
      <c r="B148" t="str">
        <f>'Basis Options'!C153</f>
        <v>NF5578.2</v>
      </c>
      <c r="C148" t="s">
        <v>255</v>
      </c>
      <c r="D148" t="s">
        <v>234</v>
      </c>
      <c r="E148" t="s">
        <v>20</v>
      </c>
      <c r="F148" t="str">
        <f>'Basis Options'!A153</f>
        <v>ELPASMER</v>
      </c>
      <c r="G148" t="s">
        <v>269</v>
      </c>
      <c r="H148" t="s">
        <v>254</v>
      </c>
      <c r="I148" t="s">
        <v>242</v>
      </c>
      <c r="J148" t="s">
        <v>235</v>
      </c>
      <c r="K148" s="380">
        <f>'Basis Options'!G153</f>
        <v>36831</v>
      </c>
      <c r="L148" s="235">
        <f>'Basis Options'!U153</f>
        <v>-41657.198409338569</v>
      </c>
      <c r="M148" s="380">
        <f>'Basis Options'!Q153</f>
        <v>36829</v>
      </c>
      <c r="N148" t="str">
        <f>'Basis Options'!F153</f>
        <v>P</v>
      </c>
      <c r="O148">
        <f>'Basis Options'!I153</f>
        <v>0</v>
      </c>
      <c r="P148">
        <v>0</v>
      </c>
      <c r="Q148">
        <v>0</v>
      </c>
      <c r="R148">
        <v>0</v>
      </c>
      <c r="S148">
        <v>0</v>
      </c>
      <c r="T148" t="s">
        <v>253</v>
      </c>
      <c r="U148" t="str">
        <f>IF('Basis Options'!D153="NGI/CHI. GATE","""NGI/CHI. GATE""",TRIM('Basis Options'!D153))</f>
        <v>IF-NNG/VENT</v>
      </c>
      <c r="V148" t="s">
        <v>253</v>
      </c>
      <c r="W148" t="s">
        <v>132</v>
      </c>
      <c r="X148" t="s">
        <v>253</v>
      </c>
      <c r="Y148" t="s">
        <v>235</v>
      </c>
      <c r="Z148" t="s">
        <v>236</v>
      </c>
      <c r="AA148" t="s">
        <v>253</v>
      </c>
      <c r="AB148" t="s">
        <v>1</v>
      </c>
      <c r="AC148" s="235">
        <f>'Basis Options'!H153</f>
        <v>-1000000</v>
      </c>
      <c r="AD148" s="235">
        <f>'Basis Options'!W153</f>
        <v>-8532.1265833155485</v>
      </c>
      <c r="AE148">
        <v>0</v>
      </c>
      <c r="AF148">
        <v>0</v>
      </c>
      <c r="AG148">
        <v>0</v>
      </c>
      <c r="AH148" s="235">
        <f>'Basis Options'!CD153</f>
        <v>0</v>
      </c>
      <c r="AI148">
        <v>226</v>
      </c>
      <c r="AJ148" t="s">
        <v>256</v>
      </c>
      <c r="AK148">
        <v>0</v>
      </c>
      <c r="AL148">
        <v>0</v>
      </c>
      <c r="AM148">
        <v>0</v>
      </c>
    </row>
    <row r="149" spans="1:39" x14ac:dyDescent="0.25">
      <c r="A149" t="s">
        <v>233</v>
      </c>
      <c r="B149" t="str">
        <f>'Basis Options'!C154</f>
        <v>NF5578.2</v>
      </c>
      <c r="C149" t="s">
        <v>255</v>
      </c>
      <c r="D149" t="s">
        <v>234</v>
      </c>
      <c r="E149" t="s">
        <v>20</v>
      </c>
      <c r="F149" t="str">
        <f>'Basis Options'!A154</f>
        <v>ELPASMER</v>
      </c>
      <c r="G149" t="s">
        <v>269</v>
      </c>
      <c r="H149" t="s">
        <v>254</v>
      </c>
      <c r="I149" t="s">
        <v>242</v>
      </c>
      <c r="J149" t="s">
        <v>235</v>
      </c>
      <c r="K149" s="380">
        <f>'Basis Options'!G154</f>
        <v>36800</v>
      </c>
      <c r="L149" s="235">
        <f>'Basis Options'!U154</f>
        <v>-90577.645878235024</v>
      </c>
      <c r="M149" s="380">
        <f>'Basis Options'!Q154</f>
        <v>36797</v>
      </c>
      <c r="N149" t="str">
        <f>'Basis Options'!F154</f>
        <v>P</v>
      </c>
      <c r="O149">
        <f>'Basis Options'!I154</f>
        <v>0</v>
      </c>
      <c r="P149">
        <v>0</v>
      </c>
      <c r="Q149">
        <v>0</v>
      </c>
      <c r="R149">
        <v>0</v>
      </c>
      <c r="S149">
        <v>0</v>
      </c>
      <c r="T149" t="s">
        <v>253</v>
      </c>
      <c r="U149" t="str">
        <f>IF('Basis Options'!D154="NGI/CHI. GATE","""NGI/CHI. GATE""",TRIM('Basis Options'!D154))</f>
        <v>IF-NNG/VENT</v>
      </c>
      <c r="V149" t="s">
        <v>253</v>
      </c>
      <c r="W149" t="s">
        <v>132</v>
      </c>
      <c r="X149" t="s">
        <v>253</v>
      </c>
      <c r="Y149" t="s">
        <v>235</v>
      </c>
      <c r="Z149" t="s">
        <v>236</v>
      </c>
      <c r="AA149" t="s">
        <v>253</v>
      </c>
      <c r="AB149" t="s">
        <v>1</v>
      </c>
      <c r="AC149" s="235">
        <f>'Basis Options'!H154</f>
        <v>-1000000</v>
      </c>
      <c r="AD149" s="235">
        <f>'Basis Options'!W154</f>
        <v>-1161.4457449278561</v>
      </c>
      <c r="AE149">
        <v>0</v>
      </c>
      <c r="AF149">
        <v>0</v>
      </c>
      <c r="AG149">
        <v>0</v>
      </c>
      <c r="AH149" s="235">
        <f>'Basis Options'!CD154</f>
        <v>0</v>
      </c>
      <c r="AI149">
        <v>226</v>
      </c>
      <c r="AJ149" t="s">
        <v>256</v>
      </c>
      <c r="AK149">
        <v>0</v>
      </c>
      <c r="AL149">
        <v>0</v>
      </c>
      <c r="AM149">
        <v>0</v>
      </c>
    </row>
    <row r="150" spans="1:39" x14ac:dyDescent="0.25">
      <c r="A150" t="s">
        <v>233</v>
      </c>
      <c r="B150" t="str">
        <f>'Basis Options'!C155</f>
        <v>NF5578.2</v>
      </c>
      <c r="C150" t="s">
        <v>255</v>
      </c>
      <c r="D150" t="s">
        <v>234</v>
      </c>
      <c r="E150" t="s">
        <v>20</v>
      </c>
      <c r="F150" t="str">
        <f>'Basis Options'!A155</f>
        <v>ELPASMER</v>
      </c>
      <c r="G150" t="s">
        <v>269</v>
      </c>
      <c r="H150" t="s">
        <v>254</v>
      </c>
      <c r="I150" t="s">
        <v>242</v>
      </c>
      <c r="J150" t="s">
        <v>235</v>
      </c>
      <c r="K150" s="380">
        <f>'Basis Options'!G155</f>
        <v>36770</v>
      </c>
      <c r="L150" s="235">
        <f>'Basis Options'!U155</f>
        <v>-109979.75879180366</v>
      </c>
      <c r="M150" s="380">
        <f>'Basis Options'!Q155</f>
        <v>36768</v>
      </c>
      <c r="N150" t="str">
        <f>'Basis Options'!F155</f>
        <v>P</v>
      </c>
      <c r="O150">
        <f>'Basis Options'!I155</f>
        <v>0</v>
      </c>
      <c r="P150">
        <v>0</v>
      </c>
      <c r="Q150">
        <v>0</v>
      </c>
      <c r="R150">
        <v>0</v>
      </c>
      <c r="S150">
        <v>0</v>
      </c>
      <c r="T150" t="s">
        <v>253</v>
      </c>
      <c r="U150" t="str">
        <f>IF('Basis Options'!D155="NGI/CHI. GATE","""NGI/CHI. GATE""",TRIM('Basis Options'!D155))</f>
        <v>IF-NNG/VENT</v>
      </c>
      <c r="V150" t="s">
        <v>253</v>
      </c>
      <c r="W150" t="s">
        <v>132</v>
      </c>
      <c r="X150" t="s">
        <v>253</v>
      </c>
      <c r="Y150" t="s">
        <v>235</v>
      </c>
      <c r="Z150" t="s">
        <v>236</v>
      </c>
      <c r="AA150" t="s">
        <v>253</v>
      </c>
      <c r="AB150" t="s">
        <v>1</v>
      </c>
      <c r="AC150" s="235">
        <f>'Basis Options'!H155</f>
        <v>-1000000</v>
      </c>
      <c r="AD150" s="235">
        <f>'Basis Options'!W155</f>
        <v>0</v>
      </c>
      <c r="AE150">
        <v>0</v>
      </c>
      <c r="AF150">
        <v>0</v>
      </c>
      <c r="AG150">
        <v>0</v>
      </c>
      <c r="AH150" s="235">
        <f>'Basis Options'!CD155</f>
        <v>0</v>
      </c>
      <c r="AI150">
        <v>226</v>
      </c>
      <c r="AJ150" t="s">
        <v>256</v>
      </c>
      <c r="AK150">
        <v>0</v>
      </c>
      <c r="AL150">
        <v>0</v>
      </c>
      <c r="AM150">
        <v>0</v>
      </c>
    </row>
    <row r="151" spans="1:39" x14ac:dyDescent="0.25">
      <c r="A151" t="s">
        <v>233</v>
      </c>
      <c r="B151" t="str">
        <f>'Basis Options'!C156</f>
        <v>NF6503.1</v>
      </c>
      <c r="C151" t="s">
        <v>255</v>
      </c>
      <c r="D151" t="s">
        <v>234</v>
      </c>
      <c r="E151" t="s">
        <v>20</v>
      </c>
      <c r="F151" t="str">
        <f>'Basis Options'!A156</f>
        <v>JARON</v>
      </c>
      <c r="G151" t="s">
        <v>269</v>
      </c>
      <c r="H151" t="s">
        <v>254</v>
      </c>
      <c r="I151" t="s">
        <v>242</v>
      </c>
      <c r="J151" t="s">
        <v>235</v>
      </c>
      <c r="K151" s="380">
        <f>'Basis Options'!G156</f>
        <v>36951</v>
      </c>
      <c r="L151" s="235">
        <f>'Basis Options'!U156</f>
        <v>51378.846196809805</v>
      </c>
      <c r="M151" s="380">
        <f>'Basis Options'!Q156</f>
        <v>36949</v>
      </c>
      <c r="N151" t="str">
        <f>'Basis Options'!F156</f>
        <v>C</v>
      </c>
      <c r="O151">
        <f>'Basis Options'!I156</f>
        <v>-0.27</v>
      </c>
      <c r="P151">
        <v>0</v>
      </c>
      <c r="Q151">
        <v>0</v>
      </c>
      <c r="R151">
        <v>0</v>
      </c>
      <c r="S151">
        <v>0</v>
      </c>
      <c r="T151" t="s">
        <v>253</v>
      </c>
      <c r="U151" t="str">
        <f>IF('Basis Options'!D156="NGI/CHI. GATE","""NGI/CHI. GATE""",TRIM('Basis Options'!D156))</f>
        <v>IF-NWPL_ROCKY_M</v>
      </c>
      <c r="V151" t="s">
        <v>253</v>
      </c>
      <c r="W151" t="s">
        <v>132</v>
      </c>
      <c r="X151" t="s">
        <v>253</v>
      </c>
      <c r="Y151" t="s">
        <v>235</v>
      </c>
      <c r="Z151" t="s">
        <v>236</v>
      </c>
      <c r="AA151" t="s">
        <v>253</v>
      </c>
      <c r="AB151" t="s">
        <v>1</v>
      </c>
      <c r="AC151" s="235">
        <f>'Basis Options'!H156</f>
        <v>310000</v>
      </c>
      <c r="AD151" s="235">
        <f>'Basis Options'!W156</f>
        <v>15894.718010147248</v>
      </c>
      <c r="AE151">
        <v>0</v>
      </c>
      <c r="AF151">
        <v>0</v>
      </c>
      <c r="AG151">
        <v>0</v>
      </c>
      <c r="AH151" s="235">
        <f>'Basis Options'!CD156</f>
        <v>0</v>
      </c>
      <c r="AI151">
        <v>226</v>
      </c>
      <c r="AJ151" t="s">
        <v>256</v>
      </c>
      <c r="AK151">
        <v>0</v>
      </c>
      <c r="AL151">
        <v>0</v>
      </c>
      <c r="AM151">
        <v>0</v>
      </c>
    </row>
    <row r="152" spans="1:39" x14ac:dyDescent="0.25">
      <c r="A152" t="s">
        <v>233</v>
      </c>
      <c r="B152" t="str">
        <f>'Basis Options'!C157</f>
        <v>NF6503.1</v>
      </c>
      <c r="C152" t="s">
        <v>255</v>
      </c>
      <c r="D152" t="s">
        <v>234</v>
      </c>
      <c r="E152" t="s">
        <v>20</v>
      </c>
      <c r="F152" t="str">
        <f>'Basis Options'!A157</f>
        <v>JARON</v>
      </c>
      <c r="G152" t="s">
        <v>269</v>
      </c>
      <c r="H152" t="s">
        <v>254</v>
      </c>
      <c r="I152" t="s">
        <v>242</v>
      </c>
      <c r="J152" t="s">
        <v>235</v>
      </c>
      <c r="K152" s="380">
        <f>'Basis Options'!G157</f>
        <v>36923</v>
      </c>
      <c r="L152" s="235">
        <f>'Basis Options'!U157</f>
        <v>53262.927693711288</v>
      </c>
      <c r="M152" s="380">
        <f>'Basis Options'!Q157</f>
        <v>36921</v>
      </c>
      <c r="N152" t="str">
        <f>'Basis Options'!F157</f>
        <v>C</v>
      </c>
      <c r="O152">
        <f>'Basis Options'!I157</f>
        <v>-0.27</v>
      </c>
      <c r="P152">
        <v>0</v>
      </c>
      <c r="Q152">
        <v>0</v>
      </c>
      <c r="R152">
        <v>0</v>
      </c>
      <c r="S152">
        <v>0</v>
      </c>
      <c r="T152" t="s">
        <v>253</v>
      </c>
      <c r="U152" t="str">
        <f>IF('Basis Options'!D157="NGI/CHI. GATE","""NGI/CHI. GATE""",TRIM('Basis Options'!D157))</f>
        <v>IF-NWPL_ROCKY_M</v>
      </c>
      <c r="V152" t="s">
        <v>253</v>
      </c>
      <c r="W152" t="s">
        <v>132</v>
      </c>
      <c r="X152" t="s">
        <v>253</v>
      </c>
      <c r="Y152" t="s">
        <v>235</v>
      </c>
      <c r="Z152" t="s">
        <v>236</v>
      </c>
      <c r="AA152" t="s">
        <v>253</v>
      </c>
      <c r="AB152" t="s">
        <v>1</v>
      </c>
      <c r="AC152" s="235">
        <f>'Basis Options'!H157</f>
        <v>280000</v>
      </c>
      <c r="AD152" s="235">
        <f>'Basis Options'!W157</f>
        <v>14907.879259894122</v>
      </c>
      <c r="AE152">
        <v>0</v>
      </c>
      <c r="AF152">
        <v>0</v>
      </c>
      <c r="AG152">
        <v>0</v>
      </c>
      <c r="AH152" s="235">
        <f>'Basis Options'!CD157</f>
        <v>0</v>
      </c>
      <c r="AI152">
        <v>226</v>
      </c>
      <c r="AJ152" t="s">
        <v>256</v>
      </c>
      <c r="AK152">
        <v>0</v>
      </c>
      <c r="AL152">
        <v>0</v>
      </c>
      <c r="AM152">
        <v>0</v>
      </c>
    </row>
    <row r="153" spans="1:39" x14ac:dyDescent="0.25">
      <c r="A153" t="s">
        <v>233</v>
      </c>
      <c r="B153" t="str">
        <f>'Basis Options'!C158</f>
        <v>NF6503.1</v>
      </c>
      <c r="C153" t="s">
        <v>255</v>
      </c>
      <c r="D153" t="s">
        <v>234</v>
      </c>
      <c r="E153" t="s">
        <v>20</v>
      </c>
      <c r="F153" t="str">
        <f>'Basis Options'!A158</f>
        <v>JARON</v>
      </c>
      <c r="G153" t="s">
        <v>269</v>
      </c>
      <c r="H153" t="s">
        <v>254</v>
      </c>
      <c r="I153" t="s">
        <v>242</v>
      </c>
      <c r="J153" t="s">
        <v>235</v>
      </c>
      <c r="K153" s="380">
        <f>'Basis Options'!G158</f>
        <v>36892</v>
      </c>
      <c r="L153" s="235">
        <f>'Basis Options'!U158</f>
        <v>58998.794838167079</v>
      </c>
      <c r="M153" s="380">
        <f>'Basis Options'!Q158</f>
        <v>36888</v>
      </c>
      <c r="N153" t="str">
        <f>'Basis Options'!F158</f>
        <v>C</v>
      </c>
      <c r="O153">
        <f>'Basis Options'!I158</f>
        <v>-0.27</v>
      </c>
      <c r="P153">
        <v>0</v>
      </c>
      <c r="Q153">
        <v>0</v>
      </c>
      <c r="R153">
        <v>0</v>
      </c>
      <c r="S153">
        <v>0</v>
      </c>
      <c r="T153" t="s">
        <v>253</v>
      </c>
      <c r="U153" t="str">
        <f>IF('Basis Options'!D158="NGI/CHI. GATE","""NGI/CHI. GATE""",TRIM('Basis Options'!D158))</f>
        <v>IF-NWPL_ROCKY_M</v>
      </c>
      <c r="V153" t="s">
        <v>253</v>
      </c>
      <c r="W153" t="s">
        <v>132</v>
      </c>
      <c r="X153" t="s">
        <v>253</v>
      </c>
      <c r="Y153" t="s">
        <v>235</v>
      </c>
      <c r="Z153" t="s">
        <v>236</v>
      </c>
      <c r="AA153" t="s">
        <v>253</v>
      </c>
      <c r="AB153" t="s">
        <v>1</v>
      </c>
      <c r="AC153" s="235">
        <f>'Basis Options'!H158</f>
        <v>310000</v>
      </c>
      <c r="AD153" s="235">
        <f>'Basis Options'!W158</f>
        <v>15129.66985413857</v>
      </c>
      <c r="AE153">
        <v>0</v>
      </c>
      <c r="AF153">
        <v>0</v>
      </c>
      <c r="AG153">
        <v>0</v>
      </c>
      <c r="AH153" s="235">
        <f>'Basis Options'!CD158</f>
        <v>0</v>
      </c>
      <c r="AI153">
        <v>226</v>
      </c>
      <c r="AJ153" t="s">
        <v>256</v>
      </c>
      <c r="AK153">
        <v>0</v>
      </c>
      <c r="AL153">
        <v>0</v>
      </c>
      <c r="AM153">
        <v>0</v>
      </c>
    </row>
    <row r="154" spans="1:39" x14ac:dyDescent="0.25">
      <c r="A154" t="s">
        <v>233</v>
      </c>
      <c r="B154" t="str">
        <f>'Basis Options'!C159</f>
        <v>NF6503.1</v>
      </c>
      <c r="C154" t="s">
        <v>255</v>
      </c>
      <c r="D154" t="s">
        <v>234</v>
      </c>
      <c r="E154" t="s">
        <v>20</v>
      </c>
      <c r="F154" t="str">
        <f>'Basis Options'!A159</f>
        <v>JARON</v>
      </c>
      <c r="G154" t="s">
        <v>269</v>
      </c>
      <c r="H154" t="s">
        <v>254</v>
      </c>
      <c r="I154" t="s">
        <v>242</v>
      </c>
      <c r="J154" t="s">
        <v>235</v>
      </c>
      <c r="K154" s="380">
        <f>'Basis Options'!G159</f>
        <v>36861</v>
      </c>
      <c r="L154" s="235">
        <f>'Basis Options'!U159</f>
        <v>51683.765360791855</v>
      </c>
      <c r="M154" s="380">
        <f>'Basis Options'!Q159</f>
        <v>36859</v>
      </c>
      <c r="N154" t="str">
        <f>'Basis Options'!F159</f>
        <v>C</v>
      </c>
      <c r="O154">
        <f>'Basis Options'!I159</f>
        <v>-0.27</v>
      </c>
      <c r="P154">
        <v>0</v>
      </c>
      <c r="Q154">
        <v>0</v>
      </c>
      <c r="R154">
        <v>0</v>
      </c>
      <c r="S154">
        <v>0</v>
      </c>
      <c r="T154" t="s">
        <v>253</v>
      </c>
      <c r="U154" t="str">
        <f>IF('Basis Options'!D159="NGI/CHI. GATE","""NGI/CHI. GATE""",TRIM('Basis Options'!D159))</f>
        <v>IF-NWPL_ROCKY_M</v>
      </c>
      <c r="V154" t="s">
        <v>253</v>
      </c>
      <c r="W154" t="s">
        <v>132</v>
      </c>
      <c r="X154" t="s">
        <v>253</v>
      </c>
      <c r="Y154" t="s">
        <v>235</v>
      </c>
      <c r="Z154" t="s">
        <v>236</v>
      </c>
      <c r="AA154" t="s">
        <v>253</v>
      </c>
      <c r="AB154" t="s">
        <v>1</v>
      </c>
      <c r="AC154" s="235">
        <f>'Basis Options'!H159</f>
        <v>310000</v>
      </c>
      <c r="AD154" s="235">
        <f>'Basis Options'!W159</f>
        <v>13153.911510466583</v>
      </c>
      <c r="AE154">
        <v>0</v>
      </c>
      <c r="AF154">
        <v>0</v>
      </c>
      <c r="AG154">
        <v>0</v>
      </c>
      <c r="AH154" s="235">
        <f>'Basis Options'!CD159</f>
        <v>0</v>
      </c>
      <c r="AI154">
        <v>226</v>
      </c>
      <c r="AJ154" t="s">
        <v>256</v>
      </c>
      <c r="AK154">
        <v>0</v>
      </c>
      <c r="AL154">
        <v>0</v>
      </c>
      <c r="AM154">
        <v>0</v>
      </c>
    </row>
    <row r="155" spans="1:39" x14ac:dyDescent="0.25">
      <c r="A155" t="s">
        <v>233</v>
      </c>
      <c r="B155" t="str">
        <f>'Basis Options'!C160</f>
        <v>NF6503.1</v>
      </c>
      <c r="C155" t="s">
        <v>255</v>
      </c>
      <c r="D155" t="s">
        <v>234</v>
      </c>
      <c r="E155" t="s">
        <v>20</v>
      </c>
      <c r="F155" t="str">
        <f>'Basis Options'!A160</f>
        <v>JARON</v>
      </c>
      <c r="G155" t="s">
        <v>269</v>
      </c>
      <c r="H155" t="s">
        <v>254</v>
      </c>
      <c r="I155" t="s">
        <v>242</v>
      </c>
      <c r="J155" t="s">
        <v>235</v>
      </c>
      <c r="K155" s="380">
        <f>'Basis Options'!G160</f>
        <v>36831</v>
      </c>
      <c r="L155" s="235">
        <f>'Basis Options'!U160</f>
        <v>25686.357736797494</v>
      </c>
      <c r="M155" s="380">
        <f>'Basis Options'!Q160</f>
        <v>36829</v>
      </c>
      <c r="N155" t="str">
        <f>'Basis Options'!F160</f>
        <v>C</v>
      </c>
      <c r="O155">
        <f>'Basis Options'!I160</f>
        <v>-0.27</v>
      </c>
      <c r="P155">
        <v>0</v>
      </c>
      <c r="Q155">
        <v>0</v>
      </c>
      <c r="R155">
        <v>0</v>
      </c>
      <c r="S155">
        <v>0</v>
      </c>
      <c r="T155" t="s">
        <v>253</v>
      </c>
      <c r="U155" t="str">
        <f>IF('Basis Options'!D160="NGI/CHI. GATE","""NGI/CHI. GATE""",TRIM('Basis Options'!D160))</f>
        <v>IF-NWPL_ROCKY_M</v>
      </c>
      <c r="V155" t="s">
        <v>253</v>
      </c>
      <c r="W155" t="s">
        <v>132</v>
      </c>
      <c r="X155" t="s">
        <v>253</v>
      </c>
      <c r="Y155" t="s">
        <v>235</v>
      </c>
      <c r="Z155" t="s">
        <v>236</v>
      </c>
      <c r="AA155" t="s">
        <v>253</v>
      </c>
      <c r="AB155" t="s">
        <v>1</v>
      </c>
      <c r="AC155" s="235">
        <f>'Basis Options'!H160</f>
        <v>300000</v>
      </c>
      <c r="AD155" s="235">
        <f>'Basis Options'!W160</f>
        <v>9446.4050359713001</v>
      </c>
      <c r="AE155">
        <v>0</v>
      </c>
      <c r="AF155">
        <v>0</v>
      </c>
      <c r="AG155">
        <v>0</v>
      </c>
      <c r="AH155" s="235">
        <f>'Basis Options'!CD160</f>
        <v>0</v>
      </c>
      <c r="AI155">
        <v>226</v>
      </c>
      <c r="AJ155" t="s">
        <v>256</v>
      </c>
      <c r="AK155">
        <v>0</v>
      </c>
      <c r="AL155">
        <v>0</v>
      </c>
      <c r="AM155">
        <v>0</v>
      </c>
    </row>
    <row r="156" spans="1:39" x14ac:dyDescent="0.25">
      <c r="A156" t="s">
        <v>233</v>
      </c>
      <c r="B156" t="str">
        <f>'Basis Options'!C161</f>
        <v>NF6503.1</v>
      </c>
      <c r="C156" t="s">
        <v>255</v>
      </c>
      <c r="D156" t="s">
        <v>234</v>
      </c>
      <c r="E156" t="s">
        <v>20</v>
      </c>
      <c r="F156" t="str">
        <f>'Basis Options'!A161</f>
        <v>JARON</v>
      </c>
      <c r="G156" t="s">
        <v>269</v>
      </c>
      <c r="H156" t="s">
        <v>254</v>
      </c>
      <c r="I156" t="s">
        <v>242</v>
      </c>
      <c r="J156" t="s">
        <v>235</v>
      </c>
      <c r="K156" s="380">
        <f>'Basis Options'!G161</f>
        <v>36800</v>
      </c>
      <c r="L156" s="235">
        <f>'Basis Options'!U161</f>
        <v>5045.7887034013074</v>
      </c>
      <c r="M156" s="380">
        <f>'Basis Options'!Q161</f>
        <v>36797</v>
      </c>
      <c r="N156" t="str">
        <f>'Basis Options'!F161</f>
        <v>C</v>
      </c>
      <c r="O156">
        <f>'Basis Options'!I161</f>
        <v>-0.27</v>
      </c>
      <c r="P156">
        <v>0</v>
      </c>
      <c r="Q156">
        <v>0</v>
      </c>
      <c r="R156">
        <v>0</v>
      </c>
      <c r="S156">
        <v>0</v>
      </c>
      <c r="T156" t="s">
        <v>253</v>
      </c>
      <c r="U156" t="str">
        <f>IF('Basis Options'!D161="NGI/CHI. GATE","""NGI/CHI. GATE""",TRIM('Basis Options'!D161))</f>
        <v>IF-NWPL_ROCKY_M</v>
      </c>
      <c r="V156" t="s">
        <v>253</v>
      </c>
      <c r="W156" t="s">
        <v>132</v>
      </c>
      <c r="X156" t="s">
        <v>253</v>
      </c>
      <c r="Y156" t="s">
        <v>235</v>
      </c>
      <c r="Z156" t="s">
        <v>236</v>
      </c>
      <c r="AA156" t="s">
        <v>253</v>
      </c>
      <c r="AB156" t="s">
        <v>1</v>
      </c>
      <c r="AC156" s="235">
        <f>'Basis Options'!H161</f>
        <v>310000</v>
      </c>
      <c r="AD156" s="235">
        <f>'Basis Options'!W161</f>
        <v>4527.5106251089819</v>
      </c>
      <c r="AE156">
        <v>0</v>
      </c>
      <c r="AF156">
        <v>0</v>
      </c>
      <c r="AG156">
        <v>0</v>
      </c>
      <c r="AH156" s="235">
        <f>'Basis Options'!CD161</f>
        <v>0</v>
      </c>
      <c r="AI156">
        <v>226</v>
      </c>
      <c r="AJ156" t="s">
        <v>256</v>
      </c>
      <c r="AK156">
        <v>0</v>
      </c>
      <c r="AL156">
        <v>0</v>
      </c>
      <c r="AM156">
        <v>0</v>
      </c>
    </row>
    <row r="157" spans="1:39" x14ac:dyDescent="0.25">
      <c r="A157" t="s">
        <v>233</v>
      </c>
      <c r="B157" t="str">
        <f>'Basis Options'!C162</f>
        <v>NF6503.1</v>
      </c>
      <c r="C157" t="s">
        <v>255</v>
      </c>
      <c r="D157" t="s">
        <v>234</v>
      </c>
      <c r="E157" t="s">
        <v>20</v>
      </c>
      <c r="F157" t="str">
        <f>'Basis Options'!A162</f>
        <v>JARON</v>
      </c>
      <c r="G157" t="s">
        <v>269</v>
      </c>
      <c r="H157" t="s">
        <v>254</v>
      </c>
      <c r="I157" t="s">
        <v>242</v>
      </c>
      <c r="J157" t="s">
        <v>235</v>
      </c>
      <c r="K157" s="380">
        <f>'Basis Options'!G162</f>
        <v>36770</v>
      </c>
      <c r="L157" s="235">
        <f>'Basis Options'!U162</f>
        <v>3.8148121728198703E-2</v>
      </c>
      <c r="M157" s="380">
        <f>'Basis Options'!Q162</f>
        <v>36768</v>
      </c>
      <c r="N157" t="str">
        <f>'Basis Options'!F162</f>
        <v>C</v>
      </c>
      <c r="O157">
        <f>'Basis Options'!I162</f>
        <v>-0.27</v>
      </c>
      <c r="P157">
        <v>0</v>
      </c>
      <c r="Q157">
        <v>0</v>
      </c>
      <c r="R157">
        <v>0</v>
      </c>
      <c r="S157">
        <v>0</v>
      </c>
      <c r="T157" t="s">
        <v>253</v>
      </c>
      <c r="U157" t="str">
        <f>IF('Basis Options'!D162="NGI/CHI. GATE","""NGI/CHI. GATE""",TRIM('Basis Options'!D162))</f>
        <v>IF-NWPL_ROCKY_M</v>
      </c>
      <c r="V157" t="s">
        <v>253</v>
      </c>
      <c r="W157" t="s">
        <v>132</v>
      </c>
      <c r="X157" t="s">
        <v>253</v>
      </c>
      <c r="Y157" t="s">
        <v>235</v>
      </c>
      <c r="Z157" t="s">
        <v>236</v>
      </c>
      <c r="AA157" t="s">
        <v>253</v>
      </c>
      <c r="AB157" t="s">
        <v>1</v>
      </c>
      <c r="AC157" s="235">
        <f>'Basis Options'!H162</f>
        <v>300000</v>
      </c>
      <c r="AD157" s="235">
        <f>'Basis Options'!W162</f>
        <v>-1.1578383551924532E-2</v>
      </c>
      <c r="AE157">
        <v>0</v>
      </c>
      <c r="AF157">
        <v>0</v>
      </c>
      <c r="AG157">
        <v>0</v>
      </c>
      <c r="AH157" s="235">
        <f>'Basis Options'!CD162</f>
        <v>0</v>
      </c>
      <c r="AI157">
        <v>226</v>
      </c>
      <c r="AJ157" t="s">
        <v>256</v>
      </c>
      <c r="AK157">
        <v>0</v>
      </c>
      <c r="AL157">
        <v>0</v>
      </c>
      <c r="AM157">
        <v>0</v>
      </c>
    </row>
    <row r="158" spans="1:39" x14ac:dyDescent="0.25">
      <c r="A158" t="s">
        <v>233</v>
      </c>
      <c r="B158" t="str">
        <f>'Basis Options'!C163</f>
        <v>NG1241.1</v>
      </c>
      <c r="C158" t="s">
        <v>255</v>
      </c>
      <c r="D158" t="s">
        <v>234</v>
      </c>
      <c r="E158" t="s">
        <v>20</v>
      </c>
      <c r="F158" t="str">
        <f>'Basis Options'!A163</f>
        <v>ELPASMER</v>
      </c>
      <c r="G158" t="s">
        <v>269</v>
      </c>
      <c r="H158" t="s">
        <v>254</v>
      </c>
      <c r="I158" t="s">
        <v>242</v>
      </c>
      <c r="J158" t="s">
        <v>235</v>
      </c>
      <c r="K158" s="380">
        <f>'Basis Options'!G163</f>
        <v>36951</v>
      </c>
      <c r="L158" s="235">
        <f>'Basis Options'!U163</f>
        <v>-475352.72679038491</v>
      </c>
      <c r="M158" s="380">
        <f>'Basis Options'!Q163</f>
        <v>36949</v>
      </c>
      <c r="N158" t="str">
        <f>'Basis Options'!F163</f>
        <v>C</v>
      </c>
      <c r="O158">
        <f>'Basis Options'!I163</f>
        <v>1.1499999999999999</v>
      </c>
      <c r="P158">
        <v>0</v>
      </c>
      <c r="Q158">
        <v>0</v>
      </c>
      <c r="R158">
        <v>0</v>
      </c>
      <c r="S158">
        <v>0</v>
      </c>
      <c r="T158" t="s">
        <v>253</v>
      </c>
      <c r="U158" t="str">
        <f>IF('Basis Options'!D163="NGI/CHI. GATE","""NGI/CHI. GATE""",TRIM('Basis Options'!D163))</f>
        <v>IF-TRANSCO/Z6</v>
      </c>
      <c r="V158" t="s">
        <v>253</v>
      </c>
      <c r="W158" t="s">
        <v>132</v>
      </c>
      <c r="X158" t="s">
        <v>253</v>
      </c>
      <c r="Y158" t="s">
        <v>235</v>
      </c>
      <c r="Z158" t="s">
        <v>236</v>
      </c>
      <c r="AA158" t="s">
        <v>253</v>
      </c>
      <c r="AB158" t="s">
        <v>1</v>
      </c>
      <c r="AC158" s="235">
        <f>'Basis Options'!H163</f>
        <v>-1000000</v>
      </c>
      <c r="AD158" s="235">
        <f>'Basis Options'!W163</f>
        <v>-88008.830654484162</v>
      </c>
      <c r="AE158">
        <v>0</v>
      </c>
      <c r="AF158">
        <v>0</v>
      </c>
      <c r="AG158">
        <v>0</v>
      </c>
      <c r="AH158" s="235">
        <f>'Basis Options'!CD163</f>
        <v>0</v>
      </c>
      <c r="AI158">
        <v>226</v>
      </c>
      <c r="AJ158" t="s">
        <v>256</v>
      </c>
      <c r="AK158">
        <v>0</v>
      </c>
      <c r="AL158">
        <v>0</v>
      </c>
      <c r="AM158">
        <v>0</v>
      </c>
    </row>
    <row r="159" spans="1:39" x14ac:dyDescent="0.25">
      <c r="A159" t="s">
        <v>233</v>
      </c>
      <c r="B159" t="str">
        <f>'Basis Options'!C164</f>
        <v>NG1241.1</v>
      </c>
      <c r="C159" t="s">
        <v>255</v>
      </c>
      <c r="D159" t="s">
        <v>234</v>
      </c>
      <c r="E159" t="s">
        <v>20</v>
      </c>
      <c r="F159" t="str">
        <f>'Basis Options'!A164</f>
        <v>ELPASMER</v>
      </c>
      <c r="G159" t="s">
        <v>269</v>
      </c>
      <c r="H159" t="s">
        <v>254</v>
      </c>
      <c r="I159" t="s">
        <v>242</v>
      </c>
      <c r="J159" t="s">
        <v>235</v>
      </c>
      <c r="K159" s="380">
        <f>'Basis Options'!G164</f>
        <v>36923</v>
      </c>
      <c r="L159" s="235">
        <f>'Basis Options'!U164</f>
        <v>-1163760.3397326721</v>
      </c>
      <c r="M159" s="380">
        <f>'Basis Options'!Q164</f>
        <v>36921</v>
      </c>
      <c r="N159" t="str">
        <f>'Basis Options'!F164</f>
        <v>C</v>
      </c>
      <c r="O159">
        <f>'Basis Options'!I164</f>
        <v>1.1499999999999999</v>
      </c>
      <c r="P159">
        <v>0</v>
      </c>
      <c r="Q159">
        <v>0</v>
      </c>
      <c r="R159">
        <v>0</v>
      </c>
      <c r="S159">
        <v>0</v>
      </c>
      <c r="T159" t="s">
        <v>253</v>
      </c>
      <c r="U159" t="str">
        <f>IF('Basis Options'!D164="NGI/CHI. GATE","""NGI/CHI. GATE""",TRIM('Basis Options'!D164))</f>
        <v>IF-TRANSCO/Z6</v>
      </c>
      <c r="V159" t="s">
        <v>253</v>
      </c>
      <c r="W159" t="s">
        <v>132</v>
      </c>
      <c r="X159" t="s">
        <v>253</v>
      </c>
      <c r="Y159" t="s">
        <v>235</v>
      </c>
      <c r="Z159" t="s">
        <v>236</v>
      </c>
      <c r="AA159" t="s">
        <v>253</v>
      </c>
      <c r="AB159" t="s">
        <v>1</v>
      </c>
      <c r="AC159" s="235">
        <f>'Basis Options'!H164</f>
        <v>-1000000</v>
      </c>
      <c r="AD159" s="235">
        <f>'Basis Options'!W164</f>
        <v>-74872.012494421448</v>
      </c>
      <c r="AE159">
        <v>0</v>
      </c>
      <c r="AF159">
        <v>0</v>
      </c>
      <c r="AG159">
        <v>0</v>
      </c>
      <c r="AH159" s="235">
        <f>'Basis Options'!CD164</f>
        <v>0</v>
      </c>
      <c r="AI159">
        <v>226</v>
      </c>
      <c r="AJ159" t="s">
        <v>256</v>
      </c>
      <c r="AK159">
        <v>0</v>
      </c>
      <c r="AL159">
        <v>0</v>
      </c>
      <c r="AM159">
        <v>0</v>
      </c>
    </row>
    <row r="160" spans="1:39" x14ac:dyDescent="0.25">
      <c r="A160" t="s">
        <v>233</v>
      </c>
      <c r="B160" t="str">
        <f>'Basis Options'!C165</f>
        <v>NG1241.1</v>
      </c>
      <c r="C160" t="s">
        <v>255</v>
      </c>
      <c r="D160" t="s">
        <v>234</v>
      </c>
      <c r="E160" t="s">
        <v>20</v>
      </c>
      <c r="F160" t="str">
        <f>'Basis Options'!A165</f>
        <v>ELPASMER</v>
      </c>
      <c r="G160" t="s">
        <v>269</v>
      </c>
      <c r="H160" t="s">
        <v>254</v>
      </c>
      <c r="I160" t="s">
        <v>242</v>
      </c>
      <c r="J160" t="s">
        <v>235</v>
      </c>
      <c r="K160" s="380">
        <f>'Basis Options'!G165</f>
        <v>36892</v>
      </c>
      <c r="L160" s="235">
        <f>'Basis Options'!U165</f>
        <v>-1203818.9306132381</v>
      </c>
      <c r="M160" s="380">
        <f>'Basis Options'!Q165</f>
        <v>36888</v>
      </c>
      <c r="N160" t="str">
        <f>'Basis Options'!F165</f>
        <v>C</v>
      </c>
      <c r="O160">
        <f>'Basis Options'!I165</f>
        <v>1.1499999999999999</v>
      </c>
      <c r="P160">
        <v>0</v>
      </c>
      <c r="Q160">
        <v>0</v>
      </c>
      <c r="R160">
        <v>0</v>
      </c>
      <c r="S160">
        <v>0</v>
      </c>
      <c r="T160" t="s">
        <v>253</v>
      </c>
      <c r="U160" t="str">
        <f>IF('Basis Options'!D165="NGI/CHI. GATE","""NGI/CHI. GATE""",TRIM('Basis Options'!D165))</f>
        <v>IF-TRANSCO/Z6</v>
      </c>
      <c r="V160" t="s">
        <v>253</v>
      </c>
      <c r="W160" t="s">
        <v>132</v>
      </c>
      <c r="X160" t="s">
        <v>253</v>
      </c>
      <c r="Y160" t="s">
        <v>235</v>
      </c>
      <c r="Z160" t="s">
        <v>236</v>
      </c>
      <c r="AA160" t="s">
        <v>253</v>
      </c>
      <c r="AB160" t="s">
        <v>1</v>
      </c>
      <c r="AC160" s="235">
        <f>'Basis Options'!H165</f>
        <v>-1000000</v>
      </c>
      <c r="AD160" s="235">
        <f>'Basis Options'!W165</f>
        <v>-64810.953011475387</v>
      </c>
      <c r="AE160">
        <v>0</v>
      </c>
      <c r="AF160">
        <v>0</v>
      </c>
      <c r="AG160">
        <v>0</v>
      </c>
      <c r="AH160" s="235">
        <f>'Basis Options'!CD165</f>
        <v>0</v>
      </c>
      <c r="AI160">
        <v>226</v>
      </c>
      <c r="AJ160" t="s">
        <v>256</v>
      </c>
      <c r="AK160">
        <v>0</v>
      </c>
      <c r="AL160">
        <v>0</v>
      </c>
      <c r="AM160">
        <v>0</v>
      </c>
    </row>
    <row r="161" spans="1:39" x14ac:dyDescent="0.25">
      <c r="A161" t="s">
        <v>233</v>
      </c>
      <c r="B161" t="str">
        <f>'Basis Options'!C166</f>
        <v>NG1241.1</v>
      </c>
      <c r="C161" t="s">
        <v>255</v>
      </c>
      <c r="D161" t="s">
        <v>234</v>
      </c>
      <c r="E161" t="s">
        <v>20</v>
      </c>
      <c r="F161" t="str">
        <f>'Basis Options'!A166</f>
        <v>ELPASMER</v>
      </c>
      <c r="G161" t="s">
        <v>269</v>
      </c>
      <c r="H161" t="s">
        <v>254</v>
      </c>
      <c r="I161" t="s">
        <v>242</v>
      </c>
      <c r="J161" t="s">
        <v>235</v>
      </c>
      <c r="K161" s="380">
        <f>'Basis Options'!G166</f>
        <v>36861</v>
      </c>
      <c r="L161" s="235">
        <f>'Basis Options'!U166</f>
        <v>-763363.41489400878</v>
      </c>
      <c r="M161" s="380">
        <f>'Basis Options'!Q166</f>
        <v>36859</v>
      </c>
      <c r="N161" t="str">
        <f>'Basis Options'!F166</f>
        <v>C</v>
      </c>
      <c r="O161">
        <f>'Basis Options'!I166</f>
        <v>1.1499999999999999</v>
      </c>
      <c r="P161">
        <v>0</v>
      </c>
      <c r="Q161">
        <v>0</v>
      </c>
      <c r="R161">
        <v>0</v>
      </c>
      <c r="S161">
        <v>0</v>
      </c>
      <c r="T161" t="s">
        <v>253</v>
      </c>
      <c r="U161" t="str">
        <f>IF('Basis Options'!D166="NGI/CHI. GATE","""NGI/CHI. GATE""",TRIM('Basis Options'!D166))</f>
        <v>IF-TRANSCO/Z6</v>
      </c>
      <c r="V161" t="s">
        <v>253</v>
      </c>
      <c r="W161" t="s">
        <v>132</v>
      </c>
      <c r="X161" t="s">
        <v>253</v>
      </c>
      <c r="Y161" t="s">
        <v>235</v>
      </c>
      <c r="Z161" t="s">
        <v>236</v>
      </c>
      <c r="AA161" t="s">
        <v>253</v>
      </c>
      <c r="AB161" t="s">
        <v>1</v>
      </c>
      <c r="AC161" s="235">
        <f>'Basis Options'!H166</f>
        <v>-1000000</v>
      </c>
      <c r="AD161" s="235">
        <f>'Basis Options'!W166</f>
        <v>-66526.054023598903</v>
      </c>
      <c r="AE161">
        <v>0</v>
      </c>
      <c r="AF161">
        <v>0</v>
      </c>
      <c r="AG161">
        <v>0</v>
      </c>
      <c r="AH161" s="235">
        <f>'Basis Options'!CD166</f>
        <v>0</v>
      </c>
      <c r="AI161">
        <v>226</v>
      </c>
      <c r="AJ161" t="s">
        <v>256</v>
      </c>
      <c r="AK161">
        <v>0</v>
      </c>
      <c r="AL161">
        <v>0</v>
      </c>
      <c r="AM161">
        <v>0</v>
      </c>
    </row>
    <row r="162" spans="1:39" x14ac:dyDescent="0.25">
      <c r="A162" t="s">
        <v>233</v>
      </c>
      <c r="B162" t="str">
        <f>'Basis Options'!C167</f>
        <v>NG1241.1</v>
      </c>
      <c r="C162" t="s">
        <v>255</v>
      </c>
      <c r="D162" t="s">
        <v>234</v>
      </c>
      <c r="E162" t="s">
        <v>20</v>
      </c>
      <c r="F162" t="str">
        <f>'Basis Options'!A167</f>
        <v>ELPASMER</v>
      </c>
      <c r="G162" t="s">
        <v>269</v>
      </c>
      <c r="H162" t="s">
        <v>254</v>
      </c>
      <c r="I162" t="s">
        <v>242</v>
      </c>
      <c r="J162" t="s">
        <v>235</v>
      </c>
      <c r="K162" s="380">
        <f>'Basis Options'!G167</f>
        <v>36831</v>
      </c>
      <c r="L162" s="235">
        <f>'Basis Options'!U167</f>
        <v>-125264.4448904148</v>
      </c>
      <c r="M162" s="380">
        <f>'Basis Options'!Q167</f>
        <v>36829</v>
      </c>
      <c r="N162" t="str">
        <f>'Basis Options'!F167</f>
        <v>C</v>
      </c>
      <c r="O162">
        <f>'Basis Options'!I167</f>
        <v>1.1499999999999999</v>
      </c>
      <c r="P162">
        <v>0</v>
      </c>
      <c r="Q162">
        <v>0</v>
      </c>
      <c r="R162">
        <v>0</v>
      </c>
      <c r="S162">
        <v>0</v>
      </c>
      <c r="T162" t="s">
        <v>253</v>
      </c>
      <c r="U162" t="str">
        <f>IF('Basis Options'!D167="NGI/CHI. GATE","""NGI/CHI. GATE""",TRIM('Basis Options'!D167))</f>
        <v>IF-TRANSCO/Z6</v>
      </c>
      <c r="V162" t="s">
        <v>253</v>
      </c>
      <c r="W162" t="s">
        <v>132</v>
      </c>
      <c r="X162" t="s">
        <v>253</v>
      </c>
      <c r="Y162" t="s">
        <v>235</v>
      </c>
      <c r="Z162" t="s">
        <v>236</v>
      </c>
      <c r="AA162" t="s">
        <v>253</v>
      </c>
      <c r="AB162" t="s">
        <v>1</v>
      </c>
      <c r="AC162" s="235">
        <f>'Basis Options'!H167</f>
        <v>-1000000</v>
      </c>
      <c r="AD162" s="235">
        <f>'Basis Options'!W167</f>
        <v>-37355.342446581344</v>
      </c>
      <c r="AE162">
        <v>0</v>
      </c>
      <c r="AF162">
        <v>0</v>
      </c>
      <c r="AG162">
        <v>0</v>
      </c>
      <c r="AH162" s="235">
        <f>'Basis Options'!CD167</f>
        <v>0</v>
      </c>
      <c r="AI162">
        <v>226</v>
      </c>
      <c r="AJ162" t="s">
        <v>256</v>
      </c>
      <c r="AK162">
        <v>0</v>
      </c>
      <c r="AL162">
        <v>0</v>
      </c>
      <c r="AM162">
        <v>0</v>
      </c>
    </row>
    <row r="163" spans="1:39" x14ac:dyDescent="0.25">
      <c r="A163" t="s">
        <v>233</v>
      </c>
      <c r="B163" t="str">
        <f>'Basis Options'!C168</f>
        <v>NG4285.1</v>
      </c>
      <c r="C163" t="s">
        <v>255</v>
      </c>
      <c r="D163" t="s">
        <v>234</v>
      </c>
      <c r="E163" t="s">
        <v>20</v>
      </c>
      <c r="F163" t="str">
        <f>'Basis Options'!A168</f>
        <v>WILLIAMSENEMAR</v>
      </c>
      <c r="G163" t="s">
        <v>269</v>
      </c>
      <c r="H163" t="s">
        <v>254</v>
      </c>
      <c r="I163" t="s">
        <v>242</v>
      </c>
      <c r="J163" t="s">
        <v>235</v>
      </c>
      <c r="K163" s="380">
        <f>'Basis Options'!G168</f>
        <v>36800</v>
      </c>
      <c r="L163" s="235">
        <f>'Basis Options'!U168</f>
        <v>-104918.25683788183</v>
      </c>
      <c r="M163" s="380">
        <f>'Basis Options'!Q168</f>
        <v>36797</v>
      </c>
      <c r="N163" t="str">
        <f>'Basis Options'!F168</f>
        <v>C</v>
      </c>
      <c r="O163">
        <f>'Basis Options'!I168</f>
        <v>0.32</v>
      </c>
      <c r="P163">
        <v>0</v>
      </c>
      <c r="Q163">
        <v>0</v>
      </c>
      <c r="R163">
        <v>0</v>
      </c>
      <c r="S163">
        <v>0</v>
      </c>
      <c r="T163" t="s">
        <v>253</v>
      </c>
      <c r="U163" t="str">
        <f>IF('Basis Options'!D168="NGI/CHI. GATE","""NGI/CHI. GATE""",TRIM('Basis Options'!D168))</f>
        <v>IF-TRANSCO/Z6</v>
      </c>
      <c r="V163" t="s">
        <v>253</v>
      </c>
      <c r="W163" t="s">
        <v>132</v>
      </c>
      <c r="X163" t="s">
        <v>253</v>
      </c>
      <c r="Y163" t="s">
        <v>235</v>
      </c>
      <c r="Z163" t="s">
        <v>236</v>
      </c>
      <c r="AA163" t="s">
        <v>253</v>
      </c>
      <c r="AB163" t="s">
        <v>1</v>
      </c>
      <c r="AC163" s="235">
        <f>'Basis Options'!H168</f>
        <v>-1000000</v>
      </c>
      <c r="AD163" s="235">
        <f>'Basis Options'!W168</f>
        <v>-4553.5077199313091</v>
      </c>
      <c r="AE163">
        <v>0</v>
      </c>
      <c r="AF163">
        <v>0</v>
      </c>
      <c r="AG163">
        <v>0</v>
      </c>
      <c r="AH163" s="235">
        <f>'Basis Options'!CD168</f>
        <v>0</v>
      </c>
      <c r="AI163">
        <v>226</v>
      </c>
      <c r="AJ163" t="s">
        <v>256</v>
      </c>
      <c r="AK163">
        <v>0</v>
      </c>
      <c r="AL163">
        <v>0</v>
      </c>
      <c r="AM163">
        <v>0</v>
      </c>
    </row>
    <row r="164" spans="1:39" x14ac:dyDescent="0.25">
      <c r="A164" t="s">
        <v>233</v>
      </c>
      <c r="B164" t="str">
        <f>'Basis Options'!C169</f>
        <v>NG4285.1</v>
      </c>
      <c r="C164" t="s">
        <v>255</v>
      </c>
      <c r="D164" t="s">
        <v>234</v>
      </c>
      <c r="E164" t="s">
        <v>20</v>
      </c>
      <c r="F164" t="str">
        <f>'Basis Options'!A169</f>
        <v>WILLIAMSENEMAR</v>
      </c>
      <c r="G164" t="s">
        <v>269</v>
      </c>
      <c r="H164" t="s">
        <v>254</v>
      </c>
      <c r="I164" t="s">
        <v>242</v>
      </c>
      <c r="J164" t="s">
        <v>235</v>
      </c>
      <c r="K164" s="380">
        <f>'Basis Options'!G169</f>
        <v>36770</v>
      </c>
      <c r="L164" s="235">
        <f>'Basis Options'!U169</f>
        <v>-3106.5839194979335</v>
      </c>
      <c r="M164" s="380">
        <f>'Basis Options'!Q169</f>
        <v>36768</v>
      </c>
      <c r="N164" t="str">
        <f>'Basis Options'!F169</f>
        <v>C</v>
      </c>
      <c r="O164">
        <f>'Basis Options'!I169</f>
        <v>0.32</v>
      </c>
      <c r="P164">
        <v>0</v>
      </c>
      <c r="Q164">
        <v>0</v>
      </c>
      <c r="R164">
        <v>0</v>
      </c>
      <c r="S164">
        <v>0</v>
      </c>
      <c r="T164" t="s">
        <v>253</v>
      </c>
      <c r="U164" t="str">
        <f>IF('Basis Options'!D169="NGI/CHI. GATE","""NGI/CHI. GATE""",TRIM('Basis Options'!D169))</f>
        <v>IF-TRANSCO/Z6</v>
      </c>
      <c r="V164" t="s">
        <v>253</v>
      </c>
      <c r="W164" t="s">
        <v>132</v>
      </c>
      <c r="X164" t="s">
        <v>253</v>
      </c>
      <c r="Y164" t="s">
        <v>235</v>
      </c>
      <c r="Z164" t="s">
        <v>236</v>
      </c>
      <c r="AA164" t="s">
        <v>253</v>
      </c>
      <c r="AB164" t="s">
        <v>1</v>
      </c>
      <c r="AC164" s="235">
        <f>'Basis Options'!H169</f>
        <v>-1000000</v>
      </c>
      <c r="AD164" s="235">
        <f>'Basis Options'!W169</f>
        <v>-828.11988947266946</v>
      </c>
      <c r="AE164">
        <v>0</v>
      </c>
      <c r="AF164">
        <v>0</v>
      </c>
      <c r="AG164">
        <v>0</v>
      </c>
      <c r="AH164" s="235">
        <f>'Basis Options'!CD169</f>
        <v>0</v>
      </c>
      <c r="AI164">
        <v>226</v>
      </c>
      <c r="AJ164" t="s">
        <v>256</v>
      </c>
      <c r="AK164">
        <v>0</v>
      </c>
      <c r="AL164">
        <v>0</v>
      </c>
      <c r="AM164">
        <v>0</v>
      </c>
    </row>
    <row r="165" spans="1:39" x14ac:dyDescent="0.25">
      <c r="A165" t="s">
        <v>233</v>
      </c>
      <c r="B165" t="str">
        <f>'Basis Options'!C170</f>
        <v>NG4285.2</v>
      </c>
      <c r="C165" t="s">
        <v>255</v>
      </c>
      <c r="D165" t="s">
        <v>234</v>
      </c>
      <c r="E165" t="s">
        <v>20</v>
      </c>
      <c r="F165" t="str">
        <f>'Basis Options'!A170</f>
        <v>WILLIAMSENEMAR</v>
      </c>
      <c r="G165" t="s">
        <v>269</v>
      </c>
      <c r="H165" t="s">
        <v>254</v>
      </c>
      <c r="I165" t="s">
        <v>242</v>
      </c>
      <c r="J165" t="s">
        <v>235</v>
      </c>
      <c r="K165" s="380">
        <f>'Basis Options'!G170</f>
        <v>36800</v>
      </c>
      <c r="L165" s="235">
        <f>'Basis Options'!U170</f>
        <v>-10447.767425466769</v>
      </c>
      <c r="M165" s="380">
        <f>'Basis Options'!Q170</f>
        <v>36797</v>
      </c>
      <c r="N165" t="str">
        <f>'Basis Options'!F170</f>
        <v>P</v>
      </c>
      <c r="O165">
        <f>'Basis Options'!I170</f>
        <v>0.32</v>
      </c>
      <c r="P165">
        <v>0</v>
      </c>
      <c r="Q165">
        <v>0</v>
      </c>
      <c r="R165">
        <v>0</v>
      </c>
      <c r="S165">
        <v>0</v>
      </c>
      <c r="T165" t="s">
        <v>253</v>
      </c>
      <c r="U165" t="str">
        <f>IF('Basis Options'!D170="NGI/CHI. GATE","""NGI/CHI. GATE""",TRIM('Basis Options'!D170))</f>
        <v>IF-TRANSCO/Z6</v>
      </c>
      <c r="V165" t="s">
        <v>253</v>
      </c>
      <c r="W165" t="s">
        <v>132</v>
      </c>
      <c r="X165" t="s">
        <v>253</v>
      </c>
      <c r="Y165" t="s">
        <v>235</v>
      </c>
      <c r="Z165" t="s">
        <v>236</v>
      </c>
      <c r="AA165" t="s">
        <v>253</v>
      </c>
      <c r="AB165" t="s">
        <v>1</v>
      </c>
      <c r="AC165" s="235">
        <f>'Basis Options'!H170</f>
        <v>-1000000</v>
      </c>
      <c r="AD165" s="235">
        <f>'Basis Options'!W170</f>
        <v>-4553.5077199313382</v>
      </c>
      <c r="AE165">
        <v>0</v>
      </c>
      <c r="AF165">
        <v>0</v>
      </c>
      <c r="AG165">
        <v>0</v>
      </c>
      <c r="AH165" s="235">
        <f>'Basis Options'!CD170</f>
        <v>0</v>
      </c>
      <c r="AI165">
        <v>226</v>
      </c>
      <c r="AJ165" t="s">
        <v>256</v>
      </c>
      <c r="AK165">
        <v>0</v>
      </c>
      <c r="AL165">
        <v>0</v>
      </c>
      <c r="AM165">
        <v>0</v>
      </c>
    </row>
    <row r="166" spans="1:39" x14ac:dyDescent="0.25">
      <c r="A166" t="s">
        <v>233</v>
      </c>
      <c r="B166" t="str">
        <f>'Basis Options'!C171</f>
        <v>NG4285.2</v>
      </c>
      <c r="C166" t="s">
        <v>255</v>
      </c>
      <c r="D166" t="s">
        <v>234</v>
      </c>
      <c r="E166" t="s">
        <v>20</v>
      </c>
      <c r="F166" t="str">
        <f>'Basis Options'!A171</f>
        <v>WILLIAMSENEMAR</v>
      </c>
      <c r="G166" t="s">
        <v>269</v>
      </c>
      <c r="H166" t="s">
        <v>254</v>
      </c>
      <c r="I166" t="s">
        <v>242</v>
      </c>
      <c r="J166" t="s">
        <v>235</v>
      </c>
      <c r="K166" s="380">
        <f>'Basis Options'!G171</f>
        <v>36770</v>
      </c>
      <c r="L166" s="235">
        <f>'Basis Options'!U171</f>
        <v>-8105.6638645802259</v>
      </c>
      <c r="M166" s="380">
        <f>'Basis Options'!Q171</f>
        <v>36768</v>
      </c>
      <c r="N166" t="str">
        <f>'Basis Options'!F171</f>
        <v>P</v>
      </c>
      <c r="O166">
        <f>'Basis Options'!I171</f>
        <v>0.32</v>
      </c>
      <c r="P166">
        <v>0</v>
      </c>
      <c r="Q166">
        <v>0</v>
      </c>
      <c r="R166">
        <v>0</v>
      </c>
      <c r="S166">
        <v>0</v>
      </c>
      <c r="T166" t="s">
        <v>253</v>
      </c>
      <c r="U166" t="str">
        <f>IF('Basis Options'!D171="NGI/CHI. GATE","""NGI/CHI. GATE""",TRIM('Basis Options'!D171))</f>
        <v>IF-TRANSCO/Z6</v>
      </c>
      <c r="V166" t="s">
        <v>253</v>
      </c>
      <c r="W166" t="s">
        <v>132</v>
      </c>
      <c r="X166" t="s">
        <v>253</v>
      </c>
      <c r="Y166" t="s">
        <v>235</v>
      </c>
      <c r="Z166" t="s">
        <v>236</v>
      </c>
      <c r="AA166" t="s">
        <v>253</v>
      </c>
      <c r="AB166" t="s">
        <v>1</v>
      </c>
      <c r="AC166" s="235">
        <f>'Basis Options'!H171</f>
        <v>-1000000</v>
      </c>
      <c r="AD166" s="235">
        <f>'Basis Options'!W171</f>
        <v>-828.11988947272766</v>
      </c>
      <c r="AE166">
        <v>0</v>
      </c>
      <c r="AF166">
        <v>0</v>
      </c>
      <c r="AG166">
        <v>0</v>
      </c>
      <c r="AH166" s="235">
        <f>'Basis Options'!CD171</f>
        <v>0</v>
      </c>
      <c r="AI166">
        <v>226</v>
      </c>
      <c r="AJ166" t="s">
        <v>256</v>
      </c>
      <c r="AK166">
        <v>0</v>
      </c>
      <c r="AL166">
        <v>0</v>
      </c>
      <c r="AM166">
        <v>0</v>
      </c>
    </row>
    <row r="167" spans="1:39" x14ac:dyDescent="0.25">
      <c r="A167" t="s">
        <v>233</v>
      </c>
      <c r="B167" t="str">
        <f>'Basis Options'!C172</f>
        <v>NG4457.1</v>
      </c>
      <c r="C167" t="s">
        <v>255</v>
      </c>
      <c r="D167" t="s">
        <v>234</v>
      </c>
      <c r="E167" t="s">
        <v>20</v>
      </c>
      <c r="F167" t="str">
        <f>'Basis Options'!A172</f>
        <v>AVISTAENE</v>
      </c>
      <c r="G167" t="s">
        <v>269</v>
      </c>
      <c r="H167" t="s">
        <v>254</v>
      </c>
      <c r="I167" t="s">
        <v>242</v>
      </c>
      <c r="J167" t="s">
        <v>235</v>
      </c>
      <c r="K167" s="380">
        <f>'Basis Options'!G172</f>
        <v>36800</v>
      </c>
      <c r="L167" s="235">
        <f>'Basis Options'!U172</f>
        <v>217755.0560349164</v>
      </c>
      <c r="M167" s="380">
        <f>'Basis Options'!Q172</f>
        <v>36797</v>
      </c>
      <c r="N167" t="str">
        <f>'Basis Options'!F172</f>
        <v>P</v>
      </c>
      <c r="O167">
        <f>'Basis Options'!I172</f>
        <v>-0.4</v>
      </c>
      <c r="P167">
        <v>0</v>
      </c>
      <c r="Q167">
        <v>0</v>
      </c>
      <c r="R167">
        <v>0</v>
      </c>
      <c r="S167">
        <v>0</v>
      </c>
      <c r="T167" t="s">
        <v>253</v>
      </c>
      <c r="U167" t="str">
        <f>IF('Basis Options'!D172="NGI/CHI. GATE","""NGI/CHI. GATE""",TRIM('Basis Options'!D172))</f>
        <v>IF-NWPL_ROCKY_M</v>
      </c>
      <c r="V167" t="s">
        <v>253</v>
      </c>
      <c r="W167" t="s">
        <v>132</v>
      </c>
      <c r="X167" t="s">
        <v>253</v>
      </c>
      <c r="Y167" t="s">
        <v>235</v>
      </c>
      <c r="Z167" t="s">
        <v>236</v>
      </c>
      <c r="AA167" t="s">
        <v>253</v>
      </c>
      <c r="AB167" t="s">
        <v>1</v>
      </c>
      <c r="AC167" s="235">
        <f>'Basis Options'!H172</f>
        <v>500000</v>
      </c>
      <c r="AD167" s="235">
        <f>'Basis Options'!W172</f>
        <v>10793.511698843329</v>
      </c>
      <c r="AE167">
        <v>0</v>
      </c>
      <c r="AF167">
        <v>0</v>
      </c>
      <c r="AG167">
        <v>0</v>
      </c>
      <c r="AH167" s="235">
        <f>'Basis Options'!CD172</f>
        <v>0</v>
      </c>
      <c r="AI167">
        <v>226</v>
      </c>
      <c r="AJ167" t="s">
        <v>256</v>
      </c>
      <c r="AK167">
        <v>0</v>
      </c>
      <c r="AL167">
        <v>0</v>
      </c>
      <c r="AM167">
        <v>0</v>
      </c>
    </row>
    <row r="168" spans="1:39" x14ac:dyDescent="0.25">
      <c r="A168" t="s">
        <v>233</v>
      </c>
      <c r="B168" t="str">
        <f>'Basis Options'!C173</f>
        <v>NG4457.1</v>
      </c>
      <c r="C168" t="s">
        <v>255</v>
      </c>
      <c r="D168" t="s">
        <v>234</v>
      </c>
      <c r="E168" t="s">
        <v>20</v>
      </c>
      <c r="F168" t="str">
        <f>'Basis Options'!A173</f>
        <v>AVISTAENE</v>
      </c>
      <c r="G168" t="s">
        <v>269</v>
      </c>
      <c r="H168" t="s">
        <v>254</v>
      </c>
      <c r="I168" t="s">
        <v>242</v>
      </c>
      <c r="J168" t="s">
        <v>235</v>
      </c>
      <c r="K168" s="380">
        <f>'Basis Options'!G173</f>
        <v>36770</v>
      </c>
      <c r="L168" s="235">
        <f>'Basis Options'!U173</f>
        <v>419922.77044563857</v>
      </c>
      <c r="M168" s="380">
        <f>'Basis Options'!Q173</f>
        <v>36768</v>
      </c>
      <c r="N168" t="str">
        <f>'Basis Options'!F173</f>
        <v>P</v>
      </c>
      <c r="O168">
        <f>'Basis Options'!I173</f>
        <v>-0.4</v>
      </c>
      <c r="P168">
        <v>0</v>
      </c>
      <c r="Q168">
        <v>0</v>
      </c>
      <c r="R168">
        <v>0</v>
      </c>
      <c r="S168">
        <v>0</v>
      </c>
      <c r="T168" t="s">
        <v>253</v>
      </c>
      <c r="U168" t="str">
        <f>IF('Basis Options'!D173="NGI/CHI. GATE","""NGI/CHI. GATE""",TRIM('Basis Options'!D173))</f>
        <v>IF-NWPL_ROCKY_M</v>
      </c>
      <c r="V168" t="s">
        <v>253</v>
      </c>
      <c r="W168" t="s">
        <v>132</v>
      </c>
      <c r="X168" t="s">
        <v>253</v>
      </c>
      <c r="Y168" t="s">
        <v>235</v>
      </c>
      <c r="Z168" t="s">
        <v>236</v>
      </c>
      <c r="AA168" t="s">
        <v>253</v>
      </c>
      <c r="AB168" t="s">
        <v>1</v>
      </c>
      <c r="AC168" s="235">
        <f>'Basis Options'!H173</f>
        <v>500000</v>
      </c>
      <c r="AD168" s="235">
        <f>'Basis Options'!W173</f>
        <v>-1.9297305552754551E-2</v>
      </c>
      <c r="AE168">
        <v>0</v>
      </c>
      <c r="AF168">
        <v>0</v>
      </c>
      <c r="AG168">
        <v>0</v>
      </c>
      <c r="AH168" s="235">
        <f>'Basis Options'!CD173</f>
        <v>0</v>
      </c>
      <c r="AI168">
        <v>226</v>
      </c>
      <c r="AJ168" t="s">
        <v>256</v>
      </c>
      <c r="AK168">
        <v>0</v>
      </c>
      <c r="AL168">
        <v>0</v>
      </c>
      <c r="AM168">
        <v>0</v>
      </c>
    </row>
    <row r="169" spans="1:39" x14ac:dyDescent="0.25">
      <c r="A169" t="s">
        <v>233</v>
      </c>
      <c r="B169" t="str">
        <f>'Basis Options'!C174</f>
        <v>NG8049.1</v>
      </c>
      <c r="C169" t="s">
        <v>255</v>
      </c>
      <c r="D169" t="s">
        <v>234</v>
      </c>
      <c r="E169" t="s">
        <v>20</v>
      </c>
      <c r="F169" t="str">
        <f>'Basis Options'!A174</f>
        <v>WILLIAMSENEMAR</v>
      </c>
      <c r="G169" t="s">
        <v>269</v>
      </c>
      <c r="H169" t="s">
        <v>254</v>
      </c>
      <c r="I169" t="s">
        <v>242</v>
      </c>
      <c r="J169" t="s">
        <v>235</v>
      </c>
      <c r="K169" s="380">
        <f>'Basis Options'!G174</f>
        <v>36800</v>
      </c>
      <c r="L169" s="235">
        <f>'Basis Options'!U174</f>
        <v>-939743.39076084748</v>
      </c>
      <c r="M169" s="380">
        <f>'Basis Options'!Q174</f>
        <v>36797</v>
      </c>
      <c r="N169" t="str">
        <f>'Basis Options'!F174</f>
        <v>C</v>
      </c>
      <c r="O169">
        <f>'Basis Options'!I174</f>
        <v>0.1</v>
      </c>
      <c r="P169">
        <v>0</v>
      </c>
      <c r="Q169">
        <v>0</v>
      </c>
      <c r="R169">
        <v>0</v>
      </c>
      <c r="S169">
        <v>0</v>
      </c>
      <c r="T169" t="s">
        <v>253</v>
      </c>
      <c r="U169" t="str">
        <f>IF('Basis Options'!D174="NGI/CHI. GATE","""NGI/CHI. GATE""",TRIM('Basis Options'!D174))</f>
        <v>NGI-SOCAL</v>
      </c>
      <c r="V169" t="s">
        <v>253</v>
      </c>
      <c r="W169" t="s">
        <v>132</v>
      </c>
      <c r="X169" t="s">
        <v>253</v>
      </c>
      <c r="Y169" t="s">
        <v>235</v>
      </c>
      <c r="Z169" t="s">
        <v>236</v>
      </c>
      <c r="AA169" t="s">
        <v>253</v>
      </c>
      <c r="AB169" t="s">
        <v>1</v>
      </c>
      <c r="AC169" s="235">
        <f>'Basis Options'!H174</f>
        <v>-500000</v>
      </c>
      <c r="AD169" s="235">
        <f>'Basis Options'!W174</f>
        <v>-29.46610266942298</v>
      </c>
      <c r="AE169">
        <v>0</v>
      </c>
      <c r="AF169">
        <v>0</v>
      </c>
      <c r="AG169">
        <v>0</v>
      </c>
      <c r="AH169" s="235">
        <f>'Basis Options'!CD174</f>
        <v>0</v>
      </c>
      <c r="AI169">
        <v>226</v>
      </c>
      <c r="AJ169" t="s">
        <v>256</v>
      </c>
      <c r="AK169">
        <v>0</v>
      </c>
      <c r="AL169">
        <v>0</v>
      </c>
      <c r="AM169">
        <v>0</v>
      </c>
    </row>
    <row r="170" spans="1:39" x14ac:dyDescent="0.25">
      <c r="A170" t="s">
        <v>233</v>
      </c>
      <c r="B170" t="str">
        <f>'Basis Options'!C175</f>
        <v>NG8049.1</v>
      </c>
      <c r="C170" t="s">
        <v>255</v>
      </c>
      <c r="D170" t="s">
        <v>234</v>
      </c>
      <c r="E170" t="s">
        <v>20</v>
      </c>
      <c r="F170" t="str">
        <f>'Basis Options'!A175</f>
        <v>WILLIAMSENEMAR</v>
      </c>
      <c r="G170" t="s">
        <v>269</v>
      </c>
      <c r="H170" t="s">
        <v>254</v>
      </c>
      <c r="I170" t="s">
        <v>242</v>
      </c>
      <c r="J170" t="s">
        <v>235</v>
      </c>
      <c r="K170" s="380">
        <f>'Basis Options'!G175</f>
        <v>36770</v>
      </c>
      <c r="L170" s="235">
        <f>'Basis Options'!U175</f>
        <v>-1199779.3441456454</v>
      </c>
      <c r="M170" s="380">
        <f>'Basis Options'!Q175</f>
        <v>36768</v>
      </c>
      <c r="N170" t="str">
        <f>'Basis Options'!F175</f>
        <v>C</v>
      </c>
      <c r="O170">
        <f>'Basis Options'!I175</f>
        <v>0.1</v>
      </c>
      <c r="P170">
        <v>0</v>
      </c>
      <c r="Q170">
        <v>0</v>
      </c>
      <c r="R170">
        <v>0</v>
      </c>
      <c r="S170">
        <v>0</v>
      </c>
      <c r="T170" t="s">
        <v>253</v>
      </c>
      <c r="U170" t="str">
        <f>IF('Basis Options'!D175="NGI/CHI. GATE","""NGI/CHI. GATE""",TRIM('Basis Options'!D175))</f>
        <v>NGI-SOCAL</v>
      </c>
      <c r="V170" t="s">
        <v>253</v>
      </c>
      <c r="W170" t="s">
        <v>132</v>
      </c>
      <c r="X170" t="s">
        <v>253</v>
      </c>
      <c r="Y170" t="s">
        <v>235</v>
      </c>
      <c r="Z170" t="s">
        <v>236</v>
      </c>
      <c r="AA170" t="s">
        <v>253</v>
      </c>
      <c r="AB170" t="s">
        <v>1</v>
      </c>
      <c r="AC170" s="235">
        <f>'Basis Options'!H175</f>
        <v>-500000</v>
      </c>
      <c r="AD170" s="235">
        <f>'Basis Options'!W175</f>
        <v>1.996274566045031E-2</v>
      </c>
      <c r="AE170">
        <v>0</v>
      </c>
      <c r="AF170">
        <v>0</v>
      </c>
      <c r="AG170">
        <v>0</v>
      </c>
      <c r="AH170" s="235">
        <f>'Basis Options'!CD175</f>
        <v>0</v>
      </c>
      <c r="AI170">
        <v>226</v>
      </c>
      <c r="AJ170" t="s">
        <v>256</v>
      </c>
      <c r="AK170">
        <v>0</v>
      </c>
      <c r="AL170">
        <v>0</v>
      </c>
      <c r="AM170">
        <v>0</v>
      </c>
    </row>
    <row r="171" spans="1:39" x14ac:dyDescent="0.25">
      <c r="A171" t="s">
        <v>233</v>
      </c>
      <c r="B171" t="str">
        <f>'Basis Options'!C176</f>
        <v>NG8063.1</v>
      </c>
      <c r="C171" t="s">
        <v>255</v>
      </c>
      <c r="D171" t="s">
        <v>234</v>
      </c>
      <c r="E171" t="s">
        <v>20</v>
      </c>
      <c r="F171" t="str">
        <f>'Basis Options'!A176</f>
        <v>AEPENESER</v>
      </c>
      <c r="G171" t="s">
        <v>269</v>
      </c>
      <c r="H171" t="s">
        <v>254</v>
      </c>
      <c r="I171" t="s">
        <v>242</v>
      </c>
      <c r="J171" t="s">
        <v>235</v>
      </c>
      <c r="K171" s="380">
        <f>'Basis Options'!G176</f>
        <v>36951</v>
      </c>
      <c r="L171" s="235">
        <f>'Basis Options'!U176</f>
        <v>147359.34530501932</v>
      </c>
      <c r="M171" s="380">
        <f>'Basis Options'!Q176</f>
        <v>36949</v>
      </c>
      <c r="N171" t="str">
        <f>'Basis Options'!F176</f>
        <v>C</v>
      </c>
      <c r="O171">
        <f>'Basis Options'!I176</f>
        <v>1.1499999999999999</v>
      </c>
      <c r="P171">
        <v>0</v>
      </c>
      <c r="Q171">
        <v>0</v>
      </c>
      <c r="R171">
        <v>0</v>
      </c>
      <c r="S171">
        <v>0</v>
      </c>
      <c r="T171" t="s">
        <v>253</v>
      </c>
      <c r="U171" t="str">
        <f>IF('Basis Options'!D176="NGI/CHI. GATE","""NGI/CHI. GATE""",TRIM('Basis Options'!D176))</f>
        <v>IF-TRANSCO/Z6</v>
      </c>
      <c r="V171" t="s">
        <v>253</v>
      </c>
      <c r="W171" t="s">
        <v>132</v>
      </c>
      <c r="X171" t="s">
        <v>253</v>
      </c>
      <c r="Y171" t="s">
        <v>235</v>
      </c>
      <c r="Z171" t="s">
        <v>236</v>
      </c>
      <c r="AA171" t="s">
        <v>253</v>
      </c>
      <c r="AB171" t="s">
        <v>1</v>
      </c>
      <c r="AC171" s="235">
        <f>'Basis Options'!H176</f>
        <v>310000</v>
      </c>
      <c r="AD171" s="235">
        <f>'Basis Options'!W176</f>
        <v>27282.737502890086</v>
      </c>
      <c r="AE171">
        <v>0</v>
      </c>
      <c r="AF171">
        <v>0</v>
      </c>
      <c r="AG171">
        <v>0</v>
      </c>
      <c r="AH171" s="235">
        <f>'Basis Options'!CD176</f>
        <v>0</v>
      </c>
      <c r="AI171">
        <v>226</v>
      </c>
      <c r="AJ171" t="s">
        <v>256</v>
      </c>
      <c r="AK171">
        <v>0</v>
      </c>
      <c r="AL171">
        <v>0</v>
      </c>
      <c r="AM171">
        <v>0</v>
      </c>
    </row>
    <row r="172" spans="1:39" x14ac:dyDescent="0.25">
      <c r="A172" t="s">
        <v>233</v>
      </c>
      <c r="B172" t="str">
        <f>'Basis Options'!C177</f>
        <v>NG8063.1</v>
      </c>
      <c r="C172" t="s">
        <v>255</v>
      </c>
      <c r="D172" t="s">
        <v>234</v>
      </c>
      <c r="E172" t="s">
        <v>20</v>
      </c>
      <c r="F172" t="str">
        <f>'Basis Options'!A177</f>
        <v>AEPENESER</v>
      </c>
      <c r="G172" t="s">
        <v>269</v>
      </c>
      <c r="H172" t="s">
        <v>254</v>
      </c>
      <c r="I172" t="s">
        <v>242</v>
      </c>
      <c r="J172" t="s">
        <v>235</v>
      </c>
      <c r="K172" s="380">
        <f>'Basis Options'!G177</f>
        <v>36923</v>
      </c>
      <c r="L172" s="235">
        <f>'Basis Options'!U177</f>
        <v>325852.89512514818</v>
      </c>
      <c r="M172" s="380">
        <f>'Basis Options'!Q177</f>
        <v>36921</v>
      </c>
      <c r="N172" t="str">
        <f>'Basis Options'!F177</f>
        <v>C</v>
      </c>
      <c r="O172">
        <f>'Basis Options'!I177</f>
        <v>1.1499999999999999</v>
      </c>
      <c r="P172">
        <v>0</v>
      </c>
      <c r="Q172">
        <v>0</v>
      </c>
      <c r="R172">
        <v>0</v>
      </c>
      <c r="S172">
        <v>0</v>
      </c>
      <c r="T172" t="s">
        <v>253</v>
      </c>
      <c r="U172" t="str">
        <f>IF('Basis Options'!D177="NGI/CHI. GATE","""NGI/CHI. GATE""",TRIM('Basis Options'!D177))</f>
        <v>IF-TRANSCO/Z6</v>
      </c>
      <c r="V172" t="s">
        <v>253</v>
      </c>
      <c r="W172" t="s">
        <v>132</v>
      </c>
      <c r="X172" t="s">
        <v>253</v>
      </c>
      <c r="Y172" t="s">
        <v>235</v>
      </c>
      <c r="Z172" t="s">
        <v>236</v>
      </c>
      <c r="AA172" t="s">
        <v>253</v>
      </c>
      <c r="AB172" t="s">
        <v>1</v>
      </c>
      <c r="AC172" s="235">
        <f>'Basis Options'!H177</f>
        <v>280000</v>
      </c>
      <c r="AD172" s="235">
        <f>'Basis Options'!W177</f>
        <v>20964.163498437993</v>
      </c>
      <c r="AE172">
        <v>0</v>
      </c>
      <c r="AF172">
        <v>0</v>
      </c>
      <c r="AG172">
        <v>0</v>
      </c>
      <c r="AH172" s="235">
        <f>'Basis Options'!CD177</f>
        <v>0</v>
      </c>
      <c r="AI172">
        <v>226</v>
      </c>
      <c r="AJ172" t="s">
        <v>256</v>
      </c>
      <c r="AK172">
        <v>0</v>
      </c>
      <c r="AL172">
        <v>0</v>
      </c>
      <c r="AM172">
        <v>0</v>
      </c>
    </row>
    <row r="173" spans="1:39" x14ac:dyDescent="0.25">
      <c r="A173" t="s">
        <v>233</v>
      </c>
      <c r="B173" t="str">
        <f>'Basis Options'!C178</f>
        <v>NG8063.1</v>
      </c>
      <c r="C173" t="s">
        <v>255</v>
      </c>
      <c r="D173" t="s">
        <v>234</v>
      </c>
      <c r="E173" t="s">
        <v>20</v>
      </c>
      <c r="F173" t="str">
        <f>'Basis Options'!A178</f>
        <v>AEPENESER</v>
      </c>
      <c r="G173" t="s">
        <v>269</v>
      </c>
      <c r="H173" t="s">
        <v>254</v>
      </c>
      <c r="I173" t="s">
        <v>242</v>
      </c>
      <c r="J173" t="s">
        <v>235</v>
      </c>
      <c r="K173" s="380">
        <f>'Basis Options'!G178</f>
        <v>36892</v>
      </c>
      <c r="L173" s="235">
        <f>'Basis Options'!U178</f>
        <v>373183.86849010381</v>
      </c>
      <c r="M173" s="380">
        <f>'Basis Options'!Q178</f>
        <v>36888</v>
      </c>
      <c r="N173" t="str">
        <f>'Basis Options'!F178</f>
        <v>C</v>
      </c>
      <c r="O173">
        <f>'Basis Options'!I178</f>
        <v>1.1499999999999999</v>
      </c>
      <c r="P173">
        <v>0</v>
      </c>
      <c r="Q173">
        <v>0</v>
      </c>
      <c r="R173">
        <v>0</v>
      </c>
      <c r="S173">
        <v>0</v>
      </c>
      <c r="T173" t="s">
        <v>253</v>
      </c>
      <c r="U173" t="str">
        <f>IF('Basis Options'!D178="NGI/CHI. GATE","""NGI/CHI. GATE""",TRIM('Basis Options'!D178))</f>
        <v>IF-TRANSCO/Z6</v>
      </c>
      <c r="V173" t="s">
        <v>253</v>
      </c>
      <c r="W173" t="s">
        <v>132</v>
      </c>
      <c r="X173" t="s">
        <v>253</v>
      </c>
      <c r="Y173" t="s">
        <v>235</v>
      </c>
      <c r="Z173" t="s">
        <v>236</v>
      </c>
      <c r="AA173" t="s">
        <v>253</v>
      </c>
      <c r="AB173" t="s">
        <v>1</v>
      </c>
      <c r="AC173" s="235">
        <f>'Basis Options'!H178</f>
        <v>310000</v>
      </c>
      <c r="AD173" s="235">
        <f>'Basis Options'!W178</f>
        <v>20091.395433557394</v>
      </c>
      <c r="AE173">
        <v>0</v>
      </c>
      <c r="AF173">
        <v>0</v>
      </c>
      <c r="AG173">
        <v>0</v>
      </c>
      <c r="AH173" s="235">
        <f>'Basis Options'!CD178</f>
        <v>0</v>
      </c>
      <c r="AI173">
        <v>226</v>
      </c>
      <c r="AJ173" t="s">
        <v>256</v>
      </c>
      <c r="AK173">
        <v>0</v>
      </c>
      <c r="AL173">
        <v>0</v>
      </c>
      <c r="AM173">
        <v>0</v>
      </c>
    </row>
    <row r="174" spans="1:39" x14ac:dyDescent="0.25">
      <c r="A174" t="s">
        <v>233</v>
      </c>
      <c r="B174" t="str">
        <f>'Basis Options'!C179</f>
        <v>NG8063.1</v>
      </c>
      <c r="C174" t="s">
        <v>255</v>
      </c>
      <c r="D174" t="s">
        <v>234</v>
      </c>
      <c r="E174" t="s">
        <v>20</v>
      </c>
      <c r="F174" t="str">
        <f>'Basis Options'!A179</f>
        <v>AEPENESER</v>
      </c>
      <c r="G174" t="s">
        <v>269</v>
      </c>
      <c r="H174" t="s">
        <v>254</v>
      </c>
      <c r="I174" t="s">
        <v>242</v>
      </c>
      <c r="J174" t="s">
        <v>235</v>
      </c>
      <c r="K174" s="380">
        <f>'Basis Options'!G179</f>
        <v>36861</v>
      </c>
      <c r="L174" s="235">
        <f>'Basis Options'!U179</f>
        <v>236642.6586171427</v>
      </c>
      <c r="M174" s="380">
        <f>'Basis Options'!Q179</f>
        <v>36859</v>
      </c>
      <c r="N174" t="str">
        <f>'Basis Options'!F179</f>
        <v>C</v>
      </c>
      <c r="O174">
        <f>'Basis Options'!I179</f>
        <v>1.1499999999999999</v>
      </c>
      <c r="P174">
        <v>0</v>
      </c>
      <c r="Q174">
        <v>0</v>
      </c>
      <c r="R174">
        <v>0</v>
      </c>
      <c r="S174">
        <v>0</v>
      </c>
      <c r="T174" t="s">
        <v>253</v>
      </c>
      <c r="U174" t="str">
        <f>IF('Basis Options'!D179="NGI/CHI. GATE","""NGI/CHI. GATE""",TRIM('Basis Options'!D179))</f>
        <v>IF-TRANSCO/Z6</v>
      </c>
      <c r="V174" t="s">
        <v>253</v>
      </c>
      <c r="W174" t="s">
        <v>132</v>
      </c>
      <c r="X174" t="s">
        <v>253</v>
      </c>
      <c r="Y174" t="s">
        <v>235</v>
      </c>
      <c r="Z174" t="s">
        <v>236</v>
      </c>
      <c r="AA174" t="s">
        <v>253</v>
      </c>
      <c r="AB174" t="s">
        <v>1</v>
      </c>
      <c r="AC174" s="235">
        <f>'Basis Options'!H179</f>
        <v>310000</v>
      </c>
      <c r="AD174" s="235">
        <f>'Basis Options'!W179</f>
        <v>20623.076747315674</v>
      </c>
      <c r="AE174">
        <v>0</v>
      </c>
      <c r="AF174">
        <v>0</v>
      </c>
      <c r="AG174">
        <v>0</v>
      </c>
      <c r="AH174" s="235">
        <f>'Basis Options'!CD179</f>
        <v>0</v>
      </c>
      <c r="AI174">
        <v>226</v>
      </c>
      <c r="AJ174" t="s">
        <v>256</v>
      </c>
      <c r="AK174">
        <v>0</v>
      </c>
      <c r="AL174">
        <v>0</v>
      </c>
      <c r="AM174">
        <v>0</v>
      </c>
    </row>
    <row r="175" spans="1:39" x14ac:dyDescent="0.25">
      <c r="A175" t="s">
        <v>233</v>
      </c>
      <c r="B175" t="str">
        <f>'Basis Options'!C180</f>
        <v>NG8063.1</v>
      </c>
      <c r="C175" t="s">
        <v>255</v>
      </c>
      <c r="D175" t="s">
        <v>234</v>
      </c>
      <c r="E175" t="s">
        <v>20</v>
      </c>
      <c r="F175" t="str">
        <f>'Basis Options'!A180</f>
        <v>AEPENESER</v>
      </c>
      <c r="G175" t="s">
        <v>269</v>
      </c>
      <c r="H175" t="s">
        <v>254</v>
      </c>
      <c r="I175" t="s">
        <v>242</v>
      </c>
      <c r="J175" t="s">
        <v>235</v>
      </c>
      <c r="K175" s="380">
        <f>'Basis Options'!G180</f>
        <v>36831</v>
      </c>
      <c r="L175" s="235">
        <f>'Basis Options'!U180</f>
        <v>37579.333467124437</v>
      </c>
      <c r="M175" s="380">
        <f>'Basis Options'!Q180</f>
        <v>36829</v>
      </c>
      <c r="N175" t="str">
        <f>'Basis Options'!F180</f>
        <v>C</v>
      </c>
      <c r="O175">
        <f>'Basis Options'!I180</f>
        <v>1.1499999999999999</v>
      </c>
      <c r="P175">
        <v>0</v>
      </c>
      <c r="Q175">
        <v>0</v>
      </c>
      <c r="R175">
        <v>0</v>
      </c>
      <c r="S175">
        <v>0</v>
      </c>
      <c r="T175" t="s">
        <v>253</v>
      </c>
      <c r="U175" t="str">
        <f>IF('Basis Options'!D180="NGI/CHI. GATE","""NGI/CHI. GATE""",TRIM('Basis Options'!D180))</f>
        <v>IF-TRANSCO/Z6</v>
      </c>
      <c r="V175" t="s">
        <v>253</v>
      </c>
      <c r="W175" t="s">
        <v>132</v>
      </c>
      <c r="X175" t="s">
        <v>253</v>
      </c>
      <c r="Y175" t="s">
        <v>235</v>
      </c>
      <c r="Z175" t="s">
        <v>236</v>
      </c>
      <c r="AA175" t="s">
        <v>253</v>
      </c>
      <c r="AB175" t="s">
        <v>1</v>
      </c>
      <c r="AC175" s="235">
        <f>'Basis Options'!H180</f>
        <v>300000</v>
      </c>
      <c r="AD175" s="235">
        <f>'Basis Options'!W180</f>
        <v>11206.602733974403</v>
      </c>
      <c r="AE175">
        <v>0</v>
      </c>
      <c r="AF175">
        <v>0</v>
      </c>
      <c r="AG175">
        <v>0</v>
      </c>
      <c r="AH175" s="235">
        <f>'Basis Options'!CD180</f>
        <v>0</v>
      </c>
      <c r="AI175">
        <v>226</v>
      </c>
      <c r="AJ175" t="s">
        <v>256</v>
      </c>
      <c r="AK175">
        <v>0</v>
      </c>
      <c r="AL175">
        <v>0</v>
      </c>
      <c r="AM175">
        <v>0</v>
      </c>
    </row>
    <row r="176" spans="1:39" x14ac:dyDescent="0.25">
      <c r="A176" t="s">
        <v>233</v>
      </c>
      <c r="B176" t="str">
        <f>'Basis Options'!C181</f>
        <v>NH2932</v>
      </c>
      <c r="C176" t="s">
        <v>255</v>
      </c>
      <c r="D176" t="s">
        <v>234</v>
      </c>
      <c r="E176" t="s">
        <v>20</v>
      </c>
      <c r="F176" t="str">
        <f>'Basis Options'!A181</f>
        <v>TXUENETRA</v>
      </c>
      <c r="G176" t="s">
        <v>269</v>
      </c>
      <c r="H176" t="s">
        <v>254</v>
      </c>
      <c r="I176" t="s">
        <v>242</v>
      </c>
      <c r="J176" t="s">
        <v>235</v>
      </c>
      <c r="K176" s="380">
        <f>'Basis Options'!G181</f>
        <v>36800</v>
      </c>
      <c r="L176" s="235">
        <f>'Basis Options'!U181</f>
        <v>28338.987466025308</v>
      </c>
      <c r="M176" s="380">
        <f>'Basis Options'!Q181</f>
        <v>36797</v>
      </c>
      <c r="N176" t="str">
        <f>'Basis Options'!F181</f>
        <v>C</v>
      </c>
      <c r="O176">
        <f>'Basis Options'!I181</f>
        <v>0.33750000000000002</v>
      </c>
      <c r="P176">
        <v>0</v>
      </c>
      <c r="Q176">
        <v>0</v>
      </c>
      <c r="R176">
        <v>0</v>
      </c>
      <c r="S176">
        <v>0</v>
      </c>
      <c r="T176" t="s">
        <v>253</v>
      </c>
      <c r="U176" t="str">
        <f>IF('Basis Options'!D181="NGI/CHI. GATE","""NGI/CHI. GATE""",TRIM('Basis Options'!D181))</f>
        <v>IF-TRANSCO/Z6</v>
      </c>
      <c r="V176" t="s">
        <v>253</v>
      </c>
      <c r="W176" t="s">
        <v>132</v>
      </c>
      <c r="X176" t="s">
        <v>253</v>
      </c>
      <c r="Y176" t="s">
        <v>235</v>
      </c>
      <c r="Z176" t="s">
        <v>236</v>
      </c>
      <c r="AA176" t="s">
        <v>253</v>
      </c>
      <c r="AB176" t="s">
        <v>1</v>
      </c>
      <c r="AC176" s="235">
        <f>'Basis Options'!H181</f>
        <v>310000</v>
      </c>
      <c r="AD176" s="235">
        <f>'Basis Options'!W181</f>
        <v>1605.270277728705</v>
      </c>
      <c r="AE176">
        <v>0</v>
      </c>
      <c r="AF176">
        <v>0</v>
      </c>
      <c r="AG176">
        <v>0</v>
      </c>
      <c r="AH176" s="235">
        <f>'Basis Options'!CD181</f>
        <v>0</v>
      </c>
      <c r="AI176">
        <v>226</v>
      </c>
      <c r="AJ176" t="s">
        <v>256</v>
      </c>
      <c r="AK176">
        <v>0</v>
      </c>
      <c r="AL176">
        <v>0</v>
      </c>
      <c r="AM176">
        <v>0</v>
      </c>
    </row>
    <row r="177" spans="1:39" x14ac:dyDescent="0.25">
      <c r="A177" t="s">
        <v>233</v>
      </c>
      <c r="B177" t="str">
        <f>'Basis Options'!C182</f>
        <v>NH2932</v>
      </c>
      <c r="C177" t="s">
        <v>255</v>
      </c>
      <c r="D177" t="s">
        <v>234</v>
      </c>
      <c r="E177" t="s">
        <v>20</v>
      </c>
      <c r="F177" t="str">
        <f>'Basis Options'!A182</f>
        <v>TXUENETRA</v>
      </c>
      <c r="G177" t="s">
        <v>269</v>
      </c>
      <c r="H177" t="s">
        <v>254</v>
      </c>
      <c r="I177" t="s">
        <v>242</v>
      </c>
      <c r="J177" t="s">
        <v>235</v>
      </c>
      <c r="K177" s="380">
        <f>'Basis Options'!G182</f>
        <v>36770</v>
      </c>
      <c r="L177" s="235">
        <f>'Basis Options'!U182</f>
        <v>72.472854846295206</v>
      </c>
      <c r="M177" s="380">
        <f>'Basis Options'!Q182</f>
        <v>36768</v>
      </c>
      <c r="N177" t="str">
        <f>'Basis Options'!F182</f>
        <v>C</v>
      </c>
      <c r="O177">
        <f>'Basis Options'!I182</f>
        <v>0.33750000000000002</v>
      </c>
      <c r="P177">
        <v>0</v>
      </c>
      <c r="Q177">
        <v>0</v>
      </c>
      <c r="R177">
        <v>0</v>
      </c>
      <c r="S177">
        <v>0</v>
      </c>
      <c r="T177" t="s">
        <v>253</v>
      </c>
      <c r="U177" t="str">
        <f>IF('Basis Options'!D182="NGI/CHI. GATE","""NGI/CHI. GATE""",TRIM('Basis Options'!D182))</f>
        <v>IF-TRANSCO/Z6</v>
      </c>
      <c r="V177" t="s">
        <v>253</v>
      </c>
      <c r="W177" t="s">
        <v>132</v>
      </c>
      <c r="X177" t="s">
        <v>253</v>
      </c>
      <c r="Y177" t="s">
        <v>235</v>
      </c>
      <c r="Z177" t="s">
        <v>236</v>
      </c>
      <c r="AA177" t="s">
        <v>253</v>
      </c>
      <c r="AB177" t="s">
        <v>1</v>
      </c>
      <c r="AC177" s="235">
        <f>'Basis Options'!H182</f>
        <v>300000</v>
      </c>
      <c r="AD177" s="235">
        <f>'Basis Options'!W182</f>
        <v>62.231513654860464</v>
      </c>
      <c r="AE177">
        <v>0</v>
      </c>
      <c r="AF177">
        <v>0</v>
      </c>
      <c r="AG177">
        <v>0</v>
      </c>
      <c r="AH177" s="235">
        <f>'Basis Options'!CD182</f>
        <v>0</v>
      </c>
      <c r="AI177">
        <v>226</v>
      </c>
      <c r="AJ177" t="s">
        <v>256</v>
      </c>
      <c r="AK177">
        <v>0</v>
      </c>
      <c r="AL177">
        <v>0</v>
      </c>
      <c r="AM177">
        <v>0</v>
      </c>
    </row>
    <row r="178" spans="1:39" x14ac:dyDescent="0.25">
      <c r="A178" t="s">
        <v>233</v>
      </c>
      <c r="B178" t="str">
        <f>'Basis Options'!C183</f>
        <v>NH4419</v>
      </c>
      <c r="C178" t="s">
        <v>255</v>
      </c>
      <c r="D178" t="s">
        <v>234</v>
      </c>
      <c r="E178" t="s">
        <v>20</v>
      </c>
      <c r="F178" t="str">
        <f>'Basis Options'!A183</f>
        <v>WILLIAMSENEMAR</v>
      </c>
      <c r="G178" t="s">
        <v>269</v>
      </c>
      <c r="H178" t="s">
        <v>254</v>
      </c>
      <c r="I178" t="s">
        <v>242</v>
      </c>
      <c r="J178" t="s">
        <v>235</v>
      </c>
      <c r="K178" s="380">
        <f>'Basis Options'!G183</f>
        <v>36800</v>
      </c>
      <c r="L178" s="235">
        <f>'Basis Options'!U183</f>
        <v>-939743.39076084748</v>
      </c>
      <c r="M178" s="380">
        <f>'Basis Options'!Q183</f>
        <v>36797</v>
      </c>
      <c r="N178" t="str">
        <f>'Basis Options'!F183</f>
        <v>C</v>
      </c>
      <c r="O178">
        <f>'Basis Options'!I183</f>
        <v>0.1</v>
      </c>
      <c r="P178">
        <v>0</v>
      </c>
      <c r="Q178">
        <v>0</v>
      </c>
      <c r="R178">
        <v>0</v>
      </c>
      <c r="S178">
        <v>0</v>
      </c>
      <c r="T178" t="s">
        <v>253</v>
      </c>
      <c r="U178" t="str">
        <f>IF('Basis Options'!D183="NGI/CHI. GATE","""NGI/CHI. GATE""",TRIM('Basis Options'!D183))</f>
        <v>NGI-SOCAL</v>
      </c>
      <c r="V178" t="s">
        <v>253</v>
      </c>
      <c r="W178" t="s">
        <v>132</v>
      </c>
      <c r="X178" t="s">
        <v>253</v>
      </c>
      <c r="Y178" t="s">
        <v>235</v>
      </c>
      <c r="Z178" t="s">
        <v>236</v>
      </c>
      <c r="AA178" t="s">
        <v>253</v>
      </c>
      <c r="AB178" t="s">
        <v>1</v>
      </c>
      <c r="AC178" s="235">
        <f>'Basis Options'!H183</f>
        <v>-500000</v>
      </c>
      <c r="AD178" s="235">
        <f>'Basis Options'!W183</f>
        <v>-29.46610266942298</v>
      </c>
      <c r="AE178">
        <v>0</v>
      </c>
      <c r="AF178">
        <v>0</v>
      </c>
      <c r="AG178">
        <v>0</v>
      </c>
      <c r="AH178" s="235">
        <f>'Basis Options'!CD183</f>
        <v>0</v>
      </c>
      <c r="AI178">
        <v>226</v>
      </c>
      <c r="AJ178" t="s">
        <v>256</v>
      </c>
      <c r="AK178">
        <v>0</v>
      </c>
      <c r="AL178">
        <v>0</v>
      </c>
      <c r="AM178">
        <v>0</v>
      </c>
    </row>
    <row r="179" spans="1:39" x14ac:dyDescent="0.25">
      <c r="A179" t="s">
        <v>233</v>
      </c>
      <c r="B179" t="str">
        <f>'Basis Options'!C184</f>
        <v>NH4419</v>
      </c>
      <c r="C179" t="s">
        <v>255</v>
      </c>
      <c r="D179" t="s">
        <v>234</v>
      </c>
      <c r="E179" t="s">
        <v>20</v>
      </c>
      <c r="F179" t="str">
        <f>'Basis Options'!A184</f>
        <v>WILLIAMSENEMAR</v>
      </c>
      <c r="G179" t="s">
        <v>269</v>
      </c>
      <c r="H179" t="s">
        <v>254</v>
      </c>
      <c r="I179" t="s">
        <v>242</v>
      </c>
      <c r="J179" t="s">
        <v>235</v>
      </c>
      <c r="K179" s="380">
        <f>'Basis Options'!G184</f>
        <v>36770</v>
      </c>
      <c r="L179" s="235">
        <f>'Basis Options'!U184</f>
        <v>-1199779.3441456454</v>
      </c>
      <c r="M179" s="380">
        <f>'Basis Options'!Q184</f>
        <v>36768</v>
      </c>
      <c r="N179" t="str">
        <f>'Basis Options'!F184</f>
        <v>C</v>
      </c>
      <c r="O179">
        <f>'Basis Options'!I184</f>
        <v>0.1</v>
      </c>
      <c r="P179">
        <v>0</v>
      </c>
      <c r="Q179">
        <v>0</v>
      </c>
      <c r="R179">
        <v>0</v>
      </c>
      <c r="S179">
        <v>0</v>
      </c>
      <c r="T179" t="s">
        <v>253</v>
      </c>
      <c r="U179" t="str">
        <f>IF('Basis Options'!D184="NGI/CHI. GATE","""NGI/CHI. GATE""",TRIM('Basis Options'!D184))</f>
        <v>NGI-SOCAL</v>
      </c>
      <c r="V179" t="s">
        <v>253</v>
      </c>
      <c r="W179" t="s">
        <v>132</v>
      </c>
      <c r="X179" t="s">
        <v>253</v>
      </c>
      <c r="Y179" t="s">
        <v>235</v>
      </c>
      <c r="Z179" t="s">
        <v>236</v>
      </c>
      <c r="AA179" t="s">
        <v>253</v>
      </c>
      <c r="AB179" t="s">
        <v>1</v>
      </c>
      <c r="AC179" s="235">
        <f>'Basis Options'!H184</f>
        <v>-500000</v>
      </c>
      <c r="AD179" s="235">
        <f>'Basis Options'!W184</f>
        <v>1.996274566045031E-2</v>
      </c>
      <c r="AE179">
        <v>0</v>
      </c>
      <c r="AF179">
        <v>0</v>
      </c>
      <c r="AG179">
        <v>0</v>
      </c>
      <c r="AH179" s="235">
        <f>'Basis Options'!CD184</f>
        <v>0</v>
      </c>
      <c r="AI179">
        <v>226</v>
      </c>
      <c r="AJ179" t="s">
        <v>256</v>
      </c>
      <c r="AK179">
        <v>0</v>
      </c>
      <c r="AL179">
        <v>0</v>
      </c>
      <c r="AM179">
        <v>0</v>
      </c>
    </row>
    <row r="180" spans="1:39" x14ac:dyDescent="0.25">
      <c r="A180" t="s">
        <v>233</v>
      </c>
      <c r="B180" t="str">
        <f>'Basis Options'!C185</f>
        <v>NH6374</v>
      </c>
      <c r="C180" t="s">
        <v>255</v>
      </c>
      <c r="D180" t="s">
        <v>234</v>
      </c>
      <c r="E180" t="s">
        <v>20</v>
      </c>
      <c r="F180" t="str">
        <f>'Basis Options'!A185</f>
        <v>PHIBRO</v>
      </c>
      <c r="G180" t="s">
        <v>269</v>
      </c>
      <c r="H180" t="s">
        <v>254</v>
      </c>
      <c r="I180" t="s">
        <v>242</v>
      </c>
      <c r="J180" t="s">
        <v>235</v>
      </c>
      <c r="K180" s="380">
        <f>'Basis Options'!G185</f>
        <v>36800</v>
      </c>
      <c r="L180" s="235">
        <f>'Basis Options'!U185</f>
        <v>-599593.6824285537</v>
      </c>
      <c r="M180" s="380">
        <f>'Basis Options'!Q185</f>
        <v>36797</v>
      </c>
      <c r="N180" t="str">
        <f>'Basis Options'!F185</f>
        <v>C</v>
      </c>
      <c r="O180">
        <f>'Basis Options'!I185</f>
        <v>4.4999999999999998E-2</v>
      </c>
      <c r="P180">
        <v>0</v>
      </c>
      <c r="Q180">
        <v>0</v>
      </c>
      <c r="R180">
        <v>0</v>
      </c>
      <c r="S180">
        <v>0</v>
      </c>
      <c r="T180" t="s">
        <v>253</v>
      </c>
      <c r="U180" t="str">
        <f>IF('Basis Options'!D185="NGI/CHI. GATE","""NGI/CHI. GATE""",TRIM('Basis Options'!D185))</f>
        <v>NGI-SOCAL</v>
      </c>
      <c r="V180" t="s">
        <v>253</v>
      </c>
      <c r="W180" t="s">
        <v>132</v>
      </c>
      <c r="X180" t="s">
        <v>253</v>
      </c>
      <c r="Y180" t="s">
        <v>235</v>
      </c>
      <c r="Z180" t="s">
        <v>236</v>
      </c>
      <c r="AA180" t="s">
        <v>253</v>
      </c>
      <c r="AB180" t="s">
        <v>1</v>
      </c>
      <c r="AC180" s="235">
        <f>'Basis Options'!H185</f>
        <v>-310000</v>
      </c>
      <c r="AD180" s="235">
        <f>'Basis Options'!W185</f>
        <v>-12.69351053488208</v>
      </c>
      <c r="AE180">
        <v>0</v>
      </c>
      <c r="AF180">
        <v>0</v>
      </c>
      <c r="AG180">
        <v>0</v>
      </c>
      <c r="AH180" s="235">
        <f>'Basis Options'!CD185</f>
        <v>0</v>
      </c>
      <c r="AI180">
        <v>226</v>
      </c>
      <c r="AJ180" t="s">
        <v>256</v>
      </c>
      <c r="AK180">
        <v>0</v>
      </c>
      <c r="AL180">
        <v>0</v>
      </c>
      <c r="AM180">
        <v>0</v>
      </c>
    </row>
    <row r="181" spans="1:39" x14ac:dyDescent="0.25">
      <c r="A181" t="s">
        <v>233</v>
      </c>
      <c r="B181" t="str">
        <f>'Basis Options'!C186</f>
        <v>NH6374</v>
      </c>
      <c r="C181" t="s">
        <v>255</v>
      </c>
      <c r="D181" t="s">
        <v>234</v>
      </c>
      <c r="E181" t="s">
        <v>20</v>
      </c>
      <c r="F181" t="str">
        <f>'Basis Options'!A186</f>
        <v>PHIBRO</v>
      </c>
      <c r="G181" t="s">
        <v>269</v>
      </c>
      <c r="H181" t="s">
        <v>254</v>
      </c>
      <c r="I181" t="s">
        <v>242</v>
      </c>
      <c r="J181" t="s">
        <v>235</v>
      </c>
      <c r="K181" s="380">
        <f>'Basis Options'!G186</f>
        <v>36800</v>
      </c>
      <c r="L181" s="235">
        <f>'Basis Options'!U186</f>
        <v>-4.4025210161035417</v>
      </c>
      <c r="M181" s="380">
        <f>'Basis Options'!Q186</f>
        <v>36797</v>
      </c>
      <c r="N181" t="str">
        <f>'Basis Options'!F186</f>
        <v>P</v>
      </c>
      <c r="O181">
        <f>'Basis Options'!I186</f>
        <v>4.4999999999999998E-2</v>
      </c>
      <c r="P181">
        <v>0</v>
      </c>
      <c r="Q181">
        <v>0</v>
      </c>
      <c r="R181">
        <v>0</v>
      </c>
      <c r="S181">
        <v>0</v>
      </c>
      <c r="T181" t="s">
        <v>253</v>
      </c>
      <c r="U181" t="str">
        <f>IF('Basis Options'!D186="NGI/CHI. GATE","""NGI/CHI. GATE""",TRIM('Basis Options'!D186))</f>
        <v>NGI-SOCAL</v>
      </c>
      <c r="V181" t="s">
        <v>253</v>
      </c>
      <c r="W181" t="s">
        <v>132</v>
      </c>
      <c r="X181" t="s">
        <v>253</v>
      </c>
      <c r="Y181" t="s">
        <v>235</v>
      </c>
      <c r="Z181" t="s">
        <v>236</v>
      </c>
      <c r="AA181" t="s">
        <v>253</v>
      </c>
      <c r="AB181" t="s">
        <v>1</v>
      </c>
      <c r="AC181" s="235">
        <f>'Basis Options'!H186</f>
        <v>-310000</v>
      </c>
      <c r="AD181" s="235">
        <f>'Basis Options'!W186</f>
        <v>-12.693510534839135</v>
      </c>
      <c r="AE181">
        <v>0</v>
      </c>
      <c r="AF181">
        <v>0</v>
      </c>
      <c r="AG181">
        <v>0</v>
      </c>
      <c r="AH181" s="235">
        <f>'Basis Options'!CD186</f>
        <v>0</v>
      </c>
      <c r="AI181">
        <v>226</v>
      </c>
      <c r="AJ181" t="s">
        <v>256</v>
      </c>
      <c r="AK181">
        <v>0</v>
      </c>
      <c r="AL181">
        <v>0</v>
      </c>
      <c r="AM181">
        <v>0</v>
      </c>
    </row>
    <row r="182" spans="1:39" x14ac:dyDescent="0.25">
      <c r="A182" t="s">
        <v>233</v>
      </c>
      <c r="B182" t="str">
        <f>'Basis Options'!C187</f>
        <v>NH6374</v>
      </c>
      <c r="C182" t="s">
        <v>255</v>
      </c>
      <c r="D182" t="s">
        <v>234</v>
      </c>
      <c r="E182" t="s">
        <v>20</v>
      </c>
      <c r="F182" t="str">
        <f>'Basis Options'!A187</f>
        <v>PHIBRO</v>
      </c>
      <c r="G182" t="s">
        <v>269</v>
      </c>
      <c r="H182" t="s">
        <v>254</v>
      </c>
      <c r="I182" t="s">
        <v>242</v>
      </c>
      <c r="J182" t="s">
        <v>235</v>
      </c>
      <c r="K182" s="380">
        <f>'Basis Options'!G187</f>
        <v>36770</v>
      </c>
      <c r="L182" s="235">
        <f>'Basis Options'!U187</f>
        <v>-736364.572469295</v>
      </c>
      <c r="M182" s="380">
        <f>'Basis Options'!Q187</f>
        <v>36768</v>
      </c>
      <c r="N182" t="str">
        <f>'Basis Options'!F187</f>
        <v>C</v>
      </c>
      <c r="O182">
        <f>'Basis Options'!I187</f>
        <v>4.4999999999999998E-2</v>
      </c>
      <c r="P182">
        <v>0</v>
      </c>
      <c r="Q182">
        <v>0</v>
      </c>
      <c r="R182">
        <v>0</v>
      </c>
      <c r="S182">
        <v>0</v>
      </c>
      <c r="T182" t="s">
        <v>253</v>
      </c>
      <c r="U182" t="str">
        <f>IF('Basis Options'!D187="NGI/CHI. GATE","""NGI/CHI. GATE""",TRIM('Basis Options'!D187))</f>
        <v>NGI-SOCAL</v>
      </c>
      <c r="V182" t="s">
        <v>253</v>
      </c>
      <c r="W182" t="s">
        <v>132</v>
      </c>
      <c r="X182" t="s">
        <v>253</v>
      </c>
      <c r="Y182" t="s">
        <v>235</v>
      </c>
      <c r="Z182" t="s">
        <v>236</v>
      </c>
      <c r="AA182" t="s">
        <v>253</v>
      </c>
      <c r="AB182" t="s">
        <v>1</v>
      </c>
      <c r="AC182" s="235">
        <f>'Basis Options'!H187</f>
        <v>-300000</v>
      </c>
      <c r="AD182" s="235">
        <f>'Basis Options'!W187</f>
        <v>1.1977648071479052E-2</v>
      </c>
      <c r="AE182">
        <v>0</v>
      </c>
      <c r="AF182">
        <v>0</v>
      </c>
      <c r="AG182">
        <v>0</v>
      </c>
      <c r="AH182" s="235">
        <f>'Basis Options'!CD187</f>
        <v>0</v>
      </c>
      <c r="AI182">
        <v>226</v>
      </c>
      <c r="AJ182" t="s">
        <v>256</v>
      </c>
      <c r="AK182">
        <v>0</v>
      </c>
      <c r="AL182">
        <v>0</v>
      </c>
      <c r="AM182">
        <v>0</v>
      </c>
    </row>
    <row r="183" spans="1:39" x14ac:dyDescent="0.25">
      <c r="A183" t="s">
        <v>233</v>
      </c>
      <c r="B183" t="str">
        <f>'Basis Options'!C188</f>
        <v>NH6374</v>
      </c>
      <c r="C183" t="s">
        <v>255</v>
      </c>
      <c r="D183" t="s">
        <v>234</v>
      </c>
      <c r="E183" t="s">
        <v>20</v>
      </c>
      <c r="F183" t="str">
        <f>'Basis Options'!A188</f>
        <v>PHIBRO</v>
      </c>
      <c r="G183" t="s">
        <v>269</v>
      </c>
      <c r="H183" t="s">
        <v>254</v>
      </c>
      <c r="I183" t="s">
        <v>242</v>
      </c>
      <c r="J183" t="s">
        <v>235</v>
      </c>
      <c r="K183" s="380">
        <f>'Basis Options'!G188</f>
        <v>36770</v>
      </c>
      <c r="L183" s="235">
        <f>'Basis Options'!U188</f>
        <v>-9.655872325875503E-2</v>
      </c>
      <c r="M183" s="380">
        <f>'Basis Options'!Q188</f>
        <v>36768</v>
      </c>
      <c r="N183" t="str">
        <f>'Basis Options'!F188</f>
        <v>P</v>
      </c>
      <c r="O183">
        <f>'Basis Options'!I188</f>
        <v>4.4999999999999998E-2</v>
      </c>
      <c r="P183">
        <v>0</v>
      </c>
      <c r="Q183">
        <v>0</v>
      </c>
      <c r="R183">
        <v>0</v>
      </c>
      <c r="S183">
        <v>0</v>
      </c>
      <c r="T183" t="s">
        <v>253</v>
      </c>
      <c r="U183" t="str">
        <f>IF('Basis Options'!D188="NGI/CHI. GATE","""NGI/CHI. GATE""",TRIM('Basis Options'!D188))</f>
        <v>NGI-SOCAL</v>
      </c>
      <c r="V183" t="s">
        <v>253</v>
      </c>
      <c r="W183" t="s">
        <v>132</v>
      </c>
      <c r="X183" t="s">
        <v>253</v>
      </c>
      <c r="Y183" t="s">
        <v>235</v>
      </c>
      <c r="Z183" t="s">
        <v>236</v>
      </c>
      <c r="AA183" t="s">
        <v>253</v>
      </c>
      <c r="AB183" t="s">
        <v>1</v>
      </c>
      <c r="AC183" s="235">
        <f>'Basis Options'!H188</f>
        <v>-300000</v>
      </c>
      <c r="AD183" s="235">
        <f>'Basis Options'!W188</f>
        <v>1.1977648106675787E-2</v>
      </c>
      <c r="AE183">
        <v>0</v>
      </c>
      <c r="AF183">
        <v>0</v>
      </c>
      <c r="AG183">
        <v>0</v>
      </c>
      <c r="AH183" s="235">
        <f>'Basis Options'!CD188</f>
        <v>0</v>
      </c>
      <c r="AI183">
        <v>226</v>
      </c>
      <c r="AJ183" t="s">
        <v>256</v>
      </c>
      <c r="AK183">
        <v>0</v>
      </c>
      <c r="AL183">
        <v>0</v>
      </c>
      <c r="AM183">
        <v>0</v>
      </c>
    </row>
    <row r="184" spans="1:39" x14ac:dyDescent="0.25">
      <c r="A184" t="s">
        <v>233</v>
      </c>
      <c r="B184" t="str">
        <f>'Basis Options'!C189</f>
        <v>NH8899.1</v>
      </c>
      <c r="C184" t="s">
        <v>255</v>
      </c>
      <c r="D184" t="s">
        <v>234</v>
      </c>
      <c r="E184" t="s">
        <v>20</v>
      </c>
      <c r="F184" t="str">
        <f>'Basis Options'!A189</f>
        <v>DUKEENETRA</v>
      </c>
      <c r="G184" t="s">
        <v>269</v>
      </c>
      <c r="H184" t="s">
        <v>254</v>
      </c>
      <c r="I184" t="s">
        <v>242</v>
      </c>
      <c r="J184" t="s">
        <v>235</v>
      </c>
      <c r="K184" s="380">
        <f>'Basis Options'!G189</f>
        <v>36951</v>
      </c>
      <c r="L184" s="235">
        <f>'Basis Options'!U189</f>
        <v>236217.10702013917</v>
      </c>
      <c r="M184" s="380">
        <f>'Basis Options'!Q189</f>
        <v>36949</v>
      </c>
      <c r="N184" t="str">
        <f>'Basis Options'!F189</f>
        <v>C</v>
      </c>
      <c r="O184">
        <f>'Basis Options'!I189</f>
        <v>2</v>
      </c>
      <c r="P184">
        <v>0</v>
      </c>
      <c r="Q184">
        <v>0</v>
      </c>
      <c r="R184">
        <v>0</v>
      </c>
      <c r="S184">
        <v>0</v>
      </c>
      <c r="T184" t="s">
        <v>253</v>
      </c>
      <c r="U184" t="str">
        <f>IF('Basis Options'!D189="NGI/CHI. GATE","""NGI/CHI. GATE""",TRIM('Basis Options'!D189))</f>
        <v>IF-TRANSCO/Z6</v>
      </c>
      <c r="V184" t="s">
        <v>253</v>
      </c>
      <c r="W184" t="s">
        <v>132</v>
      </c>
      <c r="X184" t="s">
        <v>253</v>
      </c>
      <c r="Y184" t="s">
        <v>235</v>
      </c>
      <c r="Z184" t="s">
        <v>236</v>
      </c>
      <c r="AA184" t="s">
        <v>253</v>
      </c>
      <c r="AB184" t="s">
        <v>1</v>
      </c>
      <c r="AC184" s="235">
        <f>'Basis Options'!H189</f>
        <v>1000000</v>
      </c>
      <c r="AD184" s="235">
        <f>'Basis Options'!W189</f>
        <v>70667.751152711076</v>
      </c>
      <c r="AE184">
        <v>0</v>
      </c>
      <c r="AF184">
        <v>0</v>
      </c>
      <c r="AG184">
        <v>0</v>
      </c>
      <c r="AH184" s="235">
        <f>'Basis Options'!CD189</f>
        <v>0</v>
      </c>
      <c r="AI184">
        <v>226</v>
      </c>
      <c r="AJ184" t="s">
        <v>256</v>
      </c>
      <c r="AK184">
        <v>0</v>
      </c>
      <c r="AL184">
        <v>0</v>
      </c>
      <c r="AM184">
        <v>0</v>
      </c>
    </row>
    <row r="185" spans="1:39" x14ac:dyDescent="0.25">
      <c r="A185" t="s">
        <v>233</v>
      </c>
      <c r="B185" t="str">
        <f>'Basis Options'!C190</f>
        <v>NH8899.1</v>
      </c>
      <c r="C185" t="s">
        <v>255</v>
      </c>
      <c r="D185" t="s">
        <v>234</v>
      </c>
      <c r="E185" t="s">
        <v>20</v>
      </c>
      <c r="F185" t="str">
        <f>'Basis Options'!A190</f>
        <v>DUKEENETRA</v>
      </c>
      <c r="G185" t="s">
        <v>269</v>
      </c>
      <c r="H185" t="s">
        <v>254</v>
      </c>
      <c r="I185" t="s">
        <v>242</v>
      </c>
      <c r="J185" t="s">
        <v>235</v>
      </c>
      <c r="K185" s="380">
        <f>'Basis Options'!G190</f>
        <v>36923</v>
      </c>
      <c r="L185" s="235">
        <f>'Basis Options'!U190</f>
        <v>717752.83053724561</v>
      </c>
      <c r="M185" s="380">
        <f>'Basis Options'!Q190</f>
        <v>36921</v>
      </c>
      <c r="N185" t="str">
        <f>'Basis Options'!F190</f>
        <v>C</v>
      </c>
      <c r="O185">
        <f>'Basis Options'!I190</f>
        <v>2</v>
      </c>
      <c r="P185">
        <v>0</v>
      </c>
      <c r="Q185">
        <v>0</v>
      </c>
      <c r="R185">
        <v>0</v>
      </c>
      <c r="S185">
        <v>0</v>
      </c>
      <c r="T185" t="s">
        <v>253</v>
      </c>
      <c r="U185" t="str">
        <f>IF('Basis Options'!D190="NGI/CHI. GATE","""NGI/CHI. GATE""",TRIM('Basis Options'!D190))</f>
        <v>IF-TRANSCO/Z6</v>
      </c>
      <c r="V185" t="s">
        <v>253</v>
      </c>
      <c r="W185" t="s">
        <v>132</v>
      </c>
      <c r="X185" t="s">
        <v>253</v>
      </c>
      <c r="Y185" t="s">
        <v>235</v>
      </c>
      <c r="Z185" t="s">
        <v>236</v>
      </c>
      <c r="AA185" t="s">
        <v>253</v>
      </c>
      <c r="AB185" t="s">
        <v>1</v>
      </c>
      <c r="AC185" s="235">
        <f>'Basis Options'!H190</f>
        <v>1000000</v>
      </c>
      <c r="AD185" s="235">
        <f>'Basis Options'!W190</f>
        <v>85742.055153768626</v>
      </c>
      <c r="AE185">
        <v>0</v>
      </c>
      <c r="AF185">
        <v>0</v>
      </c>
      <c r="AG185">
        <v>0</v>
      </c>
      <c r="AH185" s="235">
        <f>'Basis Options'!CD190</f>
        <v>0</v>
      </c>
      <c r="AI185">
        <v>226</v>
      </c>
      <c r="AJ185" t="s">
        <v>256</v>
      </c>
      <c r="AK185">
        <v>0</v>
      </c>
      <c r="AL185">
        <v>0</v>
      </c>
      <c r="AM185">
        <v>0</v>
      </c>
    </row>
    <row r="186" spans="1:39" x14ac:dyDescent="0.25">
      <c r="A186" t="s">
        <v>233</v>
      </c>
      <c r="B186" t="str">
        <f>'Basis Options'!C191</f>
        <v>NH8899.1</v>
      </c>
      <c r="C186" t="s">
        <v>255</v>
      </c>
      <c r="D186" t="s">
        <v>234</v>
      </c>
      <c r="E186" t="s">
        <v>20</v>
      </c>
      <c r="F186" t="str">
        <f>'Basis Options'!A191</f>
        <v>DUKEENETRA</v>
      </c>
      <c r="G186" t="s">
        <v>269</v>
      </c>
      <c r="H186" t="s">
        <v>254</v>
      </c>
      <c r="I186" t="s">
        <v>242</v>
      </c>
      <c r="J186" t="s">
        <v>235</v>
      </c>
      <c r="K186" s="380">
        <f>'Basis Options'!G191</f>
        <v>36892</v>
      </c>
      <c r="L186" s="235">
        <f>'Basis Options'!U191</f>
        <v>725268.28429363586</v>
      </c>
      <c r="M186" s="380">
        <f>'Basis Options'!Q191</f>
        <v>36888</v>
      </c>
      <c r="N186" t="str">
        <f>'Basis Options'!F191</f>
        <v>C</v>
      </c>
      <c r="O186">
        <f>'Basis Options'!I191</f>
        <v>2</v>
      </c>
      <c r="P186">
        <v>0</v>
      </c>
      <c r="Q186">
        <v>0</v>
      </c>
      <c r="R186">
        <v>0</v>
      </c>
      <c r="S186">
        <v>0</v>
      </c>
      <c r="T186" t="s">
        <v>253</v>
      </c>
      <c r="U186" t="str">
        <f>IF('Basis Options'!D191="NGI/CHI. GATE","""NGI/CHI. GATE""",TRIM('Basis Options'!D191))</f>
        <v>IF-TRANSCO/Z6</v>
      </c>
      <c r="V186" t="s">
        <v>253</v>
      </c>
      <c r="W186" t="s">
        <v>132</v>
      </c>
      <c r="X186" t="s">
        <v>253</v>
      </c>
      <c r="Y186" t="s">
        <v>235</v>
      </c>
      <c r="Z186" t="s">
        <v>236</v>
      </c>
      <c r="AA186" t="s">
        <v>253</v>
      </c>
      <c r="AB186" t="s">
        <v>1</v>
      </c>
      <c r="AC186" s="235">
        <f>'Basis Options'!H191</f>
        <v>1000000</v>
      </c>
      <c r="AD186" s="235">
        <f>'Basis Options'!W191</f>
        <v>78273.38216187479</v>
      </c>
      <c r="AE186">
        <v>0</v>
      </c>
      <c r="AF186">
        <v>0</v>
      </c>
      <c r="AG186">
        <v>0</v>
      </c>
      <c r="AH186" s="235">
        <f>'Basis Options'!CD191</f>
        <v>0</v>
      </c>
      <c r="AI186">
        <v>226</v>
      </c>
      <c r="AJ186" t="s">
        <v>256</v>
      </c>
      <c r="AK186">
        <v>0</v>
      </c>
      <c r="AL186">
        <v>0</v>
      </c>
      <c r="AM186">
        <v>0</v>
      </c>
    </row>
    <row r="187" spans="1:39" x14ac:dyDescent="0.25">
      <c r="A187" t="s">
        <v>233</v>
      </c>
      <c r="B187" t="str">
        <f>'Basis Options'!C192</f>
        <v>NH8899.1</v>
      </c>
      <c r="C187" t="s">
        <v>255</v>
      </c>
      <c r="D187" t="s">
        <v>234</v>
      </c>
      <c r="E187" t="s">
        <v>20</v>
      </c>
      <c r="F187" t="str">
        <f>'Basis Options'!A192</f>
        <v>DUKEENETRA</v>
      </c>
      <c r="G187" t="s">
        <v>269</v>
      </c>
      <c r="H187" t="s">
        <v>254</v>
      </c>
      <c r="I187" t="s">
        <v>242</v>
      </c>
      <c r="J187" t="s">
        <v>235</v>
      </c>
      <c r="K187" s="380">
        <f>'Basis Options'!G192</f>
        <v>36861</v>
      </c>
      <c r="L187" s="235">
        <f>'Basis Options'!U192</f>
        <v>380005.55969410471</v>
      </c>
      <c r="M187" s="380">
        <f>'Basis Options'!Q192</f>
        <v>36859</v>
      </c>
      <c r="N187" t="str">
        <f>'Basis Options'!F192</f>
        <v>C</v>
      </c>
      <c r="O187">
        <f>'Basis Options'!I192</f>
        <v>2</v>
      </c>
      <c r="P187">
        <v>0</v>
      </c>
      <c r="Q187">
        <v>0</v>
      </c>
      <c r="R187">
        <v>0</v>
      </c>
      <c r="S187">
        <v>0</v>
      </c>
      <c r="T187" t="s">
        <v>253</v>
      </c>
      <c r="U187" t="str">
        <f>IF('Basis Options'!D192="NGI/CHI. GATE","""NGI/CHI. GATE""",TRIM('Basis Options'!D192))</f>
        <v>IF-TRANSCO/Z6</v>
      </c>
      <c r="V187" t="s">
        <v>253</v>
      </c>
      <c r="W187" t="s">
        <v>132</v>
      </c>
      <c r="X187" t="s">
        <v>253</v>
      </c>
      <c r="Y187" t="s">
        <v>235</v>
      </c>
      <c r="Z187" t="s">
        <v>236</v>
      </c>
      <c r="AA187" t="s">
        <v>253</v>
      </c>
      <c r="AB187" t="s">
        <v>1</v>
      </c>
      <c r="AC187" s="235">
        <f>'Basis Options'!H192</f>
        <v>1000000</v>
      </c>
      <c r="AD187" s="235">
        <f>'Basis Options'!W192</f>
        <v>67095.775139563368</v>
      </c>
      <c r="AE187">
        <v>0</v>
      </c>
      <c r="AF187">
        <v>0</v>
      </c>
      <c r="AG187">
        <v>0</v>
      </c>
      <c r="AH187" s="235">
        <f>'Basis Options'!CD192</f>
        <v>0</v>
      </c>
      <c r="AI187">
        <v>226</v>
      </c>
      <c r="AJ187" t="s">
        <v>256</v>
      </c>
      <c r="AK187">
        <v>0</v>
      </c>
      <c r="AL187">
        <v>0</v>
      </c>
      <c r="AM187">
        <v>0</v>
      </c>
    </row>
    <row r="188" spans="1:39" x14ac:dyDescent="0.25">
      <c r="A188" t="s">
        <v>233</v>
      </c>
      <c r="B188" t="str">
        <f>'Basis Options'!C193</f>
        <v>NH8899.1</v>
      </c>
      <c r="C188" t="s">
        <v>255</v>
      </c>
      <c r="D188" t="s">
        <v>234</v>
      </c>
      <c r="E188" t="s">
        <v>20</v>
      </c>
      <c r="F188" t="str">
        <f>'Basis Options'!A193</f>
        <v>DUKEENETRA</v>
      </c>
      <c r="G188" t="s">
        <v>269</v>
      </c>
      <c r="H188" t="s">
        <v>254</v>
      </c>
      <c r="I188" t="s">
        <v>242</v>
      </c>
      <c r="J188" t="s">
        <v>235</v>
      </c>
      <c r="K188" s="380">
        <f>'Basis Options'!G193</f>
        <v>36831</v>
      </c>
      <c r="L188" s="235">
        <f>'Basis Options'!U193</f>
        <v>19600.022197568796</v>
      </c>
      <c r="M188" s="380">
        <f>'Basis Options'!Q193</f>
        <v>36829</v>
      </c>
      <c r="N188" t="str">
        <f>'Basis Options'!F193</f>
        <v>C</v>
      </c>
      <c r="O188">
        <f>'Basis Options'!I193</f>
        <v>2</v>
      </c>
      <c r="P188">
        <v>0</v>
      </c>
      <c r="Q188">
        <v>0</v>
      </c>
      <c r="R188">
        <v>0</v>
      </c>
      <c r="S188">
        <v>0</v>
      </c>
      <c r="T188" t="s">
        <v>253</v>
      </c>
      <c r="U188" t="str">
        <f>IF('Basis Options'!D193="NGI/CHI. GATE","""NGI/CHI. GATE""",TRIM('Basis Options'!D193))</f>
        <v>IF-TRANSCO/Z6</v>
      </c>
      <c r="V188" t="s">
        <v>253</v>
      </c>
      <c r="W188" t="s">
        <v>132</v>
      </c>
      <c r="X188" t="s">
        <v>253</v>
      </c>
      <c r="Y188" t="s">
        <v>235</v>
      </c>
      <c r="Z188" t="s">
        <v>236</v>
      </c>
      <c r="AA188" t="s">
        <v>253</v>
      </c>
      <c r="AB188" t="s">
        <v>1</v>
      </c>
      <c r="AC188" s="235">
        <f>'Basis Options'!H193</f>
        <v>1000000</v>
      </c>
      <c r="AD188" s="235">
        <f>'Basis Options'!W193</f>
        <v>12262.737001326626</v>
      </c>
      <c r="AE188">
        <v>0</v>
      </c>
      <c r="AF188">
        <v>0</v>
      </c>
      <c r="AG188">
        <v>0</v>
      </c>
      <c r="AH188" s="235">
        <f>'Basis Options'!CD193</f>
        <v>0</v>
      </c>
      <c r="AI188">
        <v>226</v>
      </c>
      <c r="AJ188" t="s">
        <v>256</v>
      </c>
      <c r="AK188">
        <v>0</v>
      </c>
      <c r="AL188">
        <v>0</v>
      </c>
      <c r="AM188">
        <v>0</v>
      </c>
    </row>
    <row r="189" spans="1:39" x14ac:dyDescent="0.25">
      <c r="A189" t="s">
        <v>233</v>
      </c>
      <c r="B189" t="str">
        <f>'Basis Options'!C194</f>
        <v>NI0591.1</v>
      </c>
      <c r="C189" t="s">
        <v>255</v>
      </c>
      <c r="D189" t="s">
        <v>234</v>
      </c>
      <c r="E189" t="s">
        <v>20</v>
      </c>
      <c r="F189" t="str">
        <f>'Basis Options'!A194</f>
        <v>AEPENESER</v>
      </c>
      <c r="G189" t="s">
        <v>269</v>
      </c>
      <c r="H189" t="s">
        <v>254</v>
      </c>
      <c r="I189" t="s">
        <v>242</v>
      </c>
      <c r="J189" t="s">
        <v>235</v>
      </c>
      <c r="K189" s="380">
        <f>'Basis Options'!G194</f>
        <v>36800</v>
      </c>
      <c r="L189" s="235">
        <f>'Basis Options'!U194</f>
        <v>27764.721936583534</v>
      </c>
      <c r="M189" s="380">
        <f>'Basis Options'!Q194</f>
        <v>36797</v>
      </c>
      <c r="N189" t="str">
        <f>'Basis Options'!F194</f>
        <v>C</v>
      </c>
      <c r="O189">
        <f>'Basis Options'!I194</f>
        <v>0.34</v>
      </c>
      <c r="P189">
        <v>0</v>
      </c>
      <c r="Q189">
        <v>0</v>
      </c>
      <c r="R189">
        <v>0</v>
      </c>
      <c r="S189">
        <v>0</v>
      </c>
      <c r="T189" t="s">
        <v>253</v>
      </c>
      <c r="U189" t="str">
        <f>IF('Basis Options'!D194="NGI/CHI. GATE","""NGI/CHI. GATE""",TRIM('Basis Options'!D194))</f>
        <v>IF-TRANSCO/Z6</v>
      </c>
      <c r="V189" t="s">
        <v>253</v>
      </c>
      <c r="W189" t="s">
        <v>132</v>
      </c>
      <c r="X189" t="s">
        <v>253</v>
      </c>
      <c r="Y189" t="s">
        <v>235</v>
      </c>
      <c r="Z189" t="s">
        <v>236</v>
      </c>
      <c r="AA189" t="s">
        <v>253</v>
      </c>
      <c r="AB189" t="s">
        <v>1</v>
      </c>
      <c r="AC189" s="235">
        <f>'Basis Options'!H194</f>
        <v>310000</v>
      </c>
      <c r="AD189" s="235">
        <f>'Basis Options'!W194</f>
        <v>1630.7946114899823</v>
      </c>
      <c r="AE189">
        <v>0</v>
      </c>
      <c r="AF189">
        <v>0</v>
      </c>
      <c r="AG189">
        <v>0</v>
      </c>
      <c r="AH189" s="235">
        <f>'Basis Options'!CD194</f>
        <v>0</v>
      </c>
      <c r="AI189">
        <v>226</v>
      </c>
      <c r="AJ189" t="s">
        <v>256</v>
      </c>
      <c r="AK189">
        <v>0</v>
      </c>
      <c r="AL189">
        <v>0</v>
      </c>
      <c r="AM189">
        <v>0</v>
      </c>
    </row>
    <row r="190" spans="1:39" x14ac:dyDescent="0.25">
      <c r="A190" t="s">
        <v>233</v>
      </c>
      <c r="B190" t="str">
        <f>'Basis Options'!C195</f>
        <v>NI0591.1</v>
      </c>
      <c r="C190" t="s">
        <v>255</v>
      </c>
      <c r="D190" t="s">
        <v>234</v>
      </c>
      <c r="E190" t="s">
        <v>20</v>
      </c>
      <c r="F190" t="str">
        <f>'Basis Options'!A195</f>
        <v>AEPENESER</v>
      </c>
      <c r="G190" t="s">
        <v>269</v>
      </c>
      <c r="H190" t="s">
        <v>254</v>
      </c>
      <c r="I190" t="s">
        <v>242</v>
      </c>
      <c r="J190" t="s">
        <v>235</v>
      </c>
      <c r="K190" s="380">
        <f>'Basis Options'!G195</f>
        <v>36770</v>
      </c>
      <c r="L190" s="235">
        <f>'Basis Options'!U195</f>
        <v>45.421873208603962</v>
      </c>
      <c r="M190" s="380">
        <f>'Basis Options'!Q195</f>
        <v>36768</v>
      </c>
      <c r="N190" t="str">
        <f>'Basis Options'!F195</f>
        <v>C</v>
      </c>
      <c r="O190">
        <f>'Basis Options'!I195</f>
        <v>0.34</v>
      </c>
      <c r="P190">
        <v>0</v>
      </c>
      <c r="Q190">
        <v>0</v>
      </c>
      <c r="R190">
        <v>0</v>
      </c>
      <c r="S190">
        <v>0</v>
      </c>
      <c r="T190" t="s">
        <v>253</v>
      </c>
      <c r="U190" t="str">
        <f>IF('Basis Options'!D195="NGI/CHI. GATE","""NGI/CHI. GATE""",TRIM('Basis Options'!D195))</f>
        <v>IF-TRANSCO/Z6</v>
      </c>
      <c r="V190" t="s">
        <v>253</v>
      </c>
      <c r="W190" t="s">
        <v>132</v>
      </c>
      <c r="X190" t="s">
        <v>253</v>
      </c>
      <c r="Y190" t="s">
        <v>235</v>
      </c>
      <c r="Z190" t="s">
        <v>236</v>
      </c>
      <c r="AA190" t="s">
        <v>253</v>
      </c>
      <c r="AB190" t="s">
        <v>1</v>
      </c>
      <c r="AC190" s="235">
        <f>'Basis Options'!H195</f>
        <v>300000</v>
      </c>
      <c r="AD190" s="235">
        <f>'Basis Options'!W195</f>
        <v>44.471817938832828</v>
      </c>
      <c r="AE190">
        <v>0</v>
      </c>
      <c r="AF190">
        <v>0</v>
      </c>
      <c r="AG190">
        <v>0</v>
      </c>
      <c r="AH190" s="235">
        <f>'Basis Options'!CD195</f>
        <v>0</v>
      </c>
      <c r="AI190">
        <v>226</v>
      </c>
      <c r="AJ190" t="s">
        <v>256</v>
      </c>
      <c r="AK190">
        <v>0</v>
      </c>
      <c r="AL190">
        <v>0</v>
      </c>
      <c r="AM190">
        <v>0</v>
      </c>
    </row>
    <row r="191" spans="1:39" x14ac:dyDescent="0.25">
      <c r="A191" t="s">
        <v>233</v>
      </c>
      <c r="B191" t="str">
        <f>'Basis Options'!C196</f>
        <v>NI3439.1</v>
      </c>
      <c r="C191" t="s">
        <v>255</v>
      </c>
      <c r="D191" t="s">
        <v>234</v>
      </c>
      <c r="E191" t="s">
        <v>20</v>
      </c>
      <c r="F191" t="str">
        <f>'Basis Options'!A196</f>
        <v>UPRENESER</v>
      </c>
      <c r="G191" t="s">
        <v>269</v>
      </c>
      <c r="H191" t="s">
        <v>254</v>
      </c>
      <c r="I191" t="s">
        <v>242</v>
      </c>
      <c r="J191" t="s">
        <v>235</v>
      </c>
      <c r="K191" s="380">
        <f>'Basis Options'!G196</f>
        <v>36800</v>
      </c>
      <c r="L191" s="235">
        <f>'Basis Options'!U196</f>
        <v>23504.479360795205</v>
      </c>
      <c r="M191" s="380">
        <f>'Basis Options'!Q196</f>
        <v>36797</v>
      </c>
      <c r="N191" t="str">
        <f>'Basis Options'!F196</f>
        <v>C</v>
      </c>
      <c r="O191">
        <f>'Basis Options'!I196</f>
        <v>0.30249999999999999</v>
      </c>
      <c r="P191">
        <v>0</v>
      </c>
      <c r="Q191">
        <v>0</v>
      </c>
      <c r="R191">
        <v>0</v>
      </c>
      <c r="S191">
        <v>0</v>
      </c>
      <c r="T191" t="s">
        <v>253</v>
      </c>
      <c r="U191" t="str">
        <f>IF('Basis Options'!D196="NGI/CHI. GATE","""NGI/CHI. GATE""",TRIM('Basis Options'!D196))</f>
        <v>IF-TETCO/M3</v>
      </c>
      <c r="V191" t="s">
        <v>253</v>
      </c>
      <c r="W191" t="s">
        <v>132</v>
      </c>
      <c r="X191" t="s">
        <v>253</v>
      </c>
      <c r="Y191" t="s">
        <v>235</v>
      </c>
      <c r="Z191" t="s">
        <v>236</v>
      </c>
      <c r="AA191" t="s">
        <v>253</v>
      </c>
      <c r="AB191" t="s">
        <v>1</v>
      </c>
      <c r="AC191" s="235">
        <f>'Basis Options'!H196</f>
        <v>310000</v>
      </c>
      <c r="AD191" s="235">
        <f>'Basis Options'!W196</f>
        <v>1860.7683706591197</v>
      </c>
      <c r="AE191">
        <v>0</v>
      </c>
      <c r="AF191">
        <v>0</v>
      </c>
      <c r="AG191">
        <v>0</v>
      </c>
      <c r="AH191" s="235">
        <f>'Basis Options'!CD196</f>
        <v>0</v>
      </c>
      <c r="AI191">
        <v>226</v>
      </c>
      <c r="AJ191" t="s">
        <v>256</v>
      </c>
      <c r="AK191">
        <v>0</v>
      </c>
      <c r="AL191">
        <v>0</v>
      </c>
      <c r="AM191">
        <v>0</v>
      </c>
    </row>
    <row r="192" spans="1:39" x14ac:dyDescent="0.25">
      <c r="A192" t="s">
        <v>233</v>
      </c>
      <c r="B192" t="str">
        <f>'Basis Options'!C197</f>
        <v>NI3439.1</v>
      </c>
      <c r="C192" t="s">
        <v>255</v>
      </c>
      <c r="D192" t="s">
        <v>234</v>
      </c>
      <c r="E192" t="s">
        <v>20</v>
      </c>
      <c r="F192" t="str">
        <f>'Basis Options'!A197</f>
        <v>UPRENESER</v>
      </c>
      <c r="G192" t="s">
        <v>269</v>
      </c>
      <c r="H192" t="s">
        <v>254</v>
      </c>
      <c r="I192" t="s">
        <v>242</v>
      </c>
      <c r="J192" t="s">
        <v>235</v>
      </c>
      <c r="K192" s="380">
        <f>'Basis Options'!G197</f>
        <v>36770</v>
      </c>
      <c r="L192" s="235">
        <f>'Basis Options'!U197</f>
        <v>1957.3291020529487</v>
      </c>
      <c r="M192" s="380">
        <f>'Basis Options'!Q197</f>
        <v>36768</v>
      </c>
      <c r="N192" t="str">
        <f>'Basis Options'!F197</f>
        <v>C</v>
      </c>
      <c r="O192">
        <f>'Basis Options'!I197</f>
        <v>0.30249999999999999</v>
      </c>
      <c r="P192">
        <v>0</v>
      </c>
      <c r="Q192">
        <v>0</v>
      </c>
      <c r="R192">
        <v>0</v>
      </c>
      <c r="S192">
        <v>0</v>
      </c>
      <c r="T192" t="s">
        <v>253</v>
      </c>
      <c r="U192" t="str">
        <f>IF('Basis Options'!D197="NGI/CHI. GATE","""NGI/CHI. GATE""",TRIM('Basis Options'!D197))</f>
        <v>IF-TETCO/M3</v>
      </c>
      <c r="V192" t="s">
        <v>253</v>
      </c>
      <c r="W192" t="s">
        <v>132</v>
      </c>
      <c r="X192" t="s">
        <v>253</v>
      </c>
      <c r="Y192" t="s">
        <v>235</v>
      </c>
      <c r="Z192" t="s">
        <v>236</v>
      </c>
      <c r="AA192" t="s">
        <v>253</v>
      </c>
      <c r="AB192" t="s">
        <v>1</v>
      </c>
      <c r="AC192" s="235">
        <f>'Basis Options'!H197</f>
        <v>300000</v>
      </c>
      <c r="AD192" s="235">
        <f>'Basis Options'!W197</f>
        <v>265.66202000074554</v>
      </c>
      <c r="AE192">
        <v>0</v>
      </c>
      <c r="AF192">
        <v>0</v>
      </c>
      <c r="AG192">
        <v>0</v>
      </c>
      <c r="AH192" s="235">
        <f>'Basis Options'!CD197</f>
        <v>0</v>
      </c>
      <c r="AI192">
        <v>226</v>
      </c>
      <c r="AJ192" t="s">
        <v>256</v>
      </c>
      <c r="AK192">
        <v>0</v>
      </c>
      <c r="AL192">
        <v>0</v>
      </c>
      <c r="AM192">
        <v>0</v>
      </c>
    </row>
    <row r="193" spans="1:39" x14ac:dyDescent="0.25">
      <c r="A193" t="s">
        <v>233</v>
      </c>
      <c r="B193" t="str">
        <f>'Basis Options'!C198</f>
        <v>NI3439.2</v>
      </c>
      <c r="C193" t="s">
        <v>255</v>
      </c>
      <c r="D193" t="s">
        <v>234</v>
      </c>
      <c r="E193" t="s">
        <v>20</v>
      </c>
      <c r="F193" t="str">
        <f>'Basis Options'!A198</f>
        <v>UPRENESER</v>
      </c>
      <c r="G193" t="s">
        <v>269</v>
      </c>
      <c r="H193" t="s">
        <v>254</v>
      </c>
      <c r="I193" t="s">
        <v>242</v>
      </c>
      <c r="J193" t="s">
        <v>235</v>
      </c>
      <c r="K193" s="380">
        <f>'Basis Options'!G198</f>
        <v>36800</v>
      </c>
      <c r="L193" s="235">
        <f>'Basis Options'!U198</f>
        <v>7267.7519063251502</v>
      </c>
      <c r="M193" s="380">
        <f>'Basis Options'!Q198</f>
        <v>36797</v>
      </c>
      <c r="N193" t="str">
        <f>'Basis Options'!F198</f>
        <v>P</v>
      </c>
      <c r="O193">
        <f>'Basis Options'!I198</f>
        <v>0.16750000000000001</v>
      </c>
      <c r="P193">
        <v>0</v>
      </c>
      <c r="Q193">
        <v>0</v>
      </c>
      <c r="R193">
        <v>0</v>
      </c>
      <c r="S193">
        <v>0</v>
      </c>
      <c r="T193" t="s">
        <v>253</v>
      </c>
      <c r="U193" t="str">
        <f>IF('Basis Options'!D198="NGI/CHI. GATE","""NGI/CHI. GATE""",TRIM('Basis Options'!D198))</f>
        <v>IF-CGT/APPALAC</v>
      </c>
      <c r="V193" t="s">
        <v>253</v>
      </c>
      <c r="W193" t="s">
        <v>132</v>
      </c>
      <c r="X193" t="s">
        <v>253</v>
      </c>
      <c r="Y193" t="s">
        <v>235</v>
      </c>
      <c r="Z193" t="s">
        <v>236</v>
      </c>
      <c r="AA193" t="s">
        <v>253</v>
      </c>
      <c r="AB193" t="s">
        <v>1</v>
      </c>
      <c r="AC193" s="235">
        <f>'Basis Options'!H198</f>
        <v>310000</v>
      </c>
      <c r="AD193" s="235">
        <f>'Basis Options'!W198</f>
        <v>1873.9042791586689</v>
      </c>
      <c r="AE193">
        <v>0</v>
      </c>
      <c r="AF193">
        <v>0</v>
      </c>
      <c r="AG193">
        <v>0</v>
      </c>
      <c r="AH193" s="235">
        <f>'Basis Options'!CD198</f>
        <v>0</v>
      </c>
      <c r="AI193">
        <v>226</v>
      </c>
      <c r="AJ193" t="s">
        <v>256</v>
      </c>
      <c r="AK193">
        <v>0</v>
      </c>
      <c r="AL193">
        <v>0</v>
      </c>
      <c r="AM193">
        <v>0</v>
      </c>
    </row>
    <row r="194" spans="1:39" x14ac:dyDescent="0.25">
      <c r="A194" t="s">
        <v>233</v>
      </c>
      <c r="B194" t="str">
        <f>'Basis Options'!C199</f>
        <v>NI3439.2</v>
      </c>
      <c r="C194" t="s">
        <v>255</v>
      </c>
      <c r="D194" t="s">
        <v>234</v>
      </c>
      <c r="E194" t="s">
        <v>20</v>
      </c>
      <c r="F194" t="str">
        <f>'Basis Options'!A199</f>
        <v>UPRENESER</v>
      </c>
      <c r="G194" t="s">
        <v>269</v>
      </c>
      <c r="H194" t="s">
        <v>254</v>
      </c>
      <c r="I194" t="s">
        <v>242</v>
      </c>
      <c r="J194" t="s">
        <v>235</v>
      </c>
      <c r="K194" s="380">
        <f>'Basis Options'!G199</f>
        <v>36770</v>
      </c>
      <c r="L194" s="235">
        <f>'Basis Options'!U199</f>
        <v>857.86282051522892</v>
      </c>
      <c r="M194" s="380">
        <f>'Basis Options'!Q199</f>
        <v>36768</v>
      </c>
      <c r="N194" t="str">
        <f>'Basis Options'!F199</f>
        <v>P</v>
      </c>
      <c r="O194">
        <f>'Basis Options'!I199</f>
        <v>0.16750000000000001</v>
      </c>
      <c r="P194">
        <v>0</v>
      </c>
      <c r="Q194">
        <v>0</v>
      </c>
      <c r="R194">
        <v>0</v>
      </c>
      <c r="S194">
        <v>0</v>
      </c>
      <c r="T194" t="s">
        <v>253</v>
      </c>
      <c r="U194" t="str">
        <f>IF('Basis Options'!D199="NGI/CHI. GATE","""NGI/CHI. GATE""",TRIM('Basis Options'!D199))</f>
        <v>IF-CGT/APPALAC</v>
      </c>
      <c r="V194" t="s">
        <v>253</v>
      </c>
      <c r="W194" t="s">
        <v>132</v>
      </c>
      <c r="X194" t="s">
        <v>253</v>
      </c>
      <c r="Y194" t="s">
        <v>235</v>
      </c>
      <c r="Z194" t="s">
        <v>236</v>
      </c>
      <c r="AA194" t="s">
        <v>253</v>
      </c>
      <c r="AB194" t="s">
        <v>1</v>
      </c>
      <c r="AC194" s="235">
        <f>'Basis Options'!H199</f>
        <v>300000</v>
      </c>
      <c r="AD194" s="235">
        <f>'Basis Options'!W199</f>
        <v>230.51293870195514</v>
      </c>
      <c r="AE194">
        <v>0</v>
      </c>
      <c r="AF194">
        <v>0</v>
      </c>
      <c r="AG194">
        <v>0</v>
      </c>
      <c r="AH194" s="235">
        <f>'Basis Options'!CD199</f>
        <v>0</v>
      </c>
      <c r="AI194">
        <v>226</v>
      </c>
      <c r="AJ194" t="s">
        <v>256</v>
      </c>
      <c r="AK194">
        <v>0</v>
      </c>
      <c r="AL194">
        <v>0</v>
      </c>
      <c r="AM194">
        <v>0</v>
      </c>
    </row>
    <row r="195" spans="1:39" x14ac:dyDescent="0.25">
      <c r="A195" t="s">
        <v>233</v>
      </c>
      <c r="B195" t="str">
        <f>'Basis Options'!C200</f>
        <v>NI3451.1</v>
      </c>
      <c r="C195" t="s">
        <v>255</v>
      </c>
      <c r="D195" t="s">
        <v>234</v>
      </c>
      <c r="E195" t="s">
        <v>20</v>
      </c>
      <c r="F195" t="str">
        <f>'Basis Options'!A200</f>
        <v>RELIANTENESER</v>
      </c>
      <c r="G195" t="s">
        <v>269</v>
      </c>
      <c r="H195" t="s">
        <v>254</v>
      </c>
      <c r="I195" t="s">
        <v>242</v>
      </c>
      <c r="J195" t="s">
        <v>235</v>
      </c>
      <c r="K195" s="380">
        <f>'Basis Options'!G200</f>
        <v>36800</v>
      </c>
      <c r="L195" s="235">
        <f>'Basis Options'!U200</f>
        <v>291320.45113586274</v>
      </c>
      <c r="M195" s="380">
        <f>'Basis Options'!Q200</f>
        <v>36797</v>
      </c>
      <c r="N195" t="str">
        <f>'Basis Options'!F200</f>
        <v>C</v>
      </c>
      <c r="O195">
        <f>'Basis Options'!I200</f>
        <v>0.1</v>
      </c>
      <c r="P195">
        <v>0</v>
      </c>
      <c r="Q195">
        <v>0</v>
      </c>
      <c r="R195">
        <v>0</v>
      </c>
      <c r="S195">
        <v>0</v>
      </c>
      <c r="T195" t="s">
        <v>253</v>
      </c>
      <c r="U195" t="str">
        <f>IF('Basis Options'!D200="NGI/CHI. GATE","""NGI/CHI. GATE""",TRIM('Basis Options'!D200))</f>
        <v>NGI-SOCAL</v>
      </c>
      <c r="V195" t="s">
        <v>253</v>
      </c>
      <c r="W195" t="s">
        <v>132</v>
      </c>
      <c r="X195" t="s">
        <v>253</v>
      </c>
      <c r="Y195" t="s">
        <v>235</v>
      </c>
      <c r="Z195" t="s">
        <v>236</v>
      </c>
      <c r="AA195" t="s">
        <v>253</v>
      </c>
      <c r="AB195" t="s">
        <v>1</v>
      </c>
      <c r="AC195" s="235">
        <f>'Basis Options'!H200</f>
        <v>155000</v>
      </c>
      <c r="AD195" s="235">
        <f>'Basis Options'!W200</f>
        <v>9.1344918275135569</v>
      </c>
      <c r="AE195">
        <v>0</v>
      </c>
      <c r="AF195">
        <v>0</v>
      </c>
      <c r="AG195">
        <v>0</v>
      </c>
      <c r="AH195" s="235">
        <f>'Basis Options'!CD200</f>
        <v>0</v>
      </c>
      <c r="AI195">
        <v>226</v>
      </c>
      <c r="AJ195" t="s">
        <v>256</v>
      </c>
      <c r="AK195">
        <v>0</v>
      </c>
      <c r="AL195">
        <v>0</v>
      </c>
      <c r="AM195">
        <v>0</v>
      </c>
    </row>
    <row r="196" spans="1:39" x14ac:dyDescent="0.25">
      <c r="A196" t="s">
        <v>233</v>
      </c>
      <c r="B196" t="str">
        <f>'Basis Options'!C201</f>
        <v>NI3451.1</v>
      </c>
      <c r="C196" t="s">
        <v>255</v>
      </c>
      <c r="D196" t="s">
        <v>234</v>
      </c>
      <c r="E196" t="s">
        <v>20</v>
      </c>
      <c r="F196" t="str">
        <f>'Basis Options'!A201</f>
        <v>RELIANTENESER</v>
      </c>
      <c r="G196" t="s">
        <v>269</v>
      </c>
      <c r="H196" t="s">
        <v>254</v>
      </c>
      <c r="I196" t="s">
        <v>242</v>
      </c>
      <c r="J196" t="s">
        <v>235</v>
      </c>
      <c r="K196" s="380">
        <f>'Basis Options'!G201</f>
        <v>36770</v>
      </c>
      <c r="L196" s="235">
        <f>'Basis Options'!U201</f>
        <v>359933.80324369366</v>
      </c>
      <c r="M196" s="380">
        <f>'Basis Options'!Q201</f>
        <v>36768</v>
      </c>
      <c r="N196" t="str">
        <f>'Basis Options'!F201</f>
        <v>C</v>
      </c>
      <c r="O196">
        <f>'Basis Options'!I201</f>
        <v>0.1</v>
      </c>
      <c r="P196">
        <v>0</v>
      </c>
      <c r="Q196">
        <v>0</v>
      </c>
      <c r="R196">
        <v>0</v>
      </c>
      <c r="S196">
        <v>0</v>
      </c>
      <c r="T196" t="s">
        <v>253</v>
      </c>
      <c r="U196" t="str">
        <f>IF('Basis Options'!D201="NGI/CHI. GATE","""NGI/CHI. GATE""",TRIM('Basis Options'!D201))</f>
        <v>NGI-SOCAL</v>
      </c>
      <c r="V196" t="s">
        <v>253</v>
      </c>
      <c r="W196" t="s">
        <v>132</v>
      </c>
      <c r="X196" t="s">
        <v>253</v>
      </c>
      <c r="Y196" t="s">
        <v>235</v>
      </c>
      <c r="Z196" t="s">
        <v>236</v>
      </c>
      <c r="AA196" t="s">
        <v>253</v>
      </c>
      <c r="AB196" t="s">
        <v>1</v>
      </c>
      <c r="AC196" s="235">
        <f>'Basis Options'!H201</f>
        <v>150000</v>
      </c>
      <c r="AD196" s="235">
        <f>'Basis Options'!W201</f>
        <v>-5.9888236864935607E-3</v>
      </c>
      <c r="AE196">
        <v>0</v>
      </c>
      <c r="AF196">
        <v>0</v>
      </c>
      <c r="AG196">
        <v>0</v>
      </c>
      <c r="AH196" s="235">
        <f>'Basis Options'!CD201</f>
        <v>0</v>
      </c>
      <c r="AI196">
        <v>226</v>
      </c>
      <c r="AJ196" t="s">
        <v>256</v>
      </c>
      <c r="AK196">
        <v>0</v>
      </c>
      <c r="AL196">
        <v>0</v>
      </c>
      <c r="AM196">
        <v>0</v>
      </c>
    </row>
    <row r="197" spans="1:39" x14ac:dyDescent="0.25">
      <c r="A197" t="s">
        <v>233</v>
      </c>
      <c r="B197" t="str">
        <f>'Basis Options'!C202</f>
        <v>NI6123.1</v>
      </c>
      <c r="C197" t="s">
        <v>255</v>
      </c>
      <c r="D197" t="s">
        <v>234</v>
      </c>
      <c r="E197" t="s">
        <v>20</v>
      </c>
      <c r="F197" t="str">
        <f>'Basis Options'!A202</f>
        <v>AEPENESER</v>
      </c>
      <c r="G197" t="s">
        <v>269</v>
      </c>
      <c r="H197" t="s">
        <v>254</v>
      </c>
      <c r="I197" t="s">
        <v>242</v>
      </c>
      <c r="J197" t="s">
        <v>235</v>
      </c>
      <c r="K197" s="380">
        <f>'Basis Options'!G202</f>
        <v>36951</v>
      </c>
      <c r="L197" s="235">
        <f>'Basis Options'!U202</f>
        <v>-62097.440260208743</v>
      </c>
      <c r="M197" s="380">
        <f>'Basis Options'!Q202</f>
        <v>36949</v>
      </c>
      <c r="N197" t="str">
        <f>'Basis Options'!F202</f>
        <v>C</v>
      </c>
      <c r="O197">
        <f>'Basis Options'!I202</f>
        <v>2.2000000000000002</v>
      </c>
      <c r="P197">
        <v>0</v>
      </c>
      <c r="Q197">
        <v>0</v>
      </c>
      <c r="R197">
        <v>0</v>
      </c>
      <c r="S197">
        <v>0</v>
      </c>
      <c r="T197" t="s">
        <v>253</v>
      </c>
      <c r="U197" t="str">
        <f>IF('Basis Options'!D202="NGI/CHI. GATE","""NGI/CHI. GATE""",TRIM('Basis Options'!D202))</f>
        <v>IF-TRANSCO/Z6</v>
      </c>
      <c r="V197" t="s">
        <v>253</v>
      </c>
      <c r="W197" t="s">
        <v>132</v>
      </c>
      <c r="X197" t="s">
        <v>253</v>
      </c>
      <c r="Y197" t="s">
        <v>235</v>
      </c>
      <c r="Z197" t="s">
        <v>236</v>
      </c>
      <c r="AA197" t="s">
        <v>253</v>
      </c>
      <c r="AB197" t="s">
        <v>1</v>
      </c>
      <c r="AC197" s="235">
        <f>'Basis Options'!H202</f>
        <v>-310000</v>
      </c>
      <c r="AD197" s="235">
        <f>'Basis Options'!W202</f>
        <v>-20211.817057361797</v>
      </c>
      <c r="AE197">
        <v>0</v>
      </c>
      <c r="AF197">
        <v>0</v>
      </c>
      <c r="AG197">
        <v>0</v>
      </c>
      <c r="AH197" s="235">
        <f>'Basis Options'!CD202</f>
        <v>0</v>
      </c>
      <c r="AI197">
        <v>226</v>
      </c>
      <c r="AJ197" t="s">
        <v>256</v>
      </c>
      <c r="AK197">
        <v>0</v>
      </c>
      <c r="AL197">
        <v>0</v>
      </c>
      <c r="AM197">
        <v>0</v>
      </c>
    </row>
    <row r="198" spans="1:39" x14ac:dyDescent="0.25">
      <c r="A198" t="s">
        <v>233</v>
      </c>
      <c r="B198" t="str">
        <f>'Basis Options'!C203</f>
        <v>NI6123.1</v>
      </c>
      <c r="C198" t="s">
        <v>255</v>
      </c>
      <c r="D198" t="s">
        <v>234</v>
      </c>
      <c r="E198" t="s">
        <v>20</v>
      </c>
      <c r="F198" t="str">
        <f>'Basis Options'!A203</f>
        <v>AEPENESER</v>
      </c>
      <c r="G198" t="s">
        <v>269</v>
      </c>
      <c r="H198" t="s">
        <v>254</v>
      </c>
      <c r="I198" t="s">
        <v>242</v>
      </c>
      <c r="J198" t="s">
        <v>235</v>
      </c>
      <c r="K198" s="380">
        <f>'Basis Options'!G203</f>
        <v>36923</v>
      </c>
      <c r="L198" s="235">
        <f>'Basis Options'!U203</f>
        <v>-178762.11475755629</v>
      </c>
      <c r="M198" s="380">
        <f>'Basis Options'!Q203</f>
        <v>36921</v>
      </c>
      <c r="N198" t="str">
        <f>'Basis Options'!F203</f>
        <v>C</v>
      </c>
      <c r="O198">
        <f>'Basis Options'!I203</f>
        <v>2.2000000000000002</v>
      </c>
      <c r="P198">
        <v>0</v>
      </c>
      <c r="Q198">
        <v>0</v>
      </c>
      <c r="R198">
        <v>0</v>
      </c>
      <c r="S198">
        <v>0</v>
      </c>
      <c r="T198" t="s">
        <v>253</v>
      </c>
      <c r="U198" t="str">
        <f>IF('Basis Options'!D203="NGI/CHI. GATE","""NGI/CHI. GATE""",TRIM('Basis Options'!D203))</f>
        <v>IF-TRANSCO/Z6</v>
      </c>
      <c r="V198" t="s">
        <v>253</v>
      </c>
      <c r="W198" t="s">
        <v>132</v>
      </c>
      <c r="X198" t="s">
        <v>253</v>
      </c>
      <c r="Y198" t="s">
        <v>235</v>
      </c>
      <c r="Z198" t="s">
        <v>236</v>
      </c>
      <c r="AA198" t="s">
        <v>253</v>
      </c>
      <c r="AB198" t="s">
        <v>1</v>
      </c>
      <c r="AC198" s="235">
        <f>'Basis Options'!H203</f>
        <v>-280000</v>
      </c>
      <c r="AD198" s="235">
        <f>'Basis Options'!W203</f>
        <v>-23825.038362064588</v>
      </c>
      <c r="AE198">
        <v>0</v>
      </c>
      <c r="AF198">
        <v>0</v>
      </c>
      <c r="AG198">
        <v>0</v>
      </c>
      <c r="AH198" s="235">
        <f>'Basis Options'!CD203</f>
        <v>0</v>
      </c>
      <c r="AI198">
        <v>226</v>
      </c>
      <c r="AJ198" t="s">
        <v>256</v>
      </c>
      <c r="AK198">
        <v>0</v>
      </c>
      <c r="AL198">
        <v>0</v>
      </c>
      <c r="AM198">
        <v>0</v>
      </c>
    </row>
    <row r="199" spans="1:39" x14ac:dyDescent="0.25">
      <c r="A199" t="s">
        <v>233</v>
      </c>
      <c r="B199" t="str">
        <f>'Basis Options'!C204</f>
        <v>NI6123.1</v>
      </c>
      <c r="C199" t="s">
        <v>255</v>
      </c>
      <c r="D199" t="s">
        <v>234</v>
      </c>
      <c r="E199" t="s">
        <v>20</v>
      </c>
      <c r="F199" t="str">
        <f>'Basis Options'!A204</f>
        <v>AEPENESER</v>
      </c>
      <c r="G199" t="s">
        <v>269</v>
      </c>
      <c r="H199" t="s">
        <v>254</v>
      </c>
      <c r="I199" t="s">
        <v>242</v>
      </c>
      <c r="J199" t="s">
        <v>235</v>
      </c>
      <c r="K199" s="380">
        <f>'Basis Options'!G204</f>
        <v>36892</v>
      </c>
      <c r="L199" s="235">
        <f>'Basis Options'!U204</f>
        <v>-198416.82199462087</v>
      </c>
      <c r="M199" s="380">
        <f>'Basis Options'!Q204</f>
        <v>36888</v>
      </c>
      <c r="N199" t="str">
        <f>'Basis Options'!F204</f>
        <v>C</v>
      </c>
      <c r="O199">
        <f>'Basis Options'!I204</f>
        <v>2.2000000000000002</v>
      </c>
      <c r="P199">
        <v>0</v>
      </c>
      <c r="Q199">
        <v>0</v>
      </c>
      <c r="R199">
        <v>0</v>
      </c>
      <c r="S199">
        <v>0</v>
      </c>
      <c r="T199" t="s">
        <v>253</v>
      </c>
      <c r="U199" t="str">
        <f>IF('Basis Options'!D204="NGI/CHI. GATE","""NGI/CHI. GATE""",TRIM('Basis Options'!D204))</f>
        <v>IF-TRANSCO/Z6</v>
      </c>
      <c r="V199" t="s">
        <v>253</v>
      </c>
      <c r="W199" t="s">
        <v>132</v>
      </c>
      <c r="X199" t="s">
        <v>253</v>
      </c>
      <c r="Y199" t="s">
        <v>235</v>
      </c>
      <c r="Z199" t="s">
        <v>236</v>
      </c>
      <c r="AA199" t="s">
        <v>253</v>
      </c>
      <c r="AB199" t="s">
        <v>1</v>
      </c>
      <c r="AC199" s="235">
        <f>'Basis Options'!H204</f>
        <v>-310000</v>
      </c>
      <c r="AD199" s="235">
        <f>'Basis Options'!W204</f>
        <v>-24211.731135408132</v>
      </c>
      <c r="AE199">
        <v>0</v>
      </c>
      <c r="AF199">
        <v>0</v>
      </c>
      <c r="AG199">
        <v>0</v>
      </c>
      <c r="AH199" s="235">
        <f>'Basis Options'!CD204</f>
        <v>0</v>
      </c>
      <c r="AI199">
        <v>226</v>
      </c>
      <c r="AJ199" t="s">
        <v>256</v>
      </c>
      <c r="AK199">
        <v>0</v>
      </c>
      <c r="AL199">
        <v>0</v>
      </c>
      <c r="AM199">
        <v>0</v>
      </c>
    </row>
    <row r="200" spans="1:39" x14ac:dyDescent="0.25">
      <c r="A200" t="s">
        <v>233</v>
      </c>
      <c r="B200" t="str">
        <f>'Basis Options'!C205</f>
        <v>NI6123.1</v>
      </c>
      <c r="C200" t="s">
        <v>255</v>
      </c>
      <c r="D200" t="s">
        <v>234</v>
      </c>
      <c r="E200" t="s">
        <v>20</v>
      </c>
      <c r="F200" t="str">
        <f>'Basis Options'!A205</f>
        <v>AEPENESER</v>
      </c>
      <c r="G200" t="s">
        <v>269</v>
      </c>
      <c r="H200" t="s">
        <v>254</v>
      </c>
      <c r="I200" t="s">
        <v>242</v>
      </c>
      <c r="J200" t="s">
        <v>235</v>
      </c>
      <c r="K200" s="380">
        <f>'Basis Options'!G205</f>
        <v>36861</v>
      </c>
      <c r="L200" s="235">
        <f>'Basis Options'!U205</f>
        <v>-99035.343645937537</v>
      </c>
      <c r="M200" s="380">
        <f>'Basis Options'!Q205</f>
        <v>36859</v>
      </c>
      <c r="N200" t="str">
        <f>'Basis Options'!F205</f>
        <v>C</v>
      </c>
      <c r="O200">
        <f>'Basis Options'!I205</f>
        <v>2.2000000000000002</v>
      </c>
      <c r="P200">
        <v>0</v>
      </c>
      <c r="Q200">
        <v>0</v>
      </c>
      <c r="R200">
        <v>0</v>
      </c>
      <c r="S200">
        <v>0</v>
      </c>
      <c r="T200" t="s">
        <v>253</v>
      </c>
      <c r="U200" t="str">
        <f>IF('Basis Options'!D205="NGI/CHI. GATE","""NGI/CHI. GATE""",TRIM('Basis Options'!D205))</f>
        <v>IF-TRANSCO/Z6</v>
      </c>
      <c r="V200" t="s">
        <v>253</v>
      </c>
      <c r="W200" t="s">
        <v>132</v>
      </c>
      <c r="X200" t="s">
        <v>253</v>
      </c>
      <c r="Y200" t="s">
        <v>235</v>
      </c>
      <c r="Z200" t="s">
        <v>236</v>
      </c>
      <c r="AA200" t="s">
        <v>253</v>
      </c>
      <c r="AB200" t="s">
        <v>1</v>
      </c>
      <c r="AC200" s="235">
        <f>'Basis Options'!H205</f>
        <v>-310000</v>
      </c>
      <c r="AD200" s="235">
        <f>'Basis Options'!W205</f>
        <v>-19773.562871455186</v>
      </c>
      <c r="AE200">
        <v>0</v>
      </c>
      <c r="AF200">
        <v>0</v>
      </c>
      <c r="AG200">
        <v>0</v>
      </c>
      <c r="AH200" s="235">
        <f>'Basis Options'!CD205</f>
        <v>0</v>
      </c>
      <c r="AI200">
        <v>226</v>
      </c>
      <c r="AJ200" t="s">
        <v>256</v>
      </c>
      <c r="AK200">
        <v>0</v>
      </c>
      <c r="AL200">
        <v>0</v>
      </c>
      <c r="AM200">
        <v>0</v>
      </c>
    </row>
    <row r="201" spans="1:39" x14ac:dyDescent="0.25">
      <c r="A201" t="s">
        <v>233</v>
      </c>
      <c r="B201" t="str">
        <f>'Basis Options'!C206</f>
        <v>NI6123.1</v>
      </c>
      <c r="C201" t="s">
        <v>255</v>
      </c>
      <c r="D201" t="s">
        <v>234</v>
      </c>
      <c r="E201" t="s">
        <v>20</v>
      </c>
      <c r="F201" t="str">
        <f>'Basis Options'!A206</f>
        <v>AEPENESER</v>
      </c>
      <c r="G201" t="s">
        <v>269</v>
      </c>
      <c r="H201" t="s">
        <v>254</v>
      </c>
      <c r="I201" t="s">
        <v>242</v>
      </c>
      <c r="J201" t="s">
        <v>235</v>
      </c>
      <c r="K201" s="380">
        <f>'Basis Options'!G206</f>
        <v>36831</v>
      </c>
      <c r="L201" s="235">
        <f>'Basis Options'!U206</f>
        <v>-3701.9783956923206</v>
      </c>
      <c r="M201" s="380">
        <f>'Basis Options'!Q206</f>
        <v>36829</v>
      </c>
      <c r="N201" t="str">
        <f>'Basis Options'!F206</f>
        <v>C</v>
      </c>
      <c r="O201">
        <f>'Basis Options'!I206</f>
        <v>2.2000000000000002</v>
      </c>
      <c r="P201">
        <v>0</v>
      </c>
      <c r="Q201">
        <v>0</v>
      </c>
      <c r="R201">
        <v>0</v>
      </c>
      <c r="S201">
        <v>0</v>
      </c>
      <c r="T201" t="s">
        <v>253</v>
      </c>
      <c r="U201" t="str">
        <f>IF('Basis Options'!D206="NGI/CHI. GATE","""NGI/CHI. GATE""",TRIM('Basis Options'!D206))</f>
        <v>IF-TRANSCO/Z6</v>
      </c>
      <c r="V201" t="s">
        <v>253</v>
      </c>
      <c r="W201" t="s">
        <v>132</v>
      </c>
      <c r="X201" t="s">
        <v>253</v>
      </c>
      <c r="Y201" t="s">
        <v>235</v>
      </c>
      <c r="Z201" t="s">
        <v>236</v>
      </c>
      <c r="AA201" t="s">
        <v>253</v>
      </c>
      <c r="AB201" t="s">
        <v>1</v>
      </c>
      <c r="AC201" s="235">
        <f>'Basis Options'!H206</f>
        <v>-300000</v>
      </c>
      <c r="AD201" s="235">
        <f>'Basis Options'!W206</f>
        <v>-2608.1783148875274</v>
      </c>
      <c r="AE201">
        <v>0</v>
      </c>
      <c r="AF201">
        <v>0</v>
      </c>
      <c r="AG201">
        <v>0</v>
      </c>
      <c r="AH201" s="235">
        <f>'Basis Options'!CD206</f>
        <v>0</v>
      </c>
      <c r="AI201">
        <v>226</v>
      </c>
      <c r="AJ201" t="s">
        <v>256</v>
      </c>
      <c r="AK201">
        <v>0</v>
      </c>
      <c r="AL201">
        <v>0</v>
      </c>
      <c r="AM201">
        <v>0</v>
      </c>
    </row>
    <row r="202" spans="1:39" x14ac:dyDescent="0.25">
      <c r="A202" t="s">
        <v>233</v>
      </c>
      <c r="B202" t="str">
        <f>'Basis Options'!C207</f>
        <v>NI6136.1</v>
      </c>
      <c r="C202" t="s">
        <v>255</v>
      </c>
      <c r="D202" t="s">
        <v>234</v>
      </c>
      <c r="E202" t="s">
        <v>20</v>
      </c>
      <c r="F202" t="str">
        <f>'Basis Options'!A207</f>
        <v>SOUTHERCOMENEMA</v>
      </c>
      <c r="G202" t="s">
        <v>269</v>
      </c>
      <c r="H202" t="s">
        <v>254</v>
      </c>
      <c r="I202" t="s">
        <v>242</v>
      </c>
      <c r="J202" t="s">
        <v>235</v>
      </c>
      <c r="K202" s="380">
        <f>'Basis Options'!G207</f>
        <v>36951</v>
      </c>
      <c r="L202" s="235">
        <f>'Basis Options'!U207</f>
        <v>-164328.56091178302</v>
      </c>
      <c r="M202" s="380">
        <f>'Basis Options'!Q207</f>
        <v>36949</v>
      </c>
      <c r="N202" t="str">
        <f>'Basis Options'!F207</f>
        <v>C</v>
      </c>
      <c r="O202">
        <f>'Basis Options'!I207</f>
        <v>1.6</v>
      </c>
      <c r="P202">
        <v>0</v>
      </c>
      <c r="Q202">
        <v>0</v>
      </c>
      <c r="R202">
        <v>0</v>
      </c>
      <c r="S202">
        <v>0</v>
      </c>
      <c r="T202" t="s">
        <v>253</v>
      </c>
      <c r="U202" t="str">
        <f>IF('Basis Options'!D207="NGI/CHI. GATE","""NGI/CHI. GATE""",TRIM('Basis Options'!D207))</f>
        <v>IF-TRANSCO/Z6</v>
      </c>
      <c r="V202" t="s">
        <v>253</v>
      </c>
      <c r="W202" t="s">
        <v>132</v>
      </c>
      <c r="X202" t="s">
        <v>253</v>
      </c>
      <c r="Y202" t="s">
        <v>235</v>
      </c>
      <c r="Z202" t="s">
        <v>236</v>
      </c>
      <c r="AA202" t="s">
        <v>253</v>
      </c>
      <c r="AB202" t="s">
        <v>1</v>
      </c>
      <c r="AC202" s="235">
        <f>'Basis Options'!H207</f>
        <v>-500000</v>
      </c>
      <c r="AD202" s="235">
        <f>'Basis Options'!W207</f>
        <v>-40367.878366955003</v>
      </c>
      <c r="AE202">
        <v>0</v>
      </c>
      <c r="AF202">
        <v>0</v>
      </c>
      <c r="AG202">
        <v>0</v>
      </c>
      <c r="AH202" s="235">
        <f>'Basis Options'!CD207</f>
        <v>0</v>
      </c>
      <c r="AI202">
        <v>226</v>
      </c>
      <c r="AJ202" t="s">
        <v>256</v>
      </c>
      <c r="AK202">
        <v>0</v>
      </c>
      <c r="AL202">
        <v>0</v>
      </c>
      <c r="AM202">
        <v>0</v>
      </c>
    </row>
    <row r="203" spans="1:39" x14ac:dyDescent="0.25">
      <c r="A203" t="s">
        <v>233</v>
      </c>
      <c r="B203" t="str">
        <f>'Basis Options'!C208</f>
        <v>NI6136.1</v>
      </c>
      <c r="C203" t="s">
        <v>255</v>
      </c>
      <c r="D203" t="s">
        <v>234</v>
      </c>
      <c r="E203" t="s">
        <v>20</v>
      </c>
      <c r="F203" t="str">
        <f>'Basis Options'!A208</f>
        <v>SOUTHERCOMENEMA</v>
      </c>
      <c r="G203" t="s">
        <v>269</v>
      </c>
      <c r="H203" t="s">
        <v>254</v>
      </c>
      <c r="I203" t="s">
        <v>242</v>
      </c>
      <c r="J203" t="s">
        <v>235</v>
      </c>
      <c r="K203" s="380">
        <f>'Basis Options'!G208</f>
        <v>36923</v>
      </c>
      <c r="L203" s="235">
        <f>'Basis Options'!U208</f>
        <v>-452173.3418934762</v>
      </c>
      <c r="M203" s="380">
        <f>'Basis Options'!Q208</f>
        <v>36921</v>
      </c>
      <c r="N203" t="str">
        <f>'Basis Options'!F208</f>
        <v>C</v>
      </c>
      <c r="O203">
        <f>'Basis Options'!I208</f>
        <v>1.6</v>
      </c>
      <c r="P203">
        <v>0</v>
      </c>
      <c r="Q203">
        <v>0</v>
      </c>
      <c r="R203">
        <v>0</v>
      </c>
      <c r="S203">
        <v>0</v>
      </c>
      <c r="T203" t="s">
        <v>253</v>
      </c>
      <c r="U203" t="str">
        <f>IF('Basis Options'!D208="NGI/CHI. GATE","""NGI/CHI. GATE""",TRIM('Basis Options'!D208))</f>
        <v>IF-TRANSCO/Z6</v>
      </c>
      <c r="V203" t="s">
        <v>253</v>
      </c>
      <c r="W203" t="s">
        <v>132</v>
      </c>
      <c r="X203" t="s">
        <v>253</v>
      </c>
      <c r="Y203" t="s">
        <v>235</v>
      </c>
      <c r="Z203" t="s">
        <v>236</v>
      </c>
      <c r="AA203" t="s">
        <v>253</v>
      </c>
      <c r="AB203" t="s">
        <v>1</v>
      </c>
      <c r="AC203" s="235">
        <f>'Basis Options'!H208</f>
        <v>-500000</v>
      </c>
      <c r="AD203" s="235">
        <f>'Basis Options'!W208</f>
        <v>-41844.364258128277</v>
      </c>
      <c r="AE203">
        <v>0</v>
      </c>
      <c r="AF203">
        <v>0</v>
      </c>
      <c r="AG203">
        <v>0</v>
      </c>
      <c r="AH203" s="235">
        <f>'Basis Options'!CD208</f>
        <v>0</v>
      </c>
      <c r="AI203">
        <v>226</v>
      </c>
      <c r="AJ203" t="s">
        <v>256</v>
      </c>
      <c r="AK203">
        <v>0</v>
      </c>
      <c r="AL203">
        <v>0</v>
      </c>
      <c r="AM203">
        <v>0</v>
      </c>
    </row>
    <row r="204" spans="1:39" x14ac:dyDescent="0.25">
      <c r="A204" t="s">
        <v>233</v>
      </c>
      <c r="B204" t="str">
        <f>'Basis Options'!C209</f>
        <v>NI6136.1</v>
      </c>
      <c r="C204" t="s">
        <v>255</v>
      </c>
      <c r="D204" t="s">
        <v>234</v>
      </c>
      <c r="E204" t="s">
        <v>20</v>
      </c>
      <c r="F204" t="str">
        <f>'Basis Options'!A209</f>
        <v>SOUTHERCOMENEMA</v>
      </c>
      <c r="G204" t="s">
        <v>269</v>
      </c>
      <c r="H204" t="s">
        <v>254</v>
      </c>
      <c r="I204" t="s">
        <v>242</v>
      </c>
      <c r="J204" t="s">
        <v>235</v>
      </c>
      <c r="K204" s="380">
        <f>'Basis Options'!G209</f>
        <v>36892</v>
      </c>
      <c r="L204" s="235">
        <f>'Basis Options'!U209</f>
        <v>-462969.61410549784</v>
      </c>
      <c r="M204" s="380">
        <f>'Basis Options'!Q209</f>
        <v>36888</v>
      </c>
      <c r="N204" t="str">
        <f>'Basis Options'!F209</f>
        <v>C</v>
      </c>
      <c r="O204">
        <f>'Basis Options'!I209</f>
        <v>1.6</v>
      </c>
      <c r="P204">
        <v>0</v>
      </c>
      <c r="Q204">
        <v>0</v>
      </c>
      <c r="R204">
        <v>0</v>
      </c>
      <c r="S204">
        <v>0</v>
      </c>
      <c r="T204" t="s">
        <v>253</v>
      </c>
      <c r="U204" t="str">
        <f>IF('Basis Options'!D209="NGI/CHI. GATE","""NGI/CHI. GATE""",TRIM('Basis Options'!D209))</f>
        <v>IF-TRANSCO/Z6</v>
      </c>
      <c r="V204" t="s">
        <v>253</v>
      </c>
      <c r="W204" t="s">
        <v>132</v>
      </c>
      <c r="X204" t="s">
        <v>253</v>
      </c>
      <c r="Y204" t="s">
        <v>235</v>
      </c>
      <c r="Z204" t="s">
        <v>236</v>
      </c>
      <c r="AA204" t="s">
        <v>253</v>
      </c>
      <c r="AB204" t="s">
        <v>1</v>
      </c>
      <c r="AC204" s="235">
        <f>'Basis Options'!H209</f>
        <v>-500000</v>
      </c>
      <c r="AD204" s="235">
        <f>'Basis Options'!W209</f>
        <v>-37504.137359824672</v>
      </c>
      <c r="AE204">
        <v>0</v>
      </c>
      <c r="AF204">
        <v>0</v>
      </c>
      <c r="AG204">
        <v>0</v>
      </c>
      <c r="AH204" s="235">
        <f>'Basis Options'!CD209</f>
        <v>0</v>
      </c>
      <c r="AI204">
        <v>226</v>
      </c>
      <c r="AJ204" t="s">
        <v>256</v>
      </c>
      <c r="AK204">
        <v>0</v>
      </c>
      <c r="AL204">
        <v>0</v>
      </c>
      <c r="AM204">
        <v>0</v>
      </c>
    </row>
    <row r="205" spans="1:39" x14ac:dyDescent="0.25">
      <c r="A205" t="s">
        <v>233</v>
      </c>
      <c r="B205" t="str">
        <f>'Basis Options'!C210</f>
        <v>NI6136.1</v>
      </c>
      <c r="C205" t="s">
        <v>255</v>
      </c>
      <c r="D205" t="s">
        <v>234</v>
      </c>
      <c r="E205" t="s">
        <v>20</v>
      </c>
      <c r="F205" t="str">
        <f>'Basis Options'!A210</f>
        <v>SOUTHERCOMENEMA</v>
      </c>
      <c r="G205" t="s">
        <v>269</v>
      </c>
      <c r="H205" t="s">
        <v>254</v>
      </c>
      <c r="I205" t="s">
        <v>242</v>
      </c>
      <c r="J205" t="s">
        <v>235</v>
      </c>
      <c r="K205" s="380">
        <f>'Basis Options'!G210</f>
        <v>36861</v>
      </c>
      <c r="L205" s="235">
        <f>'Basis Options'!U210</f>
        <v>-266341.7102530183</v>
      </c>
      <c r="M205" s="380">
        <f>'Basis Options'!Q210</f>
        <v>36859</v>
      </c>
      <c r="N205" t="str">
        <f>'Basis Options'!F210</f>
        <v>C</v>
      </c>
      <c r="O205">
        <f>'Basis Options'!I210</f>
        <v>1.6</v>
      </c>
      <c r="P205">
        <v>0</v>
      </c>
      <c r="Q205">
        <v>0</v>
      </c>
      <c r="R205">
        <v>0</v>
      </c>
      <c r="S205">
        <v>0</v>
      </c>
      <c r="T205" t="s">
        <v>253</v>
      </c>
      <c r="U205" t="str">
        <f>IF('Basis Options'!D210="NGI/CHI. GATE","""NGI/CHI. GATE""",TRIM('Basis Options'!D210))</f>
        <v>IF-TRANSCO/Z6</v>
      </c>
      <c r="V205" t="s">
        <v>253</v>
      </c>
      <c r="W205" t="s">
        <v>132</v>
      </c>
      <c r="X205" t="s">
        <v>253</v>
      </c>
      <c r="Y205" t="s">
        <v>235</v>
      </c>
      <c r="Z205" t="s">
        <v>236</v>
      </c>
      <c r="AA205" t="s">
        <v>253</v>
      </c>
      <c r="AB205" t="s">
        <v>1</v>
      </c>
      <c r="AC205" s="235">
        <f>'Basis Options'!H210</f>
        <v>-500000</v>
      </c>
      <c r="AD205" s="235">
        <f>'Basis Options'!W210</f>
        <v>-35216.694717858743</v>
      </c>
      <c r="AE205">
        <v>0</v>
      </c>
      <c r="AF205">
        <v>0</v>
      </c>
      <c r="AG205">
        <v>0</v>
      </c>
      <c r="AH205" s="235">
        <f>'Basis Options'!CD210</f>
        <v>0</v>
      </c>
      <c r="AI205">
        <v>226</v>
      </c>
      <c r="AJ205" t="s">
        <v>256</v>
      </c>
      <c r="AK205">
        <v>0</v>
      </c>
      <c r="AL205">
        <v>0</v>
      </c>
      <c r="AM205">
        <v>0</v>
      </c>
    </row>
    <row r="206" spans="1:39" x14ac:dyDescent="0.25">
      <c r="A206" t="s">
        <v>233</v>
      </c>
      <c r="B206" t="str">
        <f>'Basis Options'!C211</f>
        <v>NI6136.1</v>
      </c>
      <c r="C206" t="s">
        <v>255</v>
      </c>
      <c r="D206" t="s">
        <v>234</v>
      </c>
      <c r="E206" t="s">
        <v>20</v>
      </c>
      <c r="F206" t="str">
        <f>'Basis Options'!A211</f>
        <v>SOUTHERCOMENEMA</v>
      </c>
      <c r="G206" t="s">
        <v>269</v>
      </c>
      <c r="H206" t="s">
        <v>254</v>
      </c>
      <c r="I206" t="s">
        <v>242</v>
      </c>
      <c r="J206" t="s">
        <v>235</v>
      </c>
      <c r="K206" s="380">
        <f>'Basis Options'!G211</f>
        <v>36831</v>
      </c>
      <c r="L206" s="235">
        <f>'Basis Options'!U211</f>
        <v>-24151.741968053168</v>
      </c>
      <c r="M206" s="380">
        <f>'Basis Options'!Q211</f>
        <v>36829</v>
      </c>
      <c r="N206" t="str">
        <f>'Basis Options'!F211</f>
        <v>C</v>
      </c>
      <c r="O206">
        <f>'Basis Options'!I211</f>
        <v>1.6</v>
      </c>
      <c r="P206">
        <v>0</v>
      </c>
      <c r="Q206">
        <v>0</v>
      </c>
      <c r="R206">
        <v>0</v>
      </c>
      <c r="S206">
        <v>0</v>
      </c>
      <c r="T206" t="s">
        <v>253</v>
      </c>
      <c r="U206" t="str">
        <f>IF('Basis Options'!D211="NGI/CHI. GATE","""NGI/CHI. GATE""",TRIM('Basis Options'!D211))</f>
        <v>IF-TRANSCO/Z6</v>
      </c>
      <c r="V206" t="s">
        <v>253</v>
      </c>
      <c r="W206" t="s">
        <v>132</v>
      </c>
      <c r="X206" t="s">
        <v>253</v>
      </c>
      <c r="Y206" t="s">
        <v>235</v>
      </c>
      <c r="Z206" t="s">
        <v>236</v>
      </c>
      <c r="AA206" t="s">
        <v>253</v>
      </c>
      <c r="AB206" t="s">
        <v>1</v>
      </c>
      <c r="AC206" s="235">
        <f>'Basis Options'!H211</f>
        <v>-500000</v>
      </c>
      <c r="AD206" s="235">
        <f>'Basis Options'!W211</f>
        <v>-11301.038971136048</v>
      </c>
      <c r="AE206">
        <v>0</v>
      </c>
      <c r="AF206">
        <v>0</v>
      </c>
      <c r="AG206">
        <v>0</v>
      </c>
      <c r="AH206" s="235">
        <f>'Basis Options'!CD211</f>
        <v>0</v>
      </c>
      <c r="AI206">
        <v>226</v>
      </c>
      <c r="AJ206" t="s">
        <v>256</v>
      </c>
      <c r="AK206">
        <v>0</v>
      </c>
      <c r="AL206">
        <v>0</v>
      </c>
      <c r="AM206">
        <v>0</v>
      </c>
    </row>
    <row r="207" spans="1:39" x14ac:dyDescent="0.25">
      <c r="A207" t="s">
        <v>233</v>
      </c>
      <c r="B207" t="str">
        <f>'Basis Options'!C212</f>
        <v>NI6136.2</v>
      </c>
      <c r="C207" t="s">
        <v>255</v>
      </c>
      <c r="D207" t="s">
        <v>234</v>
      </c>
      <c r="E207" t="s">
        <v>20</v>
      </c>
      <c r="F207" t="str">
        <f>'Basis Options'!A212</f>
        <v>SOUTHERCOMENEMA</v>
      </c>
      <c r="G207" t="s">
        <v>269</v>
      </c>
      <c r="H207" t="s">
        <v>254</v>
      </c>
      <c r="I207" t="s">
        <v>242</v>
      </c>
      <c r="J207" t="s">
        <v>235</v>
      </c>
      <c r="K207" s="380">
        <f>'Basis Options'!G212</f>
        <v>36951</v>
      </c>
      <c r="L207" s="235">
        <f>'Basis Options'!U212</f>
        <v>108757.24574293871</v>
      </c>
      <c r="M207" s="380">
        <f>'Basis Options'!Q212</f>
        <v>36949</v>
      </c>
      <c r="N207" t="str">
        <f>'Basis Options'!F212</f>
        <v>C</v>
      </c>
      <c r="O207">
        <f>'Basis Options'!I212</f>
        <v>2.1</v>
      </c>
      <c r="P207">
        <v>0</v>
      </c>
      <c r="Q207">
        <v>0</v>
      </c>
      <c r="R207">
        <v>0</v>
      </c>
      <c r="S207">
        <v>0</v>
      </c>
      <c r="T207" t="s">
        <v>253</v>
      </c>
      <c r="U207" t="str">
        <f>IF('Basis Options'!D212="NGI/CHI. GATE","""NGI/CHI. GATE""",TRIM('Basis Options'!D212))</f>
        <v>IF-TRANSCO/Z6</v>
      </c>
      <c r="V207" t="s">
        <v>253</v>
      </c>
      <c r="W207" t="s">
        <v>132</v>
      </c>
      <c r="X207" t="s">
        <v>253</v>
      </c>
      <c r="Y207" t="s">
        <v>235</v>
      </c>
      <c r="Z207" t="s">
        <v>236</v>
      </c>
      <c r="AA207" t="s">
        <v>253</v>
      </c>
      <c r="AB207" t="s">
        <v>1</v>
      </c>
      <c r="AC207" s="235">
        <f>'Basis Options'!H212</f>
        <v>500000</v>
      </c>
      <c r="AD207" s="235">
        <f>'Basis Options'!W212</f>
        <v>33972.484027149098</v>
      </c>
      <c r="AE207">
        <v>0</v>
      </c>
      <c r="AF207">
        <v>0</v>
      </c>
      <c r="AG207">
        <v>0</v>
      </c>
      <c r="AH207" s="235">
        <f>'Basis Options'!CD212</f>
        <v>0</v>
      </c>
      <c r="AI207">
        <v>226</v>
      </c>
      <c r="AJ207" t="s">
        <v>256</v>
      </c>
      <c r="AK207">
        <v>0</v>
      </c>
      <c r="AL207">
        <v>0</v>
      </c>
      <c r="AM207">
        <v>0</v>
      </c>
    </row>
    <row r="208" spans="1:39" x14ac:dyDescent="0.25">
      <c r="A208" t="s">
        <v>233</v>
      </c>
      <c r="B208" t="str">
        <f>'Basis Options'!C213</f>
        <v>NI6136.2</v>
      </c>
      <c r="C208" t="s">
        <v>255</v>
      </c>
      <c r="D208" t="s">
        <v>234</v>
      </c>
      <c r="E208" t="s">
        <v>20</v>
      </c>
      <c r="F208" t="str">
        <f>'Basis Options'!A213</f>
        <v>SOUTHERCOMENEMA</v>
      </c>
      <c r="G208" t="s">
        <v>269</v>
      </c>
      <c r="H208" t="s">
        <v>254</v>
      </c>
      <c r="I208" t="s">
        <v>242</v>
      </c>
      <c r="J208" t="s">
        <v>235</v>
      </c>
      <c r="K208" s="380">
        <f>'Basis Options'!G213</f>
        <v>36923</v>
      </c>
      <c r="L208" s="235">
        <f>'Basis Options'!U213</f>
        <v>338500.91385448625</v>
      </c>
      <c r="M208" s="380">
        <f>'Basis Options'!Q213</f>
        <v>36921</v>
      </c>
      <c r="N208" t="str">
        <f>'Basis Options'!F213</f>
        <v>C</v>
      </c>
      <c r="O208">
        <f>'Basis Options'!I213</f>
        <v>2.1</v>
      </c>
      <c r="P208">
        <v>0</v>
      </c>
      <c r="Q208">
        <v>0</v>
      </c>
      <c r="R208">
        <v>0</v>
      </c>
      <c r="S208">
        <v>0</v>
      </c>
      <c r="T208" t="s">
        <v>253</v>
      </c>
      <c r="U208" t="str">
        <f>IF('Basis Options'!D213="NGI/CHI. GATE","""NGI/CHI. GATE""",TRIM('Basis Options'!D213))</f>
        <v>IF-TRANSCO/Z6</v>
      </c>
      <c r="V208" t="s">
        <v>253</v>
      </c>
      <c r="W208" t="s">
        <v>132</v>
      </c>
      <c r="X208" t="s">
        <v>253</v>
      </c>
      <c r="Y208" t="s">
        <v>235</v>
      </c>
      <c r="Z208" t="s">
        <v>236</v>
      </c>
      <c r="AA208" t="s">
        <v>253</v>
      </c>
      <c r="AB208" t="s">
        <v>1</v>
      </c>
      <c r="AC208" s="235">
        <f>'Basis Options'!H213</f>
        <v>500000</v>
      </c>
      <c r="AD208" s="235">
        <f>'Basis Options'!W213</f>
        <v>42768.837585065281</v>
      </c>
      <c r="AE208">
        <v>0</v>
      </c>
      <c r="AF208">
        <v>0</v>
      </c>
      <c r="AG208">
        <v>0</v>
      </c>
      <c r="AH208" s="235">
        <f>'Basis Options'!CD213</f>
        <v>0</v>
      </c>
      <c r="AI208">
        <v>226</v>
      </c>
      <c r="AJ208" t="s">
        <v>256</v>
      </c>
      <c r="AK208">
        <v>0</v>
      </c>
      <c r="AL208">
        <v>0</v>
      </c>
      <c r="AM208">
        <v>0</v>
      </c>
    </row>
    <row r="209" spans="1:39" x14ac:dyDescent="0.25">
      <c r="A209" t="s">
        <v>233</v>
      </c>
      <c r="B209" t="str">
        <f>'Basis Options'!C214</f>
        <v>NI6136.2</v>
      </c>
      <c r="C209" t="s">
        <v>255</v>
      </c>
      <c r="D209" t="s">
        <v>234</v>
      </c>
      <c r="E209" t="s">
        <v>20</v>
      </c>
      <c r="F209" t="str">
        <f>'Basis Options'!A214</f>
        <v>SOUTHERCOMENEMA</v>
      </c>
      <c r="G209" t="s">
        <v>269</v>
      </c>
      <c r="H209" t="s">
        <v>254</v>
      </c>
      <c r="I209" t="s">
        <v>242</v>
      </c>
      <c r="J209" t="s">
        <v>235</v>
      </c>
      <c r="K209" s="380">
        <f>'Basis Options'!G214</f>
        <v>36892</v>
      </c>
      <c r="L209" s="235">
        <f>'Basis Options'!U214</f>
        <v>340733.99422686337</v>
      </c>
      <c r="M209" s="380">
        <f>'Basis Options'!Q214</f>
        <v>36888</v>
      </c>
      <c r="N209" t="str">
        <f>'Basis Options'!F214</f>
        <v>C</v>
      </c>
      <c r="O209">
        <f>'Basis Options'!I214</f>
        <v>2.1</v>
      </c>
      <c r="P209">
        <v>0</v>
      </c>
      <c r="Q209">
        <v>0</v>
      </c>
      <c r="R209">
        <v>0</v>
      </c>
      <c r="S209">
        <v>0</v>
      </c>
      <c r="T209" t="s">
        <v>253</v>
      </c>
      <c r="U209" t="str">
        <f>IF('Basis Options'!D214="NGI/CHI. GATE","""NGI/CHI. GATE""",TRIM('Basis Options'!D214))</f>
        <v>IF-TRANSCO/Z6</v>
      </c>
      <c r="V209" t="s">
        <v>253</v>
      </c>
      <c r="W209" t="s">
        <v>132</v>
      </c>
      <c r="X209" t="s">
        <v>253</v>
      </c>
      <c r="Y209" t="s">
        <v>235</v>
      </c>
      <c r="Z209" t="s">
        <v>236</v>
      </c>
      <c r="AA209" t="s">
        <v>253</v>
      </c>
      <c r="AB209" t="s">
        <v>1</v>
      </c>
      <c r="AC209" s="235">
        <f>'Basis Options'!H214</f>
        <v>500000</v>
      </c>
      <c r="AD209" s="235">
        <f>'Basis Options'!W214</f>
        <v>39161.100349723361</v>
      </c>
      <c r="AE209">
        <v>0</v>
      </c>
      <c r="AF209">
        <v>0</v>
      </c>
      <c r="AG209">
        <v>0</v>
      </c>
      <c r="AH209" s="235">
        <f>'Basis Options'!CD214</f>
        <v>0</v>
      </c>
      <c r="AI209">
        <v>226</v>
      </c>
      <c r="AJ209" t="s">
        <v>256</v>
      </c>
      <c r="AK209">
        <v>0</v>
      </c>
      <c r="AL209">
        <v>0</v>
      </c>
      <c r="AM209">
        <v>0</v>
      </c>
    </row>
    <row r="210" spans="1:39" x14ac:dyDescent="0.25">
      <c r="A210" t="s">
        <v>233</v>
      </c>
      <c r="B210" t="str">
        <f>'Basis Options'!C215</f>
        <v>NI6136.2</v>
      </c>
      <c r="C210" t="s">
        <v>255</v>
      </c>
      <c r="D210" t="s">
        <v>234</v>
      </c>
      <c r="E210" t="s">
        <v>20</v>
      </c>
      <c r="F210" t="str">
        <f>'Basis Options'!A215</f>
        <v>SOUTHERCOMENEMA</v>
      </c>
      <c r="G210" t="s">
        <v>269</v>
      </c>
      <c r="H210" t="s">
        <v>254</v>
      </c>
      <c r="I210" t="s">
        <v>242</v>
      </c>
      <c r="J210" t="s">
        <v>235</v>
      </c>
      <c r="K210" s="380">
        <f>'Basis Options'!G215</f>
        <v>36861</v>
      </c>
      <c r="L210" s="235">
        <f>'Basis Options'!U215</f>
        <v>174269.86441890677</v>
      </c>
      <c r="M210" s="380">
        <f>'Basis Options'!Q215</f>
        <v>36859</v>
      </c>
      <c r="N210" t="str">
        <f>'Basis Options'!F215</f>
        <v>C</v>
      </c>
      <c r="O210">
        <f>'Basis Options'!I215</f>
        <v>2.1</v>
      </c>
      <c r="P210">
        <v>0</v>
      </c>
      <c r="Q210">
        <v>0</v>
      </c>
      <c r="R210">
        <v>0</v>
      </c>
      <c r="S210">
        <v>0</v>
      </c>
      <c r="T210" t="s">
        <v>253</v>
      </c>
      <c r="U210" t="str">
        <f>IF('Basis Options'!D215="NGI/CHI. GATE","""NGI/CHI. GATE""",TRIM('Basis Options'!D215))</f>
        <v>IF-TRANSCO/Z6</v>
      </c>
      <c r="V210" t="s">
        <v>253</v>
      </c>
      <c r="W210" t="s">
        <v>132</v>
      </c>
      <c r="X210" t="s">
        <v>253</v>
      </c>
      <c r="Y210" t="s">
        <v>235</v>
      </c>
      <c r="Z210" t="s">
        <v>236</v>
      </c>
      <c r="AA210" t="s">
        <v>253</v>
      </c>
      <c r="AB210" t="s">
        <v>1</v>
      </c>
      <c r="AC210" s="235">
        <f>'Basis Options'!H215</f>
        <v>500000</v>
      </c>
      <c r="AD210" s="235">
        <f>'Basis Options'!W215</f>
        <v>32772.422802442481</v>
      </c>
      <c r="AE210">
        <v>0</v>
      </c>
      <c r="AF210">
        <v>0</v>
      </c>
      <c r="AG210">
        <v>0</v>
      </c>
      <c r="AH210" s="235">
        <f>'Basis Options'!CD215</f>
        <v>0</v>
      </c>
      <c r="AI210">
        <v>226</v>
      </c>
      <c r="AJ210" t="s">
        <v>256</v>
      </c>
      <c r="AK210">
        <v>0</v>
      </c>
      <c r="AL210">
        <v>0</v>
      </c>
      <c r="AM210">
        <v>0</v>
      </c>
    </row>
    <row r="211" spans="1:39" x14ac:dyDescent="0.25">
      <c r="A211" t="s">
        <v>233</v>
      </c>
      <c r="B211" t="str">
        <f>'Basis Options'!C216</f>
        <v>NI6136.2</v>
      </c>
      <c r="C211" t="s">
        <v>255</v>
      </c>
      <c r="D211" t="s">
        <v>234</v>
      </c>
      <c r="E211" t="s">
        <v>20</v>
      </c>
      <c r="F211" t="str">
        <f>'Basis Options'!A216</f>
        <v>SOUTHERCOMENEMA</v>
      </c>
      <c r="G211" t="s">
        <v>269</v>
      </c>
      <c r="H211" t="s">
        <v>254</v>
      </c>
      <c r="I211" t="s">
        <v>242</v>
      </c>
      <c r="J211" t="s">
        <v>235</v>
      </c>
      <c r="K211" s="380">
        <f>'Basis Options'!G216</f>
        <v>36831</v>
      </c>
      <c r="L211" s="235">
        <f>'Basis Options'!U216</f>
        <v>7781.6581171280686</v>
      </c>
      <c r="M211" s="380">
        <f>'Basis Options'!Q216</f>
        <v>36829</v>
      </c>
      <c r="N211" t="str">
        <f>'Basis Options'!F216</f>
        <v>C</v>
      </c>
      <c r="O211">
        <f>'Basis Options'!I216</f>
        <v>2.1</v>
      </c>
      <c r="P211">
        <v>0</v>
      </c>
      <c r="Q211">
        <v>0</v>
      </c>
      <c r="R211">
        <v>0</v>
      </c>
      <c r="S211">
        <v>0</v>
      </c>
      <c r="T211" t="s">
        <v>253</v>
      </c>
      <c r="U211" t="str">
        <f>IF('Basis Options'!D216="NGI/CHI. GATE","""NGI/CHI. GATE""",TRIM('Basis Options'!D216))</f>
        <v>IF-TRANSCO/Z6</v>
      </c>
      <c r="V211" t="s">
        <v>253</v>
      </c>
      <c r="W211" t="s">
        <v>132</v>
      </c>
      <c r="X211" t="s">
        <v>253</v>
      </c>
      <c r="Y211" t="s">
        <v>235</v>
      </c>
      <c r="Z211" t="s">
        <v>236</v>
      </c>
      <c r="AA211" t="s">
        <v>253</v>
      </c>
      <c r="AB211" t="s">
        <v>1</v>
      </c>
      <c r="AC211" s="235">
        <f>'Basis Options'!H216</f>
        <v>500000</v>
      </c>
      <c r="AD211" s="235">
        <f>'Basis Options'!W216</f>
        <v>5176.0074193597138</v>
      </c>
      <c r="AE211">
        <v>0</v>
      </c>
      <c r="AF211">
        <v>0</v>
      </c>
      <c r="AG211">
        <v>0</v>
      </c>
      <c r="AH211" s="235">
        <f>'Basis Options'!CD216</f>
        <v>0</v>
      </c>
      <c r="AI211">
        <v>226</v>
      </c>
      <c r="AJ211" t="s">
        <v>256</v>
      </c>
      <c r="AK211">
        <v>0</v>
      </c>
      <c r="AL211">
        <v>0</v>
      </c>
      <c r="AM211">
        <v>0</v>
      </c>
    </row>
    <row r="212" spans="1:39" x14ac:dyDescent="0.25">
      <c r="A212" t="s">
        <v>233</v>
      </c>
      <c r="B212" t="str">
        <f>'Basis Options'!C217</f>
        <v>NJ0119.1</v>
      </c>
      <c r="C212" t="s">
        <v>255</v>
      </c>
      <c r="D212" t="s">
        <v>234</v>
      </c>
      <c r="E212" t="s">
        <v>20</v>
      </c>
      <c r="F212" t="str">
        <f>'Basis Options'!A217</f>
        <v>DYNEGYMARAND</v>
      </c>
      <c r="G212" t="s">
        <v>269</v>
      </c>
      <c r="H212" t="s">
        <v>254</v>
      </c>
      <c r="I212" t="s">
        <v>242</v>
      </c>
      <c r="J212" t="s">
        <v>235</v>
      </c>
      <c r="K212" s="380">
        <f>'Basis Options'!G217</f>
        <v>36831</v>
      </c>
      <c r="L212" s="235">
        <f>'Basis Options'!U217</f>
        <v>168441.77648588188</v>
      </c>
      <c r="M212" s="380">
        <f>'Basis Options'!Q217</f>
        <v>36829</v>
      </c>
      <c r="N212" t="str">
        <f>'Basis Options'!F217</f>
        <v>C</v>
      </c>
      <c r="O212">
        <f>'Basis Options'!I217</f>
        <v>1</v>
      </c>
      <c r="P212">
        <v>0</v>
      </c>
      <c r="Q212">
        <v>0</v>
      </c>
      <c r="R212">
        <v>0</v>
      </c>
      <c r="S212">
        <v>0</v>
      </c>
      <c r="T212" t="s">
        <v>253</v>
      </c>
      <c r="U212" t="str">
        <f>IF('Basis Options'!D217="NGI/CHI. GATE","""NGI/CHI. GATE""",TRIM('Basis Options'!D217))</f>
        <v>IF-TRANSCO/Z6</v>
      </c>
      <c r="V212" t="s">
        <v>253</v>
      </c>
      <c r="W212" t="s">
        <v>132</v>
      </c>
      <c r="X212" t="s">
        <v>253</v>
      </c>
      <c r="Y212" t="s">
        <v>235</v>
      </c>
      <c r="Z212" t="s">
        <v>236</v>
      </c>
      <c r="AA212" t="s">
        <v>253</v>
      </c>
      <c r="AB212" t="s">
        <v>1</v>
      </c>
      <c r="AC212" s="235">
        <f>'Basis Options'!H217</f>
        <v>1000000</v>
      </c>
      <c r="AD212" s="235">
        <f>'Basis Options'!W217</f>
        <v>41450.562083785946</v>
      </c>
      <c r="AE212">
        <v>0</v>
      </c>
      <c r="AF212">
        <v>0</v>
      </c>
      <c r="AG212">
        <v>0</v>
      </c>
      <c r="AH212" s="235">
        <f>'Basis Options'!CD217</f>
        <v>0</v>
      </c>
      <c r="AI212">
        <v>226</v>
      </c>
      <c r="AJ212" t="s">
        <v>256</v>
      </c>
      <c r="AK212">
        <v>0</v>
      </c>
      <c r="AL212">
        <v>0</v>
      </c>
      <c r="AM212">
        <v>0</v>
      </c>
    </row>
    <row r="213" spans="1:39" x14ac:dyDescent="0.25">
      <c r="A213" t="s">
        <v>233</v>
      </c>
      <c r="B213" t="str">
        <f>'Basis Options'!C218</f>
        <v>NJ0240.1</v>
      </c>
      <c r="C213" t="s">
        <v>255</v>
      </c>
      <c r="D213" t="s">
        <v>234</v>
      </c>
      <c r="E213" t="s">
        <v>20</v>
      </c>
      <c r="F213" t="str">
        <f>'Basis Options'!A218</f>
        <v>CMSMARSERTRA</v>
      </c>
      <c r="G213" t="s">
        <v>269</v>
      </c>
      <c r="H213" t="s">
        <v>254</v>
      </c>
      <c r="I213" t="s">
        <v>242</v>
      </c>
      <c r="J213" t="s">
        <v>235</v>
      </c>
      <c r="K213" s="380">
        <f>'Basis Options'!G218</f>
        <v>36951</v>
      </c>
      <c r="L213" s="235">
        <f>'Basis Options'!U218</f>
        <v>-101883.70776530547</v>
      </c>
      <c r="M213" s="380">
        <f>'Basis Options'!Q218</f>
        <v>36949</v>
      </c>
      <c r="N213" t="str">
        <f>'Basis Options'!F218</f>
        <v>C</v>
      </c>
      <c r="O213">
        <f>'Basis Options'!I218</f>
        <v>1.6</v>
      </c>
      <c r="P213">
        <v>0</v>
      </c>
      <c r="Q213">
        <v>0</v>
      </c>
      <c r="R213">
        <v>0</v>
      </c>
      <c r="S213">
        <v>0</v>
      </c>
      <c r="T213" t="s">
        <v>253</v>
      </c>
      <c r="U213" t="str">
        <f>IF('Basis Options'!D218="NGI/CHI. GATE","""NGI/CHI. GATE""",TRIM('Basis Options'!D218))</f>
        <v>IF-TRANSCO/Z6</v>
      </c>
      <c r="V213" t="s">
        <v>253</v>
      </c>
      <c r="W213" t="s">
        <v>132</v>
      </c>
      <c r="X213" t="s">
        <v>253</v>
      </c>
      <c r="Y213" t="s">
        <v>235</v>
      </c>
      <c r="Z213" t="s">
        <v>236</v>
      </c>
      <c r="AA213" t="s">
        <v>253</v>
      </c>
      <c r="AB213" t="s">
        <v>1</v>
      </c>
      <c r="AC213" s="235">
        <f>'Basis Options'!H218</f>
        <v>-310000</v>
      </c>
      <c r="AD213" s="235">
        <f>'Basis Options'!W218</f>
        <v>-25028.084587512116</v>
      </c>
      <c r="AE213">
        <v>0</v>
      </c>
      <c r="AF213">
        <v>0</v>
      </c>
      <c r="AG213">
        <v>0</v>
      </c>
      <c r="AH213" s="235">
        <f>'Basis Options'!CD218</f>
        <v>0</v>
      </c>
      <c r="AI213">
        <v>226</v>
      </c>
      <c r="AJ213" t="s">
        <v>256</v>
      </c>
      <c r="AK213">
        <v>0</v>
      </c>
      <c r="AL213">
        <v>0</v>
      </c>
      <c r="AM213">
        <v>0</v>
      </c>
    </row>
    <row r="214" spans="1:39" x14ac:dyDescent="0.25">
      <c r="A214" t="s">
        <v>233</v>
      </c>
      <c r="B214" t="str">
        <f>'Basis Options'!C219</f>
        <v>NJ0240.1</v>
      </c>
      <c r="C214" t="s">
        <v>255</v>
      </c>
      <c r="D214" t="s">
        <v>234</v>
      </c>
      <c r="E214" t="s">
        <v>20</v>
      </c>
      <c r="F214" t="str">
        <f>'Basis Options'!A219</f>
        <v>CMSMARSERTRA</v>
      </c>
      <c r="G214" t="s">
        <v>269</v>
      </c>
      <c r="H214" t="s">
        <v>254</v>
      </c>
      <c r="I214" t="s">
        <v>242</v>
      </c>
      <c r="J214" t="s">
        <v>235</v>
      </c>
      <c r="K214" s="380">
        <f>'Basis Options'!G219</f>
        <v>36923</v>
      </c>
      <c r="L214" s="235">
        <f>'Basis Options'!U219</f>
        <v>-253217.07146034666</v>
      </c>
      <c r="M214" s="380">
        <f>'Basis Options'!Q219</f>
        <v>36921</v>
      </c>
      <c r="N214" t="str">
        <f>'Basis Options'!F219</f>
        <v>C</v>
      </c>
      <c r="O214">
        <f>'Basis Options'!I219</f>
        <v>1.6</v>
      </c>
      <c r="P214">
        <v>0</v>
      </c>
      <c r="Q214">
        <v>0</v>
      </c>
      <c r="R214">
        <v>0</v>
      </c>
      <c r="S214">
        <v>0</v>
      </c>
      <c r="T214" t="s">
        <v>253</v>
      </c>
      <c r="U214" t="str">
        <f>IF('Basis Options'!D219="NGI/CHI. GATE","""NGI/CHI. GATE""",TRIM('Basis Options'!D219))</f>
        <v>IF-TRANSCO/Z6</v>
      </c>
      <c r="V214" t="s">
        <v>253</v>
      </c>
      <c r="W214" t="s">
        <v>132</v>
      </c>
      <c r="X214" t="s">
        <v>253</v>
      </c>
      <c r="Y214" t="s">
        <v>235</v>
      </c>
      <c r="Z214" t="s">
        <v>236</v>
      </c>
      <c r="AA214" t="s">
        <v>253</v>
      </c>
      <c r="AB214" t="s">
        <v>1</v>
      </c>
      <c r="AC214" s="235">
        <f>'Basis Options'!H219</f>
        <v>-280000</v>
      </c>
      <c r="AD214" s="235">
        <f>'Basis Options'!W219</f>
        <v>-23432.843984551815</v>
      </c>
      <c r="AE214">
        <v>0</v>
      </c>
      <c r="AF214">
        <v>0</v>
      </c>
      <c r="AG214">
        <v>0</v>
      </c>
      <c r="AH214" s="235">
        <f>'Basis Options'!CD219</f>
        <v>0</v>
      </c>
      <c r="AI214">
        <v>226</v>
      </c>
      <c r="AJ214" t="s">
        <v>256</v>
      </c>
      <c r="AK214">
        <v>0</v>
      </c>
      <c r="AL214">
        <v>0</v>
      </c>
      <c r="AM214">
        <v>0</v>
      </c>
    </row>
    <row r="215" spans="1:39" x14ac:dyDescent="0.25">
      <c r="A215" t="s">
        <v>233</v>
      </c>
      <c r="B215" t="str">
        <f>'Basis Options'!C220</f>
        <v>NJ0240.1</v>
      </c>
      <c r="C215" t="s">
        <v>255</v>
      </c>
      <c r="D215" t="s">
        <v>234</v>
      </c>
      <c r="E215" t="s">
        <v>20</v>
      </c>
      <c r="F215" t="str">
        <f>'Basis Options'!A220</f>
        <v>CMSMARSERTRA</v>
      </c>
      <c r="G215" t="s">
        <v>269</v>
      </c>
      <c r="H215" t="s">
        <v>254</v>
      </c>
      <c r="I215" t="s">
        <v>242</v>
      </c>
      <c r="J215" t="s">
        <v>235</v>
      </c>
      <c r="K215" s="380">
        <f>'Basis Options'!G220</f>
        <v>36892</v>
      </c>
      <c r="L215" s="235">
        <f>'Basis Options'!U220</f>
        <v>-287041.16074540868</v>
      </c>
      <c r="M215" s="380">
        <f>'Basis Options'!Q220</f>
        <v>36888</v>
      </c>
      <c r="N215" t="str">
        <f>'Basis Options'!F220</f>
        <v>C</v>
      </c>
      <c r="O215">
        <f>'Basis Options'!I220</f>
        <v>1.6</v>
      </c>
      <c r="P215">
        <v>0</v>
      </c>
      <c r="Q215">
        <v>0</v>
      </c>
      <c r="R215">
        <v>0</v>
      </c>
      <c r="S215">
        <v>0</v>
      </c>
      <c r="T215" t="s">
        <v>253</v>
      </c>
      <c r="U215" t="str">
        <f>IF('Basis Options'!D220="NGI/CHI. GATE","""NGI/CHI. GATE""",TRIM('Basis Options'!D220))</f>
        <v>IF-TRANSCO/Z6</v>
      </c>
      <c r="V215" t="s">
        <v>253</v>
      </c>
      <c r="W215" t="s">
        <v>132</v>
      </c>
      <c r="X215" t="s">
        <v>253</v>
      </c>
      <c r="Y215" t="s">
        <v>235</v>
      </c>
      <c r="Z215" t="s">
        <v>236</v>
      </c>
      <c r="AA215" t="s">
        <v>253</v>
      </c>
      <c r="AB215" t="s">
        <v>1</v>
      </c>
      <c r="AC215" s="235">
        <f>'Basis Options'!H220</f>
        <v>-310000</v>
      </c>
      <c r="AD215" s="235">
        <f>'Basis Options'!W220</f>
        <v>-23252.565163091291</v>
      </c>
      <c r="AE215">
        <v>0</v>
      </c>
      <c r="AF215">
        <v>0</v>
      </c>
      <c r="AG215">
        <v>0</v>
      </c>
      <c r="AH215" s="235">
        <f>'Basis Options'!CD220</f>
        <v>0</v>
      </c>
      <c r="AI215">
        <v>226</v>
      </c>
      <c r="AJ215" t="s">
        <v>256</v>
      </c>
      <c r="AK215">
        <v>0</v>
      </c>
      <c r="AL215">
        <v>0</v>
      </c>
      <c r="AM215">
        <v>0</v>
      </c>
    </row>
    <row r="216" spans="1:39" x14ac:dyDescent="0.25">
      <c r="A216" t="s">
        <v>233</v>
      </c>
      <c r="B216" t="str">
        <f>'Basis Options'!C221</f>
        <v>NJ0240.1</v>
      </c>
      <c r="C216" t="s">
        <v>255</v>
      </c>
      <c r="D216" t="s">
        <v>234</v>
      </c>
      <c r="E216" t="s">
        <v>20</v>
      </c>
      <c r="F216" t="str">
        <f>'Basis Options'!A221</f>
        <v>CMSMARSERTRA</v>
      </c>
      <c r="G216" t="s">
        <v>269</v>
      </c>
      <c r="H216" t="s">
        <v>254</v>
      </c>
      <c r="I216" t="s">
        <v>242</v>
      </c>
      <c r="J216" t="s">
        <v>235</v>
      </c>
      <c r="K216" s="380">
        <f>'Basis Options'!G221</f>
        <v>36861</v>
      </c>
      <c r="L216" s="235">
        <f>'Basis Options'!U221</f>
        <v>-165131.86035687133</v>
      </c>
      <c r="M216" s="380">
        <f>'Basis Options'!Q221</f>
        <v>36859</v>
      </c>
      <c r="N216" t="str">
        <f>'Basis Options'!F221</f>
        <v>C</v>
      </c>
      <c r="O216">
        <f>'Basis Options'!I221</f>
        <v>1.6</v>
      </c>
      <c r="P216">
        <v>0</v>
      </c>
      <c r="Q216">
        <v>0</v>
      </c>
      <c r="R216">
        <v>0</v>
      </c>
      <c r="S216">
        <v>0</v>
      </c>
      <c r="T216" t="s">
        <v>253</v>
      </c>
      <c r="U216" t="str">
        <f>IF('Basis Options'!D221="NGI/CHI. GATE","""NGI/CHI. GATE""",TRIM('Basis Options'!D221))</f>
        <v>IF-TRANSCO/Z6</v>
      </c>
      <c r="V216" t="s">
        <v>253</v>
      </c>
      <c r="W216" t="s">
        <v>132</v>
      </c>
      <c r="X216" t="s">
        <v>253</v>
      </c>
      <c r="Y216" t="s">
        <v>235</v>
      </c>
      <c r="Z216" t="s">
        <v>236</v>
      </c>
      <c r="AA216" t="s">
        <v>253</v>
      </c>
      <c r="AB216" t="s">
        <v>1</v>
      </c>
      <c r="AC216" s="235">
        <f>'Basis Options'!H221</f>
        <v>-310000</v>
      </c>
      <c r="AD216" s="235">
        <f>'Basis Options'!W221</f>
        <v>-21834.350725072436</v>
      </c>
      <c r="AE216">
        <v>0</v>
      </c>
      <c r="AF216">
        <v>0</v>
      </c>
      <c r="AG216">
        <v>0</v>
      </c>
      <c r="AH216" s="235">
        <f>'Basis Options'!CD221</f>
        <v>0</v>
      </c>
      <c r="AI216">
        <v>226</v>
      </c>
      <c r="AJ216" t="s">
        <v>256</v>
      </c>
      <c r="AK216">
        <v>0</v>
      </c>
      <c r="AL216">
        <v>0</v>
      </c>
      <c r="AM216">
        <v>0</v>
      </c>
    </row>
    <row r="217" spans="1:39" x14ac:dyDescent="0.25">
      <c r="A217" t="s">
        <v>233</v>
      </c>
      <c r="B217" t="str">
        <f>'Basis Options'!C222</f>
        <v>NJ0240.1</v>
      </c>
      <c r="C217" t="s">
        <v>255</v>
      </c>
      <c r="D217" t="s">
        <v>234</v>
      </c>
      <c r="E217" t="s">
        <v>20</v>
      </c>
      <c r="F217" t="str">
        <f>'Basis Options'!A222</f>
        <v>CMSMARSERTRA</v>
      </c>
      <c r="G217" t="s">
        <v>269</v>
      </c>
      <c r="H217" t="s">
        <v>254</v>
      </c>
      <c r="I217" t="s">
        <v>242</v>
      </c>
      <c r="J217" t="s">
        <v>235</v>
      </c>
      <c r="K217" s="380">
        <f>'Basis Options'!G222</f>
        <v>36831</v>
      </c>
      <c r="L217" s="235">
        <f>'Basis Options'!U222</f>
        <v>-14491.045180831899</v>
      </c>
      <c r="M217" s="380">
        <f>'Basis Options'!Q222</f>
        <v>36829</v>
      </c>
      <c r="N217" t="str">
        <f>'Basis Options'!F222</f>
        <v>C</v>
      </c>
      <c r="O217">
        <f>'Basis Options'!I222</f>
        <v>1.6</v>
      </c>
      <c r="P217">
        <v>0</v>
      </c>
      <c r="Q217">
        <v>0</v>
      </c>
      <c r="R217">
        <v>0</v>
      </c>
      <c r="S217">
        <v>0</v>
      </c>
      <c r="T217" t="s">
        <v>253</v>
      </c>
      <c r="U217" t="str">
        <f>IF('Basis Options'!D222="NGI/CHI. GATE","""NGI/CHI. GATE""",TRIM('Basis Options'!D222))</f>
        <v>IF-TRANSCO/Z6</v>
      </c>
      <c r="V217" t="s">
        <v>253</v>
      </c>
      <c r="W217" t="s">
        <v>132</v>
      </c>
      <c r="X217" t="s">
        <v>253</v>
      </c>
      <c r="Y217" t="s">
        <v>235</v>
      </c>
      <c r="Z217" t="s">
        <v>236</v>
      </c>
      <c r="AA217" t="s">
        <v>253</v>
      </c>
      <c r="AB217" t="s">
        <v>1</v>
      </c>
      <c r="AC217" s="235">
        <f>'Basis Options'!H222</f>
        <v>-300000</v>
      </c>
      <c r="AD217" s="235">
        <f>'Basis Options'!W222</f>
        <v>-6780.6233826816242</v>
      </c>
      <c r="AE217">
        <v>0</v>
      </c>
      <c r="AF217">
        <v>0</v>
      </c>
      <c r="AG217">
        <v>0</v>
      </c>
      <c r="AH217" s="235">
        <f>'Basis Options'!CD222</f>
        <v>0</v>
      </c>
      <c r="AI217">
        <v>226</v>
      </c>
      <c r="AJ217" t="s">
        <v>256</v>
      </c>
      <c r="AK217">
        <v>0</v>
      </c>
      <c r="AL217">
        <v>0</v>
      </c>
      <c r="AM217">
        <v>0</v>
      </c>
    </row>
    <row r="218" spans="1:39" x14ac:dyDescent="0.25">
      <c r="A218" t="s">
        <v>233</v>
      </c>
      <c r="B218" t="str">
        <f>'Basis Options'!C223</f>
        <v>NJ0240.2</v>
      </c>
      <c r="C218" t="s">
        <v>255</v>
      </c>
      <c r="D218" t="s">
        <v>234</v>
      </c>
      <c r="E218" t="s">
        <v>20</v>
      </c>
      <c r="F218" t="str">
        <f>'Basis Options'!A223</f>
        <v>CMSMARSERTRA</v>
      </c>
      <c r="G218" t="s">
        <v>269</v>
      </c>
      <c r="H218" t="s">
        <v>254</v>
      </c>
      <c r="I218" t="s">
        <v>242</v>
      </c>
      <c r="J218" t="s">
        <v>235</v>
      </c>
      <c r="K218" s="380">
        <f>'Basis Options'!G223</f>
        <v>36951</v>
      </c>
      <c r="L218" s="235">
        <f>'Basis Options'!U223</f>
        <v>67429.492360621996</v>
      </c>
      <c r="M218" s="380">
        <f>'Basis Options'!Q223</f>
        <v>36949</v>
      </c>
      <c r="N218" t="str">
        <f>'Basis Options'!F223</f>
        <v>C</v>
      </c>
      <c r="O218">
        <f>'Basis Options'!I223</f>
        <v>2.1</v>
      </c>
      <c r="P218">
        <v>0</v>
      </c>
      <c r="Q218">
        <v>0</v>
      </c>
      <c r="R218">
        <v>0</v>
      </c>
      <c r="S218">
        <v>0</v>
      </c>
      <c r="T218" t="s">
        <v>253</v>
      </c>
      <c r="U218" t="str">
        <f>IF('Basis Options'!D223="NGI/CHI. GATE","""NGI/CHI. GATE""",TRIM('Basis Options'!D223))</f>
        <v>IF-TRANSCO/Z6</v>
      </c>
      <c r="V218" t="s">
        <v>253</v>
      </c>
      <c r="W218" t="s">
        <v>132</v>
      </c>
      <c r="X218" t="s">
        <v>253</v>
      </c>
      <c r="Y218" t="s">
        <v>235</v>
      </c>
      <c r="Z218" t="s">
        <v>236</v>
      </c>
      <c r="AA218" t="s">
        <v>253</v>
      </c>
      <c r="AB218" t="s">
        <v>1</v>
      </c>
      <c r="AC218" s="235">
        <f>'Basis Options'!H223</f>
        <v>310000</v>
      </c>
      <c r="AD218" s="235">
        <f>'Basis Options'!W223</f>
        <v>21062.940096832433</v>
      </c>
      <c r="AE218">
        <v>0</v>
      </c>
      <c r="AF218">
        <v>0</v>
      </c>
      <c r="AG218">
        <v>0</v>
      </c>
      <c r="AH218" s="235">
        <f>'Basis Options'!CD223</f>
        <v>0</v>
      </c>
      <c r="AI218">
        <v>226</v>
      </c>
      <c r="AJ218" t="s">
        <v>256</v>
      </c>
      <c r="AK218">
        <v>0</v>
      </c>
      <c r="AL218">
        <v>0</v>
      </c>
      <c r="AM218">
        <v>0</v>
      </c>
    </row>
    <row r="219" spans="1:39" x14ac:dyDescent="0.25">
      <c r="A219" t="s">
        <v>233</v>
      </c>
      <c r="B219" t="str">
        <f>'Basis Options'!C224</f>
        <v>NJ0240.2</v>
      </c>
      <c r="C219" t="s">
        <v>255</v>
      </c>
      <c r="D219" t="s">
        <v>234</v>
      </c>
      <c r="E219" t="s">
        <v>20</v>
      </c>
      <c r="F219" t="str">
        <f>'Basis Options'!A224</f>
        <v>CMSMARSERTRA</v>
      </c>
      <c r="G219" t="s">
        <v>269</v>
      </c>
      <c r="H219" t="s">
        <v>254</v>
      </c>
      <c r="I219" t="s">
        <v>242</v>
      </c>
      <c r="J219" t="s">
        <v>235</v>
      </c>
      <c r="K219" s="380">
        <f>'Basis Options'!G224</f>
        <v>36923</v>
      </c>
      <c r="L219" s="235">
        <f>'Basis Options'!U224</f>
        <v>189560.51175851232</v>
      </c>
      <c r="M219" s="380">
        <f>'Basis Options'!Q224</f>
        <v>36921</v>
      </c>
      <c r="N219" t="str">
        <f>'Basis Options'!F224</f>
        <v>C</v>
      </c>
      <c r="O219">
        <f>'Basis Options'!I224</f>
        <v>2.1</v>
      </c>
      <c r="P219">
        <v>0</v>
      </c>
      <c r="Q219">
        <v>0</v>
      </c>
      <c r="R219">
        <v>0</v>
      </c>
      <c r="S219">
        <v>0</v>
      </c>
      <c r="T219" t="s">
        <v>253</v>
      </c>
      <c r="U219" t="str">
        <f>IF('Basis Options'!D224="NGI/CHI. GATE","""NGI/CHI. GATE""",TRIM('Basis Options'!D224))</f>
        <v>IF-TRANSCO/Z6</v>
      </c>
      <c r="V219" t="s">
        <v>253</v>
      </c>
      <c r="W219" t="s">
        <v>132</v>
      </c>
      <c r="X219" t="s">
        <v>253</v>
      </c>
      <c r="Y219" t="s">
        <v>235</v>
      </c>
      <c r="Z219" t="s">
        <v>236</v>
      </c>
      <c r="AA219" t="s">
        <v>253</v>
      </c>
      <c r="AB219" t="s">
        <v>1</v>
      </c>
      <c r="AC219" s="235">
        <f>'Basis Options'!H224</f>
        <v>280000</v>
      </c>
      <c r="AD219" s="235">
        <f>'Basis Options'!W224</f>
        <v>23950.549047636567</v>
      </c>
      <c r="AE219">
        <v>0</v>
      </c>
      <c r="AF219">
        <v>0</v>
      </c>
      <c r="AG219">
        <v>0</v>
      </c>
      <c r="AH219" s="235">
        <f>'Basis Options'!CD224</f>
        <v>0</v>
      </c>
      <c r="AI219">
        <v>226</v>
      </c>
      <c r="AJ219" t="s">
        <v>256</v>
      </c>
      <c r="AK219">
        <v>0</v>
      </c>
      <c r="AL219">
        <v>0</v>
      </c>
      <c r="AM219">
        <v>0</v>
      </c>
    </row>
    <row r="220" spans="1:39" x14ac:dyDescent="0.25">
      <c r="A220" t="s">
        <v>233</v>
      </c>
      <c r="B220" t="str">
        <f>'Basis Options'!C225</f>
        <v>NJ0240.2</v>
      </c>
      <c r="C220" t="s">
        <v>255</v>
      </c>
      <c r="D220" t="s">
        <v>234</v>
      </c>
      <c r="E220" t="s">
        <v>20</v>
      </c>
      <c r="F220" t="str">
        <f>'Basis Options'!A225</f>
        <v>CMSMARSERTRA</v>
      </c>
      <c r="G220" t="s">
        <v>269</v>
      </c>
      <c r="H220" t="s">
        <v>254</v>
      </c>
      <c r="I220" t="s">
        <v>242</v>
      </c>
      <c r="J220" t="s">
        <v>235</v>
      </c>
      <c r="K220" s="380">
        <f>'Basis Options'!G225</f>
        <v>36892</v>
      </c>
      <c r="L220" s="235">
        <f>'Basis Options'!U225</f>
        <v>211255.0764206553</v>
      </c>
      <c r="M220" s="380">
        <f>'Basis Options'!Q225</f>
        <v>36888</v>
      </c>
      <c r="N220" t="str">
        <f>'Basis Options'!F225</f>
        <v>C</v>
      </c>
      <c r="O220">
        <f>'Basis Options'!I225</f>
        <v>2.1</v>
      </c>
      <c r="P220">
        <v>0</v>
      </c>
      <c r="Q220">
        <v>0</v>
      </c>
      <c r="R220">
        <v>0</v>
      </c>
      <c r="S220">
        <v>0</v>
      </c>
      <c r="T220" t="s">
        <v>253</v>
      </c>
      <c r="U220" t="str">
        <f>IF('Basis Options'!D225="NGI/CHI. GATE","""NGI/CHI. GATE""",TRIM('Basis Options'!D225))</f>
        <v>IF-TRANSCO/Z6</v>
      </c>
      <c r="V220" t="s">
        <v>253</v>
      </c>
      <c r="W220" t="s">
        <v>132</v>
      </c>
      <c r="X220" t="s">
        <v>253</v>
      </c>
      <c r="Y220" t="s">
        <v>235</v>
      </c>
      <c r="Z220" t="s">
        <v>236</v>
      </c>
      <c r="AA220" t="s">
        <v>253</v>
      </c>
      <c r="AB220" t="s">
        <v>1</v>
      </c>
      <c r="AC220" s="235">
        <f>'Basis Options'!H225</f>
        <v>310000</v>
      </c>
      <c r="AD220" s="235">
        <f>'Basis Options'!W225</f>
        <v>24279.882216828468</v>
      </c>
      <c r="AE220">
        <v>0</v>
      </c>
      <c r="AF220">
        <v>0</v>
      </c>
      <c r="AG220">
        <v>0</v>
      </c>
      <c r="AH220" s="235">
        <f>'Basis Options'!CD225</f>
        <v>0</v>
      </c>
      <c r="AI220">
        <v>226</v>
      </c>
      <c r="AJ220" t="s">
        <v>256</v>
      </c>
      <c r="AK220">
        <v>0</v>
      </c>
      <c r="AL220">
        <v>0</v>
      </c>
      <c r="AM220">
        <v>0</v>
      </c>
    </row>
    <row r="221" spans="1:39" x14ac:dyDescent="0.25">
      <c r="A221" t="s">
        <v>233</v>
      </c>
      <c r="B221" t="str">
        <f>'Basis Options'!C226</f>
        <v>NJ0240.2</v>
      </c>
      <c r="C221" t="s">
        <v>255</v>
      </c>
      <c r="D221" t="s">
        <v>234</v>
      </c>
      <c r="E221" t="s">
        <v>20</v>
      </c>
      <c r="F221" t="str">
        <f>'Basis Options'!A226</f>
        <v>CMSMARSERTRA</v>
      </c>
      <c r="G221" t="s">
        <v>269</v>
      </c>
      <c r="H221" t="s">
        <v>254</v>
      </c>
      <c r="I221" t="s">
        <v>242</v>
      </c>
      <c r="J221" t="s">
        <v>235</v>
      </c>
      <c r="K221" s="380">
        <f>'Basis Options'!G226</f>
        <v>36861</v>
      </c>
      <c r="L221" s="235">
        <f>'Basis Options'!U226</f>
        <v>108047.31593972219</v>
      </c>
      <c r="M221" s="380">
        <f>'Basis Options'!Q226</f>
        <v>36859</v>
      </c>
      <c r="N221" t="str">
        <f>'Basis Options'!F226</f>
        <v>C</v>
      </c>
      <c r="O221">
        <f>'Basis Options'!I226</f>
        <v>2.1</v>
      </c>
      <c r="P221">
        <v>0</v>
      </c>
      <c r="Q221">
        <v>0</v>
      </c>
      <c r="R221">
        <v>0</v>
      </c>
      <c r="S221">
        <v>0</v>
      </c>
      <c r="T221" t="s">
        <v>253</v>
      </c>
      <c r="U221" t="str">
        <f>IF('Basis Options'!D226="NGI/CHI. GATE","""NGI/CHI. GATE""",TRIM('Basis Options'!D226))</f>
        <v>IF-TRANSCO/Z6</v>
      </c>
      <c r="V221" t="s">
        <v>253</v>
      </c>
      <c r="W221" t="s">
        <v>132</v>
      </c>
      <c r="X221" t="s">
        <v>253</v>
      </c>
      <c r="Y221" t="s">
        <v>235</v>
      </c>
      <c r="Z221" t="s">
        <v>236</v>
      </c>
      <c r="AA221" t="s">
        <v>253</v>
      </c>
      <c r="AB221" t="s">
        <v>1</v>
      </c>
      <c r="AC221" s="235">
        <f>'Basis Options'!H226</f>
        <v>310000</v>
      </c>
      <c r="AD221" s="235">
        <f>'Basis Options'!W226</f>
        <v>20318.90213751432</v>
      </c>
      <c r="AE221">
        <v>0</v>
      </c>
      <c r="AF221">
        <v>0</v>
      </c>
      <c r="AG221">
        <v>0</v>
      </c>
      <c r="AH221" s="235">
        <f>'Basis Options'!CD226</f>
        <v>0</v>
      </c>
      <c r="AI221">
        <v>226</v>
      </c>
      <c r="AJ221" t="s">
        <v>256</v>
      </c>
      <c r="AK221">
        <v>0</v>
      </c>
      <c r="AL221">
        <v>0</v>
      </c>
      <c r="AM221">
        <v>0</v>
      </c>
    </row>
    <row r="222" spans="1:39" x14ac:dyDescent="0.25">
      <c r="A222" t="s">
        <v>233</v>
      </c>
      <c r="B222" t="str">
        <f>'Basis Options'!C227</f>
        <v>NJ0240.2</v>
      </c>
      <c r="C222" t="s">
        <v>255</v>
      </c>
      <c r="D222" t="s">
        <v>234</v>
      </c>
      <c r="E222" t="s">
        <v>20</v>
      </c>
      <c r="F222" t="str">
        <f>'Basis Options'!A227</f>
        <v>CMSMARSERTRA</v>
      </c>
      <c r="G222" t="s">
        <v>269</v>
      </c>
      <c r="H222" t="s">
        <v>254</v>
      </c>
      <c r="I222" t="s">
        <v>242</v>
      </c>
      <c r="J222" t="s">
        <v>235</v>
      </c>
      <c r="K222" s="380">
        <f>'Basis Options'!G227</f>
        <v>36831</v>
      </c>
      <c r="L222" s="235">
        <f>'Basis Options'!U227</f>
        <v>4668.9948702768415</v>
      </c>
      <c r="M222" s="380">
        <f>'Basis Options'!Q227</f>
        <v>36829</v>
      </c>
      <c r="N222" t="str">
        <f>'Basis Options'!F227</f>
        <v>C</v>
      </c>
      <c r="O222">
        <f>'Basis Options'!I227</f>
        <v>2.1</v>
      </c>
      <c r="P222">
        <v>0</v>
      </c>
      <c r="Q222">
        <v>0</v>
      </c>
      <c r="R222">
        <v>0</v>
      </c>
      <c r="S222">
        <v>0</v>
      </c>
      <c r="T222" t="s">
        <v>253</v>
      </c>
      <c r="U222" t="str">
        <f>IF('Basis Options'!D227="NGI/CHI. GATE","""NGI/CHI. GATE""",TRIM('Basis Options'!D227))</f>
        <v>IF-TRANSCO/Z6</v>
      </c>
      <c r="V222" t="s">
        <v>253</v>
      </c>
      <c r="W222" t="s">
        <v>132</v>
      </c>
      <c r="X222" t="s">
        <v>253</v>
      </c>
      <c r="Y222" t="s">
        <v>235</v>
      </c>
      <c r="Z222" t="s">
        <v>236</v>
      </c>
      <c r="AA222" t="s">
        <v>253</v>
      </c>
      <c r="AB222" t="s">
        <v>1</v>
      </c>
      <c r="AC222" s="235">
        <f>'Basis Options'!H227</f>
        <v>300000</v>
      </c>
      <c r="AD222" s="235">
        <f>'Basis Options'!W227</f>
        <v>3105.604451615829</v>
      </c>
      <c r="AE222">
        <v>0</v>
      </c>
      <c r="AF222">
        <v>0</v>
      </c>
      <c r="AG222">
        <v>0</v>
      </c>
      <c r="AH222" s="235">
        <f>'Basis Options'!CD227</f>
        <v>0</v>
      </c>
      <c r="AI222">
        <v>226</v>
      </c>
      <c r="AJ222" t="s">
        <v>256</v>
      </c>
      <c r="AK222">
        <v>0</v>
      </c>
      <c r="AL222">
        <v>0</v>
      </c>
      <c r="AM222">
        <v>0</v>
      </c>
    </row>
    <row r="223" spans="1:39" x14ac:dyDescent="0.25">
      <c r="A223" t="s">
        <v>233</v>
      </c>
      <c r="B223" t="str">
        <f>'Basis Options'!C228</f>
        <v>NJ4328</v>
      </c>
      <c r="C223" t="s">
        <v>255</v>
      </c>
      <c r="D223" t="s">
        <v>234</v>
      </c>
      <c r="E223" t="s">
        <v>20</v>
      </c>
      <c r="F223" t="str">
        <f>'Basis Options'!A228</f>
        <v>PGEENETRAGAS</v>
      </c>
      <c r="G223" t="s">
        <v>269</v>
      </c>
      <c r="H223" t="s">
        <v>254</v>
      </c>
      <c r="I223" t="s">
        <v>242</v>
      </c>
      <c r="J223" t="s">
        <v>235</v>
      </c>
      <c r="K223" s="380">
        <f>'Basis Options'!G228</f>
        <v>36892</v>
      </c>
      <c r="L223" s="235">
        <f>'Basis Options'!U228</f>
        <v>20593.94565404356</v>
      </c>
      <c r="M223" s="380">
        <f>'Basis Options'!Q228</f>
        <v>36888</v>
      </c>
      <c r="N223" t="str">
        <f>'Basis Options'!F228</f>
        <v>C</v>
      </c>
      <c r="O223">
        <f>'Basis Options'!I228</f>
        <v>0.15</v>
      </c>
      <c r="P223">
        <v>0</v>
      </c>
      <c r="Q223">
        <v>0</v>
      </c>
      <c r="R223">
        <v>0</v>
      </c>
      <c r="S223">
        <v>0</v>
      </c>
      <c r="T223" t="s">
        <v>253</v>
      </c>
      <c r="U223" t="str">
        <f>IF('Basis Options'!D228="NGI/CHI. GATE","""NGI/CHI. GATE""",TRIM('Basis Options'!D228))</f>
        <v>"NGI/CHI. GATE"</v>
      </c>
      <c r="V223" t="s">
        <v>253</v>
      </c>
      <c r="W223" t="s">
        <v>132</v>
      </c>
      <c r="X223" t="s">
        <v>253</v>
      </c>
      <c r="Y223" t="s">
        <v>235</v>
      </c>
      <c r="Z223" t="s">
        <v>236</v>
      </c>
      <c r="AA223" t="s">
        <v>253</v>
      </c>
      <c r="AB223" t="s">
        <v>1</v>
      </c>
      <c r="AC223" s="235">
        <f>'Basis Options'!H228</f>
        <v>465000</v>
      </c>
      <c r="AD223" s="235">
        <f>'Basis Options'!W228</f>
        <v>4498.9816128170933</v>
      </c>
      <c r="AE223">
        <v>0</v>
      </c>
      <c r="AF223">
        <v>0</v>
      </c>
      <c r="AG223">
        <v>0</v>
      </c>
      <c r="AH223" s="235">
        <f>'Basis Options'!CD228</f>
        <v>0</v>
      </c>
      <c r="AI223">
        <v>226</v>
      </c>
      <c r="AJ223" t="s">
        <v>256</v>
      </c>
      <c r="AK223">
        <v>0</v>
      </c>
      <c r="AL223">
        <v>0</v>
      </c>
      <c r="AM223">
        <v>0</v>
      </c>
    </row>
    <row r="224" spans="1:39" x14ac:dyDescent="0.25">
      <c r="A224" t="s">
        <v>233</v>
      </c>
      <c r="B224" t="str">
        <f>'Basis Options'!C229</f>
        <v>NJ4328</v>
      </c>
      <c r="C224" t="s">
        <v>255</v>
      </c>
      <c r="D224" t="s">
        <v>234</v>
      </c>
      <c r="E224" t="s">
        <v>20</v>
      </c>
      <c r="F224" t="str">
        <f>'Basis Options'!A229</f>
        <v>PGEENETRAGAS</v>
      </c>
      <c r="G224" t="s">
        <v>269</v>
      </c>
      <c r="H224" t="s">
        <v>254</v>
      </c>
      <c r="I224" t="s">
        <v>242</v>
      </c>
      <c r="J224" t="s">
        <v>235</v>
      </c>
      <c r="K224" s="380">
        <f>'Basis Options'!G229</f>
        <v>36861</v>
      </c>
      <c r="L224" s="235">
        <f>'Basis Options'!U229</f>
        <v>12605.345744536655</v>
      </c>
      <c r="M224" s="380">
        <f>'Basis Options'!Q229</f>
        <v>36859</v>
      </c>
      <c r="N224" t="str">
        <f>'Basis Options'!F229</f>
        <v>C</v>
      </c>
      <c r="O224">
        <f>'Basis Options'!I229</f>
        <v>0.15</v>
      </c>
      <c r="P224">
        <v>0</v>
      </c>
      <c r="Q224">
        <v>0</v>
      </c>
      <c r="R224">
        <v>0</v>
      </c>
      <c r="S224">
        <v>0</v>
      </c>
      <c r="T224" t="s">
        <v>253</v>
      </c>
      <c r="U224" t="str">
        <f>IF('Basis Options'!D229="NGI/CHI. GATE","""NGI/CHI. GATE""",TRIM('Basis Options'!D229))</f>
        <v>"NGI/CHI. GATE"</v>
      </c>
      <c r="V224" t="s">
        <v>253</v>
      </c>
      <c r="W224" t="s">
        <v>132</v>
      </c>
      <c r="X224" t="s">
        <v>253</v>
      </c>
      <c r="Y224" t="s">
        <v>235</v>
      </c>
      <c r="Z224" t="s">
        <v>236</v>
      </c>
      <c r="AA224" t="s">
        <v>253</v>
      </c>
      <c r="AB224" t="s">
        <v>1</v>
      </c>
      <c r="AC224" s="235">
        <f>'Basis Options'!H229</f>
        <v>465000</v>
      </c>
      <c r="AD224" s="235">
        <f>'Basis Options'!W229</f>
        <v>3662.3389548435516</v>
      </c>
      <c r="AE224">
        <v>0</v>
      </c>
      <c r="AF224">
        <v>0</v>
      </c>
      <c r="AG224">
        <v>0</v>
      </c>
      <c r="AH224" s="235">
        <f>'Basis Options'!CD229</f>
        <v>0</v>
      </c>
      <c r="AI224">
        <v>226</v>
      </c>
      <c r="AJ224" t="s">
        <v>256</v>
      </c>
      <c r="AK224">
        <v>0</v>
      </c>
      <c r="AL224">
        <v>0</v>
      </c>
      <c r="AM224">
        <v>0</v>
      </c>
    </row>
    <row r="225" spans="1:39" x14ac:dyDescent="0.25">
      <c r="A225" t="s">
        <v>233</v>
      </c>
      <c r="B225" t="str">
        <f>'Basis Options'!C230</f>
        <v>NJ4410</v>
      </c>
      <c r="C225" t="s">
        <v>255</v>
      </c>
      <c r="D225" t="s">
        <v>234</v>
      </c>
      <c r="E225" t="s">
        <v>20</v>
      </c>
      <c r="F225" t="str">
        <f>'Basis Options'!A230</f>
        <v>DUKEENETRA</v>
      </c>
      <c r="G225" t="s">
        <v>269</v>
      </c>
      <c r="H225" t="s">
        <v>254</v>
      </c>
      <c r="I225" t="s">
        <v>242</v>
      </c>
      <c r="J225" t="s">
        <v>235</v>
      </c>
      <c r="K225" s="380">
        <f>'Basis Options'!G230</f>
        <v>36800</v>
      </c>
      <c r="L225" s="235">
        <f>'Basis Options'!U230</f>
        <v>10904.162691997384</v>
      </c>
      <c r="M225" s="380">
        <f>'Basis Options'!Q230</f>
        <v>36797</v>
      </c>
      <c r="N225" t="str">
        <f>'Basis Options'!F230</f>
        <v>P</v>
      </c>
      <c r="O225">
        <f>'Basis Options'!I230</f>
        <v>0.3</v>
      </c>
      <c r="P225">
        <v>0</v>
      </c>
      <c r="Q225">
        <v>0</v>
      </c>
      <c r="R225">
        <v>0</v>
      </c>
      <c r="S225">
        <v>0</v>
      </c>
      <c r="T225" t="s">
        <v>253</v>
      </c>
      <c r="U225" t="str">
        <f>IF('Basis Options'!D230="NGI/CHI. GATE","""NGI/CHI. GATE""",TRIM('Basis Options'!D230))</f>
        <v>IF-TRANSCO/Z6</v>
      </c>
      <c r="V225" t="s">
        <v>253</v>
      </c>
      <c r="W225" t="s">
        <v>132</v>
      </c>
      <c r="X225" t="s">
        <v>253</v>
      </c>
      <c r="Y225" t="s">
        <v>235</v>
      </c>
      <c r="Z225" t="s">
        <v>236</v>
      </c>
      <c r="AA225" t="s">
        <v>253</v>
      </c>
      <c r="AB225" t="s">
        <v>1</v>
      </c>
      <c r="AC225" s="235">
        <f>'Basis Options'!H230</f>
        <v>1550000</v>
      </c>
      <c r="AD225" s="235">
        <f>'Basis Options'!W230</f>
        <v>5852.7112535614579</v>
      </c>
      <c r="AE225">
        <v>0</v>
      </c>
      <c r="AF225">
        <v>0</v>
      </c>
      <c r="AG225">
        <v>0</v>
      </c>
      <c r="AH225" s="235">
        <f>'Basis Options'!CD230</f>
        <v>0</v>
      </c>
      <c r="AI225">
        <v>226</v>
      </c>
      <c r="AJ225" t="s">
        <v>256</v>
      </c>
      <c r="AK225">
        <v>0</v>
      </c>
      <c r="AL225">
        <v>0</v>
      </c>
      <c r="AM225">
        <v>0</v>
      </c>
    </row>
    <row r="226" spans="1:39" x14ac:dyDescent="0.25">
      <c r="A226" t="s">
        <v>233</v>
      </c>
      <c r="B226" t="str">
        <f>'Basis Options'!C231</f>
        <v>NJ4410</v>
      </c>
      <c r="C226" t="s">
        <v>255</v>
      </c>
      <c r="D226" t="s">
        <v>234</v>
      </c>
      <c r="E226" t="s">
        <v>20</v>
      </c>
      <c r="F226" t="str">
        <f>'Basis Options'!A231</f>
        <v>DUKEENETRA</v>
      </c>
      <c r="G226" t="s">
        <v>269</v>
      </c>
      <c r="H226" t="s">
        <v>254</v>
      </c>
      <c r="I226" t="s">
        <v>242</v>
      </c>
      <c r="J226" t="s">
        <v>235</v>
      </c>
      <c r="K226" s="380">
        <f>'Basis Options'!G231</f>
        <v>36770</v>
      </c>
      <c r="L226" s="235">
        <f>'Basis Options'!U231</f>
        <v>1196.8240411560359</v>
      </c>
      <c r="M226" s="380">
        <f>'Basis Options'!Q231</f>
        <v>36768</v>
      </c>
      <c r="N226" t="str">
        <f>'Basis Options'!F231</f>
        <v>P</v>
      </c>
      <c r="O226">
        <f>'Basis Options'!I231</f>
        <v>0.3</v>
      </c>
      <c r="P226">
        <v>0</v>
      </c>
      <c r="Q226">
        <v>0</v>
      </c>
      <c r="R226">
        <v>0</v>
      </c>
      <c r="S226">
        <v>0</v>
      </c>
      <c r="T226" t="s">
        <v>253</v>
      </c>
      <c r="U226" t="str">
        <f>IF('Basis Options'!D231="NGI/CHI. GATE","""NGI/CHI. GATE""",TRIM('Basis Options'!D231))</f>
        <v>IF-TRANSCO/Z6</v>
      </c>
      <c r="V226" t="s">
        <v>253</v>
      </c>
      <c r="W226" t="s">
        <v>132</v>
      </c>
      <c r="X226" t="s">
        <v>253</v>
      </c>
      <c r="Y226" t="s">
        <v>235</v>
      </c>
      <c r="Z226" t="s">
        <v>236</v>
      </c>
      <c r="AA226" t="s">
        <v>253</v>
      </c>
      <c r="AB226" t="s">
        <v>1</v>
      </c>
      <c r="AC226" s="235">
        <f>'Basis Options'!H231</f>
        <v>1500000</v>
      </c>
      <c r="AD226" s="235">
        <f>'Basis Options'!W231</f>
        <v>694.51093519374263</v>
      </c>
      <c r="AE226">
        <v>0</v>
      </c>
      <c r="AF226">
        <v>0</v>
      </c>
      <c r="AG226">
        <v>0</v>
      </c>
      <c r="AH226" s="235">
        <f>'Basis Options'!CD231</f>
        <v>0</v>
      </c>
      <c r="AI226">
        <v>226</v>
      </c>
      <c r="AJ226" t="s">
        <v>256</v>
      </c>
      <c r="AK226">
        <v>0</v>
      </c>
      <c r="AL226">
        <v>0</v>
      </c>
      <c r="AM226">
        <v>0</v>
      </c>
    </row>
    <row r="227" spans="1:39" x14ac:dyDescent="0.25">
      <c r="A227" t="s">
        <v>233</v>
      </c>
      <c r="B227" t="str">
        <f>'Basis Options'!C232</f>
        <v>NJ7455</v>
      </c>
      <c r="C227" t="s">
        <v>255</v>
      </c>
      <c r="D227" t="s">
        <v>234</v>
      </c>
      <c r="E227" t="s">
        <v>20</v>
      </c>
      <c r="F227" t="str">
        <f>'Basis Options'!A232</f>
        <v>OCCIDENTENEMAR</v>
      </c>
      <c r="G227" t="s">
        <v>269</v>
      </c>
      <c r="H227" t="s">
        <v>254</v>
      </c>
      <c r="I227" t="s">
        <v>242</v>
      </c>
      <c r="J227" t="s">
        <v>235</v>
      </c>
      <c r="K227" s="380">
        <f>'Basis Options'!G232</f>
        <v>36951</v>
      </c>
      <c r="L227" s="235">
        <f>'Basis Options'!U232</f>
        <v>12624.13169612057</v>
      </c>
      <c r="M227" s="380">
        <f>'Basis Options'!Q232</f>
        <v>36949</v>
      </c>
      <c r="N227" t="str">
        <f>'Basis Options'!F232</f>
        <v>C</v>
      </c>
      <c r="O227">
        <f>'Basis Options'!I232</f>
        <v>0.15</v>
      </c>
      <c r="P227">
        <v>0</v>
      </c>
      <c r="Q227">
        <v>0</v>
      </c>
      <c r="R227">
        <v>0</v>
      </c>
      <c r="S227">
        <v>0</v>
      </c>
      <c r="T227" t="s">
        <v>253</v>
      </c>
      <c r="U227" t="str">
        <f>IF('Basis Options'!D232="NGI/CHI. GATE","""NGI/CHI. GATE""",TRIM('Basis Options'!D232))</f>
        <v>"NGI/CHI. GATE"</v>
      </c>
      <c r="V227" t="s">
        <v>253</v>
      </c>
      <c r="W227" t="s">
        <v>132</v>
      </c>
      <c r="X227" t="s">
        <v>253</v>
      </c>
      <c r="Y227" t="s">
        <v>235</v>
      </c>
      <c r="Z227" t="s">
        <v>236</v>
      </c>
      <c r="AA227" t="s">
        <v>253</v>
      </c>
      <c r="AB227" t="s">
        <v>1</v>
      </c>
      <c r="AC227" s="235">
        <f>'Basis Options'!H232</f>
        <v>310000</v>
      </c>
      <c r="AD227" s="235">
        <f>'Basis Options'!W232</f>
        <v>3138.792348302959</v>
      </c>
      <c r="AE227">
        <v>0</v>
      </c>
      <c r="AF227">
        <v>0</v>
      </c>
      <c r="AG227">
        <v>0</v>
      </c>
      <c r="AH227" s="235">
        <f>'Basis Options'!CD232</f>
        <v>0</v>
      </c>
      <c r="AI227">
        <v>226</v>
      </c>
      <c r="AJ227" t="s">
        <v>256</v>
      </c>
      <c r="AK227">
        <v>0</v>
      </c>
      <c r="AL227">
        <v>0</v>
      </c>
      <c r="AM227">
        <v>0</v>
      </c>
    </row>
    <row r="228" spans="1:39" x14ac:dyDescent="0.25">
      <c r="A228" t="s">
        <v>233</v>
      </c>
      <c r="B228" t="str">
        <f>'Basis Options'!C233</f>
        <v>NJ7455</v>
      </c>
      <c r="C228" t="s">
        <v>255</v>
      </c>
      <c r="D228" t="s">
        <v>234</v>
      </c>
      <c r="E228" t="s">
        <v>20</v>
      </c>
      <c r="F228" t="str">
        <f>'Basis Options'!A233</f>
        <v>OCCIDENTENEMAR</v>
      </c>
      <c r="G228" t="s">
        <v>269</v>
      </c>
      <c r="H228" t="s">
        <v>254</v>
      </c>
      <c r="I228" t="s">
        <v>242</v>
      </c>
      <c r="J228" t="s">
        <v>235</v>
      </c>
      <c r="K228" s="380">
        <f>'Basis Options'!G233</f>
        <v>36923</v>
      </c>
      <c r="L228" s="235">
        <f>'Basis Options'!U233</f>
        <v>14448.533081422027</v>
      </c>
      <c r="M228" s="380">
        <f>'Basis Options'!Q233</f>
        <v>36921</v>
      </c>
      <c r="N228" t="str">
        <f>'Basis Options'!F233</f>
        <v>C</v>
      </c>
      <c r="O228">
        <f>'Basis Options'!I233</f>
        <v>0.15</v>
      </c>
      <c r="P228">
        <v>0</v>
      </c>
      <c r="Q228">
        <v>0</v>
      </c>
      <c r="R228">
        <v>0</v>
      </c>
      <c r="S228">
        <v>0</v>
      </c>
      <c r="T228" t="s">
        <v>253</v>
      </c>
      <c r="U228" t="str">
        <f>IF('Basis Options'!D233="NGI/CHI. GATE","""NGI/CHI. GATE""",TRIM('Basis Options'!D233))</f>
        <v>"NGI/CHI. GATE"</v>
      </c>
      <c r="V228" t="s">
        <v>253</v>
      </c>
      <c r="W228" t="s">
        <v>132</v>
      </c>
      <c r="X228" t="s">
        <v>253</v>
      </c>
      <c r="Y228" t="s">
        <v>235</v>
      </c>
      <c r="Z228" t="s">
        <v>236</v>
      </c>
      <c r="AA228" t="s">
        <v>253</v>
      </c>
      <c r="AB228" t="s">
        <v>1</v>
      </c>
      <c r="AC228" s="235">
        <f>'Basis Options'!H233</f>
        <v>280000</v>
      </c>
      <c r="AD228" s="235">
        <f>'Basis Options'!W233</f>
        <v>2979.4884276889934</v>
      </c>
      <c r="AE228">
        <v>0</v>
      </c>
      <c r="AF228">
        <v>0</v>
      </c>
      <c r="AG228">
        <v>0</v>
      </c>
      <c r="AH228" s="235">
        <f>'Basis Options'!CD233</f>
        <v>0</v>
      </c>
      <c r="AI228">
        <v>226</v>
      </c>
      <c r="AJ228" t="s">
        <v>256</v>
      </c>
      <c r="AK228">
        <v>0</v>
      </c>
      <c r="AL228">
        <v>0</v>
      </c>
      <c r="AM228">
        <v>0</v>
      </c>
    </row>
    <row r="229" spans="1:39" x14ac:dyDescent="0.25">
      <c r="A229" t="s">
        <v>233</v>
      </c>
      <c r="B229" t="str">
        <f>'Basis Options'!C234</f>
        <v>NJ7455</v>
      </c>
      <c r="C229" t="s">
        <v>255</v>
      </c>
      <c r="D229" t="s">
        <v>234</v>
      </c>
      <c r="E229" t="s">
        <v>20</v>
      </c>
      <c r="F229" t="str">
        <f>'Basis Options'!A234</f>
        <v>OCCIDENTENEMAR</v>
      </c>
      <c r="G229" t="s">
        <v>269</v>
      </c>
      <c r="H229" t="s">
        <v>254</v>
      </c>
      <c r="I229" t="s">
        <v>242</v>
      </c>
      <c r="J229" t="s">
        <v>235</v>
      </c>
      <c r="K229" s="380">
        <f>'Basis Options'!G234</f>
        <v>36892</v>
      </c>
      <c r="L229" s="235">
        <f>'Basis Options'!U234</f>
        <v>13729.297102695706</v>
      </c>
      <c r="M229" s="380">
        <f>'Basis Options'!Q234</f>
        <v>36888</v>
      </c>
      <c r="N229" t="str">
        <f>'Basis Options'!F234</f>
        <v>C</v>
      </c>
      <c r="O229">
        <f>'Basis Options'!I234</f>
        <v>0.15</v>
      </c>
      <c r="P229">
        <v>0</v>
      </c>
      <c r="Q229">
        <v>0</v>
      </c>
      <c r="R229">
        <v>0</v>
      </c>
      <c r="S229">
        <v>0</v>
      </c>
      <c r="T229" t="s">
        <v>253</v>
      </c>
      <c r="U229" t="str">
        <f>IF('Basis Options'!D234="NGI/CHI. GATE","""NGI/CHI. GATE""",TRIM('Basis Options'!D234))</f>
        <v>"NGI/CHI. GATE"</v>
      </c>
      <c r="V229" t="s">
        <v>253</v>
      </c>
      <c r="W229" t="s">
        <v>132</v>
      </c>
      <c r="X229" t="s">
        <v>253</v>
      </c>
      <c r="Y229" t="s">
        <v>235</v>
      </c>
      <c r="Z229" t="s">
        <v>236</v>
      </c>
      <c r="AA229" t="s">
        <v>253</v>
      </c>
      <c r="AB229" t="s">
        <v>1</v>
      </c>
      <c r="AC229" s="235">
        <f>'Basis Options'!H234</f>
        <v>310000</v>
      </c>
      <c r="AD229" s="235">
        <f>'Basis Options'!W234</f>
        <v>2999.3210752113955</v>
      </c>
      <c r="AE229">
        <v>0</v>
      </c>
      <c r="AF229">
        <v>0</v>
      </c>
      <c r="AG229">
        <v>0</v>
      </c>
      <c r="AH229" s="235">
        <f>'Basis Options'!CD234</f>
        <v>0</v>
      </c>
      <c r="AI229">
        <v>226</v>
      </c>
      <c r="AJ229" t="s">
        <v>256</v>
      </c>
      <c r="AK229">
        <v>0</v>
      </c>
      <c r="AL229">
        <v>0</v>
      </c>
      <c r="AM229">
        <v>0</v>
      </c>
    </row>
    <row r="230" spans="1:39" x14ac:dyDescent="0.25">
      <c r="A230" t="s">
        <v>233</v>
      </c>
      <c r="B230" t="str">
        <f>'Basis Options'!C235</f>
        <v>NJ7455</v>
      </c>
      <c r="C230" t="s">
        <v>255</v>
      </c>
      <c r="D230" t="s">
        <v>234</v>
      </c>
      <c r="E230" t="s">
        <v>20</v>
      </c>
      <c r="F230" t="str">
        <f>'Basis Options'!A235</f>
        <v>OCCIDENTENEMAR</v>
      </c>
      <c r="G230" t="s">
        <v>269</v>
      </c>
      <c r="H230" t="s">
        <v>254</v>
      </c>
      <c r="I230" t="s">
        <v>242</v>
      </c>
      <c r="J230" t="s">
        <v>235</v>
      </c>
      <c r="K230" s="380">
        <f>'Basis Options'!G235</f>
        <v>36861</v>
      </c>
      <c r="L230" s="235">
        <f>'Basis Options'!U235</f>
        <v>8403.5638296911038</v>
      </c>
      <c r="M230" s="380">
        <f>'Basis Options'!Q235</f>
        <v>36859</v>
      </c>
      <c r="N230" t="str">
        <f>'Basis Options'!F235</f>
        <v>C</v>
      </c>
      <c r="O230">
        <f>'Basis Options'!I235</f>
        <v>0.15</v>
      </c>
      <c r="P230">
        <v>0</v>
      </c>
      <c r="Q230">
        <v>0</v>
      </c>
      <c r="R230">
        <v>0</v>
      </c>
      <c r="S230">
        <v>0</v>
      </c>
      <c r="T230" t="s">
        <v>253</v>
      </c>
      <c r="U230" t="str">
        <f>IF('Basis Options'!D235="NGI/CHI. GATE","""NGI/CHI. GATE""",TRIM('Basis Options'!D235))</f>
        <v>"NGI/CHI. GATE"</v>
      </c>
      <c r="V230" t="s">
        <v>253</v>
      </c>
      <c r="W230" t="s">
        <v>132</v>
      </c>
      <c r="X230" t="s">
        <v>253</v>
      </c>
      <c r="Y230" t="s">
        <v>235</v>
      </c>
      <c r="Z230" t="s">
        <v>236</v>
      </c>
      <c r="AA230" t="s">
        <v>253</v>
      </c>
      <c r="AB230" t="s">
        <v>1</v>
      </c>
      <c r="AC230" s="235">
        <f>'Basis Options'!H235</f>
        <v>310000</v>
      </c>
      <c r="AD230" s="235">
        <f>'Basis Options'!W235</f>
        <v>2441.5593032290344</v>
      </c>
      <c r="AE230">
        <v>0</v>
      </c>
      <c r="AF230">
        <v>0</v>
      </c>
      <c r="AG230">
        <v>0</v>
      </c>
      <c r="AH230" s="235">
        <f>'Basis Options'!CD235</f>
        <v>0</v>
      </c>
      <c r="AI230">
        <v>226</v>
      </c>
      <c r="AJ230" t="s">
        <v>256</v>
      </c>
      <c r="AK230">
        <v>0</v>
      </c>
      <c r="AL230">
        <v>0</v>
      </c>
      <c r="AM230">
        <v>0</v>
      </c>
    </row>
    <row r="231" spans="1:39" x14ac:dyDescent="0.25">
      <c r="A231" t="s">
        <v>233</v>
      </c>
      <c r="B231" t="str">
        <f>'Basis Options'!C236</f>
        <v>NJ7455</v>
      </c>
      <c r="C231" t="s">
        <v>255</v>
      </c>
      <c r="D231" t="s">
        <v>234</v>
      </c>
      <c r="E231" t="s">
        <v>20</v>
      </c>
      <c r="F231" t="str">
        <f>'Basis Options'!A236</f>
        <v>OCCIDENTENEMAR</v>
      </c>
      <c r="G231" t="s">
        <v>269</v>
      </c>
      <c r="H231" t="s">
        <v>254</v>
      </c>
      <c r="I231" t="s">
        <v>242</v>
      </c>
      <c r="J231" t="s">
        <v>235</v>
      </c>
      <c r="K231" s="380">
        <f>'Basis Options'!G236</f>
        <v>36831</v>
      </c>
      <c r="L231" s="235">
        <f>'Basis Options'!U236</f>
        <v>4575.0961786969747</v>
      </c>
      <c r="M231" s="380">
        <f>'Basis Options'!Q236</f>
        <v>36829</v>
      </c>
      <c r="N231" t="str">
        <f>'Basis Options'!F236</f>
        <v>C</v>
      </c>
      <c r="O231">
        <f>'Basis Options'!I236</f>
        <v>0.15</v>
      </c>
      <c r="P231">
        <v>0</v>
      </c>
      <c r="Q231">
        <v>0</v>
      </c>
      <c r="R231">
        <v>0</v>
      </c>
      <c r="S231">
        <v>0</v>
      </c>
      <c r="T231" t="s">
        <v>253</v>
      </c>
      <c r="U231" t="str">
        <f>IF('Basis Options'!D236="NGI/CHI. GATE","""NGI/CHI. GATE""",TRIM('Basis Options'!D236))</f>
        <v>"NGI/CHI. GATE"</v>
      </c>
      <c r="V231" t="s">
        <v>253</v>
      </c>
      <c r="W231" t="s">
        <v>132</v>
      </c>
      <c r="X231" t="s">
        <v>253</v>
      </c>
      <c r="Y231" t="s">
        <v>235</v>
      </c>
      <c r="Z231" t="s">
        <v>236</v>
      </c>
      <c r="AA231" t="s">
        <v>253</v>
      </c>
      <c r="AB231" t="s">
        <v>1</v>
      </c>
      <c r="AC231" s="235">
        <f>'Basis Options'!H236</f>
        <v>300000</v>
      </c>
      <c r="AD231" s="235">
        <f>'Basis Options'!W236</f>
        <v>1715.875221101247</v>
      </c>
      <c r="AE231">
        <v>0</v>
      </c>
      <c r="AF231">
        <v>0</v>
      </c>
      <c r="AG231">
        <v>0</v>
      </c>
      <c r="AH231" s="235">
        <f>'Basis Options'!CD236</f>
        <v>0</v>
      </c>
      <c r="AI231">
        <v>226</v>
      </c>
      <c r="AJ231" t="s">
        <v>256</v>
      </c>
      <c r="AK231">
        <v>0</v>
      </c>
      <c r="AL231">
        <v>0</v>
      </c>
      <c r="AM231">
        <v>0</v>
      </c>
    </row>
    <row r="232" spans="1:39" x14ac:dyDescent="0.25">
      <c r="A232" t="s">
        <v>233</v>
      </c>
      <c r="B232" t="str">
        <f>'Basis Options'!C237</f>
        <v>NK0151</v>
      </c>
      <c r="C232" t="s">
        <v>255</v>
      </c>
      <c r="D232" t="s">
        <v>234</v>
      </c>
      <c r="E232" t="s">
        <v>20</v>
      </c>
      <c r="F232" t="str">
        <f>'Basis Options'!A237</f>
        <v>TRACTEBEENEMAR</v>
      </c>
      <c r="G232" t="s">
        <v>269</v>
      </c>
      <c r="H232" t="s">
        <v>254</v>
      </c>
      <c r="I232" t="s">
        <v>242</v>
      </c>
      <c r="J232" t="s">
        <v>235</v>
      </c>
      <c r="K232" s="380">
        <f>'Basis Options'!G237</f>
        <v>36951</v>
      </c>
      <c r="L232" s="235">
        <f>'Basis Options'!U237</f>
        <v>12624.13169612057</v>
      </c>
      <c r="M232" s="380">
        <f>'Basis Options'!Q237</f>
        <v>36949</v>
      </c>
      <c r="N232" t="str">
        <f>'Basis Options'!F237</f>
        <v>C</v>
      </c>
      <c r="O232">
        <f>'Basis Options'!I237</f>
        <v>0.15</v>
      </c>
      <c r="P232">
        <v>0</v>
      </c>
      <c r="Q232">
        <v>0</v>
      </c>
      <c r="R232">
        <v>0</v>
      </c>
      <c r="S232">
        <v>0</v>
      </c>
      <c r="T232" t="s">
        <v>253</v>
      </c>
      <c r="U232" t="str">
        <f>IF('Basis Options'!D237="NGI/CHI. GATE","""NGI/CHI. GATE""",TRIM('Basis Options'!D237))</f>
        <v>"NGI/CHI. GATE"</v>
      </c>
      <c r="V232" t="s">
        <v>253</v>
      </c>
      <c r="W232" t="s">
        <v>132</v>
      </c>
      <c r="X232" t="s">
        <v>253</v>
      </c>
      <c r="Y232" t="s">
        <v>235</v>
      </c>
      <c r="Z232" t="s">
        <v>236</v>
      </c>
      <c r="AA232" t="s">
        <v>253</v>
      </c>
      <c r="AB232" t="s">
        <v>1</v>
      </c>
      <c r="AC232" s="235">
        <f>'Basis Options'!H237</f>
        <v>310000</v>
      </c>
      <c r="AD232" s="235">
        <f>'Basis Options'!W237</f>
        <v>3138.792348302959</v>
      </c>
      <c r="AE232">
        <v>0</v>
      </c>
      <c r="AF232">
        <v>0</v>
      </c>
      <c r="AG232">
        <v>0</v>
      </c>
      <c r="AH232" s="235">
        <f>'Basis Options'!CD237</f>
        <v>0</v>
      </c>
      <c r="AI232">
        <v>226</v>
      </c>
      <c r="AJ232" t="s">
        <v>256</v>
      </c>
      <c r="AK232">
        <v>0</v>
      </c>
      <c r="AL232">
        <v>0</v>
      </c>
      <c r="AM232">
        <v>0</v>
      </c>
    </row>
    <row r="233" spans="1:39" x14ac:dyDescent="0.25">
      <c r="A233" t="s">
        <v>233</v>
      </c>
      <c r="B233" t="str">
        <f>'Basis Options'!C238</f>
        <v>NK0151</v>
      </c>
      <c r="C233" t="s">
        <v>255</v>
      </c>
      <c r="D233" t="s">
        <v>234</v>
      </c>
      <c r="E233" t="s">
        <v>20</v>
      </c>
      <c r="F233" t="str">
        <f>'Basis Options'!A238</f>
        <v>TRACTEBEENEMAR</v>
      </c>
      <c r="G233" t="s">
        <v>269</v>
      </c>
      <c r="H233" t="s">
        <v>254</v>
      </c>
      <c r="I233" t="s">
        <v>242</v>
      </c>
      <c r="J233" t="s">
        <v>235</v>
      </c>
      <c r="K233" s="380">
        <f>'Basis Options'!G238</f>
        <v>36923</v>
      </c>
      <c r="L233" s="235">
        <f>'Basis Options'!U238</f>
        <v>14448.533081422027</v>
      </c>
      <c r="M233" s="380">
        <f>'Basis Options'!Q238</f>
        <v>36921</v>
      </c>
      <c r="N233" t="str">
        <f>'Basis Options'!F238</f>
        <v>C</v>
      </c>
      <c r="O233">
        <f>'Basis Options'!I238</f>
        <v>0.15</v>
      </c>
      <c r="P233">
        <v>0</v>
      </c>
      <c r="Q233">
        <v>0</v>
      </c>
      <c r="R233">
        <v>0</v>
      </c>
      <c r="S233">
        <v>0</v>
      </c>
      <c r="T233" t="s">
        <v>253</v>
      </c>
      <c r="U233" t="str">
        <f>IF('Basis Options'!D238="NGI/CHI. GATE","""NGI/CHI. GATE""",TRIM('Basis Options'!D238))</f>
        <v>"NGI/CHI. GATE"</v>
      </c>
      <c r="V233" t="s">
        <v>253</v>
      </c>
      <c r="W233" t="s">
        <v>132</v>
      </c>
      <c r="X233" t="s">
        <v>253</v>
      </c>
      <c r="Y233" t="s">
        <v>235</v>
      </c>
      <c r="Z233" t="s">
        <v>236</v>
      </c>
      <c r="AA233" t="s">
        <v>253</v>
      </c>
      <c r="AB233" t="s">
        <v>1</v>
      </c>
      <c r="AC233" s="235">
        <f>'Basis Options'!H238</f>
        <v>280000</v>
      </c>
      <c r="AD233" s="235">
        <f>'Basis Options'!W238</f>
        <v>2979.4884276889934</v>
      </c>
      <c r="AE233">
        <v>0</v>
      </c>
      <c r="AF233">
        <v>0</v>
      </c>
      <c r="AG233">
        <v>0</v>
      </c>
      <c r="AH233" s="235">
        <f>'Basis Options'!CD238</f>
        <v>0</v>
      </c>
      <c r="AI233">
        <v>226</v>
      </c>
      <c r="AJ233" t="s">
        <v>256</v>
      </c>
      <c r="AK233">
        <v>0</v>
      </c>
      <c r="AL233">
        <v>0</v>
      </c>
      <c r="AM233">
        <v>0</v>
      </c>
    </row>
    <row r="234" spans="1:39" x14ac:dyDescent="0.25">
      <c r="A234" t="s">
        <v>233</v>
      </c>
      <c r="B234" t="str">
        <f>'Basis Options'!C239</f>
        <v>NK0151</v>
      </c>
      <c r="C234" t="s">
        <v>255</v>
      </c>
      <c r="D234" t="s">
        <v>234</v>
      </c>
      <c r="E234" t="s">
        <v>20</v>
      </c>
      <c r="F234" t="str">
        <f>'Basis Options'!A239</f>
        <v>TRACTEBEENEMAR</v>
      </c>
      <c r="G234" t="s">
        <v>269</v>
      </c>
      <c r="H234" t="s">
        <v>254</v>
      </c>
      <c r="I234" t="s">
        <v>242</v>
      </c>
      <c r="J234" t="s">
        <v>235</v>
      </c>
      <c r="K234" s="380">
        <f>'Basis Options'!G239</f>
        <v>36892</v>
      </c>
      <c r="L234" s="235">
        <f>'Basis Options'!U239</f>
        <v>13729.297102695706</v>
      </c>
      <c r="M234" s="380">
        <f>'Basis Options'!Q239</f>
        <v>36888</v>
      </c>
      <c r="N234" t="str">
        <f>'Basis Options'!F239</f>
        <v>C</v>
      </c>
      <c r="O234">
        <f>'Basis Options'!I239</f>
        <v>0.15</v>
      </c>
      <c r="P234">
        <v>0</v>
      </c>
      <c r="Q234">
        <v>0</v>
      </c>
      <c r="R234">
        <v>0</v>
      </c>
      <c r="S234">
        <v>0</v>
      </c>
      <c r="T234" t="s">
        <v>253</v>
      </c>
      <c r="U234" t="str">
        <f>IF('Basis Options'!D239="NGI/CHI. GATE","""NGI/CHI. GATE""",TRIM('Basis Options'!D239))</f>
        <v>"NGI/CHI. GATE"</v>
      </c>
      <c r="V234" t="s">
        <v>253</v>
      </c>
      <c r="W234" t="s">
        <v>132</v>
      </c>
      <c r="X234" t="s">
        <v>253</v>
      </c>
      <c r="Y234" t="s">
        <v>235</v>
      </c>
      <c r="Z234" t="s">
        <v>236</v>
      </c>
      <c r="AA234" t="s">
        <v>253</v>
      </c>
      <c r="AB234" t="s">
        <v>1</v>
      </c>
      <c r="AC234" s="235">
        <f>'Basis Options'!H239</f>
        <v>310000</v>
      </c>
      <c r="AD234" s="235">
        <f>'Basis Options'!W239</f>
        <v>2999.3210752113955</v>
      </c>
      <c r="AE234">
        <v>0</v>
      </c>
      <c r="AF234">
        <v>0</v>
      </c>
      <c r="AG234">
        <v>0</v>
      </c>
      <c r="AH234" s="235">
        <f>'Basis Options'!CD239</f>
        <v>0</v>
      </c>
      <c r="AI234">
        <v>226</v>
      </c>
      <c r="AJ234" t="s">
        <v>256</v>
      </c>
      <c r="AK234">
        <v>0</v>
      </c>
      <c r="AL234">
        <v>0</v>
      </c>
      <c r="AM234">
        <v>0</v>
      </c>
    </row>
    <row r="235" spans="1:39" x14ac:dyDescent="0.25">
      <c r="A235" t="s">
        <v>233</v>
      </c>
      <c r="B235" t="str">
        <f>'Basis Options'!C240</f>
        <v>NK0151</v>
      </c>
      <c r="C235" t="s">
        <v>255</v>
      </c>
      <c r="D235" t="s">
        <v>234</v>
      </c>
      <c r="E235" t="s">
        <v>20</v>
      </c>
      <c r="F235" t="str">
        <f>'Basis Options'!A240</f>
        <v>TRACTEBEENEMAR</v>
      </c>
      <c r="G235" t="s">
        <v>269</v>
      </c>
      <c r="H235" t="s">
        <v>254</v>
      </c>
      <c r="I235" t="s">
        <v>242</v>
      </c>
      <c r="J235" t="s">
        <v>235</v>
      </c>
      <c r="K235" s="380">
        <f>'Basis Options'!G240</f>
        <v>36861</v>
      </c>
      <c r="L235" s="235">
        <f>'Basis Options'!U240</f>
        <v>8403.5638296911038</v>
      </c>
      <c r="M235" s="380">
        <f>'Basis Options'!Q240</f>
        <v>36859</v>
      </c>
      <c r="N235" t="str">
        <f>'Basis Options'!F240</f>
        <v>C</v>
      </c>
      <c r="O235">
        <f>'Basis Options'!I240</f>
        <v>0.15</v>
      </c>
      <c r="P235">
        <v>0</v>
      </c>
      <c r="Q235">
        <v>0</v>
      </c>
      <c r="R235">
        <v>0</v>
      </c>
      <c r="S235">
        <v>0</v>
      </c>
      <c r="T235" t="s">
        <v>253</v>
      </c>
      <c r="U235" t="str">
        <f>IF('Basis Options'!D240="NGI/CHI. GATE","""NGI/CHI. GATE""",TRIM('Basis Options'!D240))</f>
        <v>"NGI/CHI. GATE"</v>
      </c>
      <c r="V235" t="s">
        <v>253</v>
      </c>
      <c r="W235" t="s">
        <v>132</v>
      </c>
      <c r="X235" t="s">
        <v>253</v>
      </c>
      <c r="Y235" t="s">
        <v>235</v>
      </c>
      <c r="Z235" t="s">
        <v>236</v>
      </c>
      <c r="AA235" t="s">
        <v>253</v>
      </c>
      <c r="AB235" t="s">
        <v>1</v>
      </c>
      <c r="AC235" s="235">
        <f>'Basis Options'!H240</f>
        <v>310000</v>
      </c>
      <c r="AD235" s="235">
        <f>'Basis Options'!W240</f>
        <v>2441.5593032290344</v>
      </c>
      <c r="AE235">
        <v>0</v>
      </c>
      <c r="AF235">
        <v>0</v>
      </c>
      <c r="AG235">
        <v>0</v>
      </c>
      <c r="AH235" s="235">
        <f>'Basis Options'!CD240</f>
        <v>0</v>
      </c>
      <c r="AI235">
        <v>226</v>
      </c>
      <c r="AJ235" t="s">
        <v>256</v>
      </c>
      <c r="AK235">
        <v>0</v>
      </c>
      <c r="AL235">
        <v>0</v>
      </c>
      <c r="AM235">
        <v>0</v>
      </c>
    </row>
    <row r="236" spans="1:39" x14ac:dyDescent="0.25">
      <c r="A236" t="s">
        <v>233</v>
      </c>
      <c r="B236" t="str">
        <f>'Basis Options'!C241</f>
        <v>NK0151</v>
      </c>
      <c r="C236" t="s">
        <v>255</v>
      </c>
      <c r="D236" t="s">
        <v>234</v>
      </c>
      <c r="E236" t="s">
        <v>20</v>
      </c>
      <c r="F236" t="str">
        <f>'Basis Options'!A241</f>
        <v>TRACTEBEENEMAR</v>
      </c>
      <c r="G236" t="s">
        <v>269</v>
      </c>
      <c r="H236" t="s">
        <v>254</v>
      </c>
      <c r="I236" t="s">
        <v>242</v>
      </c>
      <c r="J236" t="s">
        <v>235</v>
      </c>
      <c r="K236" s="380">
        <f>'Basis Options'!G241</f>
        <v>36831</v>
      </c>
      <c r="L236" s="235">
        <f>'Basis Options'!U241</f>
        <v>4575.0961786969747</v>
      </c>
      <c r="M236" s="380">
        <f>'Basis Options'!Q241</f>
        <v>36829</v>
      </c>
      <c r="N236" t="str">
        <f>'Basis Options'!F241</f>
        <v>C</v>
      </c>
      <c r="O236">
        <f>'Basis Options'!I241</f>
        <v>0.15</v>
      </c>
      <c r="P236">
        <v>0</v>
      </c>
      <c r="Q236">
        <v>0</v>
      </c>
      <c r="R236">
        <v>0</v>
      </c>
      <c r="S236">
        <v>0</v>
      </c>
      <c r="T236" t="s">
        <v>253</v>
      </c>
      <c r="U236" t="str">
        <f>IF('Basis Options'!D241="NGI/CHI. GATE","""NGI/CHI. GATE""",TRIM('Basis Options'!D241))</f>
        <v>"NGI/CHI. GATE"</v>
      </c>
      <c r="V236" t="s">
        <v>253</v>
      </c>
      <c r="W236" t="s">
        <v>132</v>
      </c>
      <c r="X236" t="s">
        <v>253</v>
      </c>
      <c r="Y236" t="s">
        <v>235</v>
      </c>
      <c r="Z236" t="s">
        <v>236</v>
      </c>
      <c r="AA236" t="s">
        <v>253</v>
      </c>
      <c r="AB236" t="s">
        <v>1</v>
      </c>
      <c r="AC236" s="235">
        <f>'Basis Options'!H241</f>
        <v>300000</v>
      </c>
      <c r="AD236" s="235">
        <f>'Basis Options'!W241</f>
        <v>1715.875221101247</v>
      </c>
      <c r="AE236">
        <v>0</v>
      </c>
      <c r="AF236">
        <v>0</v>
      </c>
      <c r="AG236">
        <v>0</v>
      </c>
      <c r="AH236" s="235">
        <f>'Basis Options'!CD241</f>
        <v>0</v>
      </c>
      <c r="AI236">
        <v>226</v>
      </c>
      <c r="AJ236" t="s">
        <v>256</v>
      </c>
      <c r="AK236">
        <v>0</v>
      </c>
      <c r="AL236">
        <v>0</v>
      </c>
      <c r="AM236">
        <v>0</v>
      </c>
    </row>
    <row r="237" spans="1:39" x14ac:dyDescent="0.25">
      <c r="A237" t="s">
        <v>233</v>
      </c>
      <c r="B237" t="str">
        <f>'Basis Options'!C242</f>
        <v>NK4321</v>
      </c>
      <c r="C237" t="s">
        <v>255</v>
      </c>
      <c r="D237" t="s">
        <v>234</v>
      </c>
      <c r="E237" t="s">
        <v>20</v>
      </c>
      <c r="F237" t="str">
        <f>'Basis Options'!A242</f>
        <v>AEPENESER</v>
      </c>
      <c r="G237" t="s">
        <v>269</v>
      </c>
      <c r="H237" t="s">
        <v>254</v>
      </c>
      <c r="I237" t="s">
        <v>242</v>
      </c>
      <c r="J237" t="s">
        <v>235</v>
      </c>
      <c r="K237" s="380">
        <f>'Basis Options'!G242</f>
        <v>36951</v>
      </c>
      <c r="L237" s="235">
        <f>'Basis Options'!U242</f>
        <v>340944.97957691405</v>
      </c>
      <c r="M237" s="380">
        <f>'Basis Options'!Q242</f>
        <v>36949</v>
      </c>
      <c r="N237" t="str">
        <f>'Basis Options'!F242</f>
        <v>P</v>
      </c>
      <c r="O237">
        <f>'Basis Options'!I242</f>
        <v>0.75</v>
      </c>
      <c r="P237">
        <v>0</v>
      </c>
      <c r="Q237">
        <v>0</v>
      </c>
      <c r="R237">
        <v>0</v>
      </c>
      <c r="S237">
        <v>0</v>
      </c>
      <c r="T237" t="s">
        <v>253</v>
      </c>
      <c r="U237" t="str">
        <f>IF('Basis Options'!D242="NGI/CHI. GATE","""NGI/CHI. GATE""",TRIM('Basis Options'!D242))</f>
        <v>IF-TRANSCO/Z6</v>
      </c>
      <c r="V237" t="s">
        <v>253</v>
      </c>
      <c r="W237" t="s">
        <v>132</v>
      </c>
      <c r="X237" t="s">
        <v>253</v>
      </c>
      <c r="Y237" t="s">
        <v>235</v>
      </c>
      <c r="Z237" t="s">
        <v>236</v>
      </c>
      <c r="AA237" t="s">
        <v>253</v>
      </c>
      <c r="AB237" t="s">
        <v>1</v>
      </c>
      <c r="AC237" s="235">
        <f>'Basis Options'!H242</f>
        <v>1000000</v>
      </c>
      <c r="AD237" s="235">
        <f>'Basis Options'!W242</f>
        <v>87182.665027824289</v>
      </c>
      <c r="AE237">
        <v>0</v>
      </c>
      <c r="AF237">
        <v>0</v>
      </c>
      <c r="AG237">
        <v>0</v>
      </c>
      <c r="AH237" s="235">
        <f>'Basis Options'!CD242</f>
        <v>0</v>
      </c>
      <c r="AI237">
        <v>226</v>
      </c>
      <c r="AJ237" t="s">
        <v>256</v>
      </c>
      <c r="AK237">
        <v>0</v>
      </c>
      <c r="AL237">
        <v>0</v>
      </c>
      <c r="AM237">
        <v>0</v>
      </c>
    </row>
    <row r="238" spans="1:39" x14ac:dyDescent="0.25">
      <c r="A238" t="s">
        <v>233</v>
      </c>
      <c r="B238" t="str">
        <f>'Basis Options'!C243</f>
        <v>NK4321</v>
      </c>
      <c r="C238" t="s">
        <v>255</v>
      </c>
      <c r="D238" t="s">
        <v>234</v>
      </c>
      <c r="E238" t="s">
        <v>20</v>
      </c>
      <c r="F238" t="str">
        <f>'Basis Options'!A243</f>
        <v>AEPENESER</v>
      </c>
      <c r="G238" t="s">
        <v>269</v>
      </c>
      <c r="H238" t="s">
        <v>254</v>
      </c>
      <c r="I238" t="s">
        <v>242</v>
      </c>
      <c r="J238" t="s">
        <v>235</v>
      </c>
      <c r="K238" s="380">
        <f>'Basis Options'!G243</f>
        <v>36923</v>
      </c>
      <c r="L238" s="235">
        <f>'Basis Options'!U243</f>
        <v>139065.65808994998</v>
      </c>
      <c r="M238" s="380">
        <f>'Basis Options'!Q243</f>
        <v>36921</v>
      </c>
      <c r="N238" t="str">
        <f>'Basis Options'!F243</f>
        <v>P</v>
      </c>
      <c r="O238">
        <f>'Basis Options'!I243</f>
        <v>0.75</v>
      </c>
      <c r="P238">
        <v>0</v>
      </c>
      <c r="Q238">
        <v>0</v>
      </c>
      <c r="R238">
        <v>0</v>
      </c>
      <c r="S238">
        <v>0</v>
      </c>
      <c r="T238" t="s">
        <v>253</v>
      </c>
      <c r="U238" t="str">
        <f>IF('Basis Options'!D243="NGI/CHI. GATE","""NGI/CHI. GATE""",TRIM('Basis Options'!D243))</f>
        <v>IF-TRANSCO/Z6</v>
      </c>
      <c r="V238" t="s">
        <v>253</v>
      </c>
      <c r="W238" t="s">
        <v>132</v>
      </c>
      <c r="X238" t="s">
        <v>253</v>
      </c>
      <c r="Y238" t="s">
        <v>235</v>
      </c>
      <c r="Z238" t="s">
        <v>236</v>
      </c>
      <c r="AA238" t="s">
        <v>253</v>
      </c>
      <c r="AB238" t="s">
        <v>1</v>
      </c>
      <c r="AC238" s="235">
        <f>'Basis Options'!H243</f>
        <v>1000000</v>
      </c>
      <c r="AD238" s="235">
        <f>'Basis Options'!W243</f>
        <v>61118.854317467543</v>
      </c>
      <c r="AE238">
        <v>0</v>
      </c>
      <c r="AF238">
        <v>0</v>
      </c>
      <c r="AG238">
        <v>0</v>
      </c>
      <c r="AH238" s="235">
        <f>'Basis Options'!CD243</f>
        <v>0</v>
      </c>
      <c r="AI238">
        <v>226</v>
      </c>
      <c r="AJ238" t="s">
        <v>256</v>
      </c>
      <c r="AK238">
        <v>0</v>
      </c>
      <c r="AL238">
        <v>0</v>
      </c>
      <c r="AM238">
        <v>0</v>
      </c>
    </row>
    <row r="239" spans="1:39" x14ac:dyDescent="0.25">
      <c r="A239" t="s">
        <v>233</v>
      </c>
      <c r="B239" t="str">
        <f>'Basis Options'!C244</f>
        <v>NK4321</v>
      </c>
      <c r="C239" t="s">
        <v>255</v>
      </c>
      <c r="D239" t="s">
        <v>234</v>
      </c>
      <c r="E239" t="s">
        <v>20</v>
      </c>
      <c r="F239" t="str">
        <f>'Basis Options'!A244</f>
        <v>AEPENESER</v>
      </c>
      <c r="G239" t="s">
        <v>269</v>
      </c>
      <c r="H239" t="s">
        <v>254</v>
      </c>
      <c r="I239" t="s">
        <v>242</v>
      </c>
      <c r="J239" t="s">
        <v>235</v>
      </c>
      <c r="K239" s="380">
        <f>'Basis Options'!G244</f>
        <v>36892</v>
      </c>
      <c r="L239" s="235">
        <f>'Basis Options'!U244</f>
        <v>109427.44498145573</v>
      </c>
      <c r="M239" s="380">
        <f>'Basis Options'!Q244</f>
        <v>36888</v>
      </c>
      <c r="N239" t="str">
        <f>'Basis Options'!F244</f>
        <v>P</v>
      </c>
      <c r="O239">
        <f>'Basis Options'!I244</f>
        <v>0.75</v>
      </c>
      <c r="P239">
        <v>0</v>
      </c>
      <c r="Q239">
        <v>0</v>
      </c>
      <c r="R239">
        <v>0</v>
      </c>
      <c r="S239">
        <v>0</v>
      </c>
      <c r="T239" t="s">
        <v>253</v>
      </c>
      <c r="U239" t="str">
        <f>IF('Basis Options'!D244="NGI/CHI. GATE","""NGI/CHI. GATE""",TRIM('Basis Options'!D244))</f>
        <v>IF-TRANSCO/Z6</v>
      </c>
      <c r="V239" t="s">
        <v>253</v>
      </c>
      <c r="W239" t="s">
        <v>132</v>
      </c>
      <c r="X239" t="s">
        <v>253</v>
      </c>
      <c r="Y239" t="s">
        <v>235</v>
      </c>
      <c r="Z239" t="s">
        <v>236</v>
      </c>
      <c r="AA239" t="s">
        <v>253</v>
      </c>
      <c r="AB239" t="s">
        <v>1</v>
      </c>
      <c r="AC239" s="235">
        <f>'Basis Options'!H244</f>
        <v>1000000</v>
      </c>
      <c r="AD239" s="235">
        <f>'Basis Options'!W244</f>
        <v>50563.769735122769</v>
      </c>
      <c r="AE239">
        <v>0</v>
      </c>
      <c r="AF239">
        <v>0</v>
      </c>
      <c r="AG239">
        <v>0</v>
      </c>
      <c r="AH239" s="235">
        <f>'Basis Options'!CD244</f>
        <v>0</v>
      </c>
      <c r="AI239">
        <v>226</v>
      </c>
      <c r="AJ239" t="s">
        <v>256</v>
      </c>
      <c r="AK239">
        <v>0</v>
      </c>
      <c r="AL239">
        <v>0</v>
      </c>
      <c r="AM239">
        <v>0</v>
      </c>
    </row>
    <row r="240" spans="1:39" x14ac:dyDescent="0.25">
      <c r="A240" t="s">
        <v>233</v>
      </c>
      <c r="B240" t="str">
        <f>'Basis Options'!C245</f>
        <v>NK4321</v>
      </c>
      <c r="C240" t="s">
        <v>255</v>
      </c>
      <c r="D240" t="s">
        <v>234</v>
      </c>
      <c r="E240" t="s">
        <v>20</v>
      </c>
      <c r="F240" t="str">
        <f>'Basis Options'!A245</f>
        <v>AEPENESER</v>
      </c>
      <c r="G240" t="s">
        <v>269</v>
      </c>
      <c r="H240" t="s">
        <v>254</v>
      </c>
      <c r="I240" t="s">
        <v>242</v>
      </c>
      <c r="J240" t="s">
        <v>235</v>
      </c>
      <c r="K240" s="380">
        <f>'Basis Options'!G245</f>
        <v>36861</v>
      </c>
      <c r="L240" s="235">
        <f>'Basis Options'!U245</f>
        <v>146096.80639816693</v>
      </c>
      <c r="M240" s="380">
        <f>'Basis Options'!Q245</f>
        <v>36859</v>
      </c>
      <c r="N240" t="str">
        <f>'Basis Options'!F245</f>
        <v>P</v>
      </c>
      <c r="O240">
        <f>'Basis Options'!I245</f>
        <v>0.75</v>
      </c>
      <c r="P240">
        <v>0</v>
      </c>
      <c r="Q240">
        <v>0</v>
      </c>
      <c r="R240">
        <v>0</v>
      </c>
      <c r="S240">
        <v>0</v>
      </c>
      <c r="T240" t="s">
        <v>253</v>
      </c>
      <c r="U240" t="str">
        <f>IF('Basis Options'!D245="NGI/CHI. GATE","""NGI/CHI. GATE""",TRIM('Basis Options'!D245))</f>
        <v>IF-TRANSCO/Z6</v>
      </c>
      <c r="V240" t="s">
        <v>253</v>
      </c>
      <c r="W240" t="s">
        <v>132</v>
      </c>
      <c r="X240" t="s">
        <v>253</v>
      </c>
      <c r="Y240" t="s">
        <v>235</v>
      </c>
      <c r="Z240" t="s">
        <v>236</v>
      </c>
      <c r="AA240" t="s">
        <v>253</v>
      </c>
      <c r="AB240" t="s">
        <v>1</v>
      </c>
      <c r="AC240" s="235">
        <f>'Basis Options'!H245</f>
        <v>1000000</v>
      </c>
      <c r="AD240" s="235">
        <f>'Basis Options'!W245</f>
        <v>55120.580564561504</v>
      </c>
      <c r="AE240">
        <v>0</v>
      </c>
      <c r="AF240">
        <v>0</v>
      </c>
      <c r="AG240">
        <v>0</v>
      </c>
      <c r="AH240" s="235">
        <f>'Basis Options'!CD245</f>
        <v>0</v>
      </c>
      <c r="AI240">
        <v>226</v>
      </c>
      <c r="AJ240" t="s">
        <v>256</v>
      </c>
      <c r="AK240">
        <v>0</v>
      </c>
      <c r="AL240">
        <v>0</v>
      </c>
      <c r="AM240">
        <v>0</v>
      </c>
    </row>
    <row r="241" spans="1:39" x14ac:dyDescent="0.25">
      <c r="A241" t="s">
        <v>233</v>
      </c>
      <c r="B241" t="str">
        <f>'Basis Options'!C246</f>
        <v>NK4321</v>
      </c>
      <c r="C241" t="s">
        <v>255</v>
      </c>
      <c r="D241" t="s">
        <v>234</v>
      </c>
      <c r="E241" t="s">
        <v>20</v>
      </c>
      <c r="F241" t="str">
        <f>'Basis Options'!A246</f>
        <v>AEPENESER</v>
      </c>
      <c r="G241" t="s">
        <v>269</v>
      </c>
      <c r="H241" t="s">
        <v>254</v>
      </c>
      <c r="I241" t="s">
        <v>242</v>
      </c>
      <c r="J241" t="s">
        <v>235</v>
      </c>
      <c r="K241" s="380">
        <f>'Basis Options'!G246</f>
        <v>36831</v>
      </c>
      <c r="L241" s="235">
        <f>'Basis Options'!U246</f>
        <v>247597.33949464923</v>
      </c>
      <c r="M241" s="380">
        <f>'Basis Options'!Q246</f>
        <v>36829</v>
      </c>
      <c r="N241" t="str">
        <f>'Basis Options'!F246</f>
        <v>P</v>
      </c>
      <c r="O241">
        <f>'Basis Options'!I246</f>
        <v>0.75</v>
      </c>
      <c r="P241">
        <v>0</v>
      </c>
      <c r="Q241">
        <v>0</v>
      </c>
      <c r="R241">
        <v>0</v>
      </c>
      <c r="S241">
        <v>0</v>
      </c>
      <c r="T241" t="s">
        <v>253</v>
      </c>
      <c r="U241" t="str">
        <f>IF('Basis Options'!D246="NGI/CHI. GATE","""NGI/CHI. GATE""",TRIM('Basis Options'!D246))</f>
        <v>IF-TRANSCO/Z6</v>
      </c>
      <c r="V241" t="s">
        <v>253</v>
      </c>
      <c r="W241" t="s">
        <v>132</v>
      </c>
      <c r="X241" t="s">
        <v>253</v>
      </c>
      <c r="Y241" t="s">
        <v>235</v>
      </c>
      <c r="Z241" t="s">
        <v>236</v>
      </c>
      <c r="AA241" t="s">
        <v>253</v>
      </c>
      <c r="AB241" t="s">
        <v>1</v>
      </c>
      <c r="AC241" s="235">
        <f>'Basis Options'!H246</f>
        <v>1000000</v>
      </c>
      <c r="AD241" s="235">
        <f>'Basis Options'!W246</f>
        <v>44799.367669974978</v>
      </c>
      <c r="AE241">
        <v>0</v>
      </c>
      <c r="AF241">
        <v>0</v>
      </c>
      <c r="AG241">
        <v>0</v>
      </c>
      <c r="AH241" s="235">
        <f>'Basis Options'!CD246</f>
        <v>0</v>
      </c>
      <c r="AI241">
        <v>226</v>
      </c>
      <c r="AJ241" t="s">
        <v>256</v>
      </c>
      <c r="AK241">
        <v>0</v>
      </c>
      <c r="AL241">
        <v>0</v>
      </c>
      <c r="AM241">
        <v>0</v>
      </c>
    </row>
    <row r="242" spans="1:39" x14ac:dyDescent="0.25">
      <c r="A242" t="s">
        <v>233</v>
      </c>
      <c r="B242" t="str">
        <f>'Basis Options'!C247</f>
        <v>NK4353</v>
      </c>
      <c r="C242" t="s">
        <v>255</v>
      </c>
      <c r="D242" t="s">
        <v>234</v>
      </c>
      <c r="E242" t="s">
        <v>20</v>
      </c>
      <c r="F242" t="str">
        <f>'Basis Options'!A247</f>
        <v>ELPASMER</v>
      </c>
      <c r="G242" t="s">
        <v>269</v>
      </c>
      <c r="H242" t="s">
        <v>254</v>
      </c>
      <c r="I242" t="s">
        <v>242</v>
      </c>
      <c r="J242" t="s">
        <v>235</v>
      </c>
      <c r="K242" s="380">
        <f>'Basis Options'!G247</f>
        <v>36951</v>
      </c>
      <c r="L242" s="235">
        <f>'Basis Options'!U247</f>
        <v>-339649.79348409909</v>
      </c>
      <c r="M242" s="380">
        <f>'Basis Options'!Q247</f>
        <v>36949</v>
      </c>
      <c r="N242" t="str">
        <f>'Basis Options'!F247</f>
        <v>P</v>
      </c>
      <c r="O242">
        <f>'Basis Options'!I247</f>
        <v>1.1499999999999999</v>
      </c>
      <c r="P242">
        <v>0</v>
      </c>
      <c r="Q242">
        <v>0</v>
      </c>
      <c r="R242">
        <v>0</v>
      </c>
      <c r="S242">
        <v>0</v>
      </c>
      <c r="T242" t="s">
        <v>253</v>
      </c>
      <c r="U242" t="str">
        <f>IF('Basis Options'!D247="NGI/CHI. GATE","""NGI/CHI. GATE""",TRIM('Basis Options'!D247))</f>
        <v>IF-TRANSCO/Z6</v>
      </c>
      <c r="V242" t="s">
        <v>253</v>
      </c>
      <c r="W242" t="s">
        <v>132</v>
      </c>
      <c r="X242" t="s">
        <v>253</v>
      </c>
      <c r="Y242" t="s">
        <v>235</v>
      </c>
      <c r="Z242" t="s">
        <v>236</v>
      </c>
      <c r="AA242" t="s">
        <v>253</v>
      </c>
      <c r="AB242" t="s">
        <v>1</v>
      </c>
      <c r="AC242" s="235">
        <f>'Basis Options'!H247</f>
        <v>-620000</v>
      </c>
      <c r="AD242" s="235">
        <f>'Basis Options'!W247</f>
        <v>-54565.475005780172</v>
      </c>
      <c r="AE242">
        <v>0</v>
      </c>
      <c r="AF242">
        <v>0</v>
      </c>
      <c r="AG242">
        <v>0</v>
      </c>
      <c r="AH242" s="235">
        <f>'Basis Options'!CD247</f>
        <v>0</v>
      </c>
      <c r="AI242">
        <v>226</v>
      </c>
      <c r="AJ242" t="s">
        <v>256</v>
      </c>
      <c r="AK242">
        <v>0</v>
      </c>
      <c r="AL242">
        <v>0</v>
      </c>
      <c r="AM242">
        <v>0</v>
      </c>
    </row>
    <row r="243" spans="1:39" x14ac:dyDescent="0.25">
      <c r="A243" t="s">
        <v>233</v>
      </c>
      <c r="B243" t="str">
        <f>'Basis Options'!C248</f>
        <v>NK4353</v>
      </c>
      <c r="C243" t="s">
        <v>255</v>
      </c>
      <c r="D243" t="s">
        <v>234</v>
      </c>
      <c r="E243" t="s">
        <v>20</v>
      </c>
      <c r="F243" t="str">
        <f>'Basis Options'!A248</f>
        <v>ELPASMER</v>
      </c>
      <c r="G243" t="s">
        <v>269</v>
      </c>
      <c r="H243" t="s">
        <v>254</v>
      </c>
      <c r="I243" t="s">
        <v>242</v>
      </c>
      <c r="J243" t="s">
        <v>235</v>
      </c>
      <c r="K243" s="380">
        <f>'Basis Options'!G248</f>
        <v>36923</v>
      </c>
      <c r="L243" s="235">
        <f>'Basis Options'!U248</f>
        <v>-140321.83108377201</v>
      </c>
      <c r="M243" s="380">
        <f>'Basis Options'!Q248</f>
        <v>36921</v>
      </c>
      <c r="N243" t="str">
        <f>'Basis Options'!F248</f>
        <v>P</v>
      </c>
      <c r="O243">
        <f>'Basis Options'!I248</f>
        <v>1.1499999999999999</v>
      </c>
      <c r="P243">
        <v>0</v>
      </c>
      <c r="Q243">
        <v>0</v>
      </c>
      <c r="R243">
        <v>0</v>
      </c>
      <c r="S243">
        <v>0</v>
      </c>
      <c r="T243" t="s">
        <v>253</v>
      </c>
      <c r="U243" t="str">
        <f>IF('Basis Options'!D248="NGI/CHI. GATE","""NGI/CHI. GATE""",TRIM('Basis Options'!D248))</f>
        <v>IF-TRANSCO/Z6</v>
      </c>
      <c r="V243" t="s">
        <v>253</v>
      </c>
      <c r="W243" t="s">
        <v>132</v>
      </c>
      <c r="X243" t="s">
        <v>253</v>
      </c>
      <c r="Y243" t="s">
        <v>235</v>
      </c>
      <c r="Z243" t="s">
        <v>236</v>
      </c>
      <c r="AA243" t="s">
        <v>253</v>
      </c>
      <c r="AB243" t="s">
        <v>1</v>
      </c>
      <c r="AC243" s="235">
        <f>'Basis Options'!H248</f>
        <v>-560000</v>
      </c>
      <c r="AD243" s="235">
        <f>'Basis Options'!W248</f>
        <v>-41928.326996876</v>
      </c>
      <c r="AE243">
        <v>0</v>
      </c>
      <c r="AF243">
        <v>0</v>
      </c>
      <c r="AG243">
        <v>0</v>
      </c>
      <c r="AH243" s="235">
        <f>'Basis Options'!CD248</f>
        <v>0</v>
      </c>
      <c r="AI243">
        <v>226</v>
      </c>
      <c r="AJ243" t="s">
        <v>256</v>
      </c>
      <c r="AK243">
        <v>0</v>
      </c>
      <c r="AL243">
        <v>0</v>
      </c>
      <c r="AM243">
        <v>0</v>
      </c>
    </row>
    <row r="244" spans="1:39" x14ac:dyDescent="0.25">
      <c r="A244" t="s">
        <v>233</v>
      </c>
      <c r="B244" t="str">
        <f>'Basis Options'!C249</f>
        <v>NK4353</v>
      </c>
      <c r="C244" t="s">
        <v>255</v>
      </c>
      <c r="D244" t="s">
        <v>234</v>
      </c>
      <c r="E244" t="s">
        <v>20</v>
      </c>
      <c r="F244" t="str">
        <f>'Basis Options'!A249</f>
        <v>ELPASMER</v>
      </c>
      <c r="G244" t="s">
        <v>269</v>
      </c>
      <c r="H244" t="s">
        <v>254</v>
      </c>
      <c r="I244" t="s">
        <v>242</v>
      </c>
      <c r="J244" t="s">
        <v>235</v>
      </c>
      <c r="K244" s="380">
        <f>'Basis Options'!G249</f>
        <v>36892</v>
      </c>
      <c r="L244" s="235">
        <f>'Basis Options'!U249</f>
        <v>-128131.34536926246</v>
      </c>
      <c r="M244" s="380">
        <f>'Basis Options'!Q249</f>
        <v>36888</v>
      </c>
      <c r="N244" t="str">
        <f>'Basis Options'!F249</f>
        <v>P</v>
      </c>
      <c r="O244">
        <f>'Basis Options'!I249</f>
        <v>1.1499999999999999</v>
      </c>
      <c r="P244">
        <v>0</v>
      </c>
      <c r="Q244">
        <v>0</v>
      </c>
      <c r="R244">
        <v>0</v>
      </c>
      <c r="S244">
        <v>0</v>
      </c>
      <c r="T244" t="s">
        <v>253</v>
      </c>
      <c r="U244" t="str">
        <f>IF('Basis Options'!D249="NGI/CHI. GATE","""NGI/CHI. GATE""",TRIM('Basis Options'!D249))</f>
        <v>IF-TRANSCO/Z6</v>
      </c>
      <c r="V244" t="s">
        <v>253</v>
      </c>
      <c r="W244" t="s">
        <v>132</v>
      </c>
      <c r="X244" t="s">
        <v>253</v>
      </c>
      <c r="Y244" t="s">
        <v>235</v>
      </c>
      <c r="Z244" t="s">
        <v>236</v>
      </c>
      <c r="AA244" t="s">
        <v>253</v>
      </c>
      <c r="AB244" t="s">
        <v>1</v>
      </c>
      <c r="AC244" s="235">
        <f>'Basis Options'!H249</f>
        <v>-620000</v>
      </c>
      <c r="AD244" s="235">
        <f>'Basis Options'!W249</f>
        <v>-40182.790867114774</v>
      </c>
      <c r="AE244">
        <v>0</v>
      </c>
      <c r="AF244">
        <v>0</v>
      </c>
      <c r="AG244">
        <v>0</v>
      </c>
      <c r="AH244" s="235">
        <f>'Basis Options'!CD249</f>
        <v>0</v>
      </c>
      <c r="AI244">
        <v>226</v>
      </c>
      <c r="AJ244" t="s">
        <v>256</v>
      </c>
      <c r="AK244">
        <v>0</v>
      </c>
      <c r="AL244">
        <v>0</v>
      </c>
      <c r="AM244">
        <v>0</v>
      </c>
    </row>
    <row r="245" spans="1:39" x14ac:dyDescent="0.25">
      <c r="A245" t="s">
        <v>233</v>
      </c>
      <c r="B245" t="str">
        <f>'Basis Options'!C250</f>
        <v>NK4353</v>
      </c>
      <c r="C245" t="s">
        <v>255</v>
      </c>
      <c r="D245" t="s">
        <v>234</v>
      </c>
      <c r="E245" t="s">
        <v>20</v>
      </c>
      <c r="F245" t="str">
        <f>'Basis Options'!A250</f>
        <v>ELPASMER</v>
      </c>
      <c r="G245" t="s">
        <v>269</v>
      </c>
      <c r="H245" t="s">
        <v>254</v>
      </c>
      <c r="I245" t="s">
        <v>242</v>
      </c>
      <c r="J245" t="s">
        <v>235</v>
      </c>
      <c r="K245" s="380">
        <f>'Basis Options'!G250</f>
        <v>36861</v>
      </c>
      <c r="L245" s="235">
        <f>'Basis Options'!U250</f>
        <v>-171620.99934012053</v>
      </c>
      <c r="M245" s="380">
        <f>'Basis Options'!Q250</f>
        <v>36859</v>
      </c>
      <c r="N245" t="str">
        <f>'Basis Options'!F250</f>
        <v>P</v>
      </c>
      <c r="O245">
        <f>'Basis Options'!I250</f>
        <v>1.1499999999999999</v>
      </c>
      <c r="P245">
        <v>0</v>
      </c>
      <c r="Q245">
        <v>0</v>
      </c>
      <c r="R245">
        <v>0</v>
      </c>
      <c r="S245">
        <v>0</v>
      </c>
      <c r="T245" t="s">
        <v>253</v>
      </c>
      <c r="U245" t="str">
        <f>IF('Basis Options'!D250="NGI/CHI. GATE","""NGI/CHI. GATE""",TRIM('Basis Options'!D250))</f>
        <v>IF-TRANSCO/Z6</v>
      </c>
      <c r="V245" t="s">
        <v>253</v>
      </c>
      <c r="W245" t="s">
        <v>132</v>
      </c>
      <c r="X245" t="s">
        <v>253</v>
      </c>
      <c r="Y245" t="s">
        <v>235</v>
      </c>
      <c r="Z245" t="s">
        <v>236</v>
      </c>
      <c r="AA245" t="s">
        <v>253</v>
      </c>
      <c r="AB245" t="s">
        <v>1</v>
      </c>
      <c r="AC245" s="235">
        <f>'Basis Options'!H250</f>
        <v>-620000</v>
      </c>
      <c r="AD245" s="235">
        <f>'Basis Options'!W250</f>
        <v>-41246.153494631319</v>
      </c>
      <c r="AE245">
        <v>0</v>
      </c>
      <c r="AF245">
        <v>0</v>
      </c>
      <c r="AG245">
        <v>0</v>
      </c>
      <c r="AH245" s="235">
        <f>'Basis Options'!CD250</f>
        <v>0</v>
      </c>
      <c r="AI245">
        <v>226</v>
      </c>
      <c r="AJ245" t="s">
        <v>256</v>
      </c>
      <c r="AK245">
        <v>0</v>
      </c>
      <c r="AL245">
        <v>0</v>
      </c>
      <c r="AM245">
        <v>0</v>
      </c>
    </row>
    <row r="246" spans="1:39" x14ac:dyDescent="0.25">
      <c r="A246" t="s">
        <v>233</v>
      </c>
      <c r="B246" t="str">
        <f>'Basis Options'!C251</f>
        <v>NK4353</v>
      </c>
      <c r="C246" t="s">
        <v>255</v>
      </c>
      <c r="D246" t="s">
        <v>234</v>
      </c>
      <c r="E246" t="s">
        <v>20</v>
      </c>
      <c r="F246" t="str">
        <f>'Basis Options'!A251</f>
        <v>ELPASMER</v>
      </c>
      <c r="G246" t="s">
        <v>269</v>
      </c>
      <c r="H246" t="s">
        <v>254</v>
      </c>
      <c r="I246" t="s">
        <v>242</v>
      </c>
      <c r="J246" t="s">
        <v>235</v>
      </c>
      <c r="K246" s="380">
        <f>'Basis Options'!G251</f>
        <v>36831</v>
      </c>
      <c r="L246" s="235">
        <f>'Basis Options'!U251</f>
        <v>-300537.95955234912</v>
      </c>
      <c r="M246" s="380">
        <f>'Basis Options'!Q251</f>
        <v>36829</v>
      </c>
      <c r="N246" t="str">
        <f>'Basis Options'!F251</f>
        <v>P</v>
      </c>
      <c r="O246">
        <f>'Basis Options'!I251</f>
        <v>1.1499999999999999</v>
      </c>
      <c r="P246">
        <v>0</v>
      </c>
      <c r="Q246">
        <v>0</v>
      </c>
      <c r="R246">
        <v>0</v>
      </c>
      <c r="S246">
        <v>0</v>
      </c>
      <c r="T246" t="s">
        <v>253</v>
      </c>
      <c r="U246" t="str">
        <f>IF('Basis Options'!D251="NGI/CHI. GATE","""NGI/CHI. GATE""",TRIM('Basis Options'!D251))</f>
        <v>IF-TRANSCO/Z6</v>
      </c>
      <c r="V246" t="s">
        <v>253</v>
      </c>
      <c r="W246" t="s">
        <v>132</v>
      </c>
      <c r="X246" t="s">
        <v>253</v>
      </c>
      <c r="Y246" t="s">
        <v>235</v>
      </c>
      <c r="Z246" t="s">
        <v>236</v>
      </c>
      <c r="AA246" t="s">
        <v>253</v>
      </c>
      <c r="AB246" t="s">
        <v>1</v>
      </c>
      <c r="AC246" s="235">
        <f>'Basis Options'!H251</f>
        <v>-600000</v>
      </c>
      <c r="AD246" s="235">
        <f>'Basis Options'!W251</f>
        <v>-22413.205467948806</v>
      </c>
      <c r="AE246">
        <v>0</v>
      </c>
      <c r="AF246">
        <v>0</v>
      </c>
      <c r="AG246">
        <v>0</v>
      </c>
      <c r="AH246" s="235">
        <f>'Basis Options'!CD251</f>
        <v>0</v>
      </c>
      <c r="AI246">
        <v>226</v>
      </c>
      <c r="AJ246" t="s">
        <v>256</v>
      </c>
      <c r="AK246">
        <v>0</v>
      </c>
      <c r="AL246">
        <v>0</v>
      </c>
      <c r="AM246">
        <v>0</v>
      </c>
    </row>
    <row r="247" spans="1:39" x14ac:dyDescent="0.25">
      <c r="A247" t="s">
        <v>233</v>
      </c>
      <c r="B247" t="str">
        <f>'Basis Options'!C252</f>
        <v>NK4369</v>
      </c>
      <c r="C247" t="s">
        <v>255</v>
      </c>
      <c r="D247" t="s">
        <v>234</v>
      </c>
      <c r="E247" t="s">
        <v>20</v>
      </c>
      <c r="F247" t="str">
        <f>'Basis Options'!A252</f>
        <v>ELPASMER</v>
      </c>
      <c r="G247" t="s">
        <v>269</v>
      </c>
      <c r="H247" t="s">
        <v>254</v>
      </c>
      <c r="I247" t="s">
        <v>242</v>
      </c>
      <c r="J247" t="s">
        <v>235</v>
      </c>
      <c r="K247" s="380">
        <f>'Basis Options'!G252</f>
        <v>36951</v>
      </c>
      <c r="L247" s="235">
        <f>'Basis Options'!U252</f>
        <v>-464232.53044064884</v>
      </c>
      <c r="M247" s="380">
        <f>'Basis Options'!Q252</f>
        <v>36949</v>
      </c>
      <c r="N247" t="str">
        <f>'Basis Options'!F252</f>
        <v>P</v>
      </c>
      <c r="O247">
        <f>'Basis Options'!I252</f>
        <v>1</v>
      </c>
      <c r="P247">
        <v>0</v>
      </c>
      <c r="Q247">
        <v>0</v>
      </c>
      <c r="R247">
        <v>0</v>
      </c>
      <c r="S247">
        <v>0</v>
      </c>
      <c r="T247" t="s">
        <v>253</v>
      </c>
      <c r="U247" t="str">
        <f>IF('Basis Options'!D252="NGI/CHI. GATE","""NGI/CHI. GATE""",TRIM('Basis Options'!D252))</f>
        <v>IF-TRANSCO/Z6</v>
      </c>
      <c r="V247" t="s">
        <v>253</v>
      </c>
      <c r="W247" t="s">
        <v>132</v>
      </c>
      <c r="X247" t="s">
        <v>253</v>
      </c>
      <c r="Y247" t="s">
        <v>235</v>
      </c>
      <c r="Z247" t="s">
        <v>236</v>
      </c>
      <c r="AA247" t="s">
        <v>253</v>
      </c>
      <c r="AB247" t="s">
        <v>1</v>
      </c>
      <c r="AC247" s="235">
        <f>'Basis Options'!H252</f>
        <v>-1000000</v>
      </c>
      <c r="AD247" s="235">
        <f>'Basis Options'!W252</f>
        <v>-88710.208431903797</v>
      </c>
      <c r="AE247">
        <v>0</v>
      </c>
      <c r="AF247">
        <v>0</v>
      </c>
      <c r="AG247">
        <v>0</v>
      </c>
      <c r="AH247" s="235">
        <f>'Basis Options'!CD252</f>
        <v>0</v>
      </c>
      <c r="AI247">
        <v>226</v>
      </c>
      <c r="AJ247" t="s">
        <v>256</v>
      </c>
      <c r="AK247">
        <v>0</v>
      </c>
      <c r="AL247">
        <v>0</v>
      </c>
      <c r="AM247">
        <v>0</v>
      </c>
    </row>
    <row r="248" spans="1:39" x14ac:dyDescent="0.25">
      <c r="A248" t="s">
        <v>233</v>
      </c>
      <c r="B248" t="str">
        <f>'Basis Options'!C253</f>
        <v>NK7690</v>
      </c>
      <c r="C248" t="s">
        <v>255</v>
      </c>
      <c r="D248" t="s">
        <v>234</v>
      </c>
      <c r="E248" t="s">
        <v>20</v>
      </c>
      <c r="F248" t="str">
        <f>'Basis Options'!A253</f>
        <v>ELPASMER</v>
      </c>
      <c r="G248" t="s">
        <v>269</v>
      </c>
      <c r="H248" t="s">
        <v>254</v>
      </c>
      <c r="I248" t="s">
        <v>242</v>
      </c>
      <c r="J248" t="s">
        <v>235</v>
      </c>
      <c r="K248" s="380">
        <f>'Basis Options'!G253</f>
        <v>36951</v>
      </c>
      <c r="L248" s="235">
        <f>'Basis Options'!U253</f>
        <v>340944.97957691405</v>
      </c>
      <c r="M248" s="380">
        <f>'Basis Options'!Q253</f>
        <v>36949</v>
      </c>
      <c r="N248" t="str">
        <f>'Basis Options'!F253</f>
        <v>P</v>
      </c>
      <c r="O248">
        <f>'Basis Options'!I253</f>
        <v>0.75</v>
      </c>
      <c r="P248">
        <v>0</v>
      </c>
      <c r="Q248">
        <v>0</v>
      </c>
      <c r="R248">
        <v>0</v>
      </c>
      <c r="S248">
        <v>0</v>
      </c>
      <c r="T248" t="s">
        <v>253</v>
      </c>
      <c r="U248" t="str">
        <f>IF('Basis Options'!D253="NGI/CHI. GATE","""NGI/CHI. GATE""",TRIM('Basis Options'!D253))</f>
        <v>IF-TRANSCO/Z6</v>
      </c>
      <c r="V248" t="s">
        <v>253</v>
      </c>
      <c r="W248" t="s">
        <v>132</v>
      </c>
      <c r="X248" t="s">
        <v>253</v>
      </c>
      <c r="Y248" t="s">
        <v>235</v>
      </c>
      <c r="Z248" t="s">
        <v>236</v>
      </c>
      <c r="AA248" t="s">
        <v>253</v>
      </c>
      <c r="AB248" t="s">
        <v>1</v>
      </c>
      <c r="AC248" s="235">
        <f>'Basis Options'!H253</f>
        <v>1000000</v>
      </c>
      <c r="AD248" s="235">
        <f>'Basis Options'!W253</f>
        <v>87182.665027824289</v>
      </c>
      <c r="AE248">
        <v>0</v>
      </c>
      <c r="AF248">
        <v>0</v>
      </c>
      <c r="AG248">
        <v>0</v>
      </c>
      <c r="AH248" s="235">
        <f>'Basis Options'!CD253</f>
        <v>0</v>
      </c>
      <c r="AI248">
        <v>226</v>
      </c>
      <c r="AJ248" t="s">
        <v>256</v>
      </c>
      <c r="AK248">
        <v>0</v>
      </c>
      <c r="AL248">
        <v>0</v>
      </c>
      <c r="AM248">
        <v>0</v>
      </c>
    </row>
    <row r="249" spans="1:39" x14ac:dyDescent="0.25">
      <c r="A249" t="s">
        <v>233</v>
      </c>
      <c r="B249" t="str">
        <f>'Basis Options'!C254</f>
        <v>NK7690</v>
      </c>
      <c r="C249" t="s">
        <v>255</v>
      </c>
      <c r="D249" t="s">
        <v>234</v>
      </c>
      <c r="E249" t="s">
        <v>20</v>
      </c>
      <c r="F249" t="str">
        <f>'Basis Options'!A254</f>
        <v>ELPASMER</v>
      </c>
      <c r="G249" t="s">
        <v>269</v>
      </c>
      <c r="H249" t="s">
        <v>254</v>
      </c>
      <c r="I249" t="s">
        <v>242</v>
      </c>
      <c r="J249" t="s">
        <v>235</v>
      </c>
      <c r="K249" s="380">
        <f>'Basis Options'!G254</f>
        <v>36923</v>
      </c>
      <c r="L249" s="235">
        <f>'Basis Options'!U254</f>
        <v>139065.65808994998</v>
      </c>
      <c r="M249" s="380">
        <f>'Basis Options'!Q254</f>
        <v>36921</v>
      </c>
      <c r="N249" t="str">
        <f>'Basis Options'!F254</f>
        <v>P</v>
      </c>
      <c r="O249">
        <f>'Basis Options'!I254</f>
        <v>0.75</v>
      </c>
      <c r="P249">
        <v>0</v>
      </c>
      <c r="Q249">
        <v>0</v>
      </c>
      <c r="R249">
        <v>0</v>
      </c>
      <c r="S249">
        <v>0</v>
      </c>
      <c r="T249" t="s">
        <v>253</v>
      </c>
      <c r="U249" t="str">
        <f>IF('Basis Options'!D254="NGI/CHI. GATE","""NGI/CHI. GATE""",TRIM('Basis Options'!D254))</f>
        <v>IF-TRANSCO/Z6</v>
      </c>
      <c r="V249" t="s">
        <v>253</v>
      </c>
      <c r="W249" t="s">
        <v>132</v>
      </c>
      <c r="X249" t="s">
        <v>253</v>
      </c>
      <c r="Y249" t="s">
        <v>235</v>
      </c>
      <c r="Z249" t="s">
        <v>236</v>
      </c>
      <c r="AA249" t="s">
        <v>253</v>
      </c>
      <c r="AB249" t="s">
        <v>1</v>
      </c>
      <c r="AC249" s="235">
        <f>'Basis Options'!H254</f>
        <v>1000000</v>
      </c>
      <c r="AD249" s="235">
        <f>'Basis Options'!W254</f>
        <v>61118.854317467543</v>
      </c>
      <c r="AE249">
        <v>0</v>
      </c>
      <c r="AF249">
        <v>0</v>
      </c>
      <c r="AG249">
        <v>0</v>
      </c>
      <c r="AH249" s="235">
        <f>'Basis Options'!CD254</f>
        <v>0</v>
      </c>
      <c r="AI249">
        <v>226</v>
      </c>
      <c r="AJ249" t="s">
        <v>256</v>
      </c>
      <c r="AK249">
        <v>0</v>
      </c>
      <c r="AL249">
        <v>0</v>
      </c>
      <c r="AM249">
        <v>0</v>
      </c>
    </row>
    <row r="250" spans="1:39" x14ac:dyDescent="0.25">
      <c r="A250" t="s">
        <v>233</v>
      </c>
      <c r="B250" t="str">
        <f>'Basis Options'!C255</f>
        <v>NK7690</v>
      </c>
      <c r="C250" t="s">
        <v>255</v>
      </c>
      <c r="D250" t="s">
        <v>234</v>
      </c>
      <c r="E250" t="s">
        <v>20</v>
      </c>
      <c r="F250" t="str">
        <f>'Basis Options'!A255</f>
        <v>ELPASMER</v>
      </c>
      <c r="G250" t="s">
        <v>269</v>
      </c>
      <c r="H250" t="s">
        <v>254</v>
      </c>
      <c r="I250" t="s">
        <v>242</v>
      </c>
      <c r="J250" t="s">
        <v>235</v>
      </c>
      <c r="K250" s="380">
        <f>'Basis Options'!G255</f>
        <v>36892</v>
      </c>
      <c r="L250" s="235">
        <f>'Basis Options'!U255</f>
        <v>109427.44498145573</v>
      </c>
      <c r="M250" s="380">
        <f>'Basis Options'!Q255</f>
        <v>36888</v>
      </c>
      <c r="N250" t="str">
        <f>'Basis Options'!F255</f>
        <v>P</v>
      </c>
      <c r="O250">
        <f>'Basis Options'!I255</f>
        <v>0.75</v>
      </c>
      <c r="P250">
        <v>0</v>
      </c>
      <c r="Q250">
        <v>0</v>
      </c>
      <c r="R250">
        <v>0</v>
      </c>
      <c r="S250">
        <v>0</v>
      </c>
      <c r="T250" t="s">
        <v>253</v>
      </c>
      <c r="U250" t="str">
        <f>IF('Basis Options'!D255="NGI/CHI. GATE","""NGI/CHI. GATE""",TRIM('Basis Options'!D255))</f>
        <v>IF-TRANSCO/Z6</v>
      </c>
      <c r="V250" t="s">
        <v>253</v>
      </c>
      <c r="W250" t="s">
        <v>132</v>
      </c>
      <c r="X250" t="s">
        <v>253</v>
      </c>
      <c r="Y250" t="s">
        <v>235</v>
      </c>
      <c r="Z250" t="s">
        <v>236</v>
      </c>
      <c r="AA250" t="s">
        <v>253</v>
      </c>
      <c r="AB250" t="s">
        <v>1</v>
      </c>
      <c r="AC250" s="235">
        <f>'Basis Options'!H255</f>
        <v>1000000</v>
      </c>
      <c r="AD250" s="235">
        <f>'Basis Options'!W255</f>
        <v>50563.769735122769</v>
      </c>
      <c r="AE250">
        <v>0</v>
      </c>
      <c r="AF250">
        <v>0</v>
      </c>
      <c r="AG250">
        <v>0</v>
      </c>
      <c r="AH250" s="235">
        <f>'Basis Options'!CD255</f>
        <v>0</v>
      </c>
      <c r="AI250">
        <v>226</v>
      </c>
      <c r="AJ250" t="s">
        <v>256</v>
      </c>
      <c r="AK250">
        <v>0</v>
      </c>
      <c r="AL250">
        <v>0</v>
      </c>
      <c r="AM250">
        <v>0</v>
      </c>
    </row>
    <row r="251" spans="1:39" x14ac:dyDescent="0.25">
      <c r="A251" t="s">
        <v>233</v>
      </c>
      <c r="B251" t="str">
        <f>'Basis Options'!C256</f>
        <v>NK7690</v>
      </c>
      <c r="C251" t="s">
        <v>255</v>
      </c>
      <c r="D251" t="s">
        <v>234</v>
      </c>
      <c r="E251" t="s">
        <v>20</v>
      </c>
      <c r="F251" t="str">
        <f>'Basis Options'!A256</f>
        <v>ELPASMER</v>
      </c>
      <c r="G251" t="s">
        <v>269</v>
      </c>
      <c r="H251" t="s">
        <v>254</v>
      </c>
      <c r="I251" t="s">
        <v>242</v>
      </c>
      <c r="J251" t="s">
        <v>235</v>
      </c>
      <c r="K251" s="380">
        <f>'Basis Options'!G256</f>
        <v>36861</v>
      </c>
      <c r="L251" s="235">
        <f>'Basis Options'!U256</f>
        <v>146096.80639816693</v>
      </c>
      <c r="M251" s="380">
        <f>'Basis Options'!Q256</f>
        <v>36859</v>
      </c>
      <c r="N251" t="str">
        <f>'Basis Options'!F256</f>
        <v>P</v>
      </c>
      <c r="O251">
        <f>'Basis Options'!I256</f>
        <v>0.75</v>
      </c>
      <c r="P251">
        <v>0</v>
      </c>
      <c r="Q251">
        <v>0</v>
      </c>
      <c r="R251">
        <v>0</v>
      </c>
      <c r="S251">
        <v>0</v>
      </c>
      <c r="T251" t="s">
        <v>253</v>
      </c>
      <c r="U251" t="str">
        <f>IF('Basis Options'!D256="NGI/CHI. GATE","""NGI/CHI. GATE""",TRIM('Basis Options'!D256))</f>
        <v>IF-TRANSCO/Z6</v>
      </c>
      <c r="V251" t="s">
        <v>253</v>
      </c>
      <c r="W251" t="s">
        <v>132</v>
      </c>
      <c r="X251" t="s">
        <v>253</v>
      </c>
      <c r="Y251" t="s">
        <v>235</v>
      </c>
      <c r="Z251" t="s">
        <v>236</v>
      </c>
      <c r="AA251" t="s">
        <v>253</v>
      </c>
      <c r="AB251" t="s">
        <v>1</v>
      </c>
      <c r="AC251" s="235">
        <f>'Basis Options'!H256</f>
        <v>1000000</v>
      </c>
      <c r="AD251" s="235">
        <f>'Basis Options'!W256</f>
        <v>55120.580564561504</v>
      </c>
      <c r="AE251">
        <v>0</v>
      </c>
      <c r="AF251">
        <v>0</v>
      </c>
      <c r="AG251">
        <v>0</v>
      </c>
      <c r="AH251" s="235">
        <f>'Basis Options'!CD256</f>
        <v>0</v>
      </c>
      <c r="AI251">
        <v>226</v>
      </c>
      <c r="AJ251" t="s">
        <v>256</v>
      </c>
      <c r="AK251">
        <v>0</v>
      </c>
      <c r="AL251">
        <v>0</v>
      </c>
      <c r="AM251">
        <v>0</v>
      </c>
    </row>
    <row r="252" spans="1:39" x14ac:dyDescent="0.25">
      <c r="A252" t="s">
        <v>233</v>
      </c>
      <c r="B252" t="str">
        <f>'Basis Options'!C257</f>
        <v>NK7690</v>
      </c>
      <c r="C252" t="s">
        <v>255</v>
      </c>
      <c r="D252" t="s">
        <v>234</v>
      </c>
      <c r="E252" t="s">
        <v>20</v>
      </c>
      <c r="F252" t="str">
        <f>'Basis Options'!A257</f>
        <v>ELPASMER</v>
      </c>
      <c r="G252" t="s">
        <v>269</v>
      </c>
      <c r="H252" t="s">
        <v>254</v>
      </c>
      <c r="I252" t="s">
        <v>242</v>
      </c>
      <c r="J252" t="s">
        <v>235</v>
      </c>
      <c r="K252" s="380">
        <f>'Basis Options'!G257</f>
        <v>36831</v>
      </c>
      <c r="L252" s="235">
        <f>'Basis Options'!U257</f>
        <v>247597.33949464923</v>
      </c>
      <c r="M252" s="380">
        <f>'Basis Options'!Q257</f>
        <v>36829</v>
      </c>
      <c r="N252" t="str">
        <f>'Basis Options'!F257</f>
        <v>P</v>
      </c>
      <c r="O252">
        <f>'Basis Options'!I257</f>
        <v>0.75</v>
      </c>
      <c r="P252">
        <v>0</v>
      </c>
      <c r="Q252">
        <v>0</v>
      </c>
      <c r="R252">
        <v>0</v>
      </c>
      <c r="S252">
        <v>0</v>
      </c>
      <c r="T252" t="s">
        <v>253</v>
      </c>
      <c r="U252" t="str">
        <f>IF('Basis Options'!D257="NGI/CHI. GATE","""NGI/CHI. GATE""",TRIM('Basis Options'!D257))</f>
        <v>IF-TRANSCO/Z6</v>
      </c>
      <c r="V252" t="s">
        <v>253</v>
      </c>
      <c r="W252" t="s">
        <v>132</v>
      </c>
      <c r="X252" t="s">
        <v>253</v>
      </c>
      <c r="Y252" t="s">
        <v>235</v>
      </c>
      <c r="Z252" t="s">
        <v>236</v>
      </c>
      <c r="AA252" t="s">
        <v>253</v>
      </c>
      <c r="AB252" t="s">
        <v>1</v>
      </c>
      <c r="AC252" s="235">
        <f>'Basis Options'!H257</f>
        <v>1000000</v>
      </c>
      <c r="AD252" s="235">
        <f>'Basis Options'!W257</f>
        <v>44799.367669974978</v>
      </c>
      <c r="AE252">
        <v>0</v>
      </c>
      <c r="AF252">
        <v>0</v>
      </c>
      <c r="AG252">
        <v>0</v>
      </c>
      <c r="AH252" s="235">
        <f>'Basis Options'!CD257</f>
        <v>0</v>
      </c>
      <c r="AI252">
        <v>226</v>
      </c>
      <c r="AJ252" t="s">
        <v>256</v>
      </c>
      <c r="AK252">
        <v>0</v>
      </c>
      <c r="AL252">
        <v>0</v>
      </c>
      <c r="AM252">
        <v>0</v>
      </c>
    </row>
    <row r="253" spans="1:39" x14ac:dyDescent="0.25">
      <c r="A253" t="s">
        <v>233</v>
      </c>
      <c r="B253" t="str">
        <f>'Basis Options'!C258</f>
        <v>NK7692</v>
      </c>
      <c r="C253" t="s">
        <v>255</v>
      </c>
      <c r="D253" t="s">
        <v>234</v>
      </c>
      <c r="E253" t="s">
        <v>20</v>
      </c>
      <c r="F253" t="str">
        <f>'Basis Options'!A258</f>
        <v>ELPASMER</v>
      </c>
      <c r="G253" t="s">
        <v>269</v>
      </c>
      <c r="H253" t="s">
        <v>254</v>
      </c>
      <c r="I253" t="s">
        <v>242</v>
      </c>
      <c r="J253" t="s">
        <v>235</v>
      </c>
      <c r="K253" s="380">
        <f>'Basis Options'!G258</f>
        <v>36951</v>
      </c>
      <c r="L253" s="235">
        <f>'Basis Options'!U258</f>
        <v>-32351.709446374312</v>
      </c>
      <c r="M253" s="380">
        <f>'Basis Options'!Q258</f>
        <v>36949</v>
      </c>
      <c r="N253" t="str">
        <f>'Basis Options'!F258</f>
        <v>C</v>
      </c>
      <c r="O253">
        <f>'Basis Options'!I258</f>
        <v>3</v>
      </c>
      <c r="P253">
        <v>0</v>
      </c>
      <c r="Q253">
        <v>0</v>
      </c>
      <c r="R253">
        <v>0</v>
      </c>
      <c r="S253">
        <v>0</v>
      </c>
      <c r="T253" t="s">
        <v>253</v>
      </c>
      <c r="U253" t="str">
        <f>IF('Basis Options'!D258="NGI/CHI. GATE","""NGI/CHI. GATE""",TRIM('Basis Options'!D258))</f>
        <v>IF-TRANSCO/Z6</v>
      </c>
      <c r="V253" t="s">
        <v>253</v>
      </c>
      <c r="W253" t="s">
        <v>132</v>
      </c>
      <c r="X253" t="s">
        <v>253</v>
      </c>
      <c r="Y253" t="s">
        <v>235</v>
      </c>
      <c r="Z253" t="s">
        <v>236</v>
      </c>
      <c r="AA253" t="s">
        <v>253</v>
      </c>
      <c r="AB253" t="s">
        <v>1</v>
      </c>
      <c r="AC253" s="235">
        <f>'Basis Options'!H258</f>
        <v>-310000</v>
      </c>
      <c r="AD253" s="235">
        <f>'Basis Options'!W258</f>
        <v>-13798.648806275058</v>
      </c>
      <c r="AE253">
        <v>0</v>
      </c>
      <c r="AF253">
        <v>0</v>
      </c>
      <c r="AG253">
        <v>0</v>
      </c>
      <c r="AH253" s="235">
        <f>'Basis Options'!CD258</f>
        <v>0</v>
      </c>
      <c r="AI253">
        <v>226</v>
      </c>
      <c r="AJ253" t="s">
        <v>256</v>
      </c>
      <c r="AK253">
        <v>0</v>
      </c>
      <c r="AL253">
        <v>0</v>
      </c>
      <c r="AM253">
        <v>0</v>
      </c>
    </row>
    <row r="254" spans="1:39" x14ac:dyDescent="0.25">
      <c r="A254" t="s">
        <v>233</v>
      </c>
      <c r="B254" t="str">
        <f>'Basis Options'!C259</f>
        <v>NK7692</v>
      </c>
      <c r="C254" t="s">
        <v>255</v>
      </c>
      <c r="D254" t="s">
        <v>234</v>
      </c>
      <c r="E254" t="s">
        <v>20</v>
      </c>
      <c r="F254" t="str">
        <f>'Basis Options'!A259</f>
        <v>ELPASMER</v>
      </c>
      <c r="G254" t="s">
        <v>269</v>
      </c>
      <c r="H254" t="s">
        <v>254</v>
      </c>
      <c r="I254" t="s">
        <v>242</v>
      </c>
      <c r="J254" t="s">
        <v>235</v>
      </c>
      <c r="K254" s="380">
        <f>'Basis Options'!G259</f>
        <v>36923</v>
      </c>
      <c r="L254" s="235">
        <f>'Basis Options'!U259</f>
        <v>-111373.09730231119</v>
      </c>
      <c r="M254" s="380">
        <f>'Basis Options'!Q259</f>
        <v>36921</v>
      </c>
      <c r="N254" t="str">
        <f>'Basis Options'!F259</f>
        <v>C</v>
      </c>
      <c r="O254">
        <f>'Basis Options'!I259</f>
        <v>3</v>
      </c>
      <c r="P254">
        <v>0</v>
      </c>
      <c r="Q254">
        <v>0</v>
      </c>
      <c r="R254">
        <v>0</v>
      </c>
      <c r="S254">
        <v>0</v>
      </c>
      <c r="T254" t="s">
        <v>253</v>
      </c>
      <c r="U254" t="str">
        <f>IF('Basis Options'!D259="NGI/CHI. GATE","""NGI/CHI. GATE""",TRIM('Basis Options'!D259))</f>
        <v>IF-TRANSCO/Z6</v>
      </c>
      <c r="V254" t="s">
        <v>253</v>
      </c>
      <c r="W254" t="s">
        <v>132</v>
      </c>
      <c r="X254" t="s">
        <v>253</v>
      </c>
      <c r="Y254" t="s">
        <v>235</v>
      </c>
      <c r="Z254" t="s">
        <v>236</v>
      </c>
      <c r="AA254" t="s">
        <v>253</v>
      </c>
      <c r="AB254" t="s">
        <v>1</v>
      </c>
      <c r="AC254" s="235">
        <f>'Basis Options'!H259</f>
        <v>-280000</v>
      </c>
      <c r="AD254" s="235">
        <f>'Basis Options'!W259</f>
        <v>-21078.220219804862</v>
      </c>
      <c r="AE254">
        <v>0</v>
      </c>
      <c r="AF254">
        <v>0</v>
      </c>
      <c r="AG254">
        <v>0</v>
      </c>
      <c r="AH254" s="235">
        <f>'Basis Options'!CD259</f>
        <v>0</v>
      </c>
      <c r="AI254">
        <v>226</v>
      </c>
      <c r="AJ254" t="s">
        <v>256</v>
      </c>
      <c r="AK254">
        <v>0</v>
      </c>
      <c r="AL254">
        <v>0</v>
      </c>
      <c r="AM254">
        <v>0</v>
      </c>
    </row>
    <row r="255" spans="1:39" x14ac:dyDescent="0.25">
      <c r="A255" t="s">
        <v>233</v>
      </c>
      <c r="B255" t="str">
        <f>'Basis Options'!C260</f>
        <v>NK7692</v>
      </c>
      <c r="C255" t="s">
        <v>255</v>
      </c>
      <c r="D255" t="s">
        <v>234</v>
      </c>
      <c r="E255" t="s">
        <v>20</v>
      </c>
      <c r="F255" t="str">
        <f>'Basis Options'!A260</f>
        <v>ELPASMER</v>
      </c>
      <c r="G255" t="s">
        <v>269</v>
      </c>
      <c r="H255" t="s">
        <v>254</v>
      </c>
      <c r="I255" t="s">
        <v>242</v>
      </c>
      <c r="J255" t="s">
        <v>235</v>
      </c>
      <c r="K255" s="380">
        <f>'Basis Options'!G260</f>
        <v>36892</v>
      </c>
      <c r="L255" s="235">
        <f>'Basis Options'!U260</f>
        <v>-118924.65727236489</v>
      </c>
      <c r="M255" s="380">
        <f>'Basis Options'!Q260</f>
        <v>36888</v>
      </c>
      <c r="N255" t="str">
        <f>'Basis Options'!F260</f>
        <v>C</v>
      </c>
      <c r="O255">
        <f>'Basis Options'!I260</f>
        <v>3</v>
      </c>
      <c r="P255">
        <v>0</v>
      </c>
      <c r="Q255">
        <v>0</v>
      </c>
      <c r="R255">
        <v>0</v>
      </c>
      <c r="S255">
        <v>0</v>
      </c>
      <c r="T255" t="s">
        <v>253</v>
      </c>
      <c r="U255" t="str">
        <f>IF('Basis Options'!D260="NGI/CHI. GATE","""NGI/CHI. GATE""",TRIM('Basis Options'!D260))</f>
        <v>IF-TRANSCO/Z6</v>
      </c>
      <c r="V255" t="s">
        <v>253</v>
      </c>
      <c r="W255" t="s">
        <v>132</v>
      </c>
      <c r="X255" t="s">
        <v>253</v>
      </c>
      <c r="Y255" t="s">
        <v>235</v>
      </c>
      <c r="Z255" t="s">
        <v>236</v>
      </c>
      <c r="AA255" t="s">
        <v>253</v>
      </c>
      <c r="AB255" t="s">
        <v>1</v>
      </c>
      <c r="AC255" s="235">
        <f>'Basis Options'!H260</f>
        <v>-310000</v>
      </c>
      <c r="AD255" s="235">
        <f>'Basis Options'!W260</f>
        <v>-21476.333880709062</v>
      </c>
      <c r="AE255">
        <v>0</v>
      </c>
      <c r="AF255">
        <v>0</v>
      </c>
      <c r="AG255">
        <v>0</v>
      </c>
      <c r="AH255" s="235">
        <f>'Basis Options'!CD260</f>
        <v>0</v>
      </c>
      <c r="AI255">
        <v>226</v>
      </c>
      <c r="AJ255" t="s">
        <v>256</v>
      </c>
      <c r="AK255">
        <v>0</v>
      </c>
      <c r="AL255">
        <v>0</v>
      </c>
      <c r="AM255">
        <v>0</v>
      </c>
    </row>
    <row r="256" spans="1:39" x14ac:dyDescent="0.25">
      <c r="A256" t="s">
        <v>233</v>
      </c>
      <c r="B256" t="str">
        <f>'Basis Options'!C261</f>
        <v>NK7692</v>
      </c>
      <c r="C256" t="s">
        <v>255</v>
      </c>
      <c r="D256" t="s">
        <v>234</v>
      </c>
      <c r="E256" t="s">
        <v>20</v>
      </c>
      <c r="F256" t="str">
        <f>'Basis Options'!A261</f>
        <v>ELPASMER</v>
      </c>
      <c r="G256" t="s">
        <v>269</v>
      </c>
      <c r="H256" t="s">
        <v>254</v>
      </c>
      <c r="I256" t="s">
        <v>242</v>
      </c>
      <c r="J256" t="s">
        <v>235</v>
      </c>
      <c r="K256" s="380">
        <f>'Basis Options'!G261</f>
        <v>36861</v>
      </c>
      <c r="L256" s="235">
        <f>'Basis Options'!U261</f>
        <v>-48514.821884469973</v>
      </c>
      <c r="M256" s="380">
        <f>'Basis Options'!Q261</f>
        <v>36859</v>
      </c>
      <c r="N256" t="str">
        <f>'Basis Options'!F261</f>
        <v>C</v>
      </c>
      <c r="O256">
        <f>'Basis Options'!I261</f>
        <v>3</v>
      </c>
      <c r="P256">
        <v>0</v>
      </c>
      <c r="Q256">
        <v>0</v>
      </c>
      <c r="R256">
        <v>0</v>
      </c>
      <c r="S256">
        <v>0</v>
      </c>
      <c r="T256" t="s">
        <v>253</v>
      </c>
      <c r="U256" t="str">
        <f>IF('Basis Options'!D261="NGI/CHI. GATE","""NGI/CHI. GATE""",TRIM('Basis Options'!D261))</f>
        <v>IF-TRANSCO/Z6</v>
      </c>
      <c r="V256" t="s">
        <v>253</v>
      </c>
      <c r="W256" t="s">
        <v>132</v>
      </c>
      <c r="X256" t="s">
        <v>253</v>
      </c>
      <c r="Y256" t="s">
        <v>235</v>
      </c>
      <c r="Z256" t="s">
        <v>236</v>
      </c>
      <c r="AA256" t="s">
        <v>253</v>
      </c>
      <c r="AB256" t="s">
        <v>1</v>
      </c>
      <c r="AC256" s="235">
        <f>'Basis Options'!H261</f>
        <v>-310000</v>
      </c>
      <c r="AD256" s="235">
        <f>'Basis Options'!W261</f>
        <v>-14294.163599793923</v>
      </c>
      <c r="AE256">
        <v>0</v>
      </c>
      <c r="AF256">
        <v>0</v>
      </c>
      <c r="AG256">
        <v>0</v>
      </c>
      <c r="AH256" s="235">
        <f>'Basis Options'!CD261</f>
        <v>0</v>
      </c>
      <c r="AI256">
        <v>226</v>
      </c>
      <c r="AJ256" t="s">
        <v>256</v>
      </c>
      <c r="AK256">
        <v>0</v>
      </c>
      <c r="AL256">
        <v>0</v>
      </c>
      <c r="AM256">
        <v>0</v>
      </c>
    </row>
    <row r="257" spans="1:39" x14ac:dyDescent="0.25">
      <c r="A257" t="s">
        <v>233</v>
      </c>
      <c r="B257" t="str">
        <f>'Basis Options'!C262</f>
        <v>NK7692</v>
      </c>
      <c r="C257" t="s">
        <v>255</v>
      </c>
      <c r="D257" t="s">
        <v>234</v>
      </c>
      <c r="E257" t="s">
        <v>20</v>
      </c>
      <c r="F257" t="str">
        <f>'Basis Options'!A262</f>
        <v>ELPASMER</v>
      </c>
      <c r="G257" t="s">
        <v>269</v>
      </c>
      <c r="H257" t="s">
        <v>254</v>
      </c>
      <c r="I257" t="s">
        <v>242</v>
      </c>
      <c r="J257" t="s">
        <v>235</v>
      </c>
      <c r="K257" s="380">
        <f>'Basis Options'!G262</f>
        <v>36831</v>
      </c>
      <c r="L257" s="235">
        <f>'Basis Options'!U262</f>
        <v>-562.58111549231012</v>
      </c>
      <c r="M257" s="380">
        <f>'Basis Options'!Q262</f>
        <v>36829</v>
      </c>
      <c r="N257" t="str">
        <f>'Basis Options'!F262</f>
        <v>C</v>
      </c>
      <c r="O257">
        <f>'Basis Options'!I262</f>
        <v>3</v>
      </c>
      <c r="P257">
        <v>0</v>
      </c>
      <c r="Q257">
        <v>0</v>
      </c>
      <c r="R257">
        <v>0</v>
      </c>
      <c r="S257">
        <v>0</v>
      </c>
      <c r="T257" t="s">
        <v>253</v>
      </c>
      <c r="U257" t="str">
        <f>IF('Basis Options'!D262="NGI/CHI. GATE","""NGI/CHI. GATE""",TRIM('Basis Options'!D262))</f>
        <v>IF-TRANSCO/Z6</v>
      </c>
      <c r="V257" t="s">
        <v>253</v>
      </c>
      <c r="W257" t="s">
        <v>132</v>
      </c>
      <c r="X257" t="s">
        <v>253</v>
      </c>
      <c r="Y257" t="s">
        <v>235</v>
      </c>
      <c r="Z257" t="s">
        <v>236</v>
      </c>
      <c r="AA257" t="s">
        <v>253</v>
      </c>
      <c r="AB257" t="s">
        <v>1</v>
      </c>
      <c r="AC257" s="235">
        <f>'Basis Options'!H262</f>
        <v>-300000</v>
      </c>
      <c r="AD257" s="235">
        <f>'Basis Options'!W262</f>
        <v>-568.22976826698005</v>
      </c>
      <c r="AE257">
        <v>0</v>
      </c>
      <c r="AF257">
        <v>0</v>
      </c>
      <c r="AG257">
        <v>0</v>
      </c>
      <c r="AH257" s="235">
        <f>'Basis Options'!CD262</f>
        <v>0</v>
      </c>
      <c r="AI257">
        <v>226</v>
      </c>
      <c r="AJ257" t="s">
        <v>256</v>
      </c>
      <c r="AK257">
        <v>0</v>
      </c>
      <c r="AL257">
        <v>0</v>
      </c>
      <c r="AM257">
        <v>0</v>
      </c>
    </row>
    <row r="258" spans="1:39" x14ac:dyDescent="0.25">
      <c r="A258" t="s">
        <v>233</v>
      </c>
      <c r="B258" t="str">
        <f>'Basis Options'!C263</f>
        <v>NK7700</v>
      </c>
      <c r="C258" t="s">
        <v>255</v>
      </c>
      <c r="D258" t="s">
        <v>234</v>
      </c>
      <c r="E258" t="s">
        <v>20</v>
      </c>
      <c r="F258" t="str">
        <f>'Basis Options'!A263</f>
        <v>ELPASMER</v>
      </c>
      <c r="G258" t="s">
        <v>269</v>
      </c>
      <c r="H258" t="s">
        <v>254</v>
      </c>
      <c r="I258" t="s">
        <v>242</v>
      </c>
      <c r="J258" t="s">
        <v>235</v>
      </c>
      <c r="K258" s="380">
        <f>'Basis Options'!G263</f>
        <v>36951</v>
      </c>
      <c r="L258" s="235">
        <f>'Basis Options'!U263</f>
        <v>170472.48978845702</v>
      </c>
      <c r="M258" s="380">
        <f>'Basis Options'!Q263</f>
        <v>36949</v>
      </c>
      <c r="N258" t="str">
        <f>'Basis Options'!F263</f>
        <v>P</v>
      </c>
      <c r="O258">
        <f>'Basis Options'!I263</f>
        <v>0.75</v>
      </c>
      <c r="P258">
        <v>0</v>
      </c>
      <c r="Q258">
        <v>0</v>
      </c>
      <c r="R258">
        <v>0</v>
      </c>
      <c r="S258">
        <v>0</v>
      </c>
      <c r="T258" t="s">
        <v>253</v>
      </c>
      <c r="U258" t="str">
        <f>IF('Basis Options'!D263="NGI/CHI. GATE","""NGI/CHI. GATE""",TRIM('Basis Options'!D263))</f>
        <v>IF-TRANSCO/Z6</v>
      </c>
      <c r="V258" t="s">
        <v>253</v>
      </c>
      <c r="W258" t="s">
        <v>132</v>
      </c>
      <c r="X258" t="s">
        <v>253</v>
      </c>
      <c r="Y258" t="s">
        <v>235</v>
      </c>
      <c r="Z258" t="s">
        <v>236</v>
      </c>
      <c r="AA258" t="s">
        <v>253</v>
      </c>
      <c r="AB258" t="s">
        <v>1</v>
      </c>
      <c r="AC258" s="235">
        <f>'Basis Options'!H263</f>
        <v>500000</v>
      </c>
      <c r="AD258" s="235">
        <f>'Basis Options'!W263</f>
        <v>43591.332513912144</v>
      </c>
      <c r="AE258">
        <v>0</v>
      </c>
      <c r="AF258">
        <v>0</v>
      </c>
      <c r="AG258">
        <v>0</v>
      </c>
      <c r="AH258" s="235">
        <f>'Basis Options'!CD263</f>
        <v>0</v>
      </c>
      <c r="AI258">
        <v>226</v>
      </c>
      <c r="AJ258" t="s">
        <v>256</v>
      </c>
      <c r="AK258">
        <v>0</v>
      </c>
      <c r="AL258">
        <v>0</v>
      </c>
      <c r="AM258">
        <v>0</v>
      </c>
    </row>
    <row r="259" spans="1:39" x14ac:dyDescent="0.25">
      <c r="A259" t="s">
        <v>233</v>
      </c>
      <c r="B259" t="str">
        <f>'Basis Options'!C264</f>
        <v>NL2540.1</v>
      </c>
      <c r="C259" t="s">
        <v>255</v>
      </c>
      <c r="D259" t="s">
        <v>234</v>
      </c>
      <c r="E259" t="s">
        <v>20</v>
      </c>
      <c r="F259" t="str">
        <f>'Basis Options'!A264</f>
        <v>ELPASMER</v>
      </c>
      <c r="G259" t="s">
        <v>269</v>
      </c>
      <c r="H259" t="s">
        <v>254</v>
      </c>
      <c r="I259" t="s">
        <v>242</v>
      </c>
      <c r="J259" t="s">
        <v>235</v>
      </c>
      <c r="K259" s="380">
        <f>'Basis Options'!G264</f>
        <v>36951</v>
      </c>
      <c r="L259" s="235">
        <f>'Basis Options'!U264</f>
        <v>-290382.89106023812</v>
      </c>
      <c r="M259" s="380">
        <f>'Basis Options'!Q264</f>
        <v>36949</v>
      </c>
      <c r="N259" t="str">
        <f>'Basis Options'!F264</f>
        <v>C</v>
      </c>
      <c r="O259">
        <f>'Basis Options'!I264</f>
        <v>1.75</v>
      </c>
      <c r="P259">
        <v>0</v>
      </c>
      <c r="Q259">
        <v>0</v>
      </c>
      <c r="R259">
        <v>0</v>
      </c>
      <c r="S259">
        <v>0</v>
      </c>
      <c r="T259" t="s">
        <v>253</v>
      </c>
      <c r="U259" t="str">
        <f>IF('Basis Options'!D264="NGI/CHI. GATE","""NGI/CHI. GATE""",TRIM('Basis Options'!D264))</f>
        <v>IF-TRANSCO/Z6</v>
      </c>
      <c r="V259" t="s">
        <v>253</v>
      </c>
      <c r="W259" t="s">
        <v>132</v>
      </c>
      <c r="X259" t="s">
        <v>253</v>
      </c>
      <c r="Y259" t="s">
        <v>235</v>
      </c>
      <c r="Z259" t="s">
        <v>236</v>
      </c>
      <c r="AA259" t="s">
        <v>253</v>
      </c>
      <c r="AB259" t="s">
        <v>1</v>
      </c>
      <c r="AC259" s="235">
        <f>'Basis Options'!H264</f>
        <v>-1000000</v>
      </c>
      <c r="AD259" s="235">
        <f>'Basis Options'!W264</f>
        <v>-77190.051350213762</v>
      </c>
      <c r="AE259">
        <v>0</v>
      </c>
      <c r="AF259">
        <v>0</v>
      </c>
      <c r="AG259">
        <v>0</v>
      </c>
      <c r="AH259" s="235">
        <f>'Basis Options'!CD264</f>
        <v>0</v>
      </c>
      <c r="AI259">
        <v>226</v>
      </c>
      <c r="AJ259" t="s">
        <v>256</v>
      </c>
      <c r="AK259">
        <v>0</v>
      </c>
      <c r="AL259">
        <v>0</v>
      </c>
      <c r="AM259">
        <v>0</v>
      </c>
    </row>
    <row r="260" spans="1:39" x14ac:dyDescent="0.25">
      <c r="A260" t="s">
        <v>233</v>
      </c>
      <c r="B260" t="str">
        <f>'Basis Options'!C265</f>
        <v>NL2540.1</v>
      </c>
      <c r="C260" t="s">
        <v>255</v>
      </c>
      <c r="D260" t="s">
        <v>234</v>
      </c>
      <c r="E260" t="s">
        <v>20</v>
      </c>
      <c r="F260" t="str">
        <f>'Basis Options'!A265</f>
        <v>ELPASMER</v>
      </c>
      <c r="G260" t="s">
        <v>269</v>
      </c>
      <c r="H260" t="s">
        <v>254</v>
      </c>
      <c r="I260" t="s">
        <v>242</v>
      </c>
      <c r="J260" t="s">
        <v>235</v>
      </c>
      <c r="K260" s="380">
        <f>'Basis Options'!G265</f>
        <v>36923</v>
      </c>
      <c r="L260" s="235">
        <f>'Basis Options'!U265</f>
        <v>-829769.79142903001</v>
      </c>
      <c r="M260" s="380">
        <f>'Basis Options'!Q265</f>
        <v>36921</v>
      </c>
      <c r="N260" t="str">
        <f>'Basis Options'!F265</f>
        <v>C</v>
      </c>
      <c r="O260">
        <f>'Basis Options'!I265</f>
        <v>1.75</v>
      </c>
      <c r="P260">
        <v>0</v>
      </c>
      <c r="Q260">
        <v>0</v>
      </c>
      <c r="R260">
        <v>0</v>
      </c>
      <c r="S260">
        <v>0</v>
      </c>
      <c r="T260" t="s">
        <v>253</v>
      </c>
      <c r="U260" t="str">
        <f>IF('Basis Options'!D265="NGI/CHI. GATE","""NGI/CHI. GATE""",TRIM('Basis Options'!D265))</f>
        <v>IF-TRANSCO/Z6</v>
      </c>
      <c r="V260" t="s">
        <v>253</v>
      </c>
      <c r="W260" t="s">
        <v>132</v>
      </c>
      <c r="X260" t="s">
        <v>253</v>
      </c>
      <c r="Y260" t="s">
        <v>235</v>
      </c>
      <c r="Z260" t="s">
        <v>236</v>
      </c>
      <c r="AA260" t="s">
        <v>253</v>
      </c>
      <c r="AB260" t="s">
        <v>1</v>
      </c>
      <c r="AC260" s="235">
        <f>'Basis Options'!H265</f>
        <v>-1000000</v>
      </c>
      <c r="AD260" s="235">
        <f>'Basis Options'!W265</f>
        <v>-85041.902434791089</v>
      </c>
      <c r="AE260">
        <v>0</v>
      </c>
      <c r="AF260">
        <v>0</v>
      </c>
      <c r="AG260">
        <v>0</v>
      </c>
      <c r="AH260" s="235">
        <f>'Basis Options'!CD265</f>
        <v>0</v>
      </c>
      <c r="AI260">
        <v>226</v>
      </c>
      <c r="AJ260" t="s">
        <v>256</v>
      </c>
      <c r="AK260">
        <v>0</v>
      </c>
      <c r="AL260">
        <v>0</v>
      </c>
      <c r="AM260">
        <v>0</v>
      </c>
    </row>
    <row r="261" spans="1:39" x14ac:dyDescent="0.25">
      <c r="A261" t="s">
        <v>233</v>
      </c>
      <c r="B261" t="str">
        <f>'Basis Options'!C266</f>
        <v>NL2540.1</v>
      </c>
      <c r="C261" t="s">
        <v>255</v>
      </c>
      <c r="D261" t="s">
        <v>234</v>
      </c>
      <c r="E261" t="s">
        <v>20</v>
      </c>
      <c r="F261" t="str">
        <f>'Basis Options'!A266</f>
        <v>ELPASMER</v>
      </c>
      <c r="G261" t="s">
        <v>269</v>
      </c>
      <c r="H261" t="s">
        <v>254</v>
      </c>
      <c r="I261" t="s">
        <v>242</v>
      </c>
      <c r="J261" t="s">
        <v>235</v>
      </c>
      <c r="K261" s="380">
        <f>'Basis Options'!G266</f>
        <v>36892</v>
      </c>
      <c r="L261" s="235">
        <f>'Basis Options'!U266</f>
        <v>-845753.46105479263</v>
      </c>
      <c r="M261" s="380">
        <f>'Basis Options'!Q266</f>
        <v>36888</v>
      </c>
      <c r="N261" t="str">
        <f>'Basis Options'!F266</f>
        <v>C</v>
      </c>
      <c r="O261">
        <f>'Basis Options'!I266</f>
        <v>1.75</v>
      </c>
      <c r="P261">
        <v>0</v>
      </c>
      <c r="Q261">
        <v>0</v>
      </c>
      <c r="R261">
        <v>0</v>
      </c>
      <c r="S261">
        <v>0</v>
      </c>
      <c r="T261" t="s">
        <v>253</v>
      </c>
      <c r="U261" t="str">
        <f>IF('Basis Options'!D266="NGI/CHI. GATE","""NGI/CHI. GATE""",TRIM('Basis Options'!D266))</f>
        <v>IF-TRANSCO/Z6</v>
      </c>
      <c r="V261" t="s">
        <v>253</v>
      </c>
      <c r="W261" t="s">
        <v>132</v>
      </c>
      <c r="X261" t="s">
        <v>253</v>
      </c>
      <c r="Y261" t="s">
        <v>235</v>
      </c>
      <c r="Z261" t="s">
        <v>236</v>
      </c>
      <c r="AA261" t="s">
        <v>253</v>
      </c>
      <c r="AB261" t="s">
        <v>1</v>
      </c>
      <c r="AC261" s="235">
        <f>'Basis Options'!H266</f>
        <v>-1000000</v>
      </c>
      <c r="AD261" s="235">
        <f>'Basis Options'!W266</f>
        <v>-76844.838079161476</v>
      </c>
      <c r="AE261">
        <v>0</v>
      </c>
      <c r="AF261">
        <v>0</v>
      </c>
      <c r="AG261">
        <v>0</v>
      </c>
      <c r="AH261" s="235">
        <f>'Basis Options'!CD266</f>
        <v>0</v>
      </c>
      <c r="AI261">
        <v>226</v>
      </c>
      <c r="AJ261" t="s">
        <v>256</v>
      </c>
      <c r="AK261">
        <v>0</v>
      </c>
      <c r="AL261">
        <v>0</v>
      </c>
      <c r="AM261">
        <v>0</v>
      </c>
    </row>
    <row r="262" spans="1:39" x14ac:dyDescent="0.25">
      <c r="A262" t="s">
        <v>233</v>
      </c>
      <c r="B262" t="str">
        <f>'Basis Options'!C267</f>
        <v>NL2540.1</v>
      </c>
      <c r="C262" t="s">
        <v>255</v>
      </c>
      <c r="D262" t="s">
        <v>234</v>
      </c>
      <c r="E262" t="s">
        <v>20</v>
      </c>
      <c r="F262" t="str">
        <f>'Basis Options'!A267</f>
        <v>ELPASMER</v>
      </c>
      <c r="G262" t="s">
        <v>269</v>
      </c>
      <c r="H262" t="s">
        <v>254</v>
      </c>
      <c r="I262" t="s">
        <v>242</v>
      </c>
      <c r="J262" t="s">
        <v>235</v>
      </c>
      <c r="K262" s="380">
        <f>'Basis Options'!G267</f>
        <v>36861</v>
      </c>
      <c r="L262" s="235">
        <f>'Basis Options'!U267</f>
        <v>-470095.75539155258</v>
      </c>
      <c r="M262" s="380">
        <f>'Basis Options'!Q267</f>
        <v>36859</v>
      </c>
      <c r="N262" t="str">
        <f>'Basis Options'!F267</f>
        <v>C</v>
      </c>
      <c r="O262">
        <f>'Basis Options'!I267</f>
        <v>1.75</v>
      </c>
      <c r="P262">
        <v>0</v>
      </c>
      <c r="Q262">
        <v>0</v>
      </c>
      <c r="R262">
        <v>0</v>
      </c>
      <c r="S262">
        <v>0</v>
      </c>
      <c r="T262" t="s">
        <v>253</v>
      </c>
      <c r="U262" t="str">
        <f>IF('Basis Options'!D267="NGI/CHI. GATE","""NGI/CHI. GATE""",TRIM('Basis Options'!D267))</f>
        <v>IF-TRANSCO/Z6</v>
      </c>
      <c r="V262" t="s">
        <v>253</v>
      </c>
      <c r="W262" t="s">
        <v>132</v>
      </c>
      <c r="X262" t="s">
        <v>253</v>
      </c>
      <c r="Y262" t="s">
        <v>235</v>
      </c>
      <c r="Z262" t="s">
        <v>236</v>
      </c>
      <c r="AA262" t="s">
        <v>253</v>
      </c>
      <c r="AB262" t="s">
        <v>1</v>
      </c>
      <c r="AC262" s="235">
        <f>'Basis Options'!H267</f>
        <v>-1000000</v>
      </c>
      <c r="AD262" s="235">
        <f>'Basis Options'!W267</f>
        <v>-69805.769126108557</v>
      </c>
      <c r="AE262">
        <v>0</v>
      </c>
      <c r="AF262">
        <v>0</v>
      </c>
      <c r="AG262">
        <v>0</v>
      </c>
      <c r="AH262" s="235">
        <f>'Basis Options'!CD267</f>
        <v>0</v>
      </c>
      <c r="AI262">
        <v>226</v>
      </c>
      <c r="AJ262" t="s">
        <v>256</v>
      </c>
      <c r="AK262">
        <v>0</v>
      </c>
      <c r="AL262">
        <v>0</v>
      </c>
      <c r="AM262">
        <v>0</v>
      </c>
    </row>
    <row r="263" spans="1:39" x14ac:dyDescent="0.25">
      <c r="A263" t="s">
        <v>233</v>
      </c>
      <c r="B263" t="str">
        <f>'Basis Options'!C268</f>
        <v>NL2540.1</v>
      </c>
      <c r="C263" t="s">
        <v>255</v>
      </c>
      <c r="D263" t="s">
        <v>234</v>
      </c>
      <c r="E263" t="s">
        <v>20</v>
      </c>
      <c r="F263" t="str">
        <f>'Basis Options'!A268</f>
        <v>ELPASMER</v>
      </c>
      <c r="G263" t="s">
        <v>269</v>
      </c>
      <c r="H263" t="s">
        <v>254</v>
      </c>
      <c r="I263" t="s">
        <v>242</v>
      </c>
      <c r="J263" t="s">
        <v>235</v>
      </c>
      <c r="K263" s="380">
        <f>'Basis Options'!G268</f>
        <v>36831</v>
      </c>
      <c r="L263" s="235">
        <f>'Basis Options'!U268</f>
        <v>-34598.703912061421</v>
      </c>
      <c r="M263" s="380">
        <f>'Basis Options'!Q268</f>
        <v>36829</v>
      </c>
      <c r="N263" t="str">
        <f>'Basis Options'!F268</f>
        <v>C</v>
      </c>
      <c r="O263">
        <f>'Basis Options'!I268</f>
        <v>1.75</v>
      </c>
      <c r="P263">
        <v>0</v>
      </c>
      <c r="Q263">
        <v>0</v>
      </c>
      <c r="R263">
        <v>0</v>
      </c>
      <c r="S263">
        <v>0</v>
      </c>
      <c r="T263" t="s">
        <v>253</v>
      </c>
      <c r="U263" t="str">
        <f>IF('Basis Options'!D268="NGI/CHI. GATE","""NGI/CHI. GATE""",TRIM('Basis Options'!D268))</f>
        <v>IF-TRANSCO/Z6</v>
      </c>
      <c r="V263" t="s">
        <v>253</v>
      </c>
      <c r="W263" t="s">
        <v>132</v>
      </c>
      <c r="X263" t="s">
        <v>253</v>
      </c>
      <c r="Y263" t="s">
        <v>235</v>
      </c>
      <c r="Z263" t="s">
        <v>236</v>
      </c>
      <c r="AA263" t="s">
        <v>253</v>
      </c>
      <c r="AB263" t="s">
        <v>1</v>
      </c>
      <c r="AC263" s="235">
        <f>'Basis Options'!H268</f>
        <v>-1000000</v>
      </c>
      <c r="AD263" s="235">
        <f>'Basis Options'!W268</f>
        <v>-18226.987412754039</v>
      </c>
      <c r="AE263">
        <v>0</v>
      </c>
      <c r="AF263">
        <v>0</v>
      </c>
      <c r="AG263">
        <v>0</v>
      </c>
      <c r="AH263" s="235">
        <f>'Basis Options'!CD268</f>
        <v>0</v>
      </c>
      <c r="AI263">
        <v>226</v>
      </c>
      <c r="AJ263" t="s">
        <v>256</v>
      </c>
      <c r="AK263">
        <v>0</v>
      </c>
      <c r="AL263">
        <v>0</v>
      </c>
      <c r="AM263">
        <v>0</v>
      </c>
    </row>
    <row r="264" spans="1:39" x14ac:dyDescent="0.25">
      <c r="A264" t="s">
        <v>233</v>
      </c>
      <c r="B264" t="str">
        <f>'Basis Options'!C269</f>
        <v>NL2540.2</v>
      </c>
      <c r="C264" t="s">
        <v>255</v>
      </c>
      <c r="D264" t="s">
        <v>234</v>
      </c>
      <c r="E264" t="s">
        <v>20</v>
      </c>
      <c r="F264" t="str">
        <f>'Basis Options'!A269</f>
        <v>ELPASMER</v>
      </c>
      <c r="G264" t="s">
        <v>269</v>
      </c>
      <c r="H264" t="s">
        <v>254</v>
      </c>
      <c r="I264" t="s">
        <v>242</v>
      </c>
      <c r="J264" t="s">
        <v>235</v>
      </c>
      <c r="K264" s="380">
        <f>'Basis Options'!G269</f>
        <v>36951</v>
      </c>
      <c r="L264" s="235">
        <f>'Basis Options'!U269</f>
        <v>156600.34057175656</v>
      </c>
      <c r="M264" s="380">
        <f>'Basis Options'!Q269</f>
        <v>36949</v>
      </c>
      <c r="N264" t="str">
        <f>'Basis Options'!F269</f>
        <v>C</v>
      </c>
      <c r="O264">
        <f>'Basis Options'!I269</f>
        <v>2.5</v>
      </c>
      <c r="P264">
        <v>0</v>
      </c>
      <c r="Q264">
        <v>0</v>
      </c>
      <c r="R264">
        <v>0</v>
      </c>
      <c r="S264">
        <v>0</v>
      </c>
      <c r="T264" t="s">
        <v>253</v>
      </c>
      <c r="U264" t="str">
        <f>IF('Basis Options'!D269="NGI/CHI. GATE","""NGI/CHI. GATE""",TRIM('Basis Options'!D269))</f>
        <v>IF-TRANSCO/Z6</v>
      </c>
      <c r="V264" t="s">
        <v>253</v>
      </c>
      <c r="W264" t="s">
        <v>132</v>
      </c>
      <c r="X264" t="s">
        <v>253</v>
      </c>
      <c r="Y264" t="s">
        <v>235</v>
      </c>
      <c r="Z264" t="s">
        <v>236</v>
      </c>
      <c r="AA264" t="s">
        <v>253</v>
      </c>
      <c r="AB264" t="s">
        <v>1</v>
      </c>
      <c r="AC264" s="235">
        <f>'Basis Options'!H269</f>
        <v>1000000</v>
      </c>
      <c r="AD264" s="235">
        <f>'Basis Options'!W269</f>
        <v>57037.845049817261</v>
      </c>
      <c r="AE264">
        <v>0</v>
      </c>
      <c r="AF264">
        <v>0</v>
      </c>
      <c r="AG264">
        <v>0</v>
      </c>
      <c r="AH264" s="235">
        <f>'Basis Options'!CD269</f>
        <v>0</v>
      </c>
      <c r="AI264">
        <v>226</v>
      </c>
      <c r="AJ264" t="s">
        <v>256</v>
      </c>
      <c r="AK264">
        <v>0</v>
      </c>
      <c r="AL264">
        <v>0</v>
      </c>
      <c r="AM264">
        <v>0</v>
      </c>
    </row>
    <row r="265" spans="1:39" x14ac:dyDescent="0.25">
      <c r="A265" t="s">
        <v>233</v>
      </c>
      <c r="B265" t="str">
        <f>'Basis Options'!C270</f>
        <v>NL2540.2</v>
      </c>
      <c r="C265" t="s">
        <v>255</v>
      </c>
      <c r="D265" t="s">
        <v>234</v>
      </c>
      <c r="E265" t="s">
        <v>20</v>
      </c>
      <c r="F265" t="str">
        <f>'Basis Options'!A270</f>
        <v>ELPASMER</v>
      </c>
      <c r="G265" t="s">
        <v>269</v>
      </c>
      <c r="H265" t="s">
        <v>254</v>
      </c>
      <c r="I265" t="s">
        <v>242</v>
      </c>
      <c r="J265" t="s">
        <v>235</v>
      </c>
      <c r="K265" s="380">
        <f>'Basis Options'!G270</f>
        <v>36923</v>
      </c>
      <c r="L265" s="235">
        <f>'Basis Options'!U270</f>
        <v>534941.68201694323</v>
      </c>
      <c r="M265" s="380">
        <f>'Basis Options'!Q270</f>
        <v>36921</v>
      </c>
      <c r="N265" t="str">
        <f>'Basis Options'!F270</f>
        <v>C</v>
      </c>
      <c r="O265">
        <f>'Basis Options'!I270</f>
        <v>2.5</v>
      </c>
      <c r="P265">
        <v>0</v>
      </c>
      <c r="Q265">
        <v>0</v>
      </c>
      <c r="R265">
        <v>0</v>
      </c>
      <c r="S265">
        <v>0</v>
      </c>
      <c r="T265" t="s">
        <v>253</v>
      </c>
      <c r="U265" t="str">
        <f>IF('Basis Options'!D270="NGI/CHI. GATE","""NGI/CHI. GATE""",TRIM('Basis Options'!D270))</f>
        <v>IF-TRANSCO/Z6</v>
      </c>
      <c r="V265" t="s">
        <v>253</v>
      </c>
      <c r="W265" t="s">
        <v>132</v>
      </c>
      <c r="X265" t="s">
        <v>253</v>
      </c>
      <c r="Y265" t="s">
        <v>235</v>
      </c>
      <c r="Z265" t="s">
        <v>236</v>
      </c>
      <c r="AA265" t="s">
        <v>253</v>
      </c>
      <c r="AB265" t="s">
        <v>1</v>
      </c>
      <c r="AC265" s="235">
        <f>'Basis Options'!H270</f>
        <v>1000000</v>
      </c>
      <c r="AD265" s="235">
        <f>'Basis Options'!W270</f>
        <v>82502.674103624071</v>
      </c>
      <c r="AE265">
        <v>0</v>
      </c>
      <c r="AF265">
        <v>0</v>
      </c>
      <c r="AG265">
        <v>0</v>
      </c>
      <c r="AH265" s="235">
        <f>'Basis Options'!CD270</f>
        <v>0</v>
      </c>
      <c r="AI265">
        <v>226</v>
      </c>
      <c r="AJ265" t="s">
        <v>256</v>
      </c>
      <c r="AK265">
        <v>0</v>
      </c>
      <c r="AL265">
        <v>0</v>
      </c>
      <c r="AM265">
        <v>0</v>
      </c>
    </row>
    <row r="266" spans="1:39" x14ac:dyDescent="0.25">
      <c r="A266" t="s">
        <v>233</v>
      </c>
      <c r="B266" t="str">
        <f>'Basis Options'!C271</f>
        <v>NL2540.2</v>
      </c>
      <c r="C266" t="s">
        <v>255</v>
      </c>
      <c r="D266" t="s">
        <v>234</v>
      </c>
      <c r="E266" t="s">
        <v>20</v>
      </c>
      <c r="F266" t="str">
        <f>'Basis Options'!A271</f>
        <v>ELPASMER</v>
      </c>
      <c r="G266" t="s">
        <v>269</v>
      </c>
      <c r="H266" t="s">
        <v>254</v>
      </c>
      <c r="I266" t="s">
        <v>242</v>
      </c>
      <c r="J266" t="s">
        <v>235</v>
      </c>
      <c r="K266" s="380">
        <f>'Basis Options'!G271</f>
        <v>36892</v>
      </c>
      <c r="L266" s="235">
        <f>'Basis Options'!U271</f>
        <v>529228.12131883949</v>
      </c>
      <c r="M266" s="380">
        <f>'Basis Options'!Q271</f>
        <v>36888</v>
      </c>
      <c r="N266" t="str">
        <f>'Basis Options'!F271</f>
        <v>C</v>
      </c>
      <c r="O266">
        <f>'Basis Options'!I271</f>
        <v>2.5</v>
      </c>
      <c r="P266">
        <v>0</v>
      </c>
      <c r="Q266">
        <v>0</v>
      </c>
      <c r="R266">
        <v>0</v>
      </c>
      <c r="S266">
        <v>0</v>
      </c>
      <c r="T266" t="s">
        <v>253</v>
      </c>
      <c r="U266" t="str">
        <f>IF('Basis Options'!D271="NGI/CHI. GATE","""NGI/CHI. GATE""",TRIM('Basis Options'!D271))</f>
        <v>IF-TRANSCO/Z6</v>
      </c>
      <c r="V266" t="s">
        <v>253</v>
      </c>
      <c r="W266" t="s">
        <v>132</v>
      </c>
      <c r="X266" t="s">
        <v>253</v>
      </c>
      <c r="Y266" t="s">
        <v>235</v>
      </c>
      <c r="Z266" t="s">
        <v>236</v>
      </c>
      <c r="AA266" t="s">
        <v>253</v>
      </c>
      <c r="AB266" t="s">
        <v>1</v>
      </c>
      <c r="AC266" s="235">
        <f>'Basis Options'!H271</f>
        <v>1000000</v>
      </c>
      <c r="AD266" s="235">
        <f>'Basis Options'!W271</f>
        <v>76049.508228443679</v>
      </c>
      <c r="AE266">
        <v>0</v>
      </c>
      <c r="AF266">
        <v>0</v>
      </c>
      <c r="AG266">
        <v>0</v>
      </c>
      <c r="AH266" s="235">
        <f>'Basis Options'!CD271</f>
        <v>0</v>
      </c>
      <c r="AI266">
        <v>226</v>
      </c>
      <c r="AJ266" t="s">
        <v>256</v>
      </c>
      <c r="AK266">
        <v>0</v>
      </c>
      <c r="AL266">
        <v>0</v>
      </c>
      <c r="AM266">
        <v>0</v>
      </c>
    </row>
    <row r="267" spans="1:39" x14ac:dyDescent="0.25">
      <c r="A267" t="s">
        <v>233</v>
      </c>
      <c r="B267" t="str">
        <f>'Basis Options'!C272</f>
        <v>NL2540.2</v>
      </c>
      <c r="C267" t="s">
        <v>255</v>
      </c>
      <c r="D267" t="s">
        <v>234</v>
      </c>
      <c r="E267" t="s">
        <v>20</v>
      </c>
      <c r="F267" t="str">
        <f>'Basis Options'!A272</f>
        <v>ELPASMER</v>
      </c>
      <c r="G267" t="s">
        <v>269</v>
      </c>
      <c r="H267" t="s">
        <v>254</v>
      </c>
      <c r="I267" t="s">
        <v>242</v>
      </c>
      <c r="J267" t="s">
        <v>235</v>
      </c>
      <c r="K267" s="380">
        <f>'Basis Options'!G272</f>
        <v>36861</v>
      </c>
      <c r="L267" s="235">
        <f>'Basis Options'!U272</f>
        <v>245192.82370785344</v>
      </c>
      <c r="M267" s="380">
        <f>'Basis Options'!Q272</f>
        <v>36859</v>
      </c>
      <c r="N267" t="str">
        <f>'Basis Options'!F272</f>
        <v>C</v>
      </c>
      <c r="O267">
        <f>'Basis Options'!I272</f>
        <v>2.5</v>
      </c>
      <c r="P267">
        <v>0</v>
      </c>
      <c r="Q267">
        <v>0</v>
      </c>
      <c r="R267">
        <v>0</v>
      </c>
      <c r="S267">
        <v>0</v>
      </c>
      <c r="T267" t="s">
        <v>253</v>
      </c>
      <c r="U267" t="str">
        <f>IF('Basis Options'!D272="NGI/CHI. GATE","""NGI/CHI. GATE""",TRIM('Basis Options'!D272))</f>
        <v>IF-TRANSCO/Z6</v>
      </c>
      <c r="V267" t="s">
        <v>253</v>
      </c>
      <c r="W267" t="s">
        <v>132</v>
      </c>
      <c r="X267" t="s">
        <v>253</v>
      </c>
      <c r="Y267" t="s">
        <v>235</v>
      </c>
      <c r="Z267" t="s">
        <v>236</v>
      </c>
      <c r="AA267" t="s">
        <v>253</v>
      </c>
      <c r="AB267" t="s">
        <v>1</v>
      </c>
      <c r="AC267" s="235">
        <f>'Basis Options'!H272</f>
        <v>1000000</v>
      </c>
      <c r="AD267" s="235">
        <f>'Basis Options'!W272</f>
        <v>57616.556220320606</v>
      </c>
      <c r="AE267">
        <v>0</v>
      </c>
      <c r="AF267">
        <v>0</v>
      </c>
      <c r="AG267">
        <v>0</v>
      </c>
      <c r="AH267" s="235">
        <f>'Basis Options'!CD272</f>
        <v>0</v>
      </c>
      <c r="AI267">
        <v>226</v>
      </c>
      <c r="AJ267" t="s">
        <v>256</v>
      </c>
      <c r="AK267">
        <v>0</v>
      </c>
      <c r="AL267">
        <v>0</v>
      </c>
      <c r="AM267">
        <v>0</v>
      </c>
    </row>
    <row r="268" spans="1:39" x14ac:dyDescent="0.25">
      <c r="A268" t="s">
        <v>233</v>
      </c>
      <c r="B268" t="str">
        <f>'Basis Options'!C273</f>
        <v>NL2540.2</v>
      </c>
      <c r="C268" t="s">
        <v>255</v>
      </c>
      <c r="D268" t="s">
        <v>234</v>
      </c>
      <c r="E268" t="s">
        <v>20</v>
      </c>
      <c r="F268" t="str">
        <f>'Basis Options'!A273</f>
        <v>ELPASMER</v>
      </c>
      <c r="G268" t="s">
        <v>269</v>
      </c>
      <c r="H268" t="s">
        <v>254</v>
      </c>
      <c r="I268" t="s">
        <v>242</v>
      </c>
      <c r="J268" t="s">
        <v>235</v>
      </c>
      <c r="K268" s="380">
        <f>'Basis Options'!G273</f>
        <v>36831</v>
      </c>
      <c r="L268" s="235">
        <f>'Basis Options'!U273</f>
        <v>6111.5926235317447</v>
      </c>
      <c r="M268" s="380">
        <f>'Basis Options'!Q273</f>
        <v>36829</v>
      </c>
      <c r="N268" t="str">
        <f>'Basis Options'!F273</f>
        <v>C</v>
      </c>
      <c r="O268">
        <f>'Basis Options'!I273</f>
        <v>2.5</v>
      </c>
      <c r="P268">
        <v>0</v>
      </c>
      <c r="Q268">
        <v>0</v>
      </c>
      <c r="R268">
        <v>0</v>
      </c>
      <c r="S268">
        <v>0</v>
      </c>
      <c r="T268" t="s">
        <v>253</v>
      </c>
      <c r="U268" t="str">
        <f>IF('Basis Options'!D273="NGI/CHI. GATE","""NGI/CHI. GATE""",TRIM('Basis Options'!D273))</f>
        <v>IF-TRANSCO/Z6</v>
      </c>
      <c r="V268" t="s">
        <v>253</v>
      </c>
      <c r="W268" t="s">
        <v>132</v>
      </c>
      <c r="X268" t="s">
        <v>253</v>
      </c>
      <c r="Y268" t="s">
        <v>235</v>
      </c>
      <c r="Z268" t="s">
        <v>236</v>
      </c>
      <c r="AA268" t="s">
        <v>253</v>
      </c>
      <c r="AB268" t="s">
        <v>1</v>
      </c>
      <c r="AC268" s="235">
        <f>'Basis Options'!H273</f>
        <v>1000000</v>
      </c>
      <c r="AD268" s="235">
        <f>'Basis Options'!W273</f>
        <v>5020.1834977802282</v>
      </c>
      <c r="AE268">
        <v>0</v>
      </c>
      <c r="AF268">
        <v>0</v>
      </c>
      <c r="AG268">
        <v>0</v>
      </c>
      <c r="AH268" s="235">
        <f>'Basis Options'!CD273</f>
        <v>0</v>
      </c>
      <c r="AI268">
        <v>226</v>
      </c>
      <c r="AJ268" t="s">
        <v>256</v>
      </c>
      <c r="AK268">
        <v>0</v>
      </c>
      <c r="AL268">
        <v>0</v>
      </c>
      <c r="AM268">
        <v>0</v>
      </c>
    </row>
    <row r="269" spans="1:39" x14ac:dyDescent="0.25">
      <c r="A269" t="s">
        <v>233</v>
      </c>
      <c r="B269" t="str">
        <f>'Basis Options'!C274</f>
        <v>NL4381.1</v>
      </c>
      <c r="C269" t="s">
        <v>255</v>
      </c>
      <c r="D269" t="s">
        <v>234</v>
      </c>
      <c r="E269" t="s">
        <v>20</v>
      </c>
      <c r="F269" t="str">
        <f>'Basis Options'!A274</f>
        <v>ELPASMER</v>
      </c>
      <c r="G269" t="s">
        <v>269</v>
      </c>
      <c r="H269" t="s">
        <v>254</v>
      </c>
      <c r="I269" t="s">
        <v>242</v>
      </c>
      <c r="J269" t="s">
        <v>235</v>
      </c>
      <c r="K269" s="380">
        <f>'Basis Options'!G274</f>
        <v>36800</v>
      </c>
      <c r="L269" s="235">
        <f>'Basis Options'!U274</f>
        <v>-100362.68679784217</v>
      </c>
      <c r="M269" s="380">
        <f>'Basis Options'!Q274</f>
        <v>36797</v>
      </c>
      <c r="N269" t="str">
        <f>'Basis Options'!F274</f>
        <v>P</v>
      </c>
      <c r="O269">
        <f>'Basis Options'!I274</f>
        <v>0.5</v>
      </c>
      <c r="P269">
        <v>0</v>
      </c>
      <c r="Q269">
        <v>0</v>
      </c>
      <c r="R269">
        <v>0</v>
      </c>
      <c r="S269">
        <v>0</v>
      </c>
      <c r="T269" t="s">
        <v>253</v>
      </c>
      <c r="U269" t="str">
        <f>IF('Basis Options'!D274="NGI/CHI. GATE","""NGI/CHI. GATE""",TRIM('Basis Options'!D274))</f>
        <v>IF-TRANSCO/Z6</v>
      </c>
      <c r="V269" t="s">
        <v>253</v>
      </c>
      <c r="W269" t="s">
        <v>132</v>
      </c>
      <c r="X269" t="s">
        <v>253</v>
      </c>
      <c r="Y269" t="s">
        <v>235</v>
      </c>
      <c r="Z269" t="s">
        <v>236</v>
      </c>
      <c r="AA269" t="s">
        <v>253</v>
      </c>
      <c r="AB269" t="s">
        <v>1</v>
      </c>
      <c r="AC269" s="235">
        <f>'Basis Options'!H274</f>
        <v>-1000000</v>
      </c>
      <c r="AD269" s="235">
        <f>'Basis Options'!W274</f>
        <v>-4720.8978159971302</v>
      </c>
      <c r="AE269">
        <v>0</v>
      </c>
      <c r="AF269">
        <v>0</v>
      </c>
      <c r="AG269">
        <v>0</v>
      </c>
      <c r="AH269" s="235">
        <f>'Basis Options'!CD274</f>
        <v>0</v>
      </c>
      <c r="AI269">
        <v>226</v>
      </c>
      <c r="AJ269" t="s">
        <v>256</v>
      </c>
      <c r="AK269">
        <v>0</v>
      </c>
      <c r="AL269">
        <v>0</v>
      </c>
      <c r="AM269">
        <v>0</v>
      </c>
    </row>
    <row r="270" spans="1:39" x14ac:dyDescent="0.25">
      <c r="A270" t="s">
        <v>233</v>
      </c>
      <c r="B270" t="str">
        <f>'Basis Options'!C275</f>
        <v>NL4381.1</v>
      </c>
      <c r="C270" t="s">
        <v>255</v>
      </c>
      <c r="D270" t="s">
        <v>234</v>
      </c>
      <c r="E270" t="s">
        <v>20</v>
      </c>
      <c r="F270" t="str">
        <f>'Basis Options'!A275</f>
        <v>ELPASMER</v>
      </c>
      <c r="G270" t="s">
        <v>269</v>
      </c>
      <c r="H270" t="s">
        <v>254</v>
      </c>
      <c r="I270" t="s">
        <v>242</v>
      </c>
      <c r="J270" t="s">
        <v>235</v>
      </c>
      <c r="K270" s="380">
        <f>'Basis Options'!G275</f>
        <v>36770</v>
      </c>
      <c r="L270" s="235">
        <f>'Basis Options'!U275</f>
        <v>-184965.95796803216</v>
      </c>
      <c r="M270" s="380">
        <f>'Basis Options'!Q275</f>
        <v>36768</v>
      </c>
      <c r="N270" t="str">
        <f>'Basis Options'!F275</f>
        <v>P</v>
      </c>
      <c r="O270">
        <f>'Basis Options'!I275</f>
        <v>0.5</v>
      </c>
      <c r="P270">
        <v>0</v>
      </c>
      <c r="Q270">
        <v>0</v>
      </c>
      <c r="R270">
        <v>0</v>
      </c>
      <c r="S270">
        <v>0</v>
      </c>
      <c r="T270" t="s">
        <v>253</v>
      </c>
      <c r="U270" t="str">
        <f>IF('Basis Options'!D275="NGI/CHI. GATE","""NGI/CHI. GATE""",TRIM('Basis Options'!D275))</f>
        <v>IF-TRANSCO/Z6</v>
      </c>
      <c r="V270" t="s">
        <v>253</v>
      </c>
      <c r="W270" t="s">
        <v>132</v>
      </c>
      <c r="X270" t="s">
        <v>253</v>
      </c>
      <c r="Y270" t="s">
        <v>235</v>
      </c>
      <c r="Z270" t="s">
        <v>236</v>
      </c>
      <c r="AA270" t="s">
        <v>253</v>
      </c>
      <c r="AB270" t="s">
        <v>1</v>
      </c>
      <c r="AC270" s="235">
        <f>'Basis Options'!H275</f>
        <v>-1000000</v>
      </c>
      <c r="AD270" s="235">
        <f>'Basis Options'!W275</f>
        <v>0</v>
      </c>
      <c r="AE270">
        <v>0</v>
      </c>
      <c r="AF270">
        <v>0</v>
      </c>
      <c r="AG270">
        <v>0</v>
      </c>
      <c r="AH270" s="235">
        <f>'Basis Options'!CD275</f>
        <v>0</v>
      </c>
      <c r="AI270">
        <v>226</v>
      </c>
      <c r="AJ270" t="s">
        <v>256</v>
      </c>
      <c r="AK270">
        <v>0</v>
      </c>
      <c r="AL270">
        <v>0</v>
      </c>
      <c r="AM270">
        <v>0</v>
      </c>
    </row>
    <row r="271" spans="1:39" x14ac:dyDescent="0.25">
      <c r="A271" t="s">
        <v>233</v>
      </c>
      <c r="B271" t="str">
        <f>'Basis Options'!C276</f>
        <v>NL4381.2</v>
      </c>
      <c r="C271" t="s">
        <v>255</v>
      </c>
      <c r="D271" t="s">
        <v>234</v>
      </c>
      <c r="E271" t="s">
        <v>20</v>
      </c>
      <c r="F271" t="str">
        <f>'Basis Options'!A276</f>
        <v>ELPASMER</v>
      </c>
      <c r="G271" t="s">
        <v>269</v>
      </c>
      <c r="H271" t="s">
        <v>254</v>
      </c>
      <c r="I271" t="s">
        <v>242</v>
      </c>
      <c r="J271" t="s">
        <v>235</v>
      </c>
      <c r="K271" s="380">
        <f>'Basis Options'!G276</f>
        <v>36800</v>
      </c>
      <c r="L271" s="235">
        <f>'Basis Options'!U276</f>
        <v>7034.9436722563778</v>
      </c>
      <c r="M271" s="380">
        <f>'Basis Options'!Q276</f>
        <v>36797</v>
      </c>
      <c r="N271" t="str">
        <f>'Basis Options'!F276</f>
        <v>P</v>
      </c>
      <c r="O271">
        <f>'Basis Options'!I276</f>
        <v>0.3</v>
      </c>
      <c r="P271">
        <v>0</v>
      </c>
      <c r="Q271">
        <v>0</v>
      </c>
      <c r="R271">
        <v>0</v>
      </c>
      <c r="S271">
        <v>0</v>
      </c>
      <c r="T271" t="s">
        <v>253</v>
      </c>
      <c r="U271" t="str">
        <f>IF('Basis Options'!D276="NGI/CHI. GATE","""NGI/CHI. GATE""",TRIM('Basis Options'!D276))</f>
        <v>IF-TRANSCO/Z6</v>
      </c>
      <c r="V271" t="s">
        <v>253</v>
      </c>
      <c r="W271" t="s">
        <v>132</v>
      </c>
      <c r="X271" t="s">
        <v>253</v>
      </c>
      <c r="Y271" t="s">
        <v>235</v>
      </c>
      <c r="Z271" t="s">
        <v>236</v>
      </c>
      <c r="AA271" t="s">
        <v>253</v>
      </c>
      <c r="AB271" t="s">
        <v>1</v>
      </c>
      <c r="AC271" s="235">
        <f>'Basis Options'!H276</f>
        <v>1000000</v>
      </c>
      <c r="AD271" s="235">
        <f>'Basis Options'!W276</f>
        <v>3775.9427442332089</v>
      </c>
      <c r="AE271">
        <v>0</v>
      </c>
      <c r="AF271">
        <v>0</v>
      </c>
      <c r="AG271">
        <v>0</v>
      </c>
      <c r="AH271" s="235">
        <f>'Basis Options'!CD276</f>
        <v>0</v>
      </c>
      <c r="AI271">
        <v>226</v>
      </c>
      <c r="AJ271" t="s">
        <v>256</v>
      </c>
      <c r="AK271">
        <v>0</v>
      </c>
      <c r="AL271">
        <v>0</v>
      </c>
      <c r="AM271">
        <v>0</v>
      </c>
    </row>
    <row r="272" spans="1:39" x14ac:dyDescent="0.25">
      <c r="A272" t="s">
        <v>233</v>
      </c>
      <c r="B272" t="str">
        <f>'Basis Options'!C277</f>
        <v>NL4381.2</v>
      </c>
      <c r="C272" t="s">
        <v>255</v>
      </c>
      <c r="D272" t="s">
        <v>234</v>
      </c>
      <c r="E272" t="s">
        <v>20</v>
      </c>
      <c r="F272" t="str">
        <f>'Basis Options'!A277</f>
        <v>ELPASMER</v>
      </c>
      <c r="G272" t="s">
        <v>269</v>
      </c>
      <c r="H272" t="s">
        <v>254</v>
      </c>
      <c r="I272" t="s">
        <v>242</v>
      </c>
      <c r="J272" t="s">
        <v>235</v>
      </c>
      <c r="K272" s="380">
        <f>'Basis Options'!G277</f>
        <v>36770</v>
      </c>
      <c r="L272" s="235">
        <f>'Basis Options'!U277</f>
        <v>797.88269410402404</v>
      </c>
      <c r="M272" s="380">
        <f>'Basis Options'!Q277</f>
        <v>36768</v>
      </c>
      <c r="N272" t="str">
        <f>'Basis Options'!F277</f>
        <v>P</v>
      </c>
      <c r="O272">
        <f>'Basis Options'!I277</f>
        <v>0.3</v>
      </c>
      <c r="P272">
        <v>0</v>
      </c>
      <c r="Q272">
        <v>0</v>
      </c>
      <c r="R272">
        <v>0</v>
      </c>
      <c r="S272">
        <v>0</v>
      </c>
      <c r="T272" t="s">
        <v>253</v>
      </c>
      <c r="U272" t="str">
        <f>IF('Basis Options'!D277="NGI/CHI. GATE","""NGI/CHI. GATE""",TRIM('Basis Options'!D277))</f>
        <v>IF-TRANSCO/Z6</v>
      </c>
      <c r="V272" t="s">
        <v>253</v>
      </c>
      <c r="W272" t="s">
        <v>132</v>
      </c>
      <c r="X272" t="s">
        <v>253</v>
      </c>
      <c r="Y272" t="s">
        <v>235</v>
      </c>
      <c r="Z272" t="s">
        <v>236</v>
      </c>
      <c r="AA272" t="s">
        <v>253</v>
      </c>
      <c r="AB272" t="s">
        <v>1</v>
      </c>
      <c r="AC272" s="235">
        <f>'Basis Options'!H277</f>
        <v>1000000</v>
      </c>
      <c r="AD272" s="235">
        <f>'Basis Options'!W277</f>
        <v>463.00729012917145</v>
      </c>
      <c r="AE272">
        <v>0</v>
      </c>
      <c r="AF272">
        <v>0</v>
      </c>
      <c r="AG272">
        <v>0</v>
      </c>
      <c r="AH272" s="235">
        <f>'Basis Options'!CD277</f>
        <v>0</v>
      </c>
      <c r="AI272">
        <v>226</v>
      </c>
      <c r="AJ272" t="s">
        <v>256</v>
      </c>
      <c r="AK272">
        <v>0</v>
      </c>
      <c r="AL272">
        <v>0</v>
      </c>
      <c r="AM272">
        <v>0</v>
      </c>
    </row>
    <row r="273" spans="1:39" x14ac:dyDescent="0.25">
      <c r="A273" t="s">
        <v>233</v>
      </c>
      <c r="B273" t="str">
        <f>'Basis Options'!C278</f>
        <v>NL6881</v>
      </c>
      <c r="C273" t="s">
        <v>255</v>
      </c>
      <c r="D273" t="s">
        <v>234</v>
      </c>
      <c r="E273" t="s">
        <v>20</v>
      </c>
      <c r="F273" t="str">
        <f>'Basis Options'!A278</f>
        <v>ELPASMER</v>
      </c>
      <c r="G273" t="s">
        <v>269</v>
      </c>
      <c r="H273" t="s">
        <v>254</v>
      </c>
      <c r="I273" t="s">
        <v>242</v>
      </c>
      <c r="J273" t="s">
        <v>235</v>
      </c>
      <c r="K273" s="380">
        <f>'Basis Options'!G278</f>
        <v>36951</v>
      </c>
      <c r="L273" s="235">
        <f>'Basis Options'!U278</f>
        <v>-104360.35305282036</v>
      </c>
      <c r="M273" s="380">
        <f>'Basis Options'!Q278</f>
        <v>36949</v>
      </c>
      <c r="N273" t="str">
        <f>'Basis Options'!F278</f>
        <v>C</v>
      </c>
      <c r="O273">
        <f>'Basis Options'!I278</f>
        <v>3</v>
      </c>
      <c r="P273">
        <v>0</v>
      </c>
      <c r="Q273">
        <v>0</v>
      </c>
      <c r="R273">
        <v>0</v>
      </c>
      <c r="S273">
        <v>0</v>
      </c>
      <c r="T273" t="s">
        <v>253</v>
      </c>
      <c r="U273" t="str">
        <f>IF('Basis Options'!D278="NGI/CHI. GATE","""NGI/CHI. GATE""",TRIM('Basis Options'!D278))</f>
        <v>IF-TRANSCO/Z6</v>
      </c>
      <c r="V273" t="s">
        <v>253</v>
      </c>
      <c r="W273" t="s">
        <v>132</v>
      </c>
      <c r="X273" t="s">
        <v>253</v>
      </c>
      <c r="Y273" t="s">
        <v>235</v>
      </c>
      <c r="Z273" t="s">
        <v>236</v>
      </c>
      <c r="AA273" t="s">
        <v>253</v>
      </c>
      <c r="AB273" t="s">
        <v>1</v>
      </c>
      <c r="AC273" s="235">
        <f>'Basis Options'!H278</f>
        <v>-1000000</v>
      </c>
      <c r="AD273" s="235">
        <f>'Basis Options'!W278</f>
        <v>-44511.770342822769</v>
      </c>
      <c r="AE273">
        <v>0</v>
      </c>
      <c r="AF273">
        <v>0</v>
      </c>
      <c r="AG273">
        <v>0</v>
      </c>
      <c r="AH273" s="235">
        <f>'Basis Options'!CD278</f>
        <v>0</v>
      </c>
      <c r="AI273">
        <v>226</v>
      </c>
      <c r="AJ273" t="s">
        <v>256</v>
      </c>
      <c r="AK273">
        <v>0</v>
      </c>
      <c r="AL273">
        <v>0</v>
      </c>
      <c r="AM273">
        <v>0</v>
      </c>
    </row>
    <row r="274" spans="1:39" x14ac:dyDescent="0.25">
      <c r="A274" t="s">
        <v>233</v>
      </c>
      <c r="B274" t="str">
        <f>'Basis Options'!C279</f>
        <v>NL6881</v>
      </c>
      <c r="C274" t="s">
        <v>255</v>
      </c>
      <c r="D274" t="s">
        <v>234</v>
      </c>
      <c r="E274" t="s">
        <v>20</v>
      </c>
      <c r="F274" t="str">
        <f>'Basis Options'!A279</f>
        <v>ELPASMER</v>
      </c>
      <c r="G274" t="s">
        <v>269</v>
      </c>
      <c r="H274" t="s">
        <v>254</v>
      </c>
      <c r="I274" t="s">
        <v>242</v>
      </c>
      <c r="J274" t="s">
        <v>235</v>
      </c>
      <c r="K274" s="380">
        <f>'Basis Options'!G279</f>
        <v>36923</v>
      </c>
      <c r="L274" s="235">
        <f>'Basis Options'!U279</f>
        <v>-397761.06179396855</v>
      </c>
      <c r="M274" s="380">
        <f>'Basis Options'!Q279</f>
        <v>36921</v>
      </c>
      <c r="N274" t="str">
        <f>'Basis Options'!F279</f>
        <v>C</v>
      </c>
      <c r="O274">
        <f>'Basis Options'!I279</f>
        <v>3</v>
      </c>
      <c r="P274">
        <v>0</v>
      </c>
      <c r="Q274">
        <v>0</v>
      </c>
      <c r="R274">
        <v>0</v>
      </c>
      <c r="S274">
        <v>0</v>
      </c>
      <c r="T274" t="s">
        <v>253</v>
      </c>
      <c r="U274" t="str">
        <f>IF('Basis Options'!D279="NGI/CHI. GATE","""NGI/CHI. GATE""",TRIM('Basis Options'!D279))</f>
        <v>IF-TRANSCO/Z6</v>
      </c>
      <c r="V274" t="s">
        <v>253</v>
      </c>
      <c r="W274" t="s">
        <v>132</v>
      </c>
      <c r="X274" t="s">
        <v>253</v>
      </c>
      <c r="Y274" t="s">
        <v>235</v>
      </c>
      <c r="Z274" t="s">
        <v>236</v>
      </c>
      <c r="AA274" t="s">
        <v>253</v>
      </c>
      <c r="AB274" t="s">
        <v>1</v>
      </c>
      <c r="AC274" s="235">
        <f>'Basis Options'!H279</f>
        <v>-1000000</v>
      </c>
      <c r="AD274" s="235">
        <f>'Basis Options'!W279</f>
        <v>-75279.357927874487</v>
      </c>
      <c r="AE274">
        <v>0</v>
      </c>
      <c r="AF274">
        <v>0</v>
      </c>
      <c r="AG274">
        <v>0</v>
      </c>
      <c r="AH274" s="235">
        <f>'Basis Options'!CD279</f>
        <v>0</v>
      </c>
      <c r="AI274">
        <v>226</v>
      </c>
      <c r="AJ274" t="s">
        <v>256</v>
      </c>
      <c r="AK274">
        <v>0</v>
      </c>
      <c r="AL274">
        <v>0</v>
      </c>
      <c r="AM274">
        <v>0</v>
      </c>
    </row>
    <row r="275" spans="1:39" x14ac:dyDescent="0.25">
      <c r="A275" t="s">
        <v>233</v>
      </c>
      <c r="B275" t="str">
        <f>'Basis Options'!C280</f>
        <v>NL6881</v>
      </c>
      <c r="C275" t="s">
        <v>255</v>
      </c>
      <c r="D275" t="s">
        <v>234</v>
      </c>
      <c r="E275" t="s">
        <v>20</v>
      </c>
      <c r="F275" t="str">
        <f>'Basis Options'!A280</f>
        <v>ELPASMER</v>
      </c>
      <c r="G275" t="s">
        <v>269</v>
      </c>
      <c r="H275" t="s">
        <v>254</v>
      </c>
      <c r="I275" t="s">
        <v>242</v>
      </c>
      <c r="J275" t="s">
        <v>235</v>
      </c>
      <c r="K275" s="380">
        <f>'Basis Options'!G280</f>
        <v>36892</v>
      </c>
      <c r="L275" s="235">
        <f>'Basis Options'!U280</f>
        <v>-383627.92668504803</v>
      </c>
      <c r="M275" s="380">
        <f>'Basis Options'!Q280</f>
        <v>36888</v>
      </c>
      <c r="N275" t="str">
        <f>'Basis Options'!F280</f>
        <v>C</v>
      </c>
      <c r="O275">
        <f>'Basis Options'!I280</f>
        <v>3</v>
      </c>
      <c r="P275">
        <v>0</v>
      </c>
      <c r="Q275">
        <v>0</v>
      </c>
      <c r="R275">
        <v>0</v>
      </c>
      <c r="S275">
        <v>0</v>
      </c>
      <c r="T275" t="s">
        <v>253</v>
      </c>
      <c r="U275" t="str">
        <f>IF('Basis Options'!D280="NGI/CHI. GATE","""NGI/CHI. GATE""",TRIM('Basis Options'!D280))</f>
        <v>IF-TRANSCO/Z6</v>
      </c>
      <c r="V275" t="s">
        <v>253</v>
      </c>
      <c r="W275" t="s">
        <v>132</v>
      </c>
      <c r="X275" t="s">
        <v>253</v>
      </c>
      <c r="Y275" t="s">
        <v>235</v>
      </c>
      <c r="Z275" t="s">
        <v>236</v>
      </c>
      <c r="AA275" t="s">
        <v>253</v>
      </c>
      <c r="AB275" t="s">
        <v>1</v>
      </c>
      <c r="AC275" s="235">
        <f>'Basis Options'!H280</f>
        <v>-1000000</v>
      </c>
      <c r="AD275" s="235">
        <f>'Basis Options'!W280</f>
        <v>-69278.496389384032</v>
      </c>
      <c r="AE275">
        <v>0</v>
      </c>
      <c r="AF275">
        <v>0</v>
      </c>
      <c r="AG275">
        <v>0</v>
      </c>
      <c r="AH275" s="235">
        <f>'Basis Options'!CD280</f>
        <v>0</v>
      </c>
      <c r="AI275">
        <v>226</v>
      </c>
      <c r="AJ275" t="s">
        <v>256</v>
      </c>
      <c r="AK275">
        <v>0</v>
      </c>
      <c r="AL275">
        <v>0</v>
      </c>
      <c r="AM275">
        <v>0</v>
      </c>
    </row>
    <row r="276" spans="1:39" x14ac:dyDescent="0.25">
      <c r="A276" t="s">
        <v>233</v>
      </c>
      <c r="B276" t="str">
        <f>'Basis Options'!C281</f>
        <v>NL6881</v>
      </c>
      <c r="C276" t="s">
        <v>255</v>
      </c>
      <c r="D276" t="s">
        <v>234</v>
      </c>
      <c r="E276" t="s">
        <v>20</v>
      </c>
      <c r="F276" t="str">
        <f>'Basis Options'!A281</f>
        <v>ELPASMER</v>
      </c>
      <c r="G276" t="s">
        <v>269</v>
      </c>
      <c r="H276" t="s">
        <v>254</v>
      </c>
      <c r="I276" t="s">
        <v>242</v>
      </c>
      <c r="J276" t="s">
        <v>235</v>
      </c>
      <c r="K276" s="380">
        <f>'Basis Options'!G281</f>
        <v>36861</v>
      </c>
      <c r="L276" s="235">
        <f>'Basis Options'!U281</f>
        <v>-156499.4254337741</v>
      </c>
      <c r="M276" s="380">
        <f>'Basis Options'!Q281</f>
        <v>36859</v>
      </c>
      <c r="N276" t="str">
        <f>'Basis Options'!F281</f>
        <v>C</v>
      </c>
      <c r="O276">
        <f>'Basis Options'!I281</f>
        <v>3</v>
      </c>
      <c r="P276">
        <v>0</v>
      </c>
      <c r="Q276">
        <v>0</v>
      </c>
      <c r="R276">
        <v>0</v>
      </c>
      <c r="S276">
        <v>0</v>
      </c>
      <c r="T276" t="s">
        <v>253</v>
      </c>
      <c r="U276" t="str">
        <f>IF('Basis Options'!D281="NGI/CHI. GATE","""NGI/CHI. GATE""",TRIM('Basis Options'!D281))</f>
        <v>IF-TRANSCO/Z6</v>
      </c>
      <c r="V276" t="s">
        <v>253</v>
      </c>
      <c r="W276" t="s">
        <v>132</v>
      </c>
      <c r="X276" t="s">
        <v>253</v>
      </c>
      <c r="Y276" t="s">
        <v>235</v>
      </c>
      <c r="Z276" t="s">
        <v>236</v>
      </c>
      <c r="AA276" t="s">
        <v>253</v>
      </c>
      <c r="AB276" t="s">
        <v>1</v>
      </c>
      <c r="AC276" s="235">
        <f>'Basis Options'!H281</f>
        <v>-1000000</v>
      </c>
      <c r="AD276" s="235">
        <f>'Basis Options'!W281</f>
        <v>-46110.205160625541</v>
      </c>
      <c r="AE276">
        <v>0</v>
      </c>
      <c r="AF276">
        <v>0</v>
      </c>
      <c r="AG276">
        <v>0</v>
      </c>
      <c r="AH276" s="235">
        <f>'Basis Options'!CD281</f>
        <v>0</v>
      </c>
      <c r="AI276">
        <v>226</v>
      </c>
      <c r="AJ276" t="s">
        <v>256</v>
      </c>
      <c r="AK276">
        <v>0</v>
      </c>
      <c r="AL276">
        <v>0</v>
      </c>
      <c r="AM276">
        <v>0</v>
      </c>
    </row>
    <row r="277" spans="1:39" x14ac:dyDescent="0.25">
      <c r="A277" t="s">
        <v>233</v>
      </c>
      <c r="B277" t="str">
        <f>'Basis Options'!C282</f>
        <v>NL6881</v>
      </c>
      <c r="C277" t="s">
        <v>255</v>
      </c>
      <c r="D277" t="s">
        <v>234</v>
      </c>
      <c r="E277" t="s">
        <v>20</v>
      </c>
      <c r="F277" t="str">
        <f>'Basis Options'!A282</f>
        <v>ELPASMER</v>
      </c>
      <c r="G277" t="s">
        <v>269</v>
      </c>
      <c r="H277" t="s">
        <v>254</v>
      </c>
      <c r="I277" t="s">
        <v>242</v>
      </c>
      <c r="J277" t="s">
        <v>235</v>
      </c>
      <c r="K277" s="380">
        <f>'Basis Options'!G282</f>
        <v>36831</v>
      </c>
      <c r="L277" s="235">
        <f>'Basis Options'!U282</f>
        <v>-1875.2703849743671</v>
      </c>
      <c r="M277" s="380">
        <f>'Basis Options'!Q282</f>
        <v>36829</v>
      </c>
      <c r="N277" t="str">
        <f>'Basis Options'!F282</f>
        <v>C</v>
      </c>
      <c r="O277">
        <f>'Basis Options'!I282</f>
        <v>3</v>
      </c>
      <c r="P277">
        <v>0</v>
      </c>
      <c r="Q277">
        <v>0</v>
      </c>
      <c r="R277">
        <v>0</v>
      </c>
      <c r="S277">
        <v>0</v>
      </c>
      <c r="T277" t="s">
        <v>253</v>
      </c>
      <c r="U277" t="str">
        <f>IF('Basis Options'!D282="NGI/CHI. GATE","""NGI/CHI. GATE""",TRIM('Basis Options'!D282))</f>
        <v>IF-TRANSCO/Z6</v>
      </c>
      <c r="V277" t="s">
        <v>253</v>
      </c>
      <c r="W277" t="s">
        <v>132</v>
      </c>
      <c r="X277" t="s">
        <v>253</v>
      </c>
      <c r="Y277" t="s">
        <v>235</v>
      </c>
      <c r="Z277" t="s">
        <v>236</v>
      </c>
      <c r="AA277" t="s">
        <v>253</v>
      </c>
      <c r="AB277" t="s">
        <v>1</v>
      </c>
      <c r="AC277" s="235">
        <f>'Basis Options'!H282</f>
        <v>-1000000</v>
      </c>
      <c r="AD277" s="235">
        <f>'Basis Options'!W282</f>
        <v>-1894.0992275565995</v>
      </c>
      <c r="AE277">
        <v>0</v>
      </c>
      <c r="AF277">
        <v>0</v>
      </c>
      <c r="AG277">
        <v>0</v>
      </c>
      <c r="AH277" s="235">
        <f>'Basis Options'!CD282</f>
        <v>0</v>
      </c>
      <c r="AI277">
        <v>226</v>
      </c>
      <c r="AJ277" t="s">
        <v>256</v>
      </c>
      <c r="AK277">
        <v>0</v>
      </c>
      <c r="AL277">
        <v>0</v>
      </c>
      <c r="AM277">
        <v>0</v>
      </c>
    </row>
    <row r="278" spans="1:39" x14ac:dyDescent="0.25">
      <c r="A278" t="s">
        <v>233</v>
      </c>
      <c r="B278" t="str">
        <f>'Basis Options'!C283</f>
        <v>NL6887</v>
      </c>
      <c r="C278" t="s">
        <v>255</v>
      </c>
      <c r="D278" t="s">
        <v>234</v>
      </c>
      <c r="E278" t="s">
        <v>20</v>
      </c>
      <c r="F278" t="str">
        <f>'Basis Options'!A283</f>
        <v>SOUTHERCOMENEMA</v>
      </c>
      <c r="G278" t="s">
        <v>269</v>
      </c>
      <c r="H278" t="s">
        <v>254</v>
      </c>
      <c r="I278" t="s">
        <v>242</v>
      </c>
      <c r="J278" t="s">
        <v>235</v>
      </c>
      <c r="K278" s="380">
        <f>'Basis Options'!G283</f>
        <v>36951</v>
      </c>
      <c r="L278" s="235">
        <f>'Basis Options'!U283</f>
        <v>119639.60872878968</v>
      </c>
      <c r="M278" s="380">
        <f>'Basis Options'!Q283</f>
        <v>36949</v>
      </c>
      <c r="N278" t="str">
        <f>'Basis Options'!F283</f>
        <v>P</v>
      </c>
      <c r="O278">
        <f>'Basis Options'!I283</f>
        <v>0.5</v>
      </c>
      <c r="P278">
        <v>0</v>
      </c>
      <c r="Q278">
        <v>0</v>
      </c>
      <c r="R278">
        <v>0</v>
      </c>
      <c r="S278">
        <v>0</v>
      </c>
      <c r="T278" t="s">
        <v>253</v>
      </c>
      <c r="U278" t="str">
        <f>IF('Basis Options'!D283="NGI/CHI. GATE","""NGI/CHI. GATE""",TRIM('Basis Options'!D283))</f>
        <v>IF-TRANSCO/Z6</v>
      </c>
      <c r="V278" t="s">
        <v>253</v>
      </c>
      <c r="W278" t="s">
        <v>132</v>
      </c>
      <c r="X278" t="s">
        <v>253</v>
      </c>
      <c r="Y278" t="s">
        <v>235</v>
      </c>
      <c r="Z278" t="s">
        <v>236</v>
      </c>
      <c r="AA278" t="s">
        <v>253</v>
      </c>
      <c r="AB278" t="s">
        <v>1</v>
      </c>
      <c r="AC278" s="235">
        <f>'Basis Options'!H283</f>
        <v>500000</v>
      </c>
      <c r="AD278" s="235">
        <f>'Basis Options'!W283</f>
        <v>40868.934357722115</v>
      </c>
      <c r="AE278">
        <v>0</v>
      </c>
      <c r="AF278">
        <v>0</v>
      </c>
      <c r="AG278">
        <v>0</v>
      </c>
      <c r="AH278" s="235">
        <f>'Basis Options'!CD283</f>
        <v>0</v>
      </c>
      <c r="AI278">
        <v>226</v>
      </c>
      <c r="AJ278" t="s">
        <v>256</v>
      </c>
      <c r="AK278">
        <v>0</v>
      </c>
      <c r="AL278">
        <v>0</v>
      </c>
      <c r="AM278">
        <v>0</v>
      </c>
    </row>
    <row r="279" spans="1:39" x14ac:dyDescent="0.25">
      <c r="A279" t="s">
        <v>233</v>
      </c>
      <c r="B279" t="str">
        <f>'Basis Options'!C284</f>
        <v>NL6890.1</v>
      </c>
      <c r="C279" t="s">
        <v>255</v>
      </c>
      <c r="D279" t="s">
        <v>234</v>
      </c>
      <c r="E279" t="s">
        <v>20</v>
      </c>
      <c r="F279" t="str">
        <f>'Basis Options'!A284</f>
        <v>SOUTHERCOMENEMA</v>
      </c>
      <c r="G279" t="s">
        <v>269</v>
      </c>
      <c r="H279" t="s">
        <v>254</v>
      </c>
      <c r="I279" t="s">
        <v>242</v>
      </c>
      <c r="J279" t="s">
        <v>235</v>
      </c>
      <c r="K279" s="380">
        <f>'Basis Options'!G284</f>
        <v>36951</v>
      </c>
      <c r="L279" s="235">
        <f>'Basis Options'!U284</f>
        <v>168444.53907086942</v>
      </c>
      <c r="M279" s="380">
        <f>'Basis Options'!Q284</f>
        <v>36949</v>
      </c>
      <c r="N279" t="str">
        <f>'Basis Options'!F284</f>
        <v>C</v>
      </c>
      <c r="O279">
        <f>'Basis Options'!I284</f>
        <v>1.57</v>
      </c>
      <c r="P279">
        <v>0</v>
      </c>
      <c r="Q279">
        <v>0</v>
      </c>
      <c r="R279">
        <v>0</v>
      </c>
      <c r="S279">
        <v>0</v>
      </c>
      <c r="T279" t="s">
        <v>253</v>
      </c>
      <c r="U279" t="str">
        <f>IF('Basis Options'!D284="NGI/CHI. GATE","""NGI/CHI. GATE""",TRIM('Basis Options'!D284))</f>
        <v>IF-TRANSCO/Z6</v>
      </c>
      <c r="V279" t="s">
        <v>253</v>
      </c>
      <c r="W279" t="s">
        <v>132</v>
      </c>
      <c r="X279" t="s">
        <v>253</v>
      </c>
      <c r="Y279" t="s">
        <v>235</v>
      </c>
      <c r="Z279" t="s">
        <v>236</v>
      </c>
      <c r="AA279" t="s">
        <v>253</v>
      </c>
      <c r="AB279" t="s">
        <v>1</v>
      </c>
      <c r="AC279" s="235">
        <f>'Basis Options'!H284</f>
        <v>500000</v>
      </c>
      <c r="AD279" s="235">
        <f>'Basis Options'!W284</f>
        <v>40698.103519731201</v>
      </c>
      <c r="AE279">
        <v>0</v>
      </c>
      <c r="AF279">
        <v>0</v>
      </c>
      <c r="AG279">
        <v>0</v>
      </c>
      <c r="AH279" s="235">
        <f>'Basis Options'!CD284</f>
        <v>0</v>
      </c>
      <c r="AI279">
        <v>226</v>
      </c>
      <c r="AJ279" t="s">
        <v>256</v>
      </c>
      <c r="AK279">
        <v>0</v>
      </c>
      <c r="AL279">
        <v>0</v>
      </c>
      <c r="AM279">
        <v>0</v>
      </c>
    </row>
    <row r="280" spans="1:39" x14ac:dyDescent="0.25">
      <c r="A280" t="s">
        <v>233</v>
      </c>
      <c r="B280" t="str">
        <f>'Basis Options'!C285</f>
        <v>NL6890.1</v>
      </c>
      <c r="C280" t="s">
        <v>255</v>
      </c>
      <c r="D280" t="s">
        <v>234</v>
      </c>
      <c r="E280" t="s">
        <v>20</v>
      </c>
      <c r="F280" t="str">
        <f>'Basis Options'!A285</f>
        <v>SOUTHERCOMENEMA</v>
      </c>
      <c r="G280" t="s">
        <v>269</v>
      </c>
      <c r="H280" t="s">
        <v>254</v>
      </c>
      <c r="I280" t="s">
        <v>242</v>
      </c>
      <c r="J280" t="s">
        <v>235</v>
      </c>
      <c r="K280" s="380">
        <f>'Basis Options'!G285</f>
        <v>36923</v>
      </c>
      <c r="L280" s="235">
        <f>'Basis Options'!U285</f>
        <v>459977.15585140168</v>
      </c>
      <c r="M280" s="380">
        <f>'Basis Options'!Q285</f>
        <v>36921</v>
      </c>
      <c r="N280" t="str">
        <f>'Basis Options'!F285</f>
        <v>C</v>
      </c>
      <c r="O280">
        <f>'Basis Options'!I285</f>
        <v>1.57</v>
      </c>
      <c r="P280">
        <v>0</v>
      </c>
      <c r="Q280">
        <v>0</v>
      </c>
      <c r="R280">
        <v>0</v>
      </c>
      <c r="S280">
        <v>0</v>
      </c>
      <c r="T280" t="s">
        <v>253</v>
      </c>
      <c r="U280" t="str">
        <f>IF('Basis Options'!D285="NGI/CHI. GATE","""NGI/CHI. GATE""",TRIM('Basis Options'!D285))</f>
        <v>IF-TRANSCO/Z6</v>
      </c>
      <c r="V280" t="s">
        <v>253</v>
      </c>
      <c r="W280" t="s">
        <v>132</v>
      </c>
      <c r="X280" t="s">
        <v>253</v>
      </c>
      <c r="Y280" t="s">
        <v>235</v>
      </c>
      <c r="Z280" t="s">
        <v>236</v>
      </c>
      <c r="AA280" t="s">
        <v>253</v>
      </c>
      <c r="AB280" t="s">
        <v>1</v>
      </c>
      <c r="AC280" s="235">
        <f>'Basis Options'!H285</f>
        <v>500000</v>
      </c>
      <c r="AD280" s="235">
        <f>'Basis Options'!W285</f>
        <v>41663.543144720898</v>
      </c>
      <c r="AE280">
        <v>0</v>
      </c>
      <c r="AF280">
        <v>0</v>
      </c>
      <c r="AG280">
        <v>0</v>
      </c>
      <c r="AH280" s="235">
        <f>'Basis Options'!CD285</f>
        <v>0</v>
      </c>
      <c r="AI280">
        <v>226</v>
      </c>
      <c r="AJ280" t="s">
        <v>256</v>
      </c>
      <c r="AK280">
        <v>0</v>
      </c>
      <c r="AL280">
        <v>0</v>
      </c>
      <c r="AM280">
        <v>0</v>
      </c>
    </row>
    <row r="281" spans="1:39" x14ac:dyDescent="0.25">
      <c r="A281" t="s">
        <v>233</v>
      </c>
      <c r="B281" t="str">
        <f>'Basis Options'!C286</f>
        <v>NL6890.1</v>
      </c>
      <c r="C281" t="s">
        <v>255</v>
      </c>
      <c r="D281" t="s">
        <v>234</v>
      </c>
      <c r="E281" t="s">
        <v>20</v>
      </c>
      <c r="F281" t="str">
        <f>'Basis Options'!A286</f>
        <v>SOUTHERCOMENEMA</v>
      </c>
      <c r="G281" t="s">
        <v>269</v>
      </c>
      <c r="H281" t="s">
        <v>254</v>
      </c>
      <c r="I281" t="s">
        <v>242</v>
      </c>
      <c r="J281" t="s">
        <v>235</v>
      </c>
      <c r="K281" s="380">
        <f>'Basis Options'!G286</f>
        <v>36892</v>
      </c>
      <c r="L281" s="235">
        <f>'Basis Options'!U286</f>
        <v>471355.15137141716</v>
      </c>
      <c r="M281" s="380">
        <f>'Basis Options'!Q286</f>
        <v>36888</v>
      </c>
      <c r="N281" t="str">
        <f>'Basis Options'!F286</f>
        <v>C</v>
      </c>
      <c r="O281">
        <f>'Basis Options'!I286</f>
        <v>1.57</v>
      </c>
      <c r="P281">
        <v>0</v>
      </c>
      <c r="Q281">
        <v>0</v>
      </c>
      <c r="R281">
        <v>0</v>
      </c>
      <c r="S281">
        <v>0</v>
      </c>
      <c r="T281" t="s">
        <v>253</v>
      </c>
      <c r="U281" t="str">
        <f>IF('Basis Options'!D286="NGI/CHI. GATE","""NGI/CHI. GATE""",TRIM('Basis Options'!D286))</f>
        <v>IF-TRANSCO/Z6</v>
      </c>
      <c r="V281" t="s">
        <v>253</v>
      </c>
      <c r="W281" t="s">
        <v>132</v>
      </c>
      <c r="X281" t="s">
        <v>253</v>
      </c>
      <c r="Y281" t="s">
        <v>235</v>
      </c>
      <c r="Z281" t="s">
        <v>236</v>
      </c>
      <c r="AA281" t="s">
        <v>253</v>
      </c>
      <c r="AB281" t="s">
        <v>1</v>
      </c>
      <c r="AC281" s="235">
        <f>'Basis Options'!H286</f>
        <v>500000</v>
      </c>
      <c r="AD281" s="235">
        <f>'Basis Options'!W286</f>
        <v>37273.9876298944</v>
      </c>
      <c r="AE281">
        <v>0</v>
      </c>
      <c r="AF281">
        <v>0</v>
      </c>
      <c r="AG281">
        <v>0</v>
      </c>
      <c r="AH281" s="235">
        <f>'Basis Options'!CD286</f>
        <v>0</v>
      </c>
      <c r="AI281">
        <v>226</v>
      </c>
      <c r="AJ281" t="s">
        <v>256</v>
      </c>
      <c r="AK281">
        <v>0</v>
      </c>
      <c r="AL281">
        <v>0</v>
      </c>
      <c r="AM281">
        <v>0</v>
      </c>
    </row>
    <row r="282" spans="1:39" x14ac:dyDescent="0.25">
      <c r="A282" t="s">
        <v>233</v>
      </c>
      <c r="B282" t="str">
        <f>'Basis Options'!C287</f>
        <v>NL6890.1</v>
      </c>
      <c r="C282" t="s">
        <v>255</v>
      </c>
      <c r="D282" t="s">
        <v>234</v>
      </c>
      <c r="E282" t="s">
        <v>20</v>
      </c>
      <c r="F282" t="str">
        <f>'Basis Options'!A287</f>
        <v>SOUTHERCOMENEMA</v>
      </c>
      <c r="G282" t="s">
        <v>269</v>
      </c>
      <c r="H282" t="s">
        <v>254</v>
      </c>
      <c r="I282" t="s">
        <v>242</v>
      </c>
      <c r="J282" t="s">
        <v>235</v>
      </c>
      <c r="K282" s="380">
        <f>'Basis Options'!G287</f>
        <v>36861</v>
      </c>
      <c r="L282" s="235">
        <f>'Basis Options'!U287</f>
        <v>273009.88297620899</v>
      </c>
      <c r="M282" s="380">
        <f>'Basis Options'!Q287</f>
        <v>36859</v>
      </c>
      <c r="N282" t="str">
        <f>'Basis Options'!F287</f>
        <v>C</v>
      </c>
      <c r="O282">
        <f>'Basis Options'!I287</f>
        <v>1.57</v>
      </c>
      <c r="P282">
        <v>0</v>
      </c>
      <c r="Q282">
        <v>0</v>
      </c>
      <c r="R282">
        <v>0</v>
      </c>
      <c r="S282">
        <v>0</v>
      </c>
      <c r="T282" t="s">
        <v>253</v>
      </c>
      <c r="U282" t="str">
        <f>IF('Basis Options'!D287="NGI/CHI. GATE","""NGI/CHI. GATE""",TRIM('Basis Options'!D287))</f>
        <v>IF-TRANSCO/Z6</v>
      </c>
      <c r="V282" t="s">
        <v>253</v>
      </c>
      <c r="W282" t="s">
        <v>132</v>
      </c>
      <c r="X282" t="s">
        <v>253</v>
      </c>
      <c r="Y282" t="s">
        <v>235</v>
      </c>
      <c r="Z282" t="s">
        <v>236</v>
      </c>
      <c r="AA282" t="s">
        <v>253</v>
      </c>
      <c r="AB282" t="s">
        <v>1</v>
      </c>
      <c r="AC282" s="235">
        <f>'Basis Options'!H287</f>
        <v>500000</v>
      </c>
      <c r="AD282" s="235">
        <f>'Basis Options'!W287</f>
        <v>35227.145638504328</v>
      </c>
      <c r="AE282">
        <v>0</v>
      </c>
      <c r="AF282">
        <v>0</v>
      </c>
      <c r="AG282">
        <v>0</v>
      </c>
      <c r="AH282" s="235">
        <f>'Basis Options'!CD287</f>
        <v>0</v>
      </c>
      <c r="AI282">
        <v>226</v>
      </c>
      <c r="AJ282" t="s">
        <v>256</v>
      </c>
      <c r="AK282">
        <v>0</v>
      </c>
      <c r="AL282">
        <v>0</v>
      </c>
      <c r="AM282">
        <v>0</v>
      </c>
    </row>
    <row r="283" spans="1:39" x14ac:dyDescent="0.25">
      <c r="A283" t="s">
        <v>233</v>
      </c>
      <c r="B283" t="str">
        <f>'Basis Options'!C288</f>
        <v>NL6890.1</v>
      </c>
      <c r="C283" t="s">
        <v>255</v>
      </c>
      <c r="D283" t="s">
        <v>234</v>
      </c>
      <c r="E283" t="s">
        <v>20</v>
      </c>
      <c r="F283" t="str">
        <f>'Basis Options'!A288</f>
        <v>SOUTHERCOMENEMA</v>
      </c>
      <c r="G283" t="s">
        <v>269</v>
      </c>
      <c r="H283" t="s">
        <v>254</v>
      </c>
      <c r="I283" t="s">
        <v>242</v>
      </c>
      <c r="J283" t="s">
        <v>235</v>
      </c>
      <c r="K283" s="380">
        <f>'Basis Options'!G288</f>
        <v>36831</v>
      </c>
      <c r="L283" s="235">
        <f>'Basis Options'!U288</f>
        <v>25797.989216144702</v>
      </c>
      <c r="M283" s="380">
        <f>'Basis Options'!Q288</f>
        <v>36829</v>
      </c>
      <c r="N283" t="str">
        <f>'Basis Options'!F288</f>
        <v>C</v>
      </c>
      <c r="O283">
        <f>'Basis Options'!I288</f>
        <v>1.57</v>
      </c>
      <c r="P283">
        <v>0</v>
      </c>
      <c r="Q283">
        <v>0</v>
      </c>
      <c r="R283">
        <v>0</v>
      </c>
      <c r="S283">
        <v>0</v>
      </c>
      <c r="T283" t="s">
        <v>253</v>
      </c>
      <c r="U283" t="str">
        <f>IF('Basis Options'!D288="NGI/CHI. GATE","""NGI/CHI. GATE""",TRIM('Basis Options'!D288))</f>
        <v>IF-TRANSCO/Z6</v>
      </c>
      <c r="V283" t="s">
        <v>253</v>
      </c>
      <c r="W283" t="s">
        <v>132</v>
      </c>
      <c r="X283" t="s">
        <v>253</v>
      </c>
      <c r="Y283" t="s">
        <v>235</v>
      </c>
      <c r="Z283" t="s">
        <v>236</v>
      </c>
      <c r="AA283" t="s">
        <v>253</v>
      </c>
      <c r="AB283" t="s">
        <v>1</v>
      </c>
      <c r="AC283" s="235">
        <f>'Basis Options'!H288</f>
        <v>500000</v>
      </c>
      <c r="AD283" s="235">
        <f>'Basis Options'!W288</f>
        <v>11769.565411255768</v>
      </c>
      <c r="AE283">
        <v>0</v>
      </c>
      <c r="AF283">
        <v>0</v>
      </c>
      <c r="AG283">
        <v>0</v>
      </c>
      <c r="AH283" s="235">
        <f>'Basis Options'!CD288</f>
        <v>0</v>
      </c>
      <c r="AI283">
        <v>226</v>
      </c>
      <c r="AJ283" t="s">
        <v>256</v>
      </c>
      <c r="AK283">
        <v>0</v>
      </c>
      <c r="AL283">
        <v>0</v>
      </c>
      <c r="AM283">
        <v>0</v>
      </c>
    </row>
    <row r="284" spans="1:39" x14ac:dyDescent="0.25">
      <c r="A284" t="s">
        <v>233</v>
      </c>
      <c r="B284" t="str">
        <f>'Basis Options'!C289</f>
        <v>NL6890.2</v>
      </c>
      <c r="C284" t="s">
        <v>255</v>
      </c>
      <c r="D284" t="s">
        <v>234</v>
      </c>
      <c r="E284" t="s">
        <v>20</v>
      </c>
      <c r="F284" t="str">
        <f>'Basis Options'!A289</f>
        <v>SOUTHERCOMENEMA</v>
      </c>
      <c r="G284" t="s">
        <v>269</v>
      </c>
      <c r="H284" t="s">
        <v>254</v>
      </c>
      <c r="I284" t="s">
        <v>242</v>
      </c>
      <c r="J284" t="s">
        <v>235</v>
      </c>
      <c r="K284" s="380">
        <f>'Basis Options'!G289</f>
        <v>36951</v>
      </c>
      <c r="L284" s="235">
        <f>'Basis Options'!U289</f>
        <v>407593.95759409369</v>
      </c>
      <c r="M284" s="380">
        <f>'Basis Options'!Q289</f>
        <v>36949</v>
      </c>
      <c r="N284" t="str">
        <f>'Basis Options'!F289</f>
        <v>P</v>
      </c>
      <c r="O284">
        <f>'Basis Options'!I289</f>
        <v>1.57</v>
      </c>
      <c r="P284">
        <v>0</v>
      </c>
      <c r="Q284">
        <v>0</v>
      </c>
      <c r="R284">
        <v>0</v>
      </c>
      <c r="S284">
        <v>0</v>
      </c>
      <c r="T284" t="s">
        <v>253</v>
      </c>
      <c r="U284" t="str">
        <f>IF('Basis Options'!D289="NGI/CHI. GATE","""NGI/CHI. GATE""",TRIM('Basis Options'!D289))</f>
        <v>IF-TRANSCO/Z6</v>
      </c>
      <c r="V284" t="s">
        <v>253</v>
      </c>
      <c r="W284" t="s">
        <v>132</v>
      </c>
      <c r="X284" t="s">
        <v>253</v>
      </c>
      <c r="Y284" t="s">
        <v>235</v>
      </c>
      <c r="Z284" t="s">
        <v>236</v>
      </c>
      <c r="AA284" t="s">
        <v>253</v>
      </c>
      <c r="AB284" t="s">
        <v>1</v>
      </c>
      <c r="AC284" s="235">
        <f>'Basis Options'!H289</f>
        <v>500000</v>
      </c>
      <c r="AD284" s="235">
        <f>'Basis Options'!W289</f>
        <v>40698.103519731259</v>
      </c>
      <c r="AE284">
        <v>0</v>
      </c>
      <c r="AF284">
        <v>0</v>
      </c>
      <c r="AG284">
        <v>0</v>
      </c>
      <c r="AH284" s="235">
        <f>'Basis Options'!CD289</f>
        <v>0</v>
      </c>
      <c r="AI284">
        <v>226</v>
      </c>
      <c r="AJ284" t="s">
        <v>256</v>
      </c>
      <c r="AK284">
        <v>0</v>
      </c>
      <c r="AL284">
        <v>0</v>
      </c>
      <c r="AM284">
        <v>0</v>
      </c>
    </row>
    <row r="285" spans="1:39" x14ac:dyDescent="0.25">
      <c r="A285" t="s">
        <v>233</v>
      </c>
      <c r="B285" t="str">
        <f>'Basis Options'!C290</f>
        <v>NL6890.2</v>
      </c>
      <c r="C285" t="s">
        <v>255</v>
      </c>
      <c r="D285" t="s">
        <v>234</v>
      </c>
      <c r="E285" t="s">
        <v>20</v>
      </c>
      <c r="F285" t="str">
        <f>'Basis Options'!A290</f>
        <v>SOUTHERCOMENEMA</v>
      </c>
      <c r="G285" t="s">
        <v>269</v>
      </c>
      <c r="H285" t="s">
        <v>254</v>
      </c>
      <c r="I285" t="s">
        <v>242</v>
      </c>
      <c r="J285" t="s">
        <v>235</v>
      </c>
      <c r="K285" s="380">
        <f>'Basis Options'!G290</f>
        <v>36923</v>
      </c>
      <c r="L285" s="235">
        <f>'Basis Options'!U290</f>
        <v>207393.89334514004</v>
      </c>
      <c r="M285" s="380">
        <f>'Basis Options'!Q290</f>
        <v>36921</v>
      </c>
      <c r="N285" t="str">
        <f>'Basis Options'!F290</f>
        <v>P</v>
      </c>
      <c r="O285">
        <f>'Basis Options'!I290</f>
        <v>1.57</v>
      </c>
      <c r="P285">
        <v>0</v>
      </c>
      <c r="Q285">
        <v>0</v>
      </c>
      <c r="R285">
        <v>0</v>
      </c>
      <c r="S285">
        <v>0</v>
      </c>
      <c r="T285" t="s">
        <v>253</v>
      </c>
      <c r="U285" t="str">
        <f>IF('Basis Options'!D290="NGI/CHI. GATE","""NGI/CHI. GATE""",TRIM('Basis Options'!D290))</f>
        <v>IF-TRANSCO/Z6</v>
      </c>
      <c r="V285" t="s">
        <v>253</v>
      </c>
      <c r="W285" t="s">
        <v>132</v>
      </c>
      <c r="X285" t="s">
        <v>253</v>
      </c>
      <c r="Y285" t="s">
        <v>235</v>
      </c>
      <c r="Z285" t="s">
        <v>236</v>
      </c>
      <c r="AA285" t="s">
        <v>253</v>
      </c>
      <c r="AB285" t="s">
        <v>1</v>
      </c>
      <c r="AC285" s="235">
        <f>'Basis Options'!H290</f>
        <v>500000</v>
      </c>
      <c r="AD285" s="235">
        <f>'Basis Options'!W290</f>
        <v>41663.543144720868</v>
      </c>
      <c r="AE285">
        <v>0</v>
      </c>
      <c r="AF285">
        <v>0</v>
      </c>
      <c r="AG285">
        <v>0</v>
      </c>
      <c r="AH285" s="235">
        <f>'Basis Options'!CD290</f>
        <v>0</v>
      </c>
      <c r="AI285">
        <v>226</v>
      </c>
      <c r="AJ285" t="s">
        <v>256</v>
      </c>
      <c r="AK285">
        <v>0</v>
      </c>
      <c r="AL285">
        <v>0</v>
      </c>
      <c r="AM285">
        <v>0</v>
      </c>
    </row>
    <row r="286" spans="1:39" x14ac:dyDescent="0.25">
      <c r="A286" t="s">
        <v>233</v>
      </c>
      <c r="B286" t="str">
        <f>'Basis Options'!C291</f>
        <v>NL6890.2</v>
      </c>
      <c r="C286" t="s">
        <v>255</v>
      </c>
      <c r="D286" t="s">
        <v>234</v>
      </c>
      <c r="E286" t="s">
        <v>20</v>
      </c>
      <c r="F286" t="str">
        <f>'Basis Options'!A291</f>
        <v>SOUTHERCOMENEMA</v>
      </c>
      <c r="G286" t="s">
        <v>269</v>
      </c>
      <c r="H286" t="s">
        <v>254</v>
      </c>
      <c r="I286" t="s">
        <v>242</v>
      </c>
      <c r="J286" t="s">
        <v>235</v>
      </c>
      <c r="K286" s="380">
        <f>'Basis Options'!G291</f>
        <v>36892</v>
      </c>
      <c r="L286" s="235">
        <f>'Basis Options'!U291</f>
        <v>178074.13068311306</v>
      </c>
      <c r="M286" s="380">
        <f>'Basis Options'!Q291</f>
        <v>36888</v>
      </c>
      <c r="N286" t="str">
        <f>'Basis Options'!F291</f>
        <v>P</v>
      </c>
      <c r="O286">
        <f>'Basis Options'!I291</f>
        <v>1.57</v>
      </c>
      <c r="P286">
        <v>0</v>
      </c>
      <c r="Q286">
        <v>0</v>
      </c>
      <c r="R286">
        <v>0</v>
      </c>
      <c r="S286">
        <v>0</v>
      </c>
      <c r="T286" t="s">
        <v>253</v>
      </c>
      <c r="U286" t="str">
        <f>IF('Basis Options'!D291="NGI/CHI. GATE","""NGI/CHI. GATE""",TRIM('Basis Options'!D291))</f>
        <v>IF-TRANSCO/Z6</v>
      </c>
      <c r="V286" t="s">
        <v>253</v>
      </c>
      <c r="W286" t="s">
        <v>132</v>
      </c>
      <c r="X286" t="s">
        <v>253</v>
      </c>
      <c r="Y286" t="s">
        <v>235</v>
      </c>
      <c r="Z286" t="s">
        <v>236</v>
      </c>
      <c r="AA286" t="s">
        <v>253</v>
      </c>
      <c r="AB286" t="s">
        <v>1</v>
      </c>
      <c r="AC286" s="235">
        <f>'Basis Options'!H291</f>
        <v>500000</v>
      </c>
      <c r="AD286" s="235">
        <f>'Basis Options'!W291</f>
        <v>37273.987629894429</v>
      </c>
      <c r="AE286">
        <v>0</v>
      </c>
      <c r="AF286">
        <v>0</v>
      </c>
      <c r="AG286">
        <v>0</v>
      </c>
      <c r="AH286" s="235">
        <f>'Basis Options'!CD291</f>
        <v>0</v>
      </c>
      <c r="AI286">
        <v>226</v>
      </c>
      <c r="AJ286" t="s">
        <v>256</v>
      </c>
      <c r="AK286">
        <v>0</v>
      </c>
      <c r="AL286">
        <v>0</v>
      </c>
      <c r="AM286">
        <v>0</v>
      </c>
    </row>
    <row r="287" spans="1:39" x14ac:dyDescent="0.25">
      <c r="A287" t="s">
        <v>233</v>
      </c>
      <c r="B287" t="str">
        <f>'Basis Options'!C292</f>
        <v>NL6890.2</v>
      </c>
      <c r="C287" t="s">
        <v>255</v>
      </c>
      <c r="D287" t="s">
        <v>234</v>
      </c>
      <c r="E287" t="s">
        <v>20</v>
      </c>
      <c r="F287" t="str">
        <f>'Basis Options'!A292</f>
        <v>SOUTHERCOMENEMA</v>
      </c>
      <c r="G287" t="s">
        <v>269</v>
      </c>
      <c r="H287" t="s">
        <v>254</v>
      </c>
      <c r="I287" t="s">
        <v>242</v>
      </c>
      <c r="J287" t="s">
        <v>235</v>
      </c>
      <c r="K287" s="380">
        <f>'Basis Options'!G292</f>
        <v>36861</v>
      </c>
      <c r="L287" s="235">
        <f>'Basis Options'!U292</f>
        <v>236149.62907907277</v>
      </c>
      <c r="M287" s="380">
        <f>'Basis Options'!Q292</f>
        <v>36859</v>
      </c>
      <c r="N287" t="str">
        <f>'Basis Options'!F292</f>
        <v>P</v>
      </c>
      <c r="O287">
        <f>'Basis Options'!I292</f>
        <v>1.57</v>
      </c>
      <c r="P287">
        <v>0</v>
      </c>
      <c r="Q287">
        <v>0</v>
      </c>
      <c r="R287">
        <v>0</v>
      </c>
      <c r="S287">
        <v>0</v>
      </c>
      <c r="T287" t="s">
        <v>253</v>
      </c>
      <c r="U287" t="str">
        <f>IF('Basis Options'!D292="NGI/CHI. GATE","""NGI/CHI. GATE""",TRIM('Basis Options'!D292))</f>
        <v>IF-TRANSCO/Z6</v>
      </c>
      <c r="V287" t="s">
        <v>253</v>
      </c>
      <c r="W287" t="s">
        <v>132</v>
      </c>
      <c r="X287" t="s">
        <v>253</v>
      </c>
      <c r="Y287" t="s">
        <v>235</v>
      </c>
      <c r="Z287" t="s">
        <v>236</v>
      </c>
      <c r="AA287" t="s">
        <v>253</v>
      </c>
      <c r="AB287" t="s">
        <v>1</v>
      </c>
      <c r="AC287" s="235">
        <f>'Basis Options'!H292</f>
        <v>500000</v>
      </c>
      <c r="AD287" s="235">
        <f>'Basis Options'!W292</f>
        <v>35227.145638504298</v>
      </c>
      <c r="AE287">
        <v>0</v>
      </c>
      <c r="AF287">
        <v>0</v>
      </c>
      <c r="AG287">
        <v>0</v>
      </c>
      <c r="AH287" s="235">
        <f>'Basis Options'!CD292</f>
        <v>0</v>
      </c>
      <c r="AI287">
        <v>226</v>
      </c>
      <c r="AJ287" t="s">
        <v>256</v>
      </c>
      <c r="AK287">
        <v>0</v>
      </c>
      <c r="AL287">
        <v>0</v>
      </c>
      <c r="AM287">
        <v>0</v>
      </c>
    </row>
    <row r="288" spans="1:39" x14ac:dyDescent="0.25">
      <c r="A288" t="s">
        <v>233</v>
      </c>
      <c r="B288" t="str">
        <f>'Basis Options'!C293</f>
        <v>NL6890.2</v>
      </c>
      <c r="C288" t="s">
        <v>255</v>
      </c>
      <c r="D288" t="s">
        <v>234</v>
      </c>
      <c r="E288" t="s">
        <v>20</v>
      </c>
      <c r="F288" t="str">
        <f>'Basis Options'!A293</f>
        <v>SOUTHERCOMENEMA</v>
      </c>
      <c r="G288" t="s">
        <v>269</v>
      </c>
      <c r="H288" t="s">
        <v>254</v>
      </c>
      <c r="I288" t="s">
        <v>242</v>
      </c>
      <c r="J288" t="s">
        <v>235</v>
      </c>
      <c r="K288" s="380">
        <f>'Basis Options'!G293</f>
        <v>36831</v>
      </c>
      <c r="L288" s="235">
        <f>'Basis Options'!U293</f>
        <v>421200.2569671981</v>
      </c>
      <c r="M288" s="380">
        <f>'Basis Options'!Q293</f>
        <v>36829</v>
      </c>
      <c r="N288" t="str">
        <f>'Basis Options'!F293</f>
        <v>P</v>
      </c>
      <c r="O288">
        <f>'Basis Options'!I293</f>
        <v>1.57</v>
      </c>
      <c r="P288">
        <v>0</v>
      </c>
      <c r="Q288">
        <v>0</v>
      </c>
      <c r="R288">
        <v>0</v>
      </c>
      <c r="S288">
        <v>0</v>
      </c>
      <c r="T288" t="s">
        <v>253</v>
      </c>
      <c r="U288" t="str">
        <f>IF('Basis Options'!D293="NGI/CHI. GATE","""NGI/CHI. GATE""",TRIM('Basis Options'!D293))</f>
        <v>IF-TRANSCO/Z6</v>
      </c>
      <c r="V288" t="s">
        <v>253</v>
      </c>
      <c r="W288" t="s">
        <v>132</v>
      </c>
      <c r="X288" t="s">
        <v>253</v>
      </c>
      <c r="Y288" t="s">
        <v>235</v>
      </c>
      <c r="Z288" t="s">
        <v>236</v>
      </c>
      <c r="AA288" t="s">
        <v>253</v>
      </c>
      <c r="AB288" t="s">
        <v>1</v>
      </c>
      <c r="AC288" s="235">
        <f>'Basis Options'!H293</f>
        <v>500000</v>
      </c>
      <c r="AD288" s="235">
        <f>'Basis Options'!W293</f>
        <v>11769.565411255753</v>
      </c>
      <c r="AE288">
        <v>0</v>
      </c>
      <c r="AF288">
        <v>0</v>
      </c>
      <c r="AG288">
        <v>0</v>
      </c>
      <c r="AH288" s="235">
        <f>'Basis Options'!CD293</f>
        <v>0</v>
      </c>
      <c r="AI288">
        <v>226</v>
      </c>
      <c r="AJ288" t="s">
        <v>256</v>
      </c>
      <c r="AK288">
        <v>0</v>
      </c>
      <c r="AL288">
        <v>0</v>
      </c>
      <c r="AM288">
        <v>0</v>
      </c>
    </row>
    <row r="289" spans="1:39" x14ac:dyDescent="0.25">
      <c r="A289" t="s">
        <v>233</v>
      </c>
      <c r="B289" t="str">
        <f>'Basis Options'!C294</f>
        <v>NL8209.1</v>
      </c>
      <c r="C289" t="s">
        <v>255</v>
      </c>
      <c r="D289" t="s">
        <v>234</v>
      </c>
      <c r="E289" t="s">
        <v>20</v>
      </c>
      <c r="F289" t="str">
        <f>'Basis Options'!A294</f>
        <v>ELPASMER</v>
      </c>
      <c r="G289" t="s">
        <v>269</v>
      </c>
      <c r="H289" t="s">
        <v>254</v>
      </c>
      <c r="I289" t="s">
        <v>242</v>
      </c>
      <c r="J289" t="s">
        <v>235</v>
      </c>
      <c r="K289" s="380">
        <f>'Basis Options'!G294</f>
        <v>36831</v>
      </c>
      <c r="L289" s="235">
        <f>'Basis Options'!U294</f>
        <v>-120216.98383418536</v>
      </c>
      <c r="M289" s="380">
        <f>'Basis Options'!Q294</f>
        <v>36829</v>
      </c>
      <c r="N289" t="str">
        <f>'Basis Options'!F294</f>
        <v>C</v>
      </c>
      <c r="O289">
        <f>'Basis Options'!I294</f>
        <v>1.5</v>
      </c>
      <c r="P289">
        <v>0</v>
      </c>
      <c r="Q289">
        <v>0</v>
      </c>
      <c r="R289">
        <v>0</v>
      </c>
      <c r="S289">
        <v>0</v>
      </c>
      <c r="T289" t="s">
        <v>253</v>
      </c>
      <c r="U289" t="str">
        <f>IF('Basis Options'!D294="NGI/CHI. GATE","""NGI/CHI. GATE""",TRIM('Basis Options'!D294))</f>
        <v>IF-TRANSCO/Z6</v>
      </c>
      <c r="V289" t="s">
        <v>253</v>
      </c>
      <c r="W289" t="s">
        <v>132</v>
      </c>
      <c r="X289" t="s">
        <v>253</v>
      </c>
      <c r="Y289" t="s">
        <v>235</v>
      </c>
      <c r="Z289" t="s">
        <v>236</v>
      </c>
      <c r="AA289" t="s">
        <v>253</v>
      </c>
      <c r="AB289" t="s">
        <v>1</v>
      </c>
      <c r="AC289" s="235">
        <f>'Basis Options'!H294</f>
        <v>-2000000</v>
      </c>
      <c r="AD289" s="235">
        <f>'Basis Options'!W294</f>
        <v>-51581.446836758987</v>
      </c>
      <c r="AE289">
        <v>0</v>
      </c>
      <c r="AF289">
        <v>0</v>
      </c>
      <c r="AG289">
        <v>0</v>
      </c>
      <c r="AH289" s="235">
        <f>'Basis Options'!CD294</f>
        <v>0</v>
      </c>
      <c r="AI289">
        <v>226</v>
      </c>
      <c r="AJ289" t="s">
        <v>256</v>
      </c>
      <c r="AK289">
        <v>0</v>
      </c>
      <c r="AL289">
        <v>0</v>
      </c>
      <c r="AM289">
        <v>0</v>
      </c>
    </row>
    <row r="290" spans="1:39" x14ac:dyDescent="0.25">
      <c r="A290" t="s">
        <v>233</v>
      </c>
      <c r="B290" t="str">
        <f>'Basis Options'!C295</f>
        <v>NL8209.2</v>
      </c>
      <c r="C290" t="s">
        <v>255</v>
      </c>
      <c r="D290" t="s">
        <v>234</v>
      </c>
      <c r="E290" t="s">
        <v>20</v>
      </c>
      <c r="F290" t="str">
        <f>'Basis Options'!A295</f>
        <v>OMICRON</v>
      </c>
      <c r="G290" t="s">
        <v>269</v>
      </c>
      <c r="H290" t="s">
        <v>254</v>
      </c>
      <c r="I290" t="s">
        <v>242</v>
      </c>
      <c r="J290" t="s">
        <v>235</v>
      </c>
      <c r="K290" s="380">
        <f>'Basis Options'!G295</f>
        <v>36831</v>
      </c>
      <c r="L290" s="235">
        <f>'Basis Options'!U295</f>
        <v>60108.491917092681</v>
      </c>
      <c r="M290" s="380">
        <f>'Basis Options'!Q295</f>
        <v>36829</v>
      </c>
      <c r="N290" t="str">
        <f>'Basis Options'!F295</f>
        <v>C</v>
      </c>
      <c r="O290">
        <f>'Basis Options'!I295</f>
        <v>1.5</v>
      </c>
      <c r="P290">
        <v>0</v>
      </c>
      <c r="Q290">
        <v>0</v>
      </c>
      <c r="R290">
        <v>0</v>
      </c>
      <c r="S290">
        <v>0</v>
      </c>
      <c r="T290" t="s">
        <v>253</v>
      </c>
      <c r="U290" t="str">
        <f>IF('Basis Options'!D295="NGI/CHI. GATE","""NGI/CHI. GATE""",TRIM('Basis Options'!D295))</f>
        <v>IF-TRANSCO/Z6</v>
      </c>
      <c r="V290" t="s">
        <v>253</v>
      </c>
      <c r="W290" t="s">
        <v>132</v>
      </c>
      <c r="X290" t="s">
        <v>253</v>
      </c>
      <c r="Y290" t="s">
        <v>235</v>
      </c>
      <c r="Z290" t="s">
        <v>236</v>
      </c>
      <c r="AA290" t="s">
        <v>253</v>
      </c>
      <c r="AB290" t="s">
        <v>1</v>
      </c>
      <c r="AC290" s="235">
        <f>'Basis Options'!H295</f>
        <v>1000000</v>
      </c>
      <c r="AD290" s="235">
        <f>'Basis Options'!W295</f>
        <v>25790.723418379494</v>
      </c>
      <c r="AE290">
        <v>0</v>
      </c>
      <c r="AF290">
        <v>0</v>
      </c>
      <c r="AG290">
        <v>0</v>
      </c>
      <c r="AH290" s="235">
        <f>'Basis Options'!CD295</f>
        <v>0</v>
      </c>
      <c r="AI290">
        <v>226</v>
      </c>
      <c r="AJ290" t="s">
        <v>256</v>
      </c>
      <c r="AK290">
        <v>0</v>
      </c>
      <c r="AL290">
        <v>0</v>
      </c>
      <c r="AM290">
        <v>0</v>
      </c>
    </row>
    <row r="291" spans="1:39" x14ac:dyDescent="0.25">
      <c r="A291" t="s">
        <v>233</v>
      </c>
      <c r="B291" t="str">
        <f>'Basis Options'!C296</f>
        <v>NL8217</v>
      </c>
      <c r="C291" t="s">
        <v>255</v>
      </c>
      <c r="D291" t="s">
        <v>234</v>
      </c>
      <c r="E291" t="s">
        <v>20</v>
      </c>
      <c r="F291" t="str">
        <f>'Basis Options'!A296</f>
        <v>ELPASMER</v>
      </c>
      <c r="G291" t="s">
        <v>269</v>
      </c>
      <c r="H291" t="s">
        <v>254</v>
      </c>
      <c r="I291" t="s">
        <v>242</v>
      </c>
      <c r="J291" t="s">
        <v>235</v>
      </c>
      <c r="K291" s="380">
        <f>'Basis Options'!G296</f>
        <v>36982</v>
      </c>
      <c r="L291" s="235">
        <f>'Basis Options'!U296</f>
        <v>-74256.199589022013</v>
      </c>
      <c r="M291" s="380">
        <f>'Basis Options'!Q296</f>
        <v>36979</v>
      </c>
      <c r="N291" t="str">
        <f>'Basis Options'!F296</f>
        <v>C</v>
      </c>
      <c r="O291">
        <f>'Basis Options'!I296</f>
        <v>0.7</v>
      </c>
      <c r="P291">
        <v>0</v>
      </c>
      <c r="Q291">
        <v>0</v>
      </c>
      <c r="R291">
        <v>0</v>
      </c>
      <c r="S291">
        <v>0</v>
      </c>
      <c r="T291" t="s">
        <v>253</v>
      </c>
      <c r="U291" t="str">
        <f>IF('Basis Options'!D296="NGI/CHI. GATE","""NGI/CHI. GATE""",TRIM('Basis Options'!D296))</f>
        <v>IF-TRANSCO/Z6</v>
      </c>
      <c r="V291" t="s">
        <v>253</v>
      </c>
      <c r="W291" t="s">
        <v>132</v>
      </c>
      <c r="X291" t="s">
        <v>253</v>
      </c>
      <c r="Y291" t="s">
        <v>235</v>
      </c>
      <c r="Z291" t="s">
        <v>236</v>
      </c>
      <c r="AA291" t="s">
        <v>253</v>
      </c>
      <c r="AB291" t="s">
        <v>1</v>
      </c>
      <c r="AC291" s="235">
        <f>'Basis Options'!H296</f>
        <v>-1000000</v>
      </c>
      <c r="AD291" s="235">
        <f>'Basis Options'!W296</f>
        <v>-21842.808811673662</v>
      </c>
      <c r="AE291">
        <v>0</v>
      </c>
      <c r="AF291">
        <v>0</v>
      </c>
      <c r="AG291">
        <v>0</v>
      </c>
      <c r="AH291" s="235">
        <f>'Basis Options'!CD296</f>
        <v>0</v>
      </c>
      <c r="AI291">
        <v>226</v>
      </c>
      <c r="AJ291" t="s">
        <v>256</v>
      </c>
      <c r="AK291">
        <v>0</v>
      </c>
      <c r="AL291">
        <v>0</v>
      </c>
      <c r="AM291">
        <v>0</v>
      </c>
    </row>
    <row r="292" spans="1:39" x14ac:dyDescent="0.25">
      <c r="A292" t="s">
        <v>233</v>
      </c>
      <c r="B292" t="str">
        <f>'Basis Options'!C297</f>
        <v>NL8222</v>
      </c>
      <c r="C292" t="s">
        <v>255</v>
      </c>
      <c r="D292" t="s">
        <v>234</v>
      </c>
      <c r="E292" t="s">
        <v>20</v>
      </c>
      <c r="F292" t="str">
        <f>'Basis Options'!A297</f>
        <v>KOCHENETRA</v>
      </c>
      <c r="G292" t="s">
        <v>269</v>
      </c>
      <c r="H292" t="s">
        <v>254</v>
      </c>
      <c r="I292" t="s">
        <v>242</v>
      </c>
      <c r="J292" t="s">
        <v>235</v>
      </c>
      <c r="K292" s="380">
        <f>'Basis Options'!G297</f>
        <v>36982</v>
      </c>
      <c r="L292" s="235">
        <f>'Basis Options'!U297</f>
        <v>-155938.01913694621</v>
      </c>
      <c r="M292" s="380">
        <f>'Basis Options'!Q297</f>
        <v>36979</v>
      </c>
      <c r="N292" t="str">
        <f>'Basis Options'!F297</f>
        <v>C</v>
      </c>
      <c r="O292">
        <f>'Basis Options'!I297</f>
        <v>0.7</v>
      </c>
      <c r="P292">
        <v>0</v>
      </c>
      <c r="Q292">
        <v>0</v>
      </c>
      <c r="R292">
        <v>0</v>
      </c>
      <c r="S292">
        <v>0</v>
      </c>
      <c r="T292" t="s">
        <v>253</v>
      </c>
      <c r="U292" t="str">
        <f>IF('Basis Options'!D297="NGI/CHI. GATE","""NGI/CHI. GATE""",TRIM('Basis Options'!D297))</f>
        <v>IF-TRANSCO/Z6</v>
      </c>
      <c r="V292" t="s">
        <v>253</v>
      </c>
      <c r="W292" t="s">
        <v>132</v>
      </c>
      <c r="X292" t="s">
        <v>253</v>
      </c>
      <c r="Y292" t="s">
        <v>235</v>
      </c>
      <c r="Z292" t="s">
        <v>236</v>
      </c>
      <c r="AA292" t="s">
        <v>253</v>
      </c>
      <c r="AB292" t="s">
        <v>1</v>
      </c>
      <c r="AC292" s="235">
        <f>'Basis Options'!H297</f>
        <v>-2100000</v>
      </c>
      <c r="AD292" s="235">
        <f>'Basis Options'!W297</f>
        <v>-45869.898504514596</v>
      </c>
      <c r="AE292">
        <v>0</v>
      </c>
      <c r="AF292">
        <v>0</v>
      </c>
      <c r="AG292">
        <v>0</v>
      </c>
      <c r="AH292" s="235">
        <f>'Basis Options'!CD297</f>
        <v>0</v>
      </c>
      <c r="AI292">
        <v>226</v>
      </c>
      <c r="AJ292" t="s">
        <v>256</v>
      </c>
      <c r="AK292">
        <v>0</v>
      </c>
      <c r="AL292">
        <v>0</v>
      </c>
      <c r="AM292">
        <v>0</v>
      </c>
    </row>
    <row r="293" spans="1:39" x14ac:dyDescent="0.25">
      <c r="A293" t="s">
        <v>233</v>
      </c>
      <c r="B293" t="str">
        <f>'Basis Options'!C298</f>
        <v>NL8409</v>
      </c>
      <c r="C293" t="s">
        <v>255</v>
      </c>
      <c r="D293" t="s">
        <v>234</v>
      </c>
      <c r="E293" t="s">
        <v>20</v>
      </c>
      <c r="F293" t="str">
        <f>'Basis Options'!A298</f>
        <v>DUKEENETRA</v>
      </c>
      <c r="G293" t="s">
        <v>269</v>
      </c>
      <c r="H293" t="s">
        <v>254</v>
      </c>
      <c r="I293" t="s">
        <v>242</v>
      </c>
      <c r="J293" t="s">
        <v>235</v>
      </c>
      <c r="K293" s="380">
        <f>'Basis Options'!G298</f>
        <v>36951</v>
      </c>
      <c r="L293" s="235">
        <f>'Basis Options'!U298</f>
        <v>317078.83100653009</v>
      </c>
      <c r="M293" s="380">
        <f>'Basis Options'!Q298</f>
        <v>36949</v>
      </c>
      <c r="N293" t="str">
        <f>'Basis Options'!F298</f>
        <v>P</v>
      </c>
      <c r="O293">
        <f>'Basis Options'!I298</f>
        <v>0.75</v>
      </c>
      <c r="P293">
        <v>0</v>
      </c>
      <c r="Q293">
        <v>0</v>
      </c>
      <c r="R293">
        <v>0</v>
      </c>
      <c r="S293">
        <v>0</v>
      </c>
      <c r="T293" t="s">
        <v>253</v>
      </c>
      <c r="U293" t="str">
        <f>IF('Basis Options'!D298="NGI/CHI. GATE","""NGI/CHI. GATE""",TRIM('Basis Options'!D298))</f>
        <v>IF-TRANSCO/Z6</v>
      </c>
      <c r="V293" t="s">
        <v>253</v>
      </c>
      <c r="W293" t="s">
        <v>132</v>
      </c>
      <c r="X293" t="s">
        <v>253</v>
      </c>
      <c r="Y293" t="s">
        <v>235</v>
      </c>
      <c r="Z293" t="s">
        <v>236</v>
      </c>
      <c r="AA293" t="s">
        <v>253</v>
      </c>
      <c r="AB293" t="s">
        <v>1</v>
      </c>
      <c r="AC293" s="235">
        <f>'Basis Options'!H298</f>
        <v>930000</v>
      </c>
      <c r="AD293" s="235">
        <f>'Basis Options'!W298</f>
        <v>81079.878475876583</v>
      </c>
      <c r="AE293">
        <v>0</v>
      </c>
      <c r="AF293">
        <v>0</v>
      </c>
      <c r="AG293">
        <v>0</v>
      </c>
      <c r="AH293" s="235">
        <f>'Basis Options'!CD298</f>
        <v>0</v>
      </c>
      <c r="AI293">
        <v>226</v>
      </c>
      <c r="AJ293" t="s">
        <v>256</v>
      </c>
      <c r="AK293">
        <v>0</v>
      </c>
      <c r="AL293">
        <v>0</v>
      </c>
      <c r="AM293">
        <v>0</v>
      </c>
    </row>
    <row r="294" spans="1:39" x14ac:dyDescent="0.25">
      <c r="A294" t="s">
        <v>233</v>
      </c>
      <c r="B294" t="str">
        <f>'Basis Options'!C299</f>
        <v>NL8409</v>
      </c>
      <c r="C294" t="s">
        <v>255</v>
      </c>
      <c r="D294" t="s">
        <v>234</v>
      </c>
      <c r="E294" t="s">
        <v>20</v>
      </c>
      <c r="F294" t="str">
        <f>'Basis Options'!A299</f>
        <v>DUKEENETRA</v>
      </c>
      <c r="G294" t="s">
        <v>269</v>
      </c>
      <c r="H294" t="s">
        <v>254</v>
      </c>
      <c r="I294" t="s">
        <v>242</v>
      </c>
      <c r="J294" t="s">
        <v>235</v>
      </c>
      <c r="K294" s="380">
        <f>'Basis Options'!G299</f>
        <v>36923</v>
      </c>
      <c r="L294" s="235">
        <f>'Basis Options'!U299</f>
        <v>116815.15279555798</v>
      </c>
      <c r="M294" s="380">
        <f>'Basis Options'!Q299</f>
        <v>36921</v>
      </c>
      <c r="N294" t="str">
        <f>'Basis Options'!F299</f>
        <v>P</v>
      </c>
      <c r="O294">
        <f>'Basis Options'!I299</f>
        <v>0.75</v>
      </c>
      <c r="P294">
        <v>0</v>
      </c>
      <c r="Q294">
        <v>0</v>
      </c>
      <c r="R294">
        <v>0</v>
      </c>
      <c r="S294">
        <v>0</v>
      </c>
      <c r="T294" t="s">
        <v>253</v>
      </c>
      <c r="U294" t="str">
        <f>IF('Basis Options'!D299="NGI/CHI. GATE","""NGI/CHI. GATE""",TRIM('Basis Options'!D299))</f>
        <v>IF-TRANSCO/Z6</v>
      </c>
      <c r="V294" t="s">
        <v>253</v>
      </c>
      <c r="W294" t="s">
        <v>132</v>
      </c>
      <c r="X294" t="s">
        <v>253</v>
      </c>
      <c r="Y294" t="s">
        <v>235</v>
      </c>
      <c r="Z294" t="s">
        <v>236</v>
      </c>
      <c r="AA294" t="s">
        <v>253</v>
      </c>
      <c r="AB294" t="s">
        <v>1</v>
      </c>
      <c r="AC294" s="235">
        <f>'Basis Options'!H299</f>
        <v>840000</v>
      </c>
      <c r="AD294" s="235">
        <f>'Basis Options'!W299</f>
        <v>51339.837626672743</v>
      </c>
      <c r="AE294">
        <v>0</v>
      </c>
      <c r="AF294">
        <v>0</v>
      </c>
      <c r="AG294">
        <v>0</v>
      </c>
      <c r="AH294" s="235">
        <f>'Basis Options'!CD299</f>
        <v>0</v>
      </c>
      <c r="AI294">
        <v>226</v>
      </c>
      <c r="AJ294" t="s">
        <v>256</v>
      </c>
      <c r="AK294">
        <v>0</v>
      </c>
      <c r="AL294">
        <v>0</v>
      </c>
      <c r="AM294">
        <v>0</v>
      </c>
    </row>
    <row r="295" spans="1:39" x14ac:dyDescent="0.25">
      <c r="A295" t="s">
        <v>233</v>
      </c>
      <c r="B295" t="str">
        <f>'Basis Options'!C300</f>
        <v>NL8409</v>
      </c>
      <c r="C295" t="s">
        <v>255</v>
      </c>
      <c r="D295" t="s">
        <v>234</v>
      </c>
      <c r="E295" t="s">
        <v>20</v>
      </c>
      <c r="F295" t="str">
        <f>'Basis Options'!A300</f>
        <v>DUKEENETRA</v>
      </c>
      <c r="G295" t="s">
        <v>269</v>
      </c>
      <c r="H295" t="s">
        <v>254</v>
      </c>
      <c r="I295" t="s">
        <v>242</v>
      </c>
      <c r="J295" t="s">
        <v>235</v>
      </c>
      <c r="K295" s="380">
        <f>'Basis Options'!G300</f>
        <v>36892</v>
      </c>
      <c r="L295" s="235">
        <f>'Basis Options'!U300</f>
        <v>101767.52383275384</v>
      </c>
      <c r="M295" s="380">
        <f>'Basis Options'!Q300</f>
        <v>36888</v>
      </c>
      <c r="N295" t="str">
        <f>'Basis Options'!F300</f>
        <v>P</v>
      </c>
      <c r="O295">
        <f>'Basis Options'!I300</f>
        <v>0.75</v>
      </c>
      <c r="P295">
        <v>0</v>
      </c>
      <c r="Q295">
        <v>0</v>
      </c>
      <c r="R295">
        <v>0</v>
      </c>
      <c r="S295">
        <v>0</v>
      </c>
      <c r="T295" t="s">
        <v>253</v>
      </c>
      <c r="U295" t="str">
        <f>IF('Basis Options'!D300="NGI/CHI. GATE","""NGI/CHI. GATE""",TRIM('Basis Options'!D300))</f>
        <v>IF-TRANSCO/Z6</v>
      </c>
      <c r="V295" t="s">
        <v>253</v>
      </c>
      <c r="W295" t="s">
        <v>132</v>
      </c>
      <c r="X295" t="s">
        <v>253</v>
      </c>
      <c r="Y295" t="s">
        <v>235</v>
      </c>
      <c r="Z295" t="s">
        <v>236</v>
      </c>
      <c r="AA295" t="s">
        <v>253</v>
      </c>
      <c r="AB295" t="s">
        <v>1</v>
      </c>
      <c r="AC295" s="235">
        <f>'Basis Options'!H300</f>
        <v>930000</v>
      </c>
      <c r="AD295" s="235">
        <f>'Basis Options'!W300</f>
        <v>47024.305853664177</v>
      </c>
      <c r="AE295">
        <v>0</v>
      </c>
      <c r="AF295">
        <v>0</v>
      </c>
      <c r="AG295">
        <v>0</v>
      </c>
      <c r="AH295" s="235">
        <f>'Basis Options'!CD300</f>
        <v>0</v>
      </c>
      <c r="AI295">
        <v>226</v>
      </c>
      <c r="AJ295" t="s">
        <v>256</v>
      </c>
      <c r="AK295">
        <v>0</v>
      </c>
      <c r="AL295">
        <v>0</v>
      </c>
      <c r="AM295">
        <v>0</v>
      </c>
    </row>
    <row r="296" spans="1:39" x14ac:dyDescent="0.25">
      <c r="A296" t="s">
        <v>233</v>
      </c>
      <c r="B296" t="str">
        <f>'Basis Options'!C301</f>
        <v>NL8409</v>
      </c>
      <c r="C296" t="s">
        <v>255</v>
      </c>
      <c r="D296" t="s">
        <v>234</v>
      </c>
      <c r="E296" t="s">
        <v>20</v>
      </c>
      <c r="F296" t="str">
        <f>'Basis Options'!A301</f>
        <v>DUKEENETRA</v>
      </c>
      <c r="G296" t="s">
        <v>269</v>
      </c>
      <c r="H296" t="s">
        <v>254</v>
      </c>
      <c r="I296" t="s">
        <v>242</v>
      </c>
      <c r="J296" t="s">
        <v>235</v>
      </c>
      <c r="K296" s="380">
        <f>'Basis Options'!G301</f>
        <v>36861</v>
      </c>
      <c r="L296" s="235">
        <f>'Basis Options'!U301</f>
        <v>135870.02995029523</v>
      </c>
      <c r="M296" s="380">
        <f>'Basis Options'!Q301</f>
        <v>36859</v>
      </c>
      <c r="N296" t="str">
        <f>'Basis Options'!F301</f>
        <v>P</v>
      </c>
      <c r="O296">
        <f>'Basis Options'!I301</f>
        <v>0.75</v>
      </c>
      <c r="P296">
        <v>0</v>
      </c>
      <c r="Q296">
        <v>0</v>
      </c>
      <c r="R296">
        <v>0</v>
      </c>
      <c r="S296">
        <v>0</v>
      </c>
      <c r="T296" t="s">
        <v>253</v>
      </c>
      <c r="U296" t="str">
        <f>IF('Basis Options'!D301="NGI/CHI. GATE","""NGI/CHI. GATE""",TRIM('Basis Options'!D301))</f>
        <v>IF-TRANSCO/Z6</v>
      </c>
      <c r="V296" t="s">
        <v>253</v>
      </c>
      <c r="W296" t="s">
        <v>132</v>
      </c>
      <c r="X296" t="s">
        <v>253</v>
      </c>
      <c r="Y296" t="s">
        <v>235</v>
      </c>
      <c r="Z296" t="s">
        <v>236</v>
      </c>
      <c r="AA296" t="s">
        <v>253</v>
      </c>
      <c r="AB296" t="s">
        <v>1</v>
      </c>
      <c r="AC296" s="235">
        <f>'Basis Options'!H301</f>
        <v>930000</v>
      </c>
      <c r="AD296" s="235">
        <f>'Basis Options'!W301</f>
        <v>51262.139925042167</v>
      </c>
      <c r="AE296">
        <v>0</v>
      </c>
      <c r="AF296">
        <v>0</v>
      </c>
      <c r="AG296">
        <v>0</v>
      </c>
      <c r="AH296" s="235">
        <f>'Basis Options'!CD301</f>
        <v>0</v>
      </c>
      <c r="AI296">
        <v>226</v>
      </c>
      <c r="AJ296" t="s">
        <v>256</v>
      </c>
      <c r="AK296">
        <v>0</v>
      </c>
      <c r="AL296">
        <v>0</v>
      </c>
      <c r="AM296">
        <v>0</v>
      </c>
    </row>
    <row r="297" spans="1:39" x14ac:dyDescent="0.25">
      <c r="A297" t="s">
        <v>233</v>
      </c>
      <c r="B297" t="str">
        <f>'Basis Options'!C302</f>
        <v>NL8409</v>
      </c>
      <c r="C297" t="s">
        <v>255</v>
      </c>
      <c r="D297" t="s">
        <v>234</v>
      </c>
      <c r="E297" t="s">
        <v>20</v>
      </c>
      <c r="F297" t="str">
        <f>'Basis Options'!A302</f>
        <v>DUKEENETRA</v>
      </c>
      <c r="G297" t="s">
        <v>269</v>
      </c>
      <c r="H297" t="s">
        <v>254</v>
      </c>
      <c r="I297" t="s">
        <v>242</v>
      </c>
      <c r="J297" t="s">
        <v>235</v>
      </c>
      <c r="K297" s="380">
        <f>'Basis Options'!G302</f>
        <v>36831</v>
      </c>
      <c r="L297" s="235">
        <f>'Basis Options'!U302</f>
        <v>222837.60554518431</v>
      </c>
      <c r="M297" s="380">
        <f>'Basis Options'!Q302</f>
        <v>36829</v>
      </c>
      <c r="N297" t="str">
        <f>'Basis Options'!F302</f>
        <v>P</v>
      </c>
      <c r="O297">
        <f>'Basis Options'!I302</f>
        <v>0.75</v>
      </c>
      <c r="P297">
        <v>0</v>
      </c>
      <c r="Q297">
        <v>0</v>
      </c>
      <c r="R297">
        <v>0</v>
      </c>
      <c r="S297">
        <v>0</v>
      </c>
      <c r="T297" t="s">
        <v>253</v>
      </c>
      <c r="U297" t="str">
        <f>IF('Basis Options'!D302="NGI/CHI. GATE","""NGI/CHI. GATE""",TRIM('Basis Options'!D302))</f>
        <v>IF-TRANSCO/Z6</v>
      </c>
      <c r="V297" t="s">
        <v>253</v>
      </c>
      <c r="W297" t="s">
        <v>132</v>
      </c>
      <c r="X297" t="s">
        <v>253</v>
      </c>
      <c r="Y297" t="s">
        <v>235</v>
      </c>
      <c r="Z297" t="s">
        <v>236</v>
      </c>
      <c r="AA297" t="s">
        <v>253</v>
      </c>
      <c r="AB297" t="s">
        <v>1</v>
      </c>
      <c r="AC297" s="235">
        <f>'Basis Options'!H302</f>
        <v>900000</v>
      </c>
      <c r="AD297" s="235">
        <f>'Basis Options'!W302</f>
        <v>40319.430902977416</v>
      </c>
      <c r="AE297">
        <v>0</v>
      </c>
      <c r="AF297">
        <v>0</v>
      </c>
      <c r="AG297">
        <v>0</v>
      </c>
      <c r="AH297" s="235">
        <f>'Basis Options'!CD302</f>
        <v>0</v>
      </c>
      <c r="AI297">
        <v>226</v>
      </c>
      <c r="AJ297" t="s">
        <v>256</v>
      </c>
      <c r="AK297">
        <v>0</v>
      </c>
      <c r="AL297">
        <v>0</v>
      </c>
      <c r="AM297">
        <v>0</v>
      </c>
    </row>
    <row r="298" spans="1:39" x14ac:dyDescent="0.25">
      <c r="A298" t="s">
        <v>233</v>
      </c>
      <c r="B298" t="str">
        <f>'Basis Options'!C303</f>
        <v>NL8413.1</v>
      </c>
      <c r="C298" t="s">
        <v>255</v>
      </c>
      <c r="D298" t="s">
        <v>234</v>
      </c>
      <c r="E298" t="s">
        <v>20</v>
      </c>
      <c r="F298" t="str">
        <f>'Basis Options'!A303</f>
        <v>ELPASMER</v>
      </c>
      <c r="G298" t="s">
        <v>269</v>
      </c>
      <c r="H298" t="s">
        <v>254</v>
      </c>
      <c r="I298" t="s">
        <v>242</v>
      </c>
      <c r="J298" t="s">
        <v>235</v>
      </c>
      <c r="K298" s="380">
        <f>'Basis Options'!G303</f>
        <v>36800</v>
      </c>
      <c r="L298" s="235">
        <f>'Basis Options'!U303</f>
        <v>-675.79989208547818</v>
      </c>
      <c r="M298" s="380">
        <f>'Basis Options'!Q303</f>
        <v>36797</v>
      </c>
      <c r="N298" t="str">
        <f>'Basis Options'!F303</f>
        <v>C</v>
      </c>
      <c r="O298">
        <f>'Basis Options'!I303</f>
        <v>0.7</v>
      </c>
      <c r="P298">
        <v>0</v>
      </c>
      <c r="Q298">
        <v>0</v>
      </c>
      <c r="R298">
        <v>0</v>
      </c>
      <c r="S298">
        <v>0</v>
      </c>
      <c r="T298" t="s">
        <v>253</v>
      </c>
      <c r="U298" t="str">
        <f>IF('Basis Options'!D303="NGI/CHI. GATE","""NGI/CHI. GATE""",TRIM('Basis Options'!D303))</f>
        <v>IF-TRANSCO/Z6</v>
      </c>
      <c r="V298" t="s">
        <v>253</v>
      </c>
      <c r="W298" t="s">
        <v>132</v>
      </c>
      <c r="X298" t="s">
        <v>253</v>
      </c>
      <c r="Y298" t="s">
        <v>235</v>
      </c>
      <c r="Z298" t="s">
        <v>236</v>
      </c>
      <c r="AA298" t="s">
        <v>253</v>
      </c>
      <c r="AB298" t="s">
        <v>1</v>
      </c>
      <c r="AC298" s="235">
        <f>'Basis Options'!H303</f>
        <v>-1000000</v>
      </c>
      <c r="AD298" s="235">
        <f>'Basis Options'!W303</f>
        <v>-540.83222908454263</v>
      </c>
      <c r="AE298">
        <v>0</v>
      </c>
      <c r="AF298">
        <v>0</v>
      </c>
      <c r="AG298">
        <v>0</v>
      </c>
      <c r="AH298" s="235">
        <f>'Basis Options'!CD303</f>
        <v>0</v>
      </c>
      <c r="AI298">
        <v>226</v>
      </c>
      <c r="AJ298" t="s">
        <v>256</v>
      </c>
      <c r="AK298">
        <v>0</v>
      </c>
      <c r="AL298">
        <v>0</v>
      </c>
      <c r="AM298">
        <v>0</v>
      </c>
    </row>
    <row r="299" spans="1:39" x14ac:dyDescent="0.25">
      <c r="A299" t="s">
        <v>233</v>
      </c>
      <c r="B299" t="str">
        <f>'Basis Options'!C304</f>
        <v>NL8413.2</v>
      </c>
      <c r="C299" t="s">
        <v>255</v>
      </c>
      <c r="D299" t="s">
        <v>234</v>
      </c>
      <c r="E299" t="s">
        <v>20</v>
      </c>
      <c r="F299" t="str">
        <f>'Basis Options'!A304</f>
        <v>ELPASMER</v>
      </c>
      <c r="G299" t="s">
        <v>269</v>
      </c>
      <c r="H299" t="s">
        <v>254</v>
      </c>
      <c r="I299" t="s">
        <v>242</v>
      </c>
      <c r="J299" t="s">
        <v>235</v>
      </c>
      <c r="K299" s="380">
        <f>'Basis Options'!G304</f>
        <v>36800</v>
      </c>
      <c r="L299" s="235">
        <f>'Basis Options'!U304</f>
        <v>-675.79989208547818</v>
      </c>
      <c r="M299" s="380">
        <f>'Basis Options'!Q304</f>
        <v>36797</v>
      </c>
      <c r="N299" t="str">
        <f>'Basis Options'!F304</f>
        <v>C</v>
      </c>
      <c r="O299">
        <f>'Basis Options'!I304</f>
        <v>0.7</v>
      </c>
      <c r="P299">
        <v>0</v>
      </c>
      <c r="Q299">
        <v>0</v>
      </c>
      <c r="R299">
        <v>0</v>
      </c>
      <c r="S299">
        <v>0</v>
      </c>
      <c r="T299" t="s">
        <v>253</v>
      </c>
      <c r="U299" t="str">
        <f>IF('Basis Options'!D304="NGI/CHI. GATE","""NGI/CHI. GATE""",TRIM('Basis Options'!D304))</f>
        <v>IF-TRANSCO/Z6</v>
      </c>
      <c r="V299" t="s">
        <v>253</v>
      </c>
      <c r="W299" t="s">
        <v>132</v>
      </c>
      <c r="X299" t="s">
        <v>253</v>
      </c>
      <c r="Y299" t="s">
        <v>235</v>
      </c>
      <c r="Z299" t="s">
        <v>236</v>
      </c>
      <c r="AA299" t="s">
        <v>253</v>
      </c>
      <c r="AB299" t="s">
        <v>1</v>
      </c>
      <c r="AC299" s="235">
        <f>'Basis Options'!H304</f>
        <v>-1000000</v>
      </c>
      <c r="AD299" s="235">
        <f>'Basis Options'!W304</f>
        <v>-540.83222908454263</v>
      </c>
      <c r="AE299">
        <v>0</v>
      </c>
      <c r="AF299">
        <v>0</v>
      </c>
      <c r="AG299">
        <v>0</v>
      </c>
      <c r="AH299" s="235">
        <f>'Basis Options'!CD304</f>
        <v>0</v>
      </c>
      <c r="AI299">
        <v>226</v>
      </c>
      <c r="AJ299" t="s">
        <v>256</v>
      </c>
      <c r="AK299">
        <v>0</v>
      </c>
      <c r="AL299">
        <v>0</v>
      </c>
      <c r="AM299">
        <v>0</v>
      </c>
    </row>
    <row r="300" spans="1:39" x14ac:dyDescent="0.25">
      <c r="A300" t="s">
        <v>233</v>
      </c>
      <c r="B300" t="str">
        <f>'Basis Options'!C305</f>
        <v>NL8413.3</v>
      </c>
      <c r="C300" t="s">
        <v>255</v>
      </c>
      <c r="D300" t="s">
        <v>234</v>
      </c>
      <c r="E300" t="s">
        <v>20</v>
      </c>
      <c r="F300" t="str">
        <f>'Basis Options'!A305</f>
        <v>ELPASMER</v>
      </c>
      <c r="G300" t="s">
        <v>269</v>
      </c>
      <c r="H300" t="s">
        <v>254</v>
      </c>
      <c r="I300" t="s">
        <v>242</v>
      </c>
      <c r="J300" t="s">
        <v>235</v>
      </c>
      <c r="K300" s="380">
        <f>'Basis Options'!G305</f>
        <v>36800</v>
      </c>
      <c r="L300" s="235">
        <f>'Basis Options'!U305</f>
        <v>-675.79989208547818</v>
      </c>
      <c r="M300" s="380">
        <f>'Basis Options'!Q305</f>
        <v>36797</v>
      </c>
      <c r="N300" t="str">
        <f>'Basis Options'!F305</f>
        <v>C</v>
      </c>
      <c r="O300">
        <f>'Basis Options'!I305</f>
        <v>0.7</v>
      </c>
      <c r="P300">
        <v>0</v>
      </c>
      <c r="Q300">
        <v>0</v>
      </c>
      <c r="R300">
        <v>0</v>
      </c>
      <c r="S300">
        <v>0</v>
      </c>
      <c r="T300" t="s">
        <v>253</v>
      </c>
      <c r="U300" t="str">
        <f>IF('Basis Options'!D305="NGI/CHI. GATE","""NGI/CHI. GATE""",TRIM('Basis Options'!D305))</f>
        <v>IF-TRANSCO/Z6</v>
      </c>
      <c r="V300" t="s">
        <v>253</v>
      </c>
      <c r="W300" t="s">
        <v>132</v>
      </c>
      <c r="X300" t="s">
        <v>253</v>
      </c>
      <c r="Y300" t="s">
        <v>235</v>
      </c>
      <c r="Z300" t="s">
        <v>236</v>
      </c>
      <c r="AA300" t="s">
        <v>253</v>
      </c>
      <c r="AB300" t="s">
        <v>1</v>
      </c>
      <c r="AC300" s="235">
        <f>'Basis Options'!H305</f>
        <v>-1000000</v>
      </c>
      <c r="AD300" s="235">
        <f>'Basis Options'!W305</f>
        <v>-540.83222908454263</v>
      </c>
      <c r="AE300">
        <v>0</v>
      </c>
      <c r="AF300">
        <v>0</v>
      </c>
      <c r="AG300">
        <v>0</v>
      </c>
      <c r="AH300" s="235">
        <f>'Basis Options'!CD305</f>
        <v>0</v>
      </c>
      <c r="AI300">
        <v>226</v>
      </c>
      <c r="AJ300" t="s">
        <v>256</v>
      </c>
      <c r="AK300">
        <v>0</v>
      </c>
      <c r="AL300">
        <v>0</v>
      </c>
      <c r="AM300">
        <v>0</v>
      </c>
    </row>
    <row r="301" spans="1:39" x14ac:dyDescent="0.25">
      <c r="A301" t="s">
        <v>233</v>
      </c>
      <c r="B301" t="str">
        <f>'Basis Options'!C306</f>
        <v>NL8419.1</v>
      </c>
      <c r="C301" t="s">
        <v>255</v>
      </c>
      <c r="D301" t="s">
        <v>234</v>
      </c>
      <c r="E301" t="s">
        <v>20</v>
      </c>
      <c r="F301" t="str">
        <f>'Basis Options'!A306</f>
        <v>DYNEGYMARAND</v>
      </c>
      <c r="G301" t="s">
        <v>269</v>
      </c>
      <c r="H301" t="s">
        <v>254</v>
      </c>
      <c r="I301" t="s">
        <v>242</v>
      </c>
      <c r="J301" t="s">
        <v>235</v>
      </c>
      <c r="K301" s="380">
        <f>'Basis Options'!G306</f>
        <v>36951</v>
      </c>
      <c r="L301" s="235">
        <f>'Basis Options'!U306</f>
        <v>-90018.696228673813</v>
      </c>
      <c r="M301" s="380">
        <f>'Basis Options'!Q306</f>
        <v>36949</v>
      </c>
      <c r="N301" t="str">
        <f>'Basis Options'!F306</f>
        <v>C</v>
      </c>
      <c r="O301">
        <f>'Basis Options'!I306</f>
        <v>1.75</v>
      </c>
      <c r="P301">
        <v>0</v>
      </c>
      <c r="Q301">
        <v>0</v>
      </c>
      <c r="R301">
        <v>0</v>
      </c>
      <c r="S301">
        <v>0</v>
      </c>
      <c r="T301" t="s">
        <v>253</v>
      </c>
      <c r="U301" t="str">
        <f>IF('Basis Options'!D306="NGI/CHI. GATE","""NGI/CHI. GATE""",TRIM('Basis Options'!D306))</f>
        <v>IF-TRANSCO/Z6</v>
      </c>
      <c r="V301" t="s">
        <v>253</v>
      </c>
      <c r="W301" t="s">
        <v>132</v>
      </c>
      <c r="X301" t="s">
        <v>253</v>
      </c>
      <c r="Y301" t="s">
        <v>235</v>
      </c>
      <c r="Z301" t="s">
        <v>236</v>
      </c>
      <c r="AA301" t="s">
        <v>253</v>
      </c>
      <c r="AB301" t="s">
        <v>1</v>
      </c>
      <c r="AC301" s="235">
        <f>'Basis Options'!H306</f>
        <v>-310000</v>
      </c>
      <c r="AD301" s="235">
        <f>'Basis Options'!W306</f>
        <v>-23928.915918566272</v>
      </c>
      <c r="AE301">
        <v>0</v>
      </c>
      <c r="AF301">
        <v>0</v>
      </c>
      <c r="AG301">
        <v>0</v>
      </c>
      <c r="AH301" s="235">
        <f>'Basis Options'!CD306</f>
        <v>0</v>
      </c>
      <c r="AI301">
        <v>226</v>
      </c>
      <c r="AJ301" t="s">
        <v>256</v>
      </c>
      <c r="AK301">
        <v>0</v>
      </c>
      <c r="AL301">
        <v>0</v>
      </c>
      <c r="AM301">
        <v>0</v>
      </c>
    </row>
    <row r="302" spans="1:39" x14ac:dyDescent="0.25">
      <c r="A302" t="s">
        <v>233</v>
      </c>
      <c r="B302" t="str">
        <f>'Basis Options'!C307</f>
        <v>NL8419.1</v>
      </c>
      <c r="C302" t="s">
        <v>255</v>
      </c>
      <c r="D302" t="s">
        <v>234</v>
      </c>
      <c r="E302" t="s">
        <v>20</v>
      </c>
      <c r="F302" t="str">
        <f>'Basis Options'!A307</f>
        <v>DYNEGYMARAND</v>
      </c>
      <c r="G302" t="s">
        <v>269</v>
      </c>
      <c r="H302" t="s">
        <v>254</v>
      </c>
      <c r="I302" t="s">
        <v>242</v>
      </c>
      <c r="J302" t="s">
        <v>235</v>
      </c>
      <c r="K302" s="380">
        <f>'Basis Options'!G307</f>
        <v>36923</v>
      </c>
      <c r="L302" s="235">
        <f>'Basis Options'!U307</f>
        <v>-232335.54160012843</v>
      </c>
      <c r="M302" s="380">
        <f>'Basis Options'!Q307</f>
        <v>36921</v>
      </c>
      <c r="N302" t="str">
        <f>'Basis Options'!F307</f>
        <v>C</v>
      </c>
      <c r="O302">
        <f>'Basis Options'!I307</f>
        <v>1.75</v>
      </c>
      <c r="P302">
        <v>0</v>
      </c>
      <c r="Q302">
        <v>0</v>
      </c>
      <c r="R302">
        <v>0</v>
      </c>
      <c r="S302">
        <v>0</v>
      </c>
      <c r="T302" t="s">
        <v>253</v>
      </c>
      <c r="U302" t="str">
        <f>IF('Basis Options'!D307="NGI/CHI. GATE","""NGI/CHI. GATE""",TRIM('Basis Options'!D307))</f>
        <v>IF-TRANSCO/Z6</v>
      </c>
      <c r="V302" t="s">
        <v>253</v>
      </c>
      <c r="W302" t="s">
        <v>132</v>
      </c>
      <c r="X302" t="s">
        <v>253</v>
      </c>
      <c r="Y302" t="s">
        <v>235</v>
      </c>
      <c r="Z302" t="s">
        <v>236</v>
      </c>
      <c r="AA302" t="s">
        <v>253</v>
      </c>
      <c r="AB302" t="s">
        <v>1</v>
      </c>
      <c r="AC302" s="235">
        <f>'Basis Options'!H307</f>
        <v>-280000</v>
      </c>
      <c r="AD302" s="235">
        <f>'Basis Options'!W307</f>
        <v>-23811.732681741501</v>
      </c>
      <c r="AE302">
        <v>0</v>
      </c>
      <c r="AF302">
        <v>0</v>
      </c>
      <c r="AG302">
        <v>0</v>
      </c>
      <c r="AH302" s="235">
        <f>'Basis Options'!CD307</f>
        <v>0</v>
      </c>
      <c r="AI302">
        <v>226</v>
      </c>
      <c r="AJ302" t="s">
        <v>256</v>
      </c>
      <c r="AK302">
        <v>0</v>
      </c>
      <c r="AL302">
        <v>0</v>
      </c>
      <c r="AM302">
        <v>0</v>
      </c>
    </row>
    <row r="303" spans="1:39" x14ac:dyDescent="0.25">
      <c r="A303" t="s">
        <v>233</v>
      </c>
      <c r="B303" t="str">
        <f>'Basis Options'!C308</f>
        <v>NL8419.1</v>
      </c>
      <c r="C303" t="s">
        <v>255</v>
      </c>
      <c r="D303" t="s">
        <v>234</v>
      </c>
      <c r="E303" t="s">
        <v>20</v>
      </c>
      <c r="F303" t="str">
        <f>'Basis Options'!A308</f>
        <v>DYNEGYMARAND</v>
      </c>
      <c r="G303" t="s">
        <v>269</v>
      </c>
      <c r="H303" t="s">
        <v>254</v>
      </c>
      <c r="I303" t="s">
        <v>242</v>
      </c>
      <c r="J303" t="s">
        <v>235</v>
      </c>
      <c r="K303" s="380">
        <f>'Basis Options'!G308</f>
        <v>36892</v>
      </c>
      <c r="L303" s="235">
        <f>'Basis Options'!U308</f>
        <v>-262183.57292698574</v>
      </c>
      <c r="M303" s="380">
        <f>'Basis Options'!Q308</f>
        <v>36888</v>
      </c>
      <c r="N303" t="str">
        <f>'Basis Options'!F308</f>
        <v>C</v>
      </c>
      <c r="O303">
        <f>'Basis Options'!I308</f>
        <v>1.75</v>
      </c>
      <c r="P303">
        <v>0</v>
      </c>
      <c r="Q303">
        <v>0</v>
      </c>
      <c r="R303">
        <v>0</v>
      </c>
      <c r="S303">
        <v>0</v>
      </c>
      <c r="T303" t="s">
        <v>253</v>
      </c>
      <c r="U303" t="str">
        <f>IF('Basis Options'!D308="NGI/CHI. GATE","""NGI/CHI. GATE""",TRIM('Basis Options'!D308))</f>
        <v>IF-TRANSCO/Z6</v>
      </c>
      <c r="V303" t="s">
        <v>253</v>
      </c>
      <c r="W303" t="s">
        <v>132</v>
      </c>
      <c r="X303" t="s">
        <v>253</v>
      </c>
      <c r="Y303" t="s">
        <v>235</v>
      </c>
      <c r="Z303" t="s">
        <v>236</v>
      </c>
      <c r="AA303" t="s">
        <v>253</v>
      </c>
      <c r="AB303" t="s">
        <v>1</v>
      </c>
      <c r="AC303" s="235">
        <f>'Basis Options'!H308</f>
        <v>-310000</v>
      </c>
      <c r="AD303" s="235">
        <f>'Basis Options'!W308</f>
        <v>-23821.899804540095</v>
      </c>
      <c r="AE303">
        <v>0</v>
      </c>
      <c r="AF303">
        <v>0</v>
      </c>
      <c r="AG303">
        <v>0</v>
      </c>
      <c r="AH303" s="235">
        <f>'Basis Options'!CD308</f>
        <v>0</v>
      </c>
      <c r="AI303">
        <v>226</v>
      </c>
      <c r="AJ303" t="s">
        <v>256</v>
      </c>
      <c r="AK303">
        <v>0</v>
      </c>
      <c r="AL303">
        <v>0</v>
      </c>
      <c r="AM303">
        <v>0</v>
      </c>
    </row>
    <row r="304" spans="1:39" x14ac:dyDescent="0.25">
      <c r="A304" t="s">
        <v>233</v>
      </c>
      <c r="B304" t="str">
        <f>'Basis Options'!C309</f>
        <v>NL8419.1</v>
      </c>
      <c r="C304" t="s">
        <v>255</v>
      </c>
      <c r="D304" t="s">
        <v>234</v>
      </c>
      <c r="E304" t="s">
        <v>20</v>
      </c>
      <c r="F304" t="str">
        <f>'Basis Options'!A309</f>
        <v>DYNEGYMARAND</v>
      </c>
      <c r="G304" t="s">
        <v>269</v>
      </c>
      <c r="H304" t="s">
        <v>254</v>
      </c>
      <c r="I304" t="s">
        <v>242</v>
      </c>
      <c r="J304" t="s">
        <v>235</v>
      </c>
      <c r="K304" s="380">
        <f>'Basis Options'!G309</f>
        <v>36861</v>
      </c>
      <c r="L304" s="235">
        <f>'Basis Options'!U309</f>
        <v>-145729.68417138129</v>
      </c>
      <c r="M304" s="380">
        <f>'Basis Options'!Q309</f>
        <v>36859</v>
      </c>
      <c r="N304" t="str">
        <f>'Basis Options'!F309</f>
        <v>C</v>
      </c>
      <c r="O304">
        <f>'Basis Options'!I309</f>
        <v>1.75</v>
      </c>
      <c r="P304">
        <v>0</v>
      </c>
      <c r="Q304">
        <v>0</v>
      </c>
      <c r="R304">
        <v>0</v>
      </c>
      <c r="S304">
        <v>0</v>
      </c>
      <c r="T304" t="s">
        <v>253</v>
      </c>
      <c r="U304" t="str">
        <f>IF('Basis Options'!D309="NGI/CHI. GATE","""NGI/CHI. GATE""",TRIM('Basis Options'!D309))</f>
        <v>IF-TRANSCO/Z6</v>
      </c>
      <c r="V304" t="s">
        <v>253</v>
      </c>
      <c r="W304" t="s">
        <v>132</v>
      </c>
      <c r="X304" t="s">
        <v>253</v>
      </c>
      <c r="Y304" t="s">
        <v>235</v>
      </c>
      <c r="Z304" t="s">
        <v>236</v>
      </c>
      <c r="AA304" t="s">
        <v>253</v>
      </c>
      <c r="AB304" t="s">
        <v>1</v>
      </c>
      <c r="AC304" s="235">
        <f>'Basis Options'!H309</f>
        <v>-310000</v>
      </c>
      <c r="AD304" s="235">
        <f>'Basis Options'!W309</f>
        <v>-21639.788429093634</v>
      </c>
      <c r="AE304">
        <v>0</v>
      </c>
      <c r="AF304">
        <v>0</v>
      </c>
      <c r="AG304">
        <v>0</v>
      </c>
      <c r="AH304" s="235">
        <f>'Basis Options'!CD309</f>
        <v>0</v>
      </c>
      <c r="AI304">
        <v>226</v>
      </c>
      <c r="AJ304" t="s">
        <v>256</v>
      </c>
      <c r="AK304">
        <v>0</v>
      </c>
      <c r="AL304">
        <v>0</v>
      </c>
      <c r="AM304">
        <v>0</v>
      </c>
    </row>
    <row r="305" spans="1:39" x14ac:dyDescent="0.25">
      <c r="A305" t="s">
        <v>233</v>
      </c>
      <c r="B305" t="str">
        <f>'Basis Options'!C310</f>
        <v>NL8419.1</v>
      </c>
      <c r="C305" t="s">
        <v>255</v>
      </c>
      <c r="D305" t="s">
        <v>234</v>
      </c>
      <c r="E305" t="s">
        <v>20</v>
      </c>
      <c r="F305" t="str">
        <f>'Basis Options'!A310</f>
        <v>DYNEGYMARAND</v>
      </c>
      <c r="G305" t="s">
        <v>269</v>
      </c>
      <c r="H305" t="s">
        <v>254</v>
      </c>
      <c r="I305" t="s">
        <v>242</v>
      </c>
      <c r="J305" t="s">
        <v>235</v>
      </c>
      <c r="K305" s="380">
        <f>'Basis Options'!G310</f>
        <v>36831</v>
      </c>
      <c r="L305" s="235">
        <f>'Basis Options'!U310</f>
        <v>-10379.611173618427</v>
      </c>
      <c r="M305" s="380">
        <f>'Basis Options'!Q310</f>
        <v>36829</v>
      </c>
      <c r="N305" t="str">
        <f>'Basis Options'!F310</f>
        <v>C</v>
      </c>
      <c r="O305">
        <f>'Basis Options'!I310</f>
        <v>1.75</v>
      </c>
      <c r="P305">
        <v>0</v>
      </c>
      <c r="Q305">
        <v>0</v>
      </c>
      <c r="R305">
        <v>0</v>
      </c>
      <c r="S305">
        <v>0</v>
      </c>
      <c r="T305" t="s">
        <v>253</v>
      </c>
      <c r="U305" t="str">
        <f>IF('Basis Options'!D310="NGI/CHI. GATE","""NGI/CHI. GATE""",TRIM('Basis Options'!D310))</f>
        <v>IF-TRANSCO/Z6</v>
      </c>
      <c r="V305" t="s">
        <v>253</v>
      </c>
      <c r="W305" t="s">
        <v>132</v>
      </c>
      <c r="X305" t="s">
        <v>253</v>
      </c>
      <c r="Y305" t="s">
        <v>235</v>
      </c>
      <c r="Z305" t="s">
        <v>236</v>
      </c>
      <c r="AA305" t="s">
        <v>253</v>
      </c>
      <c r="AB305" t="s">
        <v>1</v>
      </c>
      <c r="AC305" s="235">
        <f>'Basis Options'!H310</f>
        <v>-300000</v>
      </c>
      <c r="AD305" s="235">
        <f>'Basis Options'!W310</f>
        <v>-5468.0962238262109</v>
      </c>
      <c r="AE305">
        <v>0</v>
      </c>
      <c r="AF305">
        <v>0</v>
      </c>
      <c r="AG305">
        <v>0</v>
      </c>
      <c r="AH305" s="235">
        <f>'Basis Options'!CD310</f>
        <v>0</v>
      </c>
      <c r="AI305">
        <v>226</v>
      </c>
      <c r="AJ305" t="s">
        <v>256</v>
      </c>
      <c r="AK305">
        <v>0</v>
      </c>
      <c r="AL305">
        <v>0</v>
      </c>
      <c r="AM305">
        <v>0</v>
      </c>
    </row>
    <row r="306" spans="1:39" x14ac:dyDescent="0.25">
      <c r="A306" t="s">
        <v>233</v>
      </c>
      <c r="B306" t="str">
        <f>'Basis Options'!C311</f>
        <v>NL8419.2</v>
      </c>
      <c r="C306" t="s">
        <v>255</v>
      </c>
      <c r="D306" t="s">
        <v>234</v>
      </c>
      <c r="E306" t="s">
        <v>20</v>
      </c>
      <c r="F306" t="str">
        <f>'Basis Options'!A311</f>
        <v>DYNEGYMARAND</v>
      </c>
      <c r="G306" t="s">
        <v>269</v>
      </c>
      <c r="H306" t="s">
        <v>254</v>
      </c>
      <c r="I306" t="s">
        <v>242</v>
      </c>
      <c r="J306" t="s">
        <v>235</v>
      </c>
      <c r="K306" s="380">
        <f>'Basis Options'!G311</f>
        <v>36951</v>
      </c>
      <c r="L306" s="235">
        <f>'Basis Options'!U311</f>
        <v>48546.105577244532</v>
      </c>
      <c r="M306" s="380">
        <f>'Basis Options'!Q311</f>
        <v>36949</v>
      </c>
      <c r="N306" t="str">
        <f>'Basis Options'!F311</f>
        <v>C</v>
      </c>
      <c r="O306">
        <f>'Basis Options'!I311</f>
        <v>2.5</v>
      </c>
      <c r="P306">
        <v>0</v>
      </c>
      <c r="Q306">
        <v>0</v>
      </c>
      <c r="R306">
        <v>0</v>
      </c>
      <c r="S306">
        <v>0</v>
      </c>
      <c r="T306" t="s">
        <v>253</v>
      </c>
      <c r="U306" t="str">
        <f>IF('Basis Options'!D311="NGI/CHI. GATE","""NGI/CHI. GATE""",TRIM('Basis Options'!D311))</f>
        <v>IF-TRANSCO/Z6</v>
      </c>
      <c r="V306" t="s">
        <v>253</v>
      </c>
      <c r="W306" t="s">
        <v>132</v>
      </c>
      <c r="X306" t="s">
        <v>253</v>
      </c>
      <c r="Y306" t="s">
        <v>235</v>
      </c>
      <c r="Z306" t="s">
        <v>236</v>
      </c>
      <c r="AA306" t="s">
        <v>253</v>
      </c>
      <c r="AB306" t="s">
        <v>1</v>
      </c>
      <c r="AC306" s="235">
        <f>'Basis Options'!H311</f>
        <v>310000</v>
      </c>
      <c r="AD306" s="235">
        <f>'Basis Options'!W311</f>
        <v>17681.731965443352</v>
      </c>
      <c r="AE306">
        <v>0</v>
      </c>
      <c r="AF306">
        <v>0</v>
      </c>
      <c r="AG306">
        <v>0</v>
      </c>
      <c r="AH306" s="235">
        <f>'Basis Options'!CD311</f>
        <v>0</v>
      </c>
      <c r="AI306">
        <v>226</v>
      </c>
      <c r="AJ306" t="s">
        <v>256</v>
      </c>
      <c r="AK306">
        <v>0</v>
      </c>
      <c r="AL306">
        <v>0</v>
      </c>
      <c r="AM306">
        <v>0</v>
      </c>
    </row>
    <row r="307" spans="1:39" x14ac:dyDescent="0.25">
      <c r="A307" t="s">
        <v>233</v>
      </c>
      <c r="B307" t="str">
        <f>'Basis Options'!C312</f>
        <v>NL8419.2</v>
      </c>
      <c r="C307" t="s">
        <v>255</v>
      </c>
      <c r="D307" t="s">
        <v>234</v>
      </c>
      <c r="E307" t="s">
        <v>20</v>
      </c>
      <c r="F307" t="str">
        <f>'Basis Options'!A312</f>
        <v>DYNEGYMARAND</v>
      </c>
      <c r="G307" t="s">
        <v>269</v>
      </c>
      <c r="H307" t="s">
        <v>254</v>
      </c>
      <c r="I307" t="s">
        <v>242</v>
      </c>
      <c r="J307" t="s">
        <v>235</v>
      </c>
      <c r="K307" s="380">
        <f>'Basis Options'!G312</f>
        <v>36923</v>
      </c>
      <c r="L307" s="235">
        <f>'Basis Options'!U312</f>
        <v>149783.67096474412</v>
      </c>
      <c r="M307" s="380">
        <f>'Basis Options'!Q312</f>
        <v>36921</v>
      </c>
      <c r="N307" t="str">
        <f>'Basis Options'!F312</f>
        <v>C</v>
      </c>
      <c r="O307">
        <f>'Basis Options'!I312</f>
        <v>2.5</v>
      </c>
      <c r="P307">
        <v>0</v>
      </c>
      <c r="Q307">
        <v>0</v>
      </c>
      <c r="R307">
        <v>0</v>
      </c>
      <c r="S307">
        <v>0</v>
      </c>
      <c r="T307" t="s">
        <v>253</v>
      </c>
      <c r="U307" t="str">
        <f>IF('Basis Options'!D312="NGI/CHI. GATE","""NGI/CHI. GATE""",TRIM('Basis Options'!D312))</f>
        <v>IF-TRANSCO/Z6</v>
      </c>
      <c r="V307" t="s">
        <v>253</v>
      </c>
      <c r="W307" t="s">
        <v>132</v>
      </c>
      <c r="X307" t="s">
        <v>253</v>
      </c>
      <c r="Y307" t="s">
        <v>235</v>
      </c>
      <c r="Z307" t="s">
        <v>236</v>
      </c>
      <c r="AA307" t="s">
        <v>253</v>
      </c>
      <c r="AB307" t="s">
        <v>1</v>
      </c>
      <c r="AC307" s="235">
        <f>'Basis Options'!H312</f>
        <v>280000</v>
      </c>
      <c r="AD307" s="235">
        <f>'Basis Options'!W312</f>
        <v>23100.748749014747</v>
      </c>
      <c r="AE307">
        <v>0</v>
      </c>
      <c r="AF307">
        <v>0</v>
      </c>
      <c r="AG307">
        <v>0</v>
      </c>
      <c r="AH307" s="235">
        <f>'Basis Options'!CD312</f>
        <v>0</v>
      </c>
      <c r="AI307">
        <v>226</v>
      </c>
      <c r="AJ307" t="s">
        <v>256</v>
      </c>
      <c r="AK307">
        <v>0</v>
      </c>
      <c r="AL307">
        <v>0</v>
      </c>
      <c r="AM307">
        <v>0</v>
      </c>
    </row>
    <row r="308" spans="1:39" x14ac:dyDescent="0.25">
      <c r="A308" t="s">
        <v>233</v>
      </c>
      <c r="B308" t="str">
        <f>'Basis Options'!C313</f>
        <v>NL8419.2</v>
      </c>
      <c r="C308" t="s">
        <v>255</v>
      </c>
      <c r="D308" t="s">
        <v>234</v>
      </c>
      <c r="E308" t="s">
        <v>20</v>
      </c>
      <c r="F308" t="str">
        <f>'Basis Options'!A313</f>
        <v>DYNEGYMARAND</v>
      </c>
      <c r="G308" t="s">
        <v>269</v>
      </c>
      <c r="H308" t="s">
        <v>254</v>
      </c>
      <c r="I308" t="s">
        <v>242</v>
      </c>
      <c r="J308" t="s">
        <v>235</v>
      </c>
      <c r="K308" s="380">
        <f>'Basis Options'!G313</f>
        <v>36892</v>
      </c>
      <c r="L308" s="235">
        <f>'Basis Options'!U313</f>
        <v>164060.71760884023</v>
      </c>
      <c r="M308" s="380">
        <f>'Basis Options'!Q313</f>
        <v>36888</v>
      </c>
      <c r="N308" t="str">
        <f>'Basis Options'!F313</f>
        <v>C</v>
      </c>
      <c r="O308">
        <f>'Basis Options'!I313</f>
        <v>2.5</v>
      </c>
      <c r="P308">
        <v>0</v>
      </c>
      <c r="Q308">
        <v>0</v>
      </c>
      <c r="R308">
        <v>0</v>
      </c>
      <c r="S308">
        <v>0</v>
      </c>
      <c r="T308" t="s">
        <v>253</v>
      </c>
      <c r="U308" t="str">
        <f>IF('Basis Options'!D313="NGI/CHI. GATE","""NGI/CHI. GATE""",TRIM('Basis Options'!D313))</f>
        <v>IF-TRANSCO/Z6</v>
      </c>
      <c r="V308" t="s">
        <v>253</v>
      </c>
      <c r="W308" t="s">
        <v>132</v>
      </c>
      <c r="X308" t="s">
        <v>253</v>
      </c>
      <c r="Y308" t="s">
        <v>235</v>
      </c>
      <c r="Z308" t="s">
        <v>236</v>
      </c>
      <c r="AA308" t="s">
        <v>253</v>
      </c>
      <c r="AB308" t="s">
        <v>1</v>
      </c>
      <c r="AC308" s="235">
        <f>'Basis Options'!H313</f>
        <v>310000</v>
      </c>
      <c r="AD308" s="235">
        <f>'Basis Options'!W313</f>
        <v>23575.347550817518</v>
      </c>
      <c r="AE308">
        <v>0</v>
      </c>
      <c r="AF308">
        <v>0</v>
      </c>
      <c r="AG308">
        <v>0</v>
      </c>
      <c r="AH308" s="235">
        <f>'Basis Options'!CD313</f>
        <v>0</v>
      </c>
      <c r="AI308">
        <v>226</v>
      </c>
      <c r="AJ308" t="s">
        <v>256</v>
      </c>
      <c r="AK308">
        <v>0</v>
      </c>
      <c r="AL308">
        <v>0</v>
      </c>
      <c r="AM308">
        <v>0</v>
      </c>
    </row>
    <row r="309" spans="1:39" x14ac:dyDescent="0.25">
      <c r="A309" t="s">
        <v>233</v>
      </c>
      <c r="B309" t="str">
        <f>'Basis Options'!C314</f>
        <v>NL8419.2</v>
      </c>
      <c r="C309" t="s">
        <v>255</v>
      </c>
      <c r="D309" t="s">
        <v>234</v>
      </c>
      <c r="E309" t="s">
        <v>20</v>
      </c>
      <c r="F309" t="str">
        <f>'Basis Options'!A314</f>
        <v>DYNEGYMARAND</v>
      </c>
      <c r="G309" t="s">
        <v>269</v>
      </c>
      <c r="H309" t="s">
        <v>254</v>
      </c>
      <c r="I309" t="s">
        <v>242</v>
      </c>
      <c r="J309" t="s">
        <v>235</v>
      </c>
      <c r="K309" s="380">
        <f>'Basis Options'!G314</f>
        <v>36861</v>
      </c>
      <c r="L309" s="235">
        <f>'Basis Options'!U314</f>
        <v>76009.775349434567</v>
      </c>
      <c r="M309" s="380">
        <f>'Basis Options'!Q314</f>
        <v>36859</v>
      </c>
      <c r="N309" t="str">
        <f>'Basis Options'!F314</f>
        <v>C</v>
      </c>
      <c r="O309">
        <f>'Basis Options'!I314</f>
        <v>2.5</v>
      </c>
      <c r="P309">
        <v>0</v>
      </c>
      <c r="Q309">
        <v>0</v>
      </c>
      <c r="R309">
        <v>0</v>
      </c>
      <c r="S309">
        <v>0</v>
      </c>
      <c r="T309" t="s">
        <v>253</v>
      </c>
      <c r="U309" t="str">
        <f>IF('Basis Options'!D314="NGI/CHI. GATE","""NGI/CHI. GATE""",TRIM('Basis Options'!D314))</f>
        <v>IF-TRANSCO/Z6</v>
      </c>
      <c r="V309" t="s">
        <v>253</v>
      </c>
      <c r="W309" t="s">
        <v>132</v>
      </c>
      <c r="X309" t="s">
        <v>253</v>
      </c>
      <c r="Y309" t="s">
        <v>235</v>
      </c>
      <c r="Z309" t="s">
        <v>236</v>
      </c>
      <c r="AA309" t="s">
        <v>253</v>
      </c>
      <c r="AB309" t="s">
        <v>1</v>
      </c>
      <c r="AC309" s="235">
        <f>'Basis Options'!H314</f>
        <v>310000</v>
      </c>
      <c r="AD309" s="235">
        <f>'Basis Options'!W314</f>
        <v>17861.132428299388</v>
      </c>
      <c r="AE309">
        <v>0</v>
      </c>
      <c r="AF309">
        <v>0</v>
      </c>
      <c r="AG309">
        <v>0</v>
      </c>
      <c r="AH309" s="235">
        <f>'Basis Options'!CD314</f>
        <v>0</v>
      </c>
      <c r="AI309">
        <v>226</v>
      </c>
      <c r="AJ309" t="s">
        <v>256</v>
      </c>
      <c r="AK309">
        <v>0</v>
      </c>
      <c r="AL309">
        <v>0</v>
      </c>
      <c r="AM309">
        <v>0</v>
      </c>
    </row>
    <row r="310" spans="1:39" x14ac:dyDescent="0.25">
      <c r="A310" t="s">
        <v>233</v>
      </c>
      <c r="B310" t="str">
        <f>'Basis Options'!C315</f>
        <v>NL8419.2</v>
      </c>
      <c r="C310" t="s">
        <v>255</v>
      </c>
      <c r="D310" t="s">
        <v>234</v>
      </c>
      <c r="E310" t="s">
        <v>20</v>
      </c>
      <c r="F310" t="str">
        <f>'Basis Options'!A315</f>
        <v>DYNEGYMARAND</v>
      </c>
      <c r="G310" t="s">
        <v>269</v>
      </c>
      <c r="H310" t="s">
        <v>254</v>
      </c>
      <c r="I310" t="s">
        <v>242</v>
      </c>
      <c r="J310" t="s">
        <v>235</v>
      </c>
      <c r="K310" s="380">
        <f>'Basis Options'!G315</f>
        <v>36831</v>
      </c>
      <c r="L310" s="235">
        <f>'Basis Options'!U315</f>
        <v>1833.4777870595233</v>
      </c>
      <c r="M310" s="380">
        <f>'Basis Options'!Q315</f>
        <v>36829</v>
      </c>
      <c r="N310" t="str">
        <f>'Basis Options'!F315</f>
        <v>C</v>
      </c>
      <c r="O310">
        <f>'Basis Options'!I315</f>
        <v>2.5</v>
      </c>
      <c r="P310">
        <v>0</v>
      </c>
      <c r="Q310">
        <v>0</v>
      </c>
      <c r="R310">
        <v>0</v>
      </c>
      <c r="S310">
        <v>0</v>
      </c>
      <c r="T310" t="s">
        <v>253</v>
      </c>
      <c r="U310" t="str">
        <f>IF('Basis Options'!D315="NGI/CHI. GATE","""NGI/CHI. GATE""",TRIM('Basis Options'!D315))</f>
        <v>IF-TRANSCO/Z6</v>
      </c>
      <c r="V310" t="s">
        <v>253</v>
      </c>
      <c r="W310" t="s">
        <v>132</v>
      </c>
      <c r="X310" t="s">
        <v>253</v>
      </c>
      <c r="Y310" t="s">
        <v>235</v>
      </c>
      <c r="Z310" t="s">
        <v>236</v>
      </c>
      <c r="AA310" t="s">
        <v>253</v>
      </c>
      <c r="AB310" t="s">
        <v>1</v>
      </c>
      <c r="AC310" s="235">
        <f>'Basis Options'!H315</f>
        <v>300000</v>
      </c>
      <c r="AD310" s="235">
        <f>'Basis Options'!W315</f>
        <v>1506.0550493340679</v>
      </c>
      <c r="AE310">
        <v>0</v>
      </c>
      <c r="AF310">
        <v>0</v>
      </c>
      <c r="AG310">
        <v>0</v>
      </c>
      <c r="AH310" s="235">
        <f>'Basis Options'!CD315</f>
        <v>0</v>
      </c>
      <c r="AI310">
        <v>226</v>
      </c>
      <c r="AJ310" t="s">
        <v>256</v>
      </c>
      <c r="AK310">
        <v>0</v>
      </c>
      <c r="AL310">
        <v>0</v>
      </c>
      <c r="AM310">
        <v>0</v>
      </c>
    </row>
    <row r="311" spans="1:39" x14ac:dyDescent="0.25">
      <c r="A311" t="s">
        <v>233</v>
      </c>
      <c r="B311" t="str">
        <f>'Basis Options'!C316</f>
        <v>NL9178</v>
      </c>
      <c r="C311" t="s">
        <v>255</v>
      </c>
      <c r="D311" t="s">
        <v>234</v>
      </c>
      <c r="E311" t="s">
        <v>20</v>
      </c>
      <c r="F311" t="str">
        <f>'Basis Options'!A316</f>
        <v>SMALLVENUSA</v>
      </c>
      <c r="G311" t="s">
        <v>269</v>
      </c>
      <c r="H311" t="s">
        <v>254</v>
      </c>
      <c r="I311" t="s">
        <v>242</v>
      </c>
      <c r="J311" t="s">
        <v>235</v>
      </c>
      <c r="K311" s="380">
        <f>'Basis Options'!G316</f>
        <v>36951</v>
      </c>
      <c r="L311" s="235">
        <f>'Basis Options'!U316</f>
        <v>102446.46957154882</v>
      </c>
      <c r="M311" s="380">
        <f>'Basis Options'!Q316</f>
        <v>36949</v>
      </c>
      <c r="N311" t="str">
        <f>'Basis Options'!F316</f>
        <v>P</v>
      </c>
      <c r="O311">
        <f>'Basis Options'!I316</f>
        <v>0.4</v>
      </c>
      <c r="P311">
        <v>0</v>
      </c>
      <c r="Q311">
        <v>0</v>
      </c>
      <c r="R311">
        <v>0</v>
      </c>
      <c r="S311">
        <v>0</v>
      </c>
      <c r="T311" t="s">
        <v>253</v>
      </c>
      <c r="U311" t="str">
        <f>IF('Basis Options'!D316="NGI/CHI. GATE","""NGI/CHI. GATE""",TRIM('Basis Options'!D316))</f>
        <v>IF-TRANSCO/Z6</v>
      </c>
      <c r="V311" t="s">
        <v>253</v>
      </c>
      <c r="W311" t="s">
        <v>132</v>
      </c>
      <c r="X311" t="s">
        <v>253</v>
      </c>
      <c r="Y311" t="s">
        <v>235</v>
      </c>
      <c r="Z311" t="s">
        <v>236</v>
      </c>
      <c r="AA311" t="s">
        <v>253</v>
      </c>
      <c r="AB311" t="s">
        <v>1</v>
      </c>
      <c r="AC311" s="235">
        <f>'Basis Options'!H316</f>
        <v>500000</v>
      </c>
      <c r="AD311" s="235">
        <f>'Basis Options'!W316</f>
        <v>39208.77175941717</v>
      </c>
      <c r="AE311">
        <v>0</v>
      </c>
      <c r="AF311">
        <v>0</v>
      </c>
      <c r="AG311">
        <v>0</v>
      </c>
      <c r="AH311" s="235">
        <f>'Basis Options'!CD316</f>
        <v>0</v>
      </c>
      <c r="AI311">
        <v>226</v>
      </c>
      <c r="AJ311" t="s">
        <v>256</v>
      </c>
      <c r="AK311">
        <v>0</v>
      </c>
      <c r="AL311">
        <v>0</v>
      </c>
      <c r="AM311">
        <v>0</v>
      </c>
    </row>
    <row r="312" spans="1:39" x14ac:dyDescent="0.25">
      <c r="A312" t="s">
        <v>233</v>
      </c>
      <c r="B312" t="str">
        <f>'Basis Options'!C317</f>
        <v>NL9178</v>
      </c>
      <c r="C312" t="s">
        <v>255</v>
      </c>
      <c r="D312" t="s">
        <v>234</v>
      </c>
      <c r="E312" t="s">
        <v>20</v>
      </c>
      <c r="F312" t="str">
        <f>'Basis Options'!A317</f>
        <v>SMALLVENUSA</v>
      </c>
      <c r="G312" t="s">
        <v>269</v>
      </c>
      <c r="H312" t="s">
        <v>254</v>
      </c>
      <c r="I312" t="s">
        <v>242</v>
      </c>
      <c r="J312" t="s">
        <v>235</v>
      </c>
      <c r="K312" s="380">
        <f>'Basis Options'!G317</f>
        <v>36923</v>
      </c>
      <c r="L312" s="235">
        <f>'Basis Options'!U317</f>
        <v>37710.725819868698</v>
      </c>
      <c r="M312" s="380">
        <f>'Basis Options'!Q317</f>
        <v>36921</v>
      </c>
      <c r="N312" t="str">
        <f>'Basis Options'!F317</f>
        <v>P</v>
      </c>
      <c r="O312">
        <f>'Basis Options'!I317</f>
        <v>0.4</v>
      </c>
      <c r="P312">
        <v>0</v>
      </c>
      <c r="Q312">
        <v>0</v>
      </c>
      <c r="R312">
        <v>0</v>
      </c>
      <c r="S312">
        <v>0</v>
      </c>
      <c r="T312" t="s">
        <v>253</v>
      </c>
      <c r="U312" t="str">
        <f>IF('Basis Options'!D317="NGI/CHI. GATE","""NGI/CHI. GATE""",TRIM('Basis Options'!D317))</f>
        <v>IF-TRANSCO/Z6</v>
      </c>
      <c r="V312" t="s">
        <v>253</v>
      </c>
      <c r="W312" t="s">
        <v>132</v>
      </c>
      <c r="X312" t="s">
        <v>253</v>
      </c>
      <c r="Y312" t="s">
        <v>235</v>
      </c>
      <c r="Z312" t="s">
        <v>236</v>
      </c>
      <c r="AA312" t="s">
        <v>253</v>
      </c>
      <c r="AB312" t="s">
        <v>1</v>
      </c>
      <c r="AC312" s="235">
        <f>'Basis Options'!H317</f>
        <v>500000</v>
      </c>
      <c r="AD312" s="235">
        <f>'Basis Options'!W317</f>
        <v>23023.020936487716</v>
      </c>
      <c r="AE312">
        <v>0</v>
      </c>
      <c r="AF312">
        <v>0</v>
      </c>
      <c r="AG312">
        <v>0</v>
      </c>
      <c r="AH312" s="235">
        <f>'Basis Options'!CD317</f>
        <v>0</v>
      </c>
      <c r="AI312">
        <v>226</v>
      </c>
      <c r="AJ312" t="s">
        <v>256</v>
      </c>
      <c r="AK312">
        <v>0</v>
      </c>
      <c r="AL312">
        <v>0</v>
      </c>
      <c r="AM312">
        <v>0</v>
      </c>
    </row>
    <row r="313" spans="1:39" x14ac:dyDescent="0.25">
      <c r="A313" t="s">
        <v>233</v>
      </c>
      <c r="B313" t="str">
        <f>'Basis Options'!C318</f>
        <v>NL9178</v>
      </c>
      <c r="C313" t="s">
        <v>255</v>
      </c>
      <c r="D313" t="s">
        <v>234</v>
      </c>
      <c r="E313" t="s">
        <v>20</v>
      </c>
      <c r="F313" t="str">
        <f>'Basis Options'!A318</f>
        <v>SMALLVENUSA</v>
      </c>
      <c r="G313" t="s">
        <v>269</v>
      </c>
      <c r="H313" t="s">
        <v>254</v>
      </c>
      <c r="I313" t="s">
        <v>242</v>
      </c>
      <c r="J313" t="s">
        <v>235</v>
      </c>
      <c r="K313" s="380">
        <f>'Basis Options'!G318</f>
        <v>36892</v>
      </c>
      <c r="L313" s="235">
        <f>'Basis Options'!U318</f>
        <v>28271.844711251408</v>
      </c>
      <c r="M313" s="380">
        <f>'Basis Options'!Q318</f>
        <v>36888</v>
      </c>
      <c r="N313" t="str">
        <f>'Basis Options'!F318</f>
        <v>P</v>
      </c>
      <c r="O313">
        <f>'Basis Options'!I318</f>
        <v>0.4</v>
      </c>
      <c r="P313">
        <v>0</v>
      </c>
      <c r="Q313">
        <v>0</v>
      </c>
      <c r="R313">
        <v>0</v>
      </c>
      <c r="S313">
        <v>0</v>
      </c>
      <c r="T313" t="s">
        <v>253</v>
      </c>
      <c r="U313" t="str">
        <f>IF('Basis Options'!D318="NGI/CHI. GATE","""NGI/CHI. GATE""",TRIM('Basis Options'!D318))</f>
        <v>IF-TRANSCO/Z6</v>
      </c>
      <c r="V313" t="s">
        <v>253</v>
      </c>
      <c r="W313" t="s">
        <v>132</v>
      </c>
      <c r="X313" t="s">
        <v>253</v>
      </c>
      <c r="Y313" t="s">
        <v>235</v>
      </c>
      <c r="Z313" t="s">
        <v>236</v>
      </c>
      <c r="AA313" t="s">
        <v>253</v>
      </c>
      <c r="AB313" t="s">
        <v>1</v>
      </c>
      <c r="AC313" s="235">
        <f>'Basis Options'!H318</f>
        <v>500000</v>
      </c>
      <c r="AD313" s="235">
        <f>'Basis Options'!W318</f>
        <v>18110.107358086767</v>
      </c>
      <c r="AE313">
        <v>0</v>
      </c>
      <c r="AF313">
        <v>0</v>
      </c>
      <c r="AG313">
        <v>0</v>
      </c>
      <c r="AH313" s="235">
        <f>'Basis Options'!CD318</f>
        <v>0</v>
      </c>
      <c r="AI313">
        <v>226</v>
      </c>
      <c r="AJ313" t="s">
        <v>256</v>
      </c>
      <c r="AK313">
        <v>0</v>
      </c>
      <c r="AL313">
        <v>0</v>
      </c>
      <c r="AM313">
        <v>0</v>
      </c>
    </row>
    <row r="314" spans="1:39" x14ac:dyDescent="0.25">
      <c r="A314" t="s">
        <v>233</v>
      </c>
      <c r="B314" t="str">
        <f>'Basis Options'!C319</f>
        <v>NL9178</v>
      </c>
      <c r="C314" t="s">
        <v>255</v>
      </c>
      <c r="D314" t="s">
        <v>234</v>
      </c>
      <c r="E314" t="s">
        <v>20</v>
      </c>
      <c r="F314" t="str">
        <f>'Basis Options'!A319</f>
        <v>SMALLVENUSA</v>
      </c>
      <c r="G314" t="s">
        <v>269</v>
      </c>
      <c r="H314" t="s">
        <v>254</v>
      </c>
      <c r="I314" t="s">
        <v>242</v>
      </c>
      <c r="J314" t="s">
        <v>235</v>
      </c>
      <c r="K314" s="380">
        <f>'Basis Options'!G319</f>
        <v>36861</v>
      </c>
      <c r="L314" s="235">
        <f>'Basis Options'!U319</f>
        <v>36944.280596809513</v>
      </c>
      <c r="M314" s="380">
        <f>'Basis Options'!Q319</f>
        <v>36859</v>
      </c>
      <c r="N314" t="str">
        <f>'Basis Options'!F319</f>
        <v>P</v>
      </c>
      <c r="O314">
        <f>'Basis Options'!I319</f>
        <v>0.4</v>
      </c>
      <c r="P314">
        <v>0</v>
      </c>
      <c r="Q314">
        <v>0</v>
      </c>
      <c r="R314">
        <v>0</v>
      </c>
      <c r="S314">
        <v>0</v>
      </c>
      <c r="T314" t="s">
        <v>253</v>
      </c>
      <c r="U314" t="str">
        <f>IF('Basis Options'!D319="NGI/CHI. GATE","""NGI/CHI. GATE""",TRIM('Basis Options'!D319))</f>
        <v>IF-TRANSCO/Z6</v>
      </c>
      <c r="V314" t="s">
        <v>253</v>
      </c>
      <c r="W314" t="s">
        <v>132</v>
      </c>
      <c r="X314" t="s">
        <v>253</v>
      </c>
      <c r="Y314" t="s">
        <v>235</v>
      </c>
      <c r="Z314" t="s">
        <v>236</v>
      </c>
      <c r="AA314" t="s">
        <v>253</v>
      </c>
      <c r="AB314" t="s">
        <v>1</v>
      </c>
      <c r="AC314" s="235">
        <f>'Basis Options'!H319</f>
        <v>500000</v>
      </c>
      <c r="AD314" s="235">
        <f>'Basis Options'!W319</f>
        <v>20348.9783384287</v>
      </c>
      <c r="AE314">
        <v>0</v>
      </c>
      <c r="AF314">
        <v>0</v>
      </c>
      <c r="AG314">
        <v>0</v>
      </c>
      <c r="AH314" s="235">
        <f>'Basis Options'!CD319</f>
        <v>0</v>
      </c>
      <c r="AI314">
        <v>226</v>
      </c>
      <c r="AJ314" t="s">
        <v>256</v>
      </c>
      <c r="AK314">
        <v>0</v>
      </c>
      <c r="AL314">
        <v>0</v>
      </c>
      <c r="AM314">
        <v>0</v>
      </c>
    </row>
    <row r="315" spans="1:39" x14ac:dyDescent="0.25">
      <c r="A315" t="s">
        <v>233</v>
      </c>
      <c r="B315" t="str">
        <f>'Basis Options'!C320</f>
        <v>NL9178</v>
      </c>
      <c r="C315" t="s">
        <v>255</v>
      </c>
      <c r="D315" t="s">
        <v>234</v>
      </c>
      <c r="E315" t="s">
        <v>20</v>
      </c>
      <c r="F315" t="str">
        <f>'Basis Options'!A320</f>
        <v>SMALLVENUSA</v>
      </c>
      <c r="G315" t="s">
        <v>269</v>
      </c>
      <c r="H315" t="s">
        <v>254</v>
      </c>
      <c r="I315" t="s">
        <v>242</v>
      </c>
      <c r="J315" t="s">
        <v>235</v>
      </c>
      <c r="K315" s="380">
        <f>'Basis Options'!G320</f>
        <v>36831</v>
      </c>
      <c r="L315" s="235">
        <f>'Basis Options'!U320</f>
        <v>52715.139384643087</v>
      </c>
      <c r="M315" s="380">
        <f>'Basis Options'!Q320</f>
        <v>36829</v>
      </c>
      <c r="N315" t="str">
        <f>'Basis Options'!F320</f>
        <v>P</v>
      </c>
      <c r="O315">
        <f>'Basis Options'!I320</f>
        <v>0.4</v>
      </c>
      <c r="P315">
        <v>0</v>
      </c>
      <c r="Q315">
        <v>0</v>
      </c>
      <c r="R315">
        <v>0</v>
      </c>
      <c r="S315">
        <v>0</v>
      </c>
      <c r="T315" t="s">
        <v>253</v>
      </c>
      <c r="U315" t="str">
        <f>IF('Basis Options'!D320="NGI/CHI. GATE","""NGI/CHI. GATE""",TRIM('Basis Options'!D320))</f>
        <v>IF-TRANSCO/Z6</v>
      </c>
      <c r="V315" t="s">
        <v>253</v>
      </c>
      <c r="W315" t="s">
        <v>132</v>
      </c>
      <c r="X315" t="s">
        <v>253</v>
      </c>
      <c r="Y315" t="s">
        <v>235</v>
      </c>
      <c r="Z315" t="s">
        <v>236</v>
      </c>
      <c r="AA315" t="s">
        <v>253</v>
      </c>
      <c r="AB315" t="s">
        <v>1</v>
      </c>
      <c r="AC315" s="235">
        <f>'Basis Options'!H320</f>
        <v>500000</v>
      </c>
      <c r="AD315" s="235">
        <f>'Basis Options'!W320</f>
        <v>19333.503051376814</v>
      </c>
      <c r="AE315">
        <v>0</v>
      </c>
      <c r="AF315">
        <v>0</v>
      </c>
      <c r="AG315">
        <v>0</v>
      </c>
      <c r="AH315" s="235">
        <f>'Basis Options'!CD320</f>
        <v>0</v>
      </c>
      <c r="AI315">
        <v>226</v>
      </c>
      <c r="AJ315" t="s">
        <v>256</v>
      </c>
      <c r="AK315">
        <v>0</v>
      </c>
      <c r="AL315">
        <v>0</v>
      </c>
      <c r="AM315">
        <v>0</v>
      </c>
    </row>
    <row r="316" spans="1:39" x14ac:dyDescent="0.25">
      <c r="A316" t="s">
        <v>233</v>
      </c>
      <c r="B316" t="str">
        <f>'Basis Options'!C321</f>
        <v>NM2053.1</v>
      </c>
      <c r="C316" t="s">
        <v>255</v>
      </c>
      <c r="D316" t="s">
        <v>234</v>
      </c>
      <c r="E316" t="s">
        <v>20</v>
      </c>
      <c r="F316" t="str">
        <f>'Basis Options'!A321</f>
        <v>ELPASMER</v>
      </c>
      <c r="G316" t="s">
        <v>269</v>
      </c>
      <c r="H316" t="s">
        <v>254</v>
      </c>
      <c r="I316" t="s">
        <v>242</v>
      </c>
      <c r="J316" t="s">
        <v>235</v>
      </c>
      <c r="K316" s="380">
        <f>'Basis Options'!G321</f>
        <v>36951</v>
      </c>
      <c r="L316" s="235">
        <f>'Basis Options'!U321</f>
        <v>-151311.60440845016</v>
      </c>
      <c r="M316" s="380">
        <f>'Basis Options'!Q321</f>
        <v>36949</v>
      </c>
      <c r="N316" t="str">
        <f>'Basis Options'!F321</f>
        <v>C</v>
      </c>
      <c r="O316">
        <f>'Basis Options'!I321</f>
        <v>1.7</v>
      </c>
      <c r="P316">
        <v>0</v>
      </c>
      <c r="Q316">
        <v>0</v>
      </c>
      <c r="R316">
        <v>0</v>
      </c>
      <c r="S316">
        <v>0</v>
      </c>
      <c r="T316" t="s">
        <v>253</v>
      </c>
      <c r="U316" t="str">
        <f>IF('Basis Options'!D321="NGI/CHI. GATE","""NGI/CHI. GATE""",TRIM('Basis Options'!D321))</f>
        <v>IF-TRANSCO/Z6</v>
      </c>
      <c r="V316" t="s">
        <v>253</v>
      </c>
      <c r="W316" t="s">
        <v>132</v>
      </c>
      <c r="X316" t="s">
        <v>253</v>
      </c>
      <c r="Y316" t="s">
        <v>235</v>
      </c>
      <c r="Z316" t="s">
        <v>236</v>
      </c>
      <c r="AA316" t="s">
        <v>253</v>
      </c>
      <c r="AB316" t="s">
        <v>1</v>
      </c>
      <c r="AC316" s="235">
        <f>'Basis Options'!H321</f>
        <v>-500000</v>
      </c>
      <c r="AD316" s="235">
        <f>'Basis Options'!W321</f>
        <v>-39206.15451716297</v>
      </c>
      <c r="AE316">
        <v>0</v>
      </c>
      <c r="AF316">
        <v>0</v>
      </c>
      <c r="AG316">
        <v>0</v>
      </c>
      <c r="AH316" s="235">
        <f>'Basis Options'!CD321</f>
        <v>0</v>
      </c>
      <c r="AI316">
        <v>226</v>
      </c>
      <c r="AJ316" t="s">
        <v>256</v>
      </c>
      <c r="AK316">
        <v>0</v>
      </c>
      <c r="AL316">
        <v>0</v>
      </c>
      <c r="AM316">
        <v>0</v>
      </c>
    </row>
    <row r="317" spans="1:39" x14ac:dyDescent="0.25">
      <c r="A317" t="s">
        <v>233</v>
      </c>
      <c r="B317" t="str">
        <f>'Basis Options'!C322</f>
        <v>NM2053.2</v>
      </c>
      <c r="C317" t="s">
        <v>255</v>
      </c>
      <c r="D317" t="s">
        <v>234</v>
      </c>
      <c r="E317" t="s">
        <v>20</v>
      </c>
      <c r="F317" t="str">
        <f>'Basis Options'!A322</f>
        <v>ELPASMER</v>
      </c>
      <c r="G317" t="s">
        <v>269</v>
      </c>
      <c r="H317" t="s">
        <v>254</v>
      </c>
      <c r="I317" t="s">
        <v>242</v>
      </c>
      <c r="J317" t="s">
        <v>235</v>
      </c>
      <c r="K317" s="380">
        <f>'Basis Options'!G322</f>
        <v>36951</v>
      </c>
      <c r="L317" s="235">
        <f>'Basis Options'!U322</f>
        <v>156600.34057175656</v>
      </c>
      <c r="M317" s="380">
        <f>'Basis Options'!Q322</f>
        <v>36949</v>
      </c>
      <c r="N317" t="str">
        <f>'Basis Options'!F322</f>
        <v>C</v>
      </c>
      <c r="O317">
        <f>'Basis Options'!I322</f>
        <v>2.5</v>
      </c>
      <c r="P317">
        <v>0</v>
      </c>
      <c r="Q317">
        <v>0</v>
      </c>
      <c r="R317">
        <v>0</v>
      </c>
      <c r="S317">
        <v>0</v>
      </c>
      <c r="T317" t="s">
        <v>253</v>
      </c>
      <c r="U317" t="str">
        <f>IF('Basis Options'!D322="NGI/CHI. GATE","""NGI/CHI. GATE""",TRIM('Basis Options'!D322))</f>
        <v>IF-TRANSCO/Z6</v>
      </c>
      <c r="V317" t="s">
        <v>253</v>
      </c>
      <c r="W317" t="s">
        <v>132</v>
      </c>
      <c r="X317" t="s">
        <v>253</v>
      </c>
      <c r="Y317" t="s">
        <v>235</v>
      </c>
      <c r="Z317" t="s">
        <v>236</v>
      </c>
      <c r="AA317" t="s">
        <v>253</v>
      </c>
      <c r="AB317" t="s">
        <v>1</v>
      </c>
      <c r="AC317" s="235">
        <f>'Basis Options'!H322</f>
        <v>1000000</v>
      </c>
      <c r="AD317" s="235">
        <f>'Basis Options'!W322</f>
        <v>57037.845049817261</v>
      </c>
      <c r="AE317">
        <v>0</v>
      </c>
      <c r="AF317">
        <v>0</v>
      </c>
      <c r="AG317">
        <v>0</v>
      </c>
      <c r="AH317" s="235">
        <f>'Basis Options'!CD322</f>
        <v>0</v>
      </c>
      <c r="AI317">
        <v>226</v>
      </c>
      <c r="AJ317" t="s">
        <v>256</v>
      </c>
      <c r="AK317">
        <v>0</v>
      </c>
      <c r="AL317">
        <v>0</v>
      </c>
      <c r="AM317">
        <v>0</v>
      </c>
    </row>
    <row r="318" spans="1:39" x14ac:dyDescent="0.25">
      <c r="A318" t="s">
        <v>233</v>
      </c>
      <c r="B318" t="str">
        <f>'Basis Options'!C323</f>
        <v>NM2063.1</v>
      </c>
      <c r="C318" t="s">
        <v>255</v>
      </c>
      <c r="D318" t="s">
        <v>234</v>
      </c>
      <c r="E318" t="s">
        <v>20</v>
      </c>
      <c r="F318" t="str">
        <f>'Basis Options'!A323</f>
        <v>ELPASMER</v>
      </c>
      <c r="G318" t="s">
        <v>269</v>
      </c>
      <c r="H318" t="s">
        <v>254</v>
      </c>
      <c r="I318" t="s">
        <v>242</v>
      </c>
      <c r="J318" t="s">
        <v>235</v>
      </c>
      <c r="K318" s="380">
        <f>'Basis Options'!G323</f>
        <v>36951</v>
      </c>
      <c r="L318" s="235">
        <f>'Basis Options'!U323</f>
        <v>-906535.88185534568</v>
      </c>
      <c r="M318" s="380">
        <f>'Basis Options'!Q323</f>
        <v>36949</v>
      </c>
      <c r="N318" t="str">
        <f>'Basis Options'!F323</f>
        <v>P</v>
      </c>
      <c r="O318">
        <f>'Basis Options'!I323</f>
        <v>1.7</v>
      </c>
      <c r="P318">
        <v>0</v>
      </c>
      <c r="Q318">
        <v>0</v>
      </c>
      <c r="R318">
        <v>0</v>
      </c>
      <c r="S318">
        <v>0</v>
      </c>
      <c r="T318" t="s">
        <v>253</v>
      </c>
      <c r="U318" t="str">
        <f>IF('Basis Options'!D323="NGI/CHI. GATE","""NGI/CHI. GATE""",TRIM('Basis Options'!D323))</f>
        <v>IF-TRANSCO/Z6</v>
      </c>
      <c r="V318" t="s">
        <v>253</v>
      </c>
      <c r="W318" t="s">
        <v>132</v>
      </c>
      <c r="X318" t="s">
        <v>253</v>
      </c>
      <c r="Y318" t="s">
        <v>235</v>
      </c>
      <c r="Z318" t="s">
        <v>236</v>
      </c>
      <c r="AA318" t="s">
        <v>253</v>
      </c>
      <c r="AB318" t="s">
        <v>1</v>
      </c>
      <c r="AC318" s="235">
        <f>'Basis Options'!H323</f>
        <v>-1000000</v>
      </c>
      <c r="AD318" s="235">
        <f>'Basis Options'!W323</f>
        <v>-78412.309034325765</v>
      </c>
      <c r="AE318">
        <v>0</v>
      </c>
      <c r="AF318">
        <v>0</v>
      </c>
      <c r="AG318">
        <v>0</v>
      </c>
      <c r="AH318" s="235">
        <f>'Basis Options'!CD323</f>
        <v>0</v>
      </c>
      <c r="AI318">
        <v>226</v>
      </c>
      <c r="AJ318" t="s">
        <v>256</v>
      </c>
      <c r="AK318">
        <v>0</v>
      </c>
      <c r="AL318">
        <v>0</v>
      </c>
      <c r="AM318">
        <v>0</v>
      </c>
    </row>
    <row r="319" spans="1:39" x14ac:dyDescent="0.25">
      <c r="A319" t="s">
        <v>233</v>
      </c>
      <c r="B319" t="str">
        <f>'Basis Options'!C324</f>
        <v>NM2063.1</v>
      </c>
      <c r="C319" t="s">
        <v>255</v>
      </c>
      <c r="D319" t="s">
        <v>234</v>
      </c>
      <c r="E319" t="s">
        <v>20</v>
      </c>
      <c r="F319" t="str">
        <f>'Basis Options'!A324</f>
        <v>ELPASMER</v>
      </c>
      <c r="G319" t="s">
        <v>269</v>
      </c>
      <c r="H319" t="s">
        <v>254</v>
      </c>
      <c r="I319" t="s">
        <v>242</v>
      </c>
      <c r="J319" t="s">
        <v>235</v>
      </c>
      <c r="K319" s="380">
        <f>'Basis Options'!G324</f>
        <v>36923</v>
      </c>
      <c r="L319" s="235">
        <f>'Basis Options'!U324</f>
        <v>-475120.54509062506</v>
      </c>
      <c r="M319" s="380">
        <f>'Basis Options'!Q324</f>
        <v>36921</v>
      </c>
      <c r="N319" t="str">
        <f>'Basis Options'!F324</f>
        <v>P</v>
      </c>
      <c r="O319">
        <f>'Basis Options'!I324</f>
        <v>1.7</v>
      </c>
      <c r="P319">
        <v>0</v>
      </c>
      <c r="Q319">
        <v>0</v>
      </c>
      <c r="R319">
        <v>0</v>
      </c>
      <c r="S319">
        <v>0</v>
      </c>
      <c r="T319" t="s">
        <v>253</v>
      </c>
      <c r="U319" t="str">
        <f>IF('Basis Options'!D324="NGI/CHI. GATE","""NGI/CHI. GATE""",TRIM('Basis Options'!D324))</f>
        <v>IF-TRANSCO/Z6</v>
      </c>
      <c r="V319" t="s">
        <v>253</v>
      </c>
      <c r="W319" t="s">
        <v>132</v>
      </c>
      <c r="X319" t="s">
        <v>253</v>
      </c>
      <c r="Y319" t="s">
        <v>235</v>
      </c>
      <c r="Z319" t="s">
        <v>236</v>
      </c>
      <c r="AA319" t="s">
        <v>253</v>
      </c>
      <c r="AB319" t="s">
        <v>1</v>
      </c>
      <c r="AC319" s="235">
        <f>'Basis Options'!H324</f>
        <v>-1000000</v>
      </c>
      <c r="AD319" s="235">
        <f>'Basis Options'!W324</f>
        <v>-84673.329786934017</v>
      </c>
      <c r="AE319">
        <v>0</v>
      </c>
      <c r="AF319">
        <v>0</v>
      </c>
      <c r="AG319">
        <v>0</v>
      </c>
      <c r="AH319" s="235">
        <f>'Basis Options'!CD324</f>
        <v>0</v>
      </c>
      <c r="AI319">
        <v>226</v>
      </c>
      <c r="AJ319" t="s">
        <v>256</v>
      </c>
      <c r="AK319">
        <v>0</v>
      </c>
      <c r="AL319">
        <v>0</v>
      </c>
      <c r="AM319">
        <v>0</v>
      </c>
    </row>
    <row r="320" spans="1:39" x14ac:dyDescent="0.25">
      <c r="A320" t="s">
        <v>233</v>
      </c>
      <c r="B320" t="str">
        <f>'Basis Options'!C325</f>
        <v>NM2063.1</v>
      </c>
      <c r="C320" t="s">
        <v>255</v>
      </c>
      <c r="D320" t="s">
        <v>234</v>
      </c>
      <c r="E320" t="s">
        <v>20</v>
      </c>
      <c r="F320" t="str">
        <f>'Basis Options'!A325</f>
        <v>ELPASMER</v>
      </c>
      <c r="G320" t="s">
        <v>269</v>
      </c>
      <c r="H320" t="s">
        <v>254</v>
      </c>
      <c r="I320" t="s">
        <v>242</v>
      </c>
      <c r="J320" t="s">
        <v>235</v>
      </c>
      <c r="K320" s="380">
        <f>'Basis Options'!G325</f>
        <v>36892</v>
      </c>
      <c r="L320" s="235">
        <f>'Basis Options'!U325</f>
        <v>-412334.58902943833</v>
      </c>
      <c r="M320" s="380">
        <f>'Basis Options'!Q325</f>
        <v>36888</v>
      </c>
      <c r="N320" t="str">
        <f>'Basis Options'!F325</f>
        <v>P</v>
      </c>
      <c r="O320">
        <f>'Basis Options'!I325</f>
        <v>1.7</v>
      </c>
      <c r="P320">
        <v>0</v>
      </c>
      <c r="Q320">
        <v>0</v>
      </c>
      <c r="R320">
        <v>0</v>
      </c>
      <c r="S320">
        <v>0</v>
      </c>
      <c r="T320" t="s">
        <v>253</v>
      </c>
      <c r="U320" t="str">
        <f>IF('Basis Options'!D325="NGI/CHI. GATE","""NGI/CHI. GATE""",TRIM('Basis Options'!D325))</f>
        <v>IF-TRANSCO/Z6</v>
      </c>
      <c r="V320" t="s">
        <v>253</v>
      </c>
      <c r="W320" t="s">
        <v>132</v>
      </c>
      <c r="X320" t="s">
        <v>253</v>
      </c>
      <c r="Y320" t="s">
        <v>235</v>
      </c>
      <c r="Z320" t="s">
        <v>236</v>
      </c>
      <c r="AA320" t="s">
        <v>253</v>
      </c>
      <c r="AB320" t="s">
        <v>1</v>
      </c>
      <c r="AC320" s="235">
        <f>'Basis Options'!H325</f>
        <v>-1000000</v>
      </c>
      <c r="AD320" s="235">
        <f>'Basis Options'!W325</f>
        <v>-76317.708831536933</v>
      </c>
      <c r="AE320">
        <v>0</v>
      </c>
      <c r="AF320">
        <v>0</v>
      </c>
      <c r="AG320">
        <v>0</v>
      </c>
      <c r="AH320" s="235">
        <f>'Basis Options'!CD325</f>
        <v>0</v>
      </c>
      <c r="AI320">
        <v>226</v>
      </c>
      <c r="AJ320" t="s">
        <v>256</v>
      </c>
      <c r="AK320">
        <v>0</v>
      </c>
      <c r="AL320">
        <v>0</v>
      </c>
      <c r="AM320">
        <v>0</v>
      </c>
    </row>
    <row r="321" spans="1:39" x14ac:dyDescent="0.25">
      <c r="A321" t="s">
        <v>233</v>
      </c>
      <c r="B321" t="str">
        <f>'Basis Options'!C326</f>
        <v>NM2063.2</v>
      </c>
      <c r="C321" t="s">
        <v>255</v>
      </c>
      <c r="D321" t="s">
        <v>234</v>
      </c>
      <c r="E321" t="s">
        <v>20</v>
      </c>
      <c r="F321" t="str">
        <f>'Basis Options'!A326</f>
        <v>ELPASMER</v>
      </c>
      <c r="G321" t="s">
        <v>269</v>
      </c>
      <c r="H321" t="s">
        <v>254</v>
      </c>
      <c r="I321" t="s">
        <v>242</v>
      </c>
      <c r="J321" t="s">
        <v>235</v>
      </c>
      <c r="K321" s="380">
        <f>'Basis Options'!G326</f>
        <v>36951</v>
      </c>
      <c r="L321" s="235">
        <f>'Basis Options'!U326</f>
        <v>464232.53044064884</v>
      </c>
      <c r="M321" s="380">
        <f>'Basis Options'!Q326</f>
        <v>36949</v>
      </c>
      <c r="N321" t="str">
        <f>'Basis Options'!F326</f>
        <v>P</v>
      </c>
      <c r="O321">
        <f>'Basis Options'!I326</f>
        <v>1</v>
      </c>
      <c r="P321">
        <v>0</v>
      </c>
      <c r="Q321">
        <v>0</v>
      </c>
      <c r="R321">
        <v>0</v>
      </c>
      <c r="S321">
        <v>0</v>
      </c>
      <c r="T321" t="s">
        <v>253</v>
      </c>
      <c r="U321" t="str">
        <f>IF('Basis Options'!D326="NGI/CHI. GATE","""NGI/CHI. GATE""",TRIM('Basis Options'!D326))</f>
        <v>IF-TRANSCO/Z6</v>
      </c>
      <c r="V321" t="s">
        <v>253</v>
      </c>
      <c r="W321" t="s">
        <v>132</v>
      </c>
      <c r="X321" t="s">
        <v>253</v>
      </c>
      <c r="Y321" t="s">
        <v>235</v>
      </c>
      <c r="Z321" t="s">
        <v>236</v>
      </c>
      <c r="AA321" t="s">
        <v>253</v>
      </c>
      <c r="AB321" t="s">
        <v>1</v>
      </c>
      <c r="AC321" s="235">
        <f>'Basis Options'!H326</f>
        <v>1000000</v>
      </c>
      <c r="AD321" s="235">
        <f>'Basis Options'!W326</f>
        <v>88710.208431903797</v>
      </c>
      <c r="AE321">
        <v>0</v>
      </c>
      <c r="AF321">
        <v>0</v>
      </c>
      <c r="AG321">
        <v>0</v>
      </c>
      <c r="AH321" s="235">
        <f>'Basis Options'!CD326</f>
        <v>0</v>
      </c>
      <c r="AI321">
        <v>226</v>
      </c>
      <c r="AJ321" t="s">
        <v>256</v>
      </c>
      <c r="AK321">
        <v>0</v>
      </c>
      <c r="AL321">
        <v>0</v>
      </c>
      <c r="AM321">
        <v>0</v>
      </c>
    </row>
    <row r="322" spans="1:39" x14ac:dyDescent="0.25">
      <c r="A322" t="s">
        <v>233</v>
      </c>
      <c r="B322" t="str">
        <f>'Basis Options'!C327</f>
        <v>NM2063.2</v>
      </c>
      <c r="C322" t="s">
        <v>255</v>
      </c>
      <c r="D322" t="s">
        <v>234</v>
      </c>
      <c r="E322" t="s">
        <v>20</v>
      </c>
      <c r="F322" t="str">
        <f>'Basis Options'!A327</f>
        <v>ELPASMER</v>
      </c>
      <c r="G322" t="s">
        <v>269</v>
      </c>
      <c r="H322" t="s">
        <v>254</v>
      </c>
      <c r="I322" t="s">
        <v>242</v>
      </c>
      <c r="J322" t="s">
        <v>235</v>
      </c>
      <c r="K322" s="380">
        <f>'Basis Options'!G327</f>
        <v>36923</v>
      </c>
      <c r="L322" s="235">
        <f>'Basis Options'!U327</f>
        <v>203646.53958489365</v>
      </c>
      <c r="M322" s="380">
        <f>'Basis Options'!Q327</f>
        <v>36921</v>
      </c>
      <c r="N322" t="str">
        <f>'Basis Options'!F327</f>
        <v>P</v>
      </c>
      <c r="O322">
        <f>'Basis Options'!I327</f>
        <v>1</v>
      </c>
      <c r="P322">
        <v>0</v>
      </c>
      <c r="Q322">
        <v>0</v>
      </c>
      <c r="R322">
        <v>0</v>
      </c>
      <c r="S322">
        <v>0</v>
      </c>
      <c r="T322" t="s">
        <v>253</v>
      </c>
      <c r="U322" t="str">
        <f>IF('Basis Options'!D327="NGI/CHI. GATE","""NGI/CHI. GATE""",TRIM('Basis Options'!D327))</f>
        <v>IF-TRANSCO/Z6</v>
      </c>
      <c r="V322" t="s">
        <v>253</v>
      </c>
      <c r="W322" t="s">
        <v>132</v>
      </c>
      <c r="X322" t="s">
        <v>253</v>
      </c>
      <c r="Y322" t="s">
        <v>235</v>
      </c>
      <c r="Z322" t="s">
        <v>236</v>
      </c>
      <c r="AA322" t="s">
        <v>253</v>
      </c>
      <c r="AB322" t="s">
        <v>1</v>
      </c>
      <c r="AC322" s="235">
        <f>'Basis Options'!H327</f>
        <v>1000000</v>
      </c>
      <c r="AD322" s="235">
        <f>'Basis Options'!W327</f>
        <v>70311.274101270799</v>
      </c>
      <c r="AE322">
        <v>0</v>
      </c>
      <c r="AF322">
        <v>0</v>
      </c>
      <c r="AG322">
        <v>0</v>
      </c>
      <c r="AH322" s="235">
        <f>'Basis Options'!CD327</f>
        <v>0</v>
      </c>
      <c r="AI322">
        <v>226</v>
      </c>
      <c r="AJ322" t="s">
        <v>256</v>
      </c>
      <c r="AK322">
        <v>0</v>
      </c>
      <c r="AL322">
        <v>0</v>
      </c>
      <c r="AM322">
        <v>0</v>
      </c>
    </row>
    <row r="323" spans="1:39" x14ac:dyDescent="0.25">
      <c r="A323" t="s">
        <v>233</v>
      </c>
      <c r="B323" t="str">
        <f>'Basis Options'!C328</f>
        <v>NM2063.2</v>
      </c>
      <c r="C323" t="s">
        <v>255</v>
      </c>
      <c r="D323" t="s">
        <v>234</v>
      </c>
      <c r="E323" t="s">
        <v>20</v>
      </c>
      <c r="F323" t="str">
        <f>'Basis Options'!A328</f>
        <v>ELPASMER</v>
      </c>
      <c r="G323" t="s">
        <v>269</v>
      </c>
      <c r="H323" t="s">
        <v>254</v>
      </c>
      <c r="I323" t="s">
        <v>242</v>
      </c>
      <c r="J323" t="s">
        <v>235</v>
      </c>
      <c r="K323" s="380">
        <f>'Basis Options'!G328</f>
        <v>36892</v>
      </c>
      <c r="L323" s="235">
        <f>'Basis Options'!U328</f>
        <v>165191.31421907918</v>
      </c>
      <c r="M323" s="380">
        <f>'Basis Options'!Q328</f>
        <v>36888</v>
      </c>
      <c r="N323" t="str">
        <f>'Basis Options'!F328</f>
        <v>P</v>
      </c>
      <c r="O323">
        <f>'Basis Options'!I328</f>
        <v>1</v>
      </c>
      <c r="P323">
        <v>0</v>
      </c>
      <c r="Q323">
        <v>0</v>
      </c>
      <c r="R323">
        <v>0</v>
      </c>
      <c r="S323">
        <v>0</v>
      </c>
      <c r="T323" t="s">
        <v>253</v>
      </c>
      <c r="U323" t="str">
        <f>IF('Basis Options'!D328="NGI/CHI. GATE","""NGI/CHI. GATE""",TRIM('Basis Options'!D328))</f>
        <v>IF-TRANSCO/Z6</v>
      </c>
      <c r="V323" t="s">
        <v>253</v>
      </c>
      <c r="W323" t="s">
        <v>132</v>
      </c>
      <c r="X323" t="s">
        <v>253</v>
      </c>
      <c r="Y323" t="s">
        <v>235</v>
      </c>
      <c r="Z323" t="s">
        <v>236</v>
      </c>
      <c r="AA323" t="s">
        <v>253</v>
      </c>
      <c r="AB323" t="s">
        <v>1</v>
      </c>
      <c r="AC323" s="235">
        <f>'Basis Options'!H328</f>
        <v>1000000</v>
      </c>
      <c r="AD323" s="235">
        <f>'Basis Options'!W328</f>
        <v>59935.721579969861</v>
      </c>
      <c r="AE323">
        <v>0</v>
      </c>
      <c r="AF323">
        <v>0</v>
      </c>
      <c r="AG323">
        <v>0</v>
      </c>
      <c r="AH323" s="235">
        <f>'Basis Options'!CD328</f>
        <v>0</v>
      </c>
      <c r="AI323">
        <v>226</v>
      </c>
      <c r="AJ323" t="s">
        <v>256</v>
      </c>
      <c r="AK323">
        <v>0</v>
      </c>
      <c r="AL323">
        <v>0</v>
      </c>
      <c r="AM323">
        <v>0</v>
      </c>
    </row>
    <row r="324" spans="1:39" x14ac:dyDescent="0.25">
      <c r="A324" t="s">
        <v>233</v>
      </c>
      <c r="B324" t="str">
        <f>'Basis Options'!C329</f>
        <v>NM2077.1</v>
      </c>
      <c r="C324" t="s">
        <v>255</v>
      </c>
      <c r="D324" t="s">
        <v>234</v>
      </c>
      <c r="E324" t="s">
        <v>20</v>
      </c>
      <c r="F324" t="str">
        <f>'Basis Options'!A329</f>
        <v>ELPASMER</v>
      </c>
      <c r="G324" t="s">
        <v>269</v>
      </c>
      <c r="H324" t="s">
        <v>254</v>
      </c>
      <c r="I324" t="s">
        <v>242</v>
      </c>
      <c r="J324" t="s">
        <v>235</v>
      </c>
      <c r="K324" s="380">
        <f>'Basis Options'!G329</f>
        <v>36800</v>
      </c>
      <c r="L324" s="235">
        <f>'Basis Options'!U329</f>
        <v>-675.79989208547818</v>
      </c>
      <c r="M324" s="380">
        <f>'Basis Options'!Q329</f>
        <v>36797</v>
      </c>
      <c r="N324" t="str">
        <f>'Basis Options'!F329</f>
        <v>C</v>
      </c>
      <c r="O324">
        <f>'Basis Options'!I329</f>
        <v>0.7</v>
      </c>
      <c r="P324">
        <v>0</v>
      </c>
      <c r="Q324">
        <v>0</v>
      </c>
      <c r="R324">
        <v>0</v>
      </c>
      <c r="S324">
        <v>0</v>
      </c>
      <c r="T324" t="s">
        <v>253</v>
      </c>
      <c r="U324" t="str">
        <f>IF('Basis Options'!D329="NGI/CHI. GATE","""NGI/CHI. GATE""",TRIM('Basis Options'!D329))</f>
        <v>IF-TRANSCO/Z6</v>
      </c>
      <c r="V324" t="s">
        <v>253</v>
      </c>
      <c r="W324" t="s">
        <v>132</v>
      </c>
      <c r="X324" t="s">
        <v>253</v>
      </c>
      <c r="Y324" t="s">
        <v>235</v>
      </c>
      <c r="Z324" t="s">
        <v>236</v>
      </c>
      <c r="AA324" t="s">
        <v>253</v>
      </c>
      <c r="AB324" t="s">
        <v>1</v>
      </c>
      <c r="AC324" s="235">
        <f>'Basis Options'!H329</f>
        <v>-1000000</v>
      </c>
      <c r="AD324" s="235">
        <f>'Basis Options'!W329</f>
        <v>-540.83222908454263</v>
      </c>
      <c r="AE324">
        <v>0</v>
      </c>
      <c r="AF324">
        <v>0</v>
      </c>
      <c r="AG324">
        <v>0</v>
      </c>
      <c r="AH324" s="235">
        <f>'Basis Options'!CD329</f>
        <v>0</v>
      </c>
      <c r="AI324">
        <v>226</v>
      </c>
      <c r="AJ324" t="s">
        <v>256</v>
      </c>
      <c r="AK324">
        <v>0</v>
      </c>
      <c r="AL324">
        <v>0</v>
      </c>
      <c r="AM324">
        <v>0</v>
      </c>
    </row>
    <row r="325" spans="1:39" x14ac:dyDescent="0.25">
      <c r="A325" t="s">
        <v>233</v>
      </c>
      <c r="B325" t="str">
        <f>'Basis Options'!C330</f>
        <v>NM2077.2</v>
      </c>
      <c r="C325" t="s">
        <v>255</v>
      </c>
      <c r="D325" t="s">
        <v>234</v>
      </c>
      <c r="E325" t="s">
        <v>20</v>
      </c>
      <c r="F325" t="str">
        <f>'Basis Options'!A330</f>
        <v>ELPASMER</v>
      </c>
      <c r="G325" t="s">
        <v>269</v>
      </c>
      <c r="H325" t="s">
        <v>254</v>
      </c>
      <c r="I325" t="s">
        <v>242</v>
      </c>
      <c r="J325" t="s">
        <v>235</v>
      </c>
      <c r="K325" s="380">
        <f>'Basis Options'!G330</f>
        <v>36800</v>
      </c>
      <c r="L325" s="235">
        <f>'Basis Options'!U330</f>
        <v>-675.79989208547818</v>
      </c>
      <c r="M325" s="380">
        <f>'Basis Options'!Q330</f>
        <v>36797</v>
      </c>
      <c r="N325" t="str">
        <f>'Basis Options'!F330</f>
        <v>C</v>
      </c>
      <c r="O325">
        <f>'Basis Options'!I330</f>
        <v>0.7</v>
      </c>
      <c r="P325">
        <v>0</v>
      </c>
      <c r="Q325">
        <v>0</v>
      </c>
      <c r="R325">
        <v>0</v>
      </c>
      <c r="S325">
        <v>0</v>
      </c>
      <c r="T325" t="s">
        <v>253</v>
      </c>
      <c r="U325" t="str">
        <f>IF('Basis Options'!D330="NGI/CHI. GATE","""NGI/CHI. GATE""",TRIM('Basis Options'!D330))</f>
        <v>IF-TRANSCO/Z6</v>
      </c>
      <c r="V325" t="s">
        <v>253</v>
      </c>
      <c r="W325" t="s">
        <v>132</v>
      </c>
      <c r="X325" t="s">
        <v>253</v>
      </c>
      <c r="Y325" t="s">
        <v>235</v>
      </c>
      <c r="Z325" t="s">
        <v>236</v>
      </c>
      <c r="AA325" t="s">
        <v>253</v>
      </c>
      <c r="AB325" t="s">
        <v>1</v>
      </c>
      <c r="AC325" s="235">
        <f>'Basis Options'!H330</f>
        <v>-1000000</v>
      </c>
      <c r="AD325" s="235">
        <f>'Basis Options'!W330</f>
        <v>-540.83222908454263</v>
      </c>
      <c r="AE325">
        <v>0</v>
      </c>
      <c r="AF325">
        <v>0</v>
      </c>
      <c r="AG325">
        <v>0</v>
      </c>
      <c r="AH325" s="235">
        <f>'Basis Options'!CD330</f>
        <v>0</v>
      </c>
      <c r="AI325">
        <v>226</v>
      </c>
      <c r="AJ325" t="s">
        <v>256</v>
      </c>
      <c r="AK325">
        <v>0</v>
      </c>
      <c r="AL325">
        <v>0</v>
      </c>
      <c r="AM325">
        <v>0</v>
      </c>
    </row>
    <row r="326" spans="1:39" x14ac:dyDescent="0.25">
      <c r="A326" t="s">
        <v>233</v>
      </c>
      <c r="B326" t="str">
        <f>'Basis Options'!C331</f>
        <v>NM2100</v>
      </c>
      <c r="C326" t="s">
        <v>255</v>
      </c>
      <c r="D326" t="s">
        <v>234</v>
      </c>
      <c r="E326" t="s">
        <v>20</v>
      </c>
      <c r="F326" t="str">
        <f>'Basis Options'!A331</f>
        <v>DUKEENETRA</v>
      </c>
      <c r="G326" t="s">
        <v>269</v>
      </c>
      <c r="H326" t="s">
        <v>254</v>
      </c>
      <c r="I326" t="s">
        <v>242</v>
      </c>
      <c r="J326" t="s">
        <v>235</v>
      </c>
      <c r="K326" s="380">
        <f>'Basis Options'!G331</f>
        <v>36800</v>
      </c>
      <c r="L326" s="235">
        <f>'Basis Options'!U331</f>
        <v>113540.59978233864</v>
      </c>
      <c r="M326" s="380">
        <f>'Basis Options'!Q331</f>
        <v>36797</v>
      </c>
      <c r="N326" t="str">
        <f>'Basis Options'!F331</f>
        <v>P</v>
      </c>
      <c r="O326">
        <f>'Basis Options'!I331</f>
        <v>0.4</v>
      </c>
      <c r="P326">
        <v>0</v>
      </c>
      <c r="Q326">
        <v>0</v>
      </c>
      <c r="R326">
        <v>0</v>
      </c>
      <c r="S326">
        <v>0</v>
      </c>
      <c r="T326" t="s">
        <v>253</v>
      </c>
      <c r="U326" t="str">
        <f>IF('Basis Options'!D331="NGI/CHI. GATE","""NGI/CHI. GATE""",TRIM('Basis Options'!D331))</f>
        <v>IF-TRANSCO/Z6</v>
      </c>
      <c r="V326" t="s">
        <v>253</v>
      </c>
      <c r="W326" t="s">
        <v>132</v>
      </c>
      <c r="X326" t="s">
        <v>253</v>
      </c>
      <c r="Y326" t="s">
        <v>235</v>
      </c>
      <c r="Z326" t="s">
        <v>236</v>
      </c>
      <c r="AA326" t="s">
        <v>253</v>
      </c>
      <c r="AB326" t="s">
        <v>1</v>
      </c>
      <c r="AC326" s="235">
        <f>'Basis Options'!H331</f>
        <v>3100000</v>
      </c>
      <c r="AD326" s="235">
        <f>'Basis Options'!W331</f>
        <v>19900.617352879839</v>
      </c>
      <c r="AE326">
        <v>0</v>
      </c>
      <c r="AF326">
        <v>0</v>
      </c>
      <c r="AG326">
        <v>0</v>
      </c>
      <c r="AH326" s="235">
        <f>'Basis Options'!CD331</f>
        <v>0</v>
      </c>
      <c r="AI326">
        <v>226</v>
      </c>
      <c r="AJ326" t="s">
        <v>256</v>
      </c>
      <c r="AK326">
        <v>0</v>
      </c>
      <c r="AL326">
        <v>0</v>
      </c>
      <c r="AM326">
        <v>0</v>
      </c>
    </row>
    <row r="327" spans="1:39" x14ac:dyDescent="0.25">
      <c r="A327" t="s">
        <v>233</v>
      </c>
      <c r="B327" t="str">
        <f>'Basis Options'!C332</f>
        <v>NM2109</v>
      </c>
      <c r="C327" t="s">
        <v>255</v>
      </c>
      <c r="D327" t="s">
        <v>234</v>
      </c>
      <c r="E327" t="s">
        <v>20</v>
      </c>
      <c r="F327" t="str">
        <f>'Basis Options'!A332</f>
        <v>ELPASMER</v>
      </c>
      <c r="G327" t="s">
        <v>269</v>
      </c>
      <c r="H327" t="s">
        <v>254</v>
      </c>
      <c r="I327" t="s">
        <v>242</v>
      </c>
      <c r="J327" t="s">
        <v>235</v>
      </c>
      <c r="K327" s="380">
        <f>'Basis Options'!G332</f>
        <v>36831</v>
      </c>
      <c r="L327" s="235">
        <f>'Basis Options'!U332</f>
        <v>-52715.139384643087</v>
      </c>
      <c r="M327" s="380">
        <f>'Basis Options'!Q332</f>
        <v>36829</v>
      </c>
      <c r="N327" t="str">
        <f>'Basis Options'!F332</f>
        <v>P</v>
      </c>
      <c r="O327">
        <f>'Basis Options'!I332</f>
        <v>0.4</v>
      </c>
      <c r="P327">
        <v>0</v>
      </c>
      <c r="Q327">
        <v>0</v>
      </c>
      <c r="R327">
        <v>0</v>
      </c>
      <c r="S327">
        <v>0</v>
      </c>
      <c r="T327" t="s">
        <v>253</v>
      </c>
      <c r="U327" t="str">
        <f>IF('Basis Options'!D332="NGI/CHI. GATE","""NGI/CHI. GATE""",TRIM('Basis Options'!D332))</f>
        <v>IF-TRANSCO/Z6</v>
      </c>
      <c r="V327" t="s">
        <v>253</v>
      </c>
      <c r="W327" t="s">
        <v>132</v>
      </c>
      <c r="X327" t="s">
        <v>253</v>
      </c>
      <c r="Y327" t="s">
        <v>235</v>
      </c>
      <c r="Z327" t="s">
        <v>236</v>
      </c>
      <c r="AA327" t="s">
        <v>253</v>
      </c>
      <c r="AB327" t="s">
        <v>1</v>
      </c>
      <c r="AC327" s="235">
        <f>'Basis Options'!H332</f>
        <v>-500000</v>
      </c>
      <c r="AD327" s="235">
        <f>'Basis Options'!W332</f>
        <v>-19333.503051376814</v>
      </c>
      <c r="AE327">
        <v>0</v>
      </c>
      <c r="AF327">
        <v>0</v>
      </c>
      <c r="AG327">
        <v>0</v>
      </c>
      <c r="AH327" s="235">
        <f>'Basis Options'!CD332</f>
        <v>0</v>
      </c>
      <c r="AI327">
        <v>226</v>
      </c>
      <c r="AJ327" t="s">
        <v>256</v>
      </c>
      <c r="AK327">
        <v>0</v>
      </c>
      <c r="AL327">
        <v>0</v>
      </c>
      <c r="AM327">
        <v>0</v>
      </c>
    </row>
    <row r="328" spans="1:39" x14ac:dyDescent="0.25">
      <c r="A328" t="s">
        <v>233</v>
      </c>
      <c r="B328" t="str">
        <f>'Basis Options'!C333</f>
        <v>NM2145</v>
      </c>
      <c r="C328" t="s">
        <v>255</v>
      </c>
      <c r="D328" t="s">
        <v>234</v>
      </c>
      <c r="E328" t="s">
        <v>20</v>
      </c>
      <c r="F328" t="str">
        <f>'Basis Options'!A333</f>
        <v>SMALLVENUSA</v>
      </c>
      <c r="G328" t="s">
        <v>269</v>
      </c>
      <c r="H328" t="s">
        <v>254</v>
      </c>
      <c r="I328" t="s">
        <v>242</v>
      </c>
      <c r="J328" t="s">
        <v>235</v>
      </c>
      <c r="K328" s="380">
        <f>'Basis Options'!G333</f>
        <v>36831</v>
      </c>
      <c r="L328" s="235">
        <f>'Basis Options'!U333</f>
        <v>52715.139384643087</v>
      </c>
      <c r="M328" s="380">
        <f>'Basis Options'!Q333</f>
        <v>36829</v>
      </c>
      <c r="N328" t="str">
        <f>'Basis Options'!F333</f>
        <v>P</v>
      </c>
      <c r="O328">
        <f>'Basis Options'!I333</f>
        <v>0.4</v>
      </c>
      <c r="P328">
        <v>0</v>
      </c>
      <c r="Q328">
        <v>0</v>
      </c>
      <c r="R328">
        <v>0</v>
      </c>
      <c r="S328">
        <v>0</v>
      </c>
      <c r="T328" t="s">
        <v>253</v>
      </c>
      <c r="U328" t="str">
        <f>IF('Basis Options'!D333="NGI/CHI. GATE","""NGI/CHI. GATE""",TRIM('Basis Options'!D333))</f>
        <v>IF-TRANSCO/Z6</v>
      </c>
      <c r="V328" t="s">
        <v>253</v>
      </c>
      <c r="W328" t="s">
        <v>132</v>
      </c>
      <c r="X328" t="s">
        <v>253</v>
      </c>
      <c r="Y328" t="s">
        <v>235</v>
      </c>
      <c r="Z328" t="s">
        <v>236</v>
      </c>
      <c r="AA328" t="s">
        <v>253</v>
      </c>
      <c r="AB328" t="s">
        <v>1</v>
      </c>
      <c r="AC328" s="235">
        <f>'Basis Options'!H333</f>
        <v>500000</v>
      </c>
      <c r="AD328" s="235">
        <f>'Basis Options'!W333</f>
        <v>19333.503051376814</v>
      </c>
      <c r="AE328">
        <v>0</v>
      </c>
      <c r="AF328">
        <v>0</v>
      </c>
      <c r="AG328">
        <v>0</v>
      </c>
      <c r="AH328" s="235">
        <f>'Basis Options'!CD333</f>
        <v>0</v>
      </c>
      <c r="AI328">
        <v>226</v>
      </c>
      <c r="AJ328" t="s">
        <v>256</v>
      </c>
      <c r="AK328">
        <v>0</v>
      </c>
      <c r="AL328">
        <v>0</v>
      </c>
      <c r="AM328">
        <v>0</v>
      </c>
    </row>
    <row r="329" spans="1:39" x14ac:dyDescent="0.25">
      <c r="A329" t="s">
        <v>233</v>
      </c>
      <c r="B329" t="str">
        <f>'Basis Options'!C334</f>
        <v>NM2238</v>
      </c>
      <c r="C329" t="s">
        <v>255</v>
      </c>
      <c r="D329" t="s">
        <v>234</v>
      </c>
      <c r="E329" t="s">
        <v>20</v>
      </c>
      <c r="F329" t="str">
        <f>'Basis Options'!A334</f>
        <v>ELPASMER</v>
      </c>
      <c r="G329" t="s">
        <v>269</v>
      </c>
      <c r="H329" t="s">
        <v>254</v>
      </c>
      <c r="I329" t="s">
        <v>242</v>
      </c>
      <c r="J329" t="s">
        <v>235</v>
      </c>
      <c r="K329" s="380">
        <f>'Basis Options'!G334</f>
        <v>36800</v>
      </c>
      <c r="L329" s="235">
        <f>'Basis Options'!U334</f>
        <v>-418.99593309299649</v>
      </c>
      <c r="M329" s="380">
        <f>'Basis Options'!Q334</f>
        <v>36797</v>
      </c>
      <c r="N329" t="str">
        <f>'Basis Options'!F334</f>
        <v>C</v>
      </c>
      <c r="O329">
        <f>'Basis Options'!I334</f>
        <v>0.7</v>
      </c>
      <c r="P329">
        <v>0</v>
      </c>
      <c r="Q329">
        <v>0</v>
      </c>
      <c r="R329">
        <v>0</v>
      </c>
      <c r="S329">
        <v>0</v>
      </c>
      <c r="T329" t="s">
        <v>253</v>
      </c>
      <c r="U329" t="str">
        <f>IF('Basis Options'!D334="NGI/CHI. GATE","""NGI/CHI. GATE""",TRIM('Basis Options'!D334))</f>
        <v>IF-TRANSCO/Z6</v>
      </c>
      <c r="V329" t="s">
        <v>253</v>
      </c>
      <c r="W329" t="s">
        <v>132</v>
      </c>
      <c r="X329" t="s">
        <v>253</v>
      </c>
      <c r="Y329" t="s">
        <v>235</v>
      </c>
      <c r="Z329" t="s">
        <v>236</v>
      </c>
      <c r="AA329" t="s">
        <v>253</v>
      </c>
      <c r="AB329" t="s">
        <v>1</v>
      </c>
      <c r="AC329" s="235">
        <f>'Basis Options'!H334</f>
        <v>-620000</v>
      </c>
      <c r="AD329" s="235">
        <f>'Basis Options'!W334</f>
        <v>-335.31598203241629</v>
      </c>
      <c r="AE329">
        <v>0</v>
      </c>
      <c r="AF329">
        <v>0</v>
      </c>
      <c r="AG329">
        <v>0</v>
      </c>
      <c r="AH329" s="235">
        <f>'Basis Options'!CD334</f>
        <v>0</v>
      </c>
      <c r="AI329">
        <v>226</v>
      </c>
      <c r="AJ329" t="s">
        <v>256</v>
      </c>
      <c r="AK329">
        <v>0</v>
      </c>
      <c r="AL329">
        <v>0</v>
      </c>
      <c r="AM329">
        <v>0</v>
      </c>
    </row>
    <row r="330" spans="1:39" x14ac:dyDescent="0.25">
      <c r="A330" t="s">
        <v>233</v>
      </c>
      <c r="B330" t="str">
        <f>'Basis Options'!C335</f>
        <v>NM4160.1</v>
      </c>
      <c r="C330" t="s">
        <v>255</v>
      </c>
      <c r="D330" t="s">
        <v>234</v>
      </c>
      <c r="E330" t="s">
        <v>20</v>
      </c>
      <c r="F330" t="str">
        <f>'Basis Options'!A335</f>
        <v>ELPASMER</v>
      </c>
      <c r="G330" t="s">
        <v>269</v>
      </c>
      <c r="H330" t="s">
        <v>254</v>
      </c>
      <c r="I330" t="s">
        <v>242</v>
      </c>
      <c r="J330" t="s">
        <v>235</v>
      </c>
      <c r="K330" s="380">
        <f>'Basis Options'!G335</f>
        <v>36951</v>
      </c>
      <c r="L330" s="235">
        <f>'Basis Options'!U335</f>
        <v>-11142.489115300412</v>
      </c>
      <c r="M330" s="380">
        <f>'Basis Options'!Q335</f>
        <v>36949</v>
      </c>
      <c r="N330" t="str">
        <f>'Basis Options'!F335</f>
        <v>C</v>
      </c>
      <c r="O330">
        <f>'Basis Options'!I335</f>
        <v>5</v>
      </c>
      <c r="P330">
        <v>0</v>
      </c>
      <c r="Q330">
        <v>0</v>
      </c>
      <c r="R330">
        <v>0</v>
      </c>
      <c r="S330">
        <v>0</v>
      </c>
      <c r="T330" t="s">
        <v>253</v>
      </c>
      <c r="U330" t="str">
        <f>IF('Basis Options'!D335="NGI/CHI. GATE","""NGI/CHI. GATE""",TRIM('Basis Options'!D335))</f>
        <v>IF-TRANSCO/Z6</v>
      </c>
      <c r="V330" t="s">
        <v>253</v>
      </c>
      <c r="W330" t="s">
        <v>132</v>
      </c>
      <c r="X330" t="s">
        <v>253</v>
      </c>
      <c r="Y330" t="s">
        <v>235</v>
      </c>
      <c r="Z330" t="s">
        <v>236</v>
      </c>
      <c r="AA330" t="s">
        <v>253</v>
      </c>
      <c r="AB330" t="s">
        <v>1</v>
      </c>
      <c r="AC330" s="235">
        <f>'Basis Options'!H335</f>
        <v>-500000</v>
      </c>
      <c r="AD330" s="235">
        <f>'Basis Options'!W335</f>
        <v>-7199.668670161318</v>
      </c>
      <c r="AE330">
        <v>0</v>
      </c>
      <c r="AF330">
        <v>0</v>
      </c>
      <c r="AG330">
        <v>0</v>
      </c>
      <c r="AH330" s="235">
        <f>'Basis Options'!CD335</f>
        <v>0</v>
      </c>
      <c r="AI330">
        <v>226</v>
      </c>
      <c r="AJ330" t="s">
        <v>256</v>
      </c>
      <c r="AK330">
        <v>0</v>
      </c>
      <c r="AL330">
        <v>0</v>
      </c>
      <c r="AM330">
        <v>0</v>
      </c>
    </row>
    <row r="331" spans="1:39" x14ac:dyDescent="0.25">
      <c r="A331" t="s">
        <v>233</v>
      </c>
      <c r="B331" t="str">
        <f>'Basis Options'!C336</f>
        <v>NM4160.1</v>
      </c>
      <c r="C331" t="s">
        <v>255</v>
      </c>
      <c r="D331" t="s">
        <v>234</v>
      </c>
      <c r="E331" t="s">
        <v>20</v>
      </c>
      <c r="F331" t="str">
        <f>'Basis Options'!A336</f>
        <v>ELPASMER</v>
      </c>
      <c r="G331" t="s">
        <v>269</v>
      </c>
      <c r="H331" t="s">
        <v>254</v>
      </c>
      <c r="I331" t="s">
        <v>242</v>
      </c>
      <c r="J331" t="s">
        <v>235</v>
      </c>
      <c r="K331" s="380">
        <f>'Basis Options'!G336</f>
        <v>36923</v>
      </c>
      <c r="L331" s="235">
        <f>'Basis Options'!U336</f>
        <v>-61738.533667987496</v>
      </c>
      <c r="M331" s="380">
        <f>'Basis Options'!Q336</f>
        <v>36921</v>
      </c>
      <c r="N331" t="str">
        <f>'Basis Options'!F336</f>
        <v>C</v>
      </c>
      <c r="O331">
        <f>'Basis Options'!I336</f>
        <v>5</v>
      </c>
      <c r="P331">
        <v>0</v>
      </c>
      <c r="Q331">
        <v>0</v>
      </c>
      <c r="R331">
        <v>0</v>
      </c>
      <c r="S331">
        <v>0</v>
      </c>
      <c r="T331" t="s">
        <v>253</v>
      </c>
      <c r="U331" t="str">
        <f>IF('Basis Options'!D336="NGI/CHI. GATE","""NGI/CHI. GATE""",TRIM('Basis Options'!D336))</f>
        <v>IF-TRANSCO/Z6</v>
      </c>
      <c r="V331" t="s">
        <v>253</v>
      </c>
      <c r="W331" t="s">
        <v>132</v>
      </c>
      <c r="X331" t="s">
        <v>253</v>
      </c>
      <c r="Y331" t="s">
        <v>235</v>
      </c>
      <c r="Z331" t="s">
        <v>236</v>
      </c>
      <c r="AA331" t="s">
        <v>253</v>
      </c>
      <c r="AB331" t="s">
        <v>1</v>
      </c>
      <c r="AC331" s="235">
        <f>'Basis Options'!H336</f>
        <v>-500000</v>
      </c>
      <c r="AD331" s="235">
        <f>'Basis Options'!W336</f>
        <v>-19925.59911802689</v>
      </c>
      <c r="AE331">
        <v>0</v>
      </c>
      <c r="AF331">
        <v>0</v>
      </c>
      <c r="AG331">
        <v>0</v>
      </c>
      <c r="AH331" s="235">
        <f>'Basis Options'!CD336</f>
        <v>0</v>
      </c>
      <c r="AI331">
        <v>226</v>
      </c>
      <c r="AJ331" t="s">
        <v>256</v>
      </c>
      <c r="AK331">
        <v>0</v>
      </c>
      <c r="AL331">
        <v>0</v>
      </c>
      <c r="AM331">
        <v>0</v>
      </c>
    </row>
    <row r="332" spans="1:39" x14ac:dyDescent="0.25">
      <c r="A332" t="s">
        <v>233</v>
      </c>
      <c r="B332" t="str">
        <f>'Basis Options'!C337</f>
        <v>NM4160.1</v>
      </c>
      <c r="C332" t="s">
        <v>255</v>
      </c>
      <c r="D332" t="s">
        <v>234</v>
      </c>
      <c r="E332" t="s">
        <v>20</v>
      </c>
      <c r="F332" t="str">
        <f>'Basis Options'!A337</f>
        <v>ELPASMER</v>
      </c>
      <c r="G332" t="s">
        <v>269</v>
      </c>
      <c r="H332" t="s">
        <v>254</v>
      </c>
      <c r="I332" t="s">
        <v>242</v>
      </c>
      <c r="J332" t="s">
        <v>235</v>
      </c>
      <c r="K332" s="380">
        <f>'Basis Options'!G337</f>
        <v>36892</v>
      </c>
      <c r="L332" s="235">
        <f>'Basis Options'!U337</f>
        <v>-52353.283321340168</v>
      </c>
      <c r="M332" s="380">
        <f>'Basis Options'!Q337</f>
        <v>36888</v>
      </c>
      <c r="N332" t="str">
        <f>'Basis Options'!F337</f>
        <v>C</v>
      </c>
      <c r="O332">
        <f>'Basis Options'!I337</f>
        <v>5</v>
      </c>
      <c r="P332">
        <v>0</v>
      </c>
      <c r="Q332">
        <v>0</v>
      </c>
      <c r="R332">
        <v>0</v>
      </c>
      <c r="S332">
        <v>0</v>
      </c>
      <c r="T332" t="s">
        <v>253</v>
      </c>
      <c r="U332" t="str">
        <f>IF('Basis Options'!D337="NGI/CHI. GATE","""NGI/CHI. GATE""",TRIM('Basis Options'!D337))</f>
        <v>IF-TRANSCO/Z6</v>
      </c>
      <c r="V332" t="s">
        <v>253</v>
      </c>
      <c r="W332" t="s">
        <v>132</v>
      </c>
      <c r="X332" t="s">
        <v>253</v>
      </c>
      <c r="Y332" t="s">
        <v>235</v>
      </c>
      <c r="Z332" t="s">
        <v>236</v>
      </c>
      <c r="AA332" t="s">
        <v>253</v>
      </c>
      <c r="AB332" t="s">
        <v>1</v>
      </c>
      <c r="AC332" s="235">
        <f>'Basis Options'!H337</f>
        <v>-500000</v>
      </c>
      <c r="AD332" s="235">
        <f>'Basis Options'!W337</f>
        <v>-17057.780759459587</v>
      </c>
      <c r="AE332">
        <v>0</v>
      </c>
      <c r="AF332">
        <v>0</v>
      </c>
      <c r="AG332">
        <v>0</v>
      </c>
      <c r="AH332" s="235">
        <f>'Basis Options'!CD337</f>
        <v>0</v>
      </c>
      <c r="AI332">
        <v>226</v>
      </c>
      <c r="AJ332" t="s">
        <v>256</v>
      </c>
      <c r="AK332">
        <v>0</v>
      </c>
      <c r="AL332">
        <v>0</v>
      </c>
      <c r="AM332">
        <v>0</v>
      </c>
    </row>
    <row r="333" spans="1:39" x14ac:dyDescent="0.25">
      <c r="A333" t="s">
        <v>233</v>
      </c>
      <c r="B333" t="str">
        <f>'Basis Options'!C338</f>
        <v>NM4160.1</v>
      </c>
      <c r="C333" t="s">
        <v>255</v>
      </c>
      <c r="D333" t="s">
        <v>234</v>
      </c>
      <c r="E333" t="s">
        <v>20</v>
      </c>
      <c r="F333" t="str">
        <f>'Basis Options'!A338</f>
        <v>ELPASMER</v>
      </c>
      <c r="G333" t="s">
        <v>269</v>
      </c>
      <c r="H333" t="s">
        <v>254</v>
      </c>
      <c r="I333" t="s">
        <v>242</v>
      </c>
      <c r="J333" t="s">
        <v>235</v>
      </c>
      <c r="K333" s="380">
        <f>'Basis Options'!G338</f>
        <v>36861</v>
      </c>
      <c r="L333" s="235">
        <f>'Basis Options'!U338</f>
        <v>-12711.76055772938</v>
      </c>
      <c r="M333" s="380">
        <f>'Basis Options'!Q338</f>
        <v>36859</v>
      </c>
      <c r="N333" t="str">
        <f>'Basis Options'!F338</f>
        <v>C</v>
      </c>
      <c r="O333">
        <f>'Basis Options'!I338</f>
        <v>5</v>
      </c>
      <c r="P333">
        <v>0</v>
      </c>
      <c r="Q333">
        <v>0</v>
      </c>
      <c r="R333">
        <v>0</v>
      </c>
      <c r="S333">
        <v>0</v>
      </c>
      <c r="T333" t="s">
        <v>253</v>
      </c>
      <c r="U333" t="str">
        <f>IF('Basis Options'!D338="NGI/CHI. GATE","""NGI/CHI. GATE""",TRIM('Basis Options'!D338))</f>
        <v>IF-TRANSCO/Z6</v>
      </c>
      <c r="V333" t="s">
        <v>253</v>
      </c>
      <c r="W333" t="s">
        <v>132</v>
      </c>
      <c r="X333" t="s">
        <v>253</v>
      </c>
      <c r="Y333" t="s">
        <v>235</v>
      </c>
      <c r="Z333" t="s">
        <v>236</v>
      </c>
      <c r="AA333" t="s">
        <v>253</v>
      </c>
      <c r="AB333" t="s">
        <v>1</v>
      </c>
      <c r="AC333" s="235">
        <f>'Basis Options'!H338</f>
        <v>-500000</v>
      </c>
      <c r="AD333" s="235">
        <f>'Basis Options'!W338</f>
        <v>-6671.0606584254965</v>
      </c>
      <c r="AE333">
        <v>0</v>
      </c>
      <c r="AF333">
        <v>0</v>
      </c>
      <c r="AG333">
        <v>0</v>
      </c>
      <c r="AH333" s="235">
        <f>'Basis Options'!CD338</f>
        <v>0</v>
      </c>
      <c r="AI333">
        <v>226</v>
      </c>
      <c r="AJ333" t="s">
        <v>256</v>
      </c>
      <c r="AK333">
        <v>0</v>
      </c>
      <c r="AL333">
        <v>0</v>
      </c>
      <c r="AM333">
        <v>0</v>
      </c>
    </row>
    <row r="334" spans="1:39" x14ac:dyDescent="0.25">
      <c r="A334" t="s">
        <v>233</v>
      </c>
      <c r="B334" t="str">
        <f>'Basis Options'!C339</f>
        <v>NM4160.1</v>
      </c>
      <c r="C334" t="s">
        <v>255</v>
      </c>
      <c r="D334" t="s">
        <v>234</v>
      </c>
      <c r="E334" t="s">
        <v>20</v>
      </c>
      <c r="F334" t="str">
        <f>'Basis Options'!A339</f>
        <v>ELPASMER</v>
      </c>
      <c r="G334" t="s">
        <v>269</v>
      </c>
      <c r="H334" t="s">
        <v>254</v>
      </c>
      <c r="I334" t="s">
        <v>242</v>
      </c>
      <c r="J334" t="s">
        <v>235</v>
      </c>
      <c r="K334" s="380">
        <f>'Basis Options'!G339</f>
        <v>36831</v>
      </c>
      <c r="L334" s="235">
        <f>'Basis Options'!U339</f>
        <v>-9.1409557401543662</v>
      </c>
      <c r="M334" s="380">
        <f>'Basis Options'!Q339</f>
        <v>36829</v>
      </c>
      <c r="N334" t="str">
        <f>'Basis Options'!F339</f>
        <v>C</v>
      </c>
      <c r="O334">
        <f>'Basis Options'!I339</f>
        <v>5</v>
      </c>
      <c r="P334">
        <v>0</v>
      </c>
      <c r="Q334">
        <v>0</v>
      </c>
      <c r="R334">
        <v>0</v>
      </c>
      <c r="S334">
        <v>0</v>
      </c>
      <c r="T334" t="s">
        <v>253</v>
      </c>
      <c r="U334" t="str">
        <f>IF('Basis Options'!D339="NGI/CHI. GATE","""NGI/CHI. GATE""",TRIM('Basis Options'!D339))</f>
        <v>IF-TRANSCO/Z6</v>
      </c>
      <c r="V334" t="s">
        <v>253</v>
      </c>
      <c r="W334" t="s">
        <v>132</v>
      </c>
      <c r="X334" t="s">
        <v>253</v>
      </c>
      <c r="Y334" t="s">
        <v>235</v>
      </c>
      <c r="Z334" t="s">
        <v>236</v>
      </c>
      <c r="AA334" t="s">
        <v>253</v>
      </c>
      <c r="AB334" t="s">
        <v>1</v>
      </c>
      <c r="AC334" s="235">
        <f>'Basis Options'!H339</f>
        <v>-500000</v>
      </c>
      <c r="AD334" s="235">
        <f>'Basis Options'!W339</f>
        <v>-15.248452542925328</v>
      </c>
      <c r="AE334">
        <v>0</v>
      </c>
      <c r="AF334">
        <v>0</v>
      </c>
      <c r="AG334">
        <v>0</v>
      </c>
      <c r="AH334" s="235">
        <f>'Basis Options'!CD339</f>
        <v>0</v>
      </c>
      <c r="AI334">
        <v>226</v>
      </c>
      <c r="AJ334" t="s">
        <v>256</v>
      </c>
      <c r="AK334">
        <v>0</v>
      </c>
      <c r="AL334">
        <v>0</v>
      </c>
      <c r="AM334">
        <v>0</v>
      </c>
    </row>
    <row r="335" spans="1:39" x14ac:dyDescent="0.25">
      <c r="A335" t="s">
        <v>233</v>
      </c>
      <c r="B335" t="str">
        <f>'Basis Options'!C340</f>
        <v>NM4160.2</v>
      </c>
      <c r="C335" t="s">
        <v>255</v>
      </c>
      <c r="D335" t="s">
        <v>234</v>
      </c>
      <c r="E335" t="s">
        <v>20</v>
      </c>
      <c r="F335" t="str">
        <f>'Basis Options'!A340</f>
        <v>ELPASMER</v>
      </c>
      <c r="G335" t="s">
        <v>269</v>
      </c>
      <c r="H335" t="s">
        <v>254</v>
      </c>
      <c r="I335" t="s">
        <v>242</v>
      </c>
      <c r="J335" t="s">
        <v>235</v>
      </c>
      <c r="K335" s="380">
        <f>'Basis Options'!G340</f>
        <v>36982</v>
      </c>
      <c r="L335" s="235">
        <f>'Basis Options'!U340</f>
        <v>-80501.761169828213</v>
      </c>
      <c r="M335" s="380">
        <f>'Basis Options'!Q340</f>
        <v>36979</v>
      </c>
      <c r="N335" t="str">
        <f>'Basis Options'!F340</f>
        <v>P</v>
      </c>
      <c r="O335">
        <f>'Basis Options'!I340</f>
        <v>0.4</v>
      </c>
      <c r="P335">
        <v>0</v>
      </c>
      <c r="Q335">
        <v>0</v>
      </c>
      <c r="R335">
        <v>0</v>
      </c>
      <c r="S335">
        <v>0</v>
      </c>
      <c r="T335" t="s">
        <v>253</v>
      </c>
      <c r="U335" t="str">
        <f>IF('Basis Options'!D340="NGI/CHI. GATE","""NGI/CHI. GATE""",TRIM('Basis Options'!D340))</f>
        <v>IF-TRANSCO/Z6</v>
      </c>
      <c r="V335" t="s">
        <v>253</v>
      </c>
      <c r="W335" t="s">
        <v>132</v>
      </c>
      <c r="X335" t="s">
        <v>253</v>
      </c>
      <c r="Y335" t="s">
        <v>235</v>
      </c>
      <c r="Z335" t="s">
        <v>236</v>
      </c>
      <c r="AA335" t="s">
        <v>253</v>
      </c>
      <c r="AB335" t="s">
        <v>1</v>
      </c>
      <c r="AC335" s="235">
        <f>'Basis Options'!H340</f>
        <v>-1000000</v>
      </c>
      <c r="AD335" s="235">
        <f>'Basis Options'!W340</f>
        <v>-25168.164757264894</v>
      </c>
      <c r="AE335">
        <v>0</v>
      </c>
      <c r="AF335">
        <v>0</v>
      </c>
      <c r="AG335">
        <v>0</v>
      </c>
      <c r="AH335" s="235">
        <f>'Basis Options'!CD340</f>
        <v>0</v>
      </c>
      <c r="AI335">
        <v>226</v>
      </c>
      <c r="AJ335" t="s">
        <v>256</v>
      </c>
      <c r="AK335">
        <v>0</v>
      </c>
      <c r="AL335">
        <v>0</v>
      </c>
      <c r="AM335">
        <v>0</v>
      </c>
    </row>
    <row r="336" spans="1:39" x14ac:dyDescent="0.25">
      <c r="A336" t="s">
        <v>233</v>
      </c>
      <c r="B336" t="str">
        <f>'Basis Options'!C341</f>
        <v>NM4160.3</v>
      </c>
      <c r="C336" t="s">
        <v>255</v>
      </c>
      <c r="D336" t="s">
        <v>234</v>
      </c>
      <c r="E336" t="s">
        <v>20</v>
      </c>
      <c r="F336" t="str">
        <f>'Basis Options'!A341</f>
        <v>ELPASMER</v>
      </c>
      <c r="G336" t="s">
        <v>269</v>
      </c>
      <c r="H336" t="s">
        <v>254</v>
      </c>
      <c r="I336" t="s">
        <v>242</v>
      </c>
      <c r="J336" t="s">
        <v>235</v>
      </c>
      <c r="K336" s="380">
        <f>'Basis Options'!G341</f>
        <v>36982</v>
      </c>
      <c r="L336" s="235">
        <f>'Basis Options'!U341</f>
        <v>-74256.199589022013</v>
      </c>
      <c r="M336" s="380">
        <f>'Basis Options'!Q341</f>
        <v>36979</v>
      </c>
      <c r="N336" t="str">
        <f>'Basis Options'!F341</f>
        <v>C</v>
      </c>
      <c r="O336">
        <f>'Basis Options'!I341</f>
        <v>0.7</v>
      </c>
      <c r="P336">
        <v>0</v>
      </c>
      <c r="Q336">
        <v>0</v>
      </c>
      <c r="R336">
        <v>0</v>
      </c>
      <c r="S336">
        <v>0</v>
      </c>
      <c r="T336" t="s">
        <v>253</v>
      </c>
      <c r="U336" t="str">
        <f>IF('Basis Options'!D341="NGI/CHI. GATE","""NGI/CHI. GATE""",TRIM('Basis Options'!D341))</f>
        <v>IF-TRANSCO/Z6</v>
      </c>
      <c r="V336" t="s">
        <v>253</v>
      </c>
      <c r="W336" t="s">
        <v>132</v>
      </c>
      <c r="X336" t="s">
        <v>253</v>
      </c>
      <c r="Y336" t="s">
        <v>235</v>
      </c>
      <c r="Z336" t="s">
        <v>236</v>
      </c>
      <c r="AA336" t="s">
        <v>253</v>
      </c>
      <c r="AB336" t="s">
        <v>1</v>
      </c>
      <c r="AC336" s="235">
        <f>'Basis Options'!H341</f>
        <v>-1000000</v>
      </c>
      <c r="AD336" s="235">
        <f>'Basis Options'!W341</f>
        <v>-21842.808811673662</v>
      </c>
      <c r="AE336">
        <v>0</v>
      </c>
      <c r="AF336">
        <v>0</v>
      </c>
      <c r="AG336">
        <v>0</v>
      </c>
      <c r="AH336" s="235">
        <f>'Basis Options'!CD341</f>
        <v>0</v>
      </c>
      <c r="AI336">
        <v>226</v>
      </c>
      <c r="AJ336" t="s">
        <v>256</v>
      </c>
      <c r="AK336">
        <v>0</v>
      </c>
      <c r="AL336">
        <v>0</v>
      </c>
      <c r="AM336">
        <v>0</v>
      </c>
    </row>
    <row r="337" spans="1:39" x14ac:dyDescent="0.25">
      <c r="A337" t="s">
        <v>233</v>
      </c>
      <c r="B337" t="str">
        <f>'Basis Options'!C342</f>
        <v>NM6058.1</v>
      </c>
      <c r="C337" t="s">
        <v>255</v>
      </c>
      <c r="D337" t="s">
        <v>234</v>
      </c>
      <c r="E337" t="s">
        <v>20</v>
      </c>
      <c r="F337" t="str">
        <f>'Basis Options'!A342</f>
        <v>ELPASMER</v>
      </c>
      <c r="G337" t="s">
        <v>269</v>
      </c>
      <c r="H337" t="s">
        <v>254</v>
      </c>
      <c r="I337" t="s">
        <v>242</v>
      </c>
      <c r="J337" t="s">
        <v>235</v>
      </c>
      <c r="K337" s="380">
        <f>'Basis Options'!G342</f>
        <v>36951</v>
      </c>
      <c r="L337" s="235">
        <f>'Basis Options'!U342</f>
        <v>-164328.56091178302</v>
      </c>
      <c r="M337" s="380">
        <f>'Basis Options'!Q342</f>
        <v>36949</v>
      </c>
      <c r="N337" t="str">
        <f>'Basis Options'!F342</f>
        <v>C</v>
      </c>
      <c r="O337">
        <f>'Basis Options'!I342</f>
        <v>1.6</v>
      </c>
      <c r="P337">
        <v>0</v>
      </c>
      <c r="Q337">
        <v>0</v>
      </c>
      <c r="R337">
        <v>0</v>
      </c>
      <c r="S337">
        <v>0</v>
      </c>
      <c r="T337" t="s">
        <v>253</v>
      </c>
      <c r="U337" t="str">
        <f>IF('Basis Options'!D342="NGI/CHI. GATE","""NGI/CHI. GATE""",TRIM('Basis Options'!D342))</f>
        <v>IF-TRANSCO/Z6</v>
      </c>
      <c r="V337" t="s">
        <v>253</v>
      </c>
      <c r="W337" t="s">
        <v>132</v>
      </c>
      <c r="X337" t="s">
        <v>253</v>
      </c>
      <c r="Y337" t="s">
        <v>235</v>
      </c>
      <c r="Z337" t="s">
        <v>236</v>
      </c>
      <c r="AA337" t="s">
        <v>253</v>
      </c>
      <c r="AB337" t="s">
        <v>1</v>
      </c>
      <c r="AC337" s="235">
        <f>'Basis Options'!H342</f>
        <v>-500000</v>
      </c>
      <c r="AD337" s="235">
        <f>'Basis Options'!W342</f>
        <v>-40367.878366955003</v>
      </c>
      <c r="AE337">
        <v>0</v>
      </c>
      <c r="AF337">
        <v>0</v>
      </c>
      <c r="AG337">
        <v>0</v>
      </c>
      <c r="AH337" s="235">
        <f>'Basis Options'!CD342</f>
        <v>0</v>
      </c>
      <c r="AI337">
        <v>226</v>
      </c>
      <c r="AJ337" t="s">
        <v>256</v>
      </c>
      <c r="AK337">
        <v>0</v>
      </c>
      <c r="AL337">
        <v>0</v>
      </c>
      <c r="AM337">
        <v>0</v>
      </c>
    </row>
    <row r="338" spans="1:39" x14ac:dyDescent="0.25">
      <c r="A338" t="s">
        <v>233</v>
      </c>
      <c r="B338" t="str">
        <f>'Basis Options'!C343</f>
        <v>NM6058.1</v>
      </c>
      <c r="C338" t="s">
        <v>255</v>
      </c>
      <c r="D338" t="s">
        <v>234</v>
      </c>
      <c r="E338" t="s">
        <v>20</v>
      </c>
      <c r="F338" t="str">
        <f>'Basis Options'!A343</f>
        <v>ELPASMER</v>
      </c>
      <c r="G338" t="s">
        <v>269</v>
      </c>
      <c r="H338" t="s">
        <v>254</v>
      </c>
      <c r="I338" t="s">
        <v>242</v>
      </c>
      <c r="J338" t="s">
        <v>235</v>
      </c>
      <c r="K338" s="380">
        <f>'Basis Options'!G343</f>
        <v>36923</v>
      </c>
      <c r="L338" s="235">
        <f>'Basis Options'!U343</f>
        <v>-452173.3418934762</v>
      </c>
      <c r="M338" s="380">
        <f>'Basis Options'!Q343</f>
        <v>36921</v>
      </c>
      <c r="N338" t="str">
        <f>'Basis Options'!F343</f>
        <v>C</v>
      </c>
      <c r="O338">
        <f>'Basis Options'!I343</f>
        <v>1.6</v>
      </c>
      <c r="P338">
        <v>0</v>
      </c>
      <c r="Q338">
        <v>0</v>
      </c>
      <c r="R338">
        <v>0</v>
      </c>
      <c r="S338">
        <v>0</v>
      </c>
      <c r="T338" t="s">
        <v>253</v>
      </c>
      <c r="U338" t="str">
        <f>IF('Basis Options'!D343="NGI/CHI. GATE","""NGI/CHI. GATE""",TRIM('Basis Options'!D343))</f>
        <v>IF-TRANSCO/Z6</v>
      </c>
      <c r="V338" t="s">
        <v>253</v>
      </c>
      <c r="W338" t="s">
        <v>132</v>
      </c>
      <c r="X338" t="s">
        <v>253</v>
      </c>
      <c r="Y338" t="s">
        <v>235</v>
      </c>
      <c r="Z338" t="s">
        <v>236</v>
      </c>
      <c r="AA338" t="s">
        <v>253</v>
      </c>
      <c r="AB338" t="s">
        <v>1</v>
      </c>
      <c r="AC338" s="235">
        <f>'Basis Options'!H343</f>
        <v>-500000</v>
      </c>
      <c r="AD338" s="235">
        <f>'Basis Options'!W343</f>
        <v>-41844.364258128277</v>
      </c>
      <c r="AE338">
        <v>0</v>
      </c>
      <c r="AF338">
        <v>0</v>
      </c>
      <c r="AG338">
        <v>0</v>
      </c>
      <c r="AH338" s="235">
        <f>'Basis Options'!CD343</f>
        <v>0</v>
      </c>
      <c r="AI338">
        <v>226</v>
      </c>
      <c r="AJ338" t="s">
        <v>256</v>
      </c>
      <c r="AK338">
        <v>0</v>
      </c>
      <c r="AL338">
        <v>0</v>
      </c>
      <c r="AM338">
        <v>0</v>
      </c>
    </row>
    <row r="339" spans="1:39" x14ac:dyDescent="0.25">
      <c r="A339" t="s">
        <v>233</v>
      </c>
      <c r="B339" t="str">
        <f>'Basis Options'!C344</f>
        <v>NM6058.1</v>
      </c>
      <c r="C339" t="s">
        <v>255</v>
      </c>
      <c r="D339" t="s">
        <v>234</v>
      </c>
      <c r="E339" t="s">
        <v>20</v>
      </c>
      <c r="F339" t="str">
        <f>'Basis Options'!A344</f>
        <v>ELPASMER</v>
      </c>
      <c r="G339" t="s">
        <v>269</v>
      </c>
      <c r="H339" t="s">
        <v>254</v>
      </c>
      <c r="I339" t="s">
        <v>242</v>
      </c>
      <c r="J339" t="s">
        <v>235</v>
      </c>
      <c r="K339" s="380">
        <f>'Basis Options'!G344</f>
        <v>36892</v>
      </c>
      <c r="L339" s="235">
        <f>'Basis Options'!U344</f>
        <v>-462969.61410549784</v>
      </c>
      <c r="M339" s="380">
        <f>'Basis Options'!Q344</f>
        <v>36888</v>
      </c>
      <c r="N339" t="str">
        <f>'Basis Options'!F344</f>
        <v>C</v>
      </c>
      <c r="O339">
        <f>'Basis Options'!I344</f>
        <v>1.6</v>
      </c>
      <c r="P339">
        <v>0</v>
      </c>
      <c r="Q339">
        <v>0</v>
      </c>
      <c r="R339">
        <v>0</v>
      </c>
      <c r="S339">
        <v>0</v>
      </c>
      <c r="T339" t="s">
        <v>253</v>
      </c>
      <c r="U339" t="str">
        <f>IF('Basis Options'!D344="NGI/CHI. GATE","""NGI/CHI. GATE""",TRIM('Basis Options'!D344))</f>
        <v>IF-TRANSCO/Z6</v>
      </c>
      <c r="V339" t="s">
        <v>253</v>
      </c>
      <c r="W339" t="s">
        <v>132</v>
      </c>
      <c r="X339" t="s">
        <v>253</v>
      </c>
      <c r="Y339" t="s">
        <v>235</v>
      </c>
      <c r="Z339" t="s">
        <v>236</v>
      </c>
      <c r="AA339" t="s">
        <v>253</v>
      </c>
      <c r="AB339" t="s">
        <v>1</v>
      </c>
      <c r="AC339" s="235">
        <f>'Basis Options'!H344</f>
        <v>-500000</v>
      </c>
      <c r="AD339" s="235">
        <f>'Basis Options'!W344</f>
        <v>-37504.137359824672</v>
      </c>
      <c r="AE339">
        <v>0</v>
      </c>
      <c r="AF339">
        <v>0</v>
      </c>
      <c r="AG339">
        <v>0</v>
      </c>
      <c r="AH339" s="235">
        <f>'Basis Options'!CD344</f>
        <v>0</v>
      </c>
      <c r="AI339">
        <v>226</v>
      </c>
      <c r="AJ339" t="s">
        <v>256</v>
      </c>
      <c r="AK339">
        <v>0</v>
      </c>
      <c r="AL339">
        <v>0</v>
      </c>
      <c r="AM339">
        <v>0</v>
      </c>
    </row>
    <row r="340" spans="1:39" x14ac:dyDescent="0.25">
      <c r="A340" t="s">
        <v>233</v>
      </c>
      <c r="B340" t="str">
        <f>'Basis Options'!C345</f>
        <v>NM6058.1</v>
      </c>
      <c r="C340" t="s">
        <v>255</v>
      </c>
      <c r="D340" t="s">
        <v>234</v>
      </c>
      <c r="E340" t="s">
        <v>20</v>
      </c>
      <c r="F340" t="str">
        <f>'Basis Options'!A345</f>
        <v>ELPASMER</v>
      </c>
      <c r="G340" t="s">
        <v>269</v>
      </c>
      <c r="H340" t="s">
        <v>254</v>
      </c>
      <c r="I340" t="s">
        <v>242</v>
      </c>
      <c r="J340" t="s">
        <v>235</v>
      </c>
      <c r="K340" s="380">
        <f>'Basis Options'!G345</f>
        <v>36861</v>
      </c>
      <c r="L340" s="235">
        <f>'Basis Options'!U345</f>
        <v>-266341.7102530183</v>
      </c>
      <c r="M340" s="380">
        <f>'Basis Options'!Q345</f>
        <v>36859</v>
      </c>
      <c r="N340" t="str">
        <f>'Basis Options'!F345</f>
        <v>C</v>
      </c>
      <c r="O340">
        <f>'Basis Options'!I345</f>
        <v>1.6</v>
      </c>
      <c r="P340">
        <v>0</v>
      </c>
      <c r="Q340">
        <v>0</v>
      </c>
      <c r="R340">
        <v>0</v>
      </c>
      <c r="S340">
        <v>0</v>
      </c>
      <c r="T340" t="s">
        <v>253</v>
      </c>
      <c r="U340" t="str">
        <f>IF('Basis Options'!D345="NGI/CHI. GATE","""NGI/CHI. GATE""",TRIM('Basis Options'!D345))</f>
        <v>IF-TRANSCO/Z6</v>
      </c>
      <c r="V340" t="s">
        <v>253</v>
      </c>
      <c r="W340" t="s">
        <v>132</v>
      </c>
      <c r="X340" t="s">
        <v>253</v>
      </c>
      <c r="Y340" t="s">
        <v>235</v>
      </c>
      <c r="Z340" t="s">
        <v>236</v>
      </c>
      <c r="AA340" t="s">
        <v>253</v>
      </c>
      <c r="AB340" t="s">
        <v>1</v>
      </c>
      <c r="AC340" s="235">
        <f>'Basis Options'!H345</f>
        <v>-500000</v>
      </c>
      <c r="AD340" s="235">
        <f>'Basis Options'!W345</f>
        <v>-35216.694717858743</v>
      </c>
      <c r="AE340">
        <v>0</v>
      </c>
      <c r="AF340">
        <v>0</v>
      </c>
      <c r="AG340">
        <v>0</v>
      </c>
      <c r="AH340" s="235">
        <f>'Basis Options'!CD345</f>
        <v>0</v>
      </c>
      <c r="AI340">
        <v>226</v>
      </c>
      <c r="AJ340" t="s">
        <v>256</v>
      </c>
      <c r="AK340">
        <v>0</v>
      </c>
      <c r="AL340">
        <v>0</v>
      </c>
      <c r="AM340">
        <v>0</v>
      </c>
    </row>
    <row r="341" spans="1:39" x14ac:dyDescent="0.25">
      <c r="A341" t="s">
        <v>233</v>
      </c>
      <c r="B341" t="str">
        <f>'Basis Options'!C346</f>
        <v>NM6058.1</v>
      </c>
      <c r="C341" t="s">
        <v>255</v>
      </c>
      <c r="D341" t="s">
        <v>234</v>
      </c>
      <c r="E341" t="s">
        <v>20</v>
      </c>
      <c r="F341" t="str">
        <f>'Basis Options'!A346</f>
        <v>ELPASMER</v>
      </c>
      <c r="G341" t="s">
        <v>269</v>
      </c>
      <c r="H341" t="s">
        <v>254</v>
      </c>
      <c r="I341" t="s">
        <v>242</v>
      </c>
      <c r="J341" t="s">
        <v>235</v>
      </c>
      <c r="K341" s="380">
        <f>'Basis Options'!G346</f>
        <v>36831</v>
      </c>
      <c r="L341" s="235">
        <f>'Basis Options'!U346</f>
        <v>-24151.741968053168</v>
      </c>
      <c r="M341" s="380">
        <f>'Basis Options'!Q346</f>
        <v>36829</v>
      </c>
      <c r="N341" t="str">
        <f>'Basis Options'!F346</f>
        <v>C</v>
      </c>
      <c r="O341">
        <f>'Basis Options'!I346</f>
        <v>1.6</v>
      </c>
      <c r="P341">
        <v>0</v>
      </c>
      <c r="Q341">
        <v>0</v>
      </c>
      <c r="R341">
        <v>0</v>
      </c>
      <c r="S341">
        <v>0</v>
      </c>
      <c r="T341" t="s">
        <v>253</v>
      </c>
      <c r="U341" t="str">
        <f>IF('Basis Options'!D346="NGI/CHI. GATE","""NGI/CHI. GATE""",TRIM('Basis Options'!D346))</f>
        <v>IF-TRANSCO/Z6</v>
      </c>
      <c r="V341" t="s">
        <v>253</v>
      </c>
      <c r="W341" t="s">
        <v>132</v>
      </c>
      <c r="X341" t="s">
        <v>253</v>
      </c>
      <c r="Y341" t="s">
        <v>235</v>
      </c>
      <c r="Z341" t="s">
        <v>236</v>
      </c>
      <c r="AA341" t="s">
        <v>253</v>
      </c>
      <c r="AB341" t="s">
        <v>1</v>
      </c>
      <c r="AC341" s="235">
        <f>'Basis Options'!H346</f>
        <v>-500000</v>
      </c>
      <c r="AD341" s="235">
        <f>'Basis Options'!W346</f>
        <v>-11301.038971136048</v>
      </c>
      <c r="AE341">
        <v>0</v>
      </c>
      <c r="AF341">
        <v>0</v>
      </c>
      <c r="AG341">
        <v>0</v>
      </c>
      <c r="AH341" s="235">
        <f>'Basis Options'!CD346</f>
        <v>0</v>
      </c>
      <c r="AI341">
        <v>226</v>
      </c>
      <c r="AJ341" t="s">
        <v>256</v>
      </c>
      <c r="AK341">
        <v>0</v>
      </c>
      <c r="AL341">
        <v>0</v>
      </c>
      <c r="AM341">
        <v>0</v>
      </c>
    </row>
    <row r="342" spans="1:39" x14ac:dyDescent="0.25">
      <c r="A342" t="s">
        <v>233</v>
      </c>
      <c r="B342" t="str">
        <f>'Basis Options'!C347</f>
        <v>NM6058.2</v>
      </c>
      <c r="C342" t="s">
        <v>255</v>
      </c>
      <c r="D342" t="s">
        <v>234</v>
      </c>
      <c r="E342" t="s">
        <v>20</v>
      </c>
      <c r="F342" t="str">
        <f>'Basis Options'!A347</f>
        <v>ELPASMER</v>
      </c>
      <c r="G342" t="s">
        <v>269</v>
      </c>
      <c r="H342" t="s">
        <v>254</v>
      </c>
      <c r="I342" t="s">
        <v>242</v>
      </c>
      <c r="J342" t="s">
        <v>235</v>
      </c>
      <c r="K342" s="380">
        <f>'Basis Options'!G347</f>
        <v>36951</v>
      </c>
      <c r="L342" s="235">
        <f>'Basis Options'!U347</f>
        <v>-417971.88358793012</v>
      </c>
      <c r="M342" s="380">
        <f>'Basis Options'!Q347</f>
        <v>36949</v>
      </c>
      <c r="N342" t="str">
        <f>'Basis Options'!F347</f>
        <v>P</v>
      </c>
      <c r="O342">
        <f>'Basis Options'!I347</f>
        <v>1.6</v>
      </c>
      <c r="P342">
        <v>0</v>
      </c>
      <c r="Q342">
        <v>0</v>
      </c>
      <c r="R342">
        <v>0</v>
      </c>
      <c r="S342">
        <v>0</v>
      </c>
      <c r="T342" t="s">
        <v>253</v>
      </c>
      <c r="U342" t="str">
        <f>IF('Basis Options'!D347="NGI/CHI. GATE","""NGI/CHI. GATE""",TRIM('Basis Options'!D347))</f>
        <v>IF-TRANSCO/Z6</v>
      </c>
      <c r="V342" t="s">
        <v>253</v>
      </c>
      <c r="W342" t="s">
        <v>132</v>
      </c>
      <c r="X342" t="s">
        <v>253</v>
      </c>
      <c r="Y342" t="s">
        <v>235</v>
      </c>
      <c r="Z342" t="s">
        <v>236</v>
      </c>
      <c r="AA342" t="s">
        <v>253</v>
      </c>
      <c r="AB342" t="s">
        <v>1</v>
      </c>
      <c r="AC342" s="235">
        <f>'Basis Options'!H347</f>
        <v>-500000</v>
      </c>
      <c r="AD342" s="235">
        <f>'Basis Options'!W347</f>
        <v>-40367.878366955032</v>
      </c>
      <c r="AE342">
        <v>0</v>
      </c>
      <c r="AF342">
        <v>0</v>
      </c>
      <c r="AG342">
        <v>0</v>
      </c>
      <c r="AH342" s="235">
        <f>'Basis Options'!CD347</f>
        <v>0</v>
      </c>
      <c r="AI342">
        <v>226</v>
      </c>
      <c r="AJ342" t="s">
        <v>256</v>
      </c>
      <c r="AK342">
        <v>0</v>
      </c>
      <c r="AL342">
        <v>0</v>
      </c>
      <c r="AM342">
        <v>0</v>
      </c>
    </row>
    <row r="343" spans="1:39" x14ac:dyDescent="0.25">
      <c r="A343" t="s">
        <v>233</v>
      </c>
      <c r="B343" t="str">
        <f>'Basis Options'!C348</f>
        <v>NM6058.2</v>
      </c>
      <c r="C343" t="s">
        <v>255</v>
      </c>
      <c r="D343" t="s">
        <v>234</v>
      </c>
      <c r="E343" t="s">
        <v>20</v>
      </c>
      <c r="F343" t="str">
        <f>'Basis Options'!A348</f>
        <v>ELPASMER</v>
      </c>
      <c r="G343" t="s">
        <v>269</v>
      </c>
      <c r="H343" t="s">
        <v>254</v>
      </c>
      <c r="I343" t="s">
        <v>242</v>
      </c>
      <c r="J343" t="s">
        <v>235</v>
      </c>
      <c r="K343" s="380">
        <f>'Basis Options'!G348</f>
        <v>36923</v>
      </c>
      <c r="L343" s="235">
        <f>'Basis Options'!U348</f>
        <v>-214162.19068565266</v>
      </c>
      <c r="M343" s="380">
        <f>'Basis Options'!Q348</f>
        <v>36921</v>
      </c>
      <c r="N343" t="str">
        <f>'Basis Options'!F348</f>
        <v>P</v>
      </c>
      <c r="O343">
        <f>'Basis Options'!I348</f>
        <v>1.6</v>
      </c>
      <c r="P343">
        <v>0</v>
      </c>
      <c r="Q343">
        <v>0</v>
      </c>
      <c r="R343">
        <v>0</v>
      </c>
      <c r="S343">
        <v>0</v>
      </c>
      <c r="T343" t="s">
        <v>253</v>
      </c>
      <c r="U343" t="str">
        <f>IF('Basis Options'!D348="NGI/CHI. GATE","""NGI/CHI. GATE""",TRIM('Basis Options'!D348))</f>
        <v>IF-TRANSCO/Z6</v>
      </c>
      <c r="V343" t="s">
        <v>253</v>
      </c>
      <c r="W343" t="s">
        <v>132</v>
      </c>
      <c r="X343" t="s">
        <v>253</v>
      </c>
      <c r="Y343" t="s">
        <v>235</v>
      </c>
      <c r="Z343" t="s">
        <v>236</v>
      </c>
      <c r="AA343" t="s">
        <v>253</v>
      </c>
      <c r="AB343" t="s">
        <v>1</v>
      </c>
      <c r="AC343" s="235">
        <f>'Basis Options'!H348</f>
        <v>-500000</v>
      </c>
      <c r="AD343" s="235">
        <f>'Basis Options'!W348</f>
        <v>-41844.364258128277</v>
      </c>
      <c r="AE343">
        <v>0</v>
      </c>
      <c r="AF343">
        <v>0</v>
      </c>
      <c r="AG343">
        <v>0</v>
      </c>
      <c r="AH343" s="235">
        <f>'Basis Options'!CD348</f>
        <v>0</v>
      </c>
      <c r="AI343">
        <v>226</v>
      </c>
      <c r="AJ343" t="s">
        <v>256</v>
      </c>
      <c r="AK343">
        <v>0</v>
      </c>
      <c r="AL343">
        <v>0</v>
      </c>
      <c r="AM343">
        <v>0</v>
      </c>
    </row>
    <row r="344" spans="1:39" x14ac:dyDescent="0.25">
      <c r="A344" t="s">
        <v>233</v>
      </c>
      <c r="B344" t="str">
        <f>'Basis Options'!C349</f>
        <v>NM6058.2</v>
      </c>
      <c r="C344" t="s">
        <v>255</v>
      </c>
      <c r="D344" t="s">
        <v>234</v>
      </c>
      <c r="E344" t="s">
        <v>20</v>
      </c>
      <c r="F344" t="str">
        <f>'Basis Options'!A349</f>
        <v>ELPASMER</v>
      </c>
      <c r="G344" t="s">
        <v>269</v>
      </c>
      <c r="H344" t="s">
        <v>254</v>
      </c>
      <c r="I344" t="s">
        <v>242</v>
      </c>
      <c r="J344" t="s">
        <v>235</v>
      </c>
      <c r="K344" s="380">
        <f>'Basis Options'!G349</f>
        <v>36892</v>
      </c>
      <c r="L344" s="235">
        <f>'Basis Options'!U349</f>
        <v>-184352.64445160894</v>
      </c>
      <c r="M344" s="380">
        <f>'Basis Options'!Q349</f>
        <v>36888</v>
      </c>
      <c r="N344" t="str">
        <f>'Basis Options'!F349</f>
        <v>P</v>
      </c>
      <c r="O344">
        <f>'Basis Options'!I349</f>
        <v>1.6</v>
      </c>
      <c r="P344">
        <v>0</v>
      </c>
      <c r="Q344">
        <v>0</v>
      </c>
      <c r="R344">
        <v>0</v>
      </c>
      <c r="S344">
        <v>0</v>
      </c>
      <c r="T344" t="s">
        <v>253</v>
      </c>
      <c r="U344" t="str">
        <f>IF('Basis Options'!D349="NGI/CHI. GATE","""NGI/CHI. GATE""",TRIM('Basis Options'!D349))</f>
        <v>IF-TRANSCO/Z6</v>
      </c>
      <c r="V344" t="s">
        <v>253</v>
      </c>
      <c r="W344" t="s">
        <v>132</v>
      </c>
      <c r="X344" t="s">
        <v>253</v>
      </c>
      <c r="Y344" t="s">
        <v>235</v>
      </c>
      <c r="Z344" t="s">
        <v>236</v>
      </c>
      <c r="AA344" t="s">
        <v>253</v>
      </c>
      <c r="AB344" t="s">
        <v>1</v>
      </c>
      <c r="AC344" s="235">
        <f>'Basis Options'!H349</f>
        <v>-500000</v>
      </c>
      <c r="AD344" s="235">
        <f>'Basis Options'!W349</f>
        <v>-37504.137359824672</v>
      </c>
      <c r="AE344">
        <v>0</v>
      </c>
      <c r="AF344">
        <v>0</v>
      </c>
      <c r="AG344">
        <v>0</v>
      </c>
      <c r="AH344" s="235">
        <f>'Basis Options'!CD349</f>
        <v>0</v>
      </c>
      <c r="AI344">
        <v>226</v>
      </c>
      <c r="AJ344" t="s">
        <v>256</v>
      </c>
      <c r="AK344">
        <v>0</v>
      </c>
      <c r="AL344">
        <v>0</v>
      </c>
      <c r="AM344">
        <v>0</v>
      </c>
    </row>
    <row r="345" spans="1:39" x14ac:dyDescent="0.25">
      <c r="A345" t="s">
        <v>233</v>
      </c>
      <c r="B345" t="str">
        <f>'Basis Options'!C350</f>
        <v>NM6058.2</v>
      </c>
      <c r="C345" t="s">
        <v>255</v>
      </c>
      <c r="D345" t="s">
        <v>234</v>
      </c>
      <c r="E345" t="s">
        <v>20</v>
      </c>
      <c r="F345" t="str">
        <f>'Basis Options'!A350</f>
        <v>ELPASMER</v>
      </c>
      <c r="G345" t="s">
        <v>269</v>
      </c>
      <c r="H345" t="s">
        <v>254</v>
      </c>
      <c r="I345" t="s">
        <v>242</v>
      </c>
      <c r="J345" t="s">
        <v>235</v>
      </c>
      <c r="K345" s="380">
        <f>'Basis Options'!G350</f>
        <v>36861</v>
      </c>
      <c r="L345" s="235">
        <f>'Basis Options'!U350</f>
        <v>-244225.55791473665</v>
      </c>
      <c r="M345" s="380">
        <f>'Basis Options'!Q350</f>
        <v>36859</v>
      </c>
      <c r="N345" t="str">
        <f>'Basis Options'!F350</f>
        <v>P</v>
      </c>
      <c r="O345">
        <f>'Basis Options'!I350</f>
        <v>1.6</v>
      </c>
      <c r="P345">
        <v>0</v>
      </c>
      <c r="Q345">
        <v>0</v>
      </c>
      <c r="R345">
        <v>0</v>
      </c>
      <c r="S345">
        <v>0</v>
      </c>
      <c r="T345" t="s">
        <v>253</v>
      </c>
      <c r="U345" t="str">
        <f>IF('Basis Options'!D350="NGI/CHI. GATE","""NGI/CHI. GATE""",TRIM('Basis Options'!D350))</f>
        <v>IF-TRANSCO/Z6</v>
      </c>
      <c r="V345" t="s">
        <v>253</v>
      </c>
      <c r="W345" t="s">
        <v>132</v>
      </c>
      <c r="X345" t="s">
        <v>253</v>
      </c>
      <c r="Y345" t="s">
        <v>235</v>
      </c>
      <c r="Z345" t="s">
        <v>236</v>
      </c>
      <c r="AA345" t="s">
        <v>253</v>
      </c>
      <c r="AB345" t="s">
        <v>1</v>
      </c>
      <c r="AC345" s="235">
        <f>'Basis Options'!H350</f>
        <v>-500000</v>
      </c>
      <c r="AD345" s="235">
        <f>'Basis Options'!W350</f>
        <v>-35216.694717858743</v>
      </c>
      <c r="AE345">
        <v>0</v>
      </c>
      <c r="AF345">
        <v>0</v>
      </c>
      <c r="AG345">
        <v>0</v>
      </c>
      <c r="AH345" s="235">
        <f>'Basis Options'!CD350</f>
        <v>0</v>
      </c>
      <c r="AI345">
        <v>226</v>
      </c>
      <c r="AJ345" t="s">
        <v>256</v>
      </c>
      <c r="AK345">
        <v>0</v>
      </c>
      <c r="AL345">
        <v>0</v>
      </c>
      <c r="AM345">
        <v>0</v>
      </c>
    </row>
    <row r="346" spans="1:39" x14ac:dyDescent="0.25">
      <c r="A346" t="s">
        <v>233</v>
      </c>
      <c r="B346" t="str">
        <f>'Basis Options'!C351</f>
        <v>NM6058.2</v>
      </c>
      <c r="C346" t="s">
        <v>255</v>
      </c>
      <c r="D346" t="s">
        <v>234</v>
      </c>
      <c r="E346" t="s">
        <v>20</v>
      </c>
      <c r="F346" t="str">
        <f>'Basis Options'!A351</f>
        <v>ELPASMER</v>
      </c>
      <c r="G346" t="s">
        <v>269</v>
      </c>
      <c r="H346" t="s">
        <v>254</v>
      </c>
      <c r="I346" t="s">
        <v>242</v>
      </c>
      <c r="J346" t="s">
        <v>235</v>
      </c>
      <c r="K346" s="380">
        <f>'Basis Options'!G351</f>
        <v>36831</v>
      </c>
      <c r="L346" s="235">
        <f>'Basis Options'!U351</f>
        <v>-434381.59475977079</v>
      </c>
      <c r="M346" s="380">
        <f>'Basis Options'!Q351</f>
        <v>36829</v>
      </c>
      <c r="N346" t="str">
        <f>'Basis Options'!F351</f>
        <v>P</v>
      </c>
      <c r="O346">
        <f>'Basis Options'!I351</f>
        <v>1.6</v>
      </c>
      <c r="P346">
        <v>0</v>
      </c>
      <c r="Q346">
        <v>0</v>
      </c>
      <c r="R346">
        <v>0</v>
      </c>
      <c r="S346">
        <v>0</v>
      </c>
      <c r="T346" t="s">
        <v>253</v>
      </c>
      <c r="U346" t="str">
        <f>IF('Basis Options'!D351="NGI/CHI. GATE","""NGI/CHI. GATE""",TRIM('Basis Options'!D351))</f>
        <v>IF-TRANSCO/Z6</v>
      </c>
      <c r="V346" t="s">
        <v>253</v>
      </c>
      <c r="W346" t="s">
        <v>132</v>
      </c>
      <c r="X346" t="s">
        <v>253</v>
      </c>
      <c r="Y346" t="s">
        <v>235</v>
      </c>
      <c r="Z346" t="s">
        <v>236</v>
      </c>
      <c r="AA346" t="s">
        <v>253</v>
      </c>
      <c r="AB346" t="s">
        <v>1</v>
      </c>
      <c r="AC346" s="235">
        <f>'Basis Options'!H351</f>
        <v>-500000</v>
      </c>
      <c r="AD346" s="235">
        <f>'Basis Options'!W351</f>
        <v>-11301.038971135975</v>
      </c>
      <c r="AE346">
        <v>0</v>
      </c>
      <c r="AF346">
        <v>0</v>
      </c>
      <c r="AG346">
        <v>0</v>
      </c>
      <c r="AH346" s="235">
        <f>'Basis Options'!CD351</f>
        <v>0</v>
      </c>
      <c r="AI346">
        <v>226</v>
      </c>
      <c r="AJ346" t="s">
        <v>256</v>
      </c>
      <c r="AK346">
        <v>0</v>
      </c>
      <c r="AL346">
        <v>0</v>
      </c>
      <c r="AM346">
        <v>0</v>
      </c>
    </row>
    <row r="347" spans="1:39" x14ac:dyDescent="0.25">
      <c r="A347" t="s">
        <v>233</v>
      </c>
      <c r="B347" t="str">
        <f>'Basis Options'!C352</f>
        <v>NM6058.3</v>
      </c>
      <c r="C347" t="s">
        <v>255</v>
      </c>
      <c r="D347" t="s">
        <v>234</v>
      </c>
      <c r="E347" t="s">
        <v>20</v>
      </c>
      <c r="F347" t="str">
        <f>'Basis Options'!A352</f>
        <v>ELPASMER</v>
      </c>
      <c r="G347" t="s">
        <v>269</v>
      </c>
      <c r="H347" t="s">
        <v>254</v>
      </c>
      <c r="I347" t="s">
        <v>242</v>
      </c>
      <c r="J347" t="s">
        <v>235</v>
      </c>
      <c r="K347" s="380">
        <f>'Basis Options'!G352</f>
        <v>36923</v>
      </c>
      <c r="L347" s="235">
        <f>'Basis Options'!U352</f>
        <v>-267470.84100847162</v>
      </c>
      <c r="M347" s="380">
        <f>'Basis Options'!Q352</f>
        <v>36921</v>
      </c>
      <c r="N347" t="str">
        <f>'Basis Options'!F352</f>
        <v>C</v>
      </c>
      <c r="O347">
        <f>'Basis Options'!I352</f>
        <v>2.5</v>
      </c>
      <c r="P347">
        <v>0</v>
      </c>
      <c r="Q347">
        <v>0</v>
      </c>
      <c r="R347">
        <v>0</v>
      </c>
      <c r="S347">
        <v>0</v>
      </c>
      <c r="T347" t="s">
        <v>253</v>
      </c>
      <c r="U347" t="str">
        <f>IF('Basis Options'!D352="NGI/CHI. GATE","""NGI/CHI. GATE""",TRIM('Basis Options'!D352))</f>
        <v>IF-TRANSCO/Z6</v>
      </c>
      <c r="V347" t="s">
        <v>253</v>
      </c>
      <c r="W347" t="s">
        <v>132</v>
      </c>
      <c r="X347" t="s">
        <v>253</v>
      </c>
      <c r="Y347" t="s">
        <v>235</v>
      </c>
      <c r="Z347" t="s">
        <v>236</v>
      </c>
      <c r="AA347" t="s">
        <v>253</v>
      </c>
      <c r="AB347" t="s">
        <v>1</v>
      </c>
      <c r="AC347" s="235">
        <f>'Basis Options'!H352</f>
        <v>-500000</v>
      </c>
      <c r="AD347" s="235">
        <f>'Basis Options'!W352</f>
        <v>-41251.337051812035</v>
      </c>
      <c r="AE347">
        <v>0</v>
      </c>
      <c r="AF347">
        <v>0</v>
      </c>
      <c r="AG347">
        <v>0</v>
      </c>
      <c r="AH347" s="235">
        <f>'Basis Options'!CD352</f>
        <v>0</v>
      </c>
      <c r="AI347">
        <v>226</v>
      </c>
      <c r="AJ347" t="s">
        <v>256</v>
      </c>
      <c r="AK347">
        <v>0</v>
      </c>
      <c r="AL347">
        <v>0</v>
      </c>
      <c r="AM347">
        <v>0</v>
      </c>
    </row>
    <row r="348" spans="1:39" x14ac:dyDescent="0.25">
      <c r="A348" t="s">
        <v>233</v>
      </c>
      <c r="B348" t="str">
        <f>'Basis Options'!C353</f>
        <v>NM6058.3</v>
      </c>
      <c r="C348" t="s">
        <v>255</v>
      </c>
      <c r="D348" t="s">
        <v>234</v>
      </c>
      <c r="E348" t="s">
        <v>20</v>
      </c>
      <c r="F348" t="str">
        <f>'Basis Options'!A353</f>
        <v>ELPASMER</v>
      </c>
      <c r="G348" t="s">
        <v>269</v>
      </c>
      <c r="H348" t="s">
        <v>254</v>
      </c>
      <c r="I348" t="s">
        <v>242</v>
      </c>
      <c r="J348" t="s">
        <v>235</v>
      </c>
      <c r="K348" s="380">
        <f>'Basis Options'!G353</f>
        <v>36892</v>
      </c>
      <c r="L348" s="235">
        <f>'Basis Options'!U353</f>
        <v>-264614.06065941975</v>
      </c>
      <c r="M348" s="380">
        <f>'Basis Options'!Q353</f>
        <v>36888</v>
      </c>
      <c r="N348" t="str">
        <f>'Basis Options'!F353</f>
        <v>C</v>
      </c>
      <c r="O348">
        <f>'Basis Options'!I353</f>
        <v>2.5</v>
      </c>
      <c r="P348">
        <v>0</v>
      </c>
      <c r="Q348">
        <v>0</v>
      </c>
      <c r="R348">
        <v>0</v>
      </c>
      <c r="S348">
        <v>0</v>
      </c>
      <c r="T348" t="s">
        <v>253</v>
      </c>
      <c r="U348" t="str">
        <f>IF('Basis Options'!D353="NGI/CHI. GATE","""NGI/CHI. GATE""",TRIM('Basis Options'!D353))</f>
        <v>IF-TRANSCO/Z6</v>
      </c>
      <c r="V348" t="s">
        <v>253</v>
      </c>
      <c r="W348" t="s">
        <v>132</v>
      </c>
      <c r="X348" t="s">
        <v>253</v>
      </c>
      <c r="Y348" t="s">
        <v>235</v>
      </c>
      <c r="Z348" t="s">
        <v>236</v>
      </c>
      <c r="AA348" t="s">
        <v>253</v>
      </c>
      <c r="AB348" t="s">
        <v>1</v>
      </c>
      <c r="AC348" s="235">
        <f>'Basis Options'!H353</f>
        <v>-500000</v>
      </c>
      <c r="AD348" s="235">
        <f>'Basis Options'!W353</f>
        <v>-38024.75411422184</v>
      </c>
      <c r="AE348">
        <v>0</v>
      </c>
      <c r="AF348">
        <v>0</v>
      </c>
      <c r="AG348">
        <v>0</v>
      </c>
      <c r="AH348" s="235">
        <f>'Basis Options'!CD353</f>
        <v>0</v>
      </c>
      <c r="AI348">
        <v>226</v>
      </c>
      <c r="AJ348" t="s">
        <v>256</v>
      </c>
      <c r="AK348">
        <v>0</v>
      </c>
      <c r="AL348">
        <v>0</v>
      </c>
      <c r="AM348">
        <v>0</v>
      </c>
    </row>
    <row r="349" spans="1:39" x14ac:dyDescent="0.25">
      <c r="A349" t="s">
        <v>233</v>
      </c>
      <c r="B349" t="str">
        <f>'Basis Options'!C354</f>
        <v>NM6058.3</v>
      </c>
      <c r="C349" t="s">
        <v>255</v>
      </c>
      <c r="D349" t="s">
        <v>234</v>
      </c>
      <c r="E349" t="s">
        <v>20</v>
      </c>
      <c r="F349" t="str">
        <f>'Basis Options'!A354</f>
        <v>ELPASMER</v>
      </c>
      <c r="G349" t="s">
        <v>269</v>
      </c>
      <c r="H349" t="s">
        <v>254</v>
      </c>
      <c r="I349" t="s">
        <v>242</v>
      </c>
      <c r="J349" t="s">
        <v>235</v>
      </c>
      <c r="K349" s="380">
        <f>'Basis Options'!G354</f>
        <v>36861</v>
      </c>
      <c r="L349" s="235">
        <f>'Basis Options'!U354</f>
        <v>-122596.41185392672</v>
      </c>
      <c r="M349" s="380">
        <f>'Basis Options'!Q354</f>
        <v>36859</v>
      </c>
      <c r="N349" t="str">
        <f>'Basis Options'!F354</f>
        <v>C</v>
      </c>
      <c r="O349">
        <f>'Basis Options'!I354</f>
        <v>2.5</v>
      </c>
      <c r="P349">
        <v>0</v>
      </c>
      <c r="Q349">
        <v>0</v>
      </c>
      <c r="R349">
        <v>0</v>
      </c>
      <c r="S349">
        <v>0</v>
      </c>
      <c r="T349" t="s">
        <v>253</v>
      </c>
      <c r="U349" t="str">
        <f>IF('Basis Options'!D354="NGI/CHI. GATE","""NGI/CHI. GATE""",TRIM('Basis Options'!D354))</f>
        <v>IF-TRANSCO/Z6</v>
      </c>
      <c r="V349" t="s">
        <v>253</v>
      </c>
      <c r="W349" t="s">
        <v>132</v>
      </c>
      <c r="X349" t="s">
        <v>253</v>
      </c>
      <c r="Y349" t="s">
        <v>235</v>
      </c>
      <c r="Z349" t="s">
        <v>236</v>
      </c>
      <c r="AA349" t="s">
        <v>253</v>
      </c>
      <c r="AB349" t="s">
        <v>1</v>
      </c>
      <c r="AC349" s="235">
        <f>'Basis Options'!H354</f>
        <v>-500000</v>
      </c>
      <c r="AD349" s="235">
        <f>'Basis Options'!W354</f>
        <v>-28808.278110160303</v>
      </c>
      <c r="AE349">
        <v>0</v>
      </c>
      <c r="AF349">
        <v>0</v>
      </c>
      <c r="AG349">
        <v>0</v>
      </c>
      <c r="AH349" s="235">
        <f>'Basis Options'!CD354</f>
        <v>0</v>
      </c>
      <c r="AI349">
        <v>226</v>
      </c>
      <c r="AJ349" t="s">
        <v>256</v>
      </c>
      <c r="AK349">
        <v>0</v>
      </c>
      <c r="AL349">
        <v>0</v>
      </c>
      <c r="AM349">
        <v>0</v>
      </c>
    </row>
    <row r="350" spans="1:39" x14ac:dyDescent="0.25">
      <c r="A350" t="s">
        <v>233</v>
      </c>
      <c r="B350" t="str">
        <f>'Basis Options'!C355</f>
        <v>NM6058.4</v>
      </c>
      <c r="C350" t="s">
        <v>255</v>
      </c>
      <c r="D350" t="s">
        <v>234</v>
      </c>
      <c r="E350" t="s">
        <v>20</v>
      </c>
      <c r="F350" t="str">
        <f>'Basis Options'!A355</f>
        <v>ELPASMER</v>
      </c>
      <c r="G350" t="s">
        <v>269</v>
      </c>
      <c r="H350" t="s">
        <v>254</v>
      </c>
      <c r="I350" t="s">
        <v>242</v>
      </c>
      <c r="J350" t="s">
        <v>235</v>
      </c>
      <c r="K350" s="380">
        <f>'Basis Options'!G355</f>
        <v>36951</v>
      </c>
      <c r="L350" s="235">
        <f>'Basis Options'!U355</f>
        <v>170472.48978845702</v>
      </c>
      <c r="M350" s="380">
        <f>'Basis Options'!Q355</f>
        <v>36949</v>
      </c>
      <c r="N350" t="str">
        <f>'Basis Options'!F355</f>
        <v>P</v>
      </c>
      <c r="O350">
        <f>'Basis Options'!I355</f>
        <v>0.75</v>
      </c>
      <c r="P350">
        <v>0</v>
      </c>
      <c r="Q350">
        <v>0</v>
      </c>
      <c r="R350">
        <v>0</v>
      </c>
      <c r="S350">
        <v>0</v>
      </c>
      <c r="T350" t="s">
        <v>253</v>
      </c>
      <c r="U350" t="str">
        <f>IF('Basis Options'!D355="NGI/CHI. GATE","""NGI/CHI. GATE""",TRIM('Basis Options'!D355))</f>
        <v>IF-TRANSCO/Z6</v>
      </c>
      <c r="V350" t="s">
        <v>253</v>
      </c>
      <c r="W350" t="s">
        <v>132</v>
      </c>
      <c r="X350" t="s">
        <v>253</v>
      </c>
      <c r="Y350" t="s">
        <v>235</v>
      </c>
      <c r="Z350" t="s">
        <v>236</v>
      </c>
      <c r="AA350" t="s">
        <v>253</v>
      </c>
      <c r="AB350" t="s">
        <v>1</v>
      </c>
      <c r="AC350" s="235">
        <f>'Basis Options'!H355</f>
        <v>500000</v>
      </c>
      <c r="AD350" s="235">
        <f>'Basis Options'!W355</f>
        <v>43591.332513912144</v>
      </c>
      <c r="AE350">
        <v>0</v>
      </c>
      <c r="AF350">
        <v>0</v>
      </c>
      <c r="AG350">
        <v>0</v>
      </c>
      <c r="AH350" s="235">
        <f>'Basis Options'!CD355</f>
        <v>0</v>
      </c>
      <c r="AI350">
        <v>226</v>
      </c>
      <c r="AJ350" t="s">
        <v>256</v>
      </c>
      <c r="AK350">
        <v>0</v>
      </c>
      <c r="AL350">
        <v>0</v>
      </c>
      <c r="AM350">
        <v>0</v>
      </c>
    </row>
    <row r="351" spans="1:39" x14ac:dyDescent="0.25">
      <c r="A351" t="s">
        <v>233</v>
      </c>
      <c r="B351" t="str">
        <f>'Basis Options'!C356</f>
        <v>NM6058.4</v>
      </c>
      <c r="C351" t="s">
        <v>255</v>
      </c>
      <c r="D351" t="s">
        <v>234</v>
      </c>
      <c r="E351" t="s">
        <v>20</v>
      </c>
      <c r="F351" t="str">
        <f>'Basis Options'!A356</f>
        <v>ELPASMER</v>
      </c>
      <c r="G351" t="s">
        <v>269</v>
      </c>
      <c r="H351" t="s">
        <v>254</v>
      </c>
      <c r="I351" t="s">
        <v>242</v>
      </c>
      <c r="J351" t="s">
        <v>235</v>
      </c>
      <c r="K351" s="380">
        <f>'Basis Options'!G356</f>
        <v>36923</v>
      </c>
      <c r="L351" s="235">
        <f>'Basis Options'!U356</f>
        <v>69532.829044974991</v>
      </c>
      <c r="M351" s="380">
        <f>'Basis Options'!Q356</f>
        <v>36921</v>
      </c>
      <c r="N351" t="str">
        <f>'Basis Options'!F356</f>
        <v>P</v>
      </c>
      <c r="O351">
        <f>'Basis Options'!I356</f>
        <v>0.75</v>
      </c>
      <c r="P351">
        <v>0</v>
      </c>
      <c r="Q351">
        <v>0</v>
      </c>
      <c r="R351">
        <v>0</v>
      </c>
      <c r="S351">
        <v>0</v>
      </c>
      <c r="T351" t="s">
        <v>253</v>
      </c>
      <c r="U351" t="str">
        <f>IF('Basis Options'!D356="NGI/CHI. GATE","""NGI/CHI. GATE""",TRIM('Basis Options'!D356))</f>
        <v>IF-TRANSCO/Z6</v>
      </c>
      <c r="V351" t="s">
        <v>253</v>
      </c>
      <c r="W351" t="s">
        <v>132</v>
      </c>
      <c r="X351" t="s">
        <v>253</v>
      </c>
      <c r="Y351" t="s">
        <v>235</v>
      </c>
      <c r="Z351" t="s">
        <v>236</v>
      </c>
      <c r="AA351" t="s">
        <v>253</v>
      </c>
      <c r="AB351" t="s">
        <v>1</v>
      </c>
      <c r="AC351" s="235">
        <f>'Basis Options'!H356</f>
        <v>500000</v>
      </c>
      <c r="AD351" s="235">
        <f>'Basis Options'!W356</f>
        <v>30559.427158733772</v>
      </c>
      <c r="AE351">
        <v>0</v>
      </c>
      <c r="AF351">
        <v>0</v>
      </c>
      <c r="AG351">
        <v>0</v>
      </c>
      <c r="AH351" s="235">
        <f>'Basis Options'!CD356</f>
        <v>0</v>
      </c>
      <c r="AI351">
        <v>226</v>
      </c>
      <c r="AJ351" t="s">
        <v>256</v>
      </c>
      <c r="AK351">
        <v>0</v>
      </c>
      <c r="AL351">
        <v>0</v>
      </c>
      <c r="AM351">
        <v>0</v>
      </c>
    </row>
    <row r="352" spans="1:39" x14ac:dyDescent="0.25">
      <c r="A352" t="s">
        <v>233</v>
      </c>
      <c r="B352" t="str">
        <f>'Basis Options'!C357</f>
        <v>NM6058.4</v>
      </c>
      <c r="C352" t="s">
        <v>255</v>
      </c>
      <c r="D352" t="s">
        <v>234</v>
      </c>
      <c r="E352" t="s">
        <v>20</v>
      </c>
      <c r="F352" t="str">
        <f>'Basis Options'!A357</f>
        <v>ELPASMER</v>
      </c>
      <c r="G352" t="s">
        <v>269</v>
      </c>
      <c r="H352" t="s">
        <v>254</v>
      </c>
      <c r="I352" t="s">
        <v>242</v>
      </c>
      <c r="J352" t="s">
        <v>235</v>
      </c>
      <c r="K352" s="380">
        <f>'Basis Options'!G357</f>
        <v>36892</v>
      </c>
      <c r="L352" s="235">
        <f>'Basis Options'!U357</f>
        <v>54713.722490727865</v>
      </c>
      <c r="M352" s="380">
        <f>'Basis Options'!Q357</f>
        <v>36888</v>
      </c>
      <c r="N352" t="str">
        <f>'Basis Options'!F357</f>
        <v>P</v>
      </c>
      <c r="O352">
        <f>'Basis Options'!I357</f>
        <v>0.75</v>
      </c>
      <c r="P352">
        <v>0</v>
      </c>
      <c r="Q352">
        <v>0</v>
      </c>
      <c r="R352">
        <v>0</v>
      </c>
      <c r="S352">
        <v>0</v>
      </c>
      <c r="T352" t="s">
        <v>253</v>
      </c>
      <c r="U352" t="str">
        <f>IF('Basis Options'!D357="NGI/CHI. GATE","""NGI/CHI. GATE""",TRIM('Basis Options'!D357))</f>
        <v>IF-TRANSCO/Z6</v>
      </c>
      <c r="V352" t="s">
        <v>253</v>
      </c>
      <c r="W352" t="s">
        <v>132</v>
      </c>
      <c r="X352" t="s">
        <v>253</v>
      </c>
      <c r="Y352" t="s">
        <v>235</v>
      </c>
      <c r="Z352" t="s">
        <v>236</v>
      </c>
      <c r="AA352" t="s">
        <v>253</v>
      </c>
      <c r="AB352" t="s">
        <v>1</v>
      </c>
      <c r="AC352" s="235">
        <f>'Basis Options'!H357</f>
        <v>500000</v>
      </c>
      <c r="AD352" s="235">
        <f>'Basis Options'!W357</f>
        <v>25281.884867561384</v>
      </c>
      <c r="AE352">
        <v>0</v>
      </c>
      <c r="AF352">
        <v>0</v>
      </c>
      <c r="AG352">
        <v>0</v>
      </c>
      <c r="AH352" s="235">
        <f>'Basis Options'!CD357</f>
        <v>0</v>
      </c>
      <c r="AI352">
        <v>226</v>
      </c>
      <c r="AJ352" t="s">
        <v>256</v>
      </c>
      <c r="AK352">
        <v>0</v>
      </c>
      <c r="AL352">
        <v>0</v>
      </c>
      <c r="AM352">
        <v>0</v>
      </c>
    </row>
    <row r="353" spans="1:39" x14ac:dyDescent="0.25">
      <c r="A353" t="s">
        <v>233</v>
      </c>
      <c r="B353" t="str">
        <f>'Basis Options'!C358</f>
        <v>NM6058.4</v>
      </c>
      <c r="C353" t="s">
        <v>255</v>
      </c>
      <c r="D353" t="s">
        <v>234</v>
      </c>
      <c r="E353" t="s">
        <v>20</v>
      </c>
      <c r="F353" t="str">
        <f>'Basis Options'!A358</f>
        <v>ELPASMER</v>
      </c>
      <c r="G353" t="s">
        <v>269</v>
      </c>
      <c r="H353" t="s">
        <v>254</v>
      </c>
      <c r="I353" t="s">
        <v>242</v>
      </c>
      <c r="J353" t="s">
        <v>235</v>
      </c>
      <c r="K353" s="380">
        <f>'Basis Options'!G358</f>
        <v>36861</v>
      </c>
      <c r="L353" s="235">
        <f>'Basis Options'!U358</f>
        <v>73048.403199083463</v>
      </c>
      <c r="M353" s="380">
        <f>'Basis Options'!Q358</f>
        <v>36859</v>
      </c>
      <c r="N353" t="str">
        <f>'Basis Options'!F358</f>
        <v>P</v>
      </c>
      <c r="O353">
        <f>'Basis Options'!I358</f>
        <v>0.75</v>
      </c>
      <c r="P353">
        <v>0</v>
      </c>
      <c r="Q353">
        <v>0</v>
      </c>
      <c r="R353">
        <v>0</v>
      </c>
      <c r="S353">
        <v>0</v>
      </c>
      <c r="T353" t="s">
        <v>253</v>
      </c>
      <c r="U353" t="str">
        <f>IF('Basis Options'!D358="NGI/CHI. GATE","""NGI/CHI. GATE""",TRIM('Basis Options'!D358))</f>
        <v>IF-TRANSCO/Z6</v>
      </c>
      <c r="V353" t="s">
        <v>253</v>
      </c>
      <c r="W353" t="s">
        <v>132</v>
      </c>
      <c r="X353" t="s">
        <v>253</v>
      </c>
      <c r="Y353" t="s">
        <v>235</v>
      </c>
      <c r="Z353" t="s">
        <v>236</v>
      </c>
      <c r="AA353" t="s">
        <v>253</v>
      </c>
      <c r="AB353" t="s">
        <v>1</v>
      </c>
      <c r="AC353" s="235">
        <f>'Basis Options'!H358</f>
        <v>500000</v>
      </c>
      <c r="AD353" s="235">
        <f>'Basis Options'!W358</f>
        <v>27560.290282280752</v>
      </c>
      <c r="AE353">
        <v>0</v>
      </c>
      <c r="AF353">
        <v>0</v>
      </c>
      <c r="AG353">
        <v>0</v>
      </c>
      <c r="AH353" s="235">
        <f>'Basis Options'!CD358</f>
        <v>0</v>
      </c>
      <c r="AI353">
        <v>226</v>
      </c>
      <c r="AJ353" t="s">
        <v>256</v>
      </c>
      <c r="AK353">
        <v>0</v>
      </c>
      <c r="AL353">
        <v>0</v>
      </c>
      <c r="AM353">
        <v>0</v>
      </c>
    </row>
    <row r="354" spans="1:39" x14ac:dyDescent="0.25">
      <c r="A354" t="s">
        <v>233</v>
      </c>
      <c r="B354" t="str">
        <f>'Basis Options'!C359</f>
        <v>NM6058.4</v>
      </c>
      <c r="C354" t="s">
        <v>255</v>
      </c>
      <c r="D354" t="s">
        <v>234</v>
      </c>
      <c r="E354" t="s">
        <v>20</v>
      </c>
      <c r="F354" t="str">
        <f>'Basis Options'!A359</f>
        <v>ELPASMER</v>
      </c>
      <c r="G354" t="s">
        <v>269</v>
      </c>
      <c r="H354" t="s">
        <v>254</v>
      </c>
      <c r="I354" t="s">
        <v>242</v>
      </c>
      <c r="J354" t="s">
        <v>235</v>
      </c>
      <c r="K354" s="380">
        <f>'Basis Options'!G359</f>
        <v>36831</v>
      </c>
      <c r="L354" s="235">
        <f>'Basis Options'!U359</f>
        <v>123798.66974732462</v>
      </c>
      <c r="M354" s="380">
        <f>'Basis Options'!Q359</f>
        <v>36829</v>
      </c>
      <c r="N354" t="str">
        <f>'Basis Options'!F359</f>
        <v>P</v>
      </c>
      <c r="O354">
        <f>'Basis Options'!I359</f>
        <v>0.75</v>
      </c>
      <c r="P354">
        <v>0</v>
      </c>
      <c r="Q354">
        <v>0</v>
      </c>
      <c r="R354">
        <v>0</v>
      </c>
      <c r="S354">
        <v>0</v>
      </c>
      <c r="T354" t="s">
        <v>253</v>
      </c>
      <c r="U354" t="str">
        <f>IF('Basis Options'!D359="NGI/CHI. GATE","""NGI/CHI. GATE""",TRIM('Basis Options'!D359))</f>
        <v>IF-TRANSCO/Z6</v>
      </c>
      <c r="V354" t="s">
        <v>253</v>
      </c>
      <c r="W354" t="s">
        <v>132</v>
      </c>
      <c r="X354" t="s">
        <v>253</v>
      </c>
      <c r="Y354" t="s">
        <v>235</v>
      </c>
      <c r="Z354" t="s">
        <v>236</v>
      </c>
      <c r="AA354" t="s">
        <v>253</v>
      </c>
      <c r="AB354" t="s">
        <v>1</v>
      </c>
      <c r="AC354" s="235">
        <f>'Basis Options'!H359</f>
        <v>500000</v>
      </c>
      <c r="AD354" s="235">
        <f>'Basis Options'!W359</f>
        <v>22399.683834987489</v>
      </c>
      <c r="AE354">
        <v>0</v>
      </c>
      <c r="AF354">
        <v>0</v>
      </c>
      <c r="AG354">
        <v>0</v>
      </c>
      <c r="AH354" s="235">
        <f>'Basis Options'!CD359</f>
        <v>0</v>
      </c>
      <c r="AI354">
        <v>226</v>
      </c>
      <c r="AJ354" t="s">
        <v>256</v>
      </c>
      <c r="AK354">
        <v>0</v>
      </c>
      <c r="AL354">
        <v>0</v>
      </c>
      <c r="AM354">
        <v>0</v>
      </c>
    </row>
    <row r="355" spans="1:39" x14ac:dyDescent="0.25">
      <c r="A355" t="s">
        <v>233</v>
      </c>
      <c r="B355" t="str">
        <f>'Basis Options'!C360</f>
        <v>NM6058.5</v>
      </c>
      <c r="C355" t="s">
        <v>255</v>
      </c>
      <c r="D355" t="s">
        <v>234</v>
      </c>
      <c r="E355" t="s">
        <v>20</v>
      </c>
      <c r="F355" t="str">
        <f>'Basis Options'!A360</f>
        <v>ELPASMER</v>
      </c>
      <c r="G355" t="s">
        <v>269</v>
      </c>
      <c r="H355" t="s">
        <v>254</v>
      </c>
      <c r="I355" t="s">
        <v>242</v>
      </c>
      <c r="J355" t="s">
        <v>235</v>
      </c>
      <c r="K355" s="380">
        <f>'Basis Options'!G360</f>
        <v>37316</v>
      </c>
      <c r="L355" s="235">
        <f>'Basis Options'!U360</f>
        <v>109242.27876129464</v>
      </c>
      <c r="M355" s="380">
        <f>'Basis Options'!Q360</f>
        <v>37314</v>
      </c>
      <c r="N355" t="str">
        <f>'Basis Options'!F360</f>
        <v>C</v>
      </c>
      <c r="O355">
        <f>'Basis Options'!I360</f>
        <v>1.33</v>
      </c>
      <c r="P355">
        <v>0</v>
      </c>
      <c r="Q355">
        <v>0</v>
      </c>
      <c r="R355">
        <v>0</v>
      </c>
      <c r="S355">
        <v>0</v>
      </c>
      <c r="T355" t="s">
        <v>253</v>
      </c>
      <c r="U355" t="str">
        <f>IF('Basis Options'!D360="NGI/CHI. GATE","""NGI/CHI. GATE""",TRIM('Basis Options'!D360))</f>
        <v>IF-TRANSCO/Z6</v>
      </c>
      <c r="V355" t="s">
        <v>253</v>
      </c>
      <c r="W355" t="s">
        <v>132</v>
      </c>
      <c r="X355" t="s">
        <v>253</v>
      </c>
      <c r="Y355" t="s">
        <v>235</v>
      </c>
      <c r="Z355" t="s">
        <v>236</v>
      </c>
      <c r="AA355" t="s">
        <v>253</v>
      </c>
      <c r="AB355" t="s">
        <v>1</v>
      </c>
      <c r="AC355" s="235">
        <f>'Basis Options'!H360</f>
        <v>500000</v>
      </c>
      <c r="AD355" s="235">
        <f>'Basis Options'!W360</f>
        <v>22768.660271145462</v>
      </c>
      <c r="AE355">
        <v>0</v>
      </c>
      <c r="AF355">
        <v>0</v>
      </c>
      <c r="AG355">
        <v>0</v>
      </c>
      <c r="AH355" s="235">
        <f>'Basis Options'!CD360</f>
        <v>0</v>
      </c>
      <c r="AI355">
        <v>226</v>
      </c>
      <c r="AJ355" t="s">
        <v>256</v>
      </c>
      <c r="AK355">
        <v>0</v>
      </c>
      <c r="AL355">
        <v>0</v>
      </c>
      <c r="AM355">
        <v>0</v>
      </c>
    </row>
    <row r="356" spans="1:39" x14ac:dyDescent="0.25">
      <c r="A356" t="s">
        <v>233</v>
      </c>
      <c r="B356" t="str">
        <f>'Basis Options'!C361</f>
        <v>NM6058.5</v>
      </c>
      <c r="C356" t="s">
        <v>255</v>
      </c>
      <c r="D356" t="s">
        <v>234</v>
      </c>
      <c r="E356" t="s">
        <v>20</v>
      </c>
      <c r="F356" t="str">
        <f>'Basis Options'!A361</f>
        <v>ELPASMER</v>
      </c>
      <c r="G356" t="s">
        <v>269</v>
      </c>
      <c r="H356" t="s">
        <v>254</v>
      </c>
      <c r="I356" t="s">
        <v>242</v>
      </c>
      <c r="J356" t="s">
        <v>235</v>
      </c>
      <c r="K356" s="380">
        <f>'Basis Options'!G361</f>
        <v>37288</v>
      </c>
      <c r="L356" s="235">
        <f>'Basis Options'!U361</f>
        <v>261597.54553788883</v>
      </c>
      <c r="M356" s="380">
        <f>'Basis Options'!Q361</f>
        <v>37286</v>
      </c>
      <c r="N356" t="str">
        <f>'Basis Options'!F361</f>
        <v>C</v>
      </c>
      <c r="O356">
        <f>'Basis Options'!I361</f>
        <v>1.33</v>
      </c>
      <c r="P356">
        <v>0</v>
      </c>
      <c r="Q356">
        <v>0</v>
      </c>
      <c r="R356">
        <v>0</v>
      </c>
      <c r="S356">
        <v>0</v>
      </c>
      <c r="T356" t="s">
        <v>253</v>
      </c>
      <c r="U356" t="str">
        <f>IF('Basis Options'!D361="NGI/CHI. GATE","""NGI/CHI. GATE""",TRIM('Basis Options'!D361))</f>
        <v>IF-TRANSCO/Z6</v>
      </c>
      <c r="V356" t="s">
        <v>253</v>
      </c>
      <c r="W356" t="s">
        <v>132</v>
      </c>
      <c r="X356" t="s">
        <v>253</v>
      </c>
      <c r="Y356" t="s">
        <v>235</v>
      </c>
      <c r="Z356" t="s">
        <v>236</v>
      </c>
      <c r="AA356" t="s">
        <v>253</v>
      </c>
      <c r="AB356" t="s">
        <v>1</v>
      </c>
      <c r="AC356" s="235">
        <f>'Basis Options'!H361</f>
        <v>500000</v>
      </c>
      <c r="AD356" s="235">
        <f>'Basis Options'!W361</f>
        <v>23515.567619519948</v>
      </c>
      <c r="AE356">
        <v>0</v>
      </c>
      <c r="AF356">
        <v>0</v>
      </c>
      <c r="AG356">
        <v>0</v>
      </c>
      <c r="AH356" s="235">
        <f>'Basis Options'!CD361</f>
        <v>0</v>
      </c>
      <c r="AI356">
        <v>226</v>
      </c>
      <c r="AJ356" t="s">
        <v>256</v>
      </c>
      <c r="AK356">
        <v>0</v>
      </c>
      <c r="AL356">
        <v>0</v>
      </c>
      <c r="AM356">
        <v>0</v>
      </c>
    </row>
    <row r="357" spans="1:39" x14ac:dyDescent="0.25">
      <c r="A357" t="s">
        <v>233</v>
      </c>
      <c r="B357" t="str">
        <f>'Basis Options'!C362</f>
        <v>NM6058.5</v>
      </c>
      <c r="C357" t="s">
        <v>255</v>
      </c>
      <c r="D357" t="s">
        <v>234</v>
      </c>
      <c r="E357" t="s">
        <v>20</v>
      </c>
      <c r="F357" t="str">
        <f>'Basis Options'!A362</f>
        <v>ELPASMER</v>
      </c>
      <c r="G357" t="s">
        <v>269</v>
      </c>
      <c r="H357" t="s">
        <v>254</v>
      </c>
      <c r="I357" t="s">
        <v>242</v>
      </c>
      <c r="J357" t="s">
        <v>235</v>
      </c>
      <c r="K357" s="380">
        <f>'Basis Options'!G362</f>
        <v>37257</v>
      </c>
      <c r="L357" s="235">
        <f>'Basis Options'!U362</f>
        <v>269217.34606792702</v>
      </c>
      <c r="M357" s="380">
        <f>'Basis Options'!Q362</f>
        <v>37253</v>
      </c>
      <c r="N357" t="str">
        <f>'Basis Options'!F362</f>
        <v>C</v>
      </c>
      <c r="O357">
        <f>'Basis Options'!I362</f>
        <v>1.33</v>
      </c>
      <c r="P357">
        <v>0</v>
      </c>
      <c r="Q357">
        <v>0</v>
      </c>
      <c r="R357">
        <v>0</v>
      </c>
      <c r="S357">
        <v>0</v>
      </c>
      <c r="T357" t="s">
        <v>253</v>
      </c>
      <c r="U357" t="str">
        <f>IF('Basis Options'!D362="NGI/CHI. GATE","""NGI/CHI. GATE""",TRIM('Basis Options'!D362))</f>
        <v>IF-TRANSCO/Z6</v>
      </c>
      <c r="V357" t="s">
        <v>253</v>
      </c>
      <c r="W357" t="s">
        <v>132</v>
      </c>
      <c r="X357" t="s">
        <v>253</v>
      </c>
      <c r="Y357" t="s">
        <v>235</v>
      </c>
      <c r="Z357" t="s">
        <v>236</v>
      </c>
      <c r="AA357" t="s">
        <v>253</v>
      </c>
      <c r="AB357" t="s">
        <v>1</v>
      </c>
      <c r="AC357" s="235">
        <f>'Basis Options'!H362</f>
        <v>500000</v>
      </c>
      <c r="AD357" s="235">
        <f>'Basis Options'!W362</f>
        <v>24170.626234718657</v>
      </c>
      <c r="AE357">
        <v>0</v>
      </c>
      <c r="AF357">
        <v>0</v>
      </c>
      <c r="AG357">
        <v>0</v>
      </c>
      <c r="AH357" s="235">
        <f>'Basis Options'!CD362</f>
        <v>0</v>
      </c>
      <c r="AI357">
        <v>226</v>
      </c>
      <c r="AJ357" t="s">
        <v>256</v>
      </c>
      <c r="AK357">
        <v>0</v>
      </c>
      <c r="AL357">
        <v>0</v>
      </c>
      <c r="AM357">
        <v>0</v>
      </c>
    </row>
    <row r="358" spans="1:39" x14ac:dyDescent="0.25">
      <c r="A358" t="s">
        <v>233</v>
      </c>
      <c r="B358" t="str">
        <f>'Basis Options'!C363</f>
        <v>NM6058.5</v>
      </c>
      <c r="C358" t="s">
        <v>255</v>
      </c>
      <c r="D358" t="s">
        <v>234</v>
      </c>
      <c r="E358" t="s">
        <v>20</v>
      </c>
      <c r="F358" t="str">
        <f>'Basis Options'!A363</f>
        <v>ELPASMER</v>
      </c>
      <c r="G358" t="s">
        <v>269</v>
      </c>
      <c r="H358" t="s">
        <v>254</v>
      </c>
      <c r="I358" t="s">
        <v>242</v>
      </c>
      <c r="J358" t="s">
        <v>235</v>
      </c>
      <c r="K358" s="380">
        <f>'Basis Options'!G363</f>
        <v>37226</v>
      </c>
      <c r="L358" s="235">
        <f>'Basis Options'!U363</f>
        <v>194151.73995767144</v>
      </c>
      <c r="M358" s="380">
        <f>'Basis Options'!Q363</f>
        <v>37224</v>
      </c>
      <c r="N358" t="str">
        <f>'Basis Options'!F363</f>
        <v>C</v>
      </c>
      <c r="O358">
        <f>'Basis Options'!I363</f>
        <v>1.33</v>
      </c>
      <c r="P358">
        <v>0</v>
      </c>
      <c r="Q358">
        <v>0</v>
      </c>
      <c r="R358">
        <v>0</v>
      </c>
      <c r="S358">
        <v>0</v>
      </c>
      <c r="T358" t="s">
        <v>253</v>
      </c>
      <c r="U358" t="str">
        <f>IF('Basis Options'!D363="NGI/CHI. GATE","""NGI/CHI. GATE""",TRIM('Basis Options'!D363))</f>
        <v>IF-TRANSCO/Z6</v>
      </c>
      <c r="V358" t="s">
        <v>253</v>
      </c>
      <c r="W358" t="s">
        <v>132</v>
      </c>
      <c r="X358" t="s">
        <v>253</v>
      </c>
      <c r="Y358" t="s">
        <v>235</v>
      </c>
      <c r="Z358" t="s">
        <v>236</v>
      </c>
      <c r="AA358" t="s">
        <v>253</v>
      </c>
      <c r="AB358" t="s">
        <v>1</v>
      </c>
      <c r="AC358" s="235">
        <f>'Basis Options'!H363</f>
        <v>500000</v>
      </c>
      <c r="AD358" s="235">
        <f>'Basis Options'!W363</f>
        <v>24418.007323620055</v>
      </c>
      <c r="AE358">
        <v>0</v>
      </c>
      <c r="AF358">
        <v>0</v>
      </c>
      <c r="AG358">
        <v>0</v>
      </c>
      <c r="AH358" s="235">
        <f>'Basis Options'!CD363</f>
        <v>0</v>
      </c>
      <c r="AI358">
        <v>226</v>
      </c>
      <c r="AJ358" t="s">
        <v>256</v>
      </c>
      <c r="AK358">
        <v>0</v>
      </c>
      <c r="AL358">
        <v>0</v>
      </c>
      <c r="AM358">
        <v>0</v>
      </c>
    </row>
    <row r="359" spans="1:39" x14ac:dyDescent="0.25">
      <c r="A359" t="s">
        <v>233</v>
      </c>
      <c r="B359" t="str">
        <f>'Basis Options'!C364</f>
        <v>NM6058.5</v>
      </c>
      <c r="C359" t="s">
        <v>255</v>
      </c>
      <c r="D359" t="s">
        <v>234</v>
      </c>
      <c r="E359" t="s">
        <v>20</v>
      </c>
      <c r="F359" t="str">
        <f>'Basis Options'!A364</f>
        <v>ELPASMER</v>
      </c>
      <c r="G359" t="s">
        <v>269</v>
      </c>
      <c r="H359" t="s">
        <v>254</v>
      </c>
      <c r="I359" t="s">
        <v>242</v>
      </c>
      <c r="J359" t="s">
        <v>235</v>
      </c>
      <c r="K359" s="380">
        <f>'Basis Options'!G364</f>
        <v>37196</v>
      </c>
      <c r="L359" s="235">
        <f>'Basis Options'!U364</f>
        <v>95251.650158495599</v>
      </c>
      <c r="M359" s="380">
        <f>'Basis Options'!Q364</f>
        <v>37194</v>
      </c>
      <c r="N359" t="str">
        <f>'Basis Options'!F364</f>
        <v>C</v>
      </c>
      <c r="O359">
        <f>'Basis Options'!I364</f>
        <v>1.33</v>
      </c>
      <c r="P359">
        <v>0</v>
      </c>
      <c r="Q359">
        <v>0</v>
      </c>
      <c r="R359">
        <v>0</v>
      </c>
      <c r="S359">
        <v>0</v>
      </c>
      <c r="T359" t="s">
        <v>253</v>
      </c>
      <c r="U359" t="str">
        <f>IF('Basis Options'!D364="NGI/CHI. GATE","""NGI/CHI. GATE""",TRIM('Basis Options'!D364))</f>
        <v>IF-TRANSCO/Z6</v>
      </c>
      <c r="V359" t="s">
        <v>253</v>
      </c>
      <c r="W359" t="s">
        <v>132</v>
      </c>
      <c r="X359" t="s">
        <v>253</v>
      </c>
      <c r="Y359" t="s">
        <v>235</v>
      </c>
      <c r="Z359" t="s">
        <v>236</v>
      </c>
      <c r="AA359" t="s">
        <v>253</v>
      </c>
      <c r="AB359" t="s">
        <v>1</v>
      </c>
      <c r="AC359" s="235">
        <f>'Basis Options'!H364</f>
        <v>500000</v>
      </c>
      <c r="AD359" s="235">
        <f>'Basis Options'!W364</f>
        <v>22212.43941292807</v>
      </c>
      <c r="AE359">
        <v>0</v>
      </c>
      <c r="AF359">
        <v>0</v>
      </c>
      <c r="AG359">
        <v>0</v>
      </c>
      <c r="AH359" s="235">
        <f>'Basis Options'!CD364</f>
        <v>0</v>
      </c>
      <c r="AI359">
        <v>226</v>
      </c>
      <c r="AJ359" t="s">
        <v>256</v>
      </c>
      <c r="AK359">
        <v>0</v>
      </c>
      <c r="AL359">
        <v>0</v>
      </c>
      <c r="AM359">
        <v>0</v>
      </c>
    </row>
    <row r="360" spans="1:39" x14ac:dyDescent="0.25">
      <c r="A360" t="s">
        <v>233</v>
      </c>
      <c r="B360" t="str">
        <f>'Basis Options'!C365</f>
        <v>NM6058.6</v>
      </c>
      <c r="C360" t="s">
        <v>255</v>
      </c>
      <c r="D360" t="s">
        <v>234</v>
      </c>
      <c r="E360" t="s">
        <v>20</v>
      </c>
      <c r="F360" t="str">
        <f>'Basis Options'!A365</f>
        <v>ELPASMER</v>
      </c>
      <c r="G360" t="s">
        <v>269</v>
      </c>
      <c r="H360" t="s">
        <v>254</v>
      </c>
      <c r="I360" t="s">
        <v>242</v>
      </c>
      <c r="J360" t="s">
        <v>235</v>
      </c>
      <c r="K360" s="380">
        <f>'Basis Options'!G365</f>
        <v>37316</v>
      </c>
      <c r="L360" s="235">
        <f>'Basis Options'!U365</f>
        <v>262437.81755424576</v>
      </c>
      <c r="M360" s="380">
        <f>'Basis Options'!Q365</f>
        <v>37314</v>
      </c>
      <c r="N360" t="str">
        <f>'Basis Options'!F365</f>
        <v>P</v>
      </c>
      <c r="O360">
        <f>'Basis Options'!I365</f>
        <v>1.33</v>
      </c>
      <c r="P360">
        <v>0</v>
      </c>
      <c r="Q360">
        <v>0</v>
      </c>
      <c r="R360">
        <v>0</v>
      </c>
      <c r="S360">
        <v>0</v>
      </c>
      <c r="T360" t="s">
        <v>253</v>
      </c>
      <c r="U360" t="str">
        <f>IF('Basis Options'!D365="NGI/CHI. GATE","""NGI/CHI. GATE""",TRIM('Basis Options'!D365))</f>
        <v>IF-TRANSCO/Z6</v>
      </c>
      <c r="V360" t="s">
        <v>253</v>
      </c>
      <c r="W360" t="s">
        <v>132</v>
      </c>
      <c r="X360" t="s">
        <v>253</v>
      </c>
      <c r="Y360" t="s">
        <v>235</v>
      </c>
      <c r="Z360" t="s">
        <v>236</v>
      </c>
      <c r="AA360" t="s">
        <v>253</v>
      </c>
      <c r="AB360" t="s">
        <v>1</v>
      </c>
      <c r="AC360" s="235">
        <f>'Basis Options'!H365</f>
        <v>500000</v>
      </c>
      <c r="AD360" s="235">
        <f>'Basis Options'!W365</f>
        <v>22768.66027114552</v>
      </c>
      <c r="AE360">
        <v>0</v>
      </c>
      <c r="AF360">
        <v>0</v>
      </c>
      <c r="AG360">
        <v>0</v>
      </c>
      <c r="AH360" s="235">
        <f>'Basis Options'!CD365</f>
        <v>0</v>
      </c>
      <c r="AI360">
        <v>226</v>
      </c>
      <c r="AJ360" t="s">
        <v>256</v>
      </c>
      <c r="AK360">
        <v>0</v>
      </c>
      <c r="AL360">
        <v>0</v>
      </c>
      <c r="AM360">
        <v>0</v>
      </c>
    </row>
    <row r="361" spans="1:39" x14ac:dyDescent="0.25">
      <c r="A361" t="s">
        <v>233</v>
      </c>
      <c r="B361" t="str">
        <f>'Basis Options'!C366</f>
        <v>NM6058.6</v>
      </c>
      <c r="C361" t="s">
        <v>255</v>
      </c>
      <c r="D361" t="s">
        <v>234</v>
      </c>
      <c r="E361" t="s">
        <v>20</v>
      </c>
      <c r="F361" t="str">
        <f>'Basis Options'!A366</f>
        <v>ELPASMER</v>
      </c>
      <c r="G361" t="s">
        <v>269</v>
      </c>
      <c r="H361" t="s">
        <v>254</v>
      </c>
      <c r="I361" t="s">
        <v>242</v>
      </c>
      <c r="J361" t="s">
        <v>235</v>
      </c>
      <c r="K361" s="380">
        <f>'Basis Options'!G366</f>
        <v>37288</v>
      </c>
      <c r="L361" s="235">
        <f>'Basis Options'!U366</f>
        <v>157404.82280789758</v>
      </c>
      <c r="M361" s="380">
        <f>'Basis Options'!Q366</f>
        <v>37286</v>
      </c>
      <c r="N361" t="str">
        <f>'Basis Options'!F366</f>
        <v>P</v>
      </c>
      <c r="O361">
        <f>'Basis Options'!I366</f>
        <v>1.33</v>
      </c>
      <c r="P361">
        <v>0</v>
      </c>
      <c r="Q361">
        <v>0</v>
      </c>
      <c r="R361">
        <v>0</v>
      </c>
      <c r="S361">
        <v>0</v>
      </c>
      <c r="T361" t="s">
        <v>253</v>
      </c>
      <c r="U361" t="str">
        <f>IF('Basis Options'!D366="NGI/CHI. GATE","""NGI/CHI. GATE""",TRIM('Basis Options'!D366))</f>
        <v>IF-TRANSCO/Z6</v>
      </c>
      <c r="V361" t="s">
        <v>253</v>
      </c>
      <c r="W361" t="s">
        <v>132</v>
      </c>
      <c r="X361" t="s">
        <v>253</v>
      </c>
      <c r="Y361" t="s">
        <v>235</v>
      </c>
      <c r="Z361" t="s">
        <v>236</v>
      </c>
      <c r="AA361" t="s">
        <v>253</v>
      </c>
      <c r="AB361" t="s">
        <v>1</v>
      </c>
      <c r="AC361" s="235">
        <f>'Basis Options'!H366</f>
        <v>500000</v>
      </c>
      <c r="AD361" s="235">
        <f>'Basis Options'!W366</f>
        <v>23515.567619519948</v>
      </c>
      <c r="AE361">
        <v>0</v>
      </c>
      <c r="AF361">
        <v>0</v>
      </c>
      <c r="AG361">
        <v>0</v>
      </c>
      <c r="AH361" s="235">
        <f>'Basis Options'!CD366</f>
        <v>0</v>
      </c>
      <c r="AI361">
        <v>226</v>
      </c>
      <c r="AJ361" t="s">
        <v>256</v>
      </c>
      <c r="AK361">
        <v>0</v>
      </c>
      <c r="AL361">
        <v>0</v>
      </c>
      <c r="AM361">
        <v>0</v>
      </c>
    </row>
    <row r="362" spans="1:39" x14ac:dyDescent="0.25">
      <c r="A362" t="s">
        <v>233</v>
      </c>
      <c r="B362" t="str">
        <f>'Basis Options'!C367</f>
        <v>NM6058.6</v>
      </c>
      <c r="C362" t="s">
        <v>255</v>
      </c>
      <c r="D362" t="s">
        <v>234</v>
      </c>
      <c r="E362" t="s">
        <v>20</v>
      </c>
      <c r="F362" t="str">
        <f>'Basis Options'!A367</f>
        <v>ELPASMER</v>
      </c>
      <c r="G362" t="s">
        <v>269</v>
      </c>
      <c r="H362" t="s">
        <v>254</v>
      </c>
      <c r="I362" t="s">
        <v>242</v>
      </c>
      <c r="J362" t="s">
        <v>235</v>
      </c>
      <c r="K362" s="380">
        <f>'Basis Options'!G367</f>
        <v>37257</v>
      </c>
      <c r="L362" s="235">
        <f>'Basis Options'!U367</f>
        <v>164361.61796579562</v>
      </c>
      <c r="M362" s="380">
        <f>'Basis Options'!Q367</f>
        <v>37253</v>
      </c>
      <c r="N362" t="str">
        <f>'Basis Options'!F367</f>
        <v>P</v>
      </c>
      <c r="O362">
        <f>'Basis Options'!I367</f>
        <v>1.33</v>
      </c>
      <c r="P362">
        <v>0</v>
      </c>
      <c r="Q362">
        <v>0</v>
      </c>
      <c r="R362">
        <v>0</v>
      </c>
      <c r="S362">
        <v>0</v>
      </c>
      <c r="T362" t="s">
        <v>253</v>
      </c>
      <c r="U362" t="str">
        <f>IF('Basis Options'!D367="NGI/CHI. GATE","""NGI/CHI. GATE""",TRIM('Basis Options'!D367))</f>
        <v>IF-TRANSCO/Z6</v>
      </c>
      <c r="V362" t="s">
        <v>253</v>
      </c>
      <c r="W362" t="s">
        <v>132</v>
      </c>
      <c r="X362" t="s">
        <v>253</v>
      </c>
      <c r="Y362" t="s">
        <v>235</v>
      </c>
      <c r="Z362" t="s">
        <v>236</v>
      </c>
      <c r="AA362" t="s">
        <v>253</v>
      </c>
      <c r="AB362" t="s">
        <v>1</v>
      </c>
      <c r="AC362" s="235">
        <f>'Basis Options'!H367</f>
        <v>500000</v>
      </c>
      <c r="AD362" s="235">
        <f>'Basis Options'!W367</f>
        <v>24170.626234718657</v>
      </c>
      <c r="AE362">
        <v>0</v>
      </c>
      <c r="AF362">
        <v>0</v>
      </c>
      <c r="AG362">
        <v>0</v>
      </c>
      <c r="AH362" s="235">
        <f>'Basis Options'!CD367</f>
        <v>0</v>
      </c>
      <c r="AI362">
        <v>226</v>
      </c>
      <c r="AJ362" t="s">
        <v>256</v>
      </c>
      <c r="AK362">
        <v>0</v>
      </c>
      <c r="AL362">
        <v>0</v>
      </c>
      <c r="AM362">
        <v>0</v>
      </c>
    </row>
    <row r="363" spans="1:39" x14ac:dyDescent="0.25">
      <c r="A363" t="s">
        <v>233</v>
      </c>
      <c r="B363" t="str">
        <f>'Basis Options'!C368</f>
        <v>NM6058.6</v>
      </c>
      <c r="C363" t="s">
        <v>255</v>
      </c>
      <c r="D363" t="s">
        <v>234</v>
      </c>
      <c r="E363" t="s">
        <v>20</v>
      </c>
      <c r="F363" t="str">
        <f>'Basis Options'!A368</f>
        <v>ELPASMER</v>
      </c>
      <c r="G363" t="s">
        <v>269</v>
      </c>
      <c r="H363" t="s">
        <v>254</v>
      </c>
      <c r="I363" t="s">
        <v>242</v>
      </c>
      <c r="J363" t="s">
        <v>235</v>
      </c>
      <c r="K363" s="380">
        <f>'Basis Options'!G368</f>
        <v>37226</v>
      </c>
      <c r="L363" s="235">
        <f>'Basis Options'!U368</f>
        <v>203320.46679581495</v>
      </c>
      <c r="M363" s="380">
        <f>'Basis Options'!Q368</f>
        <v>37224</v>
      </c>
      <c r="N363" t="str">
        <f>'Basis Options'!F368</f>
        <v>P</v>
      </c>
      <c r="O363">
        <f>'Basis Options'!I368</f>
        <v>1.33</v>
      </c>
      <c r="P363">
        <v>0</v>
      </c>
      <c r="Q363">
        <v>0</v>
      </c>
      <c r="R363">
        <v>0</v>
      </c>
      <c r="S363">
        <v>0</v>
      </c>
      <c r="T363" t="s">
        <v>253</v>
      </c>
      <c r="U363" t="str">
        <f>IF('Basis Options'!D368="NGI/CHI. GATE","""NGI/CHI. GATE""",TRIM('Basis Options'!D368))</f>
        <v>IF-TRANSCO/Z6</v>
      </c>
      <c r="V363" t="s">
        <v>253</v>
      </c>
      <c r="W363" t="s">
        <v>132</v>
      </c>
      <c r="X363" t="s">
        <v>253</v>
      </c>
      <c r="Y363" t="s">
        <v>235</v>
      </c>
      <c r="Z363" t="s">
        <v>236</v>
      </c>
      <c r="AA363" t="s">
        <v>253</v>
      </c>
      <c r="AB363" t="s">
        <v>1</v>
      </c>
      <c r="AC363" s="235">
        <f>'Basis Options'!H368</f>
        <v>500000</v>
      </c>
      <c r="AD363" s="235">
        <f>'Basis Options'!W368</f>
        <v>24418.007323620055</v>
      </c>
      <c r="AE363">
        <v>0</v>
      </c>
      <c r="AF363">
        <v>0</v>
      </c>
      <c r="AG363">
        <v>0</v>
      </c>
      <c r="AH363" s="235">
        <f>'Basis Options'!CD368</f>
        <v>0</v>
      </c>
      <c r="AI363">
        <v>226</v>
      </c>
      <c r="AJ363" t="s">
        <v>256</v>
      </c>
      <c r="AK363">
        <v>0</v>
      </c>
      <c r="AL363">
        <v>0</v>
      </c>
      <c r="AM363">
        <v>0</v>
      </c>
    </row>
    <row r="364" spans="1:39" x14ac:dyDescent="0.25">
      <c r="A364" t="s">
        <v>233</v>
      </c>
      <c r="B364" t="str">
        <f>'Basis Options'!C369</f>
        <v>NM6058.6</v>
      </c>
      <c r="C364" t="s">
        <v>255</v>
      </c>
      <c r="D364" t="s">
        <v>234</v>
      </c>
      <c r="E364" t="s">
        <v>20</v>
      </c>
      <c r="F364" t="str">
        <f>'Basis Options'!A369</f>
        <v>ELPASMER</v>
      </c>
      <c r="G364" t="s">
        <v>269</v>
      </c>
      <c r="H364" t="s">
        <v>254</v>
      </c>
      <c r="I364" t="s">
        <v>242</v>
      </c>
      <c r="J364" t="s">
        <v>235</v>
      </c>
      <c r="K364" s="380">
        <f>'Basis Options'!G369</f>
        <v>37196</v>
      </c>
      <c r="L364" s="235">
        <f>'Basis Options'!U369</f>
        <v>298123.32630482962</v>
      </c>
      <c r="M364" s="380">
        <f>'Basis Options'!Q369</f>
        <v>37194</v>
      </c>
      <c r="N364" t="str">
        <f>'Basis Options'!F369</f>
        <v>P</v>
      </c>
      <c r="O364">
        <f>'Basis Options'!I369</f>
        <v>1.33</v>
      </c>
      <c r="P364">
        <v>0</v>
      </c>
      <c r="Q364">
        <v>0</v>
      </c>
      <c r="R364">
        <v>0</v>
      </c>
      <c r="S364">
        <v>0</v>
      </c>
      <c r="T364" t="s">
        <v>253</v>
      </c>
      <c r="U364" t="str">
        <f>IF('Basis Options'!D369="NGI/CHI. GATE","""NGI/CHI. GATE""",TRIM('Basis Options'!D369))</f>
        <v>IF-TRANSCO/Z6</v>
      </c>
      <c r="V364" t="s">
        <v>253</v>
      </c>
      <c r="W364" t="s">
        <v>132</v>
      </c>
      <c r="X364" t="s">
        <v>253</v>
      </c>
      <c r="Y364" t="s">
        <v>235</v>
      </c>
      <c r="Z364" t="s">
        <v>236</v>
      </c>
      <c r="AA364" t="s">
        <v>253</v>
      </c>
      <c r="AB364" t="s">
        <v>1</v>
      </c>
      <c r="AC364" s="235">
        <f>'Basis Options'!H369</f>
        <v>500000</v>
      </c>
      <c r="AD364" s="235">
        <f>'Basis Options'!W369</f>
        <v>22212.439412928128</v>
      </c>
      <c r="AE364">
        <v>0</v>
      </c>
      <c r="AF364">
        <v>0</v>
      </c>
      <c r="AG364">
        <v>0</v>
      </c>
      <c r="AH364" s="235">
        <f>'Basis Options'!CD369</f>
        <v>0</v>
      </c>
      <c r="AI364">
        <v>226</v>
      </c>
      <c r="AJ364" t="s">
        <v>256</v>
      </c>
      <c r="AK364">
        <v>0</v>
      </c>
      <c r="AL364">
        <v>0</v>
      </c>
      <c r="AM364">
        <v>0</v>
      </c>
    </row>
    <row r="365" spans="1:39" x14ac:dyDescent="0.25">
      <c r="A365" t="s">
        <v>233</v>
      </c>
      <c r="B365" t="str">
        <f>'Basis Options'!C370</f>
        <v>NM6102.1</v>
      </c>
      <c r="C365" t="s">
        <v>255</v>
      </c>
      <c r="D365" t="s">
        <v>234</v>
      </c>
      <c r="E365" t="s">
        <v>20</v>
      </c>
      <c r="F365" t="str">
        <f>'Basis Options'!A370</f>
        <v>ELPASMER</v>
      </c>
      <c r="G365" t="s">
        <v>269</v>
      </c>
      <c r="H365" t="s">
        <v>254</v>
      </c>
      <c r="I365" t="s">
        <v>242</v>
      </c>
      <c r="J365" t="s">
        <v>235</v>
      </c>
      <c r="K365" s="380">
        <f>'Basis Options'!G370</f>
        <v>36951</v>
      </c>
      <c r="L365" s="235">
        <f>'Basis Options'!U370</f>
        <v>-78300.170285878281</v>
      </c>
      <c r="M365" s="380">
        <f>'Basis Options'!Q370</f>
        <v>36949</v>
      </c>
      <c r="N365" t="str">
        <f>'Basis Options'!F370</f>
        <v>C</v>
      </c>
      <c r="O365">
        <f>'Basis Options'!I370</f>
        <v>2.5</v>
      </c>
      <c r="P365">
        <v>0</v>
      </c>
      <c r="Q365">
        <v>0</v>
      </c>
      <c r="R365">
        <v>0</v>
      </c>
      <c r="S365">
        <v>0</v>
      </c>
      <c r="T365" t="s">
        <v>253</v>
      </c>
      <c r="U365" t="str">
        <f>IF('Basis Options'!D370="NGI/CHI. GATE","""NGI/CHI. GATE""",TRIM('Basis Options'!D370))</f>
        <v>IF-TRANSCO/Z6</v>
      </c>
      <c r="V365" t="s">
        <v>253</v>
      </c>
      <c r="W365" t="s">
        <v>132</v>
      </c>
      <c r="X365" t="s">
        <v>253</v>
      </c>
      <c r="Y365" t="s">
        <v>235</v>
      </c>
      <c r="Z365" t="s">
        <v>236</v>
      </c>
      <c r="AA365" t="s">
        <v>253</v>
      </c>
      <c r="AB365" t="s">
        <v>1</v>
      </c>
      <c r="AC365" s="235">
        <f>'Basis Options'!H370</f>
        <v>-500000</v>
      </c>
      <c r="AD365" s="235">
        <f>'Basis Options'!W370</f>
        <v>-28518.92252490863</v>
      </c>
      <c r="AE365">
        <v>0</v>
      </c>
      <c r="AF365">
        <v>0</v>
      </c>
      <c r="AG365">
        <v>0</v>
      </c>
      <c r="AH365" s="235">
        <f>'Basis Options'!CD370</f>
        <v>0</v>
      </c>
      <c r="AI365">
        <v>226</v>
      </c>
      <c r="AJ365" t="s">
        <v>256</v>
      </c>
      <c r="AK365">
        <v>0</v>
      </c>
      <c r="AL365">
        <v>0</v>
      </c>
      <c r="AM365">
        <v>0</v>
      </c>
    </row>
    <row r="366" spans="1:39" x14ac:dyDescent="0.25">
      <c r="A366" t="s">
        <v>233</v>
      </c>
      <c r="B366" t="str">
        <f>'Basis Options'!C371</f>
        <v>NM6102.1</v>
      </c>
      <c r="C366" t="s">
        <v>255</v>
      </c>
      <c r="D366" t="s">
        <v>234</v>
      </c>
      <c r="E366" t="s">
        <v>20</v>
      </c>
      <c r="F366" t="str">
        <f>'Basis Options'!A371</f>
        <v>ELPASMER</v>
      </c>
      <c r="G366" t="s">
        <v>269</v>
      </c>
      <c r="H366" t="s">
        <v>254</v>
      </c>
      <c r="I366" t="s">
        <v>242</v>
      </c>
      <c r="J366" t="s">
        <v>235</v>
      </c>
      <c r="K366" s="380">
        <f>'Basis Options'!G371</f>
        <v>36923</v>
      </c>
      <c r="L366" s="235">
        <f>'Basis Options'!U371</f>
        <v>-267470.84100847162</v>
      </c>
      <c r="M366" s="380">
        <f>'Basis Options'!Q371</f>
        <v>36921</v>
      </c>
      <c r="N366" t="str">
        <f>'Basis Options'!F371</f>
        <v>C</v>
      </c>
      <c r="O366">
        <f>'Basis Options'!I371</f>
        <v>2.5</v>
      </c>
      <c r="P366">
        <v>0</v>
      </c>
      <c r="Q366">
        <v>0</v>
      </c>
      <c r="R366">
        <v>0</v>
      </c>
      <c r="S366">
        <v>0</v>
      </c>
      <c r="T366" t="s">
        <v>253</v>
      </c>
      <c r="U366" t="str">
        <f>IF('Basis Options'!D371="NGI/CHI. GATE","""NGI/CHI. GATE""",TRIM('Basis Options'!D371))</f>
        <v>IF-TRANSCO/Z6</v>
      </c>
      <c r="V366" t="s">
        <v>253</v>
      </c>
      <c r="W366" t="s">
        <v>132</v>
      </c>
      <c r="X366" t="s">
        <v>253</v>
      </c>
      <c r="Y366" t="s">
        <v>235</v>
      </c>
      <c r="Z366" t="s">
        <v>236</v>
      </c>
      <c r="AA366" t="s">
        <v>253</v>
      </c>
      <c r="AB366" t="s">
        <v>1</v>
      </c>
      <c r="AC366" s="235">
        <f>'Basis Options'!H371</f>
        <v>-500000</v>
      </c>
      <c r="AD366" s="235">
        <f>'Basis Options'!W371</f>
        <v>-41251.337051812035</v>
      </c>
      <c r="AE366">
        <v>0</v>
      </c>
      <c r="AF366">
        <v>0</v>
      </c>
      <c r="AG366">
        <v>0</v>
      </c>
      <c r="AH366" s="235">
        <f>'Basis Options'!CD371</f>
        <v>0</v>
      </c>
      <c r="AI366">
        <v>226</v>
      </c>
      <c r="AJ366" t="s">
        <v>256</v>
      </c>
      <c r="AK366">
        <v>0</v>
      </c>
      <c r="AL366">
        <v>0</v>
      </c>
      <c r="AM366">
        <v>0</v>
      </c>
    </row>
    <row r="367" spans="1:39" x14ac:dyDescent="0.25">
      <c r="A367" t="s">
        <v>233</v>
      </c>
      <c r="B367" t="str">
        <f>'Basis Options'!C372</f>
        <v>NM6102.1</v>
      </c>
      <c r="C367" t="s">
        <v>255</v>
      </c>
      <c r="D367" t="s">
        <v>234</v>
      </c>
      <c r="E367" t="s">
        <v>20</v>
      </c>
      <c r="F367" t="str">
        <f>'Basis Options'!A372</f>
        <v>ELPASMER</v>
      </c>
      <c r="G367" t="s">
        <v>269</v>
      </c>
      <c r="H367" t="s">
        <v>254</v>
      </c>
      <c r="I367" t="s">
        <v>242</v>
      </c>
      <c r="J367" t="s">
        <v>235</v>
      </c>
      <c r="K367" s="380">
        <f>'Basis Options'!G372</f>
        <v>36892</v>
      </c>
      <c r="L367" s="235">
        <f>'Basis Options'!U372</f>
        <v>-264614.06065941975</v>
      </c>
      <c r="M367" s="380">
        <f>'Basis Options'!Q372</f>
        <v>36888</v>
      </c>
      <c r="N367" t="str">
        <f>'Basis Options'!F372</f>
        <v>C</v>
      </c>
      <c r="O367">
        <f>'Basis Options'!I372</f>
        <v>2.5</v>
      </c>
      <c r="P367">
        <v>0</v>
      </c>
      <c r="Q367">
        <v>0</v>
      </c>
      <c r="R367">
        <v>0</v>
      </c>
      <c r="S367">
        <v>0</v>
      </c>
      <c r="T367" t="s">
        <v>253</v>
      </c>
      <c r="U367" t="str">
        <f>IF('Basis Options'!D372="NGI/CHI. GATE","""NGI/CHI. GATE""",TRIM('Basis Options'!D372))</f>
        <v>IF-TRANSCO/Z6</v>
      </c>
      <c r="V367" t="s">
        <v>253</v>
      </c>
      <c r="W367" t="s">
        <v>132</v>
      </c>
      <c r="X367" t="s">
        <v>253</v>
      </c>
      <c r="Y367" t="s">
        <v>235</v>
      </c>
      <c r="Z367" t="s">
        <v>236</v>
      </c>
      <c r="AA367" t="s">
        <v>253</v>
      </c>
      <c r="AB367" t="s">
        <v>1</v>
      </c>
      <c r="AC367" s="235">
        <f>'Basis Options'!H372</f>
        <v>-500000</v>
      </c>
      <c r="AD367" s="235">
        <f>'Basis Options'!W372</f>
        <v>-38024.75411422184</v>
      </c>
      <c r="AE367">
        <v>0</v>
      </c>
      <c r="AF367">
        <v>0</v>
      </c>
      <c r="AG367">
        <v>0</v>
      </c>
      <c r="AH367" s="235">
        <f>'Basis Options'!CD372</f>
        <v>0</v>
      </c>
      <c r="AI367">
        <v>226</v>
      </c>
      <c r="AJ367" t="s">
        <v>256</v>
      </c>
      <c r="AK367">
        <v>0</v>
      </c>
      <c r="AL367">
        <v>0</v>
      </c>
      <c r="AM367">
        <v>0</v>
      </c>
    </row>
    <row r="368" spans="1:39" x14ac:dyDescent="0.25">
      <c r="A368" t="s">
        <v>233</v>
      </c>
      <c r="B368" t="str">
        <f>'Basis Options'!C373</f>
        <v>NM6102.1</v>
      </c>
      <c r="C368" t="s">
        <v>255</v>
      </c>
      <c r="D368" t="s">
        <v>234</v>
      </c>
      <c r="E368" t="s">
        <v>20</v>
      </c>
      <c r="F368" t="str">
        <f>'Basis Options'!A373</f>
        <v>ELPASMER</v>
      </c>
      <c r="G368" t="s">
        <v>269</v>
      </c>
      <c r="H368" t="s">
        <v>254</v>
      </c>
      <c r="I368" t="s">
        <v>242</v>
      </c>
      <c r="J368" t="s">
        <v>235</v>
      </c>
      <c r="K368" s="380">
        <f>'Basis Options'!G373</f>
        <v>36861</v>
      </c>
      <c r="L368" s="235">
        <f>'Basis Options'!U373</f>
        <v>-122596.41185392672</v>
      </c>
      <c r="M368" s="380">
        <f>'Basis Options'!Q373</f>
        <v>36859</v>
      </c>
      <c r="N368" t="str">
        <f>'Basis Options'!F373</f>
        <v>C</v>
      </c>
      <c r="O368">
        <f>'Basis Options'!I373</f>
        <v>2.5</v>
      </c>
      <c r="P368">
        <v>0</v>
      </c>
      <c r="Q368">
        <v>0</v>
      </c>
      <c r="R368">
        <v>0</v>
      </c>
      <c r="S368">
        <v>0</v>
      </c>
      <c r="T368" t="s">
        <v>253</v>
      </c>
      <c r="U368" t="str">
        <f>IF('Basis Options'!D373="NGI/CHI. GATE","""NGI/CHI. GATE""",TRIM('Basis Options'!D373))</f>
        <v>IF-TRANSCO/Z6</v>
      </c>
      <c r="V368" t="s">
        <v>253</v>
      </c>
      <c r="W368" t="s">
        <v>132</v>
      </c>
      <c r="X368" t="s">
        <v>253</v>
      </c>
      <c r="Y368" t="s">
        <v>235</v>
      </c>
      <c r="Z368" t="s">
        <v>236</v>
      </c>
      <c r="AA368" t="s">
        <v>253</v>
      </c>
      <c r="AB368" t="s">
        <v>1</v>
      </c>
      <c r="AC368" s="235">
        <f>'Basis Options'!H373</f>
        <v>-500000</v>
      </c>
      <c r="AD368" s="235">
        <f>'Basis Options'!W373</f>
        <v>-28808.278110160303</v>
      </c>
      <c r="AE368">
        <v>0</v>
      </c>
      <c r="AF368">
        <v>0</v>
      </c>
      <c r="AG368">
        <v>0</v>
      </c>
      <c r="AH368" s="235">
        <f>'Basis Options'!CD373</f>
        <v>0</v>
      </c>
      <c r="AI368">
        <v>226</v>
      </c>
      <c r="AJ368" t="s">
        <v>256</v>
      </c>
      <c r="AK368">
        <v>0</v>
      </c>
      <c r="AL368">
        <v>0</v>
      </c>
      <c r="AM368">
        <v>0</v>
      </c>
    </row>
    <row r="369" spans="1:39" x14ac:dyDescent="0.25">
      <c r="A369" t="s">
        <v>233</v>
      </c>
      <c r="B369" t="str">
        <f>'Basis Options'!C374</f>
        <v>NM6102.1</v>
      </c>
      <c r="C369" t="s">
        <v>255</v>
      </c>
      <c r="D369" t="s">
        <v>234</v>
      </c>
      <c r="E369" t="s">
        <v>20</v>
      </c>
      <c r="F369" t="str">
        <f>'Basis Options'!A374</f>
        <v>ELPASMER</v>
      </c>
      <c r="G369" t="s">
        <v>269</v>
      </c>
      <c r="H369" t="s">
        <v>254</v>
      </c>
      <c r="I369" t="s">
        <v>242</v>
      </c>
      <c r="J369" t="s">
        <v>235</v>
      </c>
      <c r="K369" s="380">
        <f>'Basis Options'!G374</f>
        <v>36831</v>
      </c>
      <c r="L369" s="235">
        <f>'Basis Options'!U374</f>
        <v>-3055.7963117658724</v>
      </c>
      <c r="M369" s="380">
        <f>'Basis Options'!Q374</f>
        <v>36829</v>
      </c>
      <c r="N369" t="str">
        <f>'Basis Options'!F374</f>
        <v>C</v>
      </c>
      <c r="O369">
        <f>'Basis Options'!I374</f>
        <v>2.5</v>
      </c>
      <c r="P369">
        <v>0</v>
      </c>
      <c r="Q369">
        <v>0</v>
      </c>
      <c r="R369">
        <v>0</v>
      </c>
      <c r="S369">
        <v>0</v>
      </c>
      <c r="T369" t="s">
        <v>253</v>
      </c>
      <c r="U369" t="str">
        <f>IF('Basis Options'!D374="NGI/CHI. GATE","""NGI/CHI. GATE""",TRIM('Basis Options'!D374))</f>
        <v>IF-TRANSCO/Z6</v>
      </c>
      <c r="V369" t="s">
        <v>253</v>
      </c>
      <c r="W369" t="s">
        <v>132</v>
      </c>
      <c r="X369" t="s">
        <v>253</v>
      </c>
      <c r="Y369" t="s">
        <v>235</v>
      </c>
      <c r="Z369" t="s">
        <v>236</v>
      </c>
      <c r="AA369" t="s">
        <v>253</v>
      </c>
      <c r="AB369" t="s">
        <v>1</v>
      </c>
      <c r="AC369" s="235">
        <f>'Basis Options'!H374</f>
        <v>-500000</v>
      </c>
      <c r="AD369" s="235">
        <f>'Basis Options'!W374</f>
        <v>-2510.0917488901141</v>
      </c>
      <c r="AE369">
        <v>0</v>
      </c>
      <c r="AF369">
        <v>0</v>
      </c>
      <c r="AG369">
        <v>0</v>
      </c>
      <c r="AH369" s="235">
        <f>'Basis Options'!CD374</f>
        <v>0</v>
      </c>
      <c r="AI369">
        <v>226</v>
      </c>
      <c r="AJ369" t="s">
        <v>256</v>
      </c>
      <c r="AK369">
        <v>0</v>
      </c>
      <c r="AL369">
        <v>0</v>
      </c>
      <c r="AM369">
        <v>0</v>
      </c>
    </row>
    <row r="370" spans="1:39" x14ac:dyDescent="0.25">
      <c r="A370" t="s">
        <v>233</v>
      </c>
      <c r="B370" t="str">
        <f>'Basis Options'!C375</f>
        <v>NM6107</v>
      </c>
      <c r="C370" t="s">
        <v>255</v>
      </c>
      <c r="D370" t="s">
        <v>234</v>
      </c>
      <c r="E370" t="s">
        <v>20</v>
      </c>
      <c r="F370" t="str">
        <f>'Basis Options'!A375</f>
        <v>JARON</v>
      </c>
      <c r="G370" t="s">
        <v>269</v>
      </c>
      <c r="H370" t="s">
        <v>254</v>
      </c>
      <c r="I370" t="s">
        <v>242</v>
      </c>
      <c r="J370" t="s">
        <v>235</v>
      </c>
      <c r="K370" s="380">
        <f>'Basis Options'!G375</f>
        <v>36951</v>
      </c>
      <c r="L370" s="235">
        <f>'Basis Options'!U375</f>
        <v>159418.49132696429</v>
      </c>
      <c r="M370" s="380">
        <f>'Basis Options'!Q375</f>
        <v>36949</v>
      </c>
      <c r="N370" t="str">
        <f>'Basis Options'!F375</f>
        <v>P</v>
      </c>
      <c r="O370">
        <f>'Basis Options'!I375</f>
        <v>0.7</v>
      </c>
      <c r="P370">
        <v>0</v>
      </c>
      <c r="Q370">
        <v>0</v>
      </c>
      <c r="R370">
        <v>0</v>
      </c>
      <c r="S370">
        <v>0</v>
      </c>
      <c r="T370" t="s">
        <v>253</v>
      </c>
      <c r="U370" t="str">
        <f>IF('Basis Options'!D375="NGI/CHI. GATE","""NGI/CHI. GATE""",TRIM('Basis Options'!D375))</f>
        <v>IF-TRANSCO/Z6</v>
      </c>
      <c r="V370" t="s">
        <v>253</v>
      </c>
      <c r="W370" t="s">
        <v>132</v>
      </c>
      <c r="X370" t="s">
        <v>253</v>
      </c>
      <c r="Y370" t="s">
        <v>235</v>
      </c>
      <c r="Z370" t="s">
        <v>236</v>
      </c>
      <c r="AA370" t="s">
        <v>253</v>
      </c>
      <c r="AB370" t="s">
        <v>1</v>
      </c>
      <c r="AC370" s="235">
        <f>'Basis Options'!H375</f>
        <v>500000</v>
      </c>
      <c r="AD370" s="235">
        <f>'Basis Options'!W375</f>
        <v>43210.321055210399</v>
      </c>
      <c r="AE370">
        <v>0</v>
      </c>
      <c r="AF370">
        <v>0</v>
      </c>
      <c r="AG370">
        <v>0</v>
      </c>
      <c r="AH370" s="235">
        <f>'Basis Options'!CD375</f>
        <v>0</v>
      </c>
      <c r="AI370">
        <v>226</v>
      </c>
      <c r="AJ370" t="s">
        <v>256</v>
      </c>
      <c r="AK370">
        <v>0</v>
      </c>
      <c r="AL370">
        <v>0</v>
      </c>
      <c r="AM370">
        <v>0</v>
      </c>
    </row>
    <row r="371" spans="1:39" x14ac:dyDescent="0.25">
      <c r="A371" t="s">
        <v>233</v>
      </c>
      <c r="B371" t="str">
        <f>'Basis Options'!C376</f>
        <v>NM6107</v>
      </c>
      <c r="C371" t="s">
        <v>255</v>
      </c>
      <c r="D371" t="s">
        <v>234</v>
      </c>
      <c r="E371" t="s">
        <v>20</v>
      </c>
      <c r="F371" t="str">
        <f>'Basis Options'!A376</f>
        <v>JARON</v>
      </c>
      <c r="G371" t="s">
        <v>269</v>
      </c>
      <c r="H371" t="s">
        <v>254</v>
      </c>
      <c r="I371" t="s">
        <v>242</v>
      </c>
      <c r="J371" t="s">
        <v>235</v>
      </c>
      <c r="K371" s="380">
        <f>'Basis Options'!G376</f>
        <v>36923</v>
      </c>
      <c r="L371" s="235">
        <f>'Basis Options'!U376</f>
        <v>64067.817874507826</v>
      </c>
      <c r="M371" s="380">
        <f>'Basis Options'!Q376</f>
        <v>36921</v>
      </c>
      <c r="N371" t="str">
        <f>'Basis Options'!F376</f>
        <v>P</v>
      </c>
      <c r="O371">
        <f>'Basis Options'!I376</f>
        <v>0.7</v>
      </c>
      <c r="P371">
        <v>0</v>
      </c>
      <c r="Q371">
        <v>0</v>
      </c>
      <c r="R371">
        <v>0</v>
      </c>
      <c r="S371">
        <v>0</v>
      </c>
      <c r="T371" t="s">
        <v>253</v>
      </c>
      <c r="U371" t="str">
        <f>IF('Basis Options'!D376="NGI/CHI. GATE","""NGI/CHI. GATE""",TRIM('Basis Options'!D376))</f>
        <v>IF-TRANSCO/Z6</v>
      </c>
      <c r="V371" t="s">
        <v>253</v>
      </c>
      <c r="W371" t="s">
        <v>132</v>
      </c>
      <c r="X371" t="s">
        <v>253</v>
      </c>
      <c r="Y371" t="s">
        <v>235</v>
      </c>
      <c r="Z371" t="s">
        <v>236</v>
      </c>
      <c r="AA371" t="s">
        <v>253</v>
      </c>
      <c r="AB371" t="s">
        <v>1</v>
      </c>
      <c r="AC371" s="235">
        <f>'Basis Options'!H376</f>
        <v>500000</v>
      </c>
      <c r="AD371" s="235">
        <f>'Basis Options'!W376</f>
        <v>29540.971487128147</v>
      </c>
      <c r="AE371">
        <v>0</v>
      </c>
      <c r="AF371">
        <v>0</v>
      </c>
      <c r="AG371">
        <v>0</v>
      </c>
      <c r="AH371" s="235">
        <f>'Basis Options'!CD376</f>
        <v>0</v>
      </c>
      <c r="AI371">
        <v>226</v>
      </c>
      <c r="AJ371" t="s">
        <v>256</v>
      </c>
      <c r="AK371">
        <v>0</v>
      </c>
      <c r="AL371">
        <v>0</v>
      </c>
      <c r="AM371">
        <v>0</v>
      </c>
    </row>
    <row r="372" spans="1:39" x14ac:dyDescent="0.25">
      <c r="A372" t="s">
        <v>233</v>
      </c>
      <c r="B372" t="str">
        <f>'Basis Options'!C377</f>
        <v>NM6107</v>
      </c>
      <c r="C372" t="s">
        <v>255</v>
      </c>
      <c r="D372" t="s">
        <v>234</v>
      </c>
      <c r="E372" t="s">
        <v>20</v>
      </c>
      <c r="F372" t="str">
        <f>'Basis Options'!A377</f>
        <v>JARON</v>
      </c>
      <c r="G372" t="s">
        <v>269</v>
      </c>
      <c r="H372" t="s">
        <v>254</v>
      </c>
      <c r="I372" t="s">
        <v>242</v>
      </c>
      <c r="J372" t="s">
        <v>235</v>
      </c>
      <c r="K372" s="380">
        <f>'Basis Options'!G377</f>
        <v>36892</v>
      </c>
      <c r="L372" s="235">
        <f>'Basis Options'!U377</f>
        <v>50087.308302811049</v>
      </c>
      <c r="M372" s="380">
        <f>'Basis Options'!Q377</f>
        <v>36888</v>
      </c>
      <c r="N372" t="str">
        <f>'Basis Options'!F377</f>
        <v>P</v>
      </c>
      <c r="O372">
        <f>'Basis Options'!I377</f>
        <v>0.7</v>
      </c>
      <c r="P372">
        <v>0</v>
      </c>
      <c r="Q372">
        <v>0</v>
      </c>
      <c r="R372">
        <v>0</v>
      </c>
      <c r="S372">
        <v>0</v>
      </c>
      <c r="T372" t="s">
        <v>253</v>
      </c>
      <c r="U372" t="str">
        <f>IF('Basis Options'!D377="NGI/CHI. GATE","""NGI/CHI. GATE""",TRIM('Basis Options'!D377))</f>
        <v>IF-TRANSCO/Z6</v>
      </c>
      <c r="V372" t="s">
        <v>253</v>
      </c>
      <c r="W372" t="s">
        <v>132</v>
      </c>
      <c r="X372" t="s">
        <v>253</v>
      </c>
      <c r="Y372" t="s">
        <v>235</v>
      </c>
      <c r="Z372" t="s">
        <v>236</v>
      </c>
      <c r="AA372" t="s">
        <v>253</v>
      </c>
      <c r="AB372" t="s">
        <v>1</v>
      </c>
      <c r="AC372" s="235">
        <f>'Basis Options'!H377</f>
        <v>500000</v>
      </c>
      <c r="AD372" s="235">
        <f>'Basis Options'!W377</f>
        <v>24277.991889915415</v>
      </c>
      <c r="AE372">
        <v>0</v>
      </c>
      <c r="AF372">
        <v>0</v>
      </c>
      <c r="AG372">
        <v>0</v>
      </c>
      <c r="AH372" s="235">
        <f>'Basis Options'!CD377</f>
        <v>0</v>
      </c>
      <c r="AI372">
        <v>226</v>
      </c>
      <c r="AJ372" t="s">
        <v>256</v>
      </c>
      <c r="AK372">
        <v>0</v>
      </c>
      <c r="AL372">
        <v>0</v>
      </c>
      <c r="AM372">
        <v>0</v>
      </c>
    </row>
    <row r="373" spans="1:39" x14ac:dyDescent="0.25">
      <c r="A373" t="s">
        <v>233</v>
      </c>
      <c r="B373" t="str">
        <f>'Basis Options'!C378</f>
        <v>NM6107</v>
      </c>
      <c r="C373" t="s">
        <v>255</v>
      </c>
      <c r="D373" t="s">
        <v>234</v>
      </c>
      <c r="E373" t="s">
        <v>20</v>
      </c>
      <c r="F373" t="str">
        <f>'Basis Options'!A378</f>
        <v>JARON</v>
      </c>
      <c r="G373" t="s">
        <v>269</v>
      </c>
      <c r="H373" t="s">
        <v>254</v>
      </c>
      <c r="I373" t="s">
        <v>242</v>
      </c>
      <c r="J373" t="s">
        <v>235</v>
      </c>
      <c r="K373" s="380">
        <f>'Basis Options'!G378</f>
        <v>36861</v>
      </c>
      <c r="L373" s="235">
        <f>'Basis Options'!U378</f>
        <v>66753.677744784029</v>
      </c>
      <c r="M373" s="380">
        <f>'Basis Options'!Q378</f>
        <v>36859</v>
      </c>
      <c r="N373" t="str">
        <f>'Basis Options'!F378</f>
        <v>P</v>
      </c>
      <c r="O373">
        <f>'Basis Options'!I378</f>
        <v>0.7</v>
      </c>
      <c r="P373">
        <v>0</v>
      </c>
      <c r="Q373">
        <v>0</v>
      </c>
      <c r="R373">
        <v>0</v>
      </c>
      <c r="S373">
        <v>0</v>
      </c>
      <c r="T373" t="s">
        <v>253</v>
      </c>
      <c r="U373" t="str">
        <f>IF('Basis Options'!D378="NGI/CHI. GATE","""NGI/CHI. GATE""",TRIM('Basis Options'!D378))</f>
        <v>IF-TRANSCO/Z6</v>
      </c>
      <c r="V373" t="s">
        <v>253</v>
      </c>
      <c r="W373" t="s">
        <v>132</v>
      </c>
      <c r="X373" t="s">
        <v>253</v>
      </c>
      <c r="Y373" t="s">
        <v>235</v>
      </c>
      <c r="Z373" t="s">
        <v>236</v>
      </c>
      <c r="AA373" t="s">
        <v>253</v>
      </c>
      <c r="AB373" t="s">
        <v>1</v>
      </c>
      <c r="AC373" s="235">
        <f>'Basis Options'!H378</f>
        <v>500000</v>
      </c>
      <c r="AD373" s="235">
        <f>'Basis Options'!W378</f>
        <v>26620.024739098633</v>
      </c>
      <c r="AE373">
        <v>0</v>
      </c>
      <c r="AF373">
        <v>0</v>
      </c>
      <c r="AG373">
        <v>0</v>
      </c>
      <c r="AH373" s="235">
        <f>'Basis Options'!CD378</f>
        <v>0</v>
      </c>
      <c r="AI373">
        <v>226</v>
      </c>
      <c r="AJ373" t="s">
        <v>256</v>
      </c>
      <c r="AK373">
        <v>0</v>
      </c>
      <c r="AL373">
        <v>0</v>
      </c>
      <c r="AM373">
        <v>0</v>
      </c>
    </row>
    <row r="374" spans="1:39" x14ac:dyDescent="0.25">
      <c r="A374" t="s">
        <v>233</v>
      </c>
      <c r="B374" t="str">
        <f>'Basis Options'!C379</f>
        <v>NM6107</v>
      </c>
      <c r="C374" t="s">
        <v>255</v>
      </c>
      <c r="D374" t="s">
        <v>234</v>
      </c>
      <c r="E374" t="s">
        <v>20</v>
      </c>
      <c r="F374" t="str">
        <f>'Basis Options'!A379</f>
        <v>JARON</v>
      </c>
      <c r="G374" t="s">
        <v>269</v>
      </c>
      <c r="H374" t="s">
        <v>254</v>
      </c>
      <c r="I374" t="s">
        <v>242</v>
      </c>
      <c r="J374" t="s">
        <v>235</v>
      </c>
      <c r="K374" s="380">
        <f>'Basis Options'!G379</f>
        <v>36831</v>
      </c>
      <c r="L374" s="235">
        <f>'Basis Options'!U379</f>
        <v>111243.70370502134</v>
      </c>
      <c r="M374" s="380">
        <f>'Basis Options'!Q379</f>
        <v>36829</v>
      </c>
      <c r="N374" t="str">
        <f>'Basis Options'!F379</f>
        <v>P</v>
      </c>
      <c r="O374">
        <f>'Basis Options'!I379</f>
        <v>0.7</v>
      </c>
      <c r="P374">
        <v>0</v>
      </c>
      <c r="Q374">
        <v>0</v>
      </c>
      <c r="R374">
        <v>0</v>
      </c>
      <c r="S374">
        <v>0</v>
      </c>
      <c r="T374" t="s">
        <v>253</v>
      </c>
      <c r="U374" t="str">
        <f>IF('Basis Options'!D379="NGI/CHI. GATE","""NGI/CHI. GATE""",TRIM('Basis Options'!D379))</f>
        <v>IF-TRANSCO/Z6</v>
      </c>
      <c r="V374" t="s">
        <v>253</v>
      </c>
      <c r="W374" t="s">
        <v>132</v>
      </c>
      <c r="X374" t="s">
        <v>253</v>
      </c>
      <c r="Y374" t="s">
        <v>235</v>
      </c>
      <c r="Z374" t="s">
        <v>236</v>
      </c>
      <c r="AA374" t="s">
        <v>253</v>
      </c>
      <c r="AB374" t="s">
        <v>1</v>
      </c>
      <c r="AC374" s="235">
        <f>'Basis Options'!H379</f>
        <v>500000</v>
      </c>
      <c r="AD374" s="235">
        <f>'Basis Options'!W379</f>
        <v>22373.910690690216</v>
      </c>
      <c r="AE374">
        <v>0</v>
      </c>
      <c r="AF374">
        <v>0</v>
      </c>
      <c r="AG374">
        <v>0</v>
      </c>
      <c r="AH374" s="235">
        <f>'Basis Options'!CD379</f>
        <v>0</v>
      </c>
      <c r="AI374">
        <v>226</v>
      </c>
      <c r="AJ374" t="s">
        <v>256</v>
      </c>
      <c r="AK374">
        <v>0</v>
      </c>
      <c r="AL374">
        <v>0</v>
      </c>
      <c r="AM374">
        <v>0</v>
      </c>
    </row>
    <row r="375" spans="1:39" x14ac:dyDescent="0.25">
      <c r="A375" t="s">
        <v>233</v>
      </c>
      <c r="B375" t="str">
        <f>'Basis Options'!C380</f>
        <v>NM6136</v>
      </c>
      <c r="C375" t="s">
        <v>255</v>
      </c>
      <c r="D375" t="s">
        <v>234</v>
      </c>
      <c r="E375" t="s">
        <v>20</v>
      </c>
      <c r="F375" t="str">
        <f>'Basis Options'!A380</f>
        <v>DUKEENETRA</v>
      </c>
      <c r="G375" t="s">
        <v>269</v>
      </c>
      <c r="H375" t="s">
        <v>254</v>
      </c>
      <c r="I375" t="s">
        <v>242</v>
      </c>
      <c r="J375" t="s">
        <v>235</v>
      </c>
      <c r="K375" s="380">
        <f>'Basis Options'!G380</f>
        <v>36951</v>
      </c>
      <c r="L375" s="235">
        <f>'Basis Options'!U380</f>
        <v>511417.4693653711</v>
      </c>
      <c r="M375" s="380">
        <f>'Basis Options'!Q380</f>
        <v>36949</v>
      </c>
      <c r="N375" t="str">
        <f>'Basis Options'!F380</f>
        <v>P</v>
      </c>
      <c r="O375">
        <f>'Basis Options'!I380</f>
        <v>0.75</v>
      </c>
      <c r="P375">
        <v>0</v>
      </c>
      <c r="Q375">
        <v>0</v>
      </c>
      <c r="R375">
        <v>0</v>
      </c>
      <c r="S375">
        <v>0</v>
      </c>
      <c r="T375" t="s">
        <v>253</v>
      </c>
      <c r="U375" t="str">
        <f>IF('Basis Options'!D380="NGI/CHI. GATE","""NGI/CHI. GATE""",TRIM('Basis Options'!D380))</f>
        <v>IF-TRANSCO/Z6</v>
      </c>
      <c r="V375" t="s">
        <v>253</v>
      </c>
      <c r="W375" t="s">
        <v>132</v>
      </c>
      <c r="X375" t="s">
        <v>253</v>
      </c>
      <c r="Y375" t="s">
        <v>235</v>
      </c>
      <c r="Z375" t="s">
        <v>236</v>
      </c>
      <c r="AA375" t="s">
        <v>253</v>
      </c>
      <c r="AB375" t="s">
        <v>1</v>
      </c>
      <c r="AC375" s="235">
        <f>'Basis Options'!H380</f>
        <v>1500000</v>
      </c>
      <c r="AD375" s="235">
        <f>'Basis Options'!W380</f>
        <v>130773.99754173629</v>
      </c>
      <c r="AE375">
        <v>0</v>
      </c>
      <c r="AF375">
        <v>0</v>
      </c>
      <c r="AG375">
        <v>0</v>
      </c>
      <c r="AH375" s="235">
        <f>'Basis Options'!CD380</f>
        <v>0</v>
      </c>
      <c r="AI375">
        <v>226</v>
      </c>
      <c r="AJ375" t="s">
        <v>256</v>
      </c>
      <c r="AK375">
        <v>0</v>
      </c>
      <c r="AL375">
        <v>0</v>
      </c>
      <c r="AM375">
        <v>0</v>
      </c>
    </row>
    <row r="376" spans="1:39" x14ac:dyDescent="0.25">
      <c r="A376" t="s">
        <v>233</v>
      </c>
      <c r="B376" t="str">
        <f>'Basis Options'!C381</f>
        <v>NM6136</v>
      </c>
      <c r="C376" t="s">
        <v>255</v>
      </c>
      <c r="D376" t="s">
        <v>234</v>
      </c>
      <c r="E376" t="s">
        <v>20</v>
      </c>
      <c r="F376" t="str">
        <f>'Basis Options'!A381</f>
        <v>DUKEENETRA</v>
      </c>
      <c r="G376" t="s">
        <v>269</v>
      </c>
      <c r="H376" t="s">
        <v>254</v>
      </c>
      <c r="I376" t="s">
        <v>242</v>
      </c>
      <c r="J376" t="s">
        <v>235</v>
      </c>
      <c r="K376" s="380">
        <f>'Basis Options'!G381</f>
        <v>36923</v>
      </c>
      <c r="L376" s="235">
        <f>'Basis Options'!U381</f>
        <v>208598.48713492497</v>
      </c>
      <c r="M376" s="380">
        <f>'Basis Options'!Q381</f>
        <v>36921</v>
      </c>
      <c r="N376" t="str">
        <f>'Basis Options'!F381</f>
        <v>P</v>
      </c>
      <c r="O376">
        <f>'Basis Options'!I381</f>
        <v>0.75</v>
      </c>
      <c r="P376">
        <v>0</v>
      </c>
      <c r="Q376">
        <v>0</v>
      </c>
      <c r="R376">
        <v>0</v>
      </c>
      <c r="S376">
        <v>0</v>
      </c>
      <c r="T376" t="s">
        <v>253</v>
      </c>
      <c r="U376" t="str">
        <f>IF('Basis Options'!D381="NGI/CHI. GATE","""NGI/CHI. GATE""",TRIM('Basis Options'!D381))</f>
        <v>IF-TRANSCO/Z6</v>
      </c>
      <c r="V376" t="s">
        <v>253</v>
      </c>
      <c r="W376" t="s">
        <v>132</v>
      </c>
      <c r="X376" t="s">
        <v>253</v>
      </c>
      <c r="Y376" t="s">
        <v>235</v>
      </c>
      <c r="Z376" t="s">
        <v>236</v>
      </c>
      <c r="AA376" t="s">
        <v>253</v>
      </c>
      <c r="AB376" t="s">
        <v>1</v>
      </c>
      <c r="AC376" s="235">
        <f>'Basis Options'!H381</f>
        <v>1500000</v>
      </c>
      <c r="AD376" s="235">
        <f>'Basis Options'!W381</f>
        <v>91678.281476201315</v>
      </c>
      <c r="AE376">
        <v>0</v>
      </c>
      <c r="AF376">
        <v>0</v>
      </c>
      <c r="AG376">
        <v>0</v>
      </c>
      <c r="AH376" s="235">
        <f>'Basis Options'!CD381</f>
        <v>0</v>
      </c>
      <c r="AI376">
        <v>226</v>
      </c>
      <c r="AJ376" t="s">
        <v>256</v>
      </c>
      <c r="AK376">
        <v>0</v>
      </c>
      <c r="AL376">
        <v>0</v>
      </c>
      <c r="AM376">
        <v>0</v>
      </c>
    </row>
    <row r="377" spans="1:39" x14ac:dyDescent="0.25">
      <c r="A377" t="s">
        <v>233</v>
      </c>
      <c r="B377" t="str">
        <f>'Basis Options'!C382</f>
        <v>NM6136</v>
      </c>
      <c r="C377" t="s">
        <v>255</v>
      </c>
      <c r="D377" t="s">
        <v>234</v>
      </c>
      <c r="E377" t="s">
        <v>20</v>
      </c>
      <c r="F377" t="str">
        <f>'Basis Options'!A382</f>
        <v>DUKEENETRA</v>
      </c>
      <c r="G377" t="s">
        <v>269</v>
      </c>
      <c r="H377" t="s">
        <v>254</v>
      </c>
      <c r="I377" t="s">
        <v>242</v>
      </c>
      <c r="J377" t="s">
        <v>235</v>
      </c>
      <c r="K377" s="380">
        <f>'Basis Options'!G382</f>
        <v>36892</v>
      </c>
      <c r="L377" s="235">
        <f>'Basis Options'!U382</f>
        <v>164141.16747218359</v>
      </c>
      <c r="M377" s="380">
        <f>'Basis Options'!Q382</f>
        <v>36888</v>
      </c>
      <c r="N377" t="str">
        <f>'Basis Options'!F382</f>
        <v>P</v>
      </c>
      <c r="O377">
        <f>'Basis Options'!I382</f>
        <v>0.75</v>
      </c>
      <c r="P377">
        <v>0</v>
      </c>
      <c r="Q377">
        <v>0</v>
      </c>
      <c r="R377">
        <v>0</v>
      </c>
      <c r="S377">
        <v>0</v>
      </c>
      <c r="T377" t="s">
        <v>253</v>
      </c>
      <c r="U377" t="str">
        <f>IF('Basis Options'!D382="NGI/CHI. GATE","""NGI/CHI. GATE""",TRIM('Basis Options'!D382))</f>
        <v>IF-TRANSCO/Z6</v>
      </c>
      <c r="V377" t="s">
        <v>253</v>
      </c>
      <c r="W377" t="s">
        <v>132</v>
      </c>
      <c r="X377" t="s">
        <v>253</v>
      </c>
      <c r="Y377" t="s">
        <v>235</v>
      </c>
      <c r="Z377" t="s">
        <v>236</v>
      </c>
      <c r="AA377" t="s">
        <v>253</v>
      </c>
      <c r="AB377" t="s">
        <v>1</v>
      </c>
      <c r="AC377" s="235">
        <f>'Basis Options'!H382</f>
        <v>1500000</v>
      </c>
      <c r="AD377" s="235">
        <f>'Basis Options'!W382</f>
        <v>75845.654602684168</v>
      </c>
      <c r="AE377">
        <v>0</v>
      </c>
      <c r="AF377">
        <v>0</v>
      </c>
      <c r="AG377">
        <v>0</v>
      </c>
      <c r="AH377" s="235">
        <f>'Basis Options'!CD382</f>
        <v>0</v>
      </c>
      <c r="AI377">
        <v>226</v>
      </c>
      <c r="AJ377" t="s">
        <v>256</v>
      </c>
      <c r="AK377">
        <v>0</v>
      </c>
      <c r="AL377">
        <v>0</v>
      </c>
      <c r="AM377">
        <v>0</v>
      </c>
    </row>
    <row r="378" spans="1:39" x14ac:dyDescent="0.25">
      <c r="A378" t="s">
        <v>233</v>
      </c>
      <c r="B378" t="str">
        <f>'Basis Options'!C383</f>
        <v>NM6136</v>
      </c>
      <c r="C378" t="s">
        <v>255</v>
      </c>
      <c r="D378" t="s">
        <v>234</v>
      </c>
      <c r="E378" t="s">
        <v>20</v>
      </c>
      <c r="F378" t="str">
        <f>'Basis Options'!A383</f>
        <v>DUKEENETRA</v>
      </c>
      <c r="G378" t="s">
        <v>269</v>
      </c>
      <c r="H378" t="s">
        <v>254</v>
      </c>
      <c r="I378" t="s">
        <v>242</v>
      </c>
      <c r="J378" t="s">
        <v>235</v>
      </c>
      <c r="K378" s="380">
        <f>'Basis Options'!G383</f>
        <v>36861</v>
      </c>
      <c r="L378" s="235">
        <f>'Basis Options'!U383</f>
        <v>219145.20959725036</v>
      </c>
      <c r="M378" s="380">
        <f>'Basis Options'!Q383</f>
        <v>36859</v>
      </c>
      <c r="N378" t="str">
        <f>'Basis Options'!F383</f>
        <v>P</v>
      </c>
      <c r="O378">
        <f>'Basis Options'!I383</f>
        <v>0.75</v>
      </c>
      <c r="P378">
        <v>0</v>
      </c>
      <c r="Q378">
        <v>0</v>
      </c>
      <c r="R378">
        <v>0</v>
      </c>
      <c r="S378">
        <v>0</v>
      </c>
      <c r="T378" t="s">
        <v>253</v>
      </c>
      <c r="U378" t="str">
        <f>IF('Basis Options'!D383="NGI/CHI. GATE","""NGI/CHI. GATE""",TRIM('Basis Options'!D383))</f>
        <v>IF-TRANSCO/Z6</v>
      </c>
      <c r="V378" t="s">
        <v>253</v>
      </c>
      <c r="W378" t="s">
        <v>132</v>
      </c>
      <c r="X378" t="s">
        <v>253</v>
      </c>
      <c r="Y378" t="s">
        <v>235</v>
      </c>
      <c r="Z378" t="s">
        <v>236</v>
      </c>
      <c r="AA378" t="s">
        <v>253</v>
      </c>
      <c r="AB378" t="s">
        <v>1</v>
      </c>
      <c r="AC378" s="235">
        <f>'Basis Options'!H383</f>
        <v>1500000</v>
      </c>
      <c r="AD378" s="235">
        <f>'Basis Options'!W383</f>
        <v>82680.870846842183</v>
      </c>
      <c r="AE378">
        <v>0</v>
      </c>
      <c r="AF378">
        <v>0</v>
      </c>
      <c r="AG378">
        <v>0</v>
      </c>
      <c r="AH378" s="235">
        <f>'Basis Options'!CD383</f>
        <v>0</v>
      </c>
      <c r="AI378">
        <v>226</v>
      </c>
      <c r="AJ378" t="s">
        <v>256</v>
      </c>
      <c r="AK378">
        <v>0</v>
      </c>
      <c r="AL378">
        <v>0</v>
      </c>
      <c r="AM378">
        <v>0</v>
      </c>
    </row>
    <row r="379" spans="1:39" x14ac:dyDescent="0.25">
      <c r="A379" t="s">
        <v>233</v>
      </c>
      <c r="B379" t="str">
        <f>'Basis Options'!C384</f>
        <v>NM6136</v>
      </c>
      <c r="C379" t="s">
        <v>255</v>
      </c>
      <c r="D379" t="s">
        <v>234</v>
      </c>
      <c r="E379" t="s">
        <v>20</v>
      </c>
      <c r="F379" t="str">
        <f>'Basis Options'!A384</f>
        <v>DUKEENETRA</v>
      </c>
      <c r="G379" t="s">
        <v>269</v>
      </c>
      <c r="H379" t="s">
        <v>254</v>
      </c>
      <c r="I379" t="s">
        <v>242</v>
      </c>
      <c r="J379" t="s">
        <v>235</v>
      </c>
      <c r="K379" s="380">
        <f>'Basis Options'!G384</f>
        <v>36831</v>
      </c>
      <c r="L379" s="235">
        <f>'Basis Options'!U384</f>
        <v>371396.00924197386</v>
      </c>
      <c r="M379" s="380">
        <f>'Basis Options'!Q384</f>
        <v>36829</v>
      </c>
      <c r="N379" t="str">
        <f>'Basis Options'!F384</f>
        <v>P</v>
      </c>
      <c r="O379">
        <f>'Basis Options'!I384</f>
        <v>0.75</v>
      </c>
      <c r="P379">
        <v>0</v>
      </c>
      <c r="Q379">
        <v>0</v>
      </c>
      <c r="R379">
        <v>0</v>
      </c>
      <c r="S379">
        <v>0</v>
      </c>
      <c r="T379" t="s">
        <v>253</v>
      </c>
      <c r="U379" t="str">
        <f>IF('Basis Options'!D384="NGI/CHI. GATE","""NGI/CHI. GATE""",TRIM('Basis Options'!D384))</f>
        <v>IF-TRANSCO/Z6</v>
      </c>
      <c r="V379" t="s">
        <v>253</v>
      </c>
      <c r="W379" t="s">
        <v>132</v>
      </c>
      <c r="X379" t="s">
        <v>253</v>
      </c>
      <c r="Y379" t="s">
        <v>235</v>
      </c>
      <c r="Z379" t="s">
        <v>236</v>
      </c>
      <c r="AA379" t="s">
        <v>253</v>
      </c>
      <c r="AB379" t="s">
        <v>1</v>
      </c>
      <c r="AC379" s="235">
        <f>'Basis Options'!H384</f>
        <v>1500000</v>
      </c>
      <c r="AD379" s="235">
        <f>'Basis Options'!W384</f>
        <v>67199.051504962496</v>
      </c>
      <c r="AE379">
        <v>0</v>
      </c>
      <c r="AF379">
        <v>0</v>
      </c>
      <c r="AG379">
        <v>0</v>
      </c>
      <c r="AH379" s="235">
        <f>'Basis Options'!CD384</f>
        <v>0</v>
      </c>
      <c r="AI379">
        <v>226</v>
      </c>
      <c r="AJ379" t="s">
        <v>256</v>
      </c>
      <c r="AK379">
        <v>0</v>
      </c>
      <c r="AL379">
        <v>0</v>
      </c>
      <c r="AM379">
        <v>0</v>
      </c>
    </row>
    <row r="380" spans="1:39" x14ac:dyDescent="0.25">
      <c r="A380" t="s">
        <v>233</v>
      </c>
      <c r="B380" t="str">
        <f>'Basis Options'!C385</f>
        <v>NM7673.1</v>
      </c>
      <c r="C380" t="s">
        <v>255</v>
      </c>
      <c r="D380" t="s">
        <v>234</v>
      </c>
      <c r="E380" t="s">
        <v>20</v>
      </c>
      <c r="F380" t="str">
        <f>'Basis Options'!A385</f>
        <v>ELPASMER</v>
      </c>
      <c r="G380" t="s">
        <v>269</v>
      </c>
      <c r="H380" t="s">
        <v>254</v>
      </c>
      <c r="I380" t="s">
        <v>242</v>
      </c>
      <c r="J380" t="s">
        <v>235</v>
      </c>
      <c r="K380" s="380">
        <f>'Basis Options'!G385</f>
        <v>36800</v>
      </c>
      <c r="L380" s="235">
        <f>'Basis Options'!U385</f>
        <v>-117649.62322096218</v>
      </c>
      <c r="M380" s="380">
        <f>'Basis Options'!Q385</f>
        <v>36797</v>
      </c>
      <c r="N380" t="str">
        <f>'Basis Options'!F385</f>
        <v>P</v>
      </c>
      <c r="O380">
        <f>'Basis Options'!I385</f>
        <v>0.65</v>
      </c>
      <c r="P380">
        <v>0</v>
      </c>
      <c r="Q380">
        <v>0</v>
      </c>
      <c r="R380">
        <v>0</v>
      </c>
      <c r="S380">
        <v>0</v>
      </c>
      <c r="T380" t="s">
        <v>253</v>
      </c>
      <c r="U380" t="str">
        <f>IF('Basis Options'!D385="NGI/CHI. GATE","""NGI/CHI. GATE""",TRIM('Basis Options'!D385))</f>
        <v>IF-TRANSCO/Z6</v>
      </c>
      <c r="V380" t="s">
        <v>253</v>
      </c>
      <c r="W380" t="s">
        <v>132</v>
      </c>
      <c r="X380" t="s">
        <v>253</v>
      </c>
      <c r="Y380" t="s">
        <v>235</v>
      </c>
      <c r="Z380" t="s">
        <v>236</v>
      </c>
      <c r="AA380" t="s">
        <v>253</v>
      </c>
      <c r="AB380" t="s">
        <v>1</v>
      </c>
      <c r="AC380" s="235">
        <f>'Basis Options'!H385</f>
        <v>-500000</v>
      </c>
      <c r="AD380" s="235">
        <f>'Basis Options'!W385</f>
        <v>-533.54625167779159</v>
      </c>
      <c r="AE380">
        <v>0</v>
      </c>
      <c r="AF380">
        <v>0</v>
      </c>
      <c r="AG380">
        <v>0</v>
      </c>
      <c r="AH380" s="235">
        <f>'Basis Options'!CD385</f>
        <v>0</v>
      </c>
      <c r="AI380">
        <v>226</v>
      </c>
      <c r="AJ380" t="s">
        <v>256</v>
      </c>
      <c r="AK380">
        <v>0</v>
      </c>
      <c r="AL380">
        <v>0</v>
      </c>
      <c r="AM380">
        <v>0</v>
      </c>
    </row>
    <row r="381" spans="1:39" x14ac:dyDescent="0.25">
      <c r="A381" t="s">
        <v>233</v>
      </c>
      <c r="B381" t="str">
        <f>'Basis Options'!C386</f>
        <v>NM7673.2</v>
      </c>
      <c r="C381" t="s">
        <v>255</v>
      </c>
      <c r="D381" t="s">
        <v>234</v>
      </c>
      <c r="E381" t="s">
        <v>20</v>
      </c>
      <c r="F381" t="str">
        <f>'Basis Options'!A386</f>
        <v>ELPASMER</v>
      </c>
      <c r="G381" t="s">
        <v>269</v>
      </c>
      <c r="H381" t="s">
        <v>254</v>
      </c>
      <c r="I381" t="s">
        <v>242</v>
      </c>
      <c r="J381" t="s">
        <v>235</v>
      </c>
      <c r="K381" s="380">
        <f>'Basis Options'!G386</f>
        <v>36800</v>
      </c>
      <c r="L381" s="235">
        <f>'Basis Options'!U386</f>
        <v>8859.0575745864371</v>
      </c>
      <c r="M381" s="380">
        <f>'Basis Options'!Q386</f>
        <v>36797</v>
      </c>
      <c r="N381" t="str">
        <f>'Basis Options'!F386</f>
        <v>P</v>
      </c>
      <c r="O381">
        <f>'Basis Options'!I386</f>
        <v>0.35</v>
      </c>
      <c r="P381">
        <v>0</v>
      </c>
      <c r="Q381">
        <v>0</v>
      </c>
      <c r="R381">
        <v>0</v>
      </c>
      <c r="S381">
        <v>0</v>
      </c>
      <c r="T381" t="s">
        <v>253</v>
      </c>
      <c r="U381" t="str">
        <f>IF('Basis Options'!D386="NGI/CHI. GATE","""NGI/CHI. GATE""",TRIM('Basis Options'!D386))</f>
        <v>IF-TRANSCO/Z6</v>
      </c>
      <c r="V381" t="s">
        <v>253</v>
      </c>
      <c r="W381" t="s">
        <v>132</v>
      </c>
      <c r="X381" t="s">
        <v>253</v>
      </c>
      <c r="Y381" t="s">
        <v>235</v>
      </c>
      <c r="Z381" t="s">
        <v>236</v>
      </c>
      <c r="AA381" t="s">
        <v>253</v>
      </c>
      <c r="AB381" t="s">
        <v>1</v>
      </c>
      <c r="AC381" s="235">
        <f>'Basis Options'!H386</f>
        <v>500000</v>
      </c>
      <c r="AD381" s="235">
        <f>'Basis Options'!W386</f>
        <v>2784.0538100038539</v>
      </c>
      <c r="AE381">
        <v>0</v>
      </c>
      <c r="AF381">
        <v>0</v>
      </c>
      <c r="AG381">
        <v>0</v>
      </c>
      <c r="AH381" s="235">
        <f>'Basis Options'!CD386</f>
        <v>0</v>
      </c>
      <c r="AI381">
        <v>226</v>
      </c>
      <c r="AJ381" t="s">
        <v>256</v>
      </c>
      <c r="AK381">
        <v>0</v>
      </c>
      <c r="AL381">
        <v>0</v>
      </c>
      <c r="AM381">
        <v>0</v>
      </c>
    </row>
    <row r="382" spans="1:39" x14ac:dyDescent="0.25">
      <c r="A382" t="s">
        <v>233</v>
      </c>
      <c r="B382" t="str">
        <f>'Basis Options'!C387</f>
        <v>NM7673.3</v>
      </c>
      <c r="C382" t="s">
        <v>255</v>
      </c>
      <c r="D382" t="s">
        <v>234</v>
      </c>
      <c r="E382" t="s">
        <v>20</v>
      </c>
      <c r="F382" t="str">
        <f>'Basis Options'!A387</f>
        <v>ELPASMER</v>
      </c>
      <c r="G382" t="s">
        <v>269</v>
      </c>
      <c r="H382" t="s">
        <v>254</v>
      </c>
      <c r="I382" t="s">
        <v>242</v>
      </c>
      <c r="J382" t="s">
        <v>235</v>
      </c>
      <c r="K382" s="380">
        <f>'Basis Options'!G387</f>
        <v>36951</v>
      </c>
      <c r="L382" s="235">
        <f>'Basis Options'!U387</f>
        <v>464232.53044064884</v>
      </c>
      <c r="M382" s="380">
        <f>'Basis Options'!Q387</f>
        <v>36949</v>
      </c>
      <c r="N382" t="str">
        <f>'Basis Options'!F387</f>
        <v>P</v>
      </c>
      <c r="O382">
        <f>'Basis Options'!I387</f>
        <v>1</v>
      </c>
      <c r="P382">
        <v>0</v>
      </c>
      <c r="Q382">
        <v>0</v>
      </c>
      <c r="R382">
        <v>0</v>
      </c>
      <c r="S382">
        <v>0</v>
      </c>
      <c r="T382" t="s">
        <v>253</v>
      </c>
      <c r="U382" t="str">
        <f>IF('Basis Options'!D387="NGI/CHI. GATE","""NGI/CHI. GATE""",TRIM('Basis Options'!D387))</f>
        <v>IF-TRANSCO/Z6</v>
      </c>
      <c r="V382" t="s">
        <v>253</v>
      </c>
      <c r="W382" t="s">
        <v>132</v>
      </c>
      <c r="X382" t="s">
        <v>253</v>
      </c>
      <c r="Y382" t="s">
        <v>235</v>
      </c>
      <c r="Z382" t="s">
        <v>236</v>
      </c>
      <c r="AA382" t="s">
        <v>253</v>
      </c>
      <c r="AB382" t="s">
        <v>1</v>
      </c>
      <c r="AC382" s="235">
        <f>'Basis Options'!H387</f>
        <v>1000000</v>
      </c>
      <c r="AD382" s="235">
        <f>'Basis Options'!W387</f>
        <v>88710.208431903797</v>
      </c>
      <c r="AE382">
        <v>0</v>
      </c>
      <c r="AF382">
        <v>0</v>
      </c>
      <c r="AG382">
        <v>0</v>
      </c>
      <c r="AH382" s="235">
        <f>'Basis Options'!CD387</f>
        <v>0</v>
      </c>
      <c r="AI382">
        <v>226</v>
      </c>
      <c r="AJ382" t="s">
        <v>256</v>
      </c>
      <c r="AK382">
        <v>0</v>
      </c>
      <c r="AL382">
        <v>0</v>
      </c>
      <c r="AM382">
        <v>0</v>
      </c>
    </row>
    <row r="383" spans="1:39" x14ac:dyDescent="0.25">
      <c r="A383" t="s">
        <v>233</v>
      </c>
      <c r="B383" t="str">
        <f>'Basis Options'!C388</f>
        <v>NM7733</v>
      </c>
      <c r="C383" t="s">
        <v>255</v>
      </c>
      <c r="D383" t="s">
        <v>234</v>
      </c>
      <c r="E383" t="s">
        <v>20</v>
      </c>
      <c r="F383" t="str">
        <f>'Basis Options'!A388</f>
        <v>ELPASMER</v>
      </c>
      <c r="G383" t="s">
        <v>269</v>
      </c>
      <c r="H383" t="s">
        <v>254</v>
      </c>
      <c r="I383" t="s">
        <v>242</v>
      </c>
      <c r="J383" t="s">
        <v>235</v>
      </c>
      <c r="K383" s="380">
        <f>'Basis Options'!G388</f>
        <v>36951</v>
      </c>
      <c r="L383" s="235">
        <f>'Basis Options'!U388</f>
        <v>547822.2475549985</v>
      </c>
      <c r="M383" s="380">
        <f>'Basis Options'!Q388</f>
        <v>36949</v>
      </c>
      <c r="N383" t="str">
        <f>'Basis Options'!F388</f>
        <v>P</v>
      </c>
      <c r="O383">
        <f>'Basis Options'!I388</f>
        <v>1.1499999999999999</v>
      </c>
      <c r="P383">
        <v>0</v>
      </c>
      <c r="Q383">
        <v>0</v>
      </c>
      <c r="R383">
        <v>0</v>
      </c>
      <c r="S383">
        <v>0</v>
      </c>
      <c r="T383" t="s">
        <v>253</v>
      </c>
      <c r="U383" t="str">
        <f>IF('Basis Options'!D388="NGI/CHI. GATE","""NGI/CHI. GATE""",TRIM('Basis Options'!D388))</f>
        <v>IF-TRANSCO/Z6</v>
      </c>
      <c r="V383" t="s">
        <v>253</v>
      </c>
      <c r="W383" t="s">
        <v>132</v>
      </c>
      <c r="X383" t="s">
        <v>253</v>
      </c>
      <c r="Y383" t="s">
        <v>235</v>
      </c>
      <c r="Z383" t="s">
        <v>236</v>
      </c>
      <c r="AA383" t="s">
        <v>253</v>
      </c>
      <c r="AB383" t="s">
        <v>1</v>
      </c>
      <c r="AC383" s="235">
        <f>'Basis Options'!H388</f>
        <v>1000000</v>
      </c>
      <c r="AD383" s="235">
        <f>'Basis Options'!W388</f>
        <v>88008.830654484162</v>
      </c>
      <c r="AE383">
        <v>0</v>
      </c>
      <c r="AF383">
        <v>0</v>
      </c>
      <c r="AG383">
        <v>0</v>
      </c>
      <c r="AH383" s="235">
        <f>'Basis Options'!CD388</f>
        <v>0</v>
      </c>
      <c r="AI383">
        <v>226</v>
      </c>
      <c r="AJ383" t="s">
        <v>256</v>
      </c>
      <c r="AK383">
        <v>0</v>
      </c>
      <c r="AL383">
        <v>0</v>
      </c>
      <c r="AM383">
        <v>0</v>
      </c>
    </row>
    <row r="384" spans="1:39" x14ac:dyDescent="0.25">
      <c r="A384" t="s">
        <v>233</v>
      </c>
      <c r="B384" t="str">
        <f>'Basis Options'!C389</f>
        <v>NN0150.1</v>
      </c>
      <c r="C384" t="s">
        <v>255</v>
      </c>
      <c r="D384" t="s">
        <v>234</v>
      </c>
      <c r="E384" t="s">
        <v>20</v>
      </c>
      <c r="F384" t="str">
        <f>'Basis Options'!A389</f>
        <v>ELPASMER</v>
      </c>
      <c r="G384" t="s">
        <v>269</v>
      </c>
      <c r="H384" t="s">
        <v>254</v>
      </c>
      <c r="I384" t="s">
        <v>242</v>
      </c>
      <c r="J384" t="s">
        <v>235</v>
      </c>
      <c r="K384" s="380">
        <f>'Basis Options'!G389</f>
        <v>36800</v>
      </c>
      <c r="L384" s="235">
        <f>'Basis Options'!U389</f>
        <v>-675.79989208547818</v>
      </c>
      <c r="M384" s="380">
        <f>'Basis Options'!Q389</f>
        <v>36797</v>
      </c>
      <c r="N384" t="str">
        <f>'Basis Options'!F389</f>
        <v>C</v>
      </c>
      <c r="O384">
        <f>'Basis Options'!I389</f>
        <v>0.7</v>
      </c>
      <c r="P384">
        <v>0</v>
      </c>
      <c r="Q384">
        <v>0</v>
      </c>
      <c r="R384">
        <v>0</v>
      </c>
      <c r="S384">
        <v>0</v>
      </c>
      <c r="T384" t="s">
        <v>253</v>
      </c>
      <c r="U384" t="str">
        <f>IF('Basis Options'!D389="NGI/CHI. GATE","""NGI/CHI. GATE""",TRIM('Basis Options'!D389))</f>
        <v>IF-TRANSCO/Z6</v>
      </c>
      <c r="V384" t="s">
        <v>253</v>
      </c>
      <c r="W384" t="s">
        <v>132</v>
      </c>
      <c r="X384" t="s">
        <v>253</v>
      </c>
      <c r="Y384" t="s">
        <v>235</v>
      </c>
      <c r="Z384" t="s">
        <v>236</v>
      </c>
      <c r="AA384" t="s">
        <v>253</v>
      </c>
      <c r="AB384" t="s">
        <v>1</v>
      </c>
      <c r="AC384" s="235">
        <f>'Basis Options'!H389</f>
        <v>-1000000</v>
      </c>
      <c r="AD384" s="235">
        <f>'Basis Options'!W389</f>
        <v>-540.83222908454263</v>
      </c>
      <c r="AE384">
        <v>0</v>
      </c>
      <c r="AF384">
        <v>0</v>
      </c>
      <c r="AG384">
        <v>0</v>
      </c>
      <c r="AH384" s="235">
        <f>'Basis Options'!CD389</f>
        <v>0</v>
      </c>
      <c r="AI384">
        <v>226</v>
      </c>
      <c r="AJ384" t="s">
        <v>256</v>
      </c>
      <c r="AK384">
        <v>0</v>
      </c>
      <c r="AL384">
        <v>0</v>
      </c>
      <c r="AM384">
        <v>0</v>
      </c>
    </row>
    <row r="385" spans="1:39" x14ac:dyDescent="0.25">
      <c r="A385" t="s">
        <v>233</v>
      </c>
      <c r="B385" t="str">
        <f>'Basis Options'!C390</f>
        <v>NN0150.2</v>
      </c>
      <c r="C385" t="s">
        <v>255</v>
      </c>
      <c r="D385" t="s">
        <v>234</v>
      </c>
      <c r="E385" t="s">
        <v>20</v>
      </c>
      <c r="F385" t="str">
        <f>'Basis Options'!A390</f>
        <v>ELPASMER</v>
      </c>
      <c r="G385" t="s">
        <v>269</v>
      </c>
      <c r="H385" t="s">
        <v>254</v>
      </c>
      <c r="I385" t="s">
        <v>242</v>
      </c>
      <c r="J385" t="s">
        <v>235</v>
      </c>
      <c r="K385" s="380">
        <f>'Basis Options'!G390</f>
        <v>36831</v>
      </c>
      <c r="L385" s="235">
        <f>'Basis Options'!U390</f>
        <v>-168441.77648588188</v>
      </c>
      <c r="M385" s="380">
        <f>'Basis Options'!Q390</f>
        <v>36829</v>
      </c>
      <c r="N385" t="str">
        <f>'Basis Options'!F390</f>
        <v>C</v>
      </c>
      <c r="O385">
        <f>'Basis Options'!I390</f>
        <v>1</v>
      </c>
      <c r="P385">
        <v>0</v>
      </c>
      <c r="Q385">
        <v>0</v>
      </c>
      <c r="R385">
        <v>0</v>
      </c>
      <c r="S385">
        <v>0</v>
      </c>
      <c r="T385" t="s">
        <v>253</v>
      </c>
      <c r="U385" t="str">
        <f>IF('Basis Options'!D390="NGI/CHI. GATE","""NGI/CHI. GATE""",TRIM('Basis Options'!D390))</f>
        <v>IF-TRANSCO/Z6</v>
      </c>
      <c r="V385" t="s">
        <v>253</v>
      </c>
      <c r="W385" t="s">
        <v>132</v>
      </c>
      <c r="X385" t="s">
        <v>253</v>
      </c>
      <c r="Y385" t="s">
        <v>235</v>
      </c>
      <c r="Z385" t="s">
        <v>236</v>
      </c>
      <c r="AA385" t="s">
        <v>253</v>
      </c>
      <c r="AB385" t="s">
        <v>1</v>
      </c>
      <c r="AC385" s="235">
        <f>'Basis Options'!H390</f>
        <v>-1000000</v>
      </c>
      <c r="AD385" s="235">
        <f>'Basis Options'!W390</f>
        <v>-41450.562083785946</v>
      </c>
      <c r="AE385">
        <v>0</v>
      </c>
      <c r="AF385">
        <v>0</v>
      </c>
      <c r="AG385">
        <v>0</v>
      </c>
      <c r="AH385" s="235">
        <f>'Basis Options'!CD390</f>
        <v>0</v>
      </c>
      <c r="AI385">
        <v>226</v>
      </c>
      <c r="AJ385" t="s">
        <v>256</v>
      </c>
      <c r="AK385">
        <v>0</v>
      </c>
      <c r="AL385">
        <v>0</v>
      </c>
      <c r="AM385">
        <v>0</v>
      </c>
    </row>
    <row r="386" spans="1:39" x14ac:dyDescent="0.25">
      <c r="A386" t="s">
        <v>233</v>
      </c>
      <c r="B386" t="str">
        <f>'Basis Options'!C391</f>
        <v>NN2121</v>
      </c>
      <c r="C386" t="s">
        <v>255</v>
      </c>
      <c r="D386" t="s">
        <v>234</v>
      </c>
      <c r="E386" t="s">
        <v>20</v>
      </c>
      <c r="F386" t="str">
        <f>'Basis Options'!A391</f>
        <v>ELPASMER</v>
      </c>
      <c r="G386" t="s">
        <v>269</v>
      </c>
      <c r="H386" t="s">
        <v>254</v>
      </c>
      <c r="I386" t="s">
        <v>242</v>
      </c>
      <c r="J386" t="s">
        <v>235</v>
      </c>
      <c r="K386" s="380">
        <f>'Basis Options'!G391</f>
        <v>36951</v>
      </c>
      <c r="L386" s="235">
        <f>'Basis Options'!U391</f>
        <v>-15867.297768328677</v>
      </c>
      <c r="M386" s="380">
        <f>'Basis Options'!Q391</f>
        <v>36949</v>
      </c>
      <c r="N386" t="str">
        <f>'Basis Options'!F391</f>
        <v>C</v>
      </c>
      <c r="O386">
        <f>'Basis Options'!I391</f>
        <v>0.3</v>
      </c>
      <c r="P386">
        <v>0</v>
      </c>
      <c r="Q386">
        <v>0</v>
      </c>
      <c r="R386">
        <v>0</v>
      </c>
      <c r="S386">
        <v>0</v>
      </c>
      <c r="T386" t="s">
        <v>253</v>
      </c>
      <c r="U386" t="str">
        <f>IF('Basis Options'!D391="NGI/CHI. GATE","""NGI/CHI. GATE""",TRIM('Basis Options'!D391))</f>
        <v>"NGI/CHI. GATE"</v>
      </c>
      <c r="V386" t="s">
        <v>253</v>
      </c>
      <c r="W386" t="s">
        <v>132</v>
      </c>
      <c r="X386" t="s">
        <v>253</v>
      </c>
      <c r="Y386" t="s">
        <v>235</v>
      </c>
      <c r="Z386" t="s">
        <v>236</v>
      </c>
      <c r="AA386" t="s">
        <v>253</v>
      </c>
      <c r="AB386" t="s">
        <v>1</v>
      </c>
      <c r="AC386" s="235">
        <f>'Basis Options'!H391</f>
        <v>-1500000</v>
      </c>
      <c r="AD386" s="235">
        <f>'Basis Options'!W391</f>
        <v>-7882.7179511053837</v>
      </c>
      <c r="AE386">
        <v>0</v>
      </c>
      <c r="AF386">
        <v>0</v>
      </c>
      <c r="AG386">
        <v>0</v>
      </c>
      <c r="AH386" s="235">
        <f>'Basis Options'!CD391</f>
        <v>0</v>
      </c>
      <c r="AI386">
        <v>226</v>
      </c>
      <c r="AJ386" t="s">
        <v>256</v>
      </c>
      <c r="AK386">
        <v>0</v>
      </c>
      <c r="AL386">
        <v>0</v>
      </c>
      <c r="AM386">
        <v>0</v>
      </c>
    </row>
    <row r="387" spans="1:39" x14ac:dyDescent="0.25">
      <c r="A387" t="s">
        <v>233</v>
      </c>
      <c r="B387" t="str">
        <f>'Basis Options'!C392</f>
        <v>NN2121</v>
      </c>
      <c r="C387" t="s">
        <v>255</v>
      </c>
      <c r="D387" t="s">
        <v>234</v>
      </c>
      <c r="E387" t="s">
        <v>20</v>
      </c>
      <c r="F387" t="str">
        <f>'Basis Options'!A392</f>
        <v>ELPASMER</v>
      </c>
      <c r="G387" t="s">
        <v>269</v>
      </c>
      <c r="H387" t="s">
        <v>254</v>
      </c>
      <c r="I387" t="s">
        <v>242</v>
      </c>
      <c r="J387" t="s">
        <v>235</v>
      </c>
      <c r="K387" s="380">
        <f>'Basis Options'!G392</f>
        <v>36923</v>
      </c>
      <c r="L387" s="235">
        <f>'Basis Options'!U392</f>
        <v>-23218.719536185446</v>
      </c>
      <c r="M387" s="380">
        <f>'Basis Options'!Q392</f>
        <v>36921</v>
      </c>
      <c r="N387" t="str">
        <f>'Basis Options'!F392</f>
        <v>C</v>
      </c>
      <c r="O387">
        <f>'Basis Options'!I392</f>
        <v>0.3</v>
      </c>
      <c r="P387">
        <v>0</v>
      </c>
      <c r="Q387">
        <v>0</v>
      </c>
      <c r="R387">
        <v>0</v>
      </c>
      <c r="S387">
        <v>0</v>
      </c>
      <c r="T387" t="s">
        <v>253</v>
      </c>
      <c r="U387" t="str">
        <f>IF('Basis Options'!D392="NGI/CHI. GATE","""NGI/CHI. GATE""",TRIM('Basis Options'!D392))</f>
        <v>"NGI/CHI. GATE"</v>
      </c>
      <c r="V387" t="s">
        <v>253</v>
      </c>
      <c r="W387" t="s">
        <v>132</v>
      </c>
      <c r="X387" t="s">
        <v>253</v>
      </c>
      <c r="Y387" t="s">
        <v>235</v>
      </c>
      <c r="Z387" t="s">
        <v>236</v>
      </c>
      <c r="AA387" t="s">
        <v>253</v>
      </c>
      <c r="AB387" t="s">
        <v>1</v>
      </c>
      <c r="AC387" s="235">
        <f>'Basis Options'!H392</f>
        <v>-1500000</v>
      </c>
      <c r="AD387" s="235">
        <f>'Basis Options'!W392</f>
        <v>-9562.7424878214952</v>
      </c>
      <c r="AE387">
        <v>0</v>
      </c>
      <c r="AF387">
        <v>0</v>
      </c>
      <c r="AG387">
        <v>0</v>
      </c>
      <c r="AH387" s="235">
        <f>'Basis Options'!CD392</f>
        <v>0</v>
      </c>
      <c r="AI387">
        <v>226</v>
      </c>
      <c r="AJ387" t="s">
        <v>256</v>
      </c>
      <c r="AK387">
        <v>0</v>
      </c>
      <c r="AL387">
        <v>0</v>
      </c>
      <c r="AM387">
        <v>0</v>
      </c>
    </row>
    <row r="388" spans="1:39" x14ac:dyDescent="0.25">
      <c r="A388" t="s">
        <v>233</v>
      </c>
      <c r="B388" t="str">
        <f>'Basis Options'!C393</f>
        <v>NN2121</v>
      </c>
      <c r="C388" t="s">
        <v>255</v>
      </c>
      <c r="D388" t="s">
        <v>234</v>
      </c>
      <c r="E388" t="s">
        <v>20</v>
      </c>
      <c r="F388" t="str">
        <f>'Basis Options'!A393</f>
        <v>ELPASMER</v>
      </c>
      <c r="G388" t="s">
        <v>269</v>
      </c>
      <c r="H388" t="s">
        <v>254</v>
      </c>
      <c r="I388" t="s">
        <v>242</v>
      </c>
      <c r="J388" t="s">
        <v>235</v>
      </c>
      <c r="K388" s="380">
        <f>'Basis Options'!G393</f>
        <v>36892</v>
      </c>
      <c r="L388" s="235">
        <f>'Basis Options'!U393</f>
        <v>-17002.833057117248</v>
      </c>
      <c r="M388" s="380">
        <f>'Basis Options'!Q393</f>
        <v>36888</v>
      </c>
      <c r="N388" t="str">
        <f>'Basis Options'!F393</f>
        <v>C</v>
      </c>
      <c r="O388">
        <f>'Basis Options'!I393</f>
        <v>0.3</v>
      </c>
      <c r="P388">
        <v>0</v>
      </c>
      <c r="Q388">
        <v>0</v>
      </c>
      <c r="R388">
        <v>0</v>
      </c>
      <c r="S388">
        <v>0</v>
      </c>
      <c r="T388" t="s">
        <v>253</v>
      </c>
      <c r="U388" t="str">
        <f>IF('Basis Options'!D393="NGI/CHI. GATE","""NGI/CHI. GATE""",TRIM('Basis Options'!D393))</f>
        <v>"NGI/CHI. GATE"</v>
      </c>
      <c r="V388" t="s">
        <v>253</v>
      </c>
      <c r="W388" t="s">
        <v>132</v>
      </c>
      <c r="X388" t="s">
        <v>253</v>
      </c>
      <c r="Y388" t="s">
        <v>235</v>
      </c>
      <c r="Z388" t="s">
        <v>236</v>
      </c>
      <c r="AA388" t="s">
        <v>253</v>
      </c>
      <c r="AB388" t="s">
        <v>1</v>
      </c>
      <c r="AC388" s="235">
        <f>'Basis Options'!H393</f>
        <v>-1500000</v>
      </c>
      <c r="AD388" s="235">
        <f>'Basis Options'!W393</f>
        <v>-7700.2061414074269</v>
      </c>
      <c r="AE388">
        <v>0</v>
      </c>
      <c r="AF388">
        <v>0</v>
      </c>
      <c r="AG388">
        <v>0</v>
      </c>
      <c r="AH388" s="235">
        <f>'Basis Options'!CD393</f>
        <v>0</v>
      </c>
      <c r="AI388">
        <v>226</v>
      </c>
      <c r="AJ388" t="s">
        <v>256</v>
      </c>
      <c r="AK388">
        <v>0</v>
      </c>
      <c r="AL388">
        <v>0</v>
      </c>
      <c r="AM388">
        <v>0</v>
      </c>
    </row>
    <row r="389" spans="1:39" x14ac:dyDescent="0.25">
      <c r="A389" t="s">
        <v>233</v>
      </c>
      <c r="B389" t="str">
        <f>'Basis Options'!C394</f>
        <v>NN2121</v>
      </c>
      <c r="C389" t="s">
        <v>255</v>
      </c>
      <c r="D389" t="s">
        <v>234</v>
      </c>
      <c r="E389" t="s">
        <v>20</v>
      </c>
      <c r="F389" t="str">
        <f>'Basis Options'!A394</f>
        <v>ELPASMER</v>
      </c>
      <c r="G389" t="s">
        <v>269</v>
      </c>
      <c r="H389" t="s">
        <v>254</v>
      </c>
      <c r="I389" t="s">
        <v>242</v>
      </c>
      <c r="J389" t="s">
        <v>235</v>
      </c>
      <c r="K389" s="380">
        <f>'Basis Options'!G394</f>
        <v>36861</v>
      </c>
      <c r="L389" s="235">
        <f>'Basis Options'!U394</f>
        <v>-6883.2935562917273</v>
      </c>
      <c r="M389" s="380">
        <f>'Basis Options'!Q394</f>
        <v>36859</v>
      </c>
      <c r="N389" t="str">
        <f>'Basis Options'!F394</f>
        <v>C</v>
      </c>
      <c r="O389">
        <f>'Basis Options'!I394</f>
        <v>0.3</v>
      </c>
      <c r="P389">
        <v>0</v>
      </c>
      <c r="Q389">
        <v>0</v>
      </c>
      <c r="R389">
        <v>0</v>
      </c>
      <c r="S389">
        <v>0</v>
      </c>
      <c r="T389" t="s">
        <v>253</v>
      </c>
      <c r="U389" t="str">
        <f>IF('Basis Options'!D394="NGI/CHI. GATE","""NGI/CHI. GATE""",TRIM('Basis Options'!D394))</f>
        <v>"NGI/CHI. GATE"</v>
      </c>
      <c r="V389" t="s">
        <v>253</v>
      </c>
      <c r="W389" t="s">
        <v>132</v>
      </c>
      <c r="X389" t="s">
        <v>253</v>
      </c>
      <c r="Y389" t="s">
        <v>235</v>
      </c>
      <c r="Z389" t="s">
        <v>236</v>
      </c>
      <c r="AA389" t="s">
        <v>253</v>
      </c>
      <c r="AB389" t="s">
        <v>1</v>
      </c>
      <c r="AC389" s="235">
        <f>'Basis Options'!H394</f>
        <v>-1500000</v>
      </c>
      <c r="AD389" s="235">
        <f>'Basis Options'!W394</f>
        <v>-4278.5316789298522</v>
      </c>
      <c r="AE389">
        <v>0</v>
      </c>
      <c r="AF389">
        <v>0</v>
      </c>
      <c r="AG389">
        <v>0</v>
      </c>
      <c r="AH389" s="235">
        <f>'Basis Options'!CD394</f>
        <v>0</v>
      </c>
      <c r="AI389">
        <v>226</v>
      </c>
      <c r="AJ389" t="s">
        <v>256</v>
      </c>
      <c r="AK389">
        <v>0</v>
      </c>
      <c r="AL389">
        <v>0</v>
      </c>
      <c r="AM389">
        <v>0</v>
      </c>
    </row>
    <row r="390" spans="1:39" x14ac:dyDescent="0.25">
      <c r="A390" t="s">
        <v>233</v>
      </c>
      <c r="B390" t="str">
        <f>'Basis Options'!C395</f>
        <v>NN2121</v>
      </c>
      <c r="C390" t="s">
        <v>255</v>
      </c>
      <c r="D390" t="s">
        <v>234</v>
      </c>
      <c r="E390" t="s">
        <v>20</v>
      </c>
      <c r="F390" t="str">
        <f>'Basis Options'!A395</f>
        <v>ELPASMER</v>
      </c>
      <c r="G390" t="s">
        <v>269</v>
      </c>
      <c r="H390" t="s">
        <v>254</v>
      </c>
      <c r="I390" t="s">
        <v>242</v>
      </c>
      <c r="J390" t="s">
        <v>235</v>
      </c>
      <c r="K390" s="380">
        <f>'Basis Options'!G395</f>
        <v>36831</v>
      </c>
      <c r="L390" s="235">
        <f>'Basis Options'!U395</f>
        <v>-1811.3661624609827</v>
      </c>
      <c r="M390" s="380">
        <f>'Basis Options'!Q395</f>
        <v>36829</v>
      </c>
      <c r="N390" t="str">
        <f>'Basis Options'!F395</f>
        <v>C</v>
      </c>
      <c r="O390">
        <f>'Basis Options'!I395</f>
        <v>0.3</v>
      </c>
      <c r="P390">
        <v>0</v>
      </c>
      <c r="Q390">
        <v>0</v>
      </c>
      <c r="R390">
        <v>0</v>
      </c>
      <c r="S390">
        <v>0</v>
      </c>
      <c r="T390" t="s">
        <v>253</v>
      </c>
      <c r="U390" t="str">
        <f>IF('Basis Options'!D395="NGI/CHI. GATE","""NGI/CHI. GATE""",TRIM('Basis Options'!D395))</f>
        <v>"NGI/CHI. GATE"</v>
      </c>
      <c r="V390" t="s">
        <v>253</v>
      </c>
      <c r="W390" t="s">
        <v>132</v>
      </c>
      <c r="X390" t="s">
        <v>253</v>
      </c>
      <c r="Y390" t="s">
        <v>235</v>
      </c>
      <c r="Z390" t="s">
        <v>236</v>
      </c>
      <c r="AA390" t="s">
        <v>253</v>
      </c>
      <c r="AB390" t="s">
        <v>1</v>
      </c>
      <c r="AC390" s="235">
        <f>'Basis Options'!H395</f>
        <v>-1500000</v>
      </c>
      <c r="AD390" s="235">
        <f>'Basis Options'!W395</f>
        <v>-1614.9695345122382</v>
      </c>
      <c r="AE390">
        <v>0</v>
      </c>
      <c r="AF390">
        <v>0</v>
      </c>
      <c r="AG390">
        <v>0</v>
      </c>
      <c r="AH390" s="235">
        <f>'Basis Options'!CD395</f>
        <v>0</v>
      </c>
      <c r="AI390">
        <v>226</v>
      </c>
      <c r="AJ390" t="s">
        <v>256</v>
      </c>
      <c r="AK390">
        <v>0</v>
      </c>
      <c r="AL390">
        <v>0</v>
      </c>
      <c r="AM390">
        <v>0</v>
      </c>
    </row>
    <row r="391" spans="1:39" x14ac:dyDescent="0.25">
      <c r="A391" t="s">
        <v>233</v>
      </c>
      <c r="B391" t="str">
        <f>'Basis Options'!C396</f>
        <v>NN2173</v>
      </c>
      <c r="C391" t="s">
        <v>255</v>
      </c>
      <c r="D391" t="s">
        <v>234</v>
      </c>
      <c r="E391" t="s">
        <v>20</v>
      </c>
      <c r="F391" t="str">
        <f>'Basis Options'!A396</f>
        <v>DUKEENETRA</v>
      </c>
      <c r="G391" t="s">
        <v>269</v>
      </c>
      <c r="H391" t="s">
        <v>254</v>
      </c>
      <c r="I391" t="s">
        <v>242</v>
      </c>
      <c r="J391" t="s">
        <v>235</v>
      </c>
      <c r="K391" s="380">
        <f>'Basis Options'!G396</f>
        <v>36800</v>
      </c>
      <c r="L391" s="235">
        <f>'Basis Options'!U396</f>
        <v>66077.303761270639</v>
      </c>
      <c r="M391" s="380">
        <f>'Basis Options'!Q396</f>
        <v>36797</v>
      </c>
      <c r="N391" t="str">
        <f>'Basis Options'!F396</f>
        <v>P</v>
      </c>
      <c r="O391">
        <f>'Basis Options'!I396</f>
        <v>0.55000000000000004</v>
      </c>
      <c r="P391">
        <v>0</v>
      </c>
      <c r="Q391">
        <v>0</v>
      </c>
      <c r="R391">
        <v>0</v>
      </c>
      <c r="S391">
        <v>0</v>
      </c>
      <c r="T391" t="s">
        <v>253</v>
      </c>
      <c r="U391" t="str">
        <f>IF('Basis Options'!D396="NGI/CHI. GATE","""NGI/CHI. GATE""",TRIM('Basis Options'!D396))</f>
        <v>IF-TRANSCO/Z6</v>
      </c>
      <c r="V391" t="s">
        <v>253</v>
      </c>
      <c r="W391" t="s">
        <v>132</v>
      </c>
      <c r="X391" t="s">
        <v>253</v>
      </c>
      <c r="Y391" t="s">
        <v>235</v>
      </c>
      <c r="Z391" t="s">
        <v>236</v>
      </c>
      <c r="AA391" t="s">
        <v>253</v>
      </c>
      <c r="AB391" t="s">
        <v>1</v>
      </c>
      <c r="AC391" s="235">
        <f>'Basis Options'!H396</f>
        <v>465000</v>
      </c>
      <c r="AD391" s="235">
        <f>'Basis Options'!W396</f>
        <v>1494.487686656008</v>
      </c>
      <c r="AE391">
        <v>0</v>
      </c>
      <c r="AF391">
        <v>0</v>
      </c>
      <c r="AG391">
        <v>0</v>
      </c>
      <c r="AH391" s="235">
        <f>'Basis Options'!CD396</f>
        <v>0</v>
      </c>
      <c r="AI391">
        <v>226</v>
      </c>
      <c r="AJ391" t="s">
        <v>256</v>
      </c>
      <c r="AK391">
        <v>0</v>
      </c>
      <c r="AL391">
        <v>0</v>
      </c>
      <c r="AM391">
        <v>0</v>
      </c>
    </row>
    <row r="392" spans="1:39" x14ac:dyDescent="0.25">
      <c r="A392" t="s">
        <v>233</v>
      </c>
      <c r="B392" t="str">
        <f>'Basis Options'!C397</f>
        <v>NN3942</v>
      </c>
      <c r="C392" t="s">
        <v>255</v>
      </c>
      <c r="D392" t="s">
        <v>234</v>
      </c>
      <c r="E392" t="s">
        <v>20</v>
      </c>
      <c r="F392" t="str">
        <f>'Basis Options'!A397</f>
        <v>ELPASMER</v>
      </c>
      <c r="G392" t="s">
        <v>269</v>
      </c>
      <c r="H392" t="s">
        <v>254</v>
      </c>
      <c r="I392" t="s">
        <v>242</v>
      </c>
      <c r="J392" t="s">
        <v>235</v>
      </c>
      <c r="K392" s="380">
        <f>'Basis Options'!G397</f>
        <v>36831</v>
      </c>
      <c r="L392" s="235">
        <f>'Basis Options'!U397</f>
        <v>-84220.888242940942</v>
      </c>
      <c r="M392" s="380">
        <f>'Basis Options'!Q397</f>
        <v>36829</v>
      </c>
      <c r="N392" t="str">
        <f>'Basis Options'!F397</f>
        <v>C</v>
      </c>
      <c r="O392">
        <f>'Basis Options'!I397</f>
        <v>1</v>
      </c>
      <c r="P392">
        <v>0</v>
      </c>
      <c r="Q392">
        <v>0</v>
      </c>
      <c r="R392">
        <v>0</v>
      </c>
      <c r="S392">
        <v>0</v>
      </c>
      <c r="T392" t="s">
        <v>253</v>
      </c>
      <c r="U392" t="str">
        <f>IF('Basis Options'!D397="NGI/CHI. GATE","""NGI/CHI. GATE""",TRIM('Basis Options'!D397))</f>
        <v>IF-TRANSCO/Z6</v>
      </c>
      <c r="V392" t="s">
        <v>253</v>
      </c>
      <c r="W392" t="s">
        <v>132</v>
      </c>
      <c r="X392" t="s">
        <v>253</v>
      </c>
      <c r="Y392" t="s">
        <v>235</v>
      </c>
      <c r="Z392" t="s">
        <v>236</v>
      </c>
      <c r="AA392" t="s">
        <v>253</v>
      </c>
      <c r="AB392" t="s">
        <v>1</v>
      </c>
      <c r="AC392" s="235">
        <f>'Basis Options'!H397</f>
        <v>-500000</v>
      </c>
      <c r="AD392" s="235">
        <f>'Basis Options'!W397</f>
        <v>-20725.281041892973</v>
      </c>
      <c r="AE392">
        <v>0</v>
      </c>
      <c r="AF392">
        <v>0</v>
      </c>
      <c r="AG392">
        <v>0</v>
      </c>
      <c r="AH392" s="235">
        <f>'Basis Options'!CD397</f>
        <v>0</v>
      </c>
      <c r="AI392">
        <v>226</v>
      </c>
      <c r="AJ392" t="s">
        <v>256</v>
      </c>
      <c r="AK392">
        <v>0</v>
      </c>
      <c r="AL392">
        <v>0</v>
      </c>
      <c r="AM392">
        <v>0</v>
      </c>
    </row>
    <row r="393" spans="1:39" x14ac:dyDescent="0.25">
      <c r="A393" t="s">
        <v>233</v>
      </c>
      <c r="B393" t="str">
        <f>'Basis Options'!C398</f>
        <v>NN3958</v>
      </c>
      <c r="C393" t="s">
        <v>255</v>
      </c>
      <c r="D393" t="s">
        <v>234</v>
      </c>
      <c r="E393" t="s">
        <v>20</v>
      </c>
      <c r="F393" t="str">
        <f>'Basis Options'!A398</f>
        <v>DUKEENETRA</v>
      </c>
      <c r="G393" t="s">
        <v>269</v>
      </c>
      <c r="H393" t="s">
        <v>254</v>
      </c>
      <c r="I393" t="s">
        <v>242</v>
      </c>
      <c r="J393" t="s">
        <v>235</v>
      </c>
      <c r="K393" s="380">
        <f>'Basis Options'!G398</f>
        <v>36923</v>
      </c>
      <c r="L393" s="235">
        <f>'Basis Options'!U398</f>
        <v>116815.15279555798</v>
      </c>
      <c r="M393" s="380">
        <f>'Basis Options'!Q398</f>
        <v>36921</v>
      </c>
      <c r="N393" t="str">
        <f>'Basis Options'!F398</f>
        <v>P</v>
      </c>
      <c r="O393">
        <f>'Basis Options'!I398</f>
        <v>0.75</v>
      </c>
      <c r="P393">
        <v>0</v>
      </c>
      <c r="Q393">
        <v>0</v>
      </c>
      <c r="R393">
        <v>0</v>
      </c>
      <c r="S393">
        <v>0</v>
      </c>
      <c r="T393" t="s">
        <v>253</v>
      </c>
      <c r="U393" t="str">
        <f>IF('Basis Options'!D398="NGI/CHI. GATE","""NGI/CHI. GATE""",TRIM('Basis Options'!D398))</f>
        <v>IF-TRANSCO/Z6</v>
      </c>
      <c r="V393" t="s">
        <v>253</v>
      </c>
      <c r="W393" t="s">
        <v>132</v>
      </c>
      <c r="X393" t="s">
        <v>253</v>
      </c>
      <c r="Y393" t="s">
        <v>235</v>
      </c>
      <c r="Z393" t="s">
        <v>236</v>
      </c>
      <c r="AA393" t="s">
        <v>253</v>
      </c>
      <c r="AB393" t="s">
        <v>1</v>
      </c>
      <c r="AC393" s="235">
        <f>'Basis Options'!H398</f>
        <v>840000</v>
      </c>
      <c r="AD393" s="235">
        <f>'Basis Options'!W398</f>
        <v>51339.837626672743</v>
      </c>
      <c r="AE393">
        <v>0</v>
      </c>
      <c r="AF393">
        <v>0</v>
      </c>
      <c r="AG393">
        <v>0</v>
      </c>
      <c r="AH393" s="235">
        <f>'Basis Options'!CD398</f>
        <v>0</v>
      </c>
      <c r="AI393">
        <v>226</v>
      </c>
      <c r="AJ393" t="s">
        <v>256</v>
      </c>
      <c r="AK393">
        <v>0</v>
      </c>
      <c r="AL393">
        <v>0</v>
      </c>
      <c r="AM393">
        <v>0</v>
      </c>
    </row>
    <row r="394" spans="1:39" x14ac:dyDescent="0.25">
      <c r="A394" t="s">
        <v>233</v>
      </c>
      <c r="B394" t="str">
        <f>'Basis Options'!C399</f>
        <v>NN3958</v>
      </c>
      <c r="C394" t="s">
        <v>255</v>
      </c>
      <c r="D394" t="s">
        <v>234</v>
      </c>
      <c r="E394" t="s">
        <v>20</v>
      </c>
      <c r="F394" t="str">
        <f>'Basis Options'!A399</f>
        <v>DUKEENETRA</v>
      </c>
      <c r="G394" t="s">
        <v>269</v>
      </c>
      <c r="H394" t="s">
        <v>254</v>
      </c>
      <c r="I394" t="s">
        <v>242</v>
      </c>
      <c r="J394" t="s">
        <v>235</v>
      </c>
      <c r="K394" s="380">
        <f>'Basis Options'!G399</f>
        <v>36892</v>
      </c>
      <c r="L394" s="235">
        <f>'Basis Options'!U399</f>
        <v>101767.52383275384</v>
      </c>
      <c r="M394" s="380">
        <f>'Basis Options'!Q399</f>
        <v>36888</v>
      </c>
      <c r="N394" t="str">
        <f>'Basis Options'!F399</f>
        <v>P</v>
      </c>
      <c r="O394">
        <f>'Basis Options'!I399</f>
        <v>0.75</v>
      </c>
      <c r="P394">
        <v>0</v>
      </c>
      <c r="Q394">
        <v>0</v>
      </c>
      <c r="R394">
        <v>0</v>
      </c>
      <c r="S394">
        <v>0</v>
      </c>
      <c r="T394" t="s">
        <v>253</v>
      </c>
      <c r="U394" t="str">
        <f>IF('Basis Options'!D399="NGI/CHI. GATE","""NGI/CHI. GATE""",TRIM('Basis Options'!D399))</f>
        <v>IF-TRANSCO/Z6</v>
      </c>
      <c r="V394" t="s">
        <v>253</v>
      </c>
      <c r="W394" t="s">
        <v>132</v>
      </c>
      <c r="X394" t="s">
        <v>253</v>
      </c>
      <c r="Y394" t="s">
        <v>235</v>
      </c>
      <c r="Z394" t="s">
        <v>236</v>
      </c>
      <c r="AA394" t="s">
        <v>253</v>
      </c>
      <c r="AB394" t="s">
        <v>1</v>
      </c>
      <c r="AC394" s="235">
        <f>'Basis Options'!H399</f>
        <v>930000</v>
      </c>
      <c r="AD394" s="235">
        <f>'Basis Options'!W399</f>
        <v>47024.305853664177</v>
      </c>
      <c r="AE394">
        <v>0</v>
      </c>
      <c r="AF394">
        <v>0</v>
      </c>
      <c r="AG394">
        <v>0</v>
      </c>
      <c r="AH394" s="235">
        <f>'Basis Options'!CD399</f>
        <v>0</v>
      </c>
      <c r="AI394">
        <v>226</v>
      </c>
      <c r="AJ394" t="s">
        <v>256</v>
      </c>
      <c r="AK394">
        <v>0</v>
      </c>
      <c r="AL394">
        <v>0</v>
      </c>
      <c r="AM394">
        <v>0</v>
      </c>
    </row>
    <row r="395" spans="1:39" x14ac:dyDescent="0.25">
      <c r="A395" t="s">
        <v>233</v>
      </c>
      <c r="B395" t="str">
        <f>'Basis Options'!C400</f>
        <v>NN3958</v>
      </c>
      <c r="C395" t="s">
        <v>255</v>
      </c>
      <c r="D395" t="s">
        <v>234</v>
      </c>
      <c r="E395" t="s">
        <v>20</v>
      </c>
      <c r="F395" t="str">
        <f>'Basis Options'!A400</f>
        <v>DUKEENETRA</v>
      </c>
      <c r="G395" t="s">
        <v>269</v>
      </c>
      <c r="H395" t="s">
        <v>254</v>
      </c>
      <c r="I395" t="s">
        <v>242</v>
      </c>
      <c r="J395" t="s">
        <v>235</v>
      </c>
      <c r="K395" s="380">
        <f>'Basis Options'!G400</f>
        <v>36861</v>
      </c>
      <c r="L395" s="235">
        <f>'Basis Options'!U400</f>
        <v>135870.02995029523</v>
      </c>
      <c r="M395" s="380">
        <f>'Basis Options'!Q400</f>
        <v>36859</v>
      </c>
      <c r="N395" t="str">
        <f>'Basis Options'!F400</f>
        <v>P</v>
      </c>
      <c r="O395">
        <f>'Basis Options'!I400</f>
        <v>0.75</v>
      </c>
      <c r="P395">
        <v>0</v>
      </c>
      <c r="Q395">
        <v>0</v>
      </c>
      <c r="R395">
        <v>0</v>
      </c>
      <c r="S395">
        <v>0</v>
      </c>
      <c r="T395" t="s">
        <v>253</v>
      </c>
      <c r="U395" t="str">
        <f>IF('Basis Options'!D400="NGI/CHI. GATE","""NGI/CHI. GATE""",TRIM('Basis Options'!D400))</f>
        <v>IF-TRANSCO/Z6</v>
      </c>
      <c r="V395" t="s">
        <v>253</v>
      </c>
      <c r="W395" t="s">
        <v>132</v>
      </c>
      <c r="X395" t="s">
        <v>253</v>
      </c>
      <c r="Y395" t="s">
        <v>235</v>
      </c>
      <c r="Z395" t="s">
        <v>236</v>
      </c>
      <c r="AA395" t="s">
        <v>253</v>
      </c>
      <c r="AB395" t="s">
        <v>1</v>
      </c>
      <c r="AC395" s="235">
        <f>'Basis Options'!H400</f>
        <v>930000</v>
      </c>
      <c r="AD395" s="235">
        <f>'Basis Options'!W400</f>
        <v>51262.139925042167</v>
      </c>
      <c r="AE395">
        <v>0</v>
      </c>
      <c r="AF395">
        <v>0</v>
      </c>
      <c r="AG395">
        <v>0</v>
      </c>
      <c r="AH395" s="235">
        <f>'Basis Options'!CD400</f>
        <v>0</v>
      </c>
      <c r="AI395">
        <v>226</v>
      </c>
      <c r="AJ395" t="s">
        <v>256</v>
      </c>
      <c r="AK395">
        <v>0</v>
      </c>
      <c r="AL395">
        <v>0</v>
      </c>
      <c r="AM395">
        <v>0</v>
      </c>
    </row>
    <row r="396" spans="1:39" x14ac:dyDescent="0.25">
      <c r="A396" t="s">
        <v>233</v>
      </c>
      <c r="B396" t="str">
        <f>'Basis Options'!C401</f>
        <v>NN9640.1</v>
      </c>
      <c r="C396" t="s">
        <v>255</v>
      </c>
      <c r="D396" t="s">
        <v>234</v>
      </c>
      <c r="E396" t="s">
        <v>20</v>
      </c>
      <c r="F396" t="str">
        <f>'Basis Options'!A401</f>
        <v>ELPASMER</v>
      </c>
      <c r="G396" t="s">
        <v>269</v>
      </c>
      <c r="H396" t="s">
        <v>254</v>
      </c>
      <c r="I396" t="s">
        <v>242</v>
      </c>
      <c r="J396" t="s">
        <v>235</v>
      </c>
      <c r="K396" s="380">
        <f>'Basis Options'!G401</f>
        <v>36951</v>
      </c>
      <c r="L396" s="235">
        <f>'Basis Options'!U401</f>
        <v>-164328.56091178302</v>
      </c>
      <c r="M396" s="380">
        <f>'Basis Options'!Q401</f>
        <v>36949</v>
      </c>
      <c r="N396" t="str">
        <f>'Basis Options'!F401</f>
        <v>C</v>
      </c>
      <c r="O396">
        <f>'Basis Options'!I401</f>
        <v>1.6</v>
      </c>
      <c r="P396">
        <v>0</v>
      </c>
      <c r="Q396">
        <v>0</v>
      </c>
      <c r="R396">
        <v>0</v>
      </c>
      <c r="S396">
        <v>0</v>
      </c>
      <c r="T396" t="s">
        <v>253</v>
      </c>
      <c r="U396" t="str">
        <f>IF('Basis Options'!D401="NGI/CHI. GATE","""NGI/CHI. GATE""",TRIM('Basis Options'!D401))</f>
        <v>IF-TRANSCO/Z6</v>
      </c>
      <c r="V396" t="s">
        <v>253</v>
      </c>
      <c r="W396" t="s">
        <v>132</v>
      </c>
      <c r="X396" t="s">
        <v>253</v>
      </c>
      <c r="Y396" t="s">
        <v>235</v>
      </c>
      <c r="Z396" t="s">
        <v>236</v>
      </c>
      <c r="AA396" t="s">
        <v>253</v>
      </c>
      <c r="AB396" t="s">
        <v>1</v>
      </c>
      <c r="AC396" s="235">
        <f>'Basis Options'!H401</f>
        <v>-500000</v>
      </c>
      <c r="AD396" s="235">
        <f>'Basis Options'!W401</f>
        <v>-40367.878366955003</v>
      </c>
      <c r="AE396">
        <v>0</v>
      </c>
      <c r="AF396">
        <v>0</v>
      </c>
      <c r="AG396">
        <v>0</v>
      </c>
      <c r="AH396" s="235">
        <f>'Basis Options'!CD401</f>
        <v>0</v>
      </c>
      <c r="AI396">
        <v>226</v>
      </c>
      <c r="AJ396" t="s">
        <v>256</v>
      </c>
      <c r="AK396">
        <v>0</v>
      </c>
      <c r="AL396">
        <v>0</v>
      </c>
      <c r="AM396">
        <v>0</v>
      </c>
    </row>
    <row r="397" spans="1:39" x14ac:dyDescent="0.25">
      <c r="A397" t="s">
        <v>233</v>
      </c>
      <c r="B397" t="str">
        <f>'Basis Options'!C402</f>
        <v>NN9640.1</v>
      </c>
      <c r="C397" t="s">
        <v>255</v>
      </c>
      <c r="D397" t="s">
        <v>234</v>
      </c>
      <c r="E397" t="s">
        <v>20</v>
      </c>
      <c r="F397" t="str">
        <f>'Basis Options'!A402</f>
        <v>ELPASMER</v>
      </c>
      <c r="G397" t="s">
        <v>269</v>
      </c>
      <c r="H397" t="s">
        <v>254</v>
      </c>
      <c r="I397" t="s">
        <v>242</v>
      </c>
      <c r="J397" t="s">
        <v>235</v>
      </c>
      <c r="K397" s="380">
        <f>'Basis Options'!G402</f>
        <v>36923</v>
      </c>
      <c r="L397" s="235">
        <f>'Basis Options'!U402</f>
        <v>-452173.3418934762</v>
      </c>
      <c r="M397" s="380">
        <f>'Basis Options'!Q402</f>
        <v>36921</v>
      </c>
      <c r="N397" t="str">
        <f>'Basis Options'!F402</f>
        <v>C</v>
      </c>
      <c r="O397">
        <f>'Basis Options'!I402</f>
        <v>1.6</v>
      </c>
      <c r="P397">
        <v>0</v>
      </c>
      <c r="Q397">
        <v>0</v>
      </c>
      <c r="R397">
        <v>0</v>
      </c>
      <c r="S397">
        <v>0</v>
      </c>
      <c r="T397" t="s">
        <v>253</v>
      </c>
      <c r="U397" t="str">
        <f>IF('Basis Options'!D402="NGI/CHI. GATE","""NGI/CHI. GATE""",TRIM('Basis Options'!D402))</f>
        <v>IF-TRANSCO/Z6</v>
      </c>
      <c r="V397" t="s">
        <v>253</v>
      </c>
      <c r="W397" t="s">
        <v>132</v>
      </c>
      <c r="X397" t="s">
        <v>253</v>
      </c>
      <c r="Y397" t="s">
        <v>235</v>
      </c>
      <c r="Z397" t="s">
        <v>236</v>
      </c>
      <c r="AA397" t="s">
        <v>253</v>
      </c>
      <c r="AB397" t="s">
        <v>1</v>
      </c>
      <c r="AC397" s="235">
        <f>'Basis Options'!H402</f>
        <v>-500000</v>
      </c>
      <c r="AD397" s="235">
        <f>'Basis Options'!W402</f>
        <v>-41844.364258128277</v>
      </c>
      <c r="AE397">
        <v>0</v>
      </c>
      <c r="AF397">
        <v>0</v>
      </c>
      <c r="AG397">
        <v>0</v>
      </c>
      <c r="AH397" s="235">
        <f>'Basis Options'!CD402</f>
        <v>0</v>
      </c>
      <c r="AI397">
        <v>226</v>
      </c>
      <c r="AJ397" t="s">
        <v>256</v>
      </c>
      <c r="AK397">
        <v>0</v>
      </c>
      <c r="AL397">
        <v>0</v>
      </c>
      <c r="AM397">
        <v>0</v>
      </c>
    </row>
    <row r="398" spans="1:39" x14ac:dyDescent="0.25">
      <c r="A398" t="s">
        <v>233</v>
      </c>
      <c r="B398" t="str">
        <f>'Basis Options'!C403</f>
        <v>NN9640.1</v>
      </c>
      <c r="C398" t="s">
        <v>255</v>
      </c>
      <c r="D398" t="s">
        <v>234</v>
      </c>
      <c r="E398" t="s">
        <v>20</v>
      </c>
      <c r="F398" t="str">
        <f>'Basis Options'!A403</f>
        <v>ELPASMER</v>
      </c>
      <c r="G398" t="s">
        <v>269</v>
      </c>
      <c r="H398" t="s">
        <v>254</v>
      </c>
      <c r="I398" t="s">
        <v>242</v>
      </c>
      <c r="J398" t="s">
        <v>235</v>
      </c>
      <c r="K398" s="380">
        <f>'Basis Options'!G403</f>
        <v>36892</v>
      </c>
      <c r="L398" s="235">
        <f>'Basis Options'!U403</f>
        <v>-462969.61410549784</v>
      </c>
      <c r="M398" s="380">
        <f>'Basis Options'!Q403</f>
        <v>36888</v>
      </c>
      <c r="N398" t="str">
        <f>'Basis Options'!F403</f>
        <v>C</v>
      </c>
      <c r="O398">
        <f>'Basis Options'!I403</f>
        <v>1.6</v>
      </c>
      <c r="P398">
        <v>0</v>
      </c>
      <c r="Q398">
        <v>0</v>
      </c>
      <c r="R398">
        <v>0</v>
      </c>
      <c r="S398">
        <v>0</v>
      </c>
      <c r="T398" t="s">
        <v>253</v>
      </c>
      <c r="U398" t="str">
        <f>IF('Basis Options'!D403="NGI/CHI. GATE","""NGI/CHI. GATE""",TRIM('Basis Options'!D403))</f>
        <v>IF-TRANSCO/Z6</v>
      </c>
      <c r="V398" t="s">
        <v>253</v>
      </c>
      <c r="W398" t="s">
        <v>132</v>
      </c>
      <c r="X398" t="s">
        <v>253</v>
      </c>
      <c r="Y398" t="s">
        <v>235</v>
      </c>
      <c r="Z398" t="s">
        <v>236</v>
      </c>
      <c r="AA398" t="s">
        <v>253</v>
      </c>
      <c r="AB398" t="s">
        <v>1</v>
      </c>
      <c r="AC398" s="235">
        <f>'Basis Options'!H403</f>
        <v>-500000</v>
      </c>
      <c r="AD398" s="235">
        <f>'Basis Options'!W403</f>
        <v>-37504.137359824672</v>
      </c>
      <c r="AE398">
        <v>0</v>
      </c>
      <c r="AF398">
        <v>0</v>
      </c>
      <c r="AG398">
        <v>0</v>
      </c>
      <c r="AH398" s="235">
        <f>'Basis Options'!CD403</f>
        <v>0</v>
      </c>
      <c r="AI398">
        <v>226</v>
      </c>
      <c r="AJ398" t="s">
        <v>256</v>
      </c>
      <c r="AK398">
        <v>0</v>
      </c>
      <c r="AL398">
        <v>0</v>
      </c>
      <c r="AM398">
        <v>0</v>
      </c>
    </row>
    <row r="399" spans="1:39" x14ac:dyDescent="0.25">
      <c r="A399" t="s">
        <v>233</v>
      </c>
      <c r="B399" t="str">
        <f>'Basis Options'!C404</f>
        <v>NN9640.1</v>
      </c>
      <c r="C399" t="s">
        <v>255</v>
      </c>
      <c r="D399" t="s">
        <v>234</v>
      </c>
      <c r="E399" t="s">
        <v>20</v>
      </c>
      <c r="F399" t="str">
        <f>'Basis Options'!A404</f>
        <v>ELPASMER</v>
      </c>
      <c r="G399" t="s">
        <v>269</v>
      </c>
      <c r="H399" t="s">
        <v>254</v>
      </c>
      <c r="I399" t="s">
        <v>242</v>
      </c>
      <c r="J399" t="s">
        <v>235</v>
      </c>
      <c r="K399" s="380">
        <f>'Basis Options'!G404</f>
        <v>36861</v>
      </c>
      <c r="L399" s="235">
        <f>'Basis Options'!U404</f>
        <v>-266341.7102530183</v>
      </c>
      <c r="M399" s="380">
        <f>'Basis Options'!Q404</f>
        <v>36859</v>
      </c>
      <c r="N399" t="str">
        <f>'Basis Options'!F404</f>
        <v>C</v>
      </c>
      <c r="O399">
        <f>'Basis Options'!I404</f>
        <v>1.6</v>
      </c>
      <c r="P399">
        <v>0</v>
      </c>
      <c r="Q399">
        <v>0</v>
      </c>
      <c r="R399">
        <v>0</v>
      </c>
      <c r="S399">
        <v>0</v>
      </c>
      <c r="T399" t="s">
        <v>253</v>
      </c>
      <c r="U399" t="str">
        <f>IF('Basis Options'!D404="NGI/CHI. GATE","""NGI/CHI. GATE""",TRIM('Basis Options'!D404))</f>
        <v>IF-TRANSCO/Z6</v>
      </c>
      <c r="V399" t="s">
        <v>253</v>
      </c>
      <c r="W399" t="s">
        <v>132</v>
      </c>
      <c r="X399" t="s">
        <v>253</v>
      </c>
      <c r="Y399" t="s">
        <v>235</v>
      </c>
      <c r="Z399" t="s">
        <v>236</v>
      </c>
      <c r="AA399" t="s">
        <v>253</v>
      </c>
      <c r="AB399" t="s">
        <v>1</v>
      </c>
      <c r="AC399" s="235">
        <f>'Basis Options'!H404</f>
        <v>-500000</v>
      </c>
      <c r="AD399" s="235">
        <f>'Basis Options'!W404</f>
        <v>-35216.694717858743</v>
      </c>
      <c r="AE399">
        <v>0</v>
      </c>
      <c r="AF399">
        <v>0</v>
      </c>
      <c r="AG399">
        <v>0</v>
      </c>
      <c r="AH399" s="235">
        <f>'Basis Options'!CD404</f>
        <v>0</v>
      </c>
      <c r="AI399">
        <v>226</v>
      </c>
      <c r="AJ399" t="s">
        <v>256</v>
      </c>
      <c r="AK399">
        <v>0</v>
      </c>
      <c r="AL399">
        <v>0</v>
      </c>
      <c r="AM399">
        <v>0</v>
      </c>
    </row>
    <row r="400" spans="1:39" x14ac:dyDescent="0.25">
      <c r="A400" t="s">
        <v>233</v>
      </c>
      <c r="B400" t="str">
        <f>'Basis Options'!C405</f>
        <v>NN9640.1</v>
      </c>
      <c r="C400" t="s">
        <v>255</v>
      </c>
      <c r="D400" t="s">
        <v>234</v>
      </c>
      <c r="E400" t="s">
        <v>20</v>
      </c>
      <c r="F400" t="str">
        <f>'Basis Options'!A405</f>
        <v>ELPASMER</v>
      </c>
      <c r="G400" t="s">
        <v>269</v>
      </c>
      <c r="H400" t="s">
        <v>254</v>
      </c>
      <c r="I400" t="s">
        <v>242</v>
      </c>
      <c r="J400" t="s">
        <v>235</v>
      </c>
      <c r="K400" s="380">
        <f>'Basis Options'!G405</f>
        <v>36831</v>
      </c>
      <c r="L400" s="235">
        <f>'Basis Options'!U405</f>
        <v>-24151.741968053168</v>
      </c>
      <c r="M400" s="380">
        <f>'Basis Options'!Q405</f>
        <v>36829</v>
      </c>
      <c r="N400" t="str">
        <f>'Basis Options'!F405</f>
        <v>C</v>
      </c>
      <c r="O400">
        <f>'Basis Options'!I405</f>
        <v>1.6</v>
      </c>
      <c r="P400">
        <v>0</v>
      </c>
      <c r="Q400">
        <v>0</v>
      </c>
      <c r="R400">
        <v>0</v>
      </c>
      <c r="S400">
        <v>0</v>
      </c>
      <c r="T400" t="s">
        <v>253</v>
      </c>
      <c r="U400" t="str">
        <f>IF('Basis Options'!D405="NGI/CHI. GATE","""NGI/CHI. GATE""",TRIM('Basis Options'!D405))</f>
        <v>IF-TRANSCO/Z6</v>
      </c>
      <c r="V400" t="s">
        <v>253</v>
      </c>
      <c r="W400" t="s">
        <v>132</v>
      </c>
      <c r="X400" t="s">
        <v>253</v>
      </c>
      <c r="Y400" t="s">
        <v>235</v>
      </c>
      <c r="Z400" t="s">
        <v>236</v>
      </c>
      <c r="AA400" t="s">
        <v>253</v>
      </c>
      <c r="AB400" t="s">
        <v>1</v>
      </c>
      <c r="AC400" s="235">
        <f>'Basis Options'!H405</f>
        <v>-500000</v>
      </c>
      <c r="AD400" s="235">
        <f>'Basis Options'!W405</f>
        <v>-11301.038971136048</v>
      </c>
      <c r="AE400">
        <v>0</v>
      </c>
      <c r="AF400">
        <v>0</v>
      </c>
      <c r="AG400">
        <v>0</v>
      </c>
      <c r="AH400" s="235">
        <f>'Basis Options'!CD405</f>
        <v>0</v>
      </c>
      <c r="AI400">
        <v>226</v>
      </c>
      <c r="AJ400" t="s">
        <v>256</v>
      </c>
      <c r="AK400">
        <v>0</v>
      </c>
      <c r="AL400">
        <v>0</v>
      </c>
      <c r="AM400">
        <v>0</v>
      </c>
    </row>
    <row r="401" spans="1:39" x14ac:dyDescent="0.25">
      <c r="A401" t="s">
        <v>233</v>
      </c>
      <c r="B401" t="str">
        <f>'Basis Options'!C406</f>
        <v>NN9640.2</v>
      </c>
      <c r="C401" t="s">
        <v>255</v>
      </c>
      <c r="D401" t="s">
        <v>234</v>
      </c>
      <c r="E401" t="s">
        <v>20</v>
      </c>
      <c r="F401" t="str">
        <f>'Basis Options'!A406</f>
        <v>ELPASMER</v>
      </c>
      <c r="G401" t="s">
        <v>269</v>
      </c>
      <c r="H401" t="s">
        <v>254</v>
      </c>
      <c r="I401" t="s">
        <v>242</v>
      </c>
      <c r="J401" t="s">
        <v>235</v>
      </c>
      <c r="K401" s="380">
        <f>'Basis Options'!G406</f>
        <v>36951</v>
      </c>
      <c r="L401" s="235">
        <f>'Basis Options'!U406</f>
        <v>-417971.88358793012</v>
      </c>
      <c r="M401" s="380">
        <f>'Basis Options'!Q406</f>
        <v>36949</v>
      </c>
      <c r="N401" t="str">
        <f>'Basis Options'!F406</f>
        <v>P</v>
      </c>
      <c r="O401">
        <f>'Basis Options'!I406</f>
        <v>1.6</v>
      </c>
      <c r="P401">
        <v>0</v>
      </c>
      <c r="Q401">
        <v>0</v>
      </c>
      <c r="R401">
        <v>0</v>
      </c>
      <c r="S401">
        <v>0</v>
      </c>
      <c r="T401" t="s">
        <v>253</v>
      </c>
      <c r="U401" t="str">
        <f>IF('Basis Options'!D406="NGI/CHI. GATE","""NGI/CHI. GATE""",TRIM('Basis Options'!D406))</f>
        <v>IF-TRANSCO/Z6</v>
      </c>
      <c r="V401" t="s">
        <v>253</v>
      </c>
      <c r="W401" t="s">
        <v>132</v>
      </c>
      <c r="X401" t="s">
        <v>253</v>
      </c>
      <c r="Y401" t="s">
        <v>235</v>
      </c>
      <c r="Z401" t="s">
        <v>236</v>
      </c>
      <c r="AA401" t="s">
        <v>253</v>
      </c>
      <c r="AB401" t="s">
        <v>1</v>
      </c>
      <c r="AC401" s="235">
        <f>'Basis Options'!H406</f>
        <v>-500000</v>
      </c>
      <c r="AD401" s="235">
        <f>'Basis Options'!W406</f>
        <v>-40367.878366955032</v>
      </c>
      <c r="AE401">
        <v>0</v>
      </c>
      <c r="AF401">
        <v>0</v>
      </c>
      <c r="AG401">
        <v>0</v>
      </c>
      <c r="AH401" s="235">
        <f>'Basis Options'!CD406</f>
        <v>0</v>
      </c>
      <c r="AI401">
        <v>226</v>
      </c>
      <c r="AJ401" t="s">
        <v>256</v>
      </c>
      <c r="AK401">
        <v>0</v>
      </c>
      <c r="AL401">
        <v>0</v>
      </c>
      <c r="AM401">
        <v>0</v>
      </c>
    </row>
    <row r="402" spans="1:39" x14ac:dyDescent="0.25">
      <c r="A402" t="s">
        <v>233</v>
      </c>
      <c r="B402" t="str">
        <f>'Basis Options'!C407</f>
        <v>NN9640.2</v>
      </c>
      <c r="C402" t="s">
        <v>255</v>
      </c>
      <c r="D402" t="s">
        <v>234</v>
      </c>
      <c r="E402" t="s">
        <v>20</v>
      </c>
      <c r="F402" t="str">
        <f>'Basis Options'!A407</f>
        <v>ELPASMER</v>
      </c>
      <c r="G402" t="s">
        <v>269</v>
      </c>
      <c r="H402" t="s">
        <v>254</v>
      </c>
      <c r="I402" t="s">
        <v>242</v>
      </c>
      <c r="J402" t="s">
        <v>235</v>
      </c>
      <c r="K402" s="380">
        <f>'Basis Options'!G407</f>
        <v>36923</v>
      </c>
      <c r="L402" s="235">
        <f>'Basis Options'!U407</f>
        <v>-214162.19068565266</v>
      </c>
      <c r="M402" s="380">
        <f>'Basis Options'!Q407</f>
        <v>36921</v>
      </c>
      <c r="N402" t="str">
        <f>'Basis Options'!F407</f>
        <v>P</v>
      </c>
      <c r="O402">
        <f>'Basis Options'!I407</f>
        <v>1.6</v>
      </c>
      <c r="P402">
        <v>0</v>
      </c>
      <c r="Q402">
        <v>0</v>
      </c>
      <c r="R402">
        <v>0</v>
      </c>
      <c r="S402">
        <v>0</v>
      </c>
      <c r="T402" t="s">
        <v>253</v>
      </c>
      <c r="U402" t="str">
        <f>IF('Basis Options'!D407="NGI/CHI. GATE","""NGI/CHI. GATE""",TRIM('Basis Options'!D407))</f>
        <v>IF-TRANSCO/Z6</v>
      </c>
      <c r="V402" t="s">
        <v>253</v>
      </c>
      <c r="W402" t="s">
        <v>132</v>
      </c>
      <c r="X402" t="s">
        <v>253</v>
      </c>
      <c r="Y402" t="s">
        <v>235</v>
      </c>
      <c r="Z402" t="s">
        <v>236</v>
      </c>
      <c r="AA402" t="s">
        <v>253</v>
      </c>
      <c r="AB402" t="s">
        <v>1</v>
      </c>
      <c r="AC402" s="235">
        <f>'Basis Options'!H407</f>
        <v>-500000</v>
      </c>
      <c r="AD402" s="235">
        <f>'Basis Options'!W407</f>
        <v>-41844.364258128277</v>
      </c>
      <c r="AE402">
        <v>0</v>
      </c>
      <c r="AF402">
        <v>0</v>
      </c>
      <c r="AG402">
        <v>0</v>
      </c>
      <c r="AH402" s="235">
        <f>'Basis Options'!CD407</f>
        <v>0</v>
      </c>
      <c r="AI402">
        <v>226</v>
      </c>
      <c r="AJ402" t="s">
        <v>256</v>
      </c>
      <c r="AK402">
        <v>0</v>
      </c>
      <c r="AL402">
        <v>0</v>
      </c>
      <c r="AM402">
        <v>0</v>
      </c>
    </row>
    <row r="403" spans="1:39" x14ac:dyDescent="0.25">
      <c r="A403" t="s">
        <v>233</v>
      </c>
      <c r="B403" t="str">
        <f>'Basis Options'!C408</f>
        <v>NN9640.2</v>
      </c>
      <c r="C403" t="s">
        <v>255</v>
      </c>
      <c r="D403" t="s">
        <v>234</v>
      </c>
      <c r="E403" t="s">
        <v>20</v>
      </c>
      <c r="F403" t="str">
        <f>'Basis Options'!A408</f>
        <v>ELPASMER</v>
      </c>
      <c r="G403" t="s">
        <v>269</v>
      </c>
      <c r="H403" t="s">
        <v>254</v>
      </c>
      <c r="I403" t="s">
        <v>242</v>
      </c>
      <c r="J403" t="s">
        <v>235</v>
      </c>
      <c r="K403" s="380">
        <f>'Basis Options'!G408</f>
        <v>36892</v>
      </c>
      <c r="L403" s="235">
        <f>'Basis Options'!U408</f>
        <v>-184352.64445160894</v>
      </c>
      <c r="M403" s="380">
        <f>'Basis Options'!Q408</f>
        <v>36888</v>
      </c>
      <c r="N403" t="str">
        <f>'Basis Options'!F408</f>
        <v>P</v>
      </c>
      <c r="O403">
        <f>'Basis Options'!I408</f>
        <v>1.6</v>
      </c>
      <c r="P403">
        <v>0</v>
      </c>
      <c r="Q403">
        <v>0</v>
      </c>
      <c r="R403">
        <v>0</v>
      </c>
      <c r="S403">
        <v>0</v>
      </c>
      <c r="T403" t="s">
        <v>253</v>
      </c>
      <c r="U403" t="str">
        <f>IF('Basis Options'!D408="NGI/CHI. GATE","""NGI/CHI. GATE""",TRIM('Basis Options'!D408))</f>
        <v>IF-TRANSCO/Z6</v>
      </c>
      <c r="V403" t="s">
        <v>253</v>
      </c>
      <c r="W403" t="s">
        <v>132</v>
      </c>
      <c r="X403" t="s">
        <v>253</v>
      </c>
      <c r="Y403" t="s">
        <v>235</v>
      </c>
      <c r="Z403" t="s">
        <v>236</v>
      </c>
      <c r="AA403" t="s">
        <v>253</v>
      </c>
      <c r="AB403" t="s">
        <v>1</v>
      </c>
      <c r="AC403" s="235">
        <f>'Basis Options'!H408</f>
        <v>-500000</v>
      </c>
      <c r="AD403" s="235">
        <f>'Basis Options'!W408</f>
        <v>-37504.137359824672</v>
      </c>
      <c r="AE403">
        <v>0</v>
      </c>
      <c r="AF403">
        <v>0</v>
      </c>
      <c r="AG403">
        <v>0</v>
      </c>
      <c r="AH403" s="235">
        <f>'Basis Options'!CD408</f>
        <v>0</v>
      </c>
      <c r="AI403">
        <v>226</v>
      </c>
      <c r="AJ403" t="s">
        <v>256</v>
      </c>
      <c r="AK403">
        <v>0</v>
      </c>
      <c r="AL403">
        <v>0</v>
      </c>
      <c r="AM403">
        <v>0</v>
      </c>
    </row>
    <row r="404" spans="1:39" x14ac:dyDescent="0.25">
      <c r="A404" t="s">
        <v>233</v>
      </c>
      <c r="B404" t="str">
        <f>'Basis Options'!C409</f>
        <v>NN9640.2</v>
      </c>
      <c r="C404" t="s">
        <v>255</v>
      </c>
      <c r="D404" t="s">
        <v>234</v>
      </c>
      <c r="E404" t="s">
        <v>20</v>
      </c>
      <c r="F404" t="str">
        <f>'Basis Options'!A409</f>
        <v>ELPASMER</v>
      </c>
      <c r="G404" t="s">
        <v>269</v>
      </c>
      <c r="H404" t="s">
        <v>254</v>
      </c>
      <c r="I404" t="s">
        <v>242</v>
      </c>
      <c r="J404" t="s">
        <v>235</v>
      </c>
      <c r="K404" s="380">
        <f>'Basis Options'!G409</f>
        <v>36861</v>
      </c>
      <c r="L404" s="235">
        <f>'Basis Options'!U409</f>
        <v>-244225.55791473665</v>
      </c>
      <c r="M404" s="380">
        <f>'Basis Options'!Q409</f>
        <v>36859</v>
      </c>
      <c r="N404" t="str">
        <f>'Basis Options'!F409</f>
        <v>P</v>
      </c>
      <c r="O404">
        <f>'Basis Options'!I409</f>
        <v>1.6</v>
      </c>
      <c r="P404">
        <v>0</v>
      </c>
      <c r="Q404">
        <v>0</v>
      </c>
      <c r="R404">
        <v>0</v>
      </c>
      <c r="S404">
        <v>0</v>
      </c>
      <c r="T404" t="s">
        <v>253</v>
      </c>
      <c r="U404" t="str">
        <f>IF('Basis Options'!D409="NGI/CHI. GATE","""NGI/CHI. GATE""",TRIM('Basis Options'!D409))</f>
        <v>IF-TRANSCO/Z6</v>
      </c>
      <c r="V404" t="s">
        <v>253</v>
      </c>
      <c r="W404" t="s">
        <v>132</v>
      </c>
      <c r="X404" t="s">
        <v>253</v>
      </c>
      <c r="Y404" t="s">
        <v>235</v>
      </c>
      <c r="Z404" t="s">
        <v>236</v>
      </c>
      <c r="AA404" t="s">
        <v>253</v>
      </c>
      <c r="AB404" t="s">
        <v>1</v>
      </c>
      <c r="AC404" s="235">
        <f>'Basis Options'!H409</f>
        <v>-500000</v>
      </c>
      <c r="AD404" s="235">
        <f>'Basis Options'!W409</f>
        <v>-35216.694717858743</v>
      </c>
      <c r="AE404">
        <v>0</v>
      </c>
      <c r="AF404">
        <v>0</v>
      </c>
      <c r="AG404">
        <v>0</v>
      </c>
      <c r="AH404" s="235">
        <f>'Basis Options'!CD409</f>
        <v>0</v>
      </c>
      <c r="AI404">
        <v>226</v>
      </c>
      <c r="AJ404" t="s">
        <v>256</v>
      </c>
      <c r="AK404">
        <v>0</v>
      </c>
      <c r="AL404">
        <v>0</v>
      </c>
      <c r="AM404">
        <v>0</v>
      </c>
    </row>
    <row r="405" spans="1:39" x14ac:dyDescent="0.25">
      <c r="A405" t="s">
        <v>233</v>
      </c>
      <c r="B405" t="str">
        <f>'Basis Options'!C410</f>
        <v>NN9640.2</v>
      </c>
      <c r="C405" t="s">
        <v>255</v>
      </c>
      <c r="D405" t="s">
        <v>234</v>
      </c>
      <c r="E405" t="s">
        <v>20</v>
      </c>
      <c r="F405" t="str">
        <f>'Basis Options'!A410</f>
        <v>ELPASMER</v>
      </c>
      <c r="G405" t="s">
        <v>269</v>
      </c>
      <c r="H405" t="s">
        <v>254</v>
      </c>
      <c r="I405" t="s">
        <v>242</v>
      </c>
      <c r="J405" t="s">
        <v>235</v>
      </c>
      <c r="K405" s="380">
        <f>'Basis Options'!G410</f>
        <v>36831</v>
      </c>
      <c r="L405" s="235">
        <f>'Basis Options'!U410</f>
        <v>-434381.59475977079</v>
      </c>
      <c r="M405" s="380">
        <f>'Basis Options'!Q410</f>
        <v>36829</v>
      </c>
      <c r="N405" t="str">
        <f>'Basis Options'!F410</f>
        <v>P</v>
      </c>
      <c r="O405">
        <f>'Basis Options'!I410</f>
        <v>1.6</v>
      </c>
      <c r="P405">
        <v>0</v>
      </c>
      <c r="Q405">
        <v>0</v>
      </c>
      <c r="R405">
        <v>0</v>
      </c>
      <c r="S405">
        <v>0</v>
      </c>
      <c r="T405" t="s">
        <v>253</v>
      </c>
      <c r="U405" t="str">
        <f>IF('Basis Options'!D410="NGI/CHI. GATE","""NGI/CHI. GATE""",TRIM('Basis Options'!D410))</f>
        <v>IF-TRANSCO/Z6</v>
      </c>
      <c r="V405" t="s">
        <v>253</v>
      </c>
      <c r="W405" t="s">
        <v>132</v>
      </c>
      <c r="X405" t="s">
        <v>253</v>
      </c>
      <c r="Y405" t="s">
        <v>235</v>
      </c>
      <c r="Z405" t="s">
        <v>236</v>
      </c>
      <c r="AA405" t="s">
        <v>253</v>
      </c>
      <c r="AB405" t="s">
        <v>1</v>
      </c>
      <c r="AC405" s="235">
        <f>'Basis Options'!H410</f>
        <v>-500000</v>
      </c>
      <c r="AD405" s="235">
        <f>'Basis Options'!W410</f>
        <v>-11301.038971135975</v>
      </c>
      <c r="AE405">
        <v>0</v>
      </c>
      <c r="AF405">
        <v>0</v>
      </c>
      <c r="AG405">
        <v>0</v>
      </c>
      <c r="AH405" s="235">
        <f>'Basis Options'!CD410</f>
        <v>0</v>
      </c>
      <c r="AI405">
        <v>226</v>
      </c>
      <c r="AJ405" t="s">
        <v>256</v>
      </c>
      <c r="AK405">
        <v>0</v>
      </c>
      <c r="AL405">
        <v>0</v>
      </c>
      <c r="AM405">
        <v>0</v>
      </c>
    </row>
    <row r="406" spans="1:39" x14ac:dyDescent="0.25">
      <c r="A406" t="s">
        <v>233</v>
      </c>
      <c r="B406" t="str">
        <f>'Basis Options'!C411</f>
        <v>NO1679.1</v>
      </c>
      <c r="C406" t="s">
        <v>255</v>
      </c>
      <c r="D406" t="s">
        <v>234</v>
      </c>
      <c r="E406" t="s">
        <v>20</v>
      </c>
      <c r="F406" t="str">
        <f>'Basis Options'!A411</f>
        <v>UTILICORP</v>
      </c>
      <c r="G406" t="s">
        <v>269</v>
      </c>
      <c r="H406" t="s">
        <v>254</v>
      </c>
      <c r="I406" t="s">
        <v>242</v>
      </c>
      <c r="J406" t="s">
        <v>235</v>
      </c>
      <c r="K406" s="380">
        <f>'Basis Options'!G411</f>
        <v>36800</v>
      </c>
      <c r="L406" s="235">
        <f>'Basis Options'!U411</f>
        <v>-308360.75088592968</v>
      </c>
      <c r="M406" s="380">
        <f>'Basis Options'!Q411</f>
        <v>36797</v>
      </c>
      <c r="N406" t="str">
        <f>'Basis Options'!F411</f>
        <v>P</v>
      </c>
      <c r="O406">
        <f>'Basis Options'!I411</f>
        <v>0.55000000000000004</v>
      </c>
      <c r="P406">
        <v>0</v>
      </c>
      <c r="Q406">
        <v>0</v>
      </c>
      <c r="R406">
        <v>0</v>
      </c>
      <c r="S406">
        <v>0</v>
      </c>
      <c r="T406" t="s">
        <v>253</v>
      </c>
      <c r="U406" t="str">
        <f>IF('Basis Options'!D411="NGI/CHI. GATE","""NGI/CHI. GATE""",TRIM('Basis Options'!D411))</f>
        <v>IF-TRANSCO/Z6</v>
      </c>
      <c r="V406" t="s">
        <v>253</v>
      </c>
      <c r="W406" t="s">
        <v>132</v>
      </c>
      <c r="X406" t="s">
        <v>253</v>
      </c>
      <c r="Y406" t="s">
        <v>235</v>
      </c>
      <c r="Z406" t="s">
        <v>236</v>
      </c>
      <c r="AA406" t="s">
        <v>253</v>
      </c>
      <c r="AB406" t="s">
        <v>1</v>
      </c>
      <c r="AC406" s="235">
        <f>'Basis Options'!H411</f>
        <v>-2170000</v>
      </c>
      <c r="AD406" s="235">
        <f>'Basis Options'!W411</f>
        <v>-6974.2758710612543</v>
      </c>
      <c r="AE406">
        <v>0</v>
      </c>
      <c r="AF406">
        <v>0</v>
      </c>
      <c r="AG406">
        <v>0</v>
      </c>
      <c r="AH406" s="235">
        <f>'Basis Options'!CD411</f>
        <v>0</v>
      </c>
      <c r="AI406">
        <v>226</v>
      </c>
      <c r="AJ406" t="s">
        <v>256</v>
      </c>
      <c r="AK406">
        <v>0</v>
      </c>
      <c r="AL406">
        <v>0</v>
      </c>
      <c r="AM406">
        <v>0</v>
      </c>
    </row>
    <row r="407" spans="1:39" x14ac:dyDescent="0.25">
      <c r="A407" t="s">
        <v>233</v>
      </c>
      <c r="B407" t="str">
        <f>'Basis Options'!C412</f>
        <v>NO1679.2</v>
      </c>
      <c r="C407" t="s">
        <v>255</v>
      </c>
      <c r="D407" t="s">
        <v>234</v>
      </c>
      <c r="E407" t="s">
        <v>20</v>
      </c>
      <c r="F407" t="str">
        <f>'Basis Options'!A412</f>
        <v>UTILICORP</v>
      </c>
      <c r="G407" t="s">
        <v>269</v>
      </c>
      <c r="H407" t="s">
        <v>254</v>
      </c>
      <c r="I407" t="s">
        <v>242</v>
      </c>
      <c r="J407" t="s">
        <v>235</v>
      </c>
      <c r="K407" s="380">
        <f>'Basis Options'!G412</f>
        <v>36800</v>
      </c>
      <c r="L407" s="235">
        <f>'Basis Options'!U412</f>
        <v>-132154.60752254128</v>
      </c>
      <c r="M407" s="380">
        <f>'Basis Options'!Q412</f>
        <v>36797</v>
      </c>
      <c r="N407" t="str">
        <f>'Basis Options'!F412</f>
        <v>P</v>
      </c>
      <c r="O407">
        <f>'Basis Options'!I412</f>
        <v>0.55000000000000004</v>
      </c>
      <c r="P407">
        <v>0</v>
      </c>
      <c r="Q407">
        <v>0</v>
      </c>
      <c r="R407">
        <v>0</v>
      </c>
      <c r="S407">
        <v>0</v>
      </c>
      <c r="T407" t="s">
        <v>253</v>
      </c>
      <c r="U407" t="str">
        <f>IF('Basis Options'!D412="NGI/CHI. GATE","""NGI/CHI. GATE""",TRIM('Basis Options'!D412))</f>
        <v>IF-TRANSCO/Z6</v>
      </c>
      <c r="V407" t="s">
        <v>253</v>
      </c>
      <c r="W407" t="s">
        <v>132</v>
      </c>
      <c r="X407" t="s">
        <v>253</v>
      </c>
      <c r="Y407" t="s">
        <v>235</v>
      </c>
      <c r="Z407" t="s">
        <v>236</v>
      </c>
      <c r="AA407" t="s">
        <v>253</v>
      </c>
      <c r="AB407" t="s">
        <v>1</v>
      </c>
      <c r="AC407" s="235">
        <f>'Basis Options'!H412</f>
        <v>-930000</v>
      </c>
      <c r="AD407" s="235">
        <f>'Basis Options'!W412</f>
        <v>-2988.975373312016</v>
      </c>
      <c r="AE407">
        <v>0</v>
      </c>
      <c r="AF407">
        <v>0</v>
      </c>
      <c r="AG407">
        <v>0</v>
      </c>
      <c r="AH407" s="235">
        <f>'Basis Options'!CD412</f>
        <v>0</v>
      </c>
      <c r="AI407">
        <v>226</v>
      </c>
      <c r="AJ407" t="s">
        <v>256</v>
      </c>
      <c r="AK407">
        <v>0</v>
      </c>
      <c r="AL407">
        <v>0</v>
      </c>
      <c r="AM407">
        <v>0</v>
      </c>
    </row>
    <row r="408" spans="1:39" x14ac:dyDescent="0.25">
      <c r="A408" t="s">
        <v>233</v>
      </c>
      <c r="B408" t="str">
        <f>'Basis Options'!C413</f>
        <v>NO1684</v>
      </c>
      <c r="C408" t="s">
        <v>255</v>
      </c>
      <c r="D408" t="s">
        <v>234</v>
      </c>
      <c r="E408" t="s">
        <v>20</v>
      </c>
      <c r="F408" t="str">
        <f>'Basis Options'!A413</f>
        <v>DUKEENETRA</v>
      </c>
      <c r="G408" t="s">
        <v>269</v>
      </c>
      <c r="H408" t="s">
        <v>254</v>
      </c>
      <c r="I408" t="s">
        <v>242</v>
      </c>
      <c r="J408" t="s">
        <v>235</v>
      </c>
      <c r="K408" s="380">
        <f>'Basis Options'!G413</f>
        <v>36951</v>
      </c>
      <c r="L408" s="235">
        <f>'Basis Options'!U413</f>
        <v>-11880.971448597535</v>
      </c>
      <c r="M408" s="380">
        <f>'Basis Options'!Q413</f>
        <v>36949</v>
      </c>
      <c r="N408" t="str">
        <f>'Basis Options'!F413</f>
        <v>P</v>
      </c>
      <c r="O408">
        <f>'Basis Options'!I413</f>
        <v>-0.3</v>
      </c>
      <c r="P408">
        <v>0</v>
      </c>
      <c r="Q408">
        <v>0</v>
      </c>
      <c r="R408">
        <v>0</v>
      </c>
      <c r="S408">
        <v>0</v>
      </c>
      <c r="T408" t="s">
        <v>253</v>
      </c>
      <c r="U408" t="str">
        <f>IF('Basis Options'!D413="NGI/CHI. GATE","""NGI/CHI. GATE""",TRIM('Basis Options'!D413))</f>
        <v>IF-PAN/TX/OK</v>
      </c>
      <c r="V408" t="s">
        <v>253</v>
      </c>
      <c r="W408" t="s">
        <v>132</v>
      </c>
      <c r="X408" t="s">
        <v>253</v>
      </c>
      <c r="Y408" t="s">
        <v>235</v>
      </c>
      <c r="Z408" t="s">
        <v>236</v>
      </c>
      <c r="AA408" t="s">
        <v>253</v>
      </c>
      <c r="AB408" t="s">
        <v>1</v>
      </c>
      <c r="AC408" s="235">
        <f>'Basis Options'!H413</f>
        <v>-620000</v>
      </c>
      <c r="AD408" s="235">
        <f>'Basis Options'!W413</f>
        <v>-5403.3392352947558</v>
      </c>
      <c r="AE408">
        <v>0</v>
      </c>
      <c r="AF408">
        <v>0</v>
      </c>
      <c r="AG408">
        <v>0</v>
      </c>
      <c r="AH408" s="235">
        <f>'Basis Options'!CD413</f>
        <v>0</v>
      </c>
      <c r="AI408">
        <v>226</v>
      </c>
      <c r="AJ408" t="s">
        <v>256</v>
      </c>
      <c r="AK408">
        <v>0</v>
      </c>
      <c r="AL408">
        <v>0</v>
      </c>
      <c r="AM408">
        <v>0</v>
      </c>
    </row>
    <row r="409" spans="1:39" x14ac:dyDescent="0.25">
      <c r="A409" t="s">
        <v>233</v>
      </c>
      <c r="B409" t="str">
        <f>'Basis Options'!C414</f>
        <v>NO1684</v>
      </c>
      <c r="C409" t="s">
        <v>255</v>
      </c>
      <c r="D409" t="s">
        <v>234</v>
      </c>
      <c r="E409" t="s">
        <v>20</v>
      </c>
      <c r="F409" t="str">
        <f>'Basis Options'!A414</f>
        <v>DUKEENETRA</v>
      </c>
      <c r="G409" t="s">
        <v>269</v>
      </c>
      <c r="H409" t="s">
        <v>254</v>
      </c>
      <c r="I409" t="s">
        <v>242</v>
      </c>
      <c r="J409" t="s">
        <v>235</v>
      </c>
      <c r="K409" s="380">
        <f>'Basis Options'!G414</f>
        <v>36923</v>
      </c>
      <c r="L409" s="235">
        <f>'Basis Options'!U414</f>
        <v>-13740.662836040718</v>
      </c>
      <c r="M409" s="380">
        <f>'Basis Options'!Q414</f>
        <v>36921</v>
      </c>
      <c r="N409" t="str">
        <f>'Basis Options'!F414</f>
        <v>P</v>
      </c>
      <c r="O409">
        <f>'Basis Options'!I414</f>
        <v>-0.3</v>
      </c>
      <c r="P409">
        <v>0</v>
      </c>
      <c r="Q409">
        <v>0</v>
      </c>
      <c r="R409">
        <v>0</v>
      </c>
      <c r="S409">
        <v>0</v>
      </c>
      <c r="T409" t="s">
        <v>253</v>
      </c>
      <c r="U409" t="str">
        <f>IF('Basis Options'!D414="NGI/CHI. GATE","""NGI/CHI. GATE""",TRIM('Basis Options'!D414))</f>
        <v>IF-PAN/TX/OK</v>
      </c>
      <c r="V409" t="s">
        <v>253</v>
      </c>
      <c r="W409" t="s">
        <v>132</v>
      </c>
      <c r="X409" t="s">
        <v>253</v>
      </c>
      <c r="Y409" t="s">
        <v>235</v>
      </c>
      <c r="Z409" t="s">
        <v>236</v>
      </c>
      <c r="AA409" t="s">
        <v>253</v>
      </c>
      <c r="AB409" t="s">
        <v>1</v>
      </c>
      <c r="AC409" s="235">
        <f>'Basis Options'!H414</f>
        <v>-560000</v>
      </c>
      <c r="AD409" s="235">
        <f>'Basis Options'!W414</f>
        <v>-5472.9397090344282</v>
      </c>
      <c r="AE409">
        <v>0</v>
      </c>
      <c r="AF409">
        <v>0</v>
      </c>
      <c r="AG409">
        <v>0</v>
      </c>
      <c r="AH409" s="235">
        <f>'Basis Options'!CD414</f>
        <v>0</v>
      </c>
      <c r="AI409">
        <v>226</v>
      </c>
      <c r="AJ409" t="s">
        <v>256</v>
      </c>
      <c r="AK409">
        <v>0</v>
      </c>
      <c r="AL409">
        <v>0</v>
      </c>
      <c r="AM409">
        <v>0</v>
      </c>
    </row>
    <row r="410" spans="1:39" x14ac:dyDescent="0.25">
      <c r="A410" t="s">
        <v>233</v>
      </c>
      <c r="B410" t="str">
        <f>'Basis Options'!C415</f>
        <v>NO1684</v>
      </c>
      <c r="C410" t="s">
        <v>255</v>
      </c>
      <c r="D410" t="s">
        <v>234</v>
      </c>
      <c r="E410" t="s">
        <v>20</v>
      </c>
      <c r="F410" t="str">
        <f>'Basis Options'!A415</f>
        <v>DUKEENETRA</v>
      </c>
      <c r="G410" t="s">
        <v>269</v>
      </c>
      <c r="H410" t="s">
        <v>254</v>
      </c>
      <c r="I410" t="s">
        <v>242</v>
      </c>
      <c r="J410" t="s">
        <v>235</v>
      </c>
      <c r="K410" s="380">
        <f>'Basis Options'!G415</f>
        <v>36892</v>
      </c>
      <c r="L410" s="235">
        <f>'Basis Options'!U415</f>
        <v>-15481.544358252953</v>
      </c>
      <c r="M410" s="380">
        <f>'Basis Options'!Q415</f>
        <v>36888</v>
      </c>
      <c r="N410" t="str">
        <f>'Basis Options'!F415</f>
        <v>P</v>
      </c>
      <c r="O410">
        <f>'Basis Options'!I415</f>
        <v>-0.3</v>
      </c>
      <c r="P410">
        <v>0</v>
      </c>
      <c r="Q410">
        <v>0</v>
      </c>
      <c r="R410">
        <v>0</v>
      </c>
      <c r="S410">
        <v>0</v>
      </c>
      <c r="T410" t="s">
        <v>253</v>
      </c>
      <c r="U410" t="str">
        <f>IF('Basis Options'!D415="NGI/CHI. GATE","""NGI/CHI. GATE""",TRIM('Basis Options'!D415))</f>
        <v>IF-PAN/TX/OK</v>
      </c>
      <c r="V410" t="s">
        <v>253</v>
      </c>
      <c r="W410" t="s">
        <v>132</v>
      </c>
      <c r="X410" t="s">
        <v>253</v>
      </c>
      <c r="Y410" t="s">
        <v>235</v>
      </c>
      <c r="Z410" t="s">
        <v>236</v>
      </c>
      <c r="AA410" t="s">
        <v>253</v>
      </c>
      <c r="AB410" t="s">
        <v>1</v>
      </c>
      <c r="AC410" s="235">
        <f>'Basis Options'!H415</f>
        <v>-620000</v>
      </c>
      <c r="AD410" s="235">
        <f>'Basis Options'!W415</f>
        <v>-5698.543684188684</v>
      </c>
      <c r="AE410">
        <v>0</v>
      </c>
      <c r="AF410">
        <v>0</v>
      </c>
      <c r="AG410">
        <v>0</v>
      </c>
      <c r="AH410" s="235">
        <f>'Basis Options'!CD415</f>
        <v>0</v>
      </c>
      <c r="AI410">
        <v>226</v>
      </c>
      <c r="AJ410" t="s">
        <v>256</v>
      </c>
      <c r="AK410">
        <v>0</v>
      </c>
      <c r="AL410">
        <v>0</v>
      </c>
      <c r="AM410">
        <v>0</v>
      </c>
    </row>
    <row r="411" spans="1:39" x14ac:dyDescent="0.25">
      <c r="A411" t="s">
        <v>233</v>
      </c>
      <c r="B411" t="str">
        <f>'Basis Options'!C416</f>
        <v>NO1684</v>
      </c>
      <c r="C411" t="s">
        <v>255</v>
      </c>
      <c r="D411" t="s">
        <v>234</v>
      </c>
      <c r="E411" t="s">
        <v>20</v>
      </c>
      <c r="F411" t="str">
        <f>'Basis Options'!A416</f>
        <v>DUKEENETRA</v>
      </c>
      <c r="G411" t="s">
        <v>269</v>
      </c>
      <c r="H411" t="s">
        <v>254</v>
      </c>
      <c r="I411" t="s">
        <v>242</v>
      </c>
      <c r="J411" t="s">
        <v>235</v>
      </c>
      <c r="K411" s="380">
        <f>'Basis Options'!G416</f>
        <v>36861</v>
      </c>
      <c r="L411" s="235">
        <f>'Basis Options'!U416</f>
        <v>-10340.936161931346</v>
      </c>
      <c r="M411" s="380">
        <f>'Basis Options'!Q416</f>
        <v>36859</v>
      </c>
      <c r="N411" t="str">
        <f>'Basis Options'!F416</f>
        <v>P</v>
      </c>
      <c r="O411">
        <f>'Basis Options'!I416</f>
        <v>-0.3</v>
      </c>
      <c r="P411">
        <v>0</v>
      </c>
      <c r="Q411">
        <v>0</v>
      </c>
      <c r="R411">
        <v>0</v>
      </c>
      <c r="S411">
        <v>0</v>
      </c>
      <c r="T411" t="s">
        <v>253</v>
      </c>
      <c r="U411" t="str">
        <f>IF('Basis Options'!D416="NGI/CHI. GATE","""NGI/CHI. GATE""",TRIM('Basis Options'!D416))</f>
        <v>IF-PAN/TX/OK</v>
      </c>
      <c r="V411" t="s">
        <v>253</v>
      </c>
      <c r="W411" t="s">
        <v>132</v>
      </c>
      <c r="X411" t="s">
        <v>253</v>
      </c>
      <c r="Y411" t="s">
        <v>235</v>
      </c>
      <c r="Z411" t="s">
        <v>236</v>
      </c>
      <c r="AA411" t="s">
        <v>253</v>
      </c>
      <c r="AB411" t="s">
        <v>1</v>
      </c>
      <c r="AC411" s="235">
        <f>'Basis Options'!H416</f>
        <v>-620000</v>
      </c>
      <c r="AD411" s="235">
        <f>'Basis Options'!W416</f>
        <v>-4386.9284836975858</v>
      </c>
      <c r="AE411">
        <v>0</v>
      </c>
      <c r="AF411">
        <v>0</v>
      </c>
      <c r="AG411">
        <v>0</v>
      </c>
      <c r="AH411" s="235">
        <f>'Basis Options'!CD416</f>
        <v>0</v>
      </c>
      <c r="AI411">
        <v>226</v>
      </c>
      <c r="AJ411" t="s">
        <v>256</v>
      </c>
      <c r="AK411">
        <v>0</v>
      </c>
      <c r="AL411">
        <v>0</v>
      </c>
      <c r="AM411">
        <v>0</v>
      </c>
    </row>
    <row r="412" spans="1:39" x14ac:dyDescent="0.25">
      <c r="A412" t="s">
        <v>233</v>
      </c>
      <c r="B412" t="str">
        <f>'Basis Options'!C417</f>
        <v>NO1684</v>
      </c>
      <c r="C412" t="s">
        <v>255</v>
      </c>
      <c r="D412" t="s">
        <v>234</v>
      </c>
      <c r="E412" t="s">
        <v>20</v>
      </c>
      <c r="F412" t="str">
        <f>'Basis Options'!A417</f>
        <v>DUKEENETRA</v>
      </c>
      <c r="G412" t="s">
        <v>269</v>
      </c>
      <c r="H412" t="s">
        <v>254</v>
      </c>
      <c r="I412" t="s">
        <v>242</v>
      </c>
      <c r="J412" t="s">
        <v>235</v>
      </c>
      <c r="K412" s="380">
        <f>'Basis Options'!G417</f>
        <v>36831</v>
      </c>
      <c r="L412" s="235">
        <f>'Basis Options'!U417</f>
        <v>-4622.4526129934848</v>
      </c>
      <c r="M412" s="380">
        <f>'Basis Options'!Q417</f>
        <v>36829</v>
      </c>
      <c r="N412" t="str">
        <f>'Basis Options'!F417</f>
        <v>P</v>
      </c>
      <c r="O412">
        <f>'Basis Options'!I417</f>
        <v>-0.3</v>
      </c>
      <c r="P412">
        <v>0</v>
      </c>
      <c r="Q412">
        <v>0</v>
      </c>
      <c r="R412">
        <v>0</v>
      </c>
      <c r="S412">
        <v>0</v>
      </c>
      <c r="T412" t="s">
        <v>253</v>
      </c>
      <c r="U412" t="str">
        <f>IF('Basis Options'!D417="NGI/CHI. GATE","""NGI/CHI. GATE""",TRIM('Basis Options'!D417))</f>
        <v>IF-PAN/TX/OK</v>
      </c>
      <c r="V412" t="s">
        <v>253</v>
      </c>
      <c r="W412" t="s">
        <v>132</v>
      </c>
      <c r="X412" t="s">
        <v>253</v>
      </c>
      <c r="Y412" t="s">
        <v>235</v>
      </c>
      <c r="Z412" t="s">
        <v>236</v>
      </c>
      <c r="AA412" t="s">
        <v>253</v>
      </c>
      <c r="AB412" t="s">
        <v>1</v>
      </c>
      <c r="AC412" s="235">
        <f>'Basis Options'!H417</f>
        <v>-600000</v>
      </c>
      <c r="AD412" s="235">
        <f>'Basis Options'!W417</f>
        <v>-2572.8842406081385</v>
      </c>
      <c r="AE412">
        <v>0</v>
      </c>
      <c r="AF412">
        <v>0</v>
      </c>
      <c r="AG412">
        <v>0</v>
      </c>
      <c r="AH412" s="235">
        <f>'Basis Options'!CD417</f>
        <v>0</v>
      </c>
      <c r="AI412">
        <v>226</v>
      </c>
      <c r="AJ412" t="s">
        <v>256</v>
      </c>
      <c r="AK412">
        <v>0</v>
      </c>
      <c r="AL412">
        <v>0</v>
      </c>
      <c r="AM412">
        <v>0</v>
      </c>
    </row>
    <row r="413" spans="1:39" x14ac:dyDescent="0.25">
      <c r="A413" t="s">
        <v>233</v>
      </c>
      <c r="B413" t="str">
        <f>'Basis Options'!C418</f>
        <v>NO2879</v>
      </c>
      <c r="C413" t="s">
        <v>255</v>
      </c>
      <c r="D413" t="s">
        <v>234</v>
      </c>
      <c r="E413" t="s">
        <v>20</v>
      </c>
      <c r="F413" t="str">
        <f>'Basis Options'!A418</f>
        <v>RELIANTENESER</v>
      </c>
      <c r="G413" t="s">
        <v>269</v>
      </c>
      <c r="H413" t="s">
        <v>254</v>
      </c>
      <c r="I413" t="s">
        <v>242</v>
      </c>
      <c r="J413" t="s">
        <v>235</v>
      </c>
      <c r="K413" s="380">
        <f>'Basis Options'!G418</f>
        <v>36951</v>
      </c>
      <c r="L413" s="235">
        <f>'Basis Options'!U418</f>
        <v>-5940.4857242987673</v>
      </c>
      <c r="M413" s="380">
        <f>'Basis Options'!Q418</f>
        <v>36949</v>
      </c>
      <c r="N413" t="str">
        <f>'Basis Options'!F418</f>
        <v>P</v>
      </c>
      <c r="O413">
        <f>'Basis Options'!I418</f>
        <v>-0.3</v>
      </c>
      <c r="P413">
        <v>0</v>
      </c>
      <c r="Q413">
        <v>0</v>
      </c>
      <c r="R413">
        <v>0</v>
      </c>
      <c r="S413">
        <v>0</v>
      </c>
      <c r="T413" t="s">
        <v>253</v>
      </c>
      <c r="U413" t="str">
        <f>IF('Basis Options'!D418="NGI/CHI. GATE","""NGI/CHI. GATE""",TRIM('Basis Options'!D418))</f>
        <v>IF-PAN/TX/OK</v>
      </c>
      <c r="V413" t="s">
        <v>253</v>
      </c>
      <c r="W413" t="s">
        <v>132</v>
      </c>
      <c r="X413" t="s">
        <v>253</v>
      </c>
      <c r="Y413" t="s">
        <v>235</v>
      </c>
      <c r="Z413" t="s">
        <v>236</v>
      </c>
      <c r="AA413" t="s">
        <v>253</v>
      </c>
      <c r="AB413" t="s">
        <v>1</v>
      </c>
      <c r="AC413" s="235">
        <f>'Basis Options'!H418</f>
        <v>-310000</v>
      </c>
      <c r="AD413" s="235">
        <f>'Basis Options'!W418</f>
        <v>-2701.6696176473779</v>
      </c>
      <c r="AE413">
        <v>0</v>
      </c>
      <c r="AF413">
        <v>0</v>
      </c>
      <c r="AG413">
        <v>0</v>
      </c>
      <c r="AH413" s="235">
        <f>'Basis Options'!CD418</f>
        <v>0</v>
      </c>
      <c r="AI413">
        <v>226</v>
      </c>
      <c r="AJ413" t="s">
        <v>256</v>
      </c>
      <c r="AK413">
        <v>0</v>
      </c>
      <c r="AL413">
        <v>0</v>
      </c>
      <c r="AM413">
        <v>0</v>
      </c>
    </row>
    <row r="414" spans="1:39" x14ac:dyDescent="0.25">
      <c r="A414" t="s">
        <v>233</v>
      </c>
      <c r="B414" t="str">
        <f>'Basis Options'!C419</f>
        <v>NO2879</v>
      </c>
      <c r="C414" t="s">
        <v>255</v>
      </c>
      <c r="D414" t="s">
        <v>234</v>
      </c>
      <c r="E414" t="s">
        <v>20</v>
      </c>
      <c r="F414" t="str">
        <f>'Basis Options'!A419</f>
        <v>RELIANTENESER</v>
      </c>
      <c r="G414" t="s">
        <v>269</v>
      </c>
      <c r="H414" t="s">
        <v>254</v>
      </c>
      <c r="I414" t="s">
        <v>242</v>
      </c>
      <c r="J414" t="s">
        <v>235</v>
      </c>
      <c r="K414" s="380">
        <f>'Basis Options'!G419</f>
        <v>36923</v>
      </c>
      <c r="L414" s="235">
        <f>'Basis Options'!U419</f>
        <v>-6870.3314180203588</v>
      </c>
      <c r="M414" s="380">
        <f>'Basis Options'!Q419</f>
        <v>36921</v>
      </c>
      <c r="N414" t="str">
        <f>'Basis Options'!F419</f>
        <v>P</v>
      </c>
      <c r="O414">
        <f>'Basis Options'!I419</f>
        <v>-0.3</v>
      </c>
      <c r="P414">
        <v>0</v>
      </c>
      <c r="Q414">
        <v>0</v>
      </c>
      <c r="R414">
        <v>0</v>
      </c>
      <c r="S414">
        <v>0</v>
      </c>
      <c r="T414" t="s">
        <v>253</v>
      </c>
      <c r="U414" t="str">
        <f>IF('Basis Options'!D419="NGI/CHI. GATE","""NGI/CHI. GATE""",TRIM('Basis Options'!D419))</f>
        <v>IF-PAN/TX/OK</v>
      </c>
      <c r="V414" t="s">
        <v>253</v>
      </c>
      <c r="W414" t="s">
        <v>132</v>
      </c>
      <c r="X414" t="s">
        <v>253</v>
      </c>
      <c r="Y414" t="s">
        <v>235</v>
      </c>
      <c r="Z414" t="s">
        <v>236</v>
      </c>
      <c r="AA414" t="s">
        <v>253</v>
      </c>
      <c r="AB414" t="s">
        <v>1</v>
      </c>
      <c r="AC414" s="235">
        <f>'Basis Options'!H419</f>
        <v>-280000</v>
      </c>
      <c r="AD414" s="235">
        <f>'Basis Options'!W419</f>
        <v>-2736.4698545172141</v>
      </c>
      <c r="AE414">
        <v>0</v>
      </c>
      <c r="AF414">
        <v>0</v>
      </c>
      <c r="AG414">
        <v>0</v>
      </c>
      <c r="AH414" s="235">
        <f>'Basis Options'!CD419</f>
        <v>0</v>
      </c>
      <c r="AI414">
        <v>226</v>
      </c>
      <c r="AJ414" t="s">
        <v>256</v>
      </c>
      <c r="AK414">
        <v>0</v>
      </c>
      <c r="AL414">
        <v>0</v>
      </c>
      <c r="AM414">
        <v>0</v>
      </c>
    </row>
    <row r="415" spans="1:39" x14ac:dyDescent="0.25">
      <c r="A415" t="s">
        <v>233</v>
      </c>
      <c r="B415" t="str">
        <f>'Basis Options'!C420</f>
        <v>NO2879</v>
      </c>
      <c r="C415" t="s">
        <v>255</v>
      </c>
      <c r="D415" t="s">
        <v>234</v>
      </c>
      <c r="E415" t="s">
        <v>20</v>
      </c>
      <c r="F415" t="str">
        <f>'Basis Options'!A420</f>
        <v>RELIANTENESER</v>
      </c>
      <c r="G415" t="s">
        <v>269</v>
      </c>
      <c r="H415" t="s">
        <v>254</v>
      </c>
      <c r="I415" t="s">
        <v>242</v>
      </c>
      <c r="J415" t="s">
        <v>235</v>
      </c>
      <c r="K415" s="380">
        <f>'Basis Options'!G420</f>
        <v>36892</v>
      </c>
      <c r="L415" s="235">
        <f>'Basis Options'!U420</f>
        <v>-7740.7721791264767</v>
      </c>
      <c r="M415" s="380">
        <f>'Basis Options'!Q420</f>
        <v>36888</v>
      </c>
      <c r="N415" t="str">
        <f>'Basis Options'!F420</f>
        <v>P</v>
      </c>
      <c r="O415">
        <f>'Basis Options'!I420</f>
        <v>-0.3</v>
      </c>
      <c r="P415">
        <v>0</v>
      </c>
      <c r="Q415">
        <v>0</v>
      </c>
      <c r="R415">
        <v>0</v>
      </c>
      <c r="S415">
        <v>0</v>
      </c>
      <c r="T415" t="s">
        <v>253</v>
      </c>
      <c r="U415" t="str">
        <f>IF('Basis Options'!D420="NGI/CHI. GATE","""NGI/CHI. GATE""",TRIM('Basis Options'!D420))</f>
        <v>IF-PAN/TX/OK</v>
      </c>
      <c r="V415" t="s">
        <v>253</v>
      </c>
      <c r="W415" t="s">
        <v>132</v>
      </c>
      <c r="X415" t="s">
        <v>253</v>
      </c>
      <c r="Y415" t="s">
        <v>235</v>
      </c>
      <c r="Z415" t="s">
        <v>236</v>
      </c>
      <c r="AA415" t="s">
        <v>253</v>
      </c>
      <c r="AB415" t="s">
        <v>1</v>
      </c>
      <c r="AC415" s="235">
        <f>'Basis Options'!H420</f>
        <v>-310000</v>
      </c>
      <c r="AD415" s="235">
        <f>'Basis Options'!W420</f>
        <v>-2849.271842094342</v>
      </c>
      <c r="AE415">
        <v>0</v>
      </c>
      <c r="AF415">
        <v>0</v>
      </c>
      <c r="AG415">
        <v>0</v>
      </c>
      <c r="AH415" s="235">
        <f>'Basis Options'!CD420</f>
        <v>0</v>
      </c>
      <c r="AI415">
        <v>226</v>
      </c>
      <c r="AJ415" t="s">
        <v>256</v>
      </c>
      <c r="AK415">
        <v>0</v>
      </c>
      <c r="AL415">
        <v>0</v>
      </c>
      <c r="AM415">
        <v>0</v>
      </c>
    </row>
    <row r="416" spans="1:39" x14ac:dyDescent="0.25">
      <c r="A416" t="s">
        <v>233</v>
      </c>
      <c r="B416" t="str">
        <f>'Basis Options'!C421</f>
        <v>NO2879</v>
      </c>
      <c r="C416" t="s">
        <v>255</v>
      </c>
      <c r="D416" t="s">
        <v>234</v>
      </c>
      <c r="E416" t="s">
        <v>20</v>
      </c>
      <c r="F416" t="str">
        <f>'Basis Options'!A421</f>
        <v>RELIANTENESER</v>
      </c>
      <c r="G416" t="s">
        <v>269</v>
      </c>
      <c r="H416" t="s">
        <v>254</v>
      </c>
      <c r="I416" t="s">
        <v>242</v>
      </c>
      <c r="J416" t="s">
        <v>235</v>
      </c>
      <c r="K416" s="380">
        <f>'Basis Options'!G421</f>
        <v>36861</v>
      </c>
      <c r="L416" s="235">
        <f>'Basis Options'!U421</f>
        <v>-5170.4680809656729</v>
      </c>
      <c r="M416" s="380">
        <f>'Basis Options'!Q421</f>
        <v>36859</v>
      </c>
      <c r="N416" t="str">
        <f>'Basis Options'!F421</f>
        <v>P</v>
      </c>
      <c r="O416">
        <f>'Basis Options'!I421</f>
        <v>-0.3</v>
      </c>
      <c r="P416">
        <v>0</v>
      </c>
      <c r="Q416">
        <v>0</v>
      </c>
      <c r="R416">
        <v>0</v>
      </c>
      <c r="S416">
        <v>0</v>
      </c>
      <c r="T416" t="s">
        <v>253</v>
      </c>
      <c r="U416" t="str">
        <f>IF('Basis Options'!D421="NGI/CHI. GATE","""NGI/CHI. GATE""",TRIM('Basis Options'!D421))</f>
        <v>IF-PAN/TX/OK</v>
      </c>
      <c r="V416" t="s">
        <v>253</v>
      </c>
      <c r="W416" t="s">
        <v>132</v>
      </c>
      <c r="X416" t="s">
        <v>253</v>
      </c>
      <c r="Y416" t="s">
        <v>235</v>
      </c>
      <c r="Z416" t="s">
        <v>236</v>
      </c>
      <c r="AA416" t="s">
        <v>253</v>
      </c>
      <c r="AB416" t="s">
        <v>1</v>
      </c>
      <c r="AC416" s="235">
        <f>'Basis Options'!H421</f>
        <v>-310000</v>
      </c>
      <c r="AD416" s="235">
        <f>'Basis Options'!W421</f>
        <v>-2193.4642418487929</v>
      </c>
      <c r="AE416">
        <v>0</v>
      </c>
      <c r="AF416">
        <v>0</v>
      </c>
      <c r="AG416">
        <v>0</v>
      </c>
      <c r="AH416" s="235">
        <f>'Basis Options'!CD421</f>
        <v>0</v>
      </c>
      <c r="AI416">
        <v>226</v>
      </c>
      <c r="AJ416" t="s">
        <v>256</v>
      </c>
      <c r="AK416">
        <v>0</v>
      </c>
      <c r="AL416">
        <v>0</v>
      </c>
      <c r="AM416">
        <v>0</v>
      </c>
    </row>
    <row r="417" spans="1:39" x14ac:dyDescent="0.25">
      <c r="A417" t="s">
        <v>233</v>
      </c>
      <c r="B417" t="str">
        <f>'Basis Options'!C422</f>
        <v>NO2879</v>
      </c>
      <c r="C417" t="s">
        <v>255</v>
      </c>
      <c r="D417" t="s">
        <v>234</v>
      </c>
      <c r="E417" t="s">
        <v>20</v>
      </c>
      <c r="F417" t="str">
        <f>'Basis Options'!A422</f>
        <v>RELIANTENESER</v>
      </c>
      <c r="G417" t="s">
        <v>269</v>
      </c>
      <c r="H417" t="s">
        <v>254</v>
      </c>
      <c r="I417" t="s">
        <v>242</v>
      </c>
      <c r="J417" t="s">
        <v>235</v>
      </c>
      <c r="K417" s="380">
        <f>'Basis Options'!G422</f>
        <v>36831</v>
      </c>
      <c r="L417" s="235">
        <f>'Basis Options'!U422</f>
        <v>-2311.2263064967424</v>
      </c>
      <c r="M417" s="380">
        <f>'Basis Options'!Q422</f>
        <v>36829</v>
      </c>
      <c r="N417" t="str">
        <f>'Basis Options'!F422</f>
        <v>P</v>
      </c>
      <c r="O417">
        <f>'Basis Options'!I422</f>
        <v>-0.3</v>
      </c>
      <c r="P417">
        <v>0</v>
      </c>
      <c r="Q417">
        <v>0</v>
      </c>
      <c r="R417">
        <v>0</v>
      </c>
      <c r="S417">
        <v>0</v>
      </c>
      <c r="T417" t="s">
        <v>253</v>
      </c>
      <c r="U417" t="str">
        <f>IF('Basis Options'!D422="NGI/CHI. GATE","""NGI/CHI. GATE""",TRIM('Basis Options'!D422))</f>
        <v>IF-PAN/TX/OK</v>
      </c>
      <c r="V417" t="s">
        <v>253</v>
      </c>
      <c r="W417" t="s">
        <v>132</v>
      </c>
      <c r="X417" t="s">
        <v>253</v>
      </c>
      <c r="Y417" t="s">
        <v>235</v>
      </c>
      <c r="Z417" t="s">
        <v>236</v>
      </c>
      <c r="AA417" t="s">
        <v>253</v>
      </c>
      <c r="AB417" t="s">
        <v>1</v>
      </c>
      <c r="AC417" s="235">
        <f>'Basis Options'!H422</f>
        <v>-300000</v>
      </c>
      <c r="AD417" s="235">
        <f>'Basis Options'!W422</f>
        <v>-1286.4421203040692</v>
      </c>
      <c r="AE417">
        <v>0</v>
      </c>
      <c r="AF417">
        <v>0</v>
      </c>
      <c r="AG417">
        <v>0</v>
      </c>
      <c r="AH417" s="235">
        <f>'Basis Options'!CD422</f>
        <v>0</v>
      </c>
      <c r="AI417">
        <v>226</v>
      </c>
      <c r="AJ417" t="s">
        <v>256</v>
      </c>
      <c r="AK417">
        <v>0</v>
      </c>
      <c r="AL417">
        <v>0</v>
      </c>
      <c r="AM417">
        <v>0</v>
      </c>
    </row>
    <row r="418" spans="1:39" x14ac:dyDescent="0.25">
      <c r="A418" t="s">
        <v>233</v>
      </c>
      <c r="B418" t="str">
        <f>'Basis Options'!C423</f>
        <v>NO2888</v>
      </c>
      <c r="C418" t="s">
        <v>255</v>
      </c>
      <c r="D418" t="s">
        <v>234</v>
      </c>
      <c r="E418" t="s">
        <v>20</v>
      </c>
      <c r="F418" t="str">
        <f>'Basis Options'!A423</f>
        <v>UTILICORP</v>
      </c>
      <c r="G418" t="s">
        <v>269</v>
      </c>
      <c r="H418" t="s">
        <v>254</v>
      </c>
      <c r="I418" t="s">
        <v>242</v>
      </c>
      <c r="J418" t="s">
        <v>235</v>
      </c>
      <c r="K418" s="380">
        <f>'Basis Options'!G423</f>
        <v>36800</v>
      </c>
      <c r="L418" s="235">
        <f>'Basis Options'!U423</f>
        <v>-220257.67920423549</v>
      </c>
      <c r="M418" s="380">
        <f>'Basis Options'!Q423</f>
        <v>36797</v>
      </c>
      <c r="N418" t="str">
        <f>'Basis Options'!F423</f>
        <v>P</v>
      </c>
      <c r="O418">
        <f>'Basis Options'!I423</f>
        <v>0.55000000000000004</v>
      </c>
      <c r="P418">
        <v>0</v>
      </c>
      <c r="Q418">
        <v>0</v>
      </c>
      <c r="R418">
        <v>0</v>
      </c>
      <c r="S418">
        <v>0</v>
      </c>
      <c r="T418" t="s">
        <v>253</v>
      </c>
      <c r="U418" t="str">
        <f>IF('Basis Options'!D423="NGI/CHI. GATE","""NGI/CHI. GATE""",TRIM('Basis Options'!D423))</f>
        <v>IF-TRANSCO/Z6</v>
      </c>
      <c r="V418" t="s">
        <v>253</v>
      </c>
      <c r="W418" t="s">
        <v>132</v>
      </c>
      <c r="X418" t="s">
        <v>253</v>
      </c>
      <c r="Y418" t="s">
        <v>235</v>
      </c>
      <c r="Z418" t="s">
        <v>236</v>
      </c>
      <c r="AA418" t="s">
        <v>253</v>
      </c>
      <c r="AB418" t="s">
        <v>1</v>
      </c>
      <c r="AC418" s="235">
        <f>'Basis Options'!H423</f>
        <v>-1550000</v>
      </c>
      <c r="AD418" s="235">
        <f>'Basis Options'!W423</f>
        <v>-4981.6256221865769</v>
      </c>
      <c r="AE418">
        <v>0</v>
      </c>
      <c r="AF418">
        <v>0</v>
      </c>
      <c r="AG418">
        <v>0</v>
      </c>
      <c r="AH418" s="235">
        <f>'Basis Options'!CD423</f>
        <v>0</v>
      </c>
      <c r="AI418">
        <v>226</v>
      </c>
      <c r="AJ418" t="s">
        <v>256</v>
      </c>
      <c r="AK418">
        <v>0</v>
      </c>
      <c r="AL418">
        <v>0</v>
      </c>
      <c r="AM418">
        <v>0</v>
      </c>
    </row>
    <row r="419" spans="1:39" x14ac:dyDescent="0.25">
      <c r="A419" t="s">
        <v>233</v>
      </c>
      <c r="B419" t="str">
        <f>'Basis Options'!C424</f>
        <v>NO2893</v>
      </c>
      <c r="C419" t="s">
        <v>255</v>
      </c>
      <c r="D419" t="s">
        <v>234</v>
      </c>
      <c r="E419" t="s">
        <v>20</v>
      </c>
      <c r="F419" t="str">
        <f>'Basis Options'!A424</f>
        <v>ELPASMER</v>
      </c>
      <c r="G419" t="s">
        <v>269</v>
      </c>
      <c r="H419" t="s">
        <v>254</v>
      </c>
      <c r="I419" t="s">
        <v>242</v>
      </c>
      <c r="J419" t="s">
        <v>235</v>
      </c>
      <c r="K419" s="380">
        <f>'Basis Options'!G424</f>
        <v>36951</v>
      </c>
      <c r="L419" s="235">
        <f>'Basis Options'!U424</f>
        <v>92249.972208080042</v>
      </c>
      <c r="M419" s="380">
        <f>'Basis Options'!Q424</f>
        <v>36949</v>
      </c>
      <c r="N419" t="str">
        <f>'Basis Options'!F424</f>
        <v>C</v>
      </c>
      <c r="O419">
        <f>'Basis Options'!I424</f>
        <v>2.2999999999999998</v>
      </c>
      <c r="P419">
        <v>0</v>
      </c>
      <c r="Q419">
        <v>0</v>
      </c>
      <c r="R419">
        <v>0</v>
      </c>
      <c r="S419">
        <v>0</v>
      </c>
      <c r="T419" t="s">
        <v>253</v>
      </c>
      <c r="U419" t="str">
        <f>IF('Basis Options'!D424="NGI/CHI. GATE","""NGI/CHI. GATE""",TRIM('Basis Options'!D424))</f>
        <v>IF-TRANSCO/Z6</v>
      </c>
      <c r="V419" t="s">
        <v>253</v>
      </c>
      <c r="W419" t="s">
        <v>132</v>
      </c>
      <c r="X419" t="s">
        <v>253</v>
      </c>
      <c r="Y419" t="s">
        <v>235</v>
      </c>
      <c r="Z419" t="s">
        <v>236</v>
      </c>
      <c r="AA419" t="s">
        <v>253</v>
      </c>
      <c r="AB419" t="s">
        <v>1</v>
      </c>
      <c r="AC419" s="235">
        <f>'Basis Options'!H424</f>
        <v>500000</v>
      </c>
      <c r="AD419" s="235">
        <f>'Basis Options'!W424</f>
        <v>31226.977108220206</v>
      </c>
      <c r="AE419">
        <v>0</v>
      </c>
      <c r="AF419">
        <v>0</v>
      </c>
      <c r="AG419">
        <v>0</v>
      </c>
      <c r="AH419" s="235">
        <f>'Basis Options'!CD424</f>
        <v>0</v>
      </c>
      <c r="AI419">
        <v>226</v>
      </c>
      <c r="AJ419" t="s">
        <v>256</v>
      </c>
      <c r="AK419">
        <v>0</v>
      </c>
      <c r="AL419">
        <v>0</v>
      </c>
      <c r="AM419">
        <v>0</v>
      </c>
    </row>
    <row r="420" spans="1:39" x14ac:dyDescent="0.25">
      <c r="A420" t="s">
        <v>233</v>
      </c>
      <c r="B420" t="str">
        <f>'Basis Options'!C425</f>
        <v>NO2893</v>
      </c>
      <c r="C420" t="s">
        <v>255</v>
      </c>
      <c r="D420" t="s">
        <v>234</v>
      </c>
      <c r="E420" t="s">
        <v>20</v>
      </c>
      <c r="F420" t="str">
        <f>'Basis Options'!A425</f>
        <v>ELPASMER</v>
      </c>
      <c r="G420" t="s">
        <v>269</v>
      </c>
      <c r="H420" t="s">
        <v>254</v>
      </c>
      <c r="I420" t="s">
        <v>242</v>
      </c>
      <c r="J420" t="s">
        <v>235</v>
      </c>
      <c r="K420" s="380">
        <f>'Basis Options'!G425</f>
        <v>36923</v>
      </c>
      <c r="L420" s="235">
        <f>'Basis Options'!U425</f>
        <v>300982.51059947966</v>
      </c>
      <c r="M420" s="380">
        <f>'Basis Options'!Q425</f>
        <v>36921</v>
      </c>
      <c r="N420" t="str">
        <f>'Basis Options'!F425</f>
        <v>C</v>
      </c>
      <c r="O420">
        <f>'Basis Options'!I425</f>
        <v>2.2999999999999998</v>
      </c>
      <c r="P420">
        <v>0</v>
      </c>
      <c r="Q420">
        <v>0</v>
      </c>
      <c r="R420">
        <v>0</v>
      </c>
      <c r="S420">
        <v>0</v>
      </c>
      <c r="T420" t="s">
        <v>253</v>
      </c>
      <c r="U420" t="str">
        <f>IF('Basis Options'!D425="NGI/CHI. GATE","""NGI/CHI. GATE""",TRIM('Basis Options'!D425))</f>
        <v>IF-TRANSCO/Z6</v>
      </c>
      <c r="V420" t="s">
        <v>253</v>
      </c>
      <c r="W420" t="s">
        <v>132</v>
      </c>
      <c r="X420" t="s">
        <v>253</v>
      </c>
      <c r="Y420" t="s">
        <v>235</v>
      </c>
      <c r="Z420" t="s">
        <v>236</v>
      </c>
      <c r="AA420" t="s">
        <v>253</v>
      </c>
      <c r="AB420" t="s">
        <v>1</v>
      </c>
      <c r="AC420" s="235">
        <f>'Basis Options'!H425</f>
        <v>500000</v>
      </c>
      <c r="AD420" s="235">
        <f>'Basis Options'!W425</f>
        <v>42209.798580737057</v>
      </c>
      <c r="AE420">
        <v>0</v>
      </c>
      <c r="AF420">
        <v>0</v>
      </c>
      <c r="AG420">
        <v>0</v>
      </c>
      <c r="AH420" s="235">
        <f>'Basis Options'!CD425</f>
        <v>0</v>
      </c>
      <c r="AI420">
        <v>226</v>
      </c>
      <c r="AJ420" t="s">
        <v>256</v>
      </c>
      <c r="AK420">
        <v>0</v>
      </c>
      <c r="AL420">
        <v>0</v>
      </c>
      <c r="AM420">
        <v>0</v>
      </c>
    </row>
    <row r="421" spans="1:39" x14ac:dyDescent="0.25">
      <c r="A421" t="s">
        <v>233</v>
      </c>
      <c r="B421" t="str">
        <f>'Basis Options'!C426</f>
        <v>NO2893</v>
      </c>
      <c r="C421" t="s">
        <v>255</v>
      </c>
      <c r="D421" t="s">
        <v>234</v>
      </c>
      <c r="E421" t="s">
        <v>20</v>
      </c>
      <c r="F421" t="str">
        <f>'Basis Options'!A426</f>
        <v>ELPASMER</v>
      </c>
      <c r="G421" t="s">
        <v>269</v>
      </c>
      <c r="H421" t="s">
        <v>254</v>
      </c>
      <c r="I421" t="s">
        <v>242</v>
      </c>
      <c r="J421" t="s">
        <v>235</v>
      </c>
      <c r="K421" s="380">
        <f>'Basis Options'!G426</f>
        <v>36892</v>
      </c>
      <c r="L421" s="235">
        <f>'Basis Options'!U426</f>
        <v>300468.98450947885</v>
      </c>
      <c r="M421" s="380">
        <f>'Basis Options'!Q426</f>
        <v>36888</v>
      </c>
      <c r="N421" t="str">
        <f>'Basis Options'!F426</f>
        <v>C</v>
      </c>
      <c r="O421">
        <f>'Basis Options'!I426</f>
        <v>2.2999999999999998</v>
      </c>
      <c r="P421">
        <v>0</v>
      </c>
      <c r="Q421">
        <v>0</v>
      </c>
      <c r="R421">
        <v>0</v>
      </c>
      <c r="S421">
        <v>0</v>
      </c>
      <c r="T421" t="s">
        <v>253</v>
      </c>
      <c r="U421" t="str">
        <f>IF('Basis Options'!D426="NGI/CHI. GATE","""NGI/CHI. GATE""",TRIM('Basis Options'!D426))</f>
        <v>IF-TRANSCO/Z6</v>
      </c>
      <c r="V421" t="s">
        <v>253</v>
      </c>
      <c r="W421" t="s">
        <v>132</v>
      </c>
      <c r="X421" t="s">
        <v>253</v>
      </c>
      <c r="Y421" t="s">
        <v>235</v>
      </c>
      <c r="Z421" t="s">
        <v>236</v>
      </c>
      <c r="AA421" t="s">
        <v>253</v>
      </c>
      <c r="AB421" t="s">
        <v>1</v>
      </c>
      <c r="AC421" s="235">
        <f>'Basis Options'!H426</f>
        <v>500000</v>
      </c>
      <c r="AD421" s="235">
        <f>'Basis Options'!W426</f>
        <v>38817.759779037558</v>
      </c>
      <c r="AE421">
        <v>0</v>
      </c>
      <c r="AF421">
        <v>0</v>
      </c>
      <c r="AG421">
        <v>0</v>
      </c>
      <c r="AH421" s="235">
        <f>'Basis Options'!CD426</f>
        <v>0</v>
      </c>
      <c r="AI421">
        <v>226</v>
      </c>
      <c r="AJ421" t="s">
        <v>256</v>
      </c>
      <c r="AK421">
        <v>0</v>
      </c>
      <c r="AL421">
        <v>0</v>
      </c>
      <c r="AM421">
        <v>0</v>
      </c>
    </row>
    <row r="422" spans="1:39" x14ac:dyDescent="0.25">
      <c r="A422" t="s">
        <v>233</v>
      </c>
      <c r="B422" t="str">
        <f>'Basis Options'!C427</f>
        <v>NO2893</v>
      </c>
      <c r="C422" t="s">
        <v>255</v>
      </c>
      <c r="D422" t="s">
        <v>234</v>
      </c>
      <c r="E422" t="s">
        <v>20</v>
      </c>
      <c r="F422" t="str">
        <f>'Basis Options'!A427</f>
        <v>ELPASMER</v>
      </c>
      <c r="G422" t="s">
        <v>269</v>
      </c>
      <c r="H422" t="s">
        <v>254</v>
      </c>
      <c r="I422" t="s">
        <v>242</v>
      </c>
      <c r="J422" t="s">
        <v>235</v>
      </c>
      <c r="K422" s="380">
        <f>'Basis Options'!G427</f>
        <v>36861</v>
      </c>
      <c r="L422" s="235">
        <f>'Basis Options'!U427</f>
        <v>146324.21084872668</v>
      </c>
      <c r="M422" s="380">
        <f>'Basis Options'!Q427</f>
        <v>36859</v>
      </c>
      <c r="N422" t="str">
        <f>'Basis Options'!F427</f>
        <v>C</v>
      </c>
      <c r="O422">
        <f>'Basis Options'!I427</f>
        <v>2.2999999999999998</v>
      </c>
      <c r="P422">
        <v>0</v>
      </c>
      <c r="Q422">
        <v>0</v>
      </c>
      <c r="R422">
        <v>0</v>
      </c>
      <c r="S422">
        <v>0</v>
      </c>
      <c r="T422" t="s">
        <v>253</v>
      </c>
      <c r="U422" t="str">
        <f>IF('Basis Options'!D427="NGI/CHI. GATE","""NGI/CHI. GATE""",TRIM('Basis Options'!D427))</f>
        <v>IF-TRANSCO/Z6</v>
      </c>
      <c r="V422" t="s">
        <v>253</v>
      </c>
      <c r="W422" t="s">
        <v>132</v>
      </c>
      <c r="X422" t="s">
        <v>253</v>
      </c>
      <c r="Y422" t="s">
        <v>235</v>
      </c>
      <c r="Z422" t="s">
        <v>236</v>
      </c>
      <c r="AA422" t="s">
        <v>253</v>
      </c>
      <c r="AB422" t="s">
        <v>1</v>
      </c>
      <c r="AC422" s="235">
        <f>'Basis Options'!H427</f>
        <v>500000</v>
      </c>
      <c r="AD422" s="235">
        <f>'Basis Options'!W427</f>
        <v>30927.624693675811</v>
      </c>
      <c r="AE422">
        <v>0</v>
      </c>
      <c r="AF422">
        <v>0</v>
      </c>
      <c r="AG422">
        <v>0</v>
      </c>
      <c r="AH422" s="235">
        <f>'Basis Options'!CD427</f>
        <v>0</v>
      </c>
      <c r="AI422">
        <v>226</v>
      </c>
      <c r="AJ422" t="s">
        <v>256</v>
      </c>
      <c r="AK422">
        <v>0</v>
      </c>
      <c r="AL422">
        <v>0</v>
      </c>
      <c r="AM422">
        <v>0</v>
      </c>
    </row>
    <row r="423" spans="1:39" x14ac:dyDescent="0.25">
      <c r="A423" t="s">
        <v>233</v>
      </c>
      <c r="B423" t="str">
        <f>'Basis Options'!C428</f>
        <v>NO2893</v>
      </c>
      <c r="C423" t="s">
        <v>255</v>
      </c>
      <c r="D423" t="s">
        <v>234</v>
      </c>
      <c r="E423" t="s">
        <v>20</v>
      </c>
      <c r="F423" t="str">
        <f>'Basis Options'!A428</f>
        <v>ELPASMER</v>
      </c>
      <c r="G423" t="s">
        <v>269</v>
      </c>
      <c r="H423" t="s">
        <v>254</v>
      </c>
      <c r="I423" t="s">
        <v>242</v>
      </c>
      <c r="J423" t="s">
        <v>235</v>
      </c>
      <c r="K423" s="380">
        <f>'Basis Options'!G428</f>
        <v>36831</v>
      </c>
      <c r="L423" s="235">
        <f>'Basis Options'!U428</f>
        <v>4886.1306323303124</v>
      </c>
      <c r="M423" s="380">
        <f>'Basis Options'!Q428</f>
        <v>36829</v>
      </c>
      <c r="N423" t="str">
        <f>'Basis Options'!F428</f>
        <v>C</v>
      </c>
      <c r="O423">
        <f>'Basis Options'!I428</f>
        <v>2.2999999999999998</v>
      </c>
      <c r="P423">
        <v>0</v>
      </c>
      <c r="Q423">
        <v>0</v>
      </c>
      <c r="R423">
        <v>0</v>
      </c>
      <c r="S423">
        <v>0</v>
      </c>
      <c r="T423" t="s">
        <v>253</v>
      </c>
      <c r="U423" t="str">
        <f>IF('Basis Options'!D428="NGI/CHI. GATE","""NGI/CHI. GATE""",TRIM('Basis Options'!D428))</f>
        <v>IF-TRANSCO/Z6</v>
      </c>
      <c r="V423" t="s">
        <v>253</v>
      </c>
      <c r="W423" t="s">
        <v>132</v>
      </c>
      <c r="X423" t="s">
        <v>253</v>
      </c>
      <c r="Y423" t="s">
        <v>235</v>
      </c>
      <c r="Z423" t="s">
        <v>236</v>
      </c>
      <c r="AA423" t="s">
        <v>253</v>
      </c>
      <c r="AB423" t="s">
        <v>1</v>
      </c>
      <c r="AC423" s="235">
        <f>'Basis Options'!H428</f>
        <v>500000</v>
      </c>
      <c r="AD423" s="235">
        <f>'Basis Options'!W428</f>
        <v>3633.9989755140614</v>
      </c>
      <c r="AE423">
        <v>0</v>
      </c>
      <c r="AF423">
        <v>0</v>
      </c>
      <c r="AG423">
        <v>0</v>
      </c>
      <c r="AH423" s="235">
        <f>'Basis Options'!CD428</f>
        <v>0</v>
      </c>
      <c r="AI423">
        <v>226</v>
      </c>
      <c r="AJ423" t="s">
        <v>256</v>
      </c>
      <c r="AK423">
        <v>0</v>
      </c>
      <c r="AL423">
        <v>0</v>
      </c>
      <c r="AM423">
        <v>0</v>
      </c>
    </row>
    <row r="424" spans="1:39" x14ac:dyDescent="0.25">
      <c r="A424" t="s">
        <v>233</v>
      </c>
      <c r="B424" t="str">
        <f>'Basis Options'!C429</f>
        <v>NO2894</v>
      </c>
      <c r="C424" t="s">
        <v>255</v>
      </c>
      <c r="D424" t="s">
        <v>234</v>
      </c>
      <c r="E424" t="s">
        <v>20</v>
      </c>
      <c r="F424" t="str">
        <f>'Basis Options'!A429</f>
        <v>AEPENESER</v>
      </c>
      <c r="G424" t="s">
        <v>269</v>
      </c>
      <c r="H424" t="s">
        <v>254</v>
      </c>
      <c r="I424" t="s">
        <v>242</v>
      </c>
      <c r="J424" t="s">
        <v>235</v>
      </c>
      <c r="K424" s="380">
        <f>'Basis Options'!G429</f>
        <v>36951</v>
      </c>
      <c r="L424" s="235">
        <f>'Basis Options'!U429</f>
        <v>437925.3575714078</v>
      </c>
      <c r="M424" s="380">
        <f>'Basis Options'!Q429</f>
        <v>36949</v>
      </c>
      <c r="N424" t="str">
        <f>'Basis Options'!F429</f>
        <v>P</v>
      </c>
      <c r="O424">
        <f>'Basis Options'!I429</f>
        <v>0.95</v>
      </c>
      <c r="P424">
        <v>0</v>
      </c>
      <c r="Q424">
        <v>0</v>
      </c>
      <c r="R424">
        <v>0</v>
      </c>
      <c r="S424">
        <v>0</v>
      </c>
      <c r="T424" t="s">
        <v>253</v>
      </c>
      <c r="U424" t="str">
        <f>IF('Basis Options'!D429="NGI/CHI. GATE","""NGI/CHI. GATE""",TRIM('Basis Options'!D429))</f>
        <v>IF-TRANSCO/Z6</v>
      </c>
      <c r="V424" t="s">
        <v>253</v>
      </c>
      <c r="W424" t="s">
        <v>132</v>
      </c>
      <c r="X424" t="s">
        <v>253</v>
      </c>
      <c r="Y424" t="s">
        <v>235</v>
      </c>
      <c r="Z424" t="s">
        <v>236</v>
      </c>
      <c r="AA424" t="s">
        <v>253</v>
      </c>
      <c r="AB424" t="s">
        <v>1</v>
      </c>
      <c r="AC424" s="235">
        <f>'Basis Options'!H429</f>
        <v>1000000</v>
      </c>
      <c r="AD424" s="235">
        <f>'Basis Options'!W429</f>
        <v>88691.424107912695</v>
      </c>
      <c r="AE424">
        <v>0</v>
      </c>
      <c r="AF424">
        <v>0</v>
      </c>
      <c r="AG424">
        <v>0</v>
      </c>
      <c r="AH424" s="235">
        <f>'Basis Options'!CD429</f>
        <v>0</v>
      </c>
      <c r="AI424">
        <v>226</v>
      </c>
      <c r="AJ424" t="s">
        <v>256</v>
      </c>
      <c r="AK424">
        <v>0</v>
      </c>
      <c r="AL424">
        <v>0</v>
      </c>
      <c r="AM424">
        <v>0</v>
      </c>
    </row>
    <row r="425" spans="1:39" x14ac:dyDescent="0.25">
      <c r="A425" t="s">
        <v>233</v>
      </c>
      <c r="B425" t="str">
        <f>'Basis Options'!C430</f>
        <v>NO2894</v>
      </c>
      <c r="C425" t="s">
        <v>255</v>
      </c>
      <c r="D425" t="s">
        <v>234</v>
      </c>
      <c r="E425" t="s">
        <v>20</v>
      </c>
      <c r="F425" t="str">
        <f>'Basis Options'!A430</f>
        <v>AEPENESER</v>
      </c>
      <c r="G425" t="s">
        <v>269</v>
      </c>
      <c r="H425" t="s">
        <v>254</v>
      </c>
      <c r="I425" t="s">
        <v>242</v>
      </c>
      <c r="J425" t="s">
        <v>235</v>
      </c>
      <c r="K425" s="380">
        <f>'Basis Options'!G430</f>
        <v>36923</v>
      </c>
      <c r="L425" s="235">
        <f>'Basis Options'!U430</f>
        <v>189379.5248282355</v>
      </c>
      <c r="M425" s="380">
        <f>'Basis Options'!Q430</f>
        <v>36921</v>
      </c>
      <c r="N425" t="str">
        <f>'Basis Options'!F430</f>
        <v>P</v>
      </c>
      <c r="O425">
        <f>'Basis Options'!I430</f>
        <v>0.95</v>
      </c>
      <c r="P425">
        <v>0</v>
      </c>
      <c r="Q425">
        <v>0</v>
      </c>
      <c r="R425">
        <v>0</v>
      </c>
      <c r="S425">
        <v>0</v>
      </c>
      <c r="T425" t="s">
        <v>253</v>
      </c>
      <c r="U425" t="str">
        <f>IF('Basis Options'!D430="NGI/CHI. GATE","""NGI/CHI. GATE""",TRIM('Basis Options'!D430))</f>
        <v>IF-TRANSCO/Z6</v>
      </c>
      <c r="V425" t="s">
        <v>253</v>
      </c>
      <c r="W425" t="s">
        <v>132</v>
      </c>
      <c r="X425" t="s">
        <v>253</v>
      </c>
      <c r="Y425" t="s">
        <v>235</v>
      </c>
      <c r="Z425" t="s">
        <v>236</v>
      </c>
      <c r="AA425" t="s">
        <v>253</v>
      </c>
      <c r="AB425" t="s">
        <v>1</v>
      </c>
      <c r="AC425" s="235">
        <f>'Basis Options'!H430</f>
        <v>1000000</v>
      </c>
      <c r="AD425" s="235">
        <f>'Basis Options'!W430</f>
        <v>68622.119460750808</v>
      </c>
      <c r="AE425">
        <v>0</v>
      </c>
      <c r="AF425">
        <v>0</v>
      </c>
      <c r="AG425">
        <v>0</v>
      </c>
      <c r="AH425" s="235">
        <f>'Basis Options'!CD430</f>
        <v>0</v>
      </c>
      <c r="AI425">
        <v>226</v>
      </c>
      <c r="AJ425" t="s">
        <v>256</v>
      </c>
      <c r="AK425">
        <v>0</v>
      </c>
      <c r="AL425">
        <v>0</v>
      </c>
      <c r="AM425">
        <v>0</v>
      </c>
    </row>
    <row r="426" spans="1:39" x14ac:dyDescent="0.25">
      <c r="A426" t="s">
        <v>233</v>
      </c>
      <c r="B426" t="str">
        <f>'Basis Options'!C431</f>
        <v>NO2894</v>
      </c>
      <c r="C426" t="s">
        <v>255</v>
      </c>
      <c r="D426" t="s">
        <v>234</v>
      </c>
      <c r="E426" t="s">
        <v>20</v>
      </c>
      <c r="F426" t="str">
        <f>'Basis Options'!A431</f>
        <v>AEPENESER</v>
      </c>
      <c r="G426" t="s">
        <v>269</v>
      </c>
      <c r="H426" t="s">
        <v>254</v>
      </c>
      <c r="I426" t="s">
        <v>242</v>
      </c>
      <c r="J426" t="s">
        <v>235</v>
      </c>
      <c r="K426" s="380">
        <f>'Basis Options'!G431</f>
        <v>36892</v>
      </c>
      <c r="L426" s="235">
        <f>'Basis Options'!U431</f>
        <v>152728.64479355773</v>
      </c>
      <c r="M426" s="380">
        <f>'Basis Options'!Q431</f>
        <v>36888</v>
      </c>
      <c r="N426" t="str">
        <f>'Basis Options'!F431</f>
        <v>P</v>
      </c>
      <c r="O426">
        <f>'Basis Options'!I431</f>
        <v>0.95</v>
      </c>
      <c r="P426">
        <v>0</v>
      </c>
      <c r="Q426">
        <v>0</v>
      </c>
      <c r="R426">
        <v>0</v>
      </c>
      <c r="S426">
        <v>0</v>
      </c>
      <c r="T426" t="s">
        <v>253</v>
      </c>
      <c r="U426" t="str">
        <f>IF('Basis Options'!D431="NGI/CHI. GATE","""NGI/CHI. GATE""",TRIM('Basis Options'!D431))</f>
        <v>IF-TRANSCO/Z6</v>
      </c>
      <c r="V426" t="s">
        <v>253</v>
      </c>
      <c r="W426" t="s">
        <v>132</v>
      </c>
      <c r="X426" t="s">
        <v>253</v>
      </c>
      <c r="Y426" t="s">
        <v>235</v>
      </c>
      <c r="Z426" t="s">
        <v>236</v>
      </c>
      <c r="AA426" t="s">
        <v>253</v>
      </c>
      <c r="AB426" t="s">
        <v>1</v>
      </c>
      <c r="AC426" s="235">
        <f>'Basis Options'!H431</f>
        <v>1000000</v>
      </c>
      <c r="AD426" s="235">
        <f>'Basis Options'!W431</f>
        <v>58171.921538685012</v>
      </c>
      <c r="AE426">
        <v>0</v>
      </c>
      <c r="AF426">
        <v>0</v>
      </c>
      <c r="AG426">
        <v>0</v>
      </c>
      <c r="AH426" s="235">
        <f>'Basis Options'!CD431</f>
        <v>0</v>
      </c>
      <c r="AI426">
        <v>226</v>
      </c>
      <c r="AJ426" t="s">
        <v>256</v>
      </c>
      <c r="AK426">
        <v>0</v>
      </c>
      <c r="AL426">
        <v>0</v>
      </c>
      <c r="AM426">
        <v>0</v>
      </c>
    </row>
    <row r="427" spans="1:39" x14ac:dyDescent="0.25">
      <c r="A427" t="s">
        <v>233</v>
      </c>
      <c r="B427" t="str">
        <f>'Basis Options'!C432</f>
        <v>NO2894</v>
      </c>
      <c r="C427" t="s">
        <v>255</v>
      </c>
      <c r="D427" t="s">
        <v>234</v>
      </c>
      <c r="E427" t="s">
        <v>20</v>
      </c>
      <c r="F427" t="str">
        <f>'Basis Options'!A432</f>
        <v>AEPENESER</v>
      </c>
      <c r="G427" t="s">
        <v>269</v>
      </c>
      <c r="H427" t="s">
        <v>254</v>
      </c>
      <c r="I427" t="s">
        <v>242</v>
      </c>
      <c r="J427" t="s">
        <v>235</v>
      </c>
      <c r="K427" s="380">
        <f>'Basis Options'!G432</f>
        <v>36861</v>
      </c>
      <c r="L427" s="235">
        <f>'Basis Options'!U432</f>
        <v>204671.01113385943</v>
      </c>
      <c r="M427" s="380">
        <f>'Basis Options'!Q432</f>
        <v>36859</v>
      </c>
      <c r="N427" t="str">
        <f>'Basis Options'!F432</f>
        <v>P</v>
      </c>
      <c r="O427">
        <f>'Basis Options'!I432</f>
        <v>0.95</v>
      </c>
      <c r="P427">
        <v>0</v>
      </c>
      <c r="Q427">
        <v>0</v>
      </c>
      <c r="R427">
        <v>0</v>
      </c>
      <c r="S427">
        <v>0</v>
      </c>
      <c r="T427" t="s">
        <v>253</v>
      </c>
      <c r="U427" t="str">
        <f>IF('Basis Options'!D432="NGI/CHI. GATE","""NGI/CHI. GATE""",TRIM('Basis Options'!D432))</f>
        <v>IF-TRANSCO/Z6</v>
      </c>
      <c r="V427" t="s">
        <v>253</v>
      </c>
      <c r="W427" t="s">
        <v>132</v>
      </c>
      <c r="X427" t="s">
        <v>253</v>
      </c>
      <c r="Y427" t="s">
        <v>235</v>
      </c>
      <c r="Z427" t="s">
        <v>236</v>
      </c>
      <c r="AA427" t="s">
        <v>253</v>
      </c>
      <c r="AB427" t="s">
        <v>1</v>
      </c>
      <c r="AC427" s="235">
        <f>'Basis Options'!H432</f>
        <v>1000000</v>
      </c>
      <c r="AD427" s="235">
        <f>'Basis Options'!W432</f>
        <v>61706.70107553745</v>
      </c>
      <c r="AE427">
        <v>0</v>
      </c>
      <c r="AF427">
        <v>0</v>
      </c>
      <c r="AG427">
        <v>0</v>
      </c>
      <c r="AH427" s="235">
        <f>'Basis Options'!CD432</f>
        <v>0</v>
      </c>
      <c r="AI427">
        <v>226</v>
      </c>
      <c r="AJ427" t="s">
        <v>256</v>
      </c>
      <c r="AK427">
        <v>0</v>
      </c>
      <c r="AL427">
        <v>0</v>
      </c>
      <c r="AM427">
        <v>0</v>
      </c>
    </row>
    <row r="428" spans="1:39" x14ac:dyDescent="0.25">
      <c r="A428" t="s">
        <v>233</v>
      </c>
      <c r="B428" t="str">
        <f>'Basis Options'!C433</f>
        <v>NO2894</v>
      </c>
      <c r="C428" t="s">
        <v>255</v>
      </c>
      <c r="D428" t="s">
        <v>234</v>
      </c>
      <c r="E428" t="s">
        <v>20</v>
      </c>
      <c r="F428" t="str">
        <f>'Basis Options'!A433</f>
        <v>AEPENESER</v>
      </c>
      <c r="G428" t="s">
        <v>269</v>
      </c>
      <c r="H428" t="s">
        <v>254</v>
      </c>
      <c r="I428" t="s">
        <v>242</v>
      </c>
      <c r="J428" t="s">
        <v>235</v>
      </c>
      <c r="K428" s="380">
        <f>'Basis Options'!G433</f>
        <v>36831</v>
      </c>
      <c r="L428" s="235">
        <f>'Basis Options'!U433</f>
        <v>363298.92687479826</v>
      </c>
      <c r="M428" s="380">
        <f>'Basis Options'!Q433</f>
        <v>36829</v>
      </c>
      <c r="N428" t="str">
        <f>'Basis Options'!F433</f>
        <v>P</v>
      </c>
      <c r="O428">
        <f>'Basis Options'!I433</f>
        <v>0.95</v>
      </c>
      <c r="P428">
        <v>0</v>
      </c>
      <c r="Q428">
        <v>0</v>
      </c>
      <c r="R428">
        <v>0</v>
      </c>
      <c r="S428">
        <v>0</v>
      </c>
      <c r="T428" t="s">
        <v>253</v>
      </c>
      <c r="U428" t="str">
        <f>IF('Basis Options'!D433="NGI/CHI. GATE","""NGI/CHI. GATE""",TRIM('Basis Options'!D433))</f>
        <v>IF-TRANSCO/Z6</v>
      </c>
      <c r="V428" t="s">
        <v>253</v>
      </c>
      <c r="W428" t="s">
        <v>132</v>
      </c>
      <c r="X428" t="s">
        <v>253</v>
      </c>
      <c r="Y428" t="s">
        <v>235</v>
      </c>
      <c r="Z428" t="s">
        <v>236</v>
      </c>
      <c r="AA428" t="s">
        <v>253</v>
      </c>
      <c r="AB428" t="s">
        <v>1</v>
      </c>
      <c r="AC428" s="235">
        <f>'Basis Options'!H433</f>
        <v>1000000</v>
      </c>
      <c r="AD428" s="235">
        <f>'Basis Options'!W433</f>
        <v>42533.042030895012</v>
      </c>
      <c r="AE428">
        <v>0</v>
      </c>
      <c r="AF428">
        <v>0</v>
      </c>
      <c r="AG428">
        <v>0</v>
      </c>
      <c r="AH428" s="235">
        <f>'Basis Options'!CD433</f>
        <v>0</v>
      </c>
      <c r="AI428">
        <v>226</v>
      </c>
      <c r="AJ428" t="s">
        <v>256</v>
      </c>
      <c r="AK428">
        <v>0</v>
      </c>
      <c r="AL428">
        <v>0</v>
      </c>
      <c r="AM428">
        <v>0</v>
      </c>
    </row>
    <row r="429" spans="1:39" x14ac:dyDescent="0.25">
      <c r="A429" t="s">
        <v>233</v>
      </c>
      <c r="B429" t="str">
        <f>'Basis Options'!C434</f>
        <v>NO4881</v>
      </c>
      <c r="C429" t="s">
        <v>255</v>
      </c>
      <c r="D429" t="s">
        <v>234</v>
      </c>
      <c r="E429" t="s">
        <v>20</v>
      </c>
      <c r="F429" t="str">
        <f>'Basis Options'!A434</f>
        <v>TRACTEBEENEMAR</v>
      </c>
      <c r="G429" t="s">
        <v>269</v>
      </c>
      <c r="H429" t="s">
        <v>254</v>
      </c>
      <c r="I429" t="s">
        <v>242</v>
      </c>
      <c r="J429" t="s">
        <v>235</v>
      </c>
      <c r="K429" s="380">
        <f>'Basis Options'!G434</f>
        <v>36951</v>
      </c>
      <c r="L429" s="235">
        <f>'Basis Options'!U434</f>
        <v>-16847.891246789899</v>
      </c>
      <c r="M429" s="380">
        <f>'Basis Options'!Q434</f>
        <v>36949</v>
      </c>
      <c r="N429" t="str">
        <f>'Basis Options'!F434</f>
        <v>C</v>
      </c>
      <c r="O429">
        <f>'Basis Options'!I434</f>
        <v>0.35</v>
      </c>
      <c r="P429">
        <v>0</v>
      </c>
      <c r="Q429">
        <v>0</v>
      </c>
      <c r="R429">
        <v>0</v>
      </c>
      <c r="S429">
        <v>0</v>
      </c>
      <c r="T429" t="s">
        <v>253</v>
      </c>
      <c r="U429" t="str">
        <f>IF('Basis Options'!D434="NGI/CHI. GATE","""NGI/CHI. GATE""",TRIM('Basis Options'!D434))</f>
        <v>MICH_CG-GD</v>
      </c>
      <c r="V429" t="s">
        <v>253</v>
      </c>
      <c r="W429" t="s">
        <v>132</v>
      </c>
      <c r="X429" t="s">
        <v>253</v>
      </c>
      <c r="Y429" t="s">
        <v>235</v>
      </c>
      <c r="Z429" t="s">
        <v>236</v>
      </c>
      <c r="AA429" t="s">
        <v>253</v>
      </c>
      <c r="AB429" t="s">
        <v>1</v>
      </c>
      <c r="AC429" s="235">
        <f>'Basis Options'!H434</f>
        <v>-500000</v>
      </c>
      <c r="AD429" s="235">
        <f>'Basis Options'!W434</f>
        <v>-5117.775470751978</v>
      </c>
      <c r="AE429">
        <v>0</v>
      </c>
      <c r="AF429">
        <v>0</v>
      </c>
      <c r="AG429">
        <v>0</v>
      </c>
      <c r="AH429" s="235">
        <f>'Basis Options'!CD434</f>
        <v>0</v>
      </c>
      <c r="AI429">
        <v>226</v>
      </c>
      <c r="AJ429" t="s">
        <v>256</v>
      </c>
      <c r="AK429">
        <v>0</v>
      </c>
      <c r="AL429">
        <v>0</v>
      </c>
      <c r="AM429">
        <v>0</v>
      </c>
    </row>
    <row r="430" spans="1:39" x14ac:dyDescent="0.25">
      <c r="A430" t="s">
        <v>233</v>
      </c>
      <c r="B430" t="str">
        <f>'Basis Options'!C435</f>
        <v>NO4881</v>
      </c>
      <c r="C430" t="s">
        <v>255</v>
      </c>
      <c r="D430" t="s">
        <v>234</v>
      </c>
      <c r="E430" t="s">
        <v>20</v>
      </c>
      <c r="F430" t="str">
        <f>'Basis Options'!A435</f>
        <v>TRACTEBEENEMAR</v>
      </c>
      <c r="G430" t="s">
        <v>269</v>
      </c>
      <c r="H430" t="s">
        <v>254</v>
      </c>
      <c r="I430" t="s">
        <v>242</v>
      </c>
      <c r="J430" t="s">
        <v>235</v>
      </c>
      <c r="K430" s="380">
        <f>'Basis Options'!G435</f>
        <v>36923</v>
      </c>
      <c r="L430" s="235">
        <f>'Basis Options'!U435</f>
        <v>-21067.510510213164</v>
      </c>
      <c r="M430" s="380">
        <f>'Basis Options'!Q435</f>
        <v>36921</v>
      </c>
      <c r="N430" t="str">
        <f>'Basis Options'!F435</f>
        <v>C</v>
      </c>
      <c r="O430">
        <f>'Basis Options'!I435</f>
        <v>0.35</v>
      </c>
      <c r="P430">
        <v>0</v>
      </c>
      <c r="Q430">
        <v>0</v>
      </c>
      <c r="R430">
        <v>0</v>
      </c>
      <c r="S430">
        <v>0</v>
      </c>
      <c r="T430" t="s">
        <v>253</v>
      </c>
      <c r="U430" t="str">
        <f>IF('Basis Options'!D435="NGI/CHI. GATE","""NGI/CHI. GATE""",TRIM('Basis Options'!D435))</f>
        <v>MICH_CG-GD</v>
      </c>
      <c r="V430" t="s">
        <v>253</v>
      </c>
      <c r="W430" t="s">
        <v>132</v>
      </c>
      <c r="X430" t="s">
        <v>253</v>
      </c>
      <c r="Y430" t="s">
        <v>235</v>
      </c>
      <c r="Z430" t="s">
        <v>236</v>
      </c>
      <c r="AA430" t="s">
        <v>253</v>
      </c>
      <c r="AB430" t="s">
        <v>1</v>
      </c>
      <c r="AC430" s="235">
        <f>'Basis Options'!H435</f>
        <v>-500000</v>
      </c>
      <c r="AD430" s="235">
        <f>'Basis Options'!W435</f>
        <v>-5590.2095972437528</v>
      </c>
      <c r="AE430">
        <v>0</v>
      </c>
      <c r="AF430">
        <v>0</v>
      </c>
      <c r="AG430">
        <v>0</v>
      </c>
      <c r="AH430" s="235">
        <f>'Basis Options'!CD435</f>
        <v>0</v>
      </c>
      <c r="AI430">
        <v>226</v>
      </c>
      <c r="AJ430" t="s">
        <v>256</v>
      </c>
      <c r="AK430">
        <v>0</v>
      </c>
      <c r="AL430">
        <v>0</v>
      </c>
      <c r="AM430">
        <v>0</v>
      </c>
    </row>
    <row r="431" spans="1:39" x14ac:dyDescent="0.25">
      <c r="A431" t="s">
        <v>233</v>
      </c>
      <c r="B431" t="str">
        <f>'Basis Options'!C436</f>
        <v>NO4881</v>
      </c>
      <c r="C431" t="s">
        <v>255</v>
      </c>
      <c r="D431" t="s">
        <v>234</v>
      </c>
      <c r="E431" t="s">
        <v>20</v>
      </c>
      <c r="F431" t="str">
        <f>'Basis Options'!A436</f>
        <v>TRACTEBEENEMAR</v>
      </c>
      <c r="G431" t="s">
        <v>269</v>
      </c>
      <c r="H431" t="s">
        <v>254</v>
      </c>
      <c r="I431" t="s">
        <v>242</v>
      </c>
      <c r="J431" t="s">
        <v>235</v>
      </c>
      <c r="K431" s="380">
        <f>'Basis Options'!G436</f>
        <v>36892</v>
      </c>
      <c r="L431" s="235">
        <f>'Basis Options'!U436</f>
        <v>-15947.046794505613</v>
      </c>
      <c r="M431" s="380">
        <f>'Basis Options'!Q436</f>
        <v>36888</v>
      </c>
      <c r="N431" t="str">
        <f>'Basis Options'!F436</f>
        <v>C</v>
      </c>
      <c r="O431">
        <f>'Basis Options'!I436</f>
        <v>0.35</v>
      </c>
      <c r="P431">
        <v>0</v>
      </c>
      <c r="Q431">
        <v>0</v>
      </c>
      <c r="R431">
        <v>0</v>
      </c>
      <c r="S431">
        <v>0</v>
      </c>
      <c r="T431" t="s">
        <v>253</v>
      </c>
      <c r="U431" t="str">
        <f>IF('Basis Options'!D436="NGI/CHI. GATE","""NGI/CHI. GATE""",TRIM('Basis Options'!D436))</f>
        <v>MICH_CG-GD</v>
      </c>
      <c r="V431" t="s">
        <v>253</v>
      </c>
      <c r="W431" t="s">
        <v>132</v>
      </c>
      <c r="X431" t="s">
        <v>253</v>
      </c>
      <c r="Y431" t="s">
        <v>235</v>
      </c>
      <c r="Z431" t="s">
        <v>236</v>
      </c>
      <c r="AA431" t="s">
        <v>253</v>
      </c>
      <c r="AB431" t="s">
        <v>1</v>
      </c>
      <c r="AC431" s="235">
        <f>'Basis Options'!H436</f>
        <v>-500000</v>
      </c>
      <c r="AD431" s="235">
        <f>'Basis Options'!W436</f>
        <v>-4787.3872720614745</v>
      </c>
      <c r="AE431">
        <v>0</v>
      </c>
      <c r="AF431">
        <v>0</v>
      </c>
      <c r="AG431">
        <v>0</v>
      </c>
      <c r="AH431" s="235">
        <f>'Basis Options'!CD436</f>
        <v>0</v>
      </c>
      <c r="AI431">
        <v>226</v>
      </c>
      <c r="AJ431" t="s">
        <v>256</v>
      </c>
      <c r="AK431">
        <v>0</v>
      </c>
      <c r="AL431">
        <v>0</v>
      </c>
      <c r="AM431">
        <v>0</v>
      </c>
    </row>
    <row r="432" spans="1:39" x14ac:dyDescent="0.25">
      <c r="A432" t="s">
        <v>233</v>
      </c>
      <c r="B432" t="str">
        <f>'Basis Options'!C437</f>
        <v>NO4881</v>
      </c>
      <c r="C432" t="s">
        <v>255</v>
      </c>
      <c r="D432" t="s">
        <v>234</v>
      </c>
      <c r="E432" t="s">
        <v>20</v>
      </c>
      <c r="F432" t="str">
        <f>'Basis Options'!A437</f>
        <v>TRACTEBEENEMAR</v>
      </c>
      <c r="G432" t="s">
        <v>269</v>
      </c>
      <c r="H432" t="s">
        <v>254</v>
      </c>
      <c r="I432" t="s">
        <v>242</v>
      </c>
      <c r="J432" t="s">
        <v>235</v>
      </c>
      <c r="K432" s="380">
        <f>'Basis Options'!G437</f>
        <v>36861</v>
      </c>
      <c r="L432" s="235">
        <f>'Basis Options'!U437</f>
        <v>-8955.8288808211801</v>
      </c>
      <c r="M432" s="380">
        <f>'Basis Options'!Q437</f>
        <v>36859</v>
      </c>
      <c r="N432" t="str">
        <f>'Basis Options'!F437</f>
        <v>C</v>
      </c>
      <c r="O432">
        <f>'Basis Options'!I437</f>
        <v>0.35</v>
      </c>
      <c r="P432">
        <v>0</v>
      </c>
      <c r="Q432">
        <v>0</v>
      </c>
      <c r="R432">
        <v>0</v>
      </c>
      <c r="S432">
        <v>0</v>
      </c>
      <c r="T432" t="s">
        <v>253</v>
      </c>
      <c r="U432" t="str">
        <f>IF('Basis Options'!D437="NGI/CHI. GATE","""NGI/CHI. GATE""",TRIM('Basis Options'!D437))</f>
        <v>MICH_CG-GD</v>
      </c>
      <c r="V432" t="s">
        <v>253</v>
      </c>
      <c r="W432" t="s">
        <v>132</v>
      </c>
      <c r="X432" t="s">
        <v>253</v>
      </c>
      <c r="Y432" t="s">
        <v>235</v>
      </c>
      <c r="Z432" t="s">
        <v>236</v>
      </c>
      <c r="AA432" t="s">
        <v>253</v>
      </c>
      <c r="AB432" t="s">
        <v>1</v>
      </c>
      <c r="AC432" s="235">
        <f>'Basis Options'!H437</f>
        <v>-500000</v>
      </c>
      <c r="AD432" s="235">
        <f>'Basis Options'!W437</f>
        <v>-3465.9754075245437</v>
      </c>
      <c r="AE432">
        <v>0</v>
      </c>
      <c r="AF432">
        <v>0</v>
      </c>
      <c r="AG432">
        <v>0</v>
      </c>
      <c r="AH432" s="235">
        <f>'Basis Options'!CD437</f>
        <v>0</v>
      </c>
      <c r="AI432">
        <v>226</v>
      </c>
      <c r="AJ432" t="s">
        <v>256</v>
      </c>
      <c r="AK432">
        <v>0</v>
      </c>
      <c r="AL432">
        <v>0</v>
      </c>
      <c r="AM432">
        <v>0</v>
      </c>
    </row>
    <row r="433" spans="1:39" x14ac:dyDescent="0.25">
      <c r="A433" t="s">
        <v>233</v>
      </c>
      <c r="B433" t="str">
        <f>'Basis Options'!C438</f>
        <v>NO4881</v>
      </c>
      <c r="C433" t="s">
        <v>255</v>
      </c>
      <c r="D433" t="s">
        <v>234</v>
      </c>
      <c r="E433" t="s">
        <v>20</v>
      </c>
      <c r="F433" t="str">
        <f>'Basis Options'!A438</f>
        <v>TRACTEBEENEMAR</v>
      </c>
      <c r="G433" t="s">
        <v>269</v>
      </c>
      <c r="H433" t="s">
        <v>254</v>
      </c>
      <c r="I433" t="s">
        <v>242</v>
      </c>
      <c r="J433" t="s">
        <v>235</v>
      </c>
      <c r="K433" s="380">
        <f>'Basis Options'!G438</f>
        <v>36831</v>
      </c>
      <c r="L433" s="235">
        <f>'Basis Options'!U438</f>
        <v>-3449.0734935286214</v>
      </c>
      <c r="M433" s="380">
        <f>'Basis Options'!Q438</f>
        <v>36829</v>
      </c>
      <c r="N433" t="str">
        <f>'Basis Options'!F438</f>
        <v>C</v>
      </c>
      <c r="O433">
        <f>'Basis Options'!I438</f>
        <v>0.35</v>
      </c>
      <c r="P433">
        <v>0</v>
      </c>
      <c r="Q433">
        <v>0</v>
      </c>
      <c r="R433">
        <v>0</v>
      </c>
      <c r="S433">
        <v>0</v>
      </c>
      <c r="T433" t="s">
        <v>253</v>
      </c>
      <c r="U433" t="str">
        <f>IF('Basis Options'!D438="NGI/CHI. GATE","""NGI/CHI. GATE""",TRIM('Basis Options'!D438))</f>
        <v>MICH_CG-GD</v>
      </c>
      <c r="V433" t="s">
        <v>253</v>
      </c>
      <c r="W433" t="s">
        <v>132</v>
      </c>
      <c r="X433" t="s">
        <v>253</v>
      </c>
      <c r="Y433" t="s">
        <v>235</v>
      </c>
      <c r="Z433" t="s">
        <v>236</v>
      </c>
      <c r="AA433" t="s">
        <v>253</v>
      </c>
      <c r="AB433" t="s">
        <v>1</v>
      </c>
      <c r="AC433" s="235">
        <f>'Basis Options'!H438</f>
        <v>-500000</v>
      </c>
      <c r="AD433" s="235">
        <f>'Basis Options'!W438</f>
        <v>-1897.45258664016</v>
      </c>
      <c r="AE433">
        <v>0</v>
      </c>
      <c r="AF433">
        <v>0</v>
      </c>
      <c r="AG433">
        <v>0</v>
      </c>
      <c r="AH433" s="235">
        <f>'Basis Options'!CD438</f>
        <v>0</v>
      </c>
      <c r="AI433">
        <v>226</v>
      </c>
      <c r="AJ433" t="s">
        <v>256</v>
      </c>
      <c r="AK433">
        <v>0</v>
      </c>
      <c r="AL433">
        <v>0</v>
      </c>
      <c r="AM433">
        <v>0</v>
      </c>
    </row>
    <row r="434" spans="1:39" x14ac:dyDescent="0.25">
      <c r="A434" t="s">
        <v>233</v>
      </c>
      <c r="B434" t="str">
        <f>'Basis Options'!C439</f>
        <v>NO7688.1</v>
      </c>
      <c r="C434" t="s">
        <v>255</v>
      </c>
      <c r="D434" t="s">
        <v>234</v>
      </c>
      <c r="E434" t="s">
        <v>20</v>
      </c>
      <c r="F434" t="str">
        <f>'Basis Options'!A439</f>
        <v>RELIANTENESER</v>
      </c>
      <c r="G434" t="s">
        <v>269</v>
      </c>
      <c r="H434" t="s">
        <v>254</v>
      </c>
      <c r="I434" t="s">
        <v>242</v>
      </c>
      <c r="J434" t="s">
        <v>235</v>
      </c>
      <c r="K434" s="380">
        <f>'Basis Options'!G439</f>
        <v>36951</v>
      </c>
      <c r="L434" s="235">
        <f>'Basis Options'!U439</f>
        <v>-70210.01654187082</v>
      </c>
      <c r="M434" s="380">
        <f>'Basis Options'!Q439</f>
        <v>36949</v>
      </c>
      <c r="N434" t="str">
        <f>'Basis Options'!F439</f>
        <v>P</v>
      </c>
      <c r="O434">
        <f>'Basis Options'!I439</f>
        <v>-0.4</v>
      </c>
      <c r="P434">
        <v>0</v>
      </c>
      <c r="Q434">
        <v>0</v>
      </c>
      <c r="R434">
        <v>0</v>
      </c>
      <c r="S434">
        <v>0</v>
      </c>
      <c r="T434" t="s">
        <v>253</v>
      </c>
      <c r="U434" t="str">
        <f>IF('Basis Options'!D439="NGI/CHI. GATE","""NGI/CHI. GATE""",TRIM('Basis Options'!D439))</f>
        <v>IF-NWPL_ROCKY_M</v>
      </c>
      <c r="V434" t="s">
        <v>253</v>
      </c>
      <c r="W434" t="s">
        <v>132</v>
      </c>
      <c r="X434" t="s">
        <v>253</v>
      </c>
      <c r="Y434" t="s">
        <v>235</v>
      </c>
      <c r="Z434" t="s">
        <v>236</v>
      </c>
      <c r="AA434" t="s">
        <v>253</v>
      </c>
      <c r="AB434" t="s">
        <v>1</v>
      </c>
      <c r="AC434" s="235">
        <f>'Basis Options'!H439</f>
        <v>-310000</v>
      </c>
      <c r="AD434" s="235">
        <f>'Basis Options'!W439</f>
        <v>-16044.831202094298</v>
      </c>
      <c r="AE434">
        <v>0</v>
      </c>
      <c r="AF434">
        <v>0</v>
      </c>
      <c r="AG434">
        <v>0</v>
      </c>
      <c r="AH434" s="235">
        <f>'Basis Options'!CD439</f>
        <v>0</v>
      </c>
      <c r="AI434">
        <v>226</v>
      </c>
      <c r="AJ434" t="s">
        <v>256</v>
      </c>
      <c r="AK434">
        <v>0</v>
      </c>
      <c r="AL434">
        <v>0</v>
      </c>
      <c r="AM434">
        <v>0</v>
      </c>
    </row>
    <row r="435" spans="1:39" x14ac:dyDescent="0.25">
      <c r="A435" t="s">
        <v>233</v>
      </c>
      <c r="B435" t="str">
        <f>'Basis Options'!C440</f>
        <v>NO7688.1</v>
      </c>
      <c r="C435" t="s">
        <v>255</v>
      </c>
      <c r="D435" t="s">
        <v>234</v>
      </c>
      <c r="E435" t="s">
        <v>20</v>
      </c>
      <c r="F435" t="str">
        <f>'Basis Options'!A440</f>
        <v>RELIANTENESER</v>
      </c>
      <c r="G435" t="s">
        <v>269</v>
      </c>
      <c r="H435" t="s">
        <v>254</v>
      </c>
      <c r="I435" t="s">
        <v>242</v>
      </c>
      <c r="J435" t="s">
        <v>235</v>
      </c>
      <c r="K435" s="380">
        <f>'Basis Options'!G440</f>
        <v>36923</v>
      </c>
      <c r="L435" s="235">
        <f>'Basis Options'!U440</f>
        <v>-67961.055511265178</v>
      </c>
      <c r="M435" s="380">
        <f>'Basis Options'!Q440</f>
        <v>36921</v>
      </c>
      <c r="N435" t="str">
        <f>'Basis Options'!F440</f>
        <v>P</v>
      </c>
      <c r="O435">
        <f>'Basis Options'!I440</f>
        <v>-0.4</v>
      </c>
      <c r="P435">
        <v>0</v>
      </c>
      <c r="Q435">
        <v>0</v>
      </c>
      <c r="R435">
        <v>0</v>
      </c>
      <c r="S435">
        <v>0</v>
      </c>
      <c r="T435" t="s">
        <v>253</v>
      </c>
      <c r="U435" t="str">
        <f>IF('Basis Options'!D440="NGI/CHI. GATE","""NGI/CHI. GATE""",TRIM('Basis Options'!D440))</f>
        <v>IF-NWPL_ROCKY_M</v>
      </c>
      <c r="V435" t="s">
        <v>253</v>
      </c>
      <c r="W435" t="s">
        <v>132</v>
      </c>
      <c r="X435" t="s">
        <v>253</v>
      </c>
      <c r="Y435" t="s">
        <v>235</v>
      </c>
      <c r="Z435" t="s">
        <v>236</v>
      </c>
      <c r="AA435" t="s">
        <v>253</v>
      </c>
      <c r="AB435" t="s">
        <v>1</v>
      </c>
      <c r="AC435" s="235">
        <f>'Basis Options'!H440</f>
        <v>-280000</v>
      </c>
      <c r="AD435" s="235">
        <f>'Basis Options'!W440</f>
        <v>-14965.66414505741</v>
      </c>
      <c r="AE435">
        <v>0</v>
      </c>
      <c r="AF435">
        <v>0</v>
      </c>
      <c r="AG435">
        <v>0</v>
      </c>
      <c r="AH435" s="235">
        <f>'Basis Options'!CD440</f>
        <v>0</v>
      </c>
      <c r="AI435">
        <v>226</v>
      </c>
      <c r="AJ435" t="s">
        <v>256</v>
      </c>
      <c r="AK435">
        <v>0</v>
      </c>
      <c r="AL435">
        <v>0</v>
      </c>
      <c r="AM435">
        <v>0</v>
      </c>
    </row>
    <row r="436" spans="1:39" x14ac:dyDescent="0.25">
      <c r="A436" t="s">
        <v>233</v>
      </c>
      <c r="B436" t="str">
        <f>'Basis Options'!C441</f>
        <v>NO7688.1</v>
      </c>
      <c r="C436" t="s">
        <v>255</v>
      </c>
      <c r="D436" t="s">
        <v>234</v>
      </c>
      <c r="E436" t="s">
        <v>20</v>
      </c>
      <c r="F436" t="str">
        <f>'Basis Options'!A441</f>
        <v>RELIANTENESER</v>
      </c>
      <c r="G436" t="s">
        <v>269</v>
      </c>
      <c r="H436" t="s">
        <v>254</v>
      </c>
      <c r="I436" t="s">
        <v>242</v>
      </c>
      <c r="J436" t="s">
        <v>235</v>
      </c>
      <c r="K436" s="380">
        <f>'Basis Options'!G441</f>
        <v>36892</v>
      </c>
      <c r="L436" s="235">
        <f>'Basis Options'!U441</f>
        <v>-69542.783443992623</v>
      </c>
      <c r="M436" s="380">
        <f>'Basis Options'!Q441</f>
        <v>36888</v>
      </c>
      <c r="N436" t="str">
        <f>'Basis Options'!F441</f>
        <v>P</v>
      </c>
      <c r="O436">
        <f>'Basis Options'!I441</f>
        <v>-0.4</v>
      </c>
      <c r="P436">
        <v>0</v>
      </c>
      <c r="Q436">
        <v>0</v>
      </c>
      <c r="R436">
        <v>0</v>
      </c>
      <c r="S436">
        <v>0</v>
      </c>
      <c r="T436" t="s">
        <v>253</v>
      </c>
      <c r="U436" t="str">
        <f>IF('Basis Options'!D441="NGI/CHI. GATE","""NGI/CHI. GATE""",TRIM('Basis Options'!D441))</f>
        <v>IF-NWPL_ROCKY_M</v>
      </c>
      <c r="V436" t="s">
        <v>253</v>
      </c>
      <c r="W436" t="s">
        <v>132</v>
      </c>
      <c r="X436" t="s">
        <v>253</v>
      </c>
      <c r="Y436" t="s">
        <v>235</v>
      </c>
      <c r="Z436" t="s">
        <v>236</v>
      </c>
      <c r="AA436" t="s">
        <v>253</v>
      </c>
      <c r="AB436" t="s">
        <v>1</v>
      </c>
      <c r="AC436" s="235">
        <f>'Basis Options'!H441</f>
        <v>-310000</v>
      </c>
      <c r="AD436" s="235">
        <f>'Basis Options'!W441</f>
        <v>-15125.281480723381</v>
      </c>
      <c r="AE436">
        <v>0</v>
      </c>
      <c r="AF436">
        <v>0</v>
      </c>
      <c r="AG436">
        <v>0</v>
      </c>
      <c r="AH436" s="235">
        <f>'Basis Options'!CD441</f>
        <v>0</v>
      </c>
      <c r="AI436">
        <v>226</v>
      </c>
      <c r="AJ436" t="s">
        <v>256</v>
      </c>
      <c r="AK436">
        <v>0</v>
      </c>
      <c r="AL436">
        <v>0</v>
      </c>
      <c r="AM436">
        <v>0</v>
      </c>
    </row>
    <row r="437" spans="1:39" x14ac:dyDescent="0.25">
      <c r="A437" t="s">
        <v>233</v>
      </c>
      <c r="B437" t="str">
        <f>'Basis Options'!C442</f>
        <v>NO7688.1</v>
      </c>
      <c r="C437" t="s">
        <v>255</v>
      </c>
      <c r="D437" t="s">
        <v>234</v>
      </c>
      <c r="E437" t="s">
        <v>20</v>
      </c>
      <c r="F437" t="str">
        <f>'Basis Options'!A442</f>
        <v>RELIANTENESER</v>
      </c>
      <c r="G437" t="s">
        <v>269</v>
      </c>
      <c r="H437" t="s">
        <v>254</v>
      </c>
      <c r="I437" t="s">
        <v>242</v>
      </c>
      <c r="J437" t="s">
        <v>235</v>
      </c>
      <c r="K437" s="380">
        <f>'Basis Options'!G442</f>
        <v>36861</v>
      </c>
      <c r="L437" s="235">
        <f>'Basis Options'!U442</f>
        <v>-59189.530098390962</v>
      </c>
      <c r="M437" s="380">
        <f>'Basis Options'!Q442</f>
        <v>36859</v>
      </c>
      <c r="N437" t="str">
        <f>'Basis Options'!F442</f>
        <v>P</v>
      </c>
      <c r="O437">
        <f>'Basis Options'!I442</f>
        <v>-0.4</v>
      </c>
      <c r="P437">
        <v>0</v>
      </c>
      <c r="Q437">
        <v>0</v>
      </c>
      <c r="R437">
        <v>0</v>
      </c>
      <c r="S437">
        <v>0</v>
      </c>
      <c r="T437" t="s">
        <v>253</v>
      </c>
      <c r="U437" t="str">
        <f>IF('Basis Options'!D442="NGI/CHI. GATE","""NGI/CHI. GATE""",TRIM('Basis Options'!D442))</f>
        <v>IF-NWPL_ROCKY_M</v>
      </c>
      <c r="V437" t="s">
        <v>253</v>
      </c>
      <c r="W437" t="s">
        <v>132</v>
      </c>
      <c r="X437" t="s">
        <v>253</v>
      </c>
      <c r="Y437" t="s">
        <v>235</v>
      </c>
      <c r="Z437" t="s">
        <v>236</v>
      </c>
      <c r="AA437" t="s">
        <v>253</v>
      </c>
      <c r="AB437" t="s">
        <v>1</v>
      </c>
      <c r="AC437" s="235">
        <f>'Basis Options'!H442</f>
        <v>-310000</v>
      </c>
      <c r="AD437" s="235">
        <f>'Basis Options'!W442</f>
        <v>-13140.891384458577</v>
      </c>
      <c r="AE437">
        <v>0</v>
      </c>
      <c r="AF437">
        <v>0</v>
      </c>
      <c r="AG437">
        <v>0</v>
      </c>
      <c r="AH437" s="235">
        <f>'Basis Options'!CD442</f>
        <v>0</v>
      </c>
      <c r="AI437">
        <v>226</v>
      </c>
      <c r="AJ437" t="s">
        <v>256</v>
      </c>
      <c r="AK437">
        <v>0</v>
      </c>
      <c r="AL437">
        <v>0</v>
      </c>
      <c r="AM437">
        <v>0</v>
      </c>
    </row>
    <row r="438" spans="1:39" x14ac:dyDescent="0.25">
      <c r="A438" t="s">
        <v>233</v>
      </c>
      <c r="B438" t="str">
        <f>'Basis Options'!C443</f>
        <v>NO7688.1</v>
      </c>
      <c r="C438" t="s">
        <v>255</v>
      </c>
      <c r="D438" t="s">
        <v>234</v>
      </c>
      <c r="E438" t="s">
        <v>20</v>
      </c>
      <c r="F438" t="str">
        <f>'Basis Options'!A443</f>
        <v>RELIANTENESER</v>
      </c>
      <c r="G438" t="s">
        <v>269</v>
      </c>
      <c r="H438" t="s">
        <v>254</v>
      </c>
      <c r="I438" t="s">
        <v>242</v>
      </c>
      <c r="J438" t="s">
        <v>235</v>
      </c>
      <c r="K438" s="380">
        <f>'Basis Options'!G443</f>
        <v>36831</v>
      </c>
      <c r="L438" s="235">
        <f>'Basis Options'!U443</f>
        <v>-61284.637132729673</v>
      </c>
      <c r="M438" s="380">
        <f>'Basis Options'!Q443</f>
        <v>36829</v>
      </c>
      <c r="N438" t="str">
        <f>'Basis Options'!F443</f>
        <v>P</v>
      </c>
      <c r="O438">
        <f>'Basis Options'!I443</f>
        <v>-0.4</v>
      </c>
      <c r="P438">
        <v>0</v>
      </c>
      <c r="Q438">
        <v>0</v>
      </c>
      <c r="R438">
        <v>0</v>
      </c>
      <c r="S438">
        <v>0</v>
      </c>
      <c r="T438" t="s">
        <v>253</v>
      </c>
      <c r="U438" t="str">
        <f>IF('Basis Options'!D443="NGI/CHI. GATE","""NGI/CHI. GATE""",TRIM('Basis Options'!D443))</f>
        <v>IF-NWPL_ROCKY_M</v>
      </c>
      <c r="V438" t="s">
        <v>253</v>
      </c>
      <c r="W438" t="s">
        <v>132</v>
      </c>
      <c r="X438" t="s">
        <v>253</v>
      </c>
      <c r="Y438" t="s">
        <v>235</v>
      </c>
      <c r="Z438" t="s">
        <v>236</v>
      </c>
      <c r="AA438" t="s">
        <v>253</v>
      </c>
      <c r="AB438" t="s">
        <v>1</v>
      </c>
      <c r="AC438" s="235">
        <f>'Basis Options'!H443</f>
        <v>-300000</v>
      </c>
      <c r="AD438" s="235">
        <f>'Basis Options'!W443</f>
        <v>-10290.217009028303</v>
      </c>
      <c r="AE438">
        <v>0</v>
      </c>
      <c r="AF438">
        <v>0</v>
      </c>
      <c r="AG438">
        <v>0</v>
      </c>
      <c r="AH438" s="235">
        <f>'Basis Options'!CD443</f>
        <v>0</v>
      </c>
      <c r="AI438">
        <v>226</v>
      </c>
      <c r="AJ438" t="s">
        <v>256</v>
      </c>
      <c r="AK438">
        <v>0</v>
      </c>
      <c r="AL438">
        <v>0</v>
      </c>
      <c r="AM438">
        <v>0</v>
      </c>
    </row>
    <row r="439" spans="1:39" x14ac:dyDescent="0.25">
      <c r="A439" t="s">
        <v>233</v>
      </c>
      <c r="B439" t="str">
        <f>'Basis Options'!C444</f>
        <v>NO7688.2</v>
      </c>
      <c r="C439" t="s">
        <v>255</v>
      </c>
      <c r="D439" t="s">
        <v>234</v>
      </c>
      <c r="E439" t="s">
        <v>20</v>
      </c>
      <c r="F439" t="str">
        <f>'Basis Options'!A444</f>
        <v>RELIANTENESER</v>
      </c>
      <c r="G439" t="s">
        <v>269</v>
      </c>
      <c r="H439" t="s">
        <v>254</v>
      </c>
      <c r="I439" t="s">
        <v>242</v>
      </c>
      <c r="J439" t="s">
        <v>235</v>
      </c>
      <c r="K439" s="380">
        <f>'Basis Options'!G444</f>
        <v>36951</v>
      </c>
      <c r="L439" s="235">
        <f>'Basis Options'!U444</f>
        <v>31690.235600503791</v>
      </c>
      <c r="M439" s="380">
        <f>'Basis Options'!Q444</f>
        <v>36949</v>
      </c>
      <c r="N439" t="str">
        <f>'Basis Options'!F444</f>
        <v>C</v>
      </c>
      <c r="O439">
        <f>'Basis Options'!I444</f>
        <v>-0.1</v>
      </c>
      <c r="P439">
        <v>0</v>
      </c>
      <c r="Q439">
        <v>0</v>
      </c>
      <c r="R439">
        <v>0</v>
      </c>
      <c r="S439">
        <v>0</v>
      </c>
      <c r="T439" t="s">
        <v>253</v>
      </c>
      <c r="U439" t="str">
        <f>IF('Basis Options'!D444="NGI/CHI. GATE","""NGI/CHI. GATE""",TRIM('Basis Options'!D444))</f>
        <v>IF-NWPL_ROCKY_M</v>
      </c>
      <c r="V439" t="s">
        <v>253</v>
      </c>
      <c r="W439" t="s">
        <v>132</v>
      </c>
      <c r="X439" t="s">
        <v>253</v>
      </c>
      <c r="Y439" t="s">
        <v>235</v>
      </c>
      <c r="Z439" t="s">
        <v>236</v>
      </c>
      <c r="AA439" t="s">
        <v>253</v>
      </c>
      <c r="AB439" t="s">
        <v>1</v>
      </c>
      <c r="AC439" s="235">
        <f>'Basis Options'!H444</f>
        <v>310000</v>
      </c>
      <c r="AD439" s="235">
        <f>'Basis Options'!W444</f>
        <v>14352.457848865975</v>
      </c>
      <c r="AE439">
        <v>0</v>
      </c>
      <c r="AF439">
        <v>0</v>
      </c>
      <c r="AG439">
        <v>0</v>
      </c>
      <c r="AH439" s="235">
        <f>'Basis Options'!CD444</f>
        <v>0</v>
      </c>
      <c r="AI439">
        <v>226</v>
      </c>
      <c r="AJ439" t="s">
        <v>256</v>
      </c>
      <c r="AK439">
        <v>0</v>
      </c>
      <c r="AL439">
        <v>0</v>
      </c>
      <c r="AM439">
        <v>0</v>
      </c>
    </row>
    <row r="440" spans="1:39" x14ac:dyDescent="0.25">
      <c r="A440" t="s">
        <v>233</v>
      </c>
      <c r="B440" t="str">
        <f>'Basis Options'!C445</f>
        <v>NO7688.2</v>
      </c>
      <c r="C440" t="s">
        <v>255</v>
      </c>
      <c r="D440" t="s">
        <v>234</v>
      </c>
      <c r="E440" t="s">
        <v>20</v>
      </c>
      <c r="F440" t="str">
        <f>'Basis Options'!A445</f>
        <v>RELIANTENESER</v>
      </c>
      <c r="G440" t="s">
        <v>269</v>
      </c>
      <c r="H440" t="s">
        <v>254</v>
      </c>
      <c r="I440" t="s">
        <v>242</v>
      </c>
      <c r="J440" t="s">
        <v>235</v>
      </c>
      <c r="K440" s="380">
        <f>'Basis Options'!G445</f>
        <v>36923</v>
      </c>
      <c r="L440" s="235">
        <f>'Basis Options'!U445</f>
        <v>34571.548995969868</v>
      </c>
      <c r="M440" s="380">
        <f>'Basis Options'!Q445</f>
        <v>36921</v>
      </c>
      <c r="N440" t="str">
        <f>'Basis Options'!F445</f>
        <v>C</v>
      </c>
      <c r="O440">
        <f>'Basis Options'!I445</f>
        <v>-0.1</v>
      </c>
      <c r="P440">
        <v>0</v>
      </c>
      <c r="Q440">
        <v>0</v>
      </c>
      <c r="R440">
        <v>0</v>
      </c>
      <c r="S440">
        <v>0</v>
      </c>
      <c r="T440" t="s">
        <v>253</v>
      </c>
      <c r="U440" t="str">
        <f>IF('Basis Options'!D445="NGI/CHI. GATE","""NGI/CHI. GATE""",TRIM('Basis Options'!D445))</f>
        <v>IF-NWPL_ROCKY_M</v>
      </c>
      <c r="V440" t="s">
        <v>253</v>
      </c>
      <c r="W440" t="s">
        <v>132</v>
      </c>
      <c r="X440" t="s">
        <v>253</v>
      </c>
      <c r="Y440" t="s">
        <v>235</v>
      </c>
      <c r="Z440" t="s">
        <v>236</v>
      </c>
      <c r="AA440" t="s">
        <v>253</v>
      </c>
      <c r="AB440" t="s">
        <v>1</v>
      </c>
      <c r="AC440" s="235">
        <f>'Basis Options'!H445</f>
        <v>280000</v>
      </c>
      <c r="AD440" s="235">
        <f>'Basis Options'!W445</f>
        <v>13758.096196214959</v>
      </c>
      <c r="AE440">
        <v>0</v>
      </c>
      <c r="AF440">
        <v>0</v>
      </c>
      <c r="AG440">
        <v>0</v>
      </c>
      <c r="AH440" s="235">
        <f>'Basis Options'!CD445</f>
        <v>0</v>
      </c>
      <c r="AI440">
        <v>226</v>
      </c>
      <c r="AJ440" t="s">
        <v>256</v>
      </c>
      <c r="AK440">
        <v>0</v>
      </c>
      <c r="AL440">
        <v>0</v>
      </c>
      <c r="AM440">
        <v>0</v>
      </c>
    </row>
    <row r="441" spans="1:39" x14ac:dyDescent="0.25">
      <c r="A441" t="s">
        <v>233</v>
      </c>
      <c r="B441" t="str">
        <f>'Basis Options'!C446</f>
        <v>NO7688.2</v>
      </c>
      <c r="C441" t="s">
        <v>255</v>
      </c>
      <c r="D441" t="s">
        <v>234</v>
      </c>
      <c r="E441" t="s">
        <v>20</v>
      </c>
      <c r="F441" t="str">
        <f>'Basis Options'!A446</f>
        <v>RELIANTENESER</v>
      </c>
      <c r="G441" t="s">
        <v>269</v>
      </c>
      <c r="H441" t="s">
        <v>254</v>
      </c>
      <c r="I441" t="s">
        <v>242</v>
      </c>
      <c r="J441" t="s">
        <v>235</v>
      </c>
      <c r="K441" s="380">
        <f>'Basis Options'!G446</f>
        <v>36892</v>
      </c>
      <c r="L441" s="235">
        <f>'Basis Options'!U446</f>
        <v>37977.934225135999</v>
      </c>
      <c r="M441" s="380">
        <f>'Basis Options'!Q446</f>
        <v>36888</v>
      </c>
      <c r="N441" t="str">
        <f>'Basis Options'!F446</f>
        <v>C</v>
      </c>
      <c r="O441">
        <f>'Basis Options'!I446</f>
        <v>-0.1</v>
      </c>
      <c r="P441">
        <v>0</v>
      </c>
      <c r="Q441">
        <v>0</v>
      </c>
      <c r="R441">
        <v>0</v>
      </c>
      <c r="S441">
        <v>0</v>
      </c>
      <c r="T441" t="s">
        <v>253</v>
      </c>
      <c r="U441" t="str">
        <f>IF('Basis Options'!D446="NGI/CHI. GATE","""NGI/CHI. GATE""",TRIM('Basis Options'!D446))</f>
        <v>IF-NWPL_ROCKY_M</v>
      </c>
      <c r="V441" t="s">
        <v>253</v>
      </c>
      <c r="W441" t="s">
        <v>132</v>
      </c>
      <c r="X441" t="s">
        <v>253</v>
      </c>
      <c r="Y441" t="s">
        <v>235</v>
      </c>
      <c r="Z441" t="s">
        <v>236</v>
      </c>
      <c r="AA441" t="s">
        <v>253</v>
      </c>
      <c r="AB441" t="s">
        <v>1</v>
      </c>
      <c r="AC441" s="235">
        <f>'Basis Options'!H446</f>
        <v>310000</v>
      </c>
      <c r="AD441" s="235">
        <f>'Basis Options'!W446</f>
        <v>13979.115856332442</v>
      </c>
      <c r="AE441">
        <v>0</v>
      </c>
      <c r="AF441">
        <v>0</v>
      </c>
      <c r="AG441">
        <v>0</v>
      </c>
      <c r="AH441" s="235">
        <f>'Basis Options'!CD446</f>
        <v>0</v>
      </c>
      <c r="AI441">
        <v>226</v>
      </c>
      <c r="AJ441" t="s">
        <v>256</v>
      </c>
      <c r="AK441">
        <v>0</v>
      </c>
      <c r="AL441">
        <v>0</v>
      </c>
      <c r="AM441">
        <v>0</v>
      </c>
    </row>
    <row r="442" spans="1:39" x14ac:dyDescent="0.25">
      <c r="A442" t="s">
        <v>233</v>
      </c>
      <c r="B442" t="str">
        <f>'Basis Options'!C447</f>
        <v>NO7688.2</v>
      </c>
      <c r="C442" t="s">
        <v>255</v>
      </c>
      <c r="D442" t="s">
        <v>234</v>
      </c>
      <c r="E442" t="s">
        <v>20</v>
      </c>
      <c r="F442" t="str">
        <f>'Basis Options'!A447</f>
        <v>RELIANTENESER</v>
      </c>
      <c r="G442" t="s">
        <v>269</v>
      </c>
      <c r="H442" t="s">
        <v>254</v>
      </c>
      <c r="I442" t="s">
        <v>242</v>
      </c>
      <c r="J442" t="s">
        <v>235</v>
      </c>
      <c r="K442" s="380">
        <f>'Basis Options'!G447</f>
        <v>36861</v>
      </c>
      <c r="L442" s="235">
        <f>'Basis Options'!U447</f>
        <v>31234.453081986616</v>
      </c>
      <c r="M442" s="380">
        <f>'Basis Options'!Q447</f>
        <v>36859</v>
      </c>
      <c r="N442" t="str">
        <f>'Basis Options'!F447</f>
        <v>C</v>
      </c>
      <c r="O442">
        <f>'Basis Options'!I447</f>
        <v>-0.1</v>
      </c>
      <c r="P442">
        <v>0</v>
      </c>
      <c r="Q442">
        <v>0</v>
      </c>
      <c r="R442">
        <v>0</v>
      </c>
      <c r="S442">
        <v>0</v>
      </c>
      <c r="T442" t="s">
        <v>253</v>
      </c>
      <c r="U442" t="str">
        <f>IF('Basis Options'!D447="NGI/CHI. GATE","""NGI/CHI. GATE""",TRIM('Basis Options'!D447))</f>
        <v>IF-NWPL_ROCKY_M</v>
      </c>
      <c r="V442" t="s">
        <v>253</v>
      </c>
      <c r="W442" t="s">
        <v>132</v>
      </c>
      <c r="X442" t="s">
        <v>253</v>
      </c>
      <c r="Y442" t="s">
        <v>235</v>
      </c>
      <c r="Z442" t="s">
        <v>236</v>
      </c>
      <c r="AA442" t="s">
        <v>253</v>
      </c>
      <c r="AB442" t="s">
        <v>1</v>
      </c>
      <c r="AC442" s="235">
        <f>'Basis Options'!H447</f>
        <v>310000</v>
      </c>
      <c r="AD442" s="235">
        <f>'Basis Options'!W447</f>
        <v>11900.80884068158</v>
      </c>
      <c r="AE442">
        <v>0</v>
      </c>
      <c r="AF442">
        <v>0</v>
      </c>
      <c r="AG442">
        <v>0</v>
      </c>
      <c r="AH442" s="235">
        <f>'Basis Options'!CD447</f>
        <v>0</v>
      </c>
      <c r="AI442">
        <v>226</v>
      </c>
      <c r="AJ442" t="s">
        <v>256</v>
      </c>
      <c r="AK442">
        <v>0</v>
      </c>
      <c r="AL442">
        <v>0</v>
      </c>
      <c r="AM442">
        <v>0</v>
      </c>
    </row>
    <row r="443" spans="1:39" x14ac:dyDescent="0.25">
      <c r="A443" t="s">
        <v>233</v>
      </c>
      <c r="B443" t="str">
        <f>'Basis Options'!C448</f>
        <v>NO7688.2</v>
      </c>
      <c r="C443" t="s">
        <v>255</v>
      </c>
      <c r="D443" t="s">
        <v>234</v>
      </c>
      <c r="E443" t="s">
        <v>20</v>
      </c>
      <c r="F443" t="str">
        <f>'Basis Options'!A448</f>
        <v>RELIANTENESER</v>
      </c>
      <c r="G443" t="s">
        <v>269</v>
      </c>
      <c r="H443" t="s">
        <v>254</v>
      </c>
      <c r="I443" t="s">
        <v>242</v>
      </c>
      <c r="J443" t="s">
        <v>235</v>
      </c>
      <c r="K443" s="380">
        <f>'Basis Options'!G448</f>
        <v>36831</v>
      </c>
      <c r="L443" s="235">
        <f>'Basis Options'!U448</f>
        <v>12287.257989674661</v>
      </c>
      <c r="M443" s="380">
        <f>'Basis Options'!Q448</f>
        <v>36829</v>
      </c>
      <c r="N443" t="str">
        <f>'Basis Options'!F448</f>
        <v>C</v>
      </c>
      <c r="O443">
        <f>'Basis Options'!I448</f>
        <v>-0.1</v>
      </c>
      <c r="P443">
        <v>0</v>
      </c>
      <c r="Q443">
        <v>0</v>
      </c>
      <c r="R443">
        <v>0</v>
      </c>
      <c r="S443">
        <v>0</v>
      </c>
      <c r="T443" t="s">
        <v>253</v>
      </c>
      <c r="U443" t="str">
        <f>IF('Basis Options'!D448="NGI/CHI. GATE","""NGI/CHI. GATE""",TRIM('Basis Options'!D448))</f>
        <v>IF-NWPL_ROCKY_M</v>
      </c>
      <c r="V443" t="s">
        <v>253</v>
      </c>
      <c r="W443" t="s">
        <v>132</v>
      </c>
      <c r="X443" t="s">
        <v>253</v>
      </c>
      <c r="Y443" t="s">
        <v>235</v>
      </c>
      <c r="Z443" t="s">
        <v>236</v>
      </c>
      <c r="AA443" t="s">
        <v>253</v>
      </c>
      <c r="AB443" t="s">
        <v>1</v>
      </c>
      <c r="AC443" s="235">
        <f>'Basis Options'!H448</f>
        <v>300000</v>
      </c>
      <c r="AD443" s="235">
        <f>'Basis Options'!W448</f>
        <v>7144.3451673532691</v>
      </c>
      <c r="AE443">
        <v>0</v>
      </c>
      <c r="AF443">
        <v>0</v>
      </c>
      <c r="AG443">
        <v>0</v>
      </c>
      <c r="AH443" s="235">
        <f>'Basis Options'!CD448</f>
        <v>0</v>
      </c>
      <c r="AI443">
        <v>226</v>
      </c>
      <c r="AJ443" t="s">
        <v>256</v>
      </c>
      <c r="AK443">
        <v>0</v>
      </c>
      <c r="AL443">
        <v>0</v>
      </c>
      <c r="AM443">
        <v>0</v>
      </c>
    </row>
    <row r="444" spans="1:39" x14ac:dyDescent="0.25">
      <c r="A444" t="s">
        <v>233</v>
      </c>
      <c r="B444" t="str">
        <f>'Basis Options'!C449</f>
        <v>NP3241</v>
      </c>
      <c r="C444" t="s">
        <v>255</v>
      </c>
      <c r="D444" t="s">
        <v>234</v>
      </c>
      <c r="E444" t="s">
        <v>20</v>
      </c>
      <c r="F444" t="str">
        <f>'Basis Options'!A449</f>
        <v>DUKEENETRA</v>
      </c>
      <c r="G444" t="s">
        <v>269</v>
      </c>
      <c r="H444" t="s">
        <v>254</v>
      </c>
      <c r="I444" t="s">
        <v>242</v>
      </c>
      <c r="J444" t="s">
        <v>235</v>
      </c>
      <c r="K444" s="380">
        <f>'Basis Options'!G449</f>
        <v>36951</v>
      </c>
      <c r="L444" s="235">
        <f>'Basis Options'!U449</f>
        <v>89407.364417623685</v>
      </c>
      <c r="M444" s="380">
        <f>'Basis Options'!Q449</f>
        <v>36949</v>
      </c>
      <c r="N444" t="str">
        <f>'Basis Options'!F449</f>
        <v>C</v>
      </c>
      <c r="O444">
        <f>'Basis Options'!I449</f>
        <v>0.2</v>
      </c>
      <c r="P444">
        <v>0</v>
      </c>
      <c r="Q444">
        <v>0</v>
      </c>
      <c r="R444">
        <v>0</v>
      </c>
      <c r="S444">
        <v>0</v>
      </c>
      <c r="T444" t="s">
        <v>253</v>
      </c>
      <c r="U444" t="str">
        <f>IF('Basis Options'!D449="NGI/CHI. GATE","""NGI/CHI. GATE""",TRIM('Basis Options'!D449))</f>
        <v>NGI-SOCAL</v>
      </c>
      <c r="V444" t="s">
        <v>253</v>
      </c>
      <c r="W444" t="s">
        <v>132</v>
      </c>
      <c r="X444" t="s">
        <v>253</v>
      </c>
      <c r="Y444" t="s">
        <v>235</v>
      </c>
      <c r="Z444" t="s">
        <v>236</v>
      </c>
      <c r="AA444" t="s">
        <v>253</v>
      </c>
      <c r="AB444" t="s">
        <v>1</v>
      </c>
      <c r="AC444" s="235">
        <f>'Basis Options'!H449</f>
        <v>155000</v>
      </c>
      <c r="AD444" s="235">
        <f>'Basis Options'!W449</f>
        <v>10998.237263580624</v>
      </c>
      <c r="AE444">
        <v>0</v>
      </c>
      <c r="AF444">
        <v>0</v>
      </c>
      <c r="AG444">
        <v>0</v>
      </c>
      <c r="AH444" s="235">
        <f>'Basis Options'!CD449</f>
        <v>0</v>
      </c>
      <c r="AI444">
        <v>226</v>
      </c>
      <c r="AJ444" t="s">
        <v>256</v>
      </c>
      <c r="AK444">
        <v>0</v>
      </c>
      <c r="AL444">
        <v>0</v>
      </c>
      <c r="AM444">
        <v>0</v>
      </c>
    </row>
    <row r="445" spans="1:39" x14ac:dyDescent="0.25">
      <c r="A445" t="s">
        <v>233</v>
      </c>
      <c r="B445" t="str">
        <f>'Basis Options'!C450</f>
        <v>NP3241</v>
      </c>
      <c r="C445" t="s">
        <v>255</v>
      </c>
      <c r="D445" t="s">
        <v>234</v>
      </c>
      <c r="E445" t="s">
        <v>20</v>
      </c>
      <c r="F445" t="str">
        <f>'Basis Options'!A450</f>
        <v>DUKEENETRA</v>
      </c>
      <c r="G445" t="s">
        <v>269</v>
      </c>
      <c r="H445" t="s">
        <v>254</v>
      </c>
      <c r="I445" t="s">
        <v>242</v>
      </c>
      <c r="J445" t="s">
        <v>235</v>
      </c>
      <c r="K445" s="380">
        <f>'Basis Options'!G450</f>
        <v>36923</v>
      </c>
      <c r="L445" s="235">
        <f>'Basis Options'!U450</f>
        <v>86886.084492055583</v>
      </c>
      <c r="M445" s="380">
        <f>'Basis Options'!Q450</f>
        <v>36921</v>
      </c>
      <c r="N445" t="str">
        <f>'Basis Options'!F450</f>
        <v>C</v>
      </c>
      <c r="O445">
        <f>'Basis Options'!I450</f>
        <v>0.2</v>
      </c>
      <c r="P445">
        <v>0</v>
      </c>
      <c r="Q445">
        <v>0</v>
      </c>
      <c r="R445">
        <v>0</v>
      </c>
      <c r="S445">
        <v>0</v>
      </c>
      <c r="T445" t="s">
        <v>253</v>
      </c>
      <c r="U445" t="str">
        <f>IF('Basis Options'!D450="NGI/CHI. GATE","""NGI/CHI. GATE""",TRIM('Basis Options'!D450))</f>
        <v>NGI-SOCAL</v>
      </c>
      <c r="V445" t="s">
        <v>253</v>
      </c>
      <c r="W445" t="s">
        <v>132</v>
      </c>
      <c r="X445" t="s">
        <v>253</v>
      </c>
      <c r="Y445" t="s">
        <v>235</v>
      </c>
      <c r="Z445" t="s">
        <v>236</v>
      </c>
      <c r="AA445" t="s">
        <v>253</v>
      </c>
      <c r="AB445" t="s">
        <v>1</v>
      </c>
      <c r="AC445" s="235">
        <f>'Basis Options'!H450</f>
        <v>140000</v>
      </c>
      <c r="AD445" s="235">
        <f>'Basis Options'!W450</f>
        <v>10285.711254543174</v>
      </c>
      <c r="AE445">
        <v>0</v>
      </c>
      <c r="AF445">
        <v>0</v>
      </c>
      <c r="AG445">
        <v>0</v>
      </c>
      <c r="AH445" s="235">
        <f>'Basis Options'!CD450</f>
        <v>0</v>
      </c>
      <c r="AI445">
        <v>226</v>
      </c>
      <c r="AJ445" t="s">
        <v>256</v>
      </c>
      <c r="AK445">
        <v>0</v>
      </c>
      <c r="AL445">
        <v>0</v>
      </c>
      <c r="AM445">
        <v>0</v>
      </c>
    </row>
    <row r="446" spans="1:39" x14ac:dyDescent="0.25">
      <c r="A446" t="s">
        <v>233</v>
      </c>
      <c r="B446" t="str">
        <f>'Basis Options'!C451</f>
        <v>NP3241</v>
      </c>
      <c r="C446" t="s">
        <v>255</v>
      </c>
      <c r="D446" t="s">
        <v>234</v>
      </c>
      <c r="E446" t="s">
        <v>20</v>
      </c>
      <c r="F446" t="str">
        <f>'Basis Options'!A451</f>
        <v>DUKEENETRA</v>
      </c>
      <c r="G446" t="s">
        <v>269</v>
      </c>
      <c r="H446" t="s">
        <v>254</v>
      </c>
      <c r="I446" t="s">
        <v>242</v>
      </c>
      <c r="J446" t="s">
        <v>235</v>
      </c>
      <c r="K446" s="380">
        <f>'Basis Options'!G451</f>
        <v>36892</v>
      </c>
      <c r="L446" s="235">
        <f>'Basis Options'!U451</f>
        <v>110909.67694194893</v>
      </c>
      <c r="M446" s="380">
        <f>'Basis Options'!Q451</f>
        <v>36888</v>
      </c>
      <c r="N446" t="str">
        <f>'Basis Options'!F451</f>
        <v>C</v>
      </c>
      <c r="O446">
        <f>'Basis Options'!I451</f>
        <v>0.2</v>
      </c>
      <c r="P446">
        <v>0</v>
      </c>
      <c r="Q446">
        <v>0</v>
      </c>
      <c r="R446">
        <v>0</v>
      </c>
      <c r="S446">
        <v>0</v>
      </c>
      <c r="T446" t="s">
        <v>253</v>
      </c>
      <c r="U446" t="str">
        <f>IF('Basis Options'!D451="NGI/CHI. GATE","""NGI/CHI. GATE""",TRIM('Basis Options'!D451))</f>
        <v>NGI-SOCAL</v>
      </c>
      <c r="V446" t="s">
        <v>253</v>
      </c>
      <c r="W446" t="s">
        <v>132</v>
      </c>
      <c r="X446" t="s">
        <v>253</v>
      </c>
      <c r="Y446" t="s">
        <v>235</v>
      </c>
      <c r="Z446" t="s">
        <v>236</v>
      </c>
      <c r="AA446" t="s">
        <v>253</v>
      </c>
      <c r="AB446" t="s">
        <v>1</v>
      </c>
      <c r="AC446" s="235">
        <f>'Basis Options'!H451</f>
        <v>155000</v>
      </c>
      <c r="AD446" s="235">
        <f>'Basis Options'!W451</f>
        <v>9529.2454621614743</v>
      </c>
      <c r="AE446">
        <v>0</v>
      </c>
      <c r="AF446">
        <v>0</v>
      </c>
      <c r="AG446">
        <v>0</v>
      </c>
      <c r="AH446" s="235">
        <f>'Basis Options'!CD451</f>
        <v>0</v>
      </c>
      <c r="AI446">
        <v>226</v>
      </c>
      <c r="AJ446" t="s">
        <v>256</v>
      </c>
      <c r="AK446">
        <v>0</v>
      </c>
      <c r="AL446">
        <v>0</v>
      </c>
      <c r="AM446">
        <v>0</v>
      </c>
    </row>
    <row r="447" spans="1:39" x14ac:dyDescent="0.25">
      <c r="A447" t="s">
        <v>233</v>
      </c>
      <c r="B447" t="str">
        <f>'Basis Options'!C452</f>
        <v>NP3241</v>
      </c>
      <c r="C447" t="s">
        <v>255</v>
      </c>
      <c r="D447" t="s">
        <v>234</v>
      </c>
      <c r="E447" t="s">
        <v>20</v>
      </c>
      <c r="F447" t="str">
        <f>'Basis Options'!A452</f>
        <v>DUKEENETRA</v>
      </c>
      <c r="G447" t="s">
        <v>269</v>
      </c>
      <c r="H447" t="s">
        <v>254</v>
      </c>
      <c r="I447" t="s">
        <v>242</v>
      </c>
      <c r="J447" t="s">
        <v>235</v>
      </c>
      <c r="K447" s="380">
        <f>'Basis Options'!G452</f>
        <v>36861</v>
      </c>
      <c r="L447" s="235">
        <f>'Basis Options'!U452</f>
        <v>134885.44038992084</v>
      </c>
      <c r="M447" s="380">
        <f>'Basis Options'!Q452</f>
        <v>36859</v>
      </c>
      <c r="N447" t="str">
        <f>'Basis Options'!F452</f>
        <v>C</v>
      </c>
      <c r="O447">
        <f>'Basis Options'!I452</f>
        <v>0.2</v>
      </c>
      <c r="P447">
        <v>0</v>
      </c>
      <c r="Q447">
        <v>0</v>
      </c>
      <c r="R447">
        <v>0</v>
      </c>
      <c r="S447">
        <v>0</v>
      </c>
      <c r="T447" t="s">
        <v>253</v>
      </c>
      <c r="U447" t="str">
        <f>IF('Basis Options'!D452="NGI/CHI. GATE","""NGI/CHI. GATE""",TRIM('Basis Options'!D452))</f>
        <v>NGI-SOCAL</v>
      </c>
      <c r="V447" t="s">
        <v>253</v>
      </c>
      <c r="W447" t="s">
        <v>132</v>
      </c>
      <c r="X447" t="s">
        <v>253</v>
      </c>
      <c r="Y447" t="s">
        <v>235</v>
      </c>
      <c r="Z447" t="s">
        <v>236</v>
      </c>
      <c r="AA447" t="s">
        <v>253</v>
      </c>
      <c r="AB447" t="s">
        <v>1</v>
      </c>
      <c r="AC447" s="235">
        <f>'Basis Options'!H452</f>
        <v>155000</v>
      </c>
      <c r="AD447" s="235">
        <f>'Basis Options'!W452</f>
        <v>6363.634357485018</v>
      </c>
      <c r="AE447">
        <v>0</v>
      </c>
      <c r="AF447">
        <v>0</v>
      </c>
      <c r="AG447">
        <v>0</v>
      </c>
      <c r="AH447" s="235">
        <f>'Basis Options'!CD452</f>
        <v>0</v>
      </c>
      <c r="AI447">
        <v>226</v>
      </c>
      <c r="AJ447" t="s">
        <v>256</v>
      </c>
      <c r="AK447">
        <v>0</v>
      </c>
      <c r="AL447">
        <v>0</v>
      </c>
      <c r="AM447">
        <v>0</v>
      </c>
    </row>
    <row r="448" spans="1:39" x14ac:dyDescent="0.25">
      <c r="A448" t="s">
        <v>233</v>
      </c>
      <c r="B448" t="str">
        <f>'Basis Options'!C453</f>
        <v>NP3241</v>
      </c>
      <c r="C448" t="s">
        <v>255</v>
      </c>
      <c r="D448" t="s">
        <v>234</v>
      </c>
      <c r="E448" t="s">
        <v>20</v>
      </c>
      <c r="F448" t="str">
        <f>'Basis Options'!A453</f>
        <v>DUKEENETRA</v>
      </c>
      <c r="G448" t="s">
        <v>269</v>
      </c>
      <c r="H448" t="s">
        <v>254</v>
      </c>
      <c r="I448" t="s">
        <v>242</v>
      </c>
      <c r="J448" t="s">
        <v>235</v>
      </c>
      <c r="K448" s="380">
        <f>'Basis Options'!G453</f>
        <v>36831</v>
      </c>
      <c r="L448" s="235">
        <f>'Basis Options'!U453</f>
        <v>200747.59479282217</v>
      </c>
      <c r="M448" s="380">
        <f>'Basis Options'!Q453</f>
        <v>36829</v>
      </c>
      <c r="N448" t="str">
        <f>'Basis Options'!F453</f>
        <v>C</v>
      </c>
      <c r="O448">
        <f>'Basis Options'!I453</f>
        <v>0.2</v>
      </c>
      <c r="P448">
        <v>0</v>
      </c>
      <c r="Q448">
        <v>0</v>
      </c>
      <c r="R448">
        <v>0</v>
      </c>
      <c r="S448">
        <v>0</v>
      </c>
      <c r="T448" t="s">
        <v>253</v>
      </c>
      <c r="U448" t="str">
        <f>IF('Basis Options'!D453="NGI/CHI. GATE","""NGI/CHI. GATE""",TRIM('Basis Options'!D453))</f>
        <v>NGI-SOCAL</v>
      </c>
      <c r="V448" t="s">
        <v>253</v>
      </c>
      <c r="W448" t="s">
        <v>132</v>
      </c>
      <c r="X448" t="s">
        <v>253</v>
      </c>
      <c r="Y448" t="s">
        <v>235</v>
      </c>
      <c r="Z448" t="s">
        <v>236</v>
      </c>
      <c r="AA448" t="s">
        <v>253</v>
      </c>
      <c r="AB448" t="s">
        <v>1</v>
      </c>
      <c r="AC448" s="235">
        <f>'Basis Options'!H453</f>
        <v>150000</v>
      </c>
      <c r="AD448" s="235">
        <f>'Basis Options'!W453</f>
        <v>1395.1200078417023</v>
      </c>
      <c r="AE448">
        <v>0</v>
      </c>
      <c r="AF448">
        <v>0</v>
      </c>
      <c r="AG448">
        <v>0</v>
      </c>
      <c r="AH448" s="235">
        <f>'Basis Options'!CD453</f>
        <v>0</v>
      </c>
      <c r="AI448">
        <v>226</v>
      </c>
      <c r="AJ448" t="s">
        <v>256</v>
      </c>
      <c r="AK448">
        <v>0</v>
      </c>
      <c r="AL448">
        <v>0</v>
      </c>
      <c r="AM448">
        <v>0</v>
      </c>
    </row>
    <row r="449" spans="1:39" x14ac:dyDescent="0.25">
      <c r="A449" t="s">
        <v>233</v>
      </c>
      <c r="B449" t="str">
        <f>'Basis Options'!C454</f>
        <v>NP6690</v>
      </c>
      <c r="C449" t="s">
        <v>255</v>
      </c>
      <c r="D449" t="s">
        <v>234</v>
      </c>
      <c r="E449" t="s">
        <v>20</v>
      </c>
      <c r="F449" t="str">
        <f>'Basis Options'!A454</f>
        <v>AEPENESER</v>
      </c>
      <c r="G449" t="s">
        <v>269</v>
      </c>
      <c r="H449" t="s">
        <v>254</v>
      </c>
      <c r="I449" t="s">
        <v>242</v>
      </c>
      <c r="J449" t="s">
        <v>235</v>
      </c>
      <c r="K449" s="380">
        <f>'Basis Options'!G454</f>
        <v>36951</v>
      </c>
      <c r="L449" s="235">
        <f>'Basis Options'!U454</f>
        <v>218962.6787857039</v>
      </c>
      <c r="M449" s="380">
        <f>'Basis Options'!Q454</f>
        <v>36949</v>
      </c>
      <c r="N449" t="str">
        <f>'Basis Options'!F454</f>
        <v>P</v>
      </c>
      <c r="O449">
        <f>'Basis Options'!I454</f>
        <v>0.95</v>
      </c>
      <c r="P449">
        <v>0</v>
      </c>
      <c r="Q449">
        <v>0</v>
      </c>
      <c r="R449">
        <v>0</v>
      </c>
      <c r="S449">
        <v>0</v>
      </c>
      <c r="T449" t="s">
        <v>253</v>
      </c>
      <c r="U449" t="str">
        <f>IF('Basis Options'!D454="NGI/CHI. GATE","""NGI/CHI. GATE""",TRIM('Basis Options'!D454))</f>
        <v>IF-TRANSCO/Z6</v>
      </c>
      <c r="V449" t="s">
        <v>253</v>
      </c>
      <c r="W449" t="s">
        <v>132</v>
      </c>
      <c r="X449" t="s">
        <v>253</v>
      </c>
      <c r="Y449" t="s">
        <v>235</v>
      </c>
      <c r="Z449" t="s">
        <v>236</v>
      </c>
      <c r="AA449" t="s">
        <v>253</v>
      </c>
      <c r="AB449" t="s">
        <v>1</v>
      </c>
      <c r="AC449" s="235">
        <f>'Basis Options'!H454</f>
        <v>500000</v>
      </c>
      <c r="AD449" s="235">
        <f>'Basis Options'!W454</f>
        <v>44345.712053956348</v>
      </c>
      <c r="AE449">
        <v>0</v>
      </c>
      <c r="AF449">
        <v>0</v>
      </c>
      <c r="AG449">
        <v>0</v>
      </c>
      <c r="AH449" s="235">
        <f>'Basis Options'!CD454</f>
        <v>0</v>
      </c>
      <c r="AI449">
        <v>226</v>
      </c>
      <c r="AJ449" t="s">
        <v>256</v>
      </c>
      <c r="AK449">
        <v>0</v>
      </c>
      <c r="AL449">
        <v>0</v>
      </c>
      <c r="AM449">
        <v>0</v>
      </c>
    </row>
    <row r="450" spans="1:39" x14ac:dyDescent="0.25">
      <c r="A450" t="s">
        <v>233</v>
      </c>
      <c r="B450" t="str">
        <f>'Basis Options'!C455</f>
        <v>NP6690</v>
      </c>
      <c r="C450" t="s">
        <v>255</v>
      </c>
      <c r="D450" t="s">
        <v>234</v>
      </c>
      <c r="E450" t="s">
        <v>20</v>
      </c>
      <c r="F450" t="str">
        <f>'Basis Options'!A455</f>
        <v>AEPENESER</v>
      </c>
      <c r="G450" t="s">
        <v>269</v>
      </c>
      <c r="H450" t="s">
        <v>254</v>
      </c>
      <c r="I450" t="s">
        <v>242</v>
      </c>
      <c r="J450" t="s">
        <v>235</v>
      </c>
      <c r="K450" s="380">
        <f>'Basis Options'!G455</f>
        <v>36923</v>
      </c>
      <c r="L450" s="235">
        <f>'Basis Options'!U455</f>
        <v>94689.762414117751</v>
      </c>
      <c r="M450" s="380">
        <f>'Basis Options'!Q455</f>
        <v>36921</v>
      </c>
      <c r="N450" t="str">
        <f>'Basis Options'!F455</f>
        <v>P</v>
      </c>
      <c r="O450">
        <f>'Basis Options'!I455</f>
        <v>0.95</v>
      </c>
      <c r="P450">
        <v>0</v>
      </c>
      <c r="Q450">
        <v>0</v>
      </c>
      <c r="R450">
        <v>0</v>
      </c>
      <c r="S450">
        <v>0</v>
      </c>
      <c r="T450" t="s">
        <v>253</v>
      </c>
      <c r="U450" t="str">
        <f>IF('Basis Options'!D455="NGI/CHI. GATE","""NGI/CHI. GATE""",TRIM('Basis Options'!D455))</f>
        <v>IF-TRANSCO/Z6</v>
      </c>
      <c r="V450" t="s">
        <v>253</v>
      </c>
      <c r="W450" t="s">
        <v>132</v>
      </c>
      <c r="X450" t="s">
        <v>253</v>
      </c>
      <c r="Y450" t="s">
        <v>235</v>
      </c>
      <c r="Z450" t="s">
        <v>236</v>
      </c>
      <c r="AA450" t="s">
        <v>253</v>
      </c>
      <c r="AB450" t="s">
        <v>1</v>
      </c>
      <c r="AC450" s="235">
        <f>'Basis Options'!H455</f>
        <v>500000</v>
      </c>
      <c r="AD450" s="235">
        <f>'Basis Options'!W455</f>
        <v>34311.059730375404</v>
      </c>
      <c r="AE450">
        <v>0</v>
      </c>
      <c r="AF450">
        <v>0</v>
      </c>
      <c r="AG450">
        <v>0</v>
      </c>
      <c r="AH450" s="235">
        <f>'Basis Options'!CD455</f>
        <v>0</v>
      </c>
      <c r="AI450">
        <v>226</v>
      </c>
      <c r="AJ450" t="s">
        <v>256</v>
      </c>
      <c r="AK450">
        <v>0</v>
      </c>
      <c r="AL450">
        <v>0</v>
      </c>
      <c r="AM450">
        <v>0</v>
      </c>
    </row>
    <row r="451" spans="1:39" x14ac:dyDescent="0.25">
      <c r="A451" t="s">
        <v>233</v>
      </c>
      <c r="B451" t="str">
        <f>'Basis Options'!C456</f>
        <v>NP6690</v>
      </c>
      <c r="C451" t="s">
        <v>255</v>
      </c>
      <c r="D451" t="s">
        <v>234</v>
      </c>
      <c r="E451" t="s">
        <v>20</v>
      </c>
      <c r="F451" t="str">
        <f>'Basis Options'!A456</f>
        <v>AEPENESER</v>
      </c>
      <c r="G451" t="s">
        <v>269</v>
      </c>
      <c r="H451" t="s">
        <v>254</v>
      </c>
      <c r="I451" t="s">
        <v>242</v>
      </c>
      <c r="J451" t="s">
        <v>235</v>
      </c>
      <c r="K451" s="380">
        <f>'Basis Options'!G456</f>
        <v>36892</v>
      </c>
      <c r="L451" s="235">
        <f>'Basis Options'!U456</f>
        <v>76364.322396778865</v>
      </c>
      <c r="M451" s="380">
        <f>'Basis Options'!Q456</f>
        <v>36888</v>
      </c>
      <c r="N451" t="str">
        <f>'Basis Options'!F456</f>
        <v>P</v>
      </c>
      <c r="O451">
        <f>'Basis Options'!I456</f>
        <v>0.95</v>
      </c>
      <c r="P451">
        <v>0</v>
      </c>
      <c r="Q451">
        <v>0</v>
      </c>
      <c r="R451">
        <v>0</v>
      </c>
      <c r="S451">
        <v>0</v>
      </c>
      <c r="T451" t="s">
        <v>253</v>
      </c>
      <c r="U451" t="str">
        <f>IF('Basis Options'!D456="NGI/CHI. GATE","""NGI/CHI. GATE""",TRIM('Basis Options'!D456))</f>
        <v>IF-TRANSCO/Z6</v>
      </c>
      <c r="V451" t="s">
        <v>253</v>
      </c>
      <c r="W451" t="s">
        <v>132</v>
      </c>
      <c r="X451" t="s">
        <v>253</v>
      </c>
      <c r="Y451" t="s">
        <v>235</v>
      </c>
      <c r="Z451" t="s">
        <v>236</v>
      </c>
      <c r="AA451" t="s">
        <v>253</v>
      </c>
      <c r="AB451" t="s">
        <v>1</v>
      </c>
      <c r="AC451" s="235">
        <f>'Basis Options'!H456</f>
        <v>500000</v>
      </c>
      <c r="AD451" s="235">
        <f>'Basis Options'!W456</f>
        <v>29085.960769342506</v>
      </c>
      <c r="AE451">
        <v>0</v>
      </c>
      <c r="AF451">
        <v>0</v>
      </c>
      <c r="AG451">
        <v>0</v>
      </c>
      <c r="AH451" s="235">
        <f>'Basis Options'!CD456</f>
        <v>0</v>
      </c>
      <c r="AI451">
        <v>226</v>
      </c>
      <c r="AJ451" t="s">
        <v>256</v>
      </c>
      <c r="AK451">
        <v>0</v>
      </c>
      <c r="AL451">
        <v>0</v>
      </c>
      <c r="AM451">
        <v>0</v>
      </c>
    </row>
    <row r="452" spans="1:39" x14ac:dyDescent="0.25">
      <c r="A452" t="s">
        <v>233</v>
      </c>
      <c r="B452" t="str">
        <f>'Basis Options'!C457</f>
        <v>NP6690</v>
      </c>
      <c r="C452" t="s">
        <v>255</v>
      </c>
      <c r="D452" t="s">
        <v>234</v>
      </c>
      <c r="E452" t="s">
        <v>20</v>
      </c>
      <c r="F452" t="str">
        <f>'Basis Options'!A457</f>
        <v>AEPENESER</v>
      </c>
      <c r="G452" t="s">
        <v>269</v>
      </c>
      <c r="H452" t="s">
        <v>254</v>
      </c>
      <c r="I452" t="s">
        <v>242</v>
      </c>
      <c r="J452" t="s">
        <v>235</v>
      </c>
      <c r="K452" s="380">
        <f>'Basis Options'!G457</f>
        <v>36861</v>
      </c>
      <c r="L452" s="235">
        <f>'Basis Options'!U457</f>
        <v>102335.50556692971</v>
      </c>
      <c r="M452" s="380">
        <f>'Basis Options'!Q457</f>
        <v>36859</v>
      </c>
      <c r="N452" t="str">
        <f>'Basis Options'!F457</f>
        <v>P</v>
      </c>
      <c r="O452">
        <f>'Basis Options'!I457</f>
        <v>0.95</v>
      </c>
      <c r="P452">
        <v>0</v>
      </c>
      <c r="Q452">
        <v>0</v>
      </c>
      <c r="R452">
        <v>0</v>
      </c>
      <c r="S452">
        <v>0</v>
      </c>
      <c r="T452" t="s">
        <v>253</v>
      </c>
      <c r="U452" t="str">
        <f>IF('Basis Options'!D457="NGI/CHI. GATE","""NGI/CHI. GATE""",TRIM('Basis Options'!D457))</f>
        <v>IF-TRANSCO/Z6</v>
      </c>
      <c r="V452" t="s">
        <v>253</v>
      </c>
      <c r="W452" t="s">
        <v>132</v>
      </c>
      <c r="X452" t="s">
        <v>253</v>
      </c>
      <c r="Y452" t="s">
        <v>235</v>
      </c>
      <c r="Z452" t="s">
        <v>236</v>
      </c>
      <c r="AA452" t="s">
        <v>253</v>
      </c>
      <c r="AB452" t="s">
        <v>1</v>
      </c>
      <c r="AC452" s="235">
        <f>'Basis Options'!H457</f>
        <v>500000</v>
      </c>
      <c r="AD452" s="235">
        <f>'Basis Options'!W457</f>
        <v>30853.350537768725</v>
      </c>
      <c r="AE452">
        <v>0</v>
      </c>
      <c r="AF452">
        <v>0</v>
      </c>
      <c r="AG452">
        <v>0</v>
      </c>
      <c r="AH452" s="235">
        <f>'Basis Options'!CD457</f>
        <v>0</v>
      </c>
      <c r="AI452">
        <v>226</v>
      </c>
      <c r="AJ452" t="s">
        <v>256</v>
      </c>
      <c r="AK452">
        <v>0</v>
      </c>
      <c r="AL452">
        <v>0</v>
      </c>
      <c r="AM452">
        <v>0</v>
      </c>
    </row>
    <row r="453" spans="1:39" x14ac:dyDescent="0.25">
      <c r="A453" t="s">
        <v>233</v>
      </c>
      <c r="B453" t="str">
        <f>'Basis Options'!C458</f>
        <v>NP6690</v>
      </c>
      <c r="C453" t="s">
        <v>255</v>
      </c>
      <c r="D453" t="s">
        <v>234</v>
      </c>
      <c r="E453" t="s">
        <v>20</v>
      </c>
      <c r="F453" t="str">
        <f>'Basis Options'!A458</f>
        <v>AEPENESER</v>
      </c>
      <c r="G453" t="s">
        <v>269</v>
      </c>
      <c r="H453" t="s">
        <v>254</v>
      </c>
      <c r="I453" t="s">
        <v>242</v>
      </c>
      <c r="J453" t="s">
        <v>235</v>
      </c>
      <c r="K453" s="380">
        <f>'Basis Options'!G458</f>
        <v>36831</v>
      </c>
      <c r="L453" s="235">
        <f>'Basis Options'!U458</f>
        <v>181649.46343739913</v>
      </c>
      <c r="M453" s="380">
        <f>'Basis Options'!Q458</f>
        <v>36829</v>
      </c>
      <c r="N453" t="str">
        <f>'Basis Options'!F458</f>
        <v>P</v>
      </c>
      <c r="O453">
        <f>'Basis Options'!I458</f>
        <v>0.95</v>
      </c>
      <c r="P453">
        <v>0</v>
      </c>
      <c r="Q453">
        <v>0</v>
      </c>
      <c r="R453">
        <v>0</v>
      </c>
      <c r="S453">
        <v>0</v>
      </c>
      <c r="T453" t="s">
        <v>253</v>
      </c>
      <c r="U453" t="str">
        <f>IF('Basis Options'!D458="NGI/CHI. GATE","""NGI/CHI. GATE""",TRIM('Basis Options'!D458))</f>
        <v>IF-TRANSCO/Z6</v>
      </c>
      <c r="V453" t="s">
        <v>253</v>
      </c>
      <c r="W453" t="s">
        <v>132</v>
      </c>
      <c r="X453" t="s">
        <v>253</v>
      </c>
      <c r="Y453" t="s">
        <v>235</v>
      </c>
      <c r="Z453" t="s">
        <v>236</v>
      </c>
      <c r="AA453" t="s">
        <v>253</v>
      </c>
      <c r="AB453" t="s">
        <v>1</v>
      </c>
      <c r="AC453" s="235">
        <f>'Basis Options'!H458</f>
        <v>500000</v>
      </c>
      <c r="AD453" s="235">
        <f>'Basis Options'!W458</f>
        <v>21266.521015447506</v>
      </c>
      <c r="AE453">
        <v>0</v>
      </c>
      <c r="AF453">
        <v>0</v>
      </c>
      <c r="AG453">
        <v>0</v>
      </c>
      <c r="AH453" s="235">
        <f>'Basis Options'!CD458</f>
        <v>0</v>
      </c>
      <c r="AI453">
        <v>226</v>
      </c>
      <c r="AJ453" t="s">
        <v>256</v>
      </c>
      <c r="AK453">
        <v>0</v>
      </c>
      <c r="AL453">
        <v>0</v>
      </c>
      <c r="AM453">
        <v>0</v>
      </c>
    </row>
    <row r="454" spans="1:39" x14ac:dyDescent="0.25">
      <c r="A454" t="s">
        <v>233</v>
      </c>
      <c r="B454" t="str">
        <f>'Basis Options'!C459</f>
        <v>NP8939.1</v>
      </c>
      <c r="C454" t="s">
        <v>255</v>
      </c>
      <c r="D454" t="s">
        <v>234</v>
      </c>
      <c r="E454" t="s">
        <v>20</v>
      </c>
      <c r="F454" t="str">
        <f>'Basis Options'!A459</f>
        <v>WILLIAMSENEMAR</v>
      </c>
      <c r="G454" t="s">
        <v>269</v>
      </c>
      <c r="H454" t="s">
        <v>254</v>
      </c>
      <c r="I454" t="s">
        <v>242</v>
      </c>
      <c r="J454" t="s">
        <v>235</v>
      </c>
      <c r="K454" s="380">
        <f>'Basis Options'!G459</f>
        <v>37316</v>
      </c>
      <c r="L454" s="235">
        <f>'Basis Options'!U459</f>
        <v>-296413.50037405366</v>
      </c>
      <c r="M454" s="380">
        <f>'Basis Options'!Q459</f>
        <v>37314</v>
      </c>
      <c r="N454" t="str">
        <f>'Basis Options'!F459</f>
        <v>P</v>
      </c>
      <c r="O454">
        <f>'Basis Options'!I459</f>
        <v>0.95</v>
      </c>
      <c r="P454">
        <v>0</v>
      </c>
      <c r="Q454">
        <v>0</v>
      </c>
      <c r="R454">
        <v>0</v>
      </c>
      <c r="S454">
        <v>0</v>
      </c>
      <c r="T454" t="s">
        <v>253</v>
      </c>
      <c r="U454" t="str">
        <f>IF('Basis Options'!D459="NGI/CHI. GATE","""NGI/CHI. GATE""",TRIM('Basis Options'!D459))</f>
        <v>IF-TRANSCO/Z6</v>
      </c>
      <c r="V454" t="s">
        <v>253</v>
      </c>
      <c r="W454" t="s">
        <v>132</v>
      </c>
      <c r="X454" t="s">
        <v>253</v>
      </c>
      <c r="Y454" t="s">
        <v>235</v>
      </c>
      <c r="Z454" t="s">
        <v>236</v>
      </c>
      <c r="AA454" t="s">
        <v>253</v>
      </c>
      <c r="AB454" t="s">
        <v>1</v>
      </c>
      <c r="AC454" s="235">
        <f>'Basis Options'!H459</f>
        <v>-1000000</v>
      </c>
      <c r="AD454" s="235">
        <f>'Basis Options'!W459</f>
        <v>-48893.618411800009</v>
      </c>
      <c r="AE454">
        <v>0</v>
      </c>
      <c r="AF454">
        <v>0</v>
      </c>
      <c r="AG454">
        <v>0</v>
      </c>
      <c r="AH454" s="235">
        <f>'Basis Options'!CD459</f>
        <v>0</v>
      </c>
      <c r="AI454">
        <v>226</v>
      </c>
      <c r="AJ454" t="s">
        <v>256</v>
      </c>
      <c r="AK454">
        <v>0</v>
      </c>
      <c r="AL454">
        <v>0</v>
      </c>
      <c r="AM454">
        <v>0</v>
      </c>
    </row>
    <row r="455" spans="1:39" x14ac:dyDescent="0.25">
      <c r="A455" t="s">
        <v>233</v>
      </c>
      <c r="B455" t="str">
        <f>'Basis Options'!C460</f>
        <v>NP8939.1</v>
      </c>
      <c r="C455" t="s">
        <v>255</v>
      </c>
      <c r="D455" t="s">
        <v>234</v>
      </c>
      <c r="E455" t="s">
        <v>20</v>
      </c>
      <c r="F455" t="str">
        <f>'Basis Options'!A460</f>
        <v>WILLIAMSENEMAR</v>
      </c>
      <c r="G455" t="s">
        <v>269</v>
      </c>
      <c r="H455" t="s">
        <v>254</v>
      </c>
      <c r="I455" t="s">
        <v>242</v>
      </c>
      <c r="J455" t="s">
        <v>235</v>
      </c>
      <c r="K455" s="380">
        <f>'Basis Options'!G460</f>
        <v>37288</v>
      </c>
      <c r="L455" s="235">
        <f>'Basis Options'!U460</f>
        <v>-155780.13570875616</v>
      </c>
      <c r="M455" s="380">
        <f>'Basis Options'!Q460</f>
        <v>37286</v>
      </c>
      <c r="N455" t="str">
        <f>'Basis Options'!F460</f>
        <v>P</v>
      </c>
      <c r="O455">
        <f>'Basis Options'!I460</f>
        <v>0.95</v>
      </c>
      <c r="P455">
        <v>0</v>
      </c>
      <c r="Q455">
        <v>0</v>
      </c>
      <c r="R455">
        <v>0</v>
      </c>
      <c r="S455">
        <v>0</v>
      </c>
      <c r="T455" t="s">
        <v>253</v>
      </c>
      <c r="U455" t="str">
        <f>IF('Basis Options'!D460="NGI/CHI. GATE","""NGI/CHI. GATE""",TRIM('Basis Options'!D460))</f>
        <v>IF-TRANSCO/Z6</v>
      </c>
      <c r="V455" t="s">
        <v>253</v>
      </c>
      <c r="W455" t="s">
        <v>132</v>
      </c>
      <c r="X455" t="s">
        <v>253</v>
      </c>
      <c r="Y455" t="s">
        <v>235</v>
      </c>
      <c r="Z455" t="s">
        <v>236</v>
      </c>
      <c r="AA455" t="s">
        <v>253</v>
      </c>
      <c r="AB455" t="s">
        <v>1</v>
      </c>
      <c r="AC455" s="235">
        <f>'Basis Options'!H460</f>
        <v>-1000000</v>
      </c>
      <c r="AD455" s="235">
        <f>'Basis Options'!W460</f>
        <v>-41058.597840782808</v>
      </c>
      <c r="AE455">
        <v>0</v>
      </c>
      <c r="AF455">
        <v>0</v>
      </c>
      <c r="AG455">
        <v>0</v>
      </c>
      <c r="AH455" s="235">
        <f>'Basis Options'!CD460</f>
        <v>0</v>
      </c>
      <c r="AI455">
        <v>226</v>
      </c>
      <c r="AJ455" t="s">
        <v>256</v>
      </c>
      <c r="AK455">
        <v>0</v>
      </c>
      <c r="AL455">
        <v>0</v>
      </c>
      <c r="AM455">
        <v>0</v>
      </c>
    </row>
    <row r="456" spans="1:39" x14ac:dyDescent="0.25">
      <c r="A456" t="s">
        <v>233</v>
      </c>
      <c r="B456" t="str">
        <f>'Basis Options'!C461</f>
        <v>NP8939.1</v>
      </c>
      <c r="C456" t="s">
        <v>255</v>
      </c>
      <c r="D456" t="s">
        <v>234</v>
      </c>
      <c r="E456" t="s">
        <v>20</v>
      </c>
      <c r="F456" t="str">
        <f>'Basis Options'!A461</f>
        <v>WILLIAMSENEMAR</v>
      </c>
      <c r="G456" t="s">
        <v>269</v>
      </c>
      <c r="H456" t="s">
        <v>254</v>
      </c>
      <c r="I456" t="s">
        <v>242</v>
      </c>
      <c r="J456" t="s">
        <v>235</v>
      </c>
      <c r="K456" s="380">
        <f>'Basis Options'!G461</f>
        <v>37257</v>
      </c>
      <c r="L456" s="235">
        <f>'Basis Options'!U461</f>
        <v>-166824.07736549189</v>
      </c>
      <c r="M456" s="380">
        <f>'Basis Options'!Q461</f>
        <v>37253</v>
      </c>
      <c r="N456" t="str">
        <f>'Basis Options'!F461</f>
        <v>P</v>
      </c>
      <c r="O456">
        <f>'Basis Options'!I461</f>
        <v>0.95</v>
      </c>
      <c r="P456">
        <v>0</v>
      </c>
      <c r="Q456">
        <v>0</v>
      </c>
      <c r="R456">
        <v>0</v>
      </c>
      <c r="S456">
        <v>0</v>
      </c>
      <c r="T456" t="s">
        <v>253</v>
      </c>
      <c r="U456" t="str">
        <f>IF('Basis Options'!D461="NGI/CHI. GATE","""NGI/CHI. GATE""",TRIM('Basis Options'!D461))</f>
        <v>IF-TRANSCO/Z6</v>
      </c>
      <c r="V456" t="s">
        <v>253</v>
      </c>
      <c r="W456" t="s">
        <v>132</v>
      </c>
      <c r="X456" t="s">
        <v>253</v>
      </c>
      <c r="Y456" t="s">
        <v>235</v>
      </c>
      <c r="Z456" t="s">
        <v>236</v>
      </c>
      <c r="AA456" t="s">
        <v>253</v>
      </c>
      <c r="AB456" t="s">
        <v>1</v>
      </c>
      <c r="AC456" s="235">
        <f>'Basis Options'!H461</f>
        <v>-1000000</v>
      </c>
      <c r="AD456" s="235">
        <f>'Basis Options'!W461</f>
        <v>-42673.42494768012</v>
      </c>
      <c r="AE456">
        <v>0</v>
      </c>
      <c r="AF456">
        <v>0</v>
      </c>
      <c r="AG456">
        <v>0</v>
      </c>
      <c r="AH456" s="235">
        <f>'Basis Options'!CD461</f>
        <v>0</v>
      </c>
      <c r="AI456">
        <v>226</v>
      </c>
      <c r="AJ456" t="s">
        <v>256</v>
      </c>
      <c r="AK456">
        <v>0</v>
      </c>
      <c r="AL456">
        <v>0</v>
      </c>
      <c r="AM456">
        <v>0</v>
      </c>
    </row>
    <row r="457" spans="1:39" x14ac:dyDescent="0.25">
      <c r="A457" t="s">
        <v>233</v>
      </c>
      <c r="B457" t="str">
        <f>'Basis Options'!C462</f>
        <v>NP8939.1</v>
      </c>
      <c r="C457" t="s">
        <v>255</v>
      </c>
      <c r="D457" t="s">
        <v>234</v>
      </c>
      <c r="E457" t="s">
        <v>20</v>
      </c>
      <c r="F457" t="str">
        <f>'Basis Options'!A462</f>
        <v>WILLIAMSENEMAR</v>
      </c>
      <c r="G457" t="s">
        <v>269</v>
      </c>
      <c r="H457" t="s">
        <v>254</v>
      </c>
      <c r="I457" t="s">
        <v>242</v>
      </c>
      <c r="J457" t="s">
        <v>235</v>
      </c>
      <c r="K457" s="380">
        <f>'Basis Options'!G462</f>
        <v>37226</v>
      </c>
      <c r="L457" s="235">
        <f>'Basis Options'!U462</f>
        <v>-216608.87616499802</v>
      </c>
      <c r="M457" s="380">
        <f>'Basis Options'!Q462</f>
        <v>37224</v>
      </c>
      <c r="N457" t="str">
        <f>'Basis Options'!F462</f>
        <v>P</v>
      </c>
      <c r="O457">
        <f>'Basis Options'!I462</f>
        <v>0.95</v>
      </c>
      <c r="P457">
        <v>0</v>
      </c>
      <c r="Q457">
        <v>0</v>
      </c>
      <c r="R457">
        <v>0</v>
      </c>
      <c r="S457">
        <v>0</v>
      </c>
      <c r="T457" t="s">
        <v>253</v>
      </c>
      <c r="U457" t="str">
        <f>IF('Basis Options'!D462="NGI/CHI. GATE","""NGI/CHI. GATE""",TRIM('Basis Options'!D462))</f>
        <v>IF-TRANSCO/Z6</v>
      </c>
      <c r="V457" t="s">
        <v>253</v>
      </c>
      <c r="W457" t="s">
        <v>132</v>
      </c>
      <c r="X457" t="s">
        <v>253</v>
      </c>
      <c r="Y457" t="s">
        <v>235</v>
      </c>
      <c r="Z457" t="s">
        <v>236</v>
      </c>
      <c r="AA457" t="s">
        <v>253</v>
      </c>
      <c r="AB457" t="s">
        <v>1</v>
      </c>
      <c r="AC457" s="235">
        <f>'Basis Options'!H462</f>
        <v>-1000000</v>
      </c>
      <c r="AD457" s="235">
        <f>'Basis Options'!W462</f>
        <v>-46580.786347213376</v>
      </c>
      <c r="AE457">
        <v>0</v>
      </c>
      <c r="AF457">
        <v>0</v>
      </c>
      <c r="AG457">
        <v>0</v>
      </c>
      <c r="AH457" s="235">
        <f>'Basis Options'!CD462</f>
        <v>0</v>
      </c>
      <c r="AI457">
        <v>226</v>
      </c>
      <c r="AJ457" t="s">
        <v>256</v>
      </c>
      <c r="AK457">
        <v>0</v>
      </c>
      <c r="AL457">
        <v>0</v>
      </c>
      <c r="AM457">
        <v>0</v>
      </c>
    </row>
    <row r="458" spans="1:39" x14ac:dyDescent="0.25">
      <c r="A458" t="s">
        <v>233</v>
      </c>
      <c r="B458" t="str">
        <f>'Basis Options'!C463</f>
        <v>NP8939.1</v>
      </c>
      <c r="C458" t="s">
        <v>255</v>
      </c>
      <c r="D458" t="s">
        <v>234</v>
      </c>
      <c r="E458" t="s">
        <v>20</v>
      </c>
      <c r="F458" t="str">
        <f>'Basis Options'!A463</f>
        <v>WILLIAMSENEMAR</v>
      </c>
      <c r="G458" t="s">
        <v>269</v>
      </c>
      <c r="H458" t="s">
        <v>254</v>
      </c>
      <c r="I458" t="s">
        <v>242</v>
      </c>
      <c r="J458" t="s">
        <v>235</v>
      </c>
      <c r="K458" s="380">
        <f>'Basis Options'!G463</f>
        <v>37196</v>
      </c>
      <c r="L458" s="235">
        <f>'Basis Options'!U463</f>
        <v>-350243.77486450307</v>
      </c>
      <c r="M458" s="380">
        <f>'Basis Options'!Q463</f>
        <v>37194</v>
      </c>
      <c r="N458" t="str">
        <f>'Basis Options'!F463</f>
        <v>P</v>
      </c>
      <c r="O458">
        <f>'Basis Options'!I463</f>
        <v>0.95</v>
      </c>
      <c r="P458">
        <v>0</v>
      </c>
      <c r="Q458">
        <v>0</v>
      </c>
      <c r="R458">
        <v>0</v>
      </c>
      <c r="S458">
        <v>0</v>
      </c>
      <c r="T458" t="s">
        <v>253</v>
      </c>
      <c r="U458" t="str">
        <f>IF('Basis Options'!D463="NGI/CHI. GATE","""NGI/CHI. GATE""",TRIM('Basis Options'!D463))</f>
        <v>IF-TRANSCO/Z6</v>
      </c>
      <c r="V458" t="s">
        <v>253</v>
      </c>
      <c r="W458" t="s">
        <v>132</v>
      </c>
      <c r="X458" t="s">
        <v>253</v>
      </c>
      <c r="Y458" t="s">
        <v>235</v>
      </c>
      <c r="Z458" t="s">
        <v>236</v>
      </c>
      <c r="AA458" t="s">
        <v>253</v>
      </c>
      <c r="AB458" t="s">
        <v>1</v>
      </c>
      <c r="AC458" s="235">
        <f>'Basis Options'!H463</f>
        <v>-1000000</v>
      </c>
      <c r="AD458" s="235">
        <f>'Basis Options'!W463</f>
        <v>-49662.659813048202</v>
      </c>
      <c r="AE458">
        <v>0</v>
      </c>
      <c r="AF458">
        <v>0</v>
      </c>
      <c r="AG458">
        <v>0</v>
      </c>
      <c r="AH458" s="235">
        <f>'Basis Options'!CD463</f>
        <v>0</v>
      </c>
      <c r="AI458">
        <v>226</v>
      </c>
      <c r="AJ458" t="s">
        <v>256</v>
      </c>
      <c r="AK458">
        <v>0</v>
      </c>
      <c r="AL458">
        <v>0</v>
      </c>
      <c r="AM458">
        <v>0</v>
      </c>
    </row>
    <row r="459" spans="1:39" x14ac:dyDescent="0.25">
      <c r="A459" t="s">
        <v>233</v>
      </c>
      <c r="B459" t="str">
        <f>'Basis Options'!C464</f>
        <v>NP8966.1</v>
      </c>
      <c r="C459" t="s">
        <v>255</v>
      </c>
      <c r="D459" t="s">
        <v>234</v>
      </c>
      <c r="E459" t="s">
        <v>20</v>
      </c>
      <c r="F459" t="str">
        <f>'Basis Options'!A464</f>
        <v>ELPASMER</v>
      </c>
      <c r="G459" t="s">
        <v>269</v>
      </c>
      <c r="H459" t="s">
        <v>254</v>
      </c>
      <c r="I459" t="s">
        <v>242</v>
      </c>
      <c r="J459" t="s">
        <v>235</v>
      </c>
      <c r="K459" s="380">
        <f>'Basis Options'!G464</f>
        <v>36951</v>
      </c>
      <c r="L459" s="235">
        <f>'Basis Options'!U464</f>
        <v>-302623.20881690033</v>
      </c>
      <c r="M459" s="380">
        <f>'Basis Options'!Q464</f>
        <v>36949</v>
      </c>
      <c r="N459" t="str">
        <f>'Basis Options'!F464</f>
        <v>C</v>
      </c>
      <c r="O459">
        <f>'Basis Options'!I464</f>
        <v>1.7</v>
      </c>
      <c r="P459">
        <v>0</v>
      </c>
      <c r="Q459">
        <v>0</v>
      </c>
      <c r="R459">
        <v>0</v>
      </c>
      <c r="S459">
        <v>0</v>
      </c>
      <c r="T459" t="s">
        <v>253</v>
      </c>
      <c r="U459" t="str">
        <f>IF('Basis Options'!D464="NGI/CHI. GATE","""NGI/CHI. GATE""",TRIM('Basis Options'!D464))</f>
        <v>IF-TRANSCO/Z6</v>
      </c>
      <c r="V459" t="s">
        <v>253</v>
      </c>
      <c r="W459" t="s">
        <v>132</v>
      </c>
      <c r="X459" t="s">
        <v>253</v>
      </c>
      <c r="Y459" t="s">
        <v>235</v>
      </c>
      <c r="Z459" t="s">
        <v>236</v>
      </c>
      <c r="AA459" t="s">
        <v>253</v>
      </c>
      <c r="AB459" t="s">
        <v>1</v>
      </c>
      <c r="AC459" s="235">
        <f>'Basis Options'!H464</f>
        <v>-1000000</v>
      </c>
      <c r="AD459" s="235">
        <f>'Basis Options'!W464</f>
        <v>-78412.309034325939</v>
      </c>
      <c r="AE459">
        <v>0</v>
      </c>
      <c r="AF459">
        <v>0</v>
      </c>
      <c r="AG459">
        <v>0</v>
      </c>
      <c r="AH459" s="235">
        <f>'Basis Options'!CD464</f>
        <v>0</v>
      </c>
      <c r="AI459">
        <v>226</v>
      </c>
      <c r="AJ459" t="s">
        <v>256</v>
      </c>
      <c r="AK459">
        <v>0</v>
      </c>
      <c r="AL459">
        <v>0</v>
      </c>
      <c r="AM459">
        <v>0</v>
      </c>
    </row>
    <row r="460" spans="1:39" x14ac:dyDescent="0.25">
      <c r="A460" t="s">
        <v>233</v>
      </c>
      <c r="B460" t="str">
        <f>'Basis Options'!C465</f>
        <v>NP8966.1</v>
      </c>
      <c r="C460" t="s">
        <v>255</v>
      </c>
      <c r="D460" t="s">
        <v>234</v>
      </c>
      <c r="E460" t="s">
        <v>20</v>
      </c>
      <c r="F460" t="str">
        <f>'Basis Options'!A465</f>
        <v>ELPASMER</v>
      </c>
      <c r="G460" t="s">
        <v>269</v>
      </c>
      <c r="H460" t="s">
        <v>254</v>
      </c>
      <c r="I460" t="s">
        <v>242</v>
      </c>
      <c r="J460" t="s">
        <v>235</v>
      </c>
      <c r="K460" s="380">
        <f>'Basis Options'!G465</f>
        <v>36923</v>
      </c>
      <c r="L460" s="235">
        <f>'Basis Options'!U465</f>
        <v>-853995.43885001773</v>
      </c>
      <c r="M460" s="380">
        <f>'Basis Options'!Q465</f>
        <v>36921</v>
      </c>
      <c r="N460" t="str">
        <f>'Basis Options'!F465</f>
        <v>C</v>
      </c>
      <c r="O460">
        <f>'Basis Options'!I465</f>
        <v>1.7</v>
      </c>
      <c r="P460">
        <v>0</v>
      </c>
      <c r="Q460">
        <v>0</v>
      </c>
      <c r="R460">
        <v>0</v>
      </c>
      <c r="S460">
        <v>0</v>
      </c>
      <c r="T460" t="s">
        <v>253</v>
      </c>
      <c r="U460" t="str">
        <f>IF('Basis Options'!D465="NGI/CHI. GATE","""NGI/CHI. GATE""",TRIM('Basis Options'!D465))</f>
        <v>IF-TRANSCO/Z6</v>
      </c>
      <c r="V460" t="s">
        <v>253</v>
      </c>
      <c r="W460" t="s">
        <v>132</v>
      </c>
      <c r="X460" t="s">
        <v>253</v>
      </c>
      <c r="Y460" t="s">
        <v>235</v>
      </c>
      <c r="Z460" t="s">
        <v>236</v>
      </c>
      <c r="AA460" t="s">
        <v>253</v>
      </c>
      <c r="AB460" t="s">
        <v>1</v>
      </c>
      <c r="AC460" s="235">
        <f>'Basis Options'!H465</f>
        <v>-1000000</v>
      </c>
      <c r="AD460" s="235">
        <f>'Basis Options'!W465</f>
        <v>-84673.329786934075</v>
      </c>
      <c r="AE460">
        <v>0</v>
      </c>
      <c r="AF460">
        <v>0</v>
      </c>
      <c r="AG460">
        <v>0</v>
      </c>
      <c r="AH460" s="235">
        <f>'Basis Options'!CD465</f>
        <v>0</v>
      </c>
      <c r="AI460">
        <v>226</v>
      </c>
      <c r="AJ460" t="s">
        <v>256</v>
      </c>
      <c r="AK460">
        <v>0</v>
      </c>
      <c r="AL460">
        <v>0</v>
      </c>
      <c r="AM460">
        <v>0</v>
      </c>
    </row>
    <row r="461" spans="1:39" x14ac:dyDescent="0.25">
      <c r="A461" t="s">
        <v>233</v>
      </c>
      <c r="B461" t="str">
        <f>'Basis Options'!C466</f>
        <v>NP8966.1</v>
      </c>
      <c r="C461" t="s">
        <v>255</v>
      </c>
      <c r="D461" t="s">
        <v>234</v>
      </c>
      <c r="E461" t="s">
        <v>20</v>
      </c>
      <c r="F461" t="str">
        <f>'Basis Options'!A466</f>
        <v>ELPASMER</v>
      </c>
      <c r="G461" t="s">
        <v>269</v>
      </c>
      <c r="H461" t="s">
        <v>254</v>
      </c>
      <c r="I461" t="s">
        <v>242</v>
      </c>
      <c r="J461" t="s">
        <v>235</v>
      </c>
      <c r="K461" s="380">
        <f>'Basis Options'!G466</f>
        <v>36892</v>
      </c>
      <c r="L461" s="235">
        <f>'Basis Options'!U466</f>
        <v>-871808.18810778111</v>
      </c>
      <c r="M461" s="380">
        <f>'Basis Options'!Q466</f>
        <v>36888</v>
      </c>
      <c r="N461" t="str">
        <f>'Basis Options'!F466</f>
        <v>C</v>
      </c>
      <c r="O461">
        <f>'Basis Options'!I466</f>
        <v>1.7</v>
      </c>
      <c r="P461">
        <v>0</v>
      </c>
      <c r="Q461">
        <v>0</v>
      </c>
      <c r="R461">
        <v>0</v>
      </c>
      <c r="S461">
        <v>0</v>
      </c>
      <c r="T461" t="s">
        <v>253</v>
      </c>
      <c r="U461" t="str">
        <f>IF('Basis Options'!D466="NGI/CHI. GATE","""NGI/CHI. GATE""",TRIM('Basis Options'!D466))</f>
        <v>IF-TRANSCO/Z6</v>
      </c>
      <c r="V461" t="s">
        <v>253</v>
      </c>
      <c r="W461" t="s">
        <v>132</v>
      </c>
      <c r="X461" t="s">
        <v>253</v>
      </c>
      <c r="Y461" t="s">
        <v>235</v>
      </c>
      <c r="Z461" t="s">
        <v>236</v>
      </c>
      <c r="AA461" t="s">
        <v>253</v>
      </c>
      <c r="AB461" t="s">
        <v>1</v>
      </c>
      <c r="AC461" s="235">
        <f>'Basis Options'!H466</f>
        <v>-1000000</v>
      </c>
      <c r="AD461" s="235">
        <f>'Basis Options'!W466</f>
        <v>-76317.708831536933</v>
      </c>
      <c r="AE461">
        <v>0</v>
      </c>
      <c r="AF461">
        <v>0</v>
      </c>
      <c r="AG461">
        <v>0</v>
      </c>
      <c r="AH461" s="235">
        <f>'Basis Options'!CD466</f>
        <v>0</v>
      </c>
      <c r="AI461">
        <v>226</v>
      </c>
      <c r="AJ461" t="s">
        <v>256</v>
      </c>
      <c r="AK461">
        <v>0</v>
      </c>
      <c r="AL461">
        <v>0</v>
      </c>
      <c r="AM461">
        <v>0</v>
      </c>
    </row>
    <row r="462" spans="1:39" x14ac:dyDescent="0.25">
      <c r="A462" t="s">
        <v>233</v>
      </c>
      <c r="B462" t="str">
        <f>'Basis Options'!C467</f>
        <v>NP8966.1</v>
      </c>
      <c r="C462" t="s">
        <v>255</v>
      </c>
      <c r="D462" t="s">
        <v>234</v>
      </c>
      <c r="E462" t="s">
        <v>20</v>
      </c>
      <c r="F462" t="str">
        <f>'Basis Options'!A467</f>
        <v>ELPASMER</v>
      </c>
      <c r="G462" t="s">
        <v>269</v>
      </c>
      <c r="H462" t="s">
        <v>254</v>
      </c>
      <c r="I462" t="s">
        <v>242</v>
      </c>
      <c r="J462" t="s">
        <v>235</v>
      </c>
      <c r="K462" s="380">
        <f>'Basis Options'!G467</f>
        <v>36861</v>
      </c>
      <c r="L462" s="235">
        <f>'Basis Options'!U467</f>
        <v>-490213.66030166118</v>
      </c>
      <c r="M462" s="380">
        <f>'Basis Options'!Q467</f>
        <v>36859</v>
      </c>
      <c r="N462" t="str">
        <f>'Basis Options'!F467</f>
        <v>C</v>
      </c>
      <c r="O462">
        <f>'Basis Options'!I467</f>
        <v>1.7</v>
      </c>
      <c r="P462">
        <v>0</v>
      </c>
      <c r="Q462">
        <v>0</v>
      </c>
      <c r="R462">
        <v>0</v>
      </c>
      <c r="S462">
        <v>0</v>
      </c>
      <c r="T462" t="s">
        <v>253</v>
      </c>
      <c r="U462" t="str">
        <f>IF('Basis Options'!D467="NGI/CHI. GATE","""NGI/CHI. GATE""",TRIM('Basis Options'!D467))</f>
        <v>IF-TRANSCO/Z6</v>
      </c>
      <c r="V462" t="s">
        <v>253</v>
      </c>
      <c r="W462" t="s">
        <v>132</v>
      </c>
      <c r="X462" t="s">
        <v>253</v>
      </c>
      <c r="Y462" t="s">
        <v>235</v>
      </c>
      <c r="Z462" t="s">
        <v>236</v>
      </c>
      <c r="AA462" t="s">
        <v>253</v>
      </c>
      <c r="AB462" t="s">
        <v>1</v>
      </c>
      <c r="AC462" s="235">
        <f>'Basis Options'!H467</f>
        <v>-1000000</v>
      </c>
      <c r="AD462" s="235">
        <f>'Basis Options'!W467</f>
        <v>-70107.890008170216</v>
      </c>
      <c r="AE462">
        <v>0</v>
      </c>
      <c r="AF462">
        <v>0</v>
      </c>
      <c r="AG462">
        <v>0</v>
      </c>
      <c r="AH462" s="235">
        <f>'Basis Options'!CD467</f>
        <v>0</v>
      </c>
      <c r="AI462">
        <v>226</v>
      </c>
      <c r="AJ462" t="s">
        <v>256</v>
      </c>
      <c r="AK462">
        <v>0</v>
      </c>
      <c r="AL462">
        <v>0</v>
      </c>
      <c r="AM462">
        <v>0</v>
      </c>
    </row>
    <row r="463" spans="1:39" x14ac:dyDescent="0.25">
      <c r="A463" t="s">
        <v>233</v>
      </c>
      <c r="B463" t="str">
        <f>'Basis Options'!C468</f>
        <v>NP8966.1</v>
      </c>
      <c r="C463" t="s">
        <v>255</v>
      </c>
      <c r="D463" t="s">
        <v>234</v>
      </c>
      <c r="E463" t="s">
        <v>20</v>
      </c>
      <c r="F463" t="str">
        <f>'Basis Options'!A468</f>
        <v>ELPASMER</v>
      </c>
      <c r="G463" t="s">
        <v>269</v>
      </c>
      <c r="H463" t="s">
        <v>254</v>
      </c>
      <c r="I463" t="s">
        <v>242</v>
      </c>
      <c r="J463" t="s">
        <v>235</v>
      </c>
      <c r="K463" s="380">
        <f>'Basis Options'!G468</f>
        <v>36831</v>
      </c>
      <c r="L463" s="235">
        <f>'Basis Options'!U468</f>
        <v>-38696.199627287067</v>
      </c>
      <c r="M463" s="380">
        <f>'Basis Options'!Q468</f>
        <v>36829</v>
      </c>
      <c r="N463" t="str">
        <f>'Basis Options'!F468</f>
        <v>C</v>
      </c>
      <c r="O463">
        <f>'Basis Options'!I468</f>
        <v>1.7</v>
      </c>
      <c r="P463">
        <v>0</v>
      </c>
      <c r="Q463">
        <v>0</v>
      </c>
      <c r="R463">
        <v>0</v>
      </c>
      <c r="S463">
        <v>0</v>
      </c>
      <c r="T463" t="s">
        <v>253</v>
      </c>
      <c r="U463" t="str">
        <f>IF('Basis Options'!D468="NGI/CHI. GATE","""NGI/CHI. GATE""",TRIM('Basis Options'!D468))</f>
        <v>IF-TRANSCO/Z6</v>
      </c>
      <c r="V463" t="s">
        <v>253</v>
      </c>
      <c r="W463" t="s">
        <v>132</v>
      </c>
      <c r="X463" t="s">
        <v>253</v>
      </c>
      <c r="Y463" t="s">
        <v>235</v>
      </c>
      <c r="Z463" t="s">
        <v>236</v>
      </c>
      <c r="AA463" t="s">
        <v>253</v>
      </c>
      <c r="AB463" t="s">
        <v>1</v>
      </c>
      <c r="AC463" s="235">
        <f>'Basis Options'!H468</f>
        <v>-1000000</v>
      </c>
      <c r="AD463" s="235">
        <f>'Basis Options'!W468</f>
        <v>-19623.586550527863</v>
      </c>
      <c r="AE463">
        <v>0</v>
      </c>
      <c r="AF463">
        <v>0</v>
      </c>
      <c r="AG463">
        <v>0</v>
      </c>
      <c r="AH463" s="235">
        <f>'Basis Options'!CD468</f>
        <v>0</v>
      </c>
      <c r="AI463">
        <v>226</v>
      </c>
      <c r="AJ463" t="s">
        <v>256</v>
      </c>
      <c r="AK463">
        <v>0</v>
      </c>
      <c r="AL463">
        <v>0</v>
      </c>
      <c r="AM463">
        <v>0</v>
      </c>
    </row>
    <row r="464" spans="1:39" x14ac:dyDescent="0.25">
      <c r="A464" t="s">
        <v>233</v>
      </c>
      <c r="B464" t="str">
        <f>'Basis Options'!C469</f>
        <v>NP8966.2</v>
      </c>
      <c r="C464" t="s">
        <v>255</v>
      </c>
      <c r="D464" t="s">
        <v>234</v>
      </c>
      <c r="E464" t="s">
        <v>20</v>
      </c>
      <c r="F464" t="str">
        <f>'Basis Options'!A469</f>
        <v>ELPASMER</v>
      </c>
      <c r="G464" t="s">
        <v>269</v>
      </c>
      <c r="H464" t="s">
        <v>254</v>
      </c>
      <c r="I464" t="s">
        <v>242</v>
      </c>
      <c r="J464" t="s">
        <v>235</v>
      </c>
      <c r="K464" s="380">
        <f>'Basis Options'!G469</f>
        <v>36951</v>
      </c>
      <c r="L464" s="235">
        <f>'Basis Options'!U469</f>
        <v>-906535.88185534568</v>
      </c>
      <c r="M464" s="380">
        <f>'Basis Options'!Q469</f>
        <v>36949</v>
      </c>
      <c r="N464" t="str">
        <f>'Basis Options'!F469</f>
        <v>P</v>
      </c>
      <c r="O464">
        <f>'Basis Options'!I469</f>
        <v>1.7</v>
      </c>
      <c r="P464">
        <v>0</v>
      </c>
      <c r="Q464">
        <v>0</v>
      </c>
      <c r="R464">
        <v>0</v>
      </c>
      <c r="S464">
        <v>0</v>
      </c>
      <c r="T464" t="s">
        <v>253</v>
      </c>
      <c r="U464" t="str">
        <f>IF('Basis Options'!D469="NGI/CHI. GATE","""NGI/CHI. GATE""",TRIM('Basis Options'!D469))</f>
        <v>IF-TRANSCO/Z6</v>
      </c>
      <c r="V464" t="s">
        <v>253</v>
      </c>
      <c r="W464" t="s">
        <v>132</v>
      </c>
      <c r="X464" t="s">
        <v>253</v>
      </c>
      <c r="Y464" t="s">
        <v>235</v>
      </c>
      <c r="Z464" t="s">
        <v>236</v>
      </c>
      <c r="AA464" t="s">
        <v>253</v>
      </c>
      <c r="AB464" t="s">
        <v>1</v>
      </c>
      <c r="AC464" s="235">
        <f>'Basis Options'!H469</f>
        <v>-1000000</v>
      </c>
      <c r="AD464" s="235">
        <f>'Basis Options'!W469</f>
        <v>-78412.309034325765</v>
      </c>
      <c r="AE464">
        <v>0</v>
      </c>
      <c r="AF464">
        <v>0</v>
      </c>
      <c r="AG464">
        <v>0</v>
      </c>
      <c r="AH464" s="235">
        <f>'Basis Options'!CD469</f>
        <v>0</v>
      </c>
      <c r="AI464">
        <v>226</v>
      </c>
      <c r="AJ464" t="s">
        <v>256</v>
      </c>
      <c r="AK464">
        <v>0</v>
      </c>
      <c r="AL464">
        <v>0</v>
      </c>
      <c r="AM464">
        <v>0</v>
      </c>
    </row>
    <row r="465" spans="1:39" x14ac:dyDescent="0.25">
      <c r="A465" t="s">
        <v>233</v>
      </c>
      <c r="B465" t="str">
        <f>'Basis Options'!C470</f>
        <v>NP8966.2</v>
      </c>
      <c r="C465" t="s">
        <v>255</v>
      </c>
      <c r="D465" t="s">
        <v>234</v>
      </c>
      <c r="E465" t="s">
        <v>20</v>
      </c>
      <c r="F465" t="str">
        <f>'Basis Options'!A470</f>
        <v>ELPASMER</v>
      </c>
      <c r="G465" t="s">
        <v>269</v>
      </c>
      <c r="H465" t="s">
        <v>254</v>
      </c>
      <c r="I465" t="s">
        <v>242</v>
      </c>
      <c r="J465" t="s">
        <v>235</v>
      </c>
      <c r="K465" s="380">
        <f>'Basis Options'!G470</f>
        <v>36923</v>
      </c>
      <c r="L465" s="235">
        <f>'Basis Options'!U470</f>
        <v>-475120.54509062506</v>
      </c>
      <c r="M465" s="380">
        <f>'Basis Options'!Q470</f>
        <v>36921</v>
      </c>
      <c r="N465" t="str">
        <f>'Basis Options'!F470</f>
        <v>P</v>
      </c>
      <c r="O465">
        <f>'Basis Options'!I470</f>
        <v>1.7</v>
      </c>
      <c r="P465">
        <v>0</v>
      </c>
      <c r="Q465">
        <v>0</v>
      </c>
      <c r="R465">
        <v>0</v>
      </c>
      <c r="S465">
        <v>0</v>
      </c>
      <c r="T465" t="s">
        <v>253</v>
      </c>
      <c r="U465" t="str">
        <f>IF('Basis Options'!D470="NGI/CHI. GATE","""NGI/CHI. GATE""",TRIM('Basis Options'!D470))</f>
        <v>IF-TRANSCO/Z6</v>
      </c>
      <c r="V465" t="s">
        <v>253</v>
      </c>
      <c r="W465" t="s">
        <v>132</v>
      </c>
      <c r="X465" t="s">
        <v>253</v>
      </c>
      <c r="Y465" t="s">
        <v>235</v>
      </c>
      <c r="Z465" t="s">
        <v>236</v>
      </c>
      <c r="AA465" t="s">
        <v>253</v>
      </c>
      <c r="AB465" t="s">
        <v>1</v>
      </c>
      <c r="AC465" s="235">
        <f>'Basis Options'!H470</f>
        <v>-1000000</v>
      </c>
      <c r="AD465" s="235">
        <f>'Basis Options'!W470</f>
        <v>-84673.329786934017</v>
      </c>
      <c r="AE465">
        <v>0</v>
      </c>
      <c r="AF465">
        <v>0</v>
      </c>
      <c r="AG465">
        <v>0</v>
      </c>
      <c r="AH465" s="235">
        <f>'Basis Options'!CD470</f>
        <v>0</v>
      </c>
      <c r="AI465">
        <v>226</v>
      </c>
      <c r="AJ465" t="s">
        <v>256</v>
      </c>
      <c r="AK465">
        <v>0</v>
      </c>
      <c r="AL465">
        <v>0</v>
      </c>
      <c r="AM465">
        <v>0</v>
      </c>
    </row>
    <row r="466" spans="1:39" x14ac:dyDescent="0.25">
      <c r="A466" t="s">
        <v>233</v>
      </c>
      <c r="B466" t="str">
        <f>'Basis Options'!C471</f>
        <v>NP8966.2</v>
      </c>
      <c r="C466" t="s">
        <v>255</v>
      </c>
      <c r="D466" t="s">
        <v>234</v>
      </c>
      <c r="E466" t="s">
        <v>20</v>
      </c>
      <c r="F466" t="str">
        <f>'Basis Options'!A471</f>
        <v>ELPASMER</v>
      </c>
      <c r="G466" t="s">
        <v>269</v>
      </c>
      <c r="H466" t="s">
        <v>254</v>
      </c>
      <c r="I466" t="s">
        <v>242</v>
      </c>
      <c r="J466" t="s">
        <v>235</v>
      </c>
      <c r="K466" s="380">
        <f>'Basis Options'!G471</f>
        <v>36892</v>
      </c>
      <c r="L466" s="235">
        <f>'Basis Options'!U471</f>
        <v>-412334.58902943833</v>
      </c>
      <c r="M466" s="380">
        <f>'Basis Options'!Q471</f>
        <v>36888</v>
      </c>
      <c r="N466" t="str">
        <f>'Basis Options'!F471</f>
        <v>P</v>
      </c>
      <c r="O466">
        <f>'Basis Options'!I471</f>
        <v>1.7</v>
      </c>
      <c r="P466">
        <v>0</v>
      </c>
      <c r="Q466">
        <v>0</v>
      </c>
      <c r="R466">
        <v>0</v>
      </c>
      <c r="S466">
        <v>0</v>
      </c>
      <c r="T466" t="s">
        <v>253</v>
      </c>
      <c r="U466" t="str">
        <f>IF('Basis Options'!D471="NGI/CHI. GATE","""NGI/CHI. GATE""",TRIM('Basis Options'!D471))</f>
        <v>IF-TRANSCO/Z6</v>
      </c>
      <c r="V466" t="s">
        <v>253</v>
      </c>
      <c r="W466" t="s">
        <v>132</v>
      </c>
      <c r="X466" t="s">
        <v>253</v>
      </c>
      <c r="Y466" t="s">
        <v>235</v>
      </c>
      <c r="Z466" t="s">
        <v>236</v>
      </c>
      <c r="AA466" t="s">
        <v>253</v>
      </c>
      <c r="AB466" t="s">
        <v>1</v>
      </c>
      <c r="AC466" s="235">
        <f>'Basis Options'!H471</f>
        <v>-1000000</v>
      </c>
      <c r="AD466" s="235">
        <f>'Basis Options'!W471</f>
        <v>-76317.708831536933</v>
      </c>
      <c r="AE466">
        <v>0</v>
      </c>
      <c r="AF466">
        <v>0</v>
      </c>
      <c r="AG466">
        <v>0</v>
      </c>
      <c r="AH466" s="235">
        <f>'Basis Options'!CD471</f>
        <v>0</v>
      </c>
      <c r="AI466">
        <v>226</v>
      </c>
      <c r="AJ466" t="s">
        <v>256</v>
      </c>
      <c r="AK466">
        <v>0</v>
      </c>
      <c r="AL466">
        <v>0</v>
      </c>
      <c r="AM466">
        <v>0</v>
      </c>
    </row>
    <row r="467" spans="1:39" x14ac:dyDescent="0.25">
      <c r="A467" t="s">
        <v>233</v>
      </c>
      <c r="B467" t="str">
        <f>'Basis Options'!C472</f>
        <v>NP8966.2</v>
      </c>
      <c r="C467" t="s">
        <v>255</v>
      </c>
      <c r="D467" t="s">
        <v>234</v>
      </c>
      <c r="E467" t="s">
        <v>20</v>
      </c>
      <c r="F467" t="str">
        <f>'Basis Options'!A472</f>
        <v>ELPASMER</v>
      </c>
      <c r="G467" t="s">
        <v>269</v>
      </c>
      <c r="H467" t="s">
        <v>254</v>
      </c>
      <c r="I467" t="s">
        <v>242</v>
      </c>
      <c r="J467" t="s">
        <v>235</v>
      </c>
      <c r="K467" s="380">
        <f>'Basis Options'!G472</f>
        <v>36861</v>
      </c>
      <c r="L467" s="235">
        <f>'Basis Options'!U472</f>
        <v>-544275.36601746152</v>
      </c>
      <c r="M467" s="380">
        <f>'Basis Options'!Q472</f>
        <v>36859</v>
      </c>
      <c r="N467" t="str">
        <f>'Basis Options'!F472</f>
        <v>P</v>
      </c>
      <c r="O467">
        <f>'Basis Options'!I472</f>
        <v>1.7</v>
      </c>
      <c r="P467">
        <v>0</v>
      </c>
      <c r="Q467">
        <v>0</v>
      </c>
      <c r="R467">
        <v>0</v>
      </c>
      <c r="S467">
        <v>0</v>
      </c>
      <c r="T467" t="s">
        <v>253</v>
      </c>
      <c r="U467" t="str">
        <f>IF('Basis Options'!D472="NGI/CHI. GATE","""NGI/CHI. GATE""",TRIM('Basis Options'!D472))</f>
        <v>IF-TRANSCO/Z6</v>
      </c>
      <c r="V467" t="s">
        <v>253</v>
      </c>
      <c r="W467" t="s">
        <v>132</v>
      </c>
      <c r="X467" t="s">
        <v>253</v>
      </c>
      <c r="Y467" t="s">
        <v>235</v>
      </c>
      <c r="Z467" t="s">
        <v>236</v>
      </c>
      <c r="AA467" t="s">
        <v>253</v>
      </c>
      <c r="AB467" t="s">
        <v>1</v>
      </c>
      <c r="AC467" s="235">
        <f>'Basis Options'!H472</f>
        <v>-1000000</v>
      </c>
      <c r="AD467" s="235">
        <f>'Basis Options'!W472</f>
        <v>-70107.890008170158</v>
      </c>
      <c r="AE467">
        <v>0</v>
      </c>
      <c r="AF467">
        <v>0</v>
      </c>
      <c r="AG467">
        <v>0</v>
      </c>
      <c r="AH467" s="235">
        <f>'Basis Options'!CD472</f>
        <v>0</v>
      </c>
      <c r="AI467">
        <v>226</v>
      </c>
      <c r="AJ467" t="s">
        <v>256</v>
      </c>
      <c r="AK467">
        <v>0</v>
      </c>
      <c r="AL467">
        <v>0</v>
      </c>
      <c r="AM467">
        <v>0</v>
      </c>
    </row>
    <row r="468" spans="1:39" x14ac:dyDescent="0.25">
      <c r="A468" t="s">
        <v>233</v>
      </c>
      <c r="B468" t="str">
        <f>'Basis Options'!C473</f>
        <v>NP8966.2</v>
      </c>
      <c r="C468" t="s">
        <v>255</v>
      </c>
      <c r="D468" t="s">
        <v>234</v>
      </c>
      <c r="E468" t="s">
        <v>20</v>
      </c>
      <c r="F468" t="str">
        <f>'Basis Options'!A473</f>
        <v>ELPASMER</v>
      </c>
      <c r="G468" t="s">
        <v>269</v>
      </c>
      <c r="H468" t="s">
        <v>254</v>
      </c>
      <c r="I468" t="s">
        <v>242</v>
      </c>
      <c r="J468" t="s">
        <v>235</v>
      </c>
      <c r="K468" s="380">
        <f>'Basis Options'!G473</f>
        <v>36831</v>
      </c>
      <c r="L468" s="235">
        <f>'Basis Options'!U473</f>
        <v>-958006.4721484856</v>
      </c>
      <c r="M468" s="380">
        <f>'Basis Options'!Q473</f>
        <v>36829</v>
      </c>
      <c r="N468" t="str">
        <f>'Basis Options'!F473</f>
        <v>P</v>
      </c>
      <c r="O468">
        <f>'Basis Options'!I473</f>
        <v>1.7</v>
      </c>
      <c r="P468">
        <v>0</v>
      </c>
      <c r="Q468">
        <v>0</v>
      </c>
      <c r="R468">
        <v>0</v>
      </c>
      <c r="S468">
        <v>0</v>
      </c>
      <c r="T468" t="s">
        <v>253</v>
      </c>
      <c r="U468" t="str">
        <f>IF('Basis Options'!D473="NGI/CHI. GATE","""NGI/CHI. GATE""",TRIM('Basis Options'!D473))</f>
        <v>IF-TRANSCO/Z6</v>
      </c>
      <c r="V468" t="s">
        <v>253</v>
      </c>
      <c r="W468" t="s">
        <v>132</v>
      </c>
      <c r="X468" t="s">
        <v>253</v>
      </c>
      <c r="Y468" t="s">
        <v>235</v>
      </c>
      <c r="Z468" t="s">
        <v>236</v>
      </c>
      <c r="AA468" t="s">
        <v>253</v>
      </c>
      <c r="AB468" t="s">
        <v>1</v>
      </c>
      <c r="AC468" s="235">
        <f>'Basis Options'!H473</f>
        <v>-1000000</v>
      </c>
      <c r="AD468" s="235">
        <f>'Basis Options'!W473</f>
        <v>-19623.586550527834</v>
      </c>
      <c r="AE468">
        <v>0</v>
      </c>
      <c r="AF468">
        <v>0</v>
      </c>
      <c r="AG468">
        <v>0</v>
      </c>
      <c r="AH468" s="235">
        <f>'Basis Options'!CD473</f>
        <v>0</v>
      </c>
      <c r="AI468">
        <v>226</v>
      </c>
      <c r="AJ468" t="s">
        <v>256</v>
      </c>
      <c r="AK468">
        <v>0</v>
      </c>
      <c r="AL468">
        <v>0</v>
      </c>
      <c r="AM468">
        <v>0</v>
      </c>
    </row>
    <row r="469" spans="1:39" x14ac:dyDescent="0.25">
      <c r="A469" t="s">
        <v>233</v>
      </c>
      <c r="B469" t="str">
        <f>'Basis Options'!C474</f>
        <v>NR1864</v>
      </c>
      <c r="C469" t="s">
        <v>255</v>
      </c>
      <c r="D469" t="s">
        <v>234</v>
      </c>
      <c r="E469" t="s">
        <v>20</v>
      </c>
      <c r="F469" t="str">
        <f>'Basis Options'!A474</f>
        <v>UTILICORP</v>
      </c>
      <c r="G469" t="s">
        <v>269</v>
      </c>
      <c r="H469" t="s">
        <v>254</v>
      </c>
      <c r="I469" t="s">
        <v>242</v>
      </c>
      <c r="J469" t="s">
        <v>235</v>
      </c>
      <c r="K469" s="380">
        <f>'Basis Options'!G474</f>
        <v>36951</v>
      </c>
      <c r="L469" s="235">
        <f>'Basis Options'!U474</f>
        <v>-6312.0658480602851</v>
      </c>
      <c r="M469" s="380">
        <f>'Basis Options'!Q474</f>
        <v>36949</v>
      </c>
      <c r="N469" t="str">
        <f>'Basis Options'!F474</f>
        <v>C</v>
      </c>
      <c r="O469">
        <f>'Basis Options'!I474</f>
        <v>0.15</v>
      </c>
      <c r="P469">
        <v>0</v>
      </c>
      <c r="Q469">
        <v>0</v>
      </c>
      <c r="R469">
        <v>0</v>
      </c>
      <c r="S469">
        <v>0</v>
      </c>
      <c r="T469" t="s">
        <v>253</v>
      </c>
      <c r="U469" t="str">
        <f>IF('Basis Options'!D474="NGI/CHI. GATE","""NGI/CHI. GATE""",TRIM('Basis Options'!D474))</f>
        <v>"NGI/CHI. GATE"</v>
      </c>
      <c r="V469" t="s">
        <v>253</v>
      </c>
      <c r="W469" t="s">
        <v>132</v>
      </c>
      <c r="X469" t="s">
        <v>253</v>
      </c>
      <c r="Y469" t="s">
        <v>235</v>
      </c>
      <c r="Z469" t="s">
        <v>236</v>
      </c>
      <c r="AA469" t="s">
        <v>253</v>
      </c>
      <c r="AB469" t="s">
        <v>1</v>
      </c>
      <c r="AC469" s="235">
        <f>'Basis Options'!H474</f>
        <v>-155000</v>
      </c>
      <c r="AD469" s="235">
        <f>'Basis Options'!W474</f>
        <v>-1569.3961741514795</v>
      </c>
      <c r="AE469">
        <v>0</v>
      </c>
      <c r="AF469">
        <v>0</v>
      </c>
      <c r="AG469">
        <v>0</v>
      </c>
      <c r="AH469" s="235">
        <f>'Basis Options'!CD474</f>
        <v>0</v>
      </c>
      <c r="AI469">
        <v>226</v>
      </c>
      <c r="AJ469" t="s">
        <v>256</v>
      </c>
      <c r="AK469">
        <v>0</v>
      </c>
      <c r="AL469">
        <v>0</v>
      </c>
      <c r="AM469">
        <v>0</v>
      </c>
    </row>
    <row r="470" spans="1:39" x14ac:dyDescent="0.25">
      <c r="A470" t="s">
        <v>233</v>
      </c>
      <c r="B470" t="str">
        <f>'Basis Options'!C475</f>
        <v>NR1864</v>
      </c>
      <c r="C470" t="s">
        <v>255</v>
      </c>
      <c r="D470" t="s">
        <v>234</v>
      </c>
      <c r="E470" t="s">
        <v>20</v>
      </c>
      <c r="F470" t="str">
        <f>'Basis Options'!A475</f>
        <v>UTILICORP</v>
      </c>
      <c r="G470" t="s">
        <v>269</v>
      </c>
      <c r="H470" t="s">
        <v>254</v>
      </c>
      <c r="I470" t="s">
        <v>242</v>
      </c>
      <c r="J470" t="s">
        <v>235</v>
      </c>
      <c r="K470" s="380">
        <f>'Basis Options'!G475</f>
        <v>36923</v>
      </c>
      <c r="L470" s="235">
        <f>'Basis Options'!U475</f>
        <v>-7224.2665407110135</v>
      </c>
      <c r="M470" s="380">
        <f>'Basis Options'!Q475</f>
        <v>36921</v>
      </c>
      <c r="N470" t="str">
        <f>'Basis Options'!F475</f>
        <v>C</v>
      </c>
      <c r="O470">
        <f>'Basis Options'!I475</f>
        <v>0.15</v>
      </c>
      <c r="P470">
        <v>0</v>
      </c>
      <c r="Q470">
        <v>0</v>
      </c>
      <c r="R470">
        <v>0</v>
      </c>
      <c r="S470">
        <v>0</v>
      </c>
      <c r="T470" t="s">
        <v>253</v>
      </c>
      <c r="U470" t="str">
        <f>IF('Basis Options'!D475="NGI/CHI. GATE","""NGI/CHI. GATE""",TRIM('Basis Options'!D475))</f>
        <v>"NGI/CHI. GATE"</v>
      </c>
      <c r="V470" t="s">
        <v>253</v>
      </c>
      <c r="W470" t="s">
        <v>132</v>
      </c>
      <c r="X470" t="s">
        <v>253</v>
      </c>
      <c r="Y470" t="s">
        <v>235</v>
      </c>
      <c r="Z470" t="s">
        <v>236</v>
      </c>
      <c r="AA470" t="s">
        <v>253</v>
      </c>
      <c r="AB470" t="s">
        <v>1</v>
      </c>
      <c r="AC470" s="235">
        <f>'Basis Options'!H475</f>
        <v>-140000</v>
      </c>
      <c r="AD470" s="235">
        <f>'Basis Options'!W475</f>
        <v>-1489.7442138444967</v>
      </c>
      <c r="AE470">
        <v>0</v>
      </c>
      <c r="AF470">
        <v>0</v>
      </c>
      <c r="AG470">
        <v>0</v>
      </c>
      <c r="AH470" s="235">
        <f>'Basis Options'!CD475</f>
        <v>0</v>
      </c>
      <c r="AI470">
        <v>226</v>
      </c>
      <c r="AJ470" t="s">
        <v>256</v>
      </c>
      <c r="AK470">
        <v>0</v>
      </c>
      <c r="AL470">
        <v>0</v>
      </c>
      <c r="AM470">
        <v>0</v>
      </c>
    </row>
    <row r="471" spans="1:39" x14ac:dyDescent="0.25">
      <c r="A471" t="s">
        <v>233</v>
      </c>
      <c r="B471" t="str">
        <f>'Basis Options'!C476</f>
        <v>NR1864</v>
      </c>
      <c r="C471" t="s">
        <v>255</v>
      </c>
      <c r="D471" t="s">
        <v>234</v>
      </c>
      <c r="E471" t="s">
        <v>20</v>
      </c>
      <c r="F471" t="str">
        <f>'Basis Options'!A476</f>
        <v>UTILICORP</v>
      </c>
      <c r="G471" t="s">
        <v>269</v>
      </c>
      <c r="H471" t="s">
        <v>254</v>
      </c>
      <c r="I471" t="s">
        <v>242</v>
      </c>
      <c r="J471" t="s">
        <v>235</v>
      </c>
      <c r="K471" s="380">
        <f>'Basis Options'!G476</f>
        <v>36892</v>
      </c>
      <c r="L471" s="235">
        <f>'Basis Options'!U476</f>
        <v>-6864.6485513478528</v>
      </c>
      <c r="M471" s="380">
        <f>'Basis Options'!Q476</f>
        <v>36888</v>
      </c>
      <c r="N471" t="str">
        <f>'Basis Options'!F476</f>
        <v>C</v>
      </c>
      <c r="O471">
        <f>'Basis Options'!I476</f>
        <v>0.15</v>
      </c>
      <c r="P471">
        <v>0</v>
      </c>
      <c r="Q471">
        <v>0</v>
      </c>
      <c r="R471">
        <v>0</v>
      </c>
      <c r="S471">
        <v>0</v>
      </c>
      <c r="T471" t="s">
        <v>253</v>
      </c>
      <c r="U471" t="str">
        <f>IF('Basis Options'!D476="NGI/CHI. GATE","""NGI/CHI. GATE""",TRIM('Basis Options'!D476))</f>
        <v>"NGI/CHI. GATE"</v>
      </c>
      <c r="V471" t="s">
        <v>253</v>
      </c>
      <c r="W471" t="s">
        <v>132</v>
      </c>
      <c r="X471" t="s">
        <v>253</v>
      </c>
      <c r="Y471" t="s">
        <v>235</v>
      </c>
      <c r="Z471" t="s">
        <v>236</v>
      </c>
      <c r="AA471" t="s">
        <v>253</v>
      </c>
      <c r="AB471" t="s">
        <v>1</v>
      </c>
      <c r="AC471" s="235">
        <f>'Basis Options'!H476</f>
        <v>-155000</v>
      </c>
      <c r="AD471" s="235">
        <f>'Basis Options'!W476</f>
        <v>-1499.6605376056978</v>
      </c>
      <c r="AE471">
        <v>0</v>
      </c>
      <c r="AF471">
        <v>0</v>
      </c>
      <c r="AG471">
        <v>0</v>
      </c>
      <c r="AH471" s="235">
        <f>'Basis Options'!CD476</f>
        <v>0</v>
      </c>
      <c r="AI471">
        <v>226</v>
      </c>
      <c r="AJ471" t="s">
        <v>256</v>
      </c>
      <c r="AK471">
        <v>0</v>
      </c>
      <c r="AL471">
        <v>0</v>
      </c>
      <c r="AM471">
        <v>0</v>
      </c>
    </row>
    <row r="472" spans="1:39" x14ac:dyDescent="0.25">
      <c r="A472" t="s">
        <v>233</v>
      </c>
      <c r="B472" t="str">
        <f>'Basis Options'!C477</f>
        <v>NR1864</v>
      </c>
      <c r="C472" t="s">
        <v>255</v>
      </c>
      <c r="D472" t="s">
        <v>234</v>
      </c>
      <c r="E472" t="s">
        <v>20</v>
      </c>
      <c r="F472" t="str">
        <f>'Basis Options'!A477</f>
        <v>UTILICORP</v>
      </c>
      <c r="G472" t="s">
        <v>269</v>
      </c>
      <c r="H472" t="s">
        <v>254</v>
      </c>
      <c r="I472" t="s">
        <v>242</v>
      </c>
      <c r="J472" t="s">
        <v>235</v>
      </c>
      <c r="K472" s="380">
        <f>'Basis Options'!G477</f>
        <v>36861</v>
      </c>
      <c r="L472" s="235">
        <f>'Basis Options'!U477</f>
        <v>-4201.7819148455519</v>
      </c>
      <c r="M472" s="380">
        <f>'Basis Options'!Q477</f>
        <v>36859</v>
      </c>
      <c r="N472" t="str">
        <f>'Basis Options'!F477</f>
        <v>C</v>
      </c>
      <c r="O472">
        <f>'Basis Options'!I477</f>
        <v>0.15</v>
      </c>
      <c r="P472">
        <v>0</v>
      </c>
      <c r="Q472">
        <v>0</v>
      </c>
      <c r="R472">
        <v>0</v>
      </c>
      <c r="S472">
        <v>0</v>
      </c>
      <c r="T472" t="s">
        <v>253</v>
      </c>
      <c r="U472" t="str">
        <f>IF('Basis Options'!D477="NGI/CHI. GATE","""NGI/CHI. GATE""",TRIM('Basis Options'!D477))</f>
        <v>"NGI/CHI. GATE"</v>
      </c>
      <c r="V472" t="s">
        <v>253</v>
      </c>
      <c r="W472" t="s">
        <v>132</v>
      </c>
      <c r="X472" t="s">
        <v>253</v>
      </c>
      <c r="Y472" t="s">
        <v>235</v>
      </c>
      <c r="Z472" t="s">
        <v>236</v>
      </c>
      <c r="AA472" t="s">
        <v>253</v>
      </c>
      <c r="AB472" t="s">
        <v>1</v>
      </c>
      <c r="AC472" s="235">
        <f>'Basis Options'!H477</f>
        <v>-155000</v>
      </c>
      <c r="AD472" s="235">
        <f>'Basis Options'!W477</f>
        <v>-1220.7796516145172</v>
      </c>
      <c r="AE472">
        <v>0</v>
      </c>
      <c r="AF472">
        <v>0</v>
      </c>
      <c r="AG472">
        <v>0</v>
      </c>
      <c r="AH472" s="235">
        <f>'Basis Options'!CD477</f>
        <v>0</v>
      </c>
      <c r="AI472">
        <v>226</v>
      </c>
      <c r="AJ472" t="s">
        <v>256</v>
      </c>
      <c r="AK472">
        <v>0</v>
      </c>
      <c r="AL472">
        <v>0</v>
      </c>
      <c r="AM472">
        <v>0</v>
      </c>
    </row>
    <row r="473" spans="1:39" x14ac:dyDescent="0.25">
      <c r="A473" t="s">
        <v>233</v>
      </c>
      <c r="B473" t="str">
        <f>'Basis Options'!C478</f>
        <v>NR1864</v>
      </c>
      <c r="C473" t="s">
        <v>255</v>
      </c>
      <c r="D473" t="s">
        <v>234</v>
      </c>
      <c r="E473" t="s">
        <v>20</v>
      </c>
      <c r="F473" t="str">
        <f>'Basis Options'!A478</f>
        <v>UTILICORP</v>
      </c>
      <c r="G473" t="s">
        <v>269</v>
      </c>
      <c r="H473" t="s">
        <v>254</v>
      </c>
      <c r="I473" t="s">
        <v>242</v>
      </c>
      <c r="J473" t="s">
        <v>235</v>
      </c>
      <c r="K473" s="380">
        <f>'Basis Options'!G478</f>
        <v>36831</v>
      </c>
      <c r="L473" s="235">
        <f>'Basis Options'!U478</f>
        <v>-2287.5480893484873</v>
      </c>
      <c r="M473" s="380">
        <f>'Basis Options'!Q478</f>
        <v>36829</v>
      </c>
      <c r="N473" t="str">
        <f>'Basis Options'!F478</f>
        <v>C</v>
      </c>
      <c r="O473">
        <f>'Basis Options'!I478</f>
        <v>0.15</v>
      </c>
      <c r="P473">
        <v>0</v>
      </c>
      <c r="Q473">
        <v>0</v>
      </c>
      <c r="R473">
        <v>0</v>
      </c>
      <c r="S473">
        <v>0</v>
      </c>
      <c r="T473" t="s">
        <v>253</v>
      </c>
      <c r="U473" t="str">
        <f>IF('Basis Options'!D478="NGI/CHI. GATE","""NGI/CHI. GATE""",TRIM('Basis Options'!D478))</f>
        <v>"NGI/CHI. GATE"</v>
      </c>
      <c r="V473" t="s">
        <v>253</v>
      </c>
      <c r="W473" t="s">
        <v>132</v>
      </c>
      <c r="X473" t="s">
        <v>253</v>
      </c>
      <c r="Y473" t="s">
        <v>235</v>
      </c>
      <c r="Z473" t="s">
        <v>236</v>
      </c>
      <c r="AA473" t="s">
        <v>253</v>
      </c>
      <c r="AB473" t="s">
        <v>1</v>
      </c>
      <c r="AC473" s="235">
        <f>'Basis Options'!H478</f>
        <v>-150000</v>
      </c>
      <c r="AD473" s="235">
        <f>'Basis Options'!W478</f>
        <v>-857.9376105506235</v>
      </c>
      <c r="AE473">
        <v>0</v>
      </c>
      <c r="AF473">
        <v>0</v>
      </c>
      <c r="AG473">
        <v>0</v>
      </c>
      <c r="AH473" s="235">
        <f>'Basis Options'!CD478</f>
        <v>0</v>
      </c>
      <c r="AI473">
        <v>226</v>
      </c>
      <c r="AJ473" t="s">
        <v>256</v>
      </c>
      <c r="AK473">
        <v>0</v>
      </c>
      <c r="AL473">
        <v>0</v>
      </c>
      <c r="AM473">
        <v>0</v>
      </c>
    </row>
    <row r="474" spans="1:39" x14ac:dyDescent="0.25">
      <c r="A474" t="s">
        <v>233</v>
      </c>
      <c r="B474" t="str">
        <f>'Basis Options'!C479</f>
        <v>NR1866</v>
      </c>
      <c r="C474" t="s">
        <v>255</v>
      </c>
      <c r="D474" t="s">
        <v>234</v>
      </c>
      <c r="E474" t="s">
        <v>20</v>
      </c>
      <c r="F474" t="str">
        <f>'Basis Options'!A479</f>
        <v>ELPASMER</v>
      </c>
      <c r="G474" t="s">
        <v>269</v>
      </c>
      <c r="H474" t="s">
        <v>254</v>
      </c>
      <c r="I474" t="s">
        <v>242</v>
      </c>
      <c r="J474" t="s">
        <v>235</v>
      </c>
      <c r="K474" s="380">
        <f>'Basis Options'!G479</f>
        <v>36951</v>
      </c>
      <c r="L474" s="235">
        <f>'Basis Options'!U479</f>
        <v>514902.68222906132</v>
      </c>
      <c r="M474" s="380">
        <f>'Basis Options'!Q479</f>
        <v>36949</v>
      </c>
      <c r="N474" t="str">
        <f>'Basis Options'!F479</f>
        <v>C</v>
      </c>
      <c r="O474">
        <f>'Basis Options'!I479</f>
        <v>0.3</v>
      </c>
      <c r="P474">
        <v>0</v>
      </c>
      <c r="Q474">
        <v>0</v>
      </c>
      <c r="R474">
        <v>0</v>
      </c>
      <c r="S474">
        <v>0</v>
      </c>
      <c r="T474" t="s">
        <v>253</v>
      </c>
      <c r="U474" t="str">
        <f>IF('Basis Options'!D479="NGI/CHI. GATE","""NGI/CHI. GATE""",TRIM('Basis Options'!D479))</f>
        <v>NGI-SOCAL</v>
      </c>
      <c r="V474" t="s">
        <v>253</v>
      </c>
      <c r="W474" t="s">
        <v>132</v>
      </c>
      <c r="X474" t="s">
        <v>253</v>
      </c>
      <c r="Y474" t="s">
        <v>235</v>
      </c>
      <c r="Z474" t="s">
        <v>236</v>
      </c>
      <c r="AA474" t="s">
        <v>253</v>
      </c>
      <c r="AB474" t="s">
        <v>1</v>
      </c>
      <c r="AC474" s="235">
        <f>'Basis Options'!H479</f>
        <v>1000000</v>
      </c>
      <c r="AD474" s="235">
        <f>'Basis Options'!W479</f>
        <v>73668.239040490007</v>
      </c>
      <c r="AE474">
        <v>0</v>
      </c>
      <c r="AF474">
        <v>0</v>
      </c>
      <c r="AG474">
        <v>0</v>
      </c>
      <c r="AH474" s="235">
        <f>'Basis Options'!CD479</f>
        <v>0</v>
      </c>
      <c r="AI474">
        <v>226</v>
      </c>
      <c r="AJ474" t="s">
        <v>256</v>
      </c>
      <c r="AK474">
        <v>0</v>
      </c>
      <c r="AL474">
        <v>0</v>
      </c>
      <c r="AM474">
        <v>0</v>
      </c>
    </row>
    <row r="475" spans="1:39" x14ac:dyDescent="0.25">
      <c r="A475" t="s">
        <v>233</v>
      </c>
      <c r="B475" t="str">
        <f>'Basis Options'!C480</f>
        <v>NR1866</v>
      </c>
      <c r="C475" t="s">
        <v>255</v>
      </c>
      <c r="D475" t="s">
        <v>234</v>
      </c>
      <c r="E475" t="s">
        <v>20</v>
      </c>
      <c r="F475" t="str">
        <f>'Basis Options'!A480</f>
        <v>ELPASMER</v>
      </c>
      <c r="G475" t="s">
        <v>269</v>
      </c>
      <c r="H475" t="s">
        <v>254</v>
      </c>
      <c r="I475" t="s">
        <v>242</v>
      </c>
      <c r="J475" t="s">
        <v>235</v>
      </c>
      <c r="K475" s="380">
        <f>'Basis Options'!G480</f>
        <v>36923</v>
      </c>
      <c r="L475" s="235">
        <f>'Basis Options'!U480</f>
        <v>558645.6741077581</v>
      </c>
      <c r="M475" s="380">
        <f>'Basis Options'!Q480</f>
        <v>36921</v>
      </c>
      <c r="N475" t="str">
        <f>'Basis Options'!F480</f>
        <v>C</v>
      </c>
      <c r="O475">
        <f>'Basis Options'!I480</f>
        <v>0.3</v>
      </c>
      <c r="P475">
        <v>0</v>
      </c>
      <c r="Q475">
        <v>0</v>
      </c>
      <c r="R475">
        <v>0</v>
      </c>
      <c r="S475">
        <v>0</v>
      </c>
      <c r="T475" t="s">
        <v>253</v>
      </c>
      <c r="U475" t="str">
        <f>IF('Basis Options'!D480="NGI/CHI. GATE","""NGI/CHI. GATE""",TRIM('Basis Options'!D480))</f>
        <v>NGI-SOCAL</v>
      </c>
      <c r="V475" t="s">
        <v>253</v>
      </c>
      <c r="W475" t="s">
        <v>132</v>
      </c>
      <c r="X475" t="s">
        <v>253</v>
      </c>
      <c r="Y475" t="s">
        <v>235</v>
      </c>
      <c r="Z475" t="s">
        <v>236</v>
      </c>
      <c r="AA475" t="s">
        <v>253</v>
      </c>
      <c r="AB475" t="s">
        <v>1</v>
      </c>
      <c r="AC475" s="235">
        <f>'Basis Options'!H480</f>
        <v>1000000</v>
      </c>
      <c r="AD475" s="235">
        <f>'Basis Options'!W480</f>
        <v>75983.118406517664</v>
      </c>
      <c r="AE475">
        <v>0</v>
      </c>
      <c r="AF475">
        <v>0</v>
      </c>
      <c r="AG475">
        <v>0</v>
      </c>
      <c r="AH475" s="235">
        <f>'Basis Options'!CD480</f>
        <v>0</v>
      </c>
      <c r="AI475">
        <v>226</v>
      </c>
      <c r="AJ475" t="s">
        <v>256</v>
      </c>
      <c r="AK475">
        <v>0</v>
      </c>
      <c r="AL475">
        <v>0</v>
      </c>
      <c r="AM475">
        <v>0</v>
      </c>
    </row>
    <row r="476" spans="1:39" x14ac:dyDescent="0.25">
      <c r="A476" t="s">
        <v>233</v>
      </c>
      <c r="B476" t="str">
        <f>'Basis Options'!C481</f>
        <v>NR1866</v>
      </c>
      <c r="C476" t="s">
        <v>255</v>
      </c>
      <c r="D476" t="s">
        <v>234</v>
      </c>
      <c r="E476" t="s">
        <v>20</v>
      </c>
      <c r="F476" t="str">
        <f>'Basis Options'!A481</f>
        <v>ELPASMER</v>
      </c>
      <c r="G476" t="s">
        <v>269</v>
      </c>
      <c r="H476" t="s">
        <v>254</v>
      </c>
      <c r="I476" t="s">
        <v>242</v>
      </c>
      <c r="J476" t="s">
        <v>235</v>
      </c>
      <c r="K476" s="380">
        <f>'Basis Options'!G481</f>
        <v>36892</v>
      </c>
      <c r="L476" s="235">
        <f>'Basis Options'!U481</f>
        <v>647095.19353176432</v>
      </c>
      <c r="M476" s="380">
        <f>'Basis Options'!Q481</f>
        <v>36888</v>
      </c>
      <c r="N476" t="str">
        <f>'Basis Options'!F481</f>
        <v>C</v>
      </c>
      <c r="O476">
        <f>'Basis Options'!I481</f>
        <v>0.3</v>
      </c>
      <c r="P476">
        <v>0</v>
      </c>
      <c r="Q476">
        <v>0</v>
      </c>
      <c r="R476">
        <v>0</v>
      </c>
      <c r="S476">
        <v>0</v>
      </c>
      <c r="T476" t="s">
        <v>253</v>
      </c>
      <c r="U476" t="str">
        <f>IF('Basis Options'!D481="NGI/CHI. GATE","""NGI/CHI. GATE""",TRIM('Basis Options'!D481))</f>
        <v>NGI-SOCAL</v>
      </c>
      <c r="V476" t="s">
        <v>253</v>
      </c>
      <c r="W476" t="s">
        <v>132</v>
      </c>
      <c r="X476" t="s">
        <v>253</v>
      </c>
      <c r="Y476" t="s">
        <v>235</v>
      </c>
      <c r="Z476" t="s">
        <v>236</v>
      </c>
      <c r="AA476" t="s">
        <v>253</v>
      </c>
      <c r="AB476" t="s">
        <v>1</v>
      </c>
      <c r="AC476" s="235">
        <f>'Basis Options'!H481</f>
        <v>1000000</v>
      </c>
      <c r="AD476" s="235">
        <f>'Basis Options'!W481</f>
        <v>64824.028768808697</v>
      </c>
      <c r="AE476">
        <v>0</v>
      </c>
      <c r="AF476">
        <v>0</v>
      </c>
      <c r="AG476">
        <v>0</v>
      </c>
      <c r="AH476" s="235">
        <f>'Basis Options'!CD481</f>
        <v>0</v>
      </c>
      <c r="AI476">
        <v>226</v>
      </c>
      <c r="AJ476" t="s">
        <v>256</v>
      </c>
      <c r="AK476">
        <v>0</v>
      </c>
      <c r="AL476">
        <v>0</v>
      </c>
      <c r="AM476">
        <v>0</v>
      </c>
    </row>
    <row r="477" spans="1:39" x14ac:dyDescent="0.25">
      <c r="A477" t="s">
        <v>233</v>
      </c>
      <c r="B477" t="str">
        <f>'Basis Options'!C482</f>
        <v>NR1866</v>
      </c>
      <c r="C477" t="s">
        <v>255</v>
      </c>
      <c r="D477" t="s">
        <v>234</v>
      </c>
      <c r="E477" t="s">
        <v>20</v>
      </c>
      <c r="F477" t="str">
        <f>'Basis Options'!A482</f>
        <v>ELPASMER</v>
      </c>
      <c r="G477" t="s">
        <v>269</v>
      </c>
      <c r="H477" t="s">
        <v>254</v>
      </c>
      <c r="I477" t="s">
        <v>242</v>
      </c>
      <c r="J477" t="s">
        <v>235</v>
      </c>
      <c r="K477" s="380">
        <f>'Basis Options'!G482</f>
        <v>36861</v>
      </c>
      <c r="L477" s="235">
        <f>'Basis Options'!U482</f>
        <v>790865.17743194371</v>
      </c>
      <c r="M477" s="380">
        <f>'Basis Options'!Q482</f>
        <v>36859</v>
      </c>
      <c r="N477" t="str">
        <f>'Basis Options'!F482</f>
        <v>C</v>
      </c>
      <c r="O477">
        <f>'Basis Options'!I482</f>
        <v>0.3</v>
      </c>
      <c r="P477">
        <v>0</v>
      </c>
      <c r="Q477">
        <v>0</v>
      </c>
      <c r="R477">
        <v>0</v>
      </c>
      <c r="S477">
        <v>0</v>
      </c>
      <c r="T477" t="s">
        <v>253</v>
      </c>
      <c r="U477" t="str">
        <f>IF('Basis Options'!D482="NGI/CHI. GATE","""NGI/CHI. GATE""",TRIM('Basis Options'!D482))</f>
        <v>NGI-SOCAL</v>
      </c>
      <c r="V477" t="s">
        <v>253</v>
      </c>
      <c r="W477" t="s">
        <v>132</v>
      </c>
      <c r="X477" t="s">
        <v>253</v>
      </c>
      <c r="Y477" t="s">
        <v>235</v>
      </c>
      <c r="Z477" t="s">
        <v>236</v>
      </c>
      <c r="AA477" t="s">
        <v>253</v>
      </c>
      <c r="AB477" t="s">
        <v>1</v>
      </c>
      <c r="AC477" s="235">
        <f>'Basis Options'!H482</f>
        <v>1000000</v>
      </c>
      <c r="AD477" s="235">
        <f>'Basis Options'!W482</f>
        <v>45377.590464118053</v>
      </c>
      <c r="AE477">
        <v>0</v>
      </c>
      <c r="AF477">
        <v>0</v>
      </c>
      <c r="AG477">
        <v>0</v>
      </c>
      <c r="AH477" s="235">
        <f>'Basis Options'!CD482</f>
        <v>0</v>
      </c>
      <c r="AI477">
        <v>226</v>
      </c>
      <c r="AJ477" t="s">
        <v>256</v>
      </c>
      <c r="AK477">
        <v>0</v>
      </c>
      <c r="AL477">
        <v>0</v>
      </c>
      <c r="AM477">
        <v>0</v>
      </c>
    </row>
    <row r="478" spans="1:39" x14ac:dyDescent="0.25">
      <c r="A478" t="s">
        <v>233</v>
      </c>
      <c r="B478" t="str">
        <f>'Basis Options'!C483</f>
        <v>NR1866</v>
      </c>
      <c r="C478" t="s">
        <v>255</v>
      </c>
      <c r="D478" t="s">
        <v>234</v>
      </c>
      <c r="E478" t="s">
        <v>20</v>
      </c>
      <c r="F478" t="str">
        <f>'Basis Options'!A483</f>
        <v>ELPASMER</v>
      </c>
      <c r="G478" t="s">
        <v>269</v>
      </c>
      <c r="H478" t="s">
        <v>254</v>
      </c>
      <c r="I478" t="s">
        <v>242</v>
      </c>
      <c r="J478" t="s">
        <v>235</v>
      </c>
      <c r="K478" s="380">
        <f>'Basis Options'!G483</f>
        <v>36831</v>
      </c>
      <c r="L478" s="235">
        <f>'Basis Options'!U483</f>
        <v>1243178.3155446246</v>
      </c>
      <c r="M478" s="380">
        <f>'Basis Options'!Q483</f>
        <v>36829</v>
      </c>
      <c r="N478" t="str">
        <f>'Basis Options'!F483</f>
        <v>C</v>
      </c>
      <c r="O478">
        <f>'Basis Options'!I483</f>
        <v>0.3</v>
      </c>
      <c r="P478">
        <v>0</v>
      </c>
      <c r="Q478">
        <v>0</v>
      </c>
      <c r="R478">
        <v>0</v>
      </c>
      <c r="S478">
        <v>0</v>
      </c>
      <c r="T478" t="s">
        <v>253</v>
      </c>
      <c r="U478" t="str">
        <f>IF('Basis Options'!D483="NGI/CHI. GATE","""NGI/CHI. GATE""",TRIM('Basis Options'!D483))</f>
        <v>NGI-SOCAL</v>
      </c>
      <c r="V478" t="s">
        <v>253</v>
      </c>
      <c r="W478" t="s">
        <v>132</v>
      </c>
      <c r="X478" t="s">
        <v>253</v>
      </c>
      <c r="Y478" t="s">
        <v>235</v>
      </c>
      <c r="Z478" t="s">
        <v>236</v>
      </c>
      <c r="AA478" t="s">
        <v>253</v>
      </c>
      <c r="AB478" t="s">
        <v>1</v>
      </c>
      <c r="AC478" s="235">
        <f>'Basis Options'!H483</f>
        <v>1000000</v>
      </c>
      <c r="AD478" s="235">
        <f>'Basis Options'!W483</f>
        <v>11913.943407700281</v>
      </c>
      <c r="AE478">
        <v>0</v>
      </c>
      <c r="AF478">
        <v>0</v>
      </c>
      <c r="AG478">
        <v>0</v>
      </c>
      <c r="AH478" s="235">
        <f>'Basis Options'!CD483</f>
        <v>0</v>
      </c>
      <c r="AI478">
        <v>226</v>
      </c>
      <c r="AJ478" t="s">
        <v>256</v>
      </c>
      <c r="AK478">
        <v>0</v>
      </c>
      <c r="AL478">
        <v>0</v>
      </c>
      <c r="AM478">
        <v>0</v>
      </c>
    </row>
    <row r="479" spans="1:39" x14ac:dyDescent="0.25">
      <c r="A479" t="s">
        <v>233</v>
      </c>
      <c r="B479" t="str">
        <f>'Basis Options'!C484</f>
        <v>NR1867</v>
      </c>
      <c r="C479" t="s">
        <v>255</v>
      </c>
      <c r="D479" t="s">
        <v>234</v>
      </c>
      <c r="E479" t="s">
        <v>20</v>
      </c>
      <c r="F479" t="str">
        <f>'Basis Options'!A484</f>
        <v>CONAGRAENESER</v>
      </c>
      <c r="G479" t="s">
        <v>269</v>
      </c>
      <c r="H479" t="s">
        <v>254</v>
      </c>
      <c r="I479" t="s">
        <v>242</v>
      </c>
      <c r="J479" t="s">
        <v>235</v>
      </c>
      <c r="K479" s="380">
        <f>'Basis Options'!G484</f>
        <v>36951</v>
      </c>
      <c r="L479" s="235">
        <f>'Basis Options'!U484</f>
        <v>257451.34111453066</v>
      </c>
      <c r="M479" s="380">
        <f>'Basis Options'!Q484</f>
        <v>36949</v>
      </c>
      <c r="N479" t="str">
        <f>'Basis Options'!F484</f>
        <v>C</v>
      </c>
      <c r="O479">
        <f>'Basis Options'!I484</f>
        <v>0.3</v>
      </c>
      <c r="P479">
        <v>0</v>
      </c>
      <c r="Q479">
        <v>0</v>
      </c>
      <c r="R479">
        <v>0</v>
      </c>
      <c r="S479">
        <v>0</v>
      </c>
      <c r="T479" t="s">
        <v>253</v>
      </c>
      <c r="U479" t="str">
        <f>IF('Basis Options'!D484="NGI/CHI. GATE","""NGI/CHI. GATE""",TRIM('Basis Options'!D484))</f>
        <v>NGI-SOCAL</v>
      </c>
      <c r="V479" t="s">
        <v>253</v>
      </c>
      <c r="W479" t="s">
        <v>132</v>
      </c>
      <c r="X479" t="s">
        <v>253</v>
      </c>
      <c r="Y479" t="s">
        <v>235</v>
      </c>
      <c r="Z479" t="s">
        <v>236</v>
      </c>
      <c r="AA479" t="s">
        <v>253</v>
      </c>
      <c r="AB479" t="s">
        <v>1</v>
      </c>
      <c r="AC479" s="235">
        <f>'Basis Options'!H484</f>
        <v>500000</v>
      </c>
      <c r="AD479" s="235">
        <f>'Basis Options'!W484</f>
        <v>36834.119520245004</v>
      </c>
      <c r="AE479">
        <v>0</v>
      </c>
      <c r="AF479">
        <v>0</v>
      </c>
      <c r="AG479">
        <v>0</v>
      </c>
      <c r="AH479" s="235">
        <f>'Basis Options'!CD484</f>
        <v>0</v>
      </c>
      <c r="AI479">
        <v>226</v>
      </c>
      <c r="AJ479" t="s">
        <v>256</v>
      </c>
      <c r="AK479">
        <v>0</v>
      </c>
      <c r="AL479">
        <v>0</v>
      </c>
      <c r="AM479">
        <v>0</v>
      </c>
    </row>
    <row r="480" spans="1:39" x14ac:dyDescent="0.25">
      <c r="A480" t="s">
        <v>233</v>
      </c>
      <c r="B480" t="str">
        <f>'Basis Options'!C485</f>
        <v>NR1867</v>
      </c>
      <c r="C480" t="s">
        <v>255</v>
      </c>
      <c r="D480" t="s">
        <v>234</v>
      </c>
      <c r="E480" t="s">
        <v>20</v>
      </c>
      <c r="F480" t="str">
        <f>'Basis Options'!A485</f>
        <v>CONAGRAENESER</v>
      </c>
      <c r="G480" t="s">
        <v>269</v>
      </c>
      <c r="H480" t="s">
        <v>254</v>
      </c>
      <c r="I480" t="s">
        <v>242</v>
      </c>
      <c r="J480" t="s">
        <v>235</v>
      </c>
      <c r="K480" s="380">
        <f>'Basis Options'!G485</f>
        <v>36923</v>
      </c>
      <c r="L480" s="235">
        <f>'Basis Options'!U485</f>
        <v>279322.83705387905</v>
      </c>
      <c r="M480" s="380">
        <f>'Basis Options'!Q485</f>
        <v>36921</v>
      </c>
      <c r="N480" t="str">
        <f>'Basis Options'!F485</f>
        <v>C</v>
      </c>
      <c r="O480">
        <f>'Basis Options'!I485</f>
        <v>0.3</v>
      </c>
      <c r="P480">
        <v>0</v>
      </c>
      <c r="Q480">
        <v>0</v>
      </c>
      <c r="R480">
        <v>0</v>
      </c>
      <c r="S480">
        <v>0</v>
      </c>
      <c r="T480" t="s">
        <v>253</v>
      </c>
      <c r="U480" t="str">
        <f>IF('Basis Options'!D485="NGI/CHI. GATE","""NGI/CHI. GATE""",TRIM('Basis Options'!D485))</f>
        <v>NGI-SOCAL</v>
      </c>
      <c r="V480" t="s">
        <v>253</v>
      </c>
      <c r="W480" t="s">
        <v>132</v>
      </c>
      <c r="X480" t="s">
        <v>253</v>
      </c>
      <c r="Y480" t="s">
        <v>235</v>
      </c>
      <c r="Z480" t="s">
        <v>236</v>
      </c>
      <c r="AA480" t="s">
        <v>253</v>
      </c>
      <c r="AB480" t="s">
        <v>1</v>
      </c>
      <c r="AC480" s="235">
        <f>'Basis Options'!H485</f>
        <v>500000</v>
      </c>
      <c r="AD480" s="235">
        <f>'Basis Options'!W485</f>
        <v>37991.559203258832</v>
      </c>
      <c r="AE480">
        <v>0</v>
      </c>
      <c r="AF480">
        <v>0</v>
      </c>
      <c r="AG480">
        <v>0</v>
      </c>
      <c r="AH480" s="235">
        <f>'Basis Options'!CD485</f>
        <v>0</v>
      </c>
      <c r="AI480">
        <v>226</v>
      </c>
      <c r="AJ480" t="s">
        <v>256</v>
      </c>
      <c r="AK480">
        <v>0</v>
      </c>
      <c r="AL480">
        <v>0</v>
      </c>
      <c r="AM480">
        <v>0</v>
      </c>
    </row>
    <row r="481" spans="1:39" x14ac:dyDescent="0.25">
      <c r="A481" t="s">
        <v>233</v>
      </c>
      <c r="B481" t="str">
        <f>'Basis Options'!C486</f>
        <v>NR1867</v>
      </c>
      <c r="C481" t="s">
        <v>255</v>
      </c>
      <c r="D481" t="s">
        <v>234</v>
      </c>
      <c r="E481" t="s">
        <v>20</v>
      </c>
      <c r="F481" t="str">
        <f>'Basis Options'!A486</f>
        <v>CONAGRAENESER</v>
      </c>
      <c r="G481" t="s">
        <v>269</v>
      </c>
      <c r="H481" t="s">
        <v>254</v>
      </c>
      <c r="I481" t="s">
        <v>242</v>
      </c>
      <c r="J481" t="s">
        <v>235</v>
      </c>
      <c r="K481" s="380">
        <f>'Basis Options'!G486</f>
        <v>36892</v>
      </c>
      <c r="L481" s="235">
        <f>'Basis Options'!U486</f>
        <v>323547.59676588216</v>
      </c>
      <c r="M481" s="380">
        <f>'Basis Options'!Q486</f>
        <v>36888</v>
      </c>
      <c r="N481" t="str">
        <f>'Basis Options'!F486</f>
        <v>C</v>
      </c>
      <c r="O481">
        <f>'Basis Options'!I486</f>
        <v>0.3</v>
      </c>
      <c r="P481">
        <v>0</v>
      </c>
      <c r="Q481">
        <v>0</v>
      </c>
      <c r="R481">
        <v>0</v>
      </c>
      <c r="S481">
        <v>0</v>
      </c>
      <c r="T481" t="s">
        <v>253</v>
      </c>
      <c r="U481" t="str">
        <f>IF('Basis Options'!D486="NGI/CHI. GATE","""NGI/CHI. GATE""",TRIM('Basis Options'!D486))</f>
        <v>NGI-SOCAL</v>
      </c>
      <c r="V481" t="s">
        <v>253</v>
      </c>
      <c r="W481" t="s">
        <v>132</v>
      </c>
      <c r="X481" t="s">
        <v>253</v>
      </c>
      <c r="Y481" t="s">
        <v>235</v>
      </c>
      <c r="Z481" t="s">
        <v>236</v>
      </c>
      <c r="AA481" t="s">
        <v>253</v>
      </c>
      <c r="AB481" t="s">
        <v>1</v>
      </c>
      <c r="AC481" s="235">
        <f>'Basis Options'!H486</f>
        <v>500000</v>
      </c>
      <c r="AD481" s="235">
        <f>'Basis Options'!W486</f>
        <v>32412.014384404349</v>
      </c>
      <c r="AE481">
        <v>0</v>
      </c>
      <c r="AF481">
        <v>0</v>
      </c>
      <c r="AG481">
        <v>0</v>
      </c>
      <c r="AH481" s="235">
        <f>'Basis Options'!CD486</f>
        <v>0</v>
      </c>
      <c r="AI481">
        <v>226</v>
      </c>
      <c r="AJ481" t="s">
        <v>256</v>
      </c>
      <c r="AK481">
        <v>0</v>
      </c>
      <c r="AL481">
        <v>0</v>
      </c>
      <c r="AM481">
        <v>0</v>
      </c>
    </row>
    <row r="482" spans="1:39" x14ac:dyDescent="0.25">
      <c r="A482" t="s">
        <v>233</v>
      </c>
      <c r="B482" t="str">
        <f>'Basis Options'!C487</f>
        <v>NR1867</v>
      </c>
      <c r="C482" t="s">
        <v>255</v>
      </c>
      <c r="D482" t="s">
        <v>234</v>
      </c>
      <c r="E482" t="s">
        <v>20</v>
      </c>
      <c r="F482" t="str">
        <f>'Basis Options'!A487</f>
        <v>CONAGRAENESER</v>
      </c>
      <c r="G482" t="s">
        <v>269</v>
      </c>
      <c r="H482" t="s">
        <v>254</v>
      </c>
      <c r="I482" t="s">
        <v>242</v>
      </c>
      <c r="J482" t="s">
        <v>235</v>
      </c>
      <c r="K482" s="380">
        <f>'Basis Options'!G487</f>
        <v>36861</v>
      </c>
      <c r="L482" s="235">
        <f>'Basis Options'!U487</f>
        <v>395432.58871597185</v>
      </c>
      <c r="M482" s="380">
        <f>'Basis Options'!Q487</f>
        <v>36859</v>
      </c>
      <c r="N482" t="str">
        <f>'Basis Options'!F487</f>
        <v>C</v>
      </c>
      <c r="O482">
        <f>'Basis Options'!I487</f>
        <v>0.3</v>
      </c>
      <c r="P482">
        <v>0</v>
      </c>
      <c r="Q482">
        <v>0</v>
      </c>
      <c r="R482">
        <v>0</v>
      </c>
      <c r="S482">
        <v>0</v>
      </c>
      <c r="T482" t="s">
        <v>253</v>
      </c>
      <c r="U482" t="str">
        <f>IF('Basis Options'!D487="NGI/CHI. GATE","""NGI/CHI. GATE""",TRIM('Basis Options'!D487))</f>
        <v>NGI-SOCAL</v>
      </c>
      <c r="V482" t="s">
        <v>253</v>
      </c>
      <c r="W482" t="s">
        <v>132</v>
      </c>
      <c r="X482" t="s">
        <v>253</v>
      </c>
      <c r="Y482" t="s">
        <v>235</v>
      </c>
      <c r="Z482" t="s">
        <v>236</v>
      </c>
      <c r="AA482" t="s">
        <v>253</v>
      </c>
      <c r="AB482" t="s">
        <v>1</v>
      </c>
      <c r="AC482" s="235">
        <f>'Basis Options'!H487</f>
        <v>500000</v>
      </c>
      <c r="AD482" s="235">
        <f>'Basis Options'!W487</f>
        <v>22688.795232059027</v>
      </c>
      <c r="AE482">
        <v>0</v>
      </c>
      <c r="AF482">
        <v>0</v>
      </c>
      <c r="AG482">
        <v>0</v>
      </c>
      <c r="AH482" s="235">
        <f>'Basis Options'!CD487</f>
        <v>0</v>
      </c>
      <c r="AI482">
        <v>226</v>
      </c>
      <c r="AJ482" t="s">
        <v>256</v>
      </c>
      <c r="AK482">
        <v>0</v>
      </c>
      <c r="AL482">
        <v>0</v>
      </c>
      <c r="AM482">
        <v>0</v>
      </c>
    </row>
    <row r="483" spans="1:39" x14ac:dyDescent="0.25">
      <c r="A483" t="s">
        <v>233</v>
      </c>
      <c r="B483" t="str">
        <f>'Basis Options'!C488</f>
        <v>NR1867</v>
      </c>
      <c r="C483" t="s">
        <v>255</v>
      </c>
      <c r="D483" t="s">
        <v>234</v>
      </c>
      <c r="E483" t="s">
        <v>20</v>
      </c>
      <c r="F483" t="str">
        <f>'Basis Options'!A488</f>
        <v>CONAGRAENESER</v>
      </c>
      <c r="G483" t="s">
        <v>269</v>
      </c>
      <c r="H483" t="s">
        <v>254</v>
      </c>
      <c r="I483" t="s">
        <v>242</v>
      </c>
      <c r="J483" t="s">
        <v>235</v>
      </c>
      <c r="K483" s="380">
        <f>'Basis Options'!G488</f>
        <v>36831</v>
      </c>
      <c r="L483" s="235">
        <f>'Basis Options'!U488</f>
        <v>621589.15777231229</v>
      </c>
      <c r="M483" s="380">
        <f>'Basis Options'!Q488</f>
        <v>36829</v>
      </c>
      <c r="N483" t="str">
        <f>'Basis Options'!F488</f>
        <v>C</v>
      </c>
      <c r="O483">
        <f>'Basis Options'!I488</f>
        <v>0.3</v>
      </c>
      <c r="P483">
        <v>0</v>
      </c>
      <c r="Q483">
        <v>0</v>
      </c>
      <c r="R483">
        <v>0</v>
      </c>
      <c r="S483">
        <v>0</v>
      </c>
      <c r="T483" t="s">
        <v>253</v>
      </c>
      <c r="U483" t="str">
        <f>IF('Basis Options'!D488="NGI/CHI. GATE","""NGI/CHI. GATE""",TRIM('Basis Options'!D488))</f>
        <v>NGI-SOCAL</v>
      </c>
      <c r="V483" t="s">
        <v>253</v>
      </c>
      <c r="W483" t="s">
        <v>132</v>
      </c>
      <c r="X483" t="s">
        <v>253</v>
      </c>
      <c r="Y483" t="s">
        <v>235</v>
      </c>
      <c r="Z483" t="s">
        <v>236</v>
      </c>
      <c r="AA483" t="s">
        <v>253</v>
      </c>
      <c r="AB483" t="s">
        <v>1</v>
      </c>
      <c r="AC483" s="235">
        <f>'Basis Options'!H488</f>
        <v>500000</v>
      </c>
      <c r="AD483" s="235">
        <f>'Basis Options'!W488</f>
        <v>5956.9717038501403</v>
      </c>
      <c r="AE483">
        <v>0</v>
      </c>
      <c r="AF483">
        <v>0</v>
      </c>
      <c r="AG483">
        <v>0</v>
      </c>
      <c r="AH483" s="235">
        <f>'Basis Options'!CD488</f>
        <v>0</v>
      </c>
      <c r="AI483">
        <v>226</v>
      </c>
      <c r="AJ483" t="s">
        <v>256</v>
      </c>
      <c r="AK483">
        <v>0</v>
      </c>
      <c r="AL483">
        <v>0</v>
      </c>
      <c r="AM483">
        <v>0</v>
      </c>
    </row>
    <row r="484" spans="1:39" x14ac:dyDescent="0.25">
      <c r="A484" t="s">
        <v>233</v>
      </c>
      <c r="B484" t="str">
        <f>'Basis Options'!C489</f>
        <v>NR3983</v>
      </c>
      <c r="C484" t="s">
        <v>255</v>
      </c>
      <c r="D484" t="s">
        <v>234</v>
      </c>
      <c r="E484" t="s">
        <v>20</v>
      </c>
      <c r="F484" t="str">
        <f>'Basis Options'!A489</f>
        <v>SOUTHERCOMENEMA</v>
      </c>
      <c r="G484" t="s">
        <v>269</v>
      </c>
      <c r="H484" t="s">
        <v>254</v>
      </c>
      <c r="I484" t="s">
        <v>242</v>
      </c>
      <c r="J484" t="s">
        <v>235</v>
      </c>
      <c r="K484" s="380">
        <f>'Basis Options'!G489</f>
        <v>37165</v>
      </c>
      <c r="L484" s="235">
        <f>'Basis Options'!U489</f>
        <v>42461.197876219114</v>
      </c>
      <c r="M484" s="380">
        <f>'Basis Options'!Q489</f>
        <v>37161</v>
      </c>
      <c r="N484" t="str">
        <f>'Basis Options'!F489</f>
        <v>C</v>
      </c>
      <c r="O484">
        <f>'Basis Options'!I489</f>
        <v>0.5</v>
      </c>
      <c r="P484">
        <v>0</v>
      </c>
      <c r="Q484">
        <v>0</v>
      </c>
      <c r="R484">
        <v>0</v>
      </c>
      <c r="S484">
        <v>0</v>
      </c>
      <c r="T484" t="s">
        <v>253</v>
      </c>
      <c r="U484" t="str">
        <f>IF('Basis Options'!D489="NGI/CHI. GATE","""NGI/CHI. GATE""",TRIM('Basis Options'!D489))</f>
        <v>IF-TRANSCO/Z6</v>
      </c>
      <c r="V484" t="s">
        <v>253</v>
      </c>
      <c r="W484" t="s">
        <v>132</v>
      </c>
      <c r="X484" t="s">
        <v>253</v>
      </c>
      <c r="Y484" t="s">
        <v>235</v>
      </c>
      <c r="Z484" t="s">
        <v>236</v>
      </c>
      <c r="AA484" t="s">
        <v>253</v>
      </c>
      <c r="AB484" t="s">
        <v>1</v>
      </c>
      <c r="AC484" s="235">
        <f>'Basis Options'!H489</f>
        <v>310000</v>
      </c>
      <c r="AD484" s="235">
        <f>'Basis Options'!W489</f>
        <v>9533.9413308529038</v>
      </c>
      <c r="AE484">
        <v>0</v>
      </c>
      <c r="AF484">
        <v>0</v>
      </c>
      <c r="AG484">
        <v>0</v>
      </c>
      <c r="AH484" s="235">
        <f>'Basis Options'!CD489</f>
        <v>0</v>
      </c>
      <c r="AI484">
        <v>226</v>
      </c>
      <c r="AJ484" t="s">
        <v>256</v>
      </c>
      <c r="AK484">
        <v>0</v>
      </c>
      <c r="AL484">
        <v>0</v>
      </c>
      <c r="AM484">
        <v>0</v>
      </c>
    </row>
    <row r="485" spans="1:39" x14ac:dyDescent="0.25">
      <c r="A485" t="s">
        <v>233</v>
      </c>
      <c r="B485" t="str">
        <f>'Basis Options'!C490</f>
        <v>NR3983</v>
      </c>
      <c r="C485" t="s">
        <v>255</v>
      </c>
      <c r="D485" t="s">
        <v>234</v>
      </c>
      <c r="E485" t="s">
        <v>20</v>
      </c>
      <c r="F485" t="str">
        <f>'Basis Options'!A490</f>
        <v>SOUTHERCOMENEMA</v>
      </c>
      <c r="G485" t="s">
        <v>269</v>
      </c>
      <c r="H485" t="s">
        <v>254</v>
      </c>
      <c r="I485" t="s">
        <v>242</v>
      </c>
      <c r="J485" t="s">
        <v>235</v>
      </c>
      <c r="K485" s="380">
        <f>'Basis Options'!G490</f>
        <v>37135</v>
      </c>
      <c r="L485" s="235">
        <f>'Basis Options'!U490</f>
        <v>31255.62152005536</v>
      </c>
      <c r="M485" s="380">
        <f>'Basis Options'!Q490</f>
        <v>37133</v>
      </c>
      <c r="N485" t="str">
        <f>'Basis Options'!F490</f>
        <v>C</v>
      </c>
      <c r="O485">
        <f>'Basis Options'!I490</f>
        <v>0.5</v>
      </c>
      <c r="P485">
        <v>0</v>
      </c>
      <c r="Q485">
        <v>0</v>
      </c>
      <c r="R485">
        <v>0</v>
      </c>
      <c r="S485">
        <v>0</v>
      </c>
      <c r="T485" t="s">
        <v>253</v>
      </c>
      <c r="U485" t="str">
        <f>IF('Basis Options'!D490="NGI/CHI. GATE","""NGI/CHI. GATE""",TRIM('Basis Options'!D490))</f>
        <v>IF-TRANSCO/Z6</v>
      </c>
      <c r="V485" t="s">
        <v>253</v>
      </c>
      <c r="W485" t="s">
        <v>132</v>
      </c>
      <c r="X485" t="s">
        <v>253</v>
      </c>
      <c r="Y485" t="s">
        <v>235</v>
      </c>
      <c r="Z485" t="s">
        <v>236</v>
      </c>
      <c r="AA485" t="s">
        <v>253</v>
      </c>
      <c r="AB485" t="s">
        <v>1</v>
      </c>
      <c r="AC485" s="235">
        <f>'Basis Options'!H490</f>
        <v>300000</v>
      </c>
      <c r="AD485" s="235">
        <f>'Basis Options'!W490</f>
        <v>8685.9522528150119</v>
      </c>
      <c r="AE485">
        <v>0</v>
      </c>
      <c r="AF485">
        <v>0</v>
      </c>
      <c r="AG485">
        <v>0</v>
      </c>
      <c r="AH485" s="235">
        <f>'Basis Options'!CD490</f>
        <v>0</v>
      </c>
      <c r="AI485">
        <v>226</v>
      </c>
      <c r="AJ485" t="s">
        <v>256</v>
      </c>
      <c r="AK485">
        <v>0</v>
      </c>
      <c r="AL485">
        <v>0</v>
      </c>
      <c r="AM485">
        <v>0</v>
      </c>
    </row>
    <row r="486" spans="1:39" x14ac:dyDescent="0.25">
      <c r="A486" t="s">
        <v>233</v>
      </c>
      <c r="B486" t="str">
        <f>'Basis Options'!C491</f>
        <v>NR3983</v>
      </c>
      <c r="C486" t="s">
        <v>255</v>
      </c>
      <c r="D486" t="s">
        <v>234</v>
      </c>
      <c r="E486" t="s">
        <v>20</v>
      </c>
      <c r="F486" t="str">
        <f>'Basis Options'!A491</f>
        <v>SOUTHERCOMENEMA</v>
      </c>
      <c r="G486" t="s">
        <v>269</v>
      </c>
      <c r="H486" t="s">
        <v>254</v>
      </c>
      <c r="I486" t="s">
        <v>242</v>
      </c>
      <c r="J486" t="s">
        <v>235</v>
      </c>
      <c r="K486" s="380">
        <f>'Basis Options'!G491</f>
        <v>37104</v>
      </c>
      <c r="L486" s="235">
        <f>'Basis Options'!U491</f>
        <v>39149.939765792333</v>
      </c>
      <c r="M486" s="380">
        <f>'Basis Options'!Q491</f>
        <v>37102</v>
      </c>
      <c r="N486" t="str">
        <f>'Basis Options'!F491</f>
        <v>C</v>
      </c>
      <c r="O486">
        <f>'Basis Options'!I491</f>
        <v>0.5</v>
      </c>
      <c r="P486">
        <v>0</v>
      </c>
      <c r="Q486">
        <v>0</v>
      </c>
      <c r="R486">
        <v>0</v>
      </c>
      <c r="S486">
        <v>0</v>
      </c>
      <c r="T486" t="s">
        <v>253</v>
      </c>
      <c r="U486" t="str">
        <f>IF('Basis Options'!D491="NGI/CHI. GATE","""NGI/CHI. GATE""",TRIM('Basis Options'!D491))</f>
        <v>IF-TRANSCO/Z6</v>
      </c>
      <c r="V486" t="s">
        <v>253</v>
      </c>
      <c r="W486" t="s">
        <v>132</v>
      </c>
      <c r="X486" t="s">
        <v>253</v>
      </c>
      <c r="Y486" t="s">
        <v>235</v>
      </c>
      <c r="Z486" t="s">
        <v>236</v>
      </c>
      <c r="AA486" t="s">
        <v>253</v>
      </c>
      <c r="AB486" t="s">
        <v>1</v>
      </c>
      <c r="AC486" s="235">
        <f>'Basis Options'!H491</f>
        <v>310000</v>
      </c>
      <c r="AD486" s="235">
        <f>'Basis Options'!W491</f>
        <v>8845.7452386770456</v>
      </c>
      <c r="AE486">
        <v>0</v>
      </c>
      <c r="AF486">
        <v>0</v>
      </c>
      <c r="AG486">
        <v>0</v>
      </c>
      <c r="AH486" s="235">
        <f>'Basis Options'!CD491</f>
        <v>0</v>
      </c>
      <c r="AI486">
        <v>226</v>
      </c>
      <c r="AJ486" t="s">
        <v>256</v>
      </c>
      <c r="AK486">
        <v>0</v>
      </c>
      <c r="AL486">
        <v>0</v>
      </c>
      <c r="AM486">
        <v>0</v>
      </c>
    </row>
    <row r="487" spans="1:39" x14ac:dyDescent="0.25">
      <c r="A487" t="s">
        <v>233</v>
      </c>
      <c r="B487" t="str">
        <f>'Basis Options'!C492</f>
        <v>NR3983</v>
      </c>
      <c r="C487" t="s">
        <v>255</v>
      </c>
      <c r="D487" t="s">
        <v>234</v>
      </c>
      <c r="E487" t="s">
        <v>20</v>
      </c>
      <c r="F487" t="str">
        <f>'Basis Options'!A492</f>
        <v>SOUTHERCOMENEMA</v>
      </c>
      <c r="G487" t="s">
        <v>269</v>
      </c>
      <c r="H487" t="s">
        <v>254</v>
      </c>
      <c r="I487" t="s">
        <v>242</v>
      </c>
      <c r="J487" t="s">
        <v>235</v>
      </c>
      <c r="K487" s="380">
        <f>'Basis Options'!G492</f>
        <v>37073</v>
      </c>
      <c r="L487" s="235">
        <f>'Basis Options'!U492</f>
        <v>37138.543371315202</v>
      </c>
      <c r="M487" s="380">
        <f>'Basis Options'!Q492</f>
        <v>37070</v>
      </c>
      <c r="N487" t="str">
        <f>'Basis Options'!F492</f>
        <v>C</v>
      </c>
      <c r="O487">
        <f>'Basis Options'!I492</f>
        <v>0.5</v>
      </c>
      <c r="P487">
        <v>0</v>
      </c>
      <c r="Q487">
        <v>0</v>
      </c>
      <c r="R487">
        <v>0</v>
      </c>
      <c r="S487">
        <v>0</v>
      </c>
      <c r="T487" t="s">
        <v>253</v>
      </c>
      <c r="U487" t="str">
        <f>IF('Basis Options'!D492="NGI/CHI. GATE","""NGI/CHI. GATE""",TRIM('Basis Options'!D492))</f>
        <v>IF-TRANSCO/Z6</v>
      </c>
      <c r="V487" t="s">
        <v>253</v>
      </c>
      <c r="W487" t="s">
        <v>132</v>
      </c>
      <c r="X487" t="s">
        <v>253</v>
      </c>
      <c r="Y487" t="s">
        <v>235</v>
      </c>
      <c r="Z487" t="s">
        <v>236</v>
      </c>
      <c r="AA487" t="s">
        <v>253</v>
      </c>
      <c r="AB487" t="s">
        <v>1</v>
      </c>
      <c r="AC487" s="235">
        <f>'Basis Options'!H492</f>
        <v>310000</v>
      </c>
      <c r="AD487" s="235">
        <f>'Basis Options'!W492</f>
        <v>8454.9650352081517</v>
      </c>
      <c r="AE487">
        <v>0</v>
      </c>
      <c r="AF487">
        <v>0</v>
      </c>
      <c r="AG487">
        <v>0</v>
      </c>
      <c r="AH487" s="235">
        <f>'Basis Options'!CD492</f>
        <v>0</v>
      </c>
      <c r="AI487">
        <v>226</v>
      </c>
      <c r="AJ487" t="s">
        <v>256</v>
      </c>
      <c r="AK487">
        <v>0</v>
      </c>
      <c r="AL487">
        <v>0</v>
      </c>
      <c r="AM487">
        <v>0</v>
      </c>
    </row>
    <row r="488" spans="1:39" x14ac:dyDescent="0.25">
      <c r="A488" t="s">
        <v>233</v>
      </c>
      <c r="B488" t="str">
        <f>'Basis Options'!C493</f>
        <v>NR3983</v>
      </c>
      <c r="C488" t="s">
        <v>255</v>
      </c>
      <c r="D488" t="s">
        <v>234</v>
      </c>
      <c r="E488" t="s">
        <v>20</v>
      </c>
      <c r="F488" t="str">
        <f>'Basis Options'!A493</f>
        <v>SOUTHERCOMENEMA</v>
      </c>
      <c r="G488" t="s">
        <v>269</v>
      </c>
      <c r="H488" t="s">
        <v>254</v>
      </c>
      <c r="I488" t="s">
        <v>242</v>
      </c>
      <c r="J488" t="s">
        <v>235</v>
      </c>
      <c r="K488" s="380">
        <f>'Basis Options'!G493</f>
        <v>37043</v>
      </c>
      <c r="L488" s="235">
        <f>'Basis Options'!U493</f>
        <v>26141.11234579701</v>
      </c>
      <c r="M488" s="380">
        <f>'Basis Options'!Q493</f>
        <v>37041</v>
      </c>
      <c r="N488" t="str">
        <f>'Basis Options'!F493</f>
        <v>C</v>
      </c>
      <c r="O488">
        <f>'Basis Options'!I493</f>
        <v>0.5</v>
      </c>
      <c r="P488">
        <v>0</v>
      </c>
      <c r="Q488">
        <v>0</v>
      </c>
      <c r="R488">
        <v>0</v>
      </c>
      <c r="S488">
        <v>0</v>
      </c>
      <c r="T488" t="s">
        <v>253</v>
      </c>
      <c r="U488" t="str">
        <f>IF('Basis Options'!D493="NGI/CHI. GATE","""NGI/CHI. GATE""",TRIM('Basis Options'!D493))</f>
        <v>IF-TRANSCO/Z6</v>
      </c>
      <c r="V488" t="s">
        <v>253</v>
      </c>
      <c r="W488" t="s">
        <v>132</v>
      </c>
      <c r="X488" t="s">
        <v>253</v>
      </c>
      <c r="Y488" t="s">
        <v>235</v>
      </c>
      <c r="Z488" t="s">
        <v>236</v>
      </c>
      <c r="AA488" t="s">
        <v>253</v>
      </c>
      <c r="AB488" t="s">
        <v>1</v>
      </c>
      <c r="AC488" s="235">
        <f>'Basis Options'!H493</f>
        <v>300000</v>
      </c>
      <c r="AD488" s="235">
        <f>'Basis Options'!W493</f>
        <v>7568.8967474587989</v>
      </c>
      <c r="AE488">
        <v>0</v>
      </c>
      <c r="AF488">
        <v>0</v>
      </c>
      <c r="AG488">
        <v>0</v>
      </c>
      <c r="AH488" s="235">
        <f>'Basis Options'!CD493</f>
        <v>0</v>
      </c>
      <c r="AI488">
        <v>226</v>
      </c>
      <c r="AJ488" t="s">
        <v>256</v>
      </c>
      <c r="AK488">
        <v>0</v>
      </c>
      <c r="AL488">
        <v>0</v>
      </c>
      <c r="AM488">
        <v>0</v>
      </c>
    </row>
    <row r="489" spans="1:39" x14ac:dyDescent="0.25">
      <c r="A489" t="s">
        <v>233</v>
      </c>
      <c r="B489" t="str">
        <f>'Basis Options'!C494</f>
        <v>NR3983</v>
      </c>
      <c r="C489" t="s">
        <v>255</v>
      </c>
      <c r="D489" t="s">
        <v>234</v>
      </c>
      <c r="E489" t="s">
        <v>20</v>
      </c>
      <c r="F489" t="str">
        <f>'Basis Options'!A494</f>
        <v>SOUTHERCOMENEMA</v>
      </c>
      <c r="G489" t="s">
        <v>269</v>
      </c>
      <c r="H489" t="s">
        <v>254</v>
      </c>
      <c r="I489" t="s">
        <v>242</v>
      </c>
      <c r="J489" t="s">
        <v>235</v>
      </c>
      <c r="K489" s="380">
        <f>'Basis Options'!G494</f>
        <v>37012</v>
      </c>
      <c r="L489" s="235">
        <f>'Basis Options'!U494</f>
        <v>26553.819471471325</v>
      </c>
      <c r="M489" s="380">
        <f>'Basis Options'!Q494</f>
        <v>37008</v>
      </c>
      <c r="N489" t="str">
        <f>'Basis Options'!F494</f>
        <v>C</v>
      </c>
      <c r="O489">
        <f>'Basis Options'!I494</f>
        <v>0.5</v>
      </c>
      <c r="P489">
        <v>0</v>
      </c>
      <c r="Q489">
        <v>0</v>
      </c>
      <c r="R489">
        <v>0</v>
      </c>
      <c r="S489">
        <v>0</v>
      </c>
      <c r="T489" t="s">
        <v>253</v>
      </c>
      <c r="U489" t="str">
        <f>IF('Basis Options'!D494="NGI/CHI. GATE","""NGI/CHI. GATE""",TRIM('Basis Options'!D494))</f>
        <v>IF-TRANSCO/Z6</v>
      </c>
      <c r="V489" t="s">
        <v>253</v>
      </c>
      <c r="W489" t="s">
        <v>132</v>
      </c>
      <c r="X489" t="s">
        <v>253</v>
      </c>
      <c r="Y489" t="s">
        <v>235</v>
      </c>
      <c r="Z489" t="s">
        <v>236</v>
      </c>
      <c r="AA489" t="s">
        <v>253</v>
      </c>
      <c r="AB489" t="s">
        <v>1</v>
      </c>
      <c r="AC489" s="235">
        <f>'Basis Options'!H494</f>
        <v>310000</v>
      </c>
      <c r="AD489" s="235">
        <f>'Basis Options'!W494</f>
        <v>7508.7766927408811</v>
      </c>
      <c r="AE489">
        <v>0</v>
      </c>
      <c r="AF489">
        <v>0</v>
      </c>
      <c r="AG489">
        <v>0</v>
      </c>
      <c r="AH489" s="235">
        <f>'Basis Options'!CD494</f>
        <v>0</v>
      </c>
      <c r="AI489">
        <v>226</v>
      </c>
      <c r="AJ489" t="s">
        <v>256</v>
      </c>
      <c r="AK489">
        <v>0</v>
      </c>
      <c r="AL489">
        <v>0</v>
      </c>
      <c r="AM489">
        <v>0</v>
      </c>
    </row>
    <row r="490" spans="1:39" x14ac:dyDescent="0.25">
      <c r="A490" t="s">
        <v>233</v>
      </c>
      <c r="B490" t="str">
        <f>'Basis Options'!C495</f>
        <v>NR3983</v>
      </c>
      <c r="C490" t="s">
        <v>255</v>
      </c>
      <c r="D490" t="s">
        <v>234</v>
      </c>
      <c r="E490" t="s">
        <v>20</v>
      </c>
      <c r="F490" t="str">
        <f>'Basis Options'!A495</f>
        <v>SOUTHERCOMENEMA</v>
      </c>
      <c r="G490" t="s">
        <v>269</v>
      </c>
      <c r="H490" t="s">
        <v>254</v>
      </c>
      <c r="I490" t="s">
        <v>242</v>
      </c>
      <c r="J490" t="s">
        <v>235</v>
      </c>
      <c r="K490" s="380">
        <f>'Basis Options'!G495</f>
        <v>36982</v>
      </c>
      <c r="L490" s="235">
        <f>'Basis Options'!U495</f>
        <v>43297.666295195195</v>
      </c>
      <c r="M490" s="380">
        <f>'Basis Options'!Q495</f>
        <v>36979</v>
      </c>
      <c r="N490" t="str">
        <f>'Basis Options'!F495</f>
        <v>C</v>
      </c>
      <c r="O490">
        <f>'Basis Options'!I495</f>
        <v>0.5</v>
      </c>
      <c r="P490">
        <v>0</v>
      </c>
      <c r="Q490">
        <v>0</v>
      </c>
      <c r="R490">
        <v>0</v>
      </c>
      <c r="S490">
        <v>0</v>
      </c>
      <c r="T490" t="s">
        <v>253</v>
      </c>
      <c r="U490" t="str">
        <f>IF('Basis Options'!D495="NGI/CHI. GATE","""NGI/CHI. GATE""",TRIM('Basis Options'!D495))</f>
        <v>IF-TRANSCO/Z6</v>
      </c>
      <c r="V490" t="s">
        <v>253</v>
      </c>
      <c r="W490" t="s">
        <v>132</v>
      </c>
      <c r="X490" t="s">
        <v>253</v>
      </c>
      <c r="Y490" t="s">
        <v>235</v>
      </c>
      <c r="Z490" t="s">
        <v>236</v>
      </c>
      <c r="AA490" t="s">
        <v>253</v>
      </c>
      <c r="AB490" t="s">
        <v>1</v>
      </c>
      <c r="AC490" s="235">
        <f>'Basis Options'!H495</f>
        <v>300000</v>
      </c>
      <c r="AD490" s="235">
        <f>'Basis Options'!W495</f>
        <v>7748.7803192043211</v>
      </c>
      <c r="AE490">
        <v>0</v>
      </c>
      <c r="AF490">
        <v>0</v>
      </c>
      <c r="AG490">
        <v>0</v>
      </c>
      <c r="AH490" s="235">
        <f>'Basis Options'!CD495</f>
        <v>0</v>
      </c>
      <c r="AI490">
        <v>226</v>
      </c>
      <c r="AJ490" t="s">
        <v>256</v>
      </c>
      <c r="AK490">
        <v>0</v>
      </c>
      <c r="AL490">
        <v>0</v>
      </c>
      <c r="AM490">
        <v>0</v>
      </c>
    </row>
    <row r="491" spans="1:39" x14ac:dyDescent="0.25">
      <c r="A491" t="s">
        <v>233</v>
      </c>
      <c r="B491" t="str">
        <f>'Basis Options'!C496</f>
        <v>NR3997</v>
      </c>
      <c r="C491" t="s">
        <v>255</v>
      </c>
      <c r="D491" t="s">
        <v>234</v>
      </c>
      <c r="E491" t="s">
        <v>20</v>
      </c>
      <c r="F491" t="str">
        <f>'Basis Options'!A496</f>
        <v>ELPASMER</v>
      </c>
      <c r="G491" t="s">
        <v>269</v>
      </c>
      <c r="H491" t="s">
        <v>254</v>
      </c>
      <c r="I491" t="s">
        <v>242</v>
      </c>
      <c r="J491" t="s">
        <v>235</v>
      </c>
      <c r="K491" s="380">
        <f>'Basis Options'!G496</f>
        <v>36951</v>
      </c>
      <c r="L491" s="235">
        <f>'Basis Options'!U496</f>
        <v>257451.34111453066</v>
      </c>
      <c r="M491" s="380">
        <f>'Basis Options'!Q496</f>
        <v>36949</v>
      </c>
      <c r="N491" t="str">
        <f>'Basis Options'!F496</f>
        <v>C</v>
      </c>
      <c r="O491">
        <f>'Basis Options'!I496</f>
        <v>0.3</v>
      </c>
      <c r="P491">
        <v>0</v>
      </c>
      <c r="Q491">
        <v>0</v>
      </c>
      <c r="R491">
        <v>0</v>
      </c>
      <c r="S491">
        <v>0</v>
      </c>
      <c r="T491" t="s">
        <v>253</v>
      </c>
      <c r="U491" t="str">
        <f>IF('Basis Options'!D496="NGI/CHI. GATE","""NGI/CHI. GATE""",TRIM('Basis Options'!D496))</f>
        <v>NGI-SOCAL</v>
      </c>
      <c r="V491" t="s">
        <v>253</v>
      </c>
      <c r="W491" t="s">
        <v>132</v>
      </c>
      <c r="X491" t="s">
        <v>253</v>
      </c>
      <c r="Y491" t="s">
        <v>235</v>
      </c>
      <c r="Z491" t="s">
        <v>236</v>
      </c>
      <c r="AA491" t="s">
        <v>253</v>
      </c>
      <c r="AB491" t="s">
        <v>1</v>
      </c>
      <c r="AC491" s="235">
        <f>'Basis Options'!H496</f>
        <v>500000</v>
      </c>
      <c r="AD491" s="235">
        <f>'Basis Options'!W496</f>
        <v>36834.119520245004</v>
      </c>
      <c r="AE491">
        <v>0</v>
      </c>
      <c r="AF491">
        <v>0</v>
      </c>
      <c r="AG491">
        <v>0</v>
      </c>
      <c r="AH491" s="235">
        <f>'Basis Options'!CD496</f>
        <v>0</v>
      </c>
      <c r="AI491">
        <v>226</v>
      </c>
      <c r="AJ491" t="s">
        <v>256</v>
      </c>
      <c r="AK491">
        <v>0</v>
      </c>
      <c r="AL491">
        <v>0</v>
      </c>
      <c r="AM491">
        <v>0</v>
      </c>
    </row>
    <row r="492" spans="1:39" x14ac:dyDescent="0.25">
      <c r="A492" t="s">
        <v>233</v>
      </c>
      <c r="B492" t="str">
        <f>'Basis Options'!C497</f>
        <v>NR3997</v>
      </c>
      <c r="C492" t="s">
        <v>255</v>
      </c>
      <c r="D492" t="s">
        <v>234</v>
      </c>
      <c r="E492" t="s">
        <v>20</v>
      </c>
      <c r="F492" t="str">
        <f>'Basis Options'!A497</f>
        <v>ELPASMER</v>
      </c>
      <c r="G492" t="s">
        <v>269</v>
      </c>
      <c r="H492" t="s">
        <v>254</v>
      </c>
      <c r="I492" t="s">
        <v>242</v>
      </c>
      <c r="J492" t="s">
        <v>235</v>
      </c>
      <c r="K492" s="380">
        <f>'Basis Options'!G497</f>
        <v>36923</v>
      </c>
      <c r="L492" s="235">
        <f>'Basis Options'!U497</f>
        <v>279322.83705387905</v>
      </c>
      <c r="M492" s="380">
        <f>'Basis Options'!Q497</f>
        <v>36921</v>
      </c>
      <c r="N492" t="str">
        <f>'Basis Options'!F497</f>
        <v>C</v>
      </c>
      <c r="O492">
        <f>'Basis Options'!I497</f>
        <v>0.3</v>
      </c>
      <c r="P492">
        <v>0</v>
      </c>
      <c r="Q492">
        <v>0</v>
      </c>
      <c r="R492">
        <v>0</v>
      </c>
      <c r="S492">
        <v>0</v>
      </c>
      <c r="T492" t="s">
        <v>253</v>
      </c>
      <c r="U492" t="str">
        <f>IF('Basis Options'!D497="NGI/CHI. GATE","""NGI/CHI. GATE""",TRIM('Basis Options'!D497))</f>
        <v>NGI-SOCAL</v>
      </c>
      <c r="V492" t="s">
        <v>253</v>
      </c>
      <c r="W492" t="s">
        <v>132</v>
      </c>
      <c r="X492" t="s">
        <v>253</v>
      </c>
      <c r="Y492" t="s">
        <v>235</v>
      </c>
      <c r="Z492" t="s">
        <v>236</v>
      </c>
      <c r="AA492" t="s">
        <v>253</v>
      </c>
      <c r="AB492" t="s">
        <v>1</v>
      </c>
      <c r="AC492" s="235">
        <f>'Basis Options'!H497</f>
        <v>500000</v>
      </c>
      <c r="AD492" s="235">
        <f>'Basis Options'!W497</f>
        <v>37991.559203258832</v>
      </c>
      <c r="AE492">
        <v>0</v>
      </c>
      <c r="AF492">
        <v>0</v>
      </c>
      <c r="AG492">
        <v>0</v>
      </c>
      <c r="AH492" s="235">
        <f>'Basis Options'!CD497</f>
        <v>0</v>
      </c>
      <c r="AI492">
        <v>226</v>
      </c>
      <c r="AJ492" t="s">
        <v>256</v>
      </c>
      <c r="AK492">
        <v>0</v>
      </c>
      <c r="AL492">
        <v>0</v>
      </c>
      <c r="AM492">
        <v>0</v>
      </c>
    </row>
    <row r="493" spans="1:39" x14ac:dyDescent="0.25">
      <c r="A493" t="s">
        <v>233</v>
      </c>
      <c r="B493" t="str">
        <f>'Basis Options'!C498</f>
        <v>NR3997</v>
      </c>
      <c r="C493" t="s">
        <v>255</v>
      </c>
      <c r="D493" t="s">
        <v>234</v>
      </c>
      <c r="E493" t="s">
        <v>20</v>
      </c>
      <c r="F493" t="str">
        <f>'Basis Options'!A498</f>
        <v>ELPASMER</v>
      </c>
      <c r="G493" t="s">
        <v>269</v>
      </c>
      <c r="H493" t="s">
        <v>254</v>
      </c>
      <c r="I493" t="s">
        <v>242</v>
      </c>
      <c r="J493" t="s">
        <v>235</v>
      </c>
      <c r="K493" s="380">
        <f>'Basis Options'!G498</f>
        <v>36892</v>
      </c>
      <c r="L493" s="235">
        <f>'Basis Options'!U498</f>
        <v>323547.59676588216</v>
      </c>
      <c r="M493" s="380">
        <f>'Basis Options'!Q498</f>
        <v>36888</v>
      </c>
      <c r="N493" t="str">
        <f>'Basis Options'!F498</f>
        <v>C</v>
      </c>
      <c r="O493">
        <f>'Basis Options'!I498</f>
        <v>0.3</v>
      </c>
      <c r="P493">
        <v>0</v>
      </c>
      <c r="Q493">
        <v>0</v>
      </c>
      <c r="R493">
        <v>0</v>
      </c>
      <c r="S493">
        <v>0</v>
      </c>
      <c r="T493" t="s">
        <v>253</v>
      </c>
      <c r="U493" t="str">
        <f>IF('Basis Options'!D498="NGI/CHI. GATE","""NGI/CHI. GATE""",TRIM('Basis Options'!D498))</f>
        <v>NGI-SOCAL</v>
      </c>
      <c r="V493" t="s">
        <v>253</v>
      </c>
      <c r="W493" t="s">
        <v>132</v>
      </c>
      <c r="X493" t="s">
        <v>253</v>
      </c>
      <c r="Y493" t="s">
        <v>235</v>
      </c>
      <c r="Z493" t="s">
        <v>236</v>
      </c>
      <c r="AA493" t="s">
        <v>253</v>
      </c>
      <c r="AB493" t="s">
        <v>1</v>
      </c>
      <c r="AC493" s="235">
        <f>'Basis Options'!H498</f>
        <v>500000</v>
      </c>
      <c r="AD493" s="235">
        <f>'Basis Options'!W498</f>
        <v>32412.014384404349</v>
      </c>
      <c r="AE493">
        <v>0</v>
      </c>
      <c r="AF493">
        <v>0</v>
      </c>
      <c r="AG493">
        <v>0</v>
      </c>
      <c r="AH493" s="235">
        <f>'Basis Options'!CD498</f>
        <v>0</v>
      </c>
      <c r="AI493">
        <v>226</v>
      </c>
      <c r="AJ493" t="s">
        <v>256</v>
      </c>
      <c r="AK493">
        <v>0</v>
      </c>
      <c r="AL493">
        <v>0</v>
      </c>
      <c r="AM493">
        <v>0</v>
      </c>
    </row>
    <row r="494" spans="1:39" x14ac:dyDescent="0.25">
      <c r="A494" t="s">
        <v>233</v>
      </c>
      <c r="B494" t="str">
        <f>'Basis Options'!C499</f>
        <v>NR3997</v>
      </c>
      <c r="C494" t="s">
        <v>255</v>
      </c>
      <c r="D494" t="s">
        <v>234</v>
      </c>
      <c r="E494" t="s">
        <v>20</v>
      </c>
      <c r="F494" t="str">
        <f>'Basis Options'!A499</f>
        <v>ELPASMER</v>
      </c>
      <c r="G494" t="s">
        <v>269</v>
      </c>
      <c r="H494" t="s">
        <v>254</v>
      </c>
      <c r="I494" t="s">
        <v>242</v>
      </c>
      <c r="J494" t="s">
        <v>235</v>
      </c>
      <c r="K494" s="380">
        <f>'Basis Options'!G499</f>
        <v>36861</v>
      </c>
      <c r="L494" s="235">
        <f>'Basis Options'!U499</f>
        <v>395432.58871597185</v>
      </c>
      <c r="M494" s="380">
        <f>'Basis Options'!Q499</f>
        <v>36859</v>
      </c>
      <c r="N494" t="str">
        <f>'Basis Options'!F499</f>
        <v>C</v>
      </c>
      <c r="O494">
        <f>'Basis Options'!I499</f>
        <v>0.3</v>
      </c>
      <c r="P494">
        <v>0</v>
      </c>
      <c r="Q494">
        <v>0</v>
      </c>
      <c r="R494">
        <v>0</v>
      </c>
      <c r="S494">
        <v>0</v>
      </c>
      <c r="T494" t="s">
        <v>253</v>
      </c>
      <c r="U494" t="str">
        <f>IF('Basis Options'!D499="NGI/CHI. GATE","""NGI/CHI. GATE""",TRIM('Basis Options'!D499))</f>
        <v>NGI-SOCAL</v>
      </c>
      <c r="V494" t="s">
        <v>253</v>
      </c>
      <c r="W494" t="s">
        <v>132</v>
      </c>
      <c r="X494" t="s">
        <v>253</v>
      </c>
      <c r="Y494" t="s">
        <v>235</v>
      </c>
      <c r="Z494" t="s">
        <v>236</v>
      </c>
      <c r="AA494" t="s">
        <v>253</v>
      </c>
      <c r="AB494" t="s">
        <v>1</v>
      </c>
      <c r="AC494" s="235">
        <f>'Basis Options'!H499</f>
        <v>500000</v>
      </c>
      <c r="AD494" s="235">
        <f>'Basis Options'!W499</f>
        <v>22688.795232059027</v>
      </c>
      <c r="AE494">
        <v>0</v>
      </c>
      <c r="AF494">
        <v>0</v>
      </c>
      <c r="AG494">
        <v>0</v>
      </c>
      <c r="AH494" s="235">
        <f>'Basis Options'!CD499</f>
        <v>0</v>
      </c>
      <c r="AI494">
        <v>226</v>
      </c>
      <c r="AJ494" t="s">
        <v>256</v>
      </c>
      <c r="AK494">
        <v>0</v>
      </c>
      <c r="AL494">
        <v>0</v>
      </c>
      <c r="AM494">
        <v>0</v>
      </c>
    </row>
    <row r="495" spans="1:39" x14ac:dyDescent="0.25">
      <c r="A495" t="s">
        <v>233</v>
      </c>
      <c r="B495" t="str">
        <f>'Basis Options'!C500</f>
        <v>NR3997</v>
      </c>
      <c r="C495" t="s">
        <v>255</v>
      </c>
      <c r="D495" t="s">
        <v>234</v>
      </c>
      <c r="E495" t="s">
        <v>20</v>
      </c>
      <c r="F495" t="str">
        <f>'Basis Options'!A500</f>
        <v>ELPASMER</v>
      </c>
      <c r="G495" t="s">
        <v>269</v>
      </c>
      <c r="H495" t="s">
        <v>254</v>
      </c>
      <c r="I495" t="s">
        <v>242</v>
      </c>
      <c r="J495" t="s">
        <v>235</v>
      </c>
      <c r="K495" s="380">
        <f>'Basis Options'!G500</f>
        <v>36831</v>
      </c>
      <c r="L495" s="235">
        <f>'Basis Options'!U500</f>
        <v>621589.15777231229</v>
      </c>
      <c r="M495" s="380">
        <f>'Basis Options'!Q500</f>
        <v>36829</v>
      </c>
      <c r="N495" t="str">
        <f>'Basis Options'!F500</f>
        <v>C</v>
      </c>
      <c r="O495">
        <f>'Basis Options'!I500</f>
        <v>0.3</v>
      </c>
      <c r="P495">
        <v>0</v>
      </c>
      <c r="Q495">
        <v>0</v>
      </c>
      <c r="R495">
        <v>0</v>
      </c>
      <c r="S495">
        <v>0</v>
      </c>
      <c r="T495" t="s">
        <v>253</v>
      </c>
      <c r="U495" t="str">
        <f>IF('Basis Options'!D500="NGI/CHI. GATE","""NGI/CHI. GATE""",TRIM('Basis Options'!D500))</f>
        <v>NGI-SOCAL</v>
      </c>
      <c r="V495" t="s">
        <v>253</v>
      </c>
      <c r="W495" t="s">
        <v>132</v>
      </c>
      <c r="X495" t="s">
        <v>253</v>
      </c>
      <c r="Y495" t="s">
        <v>235</v>
      </c>
      <c r="Z495" t="s">
        <v>236</v>
      </c>
      <c r="AA495" t="s">
        <v>253</v>
      </c>
      <c r="AB495" t="s">
        <v>1</v>
      </c>
      <c r="AC495" s="235">
        <f>'Basis Options'!H500</f>
        <v>500000</v>
      </c>
      <c r="AD495" s="235">
        <f>'Basis Options'!W500</f>
        <v>5956.9717038501403</v>
      </c>
      <c r="AE495">
        <v>0</v>
      </c>
      <c r="AF495">
        <v>0</v>
      </c>
      <c r="AG495">
        <v>0</v>
      </c>
      <c r="AH495" s="235">
        <f>'Basis Options'!CD500</f>
        <v>0</v>
      </c>
      <c r="AI495">
        <v>226</v>
      </c>
      <c r="AJ495" t="s">
        <v>256</v>
      </c>
      <c r="AK495">
        <v>0</v>
      </c>
      <c r="AL495">
        <v>0</v>
      </c>
      <c r="AM495">
        <v>0</v>
      </c>
    </row>
    <row r="496" spans="1:39" x14ac:dyDescent="0.25">
      <c r="A496" t="s">
        <v>233</v>
      </c>
      <c r="B496" t="str">
        <f>'Basis Options'!C501</f>
        <v>NR3998</v>
      </c>
      <c r="C496" t="s">
        <v>255</v>
      </c>
      <c r="D496" t="s">
        <v>234</v>
      </c>
      <c r="E496" t="s">
        <v>20</v>
      </c>
      <c r="F496" t="str">
        <f>'Basis Options'!A501</f>
        <v>CONAGRAENESER</v>
      </c>
      <c r="G496" t="s">
        <v>269</v>
      </c>
      <c r="H496" t="s">
        <v>254</v>
      </c>
      <c r="I496" t="s">
        <v>242</v>
      </c>
      <c r="J496" t="s">
        <v>235</v>
      </c>
      <c r="K496" s="380">
        <f>'Basis Options'!G501</f>
        <v>36831</v>
      </c>
      <c r="L496" s="235">
        <f>'Basis Options'!U501</f>
        <v>244619.18217292681</v>
      </c>
      <c r="M496" s="380">
        <f>'Basis Options'!Q501</f>
        <v>36829</v>
      </c>
      <c r="N496" t="str">
        <f>'Basis Options'!F501</f>
        <v>C</v>
      </c>
      <c r="O496">
        <f>'Basis Options'!I501</f>
        <v>0.8</v>
      </c>
      <c r="P496">
        <v>0</v>
      </c>
      <c r="Q496">
        <v>0</v>
      </c>
      <c r="R496">
        <v>0</v>
      </c>
      <c r="S496">
        <v>0</v>
      </c>
      <c r="T496" t="s">
        <v>253</v>
      </c>
      <c r="U496" t="str">
        <f>IF('Basis Options'!D501="NGI/CHI. GATE","""NGI/CHI. GATE""",TRIM('Basis Options'!D501))</f>
        <v>IF-TRANSCO/Z6</v>
      </c>
      <c r="V496" t="s">
        <v>253</v>
      </c>
      <c r="W496" t="s">
        <v>132</v>
      </c>
      <c r="X496" t="s">
        <v>253</v>
      </c>
      <c r="Y496" t="s">
        <v>235</v>
      </c>
      <c r="Z496" t="s">
        <v>236</v>
      </c>
      <c r="AA496" t="s">
        <v>253</v>
      </c>
      <c r="AB496" t="s">
        <v>1</v>
      </c>
      <c r="AC496" s="235">
        <f>'Basis Options'!H501</f>
        <v>1000000</v>
      </c>
      <c r="AD496" s="235">
        <f>'Basis Options'!W501</f>
        <v>44586.221725014795</v>
      </c>
      <c r="AE496">
        <v>0</v>
      </c>
      <c r="AF496">
        <v>0</v>
      </c>
      <c r="AG496">
        <v>0</v>
      </c>
      <c r="AH496" s="235">
        <f>'Basis Options'!CD501</f>
        <v>0</v>
      </c>
      <c r="AI496">
        <v>226</v>
      </c>
      <c r="AJ496" t="s">
        <v>256</v>
      </c>
      <c r="AK496">
        <v>0</v>
      </c>
      <c r="AL496">
        <v>0</v>
      </c>
      <c r="AM496">
        <v>0</v>
      </c>
    </row>
    <row r="497" spans="1:39" x14ac:dyDescent="0.25">
      <c r="A497" t="s">
        <v>233</v>
      </c>
      <c r="B497" t="str">
        <f>'Basis Options'!C502</f>
        <v>NR5974</v>
      </c>
      <c r="C497" t="s">
        <v>255</v>
      </c>
      <c r="D497" t="s">
        <v>234</v>
      </c>
      <c r="E497" t="s">
        <v>20</v>
      </c>
      <c r="F497" t="str">
        <f>'Basis Options'!A502</f>
        <v>CONAGRAENESER</v>
      </c>
      <c r="G497" t="s">
        <v>269</v>
      </c>
      <c r="H497" t="s">
        <v>254</v>
      </c>
      <c r="I497" t="s">
        <v>242</v>
      </c>
      <c r="J497" t="s">
        <v>235</v>
      </c>
      <c r="K497" s="380">
        <f>'Basis Options'!G502</f>
        <v>36800</v>
      </c>
      <c r="L497" s="235">
        <f>'Basis Options'!U502</f>
        <v>209.49796654649825</v>
      </c>
      <c r="M497" s="380">
        <f>'Basis Options'!Q502</f>
        <v>36797</v>
      </c>
      <c r="N497" t="str">
        <f>'Basis Options'!F502</f>
        <v>C</v>
      </c>
      <c r="O497">
        <f>'Basis Options'!I502</f>
        <v>0.7</v>
      </c>
      <c r="P497">
        <v>0</v>
      </c>
      <c r="Q497">
        <v>0</v>
      </c>
      <c r="R497">
        <v>0</v>
      </c>
      <c r="S497">
        <v>0</v>
      </c>
      <c r="T497" t="s">
        <v>253</v>
      </c>
      <c r="U497" t="str">
        <f>IF('Basis Options'!D502="NGI/CHI. GATE","""NGI/CHI. GATE""",TRIM('Basis Options'!D502))</f>
        <v>IF-TRANSCO/Z6</v>
      </c>
      <c r="V497" t="s">
        <v>253</v>
      </c>
      <c r="W497" t="s">
        <v>132</v>
      </c>
      <c r="X497" t="s">
        <v>253</v>
      </c>
      <c r="Y497" t="s">
        <v>235</v>
      </c>
      <c r="Z497" t="s">
        <v>236</v>
      </c>
      <c r="AA497" t="s">
        <v>253</v>
      </c>
      <c r="AB497" t="s">
        <v>1</v>
      </c>
      <c r="AC497" s="235">
        <f>'Basis Options'!H502</f>
        <v>310000</v>
      </c>
      <c r="AD497" s="235">
        <f>'Basis Options'!W502</f>
        <v>167.65799101620814</v>
      </c>
      <c r="AE497">
        <v>0</v>
      </c>
      <c r="AF497">
        <v>0</v>
      </c>
      <c r="AG497">
        <v>0</v>
      </c>
      <c r="AH497" s="235">
        <f>'Basis Options'!CD502</f>
        <v>0</v>
      </c>
      <c r="AI497">
        <v>226</v>
      </c>
      <c r="AJ497" t="s">
        <v>256</v>
      </c>
      <c r="AK497">
        <v>0</v>
      </c>
      <c r="AL497">
        <v>0</v>
      </c>
      <c r="AM497">
        <v>0</v>
      </c>
    </row>
    <row r="498" spans="1:39" x14ac:dyDescent="0.25">
      <c r="A498" t="s">
        <v>233</v>
      </c>
      <c r="B498" t="str">
        <f>'Basis Options'!C503</f>
        <v>NR5976</v>
      </c>
      <c r="C498" t="s">
        <v>255</v>
      </c>
      <c r="D498" t="s">
        <v>234</v>
      </c>
      <c r="E498" t="s">
        <v>20</v>
      </c>
      <c r="F498" t="str">
        <f>'Basis Options'!A503</f>
        <v>TRACTEBEENEMAR</v>
      </c>
      <c r="G498" t="s">
        <v>269</v>
      </c>
      <c r="H498" t="s">
        <v>254</v>
      </c>
      <c r="I498" t="s">
        <v>242</v>
      </c>
      <c r="J498" t="s">
        <v>235</v>
      </c>
      <c r="K498" s="380">
        <f>'Basis Options'!G503</f>
        <v>36951</v>
      </c>
      <c r="L498" s="235">
        <f>'Basis Options'!U503</f>
        <v>48546.105577244532</v>
      </c>
      <c r="M498" s="380">
        <f>'Basis Options'!Q503</f>
        <v>36949</v>
      </c>
      <c r="N498" t="str">
        <f>'Basis Options'!F503</f>
        <v>C</v>
      </c>
      <c r="O498">
        <f>'Basis Options'!I503</f>
        <v>2.5</v>
      </c>
      <c r="P498">
        <v>0</v>
      </c>
      <c r="Q498">
        <v>0</v>
      </c>
      <c r="R498">
        <v>0</v>
      </c>
      <c r="S498">
        <v>0</v>
      </c>
      <c r="T498" t="s">
        <v>253</v>
      </c>
      <c r="U498" t="str">
        <f>IF('Basis Options'!D503="NGI/CHI. GATE","""NGI/CHI. GATE""",TRIM('Basis Options'!D503))</f>
        <v>IF-TRANSCO/Z6</v>
      </c>
      <c r="V498" t="s">
        <v>253</v>
      </c>
      <c r="W498" t="s">
        <v>132</v>
      </c>
      <c r="X498" t="s">
        <v>253</v>
      </c>
      <c r="Y498" t="s">
        <v>235</v>
      </c>
      <c r="Z498" t="s">
        <v>236</v>
      </c>
      <c r="AA498" t="s">
        <v>253</v>
      </c>
      <c r="AB498" t="s">
        <v>1</v>
      </c>
      <c r="AC498" s="235">
        <f>'Basis Options'!H503</f>
        <v>310000</v>
      </c>
      <c r="AD498" s="235">
        <f>'Basis Options'!W503</f>
        <v>17681.731965443352</v>
      </c>
      <c r="AE498">
        <v>0</v>
      </c>
      <c r="AF498">
        <v>0</v>
      </c>
      <c r="AG498">
        <v>0</v>
      </c>
      <c r="AH498" s="235">
        <f>'Basis Options'!CD503</f>
        <v>0</v>
      </c>
      <c r="AI498">
        <v>226</v>
      </c>
      <c r="AJ498" t="s">
        <v>256</v>
      </c>
      <c r="AK498">
        <v>0</v>
      </c>
      <c r="AL498">
        <v>0</v>
      </c>
      <c r="AM498">
        <v>0</v>
      </c>
    </row>
    <row r="499" spans="1:39" x14ac:dyDescent="0.25">
      <c r="A499" t="s">
        <v>233</v>
      </c>
      <c r="B499" t="str">
        <f>'Basis Options'!C504</f>
        <v>NR5976</v>
      </c>
      <c r="C499" t="s">
        <v>255</v>
      </c>
      <c r="D499" t="s">
        <v>234</v>
      </c>
      <c r="E499" t="s">
        <v>20</v>
      </c>
      <c r="F499" t="str">
        <f>'Basis Options'!A504</f>
        <v>TRACTEBEENEMAR</v>
      </c>
      <c r="G499" t="s">
        <v>269</v>
      </c>
      <c r="H499" t="s">
        <v>254</v>
      </c>
      <c r="I499" t="s">
        <v>242</v>
      </c>
      <c r="J499" t="s">
        <v>235</v>
      </c>
      <c r="K499" s="380">
        <f>'Basis Options'!G504</f>
        <v>36923</v>
      </c>
      <c r="L499" s="235">
        <f>'Basis Options'!U504</f>
        <v>149783.67096474412</v>
      </c>
      <c r="M499" s="380">
        <f>'Basis Options'!Q504</f>
        <v>36921</v>
      </c>
      <c r="N499" t="str">
        <f>'Basis Options'!F504</f>
        <v>C</v>
      </c>
      <c r="O499">
        <f>'Basis Options'!I504</f>
        <v>2.5</v>
      </c>
      <c r="P499">
        <v>0</v>
      </c>
      <c r="Q499">
        <v>0</v>
      </c>
      <c r="R499">
        <v>0</v>
      </c>
      <c r="S499">
        <v>0</v>
      </c>
      <c r="T499" t="s">
        <v>253</v>
      </c>
      <c r="U499" t="str">
        <f>IF('Basis Options'!D504="NGI/CHI. GATE","""NGI/CHI. GATE""",TRIM('Basis Options'!D504))</f>
        <v>IF-TRANSCO/Z6</v>
      </c>
      <c r="V499" t="s">
        <v>253</v>
      </c>
      <c r="W499" t="s">
        <v>132</v>
      </c>
      <c r="X499" t="s">
        <v>253</v>
      </c>
      <c r="Y499" t="s">
        <v>235</v>
      </c>
      <c r="Z499" t="s">
        <v>236</v>
      </c>
      <c r="AA499" t="s">
        <v>253</v>
      </c>
      <c r="AB499" t="s">
        <v>1</v>
      </c>
      <c r="AC499" s="235">
        <f>'Basis Options'!H504</f>
        <v>280000</v>
      </c>
      <c r="AD499" s="235">
        <f>'Basis Options'!W504</f>
        <v>23100.748749014747</v>
      </c>
      <c r="AE499">
        <v>0</v>
      </c>
      <c r="AF499">
        <v>0</v>
      </c>
      <c r="AG499">
        <v>0</v>
      </c>
      <c r="AH499" s="235">
        <f>'Basis Options'!CD504</f>
        <v>0</v>
      </c>
      <c r="AI499">
        <v>226</v>
      </c>
      <c r="AJ499" t="s">
        <v>256</v>
      </c>
      <c r="AK499">
        <v>0</v>
      </c>
      <c r="AL499">
        <v>0</v>
      </c>
      <c r="AM499">
        <v>0</v>
      </c>
    </row>
    <row r="500" spans="1:39" x14ac:dyDescent="0.25">
      <c r="A500" t="s">
        <v>233</v>
      </c>
      <c r="B500" t="str">
        <f>'Basis Options'!C505</f>
        <v>NR5976</v>
      </c>
      <c r="C500" t="s">
        <v>255</v>
      </c>
      <c r="D500" t="s">
        <v>234</v>
      </c>
      <c r="E500" t="s">
        <v>20</v>
      </c>
      <c r="F500" t="str">
        <f>'Basis Options'!A505</f>
        <v>TRACTEBEENEMAR</v>
      </c>
      <c r="G500" t="s">
        <v>269</v>
      </c>
      <c r="H500" t="s">
        <v>254</v>
      </c>
      <c r="I500" t="s">
        <v>242</v>
      </c>
      <c r="J500" t="s">
        <v>235</v>
      </c>
      <c r="K500" s="380">
        <f>'Basis Options'!G505</f>
        <v>36892</v>
      </c>
      <c r="L500" s="235">
        <f>'Basis Options'!U505</f>
        <v>164060.71760884023</v>
      </c>
      <c r="M500" s="380">
        <f>'Basis Options'!Q505</f>
        <v>36888</v>
      </c>
      <c r="N500" t="str">
        <f>'Basis Options'!F505</f>
        <v>C</v>
      </c>
      <c r="O500">
        <f>'Basis Options'!I505</f>
        <v>2.5</v>
      </c>
      <c r="P500">
        <v>0</v>
      </c>
      <c r="Q500">
        <v>0</v>
      </c>
      <c r="R500">
        <v>0</v>
      </c>
      <c r="S500">
        <v>0</v>
      </c>
      <c r="T500" t="s">
        <v>253</v>
      </c>
      <c r="U500" t="str">
        <f>IF('Basis Options'!D505="NGI/CHI. GATE","""NGI/CHI. GATE""",TRIM('Basis Options'!D505))</f>
        <v>IF-TRANSCO/Z6</v>
      </c>
      <c r="V500" t="s">
        <v>253</v>
      </c>
      <c r="W500" t="s">
        <v>132</v>
      </c>
      <c r="X500" t="s">
        <v>253</v>
      </c>
      <c r="Y500" t="s">
        <v>235</v>
      </c>
      <c r="Z500" t="s">
        <v>236</v>
      </c>
      <c r="AA500" t="s">
        <v>253</v>
      </c>
      <c r="AB500" t="s">
        <v>1</v>
      </c>
      <c r="AC500" s="235">
        <f>'Basis Options'!H505</f>
        <v>310000</v>
      </c>
      <c r="AD500" s="235">
        <f>'Basis Options'!W505</f>
        <v>23575.347550817518</v>
      </c>
      <c r="AE500">
        <v>0</v>
      </c>
      <c r="AF500">
        <v>0</v>
      </c>
      <c r="AG500">
        <v>0</v>
      </c>
      <c r="AH500" s="235">
        <f>'Basis Options'!CD505</f>
        <v>0</v>
      </c>
      <c r="AI500">
        <v>226</v>
      </c>
      <c r="AJ500" t="s">
        <v>256</v>
      </c>
      <c r="AK500">
        <v>0</v>
      </c>
      <c r="AL500">
        <v>0</v>
      </c>
      <c r="AM500">
        <v>0</v>
      </c>
    </row>
    <row r="501" spans="1:39" x14ac:dyDescent="0.25">
      <c r="A501" t="s">
        <v>233</v>
      </c>
      <c r="B501" t="str">
        <f>'Basis Options'!C506</f>
        <v>NR5976</v>
      </c>
      <c r="C501" t="s">
        <v>255</v>
      </c>
      <c r="D501" t="s">
        <v>234</v>
      </c>
      <c r="E501" t="s">
        <v>20</v>
      </c>
      <c r="F501" t="str">
        <f>'Basis Options'!A506</f>
        <v>TRACTEBEENEMAR</v>
      </c>
      <c r="G501" t="s">
        <v>269</v>
      </c>
      <c r="H501" t="s">
        <v>254</v>
      </c>
      <c r="I501" t="s">
        <v>242</v>
      </c>
      <c r="J501" t="s">
        <v>235</v>
      </c>
      <c r="K501" s="380">
        <f>'Basis Options'!G506</f>
        <v>36861</v>
      </c>
      <c r="L501" s="235">
        <f>'Basis Options'!U506</f>
        <v>76009.775349434567</v>
      </c>
      <c r="M501" s="380">
        <f>'Basis Options'!Q506</f>
        <v>36859</v>
      </c>
      <c r="N501" t="str">
        <f>'Basis Options'!F506</f>
        <v>C</v>
      </c>
      <c r="O501">
        <f>'Basis Options'!I506</f>
        <v>2.5</v>
      </c>
      <c r="P501">
        <v>0</v>
      </c>
      <c r="Q501">
        <v>0</v>
      </c>
      <c r="R501">
        <v>0</v>
      </c>
      <c r="S501">
        <v>0</v>
      </c>
      <c r="T501" t="s">
        <v>253</v>
      </c>
      <c r="U501" t="str">
        <f>IF('Basis Options'!D506="NGI/CHI. GATE","""NGI/CHI. GATE""",TRIM('Basis Options'!D506))</f>
        <v>IF-TRANSCO/Z6</v>
      </c>
      <c r="V501" t="s">
        <v>253</v>
      </c>
      <c r="W501" t="s">
        <v>132</v>
      </c>
      <c r="X501" t="s">
        <v>253</v>
      </c>
      <c r="Y501" t="s">
        <v>235</v>
      </c>
      <c r="Z501" t="s">
        <v>236</v>
      </c>
      <c r="AA501" t="s">
        <v>253</v>
      </c>
      <c r="AB501" t="s">
        <v>1</v>
      </c>
      <c r="AC501" s="235">
        <f>'Basis Options'!H506</f>
        <v>310000</v>
      </c>
      <c r="AD501" s="235">
        <f>'Basis Options'!W506</f>
        <v>17861.132428299388</v>
      </c>
      <c r="AE501">
        <v>0</v>
      </c>
      <c r="AF501">
        <v>0</v>
      </c>
      <c r="AG501">
        <v>0</v>
      </c>
      <c r="AH501" s="235">
        <f>'Basis Options'!CD506</f>
        <v>0</v>
      </c>
      <c r="AI501">
        <v>226</v>
      </c>
      <c r="AJ501" t="s">
        <v>256</v>
      </c>
      <c r="AK501">
        <v>0</v>
      </c>
      <c r="AL501">
        <v>0</v>
      </c>
      <c r="AM501">
        <v>0</v>
      </c>
    </row>
    <row r="502" spans="1:39" x14ac:dyDescent="0.25">
      <c r="A502" t="s">
        <v>233</v>
      </c>
      <c r="B502" t="str">
        <f>'Basis Options'!C507</f>
        <v>NR5976</v>
      </c>
      <c r="C502" t="s">
        <v>255</v>
      </c>
      <c r="D502" t="s">
        <v>234</v>
      </c>
      <c r="E502" t="s">
        <v>20</v>
      </c>
      <c r="F502" t="str">
        <f>'Basis Options'!A507</f>
        <v>TRACTEBEENEMAR</v>
      </c>
      <c r="G502" t="s">
        <v>269</v>
      </c>
      <c r="H502" t="s">
        <v>254</v>
      </c>
      <c r="I502" t="s">
        <v>242</v>
      </c>
      <c r="J502" t="s">
        <v>235</v>
      </c>
      <c r="K502" s="380">
        <f>'Basis Options'!G507</f>
        <v>36831</v>
      </c>
      <c r="L502" s="235">
        <f>'Basis Options'!U507</f>
        <v>1833.4777870595233</v>
      </c>
      <c r="M502" s="380">
        <f>'Basis Options'!Q507</f>
        <v>36829</v>
      </c>
      <c r="N502" t="str">
        <f>'Basis Options'!F507</f>
        <v>C</v>
      </c>
      <c r="O502">
        <f>'Basis Options'!I507</f>
        <v>2.5</v>
      </c>
      <c r="P502">
        <v>0</v>
      </c>
      <c r="Q502">
        <v>0</v>
      </c>
      <c r="R502">
        <v>0</v>
      </c>
      <c r="S502">
        <v>0</v>
      </c>
      <c r="T502" t="s">
        <v>253</v>
      </c>
      <c r="U502" t="str">
        <f>IF('Basis Options'!D507="NGI/CHI. GATE","""NGI/CHI. GATE""",TRIM('Basis Options'!D507))</f>
        <v>IF-TRANSCO/Z6</v>
      </c>
      <c r="V502" t="s">
        <v>253</v>
      </c>
      <c r="W502" t="s">
        <v>132</v>
      </c>
      <c r="X502" t="s">
        <v>253</v>
      </c>
      <c r="Y502" t="s">
        <v>235</v>
      </c>
      <c r="Z502" t="s">
        <v>236</v>
      </c>
      <c r="AA502" t="s">
        <v>253</v>
      </c>
      <c r="AB502" t="s">
        <v>1</v>
      </c>
      <c r="AC502" s="235">
        <f>'Basis Options'!H507</f>
        <v>300000</v>
      </c>
      <c r="AD502" s="235">
        <f>'Basis Options'!W507</f>
        <v>1506.0550493340679</v>
      </c>
      <c r="AE502">
        <v>0</v>
      </c>
      <c r="AF502">
        <v>0</v>
      </c>
      <c r="AG502">
        <v>0</v>
      </c>
      <c r="AH502" s="235">
        <f>'Basis Options'!CD507</f>
        <v>0</v>
      </c>
      <c r="AI502">
        <v>226</v>
      </c>
      <c r="AJ502" t="s">
        <v>256</v>
      </c>
      <c r="AK502">
        <v>0</v>
      </c>
      <c r="AL502">
        <v>0</v>
      </c>
      <c r="AM502">
        <v>0</v>
      </c>
    </row>
    <row r="503" spans="1:39" x14ac:dyDescent="0.25">
      <c r="A503" t="s">
        <v>233</v>
      </c>
      <c r="B503" t="str">
        <f>'Basis Options'!C508</f>
        <v>NR5978</v>
      </c>
      <c r="C503" t="s">
        <v>255</v>
      </c>
      <c r="D503" t="s">
        <v>234</v>
      </c>
      <c r="E503" t="s">
        <v>20</v>
      </c>
      <c r="F503" t="str">
        <f>'Basis Options'!A508</f>
        <v>TRACTEBEENEMAR</v>
      </c>
      <c r="G503" t="s">
        <v>269</v>
      </c>
      <c r="H503" t="s">
        <v>254</v>
      </c>
      <c r="I503" t="s">
        <v>242</v>
      </c>
      <c r="J503" t="s">
        <v>235</v>
      </c>
      <c r="K503" s="380">
        <f>'Basis Options'!G508</f>
        <v>36800</v>
      </c>
      <c r="L503" s="235">
        <f>'Basis Options'!U508</f>
        <v>-31956.283656840918</v>
      </c>
      <c r="M503" s="380">
        <f>'Basis Options'!Q508</f>
        <v>36797</v>
      </c>
      <c r="N503" t="str">
        <f>'Basis Options'!F508</f>
        <v>C</v>
      </c>
      <c r="O503">
        <f>'Basis Options'!I508</f>
        <v>0.4</v>
      </c>
      <c r="P503">
        <v>0</v>
      </c>
      <c r="Q503">
        <v>0</v>
      </c>
      <c r="R503">
        <v>0</v>
      </c>
      <c r="S503">
        <v>0</v>
      </c>
      <c r="T503" t="s">
        <v>253</v>
      </c>
      <c r="U503" t="str">
        <f>IF('Basis Options'!D508="NGI/CHI. GATE","""NGI/CHI. GATE""",TRIM('Basis Options'!D508))</f>
        <v>IF-TRANSCO/Z6</v>
      </c>
      <c r="V503" t="s">
        <v>253</v>
      </c>
      <c r="W503" t="s">
        <v>132</v>
      </c>
      <c r="X503" t="s">
        <v>253</v>
      </c>
      <c r="Y503" t="s">
        <v>235</v>
      </c>
      <c r="Z503" t="s">
        <v>236</v>
      </c>
      <c r="AA503" t="s">
        <v>253</v>
      </c>
      <c r="AB503" t="s">
        <v>1</v>
      </c>
      <c r="AC503" s="235">
        <f>'Basis Options'!H508</f>
        <v>-620000</v>
      </c>
      <c r="AD503" s="235">
        <f>'Basis Options'!W508</f>
        <v>-3980.1234705760144</v>
      </c>
      <c r="AE503">
        <v>0</v>
      </c>
      <c r="AF503">
        <v>0</v>
      </c>
      <c r="AG503">
        <v>0</v>
      </c>
      <c r="AH503" s="235">
        <f>'Basis Options'!CD508</f>
        <v>0</v>
      </c>
      <c r="AI503">
        <v>226</v>
      </c>
      <c r="AJ503" t="s">
        <v>256</v>
      </c>
      <c r="AK503">
        <v>0</v>
      </c>
      <c r="AL503">
        <v>0</v>
      </c>
      <c r="AM503">
        <v>0</v>
      </c>
    </row>
    <row r="504" spans="1:39" x14ac:dyDescent="0.25">
      <c r="A504" t="s">
        <v>233</v>
      </c>
      <c r="B504" t="str">
        <f>'Basis Options'!C509</f>
        <v>NR5979</v>
      </c>
      <c r="C504" t="s">
        <v>255</v>
      </c>
      <c r="D504" t="s">
        <v>234</v>
      </c>
      <c r="E504" t="s">
        <v>20</v>
      </c>
      <c r="F504" t="str">
        <f>'Basis Options'!A509</f>
        <v>TRACTEBEENEMAR</v>
      </c>
      <c r="G504" t="s">
        <v>269</v>
      </c>
      <c r="H504" t="s">
        <v>254</v>
      </c>
      <c r="I504" t="s">
        <v>242</v>
      </c>
      <c r="J504" t="s">
        <v>235</v>
      </c>
      <c r="K504" s="380">
        <f>'Basis Options'!G509</f>
        <v>36951</v>
      </c>
      <c r="L504" s="235">
        <f>'Basis Options'!U509</f>
        <v>-12624.13169612057</v>
      </c>
      <c r="M504" s="380">
        <f>'Basis Options'!Q509</f>
        <v>36949</v>
      </c>
      <c r="N504" t="str">
        <f>'Basis Options'!F509</f>
        <v>C</v>
      </c>
      <c r="O504">
        <f>'Basis Options'!I509</f>
        <v>0.15</v>
      </c>
      <c r="P504">
        <v>0</v>
      </c>
      <c r="Q504">
        <v>0</v>
      </c>
      <c r="R504">
        <v>0</v>
      </c>
      <c r="S504">
        <v>0</v>
      </c>
      <c r="T504" t="s">
        <v>253</v>
      </c>
      <c r="U504" t="str">
        <f>IF('Basis Options'!D509="NGI/CHI. GATE","""NGI/CHI. GATE""",TRIM('Basis Options'!D509))</f>
        <v>"NGI/CHI. GATE"</v>
      </c>
      <c r="V504" t="s">
        <v>253</v>
      </c>
      <c r="W504" t="s">
        <v>132</v>
      </c>
      <c r="X504" t="s">
        <v>253</v>
      </c>
      <c r="Y504" t="s">
        <v>235</v>
      </c>
      <c r="Z504" t="s">
        <v>236</v>
      </c>
      <c r="AA504" t="s">
        <v>253</v>
      </c>
      <c r="AB504" t="s">
        <v>1</v>
      </c>
      <c r="AC504" s="235">
        <f>'Basis Options'!H509</f>
        <v>-310000</v>
      </c>
      <c r="AD504" s="235">
        <f>'Basis Options'!W509</f>
        <v>-3138.792348302959</v>
      </c>
      <c r="AE504">
        <v>0</v>
      </c>
      <c r="AF504">
        <v>0</v>
      </c>
      <c r="AG504">
        <v>0</v>
      </c>
      <c r="AH504" s="235">
        <f>'Basis Options'!CD509</f>
        <v>0</v>
      </c>
      <c r="AI504">
        <v>226</v>
      </c>
      <c r="AJ504" t="s">
        <v>256</v>
      </c>
      <c r="AK504">
        <v>0</v>
      </c>
      <c r="AL504">
        <v>0</v>
      </c>
      <c r="AM504">
        <v>0</v>
      </c>
    </row>
    <row r="505" spans="1:39" x14ac:dyDescent="0.25">
      <c r="A505" t="s">
        <v>233</v>
      </c>
      <c r="B505" t="str">
        <f>'Basis Options'!C510</f>
        <v>NR5979</v>
      </c>
      <c r="C505" t="s">
        <v>255</v>
      </c>
      <c r="D505" t="s">
        <v>234</v>
      </c>
      <c r="E505" t="s">
        <v>20</v>
      </c>
      <c r="F505" t="str">
        <f>'Basis Options'!A510</f>
        <v>TRACTEBEENEMAR</v>
      </c>
      <c r="G505" t="s">
        <v>269</v>
      </c>
      <c r="H505" t="s">
        <v>254</v>
      </c>
      <c r="I505" t="s">
        <v>242</v>
      </c>
      <c r="J505" t="s">
        <v>235</v>
      </c>
      <c r="K505" s="380">
        <f>'Basis Options'!G510</f>
        <v>36923</v>
      </c>
      <c r="L505" s="235">
        <f>'Basis Options'!U510</f>
        <v>-14448.533081422027</v>
      </c>
      <c r="M505" s="380">
        <f>'Basis Options'!Q510</f>
        <v>36921</v>
      </c>
      <c r="N505" t="str">
        <f>'Basis Options'!F510</f>
        <v>C</v>
      </c>
      <c r="O505">
        <f>'Basis Options'!I510</f>
        <v>0.15</v>
      </c>
      <c r="P505">
        <v>0</v>
      </c>
      <c r="Q505">
        <v>0</v>
      </c>
      <c r="R505">
        <v>0</v>
      </c>
      <c r="S505">
        <v>0</v>
      </c>
      <c r="T505" t="s">
        <v>253</v>
      </c>
      <c r="U505" t="str">
        <f>IF('Basis Options'!D510="NGI/CHI. GATE","""NGI/CHI. GATE""",TRIM('Basis Options'!D510))</f>
        <v>"NGI/CHI. GATE"</v>
      </c>
      <c r="V505" t="s">
        <v>253</v>
      </c>
      <c r="W505" t="s">
        <v>132</v>
      </c>
      <c r="X505" t="s">
        <v>253</v>
      </c>
      <c r="Y505" t="s">
        <v>235</v>
      </c>
      <c r="Z505" t="s">
        <v>236</v>
      </c>
      <c r="AA505" t="s">
        <v>253</v>
      </c>
      <c r="AB505" t="s">
        <v>1</v>
      </c>
      <c r="AC505" s="235">
        <f>'Basis Options'!H510</f>
        <v>-280000</v>
      </c>
      <c r="AD505" s="235">
        <f>'Basis Options'!W510</f>
        <v>-2979.4884276889934</v>
      </c>
      <c r="AE505">
        <v>0</v>
      </c>
      <c r="AF505">
        <v>0</v>
      </c>
      <c r="AG505">
        <v>0</v>
      </c>
      <c r="AH505" s="235">
        <f>'Basis Options'!CD510</f>
        <v>0</v>
      </c>
      <c r="AI505">
        <v>226</v>
      </c>
      <c r="AJ505" t="s">
        <v>256</v>
      </c>
      <c r="AK505">
        <v>0</v>
      </c>
      <c r="AL505">
        <v>0</v>
      </c>
      <c r="AM505">
        <v>0</v>
      </c>
    </row>
    <row r="506" spans="1:39" x14ac:dyDescent="0.25">
      <c r="A506" t="s">
        <v>233</v>
      </c>
      <c r="B506" t="str">
        <f>'Basis Options'!C511</f>
        <v>NR5979</v>
      </c>
      <c r="C506" t="s">
        <v>255</v>
      </c>
      <c r="D506" t="s">
        <v>234</v>
      </c>
      <c r="E506" t="s">
        <v>20</v>
      </c>
      <c r="F506" t="str">
        <f>'Basis Options'!A511</f>
        <v>TRACTEBEENEMAR</v>
      </c>
      <c r="G506" t="s">
        <v>269</v>
      </c>
      <c r="H506" t="s">
        <v>254</v>
      </c>
      <c r="I506" t="s">
        <v>242</v>
      </c>
      <c r="J506" t="s">
        <v>235</v>
      </c>
      <c r="K506" s="380">
        <f>'Basis Options'!G511</f>
        <v>36892</v>
      </c>
      <c r="L506" s="235">
        <f>'Basis Options'!U511</f>
        <v>-13729.297102695706</v>
      </c>
      <c r="M506" s="380">
        <f>'Basis Options'!Q511</f>
        <v>36888</v>
      </c>
      <c r="N506" t="str">
        <f>'Basis Options'!F511</f>
        <v>C</v>
      </c>
      <c r="O506">
        <f>'Basis Options'!I511</f>
        <v>0.15</v>
      </c>
      <c r="P506">
        <v>0</v>
      </c>
      <c r="Q506">
        <v>0</v>
      </c>
      <c r="R506">
        <v>0</v>
      </c>
      <c r="S506">
        <v>0</v>
      </c>
      <c r="T506" t="s">
        <v>253</v>
      </c>
      <c r="U506" t="str">
        <f>IF('Basis Options'!D511="NGI/CHI. GATE","""NGI/CHI. GATE""",TRIM('Basis Options'!D511))</f>
        <v>"NGI/CHI. GATE"</v>
      </c>
      <c r="V506" t="s">
        <v>253</v>
      </c>
      <c r="W506" t="s">
        <v>132</v>
      </c>
      <c r="X506" t="s">
        <v>253</v>
      </c>
      <c r="Y506" t="s">
        <v>235</v>
      </c>
      <c r="Z506" t="s">
        <v>236</v>
      </c>
      <c r="AA506" t="s">
        <v>253</v>
      </c>
      <c r="AB506" t="s">
        <v>1</v>
      </c>
      <c r="AC506" s="235">
        <f>'Basis Options'!H511</f>
        <v>-310000</v>
      </c>
      <c r="AD506" s="235">
        <f>'Basis Options'!W511</f>
        <v>-2999.3210752113955</v>
      </c>
      <c r="AE506">
        <v>0</v>
      </c>
      <c r="AF506">
        <v>0</v>
      </c>
      <c r="AG506">
        <v>0</v>
      </c>
      <c r="AH506" s="235">
        <f>'Basis Options'!CD511</f>
        <v>0</v>
      </c>
      <c r="AI506">
        <v>226</v>
      </c>
      <c r="AJ506" t="s">
        <v>256</v>
      </c>
      <c r="AK506">
        <v>0</v>
      </c>
      <c r="AL506">
        <v>0</v>
      </c>
      <c r="AM506">
        <v>0</v>
      </c>
    </row>
    <row r="507" spans="1:39" x14ac:dyDescent="0.25">
      <c r="A507" t="s">
        <v>233</v>
      </c>
      <c r="B507" t="str">
        <f>'Basis Options'!C512</f>
        <v>NR5979</v>
      </c>
      <c r="C507" t="s">
        <v>255</v>
      </c>
      <c r="D507" t="s">
        <v>234</v>
      </c>
      <c r="E507" t="s">
        <v>20</v>
      </c>
      <c r="F507" t="str">
        <f>'Basis Options'!A512</f>
        <v>TRACTEBEENEMAR</v>
      </c>
      <c r="G507" t="s">
        <v>269</v>
      </c>
      <c r="H507" t="s">
        <v>254</v>
      </c>
      <c r="I507" t="s">
        <v>242</v>
      </c>
      <c r="J507" t="s">
        <v>235</v>
      </c>
      <c r="K507" s="380">
        <f>'Basis Options'!G512</f>
        <v>36861</v>
      </c>
      <c r="L507" s="235">
        <f>'Basis Options'!U512</f>
        <v>-8403.5638296911038</v>
      </c>
      <c r="M507" s="380">
        <f>'Basis Options'!Q512</f>
        <v>36859</v>
      </c>
      <c r="N507" t="str">
        <f>'Basis Options'!F512</f>
        <v>C</v>
      </c>
      <c r="O507">
        <f>'Basis Options'!I512</f>
        <v>0.15</v>
      </c>
      <c r="P507">
        <v>0</v>
      </c>
      <c r="Q507">
        <v>0</v>
      </c>
      <c r="R507">
        <v>0</v>
      </c>
      <c r="S507">
        <v>0</v>
      </c>
      <c r="T507" t="s">
        <v>253</v>
      </c>
      <c r="U507" t="str">
        <f>IF('Basis Options'!D512="NGI/CHI. GATE","""NGI/CHI. GATE""",TRIM('Basis Options'!D512))</f>
        <v>"NGI/CHI. GATE"</v>
      </c>
      <c r="V507" t="s">
        <v>253</v>
      </c>
      <c r="W507" t="s">
        <v>132</v>
      </c>
      <c r="X507" t="s">
        <v>253</v>
      </c>
      <c r="Y507" t="s">
        <v>235</v>
      </c>
      <c r="Z507" t="s">
        <v>236</v>
      </c>
      <c r="AA507" t="s">
        <v>253</v>
      </c>
      <c r="AB507" t="s">
        <v>1</v>
      </c>
      <c r="AC507" s="235">
        <f>'Basis Options'!H512</f>
        <v>-310000</v>
      </c>
      <c r="AD507" s="235">
        <f>'Basis Options'!W512</f>
        <v>-2441.5593032290344</v>
      </c>
      <c r="AE507">
        <v>0</v>
      </c>
      <c r="AF507">
        <v>0</v>
      </c>
      <c r="AG507">
        <v>0</v>
      </c>
      <c r="AH507" s="235">
        <f>'Basis Options'!CD512</f>
        <v>0</v>
      </c>
      <c r="AI507">
        <v>226</v>
      </c>
      <c r="AJ507" t="s">
        <v>256</v>
      </c>
      <c r="AK507">
        <v>0</v>
      </c>
      <c r="AL507">
        <v>0</v>
      </c>
      <c r="AM507">
        <v>0</v>
      </c>
    </row>
    <row r="508" spans="1:39" x14ac:dyDescent="0.25">
      <c r="A508" t="s">
        <v>233</v>
      </c>
      <c r="B508" t="str">
        <f>'Basis Options'!C513</f>
        <v>NR5979</v>
      </c>
      <c r="C508" t="s">
        <v>255</v>
      </c>
      <c r="D508" t="s">
        <v>234</v>
      </c>
      <c r="E508" t="s">
        <v>20</v>
      </c>
      <c r="F508" t="str">
        <f>'Basis Options'!A513</f>
        <v>TRACTEBEENEMAR</v>
      </c>
      <c r="G508" t="s">
        <v>269</v>
      </c>
      <c r="H508" t="s">
        <v>254</v>
      </c>
      <c r="I508" t="s">
        <v>242</v>
      </c>
      <c r="J508" t="s">
        <v>235</v>
      </c>
      <c r="K508" s="380">
        <f>'Basis Options'!G513</f>
        <v>36831</v>
      </c>
      <c r="L508" s="235">
        <f>'Basis Options'!U513</f>
        <v>-4575.0961786969747</v>
      </c>
      <c r="M508" s="380">
        <f>'Basis Options'!Q513</f>
        <v>36829</v>
      </c>
      <c r="N508" t="str">
        <f>'Basis Options'!F513</f>
        <v>C</v>
      </c>
      <c r="O508">
        <f>'Basis Options'!I513</f>
        <v>0.15</v>
      </c>
      <c r="P508">
        <v>0</v>
      </c>
      <c r="Q508">
        <v>0</v>
      </c>
      <c r="R508">
        <v>0</v>
      </c>
      <c r="S508">
        <v>0</v>
      </c>
      <c r="T508" t="s">
        <v>253</v>
      </c>
      <c r="U508" t="str">
        <f>IF('Basis Options'!D513="NGI/CHI. GATE","""NGI/CHI. GATE""",TRIM('Basis Options'!D513))</f>
        <v>"NGI/CHI. GATE"</v>
      </c>
      <c r="V508" t="s">
        <v>253</v>
      </c>
      <c r="W508" t="s">
        <v>132</v>
      </c>
      <c r="X508" t="s">
        <v>253</v>
      </c>
      <c r="Y508" t="s">
        <v>235</v>
      </c>
      <c r="Z508" t="s">
        <v>236</v>
      </c>
      <c r="AA508" t="s">
        <v>253</v>
      </c>
      <c r="AB508" t="s">
        <v>1</v>
      </c>
      <c r="AC508" s="235">
        <f>'Basis Options'!H513</f>
        <v>-300000</v>
      </c>
      <c r="AD508" s="235">
        <f>'Basis Options'!W513</f>
        <v>-1715.875221101247</v>
      </c>
      <c r="AE508">
        <v>0</v>
      </c>
      <c r="AF508">
        <v>0</v>
      </c>
      <c r="AG508">
        <v>0</v>
      </c>
      <c r="AH508" s="235">
        <f>'Basis Options'!CD513</f>
        <v>0</v>
      </c>
      <c r="AI508">
        <v>226</v>
      </c>
      <c r="AJ508" t="s">
        <v>256</v>
      </c>
      <c r="AK508">
        <v>0</v>
      </c>
      <c r="AL508">
        <v>0</v>
      </c>
      <c r="AM508">
        <v>0</v>
      </c>
    </row>
    <row r="509" spans="1:39" x14ac:dyDescent="0.25">
      <c r="A509" t="s">
        <v>233</v>
      </c>
      <c r="B509" t="str">
        <f>'Basis Options'!C514</f>
        <v>NR5983</v>
      </c>
      <c r="C509" t="s">
        <v>255</v>
      </c>
      <c r="D509" t="s">
        <v>234</v>
      </c>
      <c r="E509" t="s">
        <v>20</v>
      </c>
      <c r="F509" t="str">
        <f>'Basis Options'!A514</f>
        <v>UTILICORP</v>
      </c>
      <c r="G509" t="s">
        <v>269</v>
      </c>
      <c r="H509" t="s">
        <v>254</v>
      </c>
      <c r="I509" t="s">
        <v>242</v>
      </c>
      <c r="J509" t="s">
        <v>235</v>
      </c>
      <c r="K509" s="380">
        <f>'Basis Options'!G514</f>
        <v>36800</v>
      </c>
      <c r="L509" s="235">
        <f>'Basis Options'!U514</f>
        <v>11354.059978233863</v>
      </c>
      <c r="M509" s="380">
        <f>'Basis Options'!Q514</f>
        <v>36797</v>
      </c>
      <c r="N509" t="str">
        <f>'Basis Options'!F514</f>
        <v>P</v>
      </c>
      <c r="O509">
        <f>'Basis Options'!I514</f>
        <v>0.4</v>
      </c>
      <c r="P509">
        <v>0</v>
      </c>
      <c r="Q509">
        <v>0</v>
      </c>
      <c r="R509">
        <v>0</v>
      </c>
      <c r="S509">
        <v>0</v>
      </c>
      <c r="T509" t="s">
        <v>253</v>
      </c>
      <c r="U509" t="str">
        <f>IF('Basis Options'!D514="NGI/CHI. GATE","""NGI/CHI. GATE""",TRIM('Basis Options'!D514))</f>
        <v>IF-TRANSCO/Z6</v>
      </c>
      <c r="V509" t="s">
        <v>253</v>
      </c>
      <c r="W509" t="s">
        <v>132</v>
      </c>
      <c r="X509" t="s">
        <v>253</v>
      </c>
      <c r="Y509" t="s">
        <v>235</v>
      </c>
      <c r="Z509" t="s">
        <v>236</v>
      </c>
      <c r="AA509" t="s">
        <v>253</v>
      </c>
      <c r="AB509" t="s">
        <v>1</v>
      </c>
      <c r="AC509" s="235">
        <f>'Basis Options'!H514</f>
        <v>310000</v>
      </c>
      <c r="AD509" s="235">
        <f>'Basis Options'!W514</f>
        <v>1990.0617352879781</v>
      </c>
      <c r="AE509">
        <v>0</v>
      </c>
      <c r="AF509">
        <v>0</v>
      </c>
      <c r="AG509">
        <v>0</v>
      </c>
      <c r="AH509" s="235">
        <f>'Basis Options'!CD514</f>
        <v>0</v>
      </c>
      <c r="AI509">
        <v>226</v>
      </c>
      <c r="AJ509" t="s">
        <v>256</v>
      </c>
      <c r="AK509">
        <v>0</v>
      </c>
      <c r="AL509">
        <v>0</v>
      </c>
      <c r="AM509">
        <v>0</v>
      </c>
    </row>
    <row r="510" spans="1:39" x14ac:dyDescent="0.25">
      <c r="A510" t="s">
        <v>233</v>
      </c>
      <c r="B510" t="str">
        <f>'Basis Options'!C515</f>
        <v>NR7762</v>
      </c>
      <c r="C510" t="s">
        <v>255</v>
      </c>
      <c r="D510" t="s">
        <v>234</v>
      </c>
      <c r="E510" t="s">
        <v>20</v>
      </c>
      <c r="F510" t="str">
        <f>'Basis Options'!A515</f>
        <v>CONAGRAENESER</v>
      </c>
      <c r="G510" t="s">
        <v>269</v>
      </c>
      <c r="H510" t="s">
        <v>254</v>
      </c>
      <c r="I510" t="s">
        <v>242</v>
      </c>
      <c r="J510" t="s">
        <v>235</v>
      </c>
      <c r="K510" s="380">
        <f>'Basis Options'!G515</f>
        <v>36800</v>
      </c>
      <c r="L510" s="235">
        <f>'Basis Options'!U515</f>
        <v>44.874960476698476</v>
      </c>
      <c r="M510" s="380">
        <f>'Basis Options'!Q515</f>
        <v>36797</v>
      </c>
      <c r="N510" t="str">
        <f>'Basis Options'!F515</f>
        <v>P</v>
      </c>
      <c r="O510">
        <f>'Basis Options'!I515</f>
        <v>0.3</v>
      </c>
      <c r="P510">
        <v>0</v>
      </c>
      <c r="Q510">
        <v>0</v>
      </c>
      <c r="R510">
        <v>0</v>
      </c>
      <c r="S510">
        <v>0</v>
      </c>
      <c r="T510" t="s">
        <v>253</v>
      </c>
      <c r="U510" t="str">
        <f>IF('Basis Options'!D515="NGI/CHI. GATE","""NGI/CHI. GATE""",TRIM('Basis Options'!D515))</f>
        <v>NGI-SOCAL</v>
      </c>
      <c r="V510" t="s">
        <v>253</v>
      </c>
      <c r="W510" t="s">
        <v>132</v>
      </c>
      <c r="X510" t="s">
        <v>253</v>
      </c>
      <c r="Y510" t="s">
        <v>235</v>
      </c>
      <c r="Z510" t="s">
        <v>236</v>
      </c>
      <c r="AA510" t="s">
        <v>253</v>
      </c>
      <c r="AB510" t="s">
        <v>1</v>
      </c>
      <c r="AC510" s="235">
        <f>'Basis Options'!H515</f>
        <v>500000</v>
      </c>
      <c r="AD510" s="235">
        <f>'Basis Options'!W515</f>
        <v>104.54596692277551</v>
      </c>
      <c r="AE510">
        <v>0</v>
      </c>
      <c r="AF510">
        <v>0</v>
      </c>
      <c r="AG510">
        <v>0</v>
      </c>
      <c r="AH510" s="235">
        <f>'Basis Options'!CD515</f>
        <v>0</v>
      </c>
      <c r="AI510">
        <v>226</v>
      </c>
      <c r="AJ510" t="s">
        <v>256</v>
      </c>
      <c r="AK510">
        <v>0</v>
      </c>
      <c r="AL510">
        <v>0</v>
      </c>
      <c r="AM510">
        <v>0</v>
      </c>
    </row>
    <row r="511" spans="1:39" x14ac:dyDescent="0.25">
      <c r="A511" t="s">
        <v>233</v>
      </c>
      <c r="B511" t="str">
        <f>'Basis Options'!C516</f>
        <v>NR7764</v>
      </c>
      <c r="C511" t="s">
        <v>255</v>
      </c>
      <c r="D511" t="s">
        <v>234</v>
      </c>
      <c r="E511" t="s">
        <v>20</v>
      </c>
      <c r="F511" t="str">
        <f>'Basis Options'!A516</f>
        <v>ELPASMER</v>
      </c>
      <c r="G511" t="s">
        <v>269</v>
      </c>
      <c r="H511" t="s">
        <v>254</v>
      </c>
      <c r="I511" t="s">
        <v>242</v>
      </c>
      <c r="J511" t="s">
        <v>235</v>
      </c>
      <c r="K511" s="380">
        <f>'Basis Options'!G516</f>
        <v>36951</v>
      </c>
      <c r="L511" s="235">
        <f>'Basis Options'!U516</f>
        <v>257451.34111453066</v>
      </c>
      <c r="M511" s="380">
        <f>'Basis Options'!Q516</f>
        <v>36949</v>
      </c>
      <c r="N511" t="str">
        <f>'Basis Options'!F516</f>
        <v>C</v>
      </c>
      <c r="O511">
        <f>'Basis Options'!I516</f>
        <v>0.3</v>
      </c>
      <c r="P511">
        <v>0</v>
      </c>
      <c r="Q511">
        <v>0</v>
      </c>
      <c r="R511">
        <v>0</v>
      </c>
      <c r="S511">
        <v>0</v>
      </c>
      <c r="T511" t="s">
        <v>253</v>
      </c>
      <c r="U511" t="str">
        <f>IF('Basis Options'!D516="NGI/CHI. GATE","""NGI/CHI. GATE""",TRIM('Basis Options'!D516))</f>
        <v>NGI-SOCAL</v>
      </c>
      <c r="V511" t="s">
        <v>253</v>
      </c>
      <c r="W511" t="s">
        <v>132</v>
      </c>
      <c r="X511" t="s">
        <v>253</v>
      </c>
      <c r="Y511" t="s">
        <v>235</v>
      </c>
      <c r="Z511" t="s">
        <v>236</v>
      </c>
      <c r="AA511" t="s">
        <v>253</v>
      </c>
      <c r="AB511" t="s">
        <v>1</v>
      </c>
      <c r="AC511" s="235">
        <f>'Basis Options'!H516</f>
        <v>500000</v>
      </c>
      <c r="AD511" s="235">
        <f>'Basis Options'!W516</f>
        <v>36834.119520245004</v>
      </c>
      <c r="AE511">
        <v>0</v>
      </c>
      <c r="AF511">
        <v>0</v>
      </c>
      <c r="AG511">
        <v>0</v>
      </c>
      <c r="AH511" s="235">
        <f>'Basis Options'!CD516</f>
        <v>0</v>
      </c>
      <c r="AI511">
        <v>226</v>
      </c>
      <c r="AJ511" t="s">
        <v>256</v>
      </c>
      <c r="AK511">
        <v>0</v>
      </c>
      <c r="AL511">
        <v>0</v>
      </c>
      <c r="AM511">
        <v>0</v>
      </c>
    </row>
    <row r="512" spans="1:39" x14ac:dyDescent="0.25">
      <c r="A512" t="s">
        <v>233</v>
      </c>
      <c r="B512" t="str">
        <f>'Basis Options'!C517</f>
        <v>NR7764</v>
      </c>
      <c r="C512" t="s">
        <v>255</v>
      </c>
      <c r="D512" t="s">
        <v>234</v>
      </c>
      <c r="E512" t="s">
        <v>20</v>
      </c>
      <c r="F512" t="str">
        <f>'Basis Options'!A517</f>
        <v>ELPASMER</v>
      </c>
      <c r="G512" t="s">
        <v>269</v>
      </c>
      <c r="H512" t="s">
        <v>254</v>
      </c>
      <c r="I512" t="s">
        <v>242</v>
      </c>
      <c r="J512" t="s">
        <v>235</v>
      </c>
      <c r="K512" s="380">
        <f>'Basis Options'!G517</f>
        <v>36923</v>
      </c>
      <c r="L512" s="235">
        <f>'Basis Options'!U517</f>
        <v>279322.83705387905</v>
      </c>
      <c r="M512" s="380">
        <f>'Basis Options'!Q517</f>
        <v>36921</v>
      </c>
      <c r="N512" t="str">
        <f>'Basis Options'!F517</f>
        <v>C</v>
      </c>
      <c r="O512">
        <f>'Basis Options'!I517</f>
        <v>0.3</v>
      </c>
      <c r="P512">
        <v>0</v>
      </c>
      <c r="Q512">
        <v>0</v>
      </c>
      <c r="R512">
        <v>0</v>
      </c>
      <c r="S512">
        <v>0</v>
      </c>
      <c r="T512" t="s">
        <v>253</v>
      </c>
      <c r="U512" t="str">
        <f>IF('Basis Options'!D517="NGI/CHI. GATE","""NGI/CHI. GATE""",TRIM('Basis Options'!D517))</f>
        <v>NGI-SOCAL</v>
      </c>
      <c r="V512" t="s">
        <v>253</v>
      </c>
      <c r="W512" t="s">
        <v>132</v>
      </c>
      <c r="X512" t="s">
        <v>253</v>
      </c>
      <c r="Y512" t="s">
        <v>235</v>
      </c>
      <c r="Z512" t="s">
        <v>236</v>
      </c>
      <c r="AA512" t="s">
        <v>253</v>
      </c>
      <c r="AB512" t="s">
        <v>1</v>
      </c>
      <c r="AC512" s="235">
        <f>'Basis Options'!H517</f>
        <v>500000</v>
      </c>
      <c r="AD512" s="235">
        <f>'Basis Options'!W517</f>
        <v>37991.559203258832</v>
      </c>
      <c r="AE512">
        <v>0</v>
      </c>
      <c r="AF512">
        <v>0</v>
      </c>
      <c r="AG512">
        <v>0</v>
      </c>
      <c r="AH512" s="235">
        <f>'Basis Options'!CD517</f>
        <v>0</v>
      </c>
      <c r="AI512">
        <v>226</v>
      </c>
      <c r="AJ512" t="s">
        <v>256</v>
      </c>
      <c r="AK512">
        <v>0</v>
      </c>
      <c r="AL512">
        <v>0</v>
      </c>
      <c r="AM512">
        <v>0</v>
      </c>
    </row>
    <row r="513" spans="1:39" x14ac:dyDescent="0.25">
      <c r="A513" t="s">
        <v>233</v>
      </c>
      <c r="B513" t="str">
        <f>'Basis Options'!C518</f>
        <v>NR7764</v>
      </c>
      <c r="C513" t="s">
        <v>255</v>
      </c>
      <c r="D513" t="s">
        <v>234</v>
      </c>
      <c r="E513" t="s">
        <v>20</v>
      </c>
      <c r="F513" t="str">
        <f>'Basis Options'!A518</f>
        <v>ELPASMER</v>
      </c>
      <c r="G513" t="s">
        <v>269</v>
      </c>
      <c r="H513" t="s">
        <v>254</v>
      </c>
      <c r="I513" t="s">
        <v>242</v>
      </c>
      <c r="J513" t="s">
        <v>235</v>
      </c>
      <c r="K513" s="380">
        <f>'Basis Options'!G518</f>
        <v>36892</v>
      </c>
      <c r="L513" s="235">
        <f>'Basis Options'!U518</f>
        <v>323547.59676588216</v>
      </c>
      <c r="M513" s="380">
        <f>'Basis Options'!Q518</f>
        <v>36888</v>
      </c>
      <c r="N513" t="str">
        <f>'Basis Options'!F518</f>
        <v>C</v>
      </c>
      <c r="O513">
        <f>'Basis Options'!I518</f>
        <v>0.3</v>
      </c>
      <c r="P513">
        <v>0</v>
      </c>
      <c r="Q513">
        <v>0</v>
      </c>
      <c r="R513">
        <v>0</v>
      </c>
      <c r="S513">
        <v>0</v>
      </c>
      <c r="T513" t="s">
        <v>253</v>
      </c>
      <c r="U513" t="str">
        <f>IF('Basis Options'!D518="NGI/CHI. GATE","""NGI/CHI. GATE""",TRIM('Basis Options'!D518))</f>
        <v>NGI-SOCAL</v>
      </c>
      <c r="V513" t="s">
        <v>253</v>
      </c>
      <c r="W513" t="s">
        <v>132</v>
      </c>
      <c r="X513" t="s">
        <v>253</v>
      </c>
      <c r="Y513" t="s">
        <v>235</v>
      </c>
      <c r="Z513" t="s">
        <v>236</v>
      </c>
      <c r="AA513" t="s">
        <v>253</v>
      </c>
      <c r="AB513" t="s">
        <v>1</v>
      </c>
      <c r="AC513" s="235">
        <f>'Basis Options'!H518</f>
        <v>500000</v>
      </c>
      <c r="AD513" s="235">
        <f>'Basis Options'!W518</f>
        <v>32412.014384404349</v>
      </c>
      <c r="AE513">
        <v>0</v>
      </c>
      <c r="AF513">
        <v>0</v>
      </c>
      <c r="AG513">
        <v>0</v>
      </c>
      <c r="AH513" s="235">
        <f>'Basis Options'!CD518</f>
        <v>0</v>
      </c>
      <c r="AI513">
        <v>226</v>
      </c>
      <c r="AJ513" t="s">
        <v>256</v>
      </c>
      <c r="AK513">
        <v>0</v>
      </c>
      <c r="AL513">
        <v>0</v>
      </c>
      <c r="AM513">
        <v>0</v>
      </c>
    </row>
    <row r="514" spans="1:39" x14ac:dyDescent="0.25">
      <c r="A514" t="s">
        <v>233</v>
      </c>
      <c r="B514" t="str">
        <f>'Basis Options'!C519</f>
        <v>NR7764</v>
      </c>
      <c r="C514" t="s">
        <v>255</v>
      </c>
      <c r="D514" t="s">
        <v>234</v>
      </c>
      <c r="E514" t="s">
        <v>20</v>
      </c>
      <c r="F514" t="str">
        <f>'Basis Options'!A519</f>
        <v>ELPASMER</v>
      </c>
      <c r="G514" t="s">
        <v>269</v>
      </c>
      <c r="H514" t="s">
        <v>254</v>
      </c>
      <c r="I514" t="s">
        <v>242</v>
      </c>
      <c r="J514" t="s">
        <v>235</v>
      </c>
      <c r="K514" s="380">
        <f>'Basis Options'!G519</f>
        <v>36861</v>
      </c>
      <c r="L514" s="235">
        <f>'Basis Options'!U519</f>
        <v>395432.58871597185</v>
      </c>
      <c r="M514" s="380">
        <f>'Basis Options'!Q519</f>
        <v>36859</v>
      </c>
      <c r="N514" t="str">
        <f>'Basis Options'!F519</f>
        <v>C</v>
      </c>
      <c r="O514">
        <f>'Basis Options'!I519</f>
        <v>0.3</v>
      </c>
      <c r="P514">
        <v>0</v>
      </c>
      <c r="Q514">
        <v>0</v>
      </c>
      <c r="R514">
        <v>0</v>
      </c>
      <c r="S514">
        <v>0</v>
      </c>
      <c r="T514" t="s">
        <v>253</v>
      </c>
      <c r="U514" t="str">
        <f>IF('Basis Options'!D519="NGI/CHI. GATE","""NGI/CHI. GATE""",TRIM('Basis Options'!D519))</f>
        <v>NGI-SOCAL</v>
      </c>
      <c r="V514" t="s">
        <v>253</v>
      </c>
      <c r="W514" t="s">
        <v>132</v>
      </c>
      <c r="X514" t="s">
        <v>253</v>
      </c>
      <c r="Y514" t="s">
        <v>235</v>
      </c>
      <c r="Z514" t="s">
        <v>236</v>
      </c>
      <c r="AA514" t="s">
        <v>253</v>
      </c>
      <c r="AB514" t="s">
        <v>1</v>
      </c>
      <c r="AC514" s="235">
        <f>'Basis Options'!H519</f>
        <v>500000</v>
      </c>
      <c r="AD514" s="235">
        <f>'Basis Options'!W519</f>
        <v>22688.795232059027</v>
      </c>
      <c r="AE514">
        <v>0</v>
      </c>
      <c r="AF514">
        <v>0</v>
      </c>
      <c r="AG514">
        <v>0</v>
      </c>
      <c r="AH514" s="235">
        <f>'Basis Options'!CD519</f>
        <v>0</v>
      </c>
      <c r="AI514">
        <v>226</v>
      </c>
      <c r="AJ514" t="s">
        <v>256</v>
      </c>
      <c r="AK514">
        <v>0</v>
      </c>
      <c r="AL514">
        <v>0</v>
      </c>
      <c r="AM514">
        <v>0</v>
      </c>
    </row>
    <row r="515" spans="1:39" x14ac:dyDescent="0.25">
      <c r="A515" t="s">
        <v>233</v>
      </c>
      <c r="B515" t="str">
        <f>'Basis Options'!C520</f>
        <v>NR7764</v>
      </c>
      <c r="C515" t="s">
        <v>255</v>
      </c>
      <c r="D515" t="s">
        <v>234</v>
      </c>
      <c r="E515" t="s">
        <v>20</v>
      </c>
      <c r="F515" t="str">
        <f>'Basis Options'!A520</f>
        <v>ELPASMER</v>
      </c>
      <c r="G515" t="s">
        <v>269</v>
      </c>
      <c r="H515" t="s">
        <v>254</v>
      </c>
      <c r="I515" t="s">
        <v>242</v>
      </c>
      <c r="J515" t="s">
        <v>235</v>
      </c>
      <c r="K515" s="380">
        <f>'Basis Options'!G520</f>
        <v>36831</v>
      </c>
      <c r="L515" s="235">
        <f>'Basis Options'!U520</f>
        <v>621589.15777231229</v>
      </c>
      <c r="M515" s="380">
        <f>'Basis Options'!Q520</f>
        <v>36829</v>
      </c>
      <c r="N515" t="str">
        <f>'Basis Options'!F520</f>
        <v>C</v>
      </c>
      <c r="O515">
        <f>'Basis Options'!I520</f>
        <v>0.3</v>
      </c>
      <c r="P515">
        <v>0</v>
      </c>
      <c r="Q515">
        <v>0</v>
      </c>
      <c r="R515">
        <v>0</v>
      </c>
      <c r="S515">
        <v>0</v>
      </c>
      <c r="T515" t="s">
        <v>253</v>
      </c>
      <c r="U515" t="str">
        <f>IF('Basis Options'!D520="NGI/CHI. GATE","""NGI/CHI. GATE""",TRIM('Basis Options'!D520))</f>
        <v>NGI-SOCAL</v>
      </c>
      <c r="V515" t="s">
        <v>253</v>
      </c>
      <c r="W515" t="s">
        <v>132</v>
      </c>
      <c r="X515" t="s">
        <v>253</v>
      </c>
      <c r="Y515" t="s">
        <v>235</v>
      </c>
      <c r="Z515" t="s">
        <v>236</v>
      </c>
      <c r="AA515" t="s">
        <v>253</v>
      </c>
      <c r="AB515" t="s">
        <v>1</v>
      </c>
      <c r="AC515" s="235">
        <f>'Basis Options'!H520</f>
        <v>500000</v>
      </c>
      <c r="AD515" s="235">
        <f>'Basis Options'!W520</f>
        <v>5956.9717038501403</v>
      </c>
      <c r="AE515">
        <v>0</v>
      </c>
      <c r="AF515">
        <v>0</v>
      </c>
      <c r="AG515">
        <v>0</v>
      </c>
      <c r="AH515" s="235">
        <f>'Basis Options'!CD520</f>
        <v>0</v>
      </c>
      <c r="AI515">
        <v>226</v>
      </c>
      <c r="AJ515" t="s">
        <v>256</v>
      </c>
      <c r="AK515">
        <v>0</v>
      </c>
      <c r="AL515">
        <v>0</v>
      </c>
      <c r="AM515">
        <v>0</v>
      </c>
    </row>
    <row r="516" spans="1:39" x14ac:dyDescent="0.25">
      <c r="A516" t="s">
        <v>233</v>
      </c>
      <c r="B516" t="str">
        <f>'Basis Options'!C521</f>
        <v>NR7765</v>
      </c>
      <c r="C516" t="s">
        <v>255</v>
      </c>
      <c r="D516" t="s">
        <v>234</v>
      </c>
      <c r="E516" t="s">
        <v>20</v>
      </c>
      <c r="F516" t="str">
        <f>'Basis Options'!A521</f>
        <v>ELPASMER</v>
      </c>
      <c r="G516" t="s">
        <v>269</v>
      </c>
      <c r="H516" t="s">
        <v>254</v>
      </c>
      <c r="I516" t="s">
        <v>242</v>
      </c>
      <c r="J516" t="s">
        <v>235</v>
      </c>
      <c r="K516" s="380">
        <f>'Basis Options'!G521</f>
        <v>36951</v>
      </c>
      <c r="L516" s="235">
        <f>'Basis Options'!U521</f>
        <v>-638004.24254018103</v>
      </c>
      <c r="M516" s="380">
        <f>'Basis Options'!Q521</f>
        <v>36949</v>
      </c>
      <c r="N516" t="str">
        <f>'Basis Options'!F521</f>
        <v>P</v>
      </c>
      <c r="O516">
        <f>'Basis Options'!I521</f>
        <v>1.3</v>
      </c>
      <c r="P516">
        <v>0</v>
      </c>
      <c r="Q516">
        <v>0</v>
      </c>
      <c r="R516">
        <v>0</v>
      </c>
      <c r="S516">
        <v>0</v>
      </c>
      <c r="T516" t="s">
        <v>253</v>
      </c>
      <c r="U516" t="str">
        <f>IF('Basis Options'!D521="NGI/CHI. GATE","""NGI/CHI. GATE""",TRIM('Basis Options'!D521))</f>
        <v>IF-TRANSCO/Z6</v>
      </c>
      <c r="V516" t="s">
        <v>253</v>
      </c>
      <c r="W516" t="s">
        <v>132</v>
      </c>
      <c r="X516" t="s">
        <v>253</v>
      </c>
      <c r="Y516" t="s">
        <v>235</v>
      </c>
      <c r="Z516" t="s">
        <v>236</v>
      </c>
      <c r="AA516" t="s">
        <v>253</v>
      </c>
      <c r="AB516" t="s">
        <v>1</v>
      </c>
      <c r="AC516" s="235">
        <f>'Basis Options'!H521</f>
        <v>-1000000</v>
      </c>
      <c r="AD516" s="235">
        <f>'Basis Options'!W521</f>
        <v>-86319.327580516809</v>
      </c>
      <c r="AE516">
        <v>0</v>
      </c>
      <c r="AF516">
        <v>0</v>
      </c>
      <c r="AG516">
        <v>0</v>
      </c>
      <c r="AH516" s="235">
        <f>'Basis Options'!CD521</f>
        <v>0</v>
      </c>
      <c r="AI516">
        <v>226</v>
      </c>
      <c r="AJ516" t="s">
        <v>256</v>
      </c>
      <c r="AK516">
        <v>0</v>
      </c>
      <c r="AL516">
        <v>0</v>
      </c>
      <c r="AM516">
        <v>0</v>
      </c>
    </row>
    <row r="517" spans="1:39" x14ac:dyDescent="0.25">
      <c r="A517" t="s">
        <v>233</v>
      </c>
      <c r="B517" t="str">
        <f>'Basis Options'!C522</f>
        <v>NR7765</v>
      </c>
      <c r="C517" t="s">
        <v>255</v>
      </c>
      <c r="D517" t="s">
        <v>234</v>
      </c>
      <c r="E517" t="s">
        <v>20</v>
      </c>
      <c r="F517" t="str">
        <f>'Basis Options'!A522</f>
        <v>ELPASMER</v>
      </c>
      <c r="G517" t="s">
        <v>269</v>
      </c>
      <c r="H517" t="s">
        <v>254</v>
      </c>
      <c r="I517" t="s">
        <v>242</v>
      </c>
      <c r="J517" t="s">
        <v>235</v>
      </c>
      <c r="K517" s="380">
        <f>'Basis Options'!G522</f>
        <v>36923</v>
      </c>
      <c r="L517" s="235">
        <f>'Basis Options'!U522</f>
        <v>-303712.94861794863</v>
      </c>
      <c r="M517" s="380">
        <f>'Basis Options'!Q522</f>
        <v>36921</v>
      </c>
      <c r="N517" t="str">
        <f>'Basis Options'!F522</f>
        <v>P</v>
      </c>
      <c r="O517">
        <f>'Basis Options'!I522</f>
        <v>1.3</v>
      </c>
      <c r="P517">
        <v>0</v>
      </c>
      <c r="Q517">
        <v>0</v>
      </c>
      <c r="R517">
        <v>0</v>
      </c>
      <c r="S517">
        <v>0</v>
      </c>
      <c r="T517" t="s">
        <v>253</v>
      </c>
      <c r="U517" t="str">
        <f>IF('Basis Options'!D522="NGI/CHI. GATE","""NGI/CHI. GATE""",TRIM('Basis Options'!D522))</f>
        <v>IF-TRANSCO/Z6</v>
      </c>
      <c r="V517" t="s">
        <v>253</v>
      </c>
      <c r="W517" t="s">
        <v>132</v>
      </c>
      <c r="X517" t="s">
        <v>253</v>
      </c>
      <c r="Y517" t="s">
        <v>235</v>
      </c>
      <c r="Z517" t="s">
        <v>236</v>
      </c>
      <c r="AA517" t="s">
        <v>253</v>
      </c>
      <c r="AB517" t="s">
        <v>1</v>
      </c>
      <c r="AC517" s="235">
        <f>'Basis Options'!H522</f>
        <v>-1000000</v>
      </c>
      <c r="AD517" s="235">
        <f>'Basis Options'!W522</f>
        <v>-78629.887534709036</v>
      </c>
      <c r="AE517">
        <v>0</v>
      </c>
      <c r="AF517">
        <v>0</v>
      </c>
      <c r="AG517">
        <v>0</v>
      </c>
      <c r="AH517" s="235">
        <f>'Basis Options'!CD522</f>
        <v>0</v>
      </c>
      <c r="AI517">
        <v>226</v>
      </c>
      <c r="AJ517" t="s">
        <v>256</v>
      </c>
      <c r="AK517">
        <v>0</v>
      </c>
      <c r="AL517">
        <v>0</v>
      </c>
      <c r="AM517">
        <v>0</v>
      </c>
    </row>
    <row r="518" spans="1:39" x14ac:dyDescent="0.25">
      <c r="A518" t="s">
        <v>233</v>
      </c>
      <c r="B518" t="str">
        <f>'Basis Options'!C523</f>
        <v>NR7765</v>
      </c>
      <c r="C518" t="s">
        <v>255</v>
      </c>
      <c r="D518" t="s">
        <v>234</v>
      </c>
      <c r="E518" t="s">
        <v>20</v>
      </c>
      <c r="F518" t="str">
        <f>'Basis Options'!A523</f>
        <v>ELPASMER</v>
      </c>
      <c r="G518" t="s">
        <v>269</v>
      </c>
      <c r="H518" t="s">
        <v>254</v>
      </c>
      <c r="I518" t="s">
        <v>242</v>
      </c>
      <c r="J518" t="s">
        <v>235</v>
      </c>
      <c r="K518" s="380">
        <f>'Basis Options'!G523</f>
        <v>36892</v>
      </c>
      <c r="L518" s="235">
        <f>'Basis Options'!U523</f>
        <v>-254381.01559219751</v>
      </c>
      <c r="M518" s="380">
        <f>'Basis Options'!Q523</f>
        <v>36888</v>
      </c>
      <c r="N518" t="str">
        <f>'Basis Options'!F523</f>
        <v>P</v>
      </c>
      <c r="O518">
        <f>'Basis Options'!I523</f>
        <v>1.3</v>
      </c>
      <c r="P518">
        <v>0</v>
      </c>
      <c r="Q518">
        <v>0</v>
      </c>
      <c r="R518">
        <v>0</v>
      </c>
      <c r="S518">
        <v>0</v>
      </c>
      <c r="T518" t="s">
        <v>253</v>
      </c>
      <c r="U518" t="str">
        <f>IF('Basis Options'!D523="NGI/CHI. GATE","""NGI/CHI. GATE""",TRIM('Basis Options'!D523))</f>
        <v>IF-TRANSCO/Z6</v>
      </c>
      <c r="V518" t="s">
        <v>253</v>
      </c>
      <c r="W518" t="s">
        <v>132</v>
      </c>
      <c r="X518" t="s">
        <v>253</v>
      </c>
      <c r="Y518" t="s">
        <v>235</v>
      </c>
      <c r="Z518" t="s">
        <v>236</v>
      </c>
      <c r="AA518" t="s">
        <v>253</v>
      </c>
      <c r="AB518" t="s">
        <v>1</v>
      </c>
      <c r="AC518" s="235">
        <f>'Basis Options'!H523</f>
        <v>-1000000</v>
      </c>
      <c r="AD518" s="235">
        <f>'Basis Options'!W523</f>
        <v>-68983.892841383524</v>
      </c>
      <c r="AE518">
        <v>0</v>
      </c>
      <c r="AF518">
        <v>0</v>
      </c>
      <c r="AG518">
        <v>0</v>
      </c>
      <c r="AH518" s="235">
        <f>'Basis Options'!CD523</f>
        <v>0</v>
      </c>
      <c r="AI518">
        <v>226</v>
      </c>
      <c r="AJ518" t="s">
        <v>256</v>
      </c>
      <c r="AK518">
        <v>0</v>
      </c>
      <c r="AL518">
        <v>0</v>
      </c>
      <c r="AM518">
        <v>0</v>
      </c>
    </row>
    <row r="519" spans="1:39" x14ac:dyDescent="0.25">
      <c r="A519" t="s">
        <v>233</v>
      </c>
      <c r="B519" t="str">
        <f>'Basis Options'!C524</f>
        <v>NR7765</v>
      </c>
      <c r="C519" t="s">
        <v>255</v>
      </c>
      <c r="D519" t="s">
        <v>234</v>
      </c>
      <c r="E519" t="s">
        <v>20</v>
      </c>
      <c r="F519" t="str">
        <f>'Basis Options'!A524</f>
        <v>ELPASMER</v>
      </c>
      <c r="G519" t="s">
        <v>269</v>
      </c>
      <c r="H519" t="s">
        <v>254</v>
      </c>
      <c r="I519" t="s">
        <v>242</v>
      </c>
      <c r="J519" t="s">
        <v>235</v>
      </c>
      <c r="K519" s="380">
        <f>'Basis Options'!G524</f>
        <v>36861</v>
      </c>
      <c r="L519" s="235">
        <f>'Basis Options'!U524</f>
        <v>-339890.36456437741</v>
      </c>
      <c r="M519" s="380">
        <f>'Basis Options'!Q524</f>
        <v>36859</v>
      </c>
      <c r="N519" t="str">
        <f>'Basis Options'!F524</f>
        <v>P</v>
      </c>
      <c r="O519">
        <f>'Basis Options'!I524</f>
        <v>1.3</v>
      </c>
      <c r="P519">
        <v>0</v>
      </c>
      <c r="Q519">
        <v>0</v>
      </c>
      <c r="R519">
        <v>0</v>
      </c>
      <c r="S519">
        <v>0</v>
      </c>
      <c r="T519" t="s">
        <v>253</v>
      </c>
      <c r="U519" t="str">
        <f>IF('Basis Options'!D524="NGI/CHI. GATE","""NGI/CHI. GATE""",TRIM('Basis Options'!D524))</f>
        <v>IF-TRANSCO/Z6</v>
      </c>
      <c r="V519" t="s">
        <v>253</v>
      </c>
      <c r="W519" t="s">
        <v>132</v>
      </c>
      <c r="X519" t="s">
        <v>253</v>
      </c>
      <c r="Y519" t="s">
        <v>235</v>
      </c>
      <c r="Z519" t="s">
        <v>236</v>
      </c>
      <c r="AA519" t="s">
        <v>253</v>
      </c>
      <c r="AB519" t="s">
        <v>1</v>
      </c>
      <c r="AC519" s="235">
        <f>'Basis Options'!H524</f>
        <v>-1000000</v>
      </c>
      <c r="AD519" s="235">
        <f>'Basis Options'!W524</f>
        <v>-68878.230471887684</v>
      </c>
      <c r="AE519">
        <v>0</v>
      </c>
      <c r="AF519">
        <v>0</v>
      </c>
      <c r="AG519">
        <v>0</v>
      </c>
      <c r="AH519" s="235">
        <f>'Basis Options'!CD524</f>
        <v>0</v>
      </c>
      <c r="AI519">
        <v>226</v>
      </c>
      <c r="AJ519" t="s">
        <v>256</v>
      </c>
      <c r="AK519">
        <v>0</v>
      </c>
      <c r="AL519">
        <v>0</v>
      </c>
      <c r="AM519">
        <v>0</v>
      </c>
    </row>
    <row r="520" spans="1:39" x14ac:dyDescent="0.25">
      <c r="A520" t="s">
        <v>233</v>
      </c>
      <c r="B520" t="str">
        <f>'Basis Options'!C525</f>
        <v>NR7765</v>
      </c>
      <c r="C520" t="s">
        <v>255</v>
      </c>
      <c r="D520" t="s">
        <v>234</v>
      </c>
      <c r="E520" t="s">
        <v>20</v>
      </c>
      <c r="F520" t="str">
        <f>'Basis Options'!A525</f>
        <v>ELPASMER</v>
      </c>
      <c r="G520" t="s">
        <v>269</v>
      </c>
      <c r="H520" t="s">
        <v>254</v>
      </c>
      <c r="I520" t="s">
        <v>242</v>
      </c>
      <c r="J520" t="s">
        <v>235</v>
      </c>
      <c r="K520" s="380">
        <f>'Basis Options'!G525</f>
        <v>36831</v>
      </c>
      <c r="L520" s="235">
        <f>'Basis Options'!U525</f>
        <v>-615960.70257825346</v>
      </c>
      <c r="M520" s="380">
        <f>'Basis Options'!Q525</f>
        <v>36829</v>
      </c>
      <c r="N520" t="str">
        <f>'Basis Options'!F525</f>
        <v>P</v>
      </c>
      <c r="O520">
        <f>'Basis Options'!I525</f>
        <v>1.3</v>
      </c>
      <c r="P520">
        <v>0</v>
      </c>
      <c r="Q520">
        <v>0</v>
      </c>
      <c r="R520">
        <v>0</v>
      </c>
      <c r="S520">
        <v>0</v>
      </c>
      <c r="T520" t="s">
        <v>253</v>
      </c>
      <c r="U520" t="str">
        <f>IF('Basis Options'!D525="NGI/CHI. GATE","""NGI/CHI. GATE""",TRIM('Basis Options'!D525))</f>
        <v>IF-TRANSCO/Z6</v>
      </c>
      <c r="V520" t="s">
        <v>253</v>
      </c>
      <c r="W520" t="s">
        <v>132</v>
      </c>
      <c r="X520" t="s">
        <v>253</v>
      </c>
      <c r="Y520" t="s">
        <v>235</v>
      </c>
      <c r="Z520" t="s">
        <v>236</v>
      </c>
      <c r="AA520" t="s">
        <v>253</v>
      </c>
      <c r="AB520" t="s">
        <v>1</v>
      </c>
      <c r="AC520" s="235">
        <f>'Basis Options'!H525</f>
        <v>-1000000</v>
      </c>
      <c r="AD520" s="235">
        <f>'Basis Options'!W525</f>
        <v>-32498.557207257021</v>
      </c>
      <c r="AE520">
        <v>0</v>
      </c>
      <c r="AF520">
        <v>0</v>
      </c>
      <c r="AG520">
        <v>0</v>
      </c>
      <c r="AH520" s="235">
        <f>'Basis Options'!CD525</f>
        <v>0</v>
      </c>
      <c r="AI520">
        <v>226</v>
      </c>
      <c r="AJ520" t="s">
        <v>256</v>
      </c>
      <c r="AK520">
        <v>0</v>
      </c>
      <c r="AL520">
        <v>0</v>
      </c>
      <c r="AM520">
        <v>0</v>
      </c>
    </row>
    <row r="521" spans="1:39" x14ac:dyDescent="0.25">
      <c r="A521" t="s">
        <v>233</v>
      </c>
      <c r="B521" t="str">
        <f>'Basis Options'!C526</f>
        <v>NR7766</v>
      </c>
      <c r="C521" t="s">
        <v>255</v>
      </c>
      <c r="D521" t="s">
        <v>234</v>
      </c>
      <c r="E521" t="s">
        <v>20</v>
      </c>
      <c r="F521" t="str">
        <f>'Basis Options'!A526</f>
        <v>AEPENESER</v>
      </c>
      <c r="G521" t="s">
        <v>269</v>
      </c>
      <c r="H521" t="s">
        <v>254</v>
      </c>
      <c r="I521" t="s">
        <v>242</v>
      </c>
      <c r="J521" t="s">
        <v>235</v>
      </c>
      <c r="K521" s="380">
        <f>'Basis Options'!G526</f>
        <v>36831</v>
      </c>
      <c r="L521" s="235">
        <f>'Basis Options'!U526</f>
        <v>122309.59108646341</v>
      </c>
      <c r="M521" s="380">
        <f>'Basis Options'!Q526</f>
        <v>36829</v>
      </c>
      <c r="N521" t="str">
        <f>'Basis Options'!F526</f>
        <v>C</v>
      </c>
      <c r="O521">
        <f>'Basis Options'!I526</f>
        <v>0.8</v>
      </c>
      <c r="P521">
        <v>0</v>
      </c>
      <c r="Q521">
        <v>0</v>
      </c>
      <c r="R521">
        <v>0</v>
      </c>
      <c r="S521">
        <v>0</v>
      </c>
      <c r="T521" t="s">
        <v>253</v>
      </c>
      <c r="U521" t="str">
        <f>IF('Basis Options'!D526="NGI/CHI. GATE","""NGI/CHI. GATE""",TRIM('Basis Options'!D526))</f>
        <v>IF-TRANSCO/Z6</v>
      </c>
      <c r="V521" t="s">
        <v>253</v>
      </c>
      <c r="W521" t="s">
        <v>132</v>
      </c>
      <c r="X521" t="s">
        <v>253</v>
      </c>
      <c r="Y521" t="s">
        <v>235</v>
      </c>
      <c r="Z521" t="s">
        <v>236</v>
      </c>
      <c r="AA521" t="s">
        <v>253</v>
      </c>
      <c r="AB521" t="s">
        <v>1</v>
      </c>
      <c r="AC521" s="235">
        <f>'Basis Options'!H526</f>
        <v>500000</v>
      </c>
      <c r="AD521" s="235">
        <f>'Basis Options'!W526</f>
        <v>22293.110862507398</v>
      </c>
      <c r="AE521">
        <v>0</v>
      </c>
      <c r="AF521">
        <v>0</v>
      </c>
      <c r="AG521">
        <v>0</v>
      </c>
      <c r="AH521" s="235">
        <f>'Basis Options'!CD526</f>
        <v>0</v>
      </c>
      <c r="AI521">
        <v>226</v>
      </c>
      <c r="AJ521" t="s">
        <v>256</v>
      </c>
      <c r="AK521">
        <v>0</v>
      </c>
      <c r="AL521">
        <v>0</v>
      </c>
      <c r="AM521">
        <v>0</v>
      </c>
    </row>
    <row r="522" spans="1:39" x14ac:dyDescent="0.25">
      <c r="A522" t="s">
        <v>233</v>
      </c>
      <c r="B522" t="str">
        <f>'Basis Options'!C527</f>
        <v>NR7767.1</v>
      </c>
      <c r="C522" t="s">
        <v>255</v>
      </c>
      <c r="D522" t="s">
        <v>234</v>
      </c>
      <c r="E522" t="s">
        <v>20</v>
      </c>
      <c r="F522" t="str">
        <f>'Basis Options'!A527</f>
        <v>SOUTHERCOMENEMA</v>
      </c>
      <c r="G522" t="s">
        <v>269</v>
      </c>
      <c r="H522" t="s">
        <v>254</v>
      </c>
      <c r="I522" t="s">
        <v>242</v>
      </c>
      <c r="J522" t="s">
        <v>235</v>
      </c>
      <c r="K522" s="380">
        <f>'Basis Options'!G527</f>
        <v>36951</v>
      </c>
      <c r="L522" s="235">
        <f>'Basis Options'!U527</f>
        <v>65192.330438182777</v>
      </c>
      <c r="M522" s="380">
        <f>'Basis Options'!Q527</f>
        <v>36949</v>
      </c>
      <c r="N522" t="str">
        <f>'Basis Options'!F527</f>
        <v>C</v>
      </c>
      <c r="O522">
        <f>'Basis Options'!I527</f>
        <v>1.3</v>
      </c>
      <c r="P522">
        <v>0</v>
      </c>
      <c r="Q522">
        <v>0</v>
      </c>
      <c r="R522">
        <v>0</v>
      </c>
      <c r="S522">
        <v>0</v>
      </c>
      <c r="T522" t="s">
        <v>253</v>
      </c>
      <c r="U522" t="str">
        <f>IF('Basis Options'!D527="NGI/CHI. GATE","""NGI/CHI. GATE""",TRIM('Basis Options'!D527))</f>
        <v>IF-TRANSCO/Z6</v>
      </c>
      <c r="V522" t="s">
        <v>253</v>
      </c>
      <c r="W522" t="s">
        <v>132</v>
      </c>
      <c r="X522" t="s">
        <v>253</v>
      </c>
      <c r="Y522" t="s">
        <v>235</v>
      </c>
      <c r="Z522" t="s">
        <v>236</v>
      </c>
      <c r="AA522" t="s">
        <v>253</v>
      </c>
      <c r="AB522" t="s">
        <v>1</v>
      </c>
      <c r="AC522" s="235">
        <f>'Basis Options'!H527</f>
        <v>155000</v>
      </c>
      <c r="AD522" s="235">
        <f>'Basis Options'!W527</f>
        <v>13379.495774980089</v>
      </c>
      <c r="AE522">
        <v>0</v>
      </c>
      <c r="AF522">
        <v>0</v>
      </c>
      <c r="AG522">
        <v>0</v>
      </c>
      <c r="AH522" s="235">
        <f>'Basis Options'!CD527</f>
        <v>0</v>
      </c>
      <c r="AI522">
        <v>226</v>
      </c>
      <c r="AJ522" t="s">
        <v>256</v>
      </c>
      <c r="AK522">
        <v>0</v>
      </c>
      <c r="AL522">
        <v>0</v>
      </c>
      <c r="AM522">
        <v>0</v>
      </c>
    </row>
    <row r="523" spans="1:39" x14ac:dyDescent="0.25">
      <c r="A523" t="s">
        <v>233</v>
      </c>
      <c r="B523" t="str">
        <f>'Basis Options'!C528</f>
        <v>NR7767.1</v>
      </c>
      <c r="C523" t="s">
        <v>255</v>
      </c>
      <c r="D523" t="s">
        <v>234</v>
      </c>
      <c r="E523" t="s">
        <v>20</v>
      </c>
      <c r="F523" t="str">
        <f>'Basis Options'!A528</f>
        <v>SOUTHERCOMENEMA</v>
      </c>
      <c r="G523" t="s">
        <v>269</v>
      </c>
      <c r="H523" t="s">
        <v>254</v>
      </c>
      <c r="I523" t="s">
        <v>242</v>
      </c>
      <c r="J523" t="s">
        <v>235</v>
      </c>
      <c r="K523" s="380">
        <f>'Basis Options'!G528</f>
        <v>36923</v>
      </c>
      <c r="L523" s="235">
        <f>'Basis Options'!U528</f>
        <v>149964.84678033038</v>
      </c>
      <c r="M523" s="380">
        <f>'Basis Options'!Q528</f>
        <v>36921</v>
      </c>
      <c r="N523" t="str">
        <f>'Basis Options'!F528</f>
        <v>C</v>
      </c>
      <c r="O523">
        <f>'Basis Options'!I528</f>
        <v>1.3</v>
      </c>
      <c r="P523">
        <v>0</v>
      </c>
      <c r="Q523">
        <v>0</v>
      </c>
      <c r="R523">
        <v>0</v>
      </c>
      <c r="S523">
        <v>0</v>
      </c>
      <c r="T523" t="s">
        <v>253</v>
      </c>
      <c r="U523" t="str">
        <f>IF('Basis Options'!D528="NGI/CHI. GATE","""NGI/CHI. GATE""",TRIM('Basis Options'!D528))</f>
        <v>IF-TRANSCO/Z6</v>
      </c>
      <c r="V523" t="s">
        <v>253</v>
      </c>
      <c r="W523" t="s">
        <v>132</v>
      </c>
      <c r="X523" t="s">
        <v>253</v>
      </c>
      <c r="Y523" t="s">
        <v>235</v>
      </c>
      <c r="Z523" t="s">
        <v>236</v>
      </c>
      <c r="AA523" t="s">
        <v>253</v>
      </c>
      <c r="AB523" t="s">
        <v>1</v>
      </c>
      <c r="AC523" s="235">
        <f>'Basis Options'!H528</f>
        <v>140000</v>
      </c>
      <c r="AD523" s="235">
        <f>'Basis Options'!W528</f>
        <v>11008.184254859254</v>
      </c>
      <c r="AE523">
        <v>0</v>
      </c>
      <c r="AF523">
        <v>0</v>
      </c>
      <c r="AG523">
        <v>0</v>
      </c>
      <c r="AH523" s="235">
        <f>'Basis Options'!CD528</f>
        <v>0</v>
      </c>
      <c r="AI523">
        <v>226</v>
      </c>
      <c r="AJ523" t="s">
        <v>256</v>
      </c>
      <c r="AK523">
        <v>0</v>
      </c>
      <c r="AL523">
        <v>0</v>
      </c>
      <c r="AM523">
        <v>0</v>
      </c>
    </row>
    <row r="524" spans="1:39" x14ac:dyDescent="0.25">
      <c r="A524" t="s">
        <v>233</v>
      </c>
      <c r="B524" t="str">
        <f>'Basis Options'!C529</f>
        <v>NR7767.1</v>
      </c>
      <c r="C524" t="s">
        <v>255</v>
      </c>
      <c r="D524" t="s">
        <v>234</v>
      </c>
      <c r="E524" t="s">
        <v>20</v>
      </c>
      <c r="F524" t="str">
        <f>'Basis Options'!A529</f>
        <v>SOUTHERCOMENEMA</v>
      </c>
      <c r="G524" t="s">
        <v>269</v>
      </c>
      <c r="H524" t="s">
        <v>254</v>
      </c>
      <c r="I524" t="s">
        <v>242</v>
      </c>
      <c r="J524" t="s">
        <v>235</v>
      </c>
      <c r="K524" s="380">
        <f>'Basis Options'!G529</f>
        <v>36892</v>
      </c>
      <c r="L524" s="235">
        <f>'Basis Options'!U529</f>
        <v>171258.87621618327</v>
      </c>
      <c r="M524" s="380">
        <f>'Basis Options'!Q529</f>
        <v>36888</v>
      </c>
      <c r="N524" t="str">
        <f>'Basis Options'!F529</f>
        <v>C</v>
      </c>
      <c r="O524">
        <f>'Basis Options'!I529</f>
        <v>1.3</v>
      </c>
      <c r="P524">
        <v>0</v>
      </c>
      <c r="Q524">
        <v>0</v>
      </c>
      <c r="R524">
        <v>0</v>
      </c>
      <c r="S524">
        <v>0</v>
      </c>
      <c r="T524" t="s">
        <v>253</v>
      </c>
      <c r="U524" t="str">
        <f>IF('Basis Options'!D529="NGI/CHI. GATE","""NGI/CHI. GATE""",TRIM('Basis Options'!D529))</f>
        <v>IF-TRANSCO/Z6</v>
      </c>
      <c r="V524" t="s">
        <v>253</v>
      </c>
      <c r="W524" t="s">
        <v>132</v>
      </c>
      <c r="X524" t="s">
        <v>253</v>
      </c>
      <c r="Y524" t="s">
        <v>235</v>
      </c>
      <c r="Z524" t="s">
        <v>236</v>
      </c>
      <c r="AA524" t="s">
        <v>253</v>
      </c>
      <c r="AB524" t="s">
        <v>1</v>
      </c>
      <c r="AC524" s="235">
        <f>'Basis Options'!H529</f>
        <v>155000</v>
      </c>
      <c r="AD524" s="235">
        <f>'Basis Options'!W529</f>
        <v>10692.503390414451</v>
      </c>
      <c r="AE524">
        <v>0</v>
      </c>
      <c r="AF524">
        <v>0</v>
      </c>
      <c r="AG524">
        <v>0</v>
      </c>
      <c r="AH524" s="235">
        <f>'Basis Options'!CD529</f>
        <v>0</v>
      </c>
      <c r="AI524">
        <v>226</v>
      </c>
      <c r="AJ524" t="s">
        <v>256</v>
      </c>
      <c r="AK524">
        <v>0</v>
      </c>
      <c r="AL524">
        <v>0</v>
      </c>
      <c r="AM524">
        <v>0</v>
      </c>
    </row>
    <row r="525" spans="1:39" x14ac:dyDescent="0.25">
      <c r="A525" t="s">
        <v>233</v>
      </c>
      <c r="B525" t="str">
        <f>'Basis Options'!C530</f>
        <v>NR7767.1</v>
      </c>
      <c r="C525" t="s">
        <v>255</v>
      </c>
      <c r="D525" t="s">
        <v>234</v>
      </c>
      <c r="E525" t="s">
        <v>20</v>
      </c>
      <c r="F525" t="str">
        <f>'Basis Options'!A530</f>
        <v>SOUTHERCOMENEMA</v>
      </c>
      <c r="G525" t="s">
        <v>269</v>
      </c>
      <c r="H525" t="s">
        <v>254</v>
      </c>
      <c r="I525" t="s">
        <v>242</v>
      </c>
      <c r="J525" t="s">
        <v>235</v>
      </c>
      <c r="K525" s="380">
        <f>'Basis Options'!G530</f>
        <v>36861</v>
      </c>
      <c r="L525" s="235">
        <f>'Basis Options'!U530</f>
        <v>105245.72856479511</v>
      </c>
      <c r="M525" s="380">
        <f>'Basis Options'!Q530</f>
        <v>36859</v>
      </c>
      <c r="N525" t="str">
        <f>'Basis Options'!F530</f>
        <v>C</v>
      </c>
      <c r="O525">
        <f>'Basis Options'!I530</f>
        <v>1.3</v>
      </c>
      <c r="P525">
        <v>0</v>
      </c>
      <c r="Q525">
        <v>0</v>
      </c>
      <c r="R525">
        <v>0</v>
      </c>
      <c r="S525">
        <v>0</v>
      </c>
      <c r="T525" t="s">
        <v>253</v>
      </c>
      <c r="U525" t="str">
        <f>IF('Basis Options'!D530="NGI/CHI. GATE","""NGI/CHI. GATE""",TRIM('Basis Options'!D530))</f>
        <v>IF-TRANSCO/Z6</v>
      </c>
      <c r="V525" t="s">
        <v>253</v>
      </c>
      <c r="W525" t="s">
        <v>132</v>
      </c>
      <c r="X525" t="s">
        <v>253</v>
      </c>
      <c r="Y525" t="s">
        <v>235</v>
      </c>
      <c r="Z525" t="s">
        <v>236</v>
      </c>
      <c r="AA525" t="s">
        <v>253</v>
      </c>
      <c r="AB525" t="s">
        <v>1</v>
      </c>
      <c r="AC525" s="235">
        <f>'Basis Options'!H530</f>
        <v>155000</v>
      </c>
      <c r="AD525" s="235">
        <f>'Basis Options'!W530</f>
        <v>10676.125723142599</v>
      </c>
      <c r="AE525">
        <v>0</v>
      </c>
      <c r="AF525">
        <v>0</v>
      </c>
      <c r="AG525">
        <v>0</v>
      </c>
      <c r="AH525" s="235">
        <f>'Basis Options'!CD530</f>
        <v>0</v>
      </c>
      <c r="AI525">
        <v>226</v>
      </c>
      <c r="AJ525" t="s">
        <v>256</v>
      </c>
      <c r="AK525">
        <v>0</v>
      </c>
      <c r="AL525">
        <v>0</v>
      </c>
      <c r="AM525">
        <v>0</v>
      </c>
    </row>
    <row r="526" spans="1:39" x14ac:dyDescent="0.25">
      <c r="A526" t="s">
        <v>233</v>
      </c>
      <c r="B526" t="str">
        <f>'Basis Options'!C531</f>
        <v>NR7767.1</v>
      </c>
      <c r="C526" t="s">
        <v>255</v>
      </c>
      <c r="D526" t="s">
        <v>234</v>
      </c>
      <c r="E526" t="s">
        <v>20</v>
      </c>
      <c r="F526" t="str">
        <f>'Basis Options'!A531</f>
        <v>SOUTHERCOMENEMA</v>
      </c>
      <c r="G526" t="s">
        <v>269</v>
      </c>
      <c r="H526" t="s">
        <v>254</v>
      </c>
      <c r="I526" t="s">
        <v>242</v>
      </c>
      <c r="J526" t="s">
        <v>235</v>
      </c>
      <c r="K526" s="380">
        <f>'Basis Options'!G531</f>
        <v>36831</v>
      </c>
      <c r="L526" s="235">
        <f>'Basis Options'!U531</f>
        <v>13807.904671216251</v>
      </c>
      <c r="M526" s="380">
        <f>'Basis Options'!Q531</f>
        <v>36829</v>
      </c>
      <c r="N526" t="str">
        <f>'Basis Options'!F531</f>
        <v>C</v>
      </c>
      <c r="O526">
        <f>'Basis Options'!I531</f>
        <v>1.3</v>
      </c>
      <c r="P526">
        <v>0</v>
      </c>
      <c r="Q526">
        <v>0</v>
      </c>
      <c r="R526">
        <v>0</v>
      </c>
      <c r="S526">
        <v>0</v>
      </c>
      <c r="T526" t="s">
        <v>253</v>
      </c>
      <c r="U526" t="str">
        <f>IF('Basis Options'!D531="NGI/CHI. GATE","""NGI/CHI. GATE""",TRIM('Basis Options'!D531))</f>
        <v>IF-TRANSCO/Z6</v>
      </c>
      <c r="V526" t="s">
        <v>253</v>
      </c>
      <c r="W526" t="s">
        <v>132</v>
      </c>
      <c r="X526" t="s">
        <v>253</v>
      </c>
      <c r="Y526" t="s">
        <v>235</v>
      </c>
      <c r="Z526" t="s">
        <v>236</v>
      </c>
      <c r="AA526" t="s">
        <v>253</v>
      </c>
      <c r="AB526" t="s">
        <v>1</v>
      </c>
      <c r="AC526" s="235">
        <f>'Basis Options'!H531</f>
        <v>150000</v>
      </c>
      <c r="AD526" s="235">
        <f>'Basis Options'!W531</f>
        <v>4874.7835810885554</v>
      </c>
      <c r="AE526">
        <v>0</v>
      </c>
      <c r="AF526">
        <v>0</v>
      </c>
      <c r="AG526">
        <v>0</v>
      </c>
      <c r="AH526" s="235">
        <f>'Basis Options'!CD531</f>
        <v>0</v>
      </c>
      <c r="AI526">
        <v>226</v>
      </c>
      <c r="AJ526" t="s">
        <v>256</v>
      </c>
      <c r="AK526">
        <v>0</v>
      </c>
      <c r="AL526">
        <v>0</v>
      </c>
      <c r="AM526">
        <v>0</v>
      </c>
    </row>
    <row r="527" spans="1:39" x14ac:dyDescent="0.25">
      <c r="A527" t="s">
        <v>233</v>
      </c>
      <c r="B527" t="str">
        <f>'Basis Options'!C532</f>
        <v>NR7767.2</v>
      </c>
      <c r="C527" t="s">
        <v>255</v>
      </c>
      <c r="D527" t="s">
        <v>234</v>
      </c>
      <c r="E527" t="s">
        <v>20</v>
      </c>
      <c r="F527" t="str">
        <f>'Basis Options'!A532</f>
        <v>SOUTHERCOMENEMA</v>
      </c>
      <c r="G527" t="s">
        <v>269</v>
      </c>
      <c r="H527" t="s">
        <v>254</v>
      </c>
      <c r="I527" t="s">
        <v>242</v>
      </c>
      <c r="J527" t="s">
        <v>235</v>
      </c>
      <c r="K527" s="380">
        <f>'Basis Options'!G532</f>
        <v>36951</v>
      </c>
      <c r="L527" s="235">
        <f>'Basis Options'!U532</f>
        <v>98890.657593728072</v>
      </c>
      <c r="M527" s="380">
        <f>'Basis Options'!Q532</f>
        <v>36949</v>
      </c>
      <c r="N527" t="str">
        <f>'Basis Options'!F532</f>
        <v>P</v>
      </c>
      <c r="O527">
        <f>'Basis Options'!I532</f>
        <v>1.3</v>
      </c>
      <c r="P527">
        <v>0</v>
      </c>
      <c r="Q527">
        <v>0</v>
      </c>
      <c r="R527">
        <v>0</v>
      </c>
      <c r="S527">
        <v>0</v>
      </c>
      <c r="T527" t="s">
        <v>253</v>
      </c>
      <c r="U527" t="str">
        <f>IF('Basis Options'!D532="NGI/CHI. GATE","""NGI/CHI. GATE""",TRIM('Basis Options'!D532))</f>
        <v>IF-TRANSCO/Z6</v>
      </c>
      <c r="V527" t="s">
        <v>253</v>
      </c>
      <c r="W527" t="s">
        <v>132</v>
      </c>
      <c r="X527" t="s">
        <v>253</v>
      </c>
      <c r="Y527" t="s">
        <v>235</v>
      </c>
      <c r="Z527" t="s">
        <v>236</v>
      </c>
      <c r="AA527" t="s">
        <v>253</v>
      </c>
      <c r="AB527" t="s">
        <v>1</v>
      </c>
      <c r="AC527" s="235">
        <f>'Basis Options'!H532</f>
        <v>155000</v>
      </c>
      <c r="AD527" s="235">
        <f>'Basis Options'!W532</f>
        <v>13379.495774980096</v>
      </c>
      <c r="AE527">
        <v>0</v>
      </c>
      <c r="AF527">
        <v>0</v>
      </c>
      <c r="AG527">
        <v>0</v>
      </c>
      <c r="AH527" s="235">
        <f>'Basis Options'!CD532</f>
        <v>0</v>
      </c>
      <c r="AI527">
        <v>226</v>
      </c>
      <c r="AJ527" t="s">
        <v>256</v>
      </c>
      <c r="AK527">
        <v>0</v>
      </c>
      <c r="AL527">
        <v>0</v>
      </c>
      <c r="AM527">
        <v>0</v>
      </c>
    </row>
    <row r="528" spans="1:39" x14ac:dyDescent="0.25">
      <c r="A528" t="s">
        <v>233</v>
      </c>
      <c r="B528" t="str">
        <f>'Basis Options'!C533</f>
        <v>NR7767.2</v>
      </c>
      <c r="C528" t="s">
        <v>255</v>
      </c>
      <c r="D528" t="s">
        <v>234</v>
      </c>
      <c r="E528" t="s">
        <v>20</v>
      </c>
      <c r="F528" t="str">
        <f>'Basis Options'!A533</f>
        <v>SOUTHERCOMENEMA</v>
      </c>
      <c r="G528" t="s">
        <v>269</v>
      </c>
      <c r="H528" t="s">
        <v>254</v>
      </c>
      <c r="I528" t="s">
        <v>242</v>
      </c>
      <c r="J528" t="s">
        <v>235</v>
      </c>
      <c r="K528" s="380">
        <f>'Basis Options'!G533</f>
        <v>36923</v>
      </c>
      <c r="L528" s="235">
        <f>'Basis Options'!U533</f>
        <v>42519.812806512804</v>
      </c>
      <c r="M528" s="380">
        <f>'Basis Options'!Q533</f>
        <v>36921</v>
      </c>
      <c r="N528" t="str">
        <f>'Basis Options'!F533</f>
        <v>P</v>
      </c>
      <c r="O528">
        <f>'Basis Options'!I533</f>
        <v>1.3</v>
      </c>
      <c r="P528">
        <v>0</v>
      </c>
      <c r="Q528">
        <v>0</v>
      </c>
      <c r="R528">
        <v>0</v>
      </c>
      <c r="S528">
        <v>0</v>
      </c>
      <c r="T528" t="s">
        <v>253</v>
      </c>
      <c r="U528" t="str">
        <f>IF('Basis Options'!D533="NGI/CHI. GATE","""NGI/CHI. GATE""",TRIM('Basis Options'!D533))</f>
        <v>IF-TRANSCO/Z6</v>
      </c>
      <c r="V528" t="s">
        <v>253</v>
      </c>
      <c r="W528" t="s">
        <v>132</v>
      </c>
      <c r="X528" t="s">
        <v>253</v>
      </c>
      <c r="Y528" t="s">
        <v>235</v>
      </c>
      <c r="Z528" t="s">
        <v>236</v>
      </c>
      <c r="AA528" t="s">
        <v>253</v>
      </c>
      <c r="AB528" t="s">
        <v>1</v>
      </c>
      <c r="AC528" s="235">
        <f>'Basis Options'!H533</f>
        <v>140000</v>
      </c>
      <c r="AD528" s="235">
        <f>'Basis Options'!W533</f>
        <v>11008.184254859261</v>
      </c>
      <c r="AE528">
        <v>0</v>
      </c>
      <c r="AF528">
        <v>0</v>
      </c>
      <c r="AG528">
        <v>0</v>
      </c>
      <c r="AH528" s="235">
        <f>'Basis Options'!CD533</f>
        <v>0</v>
      </c>
      <c r="AI528">
        <v>226</v>
      </c>
      <c r="AJ528" t="s">
        <v>256</v>
      </c>
      <c r="AK528">
        <v>0</v>
      </c>
      <c r="AL528">
        <v>0</v>
      </c>
      <c r="AM528">
        <v>0</v>
      </c>
    </row>
    <row r="529" spans="1:39" x14ac:dyDescent="0.25">
      <c r="A529" t="s">
        <v>233</v>
      </c>
      <c r="B529" t="str">
        <f>'Basis Options'!C534</f>
        <v>NR7767.2</v>
      </c>
      <c r="C529" t="s">
        <v>255</v>
      </c>
      <c r="D529" t="s">
        <v>234</v>
      </c>
      <c r="E529" t="s">
        <v>20</v>
      </c>
      <c r="F529" t="str">
        <f>'Basis Options'!A534</f>
        <v>SOUTHERCOMENEMA</v>
      </c>
      <c r="G529" t="s">
        <v>269</v>
      </c>
      <c r="H529" t="s">
        <v>254</v>
      </c>
      <c r="I529" t="s">
        <v>242</v>
      </c>
      <c r="J529" t="s">
        <v>235</v>
      </c>
      <c r="K529" s="380">
        <f>'Basis Options'!G534</f>
        <v>36892</v>
      </c>
      <c r="L529" s="235">
        <f>'Basis Options'!U534</f>
        <v>39429.057416790616</v>
      </c>
      <c r="M529" s="380">
        <f>'Basis Options'!Q534</f>
        <v>36888</v>
      </c>
      <c r="N529" t="str">
        <f>'Basis Options'!F534</f>
        <v>P</v>
      </c>
      <c r="O529">
        <f>'Basis Options'!I534</f>
        <v>1.3</v>
      </c>
      <c r="P529">
        <v>0</v>
      </c>
      <c r="Q529">
        <v>0</v>
      </c>
      <c r="R529">
        <v>0</v>
      </c>
      <c r="S529">
        <v>0</v>
      </c>
      <c r="T529" t="s">
        <v>253</v>
      </c>
      <c r="U529" t="str">
        <f>IF('Basis Options'!D534="NGI/CHI. GATE","""NGI/CHI. GATE""",TRIM('Basis Options'!D534))</f>
        <v>IF-TRANSCO/Z6</v>
      </c>
      <c r="V529" t="s">
        <v>253</v>
      </c>
      <c r="W529" t="s">
        <v>132</v>
      </c>
      <c r="X529" t="s">
        <v>253</v>
      </c>
      <c r="Y529" t="s">
        <v>235</v>
      </c>
      <c r="Z529" t="s">
        <v>236</v>
      </c>
      <c r="AA529" t="s">
        <v>253</v>
      </c>
      <c r="AB529" t="s">
        <v>1</v>
      </c>
      <c r="AC529" s="235">
        <f>'Basis Options'!H534</f>
        <v>155000</v>
      </c>
      <c r="AD529" s="235">
        <f>'Basis Options'!W534</f>
        <v>10692.503390414444</v>
      </c>
      <c r="AE529">
        <v>0</v>
      </c>
      <c r="AF529">
        <v>0</v>
      </c>
      <c r="AG529">
        <v>0</v>
      </c>
      <c r="AH529" s="235">
        <f>'Basis Options'!CD534</f>
        <v>0</v>
      </c>
      <c r="AI529">
        <v>226</v>
      </c>
      <c r="AJ529" t="s">
        <v>256</v>
      </c>
      <c r="AK529">
        <v>0</v>
      </c>
      <c r="AL529">
        <v>0</v>
      </c>
      <c r="AM529">
        <v>0</v>
      </c>
    </row>
    <row r="530" spans="1:39" x14ac:dyDescent="0.25">
      <c r="A530" t="s">
        <v>233</v>
      </c>
      <c r="B530" t="str">
        <f>'Basis Options'!C535</f>
        <v>NR7767.2</v>
      </c>
      <c r="C530" t="s">
        <v>255</v>
      </c>
      <c r="D530" t="s">
        <v>234</v>
      </c>
      <c r="E530" t="s">
        <v>20</v>
      </c>
      <c r="F530" t="str">
        <f>'Basis Options'!A535</f>
        <v>SOUTHERCOMENEMA</v>
      </c>
      <c r="G530" t="s">
        <v>269</v>
      </c>
      <c r="H530" t="s">
        <v>254</v>
      </c>
      <c r="I530" t="s">
        <v>242</v>
      </c>
      <c r="J530" t="s">
        <v>235</v>
      </c>
      <c r="K530" s="380">
        <f>'Basis Options'!G535</f>
        <v>36861</v>
      </c>
      <c r="L530" s="235">
        <f>'Basis Options'!U535</f>
        <v>52683.006507478494</v>
      </c>
      <c r="M530" s="380">
        <f>'Basis Options'!Q535</f>
        <v>36859</v>
      </c>
      <c r="N530" t="str">
        <f>'Basis Options'!F535</f>
        <v>P</v>
      </c>
      <c r="O530">
        <f>'Basis Options'!I535</f>
        <v>1.3</v>
      </c>
      <c r="P530">
        <v>0</v>
      </c>
      <c r="Q530">
        <v>0</v>
      </c>
      <c r="R530">
        <v>0</v>
      </c>
      <c r="S530">
        <v>0</v>
      </c>
      <c r="T530" t="s">
        <v>253</v>
      </c>
      <c r="U530" t="str">
        <f>IF('Basis Options'!D535="NGI/CHI. GATE","""NGI/CHI. GATE""",TRIM('Basis Options'!D535))</f>
        <v>IF-TRANSCO/Z6</v>
      </c>
      <c r="V530" t="s">
        <v>253</v>
      </c>
      <c r="W530" t="s">
        <v>132</v>
      </c>
      <c r="X530" t="s">
        <v>253</v>
      </c>
      <c r="Y530" t="s">
        <v>235</v>
      </c>
      <c r="Z530" t="s">
        <v>236</v>
      </c>
      <c r="AA530" t="s">
        <v>253</v>
      </c>
      <c r="AB530" t="s">
        <v>1</v>
      </c>
      <c r="AC530" s="235">
        <f>'Basis Options'!H535</f>
        <v>155000</v>
      </c>
      <c r="AD530" s="235">
        <f>'Basis Options'!W535</f>
        <v>10676.125723142584</v>
      </c>
      <c r="AE530">
        <v>0</v>
      </c>
      <c r="AF530">
        <v>0</v>
      </c>
      <c r="AG530">
        <v>0</v>
      </c>
      <c r="AH530" s="235">
        <f>'Basis Options'!CD535</f>
        <v>0</v>
      </c>
      <c r="AI530">
        <v>226</v>
      </c>
      <c r="AJ530" t="s">
        <v>256</v>
      </c>
      <c r="AK530">
        <v>0</v>
      </c>
      <c r="AL530">
        <v>0</v>
      </c>
      <c r="AM530">
        <v>0</v>
      </c>
    </row>
    <row r="531" spans="1:39" x14ac:dyDescent="0.25">
      <c r="A531" t="s">
        <v>233</v>
      </c>
      <c r="B531" t="str">
        <f>'Basis Options'!C536</f>
        <v>NR7767.2</v>
      </c>
      <c r="C531" t="s">
        <v>255</v>
      </c>
      <c r="D531" t="s">
        <v>234</v>
      </c>
      <c r="E531" t="s">
        <v>20</v>
      </c>
      <c r="F531" t="str">
        <f>'Basis Options'!A536</f>
        <v>SOUTHERCOMENEMA</v>
      </c>
      <c r="G531" t="s">
        <v>269</v>
      </c>
      <c r="H531" t="s">
        <v>254</v>
      </c>
      <c r="I531" t="s">
        <v>242</v>
      </c>
      <c r="J531" t="s">
        <v>235</v>
      </c>
      <c r="K531" s="380">
        <f>'Basis Options'!G536</f>
        <v>36831</v>
      </c>
      <c r="L531" s="235">
        <f>'Basis Options'!U536</f>
        <v>92394.105386738011</v>
      </c>
      <c r="M531" s="380">
        <f>'Basis Options'!Q536</f>
        <v>36829</v>
      </c>
      <c r="N531" t="str">
        <f>'Basis Options'!F536</f>
        <v>P</v>
      </c>
      <c r="O531">
        <f>'Basis Options'!I536</f>
        <v>1.3</v>
      </c>
      <c r="P531">
        <v>0</v>
      </c>
      <c r="Q531">
        <v>0</v>
      </c>
      <c r="R531">
        <v>0</v>
      </c>
      <c r="S531">
        <v>0</v>
      </c>
      <c r="T531" t="s">
        <v>253</v>
      </c>
      <c r="U531" t="str">
        <f>IF('Basis Options'!D536="NGI/CHI. GATE","""NGI/CHI. GATE""",TRIM('Basis Options'!D536))</f>
        <v>IF-TRANSCO/Z6</v>
      </c>
      <c r="V531" t="s">
        <v>253</v>
      </c>
      <c r="W531" t="s">
        <v>132</v>
      </c>
      <c r="X531" t="s">
        <v>253</v>
      </c>
      <c r="Y531" t="s">
        <v>235</v>
      </c>
      <c r="Z531" t="s">
        <v>236</v>
      </c>
      <c r="AA531" t="s">
        <v>253</v>
      </c>
      <c r="AB531" t="s">
        <v>1</v>
      </c>
      <c r="AC531" s="235">
        <f>'Basis Options'!H536</f>
        <v>150000</v>
      </c>
      <c r="AD531" s="235">
        <f>'Basis Options'!W536</f>
        <v>4874.7835810885445</v>
      </c>
      <c r="AE531">
        <v>0</v>
      </c>
      <c r="AF531">
        <v>0</v>
      </c>
      <c r="AG531">
        <v>0</v>
      </c>
      <c r="AH531" s="235">
        <f>'Basis Options'!CD536</f>
        <v>0</v>
      </c>
      <c r="AI531">
        <v>226</v>
      </c>
      <c r="AJ531" t="s">
        <v>256</v>
      </c>
      <c r="AK531">
        <v>0</v>
      </c>
      <c r="AL531">
        <v>0</v>
      </c>
      <c r="AM531">
        <v>0</v>
      </c>
    </row>
    <row r="532" spans="1:39" x14ac:dyDescent="0.25">
      <c r="A532" t="s">
        <v>233</v>
      </c>
      <c r="B532" t="str">
        <f>'Basis Options'!C537</f>
        <v>NS0945</v>
      </c>
      <c r="C532" t="s">
        <v>255</v>
      </c>
      <c r="D532" t="s">
        <v>234</v>
      </c>
      <c r="E532" t="s">
        <v>20</v>
      </c>
      <c r="F532" t="str">
        <f>'Basis Options'!A537</f>
        <v>UTILICORP</v>
      </c>
      <c r="G532" t="s">
        <v>269</v>
      </c>
      <c r="H532" t="s">
        <v>254</v>
      </c>
      <c r="I532" t="s">
        <v>242</v>
      </c>
      <c r="J532" t="s">
        <v>235</v>
      </c>
      <c r="K532" s="380">
        <f>'Basis Options'!G537</f>
        <v>36800</v>
      </c>
      <c r="L532" s="235">
        <f>'Basis Options'!U537</f>
        <v>-45416.239912935453</v>
      </c>
      <c r="M532" s="380">
        <f>'Basis Options'!Q537</f>
        <v>36797</v>
      </c>
      <c r="N532" t="str">
        <f>'Basis Options'!F537</f>
        <v>P</v>
      </c>
      <c r="O532">
        <f>'Basis Options'!I537</f>
        <v>0.4</v>
      </c>
      <c r="P532">
        <v>0</v>
      </c>
      <c r="Q532">
        <v>0</v>
      </c>
      <c r="R532">
        <v>0</v>
      </c>
      <c r="S532">
        <v>0</v>
      </c>
      <c r="T532" t="s">
        <v>253</v>
      </c>
      <c r="U532" t="str">
        <f>IF('Basis Options'!D537="NGI/CHI. GATE","""NGI/CHI. GATE""",TRIM('Basis Options'!D537))</f>
        <v>IF-TRANSCO/Z6</v>
      </c>
      <c r="V532" t="s">
        <v>253</v>
      </c>
      <c r="W532" t="s">
        <v>132</v>
      </c>
      <c r="X532" t="s">
        <v>253</v>
      </c>
      <c r="Y532" t="s">
        <v>235</v>
      </c>
      <c r="Z532" t="s">
        <v>236</v>
      </c>
      <c r="AA532" t="s">
        <v>253</v>
      </c>
      <c r="AB532" t="s">
        <v>1</v>
      </c>
      <c r="AC532" s="235">
        <f>'Basis Options'!H537</f>
        <v>-1240000</v>
      </c>
      <c r="AD532" s="235">
        <f>'Basis Options'!W537</f>
        <v>-7960.2469411519123</v>
      </c>
      <c r="AE532">
        <v>0</v>
      </c>
      <c r="AF532">
        <v>0</v>
      </c>
      <c r="AG532">
        <v>0</v>
      </c>
      <c r="AH532" s="235">
        <f>'Basis Options'!CD537</f>
        <v>0</v>
      </c>
      <c r="AI532">
        <v>226</v>
      </c>
      <c r="AJ532" t="s">
        <v>256</v>
      </c>
      <c r="AK532">
        <v>0</v>
      </c>
      <c r="AL532">
        <v>0</v>
      </c>
      <c r="AM532">
        <v>0</v>
      </c>
    </row>
    <row r="533" spans="1:39" x14ac:dyDescent="0.25">
      <c r="A533" t="s">
        <v>233</v>
      </c>
      <c r="B533" t="str">
        <f>'Basis Options'!C538</f>
        <v>NS0946</v>
      </c>
      <c r="C533" t="s">
        <v>255</v>
      </c>
      <c r="D533" t="s">
        <v>234</v>
      </c>
      <c r="E533" t="s">
        <v>20</v>
      </c>
      <c r="F533" t="str">
        <f>'Basis Options'!A538</f>
        <v>UTILICORP</v>
      </c>
      <c r="G533" t="s">
        <v>269</v>
      </c>
      <c r="H533" t="s">
        <v>254</v>
      </c>
      <c r="I533" t="s">
        <v>242</v>
      </c>
      <c r="J533" t="s">
        <v>235</v>
      </c>
      <c r="K533" s="380">
        <f>'Basis Options'!G538</f>
        <v>36951</v>
      </c>
      <c r="L533" s="235">
        <f>'Basis Options'!U538</f>
        <v>-16860.909832589121</v>
      </c>
      <c r="M533" s="380">
        <f>'Basis Options'!Q538</f>
        <v>36949</v>
      </c>
      <c r="N533" t="str">
        <f>'Basis Options'!F538</f>
        <v>C</v>
      </c>
      <c r="O533">
        <f>'Basis Options'!I538</f>
        <v>0.4</v>
      </c>
      <c r="P533">
        <v>0</v>
      </c>
      <c r="Q533">
        <v>0</v>
      </c>
      <c r="R533">
        <v>0</v>
      </c>
      <c r="S533">
        <v>0</v>
      </c>
      <c r="T533" t="s">
        <v>253</v>
      </c>
      <c r="U533" t="str">
        <f>IF('Basis Options'!D538="NGI/CHI. GATE","""NGI/CHI. GATE""",TRIM('Basis Options'!D538))</f>
        <v>IF-CGT/APPALAC</v>
      </c>
      <c r="V533" t="s">
        <v>253</v>
      </c>
      <c r="W533" t="s">
        <v>132</v>
      </c>
      <c r="X533" t="s">
        <v>253</v>
      </c>
      <c r="Y533" t="s">
        <v>235</v>
      </c>
      <c r="Z533" t="s">
        <v>236</v>
      </c>
      <c r="AA533" t="s">
        <v>253</v>
      </c>
      <c r="AB533" t="s">
        <v>1</v>
      </c>
      <c r="AC533" s="235">
        <f>'Basis Options'!H538</f>
        <v>-310000</v>
      </c>
      <c r="AD533" s="235">
        <f>'Basis Options'!W538</f>
        <v>-4975.6123000343068</v>
      </c>
      <c r="AE533">
        <v>0</v>
      </c>
      <c r="AF533">
        <v>0</v>
      </c>
      <c r="AG533">
        <v>0</v>
      </c>
      <c r="AH533" s="235">
        <f>'Basis Options'!CD538</f>
        <v>0</v>
      </c>
      <c r="AI533">
        <v>226</v>
      </c>
      <c r="AJ533" t="s">
        <v>256</v>
      </c>
      <c r="AK533">
        <v>0</v>
      </c>
      <c r="AL533">
        <v>0</v>
      </c>
      <c r="AM533">
        <v>0</v>
      </c>
    </row>
    <row r="534" spans="1:39" x14ac:dyDescent="0.25">
      <c r="A534" t="s">
        <v>233</v>
      </c>
      <c r="B534" t="str">
        <f>'Basis Options'!C539</f>
        <v>NS0946</v>
      </c>
      <c r="C534" t="s">
        <v>255</v>
      </c>
      <c r="D534" t="s">
        <v>234</v>
      </c>
      <c r="E534" t="s">
        <v>20</v>
      </c>
      <c r="F534" t="str">
        <f>'Basis Options'!A539</f>
        <v>UTILICORP</v>
      </c>
      <c r="G534" t="s">
        <v>269</v>
      </c>
      <c r="H534" t="s">
        <v>254</v>
      </c>
      <c r="I534" t="s">
        <v>242</v>
      </c>
      <c r="J534" t="s">
        <v>235</v>
      </c>
      <c r="K534" s="380">
        <f>'Basis Options'!G539</f>
        <v>36923</v>
      </c>
      <c r="L534" s="235">
        <f>'Basis Options'!U539</f>
        <v>-19647.886925366147</v>
      </c>
      <c r="M534" s="380">
        <f>'Basis Options'!Q539</f>
        <v>36921</v>
      </c>
      <c r="N534" t="str">
        <f>'Basis Options'!F539</f>
        <v>C</v>
      </c>
      <c r="O534">
        <f>'Basis Options'!I539</f>
        <v>0.4</v>
      </c>
      <c r="P534">
        <v>0</v>
      </c>
      <c r="Q534">
        <v>0</v>
      </c>
      <c r="R534">
        <v>0</v>
      </c>
      <c r="S534">
        <v>0</v>
      </c>
      <c r="T534" t="s">
        <v>253</v>
      </c>
      <c r="U534" t="str">
        <f>IF('Basis Options'!D539="NGI/CHI. GATE","""NGI/CHI. GATE""",TRIM('Basis Options'!D539))</f>
        <v>IF-CGT/APPALAC</v>
      </c>
      <c r="V534" t="s">
        <v>253</v>
      </c>
      <c r="W534" t="s">
        <v>132</v>
      </c>
      <c r="X534" t="s">
        <v>253</v>
      </c>
      <c r="Y534" t="s">
        <v>235</v>
      </c>
      <c r="Z534" t="s">
        <v>236</v>
      </c>
      <c r="AA534" t="s">
        <v>253</v>
      </c>
      <c r="AB534" t="s">
        <v>1</v>
      </c>
      <c r="AC534" s="235">
        <f>'Basis Options'!H539</f>
        <v>-280000</v>
      </c>
      <c r="AD534" s="235">
        <f>'Basis Options'!W539</f>
        <v>-4883.904138178521</v>
      </c>
      <c r="AE534">
        <v>0</v>
      </c>
      <c r="AF534">
        <v>0</v>
      </c>
      <c r="AG534">
        <v>0</v>
      </c>
      <c r="AH534" s="235">
        <f>'Basis Options'!CD539</f>
        <v>0</v>
      </c>
      <c r="AI534">
        <v>226</v>
      </c>
      <c r="AJ534" t="s">
        <v>256</v>
      </c>
      <c r="AK534">
        <v>0</v>
      </c>
      <c r="AL534">
        <v>0</v>
      </c>
      <c r="AM534">
        <v>0</v>
      </c>
    </row>
    <row r="535" spans="1:39" x14ac:dyDescent="0.25">
      <c r="A535" t="s">
        <v>233</v>
      </c>
      <c r="B535" t="str">
        <f>'Basis Options'!C540</f>
        <v>NS0946</v>
      </c>
      <c r="C535" t="s">
        <v>255</v>
      </c>
      <c r="D535" t="s">
        <v>234</v>
      </c>
      <c r="E535" t="s">
        <v>20</v>
      </c>
      <c r="F535" t="str">
        <f>'Basis Options'!A540</f>
        <v>UTILICORP</v>
      </c>
      <c r="G535" t="s">
        <v>269</v>
      </c>
      <c r="H535" t="s">
        <v>254</v>
      </c>
      <c r="I535" t="s">
        <v>242</v>
      </c>
      <c r="J535" t="s">
        <v>235</v>
      </c>
      <c r="K535" s="380">
        <f>'Basis Options'!G540</f>
        <v>36892</v>
      </c>
      <c r="L535" s="235">
        <f>'Basis Options'!U540</f>
        <v>-20492.655608367924</v>
      </c>
      <c r="M535" s="380">
        <f>'Basis Options'!Q540</f>
        <v>36888</v>
      </c>
      <c r="N535" t="str">
        <f>'Basis Options'!F540</f>
        <v>C</v>
      </c>
      <c r="O535">
        <f>'Basis Options'!I540</f>
        <v>0.4</v>
      </c>
      <c r="P535">
        <v>0</v>
      </c>
      <c r="Q535">
        <v>0</v>
      </c>
      <c r="R535">
        <v>0</v>
      </c>
      <c r="S535">
        <v>0</v>
      </c>
      <c r="T535" t="s">
        <v>253</v>
      </c>
      <c r="U535" t="str">
        <f>IF('Basis Options'!D540="NGI/CHI. GATE","""NGI/CHI. GATE""",TRIM('Basis Options'!D540))</f>
        <v>IF-CGT/APPALAC</v>
      </c>
      <c r="V535" t="s">
        <v>253</v>
      </c>
      <c r="W535" t="s">
        <v>132</v>
      </c>
      <c r="X535" t="s">
        <v>253</v>
      </c>
      <c r="Y535" t="s">
        <v>235</v>
      </c>
      <c r="Z535" t="s">
        <v>236</v>
      </c>
      <c r="AA535" t="s">
        <v>253</v>
      </c>
      <c r="AB535" t="s">
        <v>1</v>
      </c>
      <c r="AC535" s="235">
        <f>'Basis Options'!H540</f>
        <v>-310000</v>
      </c>
      <c r="AD535" s="235">
        <f>'Basis Options'!W540</f>
        <v>-4951.4190633772523</v>
      </c>
      <c r="AE535">
        <v>0</v>
      </c>
      <c r="AF535">
        <v>0</v>
      </c>
      <c r="AG535">
        <v>0</v>
      </c>
      <c r="AH535" s="235">
        <f>'Basis Options'!CD540</f>
        <v>0</v>
      </c>
      <c r="AI535">
        <v>226</v>
      </c>
      <c r="AJ535" t="s">
        <v>256</v>
      </c>
      <c r="AK535">
        <v>0</v>
      </c>
      <c r="AL535">
        <v>0</v>
      </c>
      <c r="AM535">
        <v>0</v>
      </c>
    </row>
    <row r="536" spans="1:39" x14ac:dyDescent="0.25">
      <c r="A536" t="s">
        <v>233</v>
      </c>
      <c r="B536" t="str">
        <f>'Basis Options'!C541</f>
        <v>NS0946</v>
      </c>
      <c r="C536" t="s">
        <v>255</v>
      </c>
      <c r="D536" t="s">
        <v>234</v>
      </c>
      <c r="E536" t="s">
        <v>20</v>
      </c>
      <c r="F536" t="str">
        <f>'Basis Options'!A541</f>
        <v>UTILICORP</v>
      </c>
      <c r="G536" t="s">
        <v>269</v>
      </c>
      <c r="H536" t="s">
        <v>254</v>
      </c>
      <c r="I536" t="s">
        <v>242</v>
      </c>
      <c r="J536" t="s">
        <v>235</v>
      </c>
      <c r="K536" s="380">
        <f>'Basis Options'!G541</f>
        <v>36861</v>
      </c>
      <c r="L536" s="235">
        <f>'Basis Options'!U541</f>
        <v>-16068.378968961393</v>
      </c>
      <c r="M536" s="380">
        <f>'Basis Options'!Q541</f>
        <v>36859</v>
      </c>
      <c r="N536" t="str">
        <f>'Basis Options'!F541</f>
        <v>C</v>
      </c>
      <c r="O536">
        <f>'Basis Options'!I541</f>
        <v>0.4</v>
      </c>
      <c r="P536">
        <v>0</v>
      </c>
      <c r="Q536">
        <v>0</v>
      </c>
      <c r="R536">
        <v>0</v>
      </c>
      <c r="S536">
        <v>0</v>
      </c>
      <c r="T536" t="s">
        <v>253</v>
      </c>
      <c r="U536" t="str">
        <f>IF('Basis Options'!D541="NGI/CHI. GATE","""NGI/CHI. GATE""",TRIM('Basis Options'!D541))</f>
        <v>IF-CGT/APPALAC</v>
      </c>
      <c r="V536" t="s">
        <v>253</v>
      </c>
      <c r="W536" t="s">
        <v>132</v>
      </c>
      <c r="X536" t="s">
        <v>253</v>
      </c>
      <c r="Y536" t="s">
        <v>235</v>
      </c>
      <c r="Z536" t="s">
        <v>236</v>
      </c>
      <c r="AA536" t="s">
        <v>253</v>
      </c>
      <c r="AB536" t="s">
        <v>1</v>
      </c>
      <c r="AC536" s="235">
        <f>'Basis Options'!H541</f>
        <v>-310000</v>
      </c>
      <c r="AD536" s="235">
        <f>'Basis Options'!W541</f>
        <v>-4188.639835870752</v>
      </c>
      <c r="AE536">
        <v>0</v>
      </c>
      <c r="AF536">
        <v>0</v>
      </c>
      <c r="AG536">
        <v>0</v>
      </c>
      <c r="AH536" s="235">
        <f>'Basis Options'!CD541</f>
        <v>0</v>
      </c>
      <c r="AI536">
        <v>226</v>
      </c>
      <c r="AJ536" t="s">
        <v>256</v>
      </c>
      <c r="AK536">
        <v>0</v>
      </c>
      <c r="AL536">
        <v>0</v>
      </c>
      <c r="AM536">
        <v>0</v>
      </c>
    </row>
    <row r="537" spans="1:39" x14ac:dyDescent="0.25">
      <c r="A537" t="s">
        <v>233</v>
      </c>
      <c r="B537" t="str">
        <f>'Basis Options'!C542</f>
        <v>NS0946</v>
      </c>
      <c r="C537" t="s">
        <v>255</v>
      </c>
      <c r="D537" t="s">
        <v>234</v>
      </c>
      <c r="E537" t="s">
        <v>20</v>
      </c>
      <c r="F537" t="str">
        <f>'Basis Options'!A542</f>
        <v>UTILICORP</v>
      </c>
      <c r="G537" t="s">
        <v>269</v>
      </c>
      <c r="H537" t="s">
        <v>254</v>
      </c>
      <c r="I537" t="s">
        <v>242</v>
      </c>
      <c r="J537" t="s">
        <v>235</v>
      </c>
      <c r="K537" s="380">
        <f>'Basis Options'!G542</f>
        <v>36831</v>
      </c>
      <c r="L537" s="235">
        <f>'Basis Options'!U542</f>
        <v>-8227.0054706287028</v>
      </c>
      <c r="M537" s="380">
        <f>'Basis Options'!Q542</f>
        <v>36829</v>
      </c>
      <c r="N537" t="str">
        <f>'Basis Options'!F542</f>
        <v>C</v>
      </c>
      <c r="O537">
        <f>'Basis Options'!I542</f>
        <v>0.4</v>
      </c>
      <c r="P537">
        <v>0</v>
      </c>
      <c r="Q537">
        <v>0</v>
      </c>
      <c r="R537">
        <v>0</v>
      </c>
      <c r="S537">
        <v>0</v>
      </c>
      <c r="T537" t="s">
        <v>253</v>
      </c>
      <c r="U537" t="str">
        <f>IF('Basis Options'!D542="NGI/CHI. GATE","""NGI/CHI. GATE""",TRIM('Basis Options'!D542))</f>
        <v>IF-CGT/APPALAC</v>
      </c>
      <c r="V537" t="s">
        <v>253</v>
      </c>
      <c r="W537" t="s">
        <v>132</v>
      </c>
      <c r="X537" t="s">
        <v>253</v>
      </c>
      <c r="Y537" t="s">
        <v>235</v>
      </c>
      <c r="Z537" t="s">
        <v>236</v>
      </c>
      <c r="AA537" t="s">
        <v>253</v>
      </c>
      <c r="AB537" t="s">
        <v>1</v>
      </c>
      <c r="AC537" s="235">
        <f>'Basis Options'!H542</f>
        <v>-300000</v>
      </c>
      <c r="AD537" s="235">
        <f>'Basis Options'!W542</f>
        <v>-2865.3916540517821</v>
      </c>
      <c r="AE537">
        <v>0</v>
      </c>
      <c r="AF537">
        <v>0</v>
      </c>
      <c r="AG537">
        <v>0</v>
      </c>
      <c r="AH537" s="235">
        <f>'Basis Options'!CD542</f>
        <v>0</v>
      </c>
      <c r="AI537">
        <v>226</v>
      </c>
      <c r="AJ537" t="s">
        <v>256</v>
      </c>
      <c r="AK537">
        <v>0</v>
      </c>
      <c r="AL537">
        <v>0</v>
      </c>
      <c r="AM537">
        <v>0</v>
      </c>
    </row>
    <row r="538" spans="1:39" x14ac:dyDescent="0.25">
      <c r="A538" t="s">
        <v>233</v>
      </c>
      <c r="B538" t="str">
        <f>'Basis Options'!C543</f>
        <v>NS0947</v>
      </c>
      <c r="C538" t="s">
        <v>255</v>
      </c>
      <c r="D538" t="s">
        <v>234</v>
      </c>
      <c r="E538" t="s">
        <v>20</v>
      </c>
      <c r="F538" t="str">
        <f>'Basis Options'!A543</f>
        <v>UTILICORP</v>
      </c>
      <c r="G538" t="s">
        <v>269</v>
      </c>
      <c r="H538" t="s">
        <v>254</v>
      </c>
      <c r="I538" t="s">
        <v>242</v>
      </c>
      <c r="J538" t="s">
        <v>235</v>
      </c>
      <c r="K538" s="380">
        <f>'Basis Options'!G543</f>
        <v>36951</v>
      </c>
      <c r="L538" s="235">
        <f>'Basis Options'!U543</f>
        <v>-12570.012931929286</v>
      </c>
      <c r="M538" s="380">
        <f>'Basis Options'!Q543</f>
        <v>36949</v>
      </c>
      <c r="N538" t="str">
        <f>'Basis Options'!F543</f>
        <v>C</v>
      </c>
      <c r="O538">
        <f>'Basis Options'!I543</f>
        <v>0.5</v>
      </c>
      <c r="P538">
        <v>0</v>
      </c>
      <c r="Q538">
        <v>0</v>
      </c>
      <c r="R538">
        <v>0</v>
      </c>
      <c r="S538">
        <v>0</v>
      </c>
      <c r="T538" t="s">
        <v>253</v>
      </c>
      <c r="U538" t="str">
        <f>IF('Basis Options'!D543="NGI/CHI. GATE","""NGI/CHI. GATE""",TRIM('Basis Options'!D543))</f>
        <v>IF-CNG/APPALACH</v>
      </c>
      <c r="V538" t="s">
        <v>253</v>
      </c>
      <c r="W538" t="s">
        <v>132</v>
      </c>
      <c r="X538" t="s">
        <v>253</v>
      </c>
      <c r="Y538" t="s">
        <v>235</v>
      </c>
      <c r="Z538" t="s">
        <v>236</v>
      </c>
      <c r="AA538" t="s">
        <v>253</v>
      </c>
      <c r="AB538" t="s">
        <v>1</v>
      </c>
      <c r="AC538" s="235">
        <f>'Basis Options'!H543</f>
        <v>-310000</v>
      </c>
      <c r="AD538" s="235">
        <f>'Basis Options'!W543</f>
        <v>-2879.7729698531184</v>
      </c>
      <c r="AE538">
        <v>0</v>
      </c>
      <c r="AF538">
        <v>0</v>
      </c>
      <c r="AG538">
        <v>0</v>
      </c>
      <c r="AH538" s="235">
        <f>'Basis Options'!CD543</f>
        <v>0</v>
      </c>
      <c r="AI538">
        <v>226</v>
      </c>
      <c r="AJ538" t="s">
        <v>256</v>
      </c>
      <c r="AK538">
        <v>0</v>
      </c>
      <c r="AL538">
        <v>0</v>
      </c>
      <c r="AM538">
        <v>0</v>
      </c>
    </row>
    <row r="539" spans="1:39" x14ac:dyDescent="0.25">
      <c r="A539" t="s">
        <v>233</v>
      </c>
      <c r="B539" t="str">
        <f>'Basis Options'!C544</f>
        <v>NS0947</v>
      </c>
      <c r="C539" t="s">
        <v>255</v>
      </c>
      <c r="D539" t="s">
        <v>234</v>
      </c>
      <c r="E539" t="s">
        <v>20</v>
      </c>
      <c r="F539" t="str">
        <f>'Basis Options'!A544</f>
        <v>UTILICORP</v>
      </c>
      <c r="G539" t="s">
        <v>269</v>
      </c>
      <c r="H539" t="s">
        <v>254</v>
      </c>
      <c r="I539" t="s">
        <v>242</v>
      </c>
      <c r="J539" t="s">
        <v>235</v>
      </c>
      <c r="K539" s="380">
        <f>'Basis Options'!G544</f>
        <v>36923</v>
      </c>
      <c r="L539" s="235">
        <f>'Basis Options'!U544</f>
        <v>-18030.27668902884</v>
      </c>
      <c r="M539" s="380">
        <f>'Basis Options'!Q544</f>
        <v>36921</v>
      </c>
      <c r="N539" t="str">
        <f>'Basis Options'!F544</f>
        <v>C</v>
      </c>
      <c r="O539">
        <f>'Basis Options'!I544</f>
        <v>0.5</v>
      </c>
      <c r="P539">
        <v>0</v>
      </c>
      <c r="Q539">
        <v>0</v>
      </c>
      <c r="R539">
        <v>0</v>
      </c>
      <c r="S539">
        <v>0</v>
      </c>
      <c r="T539" t="s">
        <v>253</v>
      </c>
      <c r="U539" t="str">
        <f>IF('Basis Options'!D544="NGI/CHI. GATE","""NGI/CHI. GATE""",TRIM('Basis Options'!D544))</f>
        <v>IF-CNG/APPALACH</v>
      </c>
      <c r="V539" t="s">
        <v>253</v>
      </c>
      <c r="W539" t="s">
        <v>132</v>
      </c>
      <c r="X539" t="s">
        <v>253</v>
      </c>
      <c r="Y539" t="s">
        <v>235</v>
      </c>
      <c r="Z539" t="s">
        <v>236</v>
      </c>
      <c r="AA539" t="s">
        <v>253</v>
      </c>
      <c r="AB539" t="s">
        <v>1</v>
      </c>
      <c r="AC539" s="235">
        <f>'Basis Options'!H544</f>
        <v>-280000</v>
      </c>
      <c r="AD539" s="235">
        <f>'Basis Options'!W544</f>
        <v>-2956.7578958685626</v>
      </c>
      <c r="AE539">
        <v>0</v>
      </c>
      <c r="AF539">
        <v>0</v>
      </c>
      <c r="AG539">
        <v>0</v>
      </c>
      <c r="AH539" s="235">
        <f>'Basis Options'!CD544</f>
        <v>0</v>
      </c>
      <c r="AI539">
        <v>226</v>
      </c>
      <c r="AJ539" t="s">
        <v>256</v>
      </c>
      <c r="AK539">
        <v>0</v>
      </c>
      <c r="AL539">
        <v>0</v>
      </c>
      <c r="AM539">
        <v>0</v>
      </c>
    </row>
    <row r="540" spans="1:39" x14ac:dyDescent="0.25">
      <c r="A540" t="s">
        <v>233</v>
      </c>
      <c r="B540" t="str">
        <f>'Basis Options'!C545</f>
        <v>NS0947</v>
      </c>
      <c r="C540" t="s">
        <v>255</v>
      </c>
      <c r="D540" t="s">
        <v>234</v>
      </c>
      <c r="E540" t="s">
        <v>20</v>
      </c>
      <c r="F540" t="str">
        <f>'Basis Options'!A545</f>
        <v>UTILICORP</v>
      </c>
      <c r="G540" t="s">
        <v>269</v>
      </c>
      <c r="H540" t="s">
        <v>254</v>
      </c>
      <c r="I540" t="s">
        <v>242</v>
      </c>
      <c r="J540" t="s">
        <v>235</v>
      </c>
      <c r="K540" s="380">
        <f>'Basis Options'!G545</f>
        <v>36892</v>
      </c>
      <c r="L540" s="235">
        <f>'Basis Options'!U545</f>
        <v>-23046.502721910925</v>
      </c>
      <c r="M540" s="380">
        <f>'Basis Options'!Q545</f>
        <v>36888</v>
      </c>
      <c r="N540" t="str">
        <f>'Basis Options'!F545</f>
        <v>C</v>
      </c>
      <c r="O540">
        <f>'Basis Options'!I545</f>
        <v>0.5</v>
      </c>
      <c r="P540">
        <v>0</v>
      </c>
      <c r="Q540">
        <v>0</v>
      </c>
      <c r="R540">
        <v>0</v>
      </c>
      <c r="S540">
        <v>0</v>
      </c>
      <c r="T540" t="s">
        <v>253</v>
      </c>
      <c r="U540" t="str">
        <f>IF('Basis Options'!D545="NGI/CHI. GATE","""NGI/CHI. GATE""",TRIM('Basis Options'!D545))</f>
        <v>IF-CNG/APPALACH</v>
      </c>
      <c r="V540" t="s">
        <v>253</v>
      </c>
      <c r="W540" t="s">
        <v>132</v>
      </c>
      <c r="X540" t="s">
        <v>253</v>
      </c>
      <c r="Y540" t="s">
        <v>235</v>
      </c>
      <c r="Z540" t="s">
        <v>236</v>
      </c>
      <c r="AA540" t="s">
        <v>253</v>
      </c>
      <c r="AB540" t="s">
        <v>1</v>
      </c>
      <c r="AC540" s="235">
        <f>'Basis Options'!H545</f>
        <v>-310000</v>
      </c>
      <c r="AD540" s="235">
        <f>'Basis Options'!W545</f>
        <v>-3060.5768832999747</v>
      </c>
      <c r="AE540">
        <v>0</v>
      </c>
      <c r="AF540">
        <v>0</v>
      </c>
      <c r="AG540">
        <v>0</v>
      </c>
      <c r="AH540" s="235">
        <f>'Basis Options'!CD545</f>
        <v>0</v>
      </c>
      <c r="AI540">
        <v>226</v>
      </c>
      <c r="AJ540" t="s">
        <v>256</v>
      </c>
      <c r="AK540">
        <v>0</v>
      </c>
      <c r="AL540">
        <v>0</v>
      </c>
      <c r="AM540">
        <v>0</v>
      </c>
    </row>
    <row r="541" spans="1:39" x14ac:dyDescent="0.25">
      <c r="A541" t="s">
        <v>233</v>
      </c>
      <c r="B541" t="str">
        <f>'Basis Options'!C546</f>
        <v>NS0947</v>
      </c>
      <c r="C541" t="s">
        <v>255</v>
      </c>
      <c r="D541" t="s">
        <v>234</v>
      </c>
      <c r="E541" t="s">
        <v>20</v>
      </c>
      <c r="F541" t="str">
        <f>'Basis Options'!A546</f>
        <v>UTILICORP</v>
      </c>
      <c r="G541" t="s">
        <v>269</v>
      </c>
      <c r="H541" t="s">
        <v>254</v>
      </c>
      <c r="I541" t="s">
        <v>242</v>
      </c>
      <c r="J541" t="s">
        <v>235</v>
      </c>
      <c r="K541" s="380">
        <f>'Basis Options'!G546</f>
        <v>36861</v>
      </c>
      <c r="L541" s="235">
        <f>'Basis Options'!U546</f>
        <v>-10527.264334961978</v>
      </c>
      <c r="M541" s="380">
        <f>'Basis Options'!Q546</f>
        <v>36859</v>
      </c>
      <c r="N541" t="str">
        <f>'Basis Options'!F546</f>
        <v>C</v>
      </c>
      <c r="O541">
        <f>'Basis Options'!I546</f>
        <v>0.5</v>
      </c>
      <c r="P541">
        <v>0</v>
      </c>
      <c r="Q541">
        <v>0</v>
      </c>
      <c r="R541">
        <v>0</v>
      </c>
      <c r="S541">
        <v>0</v>
      </c>
      <c r="T541" t="s">
        <v>253</v>
      </c>
      <c r="U541" t="str">
        <f>IF('Basis Options'!D546="NGI/CHI. GATE","""NGI/CHI. GATE""",TRIM('Basis Options'!D546))</f>
        <v>IF-CNG/APPALACH</v>
      </c>
      <c r="V541" t="s">
        <v>253</v>
      </c>
      <c r="W541" t="s">
        <v>132</v>
      </c>
      <c r="X541" t="s">
        <v>253</v>
      </c>
      <c r="Y541" t="s">
        <v>235</v>
      </c>
      <c r="Z541" t="s">
        <v>236</v>
      </c>
      <c r="AA541" t="s">
        <v>253</v>
      </c>
      <c r="AB541" t="s">
        <v>1</v>
      </c>
      <c r="AC541" s="235">
        <f>'Basis Options'!H546</f>
        <v>-310000</v>
      </c>
      <c r="AD541" s="235">
        <f>'Basis Options'!W546</f>
        <v>-2364.0826233524567</v>
      </c>
      <c r="AE541">
        <v>0</v>
      </c>
      <c r="AF541">
        <v>0</v>
      </c>
      <c r="AG541">
        <v>0</v>
      </c>
      <c r="AH541" s="235">
        <f>'Basis Options'!CD546</f>
        <v>0</v>
      </c>
      <c r="AI541">
        <v>226</v>
      </c>
      <c r="AJ541" t="s">
        <v>256</v>
      </c>
      <c r="AK541">
        <v>0</v>
      </c>
      <c r="AL541">
        <v>0</v>
      </c>
      <c r="AM541">
        <v>0</v>
      </c>
    </row>
    <row r="542" spans="1:39" x14ac:dyDescent="0.25">
      <c r="A542" t="s">
        <v>233</v>
      </c>
      <c r="B542" t="str">
        <f>'Basis Options'!C547</f>
        <v>NS0947</v>
      </c>
      <c r="C542" t="s">
        <v>255</v>
      </c>
      <c r="D542" t="s">
        <v>234</v>
      </c>
      <c r="E542" t="s">
        <v>20</v>
      </c>
      <c r="F542" t="str">
        <f>'Basis Options'!A547</f>
        <v>UTILICORP</v>
      </c>
      <c r="G542" t="s">
        <v>269</v>
      </c>
      <c r="H542" t="s">
        <v>254</v>
      </c>
      <c r="I542" t="s">
        <v>242</v>
      </c>
      <c r="J542" t="s">
        <v>235</v>
      </c>
      <c r="K542" s="380">
        <f>'Basis Options'!G547</f>
        <v>36831</v>
      </c>
      <c r="L542" s="235">
        <f>'Basis Options'!U547</f>
        <v>-3442.3409133381547</v>
      </c>
      <c r="M542" s="380">
        <f>'Basis Options'!Q547</f>
        <v>36829</v>
      </c>
      <c r="N542" t="str">
        <f>'Basis Options'!F547</f>
        <v>C</v>
      </c>
      <c r="O542">
        <f>'Basis Options'!I547</f>
        <v>0.5</v>
      </c>
      <c r="P542">
        <v>0</v>
      </c>
      <c r="Q542">
        <v>0</v>
      </c>
      <c r="R542">
        <v>0</v>
      </c>
      <c r="S542">
        <v>0</v>
      </c>
      <c r="T542" t="s">
        <v>253</v>
      </c>
      <c r="U542" t="str">
        <f>IF('Basis Options'!D547="NGI/CHI. GATE","""NGI/CHI. GATE""",TRIM('Basis Options'!D547))</f>
        <v>IF-CNG/APPALACH</v>
      </c>
      <c r="V542" t="s">
        <v>253</v>
      </c>
      <c r="W542" t="s">
        <v>132</v>
      </c>
      <c r="X542" t="s">
        <v>253</v>
      </c>
      <c r="Y542" t="s">
        <v>235</v>
      </c>
      <c r="Z542" t="s">
        <v>236</v>
      </c>
      <c r="AA542" t="s">
        <v>253</v>
      </c>
      <c r="AB542" t="s">
        <v>1</v>
      </c>
      <c r="AC542" s="235">
        <f>'Basis Options'!H547</f>
        <v>-300000</v>
      </c>
      <c r="AD542" s="235">
        <f>'Basis Options'!W547</f>
        <v>-1275.4891442729277</v>
      </c>
      <c r="AE542">
        <v>0</v>
      </c>
      <c r="AF542">
        <v>0</v>
      </c>
      <c r="AG542">
        <v>0</v>
      </c>
      <c r="AH542" s="235">
        <f>'Basis Options'!CD547</f>
        <v>0</v>
      </c>
      <c r="AI542">
        <v>226</v>
      </c>
      <c r="AJ542" t="s">
        <v>256</v>
      </c>
      <c r="AK542">
        <v>0</v>
      </c>
      <c r="AL542">
        <v>0</v>
      </c>
      <c r="AM542">
        <v>0</v>
      </c>
    </row>
    <row r="543" spans="1:39" x14ac:dyDescent="0.25">
      <c r="A543" t="s">
        <v>233</v>
      </c>
      <c r="B543" t="str">
        <f>'Basis Options'!C548</f>
        <v>NS2705</v>
      </c>
      <c r="C543" t="s">
        <v>255</v>
      </c>
      <c r="D543" t="s">
        <v>234</v>
      </c>
      <c r="E543" t="s">
        <v>20</v>
      </c>
      <c r="F543" t="str">
        <f>'Basis Options'!A548</f>
        <v>RELIANTENESER</v>
      </c>
      <c r="G543" t="s">
        <v>269</v>
      </c>
      <c r="H543" t="s">
        <v>254</v>
      </c>
      <c r="I543" t="s">
        <v>242</v>
      </c>
      <c r="J543" t="s">
        <v>235</v>
      </c>
      <c r="K543" s="380">
        <f>'Basis Options'!G548</f>
        <v>36951</v>
      </c>
      <c r="L543" s="235">
        <f>'Basis Options'!U548</f>
        <v>-8658.3069530908851</v>
      </c>
      <c r="M543" s="380">
        <f>'Basis Options'!Q548</f>
        <v>36949</v>
      </c>
      <c r="N543" t="str">
        <f>'Basis Options'!F548</f>
        <v>P</v>
      </c>
      <c r="O543">
        <f>'Basis Options'!I548</f>
        <v>-0.25</v>
      </c>
      <c r="P543">
        <v>0</v>
      </c>
      <c r="Q543">
        <v>0</v>
      </c>
      <c r="R543">
        <v>0</v>
      </c>
      <c r="S543">
        <v>0</v>
      </c>
      <c r="T543" t="s">
        <v>253</v>
      </c>
      <c r="U543" t="str">
        <f>IF('Basis Options'!D548="NGI/CHI. GATE","""NGI/CHI. GATE""",TRIM('Basis Options'!D548))</f>
        <v>IF-PAN/TX/OK</v>
      </c>
      <c r="V543" t="s">
        <v>253</v>
      </c>
      <c r="W543" t="s">
        <v>132</v>
      </c>
      <c r="X543" t="s">
        <v>253</v>
      </c>
      <c r="Y543" t="s">
        <v>235</v>
      </c>
      <c r="Z543" t="s">
        <v>236</v>
      </c>
      <c r="AA543" t="s">
        <v>253</v>
      </c>
      <c r="AB543" t="s">
        <v>1</v>
      </c>
      <c r="AC543" s="235">
        <f>'Basis Options'!H548</f>
        <v>-310000</v>
      </c>
      <c r="AD543" s="235">
        <f>'Basis Options'!W548</f>
        <v>-3298.327897424082</v>
      </c>
      <c r="AE543">
        <v>0</v>
      </c>
      <c r="AF543">
        <v>0</v>
      </c>
      <c r="AG543">
        <v>0</v>
      </c>
      <c r="AH543" s="235">
        <f>'Basis Options'!CD548</f>
        <v>0</v>
      </c>
      <c r="AI543">
        <v>226</v>
      </c>
      <c r="AJ543" t="s">
        <v>256</v>
      </c>
      <c r="AK543">
        <v>0</v>
      </c>
      <c r="AL543">
        <v>0</v>
      </c>
      <c r="AM543">
        <v>0</v>
      </c>
    </row>
    <row r="544" spans="1:39" x14ac:dyDescent="0.25">
      <c r="A544" t="s">
        <v>233</v>
      </c>
      <c r="B544" t="str">
        <f>'Basis Options'!C549</f>
        <v>NS2705</v>
      </c>
      <c r="C544" t="s">
        <v>255</v>
      </c>
      <c r="D544" t="s">
        <v>234</v>
      </c>
      <c r="E544" t="s">
        <v>20</v>
      </c>
      <c r="F544" t="str">
        <f>'Basis Options'!A549</f>
        <v>RELIANTENESER</v>
      </c>
      <c r="G544" t="s">
        <v>269</v>
      </c>
      <c r="H544" t="s">
        <v>254</v>
      </c>
      <c r="I544" t="s">
        <v>242</v>
      </c>
      <c r="J544" t="s">
        <v>235</v>
      </c>
      <c r="K544" s="380">
        <f>'Basis Options'!G549</f>
        <v>36923</v>
      </c>
      <c r="L544" s="235">
        <f>'Basis Options'!U549</f>
        <v>-9670.7805818146007</v>
      </c>
      <c r="M544" s="380">
        <f>'Basis Options'!Q549</f>
        <v>36921</v>
      </c>
      <c r="N544" t="str">
        <f>'Basis Options'!F549</f>
        <v>P</v>
      </c>
      <c r="O544">
        <f>'Basis Options'!I549</f>
        <v>-0.25</v>
      </c>
      <c r="P544">
        <v>0</v>
      </c>
      <c r="Q544">
        <v>0</v>
      </c>
      <c r="R544">
        <v>0</v>
      </c>
      <c r="S544">
        <v>0</v>
      </c>
      <c r="T544" t="s">
        <v>253</v>
      </c>
      <c r="U544" t="str">
        <f>IF('Basis Options'!D549="NGI/CHI. GATE","""NGI/CHI. GATE""",TRIM('Basis Options'!D549))</f>
        <v>IF-PAN/TX/OK</v>
      </c>
      <c r="V544" t="s">
        <v>253</v>
      </c>
      <c r="W544" t="s">
        <v>132</v>
      </c>
      <c r="X544" t="s">
        <v>253</v>
      </c>
      <c r="Y544" t="s">
        <v>235</v>
      </c>
      <c r="Z544" t="s">
        <v>236</v>
      </c>
      <c r="AA544" t="s">
        <v>253</v>
      </c>
      <c r="AB544" t="s">
        <v>1</v>
      </c>
      <c r="AC544" s="235">
        <f>'Basis Options'!H549</f>
        <v>-280000</v>
      </c>
      <c r="AD544" s="235">
        <f>'Basis Options'!W549</f>
        <v>-3241.1049326934008</v>
      </c>
      <c r="AE544">
        <v>0</v>
      </c>
      <c r="AF544">
        <v>0</v>
      </c>
      <c r="AG544">
        <v>0</v>
      </c>
      <c r="AH544" s="235">
        <f>'Basis Options'!CD549</f>
        <v>0</v>
      </c>
      <c r="AI544">
        <v>226</v>
      </c>
      <c r="AJ544" t="s">
        <v>256</v>
      </c>
      <c r="AK544">
        <v>0</v>
      </c>
      <c r="AL544">
        <v>0</v>
      </c>
      <c r="AM544">
        <v>0</v>
      </c>
    </row>
    <row r="545" spans="1:39" x14ac:dyDescent="0.25">
      <c r="A545" t="s">
        <v>233</v>
      </c>
      <c r="B545" t="str">
        <f>'Basis Options'!C550</f>
        <v>NS2705</v>
      </c>
      <c r="C545" t="s">
        <v>255</v>
      </c>
      <c r="D545" t="s">
        <v>234</v>
      </c>
      <c r="E545" t="s">
        <v>20</v>
      </c>
      <c r="F545" t="str">
        <f>'Basis Options'!A550</f>
        <v>RELIANTENESER</v>
      </c>
      <c r="G545" t="s">
        <v>269</v>
      </c>
      <c r="H545" t="s">
        <v>254</v>
      </c>
      <c r="I545" t="s">
        <v>242</v>
      </c>
      <c r="J545" t="s">
        <v>235</v>
      </c>
      <c r="K545" s="380">
        <f>'Basis Options'!G550</f>
        <v>36892</v>
      </c>
      <c r="L545" s="235">
        <f>'Basis Options'!U550</f>
        <v>-11134.972123053745</v>
      </c>
      <c r="M545" s="380">
        <f>'Basis Options'!Q550</f>
        <v>36888</v>
      </c>
      <c r="N545" t="str">
        <f>'Basis Options'!F550</f>
        <v>P</v>
      </c>
      <c r="O545">
        <f>'Basis Options'!I550</f>
        <v>-0.25</v>
      </c>
      <c r="P545">
        <v>0</v>
      </c>
      <c r="Q545">
        <v>0</v>
      </c>
      <c r="R545">
        <v>0</v>
      </c>
      <c r="S545">
        <v>0</v>
      </c>
      <c r="T545" t="s">
        <v>253</v>
      </c>
      <c r="U545" t="str">
        <f>IF('Basis Options'!D550="NGI/CHI. GATE","""NGI/CHI. GATE""",TRIM('Basis Options'!D550))</f>
        <v>IF-PAN/TX/OK</v>
      </c>
      <c r="V545" t="s">
        <v>253</v>
      </c>
      <c r="W545" t="s">
        <v>132</v>
      </c>
      <c r="X545" t="s">
        <v>253</v>
      </c>
      <c r="Y545" t="s">
        <v>235</v>
      </c>
      <c r="Z545" t="s">
        <v>236</v>
      </c>
      <c r="AA545" t="s">
        <v>253</v>
      </c>
      <c r="AB545" t="s">
        <v>1</v>
      </c>
      <c r="AC545" s="235">
        <f>'Basis Options'!H550</f>
        <v>-310000</v>
      </c>
      <c r="AD545" s="235">
        <f>'Basis Options'!W550</f>
        <v>-3375.7290219455026</v>
      </c>
      <c r="AE545">
        <v>0</v>
      </c>
      <c r="AF545">
        <v>0</v>
      </c>
      <c r="AG545">
        <v>0</v>
      </c>
      <c r="AH545" s="235">
        <f>'Basis Options'!CD550</f>
        <v>0</v>
      </c>
      <c r="AI545">
        <v>226</v>
      </c>
      <c r="AJ545" t="s">
        <v>256</v>
      </c>
      <c r="AK545">
        <v>0</v>
      </c>
      <c r="AL545">
        <v>0</v>
      </c>
      <c r="AM545">
        <v>0</v>
      </c>
    </row>
    <row r="546" spans="1:39" x14ac:dyDescent="0.25">
      <c r="A546" t="s">
        <v>233</v>
      </c>
      <c r="B546" t="str">
        <f>'Basis Options'!C551</f>
        <v>NS2705</v>
      </c>
      <c r="C546" t="s">
        <v>255</v>
      </c>
      <c r="D546" t="s">
        <v>234</v>
      </c>
      <c r="E546" t="s">
        <v>20</v>
      </c>
      <c r="F546" t="str">
        <f>'Basis Options'!A551</f>
        <v>RELIANTENESER</v>
      </c>
      <c r="G546" t="s">
        <v>269</v>
      </c>
      <c r="H546" t="s">
        <v>254</v>
      </c>
      <c r="I546" t="s">
        <v>242</v>
      </c>
      <c r="J546" t="s">
        <v>235</v>
      </c>
      <c r="K546" s="380">
        <f>'Basis Options'!G551</f>
        <v>36861</v>
      </c>
      <c r="L546" s="235">
        <f>'Basis Options'!U551</f>
        <v>-8085.3496391750614</v>
      </c>
      <c r="M546" s="380">
        <f>'Basis Options'!Q551</f>
        <v>36859</v>
      </c>
      <c r="N546" t="str">
        <f>'Basis Options'!F551</f>
        <v>P</v>
      </c>
      <c r="O546">
        <f>'Basis Options'!I551</f>
        <v>-0.25</v>
      </c>
      <c r="P546">
        <v>0</v>
      </c>
      <c r="Q546">
        <v>0</v>
      </c>
      <c r="R546">
        <v>0</v>
      </c>
      <c r="S546">
        <v>0</v>
      </c>
      <c r="T546" t="s">
        <v>253</v>
      </c>
      <c r="U546" t="str">
        <f>IF('Basis Options'!D551="NGI/CHI. GATE","""NGI/CHI. GATE""",TRIM('Basis Options'!D551))</f>
        <v>IF-PAN/TX/OK</v>
      </c>
      <c r="V546" t="s">
        <v>253</v>
      </c>
      <c r="W546" t="s">
        <v>132</v>
      </c>
      <c r="X546" t="s">
        <v>253</v>
      </c>
      <c r="Y546" t="s">
        <v>235</v>
      </c>
      <c r="Z546" t="s">
        <v>236</v>
      </c>
      <c r="AA546" t="s">
        <v>253</v>
      </c>
      <c r="AB546" t="s">
        <v>1</v>
      </c>
      <c r="AC546" s="235">
        <f>'Basis Options'!H551</f>
        <v>-310000</v>
      </c>
      <c r="AD546" s="235">
        <f>'Basis Options'!W551</f>
        <v>-2757.5062718651898</v>
      </c>
      <c r="AE546">
        <v>0</v>
      </c>
      <c r="AF546">
        <v>0</v>
      </c>
      <c r="AG546">
        <v>0</v>
      </c>
      <c r="AH546" s="235">
        <f>'Basis Options'!CD551</f>
        <v>0</v>
      </c>
      <c r="AI546">
        <v>226</v>
      </c>
      <c r="AJ546" t="s">
        <v>256</v>
      </c>
      <c r="AK546">
        <v>0</v>
      </c>
      <c r="AL546">
        <v>0</v>
      </c>
      <c r="AM546">
        <v>0</v>
      </c>
    </row>
    <row r="547" spans="1:39" x14ac:dyDescent="0.25">
      <c r="A547" t="s">
        <v>233</v>
      </c>
      <c r="B547" t="str">
        <f>'Basis Options'!C552</f>
        <v>NS2705</v>
      </c>
      <c r="C547" t="s">
        <v>255</v>
      </c>
      <c r="D547" t="s">
        <v>234</v>
      </c>
      <c r="E547" t="s">
        <v>20</v>
      </c>
      <c r="F547" t="str">
        <f>'Basis Options'!A552</f>
        <v>RELIANTENESER</v>
      </c>
      <c r="G547" t="s">
        <v>269</v>
      </c>
      <c r="H547" t="s">
        <v>254</v>
      </c>
      <c r="I547" t="s">
        <v>242</v>
      </c>
      <c r="J547" t="s">
        <v>235</v>
      </c>
      <c r="K547" s="380">
        <f>'Basis Options'!G552</f>
        <v>36831</v>
      </c>
      <c r="L547" s="235">
        <f>'Basis Options'!U552</f>
        <v>-4303.8834776746398</v>
      </c>
      <c r="M547" s="380">
        <f>'Basis Options'!Q552</f>
        <v>36829</v>
      </c>
      <c r="N547" t="str">
        <f>'Basis Options'!F552</f>
        <v>P</v>
      </c>
      <c r="O547">
        <f>'Basis Options'!I552</f>
        <v>-0.25</v>
      </c>
      <c r="P547">
        <v>0</v>
      </c>
      <c r="Q547">
        <v>0</v>
      </c>
      <c r="R547">
        <v>0</v>
      </c>
      <c r="S547">
        <v>0</v>
      </c>
      <c r="T547" t="s">
        <v>253</v>
      </c>
      <c r="U547" t="str">
        <f>IF('Basis Options'!D552="NGI/CHI. GATE","""NGI/CHI. GATE""",TRIM('Basis Options'!D552))</f>
        <v>IF-PAN/TX/OK</v>
      </c>
      <c r="V547" t="s">
        <v>253</v>
      </c>
      <c r="W547" t="s">
        <v>132</v>
      </c>
      <c r="X547" t="s">
        <v>253</v>
      </c>
      <c r="Y547" t="s">
        <v>235</v>
      </c>
      <c r="Z547" t="s">
        <v>236</v>
      </c>
      <c r="AA547" t="s">
        <v>253</v>
      </c>
      <c r="AB547" t="s">
        <v>1</v>
      </c>
      <c r="AC547" s="235">
        <f>'Basis Options'!H552</f>
        <v>-300000</v>
      </c>
      <c r="AD547" s="235">
        <f>'Basis Options'!W552</f>
        <v>-1855.5683839345147</v>
      </c>
      <c r="AE547">
        <v>0</v>
      </c>
      <c r="AF547">
        <v>0</v>
      </c>
      <c r="AG547">
        <v>0</v>
      </c>
      <c r="AH547" s="235">
        <f>'Basis Options'!CD552</f>
        <v>0</v>
      </c>
      <c r="AI547">
        <v>226</v>
      </c>
      <c r="AJ547" t="s">
        <v>256</v>
      </c>
      <c r="AK547">
        <v>0</v>
      </c>
      <c r="AL547">
        <v>0</v>
      </c>
      <c r="AM547">
        <v>0</v>
      </c>
    </row>
    <row r="548" spans="1:39" x14ac:dyDescent="0.25">
      <c r="A548" t="s">
        <v>233</v>
      </c>
      <c r="B548" t="str">
        <f>'Basis Options'!C553</f>
        <v>NS2749</v>
      </c>
      <c r="C548" t="s">
        <v>255</v>
      </c>
      <c r="D548" t="s">
        <v>234</v>
      </c>
      <c r="E548" t="s">
        <v>20</v>
      </c>
      <c r="F548" t="str">
        <f>'Basis Options'!A553</f>
        <v>DUKEENETRA</v>
      </c>
      <c r="G548" t="s">
        <v>269</v>
      </c>
      <c r="H548" t="s">
        <v>254</v>
      </c>
      <c r="I548" t="s">
        <v>242</v>
      </c>
      <c r="J548" t="s">
        <v>235</v>
      </c>
      <c r="K548" s="380">
        <f>'Basis Options'!G553</f>
        <v>37681</v>
      </c>
      <c r="L548" s="235">
        <f>'Basis Options'!U553</f>
        <v>18349.19114905993</v>
      </c>
      <c r="M548" s="380">
        <f>'Basis Options'!Q553</f>
        <v>37679</v>
      </c>
      <c r="N548" t="str">
        <f>'Basis Options'!F553</f>
        <v>C</v>
      </c>
      <c r="O548">
        <f>'Basis Options'!I553</f>
        <v>0.2</v>
      </c>
      <c r="P548">
        <v>0</v>
      </c>
      <c r="Q548">
        <v>0</v>
      </c>
      <c r="R548">
        <v>0</v>
      </c>
      <c r="S548">
        <v>0</v>
      </c>
      <c r="T548" t="s">
        <v>253</v>
      </c>
      <c r="U548" t="str">
        <f>IF('Basis Options'!D553="NGI/CHI. GATE","""NGI/CHI. GATE""",TRIM('Basis Options'!D553))</f>
        <v>"NGI/CHI. GATE"</v>
      </c>
      <c r="V548" t="s">
        <v>253</v>
      </c>
      <c r="W548" t="s">
        <v>132</v>
      </c>
      <c r="X548" t="s">
        <v>253</v>
      </c>
      <c r="Y548" t="s">
        <v>235</v>
      </c>
      <c r="Z548" t="s">
        <v>236</v>
      </c>
      <c r="AA548" t="s">
        <v>253</v>
      </c>
      <c r="AB548" t="s">
        <v>1</v>
      </c>
      <c r="AC548" s="235">
        <f>'Basis Options'!H553</f>
        <v>310000</v>
      </c>
      <c r="AD548" s="235">
        <f>'Basis Options'!W553</f>
        <v>7260.6719568657136</v>
      </c>
      <c r="AE548">
        <v>0</v>
      </c>
      <c r="AF548">
        <v>0</v>
      </c>
      <c r="AG548">
        <v>0</v>
      </c>
      <c r="AH548" s="235">
        <f>'Basis Options'!CD553</f>
        <v>0</v>
      </c>
      <c r="AI548">
        <v>226</v>
      </c>
      <c r="AJ548" t="s">
        <v>256</v>
      </c>
      <c r="AK548">
        <v>0</v>
      </c>
      <c r="AL548">
        <v>0</v>
      </c>
      <c r="AM548">
        <v>0</v>
      </c>
    </row>
    <row r="549" spans="1:39" x14ac:dyDescent="0.25">
      <c r="A549" t="s">
        <v>233</v>
      </c>
      <c r="B549" t="str">
        <f>'Basis Options'!C554</f>
        <v>NS2749</v>
      </c>
      <c r="C549" t="s">
        <v>255</v>
      </c>
      <c r="D549" t="s">
        <v>234</v>
      </c>
      <c r="E549" t="s">
        <v>20</v>
      </c>
      <c r="F549" t="str">
        <f>'Basis Options'!A554</f>
        <v>DUKEENETRA</v>
      </c>
      <c r="G549" t="s">
        <v>269</v>
      </c>
      <c r="H549" t="s">
        <v>254</v>
      </c>
      <c r="I549" t="s">
        <v>242</v>
      </c>
      <c r="J549" t="s">
        <v>235</v>
      </c>
      <c r="K549" s="380">
        <f>'Basis Options'!G554</f>
        <v>37653</v>
      </c>
      <c r="L549" s="235">
        <f>'Basis Options'!U554</f>
        <v>18547.172036848864</v>
      </c>
      <c r="M549" s="380">
        <f>'Basis Options'!Q554</f>
        <v>37651</v>
      </c>
      <c r="N549" t="str">
        <f>'Basis Options'!F554</f>
        <v>C</v>
      </c>
      <c r="O549">
        <f>'Basis Options'!I554</f>
        <v>0.2</v>
      </c>
      <c r="P549">
        <v>0</v>
      </c>
      <c r="Q549">
        <v>0</v>
      </c>
      <c r="R549">
        <v>0</v>
      </c>
      <c r="S549">
        <v>0</v>
      </c>
      <c r="T549" t="s">
        <v>253</v>
      </c>
      <c r="U549" t="str">
        <f>IF('Basis Options'!D554="NGI/CHI. GATE","""NGI/CHI. GATE""",TRIM('Basis Options'!D554))</f>
        <v>"NGI/CHI. GATE"</v>
      </c>
      <c r="V549" t="s">
        <v>253</v>
      </c>
      <c r="W549" t="s">
        <v>132</v>
      </c>
      <c r="X549" t="s">
        <v>253</v>
      </c>
      <c r="Y549" t="s">
        <v>235</v>
      </c>
      <c r="Z549" t="s">
        <v>236</v>
      </c>
      <c r="AA549" t="s">
        <v>253</v>
      </c>
      <c r="AB549" t="s">
        <v>1</v>
      </c>
      <c r="AC549" s="235">
        <f>'Basis Options'!H554</f>
        <v>280000</v>
      </c>
      <c r="AD549" s="235">
        <f>'Basis Options'!W554</f>
        <v>6809.7018070475169</v>
      </c>
      <c r="AE549">
        <v>0</v>
      </c>
      <c r="AF549">
        <v>0</v>
      </c>
      <c r="AG549">
        <v>0</v>
      </c>
      <c r="AH549" s="235">
        <f>'Basis Options'!CD554</f>
        <v>0</v>
      </c>
      <c r="AI549">
        <v>226</v>
      </c>
      <c r="AJ549" t="s">
        <v>256</v>
      </c>
      <c r="AK549">
        <v>0</v>
      </c>
      <c r="AL549">
        <v>0</v>
      </c>
      <c r="AM549">
        <v>0</v>
      </c>
    </row>
    <row r="550" spans="1:39" x14ac:dyDescent="0.25">
      <c r="A550" t="s">
        <v>233</v>
      </c>
      <c r="B550" t="str">
        <f>'Basis Options'!C555</f>
        <v>NS2749</v>
      </c>
      <c r="C550" t="s">
        <v>255</v>
      </c>
      <c r="D550" t="s">
        <v>234</v>
      </c>
      <c r="E550" t="s">
        <v>20</v>
      </c>
      <c r="F550" t="str">
        <f>'Basis Options'!A555</f>
        <v>DUKEENETRA</v>
      </c>
      <c r="G550" t="s">
        <v>269</v>
      </c>
      <c r="H550" t="s">
        <v>254</v>
      </c>
      <c r="I550" t="s">
        <v>242</v>
      </c>
      <c r="J550" t="s">
        <v>235</v>
      </c>
      <c r="K550" s="380">
        <f>'Basis Options'!G555</f>
        <v>37622</v>
      </c>
      <c r="L550" s="235">
        <f>'Basis Options'!U555</f>
        <v>23732.768929611859</v>
      </c>
      <c r="M550" s="380">
        <f>'Basis Options'!Q555</f>
        <v>37620</v>
      </c>
      <c r="N550" t="str">
        <f>'Basis Options'!F555</f>
        <v>C</v>
      </c>
      <c r="O550">
        <f>'Basis Options'!I555</f>
        <v>0.2</v>
      </c>
      <c r="P550">
        <v>0</v>
      </c>
      <c r="Q550">
        <v>0</v>
      </c>
      <c r="R550">
        <v>0</v>
      </c>
      <c r="S550">
        <v>0</v>
      </c>
      <c r="T550" t="s">
        <v>253</v>
      </c>
      <c r="U550" t="str">
        <f>IF('Basis Options'!D555="NGI/CHI. GATE","""NGI/CHI. GATE""",TRIM('Basis Options'!D555))</f>
        <v>"NGI/CHI. GATE"</v>
      </c>
      <c r="V550" t="s">
        <v>253</v>
      </c>
      <c r="W550" t="s">
        <v>132</v>
      </c>
      <c r="X550" t="s">
        <v>253</v>
      </c>
      <c r="Y550" t="s">
        <v>235</v>
      </c>
      <c r="Z550" t="s">
        <v>236</v>
      </c>
      <c r="AA550" t="s">
        <v>253</v>
      </c>
      <c r="AB550" t="s">
        <v>1</v>
      </c>
      <c r="AC550" s="235">
        <f>'Basis Options'!H555</f>
        <v>310000</v>
      </c>
      <c r="AD550" s="235">
        <f>'Basis Options'!W555</f>
        <v>7610.5299685399805</v>
      </c>
      <c r="AE550">
        <v>0</v>
      </c>
      <c r="AF550">
        <v>0</v>
      </c>
      <c r="AG550">
        <v>0</v>
      </c>
      <c r="AH550" s="235">
        <f>'Basis Options'!CD555</f>
        <v>0</v>
      </c>
      <c r="AI550">
        <v>226</v>
      </c>
      <c r="AJ550" t="s">
        <v>256</v>
      </c>
      <c r="AK550">
        <v>0</v>
      </c>
      <c r="AL550">
        <v>0</v>
      </c>
      <c r="AM550">
        <v>0</v>
      </c>
    </row>
    <row r="551" spans="1:39" x14ac:dyDescent="0.25">
      <c r="A551" t="s">
        <v>233</v>
      </c>
      <c r="B551" t="str">
        <f>'Basis Options'!C556</f>
        <v>NS2749</v>
      </c>
      <c r="C551" t="s">
        <v>255</v>
      </c>
      <c r="D551" t="s">
        <v>234</v>
      </c>
      <c r="E551" t="s">
        <v>20</v>
      </c>
      <c r="F551" t="str">
        <f>'Basis Options'!A556</f>
        <v>DUKEENETRA</v>
      </c>
      <c r="G551" t="s">
        <v>269</v>
      </c>
      <c r="H551" t="s">
        <v>254</v>
      </c>
      <c r="I551" t="s">
        <v>242</v>
      </c>
      <c r="J551" t="s">
        <v>235</v>
      </c>
      <c r="K551" s="380">
        <f>'Basis Options'!G556</f>
        <v>37591</v>
      </c>
      <c r="L551" s="235">
        <f>'Basis Options'!U556</f>
        <v>23119.233279960063</v>
      </c>
      <c r="M551" s="380">
        <f>'Basis Options'!Q556</f>
        <v>37588</v>
      </c>
      <c r="N551" t="str">
        <f>'Basis Options'!F556</f>
        <v>C</v>
      </c>
      <c r="O551">
        <f>'Basis Options'!I556</f>
        <v>0.2</v>
      </c>
      <c r="P551">
        <v>0</v>
      </c>
      <c r="Q551">
        <v>0</v>
      </c>
      <c r="R551">
        <v>0</v>
      </c>
      <c r="S551">
        <v>0</v>
      </c>
      <c r="T551" t="s">
        <v>253</v>
      </c>
      <c r="U551" t="str">
        <f>IF('Basis Options'!D556="NGI/CHI. GATE","""NGI/CHI. GATE""",TRIM('Basis Options'!D556))</f>
        <v>"NGI/CHI. GATE"</v>
      </c>
      <c r="V551" t="s">
        <v>253</v>
      </c>
      <c r="W551" t="s">
        <v>132</v>
      </c>
      <c r="X551" t="s">
        <v>253</v>
      </c>
      <c r="Y551" t="s">
        <v>235</v>
      </c>
      <c r="Z551" t="s">
        <v>236</v>
      </c>
      <c r="AA551" t="s">
        <v>253</v>
      </c>
      <c r="AB551" t="s">
        <v>1</v>
      </c>
      <c r="AC551" s="235">
        <f>'Basis Options'!H556</f>
        <v>310000</v>
      </c>
      <c r="AD551" s="235">
        <f>'Basis Options'!W556</f>
        <v>7776.1519463270379</v>
      </c>
      <c r="AE551">
        <v>0</v>
      </c>
      <c r="AF551">
        <v>0</v>
      </c>
      <c r="AG551">
        <v>0</v>
      </c>
      <c r="AH551" s="235">
        <f>'Basis Options'!CD556</f>
        <v>0</v>
      </c>
      <c r="AI551">
        <v>226</v>
      </c>
      <c r="AJ551" t="s">
        <v>256</v>
      </c>
      <c r="AK551">
        <v>0</v>
      </c>
      <c r="AL551">
        <v>0</v>
      </c>
      <c r="AM551">
        <v>0</v>
      </c>
    </row>
    <row r="552" spans="1:39" x14ac:dyDescent="0.25">
      <c r="A552" t="s">
        <v>233</v>
      </c>
      <c r="B552" t="str">
        <f>'Basis Options'!C557</f>
        <v>NS2749</v>
      </c>
      <c r="C552" t="s">
        <v>255</v>
      </c>
      <c r="D552" t="s">
        <v>234</v>
      </c>
      <c r="E552" t="s">
        <v>20</v>
      </c>
      <c r="F552" t="str">
        <f>'Basis Options'!A557</f>
        <v>DUKEENETRA</v>
      </c>
      <c r="G552" t="s">
        <v>269</v>
      </c>
      <c r="H552" t="s">
        <v>254</v>
      </c>
      <c r="I552" t="s">
        <v>242</v>
      </c>
      <c r="J552" t="s">
        <v>235</v>
      </c>
      <c r="K552" s="380">
        <f>'Basis Options'!G557</f>
        <v>37561</v>
      </c>
      <c r="L552" s="235">
        <f>'Basis Options'!U557</f>
        <v>17115.451784574117</v>
      </c>
      <c r="M552" s="380">
        <f>'Basis Options'!Q557</f>
        <v>37559</v>
      </c>
      <c r="N552" t="str">
        <f>'Basis Options'!F557</f>
        <v>C</v>
      </c>
      <c r="O552">
        <f>'Basis Options'!I557</f>
        <v>0.2</v>
      </c>
      <c r="P552">
        <v>0</v>
      </c>
      <c r="Q552">
        <v>0</v>
      </c>
      <c r="R552">
        <v>0</v>
      </c>
      <c r="S552">
        <v>0</v>
      </c>
      <c r="T552" t="s">
        <v>253</v>
      </c>
      <c r="U552" t="str">
        <f>IF('Basis Options'!D557="NGI/CHI. GATE","""NGI/CHI. GATE""",TRIM('Basis Options'!D557))</f>
        <v>"NGI/CHI. GATE"</v>
      </c>
      <c r="V552" t="s">
        <v>253</v>
      </c>
      <c r="W552" t="s">
        <v>132</v>
      </c>
      <c r="X552" t="s">
        <v>253</v>
      </c>
      <c r="Y552" t="s">
        <v>235</v>
      </c>
      <c r="Z552" t="s">
        <v>236</v>
      </c>
      <c r="AA552" t="s">
        <v>253</v>
      </c>
      <c r="AB552" t="s">
        <v>1</v>
      </c>
      <c r="AC552" s="235">
        <f>'Basis Options'!H557</f>
        <v>300000</v>
      </c>
      <c r="AD552" s="235">
        <f>'Basis Options'!W557</f>
        <v>7040.1903702535783</v>
      </c>
      <c r="AE552">
        <v>0</v>
      </c>
      <c r="AF552">
        <v>0</v>
      </c>
      <c r="AG552">
        <v>0</v>
      </c>
      <c r="AH552" s="235">
        <f>'Basis Options'!CD557</f>
        <v>0</v>
      </c>
      <c r="AI552">
        <v>226</v>
      </c>
      <c r="AJ552" t="s">
        <v>256</v>
      </c>
      <c r="AK552">
        <v>0</v>
      </c>
      <c r="AL552">
        <v>0</v>
      </c>
      <c r="AM552">
        <v>0</v>
      </c>
    </row>
    <row r="553" spans="1:39" x14ac:dyDescent="0.25">
      <c r="A553" t="s">
        <v>233</v>
      </c>
      <c r="B553" t="str">
        <f>'Basis Options'!C558</f>
        <v>NS2782</v>
      </c>
      <c r="C553" t="s">
        <v>255</v>
      </c>
      <c r="D553" t="s">
        <v>234</v>
      </c>
      <c r="E553" t="s">
        <v>20</v>
      </c>
      <c r="F553" t="str">
        <f>'Basis Options'!A558</f>
        <v>ELPASMER</v>
      </c>
      <c r="G553" t="s">
        <v>269</v>
      </c>
      <c r="H553" t="s">
        <v>254</v>
      </c>
      <c r="I553" t="s">
        <v>242</v>
      </c>
      <c r="J553" t="s">
        <v>235</v>
      </c>
      <c r="K553" s="380">
        <f>'Basis Options'!G558</f>
        <v>36951</v>
      </c>
      <c r="L553" s="235">
        <f>'Basis Options'!U558</f>
        <v>79809.915745504506</v>
      </c>
      <c r="M553" s="380">
        <f>'Basis Options'!Q558</f>
        <v>36949</v>
      </c>
      <c r="N553" t="str">
        <f>'Basis Options'!F558</f>
        <v>C</v>
      </c>
      <c r="O553">
        <f>'Basis Options'!I558</f>
        <v>0.3</v>
      </c>
      <c r="P553">
        <v>0</v>
      </c>
      <c r="Q553">
        <v>0</v>
      </c>
      <c r="R553">
        <v>0</v>
      </c>
      <c r="S553">
        <v>0</v>
      </c>
      <c r="T553" t="s">
        <v>253</v>
      </c>
      <c r="U553" t="str">
        <f>IF('Basis Options'!D558="NGI/CHI. GATE","""NGI/CHI. GATE""",TRIM('Basis Options'!D558))</f>
        <v>NGI-SOCAL</v>
      </c>
      <c r="V553" t="s">
        <v>253</v>
      </c>
      <c r="W553" t="s">
        <v>132</v>
      </c>
      <c r="X553" t="s">
        <v>253</v>
      </c>
      <c r="Y553" t="s">
        <v>235</v>
      </c>
      <c r="Z553" t="s">
        <v>236</v>
      </c>
      <c r="AA553" t="s">
        <v>253</v>
      </c>
      <c r="AB553" t="s">
        <v>1</v>
      </c>
      <c r="AC553" s="235">
        <f>'Basis Options'!H558</f>
        <v>155000</v>
      </c>
      <c r="AD553" s="235">
        <f>'Basis Options'!W558</f>
        <v>11418.577051275934</v>
      </c>
      <c r="AE553">
        <v>0</v>
      </c>
      <c r="AF553">
        <v>0</v>
      </c>
      <c r="AG553">
        <v>0</v>
      </c>
      <c r="AH553" s="235">
        <f>'Basis Options'!CD558</f>
        <v>0</v>
      </c>
      <c r="AI553">
        <v>226</v>
      </c>
      <c r="AJ553" t="s">
        <v>256</v>
      </c>
      <c r="AK553">
        <v>0</v>
      </c>
      <c r="AL553">
        <v>0</v>
      </c>
      <c r="AM553">
        <v>0</v>
      </c>
    </row>
    <row r="554" spans="1:39" x14ac:dyDescent="0.25">
      <c r="A554" t="s">
        <v>233</v>
      </c>
      <c r="B554" t="str">
        <f>'Basis Options'!C559</f>
        <v>NS2782</v>
      </c>
      <c r="C554" t="s">
        <v>255</v>
      </c>
      <c r="D554" t="s">
        <v>234</v>
      </c>
      <c r="E554" t="s">
        <v>20</v>
      </c>
      <c r="F554" t="str">
        <f>'Basis Options'!A559</f>
        <v>ELPASMER</v>
      </c>
      <c r="G554" t="s">
        <v>269</v>
      </c>
      <c r="H554" t="s">
        <v>254</v>
      </c>
      <c r="I554" t="s">
        <v>242</v>
      </c>
      <c r="J554" t="s">
        <v>235</v>
      </c>
      <c r="K554" s="380">
        <f>'Basis Options'!G559</f>
        <v>36923</v>
      </c>
      <c r="L554" s="235">
        <f>'Basis Options'!U559</f>
        <v>78210.394375086136</v>
      </c>
      <c r="M554" s="380">
        <f>'Basis Options'!Q559</f>
        <v>36921</v>
      </c>
      <c r="N554" t="str">
        <f>'Basis Options'!F559</f>
        <v>C</v>
      </c>
      <c r="O554">
        <f>'Basis Options'!I559</f>
        <v>0.3</v>
      </c>
      <c r="P554">
        <v>0</v>
      </c>
      <c r="Q554">
        <v>0</v>
      </c>
      <c r="R554">
        <v>0</v>
      </c>
      <c r="S554">
        <v>0</v>
      </c>
      <c r="T554" t="s">
        <v>253</v>
      </c>
      <c r="U554" t="str">
        <f>IF('Basis Options'!D559="NGI/CHI. GATE","""NGI/CHI. GATE""",TRIM('Basis Options'!D559))</f>
        <v>NGI-SOCAL</v>
      </c>
      <c r="V554" t="s">
        <v>253</v>
      </c>
      <c r="W554" t="s">
        <v>132</v>
      </c>
      <c r="X554" t="s">
        <v>253</v>
      </c>
      <c r="Y554" t="s">
        <v>235</v>
      </c>
      <c r="Z554" t="s">
        <v>236</v>
      </c>
      <c r="AA554" t="s">
        <v>253</v>
      </c>
      <c r="AB554" t="s">
        <v>1</v>
      </c>
      <c r="AC554" s="235">
        <f>'Basis Options'!H559</f>
        <v>140000</v>
      </c>
      <c r="AD554" s="235">
        <f>'Basis Options'!W559</f>
        <v>10637.636576912453</v>
      </c>
      <c r="AE554">
        <v>0</v>
      </c>
      <c r="AF554">
        <v>0</v>
      </c>
      <c r="AG554">
        <v>0</v>
      </c>
      <c r="AH554" s="235">
        <f>'Basis Options'!CD559</f>
        <v>0</v>
      </c>
      <c r="AI554">
        <v>226</v>
      </c>
      <c r="AJ554" t="s">
        <v>256</v>
      </c>
      <c r="AK554">
        <v>0</v>
      </c>
      <c r="AL554">
        <v>0</v>
      </c>
      <c r="AM554">
        <v>0</v>
      </c>
    </row>
    <row r="555" spans="1:39" x14ac:dyDescent="0.25">
      <c r="A555" t="s">
        <v>233</v>
      </c>
      <c r="B555" t="str">
        <f>'Basis Options'!C560</f>
        <v>NS2782</v>
      </c>
      <c r="C555" t="s">
        <v>255</v>
      </c>
      <c r="D555" t="s">
        <v>234</v>
      </c>
      <c r="E555" t="s">
        <v>20</v>
      </c>
      <c r="F555" t="str">
        <f>'Basis Options'!A560</f>
        <v>ELPASMER</v>
      </c>
      <c r="G555" t="s">
        <v>269</v>
      </c>
      <c r="H555" t="s">
        <v>254</v>
      </c>
      <c r="I555" t="s">
        <v>242</v>
      </c>
      <c r="J555" t="s">
        <v>235</v>
      </c>
      <c r="K555" s="380">
        <f>'Basis Options'!G560</f>
        <v>36892</v>
      </c>
      <c r="L555" s="235">
        <f>'Basis Options'!U560</f>
        <v>100299.75499742347</v>
      </c>
      <c r="M555" s="380">
        <f>'Basis Options'!Q560</f>
        <v>36888</v>
      </c>
      <c r="N555" t="str">
        <f>'Basis Options'!F560</f>
        <v>C</v>
      </c>
      <c r="O555">
        <f>'Basis Options'!I560</f>
        <v>0.3</v>
      </c>
      <c r="P555">
        <v>0</v>
      </c>
      <c r="Q555">
        <v>0</v>
      </c>
      <c r="R555">
        <v>0</v>
      </c>
      <c r="S555">
        <v>0</v>
      </c>
      <c r="T555" t="s">
        <v>253</v>
      </c>
      <c r="U555" t="str">
        <f>IF('Basis Options'!D560="NGI/CHI. GATE","""NGI/CHI. GATE""",TRIM('Basis Options'!D560))</f>
        <v>NGI-SOCAL</v>
      </c>
      <c r="V555" t="s">
        <v>253</v>
      </c>
      <c r="W555" t="s">
        <v>132</v>
      </c>
      <c r="X555" t="s">
        <v>253</v>
      </c>
      <c r="Y555" t="s">
        <v>235</v>
      </c>
      <c r="Z555" t="s">
        <v>236</v>
      </c>
      <c r="AA555" t="s">
        <v>253</v>
      </c>
      <c r="AB555" t="s">
        <v>1</v>
      </c>
      <c r="AC555" s="235">
        <f>'Basis Options'!H560</f>
        <v>155000</v>
      </c>
      <c r="AD555" s="235">
        <f>'Basis Options'!W560</f>
        <v>10047.724459165358</v>
      </c>
      <c r="AE555">
        <v>0</v>
      </c>
      <c r="AF555">
        <v>0</v>
      </c>
      <c r="AG555">
        <v>0</v>
      </c>
      <c r="AH555" s="235">
        <f>'Basis Options'!CD560</f>
        <v>0</v>
      </c>
      <c r="AI555">
        <v>226</v>
      </c>
      <c r="AJ555" t="s">
        <v>256</v>
      </c>
      <c r="AK555">
        <v>0</v>
      </c>
      <c r="AL555">
        <v>0</v>
      </c>
      <c r="AM555">
        <v>0</v>
      </c>
    </row>
    <row r="556" spans="1:39" x14ac:dyDescent="0.25">
      <c r="A556" t="s">
        <v>233</v>
      </c>
      <c r="B556" t="str">
        <f>'Basis Options'!C561</f>
        <v>NS2782</v>
      </c>
      <c r="C556" t="s">
        <v>255</v>
      </c>
      <c r="D556" t="s">
        <v>234</v>
      </c>
      <c r="E556" t="s">
        <v>20</v>
      </c>
      <c r="F556" t="str">
        <f>'Basis Options'!A561</f>
        <v>ELPASMER</v>
      </c>
      <c r="G556" t="s">
        <v>269</v>
      </c>
      <c r="H556" t="s">
        <v>254</v>
      </c>
      <c r="I556" t="s">
        <v>242</v>
      </c>
      <c r="J556" t="s">
        <v>235</v>
      </c>
      <c r="K556" s="380">
        <f>'Basis Options'!G561</f>
        <v>36861</v>
      </c>
      <c r="L556" s="235">
        <f>'Basis Options'!U561</f>
        <v>122584.10250195127</v>
      </c>
      <c r="M556" s="380">
        <f>'Basis Options'!Q561</f>
        <v>36859</v>
      </c>
      <c r="N556" t="str">
        <f>'Basis Options'!F561</f>
        <v>C</v>
      </c>
      <c r="O556">
        <f>'Basis Options'!I561</f>
        <v>0.3</v>
      </c>
      <c r="P556">
        <v>0</v>
      </c>
      <c r="Q556">
        <v>0</v>
      </c>
      <c r="R556">
        <v>0</v>
      </c>
      <c r="S556">
        <v>0</v>
      </c>
      <c r="T556" t="s">
        <v>253</v>
      </c>
      <c r="U556" t="str">
        <f>IF('Basis Options'!D561="NGI/CHI. GATE","""NGI/CHI. GATE""",TRIM('Basis Options'!D561))</f>
        <v>NGI-SOCAL</v>
      </c>
      <c r="V556" t="s">
        <v>253</v>
      </c>
      <c r="W556" t="s">
        <v>132</v>
      </c>
      <c r="X556" t="s">
        <v>253</v>
      </c>
      <c r="Y556" t="s">
        <v>235</v>
      </c>
      <c r="Z556" t="s">
        <v>236</v>
      </c>
      <c r="AA556" t="s">
        <v>253</v>
      </c>
      <c r="AB556" t="s">
        <v>1</v>
      </c>
      <c r="AC556" s="235">
        <f>'Basis Options'!H561</f>
        <v>155000</v>
      </c>
      <c r="AD556" s="235">
        <f>'Basis Options'!W561</f>
        <v>7033.5265219382854</v>
      </c>
      <c r="AE556">
        <v>0</v>
      </c>
      <c r="AF556">
        <v>0</v>
      </c>
      <c r="AG556">
        <v>0</v>
      </c>
      <c r="AH556" s="235">
        <f>'Basis Options'!CD561</f>
        <v>0</v>
      </c>
      <c r="AI556">
        <v>226</v>
      </c>
      <c r="AJ556" t="s">
        <v>256</v>
      </c>
      <c r="AK556">
        <v>0</v>
      </c>
      <c r="AL556">
        <v>0</v>
      </c>
      <c r="AM556">
        <v>0</v>
      </c>
    </row>
    <row r="557" spans="1:39" x14ac:dyDescent="0.25">
      <c r="A557" t="s">
        <v>233</v>
      </c>
      <c r="B557" t="str">
        <f>'Basis Options'!C562</f>
        <v>NS2782</v>
      </c>
      <c r="C557" t="s">
        <v>255</v>
      </c>
      <c r="D557" t="s">
        <v>234</v>
      </c>
      <c r="E557" t="s">
        <v>20</v>
      </c>
      <c r="F557" t="str">
        <f>'Basis Options'!A562</f>
        <v>ELPASMER</v>
      </c>
      <c r="G557" t="s">
        <v>269</v>
      </c>
      <c r="H557" t="s">
        <v>254</v>
      </c>
      <c r="I557" t="s">
        <v>242</v>
      </c>
      <c r="J557" t="s">
        <v>235</v>
      </c>
      <c r="K557" s="380">
        <f>'Basis Options'!G562</f>
        <v>36831</v>
      </c>
      <c r="L557" s="235">
        <f>'Basis Options'!U562</f>
        <v>186476.74733169368</v>
      </c>
      <c r="M557" s="380">
        <f>'Basis Options'!Q562</f>
        <v>36829</v>
      </c>
      <c r="N557" t="str">
        <f>'Basis Options'!F562</f>
        <v>C</v>
      </c>
      <c r="O557">
        <f>'Basis Options'!I562</f>
        <v>0.3</v>
      </c>
      <c r="P557">
        <v>0</v>
      </c>
      <c r="Q557">
        <v>0</v>
      </c>
      <c r="R557">
        <v>0</v>
      </c>
      <c r="S557">
        <v>0</v>
      </c>
      <c r="T557" t="s">
        <v>253</v>
      </c>
      <c r="U557" t="str">
        <f>IF('Basis Options'!D562="NGI/CHI. GATE","""NGI/CHI. GATE""",TRIM('Basis Options'!D562))</f>
        <v>NGI-SOCAL</v>
      </c>
      <c r="V557" t="s">
        <v>253</v>
      </c>
      <c r="W557" t="s">
        <v>132</v>
      </c>
      <c r="X557" t="s">
        <v>253</v>
      </c>
      <c r="Y557" t="s">
        <v>235</v>
      </c>
      <c r="Z557" t="s">
        <v>236</v>
      </c>
      <c r="AA557" t="s">
        <v>253</v>
      </c>
      <c r="AB557" t="s">
        <v>1</v>
      </c>
      <c r="AC557" s="235">
        <f>'Basis Options'!H562</f>
        <v>150000</v>
      </c>
      <c r="AD557" s="235">
        <f>'Basis Options'!W562</f>
        <v>1787.0915111550421</v>
      </c>
      <c r="AE557">
        <v>0</v>
      </c>
      <c r="AF557">
        <v>0</v>
      </c>
      <c r="AG557">
        <v>0</v>
      </c>
      <c r="AH557" s="235">
        <f>'Basis Options'!CD562</f>
        <v>0</v>
      </c>
      <c r="AI557">
        <v>226</v>
      </c>
      <c r="AJ557" t="s">
        <v>256</v>
      </c>
      <c r="AK557">
        <v>0</v>
      </c>
      <c r="AL557">
        <v>0</v>
      </c>
      <c r="AM557">
        <v>0</v>
      </c>
    </row>
    <row r="558" spans="1:39" x14ac:dyDescent="0.25">
      <c r="A558" t="s">
        <v>233</v>
      </c>
      <c r="B558" t="str">
        <f>'Basis Options'!C563</f>
        <v>NS3031.1</v>
      </c>
      <c r="C558" t="s">
        <v>255</v>
      </c>
      <c r="D558" t="s">
        <v>234</v>
      </c>
      <c r="E558" t="s">
        <v>20</v>
      </c>
      <c r="F558" t="str">
        <f>'Basis Options'!A563</f>
        <v>CMSMARSERTRA</v>
      </c>
      <c r="G558" t="s">
        <v>269</v>
      </c>
      <c r="H558" t="s">
        <v>254</v>
      </c>
      <c r="I558" t="s">
        <v>242</v>
      </c>
      <c r="J558" t="s">
        <v>235</v>
      </c>
      <c r="K558" s="380">
        <f>'Basis Options'!G563</f>
        <v>36800</v>
      </c>
      <c r="L558" s="235">
        <f>'Basis Options'!U563</f>
        <v>704732.93264021527</v>
      </c>
      <c r="M558" s="380">
        <f>'Basis Options'!Q563</f>
        <v>36797</v>
      </c>
      <c r="N558" t="str">
        <f>'Basis Options'!F563</f>
        <v>C</v>
      </c>
      <c r="O558">
        <f>'Basis Options'!I563</f>
        <v>0.85</v>
      </c>
      <c r="P558">
        <v>0</v>
      </c>
      <c r="Q558">
        <v>0</v>
      </c>
      <c r="R558">
        <v>0</v>
      </c>
      <c r="S558">
        <v>0</v>
      </c>
      <c r="T558" t="s">
        <v>253</v>
      </c>
      <c r="U558" t="str">
        <f>IF('Basis Options'!D563="NGI/CHI. GATE","""NGI/CHI. GATE""",TRIM('Basis Options'!D563))</f>
        <v>NGI-SOCAL</v>
      </c>
      <c r="V558" t="s">
        <v>253</v>
      </c>
      <c r="W558" t="s">
        <v>132</v>
      </c>
      <c r="X558" t="s">
        <v>253</v>
      </c>
      <c r="Y558" t="s">
        <v>235</v>
      </c>
      <c r="Z558" t="s">
        <v>236</v>
      </c>
      <c r="AA558" t="s">
        <v>253</v>
      </c>
      <c r="AB558" t="s">
        <v>1</v>
      </c>
      <c r="AC558" s="235">
        <f>'Basis Options'!H563</f>
        <v>620000</v>
      </c>
      <c r="AD558" s="235">
        <f>'Basis Options'!W563</f>
        <v>2245.3874382876093</v>
      </c>
      <c r="AE558">
        <v>0</v>
      </c>
      <c r="AF558">
        <v>0</v>
      </c>
      <c r="AG558">
        <v>0</v>
      </c>
      <c r="AH558" s="235">
        <f>'Basis Options'!CD563</f>
        <v>0</v>
      </c>
      <c r="AI558">
        <v>226</v>
      </c>
      <c r="AJ558" t="s">
        <v>256</v>
      </c>
      <c r="AK558">
        <v>0</v>
      </c>
      <c r="AL558">
        <v>0</v>
      </c>
      <c r="AM558">
        <v>0</v>
      </c>
    </row>
    <row r="559" spans="1:39" x14ac:dyDescent="0.25">
      <c r="A559" t="s">
        <v>233</v>
      </c>
      <c r="B559" t="str">
        <f>'Basis Options'!C564</f>
        <v>NS3031.1</v>
      </c>
      <c r="C559" t="s">
        <v>255</v>
      </c>
      <c r="D559" t="s">
        <v>234</v>
      </c>
      <c r="E559" t="s">
        <v>20</v>
      </c>
      <c r="F559" t="str">
        <f>'Basis Options'!A564</f>
        <v>CMSMARSERTRA</v>
      </c>
      <c r="G559" t="s">
        <v>269</v>
      </c>
      <c r="H559" t="s">
        <v>254</v>
      </c>
      <c r="I559" t="s">
        <v>242</v>
      </c>
      <c r="J559" t="s">
        <v>235</v>
      </c>
      <c r="K559" s="380">
        <f>'Basis Options'!G564</f>
        <v>36770</v>
      </c>
      <c r="L559" s="235">
        <f>'Basis Options'!U564</f>
        <v>989817.95892275707</v>
      </c>
      <c r="M559" s="380">
        <f>'Basis Options'!Q564</f>
        <v>36768</v>
      </c>
      <c r="N559" t="str">
        <f>'Basis Options'!F564</f>
        <v>C</v>
      </c>
      <c r="O559">
        <f>'Basis Options'!I564</f>
        <v>0.85</v>
      </c>
      <c r="P559">
        <v>0</v>
      </c>
      <c r="Q559">
        <v>0</v>
      </c>
      <c r="R559">
        <v>0</v>
      </c>
      <c r="S559">
        <v>0</v>
      </c>
      <c r="T559" t="s">
        <v>253</v>
      </c>
      <c r="U559" t="str">
        <f>IF('Basis Options'!D564="NGI/CHI. GATE","""NGI/CHI. GATE""",TRIM('Basis Options'!D564))</f>
        <v>NGI-SOCAL</v>
      </c>
      <c r="V559" t="s">
        <v>253</v>
      </c>
      <c r="W559" t="s">
        <v>132</v>
      </c>
      <c r="X559" t="s">
        <v>253</v>
      </c>
      <c r="Y559" t="s">
        <v>235</v>
      </c>
      <c r="Z559" t="s">
        <v>236</v>
      </c>
      <c r="AA559" t="s">
        <v>253</v>
      </c>
      <c r="AB559" t="s">
        <v>1</v>
      </c>
      <c r="AC559" s="235">
        <f>'Basis Options'!H564</f>
        <v>600000</v>
      </c>
      <c r="AD559" s="235">
        <f>'Basis Options'!W564</f>
        <v>-2.3955289972946048E-2</v>
      </c>
      <c r="AE559">
        <v>0</v>
      </c>
      <c r="AF559">
        <v>0</v>
      </c>
      <c r="AG559">
        <v>0</v>
      </c>
      <c r="AH559" s="235">
        <f>'Basis Options'!CD564</f>
        <v>0</v>
      </c>
      <c r="AI559">
        <v>226</v>
      </c>
      <c r="AJ559" t="s">
        <v>256</v>
      </c>
      <c r="AK559">
        <v>0</v>
      </c>
      <c r="AL559">
        <v>0</v>
      </c>
      <c r="AM559">
        <v>0</v>
      </c>
    </row>
    <row r="560" spans="1:39" x14ac:dyDescent="0.25">
      <c r="A560" t="s">
        <v>233</v>
      </c>
      <c r="B560" t="str">
        <f>'Basis Options'!C565</f>
        <v>NS3031.2</v>
      </c>
      <c r="C560" t="s">
        <v>255</v>
      </c>
      <c r="D560" t="s">
        <v>234</v>
      </c>
      <c r="E560" t="s">
        <v>20</v>
      </c>
      <c r="F560" t="str">
        <f>'Basis Options'!A565</f>
        <v>CMSMARSERTRA</v>
      </c>
      <c r="G560" t="s">
        <v>269</v>
      </c>
      <c r="H560" t="s">
        <v>254</v>
      </c>
      <c r="I560" t="s">
        <v>242</v>
      </c>
      <c r="J560" t="s">
        <v>235</v>
      </c>
      <c r="K560" s="380">
        <f>'Basis Options'!G565</f>
        <v>36800</v>
      </c>
      <c r="L560" s="235">
        <f>'Basis Options'!U565</f>
        <v>-218.75256488419592</v>
      </c>
      <c r="M560" s="380">
        <f>'Basis Options'!Q565</f>
        <v>36797</v>
      </c>
      <c r="N560" t="str">
        <f>'Basis Options'!F565</f>
        <v>P</v>
      </c>
      <c r="O560">
        <f>'Basis Options'!I565</f>
        <v>0.5</v>
      </c>
      <c r="P560">
        <v>0</v>
      </c>
      <c r="Q560">
        <v>0</v>
      </c>
      <c r="R560">
        <v>0</v>
      </c>
      <c r="S560">
        <v>0</v>
      </c>
      <c r="T560" t="s">
        <v>253</v>
      </c>
      <c r="U560" t="str">
        <f>IF('Basis Options'!D565="NGI/CHI. GATE","""NGI/CHI. GATE""",TRIM('Basis Options'!D565))</f>
        <v>NGI-SOCAL</v>
      </c>
      <c r="V560" t="s">
        <v>253</v>
      </c>
      <c r="W560" t="s">
        <v>132</v>
      </c>
      <c r="X560" t="s">
        <v>253</v>
      </c>
      <c r="Y560" t="s">
        <v>235</v>
      </c>
      <c r="Z560" t="s">
        <v>236</v>
      </c>
      <c r="AA560" t="s">
        <v>253</v>
      </c>
      <c r="AB560" t="s">
        <v>1</v>
      </c>
      <c r="AC560" s="235">
        <f>'Basis Options'!H565</f>
        <v>-620000</v>
      </c>
      <c r="AD560" s="235">
        <f>'Basis Options'!W565</f>
        <v>-412.45185760296249</v>
      </c>
      <c r="AE560">
        <v>0</v>
      </c>
      <c r="AF560">
        <v>0</v>
      </c>
      <c r="AG560">
        <v>0</v>
      </c>
      <c r="AH560" s="235">
        <f>'Basis Options'!CD565</f>
        <v>0</v>
      </c>
      <c r="AI560">
        <v>226</v>
      </c>
      <c r="AJ560" t="s">
        <v>256</v>
      </c>
      <c r="AK560">
        <v>0</v>
      </c>
      <c r="AL560">
        <v>0</v>
      </c>
      <c r="AM560">
        <v>0</v>
      </c>
    </row>
    <row r="561" spans="1:39" x14ac:dyDescent="0.25">
      <c r="A561" t="s">
        <v>233</v>
      </c>
      <c r="B561" t="str">
        <f>'Basis Options'!C566</f>
        <v>NS3031.2</v>
      </c>
      <c r="C561" t="s">
        <v>255</v>
      </c>
      <c r="D561" t="s">
        <v>234</v>
      </c>
      <c r="E561" t="s">
        <v>20</v>
      </c>
      <c r="F561" t="str">
        <f>'Basis Options'!A566</f>
        <v>CMSMARSERTRA</v>
      </c>
      <c r="G561" t="s">
        <v>269</v>
      </c>
      <c r="H561" t="s">
        <v>254</v>
      </c>
      <c r="I561" t="s">
        <v>242</v>
      </c>
      <c r="J561" t="s">
        <v>235</v>
      </c>
      <c r="K561" s="380">
        <f>'Basis Options'!G566</f>
        <v>36770</v>
      </c>
      <c r="L561" s="235">
        <f>'Basis Options'!U566</f>
        <v>-0.15732736293738725</v>
      </c>
      <c r="M561" s="380">
        <f>'Basis Options'!Q566</f>
        <v>36768</v>
      </c>
      <c r="N561" t="str">
        <f>'Basis Options'!F566</f>
        <v>P</v>
      </c>
      <c r="O561">
        <f>'Basis Options'!I566</f>
        <v>0.5</v>
      </c>
      <c r="P561">
        <v>0</v>
      </c>
      <c r="Q561">
        <v>0</v>
      </c>
      <c r="R561">
        <v>0</v>
      </c>
      <c r="S561">
        <v>0</v>
      </c>
      <c r="T561" t="s">
        <v>253</v>
      </c>
      <c r="U561" t="str">
        <f>IF('Basis Options'!D566="NGI/CHI. GATE","""NGI/CHI. GATE""",TRIM('Basis Options'!D566))</f>
        <v>NGI-SOCAL</v>
      </c>
      <c r="V561" t="s">
        <v>253</v>
      </c>
      <c r="W561" t="s">
        <v>132</v>
      </c>
      <c r="X561" t="s">
        <v>253</v>
      </c>
      <c r="Y561" t="s">
        <v>235</v>
      </c>
      <c r="Z561" t="s">
        <v>236</v>
      </c>
      <c r="AA561" t="s">
        <v>253</v>
      </c>
      <c r="AB561" t="s">
        <v>1</v>
      </c>
      <c r="AC561" s="235">
        <f>'Basis Options'!H566</f>
        <v>-600000</v>
      </c>
      <c r="AD561" s="235">
        <f>'Basis Options'!W566</f>
        <v>2.3955292283162066E-2</v>
      </c>
      <c r="AE561">
        <v>0</v>
      </c>
      <c r="AF561">
        <v>0</v>
      </c>
      <c r="AG561">
        <v>0</v>
      </c>
      <c r="AH561" s="235">
        <f>'Basis Options'!CD566</f>
        <v>0</v>
      </c>
      <c r="AI561">
        <v>226</v>
      </c>
      <c r="AJ561" t="s">
        <v>256</v>
      </c>
      <c r="AK561">
        <v>0</v>
      </c>
      <c r="AL561">
        <v>0</v>
      </c>
      <c r="AM561">
        <v>0</v>
      </c>
    </row>
    <row r="562" spans="1:39" x14ac:dyDescent="0.25">
      <c r="A562" t="s">
        <v>233</v>
      </c>
      <c r="B562" t="str">
        <f>'Basis Options'!C567</f>
        <v>NS5125</v>
      </c>
      <c r="C562" t="s">
        <v>255</v>
      </c>
      <c r="D562" t="s">
        <v>234</v>
      </c>
      <c r="E562" t="s">
        <v>20</v>
      </c>
      <c r="F562" t="str">
        <f>'Basis Options'!A567</f>
        <v>CMSMARSERTRA</v>
      </c>
      <c r="G562" t="s">
        <v>269</v>
      </c>
      <c r="H562" t="s">
        <v>254</v>
      </c>
      <c r="I562" t="s">
        <v>242</v>
      </c>
      <c r="J562" t="s">
        <v>235</v>
      </c>
      <c r="K562" s="380">
        <f>'Basis Options'!G567</f>
        <v>36800</v>
      </c>
      <c r="L562" s="235">
        <f>'Basis Options'!U567</f>
        <v>-54.68814122104898</v>
      </c>
      <c r="M562" s="380">
        <f>'Basis Options'!Q567</f>
        <v>36797</v>
      </c>
      <c r="N562" t="str">
        <f>'Basis Options'!F567</f>
        <v>P</v>
      </c>
      <c r="O562">
        <f>'Basis Options'!I567</f>
        <v>0.5</v>
      </c>
      <c r="P562">
        <v>0</v>
      </c>
      <c r="Q562">
        <v>0</v>
      </c>
      <c r="R562">
        <v>0</v>
      </c>
      <c r="S562">
        <v>0</v>
      </c>
      <c r="T562" t="s">
        <v>253</v>
      </c>
      <c r="U562" t="str">
        <f>IF('Basis Options'!D567="NGI/CHI. GATE","""NGI/CHI. GATE""",TRIM('Basis Options'!D567))</f>
        <v>NGI-SOCAL</v>
      </c>
      <c r="V562" t="s">
        <v>253</v>
      </c>
      <c r="W562" t="s">
        <v>132</v>
      </c>
      <c r="X562" t="s">
        <v>253</v>
      </c>
      <c r="Y562" t="s">
        <v>235</v>
      </c>
      <c r="Z562" t="s">
        <v>236</v>
      </c>
      <c r="AA562" t="s">
        <v>253</v>
      </c>
      <c r="AB562" t="s">
        <v>1</v>
      </c>
      <c r="AC562" s="235">
        <f>'Basis Options'!H567</f>
        <v>-155000</v>
      </c>
      <c r="AD562" s="235">
        <f>'Basis Options'!W567</f>
        <v>-103.11296440074062</v>
      </c>
      <c r="AE562">
        <v>0</v>
      </c>
      <c r="AF562">
        <v>0</v>
      </c>
      <c r="AG562">
        <v>0</v>
      </c>
      <c r="AH562" s="235">
        <f>'Basis Options'!CD567</f>
        <v>0</v>
      </c>
      <c r="AI562">
        <v>226</v>
      </c>
      <c r="AJ562" t="s">
        <v>256</v>
      </c>
      <c r="AK562">
        <v>0</v>
      </c>
      <c r="AL562">
        <v>0</v>
      </c>
      <c r="AM562">
        <v>0</v>
      </c>
    </row>
    <row r="563" spans="1:39" x14ac:dyDescent="0.25">
      <c r="A563" t="s">
        <v>233</v>
      </c>
      <c r="B563" t="str">
        <f>'Basis Options'!C568</f>
        <v>NS5125</v>
      </c>
      <c r="C563" t="s">
        <v>255</v>
      </c>
      <c r="D563" t="s">
        <v>234</v>
      </c>
      <c r="E563" t="s">
        <v>20</v>
      </c>
      <c r="F563" t="str">
        <f>'Basis Options'!A568</f>
        <v>CMSMARSERTRA</v>
      </c>
      <c r="G563" t="s">
        <v>269</v>
      </c>
      <c r="H563" t="s">
        <v>254</v>
      </c>
      <c r="I563" t="s">
        <v>242</v>
      </c>
      <c r="J563" t="s">
        <v>235</v>
      </c>
      <c r="K563" s="380">
        <f>'Basis Options'!G568</f>
        <v>36770</v>
      </c>
      <c r="L563" s="235">
        <f>'Basis Options'!U568</f>
        <v>-3.9331840734346812E-2</v>
      </c>
      <c r="M563" s="380">
        <f>'Basis Options'!Q568</f>
        <v>36768</v>
      </c>
      <c r="N563" t="str">
        <f>'Basis Options'!F568</f>
        <v>P</v>
      </c>
      <c r="O563">
        <f>'Basis Options'!I568</f>
        <v>0.5</v>
      </c>
      <c r="P563">
        <v>0</v>
      </c>
      <c r="Q563">
        <v>0</v>
      </c>
      <c r="R563">
        <v>0</v>
      </c>
      <c r="S563">
        <v>0</v>
      </c>
      <c r="T563" t="s">
        <v>253</v>
      </c>
      <c r="U563" t="str">
        <f>IF('Basis Options'!D568="NGI/CHI. GATE","""NGI/CHI. GATE""",TRIM('Basis Options'!D568))</f>
        <v>NGI-SOCAL</v>
      </c>
      <c r="V563" t="s">
        <v>253</v>
      </c>
      <c r="W563" t="s">
        <v>132</v>
      </c>
      <c r="X563" t="s">
        <v>253</v>
      </c>
      <c r="Y563" t="s">
        <v>235</v>
      </c>
      <c r="Z563" t="s">
        <v>236</v>
      </c>
      <c r="AA563" t="s">
        <v>253</v>
      </c>
      <c r="AB563" t="s">
        <v>1</v>
      </c>
      <c r="AC563" s="235">
        <f>'Basis Options'!H568</f>
        <v>-150000</v>
      </c>
      <c r="AD563" s="235">
        <f>'Basis Options'!W568</f>
        <v>5.9888230707905166E-3</v>
      </c>
      <c r="AE563">
        <v>0</v>
      </c>
      <c r="AF563">
        <v>0</v>
      </c>
      <c r="AG563">
        <v>0</v>
      </c>
      <c r="AH563" s="235">
        <f>'Basis Options'!CD568</f>
        <v>0</v>
      </c>
      <c r="AI563">
        <v>226</v>
      </c>
      <c r="AJ563" t="s">
        <v>256</v>
      </c>
      <c r="AK563">
        <v>0</v>
      </c>
      <c r="AL563">
        <v>0</v>
      </c>
      <c r="AM563">
        <v>0</v>
      </c>
    </row>
    <row r="564" spans="1:39" x14ac:dyDescent="0.25">
      <c r="A564" t="s">
        <v>233</v>
      </c>
      <c r="B564" t="str">
        <f>'Basis Options'!C569</f>
        <v>NS5170</v>
      </c>
      <c r="C564" t="s">
        <v>255</v>
      </c>
      <c r="D564" t="s">
        <v>234</v>
      </c>
      <c r="E564" t="s">
        <v>20</v>
      </c>
      <c r="F564" t="str">
        <f>'Basis Options'!A569</f>
        <v>DYNEGYMARAND</v>
      </c>
      <c r="G564" t="s">
        <v>269</v>
      </c>
      <c r="H564" t="s">
        <v>254</v>
      </c>
      <c r="I564" t="s">
        <v>242</v>
      </c>
      <c r="J564" t="s">
        <v>235</v>
      </c>
      <c r="K564" s="380">
        <f>'Basis Options'!G569</f>
        <v>36800</v>
      </c>
      <c r="L564" s="235">
        <f>'Basis Options'!U569</f>
        <v>54.68814122104898</v>
      </c>
      <c r="M564" s="380">
        <f>'Basis Options'!Q569</f>
        <v>36797</v>
      </c>
      <c r="N564" t="str">
        <f>'Basis Options'!F569</f>
        <v>P</v>
      </c>
      <c r="O564">
        <f>'Basis Options'!I569</f>
        <v>0.5</v>
      </c>
      <c r="P564">
        <v>0</v>
      </c>
      <c r="Q564">
        <v>0</v>
      </c>
      <c r="R564">
        <v>0</v>
      </c>
      <c r="S564">
        <v>0</v>
      </c>
      <c r="T564" t="s">
        <v>253</v>
      </c>
      <c r="U564" t="str">
        <f>IF('Basis Options'!D569="NGI/CHI. GATE","""NGI/CHI. GATE""",TRIM('Basis Options'!D569))</f>
        <v>NGI-SOCAL</v>
      </c>
      <c r="V564" t="s">
        <v>253</v>
      </c>
      <c r="W564" t="s">
        <v>132</v>
      </c>
      <c r="X564" t="s">
        <v>253</v>
      </c>
      <c r="Y564" t="s">
        <v>235</v>
      </c>
      <c r="Z564" t="s">
        <v>236</v>
      </c>
      <c r="AA564" t="s">
        <v>253</v>
      </c>
      <c r="AB564" t="s">
        <v>1</v>
      </c>
      <c r="AC564" s="235">
        <f>'Basis Options'!H569</f>
        <v>155000</v>
      </c>
      <c r="AD564" s="235">
        <f>'Basis Options'!W569</f>
        <v>103.11296440074062</v>
      </c>
      <c r="AE564">
        <v>0</v>
      </c>
      <c r="AF564">
        <v>0</v>
      </c>
      <c r="AG564">
        <v>0</v>
      </c>
      <c r="AH564" s="235">
        <f>'Basis Options'!CD569</f>
        <v>0</v>
      </c>
      <c r="AI564">
        <v>226</v>
      </c>
      <c r="AJ564" t="s">
        <v>256</v>
      </c>
      <c r="AK564">
        <v>0</v>
      </c>
      <c r="AL564">
        <v>0</v>
      </c>
      <c r="AM564">
        <v>0</v>
      </c>
    </row>
    <row r="565" spans="1:39" x14ac:dyDescent="0.25">
      <c r="A565" t="s">
        <v>233</v>
      </c>
      <c r="B565" t="str">
        <f>'Basis Options'!C570</f>
        <v>NS5170</v>
      </c>
      <c r="C565" t="s">
        <v>255</v>
      </c>
      <c r="D565" t="s">
        <v>234</v>
      </c>
      <c r="E565" t="s">
        <v>20</v>
      </c>
      <c r="F565" t="str">
        <f>'Basis Options'!A570</f>
        <v>DYNEGYMARAND</v>
      </c>
      <c r="G565" t="s">
        <v>269</v>
      </c>
      <c r="H565" t="s">
        <v>254</v>
      </c>
      <c r="I565" t="s">
        <v>242</v>
      </c>
      <c r="J565" t="s">
        <v>235</v>
      </c>
      <c r="K565" s="380">
        <f>'Basis Options'!G570</f>
        <v>36770</v>
      </c>
      <c r="L565" s="235">
        <f>'Basis Options'!U570</f>
        <v>3.9331840734346812E-2</v>
      </c>
      <c r="M565" s="380">
        <f>'Basis Options'!Q570</f>
        <v>36768</v>
      </c>
      <c r="N565" t="str">
        <f>'Basis Options'!F570</f>
        <v>P</v>
      </c>
      <c r="O565">
        <f>'Basis Options'!I570</f>
        <v>0.5</v>
      </c>
      <c r="P565">
        <v>0</v>
      </c>
      <c r="Q565">
        <v>0</v>
      </c>
      <c r="R565">
        <v>0</v>
      </c>
      <c r="S565">
        <v>0</v>
      </c>
      <c r="T565" t="s">
        <v>253</v>
      </c>
      <c r="U565" t="str">
        <f>IF('Basis Options'!D570="NGI/CHI. GATE","""NGI/CHI. GATE""",TRIM('Basis Options'!D570))</f>
        <v>NGI-SOCAL</v>
      </c>
      <c r="V565" t="s">
        <v>253</v>
      </c>
      <c r="W565" t="s">
        <v>132</v>
      </c>
      <c r="X565" t="s">
        <v>253</v>
      </c>
      <c r="Y565" t="s">
        <v>235</v>
      </c>
      <c r="Z565" t="s">
        <v>236</v>
      </c>
      <c r="AA565" t="s">
        <v>253</v>
      </c>
      <c r="AB565" t="s">
        <v>1</v>
      </c>
      <c r="AC565" s="235">
        <f>'Basis Options'!H570</f>
        <v>150000</v>
      </c>
      <c r="AD565" s="235">
        <f>'Basis Options'!W570</f>
        <v>-5.9888230707905166E-3</v>
      </c>
      <c r="AE565">
        <v>0</v>
      </c>
      <c r="AF565">
        <v>0</v>
      </c>
      <c r="AG565">
        <v>0</v>
      </c>
      <c r="AH565" s="235">
        <f>'Basis Options'!CD570</f>
        <v>0</v>
      </c>
      <c r="AI565">
        <v>226</v>
      </c>
      <c r="AJ565" t="s">
        <v>256</v>
      </c>
      <c r="AK565">
        <v>0</v>
      </c>
      <c r="AL565">
        <v>0</v>
      </c>
      <c r="AM565">
        <v>0</v>
      </c>
    </row>
    <row r="566" spans="1:39" x14ac:dyDescent="0.25">
      <c r="A566" t="s">
        <v>233</v>
      </c>
      <c r="B566" t="str">
        <f>'Basis Options'!C571</f>
        <v>NS5173</v>
      </c>
      <c r="C566" t="s">
        <v>255</v>
      </c>
      <c r="D566" t="s">
        <v>234</v>
      </c>
      <c r="E566" t="s">
        <v>20</v>
      </c>
      <c r="F566" t="str">
        <f>'Basis Options'!A571</f>
        <v>ELPASMER</v>
      </c>
      <c r="G566" t="s">
        <v>269</v>
      </c>
      <c r="H566" t="s">
        <v>254</v>
      </c>
      <c r="I566" t="s">
        <v>242</v>
      </c>
      <c r="J566" t="s">
        <v>235</v>
      </c>
      <c r="K566" s="380">
        <f>'Basis Options'!G571</f>
        <v>36951</v>
      </c>
      <c r="L566" s="235">
        <f>'Basis Options'!U571</f>
        <v>79809.915745504506</v>
      </c>
      <c r="M566" s="380">
        <f>'Basis Options'!Q571</f>
        <v>36949</v>
      </c>
      <c r="N566" t="str">
        <f>'Basis Options'!F571</f>
        <v>C</v>
      </c>
      <c r="O566">
        <f>'Basis Options'!I571</f>
        <v>0.3</v>
      </c>
      <c r="P566">
        <v>0</v>
      </c>
      <c r="Q566">
        <v>0</v>
      </c>
      <c r="R566">
        <v>0</v>
      </c>
      <c r="S566">
        <v>0</v>
      </c>
      <c r="T566" t="s">
        <v>253</v>
      </c>
      <c r="U566" t="str">
        <f>IF('Basis Options'!D571="NGI/CHI. GATE","""NGI/CHI. GATE""",TRIM('Basis Options'!D571))</f>
        <v>NGI-SOCAL</v>
      </c>
      <c r="V566" t="s">
        <v>253</v>
      </c>
      <c r="W566" t="s">
        <v>132</v>
      </c>
      <c r="X566" t="s">
        <v>253</v>
      </c>
      <c r="Y566" t="s">
        <v>235</v>
      </c>
      <c r="Z566" t="s">
        <v>236</v>
      </c>
      <c r="AA566" t="s">
        <v>253</v>
      </c>
      <c r="AB566" t="s">
        <v>1</v>
      </c>
      <c r="AC566" s="235">
        <f>'Basis Options'!H571</f>
        <v>155000</v>
      </c>
      <c r="AD566" s="235">
        <f>'Basis Options'!W571</f>
        <v>11418.577051275934</v>
      </c>
      <c r="AE566">
        <v>0</v>
      </c>
      <c r="AF566">
        <v>0</v>
      </c>
      <c r="AG566">
        <v>0</v>
      </c>
      <c r="AH566" s="235">
        <f>'Basis Options'!CD571</f>
        <v>0</v>
      </c>
      <c r="AI566">
        <v>226</v>
      </c>
      <c r="AJ566" t="s">
        <v>256</v>
      </c>
      <c r="AK566">
        <v>0</v>
      </c>
      <c r="AL566">
        <v>0</v>
      </c>
      <c r="AM566">
        <v>0</v>
      </c>
    </row>
    <row r="567" spans="1:39" x14ac:dyDescent="0.25">
      <c r="A567" t="s">
        <v>233</v>
      </c>
      <c r="B567" t="str">
        <f>'Basis Options'!C572</f>
        <v>NS5173</v>
      </c>
      <c r="C567" t="s">
        <v>255</v>
      </c>
      <c r="D567" t="s">
        <v>234</v>
      </c>
      <c r="E567" t="s">
        <v>20</v>
      </c>
      <c r="F567" t="str">
        <f>'Basis Options'!A572</f>
        <v>ELPASMER</v>
      </c>
      <c r="G567" t="s">
        <v>269</v>
      </c>
      <c r="H567" t="s">
        <v>254</v>
      </c>
      <c r="I567" t="s">
        <v>242</v>
      </c>
      <c r="J567" t="s">
        <v>235</v>
      </c>
      <c r="K567" s="380">
        <f>'Basis Options'!G572</f>
        <v>36923</v>
      </c>
      <c r="L567" s="235">
        <f>'Basis Options'!U572</f>
        <v>78210.394375086136</v>
      </c>
      <c r="M567" s="380">
        <f>'Basis Options'!Q572</f>
        <v>36921</v>
      </c>
      <c r="N567" t="str">
        <f>'Basis Options'!F572</f>
        <v>C</v>
      </c>
      <c r="O567">
        <f>'Basis Options'!I572</f>
        <v>0.3</v>
      </c>
      <c r="P567">
        <v>0</v>
      </c>
      <c r="Q567">
        <v>0</v>
      </c>
      <c r="R567">
        <v>0</v>
      </c>
      <c r="S567">
        <v>0</v>
      </c>
      <c r="T567" t="s">
        <v>253</v>
      </c>
      <c r="U567" t="str">
        <f>IF('Basis Options'!D572="NGI/CHI. GATE","""NGI/CHI. GATE""",TRIM('Basis Options'!D572))</f>
        <v>NGI-SOCAL</v>
      </c>
      <c r="V567" t="s">
        <v>253</v>
      </c>
      <c r="W567" t="s">
        <v>132</v>
      </c>
      <c r="X567" t="s">
        <v>253</v>
      </c>
      <c r="Y567" t="s">
        <v>235</v>
      </c>
      <c r="Z567" t="s">
        <v>236</v>
      </c>
      <c r="AA567" t="s">
        <v>253</v>
      </c>
      <c r="AB567" t="s">
        <v>1</v>
      </c>
      <c r="AC567" s="235">
        <f>'Basis Options'!H572</f>
        <v>140000</v>
      </c>
      <c r="AD567" s="235">
        <f>'Basis Options'!W572</f>
        <v>10637.636576912453</v>
      </c>
      <c r="AE567">
        <v>0</v>
      </c>
      <c r="AF567">
        <v>0</v>
      </c>
      <c r="AG567">
        <v>0</v>
      </c>
      <c r="AH567" s="235">
        <f>'Basis Options'!CD572</f>
        <v>0</v>
      </c>
      <c r="AI567">
        <v>226</v>
      </c>
      <c r="AJ567" t="s">
        <v>256</v>
      </c>
      <c r="AK567">
        <v>0</v>
      </c>
      <c r="AL567">
        <v>0</v>
      </c>
      <c r="AM567">
        <v>0</v>
      </c>
    </row>
    <row r="568" spans="1:39" x14ac:dyDescent="0.25">
      <c r="A568" t="s">
        <v>233</v>
      </c>
      <c r="B568" t="str">
        <f>'Basis Options'!C573</f>
        <v>NS5173</v>
      </c>
      <c r="C568" t="s">
        <v>255</v>
      </c>
      <c r="D568" t="s">
        <v>234</v>
      </c>
      <c r="E568" t="s">
        <v>20</v>
      </c>
      <c r="F568" t="str">
        <f>'Basis Options'!A573</f>
        <v>ELPASMER</v>
      </c>
      <c r="G568" t="s">
        <v>269</v>
      </c>
      <c r="H568" t="s">
        <v>254</v>
      </c>
      <c r="I568" t="s">
        <v>242</v>
      </c>
      <c r="J568" t="s">
        <v>235</v>
      </c>
      <c r="K568" s="380">
        <f>'Basis Options'!G573</f>
        <v>36892</v>
      </c>
      <c r="L568" s="235">
        <f>'Basis Options'!U573</f>
        <v>100299.75499742347</v>
      </c>
      <c r="M568" s="380">
        <f>'Basis Options'!Q573</f>
        <v>36888</v>
      </c>
      <c r="N568" t="str">
        <f>'Basis Options'!F573</f>
        <v>C</v>
      </c>
      <c r="O568">
        <f>'Basis Options'!I573</f>
        <v>0.3</v>
      </c>
      <c r="P568">
        <v>0</v>
      </c>
      <c r="Q568">
        <v>0</v>
      </c>
      <c r="R568">
        <v>0</v>
      </c>
      <c r="S568">
        <v>0</v>
      </c>
      <c r="T568" t="s">
        <v>253</v>
      </c>
      <c r="U568" t="str">
        <f>IF('Basis Options'!D573="NGI/CHI. GATE","""NGI/CHI. GATE""",TRIM('Basis Options'!D573))</f>
        <v>NGI-SOCAL</v>
      </c>
      <c r="V568" t="s">
        <v>253</v>
      </c>
      <c r="W568" t="s">
        <v>132</v>
      </c>
      <c r="X568" t="s">
        <v>253</v>
      </c>
      <c r="Y568" t="s">
        <v>235</v>
      </c>
      <c r="Z568" t="s">
        <v>236</v>
      </c>
      <c r="AA568" t="s">
        <v>253</v>
      </c>
      <c r="AB568" t="s">
        <v>1</v>
      </c>
      <c r="AC568" s="235">
        <f>'Basis Options'!H573</f>
        <v>155000</v>
      </c>
      <c r="AD568" s="235">
        <f>'Basis Options'!W573</f>
        <v>10047.724459165358</v>
      </c>
      <c r="AE568">
        <v>0</v>
      </c>
      <c r="AF568">
        <v>0</v>
      </c>
      <c r="AG568">
        <v>0</v>
      </c>
      <c r="AH568" s="235">
        <f>'Basis Options'!CD573</f>
        <v>0</v>
      </c>
      <c r="AI568">
        <v>226</v>
      </c>
      <c r="AJ568" t="s">
        <v>256</v>
      </c>
      <c r="AK568">
        <v>0</v>
      </c>
      <c r="AL568">
        <v>0</v>
      </c>
      <c r="AM568">
        <v>0</v>
      </c>
    </row>
    <row r="569" spans="1:39" x14ac:dyDescent="0.25">
      <c r="A569" t="s">
        <v>233</v>
      </c>
      <c r="B569" t="str">
        <f>'Basis Options'!C574</f>
        <v>NS5173</v>
      </c>
      <c r="C569" t="s">
        <v>255</v>
      </c>
      <c r="D569" t="s">
        <v>234</v>
      </c>
      <c r="E569" t="s">
        <v>20</v>
      </c>
      <c r="F569" t="str">
        <f>'Basis Options'!A574</f>
        <v>ELPASMER</v>
      </c>
      <c r="G569" t="s">
        <v>269</v>
      </c>
      <c r="H569" t="s">
        <v>254</v>
      </c>
      <c r="I569" t="s">
        <v>242</v>
      </c>
      <c r="J569" t="s">
        <v>235</v>
      </c>
      <c r="K569" s="380">
        <f>'Basis Options'!G574</f>
        <v>36861</v>
      </c>
      <c r="L569" s="235">
        <f>'Basis Options'!U574</f>
        <v>122584.10250195127</v>
      </c>
      <c r="M569" s="380">
        <f>'Basis Options'!Q574</f>
        <v>36859</v>
      </c>
      <c r="N569" t="str">
        <f>'Basis Options'!F574</f>
        <v>C</v>
      </c>
      <c r="O569">
        <f>'Basis Options'!I574</f>
        <v>0.3</v>
      </c>
      <c r="P569">
        <v>0</v>
      </c>
      <c r="Q569">
        <v>0</v>
      </c>
      <c r="R569">
        <v>0</v>
      </c>
      <c r="S569">
        <v>0</v>
      </c>
      <c r="T569" t="s">
        <v>253</v>
      </c>
      <c r="U569" t="str">
        <f>IF('Basis Options'!D574="NGI/CHI. GATE","""NGI/CHI. GATE""",TRIM('Basis Options'!D574))</f>
        <v>NGI-SOCAL</v>
      </c>
      <c r="V569" t="s">
        <v>253</v>
      </c>
      <c r="W569" t="s">
        <v>132</v>
      </c>
      <c r="X569" t="s">
        <v>253</v>
      </c>
      <c r="Y569" t="s">
        <v>235</v>
      </c>
      <c r="Z569" t="s">
        <v>236</v>
      </c>
      <c r="AA569" t="s">
        <v>253</v>
      </c>
      <c r="AB569" t="s">
        <v>1</v>
      </c>
      <c r="AC569" s="235">
        <f>'Basis Options'!H574</f>
        <v>155000</v>
      </c>
      <c r="AD569" s="235">
        <f>'Basis Options'!W574</f>
        <v>7033.5265219382854</v>
      </c>
      <c r="AE569">
        <v>0</v>
      </c>
      <c r="AF569">
        <v>0</v>
      </c>
      <c r="AG569">
        <v>0</v>
      </c>
      <c r="AH569" s="235">
        <f>'Basis Options'!CD574</f>
        <v>0</v>
      </c>
      <c r="AI569">
        <v>226</v>
      </c>
      <c r="AJ569" t="s">
        <v>256</v>
      </c>
      <c r="AK569">
        <v>0</v>
      </c>
      <c r="AL569">
        <v>0</v>
      </c>
      <c r="AM569">
        <v>0</v>
      </c>
    </row>
    <row r="570" spans="1:39" x14ac:dyDescent="0.25">
      <c r="A570" t="s">
        <v>233</v>
      </c>
      <c r="B570" t="str">
        <f>'Basis Options'!C575</f>
        <v>NS5173</v>
      </c>
      <c r="C570" t="s">
        <v>255</v>
      </c>
      <c r="D570" t="s">
        <v>234</v>
      </c>
      <c r="E570" t="s">
        <v>20</v>
      </c>
      <c r="F570" t="str">
        <f>'Basis Options'!A575</f>
        <v>ELPASMER</v>
      </c>
      <c r="G570" t="s">
        <v>269</v>
      </c>
      <c r="H570" t="s">
        <v>254</v>
      </c>
      <c r="I570" t="s">
        <v>242</v>
      </c>
      <c r="J570" t="s">
        <v>235</v>
      </c>
      <c r="K570" s="380">
        <f>'Basis Options'!G575</f>
        <v>36831</v>
      </c>
      <c r="L570" s="235">
        <f>'Basis Options'!U575</f>
        <v>186476.74733169368</v>
      </c>
      <c r="M570" s="380">
        <f>'Basis Options'!Q575</f>
        <v>36829</v>
      </c>
      <c r="N570" t="str">
        <f>'Basis Options'!F575</f>
        <v>C</v>
      </c>
      <c r="O570">
        <f>'Basis Options'!I575</f>
        <v>0.3</v>
      </c>
      <c r="P570">
        <v>0</v>
      </c>
      <c r="Q570">
        <v>0</v>
      </c>
      <c r="R570">
        <v>0</v>
      </c>
      <c r="S570">
        <v>0</v>
      </c>
      <c r="T570" t="s">
        <v>253</v>
      </c>
      <c r="U570" t="str">
        <f>IF('Basis Options'!D575="NGI/CHI. GATE","""NGI/CHI. GATE""",TRIM('Basis Options'!D575))</f>
        <v>NGI-SOCAL</v>
      </c>
      <c r="V570" t="s">
        <v>253</v>
      </c>
      <c r="W570" t="s">
        <v>132</v>
      </c>
      <c r="X570" t="s">
        <v>253</v>
      </c>
      <c r="Y570" t="s">
        <v>235</v>
      </c>
      <c r="Z570" t="s">
        <v>236</v>
      </c>
      <c r="AA570" t="s">
        <v>253</v>
      </c>
      <c r="AB570" t="s">
        <v>1</v>
      </c>
      <c r="AC570" s="235">
        <f>'Basis Options'!H575</f>
        <v>150000</v>
      </c>
      <c r="AD570" s="235">
        <f>'Basis Options'!W575</f>
        <v>1787.0915111550421</v>
      </c>
      <c r="AE570">
        <v>0</v>
      </c>
      <c r="AF570">
        <v>0</v>
      </c>
      <c r="AG570">
        <v>0</v>
      </c>
      <c r="AH570" s="235">
        <f>'Basis Options'!CD575</f>
        <v>0</v>
      </c>
      <c r="AI570">
        <v>226</v>
      </c>
      <c r="AJ570" t="s">
        <v>256</v>
      </c>
      <c r="AK570">
        <v>0</v>
      </c>
      <c r="AL570">
        <v>0</v>
      </c>
      <c r="AM570">
        <v>0</v>
      </c>
    </row>
    <row r="571" spans="1:39" x14ac:dyDescent="0.25">
      <c r="A571" t="s">
        <v>233</v>
      </c>
      <c r="B571" t="e">
        <f>'Basis Options'!#REF!</f>
        <v>#REF!</v>
      </c>
      <c r="C571" t="s">
        <v>255</v>
      </c>
      <c r="D571" t="s">
        <v>234</v>
      </c>
      <c r="E571" t="s">
        <v>20</v>
      </c>
      <c r="F571" t="e">
        <f>'Basis Options'!#REF!</f>
        <v>#REF!</v>
      </c>
      <c r="G571" t="s">
        <v>269</v>
      </c>
      <c r="H571" t="s">
        <v>254</v>
      </c>
      <c r="I571" t="s">
        <v>242</v>
      </c>
      <c r="J571" t="s">
        <v>235</v>
      </c>
      <c r="K571" s="380" t="e">
        <f>'Basis Options'!#REF!</f>
        <v>#REF!</v>
      </c>
      <c r="L571" s="235" t="e">
        <f>'Basis Options'!#REF!</f>
        <v>#REF!</v>
      </c>
      <c r="M571" s="380" t="e">
        <f>'Basis Options'!#REF!</f>
        <v>#REF!</v>
      </c>
      <c r="N571" t="e">
        <f>'Basis Options'!#REF!</f>
        <v>#REF!</v>
      </c>
      <c r="O571" t="e">
        <f>'Basis Options'!#REF!</f>
        <v>#REF!</v>
      </c>
      <c r="P571">
        <v>0</v>
      </c>
      <c r="Q571">
        <v>0</v>
      </c>
      <c r="R571">
        <v>0</v>
      </c>
      <c r="S571">
        <v>0</v>
      </c>
      <c r="T571" t="s">
        <v>253</v>
      </c>
      <c r="U571" t="e">
        <f>IF('Basis Options'!#REF!="NGI/CHI. GATE","""NGI/CHI. GATE""",TRIM('Basis Options'!#REF!))</f>
        <v>#REF!</v>
      </c>
      <c r="V571" t="s">
        <v>253</v>
      </c>
      <c r="W571" t="s">
        <v>132</v>
      </c>
      <c r="X571" t="s">
        <v>253</v>
      </c>
      <c r="Y571" t="s">
        <v>235</v>
      </c>
      <c r="Z571" t="s">
        <v>236</v>
      </c>
      <c r="AA571" t="s">
        <v>253</v>
      </c>
      <c r="AB571" t="s">
        <v>1</v>
      </c>
      <c r="AC571" s="235" t="e">
        <f>'Basis Options'!#REF!</f>
        <v>#REF!</v>
      </c>
      <c r="AD571" s="235" t="e">
        <f>'Basis Options'!#REF!</f>
        <v>#REF!</v>
      </c>
      <c r="AE571">
        <v>0</v>
      </c>
      <c r="AF571">
        <v>0</v>
      </c>
      <c r="AG571">
        <v>0</v>
      </c>
      <c r="AH571" s="235" t="e">
        <f>'Basis Options'!CD576</f>
        <v>#REF!</v>
      </c>
      <c r="AI571">
        <v>226</v>
      </c>
      <c r="AJ571" t="s">
        <v>256</v>
      </c>
      <c r="AK571">
        <v>0</v>
      </c>
      <c r="AL571">
        <v>0</v>
      </c>
      <c r="AM571">
        <v>0</v>
      </c>
    </row>
    <row r="572" spans="1:39" x14ac:dyDescent="0.25">
      <c r="A572" t="s">
        <v>233</v>
      </c>
      <c r="B572" t="str">
        <f>'Basis Options'!C576</f>
        <v>NS7549</v>
      </c>
      <c r="C572" t="s">
        <v>255</v>
      </c>
      <c r="D572" t="s">
        <v>234</v>
      </c>
      <c r="E572" t="s">
        <v>20</v>
      </c>
      <c r="F572" t="str">
        <f>'Basis Options'!A576</f>
        <v>ELPASMER</v>
      </c>
      <c r="G572" t="s">
        <v>269</v>
      </c>
      <c r="H572" t="s">
        <v>254</v>
      </c>
      <c r="I572" t="s">
        <v>242</v>
      </c>
      <c r="J572" t="s">
        <v>235</v>
      </c>
      <c r="K572" s="380">
        <f>'Basis Options'!G576</f>
        <v>36800</v>
      </c>
      <c r="L572" s="235">
        <f>'Basis Options'!U576</f>
        <v>1284066.8434536192</v>
      </c>
      <c r="M572" s="380">
        <f>'Basis Options'!Q576</f>
        <v>36797</v>
      </c>
      <c r="N572" t="str">
        <f>'Basis Options'!F576</f>
        <v>C</v>
      </c>
      <c r="O572">
        <f>'Basis Options'!I576</f>
        <v>0.7</v>
      </c>
      <c r="P572">
        <v>0</v>
      </c>
      <c r="Q572">
        <v>0</v>
      </c>
      <c r="R572">
        <v>0</v>
      </c>
      <c r="S572">
        <v>0</v>
      </c>
      <c r="T572" t="s">
        <v>253</v>
      </c>
      <c r="U572" t="str">
        <f>IF('Basis Options'!D576="NGI/CHI. GATE","""NGI/CHI. GATE""",TRIM('Basis Options'!D576))</f>
        <v>NGI-SOCAL</v>
      </c>
      <c r="V572" t="s">
        <v>253</v>
      </c>
      <c r="W572" t="s">
        <v>132</v>
      </c>
      <c r="X572" t="s">
        <v>253</v>
      </c>
      <c r="Y572" t="s">
        <v>235</v>
      </c>
      <c r="Z572" t="s">
        <v>236</v>
      </c>
      <c r="AA572" t="s">
        <v>253</v>
      </c>
      <c r="AB572" t="s">
        <v>1</v>
      </c>
      <c r="AC572" s="235">
        <f>'Basis Options'!H576</f>
        <v>1000000</v>
      </c>
      <c r="AD572" s="235">
        <f>'Basis Options'!W576</f>
        <v>1853.6495320375543</v>
      </c>
      <c r="AE572">
        <v>0</v>
      </c>
      <c r="AF572">
        <v>0</v>
      </c>
      <c r="AG572">
        <v>0</v>
      </c>
      <c r="AH572" s="235">
        <f>'Basis Options'!CD577</f>
        <v>0</v>
      </c>
      <c r="AI572">
        <v>226</v>
      </c>
      <c r="AJ572" t="s">
        <v>256</v>
      </c>
      <c r="AK572">
        <v>0</v>
      </c>
      <c r="AL572">
        <v>0</v>
      </c>
      <c r="AM572">
        <v>0</v>
      </c>
    </row>
    <row r="573" spans="1:39" x14ac:dyDescent="0.25">
      <c r="A573" t="s">
        <v>233</v>
      </c>
      <c r="B573" t="str">
        <f>'Basis Options'!C577</f>
        <v>NS7549</v>
      </c>
      <c r="C573" t="s">
        <v>255</v>
      </c>
      <c r="D573" t="s">
        <v>234</v>
      </c>
      <c r="E573" t="s">
        <v>20</v>
      </c>
      <c r="F573" t="str">
        <f>'Basis Options'!A577</f>
        <v>ELPASMER</v>
      </c>
      <c r="G573" t="s">
        <v>269</v>
      </c>
      <c r="H573" t="s">
        <v>254</v>
      </c>
      <c r="I573" t="s">
        <v>242</v>
      </c>
      <c r="J573" t="s">
        <v>235</v>
      </c>
      <c r="K573" s="380">
        <f>'Basis Options'!G577</f>
        <v>36770</v>
      </c>
      <c r="L573" s="235">
        <f>'Basis Options'!U577</f>
        <v>1799669.0162219335</v>
      </c>
      <c r="M573" s="380">
        <f>'Basis Options'!Q577</f>
        <v>36768</v>
      </c>
      <c r="N573" t="str">
        <f>'Basis Options'!F577</f>
        <v>C</v>
      </c>
      <c r="O573">
        <f>'Basis Options'!I577</f>
        <v>0.7</v>
      </c>
      <c r="P573">
        <v>0</v>
      </c>
      <c r="Q573">
        <v>0</v>
      </c>
      <c r="R573">
        <v>0</v>
      </c>
      <c r="S573">
        <v>0</v>
      </c>
      <c r="T573" t="s">
        <v>253</v>
      </c>
      <c r="U573" t="str">
        <f>IF('Basis Options'!D577="NGI/CHI. GATE","""NGI/CHI. GATE""",TRIM('Basis Options'!D577))</f>
        <v>NGI-SOCAL</v>
      </c>
      <c r="V573" t="s">
        <v>253</v>
      </c>
      <c r="W573" t="s">
        <v>132</v>
      </c>
      <c r="X573" t="s">
        <v>253</v>
      </c>
      <c r="Y573" t="s">
        <v>235</v>
      </c>
      <c r="Z573" t="s">
        <v>236</v>
      </c>
      <c r="AA573" t="s">
        <v>253</v>
      </c>
      <c r="AB573" t="s">
        <v>1</v>
      </c>
      <c r="AC573" s="235">
        <f>'Basis Options'!H577</f>
        <v>1000000</v>
      </c>
      <c r="AD573" s="235">
        <f>'Basis Options'!W577</f>
        <v>-3.9925484452396631E-2</v>
      </c>
      <c r="AE573">
        <v>0</v>
      </c>
      <c r="AF573">
        <v>0</v>
      </c>
      <c r="AG573">
        <v>0</v>
      </c>
      <c r="AH573" s="235">
        <f>'Basis Options'!CD578</f>
        <v>0</v>
      </c>
      <c r="AI573">
        <v>226</v>
      </c>
      <c r="AJ573" t="s">
        <v>256</v>
      </c>
      <c r="AK573">
        <v>0</v>
      </c>
      <c r="AL573">
        <v>0</v>
      </c>
      <c r="AM573">
        <v>0</v>
      </c>
    </row>
    <row r="574" spans="1:39" x14ac:dyDescent="0.25">
      <c r="A574" t="s">
        <v>233</v>
      </c>
      <c r="B574" t="str">
        <f>'Basis Options'!C578</f>
        <v>NS9621</v>
      </c>
      <c r="C574" t="s">
        <v>255</v>
      </c>
      <c r="D574" t="s">
        <v>234</v>
      </c>
      <c r="E574" t="s">
        <v>20</v>
      </c>
      <c r="F574" t="str">
        <f>'Basis Options'!A578</f>
        <v>DYNEGYMARAND</v>
      </c>
      <c r="G574" t="s">
        <v>269</v>
      </c>
      <c r="H574" t="s">
        <v>254</v>
      </c>
      <c r="I574" t="s">
        <v>242</v>
      </c>
      <c r="J574" t="s">
        <v>235</v>
      </c>
      <c r="K574" s="380">
        <f>'Basis Options'!G578</f>
        <v>36800</v>
      </c>
      <c r="L574" s="235">
        <f>'Basis Options'!U578</f>
        <v>-54.68814122104898</v>
      </c>
      <c r="M574" s="380">
        <f>'Basis Options'!Q578</f>
        <v>36797</v>
      </c>
      <c r="N574" t="str">
        <f>'Basis Options'!F578</f>
        <v>P</v>
      </c>
      <c r="O574">
        <f>'Basis Options'!I578</f>
        <v>0.5</v>
      </c>
      <c r="P574">
        <v>0</v>
      </c>
      <c r="Q574">
        <v>0</v>
      </c>
      <c r="R574">
        <v>0</v>
      </c>
      <c r="S574">
        <v>0</v>
      </c>
      <c r="T574" t="s">
        <v>253</v>
      </c>
      <c r="U574" t="str">
        <f>IF('Basis Options'!D578="NGI/CHI. GATE","""NGI/CHI. GATE""",TRIM('Basis Options'!D578))</f>
        <v>NGI-SOCAL</v>
      </c>
      <c r="V574" t="s">
        <v>253</v>
      </c>
      <c r="W574" t="s">
        <v>132</v>
      </c>
      <c r="X574" t="s">
        <v>253</v>
      </c>
      <c r="Y574" t="s">
        <v>235</v>
      </c>
      <c r="Z574" t="s">
        <v>236</v>
      </c>
      <c r="AA574" t="s">
        <v>253</v>
      </c>
      <c r="AB574" t="s">
        <v>1</v>
      </c>
      <c r="AC574" s="235">
        <f>'Basis Options'!H578</f>
        <v>-155000</v>
      </c>
      <c r="AD574" s="235">
        <f>'Basis Options'!W578</f>
        <v>-103.11296440074062</v>
      </c>
      <c r="AE574">
        <v>0</v>
      </c>
      <c r="AF574">
        <v>0</v>
      </c>
      <c r="AG574">
        <v>0</v>
      </c>
      <c r="AH574" s="235">
        <f>'Basis Options'!CD579</f>
        <v>0</v>
      </c>
      <c r="AI574">
        <v>226</v>
      </c>
      <c r="AJ574" t="s">
        <v>256</v>
      </c>
      <c r="AK574">
        <v>0</v>
      </c>
      <c r="AL574">
        <v>0</v>
      </c>
      <c r="AM574">
        <v>0</v>
      </c>
    </row>
    <row r="575" spans="1:39" x14ac:dyDescent="0.25">
      <c r="A575" t="s">
        <v>233</v>
      </c>
      <c r="B575" t="str">
        <f>'Basis Options'!C579</f>
        <v>NS9621</v>
      </c>
      <c r="C575" t="s">
        <v>255</v>
      </c>
      <c r="D575" t="s">
        <v>234</v>
      </c>
      <c r="E575" t="s">
        <v>20</v>
      </c>
      <c r="F575" t="str">
        <f>'Basis Options'!A579</f>
        <v>DYNEGYMARAND</v>
      </c>
      <c r="G575" t="s">
        <v>269</v>
      </c>
      <c r="H575" t="s">
        <v>254</v>
      </c>
      <c r="I575" t="s">
        <v>242</v>
      </c>
      <c r="J575" t="s">
        <v>235</v>
      </c>
      <c r="K575" s="380">
        <f>'Basis Options'!G579</f>
        <v>36770</v>
      </c>
      <c r="L575" s="235">
        <f>'Basis Options'!U579</f>
        <v>-3.9331840734346812E-2</v>
      </c>
      <c r="M575" s="380">
        <f>'Basis Options'!Q579</f>
        <v>36768</v>
      </c>
      <c r="N575" t="str">
        <f>'Basis Options'!F579</f>
        <v>P</v>
      </c>
      <c r="O575">
        <f>'Basis Options'!I579</f>
        <v>0.5</v>
      </c>
      <c r="P575">
        <v>0</v>
      </c>
      <c r="Q575">
        <v>0</v>
      </c>
      <c r="R575">
        <v>0</v>
      </c>
      <c r="S575">
        <v>0</v>
      </c>
      <c r="T575" t="s">
        <v>253</v>
      </c>
      <c r="U575" t="str">
        <f>IF('Basis Options'!D579="NGI/CHI. GATE","""NGI/CHI. GATE""",TRIM('Basis Options'!D579))</f>
        <v>NGI-SOCAL</v>
      </c>
      <c r="V575" t="s">
        <v>253</v>
      </c>
      <c r="W575" t="s">
        <v>132</v>
      </c>
      <c r="X575" t="s">
        <v>253</v>
      </c>
      <c r="Y575" t="s">
        <v>235</v>
      </c>
      <c r="Z575" t="s">
        <v>236</v>
      </c>
      <c r="AA575" t="s">
        <v>253</v>
      </c>
      <c r="AB575" t="s">
        <v>1</v>
      </c>
      <c r="AC575" s="235">
        <f>'Basis Options'!H579</f>
        <v>-150000</v>
      </c>
      <c r="AD575" s="235">
        <f>'Basis Options'!W579</f>
        <v>5.9888230707905166E-3</v>
      </c>
      <c r="AE575">
        <v>0</v>
      </c>
      <c r="AF575">
        <v>0</v>
      </c>
      <c r="AG575">
        <v>0</v>
      </c>
      <c r="AH575" s="235">
        <f>'Basis Options'!CD580</f>
        <v>0</v>
      </c>
      <c r="AI575">
        <v>226</v>
      </c>
      <c r="AJ575" t="s">
        <v>256</v>
      </c>
      <c r="AK575">
        <v>0</v>
      </c>
      <c r="AL575">
        <v>0</v>
      </c>
      <c r="AM575">
        <v>0</v>
      </c>
    </row>
    <row r="576" spans="1:39" x14ac:dyDescent="0.25">
      <c r="A576" t="s">
        <v>233</v>
      </c>
      <c r="B576" t="str">
        <f>'Basis Options'!C580</f>
        <v>NT3509</v>
      </c>
      <c r="C576" t="s">
        <v>255</v>
      </c>
      <c r="D576" t="s">
        <v>234</v>
      </c>
      <c r="E576" t="s">
        <v>20</v>
      </c>
      <c r="F576" t="str">
        <f>'Basis Options'!A580</f>
        <v>UTILICORP</v>
      </c>
      <c r="G576" t="s">
        <v>269</v>
      </c>
      <c r="H576" t="s">
        <v>254</v>
      </c>
      <c r="I576" t="s">
        <v>242</v>
      </c>
      <c r="J576" t="s">
        <v>235</v>
      </c>
      <c r="K576" s="380">
        <f>'Basis Options'!G580</f>
        <v>36831</v>
      </c>
      <c r="L576" s="235">
        <f>'Basis Options'!U580</f>
        <v>-2287.5480893484873</v>
      </c>
      <c r="M576" s="380">
        <f>'Basis Options'!Q580</f>
        <v>36829</v>
      </c>
      <c r="N576" t="str">
        <f>'Basis Options'!F580</f>
        <v>C</v>
      </c>
      <c r="O576">
        <f>'Basis Options'!I580</f>
        <v>0.15</v>
      </c>
      <c r="P576">
        <v>0</v>
      </c>
      <c r="Q576">
        <v>0</v>
      </c>
      <c r="R576">
        <v>0</v>
      </c>
      <c r="S576">
        <v>0</v>
      </c>
      <c r="T576" t="s">
        <v>253</v>
      </c>
      <c r="U576" t="str">
        <f>IF('Basis Options'!D580="NGI/CHI. GATE","""NGI/CHI. GATE""",TRIM('Basis Options'!D580))</f>
        <v>"NGI/CHI. GATE"</v>
      </c>
      <c r="V576" t="s">
        <v>253</v>
      </c>
      <c r="W576" t="s">
        <v>132</v>
      </c>
      <c r="X576" t="s">
        <v>253</v>
      </c>
      <c r="Y576" t="s">
        <v>235</v>
      </c>
      <c r="Z576" t="s">
        <v>236</v>
      </c>
      <c r="AA576" t="s">
        <v>253</v>
      </c>
      <c r="AB576" t="s">
        <v>1</v>
      </c>
      <c r="AC576" s="235">
        <f>'Basis Options'!H580</f>
        <v>-150000</v>
      </c>
      <c r="AD576" s="235">
        <f>'Basis Options'!W580</f>
        <v>-857.9376105506235</v>
      </c>
      <c r="AE576">
        <v>0</v>
      </c>
      <c r="AF576">
        <v>0</v>
      </c>
      <c r="AG576">
        <v>0</v>
      </c>
      <c r="AH576" s="235">
        <f>'Basis Options'!CD581</f>
        <v>0</v>
      </c>
      <c r="AI576">
        <v>226</v>
      </c>
      <c r="AJ576" t="s">
        <v>256</v>
      </c>
      <c r="AK576">
        <v>0</v>
      </c>
      <c r="AL576">
        <v>0</v>
      </c>
      <c r="AM576">
        <v>0</v>
      </c>
    </row>
    <row r="577" spans="1:39" x14ac:dyDescent="0.25">
      <c r="A577" t="s">
        <v>233</v>
      </c>
      <c r="B577" t="str">
        <f>'Basis Options'!C581</f>
        <v>NT3509</v>
      </c>
      <c r="C577" t="s">
        <v>255</v>
      </c>
      <c r="D577" t="s">
        <v>234</v>
      </c>
      <c r="E577" t="s">
        <v>20</v>
      </c>
      <c r="F577" t="str">
        <f>'Basis Options'!A581</f>
        <v>UTILICORP</v>
      </c>
      <c r="G577" t="s">
        <v>269</v>
      </c>
      <c r="H577" t="s">
        <v>254</v>
      </c>
      <c r="I577" t="s">
        <v>242</v>
      </c>
      <c r="J577" t="s">
        <v>235</v>
      </c>
      <c r="K577" s="380">
        <f>'Basis Options'!G581</f>
        <v>36861</v>
      </c>
      <c r="L577" s="235">
        <f>'Basis Options'!U581</f>
        <v>-4201.7819148455519</v>
      </c>
      <c r="M577" s="380">
        <f>'Basis Options'!Q581</f>
        <v>36859</v>
      </c>
      <c r="N577" t="str">
        <f>'Basis Options'!F581</f>
        <v>C</v>
      </c>
      <c r="O577">
        <f>'Basis Options'!I581</f>
        <v>0.15</v>
      </c>
      <c r="P577">
        <v>0</v>
      </c>
      <c r="Q577">
        <v>0</v>
      </c>
      <c r="R577">
        <v>0</v>
      </c>
      <c r="S577">
        <v>0</v>
      </c>
      <c r="T577" t="s">
        <v>253</v>
      </c>
      <c r="U577" t="str">
        <f>IF('Basis Options'!D581="NGI/CHI. GATE","""NGI/CHI. GATE""",TRIM('Basis Options'!D581))</f>
        <v>"NGI/CHI. GATE"</v>
      </c>
      <c r="V577" t="s">
        <v>253</v>
      </c>
      <c r="W577" t="s">
        <v>132</v>
      </c>
      <c r="X577" t="s">
        <v>253</v>
      </c>
      <c r="Y577" t="s">
        <v>235</v>
      </c>
      <c r="Z577" t="s">
        <v>236</v>
      </c>
      <c r="AA577" t="s">
        <v>253</v>
      </c>
      <c r="AB577" t="s">
        <v>1</v>
      </c>
      <c r="AC577" s="235">
        <f>'Basis Options'!H581</f>
        <v>-155000</v>
      </c>
      <c r="AD577" s="235">
        <f>'Basis Options'!W581</f>
        <v>-1220.7796516145172</v>
      </c>
      <c r="AE577">
        <v>0</v>
      </c>
      <c r="AF577">
        <v>0</v>
      </c>
      <c r="AG577">
        <v>0</v>
      </c>
      <c r="AH577" s="235">
        <f>'Basis Options'!CD582</f>
        <v>0</v>
      </c>
      <c r="AI577">
        <v>226</v>
      </c>
      <c r="AJ577" t="s">
        <v>256</v>
      </c>
      <c r="AK577">
        <v>0</v>
      </c>
      <c r="AL577">
        <v>0</v>
      </c>
      <c r="AM577">
        <v>0</v>
      </c>
    </row>
    <row r="578" spans="1:39" x14ac:dyDescent="0.25">
      <c r="A578" t="s">
        <v>233</v>
      </c>
      <c r="B578" t="str">
        <f>'Basis Options'!C582</f>
        <v>NT3509</v>
      </c>
      <c r="C578" t="s">
        <v>255</v>
      </c>
      <c r="D578" t="s">
        <v>234</v>
      </c>
      <c r="E578" t="s">
        <v>20</v>
      </c>
      <c r="F578" t="str">
        <f>'Basis Options'!A582</f>
        <v>UTILICORP</v>
      </c>
      <c r="G578" t="s">
        <v>269</v>
      </c>
      <c r="H578" t="s">
        <v>254</v>
      </c>
      <c r="I578" t="s">
        <v>242</v>
      </c>
      <c r="J578" t="s">
        <v>235</v>
      </c>
      <c r="K578" s="380">
        <f>'Basis Options'!G582</f>
        <v>36892</v>
      </c>
      <c r="L578" s="235">
        <f>'Basis Options'!U582</f>
        <v>-6864.6485513478528</v>
      </c>
      <c r="M578" s="380">
        <f>'Basis Options'!Q582</f>
        <v>36888</v>
      </c>
      <c r="N578" t="str">
        <f>'Basis Options'!F582</f>
        <v>C</v>
      </c>
      <c r="O578">
        <f>'Basis Options'!I582</f>
        <v>0.15</v>
      </c>
      <c r="P578">
        <v>0</v>
      </c>
      <c r="Q578">
        <v>0</v>
      </c>
      <c r="R578">
        <v>0</v>
      </c>
      <c r="S578">
        <v>0</v>
      </c>
      <c r="T578" t="s">
        <v>253</v>
      </c>
      <c r="U578" t="str">
        <f>IF('Basis Options'!D582="NGI/CHI. GATE","""NGI/CHI. GATE""",TRIM('Basis Options'!D582))</f>
        <v>"NGI/CHI. GATE"</v>
      </c>
      <c r="V578" t="s">
        <v>253</v>
      </c>
      <c r="W578" t="s">
        <v>132</v>
      </c>
      <c r="X578" t="s">
        <v>253</v>
      </c>
      <c r="Y578" t="s">
        <v>235</v>
      </c>
      <c r="Z578" t="s">
        <v>236</v>
      </c>
      <c r="AA578" t="s">
        <v>253</v>
      </c>
      <c r="AB578" t="s">
        <v>1</v>
      </c>
      <c r="AC578" s="235">
        <f>'Basis Options'!H582</f>
        <v>-155000</v>
      </c>
      <c r="AD578" s="235">
        <f>'Basis Options'!W582</f>
        <v>-1499.6605376056978</v>
      </c>
      <c r="AE578">
        <v>0</v>
      </c>
      <c r="AF578">
        <v>0</v>
      </c>
      <c r="AG578">
        <v>0</v>
      </c>
      <c r="AH578" s="235">
        <f>'Basis Options'!CD583</f>
        <v>0</v>
      </c>
      <c r="AI578">
        <v>226</v>
      </c>
      <c r="AJ578" t="s">
        <v>256</v>
      </c>
      <c r="AK578">
        <v>0</v>
      </c>
      <c r="AL578">
        <v>0</v>
      </c>
      <c r="AM578">
        <v>0</v>
      </c>
    </row>
    <row r="579" spans="1:39" x14ac:dyDescent="0.25">
      <c r="A579" t="s">
        <v>233</v>
      </c>
      <c r="B579" t="str">
        <f>'Basis Options'!C583</f>
        <v>NT3509</v>
      </c>
      <c r="C579" t="s">
        <v>255</v>
      </c>
      <c r="D579" t="s">
        <v>234</v>
      </c>
      <c r="E579" t="s">
        <v>20</v>
      </c>
      <c r="F579" t="str">
        <f>'Basis Options'!A583</f>
        <v>UTILICORP</v>
      </c>
      <c r="G579" t="s">
        <v>269</v>
      </c>
      <c r="H579" t="s">
        <v>254</v>
      </c>
      <c r="I579" t="s">
        <v>242</v>
      </c>
      <c r="J579" t="s">
        <v>235</v>
      </c>
      <c r="K579" s="380">
        <f>'Basis Options'!G583</f>
        <v>36923</v>
      </c>
      <c r="L579" s="235">
        <f>'Basis Options'!U583</f>
        <v>-7224.2665407110135</v>
      </c>
      <c r="M579" s="380">
        <f>'Basis Options'!Q583</f>
        <v>36921</v>
      </c>
      <c r="N579" t="str">
        <f>'Basis Options'!F583</f>
        <v>C</v>
      </c>
      <c r="O579">
        <f>'Basis Options'!I583</f>
        <v>0.15</v>
      </c>
      <c r="P579">
        <v>0</v>
      </c>
      <c r="Q579">
        <v>0</v>
      </c>
      <c r="R579">
        <v>0</v>
      </c>
      <c r="S579">
        <v>0</v>
      </c>
      <c r="T579" t="s">
        <v>253</v>
      </c>
      <c r="U579" t="str">
        <f>IF('Basis Options'!D583="NGI/CHI. GATE","""NGI/CHI. GATE""",TRIM('Basis Options'!D583))</f>
        <v>"NGI/CHI. GATE"</v>
      </c>
      <c r="V579" t="s">
        <v>253</v>
      </c>
      <c r="W579" t="s">
        <v>132</v>
      </c>
      <c r="X579" t="s">
        <v>253</v>
      </c>
      <c r="Y579" t="s">
        <v>235</v>
      </c>
      <c r="Z579" t="s">
        <v>236</v>
      </c>
      <c r="AA579" t="s">
        <v>253</v>
      </c>
      <c r="AB579" t="s">
        <v>1</v>
      </c>
      <c r="AC579" s="235">
        <f>'Basis Options'!H583</f>
        <v>-140000</v>
      </c>
      <c r="AD579" s="235">
        <f>'Basis Options'!W583</f>
        <v>-1489.7442138444967</v>
      </c>
      <c r="AE579">
        <v>0</v>
      </c>
      <c r="AF579">
        <v>0</v>
      </c>
      <c r="AG579">
        <v>0</v>
      </c>
      <c r="AH579" s="235">
        <f>'Basis Options'!CD584</f>
        <v>0</v>
      </c>
      <c r="AI579">
        <v>226</v>
      </c>
      <c r="AJ579" t="s">
        <v>256</v>
      </c>
      <c r="AK579">
        <v>0</v>
      </c>
      <c r="AL579">
        <v>0</v>
      </c>
      <c r="AM579">
        <v>0</v>
      </c>
    </row>
    <row r="580" spans="1:39" x14ac:dyDescent="0.25">
      <c r="A580" t="s">
        <v>233</v>
      </c>
      <c r="B580" t="str">
        <f>'Basis Options'!C584</f>
        <v>NT3509</v>
      </c>
      <c r="C580" t="s">
        <v>255</v>
      </c>
      <c r="D580" t="s">
        <v>234</v>
      </c>
      <c r="E580" t="s">
        <v>20</v>
      </c>
      <c r="F580" t="str">
        <f>'Basis Options'!A584</f>
        <v>UTILICORP</v>
      </c>
      <c r="G580" t="s">
        <v>269</v>
      </c>
      <c r="H580" t="s">
        <v>254</v>
      </c>
      <c r="I580" t="s">
        <v>242</v>
      </c>
      <c r="J580" t="s">
        <v>235</v>
      </c>
      <c r="K580" s="380">
        <f>'Basis Options'!G584</f>
        <v>36951</v>
      </c>
      <c r="L580" s="235">
        <f>'Basis Options'!U584</f>
        <v>-6312.0658480602851</v>
      </c>
      <c r="M580" s="380">
        <f>'Basis Options'!Q584</f>
        <v>36949</v>
      </c>
      <c r="N580" t="str">
        <f>'Basis Options'!F584</f>
        <v>C</v>
      </c>
      <c r="O580">
        <f>'Basis Options'!I584</f>
        <v>0.15</v>
      </c>
      <c r="P580">
        <v>0</v>
      </c>
      <c r="Q580">
        <v>0</v>
      </c>
      <c r="R580">
        <v>0</v>
      </c>
      <c r="S580">
        <v>0</v>
      </c>
      <c r="T580" t="s">
        <v>253</v>
      </c>
      <c r="U580" t="str">
        <f>IF('Basis Options'!D584="NGI/CHI. GATE","""NGI/CHI. GATE""",TRIM('Basis Options'!D584))</f>
        <v>"NGI/CHI. GATE"</v>
      </c>
      <c r="V580" t="s">
        <v>253</v>
      </c>
      <c r="W580" t="s">
        <v>132</v>
      </c>
      <c r="X580" t="s">
        <v>253</v>
      </c>
      <c r="Y580" t="s">
        <v>235</v>
      </c>
      <c r="Z580" t="s">
        <v>236</v>
      </c>
      <c r="AA580" t="s">
        <v>253</v>
      </c>
      <c r="AB580" t="s">
        <v>1</v>
      </c>
      <c r="AC580" s="235">
        <f>'Basis Options'!H584</f>
        <v>-155000</v>
      </c>
      <c r="AD580" s="235">
        <f>'Basis Options'!W584</f>
        <v>-1569.3961741514795</v>
      </c>
      <c r="AE580">
        <v>0</v>
      </c>
      <c r="AF580">
        <v>0</v>
      </c>
      <c r="AG580">
        <v>0</v>
      </c>
      <c r="AH580" s="235">
        <f>'Basis Options'!CD585</f>
        <v>0</v>
      </c>
      <c r="AI580">
        <v>226</v>
      </c>
      <c r="AJ580" t="s">
        <v>256</v>
      </c>
      <c r="AK580">
        <v>0</v>
      </c>
      <c r="AL580">
        <v>0</v>
      </c>
      <c r="AM580">
        <v>0</v>
      </c>
    </row>
    <row r="581" spans="1:39" x14ac:dyDescent="0.25">
      <c r="A581" t="s">
        <v>233</v>
      </c>
      <c r="B581" t="str">
        <f>'Basis Options'!C585</f>
        <v>NT6024</v>
      </c>
      <c r="C581" t="s">
        <v>255</v>
      </c>
      <c r="D581" t="s">
        <v>234</v>
      </c>
      <c r="E581" t="s">
        <v>20</v>
      </c>
      <c r="F581" t="str">
        <f>'Basis Options'!A585</f>
        <v>RELIANTENESER</v>
      </c>
      <c r="G581" t="s">
        <v>269</v>
      </c>
      <c r="H581" t="s">
        <v>254</v>
      </c>
      <c r="I581" t="s">
        <v>242</v>
      </c>
      <c r="J581" t="s">
        <v>235</v>
      </c>
      <c r="K581" s="380">
        <f>'Basis Options'!G585</f>
        <v>36831</v>
      </c>
      <c r="L581" s="235">
        <f>'Basis Options'!U585</f>
        <v>-15360.675668845697</v>
      </c>
      <c r="M581" s="380">
        <f>'Basis Options'!Q585</f>
        <v>36829</v>
      </c>
      <c r="N581" t="str">
        <f>'Basis Options'!F585</f>
        <v>C</v>
      </c>
      <c r="O581">
        <f>'Basis Options'!I585</f>
        <v>-0.15</v>
      </c>
      <c r="P581">
        <v>0</v>
      </c>
      <c r="Q581">
        <v>0</v>
      </c>
      <c r="R581">
        <v>0</v>
      </c>
      <c r="S581">
        <v>0</v>
      </c>
      <c r="T581" t="s">
        <v>253</v>
      </c>
      <c r="U581" t="str">
        <f>IF('Basis Options'!D585="NGI/CHI. GATE","""NGI/CHI. GATE""",TRIM('Basis Options'!D585))</f>
        <v>IF-PAN/TX/OK</v>
      </c>
      <c r="V581" t="s">
        <v>253</v>
      </c>
      <c r="W581" t="s">
        <v>132</v>
      </c>
      <c r="X581" t="s">
        <v>253</v>
      </c>
      <c r="Y581" t="s">
        <v>235</v>
      </c>
      <c r="Z581" t="s">
        <v>236</v>
      </c>
      <c r="AA581" t="s">
        <v>253</v>
      </c>
      <c r="AB581" t="s">
        <v>1</v>
      </c>
      <c r="AC581" s="235">
        <f>'Basis Options'!H585</f>
        <v>-300000</v>
      </c>
      <c r="AD581" s="235">
        <f>'Basis Options'!W585</f>
        <v>-2756.568032791256</v>
      </c>
      <c r="AE581">
        <v>0</v>
      </c>
      <c r="AF581">
        <v>0</v>
      </c>
      <c r="AG581">
        <v>0</v>
      </c>
      <c r="AH581" s="235">
        <f>'Basis Options'!CD586</f>
        <v>0</v>
      </c>
      <c r="AI581">
        <v>226</v>
      </c>
      <c r="AJ581" t="s">
        <v>256</v>
      </c>
      <c r="AK581">
        <v>0</v>
      </c>
      <c r="AL581">
        <v>0</v>
      </c>
      <c r="AM581">
        <v>0</v>
      </c>
    </row>
    <row r="582" spans="1:39" x14ac:dyDescent="0.25">
      <c r="A582" t="s">
        <v>233</v>
      </c>
      <c r="B582" t="str">
        <f>'Basis Options'!C586</f>
        <v>NT6024</v>
      </c>
      <c r="C582" t="s">
        <v>255</v>
      </c>
      <c r="D582" t="s">
        <v>234</v>
      </c>
      <c r="E582" t="s">
        <v>20</v>
      </c>
      <c r="F582" t="str">
        <f>'Basis Options'!A586</f>
        <v>RELIANTENESER</v>
      </c>
      <c r="G582" t="s">
        <v>269</v>
      </c>
      <c r="H582" t="s">
        <v>254</v>
      </c>
      <c r="I582" t="s">
        <v>242</v>
      </c>
      <c r="J582" t="s">
        <v>235</v>
      </c>
      <c r="K582" s="380">
        <f>'Basis Options'!G586</f>
        <v>36861</v>
      </c>
      <c r="L582" s="235">
        <f>'Basis Options'!U586</f>
        <v>-17791.325196043614</v>
      </c>
      <c r="M582" s="380">
        <f>'Basis Options'!Q586</f>
        <v>36859</v>
      </c>
      <c r="N582" t="str">
        <f>'Basis Options'!F586</f>
        <v>C</v>
      </c>
      <c r="O582">
        <f>'Basis Options'!I586</f>
        <v>-0.15</v>
      </c>
      <c r="P582">
        <v>0</v>
      </c>
      <c r="Q582">
        <v>0</v>
      </c>
      <c r="R582">
        <v>0</v>
      </c>
      <c r="S582">
        <v>0</v>
      </c>
      <c r="T582" t="s">
        <v>253</v>
      </c>
      <c r="U582" t="str">
        <f>IF('Basis Options'!D586="NGI/CHI. GATE","""NGI/CHI. GATE""",TRIM('Basis Options'!D586))</f>
        <v>IF-PAN/TX/OK</v>
      </c>
      <c r="V582" t="s">
        <v>253</v>
      </c>
      <c r="W582" t="s">
        <v>132</v>
      </c>
      <c r="X582" t="s">
        <v>253</v>
      </c>
      <c r="Y582" t="s">
        <v>235</v>
      </c>
      <c r="Z582" t="s">
        <v>236</v>
      </c>
      <c r="AA582" t="s">
        <v>253</v>
      </c>
      <c r="AB582" t="s">
        <v>1</v>
      </c>
      <c r="AC582" s="235">
        <f>'Basis Options'!H586</f>
        <v>-310000</v>
      </c>
      <c r="AD582" s="235">
        <f>'Basis Options'!W586</f>
        <v>-3485.8702139678644</v>
      </c>
      <c r="AE582">
        <v>0</v>
      </c>
      <c r="AF582">
        <v>0</v>
      </c>
      <c r="AG582">
        <v>0</v>
      </c>
      <c r="AH582" s="235">
        <f>'Basis Options'!CD587</f>
        <v>0</v>
      </c>
      <c r="AI582">
        <v>226</v>
      </c>
      <c r="AJ582" t="s">
        <v>256</v>
      </c>
      <c r="AK582">
        <v>0</v>
      </c>
      <c r="AL582">
        <v>0</v>
      </c>
      <c r="AM582">
        <v>0</v>
      </c>
    </row>
    <row r="583" spans="1:39" x14ac:dyDescent="0.25">
      <c r="A583" t="s">
        <v>233</v>
      </c>
      <c r="B583" t="str">
        <f>'Basis Options'!C587</f>
        <v>NT6024</v>
      </c>
      <c r="C583" t="s">
        <v>255</v>
      </c>
      <c r="D583" t="s">
        <v>234</v>
      </c>
      <c r="E583" t="s">
        <v>20</v>
      </c>
      <c r="F583" t="str">
        <f>'Basis Options'!A587</f>
        <v>RELIANTENESER</v>
      </c>
      <c r="G583" t="s">
        <v>269</v>
      </c>
      <c r="H583" t="s">
        <v>254</v>
      </c>
      <c r="I583" t="s">
        <v>242</v>
      </c>
      <c r="J583" t="s">
        <v>235</v>
      </c>
      <c r="K583" s="380">
        <f>'Basis Options'!G587</f>
        <v>36892</v>
      </c>
      <c r="L583" s="235">
        <f>'Basis Options'!U587</f>
        <v>-19193.2879817293</v>
      </c>
      <c r="M583" s="380">
        <f>'Basis Options'!Q587</f>
        <v>36888</v>
      </c>
      <c r="N583" t="str">
        <f>'Basis Options'!F587</f>
        <v>C</v>
      </c>
      <c r="O583">
        <f>'Basis Options'!I587</f>
        <v>-0.15</v>
      </c>
      <c r="P583">
        <v>0</v>
      </c>
      <c r="Q583">
        <v>0</v>
      </c>
      <c r="R583">
        <v>0</v>
      </c>
      <c r="S583">
        <v>0</v>
      </c>
      <c r="T583" t="s">
        <v>253</v>
      </c>
      <c r="U583" t="str">
        <f>IF('Basis Options'!D587="NGI/CHI. GATE","""NGI/CHI. GATE""",TRIM('Basis Options'!D587))</f>
        <v>IF-PAN/TX/OK</v>
      </c>
      <c r="V583" t="s">
        <v>253</v>
      </c>
      <c r="W583" t="s">
        <v>132</v>
      </c>
      <c r="X583" t="s">
        <v>253</v>
      </c>
      <c r="Y583" t="s">
        <v>235</v>
      </c>
      <c r="Z583" t="s">
        <v>236</v>
      </c>
      <c r="AA583" t="s">
        <v>253</v>
      </c>
      <c r="AB583" t="s">
        <v>1</v>
      </c>
      <c r="AC583" s="235">
        <f>'Basis Options'!H587</f>
        <v>-310000</v>
      </c>
      <c r="AD583" s="235">
        <f>'Basis Options'!W587</f>
        <v>-3994.7350876453565</v>
      </c>
      <c r="AE583">
        <v>0</v>
      </c>
      <c r="AF583">
        <v>0</v>
      </c>
      <c r="AG583">
        <v>0</v>
      </c>
      <c r="AH583" s="235">
        <f>'Basis Options'!CD588</f>
        <v>0</v>
      </c>
      <c r="AI583">
        <v>226</v>
      </c>
      <c r="AJ583" t="s">
        <v>256</v>
      </c>
      <c r="AK583">
        <v>0</v>
      </c>
      <c r="AL583">
        <v>0</v>
      </c>
      <c r="AM583">
        <v>0</v>
      </c>
    </row>
    <row r="584" spans="1:39" x14ac:dyDescent="0.25">
      <c r="A584" t="s">
        <v>233</v>
      </c>
      <c r="B584" t="str">
        <f>'Basis Options'!C588</f>
        <v>NT6024</v>
      </c>
      <c r="C584" t="s">
        <v>255</v>
      </c>
      <c r="D584" t="s">
        <v>234</v>
      </c>
      <c r="E584" t="s">
        <v>20</v>
      </c>
      <c r="F584" t="str">
        <f>'Basis Options'!A588</f>
        <v>RELIANTENESER</v>
      </c>
      <c r="G584" t="s">
        <v>269</v>
      </c>
      <c r="H584" t="s">
        <v>254</v>
      </c>
      <c r="I584" t="s">
        <v>242</v>
      </c>
      <c r="J584" t="s">
        <v>235</v>
      </c>
      <c r="K584" s="380">
        <f>'Basis Options'!G588</f>
        <v>36923</v>
      </c>
      <c r="L584" s="235">
        <f>'Basis Options'!U588</f>
        <v>-20131.689335506206</v>
      </c>
      <c r="M584" s="380">
        <f>'Basis Options'!Q588</f>
        <v>36921</v>
      </c>
      <c r="N584" t="str">
        <f>'Basis Options'!F588</f>
        <v>C</v>
      </c>
      <c r="O584">
        <f>'Basis Options'!I588</f>
        <v>-0.15</v>
      </c>
      <c r="P584">
        <v>0</v>
      </c>
      <c r="Q584">
        <v>0</v>
      </c>
      <c r="R584">
        <v>0</v>
      </c>
      <c r="S584">
        <v>0</v>
      </c>
      <c r="T584" t="s">
        <v>253</v>
      </c>
      <c r="U584" t="str">
        <f>IF('Basis Options'!D588="NGI/CHI. GATE","""NGI/CHI. GATE""",TRIM('Basis Options'!D588))</f>
        <v>IF-PAN/TX/OK</v>
      </c>
      <c r="V584" t="s">
        <v>253</v>
      </c>
      <c r="W584" t="s">
        <v>132</v>
      </c>
      <c r="X584" t="s">
        <v>253</v>
      </c>
      <c r="Y584" t="s">
        <v>235</v>
      </c>
      <c r="Z584" t="s">
        <v>236</v>
      </c>
      <c r="AA584" t="s">
        <v>253</v>
      </c>
      <c r="AB584" t="s">
        <v>1</v>
      </c>
      <c r="AC584" s="235">
        <f>'Basis Options'!H588</f>
        <v>-280000</v>
      </c>
      <c r="AD584" s="235">
        <f>'Basis Options'!W588</f>
        <v>-3950.928079956444</v>
      </c>
      <c r="AE584">
        <v>0</v>
      </c>
      <c r="AF584">
        <v>0</v>
      </c>
      <c r="AG584">
        <v>0</v>
      </c>
      <c r="AH584" s="235">
        <f>'Basis Options'!CD589</f>
        <v>0</v>
      </c>
      <c r="AI584">
        <v>226</v>
      </c>
      <c r="AJ584" t="s">
        <v>256</v>
      </c>
      <c r="AK584">
        <v>0</v>
      </c>
      <c r="AL584">
        <v>0</v>
      </c>
      <c r="AM584">
        <v>0</v>
      </c>
    </row>
    <row r="585" spans="1:39" x14ac:dyDescent="0.25">
      <c r="A585" t="s">
        <v>233</v>
      </c>
      <c r="B585" t="str">
        <f>'Basis Options'!C589</f>
        <v>NT6024</v>
      </c>
      <c r="C585" t="s">
        <v>255</v>
      </c>
      <c r="D585" t="s">
        <v>234</v>
      </c>
      <c r="E585" t="s">
        <v>20</v>
      </c>
      <c r="F585" t="str">
        <f>'Basis Options'!A589</f>
        <v>RELIANTENESER</v>
      </c>
      <c r="G585" t="s">
        <v>269</v>
      </c>
      <c r="H585" t="s">
        <v>254</v>
      </c>
      <c r="I585" t="s">
        <v>242</v>
      </c>
      <c r="J585" t="s">
        <v>235</v>
      </c>
      <c r="K585" s="380">
        <f>'Basis Options'!G589</f>
        <v>36951</v>
      </c>
      <c r="L585" s="235">
        <f>'Basis Options'!U589</f>
        <v>-21718.412699899738</v>
      </c>
      <c r="M585" s="380">
        <f>'Basis Options'!Q589</f>
        <v>36949</v>
      </c>
      <c r="N585" t="str">
        <f>'Basis Options'!F589</f>
        <v>C</v>
      </c>
      <c r="O585">
        <f>'Basis Options'!I589</f>
        <v>-0.15</v>
      </c>
      <c r="P585">
        <v>0</v>
      </c>
      <c r="Q585">
        <v>0</v>
      </c>
      <c r="R585">
        <v>0</v>
      </c>
      <c r="S585">
        <v>0</v>
      </c>
      <c r="T585" t="s">
        <v>253</v>
      </c>
      <c r="U585" t="str">
        <f>IF('Basis Options'!D589="NGI/CHI. GATE","""NGI/CHI. GATE""",TRIM('Basis Options'!D589))</f>
        <v>IF-PAN/TX/OK</v>
      </c>
      <c r="V585" t="s">
        <v>253</v>
      </c>
      <c r="W585" t="s">
        <v>132</v>
      </c>
      <c r="X585" t="s">
        <v>253</v>
      </c>
      <c r="Y585" t="s">
        <v>235</v>
      </c>
      <c r="Z585" t="s">
        <v>236</v>
      </c>
      <c r="AA585" t="s">
        <v>253</v>
      </c>
      <c r="AB585" t="s">
        <v>1</v>
      </c>
      <c r="AC585" s="235">
        <f>'Basis Options'!H589</f>
        <v>-310000</v>
      </c>
      <c r="AD585" s="235">
        <f>'Basis Options'!W589</f>
        <v>-4217.4109502940846</v>
      </c>
      <c r="AE585">
        <v>0</v>
      </c>
      <c r="AF585">
        <v>0</v>
      </c>
      <c r="AG585">
        <v>0</v>
      </c>
      <c r="AH585" s="235">
        <f>'Basis Options'!CD590</f>
        <v>0</v>
      </c>
      <c r="AI585">
        <v>226</v>
      </c>
      <c r="AJ585" t="s">
        <v>256</v>
      </c>
      <c r="AK585">
        <v>0</v>
      </c>
      <c r="AL585">
        <v>0</v>
      </c>
      <c r="AM585">
        <v>0</v>
      </c>
    </row>
    <row r="586" spans="1:39" x14ac:dyDescent="0.25">
      <c r="A586" t="s">
        <v>233</v>
      </c>
      <c r="B586" t="str">
        <f>'Basis Options'!C590</f>
        <v>NT8124.1</v>
      </c>
      <c r="C586" t="s">
        <v>255</v>
      </c>
      <c r="D586" t="s">
        <v>234</v>
      </c>
      <c r="E586" t="s">
        <v>20</v>
      </c>
      <c r="F586" t="str">
        <f>'Basis Options'!A590</f>
        <v>ELPASMER</v>
      </c>
      <c r="G586" t="s">
        <v>269</v>
      </c>
      <c r="H586" t="s">
        <v>254</v>
      </c>
      <c r="I586" t="s">
        <v>242</v>
      </c>
      <c r="J586" t="s">
        <v>235</v>
      </c>
      <c r="K586" s="380">
        <f>'Basis Options'!G590</f>
        <v>36831</v>
      </c>
      <c r="L586" s="235">
        <f>'Basis Options'!U590</f>
        <v>197899.04022136846</v>
      </c>
      <c r="M586" s="380">
        <f>'Basis Options'!Q590</f>
        <v>36829</v>
      </c>
      <c r="N586" t="str">
        <f>'Basis Options'!F590</f>
        <v>P</v>
      </c>
      <c r="O586">
        <f>'Basis Options'!I590</f>
        <v>1</v>
      </c>
      <c r="P586">
        <v>0</v>
      </c>
      <c r="Q586">
        <v>0</v>
      </c>
      <c r="R586">
        <v>0</v>
      </c>
      <c r="S586">
        <v>0</v>
      </c>
      <c r="T586" t="s">
        <v>253</v>
      </c>
      <c r="U586" t="str">
        <f>IF('Basis Options'!D590="NGI/CHI. GATE","""NGI/CHI. GATE""",TRIM('Basis Options'!D590))</f>
        <v>IF-TRANSCO/Z6</v>
      </c>
      <c r="V586" t="s">
        <v>253</v>
      </c>
      <c r="W586" t="s">
        <v>132</v>
      </c>
      <c r="X586" t="s">
        <v>253</v>
      </c>
      <c r="Y586" t="s">
        <v>235</v>
      </c>
      <c r="Z586" t="s">
        <v>236</v>
      </c>
      <c r="AA586" t="s">
        <v>253</v>
      </c>
      <c r="AB586" t="s">
        <v>1</v>
      </c>
      <c r="AC586" s="235">
        <f>'Basis Options'!H590</f>
        <v>500000</v>
      </c>
      <c r="AD586" s="235">
        <f>'Basis Options'!W590</f>
        <v>20725.281041893002</v>
      </c>
      <c r="AE586">
        <v>0</v>
      </c>
      <c r="AF586">
        <v>0</v>
      </c>
      <c r="AG586">
        <v>0</v>
      </c>
      <c r="AH586" s="235">
        <f>'Basis Options'!CD591</f>
        <v>0</v>
      </c>
      <c r="AI586">
        <v>226</v>
      </c>
      <c r="AJ586" t="s">
        <v>256</v>
      </c>
      <c r="AK586">
        <v>0</v>
      </c>
      <c r="AL586">
        <v>0</v>
      </c>
      <c r="AM586">
        <v>0</v>
      </c>
    </row>
    <row r="587" spans="1:39" x14ac:dyDescent="0.25">
      <c r="A587" t="s">
        <v>233</v>
      </c>
      <c r="B587" t="str">
        <f>'Basis Options'!C591</f>
        <v>NT8124.1</v>
      </c>
      <c r="C587" t="s">
        <v>255</v>
      </c>
      <c r="D587" t="s">
        <v>234</v>
      </c>
      <c r="E587" t="s">
        <v>20</v>
      </c>
      <c r="F587" t="str">
        <f>'Basis Options'!A591</f>
        <v>ELPASMER</v>
      </c>
      <c r="G587" t="s">
        <v>269</v>
      </c>
      <c r="H587" t="s">
        <v>254</v>
      </c>
      <c r="I587" t="s">
        <v>242</v>
      </c>
      <c r="J587" t="s">
        <v>235</v>
      </c>
      <c r="K587" s="380">
        <f>'Basis Options'!G591</f>
        <v>36861</v>
      </c>
      <c r="L587" s="235">
        <f>'Basis Options'!U591</f>
        <v>110710.3290856119</v>
      </c>
      <c r="M587" s="380">
        <f>'Basis Options'!Q591</f>
        <v>36859</v>
      </c>
      <c r="N587" t="str">
        <f>'Basis Options'!F591</f>
        <v>P</v>
      </c>
      <c r="O587">
        <f>'Basis Options'!I591</f>
        <v>1</v>
      </c>
      <c r="P587">
        <v>0</v>
      </c>
      <c r="Q587">
        <v>0</v>
      </c>
      <c r="R587">
        <v>0</v>
      </c>
      <c r="S587">
        <v>0</v>
      </c>
      <c r="T587" t="s">
        <v>253</v>
      </c>
      <c r="U587" t="str">
        <f>IF('Basis Options'!D591="NGI/CHI. GATE","""NGI/CHI. GATE""",TRIM('Basis Options'!D591))</f>
        <v>IF-TRANSCO/Z6</v>
      </c>
      <c r="V587" t="s">
        <v>253</v>
      </c>
      <c r="W587" t="s">
        <v>132</v>
      </c>
      <c r="X587" t="s">
        <v>253</v>
      </c>
      <c r="Y587" t="s">
        <v>235</v>
      </c>
      <c r="Z587" t="s">
        <v>236</v>
      </c>
      <c r="AA587" t="s">
        <v>253</v>
      </c>
      <c r="AB587" t="s">
        <v>1</v>
      </c>
      <c r="AC587" s="235">
        <f>'Basis Options'!H591</f>
        <v>500000</v>
      </c>
      <c r="AD587" s="235">
        <f>'Basis Options'!W591</f>
        <v>31543.706207547439</v>
      </c>
      <c r="AE587">
        <v>0</v>
      </c>
      <c r="AF587">
        <v>0</v>
      </c>
      <c r="AG587">
        <v>0</v>
      </c>
      <c r="AH587" s="235">
        <f>'Basis Options'!CD592</f>
        <v>0</v>
      </c>
      <c r="AI587">
        <v>226</v>
      </c>
      <c r="AJ587" t="s">
        <v>256</v>
      </c>
      <c r="AK587">
        <v>0</v>
      </c>
      <c r="AL587">
        <v>0</v>
      </c>
      <c r="AM587">
        <v>0</v>
      </c>
    </row>
    <row r="588" spans="1:39" x14ac:dyDescent="0.25">
      <c r="A588" t="s">
        <v>233</v>
      </c>
      <c r="B588" t="str">
        <f>'Basis Options'!C592</f>
        <v>NT8124.1</v>
      </c>
      <c r="C588" t="s">
        <v>255</v>
      </c>
      <c r="D588" t="s">
        <v>234</v>
      </c>
      <c r="E588" t="s">
        <v>20</v>
      </c>
      <c r="F588" t="str">
        <f>'Basis Options'!A592</f>
        <v>ELPASMER</v>
      </c>
      <c r="G588" t="s">
        <v>269</v>
      </c>
      <c r="H588" t="s">
        <v>254</v>
      </c>
      <c r="I588" t="s">
        <v>242</v>
      </c>
      <c r="J588" t="s">
        <v>235</v>
      </c>
      <c r="K588" s="380">
        <f>'Basis Options'!G592</f>
        <v>36892</v>
      </c>
      <c r="L588" s="235">
        <f>'Basis Options'!U592</f>
        <v>82595.657109539592</v>
      </c>
      <c r="M588" s="380">
        <f>'Basis Options'!Q592</f>
        <v>36888</v>
      </c>
      <c r="N588" t="str">
        <f>'Basis Options'!F592</f>
        <v>P</v>
      </c>
      <c r="O588">
        <f>'Basis Options'!I592</f>
        <v>1</v>
      </c>
      <c r="P588">
        <v>0</v>
      </c>
      <c r="Q588">
        <v>0</v>
      </c>
      <c r="R588">
        <v>0</v>
      </c>
      <c r="S588">
        <v>0</v>
      </c>
      <c r="T588" t="s">
        <v>253</v>
      </c>
      <c r="U588" t="str">
        <f>IF('Basis Options'!D592="NGI/CHI. GATE","""NGI/CHI. GATE""",TRIM('Basis Options'!D592))</f>
        <v>IF-TRANSCO/Z6</v>
      </c>
      <c r="V588" t="s">
        <v>253</v>
      </c>
      <c r="W588" t="s">
        <v>132</v>
      </c>
      <c r="X588" t="s">
        <v>253</v>
      </c>
      <c r="Y588" t="s">
        <v>235</v>
      </c>
      <c r="Z588" t="s">
        <v>236</v>
      </c>
      <c r="AA588" t="s">
        <v>253</v>
      </c>
      <c r="AB588" t="s">
        <v>1</v>
      </c>
      <c r="AC588" s="235">
        <f>'Basis Options'!H592</f>
        <v>500000</v>
      </c>
      <c r="AD588" s="235">
        <f>'Basis Options'!W592</f>
        <v>29967.86078998493</v>
      </c>
      <c r="AE588">
        <v>0</v>
      </c>
      <c r="AF588">
        <v>0</v>
      </c>
      <c r="AG588">
        <v>0</v>
      </c>
      <c r="AH588" s="235">
        <f>'Basis Options'!CD593</f>
        <v>0</v>
      </c>
      <c r="AI588">
        <v>226</v>
      </c>
      <c r="AJ588" t="s">
        <v>256</v>
      </c>
      <c r="AK588">
        <v>0</v>
      </c>
      <c r="AL588">
        <v>0</v>
      </c>
      <c r="AM588">
        <v>0</v>
      </c>
    </row>
    <row r="589" spans="1:39" x14ac:dyDescent="0.25">
      <c r="A589" t="s">
        <v>233</v>
      </c>
      <c r="B589" t="str">
        <f>'Basis Options'!C593</f>
        <v>NT8124.1</v>
      </c>
      <c r="C589" t="s">
        <v>255</v>
      </c>
      <c r="D589" t="s">
        <v>234</v>
      </c>
      <c r="E589" t="s">
        <v>20</v>
      </c>
      <c r="F589" t="str">
        <f>'Basis Options'!A593</f>
        <v>ELPASMER</v>
      </c>
      <c r="G589" t="s">
        <v>269</v>
      </c>
      <c r="H589" t="s">
        <v>254</v>
      </c>
      <c r="I589" t="s">
        <v>242</v>
      </c>
      <c r="J589" t="s">
        <v>235</v>
      </c>
      <c r="K589" s="380">
        <f>'Basis Options'!G593</f>
        <v>36923</v>
      </c>
      <c r="L589" s="235">
        <f>'Basis Options'!U593</f>
        <v>101823.26979244682</v>
      </c>
      <c r="M589" s="380">
        <f>'Basis Options'!Q593</f>
        <v>36921</v>
      </c>
      <c r="N589" t="str">
        <f>'Basis Options'!F593</f>
        <v>P</v>
      </c>
      <c r="O589">
        <f>'Basis Options'!I593</f>
        <v>1</v>
      </c>
      <c r="P589">
        <v>0</v>
      </c>
      <c r="Q589">
        <v>0</v>
      </c>
      <c r="R589">
        <v>0</v>
      </c>
      <c r="S589">
        <v>0</v>
      </c>
      <c r="T589" t="s">
        <v>253</v>
      </c>
      <c r="U589" t="str">
        <f>IF('Basis Options'!D593="NGI/CHI. GATE","""NGI/CHI. GATE""",TRIM('Basis Options'!D593))</f>
        <v>IF-TRANSCO/Z6</v>
      </c>
      <c r="V589" t="s">
        <v>253</v>
      </c>
      <c r="W589" t="s">
        <v>132</v>
      </c>
      <c r="X589" t="s">
        <v>253</v>
      </c>
      <c r="Y589" t="s">
        <v>235</v>
      </c>
      <c r="Z589" t="s">
        <v>236</v>
      </c>
      <c r="AA589" t="s">
        <v>253</v>
      </c>
      <c r="AB589" t="s">
        <v>1</v>
      </c>
      <c r="AC589" s="235">
        <f>'Basis Options'!H593</f>
        <v>500000</v>
      </c>
      <c r="AD589" s="235">
        <f>'Basis Options'!W593</f>
        <v>35155.6370506354</v>
      </c>
      <c r="AE589">
        <v>0</v>
      </c>
      <c r="AF589">
        <v>0</v>
      </c>
      <c r="AG589">
        <v>0</v>
      </c>
      <c r="AH589" s="235">
        <f>'Basis Options'!CD594</f>
        <v>0</v>
      </c>
      <c r="AI589">
        <v>226</v>
      </c>
      <c r="AJ589" t="s">
        <v>256</v>
      </c>
      <c r="AK589">
        <v>0</v>
      </c>
      <c r="AL589">
        <v>0</v>
      </c>
      <c r="AM589">
        <v>0</v>
      </c>
    </row>
    <row r="590" spans="1:39" x14ac:dyDescent="0.25">
      <c r="A590" t="s">
        <v>233</v>
      </c>
      <c r="B590" t="str">
        <f>'Basis Options'!C594</f>
        <v>NT8124.1</v>
      </c>
      <c r="C590" t="s">
        <v>255</v>
      </c>
      <c r="D590" t="s">
        <v>234</v>
      </c>
      <c r="E590" t="s">
        <v>20</v>
      </c>
      <c r="F590" t="str">
        <f>'Basis Options'!A594</f>
        <v>ELPASMER</v>
      </c>
      <c r="G590" t="s">
        <v>269</v>
      </c>
      <c r="H590" t="s">
        <v>254</v>
      </c>
      <c r="I590" t="s">
        <v>242</v>
      </c>
      <c r="J590" t="s">
        <v>235</v>
      </c>
      <c r="K590" s="380">
        <f>'Basis Options'!G594</f>
        <v>36951</v>
      </c>
      <c r="L590" s="235">
        <f>'Basis Options'!U594</f>
        <v>232116.26522032442</v>
      </c>
      <c r="M590" s="380">
        <f>'Basis Options'!Q594</f>
        <v>36949</v>
      </c>
      <c r="N590" t="str">
        <f>'Basis Options'!F594</f>
        <v>P</v>
      </c>
      <c r="O590">
        <f>'Basis Options'!I594</f>
        <v>1</v>
      </c>
      <c r="P590">
        <v>0</v>
      </c>
      <c r="Q590">
        <v>0</v>
      </c>
      <c r="R590">
        <v>0</v>
      </c>
      <c r="S590">
        <v>0</v>
      </c>
      <c r="T590" t="s">
        <v>253</v>
      </c>
      <c r="U590" t="str">
        <f>IF('Basis Options'!D594="NGI/CHI. GATE","""NGI/CHI. GATE""",TRIM('Basis Options'!D594))</f>
        <v>IF-TRANSCO/Z6</v>
      </c>
      <c r="V590" t="s">
        <v>253</v>
      </c>
      <c r="W590" t="s">
        <v>132</v>
      </c>
      <c r="X590" t="s">
        <v>253</v>
      </c>
      <c r="Y590" t="s">
        <v>235</v>
      </c>
      <c r="Z590" t="s">
        <v>236</v>
      </c>
      <c r="AA590" t="s">
        <v>253</v>
      </c>
      <c r="AB590" t="s">
        <v>1</v>
      </c>
      <c r="AC590" s="235">
        <f>'Basis Options'!H594</f>
        <v>500000</v>
      </c>
      <c r="AD590" s="235">
        <f>'Basis Options'!W594</f>
        <v>44355.104215951898</v>
      </c>
      <c r="AE590">
        <v>0</v>
      </c>
      <c r="AF590">
        <v>0</v>
      </c>
      <c r="AG590">
        <v>0</v>
      </c>
      <c r="AH590" s="235">
        <f>'Basis Options'!CD595</f>
        <v>0</v>
      </c>
      <c r="AI590">
        <v>226</v>
      </c>
      <c r="AJ590" t="s">
        <v>256</v>
      </c>
      <c r="AK590">
        <v>0</v>
      </c>
      <c r="AL590">
        <v>0</v>
      </c>
      <c r="AM590">
        <v>0</v>
      </c>
    </row>
    <row r="591" spans="1:39" x14ac:dyDescent="0.25">
      <c r="A591" t="s">
        <v>233</v>
      </c>
      <c r="B591" t="str">
        <f>'Basis Options'!C595</f>
        <v>NT8124.3</v>
      </c>
      <c r="C591" t="s">
        <v>255</v>
      </c>
      <c r="D591" t="s">
        <v>234</v>
      </c>
      <c r="E591" t="s">
        <v>20</v>
      </c>
      <c r="F591" t="str">
        <f>'Basis Options'!A595</f>
        <v>ELPASMER</v>
      </c>
      <c r="G591" t="s">
        <v>269</v>
      </c>
      <c r="H591" t="s">
        <v>254</v>
      </c>
      <c r="I591" t="s">
        <v>242</v>
      </c>
      <c r="J591" t="s">
        <v>235</v>
      </c>
      <c r="K591" s="380">
        <f>'Basis Options'!G595</f>
        <v>36831</v>
      </c>
      <c r="L591" s="235">
        <f>'Basis Options'!U595</f>
        <v>-1833.4777870595233</v>
      </c>
      <c r="M591" s="380">
        <f>'Basis Options'!Q595</f>
        <v>36829</v>
      </c>
      <c r="N591" t="str">
        <f>'Basis Options'!F595</f>
        <v>C</v>
      </c>
      <c r="O591">
        <f>'Basis Options'!I595</f>
        <v>2.5</v>
      </c>
      <c r="P591">
        <v>0</v>
      </c>
      <c r="Q591">
        <v>0</v>
      </c>
      <c r="R591">
        <v>0</v>
      </c>
      <c r="S591">
        <v>0</v>
      </c>
      <c r="T591" t="s">
        <v>253</v>
      </c>
      <c r="U591" t="str">
        <f>IF('Basis Options'!D595="NGI/CHI. GATE","""NGI/CHI. GATE""",TRIM('Basis Options'!D595))</f>
        <v>IF-TRANSCO/Z6</v>
      </c>
      <c r="V591" t="s">
        <v>253</v>
      </c>
      <c r="W591" t="s">
        <v>132</v>
      </c>
      <c r="X591" t="s">
        <v>253</v>
      </c>
      <c r="Y591" t="s">
        <v>235</v>
      </c>
      <c r="Z591" t="s">
        <v>236</v>
      </c>
      <c r="AA591" t="s">
        <v>253</v>
      </c>
      <c r="AB591" t="s">
        <v>1</v>
      </c>
      <c r="AC591" s="235">
        <f>'Basis Options'!H595</f>
        <v>-300000</v>
      </c>
      <c r="AD591" s="235">
        <f>'Basis Options'!W595</f>
        <v>-1506.0550493340679</v>
      </c>
      <c r="AE591">
        <v>0</v>
      </c>
      <c r="AF591">
        <v>0</v>
      </c>
      <c r="AG591">
        <v>0</v>
      </c>
      <c r="AH591" s="235">
        <f>'Basis Options'!CD596</f>
        <v>0</v>
      </c>
      <c r="AI591">
        <v>226</v>
      </c>
      <c r="AJ591" t="s">
        <v>256</v>
      </c>
      <c r="AK591">
        <v>0</v>
      </c>
      <c r="AL591">
        <v>0</v>
      </c>
      <c r="AM591">
        <v>0</v>
      </c>
    </row>
    <row r="592" spans="1:39" x14ac:dyDescent="0.25">
      <c r="A592" t="s">
        <v>233</v>
      </c>
      <c r="B592" t="str">
        <f>'Basis Options'!C596</f>
        <v>NT8124.3</v>
      </c>
      <c r="C592" t="s">
        <v>255</v>
      </c>
      <c r="D592" t="s">
        <v>234</v>
      </c>
      <c r="E592" t="s">
        <v>20</v>
      </c>
      <c r="F592" t="str">
        <f>'Basis Options'!A596</f>
        <v>ELPASMER</v>
      </c>
      <c r="G592" t="s">
        <v>269</v>
      </c>
      <c r="H592" t="s">
        <v>254</v>
      </c>
      <c r="I592" t="s">
        <v>242</v>
      </c>
      <c r="J592" t="s">
        <v>235</v>
      </c>
      <c r="K592" s="380">
        <f>'Basis Options'!G596</f>
        <v>36861</v>
      </c>
      <c r="L592" s="235">
        <f>'Basis Options'!U596</f>
        <v>-76009.775349434567</v>
      </c>
      <c r="M592" s="380">
        <f>'Basis Options'!Q596</f>
        <v>36859</v>
      </c>
      <c r="N592" t="str">
        <f>'Basis Options'!F596</f>
        <v>C</v>
      </c>
      <c r="O592">
        <f>'Basis Options'!I596</f>
        <v>2.5</v>
      </c>
      <c r="P592">
        <v>0</v>
      </c>
      <c r="Q592">
        <v>0</v>
      </c>
      <c r="R592">
        <v>0</v>
      </c>
      <c r="S592">
        <v>0</v>
      </c>
      <c r="T592" t="s">
        <v>253</v>
      </c>
      <c r="U592" t="str">
        <f>IF('Basis Options'!D596="NGI/CHI. GATE","""NGI/CHI. GATE""",TRIM('Basis Options'!D596))</f>
        <v>IF-TRANSCO/Z6</v>
      </c>
      <c r="V592" t="s">
        <v>253</v>
      </c>
      <c r="W592" t="s">
        <v>132</v>
      </c>
      <c r="X592" t="s">
        <v>253</v>
      </c>
      <c r="Y592" t="s">
        <v>235</v>
      </c>
      <c r="Z592" t="s">
        <v>236</v>
      </c>
      <c r="AA592" t="s">
        <v>253</v>
      </c>
      <c r="AB592" t="s">
        <v>1</v>
      </c>
      <c r="AC592" s="235">
        <f>'Basis Options'!H596</f>
        <v>-310000</v>
      </c>
      <c r="AD592" s="235">
        <f>'Basis Options'!W596</f>
        <v>-17861.132428299388</v>
      </c>
      <c r="AE592">
        <v>0</v>
      </c>
      <c r="AF592">
        <v>0</v>
      </c>
      <c r="AG592">
        <v>0</v>
      </c>
      <c r="AH592" s="235">
        <f>'Basis Options'!CD597</f>
        <v>0</v>
      </c>
      <c r="AI592">
        <v>226</v>
      </c>
      <c r="AJ592" t="s">
        <v>256</v>
      </c>
      <c r="AK592">
        <v>0</v>
      </c>
      <c r="AL592">
        <v>0</v>
      </c>
      <c r="AM592">
        <v>0</v>
      </c>
    </row>
    <row r="593" spans="1:39" x14ac:dyDescent="0.25">
      <c r="A593" t="s">
        <v>233</v>
      </c>
      <c r="B593" t="str">
        <f>'Basis Options'!C597</f>
        <v>NT8124.3</v>
      </c>
      <c r="C593" t="s">
        <v>255</v>
      </c>
      <c r="D593" t="s">
        <v>234</v>
      </c>
      <c r="E593" t="s">
        <v>20</v>
      </c>
      <c r="F593" t="str">
        <f>'Basis Options'!A597</f>
        <v>ELPASMER</v>
      </c>
      <c r="G593" t="s">
        <v>269</v>
      </c>
      <c r="H593" t="s">
        <v>254</v>
      </c>
      <c r="I593" t="s">
        <v>242</v>
      </c>
      <c r="J593" t="s">
        <v>235</v>
      </c>
      <c r="K593" s="380">
        <f>'Basis Options'!G597</f>
        <v>36892</v>
      </c>
      <c r="L593" s="235">
        <f>'Basis Options'!U597</f>
        <v>-164060.71760884023</v>
      </c>
      <c r="M593" s="380">
        <f>'Basis Options'!Q597</f>
        <v>36888</v>
      </c>
      <c r="N593" t="str">
        <f>'Basis Options'!F597</f>
        <v>C</v>
      </c>
      <c r="O593">
        <f>'Basis Options'!I597</f>
        <v>2.5</v>
      </c>
      <c r="P593">
        <v>0</v>
      </c>
      <c r="Q593">
        <v>0</v>
      </c>
      <c r="R593">
        <v>0</v>
      </c>
      <c r="S593">
        <v>0</v>
      </c>
      <c r="T593" t="s">
        <v>253</v>
      </c>
      <c r="U593" t="str">
        <f>IF('Basis Options'!D597="NGI/CHI. GATE","""NGI/CHI. GATE""",TRIM('Basis Options'!D597))</f>
        <v>IF-TRANSCO/Z6</v>
      </c>
      <c r="V593" t="s">
        <v>253</v>
      </c>
      <c r="W593" t="s">
        <v>132</v>
      </c>
      <c r="X593" t="s">
        <v>253</v>
      </c>
      <c r="Y593" t="s">
        <v>235</v>
      </c>
      <c r="Z593" t="s">
        <v>236</v>
      </c>
      <c r="AA593" t="s">
        <v>253</v>
      </c>
      <c r="AB593" t="s">
        <v>1</v>
      </c>
      <c r="AC593" s="235">
        <f>'Basis Options'!H597</f>
        <v>-310000</v>
      </c>
      <c r="AD593" s="235">
        <f>'Basis Options'!W597</f>
        <v>-23575.347550817518</v>
      </c>
      <c r="AE593">
        <v>0</v>
      </c>
      <c r="AF593">
        <v>0</v>
      </c>
      <c r="AG593">
        <v>0</v>
      </c>
      <c r="AH593" s="235">
        <f>'Basis Options'!CD598</f>
        <v>0</v>
      </c>
      <c r="AI593">
        <v>226</v>
      </c>
      <c r="AJ593" t="s">
        <v>256</v>
      </c>
      <c r="AK593">
        <v>0</v>
      </c>
      <c r="AL593">
        <v>0</v>
      </c>
      <c r="AM593">
        <v>0</v>
      </c>
    </row>
    <row r="594" spans="1:39" x14ac:dyDescent="0.25">
      <c r="A594" t="s">
        <v>233</v>
      </c>
      <c r="B594" t="str">
        <f>'Basis Options'!C598</f>
        <v>NT8124.3</v>
      </c>
      <c r="C594" t="s">
        <v>255</v>
      </c>
      <c r="D594" t="s">
        <v>234</v>
      </c>
      <c r="E594" t="s">
        <v>20</v>
      </c>
      <c r="F594" t="str">
        <f>'Basis Options'!A598</f>
        <v>ELPASMER</v>
      </c>
      <c r="G594" t="s">
        <v>269</v>
      </c>
      <c r="H594" t="s">
        <v>254</v>
      </c>
      <c r="I594" t="s">
        <v>242</v>
      </c>
      <c r="J594" t="s">
        <v>235</v>
      </c>
      <c r="K594" s="380">
        <f>'Basis Options'!G598</f>
        <v>36923</v>
      </c>
      <c r="L594" s="235">
        <f>'Basis Options'!U598</f>
        <v>-149783.67096474412</v>
      </c>
      <c r="M594" s="380">
        <f>'Basis Options'!Q598</f>
        <v>36921</v>
      </c>
      <c r="N594" t="str">
        <f>'Basis Options'!F598</f>
        <v>C</v>
      </c>
      <c r="O594">
        <f>'Basis Options'!I598</f>
        <v>2.5</v>
      </c>
      <c r="P594">
        <v>0</v>
      </c>
      <c r="Q594">
        <v>0</v>
      </c>
      <c r="R594">
        <v>0</v>
      </c>
      <c r="S594">
        <v>0</v>
      </c>
      <c r="T594" t="s">
        <v>253</v>
      </c>
      <c r="U594" t="str">
        <f>IF('Basis Options'!D598="NGI/CHI. GATE","""NGI/CHI. GATE""",TRIM('Basis Options'!D598))</f>
        <v>IF-TRANSCO/Z6</v>
      </c>
      <c r="V594" t="s">
        <v>253</v>
      </c>
      <c r="W594" t="s">
        <v>132</v>
      </c>
      <c r="X594" t="s">
        <v>253</v>
      </c>
      <c r="Y594" t="s">
        <v>235</v>
      </c>
      <c r="Z594" t="s">
        <v>236</v>
      </c>
      <c r="AA594" t="s">
        <v>253</v>
      </c>
      <c r="AB594" t="s">
        <v>1</v>
      </c>
      <c r="AC594" s="235">
        <f>'Basis Options'!H598</f>
        <v>-280000</v>
      </c>
      <c r="AD594" s="235">
        <f>'Basis Options'!W598</f>
        <v>-23100.748749014747</v>
      </c>
      <c r="AE594">
        <v>0</v>
      </c>
      <c r="AF594">
        <v>0</v>
      </c>
      <c r="AG594">
        <v>0</v>
      </c>
      <c r="AH594" s="235">
        <f>'Basis Options'!CD599</f>
        <v>0</v>
      </c>
      <c r="AI594">
        <v>226</v>
      </c>
      <c r="AJ594" t="s">
        <v>256</v>
      </c>
      <c r="AK594">
        <v>0</v>
      </c>
      <c r="AL594">
        <v>0</v>
      </c>
      <c r="AM594">
        <v>0</v>
      </c>
    </row>
    <row r="595" spans="1:39" x14ac:dyDescent="0.25">
      <c r="A595" t="s">
        <v>233</v>
      </c>
      <c r="B595" t="str">
        <f>'Basis Options'!C599</f>
        <v>NT8124.3</v>
      </c>
      <c r="C595" t="s">
        <v>255</v>
      </c>
      <c r="D595" t="s">
        <v>234</v>
      </c>
      <c r="E595" t="s">
        <v>20</v>
      </c>
      <c r="F595" t="str">
        <f>'Basis Options'!A599</f>
        <v>ELPASMER</v>
      </c>
      <c r="G595" t="s">
        <v>269</v>
      </c>
      <c r="H595" t="s">
        <v>254</v>
      </c>
      <c r="I595" t="s">
        <v>242</v>
      </c>
      <c r="J595" t="s">
        <v>235</v>
      </c>
      <c r="K595" s="380">
        <f>'Basis Options'!G599</f>
        <v>36951</v>
      </c>
      <c r="L595" s="235">
        <f>'Basis Options'!U599</f>
        <v>-48546.105577244532</v>
      </c>
      <c r="M595" s="380">
        <f>'Basis Options'!Q599</f>
        <v>36949</v>
      </c>
      <c r="N595" t="str">
        <f>'Basis Options'!F599</f>
        <v>C</v>
      </c>
      <c r="O595">
        <f>'Basis Options'!I599</f>
        <v>2.5</v>
      </c>
      <c r="P595">
        <v>0</v>
      </c>
      <c r="Q595">
        <v>0</v>
      </c>
      <c r="R595">
        <v>0</v>
      </c>
      <c r="S595">
        <v>0</v>
      </c>
      <c r="T595" t="s">
        <v>253</v>
      </c>
      <c r="U595" t="str">
        <f>IF('Basis Options'!D599="NGI/CHI. GATE","""NGI/CHI. GATE""",TRIM('Basis Options'!D599))</f>
        <v>IF-TRANSCO/Z6</v>
      </c>
      <c r="V595" t="s">
        <v>253</v>
      </c>
      <c r="W595" t="s">
        <v>132</v>
      </c>
      <c r="X595" t="s">
        <v>253</v>
      </c>
      <c r="Y595" t="s">
        <v>235</v>
      </c>
      <c r="Z595" t="s">
        <v>236</v>
      </c>
      <c r="AA595" t="s">
        <v>253</v>
      </c>
      <c r="AB595" t="s">
        <v>1</v>
      </c>
      <c r="AC595" s="235">
        <f>'Basis Options'!H599</f>
        <v>-310000</v>
      </c>
      <c r="AD595" s="235">
        <f>'Basis Options'!W599</f>
        <v>-17681.731965443352</v>
      </c>
      <c r="AE595">
        <v>0</v>
      </c>
      <c r="AF595">
        <v>0</v>
      </c>
      <c r="AG595">
        <v>0</v>
      </c>
      <c r="AH595" s="235">
        <f>'Basis Options'!CD600</f>
        <v>0</v>
      </c>
      <c r="AI595">
        <v>226</v>
      </c>
      <c r="AJ595" t="s">
        <v>256</v>
      </c>
      <c r="AK595">
        <v>0</v>
      </c>
      <c r="AL595">
        <v>0</v>
      </c>
      <c r="AM595">
        <v>0</v>
      </c>
    </row>
    <row r="596" spans="1:39" x14ac:dyDescent="0.25">
      <c r="A596" t="s">
        <v>233</v>
      </c>
      <c r="B596" t="str">
        <f>'Basis Options'!C600</f>
        <v>NT8124.4</v>
      </c>
      <c r="C596" t="s">
        <v>255</v>
      </c>
      <c r="D596" t="s">
        <v>234</v>
      </c>
      <c r="E596" t="s">
        <v>20</v>
      </c>
      <c r="F596" t="str">
        <f>'Basis Options'!A600</f>
        <v>ELPASMER</v>
      </c>
      <c r="G596" t="s">
        <v>269</v>
      </c>
      <c r="H596" t="s">
        <v>254</v>
      </c>
      <c r="I596" t="s">
        <v>242</v>
      </c>
      <c r="J596" t="s">
        <v>235</v>
      </c>
      <c r="K596" s="380">
        <f>'Basis Options'!G600</f>
        <v>36831</v>
      </c>
      <c r="L596" s="235">
        <f>'Basis Options'!U600</f>
        <v>-28776.055467256723</v>
      </c>
      <c r="M596" s="380">
        <f>'Basis Options'!Q600</f>
        <v>36829</v>
      </c>
      <c r="N596" t="str">
        <f>'Basis Options'!F600</f>
        <v>C</v>
      </c>
      <c r="O596">
        <f>'Basis Options'!I600</f>
        <v>1.52</v>
      </c>
      <c r="P596">
        <v>0</v>
      </c>
      <c r="Q596">
        <v>0</v>
      </c>
      <c r="R596">
        <v>0</v>
      </c>
      <c r="S596">
        <v>0</v>
      </c>
      <c r="T596" t="s">
        <v>253</v>
      </c>
      <c r="U596" t="str">
        <f>IF('Basis Options'!D600="NGI/CHI. GATE","""NGI/CHI. GATE""",TRIM('Basis Options'!D600))</f>
        <v>IF-TRANSCO/Z6</v>
      </c>
      <c r="V596" t="s">
        <v>253</v>
      </c>
      <c r="W596" t="s">
        <v>132</v>
      </c>
      <c r="X596" t="s">
        <v>253</v>
      </c>
      <c r="Y596" t="s">
        <v>235</v>
      </c>
      <c r="Z596" t="s">
        <v>236</v>
      </c>
      <c r="AA596" t="s">
        <v>253</v>
      </c>
      <c r="AB596" t="s">
        <v>1</v>
      </c>
      <c r="AC596" s="235">
        <f>'Basis Options'!H600</f>
        <v>-500000</v>
      </c>
      <c r="AD596" s="235">
        <f>'Basis Options'!W600</f>
        <v>-12569.504455290225</v>
      </c>
      <c r="AE596">
        <v>0</v>
      </c>
      <c r="AF596">
        <v>0</v>
      </c>
      <c r="AG596">
        <v>0</v>
      </c>
      <c r="AH596" s="235">
        <f>'Basis Options'!CD601</f>
        <v>0</v>
      </c>
      <c r="AI596">
        <v>226</v>
      </c>
      <c r="AJ596" t="s">
        <v>256</v>
      </c>
      <c r="AK596">
        <v>0</v>
      </c>
      <c r="AL596">
        <v>0</v>
      </c>
      <c r="AM596">
        <v>0</v>
      </c>
    </row>
    <row r="597" spans="1:39" x14ac:dyDescent="0.25">
      <c r="A597" t="s">
        <v>233</v>
      </c>
      <c r="B597" t="str">
        <f>'Basis Options'!C601</f>
        <v>NT8124.4</v>
      </c>
      <c r="C597" t="s">
        <v>255</v>
      </c>
      <c r="D597" t="s">
        <v>234</v>
      </c>
      <c r="E597" t="s">
        <v>20</v>
      </c>
      <c r="F597" t="str">
        <f>'Basis Options'!A601</f>
        <v>ELPASMER</v>
      </c>
      <c r="G597" t="s">
        <v>269</v>
      </c>
      <c r="H597" t="s">
        <v>254</v>
      </c>
      <c r="I597" t="s">
        <v>242</v>
      </c>
      <c r="J597" t="s">
        <v>235</v>
      </c>
      <c r="K597" s="380">
        <f>'Basis Options'!G601</f>
        <v>36861</v>
      </c>
      <c r="L597" s="235">
        <f>'Basis Options'!U601</f>
        <v>-284435.9271632352</v>
      </c>
      <c r="M597" s="380">
        <f>'Basis Options'!Q601</f>
        <v>36859</v>
      </c>
      <c r="N597" t="str">
        <f>'Basis Options'!F601</f>
        <v>C</v>
      </c>
      <c r="O597">
        <f>'Basis Options'!I601</f>
        <v>1.52</v>
      </c>
      <c r="P597">
        <v>0</v>
      </c>
      <c r="Q597">
        <v>0</v>
      </c>
      <c r="R597">
        <v>0</v>
      </c>
      <c r="S597">
        <v>0</v>
      </c>
      <c r="T597" t="s">
        <v>253</v>
      </c>
      <c r="U597" t="str">
        <f>IF('Basis Options'!D601="NGI/CHI. GATE","""NGI/CHI. GATE""",TRIM('Basis Options'!D601))</f>
        <v>IF-TRANSCO/Z6</v>
      </c>
      <c r="V597" t="s">
        <v>253</v>
      </c>
      <c r="W597" t="s">
        <v>132</v>
      </c>
      <c r="X597" t="s">
        <v>253</v>
      </c>
      <c r="Y597" t="s">
        <v>235</v>
      </c>
      <c r="Z597" t="s">
        <v>236</v>
      </c>
      <c r="AA597" t="s">
        <v>253</v>
      </c>
      <c r="AB597" t="s">
        <v>1</v>
      </c>
      <c r="AC597" s="235">
        <f>'Basis Options'!H601</f>
        <v>-500000</v>
      </c>
      <c r="AD597" s="235">
        <f>'Basis Options'!W601</f>
        <v>-35203.137891214545</v>
      </c>
      <c r="AE597">
        <v>0</v>
      </c>
      <c r="AF597">
        <v>0</v>
      </c>
      <c r="AG597">
        <v>0</v>
      </c>
      <c r="AH597" s="235">
        <f>'Basis Options'!CD602</f>
        <v>0</v>
      </c>
      <c r="AI597">
        <v>226</v>
      </c>
      <c r="AJ597" t="s">
        <v>256</v>
      </c>
      <c r="AK597">
        <v>0</v>
      </c>
      <c r="AL597">
        <v>0</v>
      </c>
      <c r="AM597">
        <v>0</v>
      </c>
    </row>
    <row r="598" spans="1:39" x14ac:dyDescent="0.25">
      <c r="A598" t="s">
        <v>233</v>
      </c>
      <c r="B598" t="str">
        <f>'Basis Options'!C602</f>
        <v>NT8124.4</v>
      </c>
      <c r="C598" t="s">
        <v>255</v>
      </c>
      <c r="D598" t="s">
        <v>234</v>
      </c>
      <c r="E598" t="s">
        <v>20</v>
      </c>
      <c r="F598" t="str">
        <f>'Basis Options'!A602</f>
        <v>ELPASMER</v>
      </c>
      <c r="G598" t="s">
        <v>269</v>
      </c>
      <c r="H598" t="s">
        <v>254</v>
      </c>
      <c r="I598" t="s">
        <v>242</v>
      </c>
      <c r="J598" t="s">
        <v>235</v>
      </c>
      <c r="K598" s="380">
        <f>'Basis Options'!G602</f>
        <v>36892</v>
      </c>
      <c r="L598" s="235">
        <f>'Basis Options'!U602</f>
        <v>-485606.45639565832</v>
      </c>
      <c r="M598" s="380">
        <f>'Basis Options'!Q602</f>
        <v>36888</v>
      </c>
      <c r="N598" t="str">
        <f>'Basis Options'!F602</f>
        <v>C</v>
      </c>
      <c r="O598">
        <f>'Basis Options'!I602</f>
        <v>1.52</v>
      </c>
      <c r="P598">
        <v>0</v>
      </c>
      <c r="Q598">
        <v>0</v>
      </c>
      <c r="R598">
        <v>0</v>
      </c>
      <c r="S598">
        <v>0</v>
      </c>
      <c r="T598" t="s">
        <v>253</v>
      </c>
      <c r="U598" t="str">
        <f>IF('Basis Options'!D602="NGI/CHI. GATE","""NGI/CHI. GATE""",TRIM('Basis Options'!D602))</f>
        <v>IF-TRANSCO/Z6</v>
      </c>
      <c r="V598" t="s">
        <v>253</v>
      </c>
      <c r="W598" t="s">
        <v>132</v>
      </c>
      <c r="X598" t="s">
        <v>253</v>
      </c>
      <c r="Y598" t="s">
        <v>235</v>
      </c>
      <c r="Z598" t="s">
        <v>236</v>
      </c>
      <c r="AA598" t="s">
        <v>253</v>
      </c>
      <c r="AB598" t="s">
        <v>1</v>
      </c>
      <c r="AC598" s="235">
        <f>'Basis Options'!H602</f>
        <v>-500000</v>
      </c>
      <c r="AD598" s="235">
        <f>'Basis Options'!W602</f>
        <v>-36855.397688624274</v>
      </c>
      <c r="AE598">
        <v>0</v>
      </c>
      <c r="AF598">
        <v>0</v>
      </c>
      <c r="AG598">
        <v>0</v>
      </c>
      <c r="AH598" s="235">
        <f>'Basis Options'!CD603</f>
        <v>0</v>
      </c>
      <c r="AI598">
        <v>226</v>
      </c>
      <c r="AJ598" t="s">
        <v>256</v>
      </c>
      <c r="AK598">
        <v>0</v>
      </c>
      <c r="AL598">
        <v>0</v>
      </c>
      <c r="AM598">
        <v>0</v>
      </c>
    </row>
    <row r="599" spans="1:39" x14ac:dyDescent="0.25">
      <c r="A599" t="s">
        <v>233</v>
      </c>
      <c r="B599" t="str">
        <f>'Basis Options'!C603</f>
        <v>NT8124.4</v>
      </c>
      <c r="C599" t="s">
        <v>255</v>
      </c>
      <c r="D599" t="s">
        <v>234</v>
      </c>
      <c r="E599" t="s">
        <v>20</v>
      </c>
      <c r="F599" t="str">
        <f>'Basis Options'!A603</f>
        <v>ELPASMER</v>
      </c>
      <c r="G599" t="s">
        <v>269</v>
      </c>
      <c r="H599" t="s">
        <v>254</v>
      </c>
      <c r="I599" t="s">
        <v>242</v>
      </c>
      <c r="J599" t="s">
        <v>235</v>
      </c>
      <c r="K599" s="380">
        <f>'Basis Options'!G603</f>
        <v>36923</v>
      </c>
      <c r="L599" s="235">
        <f>'Basis Options'!U603</f>
        <v>-473244.99555685709</v>
      </c>
      <c r="M599" s="380">
        <f>'Basis Options'!Q603</f>
        <v>36921</v>
      </c>
      <c r="N599" t="str">
        <f>'Basis Options'!F603</f>
        <v>C</v>
      </c>
      <c r="O599">
        <f>'Basis Options'!I603</f>
        <v>1.52</v>
      </c>
      <c r="P599">
        <v>0</v>
      </c>
      <c r="Q599">
        <v>0</v>
      </c>
      <c r="R599">
        <v>0</v>
      </c>
      <c r="S599">
        <v>0</v>
      </c>
      <c r="T599" t="s">
        <v>253</v>
      </c>
      <c r="U599" t="str">
        <f>IF('Basis Options'!D603="NGI/CHI. GATE","""NGI/CHI. GATE""",TRIM('Basis Options'!D603))</f>
        <v>IF-TRANSCO/Z6</v>
      </c>
      <c r="V599" t="s">
        <v>253</v>
      </c>
      <c r="W599" t="s">
        <v>132</v>
      </c>
      <c r="X599" t="s">
        <v>253</v>
      </c>
      <c r="Y599" t="s">
        <v>235</v>
      </c>
      <c r="Z599" t="s">
        <v>236</v>
      </c>
      <c r="AA599" t="s">
        <v>253</v>
      </c>
      <c r="AB599" t="s">
        <v>1</v>
      </c>
      <c r="AC599" s="235">
        <f>'Basis Options'!H603</f>
        <v>-500000</v>
      </c>
      <c r="AD599" s="235">
        <f>'Basis Options'!W603</f>
        <v>-41327.329795002879</v>
      </c>
      <c r="AE599">
        <v>0</v>
      </c>
      <c r="AF599">
        <v>0</v>
      </c>
      <c r="AG599">
        <v>0</v>
      </c>
      <c r="AH599" s="235">
        <f>'Basis Options'!CD604</f>
        <v>0</v>
      </c>
      <c r="AI599">
        <v>226</v>
      </c>
      <c r="AJ599" t="s">
        <v>256</v>
      </c>
      <c r="AK599">
        <v>0</v>
      </c>
      <c r="AL599">
        <v>0</v>
      </c>
      <c r="AM599">
        <v>0</v>
      </c>
    </row>
    <row r="600" spans="1:39" x14ac:dyDescent="0.25">
      <c r="A600" t="s">
        <v>233</v>
      </c>
      <c r="B600" t="str">
        <f>'Basis Options'!C604</f>
        <v>NT8124.4</v>
      </c>
      <c r="C600" t="s">
        <v>255</v>
      </c>
      <c r="D600" t="s">
        <v>234</v>
      </c>
      <c r="E600" t="s">
        <v>20</v>
      </c>
      <c r="F600" t="str">
        <f>'Basis Options'!A604</f>
        <v>ELPASMER</v>
      </c>
      <c r="G600" t="s">
        <v>269</v>
      </c>
      <c r="H600" t="s">
        <v>254</v>
      </c>
      <c r="I600" t="s">
        <v>242</v>
      </c>
      <c r="J600" t="s">
        <v>235</v>
      </c>
      <c r="K600" s="380">
        <f>'Basis Options'!G604</f>
        <v>36951</v>
      </c>
      <c r="L600" s="235">
        <f>'Basis Options'!U604</f>
        <v>-175530.19545352148</v>
      </c>
      <c r="M600" s="380">
        <f>'Basis Options'!Q604</f>
        <v>36949</v>
      </c>
      <c r="N600" t="str">
        <f>'Basis Options'!F604</f>
        <v>C</v>
      </c>
      <c r="O600">
        <f>'Basis Options'!I604</f>
        <v>1.52</v>
      </c>
      <c r="P600">
        <v>0</v>
      </c>
      <c r="Q600">
        <v>0</v>
      </c>
      <c r="R600">
        <v>0</v>
      </c>
      <c r="S600">
        <v>0</v>
      </c>
      <c r="T600" t="s">
        <v>253</v>
      </c>
      <c r="U600" t="str">
        <f>IF('Basis Options'!D604="NGI/CHI. GATE","""NGI/CHI. GATE""",TRIM('Basis Options'!D604))</f>
        <v>IF-TRANSCO/Z6</v>
      </c>
      <c r="V600" t="s">
        <v>253</v>
      </c>
      <c r="W600" t="s">
        <v>132</v>
      </c>
      <c r="X600" t="s">
        <v>253</v>
      </c>
      <c r="Y600" t="s">
        <v>235</v>
      </c>
      <c r="Z600" t="s">
        <v>236</v>
      </c>
      <c r="AA600" t="s">
        <v>253</v>
      </c>
      <c r="AB600" t="s">
        <v>1</v>
      </c>
      <c r="AC600" s="235">
        <f>'Basis Options'!H604</f>
        <v>-500000</v>
      </c>
      <c r="AD600" s="235">
        <f>'Basis Options'!W604</f>
        <v>-41226.950198137609</v>
      </c>
      <c r="AE600">
        <v>0</v>
      </c>
      <c r="AF600">
        <v>0</v>
      </c>
      <c r="AG600">
        <v>0</v>
      </c>
      <c r="AH600" s="235">
        <f>'Basis Options'!CD605</f>
        <v>0</v>
      </c>
      <c r="AI600">
        <v>226</v>
      </c>
      <c r="AJ600" t="s">
        <v>256</v>
      </c>
      <c r="AK600">
        <v>0</v>
      </c>
      <c r="AL600">
        <v>0</v>
      </c>
      <c r="AM600">
        <v>0</v>
      </c>
    </row>
    <row r="601" spans="1:39" x14ac:dyDescent="0.25">
      <c r="A601" t="s">
        <v>233</v>
      </c>
      <c r="B601" t="str">
        <f>'Basis Options'!C605</f>
        <v>NT8124.5</v>
      </c>
      <c r="C601" t="s">
        <v>255</v>
      </c>
      <c r="D601" t="s">
        <v>234</v>
      </c>
      <c r="E601" t="s">
        <v>20</v>
      </c>
      <c r="F601" t="str">
        <f>'Basis Options'!A605</f>
        <v>ELPASMER</v>
      </c>
      <c r="G601" t="s">
        <v>269</v>
      </c>
      <c r="H601" t="s">
        <v>254</v>
      </c>
      <c r="I601" t="s">
        <v>242</v>
      </c>
      <c r="J601" t="s">
        <v>235</v>
      </c>
      <c r="K601" s="380">
        <f>'Basis Options'!G605</f>
        <v>36831</v>
      </c>
      <c r="L601" s="235">
        <f>'Basis Options'!U605</f>
        <v>-399465.68148386909</v>
      </c>
      <c r="M601" s="380">
        <f>'Basis Options'!Q605</f>
        <v>36829</v>
      </c>
      <c r="N601" t="str">
        <f>'Basis Options'!F605</f>
        <v>P</v>
      </c>
      <c r="O601">
        <f>'Basis Options'!I605</f>
        <v>1.52</v>
      </c>
      <c r="P601">
        <v>0</v>
      </c>
      <c r="Q601">
        <v>0</v>
      </c>
      <c r="R601">
        <v>0</v>
      </c>
      <c r="S601">
        <v>0</v>
      </c>
      <c r="T601" t="s">
        <v>253</v>
      </c>
      <c r="U601" t="str">
        <f>IF('Basis Options'!D605="NGI/CHI. GATE","""NGI/CHI. GATE""",TRIM('Basis Options'!D605))</f>
        <v>IF-TRANSCO/Z6</v>
      </c>
      <c r="V601" t="s">
        <v>253</v>
      </c>
      <c r="W601" t="s">
        <v>132</v>
      </c>
      <c r="X601" t="s">
        <v>253</v>
      </c>
      <c r="Y601" t="s">
        <v>235</v>
      </c>
      <c r="Z601" t="s">
        <v>236</v>
      </c>
      <c r="AA601" t="s">
        <v>253</v>
      </c>
      <c r="AB601" t="s">
        <v>1</v>
      </c>
      <c r="AC601" s="235">
        <f>'Basis Options'!H605</f>
        <v>-500000</v>
      </c>
      <c r="AD601" s="235">
        <f>'Basis Options'!W605</f>
        <v>-12569.504455290211</v>
      </c>
      <c r="AE601">
        <v>0</v>
      </c>
      <c r="AF601">
        <v>0</v>
      </c>
      <c r="AG601">
        <v>0</v>
      </c>
      <c r="AH601" s="235">
        <f>'Basis Options'!CD606</f>
        <v>0</v>
      </c>
      <c r="AI601">
        <v>226</v>
      </c>
      <c r="AJ601" t="s">
        <v>256</v>
      </c>
      <c r="AK601">
        <v>0</v>
      </c>
      <c r="AL601">
        <v>0</v>
      </c>
      <c r="AM601">
        <v>0</v>
      </c>
    </row>
    <row r="602" spans="1:39" x14ac:dyDescent="0.25">
      <c r="A602" t="s">
        <v>233</v>
      </c>
      <c r="B602" t="str">
        <f>'Basis Options'!C606</f>
        <v>NT8124.5</v>
      </c>
      <c r="C602" t="s">
        <v>255</v>
      </c>
      <c r="D602" t="s">
        <v>234</v>
      </c>
      <c r="E602" t="s">
        <v>20</v>
      </c>
      <c r="F602" t="str">
        <f>'Basis Options'!A606</f>
        <v>ELPASMER</v>
      </c>
      <c r="G602" t="s">
        <v>269</v>
      </c>
      <c r="H602" t="s">
        <v>254</v>
      </c>
      <c r="I602" t="s">
        <v>242</v>
      </c>
      <c r="J602" t="s">
        <v>235</v>
      </c>
      <c r="K602" s="380">
        <f>'Basis Options'!G606</f>
        <v>36861</v>
      </c>
      <c r="L602" s="235">
        <f>'Basis Options'!U606</f>
        <v>-223002.17066800798</v>
      </c>
      <c r="M602" s="380">
        <f>'Basis Options'!Q606</f>
        <v>36859</v>
      </c>
      <c r="N602" t="str">
        <f>'Basis Options'!F606</f>
        <v>P</v>
      </c>
      <c r="O602">
        <f>'Basis Options'!I606</f>
        <v>1.52</v>
      </c>
      <c r="P602">
        <v>0</v>
      </c>
      <c r="Q602">
        <v>0</v>
      </c>
      <c r="R602">
        <v>0</v>
      </c>
      <c r="S602">
        <v>0</v>
      </c>
      <c r="T602" t="s">
        <v>253</v>
      </c>
      <c r="U602" t="str">
        <f>IF('Basis Options'!D606="NGI/CHI. GATE","""NGI/CHI. GATE""",TRIM('Basis Options'!D606))</f>
        <v>IF-TRANSCO/Z6</v>
      </c>
      <c r="V602" t="s">
        <v>253</v>
      </c>
      <c r="W602" t="s">
        <v>132</v>
      </c>
      <c r="X602" t="s">
        <v>253</v>
      </c>
      <c r="Y602" t="s">
        <v>235</v>
      </c>
      <c r="Z602" t="s">
        <v>236</v>
      </c>
      <c r="AA602" t="s">
        <v>253</v>
      </c>
      <c r="AB602" t="s">
        <v>1</v>
      </c>
      <c r="AC602" s="235">
        <f>'Basis Options'!H606</f>
        <v>-500000</v>
      </c>
      <c r="AD602" s="235">
        <f>'Basis Options'!W606</f>
        <v>-35203.137891214516</v>
      </c>
      <c r="AE602">
        <v>0</v>
      </c>
      <c r="AF602">
        <v>0</v>
      </c>
      <c r="AG602">
        <v>0</v>
      </c>
      <c r="AH602" s="235">
        <f>'Basis Options'!CD607</f>
        <v>0</v>
      </c>
      <c r="AI602">
        <v>226</v>
      </c>
      <c r="AJ602" t="s">
        <v>256</v>
      </c>
      <c r="AK602">
        <v>0</v>
      </c>
      <c r="AL602">
        <v>0</v>
      </c>
      <c r="AM602">
        <v>0</v>
      </c>
    </row>
    <row r="603" spans="1:39" x14ac:dyDescent="0.25">
      <c r="A603" t="s">
        <v>233</v>
      </c>
      <c r="B603" t="str">
        <f>'Basis Options'!C607</f>
        <v>NT8124.5</v>
      </c>
      <c r="C603" t="s">
        <v>255</v>
      </c>
      <c r="D603" t="s">
        <v>234</v>
      </c>
      <c r="E603" t="s">
        <v>20</v>
      </c>
      <c r="F603" t="str">
        <f>'Basis Options'!A607</f>
        <v>ELPASMER</v>
      </c>
      <c r="G603" t="s">
        <v>269</v>
      </c>
      <c r="H603" t="s">
        <v>254</v>
      </c>
      <c r="I603" t="s">
        <v>242</v>
      </c>
      <c r="J603" t="s">
        <v>235</v>
      </c>
      <c r="K603" s="380">
        <f>'Basis Options'!G607</f>
        <v>36892</v>
      </c>
      <c r="L603" s="235">
        <f>'Basis Options'!U607</f>
        <v>-167885.35064999555</v>
      </c>
      <c r="M603" s="380">
        <f>'Basis Options'!Q607</f>
        <v>36888</v>
      </c>
      <c r="N603" t="str">
        <f>'Basis Options'!F607</f>
        <v>P</v>
      </c>
      <c r="O603">
        <f>'Basis Options'!I607</f>
        <v>1.52</v>
      </c>
      <c r="P603">
        <v>0</v>
      </c>
      <c r="Q603">
        <v>0</v>
      </c>
      <c r="R603">
        <v>0</v>
      </c>
      <c r="S603">
        <v>0</v>
      </c>
      <c r="T603" t="s">
        <v>253</v>
      </c>
      <c r="U603" t="str">
        <f>IF('Basis Options'!D607="NGI/CHI. GATE","""NGI/CHI. GATE""",TRIM('Basis Options'!D607))</f>
        <v>IF-TRANSCO/Z6</v>
      </c>
      <c r="V603" t="s">
        <v>253</v>
      </c>
      <c r="W603" t="s">
        <v>132</v>
      </c>
      <c r="X603" t="s">
        <v>253</v>
      </c>
      <c r="Y603" t="s">
        <v>235</v>
      </c>
      <c r="Z603" t="s">
        <v>236</v>
      </c>
      <c r="AA603" t="s">
        <v>253</v>
      </c>
      <c r="AB603" t="s">
        <v>1</v>
      </c>
      <c r="AC603" s="235">
        <f>'Basis Options'!H607</f>
        <v>-500000</v>
      </c>
      <c r="AD603" s="235">
        <f>'Basis Options'!W607</f>
        <v>-36855.397688624274</v>
      </c>
      <c r="AE603">
        <v>0</v>
      </c>
      <c r="AF603">
        <v>0</v>
      </c>
      <c r="AG603">
        <v>0</v>
      </c>
      <c r="AH603" s="235">
        <f>'Basis Options'!CD608</f>
        <v>0</v>
      </c>
      <c r="AI603">
        <v>226</v>
      </c>
      <c r="AJ603" t="s">
        <v>256</v>
      </c>
      <c r="AK603">
        <v>0</v>
      </c>
      <c r="AL603">
        <v>0</v>
      </c>
      <c r="AM603">
        <v>0</v>
      </c>
    </row>
    <row r="604" spans="1:39" x14ac:dyDescent="0.25">
      <c r="A604" t="s">
        <v>233</v>
      </c>
      <c r="B604" t="str">
        <f>'Basis Options'!C608</f>
        <v>NT8124.5</v>
      </c>
      <c r="C604" t="s">
        <v>255</v>
      </c>
      <c r="D604" t="s">
        <v>234</v>
      </c>
      <c r="E604" t="s">
        <v>20</v>
      </c>
      <c r="F604" t="str">
        <f>'Basis Options'!A608</f>
        <v>ELPASMER</v>
      </c>
      <c r="G604" t="s">
        <v>269</v>
      </c>
      <c r="H604" t="s">
        <v>254</v>
      </c>
      <c r="I604" t="s">
        <v>242</v>
      </c>
      <c r="J604" t="s">
        <v>235</v>
      </c>
      <c r="K604" s="380">
        <f>'Basis Options'!G608</f>
        <v>36923</v>
      </c>
      <c r="L604" s="235">
        <f>'Basis Options'!U608</f>
        <v>-196374.88088653167</v>
      </c>
      <c r="M604" s="380">
        <f>'Basis Options'!Q608</f>
        <v>36921</v>
      </c>
      <c r="N604" t="str">
        <f>'Basis Options'!F608</f>
        <v>P</v>
      </c>
      <c r="O604">
        <f>'Basis Options'!I608</f>
        <v>1.52</v>
      </c>
      <c r="P604">
        <v>0</v>
      </c>
      <c r="Q604">
        <v>0</v>
      </c>
      <c r="R604">
        <v>0</v>
      </c>
      <c r="S604">
        <v>0</v>
      </c>
      <c r="T604" t="s">
        <v>253</v>
      </c>
      <c r="U604" t="str">
        <f>IF('Basis Options'!D608="NGI/CHI. GATE","""NGI/CHI. GATE""",TRIM('Basis Options'!D608))</f>
        <v>IF-TRANSCO/Z6</v>
      </c>
      <c r="V604" t="s">
        <v>253</v>
      </c>
      <c r="W604" t="s">
        <v>132</v>
      </c>
      <c r="X604" t="s">
        <v>253</v>
      </c>
      <c r="Y604" t="s">
        <v>235</v>
      </c>
      <c r="Z604" t="s">
        <v>236</v>
      </c>
      <c r="AA604" t="s">
        <v>253</v>
      </c>
      <c r="AB604" t="s">
        <v>1</v>
      </c>
      <c r="AC604" s="235">
        <f>'Basis Options'!H608</f>
        <v>-500000</v>
      </c>
      <c r="AD604" s="235">
        <f>'Basis Options'!W608</f>
        <v>-41327.329795002879</v>
      </c>
      <c r="AE604">
        <v>0</v>
      </c>
      <c r="AF604">
        <v>0</v>
      </c>
      <c r="AG604">
        <v>0</v>
      </c>
      <c r="AH604" s="235">
        <f>'Basis Options'!CD609</f>
        <v>0</v>
      </c>
      <c r="AI604">
        <v>226</v>
      </c>
      <c r="AJ604" t="s">
        <v>256</v>
      </c>
      <c r="AK604">
        <v>0</v>
      </c>
      <c r="AL604">
        <v>0</v>
      </c>
      <c r="AM604">
        <v>0</v>
      </c>
    </row>
    <row r="605" spans="1:39" x14ac:dyDescent="0.25">
      <c r="A605" t="s">
        <v>233</v>
      </c>
      <c r="B605" t="str">
        <f>'Basis Options'!C609</f>
        <v>NT8124.5</v>
      </c>
      <c r="C605" t="s">
        <v>255</v>
      </c>
      <c r="D605" t="s">
        <v>234</v>
      </c>
      <c r="E605" t="s">
        <v>20</v>
      </c>
      <c r="F605" t="str">
        <f>'Basis Options'!A609</f>
        <v>ELPASMER</v>
      </c>
      <c r="G605" t="s">
        <v>269</v>
      </c>
      <c r="H605" t="s">
        <v>254</v>
      </c>
      <c r="I605" t="s">
        <v>242</v>
      </c>
      <c r="J605" t="s">
        <v>235</v>
      </c>
      <c r="K605" s="380">
        <f>'Basis Options'!G609</f>
        <v>36951</v>
      </c>
      <c r="L605" s="235">
        <f>'Basis Options'!U609</f>
        <v>-390523.10705520812</v>
      </c>
      <c r="M605" s="380">
        <f>'Basis Options'!Q609</f>
        <v>36949</v>
      </c>
      <c r="N605" t="str">
        <f>'Basis Options'!F609</f>
        <v>P</v>
      </c>
      <c r="O605">
        <f>'Basis Options'!I609</f>
        <v>1.52</v>
      </c>
      <c r="P605">
        <v>0</v>
      </c>
      <c r="Q605">
        <v>0</v>
      </c>
      <c r="R605">
        <v>0</v>
      </c>
      <c r="S605">
        <v>0</v>
      </c>
      <c r="T605" t="s">
        <v>253</v>
      </c>
      <c r="U605" t="str">
        <f>IF('Basis Options'!D609="NGI/CHI. GATE","""NGI/CHI. GATE""",TRIM('Basis Options'!D609))</f>
        <v>IF-TRANSCO/Z6</v>
      </c>
      <c r="V605" t="s">
        <v>253</v>
      </c>
      <c r="W605" t="s">
        <v>132</v>
      </c>
      <c r="X605" t="s">
        <v>253</v>
      </c>
      <c r="Y605" t="s">
        <v>235</v>
      </c>
      <c r="Z605" t="s">
        <v>236</v>
      </c>
      <c r="AA605" t="s">
        <v>253</v>
      </c>
      <c r="AB605" t="s">
        <v>1</v>
      </c>
      <c r="AC605" s="235">
        <f>'Basis Options'!H609</f>
        <v>-500000</v>
      </c>
      <c r="AD605" s="235">
        <f>'Basis Options'!W609</f>
        <v>-41226.950198137609</v>
      </c>
      <c r="AE605">
        <v>0</v>
      </c>
      <c r="AF605">
        <v>0</v>
      </c>
      <c r="AG605">
        <v>0</v>
      </c>
      <c r="AH605" s="235">
        <f>'Basis Options'!CD610</f>
        <v>0</v>
      </c>
      <c r="AI605">
        <v>226</v>
      </c>
      <c r="AJ605" t="s">
        <v>256</v>
      </c>
      <c r="AK605">
        <v>0</v>
      </c>
      <c r="AL605">
        <v>0</v>
      </c>
      <c r="AM605">
        <v>0</v>
      </c>
    </row>
    <row r="606" spans="1:39" x14ac:dyDescent="0.25">
      <c r="A606" t="s">
        <v>233</v>
      </c>
      <c r="B606" t="str">
        <f>'Basis Options'!C610</f>
        <v>NT9909.1</v>
      </c>
      <c r="C606" t="s">
        <v>255</v>
      </c>
      <c r="D606" t="s">
        <v>234</v>
      </c>
      <c r="E606" t="s">
        <v>20</v>
      </c>
      <c r="F606" t="str">
        <f>'Basis Options'!A610</f>
        <v>AEPENESER</v>
      </c>
      <c r="G606" t="s">
        <v>269</v>
      </c>
      <c r="H606" t="s">
        <v>254</v>
      </c>
      <c r="I606" t="s">
        <v>242</v>
      </c>
      <c r="J606" t="s">
        <v>235</v>
      </c>
      <c r="K606" s="380">
        <f>'Basis Options'!G610</f>
        <v>36831</v>
      </c>
      <c r="L606" s="235">
        <f>'Basis Options'!U610</f>
        <v>84220.888242940942</v>
      </c>
      <c r="M606" s="380">
        <f>'Basis Options'!Q610</f>
        <v>36829</v>
      </c>
      <c r="N606" t="str">
        <f>'Basis Options'!F610</f>
        <v>C</v>
      </c>
      <c r="O606">
        <f>'Basis Options'!I610</f>
        <v>1</v>
      </c>
      <c r="P606">
        <v>0</v>
      </c>
      <c r="Q606">
        <v>0</v>
      </c>
      <c r="R606">
        <v>0</v>
      </c>
      <c r="S606">
        <v>0</v>
      </c>
      <c r="T606" t="s">
        <v>253</v>
      </c>
      <c r="U606" t="str">
        <f>IF('Basis Options'!D610="NGI/CHI. GATE","""NGI/CHI. GATE""",TRIM('Basis Options'!D610))</f>
        <v>IF-TRANSCO/Z6</v>
      </c>
      <c r="V606" t="s">
        <v>253</v>
      </c>
      <c r="W606" t="s">
        <v>132</v>
      </c>
      <c r="X606" t="s">
        <v>253</v>
      </c>
      <c r="Y606" t="s">
        <v>235</v>
      </c>
      <c r="Z606" t="s">
        <v>236</v>
      </c>
      <c r="AA606" t="s">
        <v>253</v>
      </c>
      <c r="AB606" t="s">
        <v>1</v>
      </c>
      <c r="AC606" s="235">
        <f>'Basis Options'!H610</f>
        <v>500000</v>
      </c>
      <c r="AD606" s="235">
        <f>'Basis Options'!W610</f>
        <v>20725.281041892973</v>
      </c>
      <c r="AE606">
        <v>0</v>
      </c>
      <c r="AF606">
        <v>0</v>
      </c>
      <c r="AG606">
        <v>0</v>
      </c>
      <c r="AH606" s="235">
        <f>'Basis Options'!CD611</f>
        <v>0</v>
      </c>
      <c r="AI606">
        <v>226</v>
      </c>
      <c r="AJ606" t="s">
        <v>256</v>
      </c>
      <c r="AK606">
        <v>0</v>
      </c>
      <c r="AL606">
        <v>0</v>
      </c>
      <c r="AM606">
        <v>0</v>
      </c>
    </row>
    <row r="607" spans="1:39" x14ac:dyDescent="0.25">
      <c r="A607" t="s">
        <v>233</v>
      </c>
      <c r="B607" t="str">
        <f>'Basis Options'!C611</f>
        <v>NT9909.2</v>
      </c>
      <c r="C607" t="s">
        <v>255</v>
      </c>
      <c r="D607" t="s">
        <v>234</v>
      </c>
      <c r="E607" t="s">
        <v>20</v>
      </c>
      <c r="F607" t="str">
        <f>'Basis Options'!A611</f>
        <v>AEPENESER</v>
      </c>
      <c r="G607" t="s">
        <v>269</v>
      </c>
      <c r="H607" t="s">
        <v>254</v>
      </c>
      <c r="I607" t="s">
        <v>242</v>
      </c>
      <c r="J607" t="s">
        <v>235</v>
      </c>
      <c r="K607" s="380">
        <f>'Basis Options'!G611</f>
        <v>36831</v>
      </c>
      <c r="L607" s="235">
        <f>'Basis Options'!U611</f>
        <v>-30054.24595854634</v>
      </c>
      <c r="M607" s="380">
        <f>'Basis Options'!Q611</f>
        <v>36829</v>
      </c>
      <c r="N607" t="str">
        <f>'Basis Options'!F611</f>
        <v>C</v>
      </c>
      <c r="O607">
        <f>'Basis Options'!I611</f>
        <v>1.5</v>
      </c>
      <c r="P607">
        <v>0</v>
      </c>
      <c r="Q607">
        <v>0</v>
      </c>
      <c r="R607">
        <v>0</v>
      </c>
      <c r="S607">
        <v>0</v>
      </c>
      <c r="T607" t="s">
        <v>253</v>
      </c>
      <c r="U607" t="str">
        <f>IF('Basis Options'!D611="NGI/CHI. GATE","""NGI/CHI. GATE""",TRIM('Basis Options'!D611))</f>
        <v>IF-TRANSCO/Z6</v>
      </c>
      <c r="V607" t="s">
        <v>253</v>
      </c>
      <c r="W607" t="s">
        <v>132</v>
      </c>
      <c r="X607" t="s">
        <v>253</v>
      </c>
      <c r="Y607" t="s">
        <v>235</v>
      </c>
      <c r="Z607" t="s">
        <v>236</v>
      </c>
      <c r="AA607" t="s">
        <v>253</v>
      </c>
      <c r="AB607" t="s">
        <v>1</v>
      </c>
      <c r="AC607" s="235">
        <f>'Basis Options'!H611</f>
        <v>-500000</v>
      </c>
      <c r="AD607" s="235">
        <f>'Basis Options'!W611</f>
        <v>-12895.361709189747</v>
      </c>
      <c r="AE607">
        <v>0</v>
      </c>
      <c r="AF607">
        <v>0</v>
      </c>
      <c r="AG607">
        <v>0</v>
      </c>
      <c r="AH607" s="235">
        <f>'Basis Options'!CD612</f>
        <v>0</v>
      </c>
      <c r="AI607">
        <v>226</v>
      </c>
      <c r="AJ607" t="s">
        <v>256</v>
      </c>
      <c r="AK607">
        <v>0</v>
      </c>
      <c r="AL607">
        <v>0</v>
      </c>
      <c r="AM607">
        <v>0</v>
      </c>
    </row>
    <row r="608" spans="1:39" x14ac:dyDescent="0.25">
      <c r="A608" t="s">
        <v>233</v>
      </c>
      <c r="B608" t="str">
        <f>'Basis Options'!C612</f>
        <v>NT9931</v>
      </c>
      <c r="C608" t="s">
        <v>255</v>
      </c>
      <c r="D608" t="s">
        <v>234</v>
      </c>
      <c r="E608" t="s">
        <v>20</v>
      </c>
      <c r="F608" t="str">
        <f>'Basis Options'!A612</f>
        <v>CONAGRAENESER</v>
      </c>
      <c r="G608" t="s">
        <v>269</v>
      </c>
      <c r="H608" t="s">
        <v>254</v>
      </c>
      <c r="I608" t="s">
        <v>242</v>
      </c>
      <c r="J608" t="s">
        <v>235</v>
      </c>
      <c r="K608" s="380">
        <f>'Basis Options'!G612</f>
        <v>36831</v>
      </c>
      <c r="L608" s="235">
        <f>'Basis Options'!U612</f>
        <v>168441.77648588188</v>
      </c>
      <c r="M608" s="380">
        <f>'Basis Options'!Q612</f>
        <v>36829</v>
      </c>
      <c r="N608" t="str">
        <f>'Basis Options'!F612</f>
        <v>C</v>
      </c>
      <c r="O608">
        <f>'Basis Options'!I612</f>
        <v>1</v>
      </c>
      <c r="P608">
        <v>0</v>
      </c>
      <c r="Q608">
        <v>0</v>
      </c>
      <c r="R608">
        <v>0</v>
      </c>
      <c r="S608">
        <v>0</v>
      </c>
      <c r="T608" t="s">
        <v>253</v>
      </c>
      <c r="U608" t="str">
        <f>IF('Basis Options'!D612="NGI/CHI. GATE","""NGI/CHI. GATE""",TRIM('Basis Options'!D612))</f>
        <v>IF-TRANSCO/Z6</v>
      </c>
      <c r="V608" t="s">
        <v>253</v>
      </c>
      <c r="W608" t="s">
        <v>132</v>
      </c>
      <c r="X608" t="s">
        <v>253</v>
      </c>
      <c r="Y608" t="s">
        <v>235</v>
      </c>
      <c r="Z608" t="s">
        <v>236</v>
      </c>
      <c r="AA608" t="s">
        <v>253</v>
      </c>
      <c r="AB608" t="s">
        <v>1</v>
      </c>
      <c r="AC608" s="235">
        <f>'Basis Options'!H612</f>
        <v>1000000</v>
      </c>
      <c r="AD608" s="235">
        <f>'Basis Options'!W612</f>
        <v>41450.562083785946</v>
      </c>
      <c r="AE608">
        <v>0</v>
      </c>
      <c r="AF608">
        <v>0</v>
      </c>
      <c r="AG608">
        <v>0</v>
      </c>
      <c r="AH608" s="235">
        <f>'Basis Options'!CD613</f>
        <v>0</v>
      </c>
      <c r="AI608">
        <v>226</v>
      </c>
      <c r="AJ608" t="s">
        <v>256</v>
      </c>
      <c r="AK608">
        <v>0</v>
      </c>
      <c r="AL608">
        <v>0</v>
      </c>
      <c r="AM608">
        <v>0</v>
      </c>
    </row>
    <row r="609" spans="1:39" x14ac:dyDescent="0.25">
      <c r="A609" t="s">
        <v>233</v>
      </c>
      <c r="B609" t="str">
        <f>'Basis Options'!C613</f>
        <v>NU0070.1</v>
      </c>
      <c r="C609" t="s">
        <v>255</v>
      </c>
      <c r="D609" t="s">
        <v>234</v>
      </c>
      <c r="E609" t="s">
        <v>20</v>
      </c>
      <c r="F609" t="str">
        <f>'Basis Options'!A613</f>
        <v>CMSMARSERTRA</v>
      </c>
      <c r="G609" t="s">
        <v>269</v>
      </c>
      <c r="H609" t="s">
        <v>254</v>
      </c>
      <c r="I609" t="s">
        <v>242</v>
      </c>
      <c r="J609" t="s">
        <v>235</v>
      </c>
      <c r="K609" s="380">
        <f>'Basis Options'!G613</f>
        <v>36831</v>
      </c>
      <c r="L609" s="235">
        <f>'Basis Options'!U613</f>
        <v>1125.1622309846202</v>
      </c>
      <c r="M609" s="380">
        <f>'Basis Options'!Q613</f>
        <v>36829</v>
      </c>
      <c r="N609" t="str">
        <f>'Basis Options'!F613</f>
        <v>C</v>
      </c>
      <c r="O609">
        <f>'Basis Options'!I613</f>
        <v>3</v>
      </c>
      <c r="P609">
        <v>0</v>
      </c>
      <c r="Q609">
        <v>0</v>
      </c>
      <c r="R609">
        <v>0</v>
      </c>
      <c r="S609">
        <v>0</v>
      </c>
      <c r="T609" t="s">
        <v>253</v>
      </c>
      <c r="U609" t="str">
        <f>IF('Basis Options'!D613="NGI/CHI. GATE","""NGI/CHI. GATE""",TRIM('Basis Options'!D613))</f>
        <v>IF-TRANSCO/Z6</v>
      </c>
      <c r="V609" t="s">
        <v>253</v>
      </c>
      <c r="W609" t="s">
        <v>132</v>
      </c>
      <c r="X609" t="s">
        <v>253</v>
      </c>
      <c r="Y609" t="s">
        <v>235</v>
      </c>
      <c r="Z609" t="s">
        <v>236</v>
      </c>
      <c r="AA609" t="s">
        <v>253</v>
      </c>
      <c r="AB609" t="s">
        <v>1</v>
      </c>
      <c r="AC609" s="235">
        <f>'Basis Options'!H613</f>
        <v>600000</v>
      </c>
      <c r="AD609" s="235">
        <f>'Basis Options'!W613</f>
        <v>1136.4595365339601</v>
      </c>
      <c r="AE609">
        <v>0</v>
      </c>
      <c r="AF609">
        <v>0</v>
      </c>
      <c r="AG609">
        <v>0</v>
      </c>
      <c r="AH609" s="235">
        <f>'Basis Options'!CD614</f>
        <v>0</v>
      </c>
      <c r="AI609">
        <v>226</v>
      </c>
      <c r="AJ609" t="s">
        <v>256</v>
      </c>
      <c r="AK609">
        <v>0</v>
      </c>
      <c r="AL609">
        <v>0</v>
      </c>
      <c r="AM609">
        <v>0</v>
      </c>
    </row>
    <row r="610" spans="1:39" x14ac:dyDescent="0.25">
      <c r="A610" t="s">
        <v>233</v>
      </c>
      <c r="B610" t="str">
        <f>'Basis Options'!C614</f>
        <v>NU0070.1</v>
      </c>
      <c r="C610" t="s">
        <v>255</v>
      </c>
      <c r="D610" t="s">
        <v>234</v>
      </c>
      <c r="E610" t="s">
        <v>20</v>
      </c>
      <c r="F610" t="str">
        <f>'Basis Options'!A614</f>
        <v>CMSMARSERTRA</v>
      </c>
      <c r="G610" t="s">
        <v>269</v>
      </c>
      <c r="H610" t="s">
        <v>254</v>
      </c>
      <c r="I610" t="s">
        <v>242</v>
      </c>
      <c r="J610" t="s">
        <v>235</v>
      </c>
      <c r="K610" s="380">
        <f>'Basis Options'!G614</f>
        <v>36861</v>
      </c>
      <c r="L610" s="235">
        <f>'Basis Options'!U614</f>
        <v>97029.643768939946</v>
      </c>
      <c r="M610" s="380">
        <f>'Basis Options'!Q614</f>
        <v>36859</v>
      </c>
      <c r="N610" t="str">
        <f>'Basis Options'!F614</f>
        <v>C</v>
      </c>
      <c r="O610">
        <f>'Basis Options'!I614</f>
        <v>3</v>
      </c>
      <c r="P610">
        <v>0</v>
      </c>
      <c r="Q610">
        <v>0</v>
      </c>
      <c r="R610">
        <v>0</v>
      </c>
      <c r="S610">
        <v>0</v>
      </c>
      <c r="T610" t="s">
        <v>253</v>
      </c>
      <c r="U610" t="str">
        <f>IF('Basis Options'!D614="NGI/CHI. GATE","""NGI/CHI. GATE""",TRIM('Basis Options'!D614))</f>
        <v>IF-TRANSCO/Z6</v>
      </c>
      <c r="V610" t="s">
        <v>253</v>
      </c>
      <c r="W610" t="s">
        <v>132</v>
      </c>
      <c r="X610" t="s">
        <v>253</v>
      </c>
      <c r="Y610" t="s">
        <v>235</v>
      </c>
      <c r="Z610" t="s">
        <v>236</v>
      </c>
      <c r="AA610" t="s">
        <v>253</v>
      </c>
      <c r="AB610" t="s">
        <v>1</v>
      </c>
      <c r="AC610" s="235">
        <f>'Basis Options'!H614</f>
        <v>620000</v>
      </c>
      <c r="AD610" s="235">
        <f>'Basis Options'!W614</f>
        <v>28588.327199587846</v>
      </c>
      <c r="AE610">
        <v>0</v>
      </c>
      <c r="AF610">
        <v>0</v>
      </c>
      <c r="AG610">
        <v>0</v>
      </c>
      <c r="AH610" s="235">
        <f>'Basis Options'!CD615</f>
        <v>0</v>
      </c>
      <c r="AI610">
        <v>226</v>
      </c>
      <c r="AJ610" t="s">
        <v>256</v>
      </c>
      <c r="AK610">
        <v>0</v>
      </c>
      <c r="AL610">
        <v>0</v>
      </c>
      <c r="AM610">
        <v>0</v>
      </c>
    </row>
    <row r="611" spans="1:39" x14ac:dyDescent="0.25">
      <c r="A611" t="s">
        <v>233</v>
      </c>
      <c r="B611" t="str">
        <f>'Basis Options'!C615</f>
        <v>NU0070.1</v>
      </c>
      <c r="C611" t="s">
        <v>255</v>
      </c>
      <c r="D611" t="s">
        <v>234</v>
      </c>
      <c r="E611" t="s">
        <v>20</v>
      </c>
      <c r="F611" t="str">
        <f>'Basis Options'!A615</f>
        <v>CMSMARSERTRA</v>
      </c>
      <c r="G611" t="s">
        <v>269</v>
      </c>
      <c r="H611" t="s">
        <v>254</v>
      </c>
      <c r="I611" t="s">
        <v>242</v>
      </c>
      <c r="J611" t="s">
        <v>235</v>
      </c>
      <c r="K611" s="380">
        <f>'Basis Options'!G615</f>
        <v>36892</v>
      </c>
      <c r="L611" s="235">
        <f>'Basis Options'!U615</f>
        <v>237849.31454472977</v>
      </c>
      <c r="M611" s="380">
        <f>'Basis Options'!Q615</f>
        <v>36888</v>
      </c>
      <c r="N611" t="str">
        <f>'Basis Options'!F615</f>
        <v>C</v>
      </c>
      <c r="O611">
        <f>'Basis Options'!I615</f>
        <v>3</v>
      </c>
      <c r="P611">
        <v>0</v>
      </c>
      <c r="Q611">
        <v>0</v>
      </c>
      <c r="R611">
        <v>0</v>
      </c>
      <c r="S611">
        <v>0</v>
      </c>
      <c r="T611" t="s">
        <v>253</v>
      </c>
      <c r="U611" t="str">
        <f>IF('Basis Options'!D615="NGI/CHI. GATE","""NGI/CHI. GATE""",TRIM('Basis Options'!D615))</f>
        <v>IF-TRANSCO/Z6</v>
      </c>
      <c r="V611" t="s">
        <v>253</v>
      </c>
      <c r="W611" t="s">
        <v>132</v>
      </c>
      <c r="X611" t="s">
        <v>253</v>
      </c>
      <c r="Y611" t="s">
        <v>235</v>
      </c>
      <c r="Z611" t="s">
        <v>236</v>
      </c>
      <c r="AA611" t="s">
        <v>253</v>
      </c>
      <c r="AB611" t="s">
        <v>1</v>
      </c>
      <c r="AC611" s="235">
        <f>'Basis Options'!H615</f>
        <v>620000</v>
      </c>
      <c r="AD611" s="235">
        <f>'Basis Options'!W615</f>
        <v>42952.667761418124</v>
      </c>
      <c r="AE611">
        <v>0</v>
      </c>
      <c r="AF611">
        <v>0</v>
      </c>
      <c r="AG611">
        <v>0</v>
      </c>
      <c r="AH611" s="235">
        <f>'Basis Options'!CD616</f>
        <v>0</v>
      </c>
      <c r="AI611">
        <v>226</v>
      </c>
      <c r="AJ611" t="s">
        <v>256</v>
      </c>
      <c r="AK611">
        <v>0</v>
      </c>
      <c r="AL611">
        <v>0</v>
      </c>
      <c r="AM611">
        <v>0</v>
      </c>
    </row>
    <row r="612" spans="1:39" x14ac:dyDescent="0.25">
      <c r="A612" t="s">
        <v>233</v>
      </c>
      <c r="B612" t="str">
        <f>'Basis Options'!C616</f>
        <v>NU0070.1</v>
      </c>
      <c r="C612" t="s">
        <v>255</v>
      </c>
      <c r="D612" t="s">
        <v>234</v>
      </c>
      <c r="E612" t="s">
        <v>20</v>
      </c>
      <c r="F612" t="str">
        <f>'Basis Options'!A616</f>
        <v>CMSMARSERTRA</v>
      </c>
      <c r="G612" t="s">
        <v>269</v>
      </c>
      <c r="H612" t="s">
        <v>254</v>
      </c>
      <c r="I612" t="s">
        <v>242</v>
      </c>
      <c r="J612" t="s">
        <v>235</v>
      </c>
      <c r="K612" s="380">
        <f>'Basis Options'!G616</f>
        <v>36923</v>
      </c>
      <c r="L612" s="235">
        <f>'Basis Options'!U616</f>
        <v>222746.19460462237</v>
      </c>
      <c r="M612" s="380">
        <f>'Basis Options'!Q616</f>
        <v>36921</v>
      </c>
      <c r="N612" t="str">
        <f>'Basis Options'!F616</f>
        <v>C</v>
      </c>
      <c r="O612">
        <f>'Basis Options'!I616</f>
        <v>3</v>
      </c>
      <c r="P612">
        <v>0</v>
      </c>
      <c r="Q612">
        <v>0</v>
      </c>
      <c r="R612">
        <v>0</v>
      </c>
      <c r="S612">
        <v>0</v>
      </c>
      <c r="T612" t="s">
        <v>253</v>
      </c>
      <c r="U612" t="str">
        <f>IF('Basis Options'!D616="NGI/CHI. GATE","""NGI/CHI. GATE""",TRIM('Basis Options'!D616))</f>
        <v>IF-TRANSCO/Z6</v>
      </c>
      <c r="V612" t="s">
        <v>253</v>
      </c>
      <c r="W612" t="s">
        <v>132</v>
      </c>
      <c r="X612" t="s">
        <v>253</v>
      </c>
      <c r="Y612" t="s">
        <v>235</v>
      </c>
      <c r="Z612" t="s">
        <v>236</v>
      </c>
      <c r="AA612" t="s">
        <v>253</v>
      </c>
      <c r="AB612" t="s">
        <v>1</v>
      </c>
      <c r="AC612" s="235">
        <f>'Basis Options'!H616</f>
        <v>560000</v>
      </c>
      <c r="AD612" s="235">
        <f>'Basis Options'!W616</f>
        <v>42156.440439609723</v>
      </c>
      <c r="AE612">
        <v>0</v>
      </c>
      <c r="AF612">
        <v>0</v>
      </c>
      <c r="AG612">
        <v>0</v>
      </c>
      <c r="AH612" s="235">
        <f>'Basis Options'!CD617</f>
        <v>0</v>
      </c>
      <c r="AI612">
        <v>226</v>
      </c>
      <c r="AJ612" t="s">
        <v>256</v>
      </c>
      <c r="AK612">
        <v>0</v>
      </c>
      <c r="AL612">
        <v>0</v>
      </c>
      <c r="AM612">
        <v>0</v>
      </c>
    </row>
    <row r="613" spans="1:39" x14ac:dyDescent="0.25">
      <c r="A613" t="s">
        <v>233</v>
      </c>
      <c r="B613" t="str">
        <f>'Basis Options'!C617</f>
        <v>NU0070.1</v>
      </c>
      <c r="C613" t="s">
        <v>255</v>
      </c>
      <c r="D613" t="s">
        <v>234</v>
      </c>
      <c r="E613" t="s">
        <v>20</v>
      </c>
      <c r="F613" t="str">
        <f>'Basis Options'!A617</f>
        <v>CMSMARSERTRA</v>
      </c>
      <c r="G613" t="s">
        <v>269</v>
      </c>
      <c r="H613" t="s">
        <v>254</v>
      </c>
      <c r="I613" t="s">
        <v>242</v>
      </c>
      <c r="J613" t="s">
        <v>235</v>
      </c>
      <c r="K613" s="380">
        <f>'Basis Options'!G617</f>
        <v>36951</v>
      </c>
      <c r="L613" s="235">
        <f>'Basis Options'!U617</f>
        <v>64703.418892748625</v>
      </c>
      <c r="M613" s="380">
        <f>'Basis Options'!Q617</f>
        <v>36949</v>
      </c>
      <c r="N613" t="str">
        <f>'Basis Options'!F617</f>
        <v>C</v>
      </c>
      <c r="O613">
        <f>'Basis Options'!I617</f>
        <v>3</v>
      </c>
      <c r="P613">
        <v>0</v>
      </c>
      <c r="Q613">
        <v>0</v>
      </c>
      <c r="R613">
        <v>0</v>
      </c>
      <c r="S613">
        <v>0</v>
      </c>
      <c r="T613" t="s">
        <v>253</v>
      </c>
      <c r="U613" t="str">
        <f>IF('Basis Options'!D617="NGI/CHI. GATE","""NGI/CHI. GATE""",TRIM('Basis Options'!D617))</f>
        <v>IF-TRANSCO/Z6</v>
      </c>
      <c r="V613" t="s">
        <v>253</v>
      </c>
      <c r="W613" t="s">
        <v>132</v>
      </c>
      <c r="X613" t="s">
        <v>253</v>
      </c>
      <c r="Y613" t="s">
        <v>235</v>
      </c>
      <c r="Z613" t="s">
        <v>236</v>
      </c>
      <c r="AA613" t="s">
        <v>253</v>
      </c>
      <c r="AB613" t="s">
        <v>1</v>
      </c>
      <c r="AC613" s="235">
        <f>'Basis Options'!H617</f>
        <v>620000</v>
      </c>
      <c r="AD613" s="235">
        <f>'Basis Options'!W617</f>
        <v>27597.297612550115</v>
      </c>
      <c r="AE613">
        <v>0</v>
      </c>
      <c r="AF613">
        <v>0</v>
      </c>
      <c r="AG613">
        <v>0</v>
      </c>
      <c r="AH613" s="235">
        <f>'Basis Options'!CD618</f>
        <v>0</v>
      </c>
      <c r="AI613">
        <v>226</v>
      </c>
      <c r="AJ613" t="s">
        <v>256</v>
      </c>
      <c r="AK613">
        <v>0</v>
      </c>
      <c r="AL613">
        <v>0</v>
      </c>
      <c r="AM613">
        <v>0</v>
      </c>
    </row>
    <row r="614" spans="1:39" x14ac:dyDescent="0.25">
      <c r="A614" t="s">
        <v>233</v>
      </c>
      <c r="B614" t="str">
        <f>'Basis Options'!C618</f>
        <v>NU0070.2</v>
      </c>
      <c r="C614" t="s">
        <v>255</v>
      </c>
      <c r="D614" t="s">
        <v>234</v>
      </c>
      <c r="E614" t="s">
        <v>20</v>
      </c>
      <c r="F614" t="str">
        <f>'Basis Options'!A618</f>
        <v>CMSMARSERTRA</v>
      </c>
      <c r="G614" t="s">
        <v>269</v>
      </c>
      <c r="H614" t="s">
        <v>254</v>
      </c>
      <c r="I614" t="s">
        <v>242</v>
      </c>
      <c r="J614" t="s">
        <v>235</v>
      </c>
      <c r="K614" s="380">
        <f>'Basis Options'!G618</f>
        <v>36831</v>
      </c>
      <c r="L614" s="235">
        <f>'Basis Options'!U618</f>
        <v>-345.65978796135028</v>
      </c>
      <c r="M614" s="380">
        <f>'Basis Options'!Q618</f>
        <v>36829</v>
      </c>
      <c r="N614" t="str">
        <f>'Basis Options'!F618</f>
        <v>C</v>
      </c>
      <c r="O614">
        <f>'Basis Options'!I618</f>
        <v>3.5</v>
      </c>
      <c r="P614">
        <v>0</v>
      </c>
      <c r="Q614">
        <v>0</v>
      </c>
      <c r="R614">
        <v>0</v>
      </c>
      <c r="S614">
        <v>0</v>
      </c>
      <c r="T614" t="s">
        <v>253</v>
      </c>
      <c r="U614" t="str">
        <f>IF('Basis Options'!D618="NGI/CHI. GATE","""NGI/CHI. GATE""",TRIM('Basis Options'!D618))</f>
        <v>IF-TRANSCO/Z6</v>
      </c>
      <c r="V614" t="s">
        <v>253</v>
      </c>
      <c r="W614" t="s">
        <v>132</v>
      </c>
      <c r="X614" t="s">
        <v>253</v>
      </c>
      <c r="Y614" t="s">
        <v>235</v>
      </c>
      <c r="Z614" t="s">
        <v>236</v>
      </c>
      <c r="AA614" t="s">
        <v>253</v>
      </c>
      <c r="AB614" t="s">
        <v>1</v>
      </c>
      <c r="AC614" s="235">
        <f>'Basis Options'!H618</f>
        <v>-600000</v>
      </c>
      <c r="AD614" s="235">
        <f>'Basis Options'!W618</f>
        <v>-411.04962410637927</v>
      </c>
      <c r="AE614">
        <v>0</v>
      </c>
      <c r="AF614">
        <v>0</v>
      </c>
      <c r="AG614">
        <v>0</v>
      </c>
      <c r="AH614" s="235">
        <f>'Basis Options'!CD619</f>
        <v>0</v>
      </c>
      <c r="AI614">
        <v>226</v>
      </c>
      <c r="AJ614" t="s">
        <v>256</v>
      </c>
      <c r="AK614">
        <v>0</v>
      </c>
      <c r="AL614">
        <v>0</v>
      </c>
      <c r="AM614">
        <v>0</v>
      </c>
    </row>
    <row r="615" spans="1:39" x14ac:dyDescent="0.25">
      <c r="A615" t="s">
        <v>233</v>
      </c>
      <c r="B615" t="str">
        <f>'Basis Options'!C619</f>
        <v>NU0070.2</v>
      </c>
      <c r="C615" t="s">
        <v>255</v>
      </c>
      <c r="D615" t="s">
        <v>234</v>
      </c>
      <c r="E615" t="s">
        <v>20</v>
      </c>
      <c r="F615" t="str">
        <f>'Basis Options'!A619</f>
        <v>CMSMARSERTRA</v>
      </c>
      <c r="G615" t="s">
        <v>269</v>
      </c>
      <c r="H615" t="s">
        <v>254</v>
      </c>
      <c r="I615" t="s">
        <v>242</v>
      </c>
      <c r="J615" t="s">
        <v>235</v>
      </c>
      <c r="K615" s="380">
        <f>'Basis Options'!G619</f>
        <v>36861</v>
      </c>
      <c r="L615" s="235">
        <f>'Basis Options'!U619</f>
        <v>-61595.896206276004</v>
      </c>
      <c r="M615" s="380">
        <f>'Basis Options'!Q619</f>
        <v>36859</v>
      </c>
      <c r="N615" t="str">
        <f>'Basis Options'!F619</f>
        <v>C</v>
      </c>
      <c r="O615">
        <f>'Basis Options'!I619</f>
        <v>3.5</v>
      </c>
      <c r="P615">
        <v>0</v>
      </c>
      <c r="Q615">
        <v>0</v>
      </c>
      <c r="R615">
        <v>0</v>
      </c>
      <c r="S615">
        <v>0</v>
      </c>
      <c r="T615" t="s">
        <v>253</v>
      </c>
      <c r="U615" t="str">
        <f>IF('Basis Options'!D619="NGI/CHI. GATE","""NGI/CHI. GATE""",TRIM('Basis Options'!D619))</f>
        <v>IF-TRANSCO/Z6</v>
      </c>
      <c r="V615" t="s">
        <v>253</v>
      </c>
      <c r="W615" t="s">
        <v>132</v>
      </c>
      <c r="X615" t="s">
        <v>253</v>
      </c>
      <c r="Y615" t="s">
        <v>235</v>
      </c>
      <c r="Z615" t="s">
        <v>236</v>
      </c>
      <c r="AA615" t="s">
        <v>253</v>
      </c>
      <c r="AB615" t="s">
        <v>1</v>
      </c>
      <c r="AC615" s="235">
        <f>'Basis Options'!H619</f>
        <v>-620000</v>
      </c>
      <c r="AD615" s="235">
        <f>'Basis Options'!W619</f>
        <v>-21811.10379229777</v>
      </c>
      <c r="AE615">
        <v>0</v>
      </c>
      <c r="AF615">
        <v>0</v>
      </c>
      <c r="AG615">
        <v>0</v>
      </c>
      <c r="AH615" s="235">
        <f>'Basis Options'!CD620</f>
        <v>0</v>
      </c>
      <c r="AI615">
        <v>226</v>
      </c>
      <c r="AJ615" t="s">
        <v>256</v>
      </c>
      <c r="AK615">
        <v>0</v>
      </c>
      <c r="AL615">
        <v>0</v>
      </c>
      <c r="AM615">
        <v>0</v>
      </c>
    </row>
    <row r="616" spans="1:39" x14ac:dyDescent="0.25">
      <c r="A616" t="s">
        <v>233</v>
      </c>
      <c r="B616" t="str">
        <f>'Basis Options'!C620</f>
        <v>NU0070.2</v>
      </c>
      <c r="C616" t="s">
        <v>255</v>
      </c>
      <c r="D616" t="s">
        <v>234</v>
      </c>
      <c r="E616" t="s">
        <v>20</v>
      </c>
      <c r="F616" t="str">
        <f>'Basis Options'!A620</f>
        <v>CMSMARSERTRA</v>
      </c>
      <c r="G616" t="s">
        <v>269</v>
      </c>
      <c r="H616" t="s">
        <v>254</v>
      </c>
      <c r="I616" t="s">
        <v>242</v>
      </c>
      <c r="J616" t="s">
        <v>235</v>
      </c>
      <c r="K616" s="380">
        <f>'Basis Options'!G620</f>
        <v>36892</v>
      </c>
      <c r="L616" s="235">
        <f>'Basis Options'!U620</f>
        <v>-171854.96396267592</v>
      </c>
      <c r="M616" s="380">
        <f>'Basis Options'!Q620</f>
        <v>36888</v>
      </c>
      <c r="N616" t="str">
        <f>'Basis Options'!F620</f>
        <v>C</v>
      </c>
      <c r="O616">
        <f>'Basis Options'!I620</f>
        <v>3.5</v>
      </c>
      <c r="P616">
        <v>0</v>
      </c>
      <c r="Q616">
        <v>0</v>
      </c>
      <c r="R616">
        <v>0</v>
      </c>
      <c r="S616">
        <v>0</v>
      </c>
      <c r="T616" t="s">
        <v>253</v>
      </c>
      <c r="U616" t="str">
        <f>IF('Basis Options'!D620="NGI/CHI. GATE","""NGI/CHI. GATE""",TRIM('Basis Options'!D620))</f>
        <v>IF-TRANSCO/Z6</v>
      </c>
      <c r="V616" t="s">
        <v>253</v>
      </c>
      <c r="W616" t="s">
        <v>132</v>
      </c>
      <c r="X616" t="s">
        <v>253</v>
      </c>
      <c r="Y616" t="s">
        <v>235</v>
      </c>
      <c r="Z616" t="s">
        <v>236</v>
      </c>
      <c r="AA616" t="s">
        <v>253</v>
      </c>
      <c r="AB616" t="s">
        <v>1</v>
      </c>
      <c r="AC616" s="235">
        <f>'Basis Options'!H620</f>
        <v>-620000</v>
      </c>
      <c r="AD616" s="235">
        <f>'Basis Options'!W620</f>
        <v>-37412.366178107302</v>
      </c>
      <c r="AE616">
        <v>0</v>
      </c>
      <c r="AF616">
        <v>0</v>
      </c>
      <c r="AG616">
        <v>0</v>
      </c>
      <c r="AH616" s="235">
        <f>'Basis Options'!CD621</f>
        <v>0</v>
      </c>
      <c r="AI616">
        <v>226</v>
      </c>
      <c r="AJ616" t="s">
        <v>256</v>
      </c>
      <c r="AK616">
        <v>0</v>
      </c>
      <c r="AL616">
        <v>0</v>
      </c>
      <c r="AM616">
        <v>0</v>
      </c>
    </row>
    <row r="617" spans="1:39" x14ac:dyDescent="0.25">
      <c r="A617" t="s">
        <v>233</v>
      </c>
      <c r="B617" t="str">
        <f>'Basis Options'!C621</f>
        <v>NU0070.2</v>
      </c>
      <c r="C617" t="s">
        <v>255</v>
      </c>
      <c r="D617" t="s">
        <v>234</v>
      </c>
      <c r="E617" t="s">
        <v>20</v>
      </c>
      <c r="F617" t="str">
        <f>'Basis Options'!A621</f>
        <v>CMSMARSERTRA</v>
      </c>
      <c r="G617" t="s">
        <v>269</v>
      </c>
      <c r="H617" t="s">
        <v>254</v>
      </c>
      <c r="I617" t="s">
        <v>242</v>
      </c>
      <c r="J617" t="s">
        <v>235</v>
      </c>
      <c r="K617" s="380">
        <f>'Basis Options'!G621</f>
        <v>36923</v>
      </c>
      <c r="L617" s="235">
        <f>'Basis Options'!U621</f>
        <v>-165648.86877689144</v>
      </c>
      <c r="M617" s="380">
        <f>'Basis Options'!Q621</f>
        <v>36921</v>
      </c>
      <c r="N617" t="str">
        <f>'Basis Options'!F621</f>
        <v>C</v>
      </c>
      <c r="O617">
        <f>'Basis Options'!I621</f>
        <v>3.5</v>
      </c>
      <c r="P617">
        <v>0</v>
      </c>
      <c r="Q617">
        <v>0</v>
      </c>
      <c r="R617">
        <v>0</v>
      </c>
      <c r="S617">
        <v>0</v>
      </c>
      <c r="T617" t="s">
        <v>253</v>
      </c>
      <c r="U617" t="str">
        <f>IF('Basis Options'!D621="NGI/CHI. GATE","""NGI/CHI. GATE""",TRIM('Basis Options'!D621))</f>
        <v>IF-TRANSCO/Z6</v>
      </c>
      <c r="V617" t="s">
        <v>253</v>
      </c>
      <c r="W617" t="s">
        <v>132</v>
      </c>
      <c r="X617" t="s">
        <v>253</v>
      </c>
      <c r="Y617" t="s">
        <v>235</v>
      </c>
      <c r="Z617" t="s">
        <v>236</v>
      </c>
      <c r="AA617" t="s">
        <v>253</v>
      </c>
      <c r="AB617" t="s">
        <v>1</v>
      </c>
      <c r="AC617" s="235">
        <f>'Basis Options'!H621</f>
        <v>-560000</v>
      </c>
      <c r="AD617" s="235">
        <f>'Basis Options'!W621</f>
        <v>-37090.347918789921</v>
      </c>
      <c r="AE617">
        <v>0</v>
      </c>
      <c r="AF617">
        <v>0</v>
      </c>
      <c r="AG617">
        <v>0</v>
      </c>
      <c r="AH617" s="235">
        <f>'Basis Options'!CD622</f>
        <v>0</v>
      </c>
      <c r="AI617">
        <v>226</v>
      </c>
      <c r="AJ617" t="s">
        <v>256</v>
      </c>
      <c r="AK617">
        <v>0</v>
      </c>
      <c r="AL617">
        <v>0</v>
      </c>
      <c r="AM617">
        <v>0</v>
      </c>
    </row>
    <row r="618" spans="1:39" x14ac:dyDescent="0.25">
      <c r="A618" t="s">
        <v>233</v>
      </c>
      <c r="B618" t="str">
        <f>'Basis Options'!C622</f>
        <v>NU0070.2</v>
      </c>
      <c r="C618" t="s">
        <v>255</v>
      </c>
      <c r="D618" t="s">
        <v>234</v>
      </c>
      <c r="E618" t="s">
        <v>20</v>
      </c>
      <c r="F618" t="str">
        <f>'Basis Options'!A622</f>
        <v>CMSMARSERTRA</v>
      </c>
      <c r="G618" t="s">
        <v>269</v>
      </c>
      <c r="H618" t="s">
        <v>254</v>
      </c>
      <c r="I618" t="s">
        <v>242</v>
      </c>
      <c r="J618" t="s">
        <v>235</v>
      </c>
      <c r="K618" s="380">
        <f>'Basis Options'!G622</f>
        <v>36951</v>
      </c>
      <c r="L618" s="235">
        <f>'Basis Options'!U622</f>
        <v>-43429.928931193288</v>
      </c>
      <c r="M618" s="380">
        <f>'Basis Options'!Q622</f>
        <v>36949</v>
      </c>
      <c r="N618" t="str">
        <f>'Basis Options'!F622</f>
        <v>C</v>
      </c>
      <c r="O618">
        <f>'Basis Options'!I622</f>
        <v>3.5</v>
      </c>
      <c r="P618">
        <v>0</v>
      </c>
      <c r="Q618">
        <v>0</v>
      </c>
      <c r="R618">
        <v>0</v>
      </c>
      <c r="S618">
        <v>0</v>
      </c>
      <c r="T618" t="s">
        <v>253</v>
      </c>
      <c r="U618" t="str">
        <f>IF('Basis Options'!D622="NGI/CHI. GATE","""NGI/CHI. GATE""",TRIM('Basis Options'!D622))</f>
        <v>IF-TRANSCO/Z6</v>
      </c>
      <c r="V618" t="s">
        <v>253</v>
      </c>
      <c r="W618" t="s">
        <v>132</v>
      </c>
      <c r="X618" t="s">
        <v>253</v>
      </c>
      <c r="Y618" t="s">
        <v>235</v>
      </c>
      <c r="Z618" t="s">
        <v>236</v>
      </c>
      <c r="AA618" t="s">
        <v>253</v>
      </c>
      <c r="AB618" t="s">
        <v>1</v>
      </c>
      <c r="AC618" s="235">
        <f>'Basis Options'!H622</f>
        <v>-620000</v>
      </c>
      <c r="AD618" s="235">
        <f>'Basis Options'!W622</f>
        <v>-21097.827622529672</v>
      </c>
      <c r="AE618">
        <v>0</v>
      </c>
      <c r="AF618">
        <v>0</v>
      </c>
      <c r="AG618">
        <v>0</v>
      </c>
      <c r="AH618" s="235">
        <f>'Basis Options'!CD623</f>
        <v>0</v>
      </c>
      <c r="AI618">
        <v>226</v>
      </c>
      <c r="AJ618" t="s">
        <v>256</v>
      </c>
      <c r="AK618">
        <v>0</v>
      </c>
      <c r="AL618">
        <v>0</v>
      </c>
      <c r="AM618">
        <v>0</v>
      </c>
    </row>
    <row r="619" spans="1:39" x14ac:dyDescent="0.25">
      <c r="A619" t="s">
        <v>233</v>
      </c>
      <c r="B619" t="str">
        <f>'Basis Options'!C623</f>
        <v>NU0073</v>
      </c>
      <c r="C619" t="s">
        <v>255</v>
      </c>
      <c r="D619" t="s">
        <v>234</v>
      </c>
      <c r="E619" t="s">
        <v>20</v>
      </c>
      <c r="F619" t="str">
        <f>'Basis Options'!A623</f>
        <v>ELPASMER</v>
      </c>
      <c r="G619" t="s">
        <v>269</v>
      </c>
      <c r="H619" t="s">
        <v>254</v>
      </c>
      <c r="I619" t="s">
        <v>242</v>
      </c>
      <c r="J619" t="s">
        <v>235</v>
      </c>
      <c r="K619" s="380">
        <f>'Basis Options'!G623</f>
        <v>36861</v>
      </c>
      <c r="L619" s="235">
        <f>'Basis Options'!U623</f>
        <v>-78249.71271688705</v>
      </c>
      <c r="M619" s="380">
        <f>'Basis Options'!Q623</f>
        <v>36859</v>
      </c>
      <c r="N619" t="str">
        <f>'Basis Options'!F623</f>
        <v>C</v>
      </c>
      <c r="O619">
        <f>'Basis Options'!I623</f>
        <v>3</v>
      </c>
      <c r="P619">
        <v>0</v>
      </c>
      <c r="Q619">
        <v>0</v>
      </c>
      <c r="R619">
        <v>0</v>
      </c>
      <c r="S619">
        <v>0</v>
      </c>
      <c r="T619" t="s">
        <v>253</v>
      </c>
      <c r="U619" t="str">
        <f>IF('Basis Options'!D623="NGI/CHI. GATE","""NGI/CHI. GATE""",TRIM('Basis Options'!D623))</f>
        <v>IF-TRANSCO/Z6</v>
      </c>
      <c r="V619" t="s">
        <v>253</v>
      </c>
      <c r="W619" t="s">
        <v>132</v>
      </c>
      <c r="X619" t="s">
        <v>253</v>
      </c>
      <c r="Y619" t="s">
        <v>235</v>
      </c>
      <c r="Z619" t="s">
        <v>236</v>
      </c>
      <c r="AA619" t="s">
        <v>253</v>
      </c>
      <c r="AB619" t="s">
        <v>1</v>
      </c>
      <c r="AC619" s="235">
        <f>'Basis Options'!H623</f>
        <v>-500000</v>
      </c>
      <c r="AD619" s="235">
        <f>'Basis Options'!W623</f>
        <v>-23055.10258031277</v>
      </c>
      <c r="AE619">
        <v>0</v>
      </c>
      <c r="AF619">
        <v>0</v>
      </c>
      <c r="AG619">
        <v>0</v>
      </c>
      <c r="AH619" s="235">
        <f>'Basis Options'!CD624</f>
        <v>0</v>
      </c>
      <c r="AI619">
        <v>226</v>
      </c>
      <c r="AJ619" t="s">
        <v>256</v>
      </c>
      <c r="AK619">
        <v>0</v>
      </c>
      <c r="AL619">
        <v>0</v>
      </c>
      <c r="AM619">
        <v>0</v>
      </c>
    </row>
    <row r="620" spans="1:39" x14ac:dyDescent="0.25">
      <c r="A620" t="s">
        <v>233</v>
      </c>
      <c r="B620" t="str">
        <f>'Basis Options'!C624</f>
        <v>NU0073</v>
      </c>
      <c r="C620" t="s">
        <v>255</v>
      </c>
      <c r="D620" t="s">
        <v>234</v>
      </c>
      <c r="E620" t="s">
        <v>20</v>
      </c>
      <c r="F620" t="str">
        <f>'Basis Options'!A624</f>
        <v>ELPASMER</v>
      </c>
      <c r="G620" t="s">
        <v>269</v>
      </c>
      <c r="H620" t="s">
        <v>254</v>
      </c>
      <c r="I620" t="s">
        <v>242</v>
      </c>
      <c r="J620" t="s">
        <v>235</v>
      </c>
      <c r="K620" s="380">
        <f>'Basis Options'!G624</f>
        <v>36892</v>
      </c>
      <c r="L620" s="235">
        <f>'Basis Options'!U624</f>
        <v>-191813.96334252402</v>
      </c>
      <c r="M620" s="380">
        <f>'Basis Options'!Q624</f>
        <v>36888</v>
      </c>
      <c r="N620" t="str">
        <f>'Basis Options'!F624</f>
        <v>C</v>
      </c>
      <c r="O620">
        <f>'Basis Options'!I624</f>
        <v>3</v>
      </c>
      <c r="P620">
        <v>0</v>
      </c>
      <c r="Q620">
        <v>0</v>
      </c>
      <c r="R620">
        <v>0</v>
      </c>
      <c r="S620">
        <v>0</v>
      </c>
      <c r="T620" t="s">
        <v>253</v>
      </c>
      <c r="U620" t="str">
        <f>IF('Basis Options'!D624="NGI/CHI. GATE","""NGI/CHI. GATE""",TRIM('Basis Options'!D624))</f>
        <v>IF-TRANSCO/Z6</v>
      </c>
      <c r="V620" t="s">
        <v>253</v>
      </c>
      <c r="W620" t="s">
        <v>132</v>
      </c>
      <c r="X620" t="s">
        <v>253</v>
      </c>
      <c r="Y620" t="s">
        <v>235</v>
      </c>
      <c r="Z620" t="s">
        <v>236</v>
      </c>
      <c r="AA620" t="s">
        <v>253</v>
      </c>
      <c r="AB620" t="s">
        <v>1</v>
      </c>
      <c r="AC620" s="235">
        <f>'Basis Options'!H624</f>
        <v>-500000</v>
      </c>
      <c r="AD620" s="235">
        <f>'Basis Options'!W624</f>
        <v>-34639.248194692016</v>
      </c>
      <c r="AE620">
        <v>0</v>
      </c>
      <c r="AF620">
        <v>0</v>
      </c>
      <c r="AG620">
        <v>0</v>
      </c>
      <c r="AH620" s="235">
        <f>'Basis Options'!CD625</f>
        <v>0</v>
      </c>
      <c r="AI620">
        <v>226</v>
      </c>
      <c r="AJ620" t="s">
        <v>256</v>
      </c>
      <c r="AK620">
        <v>0</v>
      </c>
      <c r="AL620">
        <v>0</v>
      </c>
      <c r="AM620">
        <v>0</v>
      </c>
    </row>
    <row r="621" spans="1:39" x14ac:dyDescent="0.25">
      <c r="A621" t="s">
        <v>233</v>
      </c>
      <c r="B621" t="str">
        <f>'Basis Options'!C625</f>
        <v>NU0073</v>
      </c>
      <c r="C621" t="s">
        <v>255</v>
      </c>
      <c r="D621" t="s">
        <v>234</v>
      </c>
      <c r="E621" t="s">
        <v>20</v>
      </c>
      <c r="F621" t="str">
        <f>'Basis Options'!A625</f>
        <v>ELPASMER</v>
      </c>
      <c r="G621" t="s">
        <v>269</v>
      </c>
      <c r="H621" t="s">
        <v>254</v>
      </c>
      <c r="I621" t="s">
        <v>242</v>
      </c>
      <c r="J621" t="s">
        <v>235</v>
      </c>
      <c r="K621" s="380">
        <f>'Basis Options'!G625</f>
        <v>36923</v>
      </c>
      <c r="L621" s="235">
        <f>'Basis Options'!U625</f>
        <v>-198880.53089698427</v>
      </c>
      <c r="M621" s="380">
        <f>'Basis Options'!Q625</f>
        <v>36921</v>
      </c>
      <c r="N621" t="str">
        <f>'Basis Options'!F625</f>
        <v>C</v>
      </c>
      <c r="O621">
        <f>'Basis Options'!I625</f>
        <v>3</v>
      </c>
      <c r="P621">
        <v>0</v>
      </c>
      <c r="Q621">
        <v>0</v>
      </c>
      <c r="R621">
        <v>0</v>
      </c>
      <c r="S621">
        <v>0</v>
      </c>
      <c r="T621" t="s">
        <v>253</v>
      </c>
      <c r="U621" t="str">
        <f>IF('Basis Options'!D625="NGI/CHI. GATE","""NGI/CHI. GATE""",TRIM('Basis Options'!D625))</f>
        <v>IF-TRANSCO/Z6</v>
      </c>
      <c r="V621" t="s">
        <v>253</v>
      </c>
      <c r="W621" t="s">
        <v>132</v>
      </c>
      <c r="X621" t="s">
        <v>253</v>
      </c>
      <c r="Y621" t="s">
        <v>235</v>
      </c>
      <c r="Z621" t="s">
        <v>236</v>
      </c>
      <c r="AA621" t="s">
        <v>253</v>
      </c>
      <c r="AB621" t="s">
        <v>1</v>
      </c>
      <c r="AC621" s="235">
        <f>'Basis Options'!H625</f>
        <v>-500000</v>
      </c>
      <c r="AD621" s="235">
        <f>'Basis Options'!W625</f>
        <v>-37639.678963937244</v>
      </c>
      <c r="AE621">
        <v>0</v>
      </c>
      <c r="AF621">
        <v>0</v>
      </c>
      <c r="AG621">
        <v>0</v>
      </c>
      <c r="AH621" s="235">
        <f>'Basis Options'!CD626</f>
        <v>0</v>
      </c>
      <c r="AI621">
        <v>226</v>
      </c>
      <c r="AJ621" t="s">
        <v>256</v>
      </c>
      <c r="AK621">
        <v>0</v>
      </c>
      <c r="AL621">
        <v>0</v>
      </c>
      <c r="AM621">
        <v>0</v>
      </c>
    </row>
    <row r="622" spans="1:39" x14ac:dyDescent="0.25">
      <c r="A622" t="s">
        <v>233</v>
      </c>
      <c r="B622" t="str">
        <f>'Basis Options'!C626</f>
        <v>NU0077</v>
      </c>
      <c r="C622" t="s">
        <v>255</v>
      </c>
      <c r="D622" t="s">
        <v>234</v>
      </c>
      <c r="E622" t="s">
        <v>20</v>
      </c>
      <c r="F622" t="str">
        <f>'Basis Options'!A626</f>
        <v>UTILICORP</v>
      </c>
      <c r="G622" t="s">
        <v>269</v>
      </c>
      <c r="H622" t="s">
        <v>254</v>
      </c>
      <c r="I622" t="s">
        <v>242</v>
      </c>
      <c r="J622" t="s">
        <v>235</v>
      </c>
      <c r="K622" s="380">
        <f>'Basis Options'!G626</f>
        <v>36800</v>
      </c>
      <c r="L622" s="235">
        <f>'Basis Options'!U626</f>
        <v>-56770.299891169321</v>
      </c>
      <c r="M622" s="380">
        <f>'Basis Options'!Q626</f>
        <v>36797</v>
      </c>
      <c r="N622" t="str">
        <f>'Basis Options'!F626</f>
        <v>P</v>
      </c>
      <c r="O622">
        <f>'Basis Options'!I626</f>
        <v>0.4</v>
      </c>
      <c r="P622">
        <v>0</v>
      </c>
      <c r="Q622">
        <v>0</v>
      </c>
      <c r="R622">
        <v>0</v>
      </c>
      <c r="S622">
        <v>0</v>
      </c>
      <c r="T622" t="s">
        <v>253</v>
      </c>
      <c r="U622" t="str">
        <f>IF('Basis Options'!D626="NGI/CHI. GATE","""NGI/CHI. GATE""",TRIM('Basis Options'!D626))</f>
        <v>IF-TRANSCO/Z6</v>
      </c>
      <c r="V622" t="s">
        <v>253</v>
      </c>
      <c r="W622" t="s">
        <v>132</v>
      </c>
      <c r="X622" t="s">
        <v>253</v>
      </c>
      <c r="Y622" t="s">
        <v>235</v>
      </c>
      <c r="Z622" t="s">
        <v>236</v>
      </c>
      <c r="AA622" t="s">
        <v>253</v>
      </c>
      <c r="AB622" t="s">
        <v>1</v>
      </c>
      <c r="AC622" s="235">
        <f>'Basis Options'!H626</f>
        <v>-1550000</v>
      </c>
      <c r="AD622" s="235">
        <f>'Basis Options'!W626</f>
        <v>-9950.3086764399195</v>
      </c>
      <c r="AE622">
        <v>0</v>
      </c>
      <c r="AF622">
        <v>0</v>
      </c>
      <c r="AG622">
        <v>0</v>
      </c>
      <c r="AH622" s="235">
        <f>'Basis Options'!CD627</f>
        <v>0</v>
      </c>
      <c r="AI622">
        <v>226</v>
      </c>
      <c r="AJ622" t="s">
        <v>256</v>
      </c>
      <c r="AK622">
        <v>0</v>
      </c>
      <c r="AL622">
        <v>0</v>
      </c>
      <c r="AM622">
        <v>0</v>
      </c>
    </row>
    <row r="623" spans="1:39" x14ac:dyDescent="0.25">
      <c r="A623" t="s">
        <v>233</v>
      </c>
      <c r="B623" t="str">
        <f>'Basis Options'!C627</f>
        <v>NU3268</v>
      </c>
      <c r="C623" t="s">
        <v>255</v>
      </c>
      <c r="D623" t="s">
        <v>234</v>
      </c>
      <c r="E623" t="s">
        <v>20</v>
      </c>
      <c r="F623" t="str">
        <f>'Basis Options'!A627</f>
        <v>AEPENESER</v>
      </c>
      <c r="G623" t="s">
        <v>269</v>
      </c>
      <c r="H623" t="s">
        <v>254</v>
      </c>
      <c r="I623" t="s">
        <v>242</v>
      </c>
      <c r="J623" t="s">
        <v>235</v>
      </c>
      <c r="K623" s="380">
        <f>'Basis Options'!G627</f>
        <v>36770</v>
      </c>
      <c r="L623" s="235">
        <f>'Basis Options'!U627</f>
        <v>599889.67207351595</v>
      </c>
      <c r="M623" s="380">
        <f>'Basis Options'!Q627</f>
        <v>36768</v>
      </c>
      <c r="N623" t="str">
        <f>'Basis Options'!F627</f>
        <v>C</v>
      </c>
      <c r="O623">
        <f>'Basis Options'!I627</f>
        <v>0.5</v>
      </c>
      <c r="P623">
        <v>0</v>
      </c>
      <c r="Q623">
        <v>0</v>
      </c>
      <c r="R623">
        <v>0</v>
      </c>
      <c r="S623">
        <v>0</v>
      </c>
      <c r="T623" t="s">
        <v>253</v>
      </c>
      <c r="U623" t="str">
        <f>IF('Basis Options'!D627="NGI/CHI. GATE","""NGI/CHI. GATE""",TRIM('Basis Options'!D627))</f>
        <v>NGI-SOCAL</v>
      </c>
      <c r="V623" t="s">
        <v>253</v>
      </c>
      <c r="W623" t="s">
        <v>132</v>
      </c>
      <c r="X623" t="s">
        <v>253</v>
      </c>
      <c r="Y623" t="s">
        <v>235</v>
      </c>
      <c r="Z623" t="s">
        <v>236</v>
      </c>
      <c r="AA623" t="s">
        <v>253</v>
      </c>
      <c r="AB623" t="s">
        <v>1</v>
      </c>
      <c r="AC623" s="235">
        <f>'Basis Options'!H627</f>
        <v>300000</v>
      </c>
      <c r="AD623" s="235">
        <f>'Basis Options'!W627</f>
        <v>-1.1977646092418581E-2</v>
      </c>
      <c r="AE623">
        <v>0</v>
      </c>
      <c r="AF623">
        <v>0</v>
      </c>
      <c r="AG623">
        <v>0</v>
      </c>
      <c r="AH623" s="235">
        <f>'Basis Options'!CD628</f>
        <v>0</v>
      </c>
      <c r="AI623">
        <v>226</v>
      </c>
      <c r="AJ623" t="s">
        <v>256</v>
      </c>
      <c r="AK623">
        <v>0</v>
      </c>
      <c r="AL623">
        <v>0</v>
      </c>
      <c r="AM623">
        <v>0</v>
      </c>
    </row>
    <row r="624" spans="1:39" x14ac:dyDescent="0.25">
      <c r="A624" t="s">
        <v>233</v>
      </c>
      <c r="B624" t="str">
        <f>'Basis Options'!C628</f>
        <v>NU3291</v>
      </c>
      <c r="C624" t="s">
        <v>255</v>
      </c>
      <c r="D624" t="s">
        <v>234</v>
      </c>
      <c r="E624" t="s">
        <v>20</v>
      </c>
      <c r="F624" t="str">
        <f>'Basis Options'!A628</f>
        <v>KOCHENETRA</v>
      </c>
      <c r="G624" t="s">
        <v>269</v>
      </c>
      <c r="H624" t="s">
        <v>254</v>
      </c>
      <c r="I624" t="s">
        <v>242</v>
      </c>
      <c r="J624" t="s">
        <v>235</v>
      </c>
      <c r="K624" s="380">
        <f>'Basis Options'!G628</f>
        <v>36982</v>
      </c>
      <c r="L624" s="235">
        <f>'Basis Options'!U628</f>
        <v>-89107.439506826413</v>
      </c>
      <c r="M624" s="380">
        <f>'Basis Options'!Q628</f>
        <v>36979</v>
      </c>
      <c r="N624" t="str">
        <f>'Basis Options'!F628</f>
        <v>C</v>
      </c>
      <c r="O624">
        <f>'Basis Options'!I628</f>
        <v>0.7</v>
      </c>
      <c r="P624">
        <v>0</v>
      </c>
      <c r="Q624">
        <v>0</v>
      </c>
      <c r="R624">
        <v>0</v>
      </c>
      <c r="S624">
        <v>0</v>
      </c>
      <c r="T624" t="s">
        <v>253</v>
      </c>
      <c r="U624" t="str">
        <f>IF('Basis Options'!D628="NGI/CHI. GATE","""NGI/CHI. GATE""",TRIM('Basis Options'!D628))</f>
        <v>IF-TRANSCO/Z6</v>
      </c>
      <c r="V624" t="s">
        <v>253</v>
      </c>
      <c r="W624" t="s">
        <v>132</v>
      </c>
      <c r="X624" t="s">
        <v>253</v>
      </c>
      <c r="Y624" t="s">
        <v>235</v>
      </c>
      <c r="Z624" t="s">
        <v>236</v>
      </c>
      <c r="AA624" t="s">
        <v>253</v>
      </c>
      <c r="AB624" t="s">
        <v>1</v>
      </c>
      <c r="AC624" s="235">
        <f>'Basis Options'!H628</f>
        <v>-1200000</v>
      </c>
      <c r="AD624" s="235">
        <f>'Basis Options'!W628</f>
        <v>-26211.370574008324</v>
      </c>
      <c r="AE624">
        <v>0</v>
      </c>
      <c r="AF624">
        <v>0</v>
      </c>
      <c r="AG624">
        <v>0</v>
      </c>
      <c r="AH624" s="235">
        <f>'Basis Options'!CD629</f>
        <v>0</v>
      </c>
      <c r="AI624">
        <v>226</v>
      </c>
      <c r="AJ624" t="s">
        <v>256</v>
      </c>
      <c r="AK624">
        <v>0</v>
      </c>
      <c r="AL624">
        <v>0</v>
      </c>
      <c r="AM624">
        <v>0</v>
      </c>
    </row>
    <row r="625" spans="1:39" x14ac:dyDescent="0.25">
      <c r="A625" t="s">
        <v>233</v>
      </c>
      <c r="B625" t="str">
        <f>'Basis Options'!C629</f>
        <v>NU5426</v>
      </c>
      <c r="C625" t="s">
        <v>255</v>
      </c>
      <c r="D625" t="s">
        <v>234</v>
      </c>
      <c r="E625" t="s">
        <v>20</v>
      </c>
      <c r="F625" t="str">
        <f>'Basis Options'!A629</f>
        <v>TXUENETRA</v>
      </c>
      <c r="G625" t="s">
        <v>269</v>
      </c>
      <c r="H625" t="s">
        <v>254</v>
      </c>
      <c r="I625" t="s">
        <v>242</v>
      </c>
      <c r="J625" t="s">
        <v>235</v>
      </c>
      <c r="K625" s="380">
        <f>'Basis Options'!G629</f>
        <v>36831</v>
      </c>
      <c r="L625" s="235">
        <f>'Basis Options'!U629</f>
        <v>363298.92687479826</v>
      </c>
      <c r="M625" s="380">
        <f>'Basis Options'!Q629</f>
        <v>36829</v>
      </c>
      <c r="N625" t="str">
        <f>'Basis Options'!F629</f>
        <v>P</v>
      </c>
      <c r="O625">
        <f>'Basis Options'!I629</f>
        <v>0.95</v>
      </c>
      <c r="P625">
        <v>0</v>
      </c>
      <c r="Q625">
        <v>0</v>
      </c>
      <c r="R625">
        <v>0</v>
      </c>
      <c r="S625">
        <v>0</v>
      </c>
      <c r="T625" t="s">
        <v>253</v>
      </c>
      <c r="U625" t="str">
        <f>IF('Basis Options'!D629="NGI/CHI. GATE","""NGI/CHI. GATE""",TRIM('Basis Options'!D629))</f>
        <v>IF-TRANSCO/Z6</v>
      </c>
      <c r="V625" t="s">
        <v>253</v>
      </c>
      <c r="W625" t="s">
        <v>132</v>
      </c>
      <c r="X625" t="s">
        <v>253</v>
      </c>
      <c r="Y625" t="s">
        <v>235</v>
      </c>
      <c r="Z625" t="s">
        <v>236</v>
      </c>
      <c r="AA625" t="s">
        <v>253</v>
      </c>
      <c r="AB625" t="s">
        <v>1</v>
      </c>
      <c r="AC625" s="235">
        <f>'Basis Options'!H629</f>
        <v>1000000</v>
      </c>
      <c r="AD625" s="235">
        <f>'Basis Options'!W629</f>
        <v>42533.042030895012</v>
      </c>
      <c r="AE625">
        <v>0</v>
      </c>
      <c r="AF625">
        <v>0</v>
      </c>
      <c r="AG625">
        <v>0</v>
      </c>
      <c r="AH625" s="235">
        <f>'Basis Options'!CD630</f>
        <v>0</v>
      </c>
      <c r="AI625">
        <v>226</v>
      </c>
      <c r="AJ625" t="s">
        <v>256</v>
      </c>
      <c r="AK625">
        <v>0</v>
      </c>
      <c r="AL625">
        <v>0</v>
      </c>
      <c r="AM625">
        <v>0</v>
      </c>
    </row>
    <row r="626" spans="1:39" x14ac:dyDescent="0.25">
      <c r="A626" t="s">
        <v>233</v>
      </c>
      <c r="B626" t="str">
        <f>'Basis Options'!C630</f>
        <v>NU5426</v>
      </c>
      <c r="C626" t="s">
        <v>255</v>
      </c>
      <c r="D626" t="s">
        <v>234</v>
      </c>
      <c r="E626" t="s">
        <v>20</v>
      </c>
      <c r="F626" t="str">
        <f>'Basis Options'!A630</f>
        <v>TXUENETRA</v>
      </c>
      <c r="G626" t="s">
        <v>269</v>
      </c>
      <c r="H626" t="s">
        <v>254</v>
      </c>
      <c r="I626" t="s">
        <v>242</v>
      </c>
      <c r="J626" t="s">
        <v>235</v>
      </c>
      <c r="K626" s="380">
        <f>'Basis Options'!G630</f>
        <v>36861</v>
      </c>
      <c r="L626" s="235">
        <f>'Basis Options'!U630</f>
        <v>204671.01113385943</v>
      </c>
      <c r="M626" s="380">
        <f>'Basis Options'!Q630</f>
        <v>36859</v>
      </c>
      <c r="N626" t="str">
        <f>'Basis Options'!F630</f>
        <v>P</v>
      </c>
      <c r="O626">
        <f>'Basis Options'!I630</f>
        <v>0.95</v>
      </c>
      <c r="P626">
        <v>0</v>
      </c>
      <c r="Q626">
        <v>0</v>
      </c>
      <c r="R626">
        <v>0</v>
      </c>
      <c r="S626">
        <v>0</v>
      </c>
      <c r="T626" t="s">
        <v>253</v>
      </c>
      <c r="U626" t="str">
        <f>IF('Basis Options'!D630="NGI/CHI. GATE","""NGI/CHI. GATE""",TRIM('Basis Options'!D630))</f>
        <v>IF-TRANSCO/Z6</v>
      </c>
      <c r="V626" t="s">
        <v>253</v>
      </c>
      <c r="W626" t="s">
        <v>132</v>
      </c>
      <c r="X626" t="s">
        <v>253</v>
      </c>
      <c r="Y626" t="s">
        <v>235</v>
      </c>
      <c r="Z626" t="s">
        <v>236</v>
      </c>
      <c r="AA626" t="s">
        <v>253</v>
      </c>
      <c r="AB626" t="s">
        <v>1</v>
      </c>
      <c r="AC626" s="235">
        <f>'Basis Options'!H630</f>
        <v>1000000</v>
      </c>
      <c r="AD626" s="235">
        <f>'Basis Options'!W630</f>
        <v>61706.70107553745</v>
      </c>
      <c r="AE626">
        <v>0</v>
      </c>
      <c r="AF626">
        <v>0</v>
      </c>
      <c r="AG626">
        <v>0</v>
      </c>
      <c r="AH626" s="235">
        <f>'Basis Options'!CD631</f>
        <v>0</v>
      </c>
      <c r="AI626">
        <v>226</v>
      </c>
      <c r="AJ626" t="s">
        <v>256</v>
      </c>
      <c r="AK626">
        <v>0</v>
      </c>
      <c r="AL626">
        <v>0</v>
      </c>
      <c r="AM626">
        <v>0</v>
      </c>
    </row>
    <row r="627" spans="1:39" x14ac:dyDescent="0.25">
      <c r="A627" t="s">
        <v>233</v>
      </c>
      <c r="B627" t="str">
        <f>'Basis Options'!C631</f>
        <v>NU5426</v>
      </c>
      <c r="C627" t="s">
        <v>255</v>
      </c>
      <c r="D627" t="s">
        <v>234</v>
      </c>
      <c r="E627" t="s">
        <v>20</v>
      </c>
      <c r="F627" t="str">
        <f>'Basis Options'!A631</f>
        <v>TXUENETRA</v>
      </c>
      <c r="G627" t="s">
        <v>269</v>
      </c>
      <c r="H627" t="s">
        <v>254</v>
      </c>
      <c r="I627" t="s">
        <v>242</v>
      </c>
      <c r="J627" t="s">
        <v>235</v>
      </c>
      <c r="K627" s="380">
        <f>'Basis Options'!G631</f>
        <v>36892</v>
      </c>
      <c r="L627" s="235">
        <f>'Basis Options'!U631</f>
        <v>152728.64479355773</v>
      </c>
      <c r="M627" s="380">
        <f>'Basis Options'!Q631</f>
        <v>36888</v>
      </c>
      <c r="N627" t="str">
        <f>'Basis Options'!F631</f>
        <v>P</v>
      </c>
      <c r="O627">
        <f>'Basis Options'!I631</f>
        <v>0.95</v>
      </c>
      <c r="P627">
        <v>0</v>
      </c>
      <c r="Q627">
        <v>0</v>
      </c>
      <c r="R627">
        <v>0</v>
      </c>
      <c r="S627">
        <v>0</v>
      </c>
      <c r="T627" t="s">
        <v>253</v>
      </c>
      <c r="U627" t="str">
        <f>IF('Basis Options'!D631="NGI/CHI. GATE","""NGI/CHI. GATE""",TRIM('Basis Options'!D631))</f>
        <v>IF-TRANSCO/Z6</v>
      </c>
      <c r="V627" t="s">
        <v>253</v>
      </c>
      <c r="W627" t="s">
        <v>132</v>
      </c>
      <c r="X627" t="s">
        <v>253</v>
      </c>
      <c r="Y627" t="s">
        <v>235</v>
      </c>
      <c r="Z627" t="s">
        <v>236</v>
      </c>
      <c r="AA627" t="s">
        <v>253</v>
      </c>
      <c r="AB627" t="s">
        <v>1</v>
      </c>
      <c r="AC627" s="235">
        <f>'Basis Options'!H631</f>
        <v>1000000</v>
      </c>
      <c r="AD627" s="235">
        <f>'Basis Options'!W631</f>
        <v>58171.921538685012</v>
      </c>
      <c r="AE627">
        <v>0</v>
      </c>
      <c r="AF627">
        <v>0</v>
      </c>
      <c r="AG627">
        <v>0</v>
      </c>
      <c r="AH627" s="235">
        <f>'Basis Options'!CD632</f>
        <v>0</v>
      </c>
      <c r="AI627">
        <v>226</v>
      </c>
      <c r="AJ627" t="s">
        <v>256</v>
      </c>
      <c r="AK627">
        <v>0</v>
      </c>
      <c r="AL627">
        <v>0</v>
      </c>
      <c r="AM627">
        <v>0</v>
      </c>
    </row>
    <row r="628" spans="1:39" x14ac:dyDescent="0.25">
      <c r="A628" t="s">
        <v>233</v>
      </c>
      <c r="B628" t="str">
        <f>'Basis Options'!C632</f>
        <v>NU5426</v>
      </c>
      <c r="C628" t="s">
        <v>255</v>
      </c>
      <c r="D628" t="s">
        <v>234</v>
      </c>
      <c r="E628" t="s">
        <v>20</v>
      </c>
      <c r="F628" t="str">
        <f>'Basis Options'!A632</f>
        <v>TXUENETRA</v>
      </c>
      <c r="G628" t="s">
        <v>269</v>
      </c>
      <c r="H628" t="s">
        <v>254</v>
      </c>
      <c r="I628" t="s">
        <v>242</v>
      </c>
      <c r="J628" t="s">
        <v>235</v>
      </c>
      <c r="K628" s="380">
        <f>'Basis Options'!G632</f>
        <v>36923</v>
      </c>
      <c r="L628" s="235">
        <f>'Basis Options'!U632</f>
        <v>189379.5248282355</v>
      </c>
      <c r="M628" s="380">
        <f>'Basis Options'!Q632</f>
        <v>36921</v>
      </c>
      <c r="N628" t="str">
        <f>'Basis Options'!F632</f>
        <v>P</v>
      </c>
      <c r="O628">
        <f>'Basis Options'!I632</f>
        <v>0.95</v>
      </c>
      <c r="P628">
        <v>0</v>
      </c>
      <c r="Q628">
        <v>0</v>
      </c>
      <c r="R628">
        <v>0</v>
      </c>
      <c r="S628">
        <v>0</v>
      </c>
      <c r="T628" t="s">
        <v>253</v>
      </c>
      <c r="U628" t="str">
        <f>IF('Basis Options'!D632="NGI/CHI. GATE","""NGI/CHI. GATE""",TRIM('Basis Options'!D632))</f>
        <v>IF-TRANSCO/Z6</v>
      </c>
      <c r="V628" t="s">
        <v>253</v>
      </c>
      <c r="W628" t="s">
        <v>132</v>
      </c>
      <c r="X628" t="s">
        <v>253</v>
      </c>
      <c r="Y628" t="s">
        <v>235</v>
      </c>
      <c r="Z628" t="s">
        <v>236</v>
      </c>
      <c r="AA628" t="s">
        <v>253</v>
      </c>
      <c r="AB628" t="s">
        <v>1</v>
      </c>
      <c r="AC628" s="235">
        <f>'Basis Options'!H632</f>
        <v>1000000</v>
      </c>
      <c r="AD628" s="235">
        <f>'Basis Options'!W632</f>
        <v>68622.119460750808</v>
      </c>
      <c r="AE628">
        <v>0</v>
      </c>
      <c r="AF628">
        <v>0</v>
      </c>
      <c r="AG628">
        <v>0</v>
      </c>
      <c r="AH628" s="235">
        <f>'Basis Options'!CD633</f>
        <v>0</v>
      </c>
      <c r="AI628">
        <v>226</v>
      </c>
      <c r="AJ628" t="s">
        <v>256</v>
      </c>
      <c r="AK628">
        <v>0</v>
      </c>
      <c r="AL628">
        <v>0</v>
      </c>
      <c r="AM628">
        <v>0</v>
      </c>
    </row>
    <row r="629" spans="1:39" x14ac:dyDescent="0.25">
      <c r="A629" t="s">
        <v>233</v>
      </c>
      <c r="B629" t="str">
        <f>'Basis Options'!C633</f>
        <v>NU5426</v>
      </c>
      <c r="C629" t="s">
        <v>255</v>
      </c>
      <c r="D629" t="s">
        <v>234</v>
      </c>
      <c r="E629" t="s">
        <v>20</v>
      </c>
      <c r="F629" t="str">
        <f>'Basis Options'!A633</f>
        <v>TXUENETRA</v>
      </c>
      <c r="G629" t="s">
        <v>269</v>
      </c>
      <c r="H629" t="s">
        <v>254</v>
      </c>
      <c r="I629" t="s">
        <v>242</v>
      </c>
      <c r="J629" t="s">
        <v>235</v>
      </c>
      <c r="K629" s="380">
        <f>'Basis Options'!G633</f>
        <v>36951</v>
      </c>
      <c r="L629" s="235">
        <f>'Basis Options'!U633</f>
        <v>437925.3575714078</v>
      </c>
      <c r="M629" s="380">
        <f>'Basis Options'!Q633</f>
        <v>36949</v>
      </c>
      <c r="N629" t="str">
        <f>'Basis Options'!F633</f>
        <v>P</v>
      </c>
      <c r="O629">
        <f>'Basis Options'!I633</f>
        <v>0.95</v>
      </c>
      <c r="P629">
        <v>0</v>
      </c>
      <c r="Q629">
        <v>0</v>
      </c>
      <c r="R629">
        <v>0</v>
      </c>
      <c r="S629">
        <v>0</v>
      </c>
      <c r="T629" t="s">
        <v>253</v>
      </c>
      <c r="U629" t="str">
        <f>IF('Basis Options'!D633="NGI/CHI. GATE","""NGI/CHI. GATE""",TRIM('Basis Options'!D633))</f>
        <v>IF-TRANSCO/Z6</v>
      </c>
      <c r="V629" t="s">
        <v>253</v>
      </c>
      <c r="W629" t="s">
        <v>132</v>
      </c>
      <c r="X629" t="s">
        <v>253</v>
      </c>
      <c r="Y629" t="s">
        <v>235</v>
      </c>
      <c r="Z629" t="s">
        <v>236</v>
      </c>
      <c r="AA629" t="s">
        <v>253</v>
      </c>
      <c r="AB629" t="s">
        <v>1</v>
      </c>
      <c r="AC629" s="235">
        <f>'Basis Options'!H633</f>
        <v>1000000</v>
      </c>
      <c r="AD629" s="235">
        <f>'Basis Options'!W633</f>
        <v>88691.424107912695</v>
      </c>
      <c r="AE629">
        <v>0</v>
      </c>
      <c r="AF629">
        <v>0</v>
      </c>
      <c r="AG629">
        <v>0</v>
      </c>
      <c r="AH629" s="235">
        <f>'Basis Options'!CD634</f>
        <v>0</v>
      </c>
      <c r="AI629">
        <v>226</v>
      </c>
      <c r="AJ629" t="s">
        <v>256</v>
      </c>
      <c r="AK629">
        <v>0</v>
      </c>
      <c r="AL629">
        <v>0</v>
      </c>
      <c r="AM629">
        <v>0</v>
      </c>
    </row>
    <row r="630" spans="1:39" x14ac:dyDescent="0.25">
      <c r="A630" t="s">
        <v>233</v>
      </c>
      <c r="B630" t="str">
        <f>'Basis Options'!C634</f>
        <v>NU5429</v>
      </c>
      <c r="C630" t="s">
        <v>255</v>
      </c>
      <c r="D630" t="s">
        <v>234</v>
      </c>
      <c r="E630" t="s">
        <v>20</v>
      </c>
      <c r="F630" t="str">
        <f>'Basis Options'!A634</f>
        <v>AEPENESER</v>
      </c>
      <c r="G630" t="s">
        <v>269</v>
      </c>
      <c r="H630" t="s">
        <v>254</v>
      </c>
      <c r="I630" t="s">
        <v>242</v>
      </c>
      <c r="J630" t="s">
        <v>235</v>
      </c>
      <c r="K630" s="380">
        <f>'Basis Options'!G634</f>
        <v>36831</v>
      </c>
      <c r="L630" s="235">
        <f>'Basis Options'!U634</f>
        <v>-53.7083042611238</v>
      </c>
      <c r="M630" s="380">
        <f>'Basis Options'!Q634</f>
        <v>36829</v>
      </c>
      <c r="N630" t="str">
        <f>'Basis Options'!F634</f>
        <v>C</v>
      </c>
      <c r="O630">
        <f>'Basis Options'!I634</f>
        <v>4</v>
      </c>
      <c r="P630">
        <v>0</v>
      </c>
      <c r="Q630">
        <v>0</v>
      </c>
      <c r="R630">
        <v>0</v>
      </c>
      <c r="S630">
        <v>0</v>
      </c>
      <c r="T630" t="s">
        <v>253</v>
      </c>
      <c r="U630" t="str">
        <f>IF('Basis Options'!D634="NGI/CHI. GATE","""NGI/CHI. GATE""",TRIM('Basis Options'!D634))</f>
        <v>IF-TRANSCO/Z6</v>
      </c>
      <c r="V630" t="s">
        <v>253</v>
      </c>
      <c r="W630" t="s">
        <v>132</v>
      </c>
      <c r="X630" t="s">
        <v>253</v>
      </c>
      <c r="Y630" t="s">
        <v>235</v>
      </c>
      <c r="Z630" t="s">
        <v>236</v>
      </c>
      <c r="AA630" t="s">
        <v>253</v>
      </c>
      <c r="AB630" t="s">
        <v>1</v>
      </c>
      <c r="AC630" s="235">
        <f>'Basis Options'!H634</f>
        <v>-300000</v>
      </c>
      <c r="AD630" s="235">
        <f>'Basis Options'!W634</f>
        <v>-72.952895003821737</v>
      </c>
      <c r="AE630">
        <v>0</v>
      </c>
      <c r="AF630">
        <v>0</v>
      </c>
      <c r="AG630">
        <v>0</v>
      </c>
      <c r="AH630" s="235">
        <f>'Basis Options'!CD635</f>
        <v>0</v>
      </c>
      <c r="AI630">
        <v>226</v>
      </c>
      <c r="AJ630" t="s">
        <v>256</v>
      </c>
      <c r="AK630">
        <v>0</v>
      </c>
      <c r="AL630">
        <v>0</v>
      </c>
      <c r="AM630">
        <v>0</v>
      </c>
    </row>
    <row r="631" spans="1:39" x14ac:dyDescent="0.25">
      <c r="A631" t="s">
        <v>233</v>
      </c>
      <c r="B631" t="str">
        <f>'Basis Options'!C635</f>
        <v>NU5429</v>
      </c>
      <c r="C631" t="s">
        <v>255</v>
      </c>
      <c r="D631" t="s">
        <v>234</v>
      </c>
      <c r="E631" t="s">
        <v>20</v>
      </c>
      <c r="F631" t="str">
        <f>'Basis Options'!A635</f>
        <v>AEPENESER</v>
      </c>
      <c r="G631" t="s">
        <v>269</v>
      </c>
      <c r="H631" t="s">
        <v>254</v>
      </c>
      <c r="I631" t="s">
        <v>242</v>
      </c>
      <c r="J631" t="s">
        <v>235</v>
      </c>
      <c r="K631" s="380">
        <f>'Basis Options'!G635</f>
        <v>36861</v>
      </c>
      <c r="L631" s="235">
        <f>'Basis Options'!U635</f>
        <v>-19519.821373188017</v>
      </c>
      <c r="M631" s="380">
        <f>'Basis Options'!Q635</f>
        <v>36859</v>
      </c>
      <c r="N631" t="str">
        <f>'Basis Options'!F635</f>
        <v>C</v>
      </c>
      <c r="O631">
        <f>'Basis Options'!I635</f>
        <v>4</v>
      </c>
      <c r="P631">
        <v>0</v>
      </c>
      <c r="Q631">
        <v>0</v>
      </c>
      <c r="R631">
        <v>0</v>
      </c>
      <c r="S631">
        <v>0</v>
      </c>
      <c r="T631" t="s">
        <v>253</v>
      </c>
      <c r="U631" t="str">
        <f>IF('Basis Options'!D635="NGI/CHI. GATE","""NGI/CHI. GATE""",TRIM('Basis Options'!D635))</f>
        <v>IF-TRANSCO/Z6</v>
      </c>
      <c r="V631" t="s">
        <v>253</v>
      </c>
      <c r="W631" t="s">
        <v>132</v>
      </c>
      <c r="X631" t="s">
        <v>253</v>
      </c>
      <c r="Y631" t="s">
        <v>235</v>
      </c>
      <c r="Z631" t="s">
        <v>236</v>
      </c>
      <c r="AA631" t="s">
        <v>253</v>
      </c>
      <c r="AB631" t="s">
        <v>1</v>
      </c>
      <c r="AC631" s="235">
        <f>'Basis Options'!H635</f>
        <v>-310000</v>
      </c>
      <c r="AD631" s="235">
        <f>'Basis Options'!W635</f>
        <v>-8052.9212353346047</v>
      </c>
      <c r="AE631">
        <v>0</v>
      </c>
      <c r="AF631">
        <v>0</v>
      </c>
      <c r="AG631">
        <v>0</v>
      </c>
      <c r="AH631" s="235">
        <f>'Basis Options'!CD636</f>
        <v>0</v>
      </c>
      <c r="AI631">
        <v>226</v>
      </c>
      <c r="AJ631" t="s">
        <v>256</v>
      </c>
      <c r="AK631">
        <v>0</v>
      </c>
      <c r="AL631">
        <v>0</v>
      </c>
      <c r="AM631">
        <v>0</v>
      </c>
    </row>
    <row r="632" spans="1:39" x14ac:dyDescent="0.25">
      <c r="A632" t="s">
        <v>233</v>
      </c>
      <c r="B632" t="str">
        <f>'Basis Options'!C636</f>
        <v>NU5429</v>
      </c>
      <c r="C632" t="s">
        <v>255</v>
      </c>
      <c r="D632" t="s">
        <v>234</v>
      </c>
      <c r="E632" t="s">
        <v>20</v>
      </c>
      <c r="F632" t="str">
        <f>'Basis Options'!A636</f>
        <v>AEPENESER</v>
      </c>
      <c r="G632" t="s">
        <v>269</v>
      </c>
      <c r="H632" t="s">
        <v>254</v>
      </c>
      <c r="I632" t="s">
        <v>242</v>
      </c>
      <c r="J632" t="s">
        <v>235</v>
      </c>
      <c r="K632" s="380">
        <f>'Basis Options'!G636</f>
        <v>36892</v>
      </c>
      <c r="L632" s="235">
        <f>'Basis Options'!U636</f>
        <v>-62035.030974661786</v>
      </c>
      <c r="M632" s="380">
        <f>'Basis Options'!Q636</f>
        <v>36888</v>
      </c>
      <c r="N632" t="str">
        <f>'Basis Options'!F636</f>
        <v>C</v>
      </c>
      <c r="O632">
        <f>'Basis Options'!I636</f>
        <v>4</v>
      </c>
      <c r="P632">
        <v>0</v>
      </c>
      <c r="Q632">
        <v>0</v>
      </c>
      <c r="R632">
        <v>0</v>
      </c>
      <c r="S632">
        <v>0</v>
      </c>
      <c r="T632" t="s">
        <v>253</v>
      </c>
      <c r="U632" t="str">
        <f>IF('Basis Options'!D636="NGI/CHI. GATE","""NGI/CHI. GATE""",TRIM('Basis Options'!D636))</f>
        <v>IF-TRANSCO/Z6</v>
      </c>
      <c r="V632" t="s">
        <v>253</v>
      </c>
      <c r="W632" t="s">
        <v>132</v>
      </c>
      <c r="X632" t="s">
        <v>253</v>
      </c>
      <c r="Y632" t="s">
        <v>235</v>
      </c>
      <c r="Z632" t="s">
        <v>236</v>
      </c>
      <c r="AA632" t="s">
        <v>253</v>
      </c>
      <c r="AB632" t="s">
        <v>1</v>
      </c>
      <c r="AC632" s="235">
        <f>'Basis Options'!H636</f>
        <v>-310000</v>
      </c>
      <c r="AD632" s="235">
        <f>'Basis Options'!W636</f>
        <v>-15786.169648573938</v>
      </c>
      <c r="AE632">
        <v>0</v>
      </c>
      <c r="AF632">
        <v>0</v>
      </c>
      <c r="AG632">
        <v>0</v>
      </c>
      <c r="AH632" s="235">
        <f>'Basis Options'!CD637</f>
        <v>0</v>
      </c>
      <c r="AI632">
        <v>226</v>
      </c>
      <c r="AJ632" t="s">
        <v>256</v>
      </c>
      <c r="AK632">
        <v>0</v>
      </c>
      <c r="AL632">
        <v>0</v>
      </c>
      <c r="AM632">
        <v>0</v>
      </c>
    </row>
    <row r="633" spans="1:39" x14ac:dyDescent="0.25">
      <c r="A633" t="s">
        <v>233</v>
      </c>
      <c r="B633" t="str">
        <f>'Basis Options'!C637</f>
        <v>NU5429</v>
      </c>
      <c r="C633" t="s">
        <v>255</v>
      </c>
      <c r="D633" t="s">
        <v>234</v>
      </c>
      <c r="E633" t="s">
        <v>20</v>
      </c>
      <c r="F633" t="str">
        <f>'Basis Options'!A637</f>
        <v>AEPENESER</v>
      </c>
      <c r="G633" t="s">
        <v>269</v>
      </c>
      <c r="H633" t="s">
        <v>254</v>
      </c>
      <c r="I633" t="s">
        <v>242</v>
      </c>
      <c r="J633" t="s">
        <v>235</v>
      </c>
      <c r="K633" s="380">
        <f>'Basis Options'!G637</f>
        <v>36923</v>
      </c>
      <c r="L633" s="235">
        <f>'Basis Options'!U637</f>
        <v>-61705.128033855894</v>
      </c>
      <c r="M633" s="380">
        <f>'Basis Options'!Q637</f>
        <v>36921</v>
      </c>
      <c r="N633" t="str">
        <f>'Basis Options'!F637</f>
        <v>C</v>
      </c>
      <c r="O633">
        <f>'Basis Options'!I637</f>
        <v>4</v>
      </c>
      <c r="P633">
        <v>0</v>
      </c>
      <c r="Q633">
        <v>0</v>
      </c>
      <c r="R633">
        <v>0</v>
      </c>
      <c r="S633">
        <v>0</v>
      </c>
      <c r="T633" t="s">
        <v>253</v>
      </c>
      <c r="U633" t="str">
        <f>IF('Basis Options'!D637="NGI/CHI. GATE","""NGI/CHI. GATE""",TRIM('Basis Options'!D637))</f>
        <v>IF-TRANSCO/Z6</v>
      </c>
      <c r="V633" t="s">
        <v>253</v>
      </c>
      <c r="W633" t="s">
        <v>132</v>
      </c>
      <c r="X633" t="s">
        <v>253</v>
      </c>
      <c r="Y633" t="s">
        <v>235</v>
      </c>
      <c r="Z633" t="s">
        <v>236</v>
      </c>
      <c r="AA633" t="s">
        <v>253</v>
      </c>
      <c r="AB633" t="s">
        <v>1</v>
      </c>
      <c r="AC633" s="235">
        <f>'Basis Options'!H637</f>
        <v>-280000</v>
      </c>
      <c r="AD633" s="235">
        <f>'Basis Options'!W637</f>
        <v>-15908.790543330964</v>
      </c>
      <c r="AE633">
        <v>0</v>
      </c>
      <c r="AF633">
        <v>0</v>
      </c>
      <c r="AG633">
        <v>0</v>
      </c>
      <c r="AH633" s="235">
        <f>'Basis Options'!CD638</f>
        <v>0</v>
      </c>
      <c r="AI633">
        <v>226</v>
      </c>
      <c r="AJ633" t="s">
        <v>256</v>
      </c>
      <c r="AK633">
        <v>0</v>
      </c>
      <c r="AL633">
        <v>0</v>
      </c>
      <c r="AM633">
        <v>0</v>
      </c>
    </row>
    <row r="634" spans="1:39" x14ac:dyDescent="0.25">
      <c r="A634" t="s">
        <v>233</v>
      </c>
      <c r="B634" t="str">
        <f>'Basis Options'!C638</f>
        <v>NU5429</v>
      </c>
      <c r="C634" t="s">
        <v>255</v>
      </c>
      <c r="D634" t="s">
        <v>234</v>
      </c>
      <c r="E634" t="s">
        <v>20</v>
      </c>
      <c r="F634" t="str">
        <f>'Basis Options'!A638</f>
        <v>AEPENESER</v>
      </c>
      <c r="G634" t="s">
        <v>269</v>
      </c>
      <c r="H634" t="s">
        <v>254</v>
      </c>
      <c r="I634" t="s">
        <v>242</v>
      </c>
      <c r="J634" t="s">
        <v>235</v>
      </c>
      <c r="K634" s="380">
        <f>'Basis Options'!G638</f>
        <v>36951</v>
      </c>
      <c r="L634" s="235">
        <f>'Basis Options'!U638</f>
        <v>-14695.501658708263</v>
      </c>
      <c r="M634" s="380">
        <f>'Basis Options'!Q638</f>
        <v>36949</v>
      </c>
      <c r="N634" t="str">
        <f>'Basis Options'!F638</f>
        <v>C</v>
      </c>
      <c r="O634">
        <f>'Basis Options'!I638</f>
        <v>4</v>
      </c>
      <c r="P634">
        <v>0</v>
      </c>
      <c r="Q634">
        <v>0</v>
      </c>
      <c r="R634">
        <v>0</v>
      </c>
      <c r="S634">
        <v>0</v>
      </c>
      <c r="T634" t="s">
        <v>253</v>
      </c>
      <c r="U634" t="str">
        <f>IF('Basis Options'!D638="NGI/CHI. GATE","""NGI/CHI. GATE""",TRIM('Basis Options'!D638))</f>
        <v>IF-TRANSCO/Z6</v>
      </c>
      <c r="V634" t="s">
        <v>253</v>
      </c>
      <c r="W634" t="s">
        <v>132</v>
      </c>
      <c r="X634" t="s">
        <v>253</v>
      </c>
      <c r="Y634" t="s">
        <v>235</v>
      </c>
      <c r="Z634" t="s">
        <v>236</v>
      </c>
      <c r="AA634" t="s">
        <v>253</v>
      </c>
      <c r="AB634" t="s">
        <v>1</v>
      </c>
      <c r="AC634" s="235">
        <f>'Basis Options'!H638</f>
        <v>-310000</v>
      </c>
      <c r="AD634" s="235">
        <f>'Basis Options'!W638</f>
        <v>-7965.7141829743523</v>
      </c>
      <c r="AE634">
        <v>0</v>
      </c>
      <c r="AF634">
        <v>0</v>
      </c>
      <c r="AG634">
        <v>0</v>
      </c>
      <c r="AH634" s="235">
        <f>'Basis Options'!CD639</f>
        <v>0</v>
      </c>
      <c r="AI634">
        <v>226</v>
      </c>
      <c r="AJ634" t="s">
        <v>256</v>
      </c>
      <c r="AK634">
        <v>0</v>
      </c>
      <c r="AL634">
        <v>0</v>
      </c>
      <c r="AM634">
        <v>0</v>
      </c>
    </row>
    <row r="635" spans="1:39" x14ac:dyDescent="0.25">
      <c r="A635" t="s">
        <v>233</v>
      </c>
      <c r="B635" t="str">
        <f>'Basis Options'!C639</f>
        <v>NU5433.1</v>
      </c>
      <c r="C635" t="s">
        <v>255</v>
      </c>
      <c r="D635" t="s">
        <v>234</v>
      </c>
      <c r="E635" t="s">
        <v>20</v>
      </c>
      <c r="F635" t="str">
        <f>'Basis Options'!A639</f>
        <v>ELPASMER</v>
      </c>
      <c r="G635" t="s">
        <v>269</v>
      </c>
      <c r="H635" t="s">
        <v>254</v>
      </c>
      <c r="I635" t="s">
        <v>242</v>
      </c>
      <c r="J635" t="s">
        <v>235</v>
      </c>
      <c r="K635" s="380">
        <f>'Basis Options'!G639</f>
        <v>36770</v>
      </c>
      <c r="L635" s="235">
        <f>'Basis Options'!U639</f>
        <v>2.5169300410521345E-2</v>
      </c>
      <c r="M635" s="380">
        <f>'Basis Options'!Q639</f>
        <v>36768</v>
      </c>
      <c r="N635" t="str">
        <f>'Basis Options'!F639</f>
        <v>C</v>
      </c>
      <c r="O635">
        <f>'Basis Options'!I639</f>
        <v>-0.6</v>
      </c>
      <c r="P635">
        <v>0</v>
      </c>
      <c r="Q635">
        <v>0</v>
      </c>
      <c r="R635">
        <v>0</v>
      </c>
      <c r="S635">
        <v>0</v>
      </c>
      <c r="T635" t="s">
        <v>253</v>
      </c>
      <c r="U635" t="str">
        <f>IF('Basis Options'!D639="NGI/CHI. GATE","""NGI/CHI. GATE""",TRIM('Basis Options'!D639))</f>
        <v>IF-NWPL_ROCKY_M</v>
      </c>
      <c r="V635" t="s">
        <v>253</v>
      </c>
      <c r="W635" t="s">
        <v>132</v>
      </c>
      <c r="X635" t="s">
        <v>253</v>
      </c>
      <c r="Y635" t="s">
        <v>235</v>
      </c>
      <c r="Z635" t="s">
        <v>236</v>
      </c>
      <c r="AA635" t="s">
        <v>253</v>
      </c>
      <c r="AB635" t="s">
        <v>1</v>
      </c>
      <c r="AC635" s="235">
        <f>'Basis Options'!H639</f>
        <v>300000</v>
      </c>
      <c r="AD635" s="235">
        <f>'Basis Options'!W639</f>
        <v>-1.1578382486110428E-2</v>
      </c>
      <c r="AE635">
        <v>0</v>
      </c>
      <c r="AF635">
        <v>0</v>
      </c>
      <c r="AG635">
        <v>0</v>
      </c>
      <c r="AH635" s="235">
        <f>'Basis Options'!CD640</f>
        <v>0</v>
      </c>
      <c r="AI635">
        <v>226</v>
      </c>
      <c r="AJ635" t="s">
        <v>256</v>
      </c>
      <c r="AK635">
        <v>0</v>
      </c>
      <c r="AL635">
        <v>0</v>
      </c>
      <c r="AM635">
        <v>0</v>
      </c>
    </row>
    <row r="636" spans="1:39" x14ac:dyDescent="0.25">
      <c r="A636" t="s">
        <v>233</v>
      </c>
      <c r="B636" t="str">
        <f>'Basis Options'!C640</f>
        <v>NU5433.1</v>
      </c>
      <c r="C636" t="s">
        <v>255</v>
      </c>
      <c r="D636" t="s">
        <v>234</v>
      </c>
      <c r="E636" t="s">
        <v>20</v>
      </c>
      <c r="F636" t="str">
        <f>'Basis Options'!A640</f>
        <v>ELPASMER</v>
      </c>
      <c r="G636" t="s">
        <v>269</v>
      </c>
      <c r="H636" t="s">
        <v>254</v>
      </c>
      <c r="I636" t="s">
        <v>242</v>
      </c>
      <c r="J636" t="s">
        <v>235</v>
      </c>
      <c r="K636" s="380">
        <f>'Basis Options'!G640</f>
        <v>36800</v>
      </c>
      <c r="L636" s="235">
        <f>'Basis Options'!U640</f>
        <v>25034.217066885114</v>
      </c>
      <c r="M636" s="380">
        <f>'Basis Options'!Q640</f>
        <v>36797</v>
      </c>
      <c r="N636" t="str">
        <f>'Basis Options'!F640</f>
        <v>C</v>
      </c>
      <c r="O636">
        <f>'Basis Options'!I640</f>
        <v>-0.6</v>
      </c>
      <c r="P636">
        <v>0</v>
      </c>
      <c r="Q636">
        <v>0</v>
      </c>
      <c r="R636">
        <v>0</v>
      </c>
      <c r="S636">
        <v>0</v>
      </c>
      <c r="T636" t="s">
        <v>253</v>
      </c>
      <c r="U636" t="str">
        <f>IF('Basis Options'!D640="NGI/CHI. GATE","""NGI/CHI. GATE""",TRIM('Basis Options'!D640))</f>
        <v>IF-NWPL_ROCKY_M</v>
      </c>
      <c r="V636" t="s">
        <v>253</v>
      </c>
      <c r="W636" t="s">
        <v>132</v>
      </c>
      <c r="X636" t="s">
        <v>253</v>
      </c>
      <c r="Y636" t="s">
        <v>235</v>
      </c>
      <c r="Z636" t="s">
        <v>236</v>
      </c>
      <c r="AA636" t="s">
        <v>253</v>
      </c>
      <c r="AB636" t="s">
        <v>1</v>
      </c>
      <c r="AC636" s="235">
        <f>'Basis Options'!H640</f>
        <v>310000</v>
      </c>
      <c r="AD636" s="235">
        <f>'Basis Options'!W640</f>
        <v>9666.9446424769703</v>
      </c>
      <c r="AE636">
        <v>0</v>
      </c>
      <c r="AF636">
        <v>0</v>
      </c>
      <c r="AG636">
        <v>0</v>
      </c>
      <c r="AH636" s="235">
        <f>'Basis Options'!CD641</f>
        <v>0</v>
      </c>
      <c r="AI636">
        <v>226</v>
      </c>
      <c r="AJ636" t="s">
        <v>256</v>
      </c>
      <c r="AK636">
        <v>0</v>
      </c>
      <c r="AL636">
        <v>0</v>
      </c>
      <c r="AM636">
        <v>0</v>
      </c>
    </row>
    <row r="637" spans="1:39" x14ac:dyDescent="0.25">
      <c r="A637" t="s">
        <v>233</v>
      </c>
      <c r="B637" t="str">
        <f>'Basis Options'!C641</f>
        <v>NU5433.2</v>
      </c>
      <c r="C637" t="s">
        <v>255</v>
      </c>
      <c r="D637" t="s">
        <v>234</v>
      </c>
      <c r="E637" t="s">
        <v>20</v>
      </c>
      <c r="F637" t="str">
        <f>'Basis Options'!A641</f>
        <v>ELPASMER</v>
      </c>
      <c r="G637" t="s">
        <v>269</v>
      </c>
      <c r="H637" t="s">
        <v>254</v>
      </c>
      <c r="I637" t="s">
        <v>242</v>
      </c>
      <c r="J637" t="s">
        <v>235</v>
      </c>
      <c r="K637" s="380">
        <f>'Basis Options'!G641</f>
        <v>36770</v>
      </c>
      <c r="L637" s="235">
        <f>'Basis Options'!U641</f>
        <v>-2.1236324065920797E-2</v>
      </c>
      <c r="M637" s="380">
        <f>'Basis Options'!Q641</f>
        <v>36768</v>
      </c>
      <c r="N637" t="str">
        <f>'Basis Options'!F641</f>
        <v>C</v>
      </c>
      <c r="O637">
        <f>'Basis Options'!I641</f>
        <v>-0.7</v>
      </c>
      <c r="P637">
        <v>0</v>
      </c>
      <c r="Q637">
        <v>0</v>
      </c>
      <c r="R637">
        <v>0</v>
      </c>
      <c r="S637">
        <v>0</v>
      </c>
      <c r="T637" t="s">
        <v>253</v>
      </c>
      <c r="U637" t="str">
        <f>IF('Basis Options'!D641="NGI/CHI. GATE","""NGI/CHI. GATE""",TRIM('Basis Options'!D641))</f>
        <v>IF-NWPL_ROCKY_M</v>
      </c>
      <c r="V637" t="s">
        <v>253</v>
      </c>
      <c r="W637" t="s">
        <v>132</v>
      </c>
      <c r="X637" t="s">
        <v>253</v>
      </c>
      <c r="Y637" t="s">
        <v>235</v>
      </c>
      <c r="Z637" t="s">
        <v>236</v>
      </c>
      <c r="AA637" t="s">
        <v>253</v>
      </c>
      <c r="AB637" t="s">
        <v>1</v>
      </c>
      <c r="AC637" s="235">
        <f>'Basis Options'!H641</f>
        <v>-300000</v>
      </c>
      <c r="AD637" s="235">
        <f>'Basis Options'!W641</f>
        <v>1.1578383218857624E-2</v>
      </c>
      <c r="AE637">
        <v>0</v>
      </c>
      <c r="AF637">
        <v>0</v>
      </c>
      <c r="AG637">
        <v>0</v>
      </c>
      <c r="AH637" s="235">
        <f>'Basis Options'!CD642</f>
        <v>0</v>
      </c>
      <c r="AI637">
        <v>226</v>
      </c>
      <c r="AJ637" t="s">
        <v>256</v>
      </c>
      <c r="AK637">
        <v>0</v>
      </c>
      <c r="AL637">
        <v>0</v>
      </c>
      <c r="AM637">
        <v>0</v>
      </c>
    </row>
    <row r="638" spans="1:39" x14ac:dyDescent="0.25">
      <c r="A638" t="s">
        <v>233</v>
      </c>
      <c r="B638" t="str">
        <f>'Basis Options'!C642</f>
        <v>NU5433.2</v>
      </c>
      <c r="C638" t="s">
        <v>255</v>
      </c>
      <c r="D638" t="s">
        <v>234</v>
      </c>
      <c r="E638" t="s">
        <v>20</v>
      </c>
      <c r="F638" t="str">
        <f>'Basis Options'!A642</f>
        <v>ELPASMER</v>
      </c>
      <c r="G638" t="s">
        <v>269</v>
      </c>
      <c r="H638" t="s">
        <v>254</v>
      </c>
      <c r="I638" t="s">
        <v>242</v>
      </c>
      <c r="J638" t="s">
        <v>235</v>
      </c>
      <c r="K638" s="380">
        <f>'Basis Options'!G642</f>
        <v>36800</v>
      </c>
      <c r="L638" s="235">
        <f>'Basis Options'!U642</f>
        <v>-36515.506442743157</v>
      </c>
      <c r="M638" s="380">
        <f>'Basis Options'!Q642</f>
        <v>36797</v>
      </c>
      <c r="N638" t="str">
        <f>'Basis Options'!F642</f>
        <v>C</v>
      </c>
      <c r="O638">
        <f>'Basis Options'!I642</f>
        <v>-0.7</v>
      </c>
      <c r="P638">
        <v>0</v>
      </c>
      <c r="Q638">
        <v>0</v>
      </c>
      <c r="R638">
        <v>0</v>
      </c>
      <c r="S638">
        <v>0</v>
      </c>
      <c r="T638" t="s">
        <v>253</v>
      </c>
      <c r="U638" t="str">
        <f>IF('Basis Options'!D642="NGI/CHI. GATE","""NGI/CHI. GATE""",TRIM('Basis Options'!D642))</f>
        <v>IF-NWPL_ROCKY_M</v>
      </c>
      <c r="V638" t="s">
        <v>253</v>
      </c>
      <c r="W638" t="s">
        <v>132</v>
      </c>
      <c r="X638" t="s">
        <v>253</v>
      </c>
      <c r="Y638" t="s">
        <v>235</v>
      </c>
      <c r="Z638" t="s">
        <v>236</v>
      </c>
      <c r="AA638" t="s">
        <v>253</v>
      </c>
      <c r="AB638" t="s">
        <v>1</v>
      </c>
      <c r="AC638" s="235">
        <f>'Basis Options'!H642</f>
        <v>-310000</v>
      </c>
      <c r="AD638" s="235">
        <f>'Basis Options'!W642</f>
        <v>-10515.023141844606</v>
      </c>
      <c r="AE638">
        <v>0</v>
      </c>
      <c r="AF638">
        <v>0</v>
      </c>
      <c r="AG638">
        <v>0</v>
      </c>
      <c r="AH638" s="235">
        <f>'Basis Options'!CD643</f>
        <v>0</v>
      </c>
      <c r="AI638">
        <v>226</v>
      </c>
      <c r="AJ638" t="s">
        <v>256</v>
      </c>
      <c r="AK638">
        <v>0</v>
      </c>
      <c r="AL638">
        <v>0</v>
      </c>
      <c r="AM638">
        <v>0</v>
      </c>
    </row>
    <row r="639" spans="1:39" x14ac:dyDescent="0.25">
      <c r="A639" t="s">
        <v>233</v>
      </c>
      <c r="B639" t="str">
        <f>'Basis Options'!C643</f>
        <v>NU5442</v>
      </c>
      <c r="C639" t="s">
        <v>255</v>
      </c>
      <c r="D639" t="s">
        <v>234</v>
      </c>
      <c r="E639" t="s">
        <v>20</v>
      </c>
      <c r="F639" t="str">
        <f>'Basis Options'!A643</f>
        <v>ELPASMER</v>
      </c>
      <c r="G639" t="s">
        <v>269</v>
      </c>
      <c r="H639" t="s">
        <v>254</v>
      </c>
      <c r="I639" t="s">
        <v>242</v>
      </c>
      <c r="J639" t="s">
        <v>235</v>
      </c>
      <c r="K639" s="380">
        <f>'Basis Options'!G643</f>
        <v>36951</v>
      </c>
      <c r="L639" s="235">
        <f>'Basis Options'!U643</f>
        <v>472434.21404027834</v>
      </c>
      <c r="M639" s="380">
        <f>'Basis Options'!Q643</f>
        <v>36949</v>
      </c>
      <c r="N639" t="str">
        <f>'Basis Options'!F643</f>
        <v>C</v>
      </c>
      <c r="O639">
        <f>'Basis Options'!I643</f>
        <v>2</v>
      </c>
      <c r="P639">
        <v>0</v>
      </c>
      <c r="Q639">
        <v>0</v>
      </c>
      <c r="R639">
        <v>0</v>
      </c>
      <c r="S639">
        <v>0</v>
      </c>
      <c r="T639" t="s">
        <v>253</v>
      </c>
      <c r="U639" t="str">
        <f>IF('Basis Options'!D643="NGI/CHI. GATE","""NGI/CHI. GATE""",TRIM('Basis Options'!D643))</f>
        <v>IF-TRANSCO/Z6</v>
      </c>
      <c r="V639" t="s">
        <v>253</v>
      </c>
      <c r="W639" t="s">
        <v>132</v>
      </c>
      <c r="X639" t="s">
        <v>253</v>
      </c>
      <c r="Y639" t="s">
        <v>235</v>
      </c>
      <c r="Z639" t="s">
        <v>236</v>
      </c>
      <c r="AA639" t="s">
        <v>253</v>
      </c>
      <c r="AB639" t="s">
        <v>1</v>
      </c>
      <c r="AC639" s="235">
        <f>'Basis Options'!H643</f>
        <v>2000000</v>
      </c>
      <c r="AD639" s="235">
        <f>'Basis Options'!W643</f>
        <v>141335.50230542215</v>
      </c>
      <c r="AE639">
        <v>0</v>
      </c>
      <c r="AF639">
        <v>0</v>
      </c>
      <c r="AG639">
        <v>0</v>
      </c>
      <c r="AH639" s="235">
        <f>'Basis Options'!CD644</f>
        <v>0</v>
      </c>
      <c r="AI639">
        <v>226</v>
      </c>
      <c r="AJ639" t="s">
        <v>256</v>
      </c>
      <c r="AK639">
        <v>0</v>
      </c>
      <c r="AL639">
        <v>0</v>
      </c>
      <c r="AM639">
        <v>0</v>
      </c>
    </row>
    <row r="640" spans="1:39" x14ac:dyDescent="0.25">
      <c r="A640" t="s">
        <v>233</v>
      </c>
      <c r="B640" t="str">
        <f>'Basis Options'!C644</f>
        <v>NU5447</v>
      </c>
      <c r="C640" t="s">
        <v>255</v>
      </c>
      <c r="D640" t="s">
        <v>234</v>
      </c>
      <c r="E640" t="s">
        <v>20</v>
      </c>
      <c r="F640" t="str">
        <f>'Basis Options'!A644</f>
        <v>CMSMARSERTRA</v>
      </c>
      <c r="G640" t="s">
        <v>269</v>
      </c>
      <c r="H640" t="s">
        <v>254</v>
      </c>
      <c r="I640" t="s">
        <v>242</v>
      </c>
      <c r="J640" t="s">
        <v>235</v>
      </c>
      <c r="K640" s="380">
        <f>'Basis Options'!G644</f>
        <v>36770</v>
      </c>
      <c r="L640" s="235">
        <f>'Basis Options'!U644</f>
        <v>899834.50811027386</v>
      </c>
      <c r="M640" s="380">
        <f>'Basis Options'!Q644</f>
        <v>36768</v>
      </c>
      <c r="N640" t="str">
        <f>'Basis Options'!F644</f>
        <v>C</v>
      </c>
      <c r="O640">
        <f>'Basis Options'!I644</f>
        <v>0.5</v>
      </c>
      <c r="P640">
        <v>0</v>
      </c>
      <c r="Q640">
        <v>0</v>
      </c>
      <c r="R640">
        <v>0</v>
      </c>
      <c r="S640">
        <v>0</v>
      </c>
      <c r="T640" t="s">
        <v>253</v>
      </c>
      <c r="U640" t="str">
        <f>IF('Basis Options'!D644="NGI/CHI. GATE","""NGI/CHI. GATE""",TRIM('Basis Options'!D644))</f>
        <v>NGI-SOCAL</v>
      </c>
      <c r="V640" t="s">
        <v>253</v>
      </c>
      <c r="W640" t="s">
        <v>132</v>
      </c>
      <c r="X640" t="s">
        <v>253</v>
      </c>
      <c r="Y640" t="s">
        <v>235</v>
      </c>
      <c r="Z640" t="s">
        <v>236</v>
      </c>
      <c r="AA640" t="s">
        <v>253</v>
      </c>
      <c r="AB640" t="s">
        <v>1</v>
      </c>
      <c r="AC640" s="235">
        <f>'Basis Options'!H644</f>
        <v>450000</v>
      </c>
      <c r="AD640" s="235">
        <f>'Basis Options'!W644</f>
        <v>-1.7966469225939363E-2</v>
      </c>
      <c r="AE640">
        <v>0</v>
      </c>
      <c r="AF640">
        <v>0</v>
      </c>
      <c r="AG640">
        <v>0</v>
      </c>
      <c r="AH640" s="235">
        <f>'Basis Options'!CD645</f>
        <v>0</v>
      </c>
      <c r="AI640">
        <v>226</v>
      </c>
      <c r="AJ640" t="s">
        <v>256</v>
      </c>
      <c r="AK640">
        <v>0</v>
      </c>
      <c r="AL640">
        <v>0</v>
      </c>
      <c r="AM640">
        <v>0</v>
      </c>
    </row>
    <row r="641" spans="1:39" x14ac:dyDescent="0.25">
      <c r="A641" t="s">
        <v>233</v>
      </c>
      <c r="B641" t="str">
        <f>'Basis Options'!C645</f>
        <v>NU5447</v>
      </c>
      <c r="C641" t="s">
        <v>255</v>
      </c>
      <c r="D641" t="s">
        <v>234</v>
      </c>
      <c r="E641" t="s">
        <v>20</v>
      </c>
      <c r="F641" t="str">
        <f>'Basis Options'!A645</f>
        <v>CMSMARSERTRA</v>
      </c>
      <c r="G641" t="s">
        <v>269</v>
      </c>
      <c r="H641" t="s">
        <v>254</v>
      </c>
      <c r="I641" t="s">
        <v>242</v>
      </c>
      <c r="J641" t="s">
        <v>235</v>
      </c>
      <c r="K641" s="380">
        <f>'Basis Options'!G645</f>
        <v>36800</v>
      </c>
      <c r="L641" s="235">
        <f>'Basis Options'!U645</f>
        <v>689152.26010147599</v>
      </c>
      <c r="M641" s="380">
        <f>'Basis Options'!Q645</f>
        <v>36797</v>
      </c>
      <c r="N641" t="str">
        <f>'Basis Options'!F645</f>
        <v>C</v>
      </c>
      <c r="O641">
        <f>'Basis Options'!I645</f>
        <v>0.5</v>
      </c>
      <c r="P641">
        <v>0</v>
      </c>
      <c r="Q641">
        <v>0</v>
      </c>
      <c r="R641">
        <v>0</v>
      </c>
      <c r="S641">
        <v>0</v>
      </c>
      <c r="T641" t="s">
        <v>253</v>
      </c>
      <c r="U641" t="str">
        <f>IF('Basis Options'!D645="NGI/CHI. GATE","""NGI/CHI. GATE""",TRIM('Basis Options'!D645))</f>
        <v>NGI-SOCAL</v>
      </c>
      <c r="V641" t="s">
        <v>253</v>
      </c>
      <c r="W641" t="s">
        <v>132</v>
      </c>
      <c r="X641" t="s">
        <v>253</v>
      </c>
      <c r="Y641" t="s">
        <v>235</v>
      </c>
      <c r="Z641" t="s">
        <v>236</v>
      </c>
      <c r="AA641" t="s">
        <v>253</v>
      </c>
      <c r="AB641" t="s">
        <v>1</v>
      </c>
      <c r="AC641" s="235">
        <f>'Basis Options'!H645</f>
        <v>465000</v>
      </c>
      <c r="AD641" s="235">
        <f>'Basis Options'!W645</f>
        <v>309.33889320219168</v>
      </c>
      <c r="AE641">
        <v>0</v>
      </c>
      <c r="AF641">
        <v>0</v>
      </c>
      <c r="AG641">
        <v>0</v>
      </c>
      <c r="AH641" s="235">
        <f>'Basis Options'!CD646</f>
        <v>0</v>
      </c>
      <c r="AI641">
        <v>226</v>
      </c>
      <c r="AJ641" t="s">
        <v>256</v>
      </c>
      <c r="AK641">
        <v>0</v>
      </c>
      <c r="AL641">
        <v>0</v>
      </c>
      <c r="AM641">
        <v>0</v>
      </c>
    </row>
    <row r="642" spans="1:39" x14ac:dyDescent="0.25">
      <c r="A642" t="s">
        <v>233</v>
      </c>
      <c r="B642" t="str">
        <f>'Basis Options'!C646</f>
        <v>NU5454</v>
      </c>
      <c r="C642" t="s">
        <v>255</v>
      </c>
      <c r="D642" t="s">
        <v>234</v>
      </c>
      <c r="E642" t="s">
        <v>20</v>
      </c>
      <c r="F642" t="str">
        <f>'Basis Options'!A646</f>
        <v>DUKEENETRA</v>
      </c>
      <c r="G642" t="s">
        <v>269</v>
      </c>
      <c r="H642" t="s">
        <v>254</v>
      </c>
      <c r="I642" t="s">
        <v>242</v>
      </c>
      <c r="J642" t="s">
        <v>235</v>
      </c>
      <c r="K642" s="380">
        <f>'Basis Options'!G646</f>
        <v>36982</v>
      </c>
      <c r="L642" s="235">
        <f>'Basis Options'!U646</f>
        <v>14370.048152430525</v>
      </c>
      <c r="M642" s="380">
        <f>'Basis Options'!Q646</f>
        <v>36979</v>
      </c>
      <c r="N642" t="str">
        <f>'Basis Options'!F646</f>
        <v>P</v>
      </c>
      <c r="O642">
        <f>'Basis Options'!I646</f>
        <v>0.3</v>
      </c>
      <c r="P642">
        <v>0</v>
      </c>
      <c r="Q642">
        <v>0</v>
      </c>
      <c r="R642">
        <v>0</v>
      </c>
      <c r="S642">
        <v>0</v>
      </c>
      <c r="T642" t="s">
        <v>253</v>
      </c>
      <c r="U642" t="str">
        <f>IF('Basis Options'!D646="NGI/CHI. GATE","""NGI/CHI. GATE""",TRIM('Basis Options'!D646))</f>
        <v>IF-TRANSCO/Z6</v>
      </c>
      <c r="V642" t="s">
        <v>253</v>
      </c>
      <c r="W642" t="s">
        <v>132</v>
      </c>
      <c r="X642" t="s">
        <v>253</v>
      </c>
      <c r="Y642" t="s">
        <v>235</v>
      </c>
      <c r="Z642" t="s">
        <v>236</v>
      </c>
      <c r="AA642" t="s">
        <v>253</v>
      </c>
      <c r="AB642" t="s">
        <v>1</v>
      </c>
      <c r="AC642" s="235">
        <f>'Basis Options'!H646</f>
        <v>300000</v>
      </c>
      <c r="AD642" s="235">
        <f>'Basis Options'!W646</f>
        <v>6673.9625281626504</v>
      </c>
      <c r="AE642">
        <v>0</v>
      </c>
      <c r="AF642">
        <v>0</v>
      </c>
      <c r="AG642">
        <v>0</v>
      </c>
      <c r="AH642" s="235">
        <f>'Basis Options'!CD647</f>
        <v>0</v>
      </c>
      <c r="AI642">
        <v>226</v>
      </c>
      <c r="AJ642" t="s">
        <v>256</v>
      </c>
      <c r="AK642">
        <v>0</v>
      </c>
      <c r="AL642">
        <v>0</v>
      </c>
      <c r="AM642">
        <v>0</v>
      </c>
    </row>
    <row r="643" spans="1:39" x14ac:dyDescent="0.25">
      <c r="A643" t="s">
        <v>233</v>
      </c>
      <c r="B643" t="str">
        <f>'Basis Options'!C647</f>
        <v>NU5454</v>
      </c>
      <c r="C643" t="s">
        <v>255</v>
      </c>
      <c r="D643" t="s">
        <v>234</v>
      </c>
      <c r="E643" t="s">
        <v>20</v>
      </c>
      <c r="F643" t="str">
        <f>'Basis Options'!A647</f>
        <v>DUKEENETRA</v>
      </c>
      <c r="G643" t="s">
        <v>269</v>
      </c>
      <c r="H643" t="s">
        <v>254</v>
      </c>
      <c r="I643" t="s">
        <v>242</v>
      </c>
      <c r="J643" t="s">
        <v>235</v>
      </c>
      <c r="K643" s="380">
        <f>'Basis Options'!G647</f>
        <v>37012</v>
      </c>
      <c r="L643" s="235">
        <f>'Basis Options'!U647</f>
        <v>23194.859498469792</v>
      </c>
      <c r="M643" s="380">
        <f>'Basis Options'!Q647</f>
        <v>37008</v>
      </c>
      <c r="N643" t="str">
        <f>'Basis Options'!F647</f>
        <v>P</v>
      </c>
      <c r="O643">
        <f>'Basis Options'!I647</f>
        <v>0.3</v>
      </c>
      <c r="P643">
        <v>0</v>
      </c>
      <c r="Q643">
        <v>0</v>
      </c>
      <c r="R643">
        <v>0</v>
      </c>
      <c r="S643">
        <v>0</v>
      </c>
      <c r="T643" t="s">
        <v>253</v>
      </c>
      <c r="U643" t="str">
        <f>IF('Basis Options'!D647="NGI/CHI. GATE","""NGI/CHI. GATE""",TRIM('Basis Options'!D647))</f>
        <v>IF-TRANSCO/Z6</v>
      </c>
      <c r="V643" t="s">
        <v>253</v>
      </c>
      <c r="W643" t="s">
        <v>132</v>
      </c>
      <c r="X643" t="s">
        <v>253</v>
      </c>
      <c r="Y643" t="s">
        <v>235</v>
      </c>
      <c r="Z643" t="s">
        <v>236</v>
      </c>
      <c r="AA643" t="s">
        <v>253</v>
      </c>
      <c r="AB643" t="s">
        <v>1</v>
      </c>
      <c r="AC643" s="235">
        <f>'Basis Options'!H647</f>
        <v>310000</v>
      </c>
      <c r="AD643" s="235">
        <f>'Basis Options'!W647</f>
        <v>7891.7919486311876</v>
      </c>
      <c r="AE643">
        <v>0</v>
      </c>
      <c r="AF643">
        <v>0</v>
      </c>
      <c r="AG643">
        <v>0</v>
      </c>
      <c r="AH643" s="235">
        <f>'Basis Options'!CD648</f>
        <v>0</v>
      </c>
      <c r="AI643">
        <v>226</v>
      </c>
      <c r="AJ643" t="s">
        <v>256</v>
      </c>
      <c r="AK643">
        <v>0</v>
      </c>
      <c r="AL643">
        <v>0</v>
      </c>
      <c r="AM643">
        <v>0</v>
      </c>
    </row>
    <row r="644" spans="1:39" x14ac:dyDescent="0.25">
      <c r="A644" t="s">
        <v>233</v>
      </c>
      <c r="B644" t="str">
        <f>'Basis Options'!C648</f>
        <v>NU5454</v>
      </c>
      <c r="C644" t="s">
        <v>255</v>
      </c>
      <c r="D644" t="s">
        <v>234</v>
      </c>
      <c r="E644" t="s">
        <v>20</v>
      </c>
      <c r="F644" t="str">
        <f>'Basis Options'!A648</f>
        <v>DUKEENETRA</v>
      </c>
      <c r="G644" t="s">
        <v>269</v>
      </c>
      <c r="H644" t="s">
        <v>254</v>
      </c>
      <c r="I644" t="s">
        <v>242</v>
      </c>
      <c r="J644" t="s">
        <v>235</v>
      </c>
      <c r="K644" s="380">
        <f>'Basis Options'!G648</f>
        <v>37043</v>
      </c>
      <c r="L644" s="235">
        <f>'Basis Options'!U648</f>
        <v>24950.909750968192</v>
      </c>
      <c r="M644" s="380">
        <f>'Basis Options'!Q648</f>
        <v>37041</v>
      </c>
      <c r="N644" t="str">
        <f>'Basis Options'!F648</f>
        <v>P</v>
      </c>
      <c r="O644">
        <f>'Basis Options'!I648</f>
        <v>0.3</v>
      </c>
      <c r="P644">
        <v>0</v>
      </c>
      <c r="Q644">
        <v>0</v>
      </c>
      <c r="R644">
        <v>0</v>
      </c>
      <c r="S644">
        <v>0</v>
      </c>
      <c r="T644" t="s">
        <v>253</v>
      </c>
      <c r="U644" t="str">
        <f>IF('Basis Options'!D648="NGI/CHI. GATE","""NGI/CHI. GATE""",TRIM('Basis Options'!D648))</f>
        <v>IF-TRANSCO/Z6</v>
      </c>
      <c r="V644" t="s">
        <v>253</v>
      </c>
      <c r="W644" t="s">
        <v>132</v>
      </c>
      <c r="X644" t="s">
        <v>253</v>
      </c>
      <c r="Y644" t="s">
        <v>235</v>
      </c>
      <c r="Z644" t="s">
        <v>236</v>
      </c>
      <c r="AA644" t="s">
        <v>253</v>
      </c>
      <c r="AB644" t="s">
        <v>1</v>
      </c>
      <c r="AC644" s="235">
        <f>'Basis Options'!H648</f>
        <v>300000</v>
      </c>
      <c r="AD644" s="235">
        <f>'Basis Options'!W648</f>
        <v>8104.7771721636527</v>
      </c>
      <c r="AE644">
        <v>0</v>
      </c>
      <c r="AF644">
        <v>0</v>
      </c>
      <c r="AG644">
        <v>0</v>
      </c>
      <c r="AH644" s="235">
        <f>'Basis Options'!CD649</f>
        <v>0</v>
      </c>
      <c r="AI644">
        <v>226</v>
      </c>
      <c r="AJ644" t="s">
        <v>256</v>
      </c>
      <c r="AK644">
        <v>0</v>
      </c>
      <c r="AL644">
        <v>0</v>
      </c>
      <c r="AM644">
        <v>0</v>
      </c>
    </row>
    <row r="645" spans="1:39" x14ac:dyDescent="0.25">
      <c r="A645" t="s">
        <v>233</v>
      </c>
      <c r="B645" t="str">
        <f>'Basis Options'!C649</f>
        <v>NU5454</v>
      </c>
      <c r="C645" t="s">
        <v>255</v>
      </c>
      <c r="D645" t="s">
        <v>234</v>
      </c>
      <c r="E645" t="s">
        <v>20</v>
      </c>
      <c r="F645" t="str">
        <f>'Basis Options'!A649</f>
        <v>DUKEENETRA</v>
      </c>
      <c r="G645" t="s">
        <v>269</v>
      </c>
      <c r="H645" t="s">
        <v>254</v>
      </c>
      <c r="I645" t="s">
        <v>242</v>
      </c>
      <c r="J645" t="s">
        <v>235</v>
      </c>
      <c r="K645" s="380">
        <f>'Basis Options'!G649</f>
        <v>37073</v>
      </c>
      <c r="L645" s="235">
        <f>'Basis Options'!U649</f>
        <v>20942.738781708009</v>
      </c>
      <c r="M645" s="380">
        <f>'Basis Options'!Q649</f>
        <v>37070</v>
      </c>
      <c r="N645" t="str">
        <f>'Basis Options'!F649</f>
        <v>P</v>
      </c>
      <c r="O645">
        <f>'Basis Options'!I649</f>
        <v>0.3</v>
      </c>
      <c r="P645">
        <v>0</v>
      </c>
      <c r="Q645">
        <v>0</v>
      </c>
      <c r="R645">
        <v>0</v>
      </c>
      <c r="S645">
        <v>0</v>
      </c>
      <c r="T645" t="s">
        <v>253</v>
      </c>
      <c r="U645" t="str">
        <f>IF('Basis Options'!D649="NGI/CHI. GATE","""NGI/CHI. GATE""",TRIM('Basis Options'!D649))</f>
        <v>IF-TRANSCO/Z6</v>
      </c>
      <c r="V645" t="s">
        <v>253</v>
      </c>
      <c r="W645" t="s">
        <v>132</v>
      </c>
      <c r="X645" t="s">
        <v>253</v>
      </c>
      <c r="Y645" t="s">
        <v>235</v>
      </c>
      <c r="Z645" t="s">
        <v>236</v>
      </c>
      <c r="AA645" t="s">
        <v>253</v>
      </c>
      <c r="AB645" t="s">
        <v>1</v>
      </c>
      <c r="AC645" s="235">
        <f>'Basis Options'!H649</f>
        <v>310000</v>
      </c>
      <c r="AD645" s="235">
        <f>'Basis Options'!W649</f>
        <v>8181.4253229033056</v>
      </c>
      <c r="AE645">
        <v>0</v>
      </c>
      <c r="AF645">
        <v>0</v>
      </c>
      <c r="AG645">
        <v>0</v>
      </c>
      <c r="AH645" s="235">
        <f>'Basis Options'!CD650</f>
        <v>0</v>
      </c>
      <c r="AI645">
        <v>226</v>
      </c>
      <c r="AJ645" t="s">
        <v>256</v>
      </c>
      <c r="AK645">
        <v>0</v>
      </c>
      <c r="AL645">
        <v>0</v>
      </c>
      <c r="AM645">
        <v>0</v>
      </c>
    </row>
    <row r="646" spans="1:39" x14ac:dyDescent="0.25">
      <c r="A646" t="s">
        <v>233</v>
      </c>
      <c r="B646" t="str">
        <f>'Basis Options'!C650</f>
        <v>NU5454</v>
      </c>
      <c r="C646" t="s">
        <v>255</v>
      </c>
      <c r="D646" t="s">
        <v>234</v>
      </c>
      <c r="E646" t="s">
        <v>20</v>
      </c>
      <c r="F646" t="str">
        <f>'Basis Options'!A650</f>
        <v>DUKEENETRA</v>
      </c>
      <c r="G646" t="s">
        <v>269</v>
      </c>
      <c r="H646" t="s">
        <v>254</v>
      </c>
      <c r="I646" t="s">
        <v>242</v>
      </c>
      <c r="J646" t="s">
        <v>235</v>
      </c>
      <c r="K646" s="380">
        <f>'Basis Options'!G650</f>
        <v>37104</v>
      </c>
      <c r="L646" s="235">
        <f>'Basis Options'!U650</f>
        <v>22719.147354501329</v>
      </c>
      <c r="M646" s="380">
        <f>'Basis Options'!Q650</f>
        <v>37102</v>
      </c>
      <c r="N646" t="str">
        <f>'Basis Options'!F650</f>
        <v>P</v>
      </c>
      <c r="O646">
        <f>'Basis Options'!I650</f>
        <v>0.3</v>
      </c>
      <c r="P646">
        <v>0</v>
      </c>
      <c r="Q646">
        <v>0</v>
      </c>
      <c r="R646">
        <v>0</v>
      </c>
      <c r="S646">
        <v>0</v>
      </c>
      <c r="T646" t="s">
        <v>253</v>
      </c>
      <c r="U646" t="str">
        <f>IF('Basis Options'!D650="NGI/CHI. GATE","""NGI/CHI. GATE""",TRIM('Basis Options'!D650))</f>
        <v>IF-TRANSCO/Z6</v>
      </c>
      <c r="V646" t="s">
        <v>253</v>
      </c>
      <c r="W646" t="s">
        <v>132</v>
      </c>
      <c r="X646" t="s">
        <v>253</v>
      </c>
      <c r="Y646" t="s">
        <v>235</v>
      </c>
      <c r="Z646" t="s">
        <v>236</v>
      </c>
      <c r="AA646" t="s">
        <v>253</v>
      </c>
      <c r="AB646" t="s">
        <v>1</v>
      </c>
      <c r="AC646" s="235">
        <f>'Basis Options'!H650</f>
        <v>310000</v>
      </c>
      <c r="AD646" s="235">
        <f>'Basis Options'!W650</f>
        <v>8641.4649922888348</v>
      </c>
      <c r="AE646">
        <v>0</v>
      </c>
      <c r="AF646">
        <v>0</v>
      </c>
      <c r="AG646">
        <v>0</v>
      </c>
      <c r="AH646" s="235">
        <f>'Basis Options'!CD651</f>
        <v>0</v>
      </c>
      <c r="AI646">
        <v>226</v>
      </c>
      <c r="AJ646" t="s">
        <v>256</v>
      </c>
      <c r="AK646">
        <v>0</v>
      </c>
      <c r="AL646">
        <v>0</v>
      </c>
      <c r="AM646">
        <v>0</v>
      </c>
    </row>
    <row r="647" spans="1:39" x14ac:dyDescent="0.25">
      <c r="A647" t="s">
        <v>233</v>
      </c>
      <c r="B647" t="str">
        <f>'Basis Options'!C651</f>
        <v>NU5454</v>
      </c>
      <c r="C647" t="s">
        <v>255</v>
      </c>
      <c r="D647" t="s">
        <v>234</v>
      </c>
      <c r="E647" t="s">
        <v>20</v>
      </c>
      <c r="F647" t="str">
        <f>'Basis Options'!A651</f>
        <v>DUKEENETRA</v>
      </c>
      <c r="G647" t="s">
        <v>269</v>
      </c>
      <c r="H647" t="s">
        <v>254</v>
      </c>
      <c r="I647" t="s">
        <v>242</v>
      </c>
      <c r="J647" t="s">
        <v>235</v>
      </c>
      <c r="K647" s="380">
        <f>'Basis Options'!G651</f>
        <v>37135</v>
      </c>
      <c r="L647" s="235">
        <f>'Basis Options'!U651</f>
        <v>29715.165012479822</v>
      </c>
      <c r="M647" s="380">
        <f>'Basis Options'!Q651</f>
        <v>37133</v>
      </c>
      <c r="N647" t="str">
        <f>'Basis Options'!F651</f>
        <v>P</v>
      </c>
      <c r="O647">
        <f>'Basis Options'!I651</f>
        <v>0.3</v>
      </c>
      <c r="P647">
        <v>0</v>
      </c>
      <c r="Q647">
        <v>0</v>
      </c>
      <c r="R647">
        <v>0</v>
      </c>
      <c r="S647">
        <v>0</v>
      </c>
      <c r="T647" t="s">
        <v>253</v>
      </c>
      <c r="U647" t="str">
        <f>IF('Basis Options'!D651="NGI/CHI. GATE","""NGI/CHI. GATE""",TRIM('Basis Options'!D651))</f>
        <v>IF-TRANSCO/Z6</v>
      </c>
      <c r="V647" t="s">
        <v>253</v>
      </c>
      <c r="W647" t="s">
        <v>132</v>
      </c>
      <c r="X647" t="s">
        <v>253</v>
      </c>
      <c r="Y647" t="s">
        <v>235</v>
      </c>
      <c r="Z647" t="s">
        <v>236</v>
      </c>
      <c r="AA647" t="s">
        <v>253</v>
      </c>
      <c r="AB647" t="s">
        <v>1</v>
      </c>
      <c r="AC647" s="235">
        <f>'Basis Options'!H651</f>
        <v>300000</v>
      </c>
      <c r="AD647" s="235">
        <f>'Basis Options'!W651</f>
        <v>9287.1197953130904</v>
      </c>
      <c r="AE647">
        <v>0</v>
      </c>
      <c r="AF647">
        <v>0</v>
      </c>
      <c r="AG647">
        <v>0</v>
      </c>
      <c r="AH647" s="235">
        <f>'Basis Options'!CD652</f>
        <v>0</v>
      </c>
      <c r="AI647">
        <v>226</v>
      </c>
      <c r="AJ647" t="s">
        <v>256</v>
      </c>
      <c r="AK647">
        <v>0</v>
      </c>
      <c r="AL647">
        <v>0</v>
      </c>
      <c r="AM647">
        <v>0</v>
      </c>
    </row>
    <row r="648" spans="1:39" x14ac:dyDescent="0.25">
      <c r="A648" t="s">
        <v>233</v>
      </c>
      <c r="B648" t="str">
        <f>'Basis Options'!C652</f>
        <v>NU5454</v>
      </c>
      <c r="C648" t="s">
        <v>255</v>
      </c>
      <c r="D648" t="s">
        <v>234</v>
      </c>
      <c r="E648" t="s">
        <v>20</v>
      </c>
      <c r="F648" t="str">
        <f>'Basis Options'!A652</f>
        <v>DUKEENETRA</v>
      </c>
      <c r="G648" t="s">
        <v>269</v>
      </c>
      <c r="H648" t="s">
        <v>254</v>
      </c>
      <c r="I648" t="s">
        <v>242</v>
      </c>
      <c r="J648" t="s">
        <v>235</v>
      </c>
      <c r="K648" s="380">
        <f>'Basis Options'!G652</f>
        <v>37165</v>
      </c>
      <c r="L648" s="235">
        <f>'Basis Options'!U652</f>
        <v>25454.397079466518</v>
      </c>
      <c r="M648" s="380">
        <f>'Basis Options'!Q652</f>
        <v>37161</v>
      </c>
      <c r="N648" t="str">
        <f>'Basis Options'!F652</f>
        <v>P</v>
      </c>
      <c r="O648">
        <f>'Basis Options'!I652</f>
        <v>0.3</v>
      </c>
      <c r="P648">
        <v>0</v>
      </c>
      <c r="Q648">
        <v>0</v>
      </c>
      <c r="R648">
        <v>0</v>
      </c>
      <c r="S648">
        <v>0</v>
      </c>
      <c r="T648" t="s">
        <v>253</v>
      </c>
      <c r="U648" t="str">
        <f>IF('Basis Options'!D652="NGI/CHI. GATE","""NGI/CHI. GATE""",TRIM('Basis Options'!D652))</f>
        <v>IF-TRANSCO/Z6</v>
      </c>
      <c r="V648" t="s">
        <v>253</v>
      </c>
      <c r="W648" t="s">
        <v>132</v>
      </c>
      <c r="X648" t="s">
        <v>253</v>
      </c>
      <c r="Y648" t="s">
        <v>235</v>
      </c>
      <c r="Z648" t="s">
        <v>236</v>
      </c>
      <c r="AA648" t="s">
        <v>253</v>
      </c>
      <c r="AB648" t="s">
        <v>1</v>
      </c>
      <c r="AC648" s="235">
        <f>'Basis Options'!H652</f>
        <v>310000</v>
      </c>
      <c r="AD648" s="235">
        <f>'Basis Options'!W652</f>
        <v>9432.4396564606723</v>
      </c>
      <c r="AE648">
        <v>0</v>
      </c>
      <c r="AF648">
        <v>0</v>
      </c>
      <c r="AG648">
        <v>0</v>
      </c>
      <c r="AH648" s="235">
        <f>'Basis Options'!CD653</f>
        <v>0</v>
      </c>
      <c r="AI648">
        <v>226</v>
      </c>
      <c r="AJ648" t="s">
        <v>256</v>
      </c>
      <c r="AK648">
        <v>0</v>
      </c>
      <c r="AL648">
        <v>0</v>
      </c>
      <c r="AM648">
        <v>0</v>
      </c>
    </row>
    <row r="649" spans="1:39" x14ac:dyDescent="0.25">
      <c r="A649" t="s">
        <v>233</v>
      </c>
      <c r="B649" t="str">
        <f>'Basis Options'!C653</f>
        <v>NU5468</v>
      </c>
      <c r="C649" t="s">
        <v>255</v>
      </c>
      <c r="D649" t="s">
        <v>234</v>
      </c>
      <c r="E649" t="s">
        <v>20</v>
      </c>
      <c r="F649" t="str">
        <f>'Basis Options'!A653</f>
        <v>SOUTHERCOMENEMA</v>
      </c>
      <c r="G649" t="s">
        <v>269</v>
      </c>
      <c r="H649" t="s">
        <v>254</v>
      </c>
      <c r="I649" t="s">
        <v>242</v>
      </c>
      <c r="J649" t="s">
        <v>235</v>
      </c>
      <c r="K649" s="380">
        <f>'Basis Options'!G653</f>
        <v>36982</v>
      </c>
      <c r="L649" s="235">
        <f>'Basis Options'!U653</f>
        <v>37128.099794511007</v>
      </c>
      <c r="M649" s="380">
        <f>'Basis Options'!Q653</f>
        <v>36979</v>
      </c>
      <c r="N649" t="str">
        <f>'Basis Options'!F653</f>
        <v>C</v>
      </c>
      <c r="O649">
        <f>'Basis Options'!I653</f>
        <v>0.7</v>
      </c>
      <c r="P649">
        <v>0</v>
      </c>
      <c r="Q649">
        <v>0</v>
      </c>
      <c r="R649">
        <v>0</v>
      </c>
      <c r="S649">
        <v>0</v>
      </c>
      <c r="T649" t="s">
        <v>253</v>
      </c>
      <c r="U649" t="str">
        <f>IF('Basis Options'!D653="NGI/CHI. GATE","""NGI/CHI. GATE""",TRIM('Basis Options'!D653))</f>
        <v>IF-TRANSCO/Z6</v>
      </c>
      <c r="V649" t="s">
        <v>253</v>
      </c>
      <c r="W649" t="s">
        <v>132</v>
      </c>
      <c r="X649" t="s">
        <v>253</v>
      </c>
      <c r="Y649" t="s">
        <v>235</v>
      </c>
      <c r="Z649" t="s">
        <v>236</v>
      </c>
      <c r="AA649" t="s">
        <v>253</v>
      </c>
      <c r="AB649" t="s">
        <v>1</v>
      </c>
      <c r="AC649" s="235">
        <f>'Basis Options'!H653</f>
        <v>500000</v>
      </c>
      <c r="AD649" s="235">
        <f>'Basis Options'!W653</f>
        <v>10921.404405836831</v>
      </c>
      <c r="AE649">
        <v>0</v>
      </c>
      <c r="AF649">
        <v>0</v>
      </c>
      <c r="AG649">
        <v>0</v>
      </c>
      <c r="AH649" s="235">
        <f>'Basis Options'!CD654</f>
        <v>0</v>
      </c>
      <c r="AI649">
        <v>226</v>
      </c>
      <c r="AJ649" t="s">
        <v>256</v>
      </c>
      <c r="AK649">
        <v>0</v>
      </c>
      <c r="AL649">
        <v>0</v>
      </c>
      <c r="AM649">
        <v>0</v>
      </c>
    </row>
    <row r="650" spans="1:39" x14ac:dyDescent="0.25">
      <c r="A650" t="s">
        <v>233</v>
      </c>
      <c r="B650" t="str">
        <f>'Basis Options'!C654</f>
        <v>NU7573</v>
      </c>
      <c r="C650" t="s">
        <v>255</v>
      </c>
      <c r="D650" t="s">
        <v>234</v>
      </c>
      <c r="E650" t="s">
        <v>20</v>
      </c>
      <c r="F650" t="str">
        <f>'Basis Options'!A654</f>
        <v>TRANSCANENEFIN</v>
      </c>
      <c r="G650" t="s">
        <v>269</v>
      </c>
      <c r="H650" t="s">
        <v>254</v>
      </c>
      <c r="I650" t="s">
        <v>242</v>
      </c>
      <c r="J650" t="s">
        <v>235</v>
      </c>
      <c r="K650" s="380">
        <f>'Basis Options'!G654</f>
        <v>36831</v>
      </c>
      <c r="L650" s="235">
        <f>'Basis Options'!U654</f>
        <v>-35573.757389747312</v>
      </c>
      <c r="M650" s="380">
        <f>'Basis Options'!Q654</f>
        <v>36829</v>
      </c>
      <c r="N650" t="str">
        <f>'Basis Options'!F654</f>
        <v>C</v>
      </c>
      <c r="O650">
        <f>'Basis Options'!I654</f>
        <v>0.12</v>
      </c>
      <c r="P650">
        <v>0</v>
      </c>
      <c r="Q650">
        <v>0</v>
      </c>
      <c r="R650">
        <v>0</v>
      </c>
      <c r="S650">
        <v>0</v>
      </c>
      <c r="T650" t="s">
        <v>253</v>
      </c>
      <c r="U650" t="str">
        <f>IF('Basis Options'!D654="NGI/CHI. GATE","""NGI/CHI. GATE""",TRIM('Basis Options'!D654))</f>
        <v>"NGI/CHI. GATE"</v>
      </c>
      <c r="V650" t="s">
        <v>253</v>
      </c>
      <c r="W650" t="s">
        <v>132</v>
      </c>
      <c r="X650" t="s">
        <v>253</v>
      </c>
      <c r="Y650" t="s">
        <v>235</v>
      </c>
      <c r="Z650" t="s">
        <v>236</v>
      </c>
      <c r="AA650" t="s">
        <v>253</v>
      </c>
      <c r="AB650" t="s">
        <v>1</v>
      </c>
      <c r="AC650" s="235">
        <f>'Basis Options'!H654</f>
        <v>-1500000</v>
      </c>
      <c r="AD650" s="235">
        <f>'Basis Options'!W654</f>
        <v>-10115.145803515101</v>
      </c>
      <c r="AE650">
        <v>0</v>
      </c>
      <c r="AF650">
        <v>0</v>
      </c>
      <c r="AG650">
        <v>0</v>
      </c>
      <c r="AH650" s="235">
        <f>'Basis Options'!CD655</f>
        <v>0</v>
      </c>
      <c r="AI650">
        <v>226</v>
      </c>
      <c r="AJ650" t="s">
        <v>256</v>
      </c>
      <c r="AK650">
        <v>0</v>
      </c>
      <c r="AL650">
        <v>0</v>
      </c>
      <c r="AM650">
        <v>0</v>
      </c>
    </row>
    <row r="651" spans="1:39" x14ac:dyDescent="0.25">
      <c r="A651" t="s">
        <v>233</v>
      </c>
      <c r="B651" t="str">
        <f>'Basis Options'!C655</f>
        <v>NU7573</v>
      </c>
      <c r="C651" t="s">
        <v>255</v>
      </c>
      <c r="D651" t="s">
        <v>234</v>
      </c>
      <c r="E651" t="s">
        <v>20</v>
      </c>
      <c r="F651" t="str">
        <f>'Basis Options'!A655</f>
        <v>TRANSCANENEFIN</v>
      </c>
      <c r="G651" t="s">
        <v>269</v>
      </c>
      <c r="H651" t="s">
        <v>254</v>
      </c>
      <c r="I651" t="s">
        <v>242</v>
      </c>
      <c r="J651" t="s">
        <v>235</v>
      </c>
      <c r="K651" s="380">
        <f>'Basis Options'!G655</f>
        <v>36861</v>
      </c>
      <c r="L651" s="235">
        <f>'Basis Options'!U655</f>
        <v>-58022.460342653285</v>
      </c>
      <c r="M651" s="380">
        <f>'Basis Options'!Q655</f>
        <v>36859</v>
      </c>
      <c r="N651" t="str">
        <f>'Basis Options'!F655</f>
        <v>C</v>
      </c>
      <c r="O651">
        <f>'Basis Options'!I655</f>
        <v>0.12</v>
      </c>
      <c r="P651">
        <v>0</v>
      </c>
      <c r="Q651">
        <v>0</v>
      </c>
      <c r="R651">
        <v>0</v>
      </c>
      <c r="S651">
        <v>0</v>
      </c>
      <c r="T651" t="s">
        <v>253</v>
      </c>
      <c r="U651" t="str">
        <f>IF('Basis Options'!D655="NGI/CHI. GATE","""NGI/CHI. GATE""",TRIM('Basis Options'!D655))</f>
        <v>"NGI/CHI. GATE"</v>
      </c>
      <c r="V651" t="s">
        <v>253</v>
      </c>
      <c r="W651" t="s">
        <v>132</v>
      </c>
      <c r="X651" t="s">
        <v>253</v>
      </c>
      <c r="Y651" t="s">
        <v>235</v>
      </c>
      <c r="Z651" t="s">
        <v>236</v>
      </c>
      <c r="AA651" t="s">
        <v>253</v>
      </c>
      <c r="AB651" t="s">
        <v>1</v>
      </c>
      <c r="AC651" s="235">
        <f>'Basis Options'!H655</f>
        <v>-1550000</v>
      </c>
      <c r="AD651" s="235">
        <f>'Basis Options'!W655</f>
        <v>-13336.650834374712</v>
      </c>
      <c r="AE651">
        <v>0</v>
      </c>
      <c r="AF651">
        <v>0</v>
      </c>
      <c r="AG651">
        <v>0</v>
      </c>
      <c r="AH651" s="235">
        <f>'Basis Options'!CD656</f>
        <v>0</v>
      </c>
      <c r="AI651">
        <v>226</v>
      </c>
      <c r="AJ651" t="s">
        <v>256</v>
      </c>
      <c r="AK651">
        <v>0</v>
      </c>
      <c r="AL651">
        <v>0</v>
      </c>
      <c r="AM651">
        <v>0</v>
      </c>
    </row>
    <row r="652" spans="1:39" x14ac:dyDescent="0.25">
      <c r="A652" t="s">
        <v>233</v>
      </c>
      <c r="B652" t="str">
        <f>'Basis Options'!C656</f>
        <v>NU7573</v>
      </c>
      <c r="C652" t="s">
        <v>255</v>
      </c>
      <c r="D652" t="s">
        <v>234</v>
      </c>
      <c r="E652" t="s">
        <v>20</v>
      </c>
      <c r="F652" t="str">
        <f>'Basis Options'!A656</f>
        <v>TRANSCANENEFIN</v>
      </c>
      <c r="G652" t="s">
        <v>269</v>
      </c>
      <c r="H652" t="s">
        <v>254</v>
      </c>
      <c r="I652" t="s">
        <v>242</v>
      </c>
      <c r="J652" t="s">
        <v>235</v>
      </c>
      <c r="K652" s="380">
        <f>'Basis Options'!G656</f>
        <v>36892</v>
      </c>
      <c r="L652" s="235">
        <f>'Basis Options'!U656</f>
        <v>-88361.249852348526</v>
      </c>
      <c r="M652" s="380">
        <f>'Basis Options'!Q656</f>
        <v>36888</v>
      </c>
      <c r="N652" t="str">
        <f>'Basis Options'!F656</f>
        <v>C</v>
      </c>
      <c r="O652">
        <f>'Basis Options'!I656</f>
        <v>0.12</v>
      </c>
      <c r="P652">
        <v>0</v>
      </c>
      <c r="Q652">
        <v>0</v>
      </c>
      <c r="R652">
        <v>0</v>
      </c>
      <c r="S652">
        <v>0</v>
      </c>
      <c r="T652" t="s">
        <v>253</v>
      </c>
      <c r="U652" t="str">
        <f>IF('Basis Options'!D656="NGI/CHI. GATE","""NGI/CHI. GATE""",TRIM('Basis Options'!D656))</f>
        <v>"NGI/CHI. GATE"</v>
      </c>
      <c r="V652" t="s">
        <v>253</v>
      </c>
      <c r="W652" t="s">
        <v>132</v>
      </c>
      <c r="X652" t="s">
        <v>253</v>
      </c>
      <c r="Y652" t="s">
        <v>235</v>
      </c>
      <c r="Z652" t="s">
        <v>236</v>
      </c>
      <c r="AA652" t="s">
        <v>253</v>
      </c>
      <c r="AB652" t="s">
        <v>1</v>
      </c>
      <c r="AC652" s="235">
        <f>'Basis Options'!H656</f>
        <v>-1550000</v>
      </c>
      <c r="AD652" s="235">
        <f>'Basis Options'!W656</f>
        <v>-15472.312727563898</v>
      </c>
      <c r="AE652">
        <v>0</v>
      </c>
      <c r="AF652">
        <v>0</v>
      </c>
      <c r="AG652">
        <v>0</v>
      </c>
      <c r="AH652" s="235">
        <f>'Basis Options'!CD657</f>
        <v>0</v>
      </c>
      <c r="AI652">
        <v>226</v>
      </c>
      <c r="AJ652" t="s">
        <v>256</v>
      </c>
      <c r="AK652">
        <v>0</v>
      </c>
      <c r="AL652">
        <v>0</v>
      </c>
      <c r="AM652">
        <v>0</v>
      </c>
    </row>
    <row r="653" spans="1:39" x14ac:dyDescent="0.25">
      <c r="A653" t="s">
        <v>233</v>
      </c>
      <c r="B653" t="str">
        <f>'Basis Options'!C657</f>
        <v>NU7573</v>
      </c>
      <c r="C653" t="s">
        <v>255</v>
      </c>
      <c r="D653" t="s">
        <v>234</v>
      </c>
      <c r="E653" t="s">
        <v>20</v>
      </c>
      <c r="F653" t="str">
        <f>'Basis Options'!A657</f>
        <v>TRANSCANENEFIN</v>
      </c>
      <c r="G653" t="s">
        <v>269</v>
      </c>
      <c r="H653" t="s">
        <v>254</v>
      </c>
      <c r="I653" t="s">
        <v>242</v>
      </c>
      <c r="J653" t="s">
        <v>235</v>
      </c>
      <c r="K653" s="380">
        <f>'Basis Options'!G657</f>
        <v>36923</v>
      </c>
      <c r="L653" s="235">
        <f>'Basis Options'!U657</f>
        <v>-90742.579204972484</v>
      </c>
      <c r="M653" s="380">
        <f>'Basis Options'!Q657</f>
        <v>36921</v>
      </c>
      <c r="N653" t="str">
        <f>'Basis Options'!F657</f>
        <v>C</v>
      </c>
      <c r="O653">
        <f>'Basis Options'!I657</f>
        <v>0.12</v>
      </c>
      <c r="P653">
        <v>0</v>
      </c>
      <c r="Q653">
        <v>0</v>
      </c>
      <c r="R653">
        <v>0</v>
      </c>
      <c r="S653">
        <v>0</v>
      </c>
      <c r="T653" t="s">
        <v>253</v>
      </c>
      <c r="U653" t="str">
        <f>IF('Basis Options'!D657="NGI/CHI. GATE","""NGI/CHI. GATE""",TRIM('Basis Options'!D657))</f>
        <v>"NGI/CHI. GATE"</v>
      </c>
      <c r="V653" t="s">
        <v>253</v>
      </c>
      <c r="W653" t="s">
        <v>132</v>
      </c>
      <c r="X653" t="s">
        <v>253</v>
      </c>
      <c r="Y653" t="s">
        <v>235</v>
      </c>
      <c r="Z653" t="s">
        <v>236</v>
      </c>
      <c r="AA653" t="s">
        <v>253</v>
      </c>
      <c r="AB653" t="s">
        <v>1</v>
      </c>
      <c r="AC653" s="235">
        <f>'Basis Options'!H657</f>
        <v>-1400000</v>
      </c>
      <c r="AD653" s="235">
        <f>'Basis Options'!W657</f>
        <v>-15160.01884951978</v>
      </c>
      <c r="AE653">
        <v>0</v>
      </c>
      <c r="AF653">
        <v>0</v>
      </c>
      <c r="AG653">
        <v>0</v>
      </c>
      <c r="AH653" s="235">
        <f>'Basis Options'!CD658</f>
        <v>0</v>
      </c>
      <c r="AI653">
        <v>226</v>
      </c>
      <c r="AJ653" t="s">
        <v>256</v>
      </c>
      <c r="AK653">
        <v>0</v>
      </c>
      <c r="AL653">
        <v>0</v>
      </c>
      <c r="AM653">
        <v>0</v>
      </c>
    </row>
    <row r="654" spans="1:39" x14ac:dyDescent="0.25">
      <c r="A654" t="s">
        <v>233</v>
      </c>
      <c r="B654" t="str">
        <f>'Basis Options'!C658</f>
        <v>NU7573</v>
      </c>
      <c r="C654" t="s">
        <v>255</v>
      </c>
      <c r="D654" t="s">
        <v>234</v>
      </c>
      <c r="E654" t="s">
        <v>20</v>
      </c>
      <c r="F654" t="str">
        <f>'Basis Options'!A658</f>
        <v>TRANSCANENEFIN</v>
      </c>
      <c r="G654" t="s">
        <v>269</v>
      </c>
      <c r="H654" t="s">
        <v>254</v>
      </c>
      <c r="I654" t="s">
        <v>242</v>
      </c>
      <c r="J654" t="s">
        <v>235</v>
      </c>
      <c r="K654" s="380">
        <f>'Basis Options'!G658</f>
        <v>36951</v>
      </c>
      <c r="L654" s="235">
        <f>'Basis Options'!U658</f>
        <v>-81547.451322220062</v>
      </c>
      <c r="M654" s="380">
        <f>'Basis Options'!Q658</f>
        <v>36949</v>
      </c>
      <c r="N654" t="str">
        <f>'Basis Options'!F658</f>
        <v>C</v>
      </c>
      <c r="O654">
        <f>'Basis Options'!I658</f>
        <v>0.12</v>
      </c>
      <c r="P654">
        <v>0</v>
      </c>
      <c r="Q654">
        <v>0</v>
      </c>
      <c r="R654">
        <v>0</v>
      </c>
      <c r="S654">
        <v>0</v>
      </c>
      <c r="T654" t="s">
        <v>253</v>
      </c>
      <c r="U654" t="str">
        <f>IF('Basis Options'!D658="NGI/CHI. GATE","""NGI/CHI. GATE""",TRIM('Basis Options'!D658))</f>
        <v>"NGI/CHI. GATE"</v>
      </c>
      <c r="V654" t="s">
        <v>253</v>
      </c>
      <c r="W654" t="s">
        <v>132</v>
      </c>
      <c r="X654" t="s">
        <v>253</v>
      </c>
      <c r="Y654" t="s">
        <v>235</v>
      </c>
      <c r="Z654" t="s">
        <v>236</v>
      </c>
      <c r="AA654" t="s">
        <v>253</v>
      </c>
      <c r="AB654" t="s">
        <v>1</v>
      </c>
      <c r="AC654" s="235">
        <f>'Basis Options'!H658</f>
        <v>-1550000</v>
      </c>
      <c r="AD654" s="235">
        <f>'Basis Options'!W658</f>
        <v>-16358.685565470485</v>
      </c>
      <c r="AE654">
        <v>0</v>
      </c>
      <c r="AF654">
        <v>0</v>
      </c>
      <c r="AG654">
        <v>0</v>
      </c>
      <c r="AH654" s="235">
        <f>'Basis Options'!CD659</f>
        <v>0</v>
      </c>
      <c r="AI654">
        <v>226</v>
      </c>
      <c r="AJ654" t="s">
        <v>256</v>
      </c>
      <c r="AK654">
        <v>0</v>
      </c>
      <c r="AL654">
        <v>0</v>
      </c>
      <c r="AM654">
        <v>0</v>
      </c>
    </row>
    <row r="655" spans="1:39" x14ac:dyDescent="0.25">
      <c r="A655" t="s">
        <v>233</v>
      </c>
      <c r="B655" t="str">
        <f>'Basis Options'!C659</f>
        <v>NU9007</v>
      </c>
      <c r="C655" t="s">
        <v>255</v>
      </c>
      <c r="D655" t="s">
        <v>234</v>
      </c>
      <c r="E655" t="s">
        <v>20</v>
      </c>
      <c r="F655" t="str">
        <f>'Basis Options'!A659</f>
        <v>OCCIDENTENEMAR</v>
      </c>
      <c r="G655" t="s">
        <v>269</v>
      </c>
      <c r="H655" t="s">
        <v>254</v>
      </c>
      <c r="I655" t="s">
        <v>242</v>
      </c>
      <c r="J655" t="s">
        <v>235</v>
      </c>
      <c r="K655" s="380">
        <f>'Basis Options'!G659</f>
        <v>36831</v>
      </c>
      <c r="L655" s="235">
        <f>'Basis Options'!U659</f>
        <v>-7114.7514779494622</v>
      </c>
      <c r="M655" s="380">
        <f>'Basis Options'!Q659</f>
        <v>36829</v>
      </c>
      <c r="N655" t="str">
        <f>'Basis Options'!F659</f>
        <v>C</v>
      </c>
      <c r="O655">
        <f>'Basis Options'!I659</f>
        <v>0.12</v>
      </c>
      <c r="P655">
        <v>0</v>
      </c>
      <c r="Q655">
        <v>0</v>
      </c>
      <c r="R655">
        <v>0</v>
      </c>
      <c r="S655">
        <v>0</v>
      </c>
      <c r="T655" t="s">
        <v>253</v>
      </c>
      <c r="U655" t="str">
        <f>IF('Basis Options'!D659="NGI/CHI. GATE","""NGI/CHI. GATE""",TRIM('Basis Options'!D659))</f>
        <v>"NGI/CHI. GATE"</v>
      </c>
      <c r="V655" t="s">
        <v>253</v>
      </c>
      <c r="W655" t="s">
        <v>132</v>
      </c>
      <c r="X655" t="s">
        <v>253</v>
      </c>
      <c r="Y655" t="s">
        <v>235</v>
      </c>
      <c r="Z655" t="s">
        <v>236</v>
      </c>
      <c r="AA655" t="s">
        <v>253</v>
      </c>
      <c r="AB655" t="s">
        <v>1</v>
      </c>
      <c r="AC655" s="235">
        <f>'Basis Options'!H659</f>
        <v>-300000</v>
      </c>
      <c r="AD655" s="235">
        <f>'Basis Options'!W659</f>
        <v>-2023.0291607030231</v>
      </c>
      <c r="AE655">
        <v>0</v>
      </c>
      <c r="AF655">
        <v>0</v>
      </c>
      <c r="AG655">
        <v>0</v>
      </c>
      <c r="AH655" s="235">
        <f>'Basis Options'!CD660</f>
        <v>0</v>
      </c>
      <c r="AI655">
        <v>226</v>
      </c>
      <c r="AJ655" t="s">
        <v>256</v>
      </c>
      <c r="AK655">
        <v>0</v>
      </c>
      <c r="AL655">
        <v>0</v>
      </c>
      <c r="AM655">
        <v>0</v>
      </c>
    </row>
    <row r="656" spans="1:39" x14ac:dyDescent="0.25">
      <c r="A656" t="s">
        <v>233</v>
      </c>
      <c r="B656" t="str">
        <f>'Basis Options'!C660</f>
        <v>NU9007</v>
      </c>
      <c r="C656" t="s">
        <v>255</v>
      </c>
      <c r="D656" t="s">
        <v>234</v>
      </c>
      <c r="E656" t="s">
        <v>20</v>
      </c>
      <c r="F656" t="str">
        <f>'Basis Options'!A660</f>
        <v>OCCIDENTENEMAR</v>
      </c>
      <c r="G656" t="s">
        <v>269</v>
      </c>
      <c r="H656" t="s">
        <v>254</v>
      </c>
      <c r="I656" t="s">
        <v>242</v>
      </c>
      <c r="J656" t="s">
        <v>235</v>
      </c>
      <c r="K656" s="380">
        <f>'Basis Options'!G660</f>
        <v>36861</v>
      </c>
      <c r="L656" s="235">
        <f>'Basis Options'!U660</f>
        <v>-11604.492068530657</v>
      </c>
      <c r="M656" s="380">
        <f>'Basis Options'!Q660</f>
        <v>36859</v>
      </c>
      <c r="N656" t="str">
        <f>'Basis Options'!F660</f>
        <v>C</v>
      </c>
      <c r="O656">
        <f>'Basis Options'!I660</f>
        <v>0.12</v>
      </c>
      <c r="P656">
        <v>0</v>
      </c>
      <c r="Q656">
        <v>0</v>
      </c>
      <c r="R656">
        <v>0</v>
      </c>
      <c r="S656">
        <v>0</v>
      </c>
      <c r="T656" t="s">
        <v>253</v>
      </c>
      <c r="U656" t="str">
        <f>IF('Basis Options'!D660="NGI/CHI. GATE","""NGI/CHI. GATE""",TRIM('Basis Options'!D660))</f>
        <v>"NGI/CHI. GATE"</v>
      </c>
      <c r="V656" t="s">
        <v>253</v>
      </c>
      <c r="W656" t="s">
        <v>132</v>
      </c>
      <c r="X656" t="s">
        <v>253</v>
      </c>
      <c r="Y656" t="s">
        <v>235</v>
      </c>
      <c r="Z656" t="s">
        <v>236</v>
      </c>
      <c r="AA656" t="s">
        <v>253</v>
      </c>
      <c r="AB656" t="s">
        <v>1</v>
      </c>
      <c r="AC656" s="235">
        <f>'Basis Options'!H660</f>
        <v>-310000</v>
      </c>
      <c r="AD656" s="235">
        <f>'Basis Options'!W660</f>
        <v>-2667.3301668749482</v>
      </c>
      <c r="AE656">
        <v>0</v>
      </c>
      <c r="AF656">
        <v>0</v>
      </c>
      <c r="AG656">
        <v>0</v>
      </c>
      <c r="AH656" s="235">
        <f>'Basis Options'!CD661</f>
        <v>0</v>
      </c>
      <c r="AI656">
        <v>226</v>
      </c>
      <c r="AJ656" t="s">
        <v>256</v>
      </c>
      <c r="AK656">
        <v>0</v>
      </c>
      <c r="AL656">
        <v>0</v>
      </c>
      <c r="AM656">
        <v>0</v>
      </c>
    </row>
    <row r="657" spans="1:39" x14ac:dyDescent="0.25">
      <c r="A657" t="s">
        <v>233</v>
      </c>
      <c r="B657" t="str">
        <f>'Basis Options'!C661</f>
        <v>NU9007</v>
      </c>
      <c r="C657" t="s">
        <v>255</v>
      </c>
      <c r="D657" t="s">
        <v>234</v>
      </c>
      <c r="E657" t="s">
        <v>20</v>
      </c>
      <c r="F657" t="str">
        <f>'Basis Options'!A661</f>
        <v>OCCIDENTENEMAR</v>
      </c>
      <c r="G657" t="s">
        <v>269</v>
      </c>
      <c r="H657" t="s">
        <v>254</v>
      </c>
      <c r="I657" t="s">
        <v>242</v>
      </c>
      <c r="J657" t="s">
        <v>235</v>
      </c>
      <c r="K657" s="380">
        <f>'Basis Options'!G661</f>
        <v>36892</v>
      </c>
      <c r="L657" s="235">
        <f>'Basis Options'!U661</f>
        <v>-17672.249970469707</v>
      </c>
      <c r="M657" s="380">
        <f>'Basis Options'!Q661</f>
        <v>36888</v>
      </c>
      <c r="N657" t="str">
        <f>'Basis Options'!F661</f>
        <v>C</v>
      </c>
      <c r="O657">
        <f>'Basis Options'!I661</f>
        <v>0.12</v>
      </c>
      <c r="P657">
        <v>0</v>
      </c>
      <c r="Q657">
        <v>0</v>
      </c>
      <c r="R657">
        <v>0</v>
      </c>
      <c r="S657">
        <v>0</v>
      </c>
      <c r="T657" t="s">
        <v>253</v>
      </c>
      <c r="U657" t="str">
        <f>IF('Basis Options'!D661="NGI/CHI. GATE","""NGI/CHI. GATE""",TRIM('Basis Options'!D661))</f>
        <v>"NGI/CHI. GATE"</v>
      </c>
      <c r="V657" t="s">
        <v>253</v>
      </c>
      <c r="W657" t="s">
        <v>132</v>
      </c>
      <c r="X657" t="s">
        <v>253</v>
      </c>
      <c r="Y657" t="s">
        <v>235</v>
      </c>
      <c r="Z657" t="s">
        <v>236</v>
      </c>
      <c r="AA657" t="s">
        <v>253</v>
      </c>
      <c r="AB657" t="s">
        <v>1</v>
      </c>
      <c r="AC657" s="235">
        <f>'Basis Options'!H661</f>
        <v>-310000</v>
      </c>
      <c r="AD657" s="235">
        <f>'Basis Options'!W661</f>
        <v>-3094.4625455127971</v>
      </c>
      <c r="AE657">
        <v>0</v>
      </c>
      <c r="AF657">
        <v>0</v>
      </c>
      <c r="AG657">
        <v>0</v>
      </c>
      <c r="AH657" s="235">
        <f>'Basis Options'!CD662</f>
        <v>0</v>
      </c>
      <c r="AI657">
        <v>226</v>
      </c>
      <c r="AJ657" t="s">
        <v>256</v>
      </c>
      <c r="AK657">
        <v>0</v>
      </c>
      <c r="AL657">
        <v>0</v>
      </c>
      <c r="AM657">
        <v>0</v>
      </c>
    </row>
    <row r="658" spans="1:39" x14ac:dyDescent="0.25">
      <c r="A658" t="s">
        <v>233</v>
      </c>
      <c r="B658" t="str">
        <f>'Basis Options'!C662</f>
        <v>NU9007</v>
      </c>
      <c r="C658" t="s">
        <v>255</v>
      </c>
      <c r="D658" t="s">
        <v>234</v>
      </c>
      <c r="E658" t="s">
        <v>20</v>
      </c>
      <c r="F658" t="str">
        <f>'Basis Options'!A662</f>
        <v>OCCIDENTENEMAR</v>
      </c>
      <c r="G658" t="s">
        <v>269</v>
      </c>
      <c r="H658" t="s">
        <v>254</v>
      </c>
      <c r="I658" t="s">
        <v>242</v>
      </c>
      <c r="J658" t="s">
        <v>235</v>
      </c>
      <c r="K658" s="380">
        <f>'Basis Options'!G662</f>
        <v>36923</v>
      </c>
      <c r="L658" s="235">
        <f>'Basis Options'!U662</f>
        <v>-18148.515840994496</v>
      </c>
      <c r="M658" s="380">
        <f>'Basis Options'!Q662</f>
        <v>36921</v>
      </c>
      <c r="N658" t="str">
        <f>'Basis Options'!F662</f>
        <v>C</v>
      </c>
      <c r="O658">
        <f>'Basis Options'!I662</f>
        <v>0.12</v>
      </c>
      <c r="P658">
        <v>0</v>
      </c>
      <c r="Q658">
        <v>0</v>
      </c>
      <c r="R658">
        <v>0</v>
      </c>
      <c r="S658">
        <v>0</v>
      </c>
      <c r="T658" t="s">
        <v>253</v>
      </c>
      <c r="U658" t="str">
        <f>IF('Basis Options'!D662="NGI/CHI. GATE","""NGI/CHI. GATE""",TRIM('Basis Options'!D662))</f>
        <v>"NGI/CHI. GATE"</v>
      </c>
      <c r="V658" t="s">
        <v>253</v>
      </c>
      <c r="W658" t="s">
        <v>132</v>
      </c>
      <c r="X658" t="s">
        <v>253</v>
      </c>
      <c r="Y658" t="s">
        <v>235</v>
      </c>
      <c r="Z658" t="s">
        <v>236</v>
      </c>
      <c r="AA658" t="s">
        <v>253</v>
      </c>
      <c r="AB658" t="s">
        <v>1</v>
      </c>
      <c r="AC658" s="235">
        <f>'Basis Options'!H662</f>
        <v>-280000</v>
      </c>
      <c r="AD658" s="235">
        <f>'Basis Options'!W662</f>
        <v>-3032.0037699039385</v>
      </c>
      <c r="AE658">
        <v>0</v>
      </c>
      <c r="AF658">
        <v>0</v>
      </c>
      <c r="AG658">
        <v>0</v>
      </c>
      <c r="AH658" s="235">
        <f>'Basis Options'!CD663</f>
        <v>0</v>
      </c>
      <c r="AI658">
        <v>226</v>
      </c>
      <c r="AJ658" t="s">
        <v>256</v>
      </c>
      <c r="AK658">
        <v>0</v>
      </c>
      <c r="AL658">
        <v>0</v>
      </c>
      <c r="AM658">
        <v>0</v>
      </c>
    </row>
    <row r="659" spans="1:39" x14ac:dyDescent="0.25">
      <c r="A659" t="s">
        <v>233</v>
      </c>
      <c r="B659" t="str">
        <f>'Basis Options'!C663</f>
        <v>NU9007</v>
      </c>
      <c r="C659" t="s">
        <v>255</v>
      </c>
      <c r="D659" t="s">
        <v>234</v>
      </c>
      <c r="E659" t="s">
        <v>20</v>
      </c>
      <c r="F659" t="str">
        <f>'Basis Options'!A663</f>
        <v>OCCIDENTENEMAR</v>
      </c>
      <c r="G659" t="s">
        <v>269</v>
      </c>
      <c r="H659" t="s">
        <v>254</v>
      </c>
      <c r="I659" t="s">
        <v>242</v>
      </c>
      <c r="J659" t="s">
        <v>235</v>
      </c>
      <c r="K659" s="380">
        <f>'Basis Options'!G663</f>
        <v>36951</v>
      </c>
      <c r="L659" s="235">
        <f>'Basis Options'!U663</f>
        <v>-16309.490264444012</v>
      </c>
      <c r="M659" s="380">
        <f>'Basis Options'!Q663</f>
        <v>36949</v>
      </c>
      <c r="N659" t="str">
        <f>'Basis Options'!F663</f>
        <v>C</v>
      </c>
      <c r="O659">
        <f>'Basis Options'!I663</f>
        <v>0.12</v>
      </c>
      <c r="P659">
        <v>0</v>
      </c>
      <c r="Q659">
        <v>0</v>
      </c>
      <c r="R659">
        <v>0</v>
      </c>
      <c r="S659">
        <v>0</v>
      </c>
      <c r="T659" t="s">
        <v>253</v>
      </c>
      <c r="U659" t="str">
        <f>IF('Basis Options'!D663="NGI/CHI. GATE","""NGI/CHI. GATE""",TRIM('Basis Options'!D663))</f>
        <v>"NGI/CHI. GATE"</v>
      </c>
      <c r="V659" t="s">
        <v>253</v>
      </c>
      <c r="W659" t="s">
        <v>132</v>
      </c>
      <c r="X659" t="s">
        <v>253</v>
      </c>
      <c r="Y659" t="s">
        <v>235</v>
      </c>
      <c r="Z659" t="s">
        <v>236</v>
      </c>
      <c r="AA659" t="s">
        <v>253</v>
      </c>
      <c r="AB659" t="s">
        <v>1</v>
      </c>
      <c r="AC659" s="235">
        <f>'Basis Options'!H663</f>
        <v>-310000</v>
      </c>
      <c r="AD659" s="235">
        <f>'Basis Options'!W663</f>
        <v>-3271.7371130941028</v>
      </c>
      <c r="AE659">
        <v>0</v>
      </c>
      <c r="AF659">
        <v>0</v>
      </c>
      <c r="AG659">
        <v>0</v>
      </c>
      <c r="AH659" s="235">
        <f>'Basis Options'!CD664</f>
        <v>0</v>
      </c>
      <c r="AI659">
        <v>226</v>
      </c>
      <c r="AJ659" t="s">
        <v>256</v>
      </c>
      <c r="AK659">
        <v>0</v>
      </c>
      <c r="AL659">
        <v>0</v>
      </c>
      <c r="AM659">
        <v>0</v>
      </c>
    </row>
    <row r="660" spans="1:39" x14ac:dyDescent="0.25">
      <c r="A660" t="s">
        <v>233</v>
      </c>
      <c r="B660" t="str">
        <f>'Basis Options'!C664</f>
        <v>NU9019</v>
      </c>
      <c r="C660" t="s">
        <v>255</v>
      </c>
      <c r="D660" t="s">
        <v>234</v>
      </c>
      <c r="E660" t="s">
        <v>20</v>
      </c>
      <c r="F660" t="str">
        <f>'Basis Options'!A664</f>
        <v>CONAGRAENESER</v>
      </c>
      <c r="G660" t="s">
        <v>269</v>
      </c>
      <c r="H660" t="s">
        <v>254</v>
      </c>
      <c r="I660" t="s">
        <v>242</v>
      </c>
      <c r="J660" t="s">
        <v>235</v>
      </c>
      <c r="K660" s="380">
        <f>'Basis Options'!G664</f>
        <v>36800</v>
      </c>
      <c r="L660" s="235">
        <f>'Basis Options'!U664</f>
        <v>24546.512114699392</v>
      </c>
      <c r="M660" s="380">
        <f>'Basis Options'!Q664</f>
        <v>36797</v>
      </c>
      <c r="N660" t="str">
        <f>'Basis Options'!F664</f>
        <v>C</v>
      </c>
      <c r="O660">
        <f>'Basis Options'!I664</f>
        <v>0.5</v>
      </c>
      <c r="P660">
        <v>0</v>
      </c>
      <c r="Q660">
        <v>0</v>
      </c>
      <c r="R660">
        <v>0</v>
      </c>
      <c r="S660">
        <v>0</v>
      </c>
      <c r="T660" t="s">
        <v>253</v>
      </c>
      <c r="U660" t="str">
        <f>IF('Basis Options'!D664="NGI/CHI. GATE","""NGI/CHI. GATE""",TRIM('Basis Options'!D664))</f>
        <v>IF-TRANSCO/Z6</v>
      </c>
      <c r="V660" t="s">
        <v>253</v>
      </c>
      <c r="W660" t="s">
        <v>132</v>
      </c>
      <c r="X660" t="s">
        <v>253</v>
      </c>
      <c r="Y660" t="s">
        <v>235</v>
      </c>
      <c r="Z660" t="s">
        <v>236</v>
      </c>
      <c r="AA660" t="s">
        <v>253</v>
      </c>
      <c r="AB660" t="s">
        <v>1</v>
      </c>
      <c r="AC660" s="235">
        <f>'Basis Options'!H664</f>
        <v>1550000</v>
      </c>
      <c r="AD660" s="235">
        <f>'Basis Options'!W664</f>
        <v>7317.391614795546</v>
      </c>
      <c r="AE660">
        <v>0</v>
      </c>
      <c r="AF660">
        <v>0</v>
      </c>
      <c r="AG660">
        <v>0</v>
      </c>
      <c r="AH660" s="235">
        <f>'Basis Options'!CD665</f>
        <v>0</v>
      </c>
      <c r="AI660">
        <v>226</v>
      </c>
      <c r="AJ660" t="s">
        <v>256</v>
      </c>
      <c r="AK660">
        <v>0</v>
      </c>
      <c r="AL660">
        <v>0</v>
      </c>
      <c r="AM660">
        <v>0</v>
      </c>
    </row>
    <row r="661" spans="1:39" x14ac:dyDescent="0.25">
      <c r="A661" t="s">
        <v>233</v>
      </c>
      <c r="B661" t="str">
        <f>'Basis Options'!C665</f>
        <v>NU9027</v>
      </c>
      <c r="C661" t="s">
        <v>255</v>
      </c>
      <c r="D661" t="s">
        <v>234</v>
      </c>
      <c r="E661" t="s">
        <v>20</v>
      </c>
      <c r="F661" t="str">
        <f>'Basis Options'!A665</f>
        <v>RELIANTENESER</v>
      </c>
      <c r="G661" t="s">
        <v>269</v>
      </c>
      <c r="H661" t="s">
        <v>254</v>
      </c>
      <c r="I661" t="s">
        <v>242</v>
      </c>
      <c r="J661" t="s">
        <v>235</v>
      </c>
      <c r="K661" s="380">
        <f>'Basis Options'!G665</f>
        <v>36831</v>
      </c>
      <c r="L661" s="235">
        <f>'Basis Options'!U665</f>
        <v>1833.4777870595233</v>
      </c>
      <c r="M661" s="380">
        <f>'Basis Options'!Q665</f>
        <v>36829</v>
      </c>
      <c r="N661" t="str">
        <f>'Basis Options'!F665</f>
        <v>C</v>
      </c>
      <c r="O661">
        <f>'Basis Options'!I665</f>
        <v>2.5</v>
      </c>
      <c r="P661">
        <v>0</v>
      </c>
      <c r="Q661">
        <v>0</v>
      </c>
      <c r="R661">
        <v>0</v>
      </c>
      <c r="S661">
        <v>0</v>
      </c>
      <c r="T661" t="s">
        <v>253</v>
      </c>
      <c r="U661" t="str">
        <f>IF('Basis Options'!D665="NGI/CHI. GATE","""NGI/CHI. GATE""",TRIM('Basis Options'!D665))</f>
        <v>IF-TRANSCO/Z6</v>
      </c>
      <c r="V661" t="s">
        <v>253</v>
      </c>
      <c r="W661" t="s">
        <v>132</v>
      </c>
      <c r="X661" t="s">
        <v>253</v>
      </c>
      <c r="Y661" t="s">
        <v>235</v>
      </c>
      <c r="Z661" t="s">
        <v>236</v>
      </c>
      <c r="AA661" t="s">
        <v>253</v>
      </c>
      <c r="AB661" t="s">
        <v>1</v>
      </c>
      <c r="AC661" s="235">
        <f>'Basis Options'!H665</f>
        <v>300000</v>
      </c>
      <c r="AD661" s="235">
        <f>'Basis Options'!W665</f>
        <v>1506.0550493340679</v>
      </c>
      <c r="AE661">
        <v>0</v>
      </c>
      <c r="AF661">
        <v>0</v>
      </c>
      <c r="AG661">
        <v>0</v>
      </c>
      <c r="AH661" s="235">
        <f>'Basis Options'!CD666</f>
        <v>0</v>
      </c>
      <c r="AI661">
        <v>226</v>
      </c>
      <c r="AJ661" t="s">
        <v>256</v>
      </c>
      <c r="AK661">
        <v>0</v>
      </c>
      <c r="AL661">
        <v>0</v>
      </c>
      <c r="AM661">
        <v>0</v>
      </c>
    </row>
    <row r="662" spans="1:39" x14ac:dyDescent="0.25">
      <c r="A662" t="s">
        <v>233</v>
      </c>
      <c r="B662" t="str">
        <f>'Basis Options'!C666</f>
        <v>NU9027</v>
      </c>
      <c r="C662" t="s">
        <v>255</v>
      </c>
      <c r="D662" t="s">
        <v>234</v>
      </c>
      <c r="E662" t="s">
        <v>20</v>
      </c>
      <c r="F662" t="str">
        <f>'Basis Options'!A666</f>
        <v>RELIANTENESER</v>
      </c>
      <c r="G662" t="s">
        <v>269</v>
      </c>
      <c r="H662" t="s">
        <v>254</v>
      </c>
      <c r="I662" t="s">
        <v>242</v>
      </c>
      <c r="J662" t="s">
        <v>235</v>
      </c>
      <c r="K662" s="380">
        <f>'Basis Options'!G666</f>
        <v>36861</v>
      </c>
      <c r="L662" s="235">
        <f>'Basis Options'!U666</f>
        <v>76009.775349434567</v>
      </c>
      <c r="M662" s="380">
        <f>'Basis Options'!Q666</f>
        <v>36859</v>
      </c>
      <c r="N662" t="str">
        <f>'Basis Options'!F666</f>
        <v>C</v>
      </c>
      <c r="O662">
        <f>'Basis Options'!I666</f>
        <v>2.5</v>
      </c>
      <c r="P662">
        <v>0</v>
      </c>
      <c r="Q662">
        <v>0</v>
      </c>
      <c r="R662">
        <v>0</v>
      </c>
      <c r="S662">
        <v>0</v>
      </c>
      <c r="T662" t="s">
        <v>253</v>
      </c>
      <c r="U662" t="str">
        <f>IF('Basis Options'!D666="NGI/CHI. GATE","""NGI/CHI. GATE""",TRIM('Basis Options'!D666))</f>
        <v>IF-TRANSCO/Z6</v>
      </c>
      <c r="V662" t="s">
        <v>253</v>
      </c>
      <c r="W662" t="s">
        <v>132</v>
      </c>
      <c r="X662" t="s">
        <v>253</v>
      </c>
      <c r="Y662" t="s">
        <v>235</v>
      </c>
      <c r="Z662" t="s">
        <v>236</v>
      </c>
      <c r="AA662" t="s">
        <v>253</v>
      </c>
      <c r="AB662" t="s">
        <v>1</v>
      </c>
      <c r="AC662" s="235">
        <f>'Basis Options'!H666</f>
        <v>310000</v>
      </c>
      <c r="AD662" s="235">
        <f>'Basis Options'!W666</f>
        <v>17861.132428299388</v>
      </c>
      <c r="AE662">
        <v>0</v>
      </c>
      <c r="AF662">
        <v>0</v>
      </c>
      <c r="AG662">
        <v>0</v>
      </c>
      <c r="AH662" s="235">
        <f>'Basis Options'!CD667</f>
        <v>0</v>
      </c>
      <c r="AI662">
        <v>226</v>
      </c>
      <c r="AJ662" t="s">
        <v>256</v>
      </c>
      <c r="AK662">
        <v>0</v>
      </c>
      <c r="AL662">
        <v>0</v>
      </c>
      <c r="AM662">
        <v>0</v>
      </c>
    </row>
    <row r="663" spans="1:39" x14ac:dyDescent="0.25">
      <c r="A663" t="s">
        <v>233</v>
      </c>
      <c r="B663" t="str">
        <f>'Basis Options'!C667</f>
        <v>NU9027</v>
      </c>
      <c r="C663" t="s">
        <v>255</v>
      </c>
      <c r="D663" t="s">
        <v>234</v>
      </c>
      <c r="E663" t="s">
        <v>20</v>
      </c>
      <c r="F663" t="str">
        <f>'Basis Options'!A667</f>
        <v>RELIANTENESER</v>
      </c>
      <c r="G663" t="s">
        <v>269</v>
      </c>
      <c r="H663" t="s">
        <v>254</v>
      </c>
      <c r="I663" t="s">
        <v>242</v>
      </c>
      <c r="J663" t="s">
        <v>235</v>
      </c>
      <c r="K663" s="380">
        <f>'Basis Options'!G667</f>
        <v>36892</v>
      </c>
      <c r="L663" s="235">
        <f>'Basis Options'!U667</f>
        <v>164060.71760884023</v>
      </c>
      <c r="M663" s="380">
        <f>'Basis Options'!Q667</f>
        <v>36888</v>
      </c>
      <c r="N663" t="str">
        <f>'Basis Options'!F667</f>
        <v>C</v>
      </c>
      <c r="O663">
        <f>'Basis Options'!I667</f>
        <v>2.5</v>
      </c>
      <c r="P663">
        <v>0</v>
      </c>
      <c r="Q663">
        <v>0</v>
      </c>
      <c r="R663">
        <v>0</v>
      </c>
      <c r="S663">
        <v>0</v>
      </c>
      <c r="T663" t="s">
        <v>253</v>
      </c>
      <c r="U663" t="str">
        <f>IF('Basis Options'!D667="NGI/CHI. GATE","""NGI/CHI. GATE""",TRIM('Basis Options'!D667))</f>
        <v>IF-TRANSCO/Z6</v>
      </c>
      <c r="V663" t="s">
        <v>253</v>
      </c>
      <c r="W663" t="s">
        <v>132</v>
      </c>
      <c r="X663" t="s">
        <v>253</v>
      </c>
      <c r="Y663" t="s">
        <v>235</v>
      </c>
      <c r="Z663" t="s">
        <v>236</v>
      </c>
      <c r="AA663" t="s">
        <v>253</v>
      </c>
      <c r="AB663" t="s">
        <v>1</v>
      </c>
      <c r="AC663" s="235">
        <f>'Basis Options'!H667</f>
        <v>310000</v>
      </c>
      <c r="AD663" s="235">
        <f>'Basis Options'!W667</f>
        <v>23575.347550817518</v>
      </c>
      <c r="AE663">
        <v>0</v>
      </c>
      <c r="AF663">
        <v>0</v>
      </c>
      <c r="AG663">
        <v>0</v>
      </c>
      <c r="AH663" s="235">
        <f>'Basis Options'!CD668</f>
        <v>0</v>
      </c>
      <c r="AI663">
        <v>226</v>
      </c>
      <c r="AJ663" t="s">
        <v>256</v>
      </c>
      <c r="AK663">
        <v>0</v>
      </c>
      <c r="AL663">
        <v>0</v>
      </c>
      <c r="AM663">
        <v>0</v>
      </c>
    </row>
    <row r="664" spans="1:39" x14ac:dyDescent="0.25">
      <c r="A664" t="s">
        <v>233</v>
      </c>
      <c r="B664" t="str">
        <f>'Basis Options'!C668</f>
        <v>NU9027</v>
      </c>
      <c r="C664" t="s">
        <v>255</v>
      </c>
      <c r="D664" t="s">
        <v>234</v>
      </c>
      <c r="E664" t="s">
        <v>20</v>
      </c>
      <c r="F664" t="str">
        <f>'Basis Options'!A668</f>
        <v>RELIANTENESER</v>
      </c>
      <c r="G664" t="s">
        <v>269</v>
      </c>
      <c r="H664" t="s">
        <v>254</v>
      </c>
      <c r="I664" t="s">
        <v>242</v>
      </c>
      <c r="J664" t="s">
        <v>235</v>
      </c>
      <c r="K664" s="380">
        <f>'Basis Options'!G668</f>
        <v>36923</v>
      </c>
      <c r="L664" s="235">
        <f>'Basis Options'!U668</f>
        <v>149783.67096474412</v>
      </c>
      <c r="M664" s="380">
        <f>'Basis Options'!Q668</f>
        <v>36921</v>
      </c>
      <c r="N664" t="str">
        <f>'Basis Options'!F668</f>
        <v>C</v>
      </c>
      <c r="O664">
        <f>'Basis Options'!I668</f>
        <v>2.5</v>
      </c>
      <c r="P664">
        <v>0</v>
      </c>
      <c r="Q664">
        <v>0</v>
      </c>
      <c r="R664">
        <v>0</v>
      </c>
      <c r="S664">
        <v>0</v>
      </c>
      <c r="T664" t="s">
        <v>253</v>
      </c>
      <c r="U664" t="str">
        <f>IF('Basis Options'!D668="NGI/CHI. GATE","""NGI/CHI. GATE""",TRIM('Basis Options'!D668))</f>
        <v>IF-TRANSCO/Z6</v>
      </c>
      <c r="V664" t="s">
        <v>253</v>
      </c>
      <c r="W664" t="s">
        <v>132</v>
      </c>
      <c r="X664" t="s">
        <v>253</v>
      </c>
      <c r="Y664" t="s">
        <v>235</v>
      </c>
      <c r="Z664" t="s">
        <v>236</v>
      </c>
      <c r="AA664" t="s">
        <v>253</v>
      </c>
      <c r="AB664" t="s">
        <v>1</v>
      </c>
      <c r="AC664" s="235">
        <f>'Basis Options'!H668</f>
        <v>280000</v>
      </c>
      <c r="AD664" s="235">
        <f>'Basis Options'!W668</f>
        <v>23100.748749014747</v>
      </c>
      <c r="AE664">
        <v>0</v>
      </c>
      <c r="AF664">
        <v>0</v>
      </c>
      <c r="AG664">
        <v>0</v>
      </c>
      <c r="AH664" s="235">
        <f>'Basis Options'!CD669</f>
        <v>0</v>
      </c>
      <c r="AI664">
        <v>226</v>
      </c>
      <c r="AJ664" t="s">
        <v>256</v>
      </c>
      <c r="AK664">
        <v>0</v>
      </c>
      <c r="AL664">
        <v>0</v>
      </c>
      <c r="AM664">
        <v>0</v>
      </c>
    </row>
    <row r="665" spans="1:39" x14ac:dyDescent="0.25">
      <c r="A665" t="s">
        <v>233</v>
      </c>
      <c r="B665" t="str">
        <f>'Basis Options'!C669</f>
        <v>NU9027</v>
      </c>
      <c r="C665" t="s">
        <v>255</v>
      </c>
      <c r="D665" t="s">
        <v>234</v>
      </c>
      <c r="E665" t="s">
        <v>20</v>
      </c>
      <c r="F665" t="str">
        <f>'Basis Options'!A669</f>
        <v>RELIANTENESER</v>
      </c>
      <c r="G665" t="s">
        <v>269</v>
      </c>
      <c r="H665" t="s">
        <v>254</v>
      </c>
      <c r="I665" t="s">
        <v>242</v>
      </c>
      <c r="J665" t="s">
        <v>235</v>
      </c>
      <c r="K665" s="380">
        <f>'Basis Options'!G669</f>
        <v>36951</v>
      </c>
      <c r="L665" s="235">
        <f>'Basis Options'!U669</f>
        <v>48546.105577244532</v>
      </c>
      <c r="M665" s="380">
        <f>'Basis Options'!Q669</f>
        <v>36949</v>
      </c>
      <c r="N665" t="str">
        <f>'Basis Options'!F669</f>
        <v>C</v>
      </c>
      <c r="O665">
        <f>'Basis Options'!I669</f>
        <v>2.5</v>
      </c>
      <c r="P665">
        <v>0</v>
      </c>
      <c r="Q665">
        <v>0</v>
      </c>
      <c r="R665">
        <v>0</v>
      </c>
      <c r="S665">
        <v>0</v>
      </c>
      <c r="T665" t="s">
        <v>253</v>
      </c>
      <c r="U665" t="str">
        <f>IF('Basis Options'!D669="NGI/CHI. GATE","""NGI/CHI. GATE""",TRIM('Basis Options'!D669))</f>
        <v>IF-TRANSCO/Z6</v>
      </c>
      <c r="V665" t="s">
        <v>253</v>
      </c>
      <c r="W665" t="s">
        <v>132</v>
      </c>
      <c r="X665" t="s">
        <v>253</v>
      </c>
      <c r="Y665" t="s">
        <v>235</v>
      </c>
      <c r="Z665" t="s">
        <v>236</v>
      </c>
      <c r="AA665" t="s">
        <v>253</v>
      </c>
      <c r="AB665" t="s">
        <v>1</v>
      </c>
      <c r="AC665" s="235">
        <f>'Basis Options'!H669</f>
        <v>310000</v>
      </c>
      <c r="AD665" s="235">
        <f>'Basis Options'!W669</f>
        <v>17681.731965443352</v>
      </c>
      <c r="AE665">
        <v>0</v>
      </c>
      <c r="AF665">
        <v>0</v>
      </c>
      <c r="AG665">
        <v>0</v>
      </c>
      <c r="AH665" s="235">
        <f>'Basis Options'!CD670</f>
        <v>0</v>
      </c>
      <c r="AI665">
        <v>226</v>
      </c>
      <c r="AJ665" t="s">
        <v>256</v>
      </c>
      <c r="AK665">
        <v>0</v>
      </c>
      <c r="AL665">
        <v>0</v>
      </c>
      <c r="AM665">
        <v>0</v>
      </c>
    </row>
    <row r="666" spans="1:39" x14ac:dyDescent="0.25">
      <c r="A666" t="s">
        <v>233</v>
      </c>
      <c r="B666" t="str">
        <f>'Basis Options'!C670</f>
        <v>NV0431</v>
      </c>
      <c r="C666" t="s">
        <v>255</v>
      </c>
      <c r="D666" t="s">
        <v>234</v>
      </c>
      <c r="E666" t="s">
        <v>20</v>
      </c>
      <c r="F666" t="str">
        <f>'Basis Options'!A670</f>
        <v>DYNEGYMARAND</v>
      </c>
      <c r="G666" t="s">
        <v>269</v>
      </c>
      <c r="H666" t="s">
        <v>254</v>
      </c>
      <c r="I666" t="s">
        <v>242</v>
      </c>
      <c r="J666" t="s">
        <v>235</v>
      </c>
      <c r="K666" s="380">
        <f>'Basis Options'!G670</f>
        <v>36982</v>
      </c>
      <c r="L666" s="235">
        <f>'Basis Options'!U670</f>
        <v>72162.777158658646</v>
      </c>
      <c r="M666" s="380">
        <f>'Basis Options'!Q670</f>
        <v>36979</v>
      </c>
      <c r="N666" t="str">
        <f>'Basis Options'!F670</f>
        <v>C</v>
      </c>
      <c r="O666">
        <f>'Basis Options'!I670</f>
        <v>0.5</v>
      </c>
      <c r="P666">
        <v>0</v>
      </c>
      <c r="Q666">
        <v>0</v>
      </c>
      <c r="R666">
        <v>0</v>
      </c>
      <c r="S666">
        <v>0</v>
      </c>
      <c r="T666" t="s">
        <v>253</v>
      </c>
      <c r="U666" t="str">
        <f>IF('Basis Options'!D670="NGI/CHI. GATE","""NGI/CHI. GATE""",TRIM('Basis Options'!D670))</f>
        <v>IF-TRANSCO/Z6</v>
      </c>
      <c r="V666" t="s">
        <v>253</v>
      </c>
      <c r="W666" t="s">
        <v>132</v>
      </c>
      <c r="X666" t="s">
        <v>253</v>
      </c>
      <c r="Y666" t="s">
        <v>235</v>
      </c>
      <c r="Z666" t="s">
        <v>236</v>
      </c>
      <c r="AA666" t="s">
        <v>253</v>
      </c>
      <c r="AB666" t="s">
        <v>1</v>
      </c>
      <c r="AC666" s="235">
        <f>'Basis Options'!H670</f>
        <v>500000</v>
      </c>
      <c r="AD666" s="235">
        <f>'Basis Options'!W670</f>
        <v>12914.633865340526</v>
      </c>
      <c r="AE666">
        <v>0</v>
      </c>
      <c r="AF666">
        <v>0</v>
      </c>
      <c r="AG666">
        <v>0</v>
      </c>
      <c r="AH666" s="235">
        <f>'Basis Options'!CD671</f>
        <v>0</v>
      </c>
      <c r="AI666">
        <v>226</v>
      </c>
      <c r="AJ666" t="s">
        <v>256</v>
      </c>
      <c r="AK666">
        <v>0</v>
      </c>
      <c r="AL666">
        <v>0</v>
      </c>
      <c r="AM666">
        <v>0</v>
      </c>
    </row>
    <row r="667" spans="1:39" x14ac:dyDescent="0.25">
      <c r="A667" t="s">
        <v>233</v>
      </c>
      <c r="B667" t="str">
        <f>'Basis Options'!C671</f>
        <v>NV0431</v>
      </c>
      <c r="C667" t="s">
        <v>255</v>
      </c>
      <c r="D667" t="s">
        <v>234</v>
      </c>
      <c r="E667" t="s">
        <v>20</v>
      </c>
      <c r="F667" t="str">
        <f>'Basis Options'!A671</f>
        <v>DYNEGYMARAND</v>
      </c>
      <c r="G667" t="s">
        <v>269</v>
      </c>
      <c r="H667" t="s">
        <v>254</v>
      </c>
      <c r="I667" t="s">
        <v>242</v>
      </c>
      <c r="J667" t="s">
        <v>235</v>
      </c>
      <c r="K667" s="380">
        <f>'Basis Options'!G671</f>
        <v>37012</v>
      </c>
      <c r="L667" s="235">
        <f>'Basis Options'!U671</f>
        <v>42828.741083018263</v>
      </c>
      <c r="M667" s="380">
        <f>'Basis Options'!Q671</f>
        <v>37008</v>
      </c>
      <c r="N667" t="str">
        <f>'Basis Options'!F671</f>
        <v>C</v>
      </c>
      <c r="O667">
        <f>'Basis Options'!I671</f>
        <v>0.5</v>
      </c>
      <c r="P667">
        <v>0</v>
      </c>
      <c r="Q667">
        <v>0</v>
      </c>
      <c r="R667">
        <v>0</v>
      </c>
      <c r="S667">
        <v>0</v>
      </c>
      <c r="T667" t="s">
        <v>253</v>
      </c>
      <c r="U667" t="str">
        <f>IF('Basis Options'!D671="NGI/CHI. GATE","""NGI/CHI. GATE""",TRIM('Basis Options'!D671))</f>
        <v>IF-TRANSCO/Z6</v>
      </c>
      <c r="V667" t="s">
        <v>253</v>
      </c>
      <c r="W667" t="s">
        <v>132</v>
      </c>
      <c r="X667" t="s">
        <v>253</v>
      </c>
      <c r="Y667" t="s">
        <v>235</v>
      </c>
      <c r="Z667" t="s">
        <v>236</v>
      </c>
      <c r="AA667" t="s">
        <v>253</v>
      </c>
      <c r="AB667" t="s">
        <v>1</v>
      </c>
      <c r="AC667" s="235">
        <f>'Basis Options'!H671</f>
        <v>500000</v>
      </c>
      <c r="AD667" s="235">
        <f>'Basis Options'!W671</f>
        <v>12110.93014958204</v>
      </c>
      <c r="AE667">
        <v>0</v>
      </c>
      <c r="AF667">
        <v>0</v>
      </c>
      <c r="AG667">
        <v>0</v>
      </c>
      <c r="AH667" s="235">
        <f>'Basis Options'!CD672</f>
        <v>0</v>
      </c>
      <c r="AI667">
        <v>226</v>
      </c>
      <c r="AJ667" t="s">
        <v>256</v>
      </c>
      <c r="AK667">
        <v>0</v>
      </c>
      <c r="AL667">
        <v>0</v>
      </c>
      <c r="AM667">
        <v>0</v>
      </c>
    </row>
    <row r="668" spans="1:39" x14ac:dyDescent="0.25">
      <c r="A668" t="s">
        <v>233</v>
      </c>
      <c r="B668" t="str">
        <f>'Basis Options'!C672</f>
        <v>NV0431</v>
      </c>
      <c r="C668" t="s">
        <v>255</v>
      </c>
      <c r="D668" t="s">
        <v>234</v>
      </c>
      <c r="E668" t="s">
        <v>20</v>
      </c>
      <c r="F668" t="str">
        <f>'Basis Options'!A672</f>
        <v>DYNEGYMARAND</v>
      </c>
      <c r="G668" t="s">
        <v>269</v>
      </c>
      <c r="H668" t="s">
        <v>254</v>
      </c>
      <c r="I668" t="s">
        <v>242</v>
      </c>
      <c r="J668" t="s">
        <v>235</v>
      </c>
      <c r="K668" s="380">
        <f>'Basis Options'!G672</f>
        <v>37043</v>
      </c>
      <c r="L668" s="235">
        <f>'Basis Options'!U672</f>
        <v>43568.520576328352</v>
      </c>
      <c r="M668" s="380">
        <f>'Basis Options'!Q672</f>
        <v>37041</v>
      </c>
      <c r="N668" t="str">
        <f>'Basis Options'!F672</f>
        <v>C</v>
      </c>
      <c r="O668">
        <f>'Basis Options'!I672</f>
        <v>0.5</v>
      </c>
      <c r="P668">
        <v>0</v>
      </c>
      <c r="Q668">
        <v>0</v>
      </c>
      <c r="R668">
        <v>0</v>
      </c>
      <c r="S668">
        <v>0</v>
      </c>
      <c r="T668" t="s">
        <v>253</v>
      </c>
      <c r="U668" t="str">
        <f>IF('Basis Options'!D672="NGI/CHI. GATE","""NGI/CHI. GATE""",TRIM('Basis Options'!D672))</f>
        <v>IF-TRANSCO/Z6</v>
      </c>
      <c r="V668" t="s">
        <v>253</v>
      </c>
      <c r="W668" t="s">
        <v>132</v>
      </c>
      <c r="X668" t="s">
        <v>253</v>
      </c>
      <c r="Y668" t="s">
        <v>235</v>
      </c>
      <c r="Z668" t="s">
        <v>236</v>
      </c>
      <c r="AA668" t="s">
        <v>253</v>
      </c>
      <c r="AB668" t="s">
        <v>1</v>
      </c>
      <c r="AC668" s="235">
        <f>'Basis Options'!H672</f>
        <v>500000</v>
      </c>
      <c r="AD668" s="235">
        <f>'Basis Options'!W672</f>
        <v>12614.827912431327</v>
      </c>
      <c r="AE668">
        <v>0</v>
      </c>
      <c r="AF668">
        <v>0</v>
      </c>
      <c r="AG668">
        <v>0</v>
      </c>
      <c r="AH668" s="235">
        <f>'Basis Options'!CD673</f>
        <v>0</v>
      </c>
      <c r="AI668">
        <v>226</v>
      </c>
      <c r="AJ668" t="s">
        <v>256</v>
      </c>
      <c r="AK668">
        <v>0</v>
      </c>
      <c r="AL668">
        <v>0</v>
      </c>
      <c r="AM668">
        <v>0</v>
      </c>
    </row>
    <row r="669" spans="1:39" x14ac:dyDescent="0.25">
      <c r="A669" t="s">
        <v>233</v>
      </c>
      <c r="B669" t="str">
        <f>'Basis Options'!C673</f>
        <v>NV0431</v>
      </c>
      <c r="C669" t="s">
        <v>255</v>
      </c>
      <c r="D669" t="s">
        <v>234</v>
      </c>
      <c r="E669" t="s">
        <v>20</v>
      </c>
      <c r="F669" t="str">
        <f>'Basis Options'!A673</f>
        <v>DYNEGYMARAND</v>
      </c>
      <c r="G669" t="s">
        <v>269</v>
      </c>
      <c r="H669" t="s">
        <v>254</v>
      </c>
      <c r="I669" t="s">
        <v>242</v>
      </c>
      <c r="J669" t="s">
        <v>235</v>
      </c>
      <c r="K669" s="380">
        <f>'Basis Options'!G673</f>
        <v>37073</v>
      </c>
      <c r="L669" s="235">
        <f>'Basis Options'!U673</f>
        <v>59900.876405347095</v>
      </c>
      <c r="M669" s="380">
        <f>'Basis Options'!Q673</f>
        <v>37070</v>
      </c>
      <c r="N669" t="str">
        <f>'Basis Options'!F673</f>
        <v>C</v>
      </c>
      <c r="O669">
        <f>'Basis Options'!I673</f>
        <v>0.5</v>
      </c>
      <c r="P669">
        <v>0</v>
      </c>
      <c r="Q669">
        <v>0</v>
      </c>
      <c r="R669">
        <v>0</v>
      </c>
      <c r="S669">
        <v>0</v>
      </c>
      <c r="T669" t="s">
        <v>253</v>
      </c>
      <c r="U669" t="str">
        <f>IF('Basis Options'!D673="NGI/CHI. GATE","""NGI/CHI. GATE""",TRIM('Basis Options'!D673))</f>
        <v>IF-TRANSCO/Z6</v>
      </c>
      <c r="V669" t="s">
        <v>253</v>
      </c>
      <c r="W669" t="s">
        <v>132</v>
      </c>
      <c r="X669" t="s">
        <v>253</v>
      </c>
      <c r="Y669" t="s">
        <v>235</v>
      </c>
      <c r="Z669" t="s">
        <v>236</v>
      </c>
      <c r="AA669" t="s">
        <v>253</v>
      </c>
      <c r="AB669" t="s">
        <v>1</v>
      </c>
      <c r="AC669" s="235">
        <f>'Basis Options'!H673</f>
        <v>500000</v>
      </c>
      <c r="AD669" s="235">
        <f>'Basis Options'!W673</f>
        <v>13637.040379367972</v>
      </c>
      <c r="AE669">
        <v>0</v>
      </c>
      <c r="AF669">
        <v>0</v>
      </c>
      <c r="AG669">
        <v>0</v>
      </c>
      <c r="AH669" s="235">
        <f>'Basis Options'!CD674</f>
        <v>0</v>
      </c>
      <c r="AI669">
        <v>226</v>
      </c>
      <c r="AJ669" t="s">
        <v>256</v>
      </c>
      <c r="AK669">
        <v>0</v>
      </c>
      <c r="AL669">
        <v>0</v>
      </c>
      <c r="AM669">
        <v>0</v>
      </c>
    </row>
    <row r="670" spans="1:39" x14ac:dyDescent="0.25">
      <c r="A670" t="s">
        <v>233</v>
      </c>
      <c r="B670" t="str">
        <f>'Basis Options'!C674</f>
        <v>NV0431</v>
      </c>
      <c r="C670" t="s">
        <v>255</v>
      </c>
      <c r="D670" t="s">
        <v>234</v>
      </c>
      <c r="E670" t="s">
        <v>20</v>
      </c>
      <c r="F670" t="str">
        <f>'Basis Options'!A674</f>
        <v>DYNEGYMARAND</v>
      </c>
      <c r="G670" t="s">
        <v>269</v>
      </c>
      <c r="H670" t="s">
        <v>254</v>
      </c>
      <c r="I670" t="s">
        <v>242</v>
      </c>
      <c r="J670" t="s">
        <v>235</v>
      </c>
      <c r="K670" s="380">
        <f>'Basis Options'!G674</f>
        <v>37104</v>
      </c>
      <c r="L670" s="235">
        <f>'Basis Options'!U674</f>
        <v>63145.064138374728</v>
      </c>
      <c r="M670" s="380">
        <f>'Basis Options'!Q674</f>
        <v>37102</v>
      </c>
      <c r="N670" t="str">
        <f>'Basis Options'!F674</f>
        <v>C</v>
      </c>
      <c r="O670">
        <f>'Basis Options'!I674</f>
        <v>0.5</v>
      </c>
      <c r="P670">
        <v>0</v>
      </c>
      <c r="Q670">
        <v>0</v>
      </c>
      <c r="R670">
        <v>0</v>
      </c>
      <c r="S670">
        <v>0</v>
      </c>
      <c r="T670" t="s">
        <v>253</v>
      </c>
      <c r="U670" t="str">
        <f>IF('Basis Options'!D674="NGI/CHI. GATE","""NGI/CHI. GATE""",TRIM('Basis Options'!D674))</f>
        <v>IF-TRANSCO/Z6</v>
      </c>
      <c r="V670" t="s">
        <v>253</v>
      </c>
      <c r="W670" t="s">
        <v>132</v>
      </c>
      <c r="X670" t="s">
        <v>253</v>
      </c>
      <c r="Y670" t="s">
        <v>235</v>
      </c>
      <c r="Z670" t="s">
        <v>236</v>
      </c>
      <c r="AA670" t="s">
        <v>253</v>
      </c>
      <c r="AB670" t="s">
        <v>1</v>
      </c>
      <c r="AC670" s="235">
        <f>'Basis Options'!H674</f>
        <v>500000</v>
      </c>
      <c r="AD670" s="235">
        <f>'Basis Options'!W674</f>
        <v>14267.331030124275</v>
      </c>
      <c r="AE670">
        <v>0</v>
      </c>
      <c r="AF670">
        <v>0</v>
      </c>
      <c r="AG670">
        <v>0</v>
      </c>
      <c r="AH670" s="235">
        <f>'Basis Options'!CD675</f>
        <v>0</v>
      </c>
      <c r="AI670">
        <v>226</v>
      </c>
      <c r="AJ670" t="s">
        <v>256</v>
      </c>
      <c r="AK670">
        <v>0</v>
      </c>
      <c r="AL670">
        <v>0</v>
      </c>
      <c r="AM670">
        <v>0</v>
      </c>
    </row>
    <row r="671" spans="1:39" x14ac:dyDescent="0.25">
      <c r="A671" t="s">
        <v>233</v>
      </c>
      <c r="B671" t="str">
        <f>'Basis Options'!C675</f>
        <v>NV0431</v>
      </c>
      <c r="C671" t="s">
        <v>255</v>
      </c>
      <c r="D671" t="s">
        <v>234</v>
      </c>
      <c r="E671" t="s">
        <v>20</v>
      </c>
      <c r="F671" t="str">
        <f>'Basis Options'!A675</f>
        <v>DYNEGYMARAND</v>
      </c>
      <c r="G671" t="s">
        <v>269</v>
      </c>
      <c r="H671" t="s">
        <v>254</v>
      </c>
      <c r="I671" t="s">
        <v>242</v>
      </c>
      <c r="J671" t="s">
        <v>235</v>
      </c>
      <c r="K671" s="380">
        <f>'Basis Options'!G675</f>
        <v>37135</v>
      </c>
      <c r="L671" s="235">
        <f>'Basis Options'!U675</f>
        <v>52092.702533425603</v>
      </c>
      <c r="M671" s="380">
        <f>'Basis Options'!Q675</f>
        <v>37133</v>
      </c>
      <c r="N671" t="str">
        <f>'Basis Options'!F675</f>
        <v>C</v>
      </c>
      <c r="O671">
        <f>'Basis Options'!I675</f>
        <v>0.5</v>
      </c>
      <c r="P671">
        <v>0</v>
      </c>
      <c r="Q671">
        <v>0</v>
      </c>
      <c r="R671">
        <v>0</v>
      </c>
      <c r="S671">
        <v>0</v>
      </c>
      <c r="T671" t="s">
        <v>253</v>
      </c>
      <c r="U671" t="str">
        <f>IF('Basis Options'!D675="NGI/CHI. GATE","""NGI/CHI. GATE""",TRIM('Basis Options'!D675))</f>
        <v>IF-TRANSCO/Z6</v>
      </c>
      <c r="V671" t="s">
        <v>253</v>
      </c>
      <c r="W671" t="s">
        <v>132</v>
      </c>
      <c r="X671" t="s">
        <v>253</v>
      </c>
      <c r="Y671" t="s">
        <v>235</v>
      </c>
      <c r="Z671" t="s">
        <v>236</v>
      </c>
      <c r="AA671" t="s">
        <v>253</v>
      </c>
      <c r="AB671" t="s">
        <v>1</v>
      </c>
      <c r="AC671" s="235">
        <f>'Basis Options'!H675</f>
        <v>500000</v>
      </c>
      <c r="AD671" s="235">
        <f>'Basis Options'!W675</f>
        <v>14476.58708802503</v>
      </c>
      <c r="AE671">
        <v>0</v>
      </c>
      <c r="AF671">
        <v>0</v>
      </c>
      <c r="AG671">
        <v>0</v>
      </c>
      <c r="AH671" s="235">
        <f>'Basis Options'!CD676</f>
        <v>0</v>
      </c>
      <c r="AI671">
        <v>226</v>
      </c>
      <c r="AJ671" t="s">
        <v>256</v>
      </c>
      <c r="AK671">
        <v>0</v>
      </c>
      <c r="AL671">
        <v>0</v>
      </c>
      <c r="AM671">
        <v>0</v>
      </c>
    </row>
    <row r="672" spans="1:39" x14ac:dyDescent="0.25">
      <c r="A672" t="s">
        <v>233</v>
      </c>
      <c r="B672" t="str">
        <f>'Basis Options'!C676</f>
        <v>NV0431</v>
      </c>
      <c r="C672" t="s">
        <v>255</v>
      </c>
      <c r="D672" t="s">
        <v>234</v>
      </c>
      <c r="E672" t="s">
        <v>20</v>
      </c>
      <c r="F672" t="str">
        <f>'Basis Options'!A676</f>
        <v>DYNEGYMARAND</v>
      </c>
      <c r="G672" t="s">
        <v>269</v>
      </c>
      <c r="H672" t="s">
        <v>254</v>
      </c>
      <c r="I672" t="s">
        <v>242</v>
      </c>
      <c r="J672" t="s">
        <v>235</v>
      </c>
      <c r="K672" s="380">
        <f>'Basis Options'!G676</f>
        <v>37165</v>
      </c>
      <c r="L672" s="235">
        <f>'Basis Options'!U676</f>
        <v>68485.803026159861</v>
      </c>
      <c r="M672" s="380">
        <f>'Basis Options'!Q676</f>
        <v>37161</v>
      </c>
      <c r="N672" t="str">
        <f>'Basis Options'!F676</f>
        <v>C</v>
      </c>
      <c r="O672">
        <f>'Basis Options'!I676</f>
        <v>0.5</v>
      </c>
      <c r="P672">
        <v>0</v>
      </c>
      <c r="Q672">
        <v>0</v>
      </c>
      <c r="R672">
        <v>0</v>
      </c>
      <c r="S672">
        <v>0</v>
      </c>
      <c r="T672" t="s">
        <v>253</v>
      </c>
      <c r="U672" t="str">
        <f>IF('Basis Options'!D676="NGI/CHI. GATE","""NGI/CHI. GATE""",TRIM('Basis Options'!D676))</f>
        <v>IF-TRANSCO/Z6</v>
      </c>
      <c r="V672" t="s">
        <v>253</v>
      </c>
      <c r="W672" t="s">
        <v>132</v>
      </c>
      <c r="X672" t="s">
        <v>253</v>
      </c>
      <c r="Y672" t="s">
        <v>235</v>
      </c>
      <c r="Z672" t="s">
        <v>236</v>
      </c>
      <c r="AA672" t="s">
        <v>253</v>
      </c>
      <c r="AB672" t="s">
        <v>1</v>
      </c>
      <c r="AC672" s="235">
        <f>'Basis Options'!H676</f>
        <v>500000</v>
      </c>
      <c r="AD672" s="235">
        <f>'Basis Options'!W676</f>
        <v>15377.324727182102</v>
      </c>
      <c r="AE672">
        <v>0</v>
      </c>
      <c r="AF672">
        <v>0</v>
      </c>
      <c r="AG672">
        <v>0</v>
      </c>
      <c r="AH672" s="235">
        <f>'Basis Options'!CD677</f>
        <v>0</v>
      </c>
      <c r="AI672">
        <v>226</v>
      </c>
      <c r="AJ672" t="s">
        <v>256</v>
      </c>
      <c r="AK672">
        <v>0</v>
      </c>
      <c r="AL672">
        <v>0</v>
      </c>
      <c r="AM672">
        <v>0</v>
      </c>
    </row>
    <row r="673" spans="1:39" x14ac:dyDescent="0.25">
      <c r="A673" t="s">
        <v>233</v>
      </c>
      <c r="B673" t="str">
        <f>'Basis Options'!C677</f>
        <v>NV0442</v>
      </c>
      <c r="C673" t="s">
        <v>255</v>
      </c>
      <c r="D673" t="s">
        <v>234</v>
      </c>
      <c r="E673" t="s">
        <v>20</v>
      </c>
      <c r="F673" t="str">
        <f>'Basis Options'!A677</f>
        <v>DYNEGYMARAND</v>
      </c>
      <c r="G673" t="s">
        <v>269</v>
      </c>
      <c r="H673" t="s">
        <v>254</v>
      </c>
      <c r="I673" t="s">
        <v>242</v>
      </c>
      <c r="J673" t="s">
        <v>235</v>
      </c>
      <c r="K673" s="380">
        <f>'Basis Options'!G677</f>
        <v>36982</v>
      </c>
      <c r="L673" s="235">
        <f>'Basis Options'!U677</f>
        <v>47900.160508101755</v>
      </c>
      <c r="M673" s="380">
        <f>'Basis Options'!Q677</f>
        <v>36979</v>
      </c>
      <c r="N673" t="str">
        <f>'Basis Options'!F677</f>
        <v>P</v>
      </c>
      <c r="O673">
        <f>'Basis Options'!I677</f>
        <v>0.3</v>
      </c>
      <c r="P673">
        <v>0</v>
      </c>
      <c r="Q673">
        <v>0</v>
      </c>
      <c r="R673">
        <v>0</v>
      </c>
      <c r="S673">
        <v>0</v>
      </c>
      <c r="T673" t="s">
        <v>253</v>
      </c>
      <c r="U673" t="str">
        <f>IF('Basis Options'!D677="NGI/CHI. GATE","""NGI/CHI. GATE""",TRIM('Basis Options'!D677))</f>
        <v>IF-TRANSCO/Z6</v>
      </c>
      <c r="V673" t="s">
        <v>253</v>
      </c>
      <c r="W673" t="s">
        <v>132</v>
      </c>
      <c r="X673" t="s">
        <v>253</v>
      </c>
      <c r="Y673" t="s">
        <v>235</v>
      </c>
      <c r="Z673" t="s">
        <v>236</v>
      </c>
      <c r="AA673" t="s">
        <v>253</v>
      </c>
      <c r="AB673" t="s">
        <v>1</v>
      </c>
      <c r="AC673" s="235">
        <f>'Basis Options'!H677</f>
        <v>1000000</v>
      </c>
      <c r="AD673" s="235">
        <f>'Basis Options'!W677</f>
        <v>22246.541760542197</v>
      </c>
      <c r="AE673">
        <v>0</v>
      </c>
      <c r="AF673">
        <v>0</v>
      </c>
      <c r="AG673">
        <v>0</v>
      </c>
      <c r="AH673" s="235">
        <f>'Basis Options'!CD678</f>
        <v>0</v>
      </c>
      <c r="AI673">
        <v>226</v>
      </c>
      <c r="AJ673" t="s">
        <v>256</v>
      </c>
      <c r="AK673">
        <v>0</v>
      </c>
      <c r="AL673">
        <v>0</v>
      </c>
      <c r="AM673">
        <v>0</v>
      </c>
    </row>
    <row r="674" spans="1:39" x14ac:dyDescent="0.25">
      <c r="A674" t="s">
        <v>233</v>
      </c>
      <c r="B674" t="str">
        <f>'Basis Options'!C678</f>
        <v>NV0442</v>
      </c>
      <c r="C674" t="s">
        <v>255</v>
      </c>
      <c r="D674" t="s">
        <v>234</v>
      </c>
      <c r="E674" t="s">
        <v>20</v>
      </c>
      <c r="F674" t="str">
        <f>'Basis Options'!A678</f>
        <v>DYNEGYMARAND</v>
      </c>
      <c r="G674" t="s">
        <v>269</v>
      </c>
      <c r="H674" t="s">
        <v>254</v>
      </c>
      <c r="I674" t="s">
        <v>242</v>
      </c>
      <c r="J674" t="s">
        <v>235</v>
      </c>
      <c r="K674" s="380">
        <f>'Basis Options'!G678</f>
        <v>37012</v>
      </c>
      <c r="L674" s="235">
        <f>'Basis Options'!U678</f>
        <v>74822.127414418675</v>
      </c>
      <c r="M674" s="380">
        <f>'Basis Options'!Q678</f>
        <v>37008</v>
      </c>
      <c r="N674" t="str">
        <f>'Basis Options'!F678</f>
        <v>P</v>
      </c>
      <c r="O674">
        <f>'Basis Options'!I678</f>
        <v>0.3</v>
      </c>
      <c r="P674">
        <v>0</v>
      </c>
      <c r="Q674">
        <v>0</v>
      </c>
      <c r="R674">
        <v>0</v>
      </c>
      <c r="S674">
        <v>0</v>
      </c>
      <c r="T674" t="s">
        <v>253</v>
      </c>
      <c r="U674" t="str">
        <f>IF('Basis Options'!D678="NGI/CHI. GATE","""NGI/CHI. GATE""",TRIM('Basis Options'!D678))</f>
        <v>IF-TRANSCO/Z6</v>
      </c>
      <c r="V674" t="s">
        <v>253</v>
      </c>
      <c r="W674" t="s">
        <v>132</v>
      </c>
      <c r="X674" t="s">
        <v>253</v>
      </c>
      <c r="Y674" t="s">
        <v>235</v>
      </c>
      <c r="Z674" t="s">
        <v>236</v>
      </c>
      <c r="AA674" t="s">
        <v>253</v>
      </c>
      <c r="AB674" t="s">
        <v>1</v>
      </c>
      <c r="AC674" s="235">
        <f>'Basis Options'!H678</f>
        <v>1000000</v>
      </c>
      <c r="AD674" s="235">
        <f>'Basis Options'!W678</f>
        <v>25457.393382681301</v>
      </c>
      <c r="AE674">
        <v>0</v>
      </c>
      <c r="AF674">
        <v>0</v>
      </c>
      <c r="AG674">
        <v>0</v>
      </c>
      <c r="AH674" s="235">
        <f>'Basis Options'!CD679</f>
        <v>0</v>
      </c>
      <c r="AI674">
        <v>226</v>
      </c>
      <c r="AJ674" t="s">
        <v>256</v>
      </c>
      <c r="AK674">
        <v>0</v>
      </c>
      <c r="AL674">
        <v>0</v>
      </c>
      <c r="AM674">
        <v>0</v>
      </c>
    </row>
    <row r="675" spans="1:39" x14ac:dyDescent="0.25">
      <c r="A675" t="s">
        <v>233</v>
      </c>
      <c r="B675" t="str">
        <f>'Basis Options'!C679</f>
        <v>NV0442</v>
      </c>
      <c r="C675" t="s">
        <v>255</v>
      </c>
      <c r="D675" t="s">
        <v>234</v>
      </c>
      <c r="E675" t="s">
        <v>20</v>
      </c>
      <c r="F675" t="str">
        <f>'Basis Options'!A679</f>
        <v>DYNEGYMARAND</v>
      </c>
      <c r="G675" t="s">
        <v>269</v>
      </c>
      <c r="H675" t="s">
        <v>254</v>
      </c>
      <c r="I675" t="s">
        <v>242</v>
      </c>
      <c r="J675" t="s">
        <v>235</v>
      </c>
      <c r="K675" s="380">
        <f>'Basis Options'!G679</f>
        <v>37043</v>
      </c>
      <c r="L675" s="235">
        <f>'Basis Options'!U679</f>
        <v>83169.699169893967</v>
      </c>
      <c r="M675" s="380">
        <f>'Basis Options'!Q679</f>
        <v>37041</v>
      </c>
      <c r="N675" t="str">
        <f>'Basis Options'!F679</f>
        <v>P</v>
      </c>
      <c r="O675">
        <f>'Basis Options'!I679</f>
        <v>0.3</v>
      </c>
      <c r="P675">
        <v>0</v>
      </c>
      <c r="Q675">
        <v>0</v>
      </c>
      <c r="R675">
        <v>0</v>
      </c>
      <c r="S675">
        <v>0</v>
      </c>
      <c r="T675" t="s">
        <v>253</v>
      </c>
      <c r="U675" t="str">
        <f>IF('Basis Options'!D679="NGI/CHI. GATE","""NGI/CHI. GATE""",TRIM('Basis Options'!D679))</f>
        <v>IF-TRANSCO/Z6</v>
      </c>
      <c r="V675" t="s">
        <v>253</v>
      </c>
      <c r="W675" t="s">
        <v>132</v>
      </c>
      <c r="X675" t="s">
        <v>253</v>
      </c>
      <c r="Y675" t="s">
        <v>235</v>
      </c>
      <c r="Z675" t="s">
        <v>236</v>
      </c>
      <c r="AA675" t="s">
        <v>253</v>
      </c>
      <c r="AB675" t="s">
        <v>1</v>
      </c>
      <c r="AC675" s="235">
        <f>'Basis Options'!H679</f>
        <v>1000000</v>
      </c>
      <c r="AD675" s="235">
        <f>'Basis Options'!W679</f>
        <v>27015.923907212215</v>
      </c>
      <c r="AE675">
        <v>0</v>
      </c>
      <c r="AF675">
        <v>0</v>
      </c>
      <c r="AG675">
        <v>0</v>
      </c>
      <c r="AH675" s="235">
        <f>'Basis Options'!CD680</f>
        <v>0</v>
      </c>
      <c r="AI675">
        <v>226</v>
      </c>
      <c r="AJ675" t="s">
        <v>256</v>
      </c>
      <c r="AK675">
        <v>0</v>
      </c>
      <c r="AL675">
        <v>0</v>
      </c>
      <c r="AM675">
        <v>0</v>
      </c>
    </row>
    <row r="676" spans="1:39" x14ac:dyDescent="0.25">
      <c r="A676" t="s">
        <v>233</v>
      </c>
      <c r="B676" t="str">
        <f>'Basis Options'!C680</f>
        <v>NV0442</v>
      </c>
      <c r="C676" t="s">
        <v>255</v>
      </c>
      <c r="D676" t="s">
        <v>234</v>
      </c>
      <c r="E676" t="s">
        <v>20</v>
      </c>
      <c r="F676" t="str">
        <f>'Basis Options'!A680</f>
        <v>DYNEGYMARAND</v>
      </c>
      <c r="G676" t="s">
        <v>269</v>
      </c>
      <c r="H676" t="s">
        <v>254</v>
      </c>
      <c r="I676" t="s">
        <v>242</v>
      </c>
      <c r="J676" t="s">
        <v>235</v>
      </c>
      <c r="K676" s="380">
        <f>'Basis Options'!G680</f>
        <v>37073</v>
      </c>
      <c r="L676" s="235">
        <f>'Basis Options'!U680</f>
        <v>67557.221876477444</v>
      </c>
      <c r="M676" s="380">
        <f>'Basis Options'!Q680</f>
        <v>37070</v>
      </c>
      <c r="N676" t="str">
        <f>'Basis Options'!F680</f>
        <v>P</v>
      </c>
      <c r="O676">
        <f>'Basis Options'!I680</f>
        <v>0.3</v>
      </c>
      <c r="P676">
        <v>0</v>
      </c>
      <c r="Q676">
        <v>0</v>
      </c>
      <c r="R676">
        <v>0</v>
      </c>
      <c r="S676">
        <v>0</v>
      </c>
      <c r="T676" t="s">
        <v>253</v>
      </c>
      <c r="U676" t="str">
        <f>IF('Basis Options'!D680="NGI/CHI. GATE","""NGI/CHI. GATE""",TRIM('Basis Options'!D680))</f>
        <v>IF-TRANSCO/Z6</v>
      </c>
      <c r="V676" t="s">
        <v>253</v>
      </c>
      <c r="W676" t="s">
        <v>132</v>
      </c>
      <c r="X676" t="s">
        <v>253</v>
      </c>
      <c r="Y676" t="s">
        <v>235</v>
      </c>
      <c r="Z676" t="s">
        <v>236</v>
      </c>
      <c r="AA676" t="s">
        <v>253</v>
      </c>
      <c r="AB676" t="s">
        <v>1</v>
      </c>
      <c r="AC676" s="235">
        <f>'Basis Options'!H680</f>
        <v>1000000</v>
      </c>
      <c r="AD676" s="235">
        <f>'Basis Options'!W680</f>
        <v>26391.69459001068</v>
      </c>
      <c r="AE676">
        <v>0</v>
      </c>
      <c r="AF676">
        <v>0</v>
      </c>
      <c r="AG676">
        <v>0</v>
      </c>
      <c r="AH676" s="235">
        <f>'Basis Options'!CD681</f>
        <v>0</v>
      </c>
      <c r="AI676">
        <v>226</v>
      </c>
      <c r="AJ676" t="s">
        <v>256</v>
      </c>
      <c r="AK676">
        <v>0</v>
      </c>
      <c r="AL676">
        <v>0</v>
      </c>
      <c r="AM676">
        <v>0</v>
      </c>
    </row>
    <row r="677" spans="1:39" x14ac:dyDescent="0.25">
      <c r="A677" t="s">
        <v>233</v>
      </c>
      <c r="B677" t="str">
        <f>'Basis Options'!C681</f>
        <v>NV0442</v>
      </c>
      <c r="C677" t="s">
        <v>255</v>
      </c>
      <c r="D677" t="s">
        <v>234</v>
      </c>
      <c r="E677" t="s">
        <v>20</v>
      </c>
      <c r="F677" t="str">
        <f>'Basis Options'!A681</f>
        <v>DYNEGYMARAND</v>
      </c>
      <c r="G677" t="s">
        <v>269</v>
      </c>
      <c r="H677" t="s">
        <v>254</v>
      </c>
      <c r="I677" t="s">
        <v>242</v>
      </c>
      <c r="J677" t="s">
        <v>235</v>
      </c>
      <c r="K677" s="380">
        <f>'Basis Options'!G681</f>
        <v>37104</v>
      </c>
      <c r="L677" s="235">
        <f>'Basis Options'!U681</f>
        <v>73287.572111294605</v>
      </c>
      <c r="M677" s="380">
        <f>'Basis Options'!Q681</f>
        <v>37102</v>
      </c>
      <c r="N677" t="str">
        <f>'Basis Options'!F681</f>
        <v>P</v>
      </c>
      <c r="O677">
        <f>'Basis Options'!I681</f>
        <v>0.3</v>
      </c>
      <c r="P677">
        <v>0</v>
      </c>
      <c r="Q677">
        <v>0</v>
      </c>
      <c r="R677">
        <v>0</v>
      </c>
      <c r="S677">
        <v>0</v>
      </c>
      <c r="T677" t="s">
        <v>253</v>
      </c>
      <c r="U677" t="str">
        <f>IF('Basis Options'!D681="NGI/CHI. GATE","""NGI/CHI. GATE""",TRIM('Basis Options'!D681))</f>
        <v>IF-TRANSCO/Z6</v>
      </c>
      <c r="V677" t="s">
        <v>253</v>
      </c>
      <c r="W677" t="s">
        <v>132</v>
      </c>
      <c r="X677" t="s">
        <v>253</v>
      </c>
      <c r="Y677" t="s">
        <v>235</v>
      </c>
      <c r="Z677" t="s">
        <v>236</v>
      </c>
      <c r="AA677" t="s">
        <v>253</v>
      </c>
      <c r="AB677" t="s">
        <v>1</v>
      </c>
      <c r="AC677" s="235">
        <f>'Basis Options'!H681</f>
        <v>1000000</v>
      </c>
      <c r="AD677" s="235">
        <f>'Basis Options'!W681</f>
        <v>27875.693523512396</v>
      </c>
      <c r="AE677">
        <v>0</v>
      </c>
      <c r="AF677">
        <v>0</v>
      </c>
      <c r="AG677">
        <v>0</v>
      </c>
      <c r="AH677" s="235">
        <f>'Basis Options'!CD682</f>
        <v>0</v>
      </c>
      <c r="AI677">
        <v>226</v>
      </c>
      <c r="AJ677" t="s">
        <v>256</v>
      </c>
      <c r="AK677">
        <v>0</v>
      </c>
      <c r="AL677">
        <v>0</v>
      </c>
      <c r="AM677">
        <v>0</v>
      </c>
    </row>
    <row r="678" spans="1:39" x14ac:dyDescent="0.25">
      <c r="A678" t="s">
        <v>233</v>
      </c>
      <c r="B678" t="str">
        <f>'Basis Options'!C682</f>
        <v>NV0442</v>
      </c>
      <c r="C678" t="s">
        <v>255</v>
      </c>
      <c r="D678" t="s">
        <v>234</v>
      </c>
      <c r="E678" t="s">
        <v>20</v>
      </c>
      <c r="F678" t="str">
        <f>'Basis Options'!A682</f>
        <v>DYNEGYMARAND</v>
      </c>
      <c r="G678" t="s">
        <v>269</v>
      </c>
      <c r="H678" t="s">
        <v>254</v>
      </c>
      <c r="I678" t="s">
        <v>242</v>
      </c>
      <c r="J678" t="s">
        <v>235</v>
      </c>
      <c r="K678" s="380">
        <f>'Basis Options'!G682</f>
        <v>37135</v>
      </c>
      <c r="L678" s="235">
        <f>'Basis Options'!U682</f>
        <v>99050.550041599403</v>
      </c>
      <c r="M678" s="380">
        <f>'Basis Options'!Q682</f>
        <v>37133</v>
      </c>
      <c r="N678" t="str">
        <f>'Basis Options'!F682</f>
        <v>P</v>
      </c>
      <c r="O678">
        <f>'Basis Options'!I682</f>
        <v>0.3</v>
      </c>
      <c r="P678">
        <v>0</v>
      </c>
      <c r="Q678">
        <v>0</v>
      </c>
      <c r="R678">
        <v>0</v>
      </c>
      <c r="S678">
        <v>0</v>
      </c>
      <c r="T678" t="s">
        <v>253</v>
      </c>
      <c r="U678" t="str">
        <f>IF('Basis Options'!D682="NGI/CHI. GATE","""NGI/CHI. GATE""",TRIM('Basis Options'!D682))</f>
        <v>IF-TRANSCO/Z6</v>
      </c>
      <c r="V678" t="s">
        <v>253</v>
      </c>
      <c r="W678" t="s">
        <v>132</v>
      </c>
      <c r="X678" t="s">
        <v>253</v>
      </c>
      <c r="Y678" t="s">
        <v>235</v>
      </c>
      <c r="Z678" t="s">
        <v>236</v>
      </c>
      <c r="AA678" t="s">
        <v>253</v>
      </c>
      <c r="AB678" t="s">
        <v>1</v>
      </c>
      <c r="AC678" s="235">
        <f>'Basis Options'!H682</f>
        <v>1000000</v>
      </c>
      <c r="AD678" s="235">
        <f>'Basis Options'!W682</f>
        <v>30957.065984376997</v>
      </c>
      <c r="AE678">
        <v>0</v>
      </c>
      <c r="AF678">
        <v>0</v>
      </c>
      <c r="AG678">
        <v>0</v>
      </c>
      <c r="AH678" s="235">
        <f>'Basis Options'!CD683</f>
        <v>0</v>
      </c>
      <c r="AI678">
        <v>226</v>
      </c>
      <c r="AJ678" t="s">
        <v>256</v>
      </c>
      <c r="AK678">
        <v>0</v>
      </c>
      <c r="AL678">
        <v>0</v>
      </c>
      <c r="AM678">
        <v>0</v>
      </c>
    </row>
    <row r="679" spans="1:39" x14ac:dyDescent="0.25">
      <c r="A679" t="s">
        <v>233</v>
      </c>
      <c r="B679" t="str">
        <f>'Basis Options'!C683</f>
        <v>NV0442</v>
      </c>
      <c r="C679" t="s">
        <v>255</v>
      </c>
      <c r="D679" t="s">
        <v>234</v>
      </c>
      <c r="E679" t="s">
        <v>20</v>
      </c>
      <c r="F679" t="str">
        <f>'Basis Options'!A683</f>
        <v>DYNEGYMARAND</v>
      </c>
      <c r="G679" t="s">
        <v>269</v>
      </c>
      <c r="H679" t="s">
        <v>254</v>
      </c>
      <c r="I679" t="s">
        <v>242</v>
      </c>
      <c r="J679" t="s">
        <v>235</v>
      </c>
      <c r="K679" s="380">
        <f>'Basis Options'!G683</f>
        <v>37165</v>
      </c>
      <c r="L679" s="235">
        <f>'Basis Options'!U683</f>
        <v>82110.958320859732</v>
      </c>
      <c r="M679" s="380">
        <f>'Basis Options'!Q683</f>
        <v>37161</v>
      </c>
      <c r="N679" t="str">
        <f>'Basis Options'!F683</f>
        <v>P</v>
      </c>
      <c r="O679">
        <f>'Basis Options'!I683</f>
        <v>0.3</v>
      </c>
      <c r="P679">
        <v>0</v>
      </c>
      <c r="Q679">
        <v>0</v>
      </c>
      <c r="R679">
        <v>0</v>
      </c>
      <c r="S679">
        <v>0</v>
      </c>
      <c r="T679" t="s">
        <v>253</v>
      </c>
      <c r="U679" t="str">
        <f>IF('Basis Options'!D683="NGI/CHI. GATE","""NGI/CHI. GATE""",TRIM('Basis Options'!D683))</f>
        <v>IF-TRANSCO/Z6</v>
      </c>
      <c r="V679" t="s">
        <v>253</v>
      </c>
      <c r="W679" t="s">
        <v>132</v>
      </c>
      <c r="X679" t="s">
        <v>253</v>
      </c>
      <c r="Y679" t="s">
        <v>235</v>
      </c>
      <c r="Z679" t="s">
        <v>236</v>
      </c>
      <c r="AA679" t="s">
        <v>253</v>
      </c>
      <c r="AB679" t="s">
        <v>1</v>
      </c>
      <c r="AC679" s="235">
        <f>'Basis Options'!H683</f>
        <v>1000000</v>
      </c>
      <c r="AD679" s="235">
        <f>'Basis Options'!W683</f>
        <v>30427.224698260194</v>
      </c>
      <c r="AE679">
        <v>0</v>
      </c>
      <c r="AF679">
        <v>0</v>
      </c>
      <c r="AG679">
        <v>0</v>
      </c>
      <c r="AH679" s="235">
        <f>'Basis Options'!CD684</f>
        <v>0</v>
      </c>
      <c r="AI679">
        <v>226</v>
      </c>
      <c r="AJ679" t="s">
        <v>256</v>
      </c>
      <c r="AK679">
        <v>0</v>
      </c>
      <c r="AL679">
        <v>0</v>
      </c>
      <c r="AM679">
        <v>0</v>
      </c>
    </row>
    <row r="680" spans="1:39" x14ac:dyDescent="0.25">
      <c r="A680" t="s">
        <v>233</v>
      </c>
      <c r="B680" t="str">
        <f>'Basis Options'!C684</f>
        <v>NV0444.1</v>
      </c>
      <c r="C680" t="s">
        <v>255</v>
      </c>
      <c r="D680" t="s">
        <v>234</v>
      </c>
      <c r="E680" t="s">
        <v>20</v>
      </c>
      <c r="F680" t="str">
        <f>'Basis Options'!A684</f>
        <v>ELPASMER</v>
      </c>
      <c r="G680" t="s">
        <v>269</v>
      </c>
      <c r="H680" t="s">
        <v>254</v>
      </c>
      <c r="I680" t="s">
        <v>242</v>
      </c>
      <c r="J680" t="s">
        <v>235</v>
      </c>
      <c r="K680" s="380">
        <f>'Basis Options'!G684</f>
        <v>36770</v>
      </c>
      <c r="L680" s="235">
        <f>'Basis Options'!U684</f>
        <v>-2505.9654128760658</v>
      </c>
      <c r="M680" s="380">
        <f>'Basis Options'!Q684</f>
        <v>36768</v>
      </c>
      <c r="N680" t="str">
        <f>'Basis Options'!F684</f>
        <v>C</v>
      </c>
      <c r="O680">
        <f>'Basis Options'!I684</f>
        <v>-1.17</v>
      </c>
      <c r="P680">
        <v>0</v>
      </c>
      <c r="Q680">
        <v>0</v>
      </c>
      <c r="R680">
        <v>0</v>
      </c>
      <c r="S680">
        <v>0</v>
      </c>
      <c r="T680" t="s">
        <v>253</v>
      </c>
      <c r="U680" t="str">
        <f>IF('Basis Options'!D684="NGI/CHI. GATE","""NGI/CHI. GATE""",TRIM('Basis Options'!D684))</f>
        <v>IF-NWPL_ROCKY_M</v>
      </c>
      <c r="V680" t="s">
        <v>253</v>
      </c>
      <c r="W680" t="s">
        <v>132</v>
      </c>
      <c r="X680" t="s">
        <v>253</v>
      </c>
      <c r="Y680" t="s">
        <v>235</v>
      </c>
      <c r="Z680" t="s">
        <v>236</v>
      </c>
      <c r="AA680" t="s">
        <v>253</v>
      </c>
      <c r="AB680" t="s">
        <v>1</v>
      </c>
      <c r="AC680" s="235">
        <f>'Basis Options'!H684</f>
        <v>-1000000</v>
      </c>
      <c r="AD680" s="235">
        <f>'Basis Options'!W684</f>
        <v>-1816.6972853537154</v>
      </c>
      <c r="AE680">
        <v>0</v>
      </c>
      <c r="AF680">
        <v>0</v>
      </c>
      <c r="AG680">
        <v>0</v>
      </c>
      <c r="AH680" s="235">
        <f>'Basis Options'!CD685</f>
        <v>0</v>
      </c>
      <c r="AI680">
        <v>226</v>
      </c>
      <c r="AJ680" t="s">
        <v>256</v>
      </c>
      <c r="AK680">
        <v>0</v>
      </c>
      <c r="AL680">
        <v>0</v>
      </c>
      <c r="AM680">
        <v>0</v>
      </c>
    </row>
    <row r="681" spans="1:39" x14ac:dyDescent="0.25">
      <c r="A681" t="s">
        <v>233</v>
      </c>
      <c r="B681" t="str">
        <f>'Basis Options'!C685</f>
        <v>NV0444.2</v>
      </c>
      <c r="C681" t="s">
        <v>255</v>
      </c>
      <c r="D681" t="s">
        <v>234</v>
      </c>
      <c r="E681" t="s">
        <v>20</v>
      </c>
      <c r="F681" t="str">
        <f>'Basis Options'!A685</f>
        <v>ELPASMER</v>
      </c>
      <c r="G681" t="s">
        <v>269</v>
      </c>
      <c r="H681" t="s">
        <v>254</v>
      </c>
      <c r="I681" t="s">
        <v>242</v>
      </c>
      <c r="J681" t="s">
        <v>235</v>
      </c>
      <c r="K681" s="380">
        <f>'Basis Options'!G685</f>
        <v>36770</v>
      </c>
      <c r="L681" s="235">
        <f>'Basis Options'!U685</f>
        <v>-72493.084644023606</v>
      </c>
      <c r="M681" s="380">
        <f>'Basis Options'!Q685</f>
        <v>36768</v>
      </c>
      <c r="N681" t="str">
        <f>'Basis Options'!F685</f>
        <v>P</v>
      </c>
      <c r="O681">
        <f>'Basis Options'!I685</f>
        <v>-1.17</v>
      </c>
      <c r="P681">
        <v>0</v>
      </c>
      <c r="Q681">
        <v>0</v>
      </c>
      <c r="R681">
        <v>0</v>
      </c>
      <c r="S681">
        <v>0</v>
      </c>
      <c r="T681" t="s">
        <v>253</v>
      </c>
      <c r="U681" t="str">
        <f>IF('Basis Options'!D685="NGI/CHI. GATE","""NGI/CHI. GATE""",TRIM('Basis Options'!D685))</f>
        <v>IF-NWPL_ROCKY_M</v>
      </c>
      <c r="V681" t="s">
        <v>253</v>
      </c>
      <c r="W681" t="s">
        <v>132</v>
      </c>
      <c r="X681" t="s">
        <v>253</v>
      </c>
      <c r="Y681" t="s">
        <v>235</v>
      </c>
      <c r="Z681" t="s">
        <v>236</v>
      </c>
      <c r="AA681" t="s">
        <v>253</v>
      </c>
      <c r="AB681" t="s">
        <v>1</v>
      </c>
      <c r="AC681" s="235">
        <f>'Basis Options'!H685</f>
        <v>-1000000</v>
      </c>
      <c r="AD681" s="235">
        <f>'Basis Options'!W685</f>
        <v>-1816.6972853537882</v>
      </c>
      <c r="AE681">
        <v>0</v>
      </c>
      <c r="AF681">
        <v>0</v>
      </c>
      <c r="AG681">
        <v>0</v>
      </c>
      <c r="AH681" s="235">
        <f>'Basis Options'!CD686</f>
        <v>0</v>
      </c>
      <c r="AI681">
        <v>226</v>
      </c>
      <c r="AJ681" t="s">
        <v>256</v>
      </c>
      <c r="AK681">
        <v>0</v>
      </c>
      <c r="AL681">
        <v>0</v>
      </c>
      <c r="AM681">
        <v>0</v>
      </c>
    </row>
    <row r="682" spans="1:39" x14ac:dyDescent="0.25">
      <c r="A682" t="s">
        <v>233</v>
      </c>
      <c r="B682" t="str">
        <f>'Basis Options'!C686</f>
        <v>NV0444.3</v>
      </c>
      <c r="C682" t="s">
        <v>255</v>
      </c>
      <c r="D682" t="s">
        <v>234</v>
      </c>
      <c r="E682" t="s">
        <v>20</v>
      </c>
      <c r="F682" t="str">
        <f>'Basis Options'!A686</f>
        <v>ELPASMER</v>
      </c>
      <c r="G682" t="s">
        <v>269</v>
      </c>
      <c r="H682" t="s">
        <v>254</v>
      </c>
      <c r="I682" t="s">
        <v>242</v>
      </c>
      <c r="J682" t="s">
        <v>235</v>
      </c>
      <c r="K682" s="380">
        <f>'Basis Options'!G686</f>
        <v>36770</v>
      </c>
      <c r="L682" s="235">
        <f>'Basis Options'!U686</f>
        <v>-1252.9827064380329</v>
      </c>
      <c r="M682" s="380">
        <f>'Basis Options'!Q686</f>
        <v>36768</v>
      </c>
      <c r="N682" t="str">
        <f>'Basis Options'!F686</f>
        <v>C</v>
      </c>
      <c r="O682">
        <f>'Basis Options'!I686</f>
        <v>-1.17</v>
      </c>
      <c r="P682">
        <v>0</v>
      </c>
      <c r="Q682">
        <v>0</v>
      </c>
      <c r="R682">
        <v>0</v>
      </c>
      <c r="S682">
        <v>0</v>
      </c>
      <c r="T682" t="s">
        <v>253</v>
      </c>
      <c r="U682" t="str">
        <f>IF('Basis Options'!D686="NGI/CHI. GATE","""NGI/CHI. GATE""",TRIM('Basis Options'!D686))</f>
        <v>IF-NWPL_ROCKY_M</v>
      </c>
      <c r="V682" t="s">
        <v>253</v>
      </c>
      <c r="W682" t="s">
        <v>132</v>
      </c>
      <c r="X682" t="s">
        <v>253</v>
      </c>
      <c r="Y682" t="s">
        <v>235</v>
      </c>
      <c r="Z682" t="s">
        <v>236</v>
      </c>
      <c r="AA682" t="s">
        <v>253</v>
      </c>
      <c r="AB682" t="s">
        <v>1</v>
      </c>
      <c r="AC682" s="235">
        <f>'Basis Options'!H686</f>
        <v>-500000</v>
      </c>
      <c r="AD682" s="235">
        <f>'Basis Options'!W686</f>
        <v>-908.34864267685771</v>
      </c>
      <c r="AE682">
        <v>0</v>
      </c>
      <c r="AF682">
        <v>0</v>
      </c>
      <c r="AG682">
        <v>0</v>
      </c>
      <c r="AH682" s="235">
        <f>'Basis Options'!CD687</f>
        <v>0</v>
      </c>
      <c r="AI682">
        <v>226</v>
      </c>
      <c r="AJ682" t="s">
        <v>256</v>
      </c>
      <c r="AK682">
        <v>0</v>
      </c>
      <c r="AL682">
        <v>0</v>
      </c>
      <c r="AM682">
        <v>0</v>
      </c>
    </row>
    <row r="683" spans="1:39" x14ac:dyDescent="0.25">
      <c r="A683" t="s">
        <v>233</v>
      </c>
      <c r="B683" t="str">
        <f>'Basis Options'!C687</f>
        <v>NV0444.4</v>
      </c>
      <c r="C683" t="s">
        <v>255</v>
      </c>
      <c r="D683" t="s">
        <v>234</v>
      </c>
      <c r="E683" t="s">
        <v>20</v>
      </c>
      <c r="F683" t="str">
        <f>'Basis Options'!A687</f>
        <v>ELPASMER</v>
      </c>
      <c r="G683" t="s">
        <v>269</v>
      </c>
      <c r="H683" t="s">
        <v>254</v>
      </c>
      <c r="I683" t="s">
        <v>242</v>
      </c>
      <c r="J683" t="s">
        <v>235</v>
      </c>
      <c r="K683" s="380">
        <f>'Basis Options'!G687</f>
        <v>36770</v>
      </c>
      <c r="L683" s="235">
        <f>'Basis Options'!U687</f>
        <v>-36246.542322011803</v>
      </c>
      <c r="M683" s="380">
        <f>'Basis Options'!Q687</f>
        <v>36768</v>
      </c>
      <c r="N683" t="str">
        <f>'Basis Options'!F687</f>
        <v>P</v>
      </c>
      <c r="O683">
        <f>'Basis Options'!I687</f>
        <v>-1.17</v>
      </c>
      <c r="P683">
        <v>0</v>
      </c>
      <c r="Q683">
        <v>0</v>
      </c>
      <c r="R683">
        <v>0</v>
      </c>
      <c r="S683">
        <v>0</v>
      </c>
      <c r="T683" t="s">
        <v>253</v>
      </c>
      <c r="U683" t="str">
        <f>IF('Basis Options'!D687="NGI/CHI. GATE","""NGI/CHI. GATE""",TRIM('Basis Options'!D687))</f>
        <v>IF-NWPL_ROCKY_M</v>
      </c>
      <c r="V683" t="s">
        <v>253</v>
      </c>
      <c r="W683" t="s">
        <v>132</v>
      </c>
      <c r="X683" t="s">
        <v>253</v>
      </c>
      <c r="Y683" t="s">
        <v>235</v>
      </c>
      <c r="Z683" t="s">
        <v>236</v>
      </c>
      <c r="AA683" t="s">
        <v>253</v>
      </c>
      <c r="AB683" t="s">
        <v>1</v>
      </c>
      <c r="AC683" s="235">
        <f>'Basis Options'!H687</f>
        <v>-500000</v>
      </c>
      <c r="AD683" s="235">
        <f>'Basis Options'!W687</f>
        <v>-908.34864267689409</v>
      </c>
      <c r="AE683">
        <v>0</v>
      </c>
      <c r="AF683">
        <v>0</v>
      </c>
      <c r="AG683">
        <v>0</v>
      </c>
      <c r="AH683" s="235">
        <f>'Basis Options'!CD688</f>
        <v>0</v>
      </c>
      <c r="AI683">
        <v>226</v>
      </c>
      <c r="AJ683" t="s">
        <v>256</v>
      </c>
      <c r="AK683">
        <v>0</v>
      </c>
      <c r="AL683">
        <v>0</v>
      </c>
      <c r="AM683">
        <v>0</v>
      </c>
    </row>
    <row r="684" spans="1:39" x14ac:dyDescent="0.25">
      <c r="A684" t="s">
        <v>233</v>
      </c>
      <c r="B684" t="e">
        <f>'Basis Options'!#REF!</f>
        <v>#REF!</v>
      </c>
      <c r="C684" t="s">
        <v>255</v>
      </c>
      <c r="D684" t="s">
        <v>234</v>
      </c>
      <c r="E684" t="s">
        <v>20</v>
      </c>
      <c r="F684" t="e">
        <f>'Basis Options'!#REF!</f>
        <v>#REF!</v>
      </c>
      <c r="G684" t="s">
        <v>269</v>
      </c>
      <c r="H684" t="s">
        <v>254</v>
      </c>
      <c r="I684" t="s">
        <v>242</v>
      </c>
      <c r="J684" t="s">
        <v>235</v>
      </c>
      <c r="K684" s="380" t="e">
        <f>'Basis Options'!#REF!</f>
        <v>#REF!</v>
      </c>
      <c r="L684" s="235" t="e">
        <f>'Basis Options'!#REF!</f>
        <v>#REF!</v>
      </c>
      <c r="M684" s="380" t="e">
        <f>'Basis Options'!#REF!</f>
        <v>#REF!</v>
      </c>
      <c r="N684" t="e">
        <f>'Basis Options'!#REF!</f>
        <v>#REF!</v>
      </c>
      <c r="O684" t="e">
        <f>'Basis Options'!#REF!</f>
        <v>#REF!</v>
      </c>
      <c r="P684">
        <v>0</v>
      </c>
      <c r="Q684">
        <v>0</v>
      </c>
      <c r="R684">
        <v>0</v>
      </c>
      <c r="S684">
        <v>0</v>
      </c>
      <c r="T684" t="s">
        <v>253</v>
      </c>
      <c r="U684" t="e">
        <f>IF('Basis Options'!#REF!="NGI/CHI. GATE","""NGI/CHI. GATE""",TRIM('Basis Options'!#REF!))</f>
        <v>#REF!</v>
      </c>
      <c r="V684" t="s">
        <v>253</v>
      </c>
      <c r="W684" t="s">
        <v>132</v>
      </c>
      <c r="X684" t="s">
        <v>253</v>
      </c>
      <c r="Y684" t="s">
        <v>235</v>
      </c>
      <c r="Z684" t="s">
        <v>236</v>
      </c>
      <c r="AA684" t="s">
        <v>253</v>
      </c>
      <c r="AB684" t="s">
        <v>1</v>
      </c>
      <c r="AC684" s="235" t="e">
        <f>'Basis Options'!#REF!</f>
        <v>#REF!</v>
      </c>
      <c r="AD684" s="235" t="e">
        <f>'Basis Options'!#REF!</f>
        <v>#REF!</v>
      </c>
      <c r="AE684">
        <v>0</v>
      </c>
      <c r="AF684">
        <v>0</v>
      </c>
      <c r="AG684">
        <v>0</v>
      </c>
      <c r="AH684" s="235" t="e">
        <f>'Basis Options'!CD689</f>
        <v>#REF!</v>
      </c>
      <c r="AI684">
        <v>226</v>
      </c>
      <c r="AJ684" t="s">
        <v>256</v>
      </c>
      <c r="AK684">
        <v>0</v>
      </c>
      <c r="AL684">
        <v>0</v>
      </c>
      <c r="AM684">
        <v>0</v>
      </c>
    </row>
    <row r="685" spans="1:39" x14ac:dyDescent="0.25">
      <c r="A685" t="s">
        <v>233</v>
      </c>
      <c r="B685" t="str">
        <f>'Basis Options'!C688</f>
        <v>NV0535</v>
      </c>
      <c r="C685" t="s">
        <v>255</v>
      </c>
      <c r="D685" t="s">
        <v>234</v>
      </c>
      <c r="E685" t="s">
        <v>20</v>
      </c>
      <c r="F685" t="str">
        <f>'Basis Options'!A688</f>
        <v>DUKEENETRA</v>
      </c>
      <c r="G685" t="s">
        <v>269</v>
      </c>
      <c r="H685" t="s">
        <v>254</v>
      </c>
      <c r="I685" t="s">
        <v>242</v>
      </c>
      <c r="J685" t="s">
        <v>235</v>
      </c>
      <c r="K685" s="380">
        <f>'Basis Options'!G688</f>
        <v>36831</v>
      </c>
      <c r="L685" s="235">
        <f>'Basis Options'!U688</f>
        <v>15360.675668845697</v>
      </c>
      <c r="M685" s="380">
        <f>'Basis Options'!Q688</f>
        <v>36829</v>
      </c>
      <c r="N685" t="str">
        <f>'Basis Options'!F688</f>
        <v>C</v>
      </c>
      <c r="O685">
        <f>'Basis Options'!I688</f>
        <v>-0.15</v>
      </c>
      <c r="P685">
        <v>0</v>
      </c>
      <c r="Q685">
        <v>0</v>
      </c>
      <c r="R685">
        <v>0</v>
      </c>
      <c r="S685">
        <v>0</v>
      </c>
      <c r="T685" t="s">
        <v>253</v>
      </c>
      <c r="U685" t="str">
        <f>IF('Basis Options'!D688="NGI/CHI. GATE","""NGI/CHI. GATE""",TRIM('Basis Options'!D688))</f>
        <v>IF-PAN/TX/OK</v>
      </c>
      <c r="V685" t="s">
        <v>253</v>
      </c>
      <c r="W685" t="s">
        <v>132</v>
      </c>
      <c r="X685" t="s">
        <v>253</v>
      </c>
      <c r="Y685" t="s">
        <v>235</v>
      </c>
      <c r="Z685" t="s">
        <v>236</v>
      </c>
      <c r="AA685" t="s">
        <v>253</v>
      </c>
      <c r="AB685" t="s">
        <v>1</v>
      </c>
      <c r="AC685" s="235">
        <f>'Basis Options'!H688</f>
        <v>300000</v>
      </c>
      <c r="AD685" s="235">
        <f>'Basis Options'!W688</f>
        <v>2756.568032791256</v>
      </c>
      <c r="AE685">
        <v>0</v>
      </c>
      <c r="AF685">
        <v>0</v>
      </c>
      <c r="AG685">
        <v>0</v>
      </c>
      <c r="AH685" s="235">
        <f>'Basis Options'!CD690</f>
        <v>0</v>
      </c>
      <c r="AI685">
        <v>226</v>
      </c>
      <c r="AJ685" t="s">
        <v>256</v>
      </c>
      <c r="AK685">
        <v>0</v>
      </c>
      <c r="AL685">
        <v>0</v>
      </c>
      <c r="AM685">
        <v>0</v>
      </c>
    </row>
    <row r="686" spans="1:39" x14ac:dyDescent="0.25">
      <c r="A686" t="s">
        <v>233</v>
      </c>
      <c r="B686" t="str">
        <f>'Basis Options'!C689</f>
        <v>NV0535</v>
      </c>
      <c r="C686" t="s">
        <v>255</v>
      </c>
      <c r="D686" t="s">
        <v>234</v>
      </c>
      <c r="E686" t="s">
        <v>20</v>
      </c>
      <c r="F686" t="str">
        <f>'Basis Options'!A689</f>
        <v>DUKEENETRA</v>
      </c>
      <c r="G686" t="s">
        <v>269</v>
      </c>
      <c r="H686" t="s">
        <v>254</v>
      </c>
      <c r="I686" t="s">
        <v>242</v>
      </c>
      <c r="J686" t="s">
        <v>235</v>
      </c>
      <c r="K686" s="380">
        <f>'Basis Options'!G689</f>
        <v>36861</v>
      </c>
      <c r="L686" s="235">
        <f>'Basis Options'!U689</f>
        <v>17791.325196043614</v>
      </c>
      <c r="M686" s="380">
        <f>'Basis Options'!Q689</f>
        <v>36859</v>
      </c>
      <c r="N686" t="str">
        <f>'Basis Options'!F689</f>
        <v>C</v>
      </c>
      <c r="O686">
        <f>'Basis Options'!I689</f>
        <v>-0.15</v>
      </c>
      <c r="P686">
        <v>0</v>
      </c>
      <c r="Q686">
        <v>0</v>
      </c>
      <c r="R686">
        <v>0</v>
      </c>
      <c r="S686">
        <v>0</v>
      </c>
      <c r="T686" t="s">
        <v>253</v>
      </c>
      <c r="U686" t="str">
        <f>IF('Basis Options'!D689="NGI/CHI. GATE","""NGI/CHI. GATE""",TRIM('Basis Options'!D689))</f>
        <v>IF-PAN/TX/OK</v>
      </c>
      <c r="V686" t="s">
        <v>253</v>
      </c>
      <c r="W686" t="s">
        <v>132</v>
      </c>
      <c r="X686" t="s">
        <v>253</v>
      </c>
      <c r="Y686" t="s">
        <v>235</v>
      </c>
      <c r="Z686" t="s">
        <v>236</v>
      </c>
      <c r="AA686" t="s">
        <v>253</v>
      </c>
      <c r="AB686" t="s">
        <v>1</v>
      </c>
      <c r="AC686" s="235">
        <f>'Basis Options'!H689</f>
        <v>310000</v>
      </c>
      <c r="AD686" s="235">
        <f>'Basis Options'!W689</f>
        <v>3485.8702139678644</v>
      </c>
      <c r="AE686">
        <v>0</v>
      </c>
      <c r="AF686">
        <v>0</v>
      </c>
      <c r="AG686">
        <v>0</v>
      </c>
      <c r="AH686" s="235">
        <f>'Basis Options'!CD691</f>
        <v>0</v>
      </c>
      <c r="AI686">
        <v>226</v>
      </c>
      <c r="AJ686" t="s">
        <v>256</v>
      </c>
      <c r="AK686">
        <v>0</v>
      </c>
      <c r="AL686">
        <v>0</v>
      </c>
      <c r="AM686">
        <v>0</v>
      </c>
    </row>
    <row r="687" spans="1:39" x14ac:dyDescent="0.25">
      <c r="A687" t="s">
        <v>233</v>
      </c>
      <c r="B687" t="str">
        <f>'Basis Options'!C690</f>
        <v>NV0535</v>
      </c>
      <c r="C687" t="s">
        <v>255</v>
      </c>
      <c r="D687" t="s">
        <v>234</v>
      </c>
      <c r="E687" t="s">
        <v>20</v>
      </c>
      <c r="F687" t="str">
        <f>'Basis Options'!A690</f>
        <v>DUKEENETRA</v>
      </c>
      <c r="G687" t="s">
        <v>269</v>
      </c>
      <c r="H687" t="s">
        <v>254</v>
      </c>
      <c r="I687" t="s">
        <v>242</v>
      </c>
      <c r="J687" t="s">
        <v>235</v>
      </c>
      <c r="K687" s="380">
        <f>'Basis Options'!G690</f>
        <v>36892</v>
      </c>
      <c r="L687" s="235">
        <f>'Basis Options'!U690</f>
        <v>19193.2879817293</v>
      </c>
      <c r="M687" s="380">
        <f>'Basis Options'!Q690</f>
        <v>36888</v>
      </c>
      <c r="N687" t="str">
        <f>'Basis Options'!F690</f>
        <v>C</v>
      </c>
      <c r="O687">
        <f>'Basis Options'!I690</f>
        <v>-0.15</v>
      </c>
      <c r="P687">
        <v>0</v>
      </c>
      <c r="Q687">
        <v>0</v>
      </c>
      <c r="R687">
        <v>0</v>
      </c>
      <c r="S687">
        <v>0</v>
      </c>
      <c r="T687" t="s">
        <v>253</v>
      </c>
      <c r="U687" t="str">
        <f>IF('Basis Options'!D690="NGI/CHI. GATE","""NGI/CHI. GATE""",TRIM('Basis Options'!D690))</f>
        <v>IF-PAN/TX/OK</v>
      </c>
      <c r="V687" t="s">
        <v>253</v>
      </c>
      <c r="W687" t="s">
        <v>132</v>
      </c>
      <c r="X687" t="s">
        <v>253</v>
      </c>
      <c r="Y687" t="s">
        <v>235</v>
      </c>
      <c r="Z687" t="s">
        <v>236</v>
      </c>
      <c r="AA687" t="s">
        <v>253</v>
      </c>
      <c r="AB687" t="s">
        <v>1</v>
      </c>
      <c r="AC687" s="235">
        <f>'Basis Options'!H690</f>
        <v>310000</v>
      </c>
      <c r="AD687" s="235">
        <f>'Basis Options'!W690</f>
        <v>3994.7350876453565</v>
      </c>
      <c r="AE687">
        <v>0</v>
      </c>
      <c r="AF687">
        <v>0</v>
      </c>
      <c r="AG687">
        <v>0</v>
      </c>
      <c r="AH687" s="235">
        <f>'Basis Options'!CD692</f>
        <v>0</v>
      </c>
      <c r="AI687">
        <v>226</v>
      </c>
      <c r="AJ687" t="s">
        <v>256</v>
      </c>
      <c r="AK687">
        <v>0</v>
      </c>
      <c r="AL687">
        <v>0</v>
      </c>
      <c r="AM687">
        <v>0</v>
      </c>
    </row>
    <row r="688" spans="1:39" x14ac:dyDescent="0.25">
      <c r="A688" t="s">
        <v>233</v>
      </c>
      <c r="B688" t="str">
        <f>'Basis Options'!C691</f>
        <v>NV0535</v>
      </c>
      <c r="C688" t="s">
        <v>255</v>
      </c>
      <c r="D688" t="s">
        <v>234</v>
      </c>
      <c r="E688" t="s">
        <v>20</v>
      </c>
      <c r="F688" t="str">
        <f>'Basis Options'!A691</f>
        <v>DUKEENETRA</v>
      </c>
      <c r="G688" t="s">
        <v>269</v>
      </c>
      <c r="H688" t="s">
        <v>254</v>
      </c>
      <c r="I688" t="s">
        <v>242</v>
      </c>
      <c r="J688" t="s">
        <v>235</v>
      </c>
      <c r="K688" s="380">
        <f>'Basis Options'!G691</f>
        <v>36923</v>
      </c>
      <c r="L688" s="235">
        <f>'Basis Options'!U691</f>
        <v>20131.689335506206</v>
      </c>
      <c r="M688" s="380">
        <f>'Basis Options'!Q691</f>
        <v>36921</v>
      </c>
      <c r="N688" t="str">
        <f>'Basis Options'!F691</f>
        <v>C</v>
      </c>
      <c r="O688">
        <f>'Basis Options'!I691</f>
        <v>-0.15</v>
      </c>
      <c r="P688">
        <v>0</v>
      </c>
      <c r="Q688">
        <v>0</v>
      </c>
      <c r="R688">
        <v>0</v>
      </c>
      <c r="S688">
        <v>0</v>
      </c>
      <c r="T688" t="s">
        <v>253</v>
      </c>
      <c r="U688" t="str">
        <f>IF('Basis Options'!D691="NGI/CHI. GATE","""NGI/CHI. GATE""",TRIM('Basis Options'!D691))</f>
        <v>IF-PAN/TX/OK</v>
      </c>
      <c r="V688" t="s">
        <v>253</v>
      </c>
      <c r="W688" t="s">
        <v>132</v>
      </c>
      <c r="X688" t="s">
        <v>253</v>
      </c>
      <c r="Y688" t="s">
        <v>235</v>
      </c>
      <c r="Z688" t="s">
        <v>236</v>
      </c>
      <c r="AA688" t="s">
        <v>253</v>
      </c>
      <c r="AB688" t="s">
        <v>1</v>
      </c>
      <c r="AC688" s="235">
        <f>'Basis Options'!H691</f>
        <v>280000</v>
      </c>
      <c r="AD688" s="235">
        <f>'Basis Options'!W691</f>
        <v>3950.928079956444</v>
      </c>
      <c r="AE688">
        <v>0</v>
      </c>
      <c r="AF688">
        <v>0</v>
      </c>
      <c r="AG688">
        <v>0</v>
      </c>
      <c r="AH688" s="235">
        <f>'Basis Options'!CD693</f>
        <v>0</v>
      </c>
      <c r="AI688">
        <v>226</v>
      </c>
      <c r="AJ688" t="s">
        <v>256</v>
      </c>
      <c r="AK688">
        <v>0</v>
      </c>
      <c r="AL688">
        <v>0</v>
      </c>
      <c r="AM688">
        <v>0</v>
      </c>
    </row>
    <row r="689" spans="1:39" x14ac:dyDescent="0.25">
      <c r="A689" t="s">
        <v>233</v>
      </c>
      <c r="B689" t="str">
        <f>'Basis Options'!C692</f>
        <v>NV0535</v>
      </c>
      <c r="C689" t="s">
        <v>255</v>
      </c>
      <c r="D689" t="s">
        <v>234</v>
      </c>
      <c r="E689" t="s">
        <v>20</v>
      </c>
      <c r="F689" t="str">
        <f>'Basis Options'!A692</f>
        <v>DUKEENETRA</v>
      </c>
      <c r="G689" t="s">
        <v>269</v>
      </c>
      <c r="H689" t="s">
        <v>254</v>
      </c>
      <c r="I689" t="s">
        <v>242</v>
      </c>
      <c r="J689" t="s">
        <v>235</v>
      </c>
      <c r="K689" s="380">
        <f>'Basis Options'!G692</f>
        <v>36951</v>
      </c>
      <c r="L689" s="235">
        <f>'Basis Options'!U692</f>
        <v>21718.412699899738</v>
      </c>
      <c r="M689" s="380">
        <f>'Basis Options'!Q692</f>
        <v>36949</v>
      </c>
      <c r="N689" t="str">
        <f>'Basis Options'!F692</f>
        <v>C</v>
      </c>
      <c r="O689">
        <f>'Basis Options'!I692</f>
        <v>-0.15</v>
      </c>
      <c r="P689">
        <v>0</v>
      </c>
      <c r="Q689">
        <v>0</v>
      </c>
      <c r="R689">
        <v>0</v>
      </c>
      <c r="S689">
        <v>0</v>
      </c>
      <c r="T689" t="s">
        <v>253</v>
      </c>
      <c r="U689" t="str">
        <f>IF('Basis Options'!D692="NGI/CHI. GATE","""NGI/CHI. GATE""",TRIM('Basis Options'!D692))</f>
        <v>IF-PAN/TX/OK</v>
      </c>
      <c r="V689" t="s">
        <v>253</v>
      </c>
      <c r="W689" t="s">
        <v>132</v>
      </c>
      <c r="X689" t="s">
        <v>253</v>
      </c>
      <c r="Y689" t="s">
        <v>235</v>
      </c>
      <c r="Z689" t="s">
        <v>236</v>
      </c>
      <c r="AA689" t="s">
        <v>253</v>
      </c>
      <c r="AB689" t="s">
        <v>1</v>
      </c>
      <c r="AC689" s="235">
        <f>'Basis Options'!H692</f>
        <v>310000</v>
      </c>
      <c r="AD689" s="235">
        <f>'Basis Options'!W692</f>
        <v>4217.4109502940846</v>
      </c>
      <c r="AE689">
        <v>0</v>
      </c>
      <c r="AF689">
        <v>0</v>
      </c>
      <c r="AG689">
        <v>0</v>
      </c>
      <c r="AH689" s="235">
        <f>'Basis Options'!CD694</f>
        <v>0</v>
      </c>
      <c r="AI689">
        <v>226</v>
      </c>
      <c r="AJ689" t="s">
        <v>256</v>
      </c>
      <c r="AK689">
        <v>0</v>
      </c>
      <c r="AL689">
        <v>0</v>
      </c>
      <c r="AM689">
        <v>0</v>
      </c>
    </row>
    <row r="690" spans="1:39" x14ac:dyDescent="0.25">
      <c r="A690" t="s">
        <v>233</v>
      </c>
      <c r="B690" t="str">
        <f>'Basis Options'!C693</f>
        <v>NV2737.1</v>
      </c>
      <c r="C690" t="s">
        <v>255</v>
      </c>
      <c r="D690" t="s">
        <v>234</v>
      </c>
      <c r="E690" t="s">
        <v>20</v>
      </c>
      <c r="F690" t="str">
        <f>'Basis Options'!A693</f>
        <v>AEPENESER</v>
      </c>
      <c r="G690" t="s">
        <v>269</v>
      </c>
      <c r="H690" t="s">
        <v>254</v>
      </c>
      <c r="I690" t="s">
        <v>242</v>
      </c>
      <c r="J690" t="s">
        <v>235</v>
      </c>
      <c r="K690" s="380">
        <f>'Basis Options'!G693</f>
        <v>36831</v>
      </c>
      <c r="L690" s="235">
        <f>'Basis Options'!U693</f>
        <v>-33482.657452843516</v>
      </c>
      <c r="M690" s="380">
        <f>'Basis Options'!Q693</f>
        <v>36829</v>
      </c>
      <c r="N690" t="str">
        <f>'Basis Options'!F693</f>
        <v>C</v>
      </c>
      <c r="O690">
        <f>'Basis Options'!I693</f>
        <v>1.45</v>
      </c>
      <c r="P690">
        <v>0</v>
      </c>
      <c r="Q690">
        <v>0</v>
      </c>
      <c r="R690">
        <v>0</v>
      </c>
      <c r="S690">
        <v>0</v>
      </c>
      <c r="T690" t="s">
        <v>253</v>
      </c>
      <c r="U690" t="str">
        <f>IF('Basis Options'!D693="NGI/CHI. GATE","""NGI/CHI. GATE""",TRIM('Basis Options'!D693))</f>
        <v>IF-TRANSCO/Z6</v>
      </c>
      <c r="V690" t="s">
        <v>253</v>
      </c>
      <c r="W690" t="s">
        <v>132</v>
      </c>
      <c r="X690" t="s">
        <v>253</v>
      </c>
      <c r="Y690" t="s">
        <v>235</v>
      </c>
      <c r="Z690" t="s">
        <v>236</v>
      </c>
      <c r="AA690" t="s">
        <v>253</v>
      </c>
      <c r="AB690" t="s">
        <v>1</v>
      </c>
      <c r="AC690" s="235">
        <f>'Basis Options'!H693</f>
        <v>-500000</v>
      </c>
      <c r="AD690" s="235">
        <f>'Basis Options'!W693</f>
        <v>-13721.954736279906</v>
      </c>
      <c r="AE690">
        <v>0</v>
      </c>
      <c r="AF690">
        <v>0</v>
      </c>
      <c r="AG690">
        <v>0</v>
      </c>
      <c r="AH690" s="235">
        <f>'Basis Options'!CD695</f>
        <v>0</v>
      </c>
      <c r="AI690">
        <v>226</v>
      </c>
      <c r="AJ690" t="s">
        <v>256</v>
      </c>
      <c r="AK690">
        <v>0</v>
      </c>
      <c r="AL690">
        <v>0</v>
      </c>
      <c r="AM690">
        <v>0</v>
      </c>
    </row>
    <row r="691" spans="1:39" x14ac:dyDescent="0.25">
      <c r="A691" t="s">
        <v>233</v>
      </c>
      <c r="B691" t="str">
        <f>'Basis Options'!C694</f>
        <v>NV2737.1</v>
      </c>
      <c r="C691" t="s">
        <v>255</v>
      </c>
      <c r="D691" t="s">
        <v>234</v>
      </c>
      <c r="E691" t="s">
        <v>20</v>
      </c>
      <c r="F691" t="str">
        <f>'Basis Options'!A694</f>
        <v>AEPENESER</v>
      </c>
      <c r="G691" t="s">
        <v>269</v>
      </c>
      <c r="H691" t="s">
        <v>254</v>
      </c>
      <c r="I691" t="s">
        <v>242</v>
      </c>
      <c r="J691" t="s">
        <v>235</v>
      </c>
      <c r="K691" s="380">
        <f>'Basis Options'!G694</f>
        <v>36861</v>
      </c>
      <c r="L691" s="235">
        <f>'Basis Options'!U694</f>
        <v>-301099.91268183483</v>
      </c>
      <c r="M691" s="380">
        <f>'Basis Options'!Q694</f>
        <v>36859</v>
      </c>
      <c r="N691" t="str">
        <f>'Basis Options'!F694</f>
        <v>C</v>
      </c>
      <c r="O691">
        <f>'Basis Options'!I694</f>
        <v>1.45</v>
      </c>
      <c r="P691">
        <v>0</v>
      </c>
      <c r="Q691">
        <v>0</v>
      </c>
      <c r="R691">
        <v>0</v>
      </c>
      <c r="S691">
        <v>0</v>
      </c>
      <c r="T691" t="s">
        <v>253</v>
      </c>
      <c r="U691" t="str">
        <f>IF('Basis Options'!D694="NGI/CHI. GATE","""NGI/CHI. GATE""",TRIM('Basis Options'!D694))</f>
        <v>IF-TRANSCO/Z6</v>
      </c>
      <c r="V691" t="s">
        <v>253</v>
      </c>
      <c r="W691" t="s">
        <v>132</v>
      </c>
      <c r="X691" t="s">
        <v>253</v>
      </c>
      <c r="Y691" t="s">
        <v>235</v>
      </c>
      <c r="Z691" t="s">
        <v>236</v>
      </c>
      <c r="AA691" t="s">
        <v>253</v>
      </c>
      <c r="AB691" t="s">
        <v>1</v>
      </c>
      <c r="AC691" s="235">
        <f>'Basis Options'!H694</f>
        <v>-500000</v>
      </c>
      <c r="AD691" s="235">
        <f>'Basis Options'!W694</f>
        <v>-35079.230587784114</v>
      </c>
      <c r="AE691">
        <v>0</v>
      </c>
      <c r="AF691">
        <v>0</v>
      </c>
      <c r="AG691">
        <v>0</v>
      </c>
      <c r="AH691" s="235">
        <f>'Basis Options'!CD696</f>
        <v>0</v>
      </c>
      <c r="AI691">
        <v>226</v>
      </c>
      <c r="AJ691" t="s">
        <v>256</v>
      </c>
      <c r="AK691">
        <v>0</v>
      </c>
      <c r="AL691">
        <v>0</v>
      </c>
      <c r="AM691">
        <v>0</v>
      </c>
    </row>
    <row r="692" spans="1:39" x14ac:dyDescent="0.25">
      <c r="A692" t="s">
        <v>233</v>
      </c>
      <c r="B692" t="str">
        <f>'Basis Options'!C695</f>
        <v>NV2737.1</v>
      </c>
      <c r="C692" t="s">
        <v>255</v>
      </c>
      <c r="D692" t="s">
        <v>234</v>
      </c>
      <c r="E692" t="s">
        <v>20</v>
      </c>
      <c r="F692" t="str">
        <f>'Basis Options'!A695</f>
        <v>AEPENESER</v>
      </c>
      <c r="G692" t="s">
        <v>269</v>
      </c>
      <c r="H692" t="s">
        <v>254</v>
      </c>
      <c r="I692" t="s">
        <v>242</v>
      </c>
      <c r="J692" t="s">
        <v>235</v>
      </c>
      <c r="K692" s="380">
        <f>'Basis Options'!G695</f>
        <v>36892</v>
      </c>
      <c r="L692" s="235">
        <f>'Basis Options'!U695</f>
        <v>-506140.51196997403</v>
      </c>
      <c r="M692" s="380">
        <f>'Basis Options'!Q695</f>
        <v>36888</v>
      </c>
      <c r="N692" t="str">
        <f>'Basis Options'!F695</f>
        <v>C</v>
      </c>
      <c r="O692">
        <f>'Basis Options'!I695</f>
        <v>1.45</v>
      </c>
      <c r="P692">
        <v>0</v>
      </c>
      <c r="Q692">
        <v>0</v>
      </c>
      <c r="R692">
        <v>0</v>
      </c>
      <c r="S692">
        <v>0</v>
      </c>
      <c r="T692" t="s">
        <v>253</v>
      </c>
      <c r="U692" t="str">
        <f>IF('Basis Options'!D695="NGI/CHI. GATE","""NGI/CHI. GATE""",TRIM('Basis Options'!D695))</f>
        <v>IF-TRANSCO/Z6</v>
      </c>
      <c r="V692" t="s">
        <v>253</v>
      </c>
      <c r="W692" t="s">
        <v>132</v>
      </c>
      <c r="X692" t="s">
        <v>253</v>
      </c>
      <c r="Y692" t="s">
        <v>235</v>
      </c>
      <c r="Z692" t="s">
        <v>236</v>
      </c>
      <c r="AA692" t="s">
        <v>253</v>
      </c>
      <c r="AB692" t="s">
        <v>1</v>
      </c>
      <c r="AC692" s="235">
        <f>'Basis Options'!H695</f>
        <v>-500000</v>
      </c>
      <c r="AD692" s="235">
        <f>'Basis Options'!W695</f>
        <v>-36195.483544426912</v>
      </c>
      <c r="AE692">
        <v>0</v>
      </c>
      <c r="AF692">
        <v>0</v>
      </c>
      <c r="AG692">
        <v>0</v>
      </c>
      <c r="AH692" s="235">
        <f>'Basis Options'!CD697</f>
        <v>0</v>
      </c>
      <c r="AI692">
        <v>226</v>
      </c>
      <c r="AJ692" t="s">
        <v>256</v>
      </c>
      <c r="AK692">
        <v>0</v>
      </c>
      <c r="AL692">
        <v>0</v>
      </c>
      <c r="AM692">
        <v>0</v>
      </c>
    </row>
    <row r="693" spans="1:39" x14ac:dyDescent="0.25">
      <c r="A693" t="s">
        <v>233</v>
      </c>
      <c r="B693" t="str">
        <f>'Basis Options'!C696</f>
        <v>NV2737.1</v>
      </c>
      <c r="C693" t="s">
        <v>255</v>
      </c>
      <c r="D693" t="s">
        <v>234</v>
      </c>
      <c r="E693" t="s">
        <v>20</v>
      </c>
      <c r="F693" t="str">
        <f>'Basis Options'!A696</f>
        <v>AEPENESER</v>
      </c>
      <c r="G693" t="s">
        <v>269</v>
      </c>
      <c r="H693" t="s">
        <v>254</v>
      </c>
      <c r="I693" t="s">
        <v>242</v>
      </c>
      <c r="J693" t="s">
        <v>235</v>
      </c>
      <c r="K693" s="380">
        <f>'Basis Options'!G696</f>
        <v>36923</v>
      </c>
      <c r="L693" s="235">
        <f>'Basis Options'!U696</f>
        <v>-492375.36944485339</v>
      </c>
      <c r="M693" s="380">
        <f>'Basis Options'!Q696</f>
        <v>36921</v>
      </c>
      <c r="N693" t="str">
        <f>'Basis Options'!F696</f>
        <v>C</v>
      </c>
      <c r="O693">
        <f>'Basis Options'!I696</f>
        <v>1.45</v>
      </c>
      <c r="P693">
        <v>0</v>
      </c>
      <c r="Q693">
        <v>0</v>
      </c>
      <c r="R693">
        <v>0</v>
      </c>
      <c r="S693">
        <v>0</v>
      </c>
      <c r="T693" t="s">
        <v>253</v>
      </c>
      <c r="U693" t="str">
        <f>IF('Basis Options'!D696="NGI/CHI. GATE","""NGI/CHI. GATE""",TRIM('Basis Options'!D696))</f>
        <v>IF-TRANSCO/Z6</v>
      </c>
      <c r="V693" t="s">
        <v>253</v>
      </c>
      <c r="W693" t="s">
        <v>132</v>
      </c>
      <c r="X693" t="s">
        <v>253</v>
      </c>
      <c r="Y693" t="s">
        <v>235</v>
      </c>
      <c r="Z693" t="s">
        <v>236</v>
      </c>
      <c r="AA693" t="s">
        <v>253</v>
      </c>
      <c r="AB693" t="s">
        <v>1</v>
      </c>
      <c r="AC693" s="235">
        <f>'Basis Options'!H696</f>
        <v>-500000</v>
      </c>
      <c r="AD693" s="235">
        <f>'Basis Options'!W696</f>
        <v>-40782.164050672087</v>
      </c>
      <c r="AE693">
        <v>0</v>
      </c>
      <c r="AF693">
        <v>0</v>
      </c>
      <c r="AG693">
        <v>0</v>
      </c>
      <c r="AH693" s="235">
        <f>'Basis Options'!CD698</f>
        <v>0</v>
      </c>
      <c r="AI693">
        <v>226</v>
      </c>
      <c r="AJ693" t="s">
        <v>256</v>
      </c>
      <c r="AK693">
        <v>0</v>
      </c>
      <c r="AL693">
        <v>0</v>
      </c>
      <c r="AM693">
        <v>0</v>
      </c>
    </row>
    <row r="694" spans="1:39" x14ac:dyDescent="0.25">
      <c r="A694" t="s">
        <v>233</v>
      </c>
      <c r="B694" t="str">
        <f>'Basis Options'!C697</f>
        <v>NV2737.1</v>
      </c>
      <c r="C694" t="s">
        <v>255</v>
      </c>
      <c r="D694" t="s">
        <v>234</v>
      </c>
      <c r="E694" t="s">
        <v>20</v>
      </c>
      <c r="F694" t="str">
        <f>'Basis Options'!A697</f>
        <v>AEPENESER</v>
      </c>
      <c r="G694" t="s">
        <v>269</v>
      </c>
      <c r="H694" t="s">
        <v>254</v>
      </c>
      <c r="I694" t="s">
        <v>242</v>
      </c>
      <c r="J694" t="s">
        <v>235</v>
      </c>
      <c r="K694" s="380">
        <f>'Basis Options'!G697</f>
        <v>36951</v>
      </c>
      <c r="L694" s="235">
        <f>'Basis Options'!U697</f>
        <v>-185940.83653394444</v>
      </c>
      <c r="M694" s="380">
        <f>'Basis Options'!Q697</f>
        <v>36949</v>
      </c>
      <c r="N694" t="str">
        <f>'Basis Options'!F697</f>
        <v>C</v>
      </c>
      <c r="O694">
        <f>'Basis Options'!I697</f>
        <v>1.45</v>
      </c>
      <c r="P694">
        <v>0</v>
      </c>
      <c r="Q694">
        <v>0</v>
      </c>
      <c r="R694">
        <v>0</v>
      </c>
      <c r="S694">
        <v>0</v>
      </c>
      <c r="T694" t="s">
        <v>253</v>
      </c>
      <c r="U694" t="str">
        <f>IF('Basis Options'!D697="NGI/CHI. GATE","""NGI/CHI. GATE""",TRIM('Basis Options'!D697))</f>
        <v>IF-TRANSCO/Z6</v>
      </c>
      <c r="V694" t="s">
        <v>253</v>
      </c>
      <c r="W694" t="s">
        <v>132</v>
      </c>
      <c r="X694" t="s">
        <v>253</v>
      </c>
      <c r="Y694" t="s">
        <v>235</v>
      </c>
      <c r="Z694" t="s">
        <v>236</v>
      </c>
      <c r="AA694" t="s">
        <v>253</v>
      </c>
      <c r="AB694" t="s">
        <v>1</v>
      </c>
      <c r="AC694" s="235">
        <f>'Basis Options'!H697</f>
        <v>-500000</v>
      </c>
      <c r="AD694" s="235">
        <f>'Basis Options'!W697</f>
        <v>-41917.004786908597</v>
      </c>
      <c r="AE694">
        <v>0</v>
      </c>
      <c r="AF694">
        <v>0</v>
      </c>
      <c r="AG694">
        <v>0</v>
      </c>
      <c r="AH694" s="235">
        <f>'Basis Options'!CD699</f>
        <v>0</v>
      </c>
      <c r="AI694">
        <v>226</v>
      </c>
      <c r="AJ694" t="s">
        <v>256</v>
      </c>
      <c r="AK694">
        <v>0</v>
      </c>
      <c r="AL694">
        <v>0</v>
      </c>
      <c r="AM694">
        <v>0</v>
      </c>
    </row>
    <row r="695" spans="1:39" x14ac:dyDescent="0.25">
      <c r="A695" t="s">
        <v>233</v>
      </c>
      <c r="B695" t="str">
        <f>'Basis Options'!C698</f>
        <v>NV2737.2</v>
      </c>
      <c r="C695" t="s">
        <v>255</v>
      </c>
      <c r="D695" t="s">
        <v>234</v>
      </c>
      <c r="E695" t="s">
        <v>20</v>
      </c>
      <c r="F695" t="str">
        <f>'Basis Options'!A698</f>
        <v>AEPENESER</v>
      </c>
      <c r="G695" t="s">
        <v>269</v>
      </c>
      <c r="H695" t="s">
        <v>254</v>
      </c>
      <c r="I695" t="s">
        <v>242</v>
      </c>
      <c r="J695" t="s">
        <v>235</v>
      </c>
      <c r="K695" s="380">
        <f>'Basis Options'!G698</f>
        <v>36831</v>
      </c>
      <c r="L695" s="235">
        <f>'Basis Options'!U698</f>
        <v>-369574.58504123864</v>
      </c>
      <c r="M695" s="380">
        <f>'Basis Options'!Q698</f>
        <v>36829</v>
      </c>
      <c r="N695" t="str">
        <f>'Basis Options'!F698</f>
        <v>P</v>
      </c>
      <c r="O695">
        <f>'Basis Options'!I698</f>
        <v>1.45</v>
      </c>
      <c r="P695">
        <v>0</v>
      </c>
      <c r="Q695">
        <v>0</v>
      </c>
      <c r="R695">
        <v>0</v>
      </c>
      <c r="S695">
        <v>0</v>
      </c>
      <c r="T695" t="s">
        <v>253</v>
      </c>
      <c r="U695" t="str">
        <f>IF('Basis Options'!D698="NGI/CHI. GATE","""NGI/CHI. GATE""",TRIM('Basis Options'!D698))</f>
        <v>IF-TRANSCO/Z6</v>
      </c>
      <c r="V695" t="s">
        <v>253</v>
      </c>
      <c r="W695" t="s">
        <v>132</v>
      </c>
      <c r="X695" t="s">
        <v>253</v>
      </c>
      <c r="Y695" t="s">
        <v>235</v>
      </c>
      <c r="Z695" t="s">
        <v>236</v>
      </c>
      <c r="AA695" t="s">
        <v>253</v>
      </c>
      <c r="AB695" t="s">
        <v>1</v>
      </c>
      <c r="AC695" s="235">
        <f>'Basis Options'!H698</f>
        <v>-500000</v>
      </c>
      <c r="AD695" s="235">
        <f>'Basis Options'!W698</f>
        <v>-13721.954736279906</v>
      </c>
      <c r="AE695">
        <v>0</v>
      </c>
      <c r="AF695">
        <v>0</v>
      </c>
      <c r="AG695">
        <v>0</v>
      </c>
      <c r="AH695" s="235">
        <f>'Basis Options'!CD700</f>
        <v>0</v>
      </c>
      <c r="AI695">
        <v>226</v>
      </c>
      <c r="AJ695" t="s">
        <v>256</v>
      </c>
      <c r="AK695">
        <v>0</v>
      </c>
      <c r="AL695">
        <v>0</v>
      </c>
      <c r="AM695">
        <v>0</v>
      </c>
    </row>
    <row r="696" spans="1:39" x14ac:dyDescent="0.25">
      <c r="A696" t="s">
        <v>233</v>
      </c>
      <c r="B696" t="str">
        <f>'Basis Options'!C699</f>
        <v>NV2737.2</v>
      </c>
      <c r="C696" t="s">
        <v>255</v>
      </c>
      <c r="D696" t="s">
        <v>234</v>
      </c>
      <c r="E696" t="s">
        <v>20</v>
      </c>
      <c r="F696" t="str">
        <f>'Basis Options'!A699</f>
        <v>AEPENESER</v>
      </c>
      <c r="G696" t="s">
        <v>269</v>
      </c>
      <c r="H696" t="s">
        <v>254</v>
      </c>
      <c r="I696" t="s">
        <v>242</v>
      </c>
      <c r="J696" t="s">
        <v>235</v>
      </c>
      <c r="K696" s="380">
        <f>'Basis Options'!G699</f>
        <v>36861</v>
      </c>
      <c r="L696" s="235">
        <f>'Basis Options'!U699</f>
        <v>-205263.25254928001</v>
      </c>
      <c r="M696" s="380">
        <f>'Basis Options'!Q699</f>
        <v>36859</v>
      </c>
      <c r="N696" t="str">
        <f>'Basis Options'!F699</f>
        <v>P</v>
      </c>
      <c r="O696">
        <f>'Basis Options'!I699</f>
        <v>1.45</v>
      </c>
      <c r="P696">
        <v>0</v>
      </c>
      <c r="Q696">
        <v>0</v>
      </c>
      <c r="R696">
        <v>0</v>
      </c>
      <c r="S696">
        <v>0</v>
      </c>
      <c r="T696" t="s">
        <v>253</v>
      </c>
      <c r="U696" t="str">
        <f>IF('Basis Options'!D699="NGI/CHI. GATE","""NGI/CHI. GATE""",TRIM('Basis Options'!D699))</f>
        <v>IF-TRANSCO/Z6</v>
      </c>
      <c r="V696" t="s">
        <v>253</v>
      </c>
      <c r="W696" t="s">
        <v>132</v>
      </c>
      <c r="X696" t="s">
        <v>253</v>
      </c>
      <c r="Y696" t="s">
        <v>235</v>
      </c>
      <c r="Z696" t="s">
        <v>236</v>
      </c>
      <c r="AA696" t="s">
        <v>253</v>
      </c>
      <c r="AB696" t="s">
        <v>1</v>
      </c>
      <c r="AC696" s="235">
        <f>'Basis Options'!H699</f>
        <v>-500000</v>
      </c>
      <c r="AD696" s="235">
        <f>'Basis Options'!W699</f>
        <v>-35079.230587784114</v>
      </c>
      <c r="AE696">
        <v>0</v>
      </c>
      <c r="AF696">
        <v>0</v>
      </c>
      <c r="AG696">
        <v>0</v>
      </c>
      <c r="AH696" s="235">
        <f>'Basis Options'!CD701</f>
        <v>0</v>
      </c>
      <c r="AI696">
        <v>226</v>
      </c>
      <c r="AJ696" t="s">
        <v>256</v>
      </c>
      <c r="AK696">
        <v>0</v>
      </c>
      <c r="AL696">
        <v>0</v>
      </c>
      <c r="AM696">
        <v>0</v>
      </c>
    </row>
    <row r="697" spans="1:39" x14ac:dyDescent="0.25">
      <c r="A697" t="s">
        <v>233</v>
      </c>
      <c r="B697" t="str">
        <f>'Basis Options'!C700</f>
        <v>NV2737.2</v>
      </c>
      <c r="C697" t="s">
        <v>255</v>
      </c>
      <c r="D697" t="s">
        <v>234</v>
      </c>
      <c r="E697" t="s">
        <v>20</v>
      </c>
      <c r="F697" t="str">
        <f>'Basis Options'!A700</f>
        <v>AEPENESER</v>
      </c>
      <c r="G697" t="s">
        <v>269</v>
      </c>
      <c r="H697" t="s">
        <v>254</v>
      </c>
      <c r="I697" t="s">
        <v>242</v>
      </c>
      <c r="J697" t="s">
        <v>235</v>
      </c>
      <c r="K697" s="380">
        <f>'Basis Options'!G700</f>
        <v>36892</v>
      </c>
      <c r="L697" s="235">
        <f>'Basis Options'!U700</f>
        <v>-154203.28714400923</v>
      </c>
      <c r="M697" s="380">
        <f>'Basis Options'!Q700</f>
        <v>36888</v>
      </c>
      <c r="N697" t="str">
        <f>'Basis Options'!F700</f>
        <v>P</v>
      </c>
      <c r="O697">
        <f>'Basis Options'!I700</f>
        <v>1.45</v>
      </c>
      <c r="P697">
        <v>0</v>
      </c>
      <c r="Q697">
        <v>0</v>
      </c>
      <c r="R697">
        <v>0</v>
      </c>
      <c r="S697">
        <v>0</v>
      </c>
      <c r="T697" t="s">
        <v>253</v>
      </c>
      <c r="U697" t="str">
        <f>IF('Basis Options'!D700="NGI/CHI. GATE","""NGI/CHI. GATE""",TRIM('Basis Options'!D700))</f>
        <v>IF-TRANSCO/Z6</v>
      </c>
      <c r="V697" t="s">
        <v>253</v>
      </c>
      <c r="W697" t="s">
        <v>132</v>
      </c>
      <c r="X697" t="s">
        <v>253</v>
      </c>
      <c r="Y697" t="s">
        <v>235</v>
      </c>
      <c r="Z697" t="s">
        <v>236</v>
      </c>
      <c r="AA697" t="s">
        <v>253</v>
      </c>
      <c r="AB697" t="s">
        <v>1</v>
      </c>
      <c r="AC697" s="235">
        <f>'Basis Options'!H700</f>
        <v>-500000</v>
      </c>
      <c r="AD697" s="235">
        <f>'Basis Options'!W700</f>
        <v>-36195.483544426941</v>
      </c>
      <c r="AE697">
        <v>0</v>
      </c>
      <c r="AF697">
        <v>0</v>
      </c>
      <c r="AG697">
        <v>0</v>
      </c>
      <c r="AH697" s="235">
        <f>'Basis Options'!CD702</f>
        <v>0</v>
      </c>
      <c r="AI697">
        <v>226</v>
      </c>
      <c r="AJ697" t="s">
        <v>256</v>
      </c>
      <c r="AK697">
        <v>0</v>
      </c>
      <c r="AL697">
        <v>0</v>
      </c>
      <c r="AM697">
        <v>0</v>
      </c>
    </row>
    <row r="698" spans="1:39" x14ac:dyDescent="0.25">
      <c r="A698" t="s">
        <v>233</v>
      </c>
      <c r="B698" t="str">
        <f>'Basis Options'!C701</f>
        <v>NV2737.2</v>
      </c>
      <c r="C698" t="s">
        <v>255</v>
      </c>
      <c r="D698" t="s">
        <v>234</v>
      </c>
      <c r="E698" t="s">
        <v>20</v>
      </c>
      <c r="F698" t="str">
        <f>'Basis Options'!A701</f>
        <v>AEPENESER</v>
      </c>
      <c r="G698" t="s">
        <v>269</v>
      </c>
      <c r="H698" t="s">
        <v>254</v>
      </c>
      <c r="I698" t="s">
        <v>242</v>
      </c>
      <c r="J698" t="s">
        <v>235</v>
      </c>
      <c r="K698" s="380">
        <f>'Basis Options'!G701</f>
        <v>36923</v>
      </c>
      <c r="L698" s="235">
        <f>'Basis Options'!U701</f>
        <v>-181503.66174483867</v>
      </c>
      <c r="M698" s="380">
        <f>'Basis Options'!Q701</f>
        <v>36921</v>
      </c>
      <c r="N698" t="str">
        <f>'Basis Options'!F701</f>
        <v>P</v>
      </c>
      <c r="O698">
        <f>'Basis Options'!I701</f>
        <v>1.45</v>
      </c>
      <c r="P698">
        <v>0</v>
      </c>
      <c r="Q698">
        <v>0</v>
      </c>
      <c r="R698">
        <v>0</v>
      </c>
      <c r="S698">
        <v>0</v>
      </c>
      <c r="T698" t="s">
        <v>253</v>
      </c>
      <c r="U698" t="str">
        <f>IF('Basis Options'!D701="NGI/CHI. GATE","""NGI/CHI. GATE""",TRIM('Basis Options'!D701))</f>
        <v>IF-TRANSCO/Z6</v>
      </c>
      <c r="V698" t="s">
        <v>253</v>
      </c>
      <c r="W698" t="s">
        <v>132</v>
      </c>
      <c r="X698" t="s">
        <v>253</v>
      </c>
      <c r="Y698" t="s">
        <v>235</v>
      </c>
      <c r="Z698" t="s">
        <v>236</v>
      </c>
      <c r="AA698" t="s">
        <v>253</v>
      </c>
      <c r="AB698" t="s">
        <v>1</v>
      </c>
      <c r="AC698" s="235">
        <f>'Basis Options'!H701</f>
        <v>-500000</v>
      </c>
      <c r="AD698" s="235">
        <f>'Basis Options'!W701</f>
        <v>-40782.164050672087</v>
      </c>
      <c r="AE698">
        <v>0</v>
      </c>
      <c r="AF698">
        <v>0</v>
      </c>
      <c r="AG698">
        <v>0</v>
      </c>
      <c r="AH698" s="235">
        <f>'Basis Options'!CD703</f>
        <v>0</v>
      </c>
      <c r="AI698">
        <v>226</v>
      </c>
      <c r="AJ698" t="s">
        <v>256</v>
      </c>
      <c r="AK698">
        <v>0</v>
      </c>
      <c r="AL698">
        <v>0</v>
      </c>
      <c r="AM698">
        <v>0</v>
      </c>
    </row>
    <row r="699" spans="1:39" x14ac:dyDescent="0.25">
      <c r="A699" t="s">
        <v>233</v>
      </c>
      <c r="B699" t="str">
        <f>'Basis Options'!C702</f>
        <v>NV2737.2</v>
      </c>
      <c r="C699" t="s">
        <v>255</v>
      </c>
      <c r="D699" t="s">
        <v>234</v>
      </c>
      <c r="E699" t="s">
        <v>20</v>
      </c>
      <c r="F699" t="str">
        <f>'Basis Options'!A702</f>
        <v>AEPENESER</v>
      </c>
      <c r="G699" t="s">
        <v>269</v>
      </c>
      <c r="H699" t="s">
        <v>254</v>
      </c>
      <c r="I699" t="s">
        <v>242</v>
      </c>
      <c r="J699" t="s">
        <v>235</v>
      </c>
      <c r="K699" s="380">
        <f>'Basis Options'!G702</f>
        <v>36951</v>
      </c>
      <c r="L699" s="235">
        <f>'Basis Options'!U702</f>
        <v>-367114.63844547799</v>
      </c>
      <c r="M699" s="380">
        <f>'Basis Options'!Q702</f>
        <v>36949</v>
      </c>
      <c r="N699" t="str">
        <f>'Basis Options'!F702</f>
        <v>P</v>
      </c>
      <c r="O699">
        <f>'Basis Options'!I702</f>
        <v>1.45</v>
      </c>
      <c r="P699">
        <v>0</v>
      </c>
      <c r="Q699">
        <v>0</v>
      </c>
      <c r="R699">
        <v>0</v>
      </c>
      <c r="S699">
        <v>0</v>
      </c>
      <c r="T699" t="s">
        <v>253</v>
      </c>
      <c r="U699" t="str">
        <f>IF('Basis Options'!D702="NGI/CHI. GATE","""NGI/CHI. GATE""",TRIM('Basis Options'!D702))</f>
        <v>IF-TRANSCO/Z6</v>
      </c>
      <c r="V699" t="s">
        <v>253</v>
      </c>
      <c r="W699" t="s">
        <v>132</v>
      </c>
      <c r="X699" t="s">
        <v>253</v>
      </c>
      <c r="Y699" t="s">
        <v>235</v>
      </c>
      <c r="Z699" t="s">
        <v>236</v>
      </c>
      <c r="AA699" t="s">
        <v>253</v>
      </c>
      <c r="AB699" t="s">
        <v>1</v>
      </c>
      <c r="AC699" s="235">
        <f>'Basis Options'!H702</f>
        <v>-500000</v>
      </c>
      <c r="AD699" s="235">
        <f>'Basis Options'!W702</f>
        <v>-41917.004786908627</v>
      </c>
      <c r="AE699">
        <v>0</v>
      </c>
      <c r="AF699">
        <v>0</v>
      </c>
      <c r="AG699">
        <v>0</v>
      </c>
      <c r="AH699" s="235">
        <f>'Basis Options'!CD704</f>
        <v>0</v>
      </c>
      <c r="AI699">
        <v>226</v>
      </c>
      <c r="AJ699" t="s">
        <v>256</v>
      </c>
      <c r="AK699">
        <v>0</v>
      </c>
      <c r="AL699">
        <v>0</v>
      </c>
      <c r="AM699">
        <v>0</v>
      </c>
    </row>
    <row r="700" spans="1:39" x14ac:dyDescent="0.25">
      <c r="A700" t="s">
        <v>233</v>
      </c>
      <c r="B700" t="str">
        <f>'Basis Options'!C703</f>
        <v>NV2771</v>
      </c>
      <c r="C700" t="s">
        <v>255</v>
      </c>
      <c r="D700" t="s">
        <v>234</v>
      </c>
      <c r="E700" t="s">
        <v>20</v>
      </c>
      <c r="F700" t="str">
        <f>'Basis Options'!A703</f>
        <v>AEPENESER</v>
      </c>
      <c r="G700" t="s">
        <v>269</v>
      </c>
      <c r="H700" t="s">
        <v>254</v>
      </c>
      <c r="I700" t="s">
        <v>242</v>
      </c>
      <c r="J700" t="s">
        <v>235</v>
      </c>
      <c r="K700" s="380">
        <f>'Basis Options'!G703</f>
        <v>36831</v>
      </c>
      <c r="L700" s="235">
        <f>'Basis Options'!U703</f>
        <v>363298.92687479826</v>
      </c>
      <c r="M700" s="380">
        <f>'Basis Options'!Q703</f>
        <v>36829</v>
      </c>
      <c r="N700" t="str">
        <f>'Basis Options'!F703</f>
        <v>P</v>
      </c>
      <c r="O700">
        <f>'Basis Options'!I703</f>
        <v>0.95</v>
      </c>
      <c r="P700">
        <v>0</v>
      </c>
      <c r="Q700">
        <v>0</v>
      </c>
      <c r="R700">
        <v>0</v>
      </c>
      <c r="S700">
        <v>0</v>
      </c>
      <c r="T700" t="s">
        <v>253</v>
      </c>
      <c r="U700" t="str">
        <f>IF('Basis Options'!D703="NGI/CHI. GATE","""NGI/CHI. GATE""",TRIM('Basis Options'!D703))</f>
        <v>IF-TRANSCO/Z6</v>
      </c>
      <c r="V700" t="s">
        <v>253</v>
      </c>
      <c r="W700" t="s">
        <v>132</v>
      </c>
      <c r="X700" t="s">
        <v>253</v>
      </c>
      <c r="Y700" t="s">
        <v>235</v>
      </c>
      <c r="Z700" t="s">
        <v>236</v>
      </c>
      <c r="AA700" t="s">
        <v>253</v>
      </c>
      <c r="AB700" t="s">
        <v>1</v>
      </c>
      <c r="AC700" s="235">
        <f>'Basis Options'!H703</f>
        <v>1000000</v>
      </c>
      <c r="AD700" s="235">
        <f>'Basis Options'!W703</f>
        <v>42533.042030895012</v>
      </c>
      <c r="AE700">
        <v>0</v>
      </c>
      <c r="AF700">
        <v>0</v>
      </c>
      <c r="AG700">
        <v>0</v>
      </c>
      <c r="AH700" s="235">
        <f>'Basis Options'!CD705</f>
        <v>0</v>
      </c>
      <c r="AI700">
        <v>226</v>
      </c>
      <c r="AJ700" t="s">
        <v>256</v>
      </c>
      <c r="AK700">
        <v>0</v>
      </c>
      <c r="AL700">
        <v>0</v>
      </c>
      <c r="AM700">
        <v>0</v>
      </c>
    </row>
    <row r="701" spans="1:39" x14ac:dyDescent="0.25">
      <c r="A701" t="s">
        <v>233</v>
      </c>
      <c r="B701" t="str">
        <f>'Basis Options'!C704</f>
        <v>NV2771</v>
      </c>
      <c r="C701" t="s">
        <v>255</v>
      </c>
      <c r="D701" t="s">
        <v>234</v>
      </c>
      <c r="E701" t="s">
        <v>20</v>
      </c>
      <c r="F701" t="str">
        <f>'Basis Options'!A704</f>
        <v>AEPENESER</v>
      </c>
      <c r="G701" t="s">
        <v>269</v>
      </c>
      <c r="H701" t="s">
        <v>254</v>
      </c>
      <c r="I701" t="s">
        <v>242</v>
      </c>
      <c r="J701" t="s">
        <v>235</v>
      </c>
      <c r="K701" s="380">
        <f>'Basis Options'!G704</f>
        <v>36861</v>
      </c>
      <c r="L701" s="235">
        <f>'Basis Options'!U704</f>
        <v>204671.01113385943</v>
      </c>
      <c r="M701" s="380">
        <f>'Basis Options'!Q704</f>
        <v>36859</v>
      </c>
      <c r="N701" t="str">
        <f>'Basis Options'!F704</f>
        <v>P</v>
      </c>
      <c r="O701">
        <f>'Basis Options'!I704</f>
        <v>0.95</v>
      </c>
      <c r="P701">
        <v>0</v>
      </c>
      <c r="Q701">
        <v>0</v>
      </c>
      <c r="R701">
        <v>0</v>
      </c>
      <c r="S701">
        <v>0</v>
      </c>
      <c r="T701" t="s">
        <v>253</v>
      </c>
      <c r="U701" t="str">
        <f>IF('Basis Options'!D704="NGI/CHI. GATE","""NGI/CHI. GATE""",TRIM('Basis Options'!D704))</f>
        <v>IF-TRANSCO/Z6</v>
      </c>
      <c r="V701" t="s">
        <v>253</v>
      </c>
      <c r="W701" t="s">
        <v>132</v>
      </c>
      <c r="X701" t="s">
        <v>253</v>
      </c>
      <c r="Y701" t="s">
        <v>235</v>
      </c>
      <c r="Z701" t="s">
        <v>236</v>
      </c>
      <c r="AA701" t="s">
        <v>253</v>
      </c>
      <c r="AB701" t="s">
        <v>1</v>
      </c>
      <c r="AC701" s="235">
        <f>'Basis Options'!H704</f>
        <v>1000000</v>
      </c>
      <c r="AD701" s="235">
        <f>'Basis Options'!W704</f>
        <v>61706.70107553745</v>
      </c>
      <c r="AE701">
        <v>0</v>
      </c>
      <c r="AF701">
        <v>0</v>
      </c>
      <c r="AG701">
        <v>0</v>
      </c>
      <c r="AH701" s="235">
        <f>'Basis Options'!CD706</f>
        <v>0</v>
      </c>
      <c r="AI701">
        <v>226</v>
      </c>
      <c r="AJ701" t="s">
        <v>256</v>
      </c>
      <c r="AK701">
        <v>0</v>
      </c>
      <c r="AL701">
        <v>0</v>
      </c>
      <c r="AM701">
        <v>0</v>
      </c>
    </row>
    <row r="702" spans="1:39" x14ac:dyDescent="0.25">
      <c r="A702" t="s">
        <v>233</v>
      </c>
      <c r="B702" t="str">
        <f>'Basis Options'!C705</f>
        <v>NV2771</v>
      </c>
      <c r="C702" t="s">
        <v>255</v>
      </c>
      <c r="D702" t="s">
        <v>234</v>
      </c>
      <c r="E702" t="s">
        <v>20</v>
      </c>
      <c r="F702" t="str">
        <f>'Basis Options'!A705</f>
        <v>AEPENESER</v>
      </c>
      <c r="G702" t="s">
        <v>269</v>
      </c>
      <c r="H702" t="s">
        <v>254</v>
      </c>
      <c r="I702" t="s">
        <v>242</v>
      </c>
      <c r="J702" t="s">
        <v>235</v>
      </c>
      <c r="K702" s="380">
        <f>'Basis Options'!G705</f>
        <v>36892</v>
      </c>
      <c r="L702" s="235">
        <f>'Basis Options'!U705</f>
        <v>152728.64479355773</v>
      </c>
      <c r="M702" s="380">
        <f>'Basis Options'!Q705</f>
        <v>36888</v>
      </c>
      <c r="N702" t="str">
        <f>'Basis Options'!F705</f>
        <v>P</v>
      </c>
      <c r="O702">
        <f>'Basis Options'!I705</f>
        <v>0.95</v>
      </c>
      <c r="P702">
        <v>0</v>
      </c>
      <c r="Q702">
        <v>0</v>
      </c>
      <c r="R702">
        <v>0</v>
      </c>
      <c r="S702">
        <v>0</v>
      </c>
      <c r="T702" t="s">
        <v>253</v>
      </c>
      <c r="U702" t="str">
        <f>IF('Basis Options'!D705="NGI/CHI. GATE","""NGI/CHI. GATE""",TRIM('Basis Options'!D705))</f>
        <v>IF-TRANSCO/Z6</v>
      </c>
      <c r="V702" t="s">
        <v>253</v>
      </c>
      <c r="W702" t="s">
        <v>132</v>
      </c>
      <c r="X702" t="s">
        <v>253</v>
      </c>
      <c r="Y702" t="s">
        <v>235</v>
      </c>
      <c r="Z702" t="s">
        <v>236</v>
      </c>
      <c r="AA702" t="s">
        <v>253</v>
      </c>
      <c r="AB702" t="s">
        <v>1</v>
      </c>
      <c r="AC702" s="235">
        <f>'Basis Options'!H705</f>
        <v>1000000</v>
      </c>
      <c r="AD702" s="235">
        <f>'Basis Options'!W705</f>
        <v>58171.921538685012</v>
      </c>
      <c r="AE702">
        <v>0</v>
      </c>
      <c r="AF702">
        <v>0</v>
      </c>
      <c r="AG702">
        <v>0</v>
      </c>
      <c r="AH702" s="235">
        <f>'Basis Options'!CD707</f>
        <v>0</v>
      </c>
      <c r="AI702">
        <v>226</v>
      </c>
      <c r="AJ702" t="s">
        <v>256</v>
      </c>
      <c r="AK702">
        <v>0</v>
      </c>
      <c r="AL702">
        <v>0</v>
      </c>
      <c r="AM702">
        <v>0</v>
      </c>
    </row>
    <row r="703" spans="1:39" x14ac:dyDescent="0.25">
      <c r="A703" t="s">
        <v>233</v>
      </c>
      <c r="B703" t="str">
        <f>'Basis Options'!C706</f>
        <v>NV2771</v>
      </c>
      <c r="C703" t="s">
        <v>255</v>
      </c>
      <c r="D703" t="s">
        <v>234</v>
      </c>
      <c r="E703" t="s">
        <v>20</v>
      </c>
      <c r="F703" t="str">
        <f>'Basis Options'!A706</f>
        <v>AEPENESER</v>
      </c>
      <c r="G703" t="s">
        <v>269</v>
      </c>
      <c r="H703" t="s">
        <v>254</v>
      </c>
      <c r="I703" t="s">
        <v>242</v>
      </c>
      <c r="J703" t="s">
        <v>235</v>
      </c>
      <c r="K703" s="380">
        <f>'Basis Options'!G706</f>
        <v>36923</v>
      </c>
      <c r="L703" s="235">
        <f>'Basis Options'!U706</f>
        <v>189379.5248282355</v>
      </c>
      <c r="M703" s="380">
        <f>'Basis Options'!Q706</f>
        <v>36921</v>
      </c>
      <c r="N703" t="str">
        <f>'Basis Options'!F706</f>
        <v>P</v>
      </c>
      <c r="O703">
        <f>'Basis Options'!I706</f>
        <v>0.95</v>
      </c>
      <c r="P703">
        <v>0</v>
      </c>
      <c r="Q703">
        <v>0</v>
      </c>
      <c r="R703">
        <v>0</v>
      </c>
      <c r="S703">
        <v>0</v>
      </c>
      <c r="T703" t="s">
        <v>253</v>
      </c>
      <c r="U703" t="str">
        <f>IF('Basis Options'!D706="NGI/CHI. GATE","""NGI/CHI. GATE""",TRIM('Basis Options'!D706))</f>
        <v>IF-TRANSCO/Z6</v>
      </c>
      <c r="V703" t="s">
        <v>253</v>
      </c>
      <c r="W703" t="s">
        <v>132</v>
      </c>
      <c r="X703" t="s">
        <v>253</v>
      </c>
      <c r="Y703" t="s">
        <v>235</v>
      </c>
      <c r="Z703" t="s">
        <v>236</v>
      </c>
      <c r="AA703" t="s">
        <v>253</v>
      </c>
      <c r="AB703" t="s">
        <v>1</v>
      </c>
      <c r="AC703" s="235">
        <f>'Basis Options'!H706</f>
        <v>1000000</v>
      </c>
      <c r="AD703" s="235">
        <f>'Basis Options'!W706</f>
        <v>68622.119460750808</v>
      </c>
      <c r="AE703">
        <v>0</v>
      </c>
      <c r="AF703">
        <v>0</v>
      </c>
      <c r="AG703">
        <v>0</v>
      </c>
      <c r="AH703" s="235">
        <f>'Basis Options'!CD708</f>
        <v>0</v>
      </c>
      <c r="AI703">
        <v>226</v>
      </c>
      <c r="AJ703" t="s">
        <v>256</v>
      </c>
      <c r="AK703">
        <v>0</v>
      </c>
      <c r="AL703">
        <v>0</v>
      </c>
      <c r="AM703">
        <v>0</v>
      </c>
    </row>
    <row r="704" spans="1:39" x14ac:dyDescent="0.25">
      <c r="A704" t="s">
        <v>233</v>
      </c>
      <c r="B704" t="str">
        <f>'Basis Options'!C707</f>
        <v>NV2771</v>
      </c>
      <c r="C704" t="s">
        <v>255</v>
      </c>
      <c r="D704" t="s">
        <v>234</v>
      </c>
      <c r="E704" t="s">
        <v>20</v>
      </c>
      <c r="F704" t="str">
        <f>'Basis Options'!A707</f>
        <v>AEPENESER</v>
      </c>
      <c r="G704" t="s">
        <v>269</v>
      </c>
      <c r="H704" t="s">
        <v>254</v>
      </c>
      <c r="I704" t="s">
        <v>242</v>
      </c>
      <c r="J704" t="s">
        <v>235</v>
      </c>
      <c r="K704" s="380">
        <f>'Basis Options'!G707</f>
        <v>36951</v>
      </c>
      <c r="L704" s="235">
        <f>'Basis Options'!U707</f>
        <v>437925.3575714078</v>
      </c>
      <c r="M704" s="380">
        <f>'Basis Options'!Q707</f>
        <v>36949</v>
      </c>
      <c r="N704" t="str">
        <f>'Basis Options'!F707</f>
        <v>P</v>
      </c>
      <c r="O704">
        <f>'Basis Options'!I707</f>
        <v>0.95</v>
      </c>
      <c r="P704">
        <v>0</v>
      </c>
      <c r="Q704">
        <v>0</v>
      </c>
      <c r="R704">
        <v>0</v>
      </c>
      <c r="S704">
        <v>0</v>
      </c>
      <c r="T704" t="s">
        <v>253</v>
      </c>
      <c r="U704" t="str">
        <f>IF('Basis Options'!D707="NGI/CHI. GATE","""NGI/CHI. GATE""",TRIM('Basis Options'!D707))</f>
        <v>IF-TRANSCO/Z6</v>
      </c>
      <c r="V704" t="s">
        <v>253</v>
      </c>
      <c r="W704" t="s">
        <v>132</v>
      </c>
      <c r="X704" t="s">
        <v>253</v>
      </c>
      <c r="Y704" t="s">
        <v>235</v>
      </c>
      <c r="Z704" t="s">
        <v>236</v>
      </c>
      <c r="AA704" t="s">
        <v>253</v>
      </c>
      <c r="AB704" t="s">
        <v>1</v>
      </c>
      <c r="AC704" s="235">
        <f>'Basis Options'!H707</f>
        <v>1000000</v>
      </c>
      <c r="AD704" s="235">
        <f>'Basis Options'!W707</f>
        <v>88691.424107912695</v>
      </c>
      <c r="AE704">
        <v>0</v>
      </c>
      <c r="AF704">
        <v>0</v>
      </c>
      <c r="AG704">
        <v>0</v>
      </c>
      <c r="AH704" s="235">
        <f>'Basis Options'!CD709</f>
        <v>0</v>
      </c>
      <c r="AI704">
        <v>226</v>
      </c>
      <c r="AJ704" t="s">
        <v>256</v>
      </c>
      <c r="AK704">
        <v>0</v>
      </c>
      <c r="AL704">
        <v>0</v>
      </c>
      <c r="AM704">
        <v>0</v>
      </c>
    </row>
    <row r="705" spans="1:39" x14ac:dyDescent="0.25">
      <c r="A705" t="s">
        <v>233</v>
      </c>
      <c r="B705" t="str">
        <f>'Basis Options'!C708</f>
        <v>NV5364.1</v>
      </c>
      <c r="C705" t="s">
        <v>255</v>
      </c>
      <c r="D705" t="s">
        <v>234</v>
      </c>
      <c r="E705" t="s">
        <v>20</v>
      </c>
      <c r="F705" t="str">
        <f>'Basis Options'!A708</f>
        <v>ELPASMER</v>
      </c>
      <c r="G705" t="s">
        <v>269</v>
      </c>
      <c r="H705" t="s">
        <v>254</v>
      </c>
      <c r="I705" t="s">
        <v>242</v>
      </c>
      <c r="J705" t="s">
        <v>235</v>
      </c>
      <c r="K705" s="380">
        <f>'Basis Options'!G708</f>
        <v>36800</v>
      </c>
      <c r="L705" s="235">
        <f>'Basis Options'!U708</f>
        <v>504460.68184727646</v>
      </c>
      <c r="M705" s="380">
        <f>'Basis Options'!Q708</f>
        <v>36797</v>
      </c>
      <c r="N705" t="str">
        <f>'Basis Options'!F708</f>
        <v>P</v>
      </c>
      <c r="O705">
        <f>'Basis Options'!I708</f>
        <v>-0.65</v>
      </c>
      <c r="P705">
        <v>0</v>
      </c>
      <c r="Q705">
        <v>0</v>
      </c>
      <c r="R705">
        <v>0</v>
      </c>
      <c r="S705">
        <v>0</v>
      </c>
      <c r="T705" t="s">
        <v>253</v>
      </c>
      <c r="U705" t="str">
        <f>IF('Basis Options'!D708="NGI/CHI. GATE","""NGI/CHI. GATE""",TRIM('Basis Options'!D708))</f>
        <v>IF-NWPL_ROCKY_M</v>
      </c>
      <c r="V705" t="s">
        <v>253</v>
      </c>
      <c r="W705" t="s">
        <v>132</v>
      </c>
      <c r="X705" t="s">
        <v>253</v>
      </c>
      <c r="Y705" t="s">
        <v>235</v>
      </c>
      <c r="Z705" t="s">
        <v>236</v>
      </c>
      <c r="AA705" t="s">
        <v>253</v>
      </c>
      <c r="AB705" t="s">
        <v>1</v>
      </c>
      <c r="AC705" s="235">
        <f>'Basis Options'!H708</f>
        <v>2000000</v>
      </c>
      <c r="AD705" s="235">
        <f>'Basis Options'!W708</f>
        <v>65563.054581105709</v>
      </c>
      <c r="AE705">
        <v>0</v>
      </c>
      <c r="AF705">
        <v>0</v>
      </c>
      <c r="AG705">
        <v>0</v>
      </c>
      <c r="AH705" s="235">
        <f>'Basis Options'!CD710</f>
        <v>0</v>
      </c>
      <c r="AI705">
        <v>226</v>
      </c>
      <c r="AJ705" t="s">
        <v>256</v>
      </c>
      <c r="AK705">
        <v>0</v>
      </c>
      <c r="AL705">
        <v>0</v>
      </c>
      <c r="AM705">
        <v>0</v>
      </c>
    </row>
    <row r="706" spans="1:39" x14ac:dyDescent="0.25">
      <c r="A706" t="s">
        <v>233</v>
      </c>
      <c r="B706" t="str">
        <f>'Basis Options'!C709</f>
        <v>NV5364.2</v>
      </c>
      <c r="C706" t="s">
        <v>255</v>
      </c>
      <c r="D706" t="s">
        <v>234</v>
      </c>
      <c r="E706" t="s">
        <v>20</v>
      </c>
      <c r="F706" t="str">
        <f>'Basis Options'!A709</f>
        <v>ELPASMER</v>
      </c>
      <c r="G706" t="s">
        <v>269</v>
      </c>
      <c r="H706" t="s">
        <v>254</v>
      </c>
      <c r="I706" t="s">
        <v>242</v>
      </c>
      <c r="J706" t="s">
        <v>235</v>
      </c>
      <c r="K706" s="380">
        <f>'Basis Options'!G709</f>
        <v>36800</v>
      </c>
      <c r="L706" s="235">
        <f>'Basis Options'!U709</f>
        <v>504460.68184727646</v>
      </c>
      <c r="M706" s="380">
        <f>'Basis Options'!Q709</f>
        <v>36797</v>
      </c>
      <c r="N706" t="str">
        <f>'Basis Options'!F709</f>
        <v>P</v>
      </c>
      <c r="O706">
        <f>'Basis Options'!I709</f>
        <v>-0.65</v>
      </c>
      <c r="P706">
        <v>0</v>
      </c>
      <c r="Q706">
        <v>0</v>
      </c>
      <c r="R706">
        <v>0</v>
      </c>
      <c r="S706">
        <v>0</v>
      </c>
      <c r="T706" t="s">
        <v>253</v>
      </c>
      <c r="U706" t="str">
        <f>IF('Basis Options'!D709="NGI/CHI. GATE","""NGI/CHI. GATE""",TRIM('Basis Options'!D709))</f>
        <v>IF-NWPL_ROCKY_M</v>
      </c>
      <c r="V706" t="s">
        <v>253</v>
      </c>
      <c r="W706" t="s">
        <v>132</v>
      </c>
      <c r="X706" t="s">
        <v>253</v>
      </c>
      <c r="Y706" t="s">
        <v>235</v>
      </c>
      <c r="Z706" t="s">
        <v>236</v>
      </c>
      <c r="AA706" t="s">
        <v>253</v>
      </c>
      <c r="AB706" t="s">
        <v>1</v>
      </c>
      <c r="AC706" s="235">
        <f>'Basis Options'!H709</f>
        <v>2000000</v>
      </c>
      <c r="AD706" s="235">
        <f>'Basis Options'!W709</f>
        <v>65563.054581105709</v>
      </c>
      <c r="AE706">
        <v>0</v>
      </c>
      <c r="AF706">
        <v>0</v>
      </c>
      <c r="AG706">
        <v>0</v>
      </c>
      <c r="AH706" s="235">
        <f>'Basis Options'!CD711</f>
        <v>0</v>
      </c>
      <c r="AI706">
        <v>226</v>
      </c>
      <c r="AJ706" t="s">
        <v>256</v>
      </c>
      <c r="AK706">
        <v>0</v>
      </c>
      <c r="AL706">
        <v>0</v>
      </c>
      <c r="AM706">
        <v>0</v>
      </c>
    </row>
    <row r="707" spans="1:39" x14ac:dyDescent="0.25">
      <c r="A707" t="s">
        <v>233</v>
      </c>
      <c r="B707" t="str">
        <f>'Basis Options'!C710</f>
        <v>NV5380.1</v>
      </c>
      <c r="C707" t="s">
        <v>255</v>
      </c>
      <c r="D707" t="s">
        <v>234</v>
      </c>
      <c r="E707" t="s">
        <v>20</v>
      </c>
      <c r="F707" t="str">
        <f>'Basis Options'!A710</f>
        <v>SOUTHERCOMENEMA</v>
      </c>
      <c r="G707" t="s">
        <v>269</v>
      </c>
      <c r="H707" t="s">
        <v>254</v>
      </c>
      <c r="I707" t="s">
        <v>242</v>
      </c>
      <c r="J707" t="s">
        <v>235</v>
      </c>
      <c r="K707" s="380">
        <f>'Basis Options'!G710</f>
        <v>36982</v>
      </c>
      <c r="L707" s="235">
        <f>'Basis Options'!U710</f>
        <v>92266.460902928593</v>
      </c>
      <c r="M707" s="380">
        <f>'Basis Options'!Q710</f>
        <v>36979</v>
      </c>
      <c r="N707" t="str">
        <f>'Basis Options'!F710</f>
        <v>C</v>
      </c>
      <c r="O707">
        <f>'Basis Options'!I710</f>
        <v>0.42</v>
      </c>
      <c r="P707">
        <v>0</v>
      </c>
      <c r="Q707">
        <v>0</v>
      </c>
      <c r="R707">
        <v>0</v>
      </c>
      <c r="S707">
        <v>0</v>
      </c>
      <c r="T707" t="s">
        <v>253</v>
      </c>
      <c r="U707" t="str">
        <f>IF('Basis Options'!D710="NGI/CHI. GATE","""NGI/CHI. GATE""",TRIM('Basis Options'!D710))</f>
        <v>IF-TRANSCO/Z6</v>
      </c>
      <c r="V707" t="s">
        <v>253</v>
      </c>
      <c r="W707" t="s">
        <v>132</v>
      </c>
      <c r="X707" t="s">
        <v>253</v>
      </c>
      <c r="Y707" t="s">
        <v>235</v>
      </c>
      <c r="Z707" t="s">
        <v>236</v>
      </c>
      <c r="AA707" t="s">
        <v>253</v>
      </c>
      <c r="AB707" t="s">
        <v>1</v>
      </c>
      <c r="AC707" s="235">
        <f>'Basis Options'!H710</f>
        <v>500000</v>
      </c>
      <c r="AD707" s="235">
        <f>'Basis Options'!W710</f>
        <v>12741.043329141045</v>
      </c>
      <c r="AE707">
        <v>0</v>
      </c>
      <c r="AF707">
        <v>0</v>
      </c>
      <c r="AG707">
        <v>0</v>
      </c>
      <c r="AH707" s="235">
        <f>'Basis Options'!CD712</f>
        <v>0</v>
      </c>
      <c r="AI707">
        <v>226</v>
      </c>
      <c r="AJ707" t="s">
        <v>256</v>
      </c>
      <c r="AK707">
        <v>0</v>
      </c>
      <c r="AL707">
        <v>0</v>
      </c>
      <c r="AM707">
        <v>0</v>
      </c>
    </row>
    <row r="708" spans="1:39" x14ac:dyDescent="0.25">
      <c r="A708" t="s">
        <v>233</v>
      </c>
      <c r="B708" t="str">
        <f>'Basis Options'!C711</f>
        <v>NV5380.1</v>
      </c>
      <c r="C708" t="s">
        <v>255</v>
      </c>
      <c r="D708" t="s">
        <v>234</v>
      </c>
      <c r="E708" t="s">
        <v>20</v>
      </c>
      <c r="F708" t="str">
        <f>'Basis Options'!A711</f>
        <v>SOUTHERCOMENEMA</v>
      </c>
      <c r="G708" t="s">
        <v>269</v>
      </c>
      <c r="H708" t="s">
        <v>254</v>
      </c>
      <c r="I708" t="s">
        <v>242</v>
      </c>
      <c r="J708" t="s">
        <v>235</v>
      </c>
      <c r="K708" s="380">
        <f>'Basis Options'!G711</f>
        <v>37012</v>
      </c>
      <c r="L708" s="235">
        <f>'Basis Options'!U711</f>
        <v>57736.703253682426</v>
      </c>
      <c r="M708" s="380">
        <f>'Basis Options'!Q711</f>
        <v>37008</v>
      </c>
      <c r="N708" t="str">
        <f>'Basis Options'!F711</f>
        <v>C</v>
      </c>
      <c r="O708">
        <f>'Basis Options'!I711</f>
        <v>0.42</v>
      </c>
      <c r="P708">
        <v>0</v>
      </c>
      <c r="Q708">
        <v>0</v>
      </c>
      <c r="R708">
        <v>0</v>
      </c>
      <c r="S708">
        <v>0</v>
      </c>
      <c r="T708" t="s">
        <v>253</v>
      </c>
      <c r="U708" t="str">
        <f>IF('Basis Options'!D711="NGI/CHI. GATE","""NGI/CHI. GATE""",TRIM('Basis Options'!D711))</f>
        <v>IF-TRANSCO/Z6</v>
      </c>
      <c r="V708" t="s">
        <v>253</v>
      </c>
      <c r="W708" t="s">
        <v>132</v>
      </c>
      <c r="X708" t="s">
        <v>253</v>
      </c>
      <c r="Y708" t="s">
        <v>235</v>
      </c>
      <c r="Z708" t="s">
        <v>236</v>
      </c>
      <c r="AA708" t="s">
        <v>253</v>
      </c>
      <c r="AB708" t="s">
        <v>1</v>
      </c>
      <c r="AC708" s="235">
        <f>'Basis Options'!H711</f>
        <v>500000</v>
      </c>
      <c r="AD708" s="235">
        <f>'Basis Options'!W711</f>
        <v>12928.941947383835</v>
      </c>
      <c r="AE708">
        <v>0</v>
      </c>
      <c r="AF708">
        <v>0</v>
      </c>
      <c r="AG708">
        <v>0</v>
      </c>
      <c r="AH708" s="235">
        <f>'Basis Options'!CD713</f>
        <v>0</v>
      </c>
      <c r="AI708">
        <v>226</v>
      </c>
      <c r="AJ708" t="s">
        <v>256</v>
      </c>
      <c r="AK708">
        <v>0</v>
      </c>
      <c r="AL708">
        <v>0</v>
      </c>
      <c r="AM708">
        <v>0</v>
      </c>
    </row>
    <row r="709" spans="1:39" x14ac:dyDescent="0.25">
      <c r="A709" t="s">
        <v>233</v>
      </c>
      <c r="B709" t="str">
        <f>'Basis Options'!C712</f>
        <v>NV5380.1</v>
      </c>
      <c r="C709" t="s">
        <v>255</v>
      </c>
      <c r="D709" t="s">
        <v>234</v>
      </c>
      <c r="E709" t="s">
        <v>20</v>
      </c>
      <c r="F709" t="str">
        <f>'Basis Options'!A712</f>
        <v>SOUTHERCOMENEMA</v>
      </c>
      <c r="G709" t="s">
        <v>269</v>
      </c>
      <c r="H709" t="s">
        <v>254</v>
      </c>
      <c r="I709" t="s">
        <v>242</v>
      </c>
      <c r="J709" t="s">
        <v>235</v>
      </c>
      <c r="K709" s="380">
        <f>'Basis Options'!G712</f>
        <v>37043</v>
      </c>
      <c r="L709" s="235">
        <f>'Basis Options'!U712</f>
        <v>57980.404845049707</v>
      </c>
      <c r="M709" s="380">
        <f>'Basis Options'!Q712</f>
        <v>37041</v>
      </c>
      <c r="N709" t="str">
        <f>'Basis Options'!F712</f>
        <v>C</v>
      </c>
      <c r="O709">
        <f>'Basis Options'!I712</f>
        <v>0.42</v>
      </c>
      <c r="P709">
        <v>0</v>
      </c>
      <c r="Q709">
        <v>0</v>
      </c>
      <c r="R709">
        <v>0</v>
      </c>
      <c r="S709">
        <v>0</v>
      </c>
      <c r="T709" t="s">
        <v>253</v>
      </c>
      <c r="U709" t="str">
        <f>IF('Basis Options'!D712="NGI/CHI. GATE","""NGI/CHI. GATE""",TRIM('Basis Options'!D712))</f>
        <v>IF-TRANSCO/Z6</v>
      </c>
      <c r="V709" t="s">
        <v>253</v>
      </c>
      <c r="W709" t="s">
        <v>132</v>
      </c>
      <c r="X709" t="s">
        <v>253</v>
      </c>
      <c r="Y709" t="s">
        <v>235</v>
      </c>
      <c r="Z709" t="s">
        <v>236</v>
      </c>
      <c r="AA709" t="s">
        <v>253</v>
      </c>
      <c r="AB709" t="s">
        <v>1</v>
      </c>
      <c r="AC709" s="235">
        <f>'Basis Options'!H712</f>
        <v>500000</v>
      </c>
      <c r="AD709" s="235">
        <f>'Basis Options'!W712</f>
        <v>13503.912046274228</v>
      </c>
      <c r="AE709">
        <v>0</v>
      </c>
      <c r="AF709">
        <v>0</v>
      </c>
      <c r="AG709">
        <v>0</v>
      </c>
      <c r="AH709" s="235">
        <f>'Basis Options'!CD714</f>
        <v>0</v>
      </c>
      <c r="AI709">
        <v>226</v>
      </c>
      <c r="AJ709" t="s">
        <v>256</v>
      </c>
      <c r="AK709">
        <v>0</v>
      </c>
      <c r="AL709">
        <v>0</v>
      </c>
      <c r="AM709">
        <v>0</v>
      </c>
    </row>
    <row r="710" spans="1:39" x14ac:dyDescent="0.25">
      <c r="A710" t="s">
        <v>233</v>
      </c>
      <c r="B710" t="str">
        <f>'Basis Options'!C713</f>
        <v>NV5380.1</v>
      </c>
      <c r="C710" t="s">
        <v>255</v>
      </c>
      <c r="D710" t="s">
        <v>234</v>
      </c>
      <c r="E710" t="s">
        <v>20</v>
      </c>
      <c r="F710" t="str">
        <f>'Basis Options'!A713</f>
        <v>SOUTHERCOMENEMA</v>
      </c>
      <c r="G710" t="s">
        <v>269</v>
      </c>
      <c r="H710" t="s">
        <v>254</v>
      </c>
      <c r="I710" t="s">
        <v>242</v>
      </c>
      <c r="J710" t="s">
        <v>235</v>
      </c>
      <c r="K710" s="380">
        <f>'Basis Options'!G713</f>
        <v>37073</v>
      </c>
      <c r="L710" s="235">
        <f>'Basis Options'!U713</f>
        <v>76903.249027501719</v>
      </c>
      <c r="M710" s="380">
        <f>'Basis Options'!Q713</f>
        <v>37070</v>
      </c>
      <c r="N710" t="str">
        <f>'Basis Options'!F713</f>
        <v>C</v>
      </c>
      <c r="O710">
        <f>'Basis Options'!I713</f>
        <v>0.42</v>
      </c>
      <c r="P710">
        <v>0</v>
      </c>
      <c r="Q710">
        <v>0</v>
      </c>
      <c r="R710">
        <v>0</v>
      </c>
      <c r="S710">
        <v>0</v>
      </c>
      <c r="T710" t="s">
        <v>253</v>
      </c>
      <c r="U710" t="str">
        <f>IF('Basis Options'!D713="NGI/CHI. GATE","""NGI/CHI. GATE""",TRIM('Basis Options'!D713))</f>
        <v>IF-TRANSCO/Z6</v>
      </c>
      <c r="V710" t="s">
        <v>253</v>
      </c>
      <c r="W710" t="s">
        <v>132</v>
      </c>
      <c r="X710" t="s">
        <v>253</v>
      </c>
      <c r="Y710" t="s">
        <v>235</v>
      </c>
      <c r="Z710" t="s">
        <v>236</v>
      </c>
      <c r="AA710" t="s">
        <v>253</v>
      </c>
      <c r="AB710" t="s">
        <v>1</v>
      </c>
      <c r="AC710" s="235">
        <f>'Basis Options'!H713</f>
        <v>500000</v>
      </c>
      <c r="AD710" s="235">
        <f>'Basis Options'!W713</f>
        <v>14000.550793065777</v>
      </c>
      <c r="AE710">
        <v>0</v>
      </c>
      <c r="AF710">
        <v>0</v>
      </c>
      <c r="AG710">
        <v>0</v>
      </c>
      <c r="AH710" s="235">
        <f>'Basis Options'!CD715</f>
        <v>0</v>
      </c>
      <c r="AI710">
        <v>226</v>
      </c>
      <c r="AJ710" t="s">
        <v>256</v>
      </c>
      <c r="AK710">
        <v>0</v>
      </c>
      <c r="AL710">
        <v>0</v>
      </c>
      <c r="AM710">
        <v>0</v>
      </c>
    </row>
    <row r="711" spans="1:39" x14ac:dyDescent="0.25">
      <c r="A711" t="s">
        <v>233</v>
      </c>
      <c r="B711" t="str">
        <f>'Basis Options'!C714</f>
        <v>NV5380.1</v>
      </c>
      <c r="C711" t="s">
        <v>255</v>
      </c>
      <c r="D711" t="s">
        <v>234</v>
      </c>
      <c r="E711" t="s">
        <v>20</v>
      </c>
      <c r="F711" t="str">
        <f>'Basis Options'!A714</f>
        <v>SOUTHERCOMENEMA</v>
      </c>
      <c r="G711" t="s">
        <v>269</v>
      </c>
      <c r="H711" t="s">
        <v>254</v>
      </c>
      <c r="I711" t="s">
        <v>242</v>
      </c>
      <c r="J711" t="s">
        <v>235</v>
      </c>
      <c r="K711" s="380">
        <f>'Basis Options'!G714</f>
        <v>37104</v>
      </c>
      <c r="L711" s="235">
        <f>'Basis Options'!U714</f>
        <v>79945.889805656683</v>
      </c>
      <c r="M711" s="380">
        <f>'Basis Options'!Q714</f>
        <v>37102</v>
      </c>
      <c r="N711" t="str">
        <f>'Basis Options'!F714</f>
        <v>C</v>
      </c>
      <c r="O711">
        <f>'Basis Options'!I714</f>
        <v>0.42</v>
      </c>
      <c r="P711">
        <v>0</v>
      </c>
      <c r="Q711">
        <v>0</v>
      </c>
      <c r="R711">
        <v>0</v>
      </c>
      <c r="S711">
        <v>0</v>
      </c>
      <c r="T711" t="s">
        <v>253</v>
      </c>
      <c r="U711" t="str">
        <f>IF('Basis Options'!D714="NGI/CHI. GATE","""NGI/CHI. GATE""",TRIM('Basis Options'!D714))</f>
        <v>IF-TRANSCO/Z6</v>
      </c>
      <c r="V711" t="s">
        <v>253</v>
      </c>
      <c r="W711" t="s">
        <v>132</v>
      </c>
      <c r="X711" t="s">
        <v>253</v>
      </c>
      <c r="Y711" t="s">
        <v>235</v>
      </c>
      <c r="Z711" t="s">
        <v>236</v>
      </c>
      <c r="AA711" t="s">
        <v>253</v>
      </c>
      <c r="AB711" t="s">
        <v>1</v>
      </c>
      <c r="AC711" s="235">
        <f>'Basis Options'!H714</f>
        <v>500000</v>
      </c>
      <c r="AD711" s="235">
        <f>'Basis Options'!W714</f>
        <v>14644.595988741232</v>
      </c>
      <c r="AE711">
        <v>0</v>
      </c>
      <c r="AF711">
        <v>0</v>
      </c>
      <c r="AG711">
        <v>0</v>
      </c>
      <c r="AH711" s="235">
        <f>'Basis Options'!CD716</f>
        <v>0</v>
      </c>
      <c r="AI711">
        <v>226</v>
      </c>
      <c r="AJ711" t="s">
        <v>256</v>
      </c>
      <c r="AK711">
        <v>0</v>
      </c>
      <c r="AL711">
        <v>0</v>
      </c>
      <c r="AM711">
        <v>0</v>
      </c>
    </row>
    <row r="712" spans="1:39" x14ac:dyDescent="0.25">
      <c r="A712" t="s">
        <v>233</v>
      </c>
      <c r="B712" t="str">
        <f>'Basis Options'!C715</f>
        <v>NV5380.1</v>
      </c>
      <c r="C712" t="s">
        <v>255</v>
      </c>
      <c r="D712" t="s">
        <v>234</v>
      </c>
      <c r="E712" t="s">
        <v>20</v>
      </c>
      <c r="F712" t="str">
        <f>'Basis Options'!A715</f>
        <v>SOUTHERCOMENEMA</v>
      </c>
      <c r="G712" t="s">
        <v>269</v>
      </c>
      <c r="H712" t="s">
        <v>254</v>
      </c>
      <c r="I712" t="s">
        <v>242</v>
      </c>
      <c r="J712" t="s">
        <v>235</v>
      </c>
      <c r="K712" s="380">
        <f>'Basis Options'!G715</f>
        <v>37135</v>
      </c>
      <c r="L712" s="235">
        <f>'Basis Options'!U715</f>
        <v>66323.11871531386</v>
      </c>
      <c r="M712" s="380">
        <f>'Basis Options'!Q715</f>
        <v>37133</v>
      </c>
      <c r="N712" t="str">
        <f>'Basis Options'!F715</f>
        <v>C</v>
      </c>
      <c r="O712">
        <f>'Basis Options'!I715</f>
        <v>0.42</v>
      </c>
      <c r="P712">
        <v>0</v>
      </c>
      <c r="Q712">
        <v>0</v>
      </c>
      <c r="R712">
        <v>0</v>
      </c>
      <c r="S712">
        <v>0</v>
      </c>
      <c r="T712" t="s">
        <v>253</v>
      </c>
      <c r="U712" t="str">
        <f>IF('Basis Options'!D715="NGI/CHI. GATE","""NGI/CHI. GATE""",TRIM('Basis Options'!D715))</f>
        <v>IF-TRANSCO/Z6</v>
      </c>
      <c r="V712" t="s">
        <v>253</v>
      </c>
      <c r="W712" t="s">
        <v>132</v>
      </c>
      <c r="X712" t="s">
        <v>253</v>
      </c>
      <c r="Y712" t="s">
        <v>235</v>
      </c>
      <c r="Z712" t="s">
        <v>236</v>
      </c>
      <c r="AA712" t="s">
        <v>253</v>
      </c>
      <c r="AB712" t="s">
        <v>1</v>
      </c>
      <c r="AC712" s="235">
        <f>'Basis Options'!H715</f>
        <v>500000</v>
      </c>
      <c r="AD712" s="235">
        <f>'Basis Options'!W715</f>
        <v>15327.882619103213</v>
      </c>
      <c r="AE712">
        <v>0</v>
      </c>
      <c r="AF712">
        <v>0</v>
      </c>
      <c r="AG712">
        <v>0</v>
      </c>
      <c r="AH712" s="235">
        <f>'Basis Options'!CD717</f>
        <v>0</v>
      </c>
      <c r="AI712">
        <v>226</v>
      </c>
      <c r="AJ712" t="s">
        <v>256</v>
      </c>
      <c r="AK712">
        <v>0</v>
      </c>
      <c r="AL712">
        <v>0</v>
      </c>
      <c r="AM712">
        <v>0</v>
      </c>
    </row>
    <row r="713" spans="1:39" x14ac:dyDescent="0.25">
      <c r="A713" t="s">
        <v>233</v>
      </c>
      <c r="B713" t="str">
        <f>'Basis Options'!C716</f>
        <v>NV5380.1</v>
      </c>
      <c r="C713" t="s">
        <v>255</v>
      </c>
      <c r="D713" t="s">
        <v>234</v>
      </c>
      <c r="E713" t="s">
        <v>20</v>
      </c>
      <c r="F713" t="str">
        <f>'Basis Options'!A716</f>
        <v>SOUTHERCOMENEMA</v>
      </c>
      <c r="G713" t="s">
        <v>269</v>
      </c>
      <c r="H713" t="s">
        <v>254</v>
      </c>
      <c r="I713" t="s">
        <v>242</v>
      </c>
      <c r="J713" t="s">
        <v>235</v>
      </c>
      <c r="K713" s="380">
        <f>'Basis Options'!G716</f>
        <v>37165</v>
      </c>
      <c r="L713" s="235">
        <f>'Basis Options'!U716</f>
        <v>84954.580803136152</v>
      </c>
      <c r="M713" s="380">
        <f>'Basis Options'!Q716</f>
        <v>37161</v>
      </c>
      <c r="N713" t="str">
        <f>'Basis Options'!F716</f>
        <v>C</v>
      </c>
      <c r="O713">
        <f>'Basis Options'!I716</f>
        <v>0.42</v>
      </c>
      <c r="P713">
        <v>0</v>
      </c>
      <c r="Q713">
        <v>0</v>
      </c>
      <c r="R713">
        <v>0</v>
      </c>
      <c r="S713">
        <v>0</v>
      </c>
      <c r="T713" t="s">
        <v>253</v>
      </c>
      <c r="U713" t="str">
        <f>IF('Basis Options'!D716="NGI/CHI. GATE","""NGI/CHI. GATE""",TRIM('Basis Options'!D716))</f>
        <v>IF-TRANSCO/Z6</v>
      </c>
      <c r="V713" t="s">
        <v>253</v>
      </c>
      <c r="W713" t="s">
        <v>132</v>
      </c>
      <c r="X713" t="s">
        <v>253</v>
      </c>
      <c r="Y713" t="s">
        <v>235</v>
      </c>
      <c r="Z713" t="s">
        <v>236</v>
      </c>
      <c r="AA713" t="s">
        <v>253</v>
      </c>
      <c r="AB713" t="s">
        <v>1</v>
      </c>
      <c r="AC713" s="235">
        <f>'Basis Options'!H716</f>
        <v>500000</v>
      </c>
      <c r="AD713" s="235">
        <f>'Basis Options'!W716</f>
        <v>15778.51246128077</v>
      </c>
      <c r="AE713">
        <v>0</v>
      </c>
      <c r="AF713">
        <v>0</v>
      </c>
      <c r="AG713">
        <v>0</v>
      </c>
      <c r="AH713" s="235">
        <f>'Basis Options'!CD718</f>
        <v>0</v>
      </c>
      <c r="AI713">
        <v>226</v>
      </c>
      <c r="AJ713" t="s">
        <v>256</v>
      </c>
      <c r="AK713">
        <v>0</v>
      </c>
      <c r="AL713">
        <v>0</v>
      </c>
      <c r="AM713">
        <v>0</v>
      </c>
    </row>
    <row r="714" spans="1:39" x14ac:dyDescent="0.25">
      <c r="A714" t="s">
        <v>233</v>
      </c>
      <c r="B714" t="str">
        <f>'Basis Options'!C717</f>
        <v>NV5380.2</v>
      </c>
      <c r="C714" t="s">
        <v>255</v>
      </c>
      <c r="D714" t="s">
        <v>234</v>
      </c>
      <c r="E714" t="s">
        <v>20</v>
      </c>
      <c r="F714" t="str">
        <f>'Basis Options'!A717</f>
        <v>SOUTHERCOMENEMA</v>
      </c>
      <c r="G714" t="s">
        <v>269</v>
      </c>
      <c r="H714" t="s">
        <v>254</v>
      </c>
      <c r="I714" t="s">
        <v>242</v>
      </c>
      <c r="J714" t="s">
        <v>235</v>
      </c>
      <c r="K714" s="380">
        <f>'Basis Options'!G717</f>
        <v>36982</v>
      </c>
      <c r="L714" s="235">
        <f>'Basis Options'!U717</f>
        <v>44231.077358075272</v>
      </c>
      <c r="M714" s="380">
        <f>'Basis Options'!Q717</f>
        <v>36979</v>
      </c>
      <c r="N714" t="str">
        <f>'Basis Options'!F717</f>
        <v>P</v>
      </c>
      <c r="O714">
        <f>'Basis Options'!I717</f>
        <v>0.42</v>
      </c>
      <c r="P714">
        <v>0</v>
      </c>
      <c r="Q714">
        <v>0</v>
      </c>
      <c r="R714">
        <v>0</v>
      </c>
      <c r="S714">
        <v>0</v>
      </c>
      <c r="T714" t="s">
        <v>253</v>
      </c>
      <c r="U714" t="str">
        <f>IF('Basis Options'!D717="NGI/CHI. GATE","""NGI/CHI. GATE""",TRIM('Basis Options'!D717))</f>
        <v>IF-TRANSCO/Z6</v>
      </c>
      <c r="V714" t="s">
        <v>253</v>
      </c>
      <c r="W714" t="s">
        <v>132</v>
      </c>
      <c r="X714" t="s">
        <v>253</v>
      </c>
      <c r="Y714" t="s">
        <v>235</v>
      </c>
      <c r="Z714" t="s">
        <v>236</v>
      </c>
      <c r="AA714" t="s">
        <v>253</v>
      </c>
      <c r="AB714" t="s">
        <v>1</v>
      </c>
      <c r="AC714" s="235">
        <f>'Basis Options'!H717</f>
        <v>500000</v>
      </c>
      <c r="AD714" s="235">
        <f>'Basis Options'!W717</f>
        <v>12741.043329141045</v>
      </c>
      <c r="AE714">
        <v>0</v>
      </c>
      <c r="AF714">
        <v>0</v>
      </c>
      <c r="AG714">
        <v>0</v>
      </c>
      <c r="AH714" s="235">
        <f>'Basis Options'!CD719</f>
        <v>0</v>
      </c>
      <c r="AI714">
        <v>226</v>
      </c>
      <c r="AJ714" t="s">
        <v>256</v>
      </c>
      <c r="AK714">
        <v>0</v>
      </c>
      <c r="AL714">
        <v>0</v>
      </c>
      <c r="AM714">
        <v>0</v>
      </c>
    </row>
    <row r="715" spans="1:39" x14ac:dyDescent="0.25">
      <c r="A715" t="s">
        <v>233</v>
      </c>
      <c r="B715" t="str">
        <f>'Basis Options'!C718</f>
        <v>NV5380.2</v>
      </c>
      <c r="C715" t="s">
        <v>255</v>
      </c>
      <c r="D715" t="s">
        <v>234</v>
      </c>
      <c r="E715" t="s">
        <v>20</v>
      </c>
      <c r="F715" t="str">
        <f>'Basis Options'!A718</f>
        <v>SOUTHERCOMENEMA</v>
      </c>
      <c r="G715" t="s">
        <v>269</v>
      </c>
      <c r="H715" t="s">
        <v>254</v>
      </c>
      <c r="I715" t="s">
        <v>242</v>
      </c>
      <c r="J715" t="s">
        <v>235</v>
      </c>
      <c r="K715" s="380">
        <f>'Basis Options'!G718</f>
        <v>37012</v>
      </c>
      <c r="L715" s="235">
        <f>'Basis Options'!U718</f>
        <v>64902.423348858843</v>
      </c>
      <c r="M715" s="380">
        <f>'Basis Options'!Q718</f>
        <v>37008</v>
      </c>
      <c r="N715" t="str">
        <f>'Basis Options'!F718</f>
        <v>P</v>
      </c>
      <c r="O715">
        <f>'Basis Options'!I718</f>
        <v>0.42</v>
      </c>
      <c r="P715">
        <v>0</v>
      </c>
      <c r="Q715">
        <v>0</v>
      </c>
      <c r="R715">
        <v>0</v>
      </c>
      <c r="S715">
        <v>0</v>
      </c>
      <c r="T715" t="s">
        <v>253</v>
      </c>
      <c r="U715" t="str">
        <f>IF('Basis Options'!D718="NGI/CHI. GATE","""NGI/CHI. GATE""",TRIM('Basis Options'!D718))</f>
        <v>IF-TRANSCO/Z6</v>
      </c>
      <c r="V715" t="s">
        <v>253</v>
      </c>
      <c r="W715" t="s">
        <v>132</v>
      </c>
      <c r="X715" t="s">
        <v>253</v>
      </c>
      <c r="Y715" t="s">
        <v>235</v>
      </c>
      <c r="Z715" t="s">
        <v>236</v>
      </c>
      <c r="AA715" t="s">
        <v>253</v>
      </c>
      <c r="AB715" t="s">
        <v>1</v>
      </c>
      <c r="AC715" s="235">
        <f>'Basis Options'!H718</f>
        <v>500000</v>
      </c>
      <c r="AD715" s="235">
        <f>'Basis Options'!W718</f>
        <v>12928.941947383835</v>
      </c>
      <c r="AE715">
        <v>0</v>
      </c>
      <c r="AF715">
        <v>0</v>
      </c>
      <c r="AG715">
        <v>0</v>
      </c>
      <c r="AH715" s="235">
        <f>'Basis Options'!CD720</f>
        <v>0</v>
      </c>
      <c r="AI715">
        <v>226</v>
      </c>
      <c r="AJ715" t="s">
        <v>256</v>
      </c>
      <c r="AK715">
        <v>0</v>
      </c>
      <c r="AL715">
        <v>0</v>
      </c>
      <c r="AM715">
        <v>0</v>
      </c>
    </row>
    <row r="716" spans="1:39" x14ac:dyDescent="0.25">
      <c r="A716" t="s">
        <v>233</v>
      </c>
      <c r="B716" t="str">
        <f>'Basis Options'!C719</f>
        <v>NV5380.2</v>
      </c>
      <c r="C716" t="s">
        <v>255</v>
      </c>
      <c r="D716" t="s">
        <v>234</v>
      </c>
      <c r="E716" t="s">
        <v>20</v>
      </c>
      <c r="F716" t="str">
        <f>'Basis Options'!A719</f>
        <v>SOUTHERCOMENEMA</v>
      </c>
      <c r="G716" t="s">
        <v>269</v>
      </c>
      <c r="H716" t="s">
        <v>254</v>
      </c>
      <c r="I716" t="s">
        <v>242</v>
      </c>
      <c r="J716" t="s">
        <v>235</v>
      </c>
      <c r="K716" s="380">
        <f>'Basis Options'!G719</f>
        <v>37043</v>
      </c>
      <c r="L716" s="235">
        <f>'Basis Options'!U719</f>
        <v>69848.579223786903</v>
      </c>
      <c r="M716" s="380">
        <f>'Basis Options'!Q719</f>
        <v>37041</v>
      </c>
      <c r="N716" t="str">
        <f>'Basis Options'!F719</f>
        <v>P</v>
      </c>
      <c r="O716">
        <f>'Basis Options'!I719</f>
        <v>0.42</v>
      </c>
      <c r="P716">
        <v>0</v>
      </c>
      <c r="Q716">
        <v>0</v>
      </c>
      <c r="R716">
        <v>0</v>
      </c>
      <c r="S716">
        <v>0</v>
      </c>
      <c r="T716" t="s">
        <v>253</v>
      </c>
      <c r="U716" t="str">
        <f>IF('Basis Options'!D719="NGI/CHI. GATE","""NGI/CHI. GATE""",TRIM('Basis Options'!D719))</f>
        <v>IF-TRANSCO/Z6</v>
      </c>
      <c r="V716" t="s">
        <v>253</v>
      </c>
      <c r="W716" t="s">
        <v>132</v>
      </c>
      <c r="X716" t="s">
        <v>253</v>
      </c>
      <c r="Y716" t="s">
        <v>235</v>
      </c>
      <c r="Z716" t="s">
        <v>236</v>
      </c>
      <c r="AA716" t="s">
        <v>253</v>
      </c>
      <c r="AB716" t="s">
        <v>1</v>
      </c>
      <c r="AC716" s="235">
        <f>'Basis Options'!H719</f>
        <v>500000</v>
      </c>
      <c r="AD716" s="235">
        <f>'Basis Options'!W719</f>
        <v>13503.912046274258</v>
      </c>
      <c r="AE716">
        <v>0</v>
      </c>
      <c r="AF716">
        <v>0</v>
      </c>
      <c r="AG716">
        <v>0</v>
      </c>
      <c r="AH716" s="235">
        <f>'Basis Options'!CD721</f>
        <v>0</v>
      </c>
      <c r="AI716">
        <v>226</v>
      </c>
      <c r="AJ716" t="s">
        <v>256</v>
      </c>
      <c r="AK716">
        <v>0</v>
      </c>
      <c r="AL716">
        <v>0</v>
      </c>
      <c r="AM716">
        <v>0</v>
      </c>
    </row>
    <row r="717" spans="1:39" x14ac:dyDescent="0.25">
      <c r="A717" t="s">
        <v>233</v>
      </c>
      <c r="B717" t="str">
        <f>'Basis Options'!C720</f>
        <v>NV5380.2</v>
      </c>
      <c r="C717" t="s">
        <v>255</v>
      </c>
      <c r="D717" t="s">
        <v>234</v>
      </c>
      <c r="E717" t="s">
        <v>20</v>
      </c>
      <c r="F717" t="str">
        <f>'Basis Options'!A720</f>
        <v>SOUTHERCOMENEMA</v>
      </c>
      <c r="G717" t="s">
        <v>269</v>
      </c>
      <c r="H717" t="s">
        <v>254</v>
      </c>
      <c r="I717" t="s">
        <v>242</v>
      </c>
      <c r="J717" t="s">
        <v>235</v>
      </c>
      <c r="K717" s="380">
        <f>'Basis Options'!G720</f>
        <v>37073</v>
      </c>
      <c r="L717" s="235">
        <f>'Basis Options'!U720</f>
        <v>58018.750509644306</v>
      </c>
      <c r="M717" s="380">
        <f>'Basis Options'!Q720</f>
        <v>37070</v>
      </c>
      <c r="N717" t="str">
        <f>'Basis Options'!F720</f>
        <v>P</v>
      </c>
      <c r="O717">
        <f>'Basis Options'!I720</f>
        <v>0.42</v>
      </c>
      <c r="P717">
        <v>0</v>
      </c>
      <c r="Q717">
        <v>0</v>
      </c>
      <c r="R717">
        <v>0</v>
      </c>
      <c r="S717">
        <v>0</v>
      </c>
      <c r="T717" t="s">
        <v>253</v>
      </c>
      <c r="U717" t="str">
        <f>IF('Basis Options'!D720="NGI/CHI. GATE","""NGI/CHI. GATE""",TRIM('Basis Options'!D720))</f>
        <v>IF-TRANSCO/Z6</v>
      </c>
      <c r="V717" t="s">
        <v>253</v>
      </c>
      <c r="W717" t="s">
        <v>132</v>
      </c>
      <c r="X717" t="s">
        <v>253</v>
      </c>
      <c r="Y717" t="s">
        <v>235</v>
      </c>
      <c r="Z717" t="s">
        <v>236</v>
      </c>
      <c r="AA717" t="s">
        <v>253</v>
      </c>
      <c r="AB717" t="s">
        <v>1</v>
      </c>
      <c r="AC717" s="235">
        <f>'Basis Options'!H720</f>
        <v>500000</v>
      </c>
      <c r="AD717" s="235">
        <f>'Basis Options'!W720</f>
        <v>14000.550793065777</v>
      </c>
      <c r="AE717">
        <v>0</v>
      </c>
      <c r="AF717">
        <v>0</v>
      </c>
      <c r="AG717">
        <v>0</v>
      </c>
      <c r="AH717" s="235">
        <f>'Basis Options'!CD722</f>
        <v>0</v>
      </c>
      <c r="AI717">
        <v>226</v>
      </c>
      <c r="AJ717" t="s">
        <v>256</v>
      </c>
      <c r="AK717">
        <v>0</v>
      </c>
      <c r="AL717">
        <v>0</v>
      </c>
      <c r="AM717">
        <v>0</v>
      </c>
    </row>
    <row r="718" spans="1:39" x14ac:dyDescent="0.25">
      <c r="A718" t="s">
        <v>233</v>
      </c>
      <c r="B718" t="str">
        <f>'Basis Options'!C721</f>
        <v>NV5380.2</v>
      </c>
      <c r="C718" t="s">
        <v>255</v>
      </c>
      <c r="D718" t="s">
        <v>234</v>
      </c>
      <c r="E718" t="s">
        <v>20</v>
      </c>
      <c r="F718" t="str">
        <f>'Basis Options'!A721</f>
        <v>SOUTHERCOMENEMA</v>
      </c>
      <c r="G718" t="s">
        <v>269</v>
      </c>
      <c r="H718" t="s">
        <v>254</v>
      </c>
      <c r="I718" t="s">
        <v>242</v>
      </c>
      <c r="J718" t="s">
        <v>235</v>
      </c>
      <c r="K718" s="380">
        <f>'Basis Options'!G721</f>
        <v>37104</v>
      </c>
      <c r="L718" s="235">
        <f>'Basis Options'!U721</f>
        <v>61176.219870192115</v>
      </c>
      <c r="M718" s="380">
        <f>'Basis Options'!Q721</f>
        <v>37102</v>
      </c>
      <c r="N718" t="str">
        <f>'Basis Options'!F721</f>
        <v>P</v>
      </c>
      <c r="O718">
        <f>'Basis Options'!I721</f>
        <v>0.42</v>
      </c>
      <c r="P718">
        <v>0</v>
      </c>
      <c r="Q718">
        <v>0</v>
      </c>
      <c r="R718">
        <v>0</v>
      </c>
      <c r="S718">
        <v>0</v>
      </c>
      <c r="T718" t="s">
        <v>253</v>
      </c>
      <c r="U718" t="str">
        <f>IF('Basis Options'!D721="NGI/CHI. GATE","""NGI/CHI. GATE""",TRIM('Basis Options'!D721))</f>
        <v>IF-TRANSCO/Z6</v>
      </c>
      <c r="V718" t="s">
        <v>253</v>
      </c>
      <c r="W718" t="s">
        <v>132</v>
      </c>
      <c r="X718" t="s">
        <v>253</v>
      </c>
      <c r="Y718" t="s">
        <v>235</v>
      </c>
      <c r="Z718" t="s">
        <v>236</v>
      </c>
      <c r="AA718" t="s">
        <v>253</v>
      </c>
      <c r="AB718" t="s">
        <v>1</v>
      </c>
      <c r="AC718" s="235">
        <f>'Basis Options'!H721</f>
        <v>500000</v>
      </c>
      <c r="AD718" s="235">
        <f>'Basis Options'!W721</f>
        <v>14644.595988741203</v>
      </c>
      <c r="AE718">
        <v>0</v>
      </c>
      <c r="AF718">
        <v>0</v>
      </c>
      <c r="AG718">
        <v>0</v>
      </c>
      <c r="AH718" s="235">
        <f>'Basis Options'!CD723</f>
        <v>0</v>
      </c>
      <c r="AI718">
        <v>226</v>
      </c>
      <c r="AJ718" t="s">
        <v>256</v>
      </c>
      <c r="AK718">
        <v>0</v>
      </c>
      <c r="AL718">
        <v>0</v>
      </c>
      <c r="AM718">
        <v>0</v>
      </c>
    </row>
    <row r="719" spans="1:39" x14ac:dyDescent="0.25">
      <c r="A719" t="s">
        <v>233</v>
      </c>
      <c r="B719" t="str">
        <f>'Basis Options'!C722</f>
        <v>NV5380.2</v>
      </c>
      <c r="C719" t="s">
        <v>255</v>
      </c>
      <c r="D719" t="s">
        <v>234</v>
      </c>
      <c r="E719" t="s">
        <v>20</v>
      </c>
      <c r="F719" t="str">
        <f>'Basis Options'!A722</f>
        <v>SOUTHERCOMENEMA</v>
      </c>
      <c r="G719" t="s">
        <v>269</v>
      </c>
      <c r="H719" t="s">
        <v>254</v>
      </c>
      <c r="I719" t="s">
        <v>242</v>
      </c>
      <c r="J719" t="s">
        <v>235</v>
      </c>
      <c r="K719" s="380">
        <f>'Basis Options'!G722</f>
        <v>37135</v>
      </c>
      <c r="L719" s="235">
        <f>'Basis Options'!U722</f>
        <v>77984.957481095131</v>
      </c>
      <c r="M719" s="380">
        <f>'Basis Options'!Q722</f>
        <v>37133</v>
      </c>
      <c r="N719" t="str">
        <f>'Basis Options'!F722</f>
        <v>P</v>
      </c>
      <c r="O719">
        <f>'Basis Options'!I722</f>
        <v>0.42</v>
      </c>
      <c r="P719">
        <v>0</v>
      </c>
      <c r="Q719">
        <v>0</v>
      </c>
      <c r="R719">
        <v>0</v>
      </c>
      <c r="S719">
        <v>0</v>
      </c>
      <c r="T719" t="s">
        <v>253</v>
      </c>
      <c r="U719" t="str">
        <f>IF('Basis Options'!D722="NGI/CHI. GATE","""NGI/CHI. GATE""",TRIM('Basis Options'!D722))</f>
        <v>IF-TRANSCO/Z6</v>
      </c>
      <c r="V719" t="s">
        <v>253</v>
      </c>
      <c r="W719" t="s">
        <v>132</v>
      </c>
      <c r="X719" t="s">
        <v>253</v>
      </c>
      <c r="Y719" t="s">
        <v>235</v>
      </c>
      <c r="Z719" t="s">
        <v>236</v>
      </c>
      <c r="AA719" t="s">
        <v>253</v>
      </c>
      <c r="AB719" t="s">
        <v>1</v>
      </c>
      <c r="AC719" s="235">
        <f>'Basis Options'!H722</f>
        <v>500000</v>
      </c>
      <c r="AD719" s="235">
        <f>'Basis Options'!W722</f>
        <v>15327.882619103242</v>
      </c>
      <c r="AE719">
        <v>0</v>
      </c>
      <c r="AF719">
        <v>0</v>
      </c>
      <c r="AG719">
        <v>0</v>
      </c>
      <c r="AH719" s="235">
        <f>'Basis Options'!CD724</f>
        <v>0</v>
      </c>
      <c r="AI719">
        <v>226</v>
      </c>
      <c r="AJ719" t="s">
        <v>256</v>
      </c>
      <c r="AK719">
        <v>0</v>
      </c>
      <c r="AL719">
        <v>0</v>
      </c>
      <c r="AM719">
        <v>0</v>
      </c>
    </row>
    <row r="720" spans="1:39" x14ac:dyDescent="0.25">
      <c r="A720" t="s">
        <v>233</v>
      </c>
      <c r="B720" t="str">
        <f>'Basis Options'!C723</f>
        <v>NV5380.2</v>
      </c>
      <c r="C720" t="s">
        <v>255</v>
      </c>
      <c r="D720" t="s">
        <v>234</v>
      </c>
      <c r="E720" t="s">
        <v>20</v>
      </c>
      <c r="F720" t="str">
        <f>'Basis Options'!A723</f>
        <v>SOUTHERCOMENEMA</v>
      </c>
      <c r="G720" t="s">
        <v>269</v>
      </c>
      <c r="H720" t="s">
        <v>254</v>
      </c>
      <c r="I720" t="s">
        <v>242</v>
      </c>
      <c r="J720" t="s">
        <v>235</v>
      </c>
      <c r="K720" s="380">
        <f>'Basis Options'!G723</f>
        <v>37165</v>
      </c>
      <c r="L720" s="235">
        <f>'Basis Options'!U723</f>
        <v>65931.195233259132</v>
      </c>
      <c r="M720" s="380">
        <f>'Basis Options'!Q723</f>
        <v>37161</v>
      </c>
      <c r="N720" t="str">
        <f>'Basis Options'!F723</f>
        <v>P</v>
      </c>
      <c r="O720">
        <f>'Basis Options'!I723</f>
        <v>0.42</v>
      </c>
      <c r="P720">
        <v>0</v>
      </c>
      <c r="Q720">
        <v>0</v>
      </c>
      <c r="R720">
        <v>0</v>
      </c>
      <c r="S720">
        <v>0</v>
      </c>
      <c r="T720" t="s">
        <v>253</v>
      </c>
      <c r="U720" t="str">
        <f>IF('Basis Options'!D723="NGI/CHI. GATE","""NGI/CHI. GATE""",TRIM('Basis Options'!D723))</f>
        <v>IF-TRANSCO/Z6</v>
      </c>
      <c r="V720" t="s">
        <v>253</v>
      </c>
      <c r="W720" t="s">
        <v>132</v>
      </c>
      <c r="X720" t="s">
        <v>253</v>
      </c>
      <c r="Y720" t="s">
        <v>235</v>
      </c>
      <c r="Z720" t="s">
        <v>236</v>
      </c>
      <c r="AA720" t="s">
        <v>253</v>
      </c>
      <c r="AB720" t="s">
        <v>1</v>
      </c>
      <c r="AC720" s="235">
        <f>'Basis Options'!H723</f>
        <v>500000</v>
      </c>
      <c r="AD720" s="235">
        <f>'Basis Options'!W723</f>
        <v>15778.512461280741</v>
      </c>
      <c r="AE720">
        <v>0</v>
      </c>
      <c r="AF720">
        <v>0</v>
      </c>
      <c r="AG720">
        <v>0</v>
      </c>
      <c r="AH720" s="235">
        <f>'Basis Options'!CD725</f>
        <v>0</v>
      </c>
      <c r="AI720">
        <v>226</v>
      </c>
      <c r="AJ720" t="s">
        <v>256</v>
      </c>
      <c r="AK720">
        <v>0</v>
      </c>
      <c r="AL720">
        <v>0</v>
      </c>
      <c r="AM720">
        <v>0</v>
      </c>
    </row>
    <row r="721" spans="1:39" x14ac:dyDescent="0.25">
      <c r="A721" t="s">
        <v>233</v>
      </c>
      <c r="B721" t="str">
        <f>'Basis Options'!C724</f>
        <v>NV5394.1</v>
      </c>
      <c r="C721" t="s">
        <v>255</v>
      </c>
      <c r="D721" t="s">
        <v>234</v>
      </c>
      <c r="E721" t="s">
        <v>20</v>
      </c>
      <c r="F721" t="str">
        <f>'Basis Options'!A724</f>
        <v>AEPENESER</v>
      </c>
      <c r="G721" t="s">
        <v>269</v>
      </c>
      <c r="H721" t="s">
        <v>254</v>
      </c>
      <c r="I721" t="s">
        <v>242</v>
      </c>
      <c r="J721" t="s">
        <v>235</v>
      </c>
      <c r="K721" s="380">
        <f>'Basis Options'!G724</f>
        <v>36800</v>
      </c>
      <c r="L721" s="235">
        <f>'Basis Options'!U724</f>
        <v>765566.75724493514</v>
      </c>
      <c r="M721" s="380">
        <f>'Basis Options'!Q724</f>
        <v>36797</v>
      </c>
      <c r="N721" t="str">
        <f>'Basis Options'!F724</f>
        <v>C</v>
      </c>
      <c r="O721">
        <f>'Basis Options'!I724</f>
        <v>0.75</v>
      </c>
      <c r="P721">
        <v>0</v>
      </c>
      <c r="Q721">
        <v>0</v>
      </c>
      <c r="R721">
        <v>0</v>
      </c>
      <c r="S721">
        <v>0</v>
      </c>
      <c r="T721" t="s">
        <v>253</v>
      </c>
      <c r="U721" t="str">
        <f>IF('Basis Options'!D724="NGI/CHI. GATE","""NGI/CHI. GATE""",TRIM('Basis Options'!D724))</f>
        <v>NGI-SOCAL</v>
      </c>
      <c r="V721" t="s">
        <v>253</v>
      </c>
      <c r="W721" t="s">
        <v>132</v>
      </c>
      <c r="X721" t="s">
        <v>253</v>
      </c>
      <c r="Y721" t="s">
        <v>235</v>
      </c>
      <c r="Z721" t="s">
        <v>236</v>
      </c>
      <c r="AA721" t="s">
        <v>253</v>
      </c>
      <c r="AB721" t="s">
        <v>1</v>
      </c>
      <c r="AC721" s="235">
        <f>'Basis Options'!H724</f>
        <v>620000</v>
      </c>
      <c r="AD721" s="235">
        <f>'Basis Options'!W724</f>
        <v>1450.9149827581132</v>
      </c>
      <c r="AE721">
        <v>0</v>
      </c>
      <c r="AF721">
        <v>0</v>
      </c>
      <c r="AG721">
        <v>0</v>
      </c>
      <c r="AH721" s="235">
        <f>'Basis Options'!CD726</f>
        <v>0</v>
      </c>
      <c r="AI721">
        <v>226</v>
      </c>
      <c r="AJ721" t="s">
        <v>256</v>
      </c>
      <c r="AK721">
        <v>0</v>
      </c>
      <c r="AL721">
        <v>0</v>
      </c>
      <c r="AM721">
        <v>0</v>
      </c>
    </row>
    <row r="722" spans="1:39" x14ac:dyDescent="0.25">
      <c r="A722" t="s">
        <v>233</v>
      </c>
      <c r="B722" t="str">
        <f>'Basis Options'!C725</f>
        <v>NV5394.2</v>
      </c>
      <c r="C722" t="s">
        <v>255</v>
      </c>
      <c r="D722" t="s">
        <v>234</v>
      </c>
      <c r="E722" t="s">
        <v>20</v>
      </c>
      <c r="F722" t="str">
        <f>'Basis Options'!A725</f>
        <v>AEPENESER</v>
      </c>
      <c r="G722" t="s">
        <v>269</v>
      </c>
      <c r="H722" t="s">
        <v>254</v>
      </c>
      <c r="I722" t="s">
        <v>242</v>
      </c>
      <c r="J722" t="s">
        <v>235</v>
      </c>
      <c r="K722" s="380">
        <f>'Basis Options'!G725</f>
        <v>36800</v>
      </c>
      <c r="L722" s="235">
        <f>'Basis Options'!U725</f>
        <v>-111.53242394110751</v>
      </c>
      <c r="M722" s="380">
        <f>'Basis Options'!Q725</f>
        <v>36797</v>
      </c>
      <c r="N722" t="str">
        <f>'Basis Options'!F725</f>
        <v>P</v>
      </c>
      <c r="O722">
        <f>'Basis Options'!I725</f>
        <v>0.4</v>
      </c>
      <c r="P722">
        <v>0</v>
      </c>
      <c r="Q722">
        <v>0</v>
      </c>
      <c r="R722">
        <v>0</v>
      </c>
      <c r="S722">
        <v>0</v>
      </c>
      <c r="T722" t="s">
        <v>253</v>
      </c>
      <c r="U722" t="str">
        <f>IF('Basis Options'!D725="NGI/CHI. GATE","""NGI/CHI. GATE""",TRIM('Basis Options'!D725))</f>
        <v>NGI-SOCAL</v>
      </c>
      <c r="V722" t="s">
        <v>253</v>
      </c>
      <c r="W722" t="s">
        <v>132</v>
      </c>
      <c r="X722" t="s">
        <v>253</v>
      </c>
      <c r="Y722" t="s">
        <v>235</v>
      </c>
      <c r="Z722" t="s">
        <v>236</v>
      </c>
      <c r="AA722" t="s">
        <v>253</v>
      </c>
      <c r="AB722" t="s">
        <v>1</v>
      </c>
      <c r="AC722" s="235">
        <f>'Basis Options'!H725</f>
        <v>-620000</v>
      </c>
      <c r="AD722" s="235">
        <f>'Basis Options'!W725</f>
        <v>-234.76604919733472</v>
      </c>
      <c r="AE722">
        <v>0</v>
      </c>
      <c r="AF722">
        <v>0</v>
      </c>
      <c r="AG722">
        <v>0</v>
      </c>
      <c r="AH722" s="235">
        <f>'Basis Options'!CD727</f>
        <v>0</v>
      </c>
      <c r="AI722">
        <v>226</v>
      </c>
      <c r="AJ722" t="s">
        <v>256</v>
      </c>
      <c r="AK722">
        <v>0</v>
      </c>
      <c r="AL722">
        <v>0</v>
      </c>
      <c r="AM722">
        <v>0</v>
      </c>
    </row>
    <row r="723" spans="1:39" x14ac:dyDescent="0.25">
      <c r="A723" t="s">
        <v>233</v>
      </c>
      <c r="B723" t="str">
        <f>'Basis Options'!C726</f>
        <v>NV5416.1</v>
      </c>
      <c r="C723" t="s">
        <v>255</v>
      </c>
      <c r="D723" t="s">
        <v>234</v>
      </c>
      <c r="E723" t="s">
        <v>20</v>
      </c>
      <c r="F723" t="str">
        <f>'Basis Options'!A726</f>
        <v>CMSMARSERTRA</v>
      </c>
      <c r="G723" t="s">
        <v>269</v>
      </c>
      <c r="H723" t="s">
        <v>254</v>
      </c>
      <c r="I723" t="s">
        <v>242</v>
      </c>
      <c r="J723" t="s">
        <v>235</v>
      </c>
      <c r="K723" s="380">
        <f>'Basis Options'!G726</f>
        <v>36800</v>
      </c>
      <c r="L723" s="235">
        <f>'Basis Options'!U726</f>
        <v>765566.75724493514</v>
      </c>
      <c r="M723" s="380">
        <f>'Basis Options'!Q726</f>
        <v>36797</v>
      </c>
      <c r="N723" t="str">
        <f>'Basis Options'!F726</f>
        <v>C</v>
      </c>
      <c r="O723">
        <f>'Basis Options'!I726</f>
        <v>0.75</v>
      </c>
      <c r="P723">
        <v>0</v>
      </c>
      <c r="Q723">
        <v>0</v>
      </c>
      <c r="R723">
        <v>0</v>
      </c>
      <c r="S723">
        <v>0</v>
      </c>
      <c r="T723" t="s">
        <v>253</v>
      </c>
      <c r="U723" t="str">
        <f>IF('Basis Options'!D726="NGI/CHI. GATE","""NGI/CHI. GATE""",TRIM('Basis Options'!D726))</f>
        <v>NGI-SOCAL</v>
      </c>
      <c r="V723" t="s">
        <v>253</v>
      </c>
      <c r="W723" t="s">
        <v>132</v>
      </c>
      <c r="X723" t="s">
        <v>253</v>
      </c>
      <c r="Y723" t="s">
        <v>235</v>
      </c>
      <c r="Z723" t="s">
        <v>236</v>
      </c>
      <c r="AA723" t="s">
        <v>253</v>
      </c>
      <c r="AB723" t="s">
        <v>1</v>
      </c>
      <c r="AC723" s="235">
        <f>'Basis Options'!H726</f>
        <v>620000</v>
      </c>
      <c r="AD723" s="235">
        <f>'Basis Options'!W726</f>
        <v>1450.9149827581132</v>
      </c>
      <c r="AE723">
        <v>0</v>
      </c>
      <c r="AF723">
        <v>0</v>
      </c>
      <c r="AG723">
        <v>0</v>
      </c>
      <c r="AH723" s="235">
        <f>'Basis Options'!CD728</f>
        <v>0</v>
      </c>
      <c r="AI723">
        <v>226</v>
      </c>
      <c r="AJ723" t="s">
        <v>256</v>
      </c>
      <c r="AK723">
        <v>0</v>
      </c>
      <c r="AL723">
        <v>0</v>
      </c>
      <c r="AM723">
        <v>0</v>
      </c>
    </row>
    <row r="724" spans="1:39" x14ac:dyDescent="0.25">
      <c r="A724" t="s">
        <v>233</v>
      </c>
      <c r="B724" t="str">
        <f>'Basis Options'!C727</f>
        <v>NV5416.2</v>
      </c>
      <c r="C724" t="s">
        <v>255</v>
      </c>
      <c r="D724" t="s">
        <v>234</v>
      </c>
      <c r="E724" t="s">
        <v>20</v>
      </c>
      <c r="F724" t="str">
        <f>'Basis Options'!A727</f>
        <v>CMSMARSERTRA</v>
      </c>
      <c r="G724" t="s">
        <v>269</v>
      </c>
      <c r="H724" t="s">
        <v>254</v>
      </c>
      <c r="I724" t="s">
        <v>242</v>
      </c>
      <c r="J724" t="s">
        <v>235</v>
      </c>
      <c r="K724" s="380">
        <f>'Basis Options'!G727</f>
        <v>36800</v>
      </c>
      <c r="L724" s="235">
        <f>'Basis Options'!U727</f>
        <v>-111.53242394110751</v>
      </c>
      <c r="M724" s="380">
        <f>'Basis Options'!Q727</f>
        <v>36797</v>
      </c>
      <c r="N724" t="str">
        <f>'Basis Options'!F727</f>
        <v>P</v>
      </c>
      <c r="O724">
        <f>'Basis Options'!I727</f>
        <v>0.4</v>
      </c>
      <c r="P724">
        <v>0</v>
      </c>
      <c r="Q724">
        <v>0</v>
      </c>
      <c r="R724">
        <v>0</v>
      </c>
      <c r="S724">
        <v>0</v>
      </c>
      <c r="T724" t="s">
        <v>253</v>
      </c>
      <c r="U724" t="str">
        <f>IF('Basis Options'!D727="NGI/CHI. GATE","""NGI/CHI. GATE""",TRIM('Basis Options'!D727))</f>
        <v>NGI-SOCAL</v>
      </c>
      <c r="V724" t="s">
        <v>253</v>
      </c>
      <c r="W724" t="s">
        <v>132</v>
      </c>
      <c r="X724" t="s">
        <v>253</v>
      </c>
      <c r="Y724" t="s">
        <v>235</v>
      </c>
      <c r="Z724" t="s">
        <v>236</v>
      </c>
      <c r="AA724" t="s">
        <v>253</v>
      </c>
      <c r="AB724" t="s">
        <v>1</v>
      </c>
      <c r="AC724" s="235">
        <f>'Basis Options'!H727</f>
        <v>-620000</v>
      </c>
      <c r="AD724" s="235">
        <f>'Basis Options'!W727</f>
        <v>-234.76604919733472</v>
      </c>
      <c r="AE724">
        <v>0</v>
      </c>
      <c r="AF724">
        <v>0</v>
      </c>
      <c r="AG724">
        <v>0</v>
      </c>
      <c r="AH724" s="235">
        <f>'Basis Options'!CD729</f>
        <v>0</v>
      </c>
      <c r="AI724">
        <v>226</v>
      </c>
      <c r="AJ724" t="s">
        <v>256</v>
      </c>
      <c r="AK724">
        <v>0</v>
      </c>
      <c r="AL724">
        <v>0</v>
      </c>
      <c r="AM724">
        <v>0</v>
      </c>
    </row>
    <row r="725" spans="1:39" x14ac:dyDescent="0.25">
      <c r="A725" t="s">
        <v>233</v>
      </c>
      <c r="B725" t="str">
        <f>'Basis Options'!C728</f>
        <v>NV6667.1</v>
      </c>
      <c r="C725" t="s">
        <v>255</v>
      </c>
      <c r="D725" t="s">
        <v>234</v>
      </c>
      <c r="E725" t="s">
        <v>20</v>
      </c>
      <c r="F725" t="str">
        <f>'Basis Options'!A728</f>
        <v>CMSMARSERTRA</v>
      </c>
      <c r="G725" t="s">
        <v>269</v>
      </c>
      <c r="H725" t="s">
        <v>254</v>
      </c>
      <c r="I725" t="s">
        <v>242</v>
      </c>
      <c r="J725" t="s">
        <v>235</v>
      </c>
      <c r="K725" s="380">
        <f>'Basis Options'!G728</f>
        <v>36831</v>
      </c>
      <c r="L725" s="235">
        <f>'Basis Options'!U728</f>
        <v>75782.014717160389</v>
      </c>
      <c r="M725" s="380">
        <f>'Basis Options'!Q728</f>
        <v>36829</v>
      </c>
      <c r="N725" t="str">
        <f>'Basis Options'!F728</f>
        <v>C</v>
      </c>
      <c r="O725">
        <f>'Basis Options'!I728</f>
        <v>-0.375</v>
      </c>
      <c r="P725">
        <v>0</v>
      </c>
      <c r="Q725">
        <v>0</v>
      </c>
      <c r="R725">
        <v>0</v>
      </c>
      <c r="S725">
        <v>0</v>
      </c>
      <c r="T725" t="s">
        <v>253</v>
      </c>
      <c r="U725" t="str">
        <f>IF('Basis Options'!D728="NGI/CHI. GATE","""NGI/CHI. GATE""",TRIM('Basis Options'!D728))</f>
        <v>IF-NWPL_ROCKY_M</v>
      </c>
      <c r="V725" t="s">
        <v>253</v>
      </c>
      <c r="W725" t="s">
        <v>132</v>
      </c>
      <c r="X725" t="s">
        <v>253</v>
      </c>
      <c r="Y725" t="s">
        <v>235</v>
      </c>
      <c r="Z725" t="s">
        <v>236</v>
      </c>
      <c r="AA725" t="s">
        <v>253</v>
      </c>
      <c r="AB725" t="s">
        <v>1</v>
      </c>
      <c r="AC725" s="235">
        <f>'Basis Options'!H728</f>
        <v>600000</v>
      </c>
      <c r="AD725" s="235">
        <f>'Basis Options'!W728</f>
        <v>20407.864784699894</v>
      </c>
      <c r="AE725">
        <v>0</v>
      </c>
      <c r="AF725">
        <v>0</v>
      </c>
      <c r="AG725">
        <v>0</v>
      </c>
      <c r="AH725" s="235">
        <f>'Basis Options'!CD730</f>
        <v>0</v>
      </c>
      <c r="AI725">
        <v>226</v>
      </c>
      <c r="AJ725" t="s">
        <v>256</v>
      </c>
      <c r="AK725">
        <v>0</v>
      </c>
      <c r="AL725">
        <v>0</v>
      </c>
      <c r="AM725">
        <v>0</v>
      </c>
    </row>
    <row r="726" spans="1:39" x14ac:dyDescent="0.25">
      <c r="A726" t="s">
        <v>233</v>
      </c>
      <c r="B726" t="str">
        <f>'Basis Options'!C729</f>
        <v>NV6667.1</v>
      </c>
      <c r="C726" t="s">
        <v>255</v>
      </c>
      <c r="D726" t="s">
        <v>234</v>
      </c>
      <c r="E726" t="s">
        <v>20</v>
      </c>
      <c r="F726" t="str">
        <f>'Basis Options'!A729</f>
        <v>CMSMARSERTRA</v>
      </c>
      <c r="G726" t="s">
        <v>269</v>
      </c>
      <c r="H726" t="s">
        <v>254</v>
      </c>
      <c r="I726" t="s">
        <v>242</v>
      </c>
      <c r="J726" t="s">
        <v>235</v>
      </c>
      <c r="K726" s="380">
        <f>'Basis Options'!G729</f>
        <v>36861</v>
      </c>
      <c r="L726" s="235">
        <f>'Basis Options'!U729</f>
        <v>135776.5142703327</v>
      </c>
      <c r="M726" s="380">
        <f>'Basis Options'!Q729</f>
        <v>36859</v>
      </c>
      <c r="N726" t="str">
        <f>'Basis Options'!F729</f>
        <v>C</v>
      </c>
      <c r="O726">
        <f>'Basis Options'!I729</f>
        <v>-0.375</v>
      </c>
      <c r="P726">
        <v>0</v>
      </c>
      <c r="Q726">
        <v>0</v>
      </c>
      <c r="R726">
        <v>0</v>
      </c>
      <c r="S726">
        <v>0</v>
      </c>
      <c r="T726" t="s">
        <v>253</v>
      </c>
      <c r="U726" t="str">
        <f>IF('Basis Options'!D729="NGI/CHI. GATE","""NGI/CHI. GATE""",TRIM('Basis Options'!D729))</f>
        <v>IF-NWPL_ROCKY_M</v>
      </c>
      <c r="V726" t="s">
        <v>253</v>
      </c>
      <c r="W726" t="s">
        <v>132</v>
      </c>
      <c r="X726" t="s">
        <v>253</v>
      </c>
      <c r="Y726" t="s">
        <v>235</v>
      </c>
      <c r="Z726" t="s">
        <v>236</v>
      </c>
      <c r="AA726" t="s">
        <v>253</v>
      </c>
      <c r="AB726" t="s">
        <v>1</v>
      </c>
      <c r="AC726" s="235">
        <f>'Basis Options'!H729</f>
        <v>620000</v>
      </c>
      <c r="AD726" s="235">
        <f>'Basis Options'!W729</f>
        <v>26412.530926576699</v>
      </c>
      <c r="AE726">
        <v>0</v>
      </c>
      <c r="AF726">
        <v>0</v>
      </c>
      <c r="AG726">
        <v>0</v>
      </c>
      <c r="AH726" s="235">
        <f>'Basis Options'!CD731</f>
        <v>0</v>
      </c>
      <c r="AI726">
        <v>226</v>
      </c>
      <c r="AJ726" t="s">
        <v>256</v>
      </c>
      <c r="AK726">
        <v>0</v>
      </c>
      <c r="AL726">
        <v>0</v>
      </c>
      <c r="AM726">
        <v>0</v>
      </c>
    </row>
    <row r="727" spans="1:39" x14ac:dyDescent="0.25">
      <c r="A727" t="s">
        <v>233</v>
      </c>
      <c r="B727" t="str">
        <f>'Basis Options'!C730</f>
        <v>NV6667.1</v>
      </c>
      <c r="C727" t="s">
        <v>255</v>
      </c>
      <c r="D727" t="s">
        <v>234</v>
      </c>
      <c r="E727" t="s">
        <v>20</v>
      </c>
      <c r="F727" t="str">
        <f>'Basis Options'!A730</f>
        <v>CMSMARSERTRA</v>
      </c>
      <c r="G727" t="s">
        <v>269</v>
      </c>
      <c r="H727" t="s">
        <v>254</v>
      </c>
      <c r="I727" t="s">
        <v>242</v>
      </c>
      <c r="J727" t="s">
        <v>235</v>
      </c>
      <c r="K727" s="380">
        <f>'Basis Options'!G730</f>
        <v>36892</v>
      </c>
      <c r="L727" s="235">
        <f>'Basis Options'!U730</f>
        <v>150374.88140334599</v>
      </c>
      <c r="M727" s="380">
        <f>'Basis Options'!Q730</f>
        <v>36888</v>
      </c>
      <c r="N727" t="str">
        <f>'Basis Options'!F730</f>
        <v>C</v>
      </c>
      <c r="O727">
        <f>'Basis Options'!I730</f>
        <v>-0.375</v>
      </c>
      <c r="P727">
        <v>0</v>
      </c>
      <c r="Q727">
        <v>0</v>
      </c>
      <c r="R727">
        <v>0</v>
      </c>
      <c r="S727">
        <v>0</v>
      </c>
      <c r="T727" t="s">
        <v>253</v>
      </c>
      <c r="U727" t="str">
        <f>IF('Basis Options'!D730="NGI/CHI. GATE","""NGI/CHI. GATE""",TRIM('Basis Options'!D730))</f>
        <v>IF-NWPL_ROCKY_M</v>
      </c>
      <c r="V727" t="s">
        <v>253</v>
      </c>
      <c r="W727" t="s">
        <v>132</v>
      </c>
      <c r="X727" t="s">
        <v>253</v>
      </c>
      <c r="Y727" t="s">
        <v>235</v>
      </c>
      <c r="Z727" t="s">
        <v>236</v>
      </c>
      <c r="AA727" t="s">
        <v>253</v>
      </c>
      <c r="AB727" t="s">
        <v>1</v>
      </c>
      <c r="AC727" s="235">
        <f>'Basis Options'!H730</f>
        <v>620000</v>
      </c>
      <c r="AD727" s="235">
        <f>'Basis Options'!W730</f>
        <v>30364.747334314568</v>
      </c>
      <c r="AE727">
        <v>0</v>
      </c>
      <c r="AF727">
        <v>0</v>
      </c>
      <c r="AG727">
        <v>0</v>
      </c>
      <c r="AH727" s="235">
        <f>'Basis Options'!CD732</f>
        <v>0</v>
      </c>
      <c r="AI727">
        <v>226</v>
      </c>
      <c r="AJ727" t="s">
        <v>256</v>
      </c>
      <c r="AK727">
        <v>0</v>
      </c>
      <c r="AL727">
        <v>0</v>
      </c>
      <c r="AM727">
        <v>0</v>
      </c>
    </row>
    <row r="728" spans="1:39" x14ac:dyDescent="0.25">
      <c r="A728" t="s">
        <v>233</v>
      </c>
      <c r="B728" t="str">
        <f>'Basis Options'!C731</f>
        <v>NV6667.1</v>
      </c>
      <c r="C728" t="s">
        <v>255</v>
      </c>
      <c r="D728" t="s">
        <v>234</v>
      </c>
      <c r="E728" t="s">
        <v>20</v>
      </c>
      <c r="F728" t="str">
        <f>'Basis Options'!A731</f>
        <v>CMSMARSERTRA</v>
      </c>
      <c r="G728" t="s">
        <v>269</v>
      </c>
      <c r="H728" t="s">
        <v>254</v>
      </c>
      <c r="I728" t="s">
        <v>242</v>
      </c>
      <c r="J728" t="s">
        <v>235</v>
      </c>
      <c r="K728" s="380">
        <f>'Basis Options'!G731</f>
        <v>36923</v>
      </c>
      <c r="L728" s="235">
        <f>'Basis Options'!U731</f>
        <v>135264.69141282197</v>
      </c>
      <c r="M728" s="380">
        <f>'Basis Options'!Q731</f>
        <v>36921</v>
      </c>
      <c r="N728" t="str">
        <f>'Basis Options'!F731</f>
        <v>C</v>
      </c>
      <c r="O728">
        <f>'Basis Options'!I731</f>
        <v>-0.375</v>
      </c>
      <c r="P728">
        <v>0</v>
      </c>
      <c r="Q728">
        <v>0</v>
      </c>
      <c r="R728">
        <v>0</v>
      </c>
      <c r="S728">
        <v>0</v>
      </c>
      <c r="T728" t="s">
        <v>253</v>
      </c>
      <c r="U728" t="str">
        <f>IF('Basis Options'!D731="NGI/CHI. GATE","""NGI/CHI. GATE""",TRIM('Basis Options'!D731))</f>
        <v>IF-NWPL_ROCKY_M</v>
      </c>
      <c r="V728" t="s">
        <v>253</v>
      </c>
      <c r="W728" t="s">
        <v>132</v>
      </c>
      <c r="X728" t="s">
        <v>253</v>
      </c>
      <c r="Y728" t="s">
        <v>235</v>
      </c>
      <c r="Z728" t="s">
        <v>236</v>
      </c>
      <c r="AA728" t="s">
        <v>253</v>
      </c>
      <c r="AB728" t="s">
        <v>1</v>
      </c>
      <c r="AC728" s="235">
        <f>'Basis Options'!H731</f>
        <v>560000</v>
      </c>
      <c r="AD728" s="235">
        <f>'Basis Options'!W731</f>
        <v>30012.966545386473</v>
      </c>
      <c r="AE728">
        <v>0</v>
      </c>
      <c r="AF728">
        <v>0</v>
      </c>
      <c r="AG728">
        <v>0</v>
      </c>
      <c r="AH728" s="235">
        <f>'Basis Options'!CD733</f>
        <v>0</v>
      </c>
      <c r="AI728">
        <v>226</v>
      </c>
      <c r="AJ728" t="s">
        <v>256</v>
      </c>
      <c r="AK728">
        <v>0</v>
      </c>
      <c r="AL728">
        <v>0</v>
      </c>
      <c r="AM728">
        <v>0</v>
      </c>
    </row>
    <row r="729" spans="1:39" x14ac:dyDescent="0.25">
      <c r="A729" t="s">
        <v>233</v>
      </c>
      <c r="B729" t="str">
        <f>'Basis Options'!C732</f>
        <v>NV6667.1</v>
      </c>
      <c r="C729" t="s">
        <v>255</v>
      </c>
      <c r="D729" t="s">
        <v>234</v>
      </c>
      <c r="E729" t="s">
        <v>20</v>
      </c>
      <c r="F729" t="str">
        <f>'Basis Options'!A732</f>
        <v>CMSMARSERTRA</v>
      </c>
      <c r="G729" t="s">
        <v>269</v>
      </c>
      <c r="H729" t="s">
        <v>254</v>
      </c>
      <c r="I729" t="s">
        <v>242</v>
      </c>
      <c r="J729" t="s">
        <v>235</v>
      </c>
      <c r="K729" s="380">
        <f>'Basis Options'!G732</f>
        <v>36951</v>
      </c>
      <c r="L729" s="235">
        <f>'Basis Options'!U732</f>
        <v>133794.29842728446</v>
      </c>
      <c r="M729" s="380">
        <f>'Basis Options'!Q732</f>
        <v>36949</v>
      </c>
      <c r="N729" t="str">
        <f>'Basis Options'!F732</f>
        <v>C</v>
      </c>
      <c r="O729">
        <f>'Basis Options'!I732</f>
        <v>-0.375</v>
      </c>
      <c r="P729">
        <v>0</v>
      </c>
      <c r="Q729">
        <v>0</v>
      </c>
      <c r="R729">
        <v>0</v>
      </c>
      <c r="S729">
        <v>0</v>
      </c>
      <c r="T729" t="s">
        <v>253</v>
      </c>
      <c r="U729" t="str">
        <f>IF('Basis Options'!D732="NGI/CHI. GATE","""NGI/CHI. GATE""",TRIM('Basis Options'!D732))</f>
        <v>IF-NWPL_ROCKY_M</v>
      </c>
      <c r="V729" t="s">
        <v>253</v>
      </c>
      <c r="W729" t="s">
        <v>132</v>
      </c>
      <c r="X729" t="s">
        <v>253</v>
      </c>
      <c r="Y729" t="s">
        <v>235</v>
      </c>
      <c r="Z729" t="s">
        <v>236</v>
      </c>
      <c r="AA729" t="s">
        <v>253</v>
      </c>
      <c r="AB729" t="s">
        <v>1</v>
      </c>
      <c r="AC729" s="235">
        <f>'Basis Options'!H732</f>
        <v>620000</v>
      </c>
      <c r="AD729" s="235">
        <f>'Basis Options'!W732</f>
        <v>32163.632747934316</v>
      </c>
      <c r="AE729">
        <v>0</v>
      </c>
      <c r="AF729">
        <v>0</v>
      </c>
      <c r="AG729">
        <v>0</v>
      </c>
      <c r="AH729" s="235">
        <f>'Basis Options'!CD734</f>
        <v>0</v>
      </c>
      <c r="AI729">
        <v>226</v>
      </c>
      <c r="AJ729" t="s">
        <v>256</v>
      </c>
      <c r="AK729">
        <v>0</v>
      </c>
      <c r="AL729">
        <v>0</v>
      </c>
      <c r="AM729">
        <v>0</v>
      </c>
    </row>
    <row r="730" spans="1:39" x14ac:dyDescent="0.25">
      <c r="A730" t="s">
        <v>233</v>
      </c>
      <c r="B730" t="str">
        <f>'Basis Options'!C733</f>
        <v>NV6667.2</v>
      </c>
      <c r="C730" t="s">
        <v>255</v>
      </c>
      <c r="D730" t="s">
        <v>234</v>
      </c>
      <c r="E730" t="s">
        <v>20</v>
      </c>
      <c r="F730" t="str">
        <f>'Basis Options'!A733</f>
        <v>CMSMARSERTRA</v>
      </c>
      <c r="G730" t="s">
        <v>269</v>
      </c>
      <c r="H730" t="s">
        <v>254</v>
      </c>
      <c r="I730" t="s">
        <v>242</v>
      </c>
      <c r="J730" t="s">
        <v>235</v>
      </c>
      <c r="K730" s="380">
        <f>'Basis Options'!G733</f>
        <v>36831</v>
      </c>
      <c r="L730" s="235">
        <f>'Basis Options'!U733</f>
        <v>130644.07936761918</v>
      </c>
      <c r="M730" s="380">
        <f>'Basis Options'!Q733</f>
        <v>36829</v>
      </c>
      <c r="N730" t="str">
        <f>'Basis Options'!F733</f>
        <v>P</v>
      </c>
      <c r="O730">
        <f>'Basis Options'!I733</f>
        <v>-0.375</v>
      </c>
      <c r="P730">
        <v>0</v>
      </c>
      <c r="Q730">
        <v>0</v>
      </c>
      <c r="R730">
        <v>0</v>
      </c>
      <c r="S730">
        <v>0</v>
      </c>
      <c r="T730" t="s">
        <v>253</v>
      </c>
      <c r="U730" t="str">
        <f>IF('Basis Options'!D733="NGI/CHI. GATE","""NGI/CHI. GATE""",TRIM('Basis Options'!D733))</f>
        <v>IF-NWPL_ROCKY_M</v>
      </c>
      <c r="V730" t="s">
        <v>253</v>
      </c>
      <c r="W730" t="s">
        <v>132</v>
      </c>
      <c r="X730" t="s">
        <v>253</v>
      </c>
      <c r="Y730" t="s">
        <v>235</v>
      </c>
      <c r="Z730" t="s">
        <v>236</v>
      </c>
      <c r="AA730" t="s">
        <v>253</v>
      </c>
      <c r="AB730" t="s">
        <v>1</v>
      </c>
      <c r="AC730" s="235">
        <f>'Basis Options'!H733</f>
        <v>600000</v>
      </c>
      <c r="AD730" s="235">
        <f>'Basis Options'!W733</f>
        <v>20407.864784699923</v>
      </c>
      <c r="AE730">
        <v>0</v>
      </c>
      <c r="AF730">
        <v>0</v>
      </c>
      <c r="AG730">
        <v>0</v>
      </c>
      <c r="AH730" s="235">
        <f>'Basis Options'!CD735</f>
        <v>0</v>
      </c>
      <c r="AI730">
        <v>226</v>
      </c>
      <c r="AJ730" t="s">
        <v>256</v>
      </c>
      <c r="AK730">
        <v>0</v>
      </c>
      <c r="AL730">
        <v>0</v>
      </c>
      <c r="AM730">
        <v>0</v>
      </c>
    </row>
    <row r="731" spans="1:39" x14ac:dyDescent="0.25">
      <c r="A731" t="s">
        <v>233</v>
      </c>
      <c r="B731" t="str">
        <f>'Basis Options'!C734</f>
        <v>NV6667.2</v>
      </c>
      <c r="C731" t="s">
        <v>255</v>
      </c>
      <c r="D731" t="s">
        <v>234</v>
      </c>
      <c r="E731" t="s">
        <v>20</v>
      </c>
      <c r="F731" t="str">
        <f>'Basis Options'!A734</f>
        <v>CMSMARSERTRA</v>
      </c>
      <c r="G731" t="s">
        <v>269</v>
      </c>
      <c r="H731" t="s">
        <v>254</v>
      </c>
      <c r="I731" t="s">
        <v>242</v>
      </c>
      <c r="J731" t="s">
        <v>235</v>
      </c>
      <c r="K731" s="380">
        <f>'Basis Options'!G734</f>
        <v>36861</v>
      </c>
      <c r="L731" s="235">
        <f>'Basis Options'!U734</f>
        <v>125111.61414276117</v>
      </c>
      <c r="M731" s="380">
        <f>'Basis Options'!Q734</f>
        <v>36859</v>
      </c>
      <c r="N731" t="str">
        <f>'Basis Options'!F734</f>
        <v>P</v>
      </c>
      <c r="O731">
        <f>'Basis Options'!I734</f>
        <v>-0.375</v>
      </c>
      <c r="P731">
        <v>0</v>
      </c>
      <c r="Q731">
        <v>0</v>
      </c>
      <c r="R731">
        <v>0</v>
      </c>
      <c r="S731">
        <v>0</v>
      </c>
      <c r="T731" t="s">
        <v>253</v>
      </c>
      <c r="U731" t="str">
        <f>IF('Basis Options'!D734="NGI/CHI. GATE","""NGI/CHI. GATE""",TRIM('Basis Options'!D734))</f>
        <v>IF-NWPL_ROCKY_M</v>
      </c>
      <c r="V731" t="s">
        <v>253</v>
      </c>
      <c r="W731" t="s">
        <v>132</v>
      </c>
      <c r="X731" t="s">
        <v>253</v>
      </c>
      <c r="Y731" t="s">
        <v>235</v>
      </c>
      <c r="Z731" t="s">
        <v>236</v>
      </c>
      <c r="AA731" t="s">
        <v>253</v>
      </c>
      <c r="AB731" t="s">
        <v>1</v>
      </c>
      <c r="AC731" s="235">
        <f>'Basis Options'!H734</f>
        <v>620000</v>
      </c>
      <c r="AD731" s="235">
        <f>'Basis Options'!W734</f>
        <v>26412.530926576699</v>
      </c>
      <c r="AE731">
        <v>0</v>
      </c>
      <c r="AF731">
        <v>0</v>
      </c>
      <c r="AG731">
        <v>0</v>
      </c>
      <c r="AH731" s="235">
        <f>'Basis Options'!CD736</f>
        <v>0</v>
      </c>
      <c r="AI731">
        <v>226</v>
      </c>
      <c r="AJ731" t="s">
        <v>256</v>
      </c>
      <c r="AK731">
        <v>0</v>
      </c>
      <c r="AL731">
        <v>0</v>
      </c>
      <c r="AM731">
        <v>0</v>
      </c>
    </row>
    <row r="732" spans="1:39" x14ac:dyDescent="0.25">
      <c r="A732" t="s">
        <v>233</v>
      </c>
      <c r="B732" t="str">
        <f>'Basis Options'!C735</f>
        <v>NV6667.2</v>
      </c>
      <c r="C732" t="s">
        <v>255</v>
      </c>
      <c r="D732" t="s">
        <v>234</v>
      </c>
      <c r="E732" t="s">
        <v>20</v>
      </c>
      <c r="F732" t="str">
        <f>'Basis Options'!A735</f>
        <v>CMSMARSERTRA</v>
      </c>
      <c r="G732" t="s">
        <v>269</v>
      </c>
      <c r="H732" t="s">
        <v>254</v>
      </c>
      <c r="I732" t="s">
        <v>242</v>
      </c>
      <c r="J732" t="s">
        <v>235</v>
      </c>
      <c r="K732" s="380">
        <f>'Basis Options'!G735</f>
        <v>36892</v>
      </c>
      <c r="L732" s="235">
        <f>'Basis Options'!U735</f>
        <v>145829.02558267687</v>
      </c>
      <c r="M732" s="380">
        <f>'Basis Options'!Q735</f>
        <v>36888</v>
      </c>
      <c r="N732" t="str">
        <f>'Basis Options'!F735</f>
        <v>P</v>
      </c>
      <c r="O732">
        <f>'Basis Options'!I735</f>
        <v>-0.375</v>
      </c>
      <c r="P732">
        <v>0</v>
      </c>
      <c r="Q732">
        <v>0</v>
      </c>
      <c r="R732">
        <v>0</v>
      </c>
      <c r="S732">
        <v>0</v>
      </c>
      <c r="T732" t="s">
        <v>253</v>
      </c>
      <c r="U732" t="str">
        <f>IF('Basis Options'!D735="NGI/CHI. GATE","""NGI/CHI. GATE""",TRIM('Basis Options'!D735))</f>
        <v>IF-NWPL_ROCKY_M</v>
      </c>
      <c r="V732" t="s">
        <v>253</v>
      </c>
      <c r="W732" t="s">
        <v>132</v>
      </c>
      <c r="X732" t="s">
        <v>253</v>
      </c>
      <c r="Y732" t="s">
        <v>235</v>
      </c>
      <c r="Z732" t="s">
        <v>236</v>
      </c>
      <c r="AA732" t="s">
        <v>253</v>
      </c>
      <c r="AB732" t="s">
        <v>1</v>
      </c>
      <c r="AC732" s="235">
        <f>'Basis Options'!H735</f>
        <v>620000</v>
      </c>
      <c r="AD732" s="235">
        <f>'Basis Options'!W735</f>
        <v>30364.747334314627</v>
      </c>
      <c r="AE732">
        <v>0</v>
      </c>
      <c r="AF732">
        <v>0</v>
      </c>
      <c r="AG732">
        <v>0</v>
      </c>
      <c r="AH732" s="235">
        <f>'Basis Options'!CD737</f>
        <v>0</v>
      </c>
      <c r="AI732">
        <v>226</v>
      </c>
      <c r="AJ732" t="s">
        <v>256</v>
      </c>
      <c r="AK732">
        <v>0</v>
      </c>
      <c r="AL732">
        <v>0</v>
      </c>
      <c r="AM732">
        <v>0</v>
      </c>
    </row>
    <row r="733" spans="1:39" x14ac:dyDescent="0.25">
      <c r="A733" t="s">
        <v>233</v>
      </c>
      <c r="B733" t="str">
        <f>'Basis Options'!C736</f>
        <v>NV6667.2</v>
      </c>
      <c r="C733" t="s">
        <v>255</v>
      </c>
      <c r="D733" t="s">
        <v>234</v>
      </c>
      <c r="E733" t="s">
        <v>20</v>
      </c>
      <c r="F733" t="str">
        <f>'Basis Options'!A736</f>
        <v>CMSMARSERTRA</v>
      </c>
      <c r="G733" t="s">
        <v>269</v>
      </c>
      <c r="H733" t="s">
        <v>254</v>
      </c>
      <c r="I733" t="s">
        <v>242</v>
      </c>
      <c r="J733" t="s">
        <v>235</v>
      </c>
      <c r="K733" s="380">
        <f>'Basis Options'!G736</f>
        <v>36923</v>
      </c>
      <c r="L733" s="235">
        <f>'Basis Options'!U736</f>
        <v>142065.01001876008</v>
      </c>
      <c r="M733" s="380">
        <f>'Basis Options'!Q736</f>
        <v>36921</v>
      </c>
      <c r="N733" t="str">
        <f>'Basis Options'!F736</f>
        <v>P</v>
      </c>
      <c r="O733">
        <f>'Basis Options'!I736</f>
        <v>-0.375</v>
      </c>
      <c r="P733">
        <v>0</v>
      </c>
      <c r="Q733">
        <v>0</v>
      </c>
      <c r="R733">
        <v>0</v>
      </c>
      <c r="S733">
        <v>0</v>
      </c>
      <c r="T733" t="s">
        <v>253</v>
      </c>
      <c r="U733" t="str">
        <f>IF('Basis Options'!D736="NGI/CHI. GATE","""NGI/CHI. GATE""",TRIM('Basis Options'!D736))</f>
        <v>IF-NWPL_ROCKY_M</v>
      </c>
      <c r="V733" t="s">
        <v>253</v>
      </c>
      <c r="W733" t="s">
        <v>132</v>
      </c>
      <c r="X733" t="s">
        <v>253</v>
      </c>
      <c r="Y733" t="s">
        <v>235</v>
      </c>
      <c r="Z733" t="s">
        <v>236</v>
      </c>
      <c r="AA733" t="s">
        <v>253</v>
      </c>
      <c r="AB733" t="s">
        <v>1</v>
      </c>
      <c r="AC733" s="235">
        <f>'Basis Options'!H736</f>
        <v>560000</v>
      </c>
      <c r="AD733" s="235">
        <f>'Basis Options'!W736</f>
        <v>30012.966545386502</v>
      </c>
      <c r="AE733">
        <v>0</v>
      </c>
      <c r="AF733">
        <v>0</v>
      </c>
      <c r="AG733">
        <v>0</v>
      </c>
      <c r="AH733" s="235">
        <f>'Basis Options'!CD738</f>
        <v>0</v>
      </c>
      <c r="AI733">
        <v>226</v>
      </c>
      <c r="AJ733" t="s">
        <v>256</v>
      </c>
      <c r="AK733">
        <v>0</v>
      </c>
      <c r="AL733">
        <v>0</v>
      </c>
      <c r="AM733">
        <v>0</v>
      </c>
    </row>
    <row r="734" spans="1:39" x14ac:dyDescent="0.25">
      <c r="A734" t="s">
        <v>233</v>
      </c>
      <c r="B734" t="str">
        <f>'Basis Options'!C737</f>
        <v>NV6667.2</v>
      </c>
      <c r="C734" t="s">
        <v>255</v>
      </c>
      <c r="D734" t="s">
        <v>234</v>
      </c>
      <c r="E734" t="s">
        <v>20</v>
      </c>
      <c r="F734" t="str">
        <f>'Basis Options'!A737</f>
        <v>CMSMARSERTRA</v>
      </c>
      <c r="G734" t="s">
        <v>269</v>
      </c>
      <c r="H734" t="s">
        <v>254</v>
      </c>
      <c r="I734" t="s">
        <v>242</v>
      </c>
      <c r="J734" t="s">
        <v>235</v>
      </c>
      <c r="K734" s="380">
        <f>'Basis Options'!G737</f>
        <v>36951</v>
      </c>
      <c r="L734" s="235">
        <f>'Basis Options'!U737</f>
        <v>147273.62928950274</v>
      </c>
      <c r="M734" s="380">
        <f>'Basis Options'!Q737</f>
        <v>36949</v>
      </c>
      <c r="N734" t="str">
        <f>'Basis Options'!F737</f>
        <v>P</v>
      </c>
      <c r="O734">
        <f>'Basis Options'!I737</f>
        <v>-0.375</v>
      </c>
      <c r="P734">
        <v>0</v>
      </c>
      <c r="Q734">
        <v>0</v>
      </c>
      <c r="R734">
        <v>0</v>
      </c>
      <c r="S734">
        <v>0</v>
      </c>
      <c r="T734" t="s">
        <v>253</v>
      </c>
      <c r="U734" t="str">
        <f>IF('Basis Options'!D737="NGI/CHI. GATE","""NGI/CHI. GATE""",TRIM('Basis Options'!D737))</f>
        <v>IF-NWPL_ROCKY_M</v>
      </c>
      <c r="V734" t="s">
        <v>253</v>
      </c>
      <c r="W734" t="s">
        <v>132</v>
      </c>
      <c r="X734" t="s">
        <v>253</v>
      </c>
      <c r="Y734" t="s">
        <v>235</v>
      </c>
      <c r="Z734" t="s">
        <v>236</v>
      </c>
      <c r="AA734" t="s">
        <v>253</v>
      </c>
      <c r="AB734" t="s">
        <v>1</v>
      </c>
      <c r="AC734" s="235">
        <f>'Basis Options'!H737</f>
        <v>620000</v>
      </c>
      <c r="AD734" s="235">
        <f>'Basis Options'!W737</f>
        <v>32163.632747934258</v>
      </c>
      <c r="AE734">
        <v>0</v>
      </c>
      <c r="AF734">
        <v>0</v>
      </c>
      <c r="AG734">
        <v>0</v>
      </c>
      <c r="AH734" s="235">
        <f>'Basis Options'!CD739</f>
        <v>0</v>
      </c>
      <c r="AI734">
        <v>226</v>
      </c>
      <c r="AJ734" t="s">
        <v>256</v>
      </c>
      <c r="AK734">
        <v>0</v>
      </c>
      <c r="AL734">
        <v>0</v>
      </c>
      <c r="AM734">
        <v>0</v>
      </c>
    </row>
    <row r="735" spans="1:39" x14ac:dyDescent="0.25">
      <c r="A735" t="s">
        <v>233</v>
      </c>
      <c r="B735" t="str">
        <f>'Basis Options'!C738</f>
        <v>NV6677</v>
      </c>
      <c r="C735" t="s">
        <v>255</v>
      </c>
      <c r="D735" t="s">
        <v>234</v>
      </c>
      <c r="E735" t="s">
        <v>20</v>
      </c>
      <c r="F735" t="str">
        <f>'Basis Options'!A738</f>
        <v>WILLIAMSENEMAR</v>
      </c>
      <c r="G735" t="s">
        <v>269</v>
      </c>
      <c r="H735" t="s">
        <v>254</v>
      </c>
      <c r="I735" t="s">
        <v>242</v>
      </c>
      <c r="J735" t="s">
        <v>235</v>
      </c>
      <c r="K735" s="380">
        <f>'Basis Options'!G738</f>
        <v>36892</v>
      </c>
      <c r="L735" s="235">
        <f>'Basis Options'!U738</f>
        <v>-28507.804952468381</v>
      </c>
      <c r="M735" s="380">
        <f>'Basis Options'!Q738</f>
        <v>36888</v>
      </c>
      <c r="N735" t="str">
        <f>'Basis Options'!F738</f>
        <v>C</v>
      </c>
      <c r="O735">
        <f>'Basis Options'!I738</f>
        <v>0.2</v>
      </c>
      <c r="P735">
        <v>0</v>
      </c>
      <c r="Q735">
        <v>0</v>
      </c>
      <c r="R735">
        <v>0</v>
      </c>
      <c r="S735">
        <v>0</v>
      </c>
      <c r="T735" t="s">
        <v>253</v>
      </c>
      <c r="U735" t="str">
        <f>IF('Basis Options'!D738="NGI/CHI. GATE","""NGI/CHI. GATE""",TRIM('Basis Options'!D738))</f>
        <v>"NGI/CHI. GATE"</v>
      </c>
      <c r="V735" t="s">
        <v>253</v>
      </c>
      <c r="W735" t="s">
        <v>132</v>
      </c>
      <c r="X735" t="s">
        <v>253</v>
      </c>
      <c r="Y735" t="s">
        <v>235</v>
      </c>
      <c r="Z735" t="s">
        <v>236</v>
      </c>
      <c r="AA735" t="s">
        <v>253</v>
      </c>
      <c r="AB735" t="s">
        <v>1</v>
      </c>
      <c r="AC735" s="235">
        <f>'Basis Options'!H738</f>
        <v>-1000000</v>
      </c>
      <c r="AD735" s="235">
        <f>'Basis Options'!W738</f>
        <v>-8416.2608839279274</v>
      </c>
      <c r="AE735">
        <v>0</v>
      </c>
      <c r="AF735">
        <v>0</v>
      </c>
      <c r="AG735">
        <v>0</v>
      </c>
      <c r="AH735" s="235">
        <f>'Basis Options'!CD740</f>
        <v>0</v>
      </c>
      <c r="AI735">
        <v>226</v>
      </c>
      <c r="AJ735" t="s">
        <v>256</v>
      </c>
      <c r="AK735">
        <v>0</v>
      </c>
      <c r="AL735">
        <v>0</v>
      </c>
      <c r="AM735">
        <v>0</v>
      </c>
    </row>
    <row r="736" spans="1:39" x14ac:dyDescent="0.25">
      <c r="A736" t="s">
        <v>233</v>
      </c>
      <c r="B736" t="str">
        <f>'Basis Options'!C739</f>
        <v>NV6677</v>
      </c>
      <c r="C736" t="s">
        <v>255</v>
      </c>
      <c r="D736" t="s">
        <v>234</v>
      </c>
      <c r="E736" t="s">
        <v>20</v>
      </c>
      <c r="F736" t="str">
        <f>'Basis Options'!A739</f>
        <v>WILLIAMSENEMAR</v>
      </c>
      <c r="G736" t="s">
        <v>269</v>
      </c>
      <c r="H736" t="s">
        <v>254</v>
      </c>
      <c r="I736" t="s">
        <v>242</v>
      </c>
      <c r="J736" t="s">
        <v>235</v>
      </c>
      <c r="K736" s="380">
        <f>'Basis Options'!G739</f>
        <v>36923</v>
      </c>
      <c r="L736" s="235">
        <f>'Basis Options'!U739</f>
        <v>-34815.997437787053</v>
      </c>
      <c r="M736" s="380">
        <f>'Basis Options'!Q739</f>
        <v>36921</v>
      </c>
      <c r="N736" t="str">
        <f>'Basis Options'!F739</f>
        <v>C</v>
      </c>
      <c r="O736">
        <f>'Basis Options'!I739</f>
        <v>0.2</v>
      </c>
      <c r="P736">
        <v>0</v>
      </c>
      <c r="Q736">
        <v>0</v>
      </c>
      <c r="R736">
        <v>0</v>
      </c>
      <c r="S736">
        <v>0</v>
      </c>
      <c r="T736" t="s">
        <v>253</v>
      </c>
      <c r="U736" t="str">
        <f>IF('Basis Options'!D739="NGI/CHI. GATE","""NGI/CHI. GATE""",TRIM('Basis Options'!D739))</f>
        <v>"NGI/CHI. GATE"</v>
      </c>
      <c r="V736" t="s">
        <v>253</v>
      </c>
      <c r="W736" t="s">
        <v>132</v>
      </c>
      <c r="X736" t="s">
        <v>253</v>
      </c>
      <c r="Y736" t="s">
        <v>235</v>
      </c>
      <c r="Z736" t="s">
        <v>236</v>
      </c>
      <c r="AA736" t="s">
        <v>253</v>
      </c>
      <c r="AB736" t="s">
        <v>1</v>
      </c>
      <c r="AC736" s="235">
        <f>'Basis Options'!H739</f>
        <v>-1000000</v>
      </c>
      <c r="AD736" s="235">
        <f>'Basis Options'!W739</f>
        <v>-9554.7246088238317</v>
      </c>
      <c r="AE736">
        <v>0</v>
      </c>
      <c r="AF736">
        <v>0</v>
      </c>
      <c r="AG736">
        <v>0</v>
      </c>
      <c r="AH736" s="235">
        <f>'Basis Options'!CD741</f>
        <v>0</v>
      </c>
      <c r="AI736">
        <v>226</v>
      </c>
      <c r="AJ736" t="s">
        <v>256</v>
      </c>
      <c r="AK736">
        <v>0</v>
      </c>
      <c r="AL736">
        <v>0</v>
      </c>
      <c r="AM736">
        <v>0</v>
      </c>
    </row>
    <row r="737" spans="1:39" x14ac:dyDescent="0.25">
      <c r="A737" t="s">
        <v>233</v>
      </c>
      <c r="B737" t="str">
        <f>'Basis Options'!C740</f>
        <v>NV6677</v>
      </c>
      <c r="C737" t="s">
        <v>255</v>
      </c>
      <c r="D737" t="s">
        <v>234</v>
      </c>
      <c r="E737" t="s">
        <v>20</v>
      </c>
      <c r="F737" t="str">
        <f>'Basis Options'!A740</f>
        <v>WILLIAMSENEMAR</v>
      </c>
      <c r="G737" t="s">
        <v>269</v>
      </c>
      <c r="H737" t="s">
        <v>254</v>
      </c>
      <c r="I737" t="s">
        <v>242</v>
      </c>
      <c r="J737" t="s">
        <v>235</v>
      </c>
      <c r="K737" s="380">
        <f>'Basis Options'!G740</f>
        <v>36951</v>
      </c>
      <c r="L737" s="235">
        <f>'Basis Options'!U740</f>
        <v>-26185.472823568893</v>
      </c>
      <c r="M737" s="380">
        <f>'Basis Options'!Q740</f>
        <v>36949</v>
      </c>
      <c r="N737" t="str">
        <f>'Basis Options'!F740</f>
        <v>C</v>
      </c>
      <c r="O737">
        <f>'Basis Options'!I740</f>
        <v>0.2</v>
      </c>
      <c r="P737">
        <v>0</v>
      </c>
      <c r="Q737">
        <v>0</v>
      </c>
      <c r="R737">
        <v>0</v>
      </c>
      <c r="S737">
        <v>0</v>
      </c>
      <c r="T737" t="s">
        <v>253</v>
      </c>
      <c r="U737" t="str">
        <f>IF('Basis Options'!D740="NGI/CHI. GATE","""NGI/CHI. GATE""",TRIM('Basis Options'!D740))</f>
        <v>"NGI/CHI. GATE"</v>
      </c>
      <c r="V737" t="s">
        <v>253</v>
      </c>
      <c r="W737" t="s">
        <v>132</v>
      </c>
      <c r="X737" t="s">
        <v>253</v>
      </c>
      <c r="Y737" t="s">
        <v>235</v>
      </c>
      <c r="Z737" t="s">
        <v>236</v>
      </c>
      <c r="AA737" t="s">
        <v>253</v>
      </c>
      <c r="AB737" t="s">
        <v>1</v>
      </c>
      <c r="AC737" s="235">
        <f>'Basis Options'!H740</f>
        <v>-1000000</v>
      </c>
      <c r="AD737" s="235">
        <f>'Basis Options'!W740</f>
        <v>-8685.3722022926668</v>
      </c>
      <c r="AE737">
        <v>0</v>
      </c>
      <c r="AF737">
        <v>0</v>
      </c>
      <c r="AG737">
        <v>0</v>
      </c>
      <c r="AH737" s="235">
        <f>'Basis Options'!CD742</f>
        <v>0</v>
      </c>
      <c r="AI737">
        <v>226</v>
      </c>
      <c r="AJ737" t="s">
        <v>256</v>
      </c>
      <c r="AK737">
        <v>0</v>
      </c>
      <c r="AL737">
        <v>0</v>
      </c>
      <c r="AM737">
        <v>0</v>
      </c>
    </row>
    <row r="738" spans="1:39" x14ac:dyDescent="0.25">
      <c r="A738" t="s">
        <v>233</v>
      </c>
      <c r="B738" t="str">
        <f>'Basis Options'!C741</f>
        <v>NV6691</v>
      </c>
      <c r="C738" t="s">
        <v>255</v>
      </c>
      <c r="D738" t="s">
        <v>234</v>
      </c>
      <c r="E738" t="s">
        <v>20</v>
      </c>
      <c r="F738" t="str">
        <f>'Basis Options'!A741</f>
        <v>DUKEENETRA</v>
      </c>
      <c r="G738" t="s">
        <v>269</v>
      </c>
      <c r="H738" t="s">
        <v>254</v>
      </c>
      <c r="I738" t="s">
        <v>242</v>
      </c>
      <c r="J738" t="s">
        <v>235</v>
      </c>
      <c r="K738" s="380">
        <f>'Basis Options'!G741</f>
        <v>36982</v>
      </c>
      <c r="L738" s="235">
        <f>'Basis Options'!U741</f>
        <v>41344.556890625216</v>
      </c>
      <c r="M738" s="380">
        <f>'Basis Options'!Q741</f>
        <v>36979</v>
      </c>
      <c r="N738" t="str">
        <f>'Basis Options'!F741</f>
        <v>P</v>
      </c>
      <c r="O738">
        <f>'Basis Options'!I741</f>
        <v>0.28000000000000003</v>
      </c>
      <c r="P738">
        <v>0</v>
      </c>
      <c r="Q738">
        <v>0</v>
      </c>
      <c r="R738">
        <v>0</v>
      </c>
      <c r="S738">
        <v>0</v>
      </c>
      <c r="T738" t="s">
        <v>253</v>
      </c>
      <c r="U738" t="str">
        <f>IF('Basis Options'!D741="NGI/CHI. GATE","""NGI/CHI. GATE""",TRIM('Basis Options'!D741))</f>
        <v>IF-TETCO/M3</v>
      </c>
      <c r="V738" t="s">
        <v>253</v>
      </c>
      <c r="W738" t="s">
        <v>132</v>
      </c>
      <c r="X738" t="s">
        <v>253</v>
      </c>
      <c r="Y738" t="s">
        <v>235</v>
      </c>
      <c r="Z738" t="s">
        <v>236</v>
      </c>
      <c r="AA738" t="s">
        <v>253</v>
      </c>
      <c r="AB738" t="s">
        <v>1</v>
      </c>
      <c r="AC738" s="235">
        <f>'Basis Options'!H741</f>
        <v>1000000</v>
      </c>
      <c r="AD738" s="235">
        <f>'Basis Options'!W741</f>
        <v>14374.256326476694</v>
      </c>
      <c r="AE738">
        <v>0</v>
      </c>
      <c r="AF738">
        <v>0</v>
      </c>
      <c r="AG738">
        <v>0</v>
      </c>
      <c r="AH738" s="235">
        <f>'Basis Options'!CD743</f>
        <v>0</v>
      </c>
      <c r="AI738">
        <v>226</v>
      </c>
      <c r="AJ738" t="s">
        <v>256</v>
      </c>
      <c r="AK738">
        <v>0</v>
      </c>
      <c r="AL738">
        <v>0</v>
      </c>
      <c r="AM738">
        <v>0</v>
      </c>
    </row>
    <row r="739" spans="1:39" x14ac:dyDescent="0.25">
      <c r="A739" t="s">
        <v>233</v>
      </c>
      <c r="B739" t="str">
        <f>'Basis Options'!C742</f>
        <v>NV6691</v>
      </c>
      <c r="C739" t="s">
        <v>255</v>
      </c>
      <c r="D739" t="s">
        <v>234</v>
      </c>
      <c r="E739" t="s">
        <v>20</v>
      </c>
      <c r="F739" t="str">
        <f>'Basis Options'!A742</f>
        <v>DUKEENETRA</v>
      </c>
      <c r="G739" t="s">
        <v>269</v>
      </c>
      <c r="H739" t="s">
        <v>254</v>
      </c>
      <c r="I739" t="s">
        <v>242</v>
      </c>
      <c r="J739" t="s">
        <v>235</v>
      </c>
      <c r="K739" s="380">
        <f>'Basis Options'!G742</f>
        <v>37012</v>
      </c>
      <c r="L739" s="235">
        <f>'Basis Options'!U742</f>
        <v>59276.756550739163</v>
      </c>
      <c r="M739" s="380">
        <f>'Basis Options'!Q742</f>
        <v>37008</v>
      </c>
      <c r="N739" t="str">
        <f>'Basis Options'!F742</f>
        <v>P</v>
      </c>
      <c r="O739">
        <f>'Basis Options'!I742</f>
        <v>0.28000000000000003</v>
      </c>
      <c r="P739">
        <v>0</v>
      </c>
      <c r="Q739">
        <v>0</v>
      </c>
      <c r="R739">
        <v>0</v>
      </c>
      <c r="S739">
        <v>0</v>
      </c>
      <c r="T739" t="s">
        <v>253</v>
      </c>
      <c r="U739" t="str">
        <f>IF('Basis Options'!D742="NGI/CHI. GATE","""NGI/CHI. GATE""",TRIM('Basis Options'!D742))</f>
        <v>IF-TETCO/M3</v>
      </c>
      <c r="V739" t="s">
        <v>253</v>
      </c>
      <c r="W739" t="s">
        <v>132</v>
      </c>
      <c r="X739" t="s">
        <v>253</v>
      </c>
      <c r="Y739" t="s">
        <v>235</v>
      </c>
      <c r="Z739" t="s">
        <v>236</v>
      </c>
      <c r="AA739" t="s">
        <v>253</v>
      </c>
      <c r="AB739" t="s">
        <v>1</v>
      </c>
      <c r="AC739" s="235">
        <f>'Basis Options'!H742</f>
        <v>1000000</v>
      </c>
      <c r="AD739" s="235">
        <f>'Basis Options'!W742</f>
        <v>15387.832093565725</v>
      </c>
      <c r="AE739">
        <v>0</v>
      </c>
      <c r="AF739">
        <v>0</v>
      </c>
      <c r="AG739">
        <v>0</v>
      </c>
      <c r="AH739" s="235">
        <f>'Basis Options'!CD744</f>
        <v>0</v>
      </c>
      <c r="AI739">
        <v>226</v>
      </c>
      <c r="AJ739" t="s">
        <v>256</v>
      </c>
      <c r="AK739">
        <v>0</v>
      </c>
      <c r="AL739">
        <v>0</v>
      </c>
      <c r="AM739">
        <v>0</v>
      </c>
    </row>
    <row r="740" spans="1:39" x14ac:dyDescent="0.25">
      <c r="A740" t="s">
        <v>233</v>
      </c>
      <c r="B740" t="str">
        <f>'Basis Options'!C743</f>
        <v>NV6691</v>
      </c>
      <c r="C740" t="s">
        <v>255</v>
      </c>
      <c r="D740" t="s">
        <v>234</v>
      </c>
      <c r="E740" t="s">
        <v>20</v>
      </c>
      <c r="F740" t="str">
        <f>'Basis Options'!A743</f>
        <v>DUKEENETRA</v>
      </c>
      <c r="G740" t="s">
        <v>269</v>
      </c>
      <c r="H740" t="s">
        <v>254</v>
      </c>
      <c r="I740" t="s">
        <v>242</v>
      </c>
      <c r="J740" t="s">
        <v>235</v>
      </c>
      <c r="K740" s="380">
        <f>'Basis Options'!G743</f>
        <v>37043</v>
      </c>
      <c r="L740" s="235">
        <f>'Basis Options'!U743</f>
        <v>62453.917374015902</v>
      </c>
      <c r="M740" s="380">
        <f>'Basis Options'!Q743</f>
        <v>37041</v>
      </c>
      <c r="N740" t="str">
        <f>'Basis Options'!F743</f>
        <v>P</v>
      </c>
      <c r="O740">
        <f>'Basis Options'!I743</f>
        <v>0.28000000000000003</v>
      </c>
      <c r="P740">
        <v>0</v>
      </c>
      <c r="Q740">
        <v>0</v>
      </c>
      <c r="R740">
        <v>0</v>
      </c>
      <c r="S740">
        <v>0</v>
      </c>
      <c r="T740" t="s">
        <v>253</v>
      </c>
      <c r="U740" t="str">
        <f>IF('Basis Options'!D743="NGI/CHI. GATE","""NGI/CHI. GATE""",TRIM('Basis Options'!D743))</f>
        <v>IF-TETCO/M3</v>
      </c>
      <c r="V740" t="s">
        <v>253</v>
      </c>
      <c r="W740" t="s">
        <v>132</v>
      </c>
      <c r="X740" t="s">
        <v>253</v>
      </c>
      <c r="Y740" t="s">
        <v>235</v>
      </c>
      <c r="Z740" t="s">
        <v>236</v>
      </c>
      <c r="AA740" t="s">
        <v>253</v>
      </c>
      <c r="AB740" t="s">
        <v>1</v>
      </c>
      <c r="AC740" s="235">
        <f>'Basis Options'!H743</f>
        <v>1000000</v>
      </c>
      <c r="AD740" s="235">
        <f>'Basis Options'!W743</f>
        <v>16108.663564226357</v>
      </c>
      <c r="AE740">
        <v>0</v>
      </c>
      <c r="AF740">
        <v>0</v>
      </c>
      <c r="AG740">
        <v>0</v>
      </c>
      <c r="AH740" s="235">
        <f>'Basis Options'!CD745</f>
        <v>0</v>
      </c>
      <c r="AI740">
        <v>226</v>
      </c>
      <c r="AJ740" t="s">
        <v>256</v>
      </c>
      <c r="AK740">
        <v>0</v>
      </c>
      <c r="AL740">
        <v>0</v>
      </c>
      <c r="AM740">
        <v>0</v>
      </c>
    </row>
    <row r="741" spans="1:39" x14ac:dyDescent="0.25">
      <c r="A741" t="s">
        <v>233</v>
      </c>
      <c r="B741" t="str">
        <f>'Basis Options'!C744</f>
        <v>NV6691</v>
      </c>
      <c r="C741" t="s">
        <v>255</v>
      </c>
      <c r="D741" t="s">
        <v>234</v>
      </c>
      <c r="E741" t="s">
        <v>20</v>
      </c>
      <c r="F741" t="str">
        <f>'Basis Options'!A744</f>
        <v>DUKEENETRA</v>
      </c>
      <c r="G741" t="s">
        <v>269</v>
      </c>
      <c r="H741" t="s">
        <v>254</v>
      </c>
      <c r="I741" t="s">
        <v>242</v>
      </c>
      <c r="J741" t="s">
        <v>235</v>
      </c>
      <c r="K741" s="380">
        <f>'Basis Options'!G744</f>
        <v>37073</v>
      </c>
      <c r="L741" s="235">
        <f>'Basis Options'!U744</f>
        <v>60986.215705019938</v>
      </c>
      <c r="M741" s="380">
        <f>'Basis Options'!Q744</f>
        <v>37070</v>
      </c>
      <c r="N741" t="str">
        <f>'Basis Options'!F744</f>
        <v>P</v>
      </c>
      <c r="O741">
        <f>'Basis Options'!I744</f>
        <v>0.28000000000000003</v>
      </c>
      <c r="P741">
        <v>0</v>
      </c>
      <c r="Q741">
        <v>0</v>
      </c>
      <c r="R741">
        <v>0</v>
      </c>
      <c r="S741">
        <v>0</v>
      </c>
      <c r="T741" t="s">
        <v>253</v>
      </c>
      <c r="U741" t="str">
        <f>IF('Basis Options'!D744="NGI/CHI. GATE","""NGI/CHI. GATE""",TRIM('Basis Options'!D744))</f>
        <v>IF-TETCO/M3</v>
      </c>
      <c r="V741" t="s">
        <v>253</v>
      </c>
      <c r="W741" t="s">
        <v>132</v>
      </c>
      <c r="X741" t="s">
        <v>253</v>
      </c>
      <c r="Y741" t="s">
        <v>235</v>
      </c>
      <c r="Z741" t="s">
        <v>236</v>
      </c>
      <c r="AA741" t="s">
        <v>253</v>
      </c>
      <c r="AB741" t="s">
        <v>1</v>
      </c>
      <c r="AC741" s="235">
        <f>'Basis Options'!H744</f>
        <v>1000000</v>
      </c>
      <c r="AD741" s="235">
        <f>'Basis Options'!W744</f>
        <v>16636.380765418115</v>
      </c>
      <c r="AE741">
        <v>0</v>
      </c>
      <c r="AF741">
        <v>0</v>
      </c>
      <c r="AG741">
        <v>0</v>
      </c>
      <c r="AH741" s="235">
        <f>'Basis Options'!CD746</f>
        <v>0</v>
      </c>
      <c r="AI741">
        <v>226</v>
      </c>
      <c r="AJ741" t="s">
        <v>256</v>
      </c>
      <c r="AK741">
        <v>0</v>
      </c>
      <c r="AL741">
        <v>0</v>
      </c>
      <c r="AM741">
        <v>0</v>
      </c>
    </row>
    <row r="742" spans="1:39" x14ac:dyDescent="0.25">
      <c r="A742" t="s">
        <v>233</v>
      </c>
      <c r="B742" t="str">
        <f>'Basis Options'!C745</f>
        <v>NV6691</v>
      </c>
      <c r="C742" t="s">
        <v>255</v>
      </c>
      <c r="D742" t="s">
        <v>234</v>
      </c>
      <c r="E742" t="s">
        <v>20</v>
      </c>
      <c r="F742" t="str">
        <f>'Basis Options'!A745</f>
        <v>DUKEENETRA</v>
      </c>
      <c r="G742" t="s">
        <v>269</v>
      </c>
      <c r="H742" t="s">
        <v>254</v>
      </c>
      <c r="I742" t="s">
        <v>242</v>
      </c>
      <c r="J742" t="s">
        <v>235</v>
      </c>
      <c r="K742" s="380">
        <f>'Basis Options'!G745</f>
        <v>37104</v>
      </c>
      <c r="L742" s="235">
        <f>'Basis Options'!U745</f>
        <v>64819.272697030363</v>
      </c>
      <c r="M742" s="380">
        <f>'Basis Options'!Q745</f>
        <v>37102</v>
      </c>
      <c r="N742" t="str">
        <f>'Basis Options'!F745</f>
        <v>P</v>
      </c>
      <c r="O742">
        <f>'Basis Options'!I745</f>
        <v>0.28000000000000003</v>
      </c>
      <c r="P742">
        <v>0</v>
      </c>
      <c r="Q742">
        <v>0</v>
      </c>
      <c r="R742">
        <v>0</v>
      </c>
      <c r="S742">
        <v>0</v>
      </c>
      <c r="T742" t="s">
        <v>253</v>
      </c>
      <c r="U742" t="str">
        <f>IF('Basis Options'!D745="NGI/CHI. GATE","""NGI/CHI. GATE""",TRIM('Basis Options'!D745))</f>
        <v>IF-TETCO/M3</v>
      </c>
      <c r="V742" t="s">
        <v>253</v>
      </c>
      <c r="W742" t="s">
        <v>132</v>
      </c>
      <c r="X742" t="s">
        <v>253</v>
      </c>
      <c r="Y742" t="s">
        <v>235</v>
      </c>
      <c r="Z742" t="s">
        <v>236</v>
      </c>
      <c r="AA742" t="s">
        <v>253</v>
      </c>
      <c r="AB742" t="s">
        <v>1</v>
      </c>
      <c r="AC742" s="235">
        <f>'Basis Options'!H745</f>
        <v>1000000</v>
      </c>
      <c r="AD742" s="235">
        <f>'Basis Options'!W745</f>
        <v>17434.844472358644</v>
      </c>
      <c r="AE742">
        <v>0</v>
      </c>
      <c r="AF742">
        <v>0</v>
      </c>
      <c r="AG742">
        <v>0</v>
      </c>
      <c r="AH742" s="235">
        <f>'Basis Options'!CD747</f>
        <v>0</v>
      </c>
      <c r="AI742">
        <v>226</v>
      </c>
      <c r="AJ742" t="s">
        <v>256</v>
      </c>
      <c r="AK742">
        <v>0</v>
      </c>
      <c r="AL742">
        <v>0</v>
      </c>
      <c r="AM742">
        <v>0</v>
      </c>
    </row>
    <row r="743" spans="1:39" x14ac:dyDescent="0.25">
      <c r="A743" t="s">
        <v>233</v>
      </c>
      <c r="B743" t="str">
        <f>'Basis Options'!C746</f>
        <v>NV6691</v>
      </c>
      <c r="C743" t="s">
        <v>255</v>
      </c>
      <c r="D743" t="s">
        <v>234</v>
      </c>
      <c r="E743" t="s">
        <v>20</v>
      </c>
      <c r="F743" t="str">
        <f>'Basis Options'!A746</f>
        <v>DUKEENETRA</v>
      </c>
      <c r="G743" t="s">
        <v>269</v>
      </c>
      <c r="H743" t="s">
        <v>254</v>
      </c>
      <c r="I743" t="s">
        <v>242</v>
      </c>
      <c r="J743" t="s">
        <v>235</v>
      </c>
      <c r="K743" s="380">
        <f>'Basis Options'!G746</f>
        <v>37135</v>
      </c>
      <c r="L743" s="235">
        <f>'Basis Options'!U746</f>
        <v>71738.181308063868</v>
      </c>
      <c r="M743" s="380">
        <f>'Basis Options'!Q746</f>
        <v>37133</v>
      </c>
      <c r="N743" t="str">
        <f>'Basis Options'!F746</f>
        <v>P</v>
      </c>
      <c r="O743">
        <f>'Basis Options'!I746</f>
        <v>0.28000000000000003</v>
      </c>
      <c r="P743">
        <v>0</v>
      </c>
      <c r="Q743">
        <v>0</v>
      </c>
      <c r="R743">
        <v>0</v>
      </c>
      <c r="S743">
        <v>0</v>
      </c>
      <c r="T743" t="s">
        <v>253</v>
      </c>
      <c r="U743" t="str">
        <f>IF('Basis Options'!D746="NGI/CHI. GATE","""NGI/CHI. GATE""",TRIM('Basis Options'!D746))</f>
        <v>IF-TETCO/M3</v>
      </c>
      <c r="V743" t="s">
        <v>253</v>
      </c>
      <c r="W743" t="s">
        <v>132</v>
      </c>
      <c r="X743" t="s">
        <v>253</v>
      </c>
      <c r="Y743" t="s">
        <v>235</v>
      </c>
      <c r="Z743" t="s">
        <v>236</v>
      </c>
      <c r="AA743" t="s">
        <v>253</v>
      </c>
      <c r="AB743" t="s">
        <v>1</v>
      </c>
      <c r="AC743" s="235">
        <f>'Basis Options'!H746</f>
        <v>1000000</v>
      </c>
      <c r="AD743" s="235">
        <f>'Basis Options'!W746</f>
        <v>18292.987693309726</v>
      </c>
      <c r="AE743">
        <v>0</v>
      </c>
      <c r="AF743">
        <v>0</v>
      </c>
      <c r="AG743">
        <v>0</v>
      </c>
      <c r="AH743" s="235">
        <f>'Basis Options'!CD748</f>
        <v>0</v>
      </c>
      <c r="AI743">
        <v>226</v>
      </c>
      <c r="AJ743" t="s">
        <v>256</v>
      </c>
      <c r="AK743">
        <v>0</v>
      </c>
      <c r="AL743">
        <v>0</v>
      </c>
      <c r="AM743">
        <v>0</v>
      </c>
    </row>
    <row r="744" spans="1:39" x14ac:dyDescent="0.25">
      <c r="A744" t="s">
        <v>233</v>
      </c>
      <c r="B744" t="str">
        <f>'Basis Options'!C747</f>
        <v>NV6691</v>
      </c>
      <c r="C744" t="s">
        <v>255</v>
      </c>
      <c r="D744" t="s">
        <v>234</v>
      </c>
      <c r="E744" t="s">
        <v>20</v>
      </c>
      <c r="F744" t="str">
        <f>'Basis Options'!A747</f>
        <v>DUKEENETRA</v>
      </c>
      <c r="G744" t="s">
        <v>269</v>
      </c>
      <c r="H744" t="s">
        <v>254</v>
      </c>
      <c r="I744" t="s">
        <v>242</v>
      </c>
      <c r="J744" t="s">
        <v>235</v>
      </c>
      <c r="K744" s="380">
        <f>'Basis Options'!G747</f>
        <v>37165</v>
      </c>
      <c r="L744" s="235">
        <f>'Basis Options'!U747</f>
        <v>69851.162179168037</v>
      </c>
      <c r="M744" s="380">
        <f>'Basis Options'!Q747</f>
        <v>37161</v>
      </c>
      <c r="N744" t="str">
        <f>'Basis Options'!F747</f>
        <v>P</v>
      </c>
      <c r="O744">
        <f>'Basis Options'!I747</f>
        <v>0.28000000000000003</v>
      </c>
      <c r="P744">
        <v>0</v>
      </c>
      <c r="Q744">
        <v>0</v>
      </c>
      <c r="R744">
        <v>0</v>
      </c>
      <c r="S744">
        <v>0</v>
      </c>
      <c r="T744" t="s">
        <v>253</v>
      </c>
      <c r="U744" t="str">
        <f>IF('Basis Options'!D747="NGI/CHI. GATE","""NGI/CHI. GATE""",TRIM('Basis Options'!D747))</f>
        <v>IF-TETCO/M3</v>
      </c>
      <c r="V744" t="s">
        <v>253</v>
      </c>
      <c r="W744" t="s">
        <v>132</v>
      </c>
      <c r="X744" t="s">
        <v>253</v>
      </c>
      <c r="Y744" t="s">
        <v>235</v>
      </c>
      <c r="Z744" t="s">
        <v>236</v>
      </c>
      <c r="AA744" t="s">
        <v>253</v>
      </c>
      <c r="AB744" t="s">
        <v>1</v>
      </c>
      <c r="AC744" s="235">
        <f>'Basis Options'!H747</f>
        <v>1000000</v>
      </c>
      <c r="AD744" s="235">
        <f>'Basis Options'!W747</f>
        <v>18792.155640619283</v>
      </c>
      <c r="AE744">
        <v>0</v>
      </c>
      <c r="AF744">
        <v>0</v>
      </c>
      <c r="AG744">
        <v>0</v>
      </c>
      <c r="AH744" s="235">
        <f>'Basis Options'!CD749</f>
        <v>0</v>
      </c>
      <c r="AI744">
        <v>226</v>
      </c>
      <c r="AJ744" t="s">
        <v>256</v>
      </c>
      <c r="AK744">
        <v>0</v>
      </c>
      <c r="AL744">
        <v>0</v>
      </c>
      <c r="AM744">
        <v>0</v>
      </c>
    </row>
    <row r="745" spans="1:39" x14ac:dyDescent="0.25">
      <c r="A745" t="s">
        <v>233</v>
      </c>
      <c r="B745" t="str">
        <f>'Basis Options'!C748</f>
        <v>NV7017</v>
      </c>
      <c r="C745" t="s">
        <v>255</v>
      </c>
      <c r="D745" t="s">
        <v>234</v>
      </c>
      <c r="E745" t="s">
        <v>20</v>
      </c>
      <c r="F745" t="str">
        <f>'Basis Options'!A748</f>
        <v>KOCHENETRA</v>
      </c>
      <c r="G745" t="s">
        <v>269</v>
      </c>
      <c r="H745" t="s">
        <v>254</v>
      </c>
      <c r="I745" t="s">
        <v>242</v>
      </c>
      <c r="J745" t="s">
        <v>235</v>
      </c>
      <c r="K745" s="380">
        <f>'Basis Options'!G748</f>
        <v>36923</v>
      </c>
      <c r="L745" s="235">
        <f>'Basis Options'!U748</f>
        <v>-78591.547701464588</v>
      </c>
      <c r="M745" s="380">
        <f>'Basis Options'!Q748</f>
        <v>36921</v>
      </c>
      <c r="N745" t="str">
        <f>'Basis Options'!F748</f>
        <v>C</v>
      </c>
      <c r="O745">
        <f>'Basis Options'!I748</f>
        <v>0.4</v>
      </c>
      <c r="P745">
        <v>0</v>
      </c>
      <c r="Q745">
        <v>0</v>
      </c>
      <c r="R745">
        <v>0</v>
      </c>
      <c r="S745">
        <v>0</v>
      </c>
      <c r="T745" t="s">
        <v>253</v>
      </c>
      <c r="U745" t="str">
        <f>IF('Basis Options'!D748="NGI/CHI. GATE","""NGI/CHI. GATE""",TRIM('Basis Options'!D748))</f>
        <v>IF-CGT/APPALAC</v>
      </c>
      <c r="V745" t="s">
        <v>253</v>
      </c>
      <c r="W745" t="s">
        <v>132</v>
      </c>
      <c r="X745" t="s">
        <v>253</v>
      </c>
      <c r="Y745" t="s">
        <v>235</v>
      </c>
      <c r="Z745" t="s">
        <v>236</v>
      </c>
      <c r="AA745" t="s">
        <v>253</v>
      </c>
      <c r="AB745" t="s">
        <v>1</v>
      </c>
      <c r="AC745" s="235">
        <f>'Basis Options'!H748</f>
        <v>-1120000</v>
      </c>
      <c r="AD745" s="235">
        <f>'Basis Options'!W748</f>
        <v>-19535.616552714084</v>
      </c>
      <c r="AE745">
        <v>0</v>
      </c>
      <c r="AF745">
        <v>0</v>
      </c>
      <c r="AG745">
        <v>0</v>
      </c>
      <c r="AH745" s="235">
        <f>'Basis Options'!CD750</f>
        <v>0</v>
      </c>
      <c r="AI745">
        <v>226</v>
      </c>
      <c r="AJ745" t="s">
        <v>256</v>
      </c>
      <c r="AK745">
        <v>0</v>
      </c>
      <c r="AL745">
        <v>0</v>
      </c>
      <c r="AM745">
        <v>0</v>
      </c>
    </row>
    <row r="746" spans="1:39" x14ac:dyDescent="0.25">
      <c r="A746" t="s">
        <v>233</v>
      </c>
      <c r="B746" t="str">
        <f>'Basis Options'!C749</f>
        <v>NV8440</v>
      </c>
      <c r="C746" t="s">
        <v>255</v>
      </c>
      <c r="D746" t="s">
        <v>234</v>
      </c>
      <c r="E746" t="s">
        <v>20</v>
      </c>
      <c r="F746" t="str">
        <f>'Basis Options'!A749</f>
        <v>DYNEGYMARAND</v>
      </c>
      <c r="G746" t="s">
        <v>269</v>
      </c>
      <c r="H746" t="s">
        <v>254</v>
      </c>
      <c r="I746" t="s">
        <v>242</v>
      </c>
      <c r="J746" t="s">
        <v>235</v>
      </c>
      <c r="K746" s="380">
        <f>'Basis Options'!G749</f>
        <v>36831</v>
      </c>
      <c r="L746" s="235">
        <f>'Basis Options'!U749</f>
        <v>276174.99939930288</v>
      </c>
      <c r="M746" s="380">
        <f>'Basis Options'!Q749</f>
        <v>36829</v>
      </c>
      <c r="N746" t="str">
        <f>'Basis Options'!F749</f>
        <v>P</v>
      </c>
      <c r="O746">
        <f>'Basis Options'!I749</f>
        <v>0.5</v>
      </c>
      <c r="P746">
        <v>0</v>
      </c>
      <c r="Q746">
        <v>0</v>
      </c>
      <c r="R746">
        <v>0</v>
      </c>
      <c r="S746">
        <v>0</v>
      </c>
      <c r="T746" t="s">
        <v>253</v>
      </c>
      <c r="U746" t="str">
        <f>IF('Basis Options'!D749="NGI/CHI. GATE","""NGI/CHI. GATE""",TRIM('Basis Options'!D749))</f>
        <v>IF-TRANSCO/Z6</v>
      </c>
      <c r="V746" t="s">
        <v>253</v>
      </c>
      <c r="W746" t="s">
        <v>132</v>
      </c>
      <c r="X746" t="s">
        <v>253</v>
      </c>
      <c r="Y746" t="s">
        <v>235</v>
      </c>
      <c r="Z746" t="s">
        <v>236</v>
      </c>
      <c r="AA746" t="s">
        <v>253</v>
      </c>
      <c r="AB746" t="s">
        <v>1</v>
      </c>
      <c r="AC746" s="235">
        <f>'Basis Options'!H749</f>
        <v>2000000</v>
      </c>
      <c r="AD746" s="235">
        <f>'Basis Options'!W749</f>
        <v>83512.740706184879</v>
      </c>
      <c r="AE746">
        <v>0</v>
      </c>
      <c r="AF746">
        <v>0</v>
      </c>
      <c r="AG746">
        <v>0</v>
      </c>
      <c r="AH746" s="235">
        <f>'Basis Options'!CD751</f>
        <v>0</v>
      </c>
      <c r="AI746">
        <v>226</v>
      </c>
      <c r="AJ746" t="s">
        <v>256</v>
      </c>
      <c r="AK746">
        <v>0</v>
      </c>
      <c r="AL746">
        <v>0</v>
      </c>
      <c r="AM746">
        <v>0</v>
      </c>
    </row>
    <row r="747" spans="1:39" x14ac:dyDescent="0.25">
      <c r="A747" t="s">
        <v>233</v>
      </c>
      <c r="B747" t="str">
        <f>'Basis Options'!C750</f>
        <v>NW0631</v>
      </c>
      <c r="C747" t="s">
        <v>255</v>
      </c>
      <c r="D747" t="s">
        <v>234</v>
      </c>
      <c r="E747" t="s">
        <v>20</v>
      </c>
      <c r="F747" t="str">
        <f>'Basis Options'!A750</f>
        <v>UTILICORP</v>
      </c>
      <c r="G747" t="s">
        <v>269</v>
      </c>
      <c r="H747" t="s">
        <v>254</v>
      </c>
      <c r="I747" t="s">
        <v>242</v>
      </c>
      <c r="J747" t="s">
        <v>235</v>
      </c>
      <c r="K747" s="380">
        <f>'Basis Options'!G750</f>
        <v>36892</v>
      </c>
      <c r="L747" s="235">
        <f>'Basis Options'!U750</f>
        <v>-28507.804952468381</v>
      </c>
      <c r="M747" s="380">
        <f>'Basis Options'!Q750</f>
        <v>36888</v>
      </c>
      <c r="N747" t="str">
        <f>'Basis Options'!F750</f>
        <v>C</v>
      </c>
      <c r="O747">
        <f>'Basis Options'!I750</f>
        <v>0.2</v>
      </c>
      <c r="P747">
        <v>0</v>
      </c>
      <c r="Q747">
        <v>0</v>
      </c>
      <c r="R747">
        <v>0</v>
      </c>
      <c r="S747">
        <v>0</v>
      </c>
      <c r="T747" t="s">
        <v>253</v>
      </c>
      <c r="U747" t="str">
        <f>IF('Basis Options'!D750="NGI/CHI. GATE","""NGI/CHI. GATE""",TRIM('Basis Options'!D750))</f>
        <v>"NGI/CHI. GATE"</v>
      </c>
      <c r="V747" t="s">
        <v>253</v>
      </c>
      <c r="W747" t="s">
        <v>132</v>
      </c>
      <c r="X747" t="s">
        <v>253</v>
      </c>
      <c r="Y747" t="s">
        <v>235</v>
      </c>
      <c r="Z747" t="s">
        <v>236</v>
      </c>
      <c r="AA747" t="s">
        <v>253</v>
      </c>
      <c r="AB747" t="s">
        <v>1</v>
      </c>
      <c r="AC747" s="235">
        <f>'Basis Options'!H750</f>
        <v>-1000000</v>
      </c>
      <c r="AD747" s="235">
        <f>'Basis Options'!W750</f>
        <v>-8416.2608839279274</v>
      </c>
      <c r="AE747">
        <v>0</v>
      </c>
      <c r="AF747">
        <v>0</v>
      </c>
      <c r="AG747">
        <v>0</v>
      </c>
      <c r="AH747" s="235">
        <f>'Basis Options'!CD752</f>
        <v>0</v>
      </c>
      <c r="AI747">
        <v>226</v>
      </c>
      <c r="AJ747" t="s">
        <v>256</v>
      </c>
      <c r="AK747">
        <v>0</v>
      </c>
      <c r="AL747">
        <v>0</v>
      </c>
      <c r="AM747">
        <v>0</v>
      </c>
    </row>
    <row r="748" spans="1:39" x14ac:dyDescent="0.25">
      <c r="A748" t="s">
        <v>233</v>
      </c>
      <c r="B748" t="str">
        <f>'Basis Options'!C751</f>
        <v>NW0631</v>
      </c>
      <c r="C748" t="s">
        <v>255</v>
      </c>
      <c r="D748" t="s">
        <v>234</v>
      </c>
      <c r="E748" t="s">
        <v>20</v>
      </c>
      <c r="F748" t="str">
        <f>'Basis Options'!A751</f>
        <v>UTILICORP</v>
      </c>
      <c r="G748" t="s">
        <v>269</v>
      </c>
      <c r="H748" t="s">
        <v>254</v>
      </c>
      <c r="I748" t="s">
        <v>242</v>
      </c>
      <c r="J748" t="s">
        <v>235</v>
      </c>
      <c r="K748" s="380">
        <f>'Basis Options'!G751</f>
        <v>36923</v>
      </c>
      <c r="L748" s="235">
        <f>'Basis Options'!U751</f>
        <v>-34815.997437787053</v>
      </c>
      <c r="M748" s="380">
        <f>'Basis Options'!Q751</f>
        <v>36921</v>
      </c>
      <c r="N748" t="str">
        <f>'Basis Options'!F751</f>
        <v>C</v>
      </c>
      <c r="O748">
        <f>'Basis Options'!I751</f>
        <v>0.2</v>
      </c>
      <c r="P748">
        <v>0</v>
      </c>
      <c r="Q748">
        <v>0</v>
      </c>
      <c r="R748">
        <v>0</v>
      </c>
      <c r="S748">
        <v>0</v>
      </c>
      <c r="T748" t="s">
        <v>253</v>
      </c>
      <c r="U748" t="str">
        <f>IF('Basis Options'!D751="NGI/CHI. GATE","""NGI/CHI. GATE""",TRIM('Basis Options'!D751))</f>
        <v>"NGI/CHI. GATE"</v>
      </c>
      <c r="V748" t="s">
        <v>253</v>
      </c>
      <c r="W748" t="s">
        <v>132</v>
      </c>
      <c r="X748" t="s">
        <v>253</v>
      </c>
      <c r="Y748" t="s">
        <v>235</v>
      </c>
      <c r="Z748" t="s">
        <v>236</v>
      </c>
      <c r="AA748" t="s">
        <v>253</v>
      </c>
      <c r="AB748" t="s">
        <v>1</v>
      </c>
      <c r="AC748" s="235">
        <f>'Basis Options'!H751</f>
        <v>-1000000</v>
      </c>
      <c r="AD748" s="235">
        <f>'Basis Options'!W751</f>
        <v>-9554.7246088238317</v>
      </c>
      <c r="AE748">
        <v>0</v>
      </c>
      <c r="AF748">
        <v>0</v>
      </c>
      <c r="AG748">
        <v>0</v>
      </c>
      <c r="AH748" s="235">
        <f>'Basis Options'!CD753</f>
        <v>0</v>
      </c>
      <c r="AI748">
        <v>226</v>
      </c>
      <c r="AJ748" t="s">
        <v>256</v>
      </c>
      <c r="AK748">
        <v>0</v>
      </c>
      <c r="AL748">
        <v>0</v>
      </c>
      <c r="AM748">
        <v>0</v>
      </c>
    </row>
    <row r="749" spans="1:39" x14ac:dyDescent="0.25">
      <c r="A749" t="s">
        <v>233</v>
      </c>
      <c r="B749" t="str">
        <f>'Basis Options'!C752</f>
        <v>NW0631</v>
      </c>
      <c r="C749" t="s">
        <v>255</v>
      </c>
      <c r="D749" t="s">
        <v>234</v>
      </c>
      <c r="E749" t="s">
        <v>20</v>
      </c>
      <c r="F749" t="str">
        <f>'Basis Options'!A752</f>
        <v>UTILICORP</v>
      </c>
      <c r="G749" t="s">
        <v>269</v>
      </c>
      <c r="H749" t="s">
        <v>254</v>
      </c>
      <c r="I749" t="s">
        <v>242</v>
      </c>
      <c r="J749" t="s">
        <v>235</v>
      </c>
      <c r="K749" s="380">
        <f>'Basis Options'!G752</f>
        <v>36951</v>
      </c>
      <c r="L749" s="235">
        <f>'Basis Options'!U752</f>
        <v>-26185.472823568893</v>
      </c>
      <c r="M749" s="380">
        <f>'Basis Options'!Q752</f>
        <v>36949</v>
      </c>
      <c r="N749" t="str">
        <f>'Basis Options'!F752</f>
        <v>C</v>
      </c>
      <c r="O749">
        <f>'Basis Options'!I752</f>
        <v>0.2</v>
      </c>
      <c r="P749">
        <v>0</v>
      </c>
      <c r="Q749">
        <v>0</v>
      </c>
      <c r="R749">
        <v>0</v>
      </c>
      <c r="S749">
        <v>0</v>
      </c>
      <c r="T749" t="s">
        <v>253</v>
      </c>
      <c r="U749" t="str">
        <f>IF('Basis Options'!D752="NGI/CHI. GATE","""NGI/CHI. GATE""",TRIM('Basis Options'!D752))</f>
        <v>"NGI/CHI. GATE"</v>
      </c>
      <c r="V749" t="s">
        <v>253</v>
      </c>
      <c r="W749" t="s">
        <v>132</v>
      </c>
      <c r="X749" t="s">
        <v>253</v>
      </c>
      <c r="Y749" t="s">
        <v>235</v>
      </c>
      <c r="Z749" t="s">
        <v>236</v>
      </c>
      <c r="AA749" t="s">
        <v>253</v>
      </c>
      <c r="AB749" t="s">
        <v>1</v>
      </c>
      <c r="AC749" s="235">
        <f>'Basis Options'!H752</f>
        <v>-1000000</v>
      </c>
      <c r="AD749" s="235">
        <f>'Basis Options'!W752</f>
        <v>-8685.3722022926668</v>
      </c>
      <c r="AE749">
        <v>0</v>
      </c>
      <c r="AF749">
        <v>0</v>
      </c>
      <c r="AG749">
        <v>0</v>
      </c>
      <c r="AH749" s="235">
        <f>'Basis Options'!CD754</f>
        <v>0</v>
      </c>
      <c r="AI749">
        <v>226</v>
      </c>
      <c r="AJ749" t="s">
        <v>256</v>
      </c>
      <c r="AK749">
        <v>0</v>
      </c>
      <c r="AL749">
        <v>0</v>
      </c>
      <c r="AM749">
        <v>0</v>
      </c>
    </row>
    <row r="750" spans="1:39" x14ac:dyDescent="0.25">
      <c r="A750" t="s">
        <v>233</v>
      </c>
      <c r="B750" t="str">
        <f>'Basis Options'!C753</f>
        <v>NW0635</v>
      </c>
      <c r="C750" t="s">
        <v>255</v>
      </c>
      <c r="D750" t="s">
        <v>234</v>
      </c>
      <c r="E750" t="s">
        <v>20</v>
      </c>
      <c r="F750" t="str">
        <f>'Basis Options'!A753</f>
        <v>ELPASMER</v>
      </c>
      <c r="G750" t="s">
        <v>269</v>
      </c>
      <c r="H750" t="s">
        <v>254</v>
      </c>
      <c r="I750" t="s">
        <v>242</v>
      </c>
      <c r="J750" t="s">
        <v>235</v>
      </c>
      <c r="K750" s="380">
        <f>'Basis Options'!G753</f>
        <v>36831</v>
      </c>
      <c r="L750" s="235">
        <f>'Basis Options'!U753</f>
        <v>-344824.52779678447</v>
      </c>
      <c r="M750" s="380">
        <f>'Basis Options'!Q753</f>
        <v>36829</v>
      </c>
      <c r="N750" t="str">
        <f>'Basis Options'!F753</f>
        <v>C</v>
      </c>
      <c r="O750">
        <f>'Basis Options'!I753</f>
        <v>0.4</v>
      </c>
      <c r="P750">
        <v>0</v>
      </c>
      <c r="Q750">
        <v>0</v>
      </c>
      <c r="R750">
        <v>0</v>
      </c>
      <c r="S750">
        <v>0</v>
      </c>
      <c r="T750" t="s">
        <v>253</v>
      </c>
      <c r="U750" t="str">
        <f>IF('Basis Options'!D753="NGI/CHI. GATE","""NGI/CHI. GATE""",TRIM('Basis Options'!D753))</f>
        <v>NGI-SOCAL</v>
      </c>
      <c r="V750" t="s">
        <v>253</v>
      </c>
      <c r="W750" t="s">
        <v>132</v>
      </c>
      <c r="X750" t="s">
        <v>253</v>
      </c>
      <c r="Y750" t="s">
        <v>235</v>
      </c>
      <c r="Z750" t="s">
        <v>236</v>
      </c>
      <c r="AA750" t="s">
        <v>253</v>
      </c>
      <c r="AB750" t="s">
        <v>1</v>
      </c>
      <c r="AC750" s="235">
        <f>'Basis Options'!H753</f>
        <v>-300000</v>
      </c>
      <c r="AD750" s="235">
        <f>'Basis Options'!W753</f>
        <v>-4493.97752890212</v>
      </c>
      <c r="AE750">
        <v>0</v>
      </c>
      <c r="AF750">
        <v>0</v>
      </c>
      <c r="AG750">
        <v>0</v>
      </c>
      <c r="AH750" s="235">
        <f>'Basis Options'!CD755</f>
        <v>0</v>
      </c>
      <c r="AI750">
        <v>226</v>
      </c>
      <c r="AJ750" t="s">
        <v>256</v>
      </c>
      <c r="AK750">
        <v>0</v>
      </c>
      <c r="AL750">
        <v>0</v>
      </c>
      <c r="AM750">
        <v>0</v>
      </c>
    </row>
    <row r="751" spans="1:39" x14ac:dyDescent="0.25">
      <c r="A751" t="s">
        <v>233</v>
      </c>
      <c r="B751" t="str">
        <f>'Basis Options'!C754</f>
        <v>NW0635</v>
      </c>
      <c r="C751" t="s">
        <v>255</v>
      </c>
      <c r="D751" t="s">
        <v>234</v>
      </c>
      <c r="E751" t="s">
        <v>20</v>
      </c>
      <c r="F751" t="str">
        <f>'Basis Options'!A754</f>
        <v>ELPASMER</v>
      </c>
      <c r="G751" t="s">
        <v>269</v>
      </c>
      <c r="H751" t="s">
        <v>254</v>
      </c>
      <c r="I751" t="s">
        <v>242</v>
      </c>
      <c r="J751" t="s">
        <v>235</v>
      </c>
      <c r="K751" s="380">
        <f>'Basis Options'!G754</f>
        <v>36861</v>
      </c>
      <c r="L751" s="235">
        <f>'Basis Options'!U754</f>
        <v>-221692.0595884723</v>
      </c>
      <c r="M751" s="380">
        <f>'Basis Options'!Q754</f>
        <v>36859</v>
      </c>
      <c r="N751" t="str">
        <f>'Basis Options'!F754</f>
        <v>C</v>
      </c>
      <c r="O751">
        <f>'Basis Options'!I754</f>
        <v>0.4</v>
      </c>
      <c r="P751">
        <v>0</v>
      </c>
      <c r="Q751">
        <v>0</v>
      </c>
      <c r="R751">
        <v>0</v>
      </c>
      <c r="S751">
        <v>0</v>
      </c>
      <c r="T751" t="s">
        <v>253</v>
      </c>
      <c r="U751" t="str">
        <f>IF('Basis Options'!D754="NGI/CHI. GATE","""NGI/CHI. GATE""",TRIM('Basis Options'!D754))</f>
        <v>NGI-SOCAL</v>
      </c>
      <c r="V751" t="s">
        <v>253</v>
      </c>
      <c r="W751" t="s">
        <v>132</v>
      </c>
      <c r="X751" t="s">
        <v>253</v>
      </c>
      <c r="Y751" t="s">
        <v>235</v>
      </c>
      <c r="Z751" t="s">
        <v>236</v>
      </c>
      <c r="AA751" t="s">
        <v>253</v>
      </c>
      <c r="AB751" t="s">
        <v>1</v>
      </c>
      <c r="AC751" s="235">
        <f>'Basis Options'!H754</f>
        <v>-310000</v>
      </c>
      <c r="AD751" s="235">
        <f>'Basis Options'!W754</f>
        <v>-15320.730945482996</v>
      </c>
      <c r="AE751">
        <v>0</v>
      </c>
      <c r="AF751">
        <v>0</v>
      </c>
      <c r="AG751">
        <v>0</v>
      </c>
      <c r="AH751" s="235">
        <f>'Basis Options'!CD756</f>
        <v>0</v>
      </c>
      <c r="AI751">
        <v>226</v>
      </c>
      <c r="AJ751" t="s">
        <v>256</v>
      </c>
      <c r="AK751">
        <v>0</v>
      </c>
      <c r="AL751">
        <v>0</v>
      </c>
      <c r="AM751">
        <v>0</v>
      </c>
    </row>
    <row r="752" spans="1:39" x14ac:dyDescent="0.25">
      <c r="A752" t="s">
        <v>233</v>
      </c>
      <c r="B752" t="str">
        <f>'Basis Options'!C755</f>
        <v>NW0635</v>
      </c>
      <c r="C752" t="s">
        <v>255</v>
      </c>
      <c r="D752" t="s">
        <v>234</v>
      </c>
      <c r="E752" t="s">
        <v>20</v>
      </c>
      <c r="F752" t="str">
        <f>'Basis Options'!A755</f>
        <v>ELPASMER</v>
      </c>
      <c r="G752" t="s">
        <v>269</v>
      </c>
      <c r="H752" t="s">
        <v>254</v>
      </c>
      <c r="I752" t="s">
        <v>242</v>
      </c>
      <c r="J752" t="s">
        <v>235</v>
      </c>
      <c r="K752" s="380">
        <f>'Basis Options'!G755</f>
        <v>36892</v>
      </c>
      <c r="L752" s="235">
        <f>'Basis Options'!U755</f>
        <v>-180649.78270817213</v>
      </c>
      <c r="M752" s="380">
        <f>'Basis Options'!Q755</f>
        <v>36888</v>
      </c>
      <c r="N752" t="str">
        <f>'Basis Options'!F755</f>
        <v>C</v>
      </c>
      <c r="O752">
        <f>'Basis Options'!I755</f>
        <v>0.4</v>
      </c>
      <c r="P752">
        <v>0</v>
      </c>
      <c r="Q752">
        <v>0</v>
      </c>
      <c r="R752">
        <v>0</v>
      </c>
      <c r="S752">
        <v>0</v>
      </c>
      <c r="T752" t="s">
        <v>253</v>
      </c>
      <c r="U752" t="str">
        <f>IF('Basis Options'!D755="NGI/CHI. GATE","""NGI/CHI. GATE""",TRIM('Basis Options'!D755))</f>
        <v>NGI-SOCAL</v>
      </c>
      <c r="V752" t="s">
        <v>253</v>
      </c>
      <c r="W752" t="s">
        <v>132</v>
      </c>
      <c r="X752" t="s">
        <v>253</v>
      </c>
      <c r="Y752" t="s">
        <v>235</v>
      </c>
      <c r="Z752" t="s">
        <v>236</v>
      </c>
      <c r="AA752" t="s">
        <v>253</v>
      </c>
      <c r="AB752" t="s">
        <v>1</v>
      </c>
      <c r="AC752" s="235">
        <f>'Basis Options'!H755</f>
        <v>-310000</v>
      </c>
      <c r="AD752" s="235">
        <f>'Basis Options'!W755</f>
        <v>-20931.467712288781</v>
      </c>
      <c r="AE752">
        <v>0</v>
      </c>
      <c r="AF752">
        <v>0</v>
      </c>
      <c r="AG752">
        <v>0</v>
      </c>
      <c r="AH752" s="235">
        <f>'Basis Options'!CD757</f>
        <v>0</v>
      </c>
      <c r="AI752">
        <v>226</v>
      </c>
      <c r="AJ752" t="s">
        <v>256</v>
      </c>
      <c r="AK752">
        <v>0</v>
      </c>
      <c r="AL752">
        <v>0</v>
      </c>
      <c r="AM752">
        <v>0</v>
      </c>
    </row>
    <row r="753" spans="1:39" x14ac:dyDescent="0.25">
      <c r="A753" t="s">
        <v>233</v>
      </c>
      <c r="B753" t="str">
        <f>'Basis Options'!C756</f>
        <v>NW0635</v>
      </c>
      <c r="C753" t="s">
        <v>255</v>
      </c>
      <c r="D753" t="s">
        <v>234</v>
      </c>
      <c r="E753" t="s">
        <v>20</v>
      </c>
      <c r="F753" t="str">
        <f>'Basis Options'!A756</f>
        <v>ELPASMER</v>
      </c>
      <c r="G753" t="s">
        <v>269</v>
      </c>
      <c r="H753" t="s">
        <v>254</v>
      </c>
      <c r="I753" t="s">
        <v>242</v>
      </c>
      <c r="J753" t="s">
        <v>235</v>
      </c>
      <c r="K753" s="380">
        <f>'Basis Options'!G756</f>
        <v>36923</v>
      </c>
      <c r="L753" s="235">
        <f>'Basis Options'!U756</f>
        <v>-140273.26953313089</v>
      </c>
      <c r="M753" s="380">
        <f>'Basis Options'!Q756</f>
        <v>36921</v>
      </c>
      <c r="N753" t="str">
        <f>'Basis Options'!F756</f>
        <v>C</v>
      </c>
      <c r="O753">
        <f>'Basis Options'!I756</f>
        <v>0.4</v>
      </c>
      <c r="P753">
        <v>0</v>
      </c>
      <c r="Q753">
        <v>0</v>
      </c>
      <c r="R753">
        <v>0</v>
      </c>
      <c r="S753">
        <v>0</v>
      </c>
      <c r="T753" t="s">
        <v>253</v>
      </c>
      <c r="U753" t="str">
        <f>IF('Basis Options'!D756="NGI/CHI. GATE","""NGI/CHI. GATE""",TRIM('Basis Options'!D756))</f>
        <v>NGI-SOCAL</v>
      </c>
      <c r="V753" t="s">
        <v>253</v>
      </c>
      <c r="W753" t="s">
        <v>132</v>
      </c>
      <c r="X753" t="s">
        <v>253</v>
      </c>
      <c r="Y753" t="s">
        <v>235</v>
      </c>
      <c r="Z753" t="s">
        <v>236</v>
      </c>
      <c r="AA753" t="s">
        <v>253</v>
      </c>
      <c r="AB753" t="s">
        <v>1</v>
      </c>
      <c r="AC753" s="235">
        <f>'Basis Options'!H756</f>
        <v>-280000</v>
      </c>
      <c r="AD753" s="235">
        <f>'Basis Options'!W756</f>
        <v>-21746.45981362139</v>
      </c>
      <c r="AE753">
        <v>0</v>
      </c>
      <c r="AF753">
        <v>0</v>
      </c>
      <c r="AG753">
        <v>0</v>
      </c>
      <c r="AH753" s="235">
        <f>'Basis Options'!CD758</f>
        <v>0</v>
      </c>
      <c r="AI753">
        <v>226</v>
      </c>
      <c r="AJ753" t="s">
        <v>256</v>
      </c>
      <c r="AK753">
        <v>0</v>
      </c>
      <c r="AL753">
        <v>0</v>
      </c>
      <c r="AM753">
        <v>0</v>
      </c>
    </row>
    <row r="754" spans="1:39" x14ac:dyDescent="0.25">
      <c r="A754" t="s">
        <v>233</v>
      </c>
      <c r="B754" t="str">
        <f>'Basis Options'!C757</f>
        <v>NW0635</v>
      </c>
      <c r="C754" t="s">
        <v>255</v>
      </c>
      <c r="D754" t="s">
        <v>234</v>
      </c>
      <c r="E754" t="s">
        <v>20</v>
      </c>
      <c r="F754" t="str">
        <f>'Basis Options'!A757</f>
        <v>ELPASMER</v>
      </c>
      <c r="G754" t="s">
        <v>269</v>
      </c>
      <c r="H754" t="s">
        <v>254</v>
      </c>
      <c r="I754" t="s">
        <v>242</v>
      </c>
      <c r="J754" t="s">
        <v>235</v>
      </c>
      <c r="K754" s="380">
        <f>'Basis Options'!G757</f>
        <v>36951</v>
      </c>
      <c r="L754" s="235">
        <f>'Basis Options'!U757</f>
        <v>-141854.04973377878</v>
      </c>
      <c r="M754" s="380">
        <f>'Basis Options'!Q757</f>
        <v>36949</v>
      </c>
      <c r="N754" t="str">
        <f>'Basis Options'!F757</f>
        <v>C</v>
      </c>
      <c r="O754">
        <f>'Basis Options'!I757</f>
        <v>0.4</v>
      </c>
      <c r="P754">
        <v>0</v>
      </c>
      <c r="Q754">
        <v>0</v>
      </c>
      <c r="R754">
        <v>0</v>
      </c>
      <c r="S754">
        <v>0</v>
      </c>
      <c r="T754" t="s">
        <v>253</v>
      </c>
      <c r="U754" t="str">
        <f>IF('Basis Options'!D757="NGI/CHI. GATE","""NGI/CHI. GATE""",TRIM('Basis Options'!D757))</f>
        <v>NGI-SOCAL</v>
      </c>
      <c r="V754" t="s">
        <v>253</v>
      </c>
      <c r="W754" t="s">
        <v>132</v>
      </c>
      <c r="X754" t="s">
        <v>253</v>
      </c>
      <c r="Y754" t="s">
        <v>235</v>
      </c>
      <c r="Z754" t="s">
        <v>236</v>
      </c>
      <c r="AA754" t="s">
        <v>253</v>
      </c>
      <c r="AB754" t="s">
        <v>1</v>
      </c>
      <c r="AC754" s="235">
        <f>'Basis Options'!H757</f>
        <v>-310000</v>
      </c>
      <c r="AD754" s="235">
        <f>'Basis Options'!W757</f>
        <v>-23385.674387398583</v>
      </c>
      <c r="AE754">
        <v>0</v>
      </c>
      <c r="AF754">
        <v>0</v>
      </c>
      <c r="AG754">
        <v>0</v>
      </c>
      <c r="AH754" s="235">
        <f>'Basis Options'!CD759</f>
        <v>0</v>
      </c>
      <c r="AI754">
        <v>226</v>
      </c>
      <c r="AJ754" t="s">
        <v>256</v>
      </c>
      <c r="AK754">
        <v>0</v>
      </c>
      <c r="AL754">
        <v>0</v>
      </c>
      <c r="AM754">
        <v>0</v>
      </c>
    </row>
    <row r="755" spans="1:39" x14ac:dyDescent="0.25">
      <c r="A755" t="s">
        <v>233</v>
      </c>
      <c r="B755" t="str">
        <f>'Basis Options'!C758</f>
        <v>NW0645</v>
      </c>
      <c r="C755" t="s">
        <v>255</v>
      </c>
      <c r="D755" t="s">
        <v>234</v>
      </c>
      <c r="E755" t="s">
        <v>20</v>
      </c>
      <c r="F755" t="str">
        <f>'Basis Options'!A758</f>
        <v>ELPASMER</v>
      </c>
      <c r="G755" t="s">
        <v>269</v>
      </c>
      <c r="H755" t="s">
        <v>254</v>
      </c>
      <c r="I755" t="s">
        <v>242</v>
      </c>
      <c r="J755" t="s">
        <v>235</v>
      </c>
      <c r="K755" s="380">
        <f>'Basis Options'!G758</f>
        <v>36770</v>
      </c>
      <c r="L755" s="235">
        <f>'Basis Options'!U758</f>
        <v>-959823.47531928855</v>
      </c>
      <c r="M755" s="380">
        <f>'Basis Options'!Q758</f>
        <v>36768</v>
      </c>
      <c r="N755" t="str">
        <f>'Basis Options'!F758</f>
        <v>C</v>
      </c>
      <c r="O755">
        <f>'Basis Options'!I758</f>
        <v>0.9</v>
      </c>
      <c r="P755">
        <v>0</v>
      </c>
      <c r="Q755">
        <v>0</v>
      </c>
      <c r="R755">
        <v>0</v>
      </c>
      <c r="S755">
        <v>0</v>
      </c>
      <c r="T755" t="s">
        <v>253</v>
      </c>
      <c r="U755" t="str">
        <f>IF('Basis Options'!D758="NGI/CHI. GATE","""NGI/CHI. GATE""",TRIM('Basis Options'!D758))</f>
        <v>NGI-SOCAL</v>
      </c>
      <c r="V755" t="s">
        <v>253</v>
      </c>
      <c r="W755" t="s">
        <v>132</v>
      </c>
      <c r="X755" t="s">
        <v>253</v>
      </c>
      <c r="Y755" t="s">
        <v>235</v>
      </c>
      <c r="Z755" t="s">
        <v>236</v>
      </c>
      <c r="AA755" t="s">
        <v>253</v>
      </c>
      <c r="AB755" t="s">
        <v>1</v>
      </c>
      <c r="AC755" s="235">
        <f>'Basis Options'!H758</f>
        <v>-600000</v>
      </c>
      <c r="AD755" s="235">
        <f>'Basis Options'!W758</f>
        <v>2.3955289623700082E-2</v>
      </c>
      <c r="AE755">
        <v>0</v>
      </c>
      <c r="AF755">
        <v>0</v>
      </c>
      <c r="AG755">
        <v>0</v>
      </c>
      <c r="AH755" s="235">
        <f>'Basis Options'!CD760</f>
        <v>0</v>
      </c>
      <c r="AI755">
        <v>226</v>
      </c>
      <c r="AJ755" t="s">
        <v>256</v>
      </c>
      <c r="AK755">
        <v>0</v>
      </c>
      <c r="AL755">
        <v>0</v>
      </c>
      <c r="AM755">
        <v>0</v>
      </c>
    </row>
    <row r="756" spans="1:39" x14ac:dyDescent="0.25">
      <c r="A756" t="s">
        <v>233</v>
      </c>
      <c r="B756" t="str">
        <f>'Basis Options'!C759</f>
        <v>NW0648</v>
      </c>
      <c r="C756" t="s">
        <v>255</v>
      </c>
      <c r="D756" t="s">
        <v>234</v>
      </c>
      <c r="E756" t="s">
        <v>20</v>
      </c>
      <c r="F756" t="str">
        <f>'Basis Options'!A759</f>
        <v>OCCIDENTENEMAR</v>
      </c>
      <c r="G756" t="s">
        <v>269</v>
      </c>
      <c r="H756" t="s">
        <v>254</v>
      </c>
      <c r="I756" t="s">
        <v>242</v>
      </c>
      <c r="J756" t="s">
        <v>235</v>
      </c>
      <c r="K756" s="380">
        <f>'Basis Options'!G759</f>
        <v>36800</v>
      </c>
      <c r="L756" s="235">
        <f>'Basis Options'!U759</f>
        <v>367548.29829889414</v>
      </c>
      <c r="M756" s="380">
        <f>'Basis Options'!Q759</f>
        <v>36797</v>
      </c>
      <c r="N756" t="str">
        <f>'Basis Options'!F759</f>
        <v>C</v>
      </c>
      <c r="O756">
        <f>'Basis Options'!I759</f>
        <v>0.8</v>
      </c>
      <c r="P756">
        <v>0</v>
      </c>
      <c r="Q756">
        <v>0</v>
      </c>
      <c r="R756">
        <v>0</v>
      </c>
      <c r="S756">
        <v>0</v>
      </c>
      <c r="T756" t="s">
        <v>253</v>
      </c>
      <c r="U756" t="str">
        <f>IF('Basis Options'!D759="NGI/CHI. GATE","""NGI/CHI. GATE""",TRIM('Basis Options'!D759))</f>
        <v>NGI-SOCAL</v>
      </c>
      <c r="V756" t="s">
        <v>253</v>
      </c>
      <c r="W756" t="s">
        <v>132</v>
      </c>
      <c r="X756" t="s">
        <v>253</v>
      </c>
      <c r="Y756" t="s">
        <v>235</v>
      </c>
      <c r="Z756" t="s">
        <v>236</v>
      </c>
      <c r="AA756" t="s">
        <v>253</v>
      </c>
      <c r="AB756" t="s">
        <v>1</v>
      </c>
      <c r="AC756" s="235">
        <f>'Basis Options'!H759</f>
        <v>310000</v>
      </c>
      <c r="AD756" s="235">
        <f>'Basis Options'!W759</f>
        <v>906.98062210198259</v>
      </c>
      <c r="AE756">
        <v>0</v>
      </c>
      <c r="AF756">
        <v>0</v>
      </c>
      <c r="AG756">
        <v>0</v>
      </c>
      <c r="AH756" s="235">
        <f>'Basis Options'!CD761</f>
        <v>0</v>
      </c>
      <c r="AI756">
        <v>226</v>
      </c>
      <c r="AJ756" t="s">
        <v>256</v>
      </c>
      <c r="AK756">
        <v>0</v>
      </c>
      <c r="AL756">
        <v>0</v>
      </c>
      <c r="AM756">
        <v>0</v>
      </c>
    </row>
    <row r="757" spans="1:39" x14ac:dyDescent="0.25">
      <c r="A757" t="s">
        <v>233</v>
      </c>
      <c r="B757" t="str">
        <f>'Basis Options'!C760</f>
        <v>NW3286.1</v>
      </c>
      <c r="C757" t="s">
        <v>255</v>
      </c>
      <c r="D757" t="s">
        <v>234</v>
      </c>
      <c r="E757" t="s">
        <v>20</v>
      </c>
      <c r="F757" t="str">
        <f>'Basis Options'!A760</f>
        <v>ELPASMER</v>
      </c>
      <c r="G757" t="s">
        <v>269</v>
      </c>
      <c r="H757" t="s">
        <v>254</v>
      </c>
      <c r="I757" t="s">
        <v>242</v>
      </c>
      <c r="J757" t="s">
        <v>235</v>
      </c>
      <c r="K757" s="380">
        <f>'Basis Options'!G760</f>
        <v>36831</v>
      </c>
      <c r="L757" s="235">
        <f>'Basis Options'!U760</f>
        <v>3746.6271508413861</v>
      </c>
      <c r="M757" s="380">
        <f>'Basis Options'!Q760</f>
        <v>36829</v>
      </c>
      <c r="N757" t="str">
        <f>'Basis Options'!F760</f>
        <v>P</v>
      </c>
      <c r="O757">
        <f>'Basis Options'!I760</f>
        <v>0.3</v>
      </c>
      <c r="P757">
        <v>0</v>
      </c>
      <c r="Q757">
        <v>0</v>
      </c>
      <c r="R757">
        <v>0</v>
      </c>
      <c r="S757">
        <v>0</v>
      </c>
      <c r="T757" t="s">
        <v>253</v>
      </c>
      <c r="U757" t="str">
        <f>IF('Basis Options'!D760="NGI/CHI. GATE","""NGI/CHI. GATE""",TRIM('Basis Options'!D760))</f>
        <v>NGI-SOCAL</v>
      </c>
      <c r="V757" t="s">
        <v>253</v>
      </c>
      <c r="W757" t="s">
        <v>132</v>
      </c>
      <c r="X757" t="s">
        <v>253</v>
      </c>
      <c r="Y757" t="s">
        <v>235</v>
      </c>
      <c r="Z757" t="s">
        <v>236</v>
      </c>
      <c r="AA757" t="s">
        <v>253</v>
      </c>
      <c r="AB757" t="s">
        <v>1</v>
      </c>
      <c r="AC757" s="235">
        <f>'Basis Options'!H760</f>
        <v>300000</v>
      </c>
      <c r="AD757" s="235">
        <f>'Basis Options'!W760</f>
        <v>3574.1830223100733</v>
      </c>
      <c r="AE757">
        <v>0</v>
      </c>
      <c r="AF757">
        <v>0</v>
      </c>
      <c r="AG757">
        <v>0</v>
      </c>
      <c r="AH757" s="235">
        <f>'Basis Options'!CD762</f>
        <v>0</v>
      </c>
      <c r="AI757">
        <v>226</v>
      </c>
      <c r="AJ757" t="s">
        <v>256</v>
      </c>
      <c r="AK757">
        <v>0</v>
      </c>
      <c r="AL757">
        <v>0</v>
      </c>
      <c r="AM757">
        <v>0</v>
      </c>
    </row>
    <row r="758" spans="1:39" x14ac:dyDescent="0.25">
      <c r="A758" t="s">
        <v>233</v>
      </c>
      <c r="B758" t="str">
        <f>'Basis Options'!C761</f>
        <v>NW3286.1</v>
      </c>
      <c r="C758" t="s">
        <v>255</v>
      </c>
      <c r="D758" t="s">
        <v>234</v>
      </c>
      <c r="E758" t="s">
        <v>20</v>
      </c>
      <c r="F758" t="str">
        <f>'Basis Options'!A761</f>
        <v>ELPASMER</v>
      </c>
      <c r="G758" t="s">
        <v>269</v>
      </c>
      <c r="H758" t="s">
        <v>254</v>
      </c>
      <c r="I758" t="s">
        <v>242</v>
      </c>
      <c r="J758" t="s">
        <v>235</v>
      </c>
      <c r="K758" s="380">
        <f>'Basis Options'!G761</f>
        <v>36861</v>
      </c>
      <c r="L758" s="235">
        <f>'Basis Options'!U761</f>
        <v>30346.645291391367</v>
      </c>
      <c r="M758" s="380">
        <f>'Basis Options'!Q761</f>
        <v>36859</v>
      </c>
      <c r="N758" t="str">
        <f>'Basis Options'!F761</f>
        <v>P</v>
      </c>
      <c r="O758">
        <f>'Basis Options'!I761</f>
        <v>0.3</v>
      </c>
      <c r="P758">
        <v>0</v>
      </c>
      <c r="Q758">
        <v>0</v>
      </c>
      <c r="R758">
        <v>0</v>
      </c>
      <c r="S758">
        <v>0</v>
      </c>
      <c r="T758" t="s">
        <v>253</v>
      </c>
      <c r="U758" t="str">
        <f>IF('Basis Options'!D761="NGI/CHI. GATE","""NGI/CHI. GATE""",TRIM('Basis Options'!D761))</f>
        <v>NGI-SOCAL</v>
      </c>
      <c r="V758" t="s">
        <v>253</v>
      </c>
      <c r="W758" t="s">
        <v>132</v>
      </c>
      <c r="X758" t="s">
        <v>253</v>
      </c>
      <c r="Y758" t="s">
        <v>235</v>
      </c>
      <c r="Z758" t="s">
        <v>236</v>
      </c>
      <c r="AA758" t="s">
        <v>253</v>
      </c>
      <c r="AB758" t="s">
        <v>1</v>
      </c>
      <c r="AC758" s="235">
        <f>'Basis Options'!H761</f>
        <v>310000</v>
      </c>
      <c r="AD758" s="235">
        <f>'Basis Options'!W761</f>
        <v>14067.053043876593</v>
      </c>
      <c r="AE758">
        <v>0</v>
      </c>
      <c r="AF758">
        <v>0</v>
      </c>
      <c r="AG758">
        <v>0</v>
      </c>
      <c r="AH758" s="235">
        <f>'Basis Options'!CD763</f>
        <v>0</v>
      </c>
      <c r="AI758">
        <v>226</v>
      </c>
      <c r="AJ758" t="s">
        <v>256</v>
      </c>
      <c r="AK758">
        <v>0</v>
      </c>
      <c r="AL758">
        <v>0</v>
      </c>
      <c r="AM758">
        <v>0</v>
      </c>
    </row>
    <row r="759" spans="1:39" x14ac:dyDescent="0.25">
      <c r="A759" t="s">
        <v>233</v>
      </c>
      <c r="B759" t="str">
        <f>'Basis Options'!C762</f>
        <v>NW3286.1</v>
      </c>
      <c r="C759" t="s">
        <v>255</v>
      </c>
      <c r="D759" t="s">
        <v>234</v>
      </c>
      <c r="E759" t="s">
        <v>20</v>
      </c>
      <c r="F759" t="str">
        <f>'Basis Options'!A762</f>
        <v>ELPASMER</v>
      </c>
      <c r="G759" t="s">
        <v>269</v>
      </c>
      <c r="H759" t="s">
        <v>254</v>
      </c>
      <c r="I759" t="s">
        <v>242</v>
      </c>
      <c r="J759" t="s">
        <v>235</v>
      </c>
      <c r="K759" s="380">
        <f>'Basis Options'!G762</f>
        <v>36892</v>
      </c>
      <c r="L759" s="235">
        <f>'Basis Options'!U762</f>
        <v>58920.336917338493</v>
      </c>
      <c r="M759" s="380">
        <f>'Basis Options'!Q762</f>
        <v>36888</v>
      </c>
      <c r="N759" t="str">
        <f>'Basis Options'!F762</f>
        <v>P</v>
      </c>
      <c r="O759">
        <f>'Basis Options'!I762</f>
        <v>0.3</v>
      </c>
      <c r="P759">
        <v>0</v>
      </c>
      <c r="Q759">
        <v>0</v>
      </c>
      <c r="R759">
        <v>0</v>
      </c>
      <c r="S759">
        <v>0</v>
      </c>
      <c r="T759" t="s">
        <v>253</v>
      </c>
      <c r="U759" t="str">
        <f>IF('Basis Options'!D762="NGI/CHI. GATE","""NGI/CHI. GATE""",TRIM('Basis Options'!D762))</f>
        <v>NGI-SOCAL</v>
      </c>
      <c r="V759" t="s">
        <v>253</v>
      </c>
      <c r="W759" t="s">
        <v>132</v>
      </c>
      <c r="X759" t="s">
        <v>253</v>
      </c>
      <c r="Y759" t="s">
        <v>235</v>
      </c>
      <c r="Z759" t="s">
        <v>236</v>
      </c>
      <c r="AA759" t="s">
        <v>253</v>
      </c>
      <c r="AB759" t="s">
        <v>1</v>
      </c>
      <c r="AC759" s="235">
        <f>'Basis Options'!H762</f>
        <v>310000</v>
      </c>
      <c r="AD759" s="235">
        <f>'Basis Options'!W762</f>
        <v>20095.448918330731</v>
      </c>
      <c r="AE759">
        <v>0</v>
      </c>
      <c r="AF759">
        <v>0</v>
      </c>
      <c r="AG759">
        <v>0</v>
      </c>
      <c r="AH759" s="235">
        <f>'Basis Options'!CD764</f>
        <v>0</v>
      </c>
      <c r="AI759">
        <v>226</v>
      </c>
      <c r="AJ759" t="s">
        <v>256</v>
      </c>
      <c r="AK759">
        <v>0</v>
      </c>
      <c r="AL759">
        <v>0</v>
      </c>
      <c r="AM759">
        <v>0</v>
      </c>
    </row>
    <row r="760" spans="1:39" x14ac:dyDescent="0.25">
      <c r="A760" t="s">
        <v>233</v>
      </c>
      <c r="B760" t="str">
        <f>'Basis Options'!C763</f>
        <v>NW3286.1</v>
      </c>
      <c r="C760" t="s">
        <v>255</v>
      </c>
      <c r="D760" t="s">
        <v>234</v>
      </c>
      <c r="E760" t="s">
        <v>20</v>
      </c>
      <c r="F760" t="str">
        <f>'Basis Options'!A763</f>
        <v>ELPASMER</v>
      </c>
      <c r="G760" t="s">
        <v>269</v>
      </c>
      <c r="H760" t="s">
        <v>254</v>
      </c>
      <c r="I760" t="s">
        <v>242</v>
      </c>
      <c r="J760" t="s">
        <v>235</v>
      </c>
      <c r="K760" s="380">
        <f>'Basis Options'!G763</f>
        <v>36923</v>
      </c>
      <c r="L760" s="235">
        <f>'Basis Options'!U763</f>
        <v>70056.742454762076</v>
      </c>
      <c r="M760" s="380">
        <f>'Basis Options'!Q763</f>
        <v>36921</v>
      </c>
      <c r="N760" t="str">
        <f>'Basis Options'!F763</f>
        <v>P</v>
      </c>
      <c r="O760">
        <f>'Basis Options'!I763</f>
        <v>0.3</v>
      </c>
      <c r="P760">
        <v>0</v>
      </c>
      <c r="Q760">
        <v>0</v>
      </c>
      <c r="R760">
        <v>0</v>
      </c>
      <c r="S760">
        <v>0</v>
      </c>
      <c r="T760" t="s">
        <v>253</v>
      </c>
      <c r="U760" t="str">
        <f>IF('Basis Options'!D763="NGI/CHI. GATE","""NGI/CHI. GATE""",TRIM('Basis Options'!D763))</f>
        <v>NGI-SOCAL</v>
      </c>
      <c r="V760" t="s">
        <v>253</v>
      </c>
      <c r="W760" t="s">
        <v>132</v>
      </c>
      <c r="X760" t="s">
        <v>253</v>
      </c>
      <c r="Y760" t="s">
        <v>235</v>
      </c>
      <c r="Z760" t="s">
        <v>236</v>
      </c>
      <c r="AA760" t="s">
        <v>253</v>
      </c>
      <c r="AB760" t="s">
        <v>1</v>
      </c>
      <c r="AC760" s="235">
        <f>'Basis Options'!H763</f>
        <v>280000</v>
      </c>
      <c r="AD760" s="235">
        <f>'Basis Options'!W763</f>
        <v>21275.273153824935</v>
      </c>
      <c r="AE760">
        <v>0</v>
      </c>
      <c r="AF760">
        <v>0</v>
      </c>
      <c r="AG760">
        <v>0</v>
      </c>
      <c r="AH760" s="235">
        <f>'Basis Options'!CD765</f>
        <v>0</v>
      </c>
      <c r="AI760">
        <v>226</v>
      </c>
      <c r="AJ760" t="s">
        <v>256</v>
      </c>
      <c r="AK760">
        <v>0</v>
      </c>
      <c r="AL760">
        <v>0</v>
      </c>
      <c r="AM760">
        <v>0</v>
      </c>
    </row>
    <row r="761" spans="1:39" x14ac:dyDescent="0.25">
      <c r="A761" t="s">
        <v>233</v>
      </c>
      <c r="B761" t="str">
        <f>'Basis Options'!C764</f>
        <v>NW3286.1</v>
      </c>
      <c r="C761" t="s">
        <v>255</v>
      </c>
      <c r="D761" t="s">
        <v>234</v>
      </c>
      <c r="E761" t="s">
        <v>20</v>
      </c>
      <c r="F761" t="str">
        <f>'Basis Options'!A764</f>
        <v>ELPASMER</v>
      </c>
      <c r="G761" t="s">
        <v>269</v>
      </c>
      <c r="H761" t="s">
        <v>254</v>
      </c>
      <c r="I761" t="s">
        <v>242</v>
      </c>
      <c r="J761" t="s">
        <v>235</v>
      </c>
      <c r="K761" s="380">
        <f>'Basis Options'!G764</f>
        <v>36951</v>
      </c>
      <c r="L761" s="235">
        <f>'Basis Options'!U764</f>
        <v>70506.47745745584</v>
      </c>
      <c r="M761" s="380">
        <f>'Basis Options'!Q764</f>
        <v>36949</v>
      </c>
      <c r="N761" t="str">
        <f>'Basis Options'!F764</f>
        <v>P</v>
      </c>
      <c r="O761">
        <f>'Basis Options'!I764</f>
        <v>0.3</v>
      </c>
      <c r="P761">
        <v>0</v>
      </c>
      <c r="Q761">
        <v>0</v>
      </c>
      <c r="R761">
        <v>0</v>
      </c>
      <c r="S761">
        <v>0</v>
      </c>
      <c r="T761" t="s">
        <v>253</v>
      </c>
      <c r="U761" t="str">
        <f>IF('Basis Options'!D764="NGI/CHI. GATE","""NGI/CHI. GATE""",TRIM('Basis Options'!D764))</f>
        <v>NGI-SOCAL</v>
      </c>
      <c r="V761" t="s">
        <v>253</v>
      </c>
      <c r="W761" t="s">
        <v>132</v>
      </c>
      <c r="X761" t="s">
        <v>253</v>
      </c>
      <c r="Y761" t="s">
        <v>235</v>
      </c>
      <c r="Z761" t="s">
        <v>236</v>
      </c>
      <c r="AA761" t="s">
        <v>253</v>
      </c>
      <c r="AB761" t="s">
        <v>1</v>
      </c>
      <c r="AC761" s="235">
        <f>'Basis Options'!H764</f>
        <v>310000</v>
      </c>
      <c r="AD761" s="235">
        <f>'Basis Options'!W764</f>
        <v>22837.154102551882</v>
      </c>
      <c r="AE761">
        <v>0</v>
      </c>
      <c r="AF761">
        <v>0</v>
      </c>
      <c r="AG761">
        <v>0</v>
      </c>
      <c r="AH761" s="235">
        <f>'Basis Options'!CD766</f>
        <v>0</v>
      </c>
      <c r="AI761">
        <v>226</v>
      </c>
      <c r="AJ761" t="s">
        <v>256</v>
      </c>
      <c r="AK761">
        <v>0</v>
      </c>
      <c r="AL761">
        <v>0</v>
      </c>
      <c r="AM761">
        <v>0</v>
      </c>
    </row>
    <row r="762" spans="1:39" x14ac:dyDescent="0.25">
      <c r="A762" t="s">
        <v>233</v>
      </c>
      <c r="B762" t="str">
        <f>'Basis Options'!C765</f>
        <v>NW3286.2</v>
      </c>
      <c r="C762" t="s">
        <v>255</v>
      </c>
      <c r="D762" t="s">
        <v>234</v>
      </c>
      <c r="E762" t="s">
        <v>20</v>
      </c>
      <c r="F762" t="str">
        <f>'Basis Options'!A765</f>
        <v>ELPASMER</v>
      </c>
      <c r="G762" t="s">
        <v>269</v>
      </c>
      <c r="H762" t="s">
        <v>254</v>
      </c>
      <c r="I762" t="s">
        <v>242</v>
      </c>
      <c r="J762" t="s">
        <v>235</v>
      </c>
      <c r="K762" s="380">
        <f>'Basis Options'!G765</f>
        <v>36831</v>
      </c>
      <c r="L762" s="235">
        <f>'Basis Options'!U765</f>
        <v>290294.09786246857</v>
      </c>
      <c r="M762" s="380">
        <f>'Basis Options'!Q765</f>
        <v>36829</v>
      </c>
      <c r="N762" t="str">
        <f>'Basis Options'!F765</f>
        <v>C</v>
      </c>
      <c r="O762">
        <f>'Basis Options'!I765</f>
        <v>0.6</v>
      </c>
      <c r="P762">
        <v>0</v>
      </c>
      <c r="Q762">
        <v>0</v>
      </c>
      <c r="R762">
        <v>0</v>
      </c>
      <c r="S762">
        <v>0</v>
      </c>
      <c r="T762" t="s">
        <v>253</v>
      </c>
      <c r="U762" t="str">
        <f>IF('Basis Options'!D765="NGI/CHI. GATE","""NGI/CHI. GATE""",TRIM('Basis Options'!D765))</f>
        <v>NGI-SOCAL</v>
      </c>
      <c r="V762" t="s">
        <v>253</v>
      </c>
      <c r="W762" t="s">
        <v>132</v>
      </c>
      <c r="X762" t="s">
        <v>253</v>
      </c>
      <c r="Y762" t="s">
        <v>235</v>
      </c>
      <c r="Z762" t="s">
        <v>236</v>
      </c>
      <c r="AA762" t="s">
        <v>253</v>
      </c>
      <c r="AB762" t="s">
        <v>1</v>
      </c>
      <c r="AC762" s="235">
        <f>'Basis Options'!H765</f>
        <v>300000</v>
      </c>
      <c r="AD762" s="235">
        <f>'Basis Options'!W765</f>
        <v>6684.5497739956481</v>
      </c>
      <c r="AE762">
        <v>0</v>
      </c>
      <c r="AF762">
        <v>0</v>
      </c>
      <c r="AG762">
        <v>0</v>
      </c>
      <c r="AH762" s="235">
        <f>'Basis Options'!CD767</f>
        <v>0</v>
      </c>
      <c r="AI762">
        <v>226</v>
      </c>
      <c r="AJ762" t="s">
        <v>256</v>
      </c>
      <c r="AK762">
        <v>0</v>
      </c>
      <c r="AL762">
        <v>0</v>
      </c>
      <c r="AM762">
        <v>0</v>
      </c>
    </row>
    <row r="763" spans="1:39" x14ac:dyDescent="0.25">
      <c r="A763" t="s">
        <v>233</v>
      </c>
      <c r="B763" t="str">
        <f>'Basis Options'!C766</f>
        <v>NW3286.2</v>
      </c>
      <c r="C763" t="s">
        <v>255</v>
      </c>
      <c r="D763" t="s">
        <v>234</v>
      </c>
      <c r="E763" t="s">
        <v>20</v>
      </c>
      <c r="F763" t="str">
        <f>'Basis Options'!A766</f>
        <v>ELPASMER</v>
      </c>
      <c r="G763" t="s">
        <v>269</v>
      </c>
      <c r="H763" t="s">
        <v>254</v>
      </c>
      <c r="I763" t="s">
        <v>242</v>
      </c>
      <c r="J763" t="s">
        <v>235</v>
      </c>
      <c r="K763" s="380">
        <f>'Basis Options'!G766</f>
        <v>36861</v>
      </c>
      <c r="L763" s="235">
        <f>'Basis Options'!U766</f>
        <v>178555.18446332973</v>
      </c>
      <c r="M763" s="380">
        <f>'Basis Options'!Q766</f>
        <v>36859</v>
      </c>
      <c r="N763" t="str">
        <f>'Basis Options'!F766</f>
        <v>C</v>
      </c>
      <c r="O763">
        <f>'Basis Options'!I766</f>
        <v>0.6</v>
      </c>
      <c r="P763">
        <v>0</v>
      </c>
      <c r="Q763">
        <v>0</v>
      </c>
      <c r="R763">
        <v>0</v>
      </c>
      <c r="S763">
        <v>0</v>
      </c>
      <c r="T763" t="s">
        <v>253</v>
      </c>
      <c r="U763" t="str">
        <f>IF('Basis Options'!D766="NGI/CHI. GATE","""NGI/CHI. GATE""",TRIM('Basis Options'!D766))</f>
        <v>NGI-SOCAL</v>
      </c>
      <c r="V763" t="s">
        <v>253</v>
      </c>
      <c r="W763" t="s">
        <v>132</v>
      </c>
      <c r="X763" t="s">
        <v>253</v>
      </c>
      <c r="Y763" t="s">
        <v>235</v>
      </c>
      <c r="Z763" t="s">
        <v>236</v>
      </c>
      <c r="AA763" t="s">
        <v>253</v>
      </c>
      <c r="AB763" t="s">
        <v>1</v>
      </c>
      <c r="AC763" s="235">
        <f>'Basis Options'!H766</f>
        <v>310000</v>
      </c>
      <c r="AD763" s="235">
        <f>'Basis Options'!W766</f>
        <v>17366.252090372</v>
      </c>
      <c r="AE763">
        <v>0</v>
      </c>
      <c r="AF763">
        <v>0</v>
      </c>
      <c r="AG763">
        <v>0</v>
      </c>
      <c r="AH763" s="235">
        <f>'Basis Options'!CD768</f>
        <v>0</v>
      </c>
      <c r="AI763">
        <v>226</v>
      </c>
      <c r="AJ763" t="s">
        <v>256</v>
      </c>
      <c r="AK763">
        <v>0</v>
      </c>
      <c r="AL763">
        <v>0</v>
      </c>
      <c r="AM763">
        <v>0</v>
      </c>
    </row>
    <row r="764" spans="1:39" x14ac:dyDescent="0.25">
      <c r="A764" t="s">
        <v>233</v>
      </c>
      <c r="B764" t="str">
        <f>'Basis Options'!C767</f>
        <v>NW3286.2</v>
      </c>
      <c r="C764" t="s">
        <v>255</v>
      </c>
      <c r="D764" t="s">
        <v>234</v>
      </c>
      <c r="E764" t="s">
        <v>20</v>
      </c>
      <c r="F764" t="str">
        <f>'Basis Options'!A767</f>
        <v>ELPASMER</v>
      </c>
      <c r="G764" t="s">
        <v>269</v>
      </c>
      <c r="H764" t="s">
        <v>254</v>
      </c>
      <c r="I764" t="s">
        <v>242</v>
      </c>
      <c r="J764" t="s">
        <v>235</v>
      </c>
      <c r="K764" s="380">
        <f>'Basis Options'!G767</f>
        <v>36892</v>
      </c>
      <c r="L764" s="235">
        <f>'Basis Options'!U767</f>
        <v>144768.38371428687</v>
      </c>
      <c r="M764" s="380">
        <f>'Basis Options'!Q767</f>
        <v>36888</v>
      </c>
      <c r="N764" t="str">
        <f>'Basis Options'!F767</f>
        <v>C</v>
      </c>
      <c r="O764">
        <f>'Basis Options'!I767</f>
        <v>0.6</v>
      </c>
      <c r="P764">
        <v>0</v>
      </c>
      <c r="Q764">
        <v>0</v>
      </c>
      <c r="R764">
        <v>0</v>
      </c>
      <c r="S764">
        <v>0</v>
      </c>
      <c r="T764" t="s">
        <v>253</v>
      </c>
      <c r="U764" t="str">
        <f>IF('Basis Options'!D767="NGI/CHI. GATE","""NGI/CHI. GATE""",TRIM('Basis Options'!D767))</f>
        <v>NGI-SOCAL</v>
      </c>
      <c r="V764" t="s">
        <v>253</v>
      </c>
      <c r="W764" t="s">
        <v>132</v>
      </c>
      <c r="X764" t="s">
        <v>253</v>
      </c>
      <c r="Y764" t="s">
        <v>235</v>
      </c>
      <c r="Z764" t="s">
        <v>236</v>
      </c>
      <c r="AA764" t="s">
        <v>253</v>
      </c>
      <c r="AB764" t="s">
        <v>1</v>
      </c>
      <c r="AC764" s="235">
        <f>'Basis Options'!H767</f>
        <v>310000</v>
      </c>
      <c r="AD764" s="235">
        <f>'Basis Options'!W767</f>
        <v>21892.436709398346</v>
      </c>
      <c r="AE764">
        <v>0</v>
      </c>
      <c r="AF764">
        <v>0</v>
      </c>
      <c r="AG764">
        <v>0</v>
      </c>
      <c r="AH764" s="235">
        <f>'Basis Options'!CD769</f>
        <v>0</v>
      </c>
      <c r="AI764">
        <v>226</v>
      </c>
      <c r="AJ764" t="s">
        <v>256</v>
      </c>
      <c r="AK764">
        <v>0</v>
      </c>
      <c r="AL764">
        <v>0</v>
      </c>
      <c r="AM764">
        <v>0</v>
      </c>
    </row>
    <row r="765" spans="1:39" x14ac:dyDescent="0.25">
      <c r="A765" t="s">
        <v>233</v>
      </c>
      <c r="B765" t="str">
        <f>'Basis Options'!C768</f>
        <v>NW3286.2</v>
      </c>
      <c r="C765" t="s">
        <v>255</v>
      </c>
      <c r="D765" t="s">
        <v>234</v>
      </c>
      <c r="E765" t="s">
        <v>20</v>
      </c>
      <c r="F765" t="str">
        <f>'Basis Options'!A768</f>
        <v>ELPASMER</v>
      </c>
      <c r="G765" t="s">
        <v>269</v>
      </c>
      <c r="H765" t="s">
        <v>254</v>
      </c>
      <c r="I765" t="s">
        <v>242</v>
      </c>
      <c r="J765" t="s">
        <v>235</v>
      </c>
      <c r="K765" s="380">
        <f>'Basis Options'!G768</f>
        <v>36923</v>
      </c>
      <c r="L765" s="235">
        <f>'Basis Options'!U768</f>
        <v>111663.5780801408</v>
      </c>
      <c r="M765" s="380">
        <f>'Basis Options'!Q768</f>
        <v>36921</v>
      </c>
      <c r="N765" t="str">
        <f>'Basis Options'!F768</f>
        <v>C</v>
      </c>
      <c r="O765">
        <f>'Basis Options'!I768</f>
        <v>0.6</v>
      </c>
      <c r="P765">
        <v>0</v>
      </c>
      <c r="Q765">
        <v>0</v>
      </c>
      <c r="R765">
        <v>0</v>
      </c>
      <c r="S765">
        <v>0</v>
      </c>
      <c r="T765" t="s">
        <v>253</v>
      </c>
      <c r="U765" t="str">
        <f>IF('Basis Options'!D768="NGI/CHI. GATE","""NGI/CHI. GATE""",TRIM('Basis Options'!D768))</f>
        <v>NGI-SOCAL</v>
      </c>
      <c r="V765" t="s">
        <v>253</v>
      </c>
      <c r="W765" t="s">
        <v>132</v>
      </c>
      <c r="X765" t="s">
        <v>253</v>
      </c>
      <c r="Y765" t="s">
        <v>235</v>
      </c>
      <c r="Z765" t="s">
        <v>236</v>
      </c>
      <c r="AA765" t="s">
        <v>253</v>
      </c>
      <c r="AB765" t="s">
        <v>1</v>
      </c>
      <c r="AC765" s="235">
        <f>'Basis Options'!H768</f>
        <v>280000</v>
      </c>
      <c r="AD765" s="235">
        <f>'Basis Options'!W768</f>
        <v>21953.164029006613</v>
      </c>
      <c r="AE765">
        <v>0</v>
      </c>
      <c r="AF765">
        <v>0</v>
      </c>
      <c r="AG765">
        <v>0</v>
      </c>
      <c r="AH765" s="235">
        <f>'Basis Options'!CD770</f>
        <v>0</v>
      </c>
      <c r="AI765">
        <v>226</v>
      </c>
      <c r="AJ765" t="s">
        <v>256</v>
      </c>
      <c r="AK765">
        <v>0</v>
      </c>
      <c r="AL765">
        <v>0</v>
      </c>
      <c r="AM765">
        <v>0</v>
      </c>
    </row>
    <row r="766" spans="1:39" x14ac:dyDescent="0.25">
      <c r="A766" t="s">
        <v>233</v>
      </c>
      <c r="B766" t="str">
        <f>'Basis Options'!C769</f>
        <v>NW3286.2</v>
      </c>
      <c r="C766" t="s">
        <v>255</v>
      </c>
      <c r="D766" t="s">
        <v>234</v>
      </c>
      <c r="E766" t="s">
        <v>20</v>
      </c>
      <c r="F766" t="str">
        <f>'Basis Options'!A769</f>
        <v>ELPASMER</v>
      </c>
      <c r="G766" t="s">
        <v>269</v>
      </c>
      <c r="H766" t="s">
        <v>254</v>
      </c>
      <c r="I766" t="s">
        <v>242</v>
      </c>
      <c r="J766" t="s">
        <v>235</v>
      </c>
      <c r="K766" s="380">
        <f>'Basis Options'!G769</f>
        <v>36951</v>
      </c>
      <c r="L766" s="235">
        <f>'Basis Options'!U769</f>
        <v>110697.42276546625</v>
      </c>
      <c r="M766" s="380">
        <f>'Basis Options'!Q769</f>
        <v>36949</v>
      </c>
      <c r="N766" t="str">
        <f>'Basis Options'!F769</f>
        <v>C</v>
      </c>
      <c r="O766">
        <f>'Basis Options'!I769</f>
        <v>0.6</v>
      </c>
      <c r="P766">
        <v>0</v>
      </c>
      <c r="Q766">
        <v>0</v>
      </c>
      <c r="R766">
        <v>0</v>
      </c>
      <c r="S766">
        <v>0</v>
      </c>
      <c r="T766" t="s">
        <v>253</v>
      </c>
      <c r="U766" t="str">
        <f>IF('Basis Options'!D769="NGI/CHI. GATE","""NGI/CHI. GATE""",TRIM('Basis Options'!D769))</f>
        <v>NGI-SOCAL</v>
      </c>
      <c r="V766" t="s">
        <v>253</v>
      </c>
      <c r="W766" t="s">
        <v>132</v>
      </c>
      <c r="X766" t="s">
        <v>253</v>
      </c>
      <c r="Y766" t="s">
        <v>235</v>
      </c>
      <c r="Z766" t="s">
        <v>236</v>
      </c>
      <c r="AA766" t="s">
        <v>253</v>
      </c>
      <c r="AB766" t="s">
        <v>1</v>
      </c>
      <c r="AC766" s="235">
        <f>'Basis Options'!H769</f>
        <v>310000</v>
      </c>
      <c r="AD766" s="235">
        <f>'Basis Options'!W769</f>
        <v>23558.869190828671</v>
      </c>
      <c r="AE766">
        <v>0</v>
      </c>
      <c r="AF766">
        <v>0</v>
      </c>
      <c r="AG766">
        <v>0</v>
      </c>
      <c r="AH766" s="235">
        <f>'Basis Options'!CD771</f>
        <v>0</v>
      </c>
      <c r="AI766">
        <v>226</v>
      </c>
      <c r="AJ766" t="s">
        <v>256</v>
      </c>
      <c r="AK766">
        <v>0</v>
      </c>
      <c r="AL766">
        <v>0</v>
      </c>
      <c r="AM766">
        <v>0</v>
      </c>
    </row>
    <row r="767" spans="1:39" x14ac:dyDescent="0.25">
      <c r="A767" t="s">
        <v>233</v>
      </c>
      <c r="B767" t="str">
        <f>'Basis Options'!C770</f>
        <v>NW3289</v>
      </c>
      <c r="C767" t="s">
        <v>255</v>
      </c>
      <c r="D767" t="s">
        <v>234</v>
      </c>
      <c r="E767" t="s">
        <v>20</v>
      </c>
      <c r="F767" t="str">
        <f>'Basis Options'!A770</f>
        <v>CMSMARSERTRA</v>
      </c>
      <c r="G767" t="s">
        <v>269</v>
      </c>
      <c r="H767" t="s">
        <v>254</v>
      </c>
      <c r="I767" t="s">
        <v>242</v>
      </c>
      <c r="J767" t="s">
        <v>235</v>
      </c>
      <c r="K767" s="380">
        <f>'Basis Options'!G770</f>
        <v>36831</v>
      </c>
      <c r="L767" s="235">
        <f>'Basis Options'!U770</f>
        <v>-4575.0961786969747</v>
      </c>
      <c r="M767" s="380">
        <f>'Basis Options'!Q770</f>
        <v>36829</v>
      </c>
      <c r="N767" t="str">
        <f>'Basis Options'!F770</f>
        <v>C</v>
      </c>
      <c r="O767">
        <f>'Basis Options'!I770</f>
        <v>0.15</v>
      </c>
      <c r="P767">
        <v>0</v>
      </c>
      <c r="Q767">
        <v>0</v>
      </c>
      <c r="R767">
        <v>0</v>
      </c>
      <c r="S767">
        <v>0</v>
      </c>
      <c r="T767" t="s">
        <v>253</v>
      </c>
      <c r="U767" t="str">
        <f>IF('Basis Options'!D770="NGI/CHI. GATE","""NGI/CHI. GATE""",TRIM('Basis Options'!D770))</f>
        <v>"NGI/CHI. GATE"</v>
      </c>
      <c r="V767" t="s">
        <v>253</v>
      </c>
      <c r="W767" t="s">
        <v>132</v>
      </c>
      <c r="X767" t="s">
        <v>253</v>
      </c>
      <c r="Y767" t="s">
        <v>235</v>
      </c>
      <c r="Z767" t="s">
        <v>236</v>
      </c>
      <c r="AA767" t="s">
        <v>253</v>
      </c>
      <c r="AB767" t="s">
        <v>1</v>
      </c>
      <c r="AC767" s="235">
        <f>'Basis Options'!H770</f>
        <v>-300000</v>
      </c>
      <c r="AD767" s="235">
        <f>'Basis Options'!W770</f>
        <v>-1715.875221101247</v>
      </c>
      <c r="AE767">
        <v>0</v>
      </c>
      <c r="AF767">
        <v>0</v>
      </c>
      <c r="AG767">
        <v>0</v>
      </c>
      <c r="AH767" s="235">
        <f>'Basis Options'!CD772</f>
        <v>0</v>
      </c>
      <c r="AI767">
        <v>226</v>
      </c>
      <c r="AJ767" t="s">
        <v>256</v>
      </c>
      <c r="AK767">
        <v>0</v>
      </c>
      <c r="AL767">
        <v>0</v>
      </c>
      <c r="AM767">
        <v>0</v>
      </c>
    </row>
    <row r="768" spans="1:39" x14ac:dyDescent="0.25">
      <c r="A768" t="s">
        <v>233</v>
      </c>
      <c r="B768" t="str">
        <f>'Basis Options'!C771</f>
        <v>NW3289</v>
      </c>
      <c r="C768" t="s">
        <v>255</v>
      </c>
      <c r="D768" t="s">
        <v>234</v>
      </c>
      <c r="E768" t="s">
        <v>20</v>
      </c>
      <c r="F768" t="str">
        <f>'Basis Options'!A771</f>
        <v>CMSMARSERTRA</v>
      </c>
      <c r="G768" t="s">
        <v>269</v>
      </c>
      <c r="H768" t="s">
        <v>254</v>
      </c>
      <c r="I768" t="s">
        <v>242</v>
      </c>
      <c r="J768" t="s">
        <v>235</v>
      </c>
      <c r="K768" s="380">
        <f>'Basis Options'!G771</f>
        <v>36861</v>
      </c>
      <c r="L768" s="235">
        <f>'Basis Options'!U771</f>
        <v>-8403.5638296911038</v>
      </c>
      <c r="M768" s="380">
        <f>'Basis Options'!Q771</f>
        <v>36859</v>
      </c>
      <c r="N768" t="str">
        <f>'Basis Options'!F771</f>
        <v>C</v>
      </c>
      <c r="O768">
        <f>'Basis Options'!I771</f>
        <v>0.15</v>
      </c>
      <c r="P768">
        <v>0</v>
      </c>
      <c r="Q768">
        <v>0</v>
      </c>
      <c r="R768">
        <v>0</v>
      </c>
      <c r="S768">
        <v>0</v>
      </c>
      <c r="T768" t="s">
        <v>253</v>
      </c>
      <c r="U768" t="str">
        <f>IF('Basis Options'!D771="NGI/CHI. GATE","""NGI/CHI. GATE""",TRIM('Basis Options'!D771))</f>
        <v>"NGI/CHI. GATE"</v>
      </c>
      <c r="V768" t="s">
        <v>253</v>
      </c>
      <c r="W768" t="s">
        <v>132</v>
      </c>
      <c r="X768" t="s">
        <v>253</v>
      </c>
      <c r="Y768" t="s">
        <v>235</v>
      </c>
      <c r="Z768" t="s">
        <v>236</v>
      </c>
      <c r="AA768" t="s">
        <v>253</v>
      </c>
      <c r="AB768" t="s">
        <v>1</v>
      </c>
      <c r="AC768" s="235">
        <f>'Basis Options'!H771</f>
        <v>-310000</v>
      </c>
      <c r="AD768" s="235">
        <f>'Basis Options'!W771</f>
        <v>-2441.5593032290344</v>
      </c>
      <c r="AE768">
        <v>0</v>
      </c>
      <c r="AF768">
        <v>0</v>
      </c>
      <c r="AG768">
        <v>0</v>
      </c>
      <c r="AH768" s="235">
        <f>'Basis Options'!CD773</f>
        <v>0</v>
      </c>
      <c r="AI768">
        <v>226</v>
      </c>
      <c r="AJ768" t="s">
        <v>256</v>
      </c>
      <c r="AK768">
        <v>0</v>
      </c>
      <c r="AL768">
        <v>0</v>
      </c>
      <c r="AM768">
        <v>0</v>
      </c>
    </row>
    <row r="769" spans="1:39" x14ac:dyDescent="0.25">
      <c r="A769" t="s">
        <v>233</v>
      </c>
      <c r="B769" t="str">
        <f>'Basis Options'!C772</f>
        <v>NW3289</v>
      </c>
      <c r="C769" t="s">
        <v>255</v>
      </c>
      <c r="D769" t="s">
        <v>234</v>
      </c>
      <c r="E769" t="s">
        <v>20</v>
      </c>
      <c r="F769" t="str">
        <f>'Basis Options'!A772</f>
        <v>CMSMARSERTRA</v>
      </c>
      <c r="G769" t="s">
        <v>269</v>
      </c>
      <c r="H769" t="s">
        <v>254</v>
      </c>
      <c r="I769" t="s">
        <v>242</v>
      </c>
      <c r="J769" t="s">
        <v>235</v>
      </c>
      <c r="K769" s="380">
        <f>'Basis Options'!G772</f>
        <v>36892</v>
      </c>
      <c r="L769" s="235">
        <f>'Basis Options'!U772</f>
        <v>-13729.297102695706</v>
      </c>
      <c r="M769" s="380">
        <f>'Basis Options'!Q772</f>
        <v>36888</v>
      </c>
      <c r="N769" t="str">
        <f>'Basis Options'!F772</f>
        <v>C</v>
      </c>
      <c r="O769">
        <f>'Basis Options'!I772</f>
        <v>0.15</v>
      </c>
      <c r="P769">
        <v>0</v>
      </c>
      <c r="Q769">
        <v>0</v>
      </c>
      <c r="R769">
        <v>0</v>
      </c>
      <c r="S769">
        <v>0</v>
      </c>
      <c r="T769" t="s">
        <v>253</v>
      </c>
      <c r="U769" t="str">
        <f>IF('Basis Options'!D772="NGI/CHI. GATE","""NGI/CHI. GATE""",TRIM('Basis Options'!D772))</f>
        <v>"NGI/CHI. GATE"</v>
      </c>
      <c r="V769" t="s">
        <v>253</v>
      </c>
      <c r="W769" t="s">
        <v>132</v>
      </c>
      <c r="X769" t="s">
        <v>253</v>
      </c>
      <c r="Y769" t="s">
        <v>235</v>
      </c>
      <c r="Z769" t="s">
        <v>236</v>
      </c>
      <c r="AA769" t="s">
        <v>253</v>
      </c>
      <c r="AB769" t="s">
        <v>1</v>
      </c>
      <c r="AC769" s="235">
        <f>'Basis Options'!H772</f>
        <v>-310000</v>
      </c>
      <c r="AD769" s="235">
        <f>'Basis Options'!W772</f>
        <v>-2999.3210752113955</v>
      </c>
      <c r="AE769">
        <v>0</v>
      </c>
      <c r="AF769">
        <v>0</v>
      </c>
      <c r="AG769">
        <v>0</v>
      </c>
      <c r="AH769" s="235">
        <f>'Basis Options'!CD774</f>
        <v>0</v>
      </c>
      <c r="AI769">
        <v>226</v>
      </c>
      <c r="AJ769" t="s">
        <v>256</v>
      </c>
      <c r="AK769">
        <v>0</v>
      </c>
      <c r="AL769">
        <v>0</v>
      </c>
      <c r="AM769">
        <v>0</v>
      </c>
    </row>
    <row r="770" spans="1:39" x14ac:dyDescent="0.25">
      <c r="A770" t="s">
        <v>233</v>
      </c>
      <c r="B770" t="str">
        <f>'Basis Options'!C773</f>
        <v>NW3289</v>
      </c>
      <c r="C770" t="s">
        <v>255</v>
      </c>
      <c r="D770" t="s">
        <v>234</v>
      </c>
      <c r="E770" t="s">
        <v>20</v>
      </c>
      <c r="F770" t="str">
        <f>'Basis Options'!A773</f>
        <v>CMSMARSERTRA</v>
      </c>
      <c r="G770" t="s">
        <v>269</v>
      </c>
      <c r="H770" t="s">
        <v>254</v>
      </c>
      <c r="I770" t="s">
        <v>242</v>
      </c>
      <c r="J770" t="s">
        <v>235</v>
      </c>
      <c r="K770" s="380">
        <f>'Basis Options'!G773</f>
        <v>36923</v>
      </c>
      <c r="L770" s="235">
        <f>'Basis Options'!U773</f>
        <v>-14448.533081422027</v>
      </c>
      <c r="M770" s="380">
        <f>'Basis Options'!Q773</f>
        <v>36921</v>
      </c>
      <c r="N770" t="str">
        <f>'Basis Options'!F773</f>
        <v>C</v>
      </c>
      <c r="O770">
        <f>'Basis Options'!I773</f>
        <v>0.15</v>
      </c>
      <c r="P770">
        <v>0</v>
      </c>
      <c r="Q770">
        <v>0</v>
      </c>
      <c r="R770">
        <v>0</v>
      </c>
      <c r="S770">
        <v>0</v>
      </c>
      <c r="T770" t="s">
        <v>253</v>
      </c>
      <c r="U770" t="str">
        <f>IF('Basis Options'!D773="NGI/CHI. GATE","""NGI/CHI. GATE""",TRIM('Basis Options'!D773))</f>
        <v>"NGI/CHI. GATE"</v>
      </c>
      <c r="V770" t="s">
        <v>253</v>
      </c>
      <c r="W770" t="s">
        <v>132</v>
      </c>
      <c r="X770" t="s">
        <v>253</v>
      </c>
      <c r="Y770" t="s">
        <v>235</v>
      </c>
      <c r="Z770" t="s">
        <v>236</v>
      </c>
      <c r="AA770" t="s">
        <v>253</v>
      </c>
      <c r="AB770" t="s">
        <v>1</v>
      </c>
      <c r="AC770" s="235">
        <f>'Basis Options'!H773</f>
        <v>-280000</v>
      </c>
      <c r="AD770" s="235">
        <f>'Basis Options'!W773</f>
        <v>-2979.4884276889934</v>
      </c>
      <c r="AE770">
        <v>0</v>
      </c>
      <c r="AF770">
        <v>0</v>
      </c>
      <c r="AG770">
        <v>0</v>
      </c>
      <c r="AH770" s="235">
        <f>'Basis Options'!CD775</f>
        <v>0</v>
      </c>
      <c r="AI770">
        <v>226</v>
      </c>
      <c r="AJ770" t="s">
        <v>256</v>
      </c>
      <c r="AK770">
        <v>0</v>
      </c>
      <c r="AL770">
        <v>0</v>
      </c>
      <c r="AM770">
        <v>0</v>
      </c>
    </row>
    <row r="771" spans="1:39" x14ac:dyDescent="0.25">
      <c r="A771" t="s">
        <v>233</v>
      </c>
      <c r="B771" t="str">
        <f>'Basis Options'!C774</f>
        <v>NW3289</v>
      </c>
      <c r="C771" t="s">
        <v>255</v>
      </c>
      <c r="D771" t="s">
        <v>234</v>
      </c>
      <c r="E771" t="s">
        <v>20</v>
      </c>
      <c r="F771" t="str">
        <f>'Basis Options'!A774</f>
        <v>CMSMARSERTRA</v>
      </c>
      <c r="G771" t="s">
        <v>269</v>
      </c>
      <c r="H771" t="s">
        <v>254</v>
      </c>
      <c r="I771" t="s">
        <v>242</v>
      </c>
      <c r="J771" t="s">
        <v>235</v>
      </c>
      <c r="K771" s="380">
        <f>'Basis Options'!G774</f>
        <v>36951</v>
      </c>
      <c r="L771" s="235">
        <f>'Basis Options'!U774</f>
        <v>-12624.13169612057</v>
      </c>
      <c r="M771" s="380">
        <f>'Basis Options'!Q774</f>
        <v>36949</v>
      </c>
      <c r="N771" t="str">
        <f>'Basis Options'!F774</f>
        <v>C</v>
      </c>
      <c r="O771">
        <f>'Basis Options'!I774</f>
        <v>0.15</v>
      </c>
      <c r="P771">
        <v>0</v>
      </c>
      <c r="Q771">
        <v>0</v>
      </c>
      <c r="R771">
        <v>0</v>
      </c>
      <c r="S771">
        <v>0</v>
      </c>
      <c r="T771" t="s">
        <v>253</v>
      </c>
      <c r="U771" t="str">
        <f>IF('Basis Options'!D774="NGI/CHI. GATE","""NGI/CHI. GATE""",TRIM('Basis Options'!D774))</f>
        <v>"NGI/CHI. GATE"</v>
      </c>
      <c r="V771" t="s">
        <v>253</v>
      </c>
      <c r="W771" t="s">
        <v>132</v>
      </c>
      <c r="X771" t="s">
        <v>253</v>
      </c>
      <c r="Y771" t="s">
        <v>235</v>
      </c>
      <c r="Z771" t="s">
        <v>236</v>
      </c>
      <c r="AA771" t="s">
        <v>253</v>
      </c>
      <c r="AB771" t="s">
        <v>1</v>
      </c>
      <c r="AC771" s="235">
        <f>'Basis Options'!H774</f>
        <v>-310000</v>
      </c>
      <c r="AD771" s="235">
        <f>'Basis Options'!W774</f>
        <v>-3138.792348302959</v>
      </c>
      <c r="AE771">
        <v>0</v>
      </c>
      <c r="AF771">
        <v>0</v>
      </c>
      <c r="AG771">
        <v>0</v>
      </c>
      <c r="AH771" s="235">
        <f>'Basis Options'!CD776</f>
        <v>0</v>
      </c>
      <c r="AI771">
        <v>226</v>
      </c>
      <c r="AJ771" t="s">
        <v>256</v>
      </c>
      <c r="AK771">
        <v>0</v>
      </c>
      <c r="AL771">
        <v>0</v>
      </c>
      <c r="AM771">
        <v>0</v>
      </c>
    </row>
    <row r="772" spans="1:39" x14ac:dyDescent="0.25">
      <c r="A772" t="s">
        <v>233</v>
      </c>
      <c r="B772" t="str">
        <f>'Basis Options'!C775</f>
        <v>NW5608</v>
      </c>
      <c r="C772" t="s">
        <v>255</v>
      </c>
      <c r="D772" t="s">
        <v>234</v>
      </c>
      <c r="E772" t="s">
        <v>20</v>
      </c>
      <c r="F772" t="str">
        <f>'Basis Options'!A775</f>
        <v>WILLIAMSENEMAR</v>
      </c>
      <c r="G772" t="s">
        <v>269</v>
      </c>
      <c r="H772" t="s">
        <v>254</v>
      </c>
      <c r="I772" t="s">
        <v>242</v>
      </c>
      <c r="J772" t="s">
        <v>235</v>
      </c>
      <c r="K772" s="380">
        <f>'Basis Options'!G775</f>
        <v>36831</v>
      </c>
      <c r="L772" s="235">
        <f>'Basis Options'!U775</f>
        <v>-4575.0961786969747</v>
      </c>
      <c r="M772" s="380">
        <f>'Basis Options'!Q775</f>
        <v>36829</v>
      </c>
      <c r="N772" t="str">
        <f>'Basis Options'!F775</f>
        <v>C</v>
      </c>
      <c r="O772">
        <f>'Basis Options'!I775</f>
        <v>0.15</v>
      </c>
      <c r="P772">
        <v>0</v>
      </c>
      <c r="Q772">
        <v>0</v>
      </c>
      <c r="R772">
        <v>0</v>
      </c>
      <c r="S772">
        <v>0</v>
      </c>
      <c r="T772" t="s">
        <v>253</v>
      </c>
      <c r="U772" t="str">
        <f>IF('Basis Options'!D775="NGI/CHI. GATE","""NGI/CHI. GATE""",TRIM('Basis Options'!D775))</f>
        <v>"NGI/CHI. GATE"</v>
      </c>
      <c r="V772" t="s">
        <v>253</v>
      </c>
      <c r="W772" t="s">
        <v>132</v>
      </c>
      <c r="X772" t="s">
        <v>253</v>
      </c>
      <c r="Y772" t="s">
        <v>235</v>
      </c>
      <c r="Z772" t="s">
        <v>236</v>
      </c>
      <c r="AA772" t="s">
        <v>253</v>
      </c>
      <c r="AB772" t="s">
        <v>1</v>
      </c>
      <c r="AC772" s="235">
        <f>'Basis Options'!H775</f>
        <v>-300000</v>
      </c>
      <c r="AD772" s="235">
        <f>'Basis Options'!W775</f>
        <v>-1715.875221101247</v>
      </c>
      <c r="AE772">
        <v>0</v>
      </c>
      <c r="AF772">
        <v>0</v>
      </c>
      <c r="AG772">
        <v>0</v>
      </c>
      <c r="AH772" s="235">
        <f>'Basis Options'!CD777</f>
        <v>0</v>
      </c>
      <c r="AI772">
        <v>226</v>
      </c>
      <c r="AJ772" t="s">
        <v>256</v>
      </c>
      <c r="AK772">
        <v>0</v>
      </c>
      <c r="AL772">
        <v>0</v>
      </c>
      <c r="AM772">
        <v>0</v>
      </c>
    </row>
    <row r="773" spans="1:39" x14ac:dyDescent="0.25">
      <c r="A773" t="s">
        <v>233</v>
      </c>
      <c r="B773" t="str">
        <f>'Basis Options'!C776</f>
        <v>NW5608</v>
      </c>
      <c r="C773" t="s">
        <v>255</v>
      </c>
      <c r="D773" t="s">
        <v>234</v>
      </c>
      <c r="E773" t="s">
        <v>20</v>
      </c>
      <c r="F773" t="str">
        <f>'Basis Options'!A776</f>
        <v>WILLIAMSENEMAR</v>
      </c>
      <c r="G773" t="s">
        <v>269</v>
      </c>
      <c r="H773" t="s">
        <v>254</v>
      </c>
      <c r="I773" t="s">
        <v>242</v>
      </c>
      <c r="J773" t="s">
        <v>235</v>
      </c>
      <c r="K773" s="380">
        <f>'Basis Options'!G776</f>
        <v>36861</v>
      </c>
      <c r="L773" s="235">
        <f>'Basis Options'!U776</f>
        <v>-8403.5638296911038</v>
      </c>
      <c r="M773" s="380">
        <f>'Basis Options'!Q776</f>
        <v>36859</v>
      </c>
      <c r="N773" t="str">
        <f>'Basis Options'!F776</f>
        <v>C</v>
      </c>
      <c r="O773">
        <f>'Basis Options'!I776</f>
        <v>0.15</v>
      </c>
      <c r="P773">
        <v>0</v>
      </c>
      <c r="Q773">
        <v>0</v>
      </c>
      <c r="R773">
        <v>0</v>
      </c>
      <c r="S773">
        <v>0</v>
      </c>
      <c r="T773" t="s">
        <v>253</v>
      </c>
      <c r="U773" t="str">
        <f>IF('Basis Options'!D776="NGI/CHI. GATE","""NGI/CHI. GATE""",TRIM('Basis Options'!D776))</f>
        <v>"NGI/CHI. GATE"</v>
      </c>
      <c r="V773" t="s">
        <v>253</v>
      </c>
      <c r="W773" t="s">
        <v>132</v>
      </c>
      <c r="X773" t="s">
        <v>253</v>
      </c>
      <c r="Y773" t="s">
        <v>235</v>
      </c>
      <c r="Z773" t="s">
        <v>236</v>
      </c>
      <c r="AA773" t="s">
        <v>253</v>
      </c>
      <c r="AB773" t="s">
        <v>1</v>
      </c>
      <c r="AC773" s="235">
        <f>'Basis Options'!H776</f>
        <v>-310000</v>
      </c>
      <c r="AD773" s="235">
        <f>'Basis Options'!W776</f>
        <v>-2441.5593032290344</v>
      </c>
      <c r="AE773">
        <v>0</v>
      </c>
      <c r="AF773">
        <v>0</v>
      </c>
      <c r="AG773">
        <v>0</v>
      </c>
      <c r="AH773" s="235">
        <f>'Basis Options'!CD778</f>
        <v>0</v>
      </c>
      <c r="AI773">
        <v>226</v>
      </c>
      <c r="AJ773" t="s">
        <v>256</v>
      </c>
      <c r="AK773">
        <v>0</v>
      </c>
      <c r="AL773">
        <v>0</v>
      </c>
      <c r="AM773">
        <v>0</v>
      </c>
    </row>
    <row r="774" spans="1:39" x14ac:dyDescent="0.25">
      <c r="A774" t="s">
        <v>233</v>
      </c>
      <c r="B774" t="str">
        <f>'Basis Options'!C777</f>
        <v>NW5608</v>
      </c>
      <c r="C774" t="s">
        <v>255</v>
      </c>
      <c r="D774" t="s">
        <v>234</v>
      </c>
      <c r="E774" t="s">
        <v>20</v>
      </c>
      <c r="F774" t="str">
        <f>'Basis Options'!A777</f>
        <v>WILLIAMSENEMAR</v>
      </c>
      <c r="G774" t="s">
        <v>269</v>
      </c>
      <c r="H774" t="s">
        <v>254</v>
      </c>
      <c r="I774" t="s">
        <v>242</v>
      </c>
      <c r="J774" t="s">
        <v>235</v>
      </c>
      <c r="K774" s="380">
        <f>'Basis Options'!G777</f>
        <v>36892</v>
      </c>
      <c r="L774" s="235">
        <f>'Basis Options'!U777</f>
        <v>-13729.297102695706</v>
      </c>
      <c r="M774" s="380">
        <f>'Basis Options'!Q777</f>
        <v>36888</v>
      </c>
      <c r="N774" t="str">
        <f>'Basis Options'!F777</f>
        <v>C</v>
      </c>
      <c r="O774">
        <f>'Basis Options'!I777</f>
        <v>0.15</v>
      </c>
      <c r="P774">
        <v>0</v>
      </c>
      <c r="Q774">
        <v>0</v>
      </c>
      <c r="R774">
        <v>0</v>
      </c>
      <c r="S774">
        <v>0</v>
      </c>
      <c r="T774" t="s">
        <v>253</v>
      </c>
      <c r="U774" t="str">
        <f>IF('Basis Options'!D777="NGI/CHI. GATE","""NGI/CHI. GATE""",TRIM('Basis Options'!D777))</f>
        <v>"NGI/CHI. GATE"</v>
      </c>
      <c r="V774" t="s">
        <v>253</v>
      </c>
      <c r="W774" t="s">
        <v>132</v>
      </c>
      <c r="X774" t="s">
        <v>253</v>
      </c>
      <c r="Y774" t="s">
        <v>235</v>
      </c>
      <c r="Z774" t="s">
        <v>236</v>
      </c>
      <c r="AA774" t="s">
        <v>253</v>
      </c>
      <c r="AB774" t="s">
        <v>1</v>
      </c>
      <c r="AC774" s="235">
        <f>'Basis Options'!H777</f>
        <v>-310000</v>
      </c>
      <c r="AD774" s="235">
        <f>'Basis Options'!W777</f>
        <v>-2999.3210752113955</v>
      </c>
      <c r="AE774">
        <v>0</v>
      </c>
      <c r="AF774">
        <v>0</v>
      </c>
      <c r="AG774">
        <v>0</v>
      </c>
      <c r="AH774" s="235">
        <f>'Basis Options'!CD779</f>
        <v>0</v>
      </c>
      <c r="AI774">
        <v>226</v>
      </c>
      <c r="AJ774" t="s">
        <v>256</v>
      </c>
      <c r="AK774">
        <v>0</v>
      </c>
      <c r="AL774">
        <v>0</v>
      </c>
      <c r="AM774">
        <v>0</v>
      </c>
    </row>
    <row r="775" spans="1:39" x14ac:dyDescent="0.25">
      <c r="A775" t="s">
        <v>233</v>
      </c>
      <c r="B775" t="str">
        <f>'Basis Options'!C778</f>
        <v>NW5608</v>
      </c>
      <c r="C775" t="s">
        <v>255</v>
      </c>
      <c r="D775" t="s">
        <v>234</v>
      </c>
      <c r="E775" t="s">
        <v>20</v>
      </c>
      <c r="F775" t="str">
        <f>'Basis Options'!A778</f>
        <v>WILLIAMSENEMAR</v>
      </c>
      <c r="G775" t="s">
        <v>269</v>
      </c>
      <c r="H775" t="s">
        <v>254</v>
      </c>
      <c r="I775" t="s">
        <v>242</v>
      </c>
      <c r="J775" t="s">
        <v>235</v>
      </c>
      <c r="K775" s="380">
        <f>'Basis Options'!G778</f>
        <v>36923</v>
      </c>
      <c r="L775" s="235">
        <f>'Basis Options'!U778</f>
        <v>-14448.533081422027</v>
      </c>
      <c r="M775" s="380">
        <f>'Basis Options'!Q778</f>
        <v>36921</v>
      </c>
      <c r="N775" t="str">
        <f>'Basis Options'!F778</f>
        <v>C</v>
      </c>
      <c r="O775">
        <f>'Basis Options'!I778</f>
        <v>0.15</v>
      </c>
      <c r="P775">
        <v>0</v>
      </c>
      <c r="Q775">
        <v>0</v>
      </c>
      <c r="R775">
        <v>0</v>
      </c>
      <c r="S775">
        <v>0</v>
      </c>
      <c r="T775" t="s">
        <v>253</v>
      </c>
      <c r="U775" t="str">
        <f>IF('Basis Options'!D778="NGI/CHI. GATE","""NGI/CHI. GATE""",TRIM('Basis Options'!D778))</f>
        <v>"NGI/CHI. GATE"</v>
      </c>
      <c r="V775" t="s">
        <v>253</v>
      </c>
      <c r="W775" t="s">
        <v>132</v>
      </c>
      <c r="X775" t="s">
        <v>253</v>
      </c>
      <c r="Y775" t="s">
        <v>235</v>
      </c>
      <c r="Z775" t="s">
        <v>236</v>
      </c>
      <c r="AA775" t="s">
        <v>253</v>
      </c>
      <c r="AB775" t="s">
        <v>1</v>
      </c>
      <c r="AC775" s="235">
        <f>'Basis Options'!H778</f>
        <v>-280000</v>
      </c>
      <c r="AD775" s="235">
        <f>'Basis Options'!W778</f>
        <v>-2979.4884276889934</v>
      </c>
      <c r="AE775">
        <v>0</v>
      </c>
      <c r="AF775">
        <v>0</v>
      </c>
      <c r="AG775">
        <v>0</v>
      </c>
      <c r="AH775" s="235">
        <f>'Basis Options'!CD780</f>
        <v>0</v>
      </c>
      <c r="AI775">
        <v>226</v>
      </c>
      <c r="AJ775" t="s">
        <v>256</v>
      </c>
      <c r="AK775">
        <v>0</v>
      </c>
      <c r="AL775">
        <v>0</v>
      </c>
      <c r="AM775">
        <v>0</v>
      </c>
    </row>
    <row r="776" spans="1:39" x14ac:dyDescent="0.25">
      <c r="A776" t="s">
        <v>233</v>
      </c>
      <c r="B776" t="str">
        <f>'Basis Options'!C779</f>
        <v>NW5608</v>
      </c>
      <c r="C776" t="s">
        <v>255</v>
      </c>
      <c r="D776" t="s">
        <v>234</v>
      </c>
      <c r="E776" t="s">
        <v>20</v>
      </c>
      <c r="F776" t="str">
        <f>'Basis Options'!A779</f>
        <v>WILLIAMSENEMAR</v>
      </c>
      <c r="G776" t="s">
        <v>269</v>
      </c>
      <c r="H776" t="s">
        <v>254</v>
      </c>
      <c r="I776" t="s">
        <v>242</v>
      </c>
      <c r="J776" t="s">
        <v>235</v>
      </c>
      <c r="K776" s="380">
        <f>'Basis Options'!G779</f>
        <v>36951</v>
      </c>
      <c r="L776" s="235">
        <f>'Basis Options'!U779</f>
        <v>-12624.13169612057</v>
      </c>
      <c r="M776" s="380">
        <f>'Basis Options'!Q779</f>
        <v>36949</v>
      </c>
      <c r="N776" t="str">
        <f>'Basis Options'!F779</f>
        <v>C</v>
      </c>
      <c r="O776">
        <f>'Basis Options'!I779</f>
        <v>0.15</v>
      </c>
      <c r="P776">
        <v>0</v>
      </c>
      <c r="Q776">
        <v>0</v>
      </c>
      <c r="R776">
        <v>0</v>
      </c>
      <c r="S776">
        <v>0</v>
      </c>
      <c r="T776" t="s">
        <v>253</v>
      </c>
      <c r="U776" t="str">
        <f>IF('Basis Options'!D779="NGI/CHI. GATE","""NGI/CHI. GATE""",TRIM('Basis Options'!D779))</f>
        <v>"NGI/CHI. GATE"</v>
      </c>
      <c r="V776" t="s">
        <v>253</v>
      </c>
      <c r="W776" t="s">
        <v>132</v>
      </c>
      <c r="X776" t="s">
        <v>253</v>
      </c>
      <c r="Y776" t="s">
        <v>235</v>
      </c>
      <c r="Z776" t="s">
        <v>236</v>
      </c>
      <c r="AA776" t="s">
        <v>253</v>
      </c>
      <c r="AB776" t="s">
        <v>1</v>
      </c>
      <c r="AC776" s="235">
        <f>'Basis Options'!H779</f>
        <v>-310000</v>
      </c>
      <c r="AD776" s="235">
        <f>'Basis Options'!W779</f>
        <v>-3138.792348302959</v>
      </c>
      <c r="AE776">
        <v>0</v>
      </c>
      <c r="AF776">
        <v>0</v>
      </c>
      <c r="AG776">
        <v>0</v>
      </c>
      <c r="AH776" s="235">
        <f>'Basis Options'!CD781</f>
        <v>0</v>
      </c>
      <c r="AI776">
        <v>226</v>
      </c>
      <c r="AJ776" t="s">
        <v>256</v>
      </c>
      <c r="AK776">
        <v>0</v>
      </c>
      <c r="AL776">
        <v>0</v>
      </c>
      <c r="AM776">
        <v>0</v>
      </c>
    </row>
    <row r="777" spans="1:39" x14ac:dyDescent="0.25">
      <c r="A777" t="s">
        <v>233</v>
      </c>
      <c r="B777" t="str">
        <f>'Basis Options'!C780</f>
        <v>NW5620</v>
      </c>
      <c r="C777" t="s">
        <v>255</v>
      </c>
      <c r="D777" t="s">
        <v>234</v>
      </c>
      <c r="E777" t="s">
        <v>20</v>
      </c>
      <c r="F777" t="str">
        <f>'Basis Options'!A780</f>
        <v>KOCHENETRA</v>
      </c>
      <c r="G777" t="s">
        <v>269</v>
      </c>
      <c r="H777" t="s">
        <v>254</v>
      </c>
      <c r="I777" t="s">
        <v>242</v>
      </c>
      <c r="J777" t="s">
        <v>235</v>
      </c>
      <c r="K777" s="380">
        <f>'Basis Options'!G780</f>
        <v>36831</v>
      </c>
      <c r="L777" s="235">
        <f>'Basis Options'!U780</f>
        <v>-4575.0961786969747</v>
      </c>
      <c r="M777" s="380">
        <f>'Basis Options'!Q780</f>
        <v>36829</v>
      </c>
      <c r="N777" t="str">
        <f>'Basis Options'!F780</f>
        <v>C</v>
      </c>
      <c r="O777">
        <f>'Basis Options'!I780</f>
        <v>0.15</v>
      </c>
      <c r="P777">
        <v>0</v>
      </c>
      <c r="Q777">
        <v>0</v>
      </c>
      <c r="R777">
        <v>0</v>
      </c>
      <c r="S777">
        <v>0</v>
      </c>
      <c r="T777" t="s">
        <v>253</v>
      </c>
      <c r="U777" t="str">
        <f>IF('Basis Options'!D780="NGI/CHI. GATE","""NGI/CHI. GATE""",TRIM('Basis Options'!D780))</f>
        <v>"NGI/CHI. GATE"</v>
      </c>
      <c r="V777" t="s">
        <v>253</v>
      </c>
      <c r="W777" t="s">
        <v>132</v>
      </c>
      <c r="X777" t="s">
        <v>253</v>
      </c>
      <c r="Y777" t="s">
        <v>235</v>
      </c>
      <c r="Z777" t="s">
        <v>236</v>
      </c>
      <c r="AA777" t="s">
        <v>253</v>
      </c>
      <c r="AB777" t="s">
        <v>1</v>
      </c>
      <c r="AC777" s="235">
        <f>'Basis Options'!H780</f>
        <v>-300000</v>
      </c>
      <c r="AD777" s="235">
        <f>'Basis Options'!W780</f>
        <v>-1715.875221101247</v>
      </c>
      <c r="AE777">
        <v>0</v>
      </c>
      <c r="AF777">
        <v>0</v>
      </c>
      <c r="AG777">
        <v>0</v>
      </c>
      <c r="AH777" s="235">
        <f>'Basis Options'!CD782</f>
        <v>0</v>
      </c>
      <c r="AI777">
        <v>226</v>
      </c>
      <c r="AJ777" t="s">
        <v>256</v>
      </c>
      <c r="AK777">
        <v>0</v>
      </c>
      <c r="AL777">
        <v>0</v>
      </c>
      <c r="AM777">
        <v>0</v>
      </c>
    </row>
    <row r="778" spans="1:39" x14ac:dyDescent="0.25">
      <c r="A778" t="s">
        <v>233</v>
      </c>
      <c r="B778" t="str">
        <f>'Basis Options'!C781</f>
        <v>NW5620</v>
      </c>
      <c r="C778" t="s">
        <v>255</v>
      </c>
      <c r="D778" t="s">
        <v>234</v>
      </c>
      <c r="E778" t="s">
        <v>20</v>
      </c>
      <c r="F778" t="str">
        <f>'Basis Options'!A781</f>
        <v>KOCHENETRA</v>
      </c>
      <c r="G778" t="s">
        <v>269</v>
      </c>
      <c r="H778" t="s">
        <v>254</v>
      </c>
      <c r="I778" t="s">
        <v>242</v>
      </c>
      <c r="J778" t="s">
        <v>235</v>
      </c>
      <c r="K778" s="380">
        <f>'Basis Options'!G781</f>
        <v>36861</v>
      </c>
      <c r="L778" s="235">
        <f>'Basis Options'!U781</f>
        <v>-8403.5638296911038</v>
      </c>
      <c r="M778" s="380">
        <f>'Basis Options'!Q781</f>
        <v>36859</v>
      </c>
      <c r="N778" t="str">
        <f>'Basis Options'!F781</f>
        <v>C</v>
      </c>
      <c r="O778">
        <f>'Basis Options'!I781</f>
        <v>0.15</v>
      </c>
      <c r="P778">
        <v>0</v>
      </c>
      <c r="Q778">
        <v>0</v>
      </c>
      <c r="R778">
        <v>0</v>
      </c>
      <c r="S778">
        <v>0</v>
      </c>
      <c r="T778" t="s">
        <v>253</v>
      </c>
      <c r="U778" t="str">
        <f>IF('Basis Options'!D781="NGI/CHI. GATE","""NGI/CHI. GATE""",TRIM('Basis Options'!D781))</f>
        <v>"NGI/CHI. GATE"</v>
      </c>
      <c r="V778" t="s">
        <v>253</v>
      </c>
      <c r="W778" t="s">
        <v>132</v>
      </c>
      <c r="X778" t="s">
        <v>253</v>
      </c>
      <c r="Y778" t="s">
        <v>235</v>
      </c>
      <c r="Z778" t="s">
        <v>236</v>
      </c>
      <c r="AA778" t="s">
        <v>253</v>
      </c>
      <c r="AB778" t="s">
        <v>1</v>
      </c>
      <c r="AC778" s="235">
        <f>'Basis Options'!H781</f>
        <v>-310000</v>
      </c>
      <c r="AD778" s="235">
        <f>'Basis Options'!W781</f>
        <v>-2441.5593032290344</v>
      </c>
      <c r="AE778">
        <v>0</v>
      </c>
      <c r="AF778">
        <v>0</v>
      </c>
      <c r="AG778">
        <v>0</v>
      </c>
      <c r="AH778" s="235">
        <f>'Basis Options'!CD783</f>
        <v>0</v>
      </c>
      <c r="AI778">
        <v>226</v>
      </c>
      <c r="AJ778" t="s">
        <v>256</v>
      </c>
      <c r="AK778">
        <v>0</v>
      </c>
      <c r="AL778">
        <v>0</v>
      </c>
      <c r="AM778">
        <v>0</v>
      </c>
    </row>
    <row r="779" spans="1:39" x14ac:dyDescent="0.25">
      <c r="A779" t="s">
        <v>233</v>
      </c>
      <c r="B779" t="str">
        <f>'Basis Options'!C782</f>
        <v>NW5620</v>
      </c>
      <c r="C779" t="s">
        <v>255</v>
      </c>
      <c r="D779" t="s">
        <v>234</v>
      </c>
      <c r="E779" t="s">
        <v>20</v>
      </c>
      <c r="F779" t="str">
        <f>'Basis Options'!A782</f>
        <v>KOCHENETRA</v>
      </c>
      <c r="G779" t="s">
        <v>269</v>
      </c>
      <c r="H779" t="s">
        <v>254</v>
      </c>
      <c r="I779" t="s">
        <v>242</v>
      </c>
      <c r="J779" t="s">
        <v>235</v>
      </c>
      <c r="K779" s="380">
        <f>'Basis Options'!G782</f>
        <v>36892</v>
      </c>
      <c r="L779" s="235">
        <f>'Basis Options'!U782</f>
        <v>-13729.297102695706</v>
      </c>
      <c r="M779" s="380">
        <f>'Basis Options'!Q782</f>
        <v>36888</v>
      </c>
      <c r="N779" t="str">
        <f>'Basis Options'!F782</f>
        <v>C</v>
      </c>
      <c r="O779">
        <f>'Basis Options'!I782</f>
        <v>0.15</v>
      </c>
      <c r="P779">
        <v>0</v>
      </c>
      <c r="Q779">
        <v>0</v>
      </c>
      <c r="R779">
        <v>0</v>
      </c>
      <c r="S779">
        <v>0</v>
      </c>
      <c r="T779" t="s">
        <v>253</v>
      </c>
      <c r="U779" t="str">
        <f>IF('Basis Options'!D782="NGI/CHI. GATE","""NGI/CHI. GATE""",TRIM('Basis Options'!D782))</f>
        <v>"NGI/CHI. GATE"</v>
      </c>
      <c r="V779" t="s">
        <v>253</v>
      </c>
      <c r="W779" t="s">
        <v>132</v>
      </c>
      <c r="X779" t="s">
        <v>253</v>
      </c>
      <c r="Y779" t="s">
        <v>235</v>
      </c>
      <c r="Z779" t="s">
        <v>236</v>
      </c>
      <c r="AA779" t="s">
        <v>253</v>
      </c>
      <c r="AB779" t="s">
        <v>1</v>
      </c>
      <c r="AC779" s="235">
        <f>'Basis Options'!H782</f>
        <v>-310000</v>
      </c>
      <c r="AD779" s="235">
        <f>'Basis Options'!W782</f>
        <v>-2999.3210752113955</v>
      </c>
      <c r="AE779">
        <v>0</v>
      </c>
      <c r="AF779">
        <v>0</v>
      </c>
      <c r="AG779">
        <v>0</v>
      </c>
      <c r="AH779" s="235">
        <f>'Basis Options'!CD784</f>
        <v>0</v>
      </c>
      <c r="AI779">
        <v>226</v>
      </c>
      <c r="AJ779" t="s">
        <v>256</v>
      </c>
      <c r="AK779">
        <v>0</v>
      </c>
      <c r="AL779">
        <v>0</v>
      </c>
      <c r="AM779">
        <v>0</v>
      </c>
    </row>
    <row r="780" spans="1:39" x14ac:dyDescent="0.25">
      <c r="A780" t="s">
        <v>233</v>
      </c>
      <c r="B780" t="str">
        <f>'Basis Options'!C783</f>
        <v>NW5620</v>
      </c>
      <c r="C780" t="s">
        <v>255</v>
      </c>
      <c r="D780" t="s">
        <v>234</v>
      </c>
      <c r="E780" t="s">
        <v>20</v>
      </c>
      <c r="F780" t="str">
        <f>'Basis Options'!A783</f>
        <v>KOCHENETRA</v>
      </c>
      <c r="G780" t="s">
        <v>269</v>
      </c>
      <c r="H780" t="s">
        <v>254</v>
      </c>
      <c r="I780" t="s">
        <v>242</v>
      </c>
      <c r="J780" t="s">
        <v>235</v>
      </c>
      <c r="K780" s="380">
        <f>'Basis Options'!G783</f>
        <v>36923</v>
      </c>
      <c r="L780" s="235">
        <f>'Basis Options'!U783</f>
        <v>-14448.533081422027</v>
      </c>
      <c r="M780" s="380">
        <f>'Basis Options'!Q783</f>
        <v>36921</v>
      </c>
      <c r="N780" t="str">
        <f>'Basis Options'!F783</f>
        <v>C</v>
      </c>
      <c r="O780">
        <f>'Basis Options'!I783</f>
        <v>0.15</v>
      </c>
      <c r="P780">
        <v>0</v>
      </c>
      <c r="Q780">
        <v>0</v>
      </c>
      <c r="R780">
        <v>0</v>
      </c>
      <c r="S780">
        <v>0</v>
      </c>
      <c r="T780" t="s">
        <v>253</v>
      </c>
      <c r="U780" t="str">
        <f>IF('Basis Options'!D783="NGI/CHI. GATE","""NGI/CHI. GATE""",TRIM('Basis Options'!D783))</f>
        <v>"NGI/CHI. GATE"</v>
      </c>
      <c r="V780" t="s">
        <v>253</v>
      </c>
      <c r="W780" t="s">
        <v>132</v>
      </c>
      <c r="X780" t="s">
        <v>253</v>
      </c>
      <c r="Y780" t="s">
        <v>235</v>
      </c>
      <c r="Z780" t="s">
        <v>236</v>
      </c>
      <c r="AA780" t="s">
        <v>253</v>
      </c>
      <c r="AB780" t="s">
        <v>1</v>
      </c>
      <c r="AC780" s="235">
        <f>'Basis Options'!H783</f>
        <v>-280000</v>
      </c>
      <c r="AD780" s="235">
        <f>'Basis Options'!W783</f>
        <v>-2979.4884276889934</v>
      </c>
      <c r="AE780">
        <v>0</v>
      </c>
      <c r="AF780">
        <v>0</v>
      </c>
      <c r="AG780">
        <v>0</v>
      </c>
      <c r="AH780" s="235">
        <f>'Basis Options'!CD785</f>
        <v>0</v>
      </c>
      <c r="AI780">
        <v>226</v>
      </c>
      <c r="AJ780" t="s">
        <v>256</v>
      </c>
      <c r="AK780">
        <v>0</v>
      </c>
      <c r="AL780">
        <v>0</v>
      </c>
      <c r="AM780">
        <v>0</v>
      </c>
    </row>
    <row r="781" spans="1:39" x14ac:dyDescent="0.25">
      <c r="A781" t="s">
        <v>233</v>
      </c>
      <c r="B781" t="str">
        <f>'Basis Options'!C784</f>
        <v>NW5620</v>
      </c>
      <c r="C781" t="s">
        <v>255</v>
      </c>
      <c r="D781" t="s">
        <v>234</v>
      </c>
      <c r="E781" t="s">
        <v>20</v>
      </c>
      <c r="F781" t="str">
        <f>'Basis Options'!A784</f>
        <v>KOCHENETRA</v>
      </c>
      <c r="G781" t="s">
        <v>269</v>
      </c>
      <c r="H781" t="s">
        <v>254</v>
      </c>
      <c r="I781" t="s">
        <v>242</v>
      </c>
      <c r="J781" t="s">
        <v>235</v>
      </c>
      <c r="K781" s="380">
        <f>'Basis Options'!G784</f>
        <v>36951</v>
      </c>
      <c r="L781" s="235">
        <f>'Basis Options'!U784</f>
        <v>-12624.13169612057</v>
      </c>
      <c r="M781" s="380">
        <f>'Basis Options'!Q784</f>
        <v>36949</v>
      </c>
      <c r="N781" t="str">
        <f>'Basis Options'!F784</f>
        <v>C</v>
      </c>
      <c r="O781">
        <f>'Basis Options'!I784</f>
        <v>0.15</v>
      </c>
      <c r="P781">
        <v>0</v>
      </c>
      <c r="Q781">
        <v>0</v>
      </c>
      <c r="R781">
        <v>0</v>
      </c>
      <c r="S781">
        <v>0</v>
      </c>
      <c r="T781" t="s">
        <v>253</v>
      </c>
      <c r="U781" t="str">
        <f>IF('Basis Options'!D784="NGI/CHI. GATE","""NGI/CHI. GATE""",TRIM('Basis Options'!D784))</f>
        <v>"NGI/CHI. GATE"</v>
      </c>
      <c r="V781" t="s">
        <v>253</v>
      </c>
      <c r="W781" t="s">
        <v>132</v>
      </c>
      <c r="X781" t="s">
        <v>253</v>
      </c>
      <c r="Y781" t="s">
        <v>235</v>
      </c>
      <c r="Z781" t="s">
        <v>236</v>
      </c>
      <c r="AA781" t="s">
        <v>253</v>
      </c>
      <c r="AB781" t="s">
        <v>1</v>
      </c>
      <c r="AC781" s="235">
        <f>'Basis Options'!H784</f>
        <v>-310000</v>
      </c>
      <c r="AD781" s="235">
        <f>'Basis Options'!W784</f>
        <v>-3138.792348302959</v>
      </c>
      <c r="AE781">
        <v>0</v>
      </c>
      <c r="AF781">
        <v>0</v>
      </c>
      <c r="AG781">
        <v>0</v>
      </c>
      <c r="AH781" s="235">
        <f>'Basis Options'!CD786</f>
        <v>0</v>
      </c>
      <c r="AI781">
        <v>226</v>
      </c>
      <c r="AJ781" t="s">
        <v>256</v>
      </c>
      <c r="AK781">
        <v>0</v>
      </c>
      <c r="AL781">
        <v>0</v>
      </c>
      <c r="AM781">
        <v>0</v>
      </c>
    </row>
    <row r="782" spans="1:39" x14ac:dyDescent="0.25">
      <c r="A782" t="s">
        <v>233</v>
      </c>
      <c r="B782" t="str">
        <f>'Basis Options'!C785</f>
        <v>NW5627.1</v>
      </c>
      <c r="C782" t="s">
        <v>255</v>
      </c>
      <c r="D782" t="s">
        <v>234</v>
      </c>
      <c r="E782" t="s">
        <v>20</v>
      </c>
      <c r="F782" t="str">
        <f>'Basis Options'!A785</f>
        <v>ELPASMER</v>
      </c>
      <c r="G782" t="s">
        <v>269</v>
      </c>
      <c r="H782" t="s">
        <v>254</v>
      </c>
      <c r="I782" t="s">
        <v>242</v>
      </c>
      <c r="J782" t="s">
        <v>235</v>
      </c>
      <c r="K782" s="380">
        <f>'Basis Options'!G785</f>
        <v>36831</v>
      </c>
      <c r="L782" s="235">
        <f>'Basis Options'!U785</f>
        <v>-640677.75018337229</v>
      </c>
      <c r="M782" s="380">
        <f>'Basis Options'!Q785</f>
        <v>36829</v>
      </c>
      <c r="N782" t="str">
        <f>'Basis Options'!F785</f>
        <v>C</v>
      </c>
      <c r="O782">
        <f>'Basis Options'!I785</f>
        <v>1</v>
      </c>
      <c r="P782">
        <v>0</v>
      </c>
      <c r="Q782">
        <v>0</v>
      </c>
      <c r="R782">
        <v>0</v>
      </c>
      <c r="S782">
        <v>0</v>
      </c>
      <c r="T782" t="s">
        <v>253</v>
      </c>
      <c r="U782" t="str">
        <f>IF('Basis Options'!D785="NGI/CHI. GATE","""NGI/CHI. GATE""",TRIM('Basis Options'!D785))</f>
        <v>NGI-SOCAL</v>
      </c>
      <c r="V782" t="s">
        <v>253</v>
      </c>
      <c r="W782" t="s">
        <v>132</v>
      </c>
      <c r="X782" t="s">
        <v>253</v>
      </c>
      <c r="Y782" t="s">
        <v>235</v>
      </c>
      <c r="Z782" t="s">
        <v>236</v>
      </c>
      <c r="AA782" t="s">
        <v>253</v>
      </c>
      <c r="AB782" t="s">
        <v>1</v>
      </c>
      <c r="AC782" s="235">
        <f>'Basis Options'!H785</f>
        <v>-1000000</v>
      </c>
      <c r="AD782" s="235">
        <f>'Basis Options'!W785</f>
        <v>-37992.833569025854</v>
      </c>
      <c r="AE782">
        <v>0</v>
      </c>
      <c r="AF782">
        <v>0</v>
      </c>
      <c r="AG782">
        <v>0</v>
      </c>
      <c r="AH782" s="235">
        <f>'Basis Options'!CD787</f>
        <v>0</v>
      </c>
      <c r="AI782">
        <v>226</v>
      </c>
      <c r="AJ782" t="s">
        <v>256</v>
      </c>
      <c r="AK782">
        <v>0</v>
      </c>
      <c r="AL782">
        <v>0</v>
      </c>
      <c r="AM782">
        <v>0</v>
      </c>
    </row>
    <row r="783" spans="1:39" x14ac:dyDescent="0.25">
      <c r="A783" t="s">
        <v>233</v>
      </c>
      <c r="B783" t="str">
        <f>'Basis Options'!C786</f>
        <v>NW5627.1</v>
      </c>
      <c r="C783" t="s">
        <v>255</v>
      </c>
      <c r="D783" t="s">
        <v>234</v>
      </c>
      <c r="E783" t="s">
        <v>20</v>
      </c>
      <c r="F783" t="str">
        <f>'Basis Options'!A786</f>
        <v>ELPASMER</v>
      </c>
      <c r="G783" t="s">
        <v>269</v>
      </c>
      <c r="H783" t="s">
        <v>254</v>
      </c>
      <c r="I783" t="s">
        <v>242</v>
      </c>
      <c r="J783" t="s">
        <v>235</v>
      </c>
      <c r="K783" s="380">
        <f>'Basis Options'!G786</f>
        <v>36861</v>
      </c>
      <c r="L783" s="235">
        <f>'Basis Options'!U786</f>
        <v>-352849.63754925941</v>
      </c>
      <c r="M783" s="380">
        <f>'Basis Options'!Q786</f>
        <v>36859</v>
      </c>
      <c r="N783" t="str">
        <f>'Basis Options'!F786</f>
        <v>C</v>
      </c>
      <c r="O783">
        <f>'Basis Options'!I786</f>
        <v>1</v>
      </c>
      <c r="P783">
        <v>0</v>
      </c>
      <c r="Q783">
        <v>0</v>
      </c>
      <c r="R783">
        <v>0</v>
      </c>
      <c r="S783">
        <v>0</v>
      </c>
      <c r="T783" t="s">
        <v>253</v>
      </c>
      <c r="U783" t="str">
        <f>IF('Basis Options'!D786="NGI/CHI. GATE","""NGI/CHI. GATE""",TRIM('Basis Options'!D786))</f>
        <v>NGI-SOCAL</v>
      </c>
      <c r="V783" t="s">
        <v>253</v>
      </c>
      <c r="W783" t="s">
        <v>132</v>
      </c>
      <c r="X783" t="s">
        <v>253</v>
      </c>
      <c r="Y783" t="s">
        <v>235</v>
      </c>
      <c r="Z783" t="s">
        <v>236</v>
      </c>
      <c r="AA783" t="s">
        <v>253</v>
      </c>
      <c r="AB783" t="s">
        <v>1</v>
      </c>
      <c r="AC783" s="235">
        <f>'Basis Options'!H786</f>
        <v>-1000000</v>
      </c>
      <c r="AD783" s="235">
        <f>'Basis Options'!W786</f>
        <v>-60344.05139990733</v>
      </c>
      <c r="AE783">
        <v>0</v>
      </c>
      <c r="AF783">
        <v>0</v>
      </c>
      <c r="AG783">
        <v>0</v>
      </c>
      <c r="AH783" s="235">
        <f>'Basis Options'!CD788</f>
        <v>0</v>
      </c>
      <c r="AI783">
        <v>226</v>
      </c>
      <c r="AJ783" t="s">
        <v>256</v>
      </c>
      <c r="AK783">
        <v>0</v>
      </c>
      <c r="AL783">
        <v>0</v>
      </c>
      <c r="AM783">
        <v>0</v>
      </c>
    </row>
    <row r="784" spans="1:39" x14ac:dyDescent="0.25">
      <c r="A784" t="s">
        <v>233</v>
      </c>
      <c r="B784" t="str">
        <f>'Basis Options'!C787</f>
        <v>NW5627.1</v>
      </c>
      <c r="C784" t="s">
        <v>255</v>
      </c>
      <c r="D784" t="s">
        <v>234</v>
      </c>
      <c r="E784" t="s">
        <v>20</v>
      </c>
      <c r="F784" t="str">
        <f>'Basis Options'!A787</f>
        <v>ELPASMER</v>
      </c>
      <c r="G784" t="s">
        <v>269</v>
      </c>
      <c r="H784" t="s">
        <v>254</v>
      </c>
      <c r="I784" t="s">
        <v>242</v>
      </c>
      <c r="J784" t="s">
        <v>235</v>
      </c>
      <c r="K784" s="380">
        <f>'Basis Options'!G787</f>
        <v>36892</v>
      </c>
      <c r="L784" s="235">
        <f>'Basis Options'!U787</f>
        <v>-287801.97476520861</v>
      </c>
      <c r="M784" s="380">
        <f>'Basis Options'!Q787</f>
        <v>36888</v>
      </c>
      <c r="N784" t="str">
        <f>'Basis Options'!F787</f>
        <v>C</v>
      </c>
      <c r="O784">
        <f>'Basis Options'!I787</f>
        <v>1</v>
      </c>
      <c r="P784">
        <v>0</v>
      </c>
      <c r="Q784">
        <v>0</v>
      </c>
      <c r="R784">
        <v>0</v>
      </c>
      <c r="S784">
        <v>0</v>
      </c>
      <c r="T784" t="s">
        <v>253</v>
      </c>
      <c r="U784" t="str">
        <f>IF('Basis Options'!D787="NGI/CHI. GATE","""NGI/CHI. GATE""",TRIM('Basis Options'!D787))</f>
        <v>NGI-SOCAL</v>
      </c>
      <c r="V784" t="s">
        <v>253</v>
      </c>
      <c r="W784" t="s">
        <v>132</v>
      </c>
      <c r="X784" t="s">
        <v>253</v>
      </c>
      <c r="Y784" t="s">
        <v>235</v>
      </c>
      <c r="Z784" t="s">
        <v>236</v>
      </c>
      <c r="AA784" t="s">
        <v>253</v>
      </c>
      <c r="AB784" t="s">
        <v>1</v>
      </c>
      <c r="AC784" s="235">
        <f>'Basis Options'!H787</f>
        <v>-1000000</v>
      </c>
      <c r="AD784" s="235">
        <f>'Basis Options'!W787</f>
        <v>-67476.958530082309</v>
      </c>
      <c r="AE784">
        <v>0</v>
      </c>
      <c r="AF784">
        <v>0</v>
      </c>
      <c r="AG784">
        <v>0</v>
      </c>
      <c r="AH784" s="235">
        <f>'Basis Options'!CD789</f>
        <v>0</v>
      </c>
      <c r="AI784">
        <v>226</v>
      </c>
      <c r="AJ784" t="s">
        <v>256</v>
      </c>
      <c r="AK784">
        <v>0</v>
      </c>
      <c r="AL784">
        <v>0</v>
      </c>
      <c r="AM784">
        <v>0</v>
      </c>
    </row>
    <row r="785" spans="1:39" x14ac:dyDescent="0.25">
      <c r="A785" t="s">
        <v>233</v>
      </c>
      <c r="B785" t="str">
        <f>'Basis Options'!C788</f>
        <v>NW5627.1</v>
      </c>
      <c r="C785" t="s">
        <v>255</v>
      </c>
      <c r="D785" t="s">
        <v>234</v>
      </c>
      <c r="E785" t="s">
        <v>20</v>
      </c>
      <c r="F785" t="str">
        <f>'Basis Options'!A788</f>
        <v>ELPASMER</v>
      </c>
      <c r="G785" t="s">
        <v>269</v>
      </c>
      <c r="H785" t="s">
        <v>254</v>
      </c>
      <c r="I785" t="s">
        <v>242</v>
      </c>
      <c r="J785" t="s">
        <v>235</v>
      </c>
      <c r="K785" s="380">
        <f>'Basis Options'!G788</f>
        <v>36923</v>
      </c>
      <c r="L785" s="235">
        <f>'Basis Options'!U788</f>
        <v>-244696.87578349249</v>
      </c>
      <c r="M785" s="380">
        <f>'Basis Options'!Q788</f>
        <v>36921</v>
      </c>
      <c r="N785" t="str">
        <f>'Basis Options'!F788</f>
        <v>C</v>
      </c>
      <c r="O785">
        <f>'Basis Options'!I788</f>
        <v>1</v>
      </c>
      <c r="P785">
        <v>0</v>
      </c>
      <c r="Q785">
        <v>0</v>
      </c>
      <c r="R785">
        <v>0</v>
      </c>
      <c r="S785">
        <v>0</v>
      </c>
      <c r="T785" t="s">
        <v>253</v>
      </c>
      <c r="U785" t="str">
        <f>IF('Basis Options'!D788="NGI/CHI. GATE","""NGI/CHI. GATE""",TRIM('Basis Options'!D788))</f>
        <v>NGI-SOCAL</v>
      </c>
      <c r="V785" t="s">
        <v>253</v>
      </c>
      <c r="W785" t="s">
        <v>132</v>
      </c>
      <c r="X785" t="s">
        <v>253</v>
      </c>
      <c r="Y785" t="s">
        <v>235</v>
      </c>
      <c r="Z785" t="s">
        <v>236</v>
      </c>
      <c r="AA785" t="s">
        <v>253</v>
      </c>
      <c r="AB785" t="s">
        <v>1</v>
      </c>
      <c r="AC785" s="235">
        <f>'Basis Options'!H788</f>
        <v>-1000000</v>
      </c>
      <c r="AD785" s="235">
        <f>'Basis Options'!W788</f>
        <v>-70781.400992474926</v>
      </c>
      <c r="AE785">
        <v>0</v>
      </c>
      <c r="AF785">
        <v>0</v>
      </c>
      <c r="AG785">
        <v>0</v>
      </c>
      <c r="AH785" s="235">
        <f>'Basis Options'!CD790</f>
        <v>0</v>
      </c>
      <c r="AI785">
        <v>226</v>
      </c>
      <c r="AJ785" t="s">
        <v>256</v>
      </c>
      <c r="AK785">
        <v>0</v>
      </c>
      <c r="AL785">
        <v>0</v>
      </c>
      <c r="AM785">
        <v>0</v>
      </c>
    </row>
    <row r="786" spans="1:39" x14ac:dyDescent="0.25">
      <c r="A786" t="s">
        <v>233</v>
      </c>
      <c r="B786" t="str">
        <f>'Basis Options'!C789</f>
        <v>NW5627.1</v>
      </c>
      <c r="C786" t="s">
        <v>255</v>
      </c>
      <c r="D786" t="s">
        <v>234</v>
      </c>
      <c r="E786" t="s">
        <v>20</v>
      </c>
      <c r="F786" t="str">
        <f>'Basis Options'!A789</f>
        <v>ELPASMER</v>
      </c>
      <c r="G786" t="s">
        <v>269</v>
      </c>
      <c r="H786" t="s">
        <v>254</v>
      </c>
      <c r="I786" t="s">
        <v>242</v>
      </c>
      <c r="J786" t="s">
        <v>235</v>
      </c>
      <c r="K786" s="380">
        <f>'Basis Options'!G789</f>
        <v>36951</v>
      </c>
      <c r="L786" s="235">
        <f>'Basis Options'!U789</f>
        <v>-209406.90098716121</v>
      </c>
      <c r="M786" s="380">
        <f>'Basis Options'!Q789</f>
        <v>36949</v>
      </c>
      <c r="N786" t="str">
        <f>'Basis Options'!F789</f>
        <v>C</v>
      </c>
      <c r="O786">
        <f>'Basis Options'!I789</f>
        <v>1</v>
      </c>
      <c r="P786">
        <v>0</v>
      </c>
      <c r="Q786">
        <v>0</v>
      </c>
      <c r="R786">
        <v>0</v>
      </c>
      <c r="S786">
        <v>0</v>
      </c>
      <c r="T786" t="s">
        <v>253</v>
      </c>
      <c r="U786" t="str">
        <f>IF('Basis Options'!D789="NGI/CHI. GATE","""NGI/CHI. GATE""",TRIM('Basis Options'!D789))</f>
        <v>NGI-SOCAL</v>
      </c>
      <c r="V786" t="s">
        <v>253</v>
      </c>
      <c r="W786" t="s">
        <v>132</v>
      </c>
      <c r="X786" t="s">
        <v>253</v>
      </c>
      <c r="Y786" t="s">
        <v>235</v>
      </c>
      <c r="Z786" t="s">
        <v>236</v>
      </c>
      <c r="AA786" t="s">
        <v>253</v>
      </c>
      <c r="AB786" t="s">
        <v>1</v>
      </c>
      <c r="AC786" s="235">
        <f>'Basis Options'!H789</f>
        <v>-1000000</v>
      </c>
      <c r="AD786" s="235">
        <f>'Basis Options'!W789</f>
        <v>-67091.352086169354</v>
      </c>
      <c r="AE786">
        <v>0</v>
      </c>
      <c r="AF786">
        <v>0</v>
      </c>
      <c r="AG786">
        <v>0</v>
      </c>
      <c r="AH786" s="235">
        <f>'Basis Options'!CD791</f>
        <v>0</v>
      </c>
      <c r="AI786">
        <v>226</v>
      </c>
      <c r="AJ786" t="s">
        <v>256</v>
      </c>
      <c r="AK786">
        <v>0</v>
      </c>
      <c r="AL786">
        <v>0</v>
      </c>
      <c r="AM786">
        <v>0</v>
      </c>
    </row>
    <row r="787" spans="1:39" x14ac:dyDescent="0.25">
      <c r="A787" t="s">
        <v>233</v>
      </c>
      <c r="B787" t="str">
        <f>'Basis Options'!C790</f>
        <v>NW5630.1</v>
      </c>
      <c r="C787" t="s">
        <v>255</v>
      </c>
      <c r="D787" t="s">
        <v>234</v>
      </c>
      <c r="E787" t="s">
        <v>20</v>
      </c>
      <c r="F787" t="str">
        <f>'Basis Options'!A790</f>
        <v>CMSMARSERTRA</v>
      </c>
      <c r="G787" t="s">
        <v>269</v>
      </c>
      <c r="H787" t="s">
        <v>254</v>
      </c>
      <c r="I787" t="s">
        <v>242</v>
      </c>
      <c r="J787" t="s">
        <v>235</v>
      </c>
      <c r="K787" s="380">
        <f>'Basis Options'!G790</f>
        <v>36831</v>
      </c>
      <c r="L787" s="235">
        <f>'Basis Options'!U790</f>
        <v>-38544.915297069296</v>
      </c>
      <c r="M787" s="380">
        <f>'Basis Options'!Q790</f>
        <v>36829</v>
      </c>
      <c r="N787" t="str">
        <f>'Basis Options'!F790</f>
        <v>C</v>
      </c>
      <c r="O787">
        <f>'Basis Options'!I790</f>
        <v>-0.2</v>
      </c>
      <c r="P787">
        <v>0</v>
      </c>
      <c r="Q787">
        <v>0</v>
      </c>
      <c r="R787">
        <v>0</v>
      </c>
      <c r="S787">
        <v>0</v>
      </c>
      <c r="T787" t="s">
        <v>253</v>
      </c>
      <c r="U787" t="str">
        <f>IF('Basis Options'!D790="NGI/CHI. GATE","""NGI/CHI. GATE""",TRIM('Basis Options'!D790))</f>
        <v>IF-NWPL_ROCKY_M</v>
      </c>
      <c r="V787" t="s">
        <v>253</v>
      </c>
      <c r="W787" t="s">
        <v>132</v>
      </c>
      <c r="X787" t="s">
        <v>253</v>
      </c>
      <c r="Y787" t="s">
        <v>235</v>
      </c>
      <c r="Z787" t="s">
        <v>236</v>
      </c>
      <c r="AA787" t="s">
        <v>253</v>
      </c>
      <c r="AB787" t="s">
        <v>1</v>
      </c>
      <c r="AC787" s="235">
        <f>'Basis Options'!H790</f>
        <v>-600000</v>
      </c>
      <c r="AD787" s="235">
        <f>'Basis Options'!W790</f>
        <v>-17247.42639795682</v>
      </c>
      <c r="AE787">
        <v>0</v>
      </c>
      <c r="AF787">
        <v>0</v>
      </c>
      <c r="AG787">
        <v>0</v>
      </c>
      <c r="AH787" s="235">
        <f>'Basis Options'!CD792</f>
        <v>0</v>
      </c>
      <c r="AI787">
        <v>226</v>
      </c>
      <c r="AJ787" t="s">
        <v>256</v>
      </c>
      <c r="AK787">
        <v>0</v>
      </c>
      <c r="AL787">
        <v>0</v>
      </c>
      <c r="AM787">
        <v>0</v>
      </c>
    </row>
    <row r="788" spans="1:39" x14ac:dyDescent="0.25">
      <c r="A788" t="s">
        <v>233</v>
      </c>
      <c r="B788" t="str">
        <f>'Basis Options'!C791</f>
        <v>NW5630.1</v>
      </c>
      <c r="C788" t="s">
        <v>255</v>
      </c>
      <c r="D788" t="s">
        <v>234</v>
      </c>
      <c r="E788" t="s">
        <v>20</v>
      </c>
      <c r="F788" t="str">
        <f>'Basis Options'!A791</f>
        <v>CMSMARSERTRA</v>
      </c>
      <c r="G788" t="s">
        <v>269</v>
      </c>
      <c r="H788" t="s">
        <v>254</v>
      </c>
      <c r="I788" t="s">
        <v>242</v>
      </c>
      <c r="J788" t="s">
        <v>235</v>
      </c>
      <c r="K788" s="380">
        <f>'Basis Options'!G791</f>
        <v>36861</v>
      </c>
      <c r="L788" s="235">
        <f>'Basis Options'!U791</f>
        <v>-84797.276429757549</v>
      </c>
      <c r="M788" s="380">
        <f>'Basis Options'!Q791</f>
        <v>36859</v>
      </c>
      <c r="N788" t="str">
        <f>'Basis Options'!F791</f>
        <v>C</v>
      </c>
      <c r="O788">
        <f>'Basis Options'!I791</f>
        <v>-0.2</v>
      </c>
      <c r="P788">
        <v>0</v>
      </c>
      <c r="Q788">
        <v>0</v>
      </c>
      <c r="R788">
        <v>0</v>
      </c>
      <c r="S788">
        <v>0</v>
      </c>
      <c r="T788" t="s">
        <v>253</v>
      </c>
      <c r="U788" t="str">
        <f>IF('Basis Options'!D791="NGI/CHI. GATE","""NGI/CHI. GATE""",TRIM('Basis Options'!D791))</f>
        <v>IF-NWPL_ROCKY_M</v>
      </c>
      <c r="V788" t="s">
        <v>253</v>
      </c>
      <c r="W788" t="s">
        <v>132</v>
      </c>
      <c r="X788" t="s">
        <v>253</v>
      </c>
      <c r="Y788" t="s">
        <v>235</v>
      </c>
      <c r="Z788" t="s">
        <v>236</v>
      </c>
      <c r="AA788" t="s">
        <v>253</v>
      </c>
      <c r="AB788" t="s">
        <v>1</v>
      </c>
      <c r="AC788" s="235">
        <f>'Basis Options'!H791</f>
        <v>-620000</v>
      </c>
      <c r="AD788" s="235">
        <f>'Basis Options'!W791</f>
        <v>-25618.925737133482</v>
      </c>
      <c r="AE788">
        <v>0</v>
      </c>
      <c r="AF788">
        <v>0</v>
      </c>
      <c r="AG788">
        <v>0</v>
      </c>
      <c r="AH788" s="235">
        <f>'Basis Options'!CD793</f>
        <v>0</v>
      </c>
      <c r="AI788">
        <v>226</v>
      </c>
      <c r="AJ788" t="s">
        <v>256</v>
      </c>
      <c r="AK788">
        <v>0</v>
      </c>
      <c r="AL788">
        <v>0</v>
      </c>
      <c r="AM788">
        <v>0</v>
      </c>
    </row>
    <row r="789" spans="1:39" x14ac:dyDescent="0.25">
      <c r="A789" t="s">
        <v>233</v>
      </c>
      <c r="B789" t="str">
        <f>'Basis Options'!C792</f>
        <v>NW5630.1</v>
      </c>
      <c r="C789" t="s">
        <v>255</v>
      </c>
      <c r="D789" t="s">
        <v>234</v>
      </c>
      <c r="E789" t="s">
        <v>20</v>
      </c>
      <c r="F789" t="str">
        <f>'Basis Options'!A792</f>
        <v>CMSMARSERTRA</v>
      </c>
      <c r="G789" t="s">
        <v>269</v>
      </c>
      <c r="H789" t="s">
        <v>254</v>
      </c>
      <c r="I789" t="s">
        <v>242</v>
      </c>
      <c r="J789" t="s">
        <v>235</v>
      </c>
      <c r="K789" s="380">
        <f>'Basis Options'!G792</f>
        <v>36892</v>
      </c>
      <c r="L789" s="235">
        <f>'Basis Options'!U792</f>
        <v>-99125.277525171259</v>
      </c>
      <c r="M789" s="380">
        <f>'Basis Options'!Q792</f>
        <v>36888</v>
      </c>
      <c r="N789" t="str">
        <f>'Basis Options'!F792</f>
        <v>C</v>
      </c>
      <c r="O789">
        <f>'Basis Options'!I792</f>
        <v>-0.2</v>
      </c>
      <c r="P789">
        <v>0</v>
      </c>
      <c r="Q789">
        <v>0</v>
      </c>
      <c r="R789">
        <v>0</v>
      </c>
      <c r="S789">
        <v>0</v>
      </c>
      <c r="T789" t="s">
        <v>253</v>
      </c>
      <c r="U789" t="str">
        <f>IF('Basis Options'!D792="NGI/CHI. GATE","""NGI/CHI. GATE""",TRIM('Basis Options'!D792))</f>
        <v>IF-NWPL_ROCKY_M</v>
      </c>
      <c r="V789" t="s">
        <v>253</v>
      </c>
      <c r="W789" t="s">
        <v>132</v>
      </c>
      <c r="X789" t="s">
        <v>253</v>
      </c>
      <c r="Y789" t="s">
        <v>235</v>
      </c>
      <c r="Z789" t="s">
        <v>236</v>
      </c>
      <c r="AA789" t="s">
        <v>253</v>
      </c>
      <c r="AB789" t="s">
        <v>1</v>
      </c>
      <c r="AC789" s="235">
        <f>'Basis Options'!H792</f>
        <v>-620000</v>
      </c>
      <c r="AD789" s="235">
        <f>'Basis Options'!W792</f>
        <v>-29630.434431277332</v>
      </c>
      <c r="AE789">
        <v>0</v>
      </c>
      <c r="AF789">
        <v>0</v>
      </c>
      <c r="AG789">
        <v>0</v>
      </c>
      <c r="AH789" s="235">
        <f>'Basis Options'!CD794</f>
        <v>0</v>
      </c>
      <c r="AI789">
        <v>226</v>
      </c>
      <c r="AJ789" t="s">
        <v>256</v>
      </c>
      <c r="AK789">
        <v>0</v>
      </c>
      <c r="AL789">
        <v>0</v>
      </c>
      <c r="AM789">
        <v>0</v>
      </c>
    </row>
    <row r="790" spans="1:39" x14ac:dyDescent="0.25">
      <c r="A790" t="s">
        <v>233</v>
      </c>
      <c r="B790" t="str">
        <f>'Basis Options'!C793</f>
        <v>NW5630.1</v>
      </c>
      <c r="C790" t="s">
        <v>255</v>
      </c>
      <c r="D790" t="s">
        <v>234</v>
      </c>
      <c r="E790" t="s">
        <v>20</v>
      </c>
      <c r="F790" t="str">
        <f>'Basis Options'!A793</f>
        <v>CMSMARSERTRA</v>
      </c>
      <c r="G790" t="s">
        <v>269</v>
      </c>
      <c r="H790" t="s">
        <v>254</v>
      </c>
      <c r="I790" t="s">
        <v>242</v>
      </c>
      <c r="J790" t="s">
        <v>235</v>
      </c>
      <c r="K790" s="380">
        <f>'Basis Options'!G793</f>
        <v>36923</v>
      </c>
      <c r="L790" s="235">
        <f>'Basis Options'!U793</f>
        <v>-89754.295103957731</v>
      </c>
      <c r="M790" s="380">
        <f>'Basis Options'!Q793</f>
        <v>36921</v>
      </c>
      <c r="N790" t="str">
        <f>'Basis Options'!F793</f>
        <v>C</v>
      </c>
      <c r="O790">
        <f>'Basis Options'!I793</f>
        <v>-0.2</v>
      </c>
      <c r="P790">
        <v>0</v>
      </c>
      <c r="Q790">
        <v>0</v>
      </c>
      <c r="R790">
        <v>0</v>
      </c>
      <c r="S790">
        <v>0</v>
      </c>
      <c r="T790" t="s">
        <v>253</v>
      </c>
      <c r="U790" t="str">
        <f>IF('Basis Options'!D793="NGI/CHI. GATE","""NGI/CHI. GATE""",TRIM('Basis Options'!D793))</f>
        <v>IF-NWPL_ROCKY_M</v>
      </c>
      <c r="V790" t="s">
        <v>253</v>
      </c>
      <c r="W790" t="s">
        <v>132</v>
      </c>
      <c r="X790" t="s">
        <v>253</v>
      </c>
      <c r="Y790" t="s">
        <v>235</v>
      </c>
      <c r="Z790" t="s">
        <v>236</v>
      </c>
      <c r="AA790" t="s">
        <v>253</v>
      </c>
      <c r="AB790" t="s">
        <v>1</v>
      </c>
      <c r="AC790" s="235">
        <f>'Basis Options'!H793</f>
        <v>-560000</v>
      </c>
      <c r="AD790" s="235">
        <f>'Basis Options'!W793</f>
        <v>-29166.26607328403</v>
      </c>
      <c r="AE790">
        <v>0</v>
      </c>
      <c r="AF790">
        <v>0</v>
      </c>
      <c r="AG790">
        <v>0</v>
      </c>
      <c r="AH790" s="235">
        <f>'Basis Options'!CD795</f>
        <v>0</v>
      </c>
      <c r="AI790">
        <v>226</v>
      </c>
      <c r="AJ790" t="s">
        <v>256</v>
      </c>
      <c r="AK790">
        <v>0</v>
      </c>
      <c r="AL790">
        <v>0</v>
      </c>
      <c r="AM790">
        <v>0</v>
      </c>
    </row>
    <row r="791" spans="1:39" x14ac:dyDescent="0.25">
      <c r="A791" t="s">
        <v>233</v>
      </c>
      <c r="B791" t="str">
        <f>'Basis Options'!C794</f>
        <v>NW5630.1</v>
      </c>
      <c r="C791" t="s">
        <v>255</v>
      </c>
      <c r="D791" t="s">
        <v>234</v>
      </c>
      <c r="E791" t="s">
        <v>20</v>
      </c>
      <c r="F791" t="str">
        <f>'Basis Options'!A794</f>
        <v>CMSMARSERTRA</v>
      </c>
      <c r="G791" t="s">
        <v>269</v>
      </c>
      <c r="H791" t="s">
        <v>254</v>
      </c>
      <c r="I791" t="s">
        <v>242</v>
      </c>
      <c r="J791" t="s">
        <v>235</v>
      </c>
      <c r="K791" s="380">
        <f>'Basis Options'!G794</f>
        <v>36951</v>
      </c>
      <c r="L791" s="235">
        <f>'Basis Options'!U794</f>
        <v>-84911.367683555247</v>
      </c>
      <c r="M791" s="380">
        <f>'Basis Options'!Q794</f>
        <v>36949</v>
      </c>
      <c r="N791" t="str">
        <f>'Basis Options'!F794</f>
        <v>C</v>
      </c>
      <c r="O791">
        <f>'Basis Options'!I794</f>
        <v>-0.2</v>
      </c>
      <c r="P791">
        <v>0</v>
      </c>
      <c r="Q791">
        <v>0</v>
      </c>
      <c r="R791">
        <v>0</v>
      </c>
      <c r="S791">
        <v>0</v>
      </c>
      <c r="T791" t="s">
        <v>253</v>
      </c>
      <c r="U791" t="str">
        <f>IF('Basis Options'!D794="NGI/CHI. GATE","""NGI/CHI. GATE""",TRIM('Basis Options'!D794))</f>
        <v>IF-NWPL_ROCKY_M</v>
      </c>
      <c r="V791" t="s">
        <v>253</v>
      </c>
      <c r="W791" t="s">
        <v>132</v>
      </c>
      <c r="X791" t="s">
        <v>253</v>
      </c>
      <c r="Y791" t="s">
        <v>235</v>
      </c>
      <c r="Z791" t="s">
        <v>236</v>
      </c>
      <c r="AA791" t="s">
        <v>253</v>
      </c>
      <c r="AB791" t="s">
        <v>1</v>
      </c>
      <c r="AC791" s="235">
        <f>'Basis Options'!H794</f>
        <v>-620000</v>
      </c>
      <c r="AD791" s="235">
        <f>'Basis Options'!W794</f>
        <v>-30886.405779103661</v>
      </c>
      <c r="AE791">
        <v>0</v>
      </c>
      <c r="AF791">
        <v>0</v>
      </c>
      <c r="AG791">
        <v>0</v>
      </c>
      <c r="AH791" s="235">
        <f>'Basis Options'!CD796</f>
        <v>0</v>
      </c>
      <c r="AI791">
        <v>226</v>
      </c>
      <c r="AJ791" t="s">
        <v>256</v>
      </c>
      <c r="AK791">
        <v>0</v>
      </c>
      <c r="AL791">
        <v>0</v>
      </c>
      <c r="AM791">
        <v>0</v>
      </c>
    </row>
    <row r="792" spans="1:39" x14ac:dyDescent="0.25">
      <c r="A792" t="s">
        <v>233</v>
      </c>
      <c r="B792" t="str">
        <f>'Basis Options'!C795</f>
        <v>NW5630.2</v>
      </c>
      <c r="C792" t="s">
        <v>255</v>
      </c>
      <c r="D792" t="s">
        <v>234</v>
      </c>
      <c r="E792" t="s">
        <v>20</v>
      </c>
      <c r="F792" t="str">
        <f>'Basis Options'!A795</f>
        <v>CMSMARSERTRA</v>
      </c>
      <c r="G792" t="s">
        <v>269</v>
      </c>
      <c r="H792" t="s">
        <v>254</v>
      </c>
      <c r="I792" t="s">
        <v>242</v>
      </c>
      <c r="J792" t="s">
        <v>235</v>
      </c>
      <c r="K792" s="380">
        <f>'Basis Options'!G795</f>
        <v>36831</v>
      </c>
      <c r="L792" s="235">
        <f>'Basis Options'!U795</f>
        <v>-93862.395903189914</v>
      </c>
      <c r="M792" s="380">
        <f>'Basis Options'!Q795</f>
        <v>36829</v>
      </c>
      <c r="N792" t="str">
        <f>'Basis Options'!F795</f>
        <v>P</v>
      </c>
      <c r="O792">
        <f>'Basis Options'!I795</f>
        <v>-0.5</v>
      </c>
      <c r="P792">
        <v>0</v>
      </c>
      <c r="Q792">
        <v>0</v>
      </c>
      <c r="R792">
        <v>0</v>
      </c>
      <c r="S792">
        <v>0</v>
      </c>
      <c r="T792" t="s">
        <v>253</v>
      </c>
      <c r="U792" t="str">
        <f>IF('Basis Options'!D795="NGI/CHI. GATE","""NGI/CHI. GATE""",TRIM('Basis Options'!D795))</f>
        <v>IF-NWPL_ROCKY_M</v>
      </c>
      <c r="V792" t="s">
        <v>253</v>
      </c>
      <c r="W792" t="s">
        <v>132</v>
      </c>
      <c r="X792" t="s">
        <v>253</v>
      </c>
      <c r="Y792" t="s">
        <v>235</v>
      </c>
      <c r="Z792" t="s">
        <v>236</v>
      </c>
      <c r="AA792" t="s">
        <v>253</v>
      </c>
      <c r="AB792" t="s">
        <v>1</v>
      </c>
      <c r="AC792" s="235">
        <f>'Basis Options'!H795</f>
        <v>-600000</v>
      </c>
      <c r="AD792" s="235">
        <f>'Basis Options'!W795</f>
        <v>-20549.347865379474</v>
      </c>
      <c r="AE792">
        <v>0</v>
      </c>
      <c r="AF792">
        <v>0</v>
      </c>
      <c r="AG792">
        <v>0</v>
      </c>
      <c r="AH792" s="235">
        <f>'Basis Options'!CD797</f>
        <v>0</v>
      </c>
      <c r="AI792">
        <v>226</v>
      </c>
      <c r="AJ792" t="s">
        <v>256</v>
      </c>
      <c r="AK792">
        <v>0</v>
      </c>
      <c r="AL792">
        <v>0</v>
      </c>
      <c r="AM792">
        <v>0</v>
      </c>
    </row>
    <row r="793" spans="1:39" x14ac:dyDescent="0.25">
      <c r="A793" t="s">
        <v>233</v>
      </c>
      <c r="B793" t="str">
        <f>'Basis Options'!C796</f>
        <v>NW5630.2</v>
      </c>
      <c r="C793" t="s">
        <v>255</v>
      </c>
      <c r="D793" t="s">
        <v>234</v>
      </c>
      <c r="E793" t="s">
        <v>20</v>
      </c>
      <c r="F793" t="str">
        <f>'Basis Options'!A796</f>
        <v>CMSMARSERTRA</v>
      </c>
      <c r="G793" t="s">
        <v>269</v>
      </c>
      <c r="H793" t="s">
        <v>254</v>
      </c>
      <c r="I793" t="s">
        <v>242</v>
      </c>
      <c r="J793" t="s">
        <v>235</v>
      </c>
      <c r="K793" s="380">
        <f>'Basis Options'!G796</f>
        <v>36861</v>
      </c>
      <c r="L793" s="235">
        <f>'Basis Options'!U796</f>
        <v>-94318.045948164334</v>
      </c>
      <c r="M793" s="380">
        <f>'Basis Options'!Q796</f>
        <v>36859</v>
      </c>
      <c r="N793" t="str">
        <f>'Basis Options'!F796</f>
        <v>P</v>
      </c>
      <c r="O793">
        <f>'Basis Options'!I796</f>
        <v>-0.5</v>
      </c>
      <c r="P793">
        <v>0</v>
      </c>
      <c r="Q793">
        <v>0</v>
      </c>
      <c r="R793">
        <v>0</v>
      </c>
      <c r="S793">
        <v>0</v>
      </c>
      <c r="T793" t="s">
        <v>253</v>
      </c>
      <c r="U793" t="str">
        <f>IF('Basis Options'!D796="NGI/CHI. GATE","""NGI/CHI. GATE""",TRIM('Basis Options'!D796))</f>
        <v>IF-NWPL_ROCKY_M</v>
      </c>
      <c r="V793" t="s">
        <v>253</v>
      </c>
      <c r="W793" t="s">
        <v>132</v>
      </c>
      <c r="X793" t="s">
        <v>253</v>
      </c>
      <c r="Y793" t="s">
        <v>235</v>
      </c>
      <c r="Z793" t="s">
        <v>236</v>
      </c>
      <c r="AA793" t="s">
        <v>253</v>
      </c>
      <c r="AB793" t="s">
        <v>1</v>
      </c>
      <c r="AC793" s="235">
        <f>'Basis Options'!H796</f>
        <v>-620000</v>
      </c>
      <c r="AD793" s="235">
        <f>'Basis Options'!W796</f>
        <v>-25238.141614024615</v>
      </c>
      <c r="AE793">
        <v>0</v>
      </c>
      <c r="AF793">
        <v>0</v>
      </c>
      <c r="AG793">
        <v>0</v>
      </c>
      <c r="AH793" s="235">
        <f>'Basis Options'!CD798</f>
        <v>0</v>
      </c>
      <c r="AI793">
        <v>226</v>
      </c>
      <c r="AJ793" t="s">
        <v>256</v>
      </c>
      <c r="AK793">
        <v>0</v>
      </c>
      <c r="AL793">
        <v>0</v>
      </c>
      <c r="AM793">
        <v>0</v>
      </c>
    </row>
    <row r="794" spans="1:39" x14ac:dyDescent="0.25">
      <c r="A794" t="s">
        <v>233</v>
      </c>
      <c r="B794" t="str">
        <f>'Basis Options'!C797</f>
        <v>NW5630.2</v>
      </c>
      <c r="C794" t="s">
        <v>255</v>
      </c>
      <c r="D794" t="s">
        <v>234</v>
      </c>
      <c r="E794" t="s">
        <v>20</v>
      </c>
      <c r="F794" t="str">
        <f>'Basis Options'!A797</f>
        <v>CMSMARSERTRA</v>
      </c>
      <c r="G794" t="s">
        <v>269</v>
      </c>
      <c r="H794" t="s">
        <v>254</v>
      </c>
      <c r="I794" t="s">
        <v>242</v>
      </c>
      <c r="J794" t="s">
        <v>235</v>
      </c>
      <c r="K794" s="380">
        <f>'Basis Options'!G797</f>
        <v>36892</v>
      </c>
      <c r="L794" s="235">
        <f>'Basis Options'!U797</f>
        <v>-114668.48295383628</v>
      </c>
      <c r="M794" s="380">
        <f>'Basis Options'!Q797</f>
        <v>36888</v>
      </c>
      <c r="N794" t="str">
        <f>'Basis Options'!F797</f>
        <v>P</v>
      </c>
      <c r="O794">
        <f>'Basis Options'!I797</f>
        <v>-0.5</v>
      </c>
      <c r="P794">
        <v>0</v>
      </c>
      <c r="Q794">
        <v>0</v>
      </c>
      <c r="R794">
        <v>0</v>
      </c>
      <c r="S794">
        <v>0</v>
      </c>
      <c r="T794" t="s">
        <v>253</v>
      </c>
      <c r="U794" t="str">
        <f>IF('Basis Options'!D797="NGI/CHI. GATE","""NGI/CHI. GATE""",TRIM('Basis Options'!D797))</f>
        <v>IF-NWPL_ROCKY_M</v>
      </c>
      <c r="V794" t="s">
        <v>253</v>
      </c>
      <c r="W794" t="s">
        <v>132</v>
      </c>
      <c r="X794" t="s">
        <v>253</v>
      </c>
      <c r="Y794" t="s">
        <v>235</v>
      </c>
      <c r="Z794" t="s">
        <v>236</v>
      </c>
      <c r="AA794" t="s">
        <v>253</v>
      </c>
      <c r="AB794" t="s">
        <v>1</v>
      </c>
      <c r="AC794" s="235">
        <f>'Basis Options'!H797</f>
        <v>-620000</v>
      </c>
      <c r="AD794" s="235">
        <f>'Basis Options'!W797</f>
        <v>-29325.943469359307</v>
      </c>
      <c r="AE794">
        <v>0</v>
      </c>
      <c r="AF794">
        <v>0</v>
      </c>
      <c r="AG794">
        <v>0</v>
      </c>
      <c r="AH794" s="235">
        <f>'Basis Options'!CD799</f>
        <v>0</v>
      </c>
      <c r="AI794">
        <v>226</v>
      </c>
      <c r="AJ794" t="s">
        <v>256</v>
      </c>
      <c r="AK794">
        <v>0</v>
      </c>
      <c r="AL794">
        <v>0</v>
      </c>
      <c r="AM794">
        <v>0</v>
      </c>
    </row>
    <row r="795" spans="1:39" x14ac:dyDescent="0.25">
      <c r="A795" t="s">
        <v>233</v>
      </c>
      <c r="B795" t="str">
        <f>'Basis Options'!C798</f>
        <v>NW5630.2</v>
      </c>
      <c r="C795" t="s">
        <v>255</v>
      </c>
      <c r="D795" t="s">
        <v>234</v>
      </c>
      <c r="E795" t="s">
        <v>20</v>
      </c>
      <c r="F795" t="str">
        <f>'Basis Options'!A798</f>
        <v>CMSMARSERTRA</v>
      </c>
      <c r="G795" t="s">
        <v>269</v>
      </c>
      <c r="H795" t="s">
        <v>254</v>
      </c>
      <c r="I795" t="s">
        <v>242</v>
      </c>
      <c r="J795" t="s">
        <v>235</v>
      </c>
      <c r="K795" s="380">
        <f>'Basis Options'!G798</f>
        <v>36923</v>
      </c>
      <c r="L795" s="235">
        <f>'Basis Options'!U798</f>
        <v>-113590.85877046325</v>
      </c>
      <c r="M795" s="380">
        <f>'Basis Options'!Q798</f>
        <v>36921</v>
      </c>
      <c r="N795" t="str">
        <f>'Basis Options'!F798</f>
        <v>P</v>
      </c>
      <c r="O795">
        <f>'Basis Options'!I798</f>
        <v>-0.5</v>
      </c>
      <c r="P795">
        <v>0</v>
      </c>
      <c r="Q795">
        <v>0</v>
      </c>
      <c r="R795">
        <v>0</v>
      </c>
      <c r="S795">
        <v>0</v>
      </c>
      <c r="T795" t="s">
        <v>253</v>
      </c>
      <c r="U795" t="str">
        <f>IF('Basis Options'!D798="NGI/CHI. GATE","""NGI/CHI. GATE""",TRIM('Basis Options'!D798))</f>
        <v>IF-NWPL_ROCKY_M</v>
      </c>
      <c r="V795" t="s">
        <v>253</v>
      </c>
      <c r="W795" t="s">
        <v>132</v>
      </c>
      <c r="X795" t="s">
        <v>253</v>
      </c>
      <c r="Y795" t="s">
        <v>235</v>
      </c>
      <c r="Z795" t="s">
        <v>236</v>
      </c>
      <c r="AA795" t="s">
        <v>253</v>
      </c>
      <c r="AB795" t="s">
        <v>1</v>
      </c>
      <c r="AC795" s="235">
        <f>'Basis Options'!H798</f>
        <v>-560000</v>
      </c>
      <c r="AD795" s="235">
        <f>'Basis Options'!W798</f>
        <v>-29173.710505656985</v>
      </c>
      <c r="AE795">
        <v>0</v>
      </c>
      <c r="AF795">
        <v>0</v>
      </c>
      <c r="AG795">
        <v>0</v>
      </c>
      <c r="AH795" s="235">
        <f>'Basis Options'!CD800</f>
        <v>0</v>
      </c>
      <c r="AI795">
        <v>226</v>
      </c>
      <c r="AJ795" t="s">
        <v>256</v>
      </c>
      <c r="AK795">
        <v>0</v>
      </c>
      <c r="AL795">
        <v>0</v>
      </c>
      <c r="AM795">
        <v>0</v>
      </c>
    </row>
    <row r="796" spans="1:39" x14ac:dyDescent="0.25">
      <c r="A796" t="s">
        <v>233</v>
      </c>
      <c r="B796" t="str">
        <f>'Basis Options'!C799</f>
        <v>NW5630.2</v>
      </c>
      <c r="C796" t="s">
        <v>255</v>
      </c>
      <c r="D796" t="s">
        <v>234</v>
      </c>
      <c r="E796" t="s">
        <v>20</v>
      </c>
      <c r="F796" t="str">
        <f>'Basis Options'!A799</f>
        <v>CMSMARSERTRA</v>
      </c>
      <c r="G796" t="s">
        <v>269</v>
      </c>
      <c r="H796" t="s">
        <v>254</v>
      </c>
      <c r="I796" t="s">
        <v>242</v>
      </c>
      <c r="J796" t="s">
        <v>235</v>
      </c>
      <c r="K796" s="380">
        <f>'Basis Options'!G799</f>
        <v>36951</v>
      </c>
      <c r="L796" s="235">
        <f>'Basis Options'!U799</f>
        <v>-115672.73128032703</v>
      </c>
      <c r="M796" s="380">
        <f>'Basis Options'!Q799</f>
        <v>36949</v>
      </c>
      <c r="N796" t="str">
        <f>'Basis Options'!F799</f>
        <v>P</v>
      </c>
      <c r="O796">
        <f>'Basis Options'!I799</f>
        <v>-0.5</v>
      </c>
      <c r="P796">
        <v>0</v>
      </c>
      <c r="Q796">
        <v>0</v>
      </c>
      <c r="R796">
        <v>0</v>
      </c>
      <c r="S796">
        <v>0</v>
      </c>
      <c r="T796" t="s">
        <v>253</v>
      </c>
      <c r="U796" t="str">
        <f>IF('Basis Options'!D799="NGI/CHI. GATE","""NGI/CHI. GATE""",TRIM('Basis Options'!D799))</f>
        <v>IF-NWPL_ROCKY_M</v>
      </c>
      <c r="V796" t="s">
        <v>253</v>
      </c>
      <c r="W796" t="s">
        <v>132</v>
      </c>
      <c r="X796" t="s">
        <v>253</v>
      </c>
      <c r="Y796" t="s">
        <v>235</v>
      </c>
      <c r="Z796" t="s">
        <v>236</v>
      </c>
      <c r="AA796" t="s">
        <v>253</v>
      </c>
      <c r="AB796" t="s">
        <v>1</v>
      </c>
      <c r="AC796" s="235">
        <f>'Basis Options'!H799</f>
        <v>-620000</v>
      </c>
      <c r="AD796" s="235">
        <f>'Basis Options'!W799</f>
        <v>-31248.993282482668</v>
      </c>
      <c r="AE796">
        <v>0</v>
      </c>
      <c r="AF796">
        <v>0</v>
      </c>
      <c r="AG796">
        <v>0</v>
      </c>
      <c r="AH796" s="235">
        <f>'Basis Options'!CD801</f>
        <v>0</v>
      </c>
      <c r="AI796">
        <v>226</v>
      </c>
      <c r="AJ796" t="s">
        <v>256</v>
      </c>
      <c r="AK796">
        <v>0</v>
      </c>
      <c r="AL796">
        <v>0</v>
      </c>
      <c r="AM796">
        <v>0</v>
      </c>
    </row>
    <row r="797" spans="1:39" x14ac:dyDescent="0.25">
      <c r="A797" t="s">
        <v>233</v>
      </c>
      <c r="B797" t="str">
        <f>'Basis Options'!C800</f>
        <v>NW5635</v>
      </c>
      <c r="C797" t="s">
        <v>255</v>
      </c>
      <c r="D797" t="s">
        <v>234</v>
      </c>
      <c r="E797" t="s">
        <v>20</v>
      </c>
      <c r="F797" t="str">
        <f>'Basis Options'!A800</f>
        <v>WILLIAMSENEMAR</v>
      </c>
      <c r="G797" t="s">
        <v>269</v>
      </c>
      <c r="H797" t="s">
        <v>254</v>
      </c>
      <c r="I797" t="s">
        <v>242</v>
      </c>
      <c r="J797" t="s">
        <v>235</v>
      </c>
      <c r="K797" s="380">
        <f>'Basis Options'!G800</f>
        <v>36831</v>
      </c>
      <c r="L797" s="235">
        <f>'Basis Options'!U800</f>
        <v>-6873.4439083729594</v>
      </c>
      <c r="M797" s="380">
        <f>'Basis Options'!Q800</f>
        <v>36829</v>
      </c>
      <c r="N797" t="str">
        <f>'Basis Options'!F800</f>
        <v>C</v>
      </c>
      <c r="O797">
        <f>'Basis Options'!I800</f>
        <v>0.2</v>
      </c>
      <c r="P797">
        <v>0</v>
      </c>
      <c r="Q797">
        <v>0</v>
      </c>
      <c r="R797">
        <v>0</v>
      </c>
      <c r="S797">
        <v>0</v>
      </c>
      <c r="T797" t="s">
        <v>253</v>
      </c>
      <c r="U797" t="str">
        <f>IF('Basis Options'!D800="NGI/CHI. GATE","""NGI/CHI. GATE""",TRIM('Basis Options'!D800))</f>
        <v>"NGI/CHI. GATE"</v>
      </c>
      <c r="V797" t="s">
        <v>253</v>
      </c>
      <c r="W797" t="s">
        <v>132</v>
      </c>
      <c r="X797" t="s">
        <v>253</v>
      </c>
      <c r="Y797" t="s">
        <v>235</v>
      </c>
      <c r="Z797" t="s">
        <v>236</v>
      </c>
      <c r="AA797" t="s">
        <v>253</v>
      </c>
      <c r="AB797" t="s">
        <v>1</v>
      </c>
      <c r="AC797" s="235">
        <f>'Basis Options'!H800</f>
        <v>-1000000</v>
      </c>
      <c r="AD797" s="235">
        <f>'Basis Options'!W800</f>
        <v>-3718.784220529109</v>
      </c>
      <c r="AE797">
        <v>0</v>
      </c>
      <c r="AF797">
        <v>0</v>
      </c>
      <c r="AG797">
        <v>0</v>
      </c>
      <c r="AH797" s="235">
        <f>'Basis Options'!CD802</f>
        <v>0</v>
      </c>
      <c r="AI797">
        <v>226</v>
      </c>
      <c r="AJ797" t="s">
        <v>256</v>
      </c>
      <c r="AK797">
        <v>0</v>
      </c>
      <c r="AL797">
        <v>0</v>
      </c>
      <c r="AM797">
        <v>0</v>
      </c>
    </row>
    <row r="798" spans="1:39" x14ac:dyDescent="0.25">
      <c r="A798" t="s">
        <v>233</v>
      </c>
      <c r="B798" t="str">
        <f>'Basis Options'!C801</f>
        <v>NW5635</v>
      </c>
      <c r="C798" t="s">
        <v>255</v>
      </c>
      <c r="D798" t="s">
        <v>234</v>
      </c>
      <c r="E798" t="s">
        <v>20</v>
      </c>
      <c r="F798" t="str">
        <f>'Basis Options'!A801</f>
        <v>WILLIAMSENEMAR</v>
      </c>
      <c r="G798" t="s">
        <v>269</v>
      </c>
      <c r="H798" t="s">
        <v>254</v>
      </c>
      <c r="I798" t="s">
        <v>242</v>
      </c>
      <c r="J798" t="s">
        <v>235</v>
      </c>
      <c r="K798" s="380">
        <f>'Basis Options'!G801</f>
        <v>36861</v>
      </c>
      <c r="L798" s="235">
        <f>'Basis Options'!U801</f>
        <v>-15344.278605256715</v>
      </c>
      <c r="M798" s="380">
        <f>'Basis Options'!Q801</f>
        <v>36859</v>
      </c>
      <c r="N798" t="str">
        <f>'Basis Options'!F801</f>
        <v>C</v>
      </c>
      <c r="O798">
        <f>'Basis Options'!I801</f>
        <v>0.2</v>
      </c>
      <c r="P798">
        <v>0</v>
      </c>
      <c r="Q798">
        <v>0</v>
      </c>
      <c r="R798">
        <v>0</v>
      </c>
      <c r="S798">
        <v>0</v>
      </c>
      <c r="T798" t="s">
        <v>253</v>
      </c>
      <c r="U798" t="str">
        <f>IF('Basis Options'!D801="NGI/CHI. GATE","""NGI/CHI. GATE""",TRIM('Basis Options'!D801))</f>
        <v>"NGI/CHI. GATE"</v>
      </c>
      <c r="V798" t="s">
        <v>253</v>
      </c>
      <c r="W798" t="s">
        <v>132</v>
      </c>
      <c r="X798" t="s">
        <v>253</v>
      </c>
      <c r="Y798" t="s">
        <v>235</v>
      </c>
      <c r="Z798" t="s">
        <v>236</v>
      </c>
      <c r="AA798" t="s">
        <v>253</v>
      </c>
      <c r="AB798" t="s">
        <v>1</v>
      </c>
      <c r="AC798" s="235">
        <f>'Basis Options'!H801</f>
        <v>-1000000</v>
      </c>
      <c r="AD798" s="235">
        <f>'Basis Options'!W801</f>
        <v>-6117.0461477370409</v>
      </c>
      <c r="AE798">
        <v>0</v>
      </c>
      <c r="AF798">
        <v>0</v>
      </c>
      <c r="AG798">
        <v>0</v>
      </c>
      <c r="AH798" s="235">
        <f>'Basis Options'!CD803</f>
        <v>0</v>
      </c>
      <c r="AI798">
        <v>226</v>
      </c>
      <c r="AJ798" t="s">
        <v>256</v>
      </c>
      <c r="AK798">
        <v>0</v>
      </c>
      <c r="AL798">
        <v>0</v>
      </c>
      <c r="AM798">
        <v>0</v>
      </c>
    </row>
    <row r="799" spans="1:39" x14ac:dyDescent="0.25">
      <c r="A799" t="s">
        <v>233</v>
      </c>
      <c r="B799" t="str">
        <f>'Basis Options'!C802</f>
        <v>NW5635</v>
      </c>
      <c r="C799" t="s">
        <v>255</v>
      </c>
      <c r="D799" t="s">
        <v>234</v>
      </c>
      <c r="E799" t="s">
        <v>20</v>
      </c>
      <c r="F799" t="str">
        <f>'Basis Options'!A802</f>
        <v>WILLIAMSENEMAR</v>
      </c>
      <c r="G799" t="s">
        <v>269</v>
      </c>
      <c r="H799" t="s">
        <v>254</v>
      </c>
      <c r="I799" t="s">
        <v>242</v>
      </c>
      <c r="J799" t="s">
        <v>235</v>
      </c>
      <c r="K799" s="380">
        <f>'Basis Options'!G802</f>
        <v>36892</v>
      </c>
      <c r="L799" s="235">
        <f>'Basis Options'!U802</f>
        <v>-28507.804952468381</v>
      </c>
      <c r="M799" s="380">
        <f>'Basis Options'!Q802</f>
        <v>36888</v>
      </c>
      <c r="N799" t="str">
        <f>'Basis Options'!F802</f>
        <v>C</v>
      </c>
      <c r="O799">
        <f>'Basis Options'!I802</f>
        <v>0.2</v>
      </c>
      <c r="P799">
        <v>0</v>
      </c>
      <c r="Q799">
        <v>0</v>
      </c>
      <c r="R799">
        <v>0</v>
      </c>
      <c r="S799">
        <v>0</v>
      </c>
      <c r="T799" t="s">
        <v>253</v>
      </c>
      <c r="U799" t="str">
        <f>IF('Basis Options'!D802="NGI/CHI. GATE","""NGI/CHI. GATE""",TRIM('Basis Options'!D802))</f>
        <v>"NGI/CHI. GATE"</v>
      </c>
      <c r="V799" t="s">
        <v>253</v>
      </c>
      <c r="W799" t="s">
        <v>132</v>
      </c>
      <c r="X799" t="s">
        <v>253</v>
      </c>
      <c r="Y799" t="s">
        <v>235</v>
      </c>
      <c r="Z799" t="s">
        <v>236</v>
      </c>
      <c r="AA799" t="s">
        <v>253</v>
      </c>
      <c r="AB799" t="s">
        <v>1</v>
      </c>
      <c r="AC799" s="235">
        <f>'Basis Options'!H802</f>
        <v>-1000000</v>
      </c>
      <c r="AD799" s="235">
        <f>'Basis Options'!W802</f>
        <v>-8416.2608839279274</v>
      </c>
      <c r="AE799">
        <v>0</v>
      </c>
      <c r="AF799">
        <v>0</v>
      </c>
      <c r="AG799">
        <v>0</v>
      </c>
      <c r="AH799" s="235">
        <f>'Basis Options'!CD804</f>
        <v>0</v>
      </c>
      <c r="AI799">
        <v>226</v>
      </c>
      <c r="AJ799" t="s">
        <v>256</v>
      </c>
      <c r="AK799">
        <v>0</v>
      </c>
      <c r="AL799">
        <v>0</v>
      </c>
      <c r="AM799">
        <v>0</v>
      </c>
    </row>
    <row r="800" spans="1:39" x14ac:dyDescent="0.25">
      <c r="A800" t="s">
        <v>233</v>
      </c>
      <c r="B800" t="str">
        <f>'Basis Options'!C803</f>
        <v>NW5635</v>
      </c>
      <c r="C800" t="s">
        <v>255</v>
      </c>
      <c r="D800" t="s">
        <v>234</v>
      </c>
      <c r="E800" t="s">
        <v>20</v>
      </c>
      <c r="F800" t="str">
        <f>'Basis Options'!A803</f>
        <v>WILLIAMSENEMAR</v>
      </c>
      <c r="G800" t="s">
        <v>269</v>
      </c>
      <c r="H800" t="s">
        <v>254</v>
      </c>
      <c r="I800" t="s">
        <v>242</v>
      </c>
      <c r="J800" t="s">
        <v>235</v>
      </c>
      <c r="K800" s="380">
        <f>'Basis Options'!G803</f>
        <v>36923</v>
      </c>
      <c r="L800" s="235">
        <f>'Basis Options'!U803</f>
        <v>-34815.997437787053</v>
      </c>
      <c r="M800" s="380">
        <f>'Basis Options'!Q803</f>
        <v>36921</v>
      </c>
      <c r="N800" t="str">
        <f>'Basis Options'!F803</f>
        <v>C</v>
      </c>
      <c r="O800">
        <f>'Basis Options'!I803</f>
        <v>0.2</v>
      </c>
      <c r="P800">
        <v>0</v>
      </c>
      <c r="Q800">
        <v>0</v>
      </c>
      <c r="R800">
        <v>0</v>
      </c>
      <c r="S800">
        <v>0</v>
      </c>
      <c r="T800" t="s">
        <v>253</v>
      </c>
      <c r="U800" t="str">
        <f>IF('Basis Options'!D803="NGI/CHI. GATE","""NGI/CHI. GATE""",TRIM('Basis Options'!D803))</f>
        <v>"NGI/CHI. GATE"</v>
      </c>
      <c r="V800" t="s">
        <v>253</v>
      </c>
      <c r="W800" t="s">
        <v>132</v>
      </c>
      <c r="X800" t="s">
        <v>253</v>
      </c>
      <c r="Y800" t="s">
        <v>235</v>
      </c>
      <c r="Z800" t="s">
        <v>236</v>
      </c>
      <c r="AA800" t="s">
        <v>253</v>
      </c>
      <c r="AB800" t="s">
        <v>1</v>
      </c>
      <c r="AC800" s="235">
        <f>'Basis Options'!H803</f>
        <v>-1000000</v>
      </c>
      <c r="AD800" s="235">
        <f>'Basis Options'!W803</f>
        <v>-9554.7246088238317</v>
      </c>
      <c r="AE800">
        <v>0</v>
      </c>
      <c r="AF800">
        <v>0</v>
      </c>
      <c r="AG800">
        <v>0</v>
      </c>
      <c r="AH800" s="235">
        <f>'Basis Options'!CD805</f>
        <v>0</v>
      </c>
      <c r="AI800">
        <v>226</v>
      </c>
      <c r="AJ800" t="s">
        <v>256</v>
      </c>
      <c r="AK800">
        <v>0</v>
      </c>
      <c r="AL800">
        <v>0</v>
      </c>
      <c r="AM800">
        <v>0</v>
      </c>
    </row>
    <row r="801" spans="1:39" x14ac:dyDescent="0.25">
      <c r="A801" t="s">
        <v>233</v>
      </c>
      <c r="B801" t="str">
        <f>'Basis Options'!C804</f>
        <v>NW5635</v>
      </c>
      <c r="C801" t="s">
        <v>255</v>
      </c>
      <c r="D801" t="s">
        <v>234</v>
      </c>
      <c r="E801" t="s">
        <v>20</v>
      </c>
      <c r="F801" t="str">
        <f>'Basis Options'!A804</f>
        <v>WILLIAMSENEMAR</v>
      </c>
      <c r="G801" t="s">
        <v>269</v>
      </c>
      <c r="H801" t="s">
        <v>254</v>
      </c>
      <c r="I801" t="s">
        <v>242</v>
      </c>
      <c r="J801" t="s">
        <v>235</v>
      </c>
      <c r="K801" s="380">
        <f>'Basis Options'!G804</f>
        <v>36951</v>
      </c>
      <c r="L801" s="235">
        <f>'Basis Options'!U804</f>
        <v>-26185.472823568893</v>
      </c>
      <c r="M801" s="380">
        <f>'Basis Options'!Q804</f>
        <v>36949</v>
      </c>
      <c r="N801" t="str">
        <f>'Basis Options'!F804</f>
        <v>C</v>
      </c>
      <c r="O801">
        <f>'Basis Options'!I804</f>
        <v>0.2</v>
      </c>
      <c r="P801">
        <v>0</v>
      </c>
      <c r="Q801">
        <v>0</v>
      </c>
      <c r="R801">
        <v>0</v>
      </c>
      <c r="S801">
        <v>0</v>
      </c>
      <c r="T801" t="s">
        <v>253</v>
      </c>
      <c r="U801" t="str">
        <f>IF('Basis Options'!D804="NGI/CHI. GATE","""NGI/CHI. GATE""",TRIM('Basis Options'!D804))</f>
        <v>"NGI/CHI. GATE"</v>
      </c>
      <c r="V801" t="s">
        <v>253</v>
      </c>
      <c r="W801" t="s">
        <v>132</v>
      </c>
      <c r="X801" t="s">
        <v>253</v>
      </c>
      <c r="Y801" t="s">
        <v>235</v>
      </c>
      <c r="Z801" t="s">
        <v>236</v>
      </c>
      <c r="AA801" t="s">
        <v>253</v>
      </c>
      <c r="AB801" t="s">
        <v>1</v>
      </c>
      <c r="AC801" s="235">
        <f>'Basis Options'!H804</f>
        <v>-1000000</v>
      </c>
      <c r="AD801" s="235">
        <f>'Basis Options'!W804</f>
        <v>-8685.3722022926668</v>
      </c>
      <c r="AE801">
        <v>0</v>
      </c>
      <c r="AF801">
        <v>0</v>
      </c>
      <c r="AG801">
        <v>0</v>
      </c>
      <c r="AH801" s="235">
        <f>'Basis Options'!CD806</f>
        <v>0</v>
      </c>
      <c r="AI801">
        <v>226</v>
      </c>
      <c r="AJ801" t="s">
        <v>256</v>
      </c>
      <c r="AK801">
        <v>0</v>
      </c>
      <c r="AL801">
        <v>0</v>
      </c>
      <c r="AM801">
        <v>0</v>
      </c>
    </row>
    <row r="802" spans="1:39" x14ac:dyDescent="0.25">
      <c r="A802" t="s">
        <v>233</v>
      </c>
      <c r="B802" t="str">
        <f>'Basis Options'!C805</f>
        <v>NW8030.1</v>
      </c>
      <c r="C802" t="s">
        <v>255</v>
      </c>
      <c r="D802" t="s">
        <v>234</v>
      </c>
      <c r="E802" t="s">
        <v>20</v>
      </c>
      <c r="F802" t="str">
        <f>'Basis Options'!A805</f>
        <v>OCCIDENTENEMAR</v>
      </c>
      <c r="G802" t="s">
        <v>269</v>
      </c>
      <c r="H802" t="s">
        <v>254</v>
      </c>
      <c r="I802" t="s">
        <v>242</v>
      </c>
      <c r="J802" t="s">
        <v>235</v>
      </c>
      <c r="K802" s="380">
        <f>'Basis Options'!G805</f>
        <v>36831</v>
      </c>
      <c r="L802" s="235">
        <f>'Basis Options'!U805</f>
        <v>14854.803858345307</v>
      </c>
      <c r="M802" s="380">
        <f>'Basis Options'!Q805</f>
        <v>36829</v>
      </c>
      <c r="N802" t="str">
        <f>'Basis Options'!F805</f>
        <v>P</v>
      </c>
      <c r="O802">
        <f>'Basis Options'!I805</f>
        <v>0.11</v>
      </c>
      <c r="P802">
        <v>0</v>
      </c>
      <c r="Q802">
        <v>0</v>
      </c>
      <c r="R802">
        <v>0</v>
      </c>
      <c r="S802">
        <v>0</v>
      </c>
      <c r="T802" t="s">
        <v>253</v>
      </c>
      <c r="U802" t="str">
        <f>IF('Basis Options'!D805="NGI/CHI. GATE","""NGI/CHI. GATE""",TRIM('Basis Options'!D805))</f>
        <v>"NGI/CHI. GATE"</v>
      </c>
      <c r="V802" t="s">
        <v>253</v>
      </c>
      <c r="W802" t="s">
        <v>132</v>
      </c>
      <c r="X802" t="s">
        <v>253</v>
      </c>
      <c r="Y802" t="s">
        <v>235</v>
      </c>
      <c r="Z802" t="s">
        <v>236</v>
      </c>
      <c r="AA802" t="s">
        <v>253</v>
      </c>
      <c r="AB802" t="s">
        <v>1</v>
      </c>
      <c r="AC802" s="235">
        <f>'Basis Options'!H805</f>
        <v>300000</v>
      </c>
      <c r="AD802" s="235">
        <f>'Basis Options'!W805</f>
        <v>2096.8613632594061</v>
      </c>
      <c r="AE802">
        <v>0</v>
      </c>
      <c r="AF802">
        <v>0</v>
      </c>
      <c r="AG802">
        <v>0</v>
      </c>
      <c r="AH802" s="235">
        <f>'Basis Options'!CD807</f>
        <v>0</v>
      </c>
      <c r="AI802">
        <v>226</v>
      </c>
      <c r="AJ802" t="s">
        <v>256</v>
      </c>
      <c r="AK802">
        <v>0</v>
      </c>
      <c r="AL802">
        <v>0</v>
      </c>
      <c r="AM802">
        <v>0</v>
      </c>
    </row>
    <row r="803" spans="1:39" x14ac:dyDescent="0.25">
      <c r="A803" t="s">
        <v>233</v>
      </c>
      <c r="B803" t="str">
        <f>'Basis Options'!C806</f>
        <v>NW8030.1</v>
      </c>
      <c r="C803" t="s">
        <v>255</v>
      </c>
      <c r="D803" t="s">
        <v>234</v>
      </c>
      <c r="E803" t="s">
        <v>20</v>
      </c>
      <c r="F803" t="str">
        <f>'Basis Options'!A806</f>
        <v>OCCIDENTENEMAR</v>
      </c>
      <c r="G803" t="s">
        <v>269</v>
      </c>
      <c r="H803" t="s">
        <v>254</v>
      </c>
      <c r="I803" t="s">
        <v>242</v>
      </c>
      <c r="J803" t="s">
        <v>235</v>
      </c>
      <c r="K803" s="380">
        <f>'Basis Options'!G806</f>
        <v>36861</v>
      </c>
      <c r="L803" s="235">
        <f>'Basis Options'!U806</f>
        <v>15919.370457812225</v>
      </c>
      <c r="M803" s="380">
        <f>'Basis Options'!Q806</f>
        <v>36859</v>
      </c>
      <c r="N803" t="str">
        <f>'Basis Options'!F806</f>
        <v>P</v>
      </c>
      <c r="O803">
        <f>'Basis Options'!I806</f>
        <v>0.11</v>
      </c>
      <c r="P803">
        <v>0</v>
      </c>
      <c r="Q803">
        <v>0</v>
      </c>
      <c r="R803">
        <v>0</v>
      </c>
      <c r="S803">
        <v>0</v>
      </c>
      <c r="T803" t="s">
        <v>253</v>
      </c>
      <c r="U803" t="str">
        <f>IF('Basis Options'!D806="NGI/CHI. GATE","""NGI/CHI. GATE""",TRIM('Basis Options'!D806))</f>
        <v>"NGI/CHI. GATE"</v>
      </c>
      <c r="V803" t="s">
        <v>253</v>
      </c>
      <c r="W803" t="s">
        <v>132</v>
      </c>
      <c r="X803" t="s">
        <v>253</v>
      </c>
      <c r="Y803" t="s">
        <v>235</v>
      </c>
      <c r="Z803" t="s">
        <v>236</v>
      </c>
      <c r="AA803" t="s">
        <v>253</v>
      </c>
      <c r="AB803" t="s">
        <v>1</v>
      </c>
      <c r="AC803" s="235">
        <f>'Basis Options'!H806</f>
        <v>310000</v>
      </c>
      <c r="AD803" s="235">
        <f>'Basis Options'!W806</f>
        <v>2712.1251725048933</v>
      </c>
      <c r="AE803">
        <v>0</v>
      </c>
      <c r="AF803">
        <v>0</v>
      </c>
      <c r="AG803">
        <v>0</v>
      </c>
      <c r="AH803" s="235">
        <f>'Basis Options'!CD808</f>
        <v>0</v>
      </c>
      <c r="AI803">
        <v>226</v>
      </c>
      <c r="AJ803" t="s">
        <v>256</v>
      </c>
      <c r="AK803">
        <v>0</v>
      </c>
      <c r="AL803">
        <v>0</v>
      </c>
      <c r="AM803">
        <v>0</v>
      </c>
    </row>
    <row r="804" spans="1:39" x14ac:dyDescent="0.25">
      <c r="A804" t="s">
        <v>233</v>
      </c>
      <c r="B804" t="str">
        <f>'Basis Options'!C807</f>
        <v>NW8030.1</v>
      </c>
      <c r="C804" t="s">
        <v>255</v>
      </c>
      <c r="D804" t="s">
        <v>234</v>
      </c>
      <c r="E804" t="s">
        <v>20</v>
      </c>
      <c r="F804" t="str">
        <f>'Basis Options'!A807</f>
        <v>OCCIDENTENEMAR</v>
      </c>
      <c r="G804" t="s">
        <v>269</v>
      </c>
      <c r="H804" t="s">
        <v>254</v>
      </c>
      <c r="I804" t="s">
        <v>242</v>
      </c>
      <c r="J804" t="s">
        <v>235</v>
      </c>
      <c r="K804" s="380">
        <f>'Basis Options'!G807</f>
        <v>36892</v>
      </c>
      <c r="L804" s="235">
        <f>'Basis Options'!U807</f>
        <v>13871.846870392645</v>
      </c>
      <c r="M804" s="380">
        <f>'Basis Options'!Q807</f>
        <v>36888</v>
      </c>
      <c r="N804" t="str">
        <f>'Basis Options'!F807</f>
        <v>P</v>
      </c>
      <c r="O804">
        <f>'Basis Options'!I807</f>
        <v>0.11</v>
      </c>
      <c r="P804">
        <v>0</v>
      </c>
      <c r="Q804">
        <v>0</v>
      </c>
      <c r="R804">
        <v>0</v>
      </c>
      <c r="S804">
        <v>0</v>
      </c>
      <c r="T804" t="s">
        <v>253</v>
      </c>
      <c r="U804" t="str">
        <f>IF('Basis Options'!D807="NGI/CHI. GATE","""NGI/CHI. GATE""",TRIM('Basis Options'!D807))</f>
        <v>"NGI/CHI. GATE"</v>
      </c>
      <c r="V804" t="s">
        <v>253</v>
      </c>
      <c r="W804" t="s">
        <v>132</v>
      </c>
      <c r="X804" t="s">
        <v>253</v>
      </c>
      <c r="Y804" t="s">
        <v>235</v>
      </c>
      <c r="Z804" t="s">
        <v>236</v>
      </c>
      <c r="AA804" t="s">
        <v>253</v>
      </c>
      <c r="AB804" t="s">
        <v>1</v>
      </c>
      <c r="AC804" s="235">
        <f>'Basis Options'!H807</f>
        <v>310000</v>
      </c>
      <c r="AD804" s="235">
        <f>'Basis Options'!W807</f>
        <v>3093.9107663001923</v>
      </c>
      <c r="AE804">
        <v>0</v>
      </c>
      <c r="AF804">
        <v>0</v>
      </c>
      <c r="AG804">
        <v>0</v>
      </c>
      <c r="AH804" s="235">
        <f>'Basis Options'!CD809</f>
        <v>0</v>
      </c>
      <c r="AI804">
        <v>226</v>
      </c>
      <c r="AJ804" t="s">
        <v>256</v>
      </c>
      <c r="AK804">
        <v>0</v>
      </c>
      <c r="AL804">
        <v>0</v>
      </c>
      <c r="AM804">
        <v>0</v>
      </c>
    </row>
    <row r="805" spans="1:39" x14ac:dyDescent="0.25">
      <c r="A805" t="s">
        <v>233</v>
      </c>
      <c r="B805" t="str">
        <f>'Basis Options'!C808</f>
        <v>NW8030.1</v>
      </c>
      <c r="C805" t="s">
        <v>255</v>
      </c>
      <c r="D805" t="s">
        <v>234</v>
      </c>
      <c r="E805" t="s">
        <v>20</v>
      </c>
      <c r="F805" t="str">
        <f>'Basis Options'!A808</f>
        <v>OCCIDENTENEMAR</v>
      </c>
      <c r="G805" t="s">
        <v>269</v>
      </c>
      <c r="H805" t="s">
        <v>254</v>
      </c>
      <c r="I805" t="s">
        <v>242</v>
      </c>
      <c r="J805" t="s">
        <v>235</v>
      </c>
      <c r="K805" s="380">
        <f>'Basis Options'!G808</f>
        <v>36923</v>
      </c>
      <c r="L805" s="235">
        <f>'Basis Options'!U808</f>
        <v>12065.430170515432</v>
      </c>
      <c r="M805" s="380">
        <f>'Basis Options'!Q808</f>
        <v>36921</v>
      </c>
      <c r="N805" t="str">
        <f>'Basis Options'!F808</f>
        <v>P</v>
      </c>
      <c r="O805">
        <f>'Basis Options'!I808</f>
        <v>0.11</v>
      </c>
      <c r="P805">
        <v>0</v>
      </c>
      <c r="Q805">
        <v>0</v>
      </c>
      <c r="R805">
        <v>0</v>
      </c>
      <c r="S805">
        <v>0</v>
      </c>
      <c r="T805" t="s">
        <v>253</v>
      </c>
      <c r="U805" t="str">
        <f>IF('Basis Options'!D808="NGI/CHI. GATE","""NGI/CHI. GATE""",TRIM('Basis Options'!D808))</f>
        <v>"NGI/CHI. GATE"</v>
      </c>
      <c r="V805" t="s">
        <v>253</v>
      </c>
      <c r="W805" t="s">
        <v>132</v>
      </c>
      <c r="X805" t="s">
        <v>253</v>
      </c>
      <c r="Y805" t="s">
        <v>235</v>
      </c>
      <c r="Z805" t="s">
        <v>236</v>
      </c>
      <c r="AA805" t="s">
        <v>253</v>
      </c>
      <c r="AB805" t="s">
        <v>1</v>
      </c>
      <c r="AC805" s="235">
        <f>'Basis Options'!H808</f>
        <v>280000</v>
      </c>
      <c r="AD805" s="235">
        <f>'Basis Options'!W808</f>
        <v>3020.3439544763387</v>
      </c>
      <c r="AE805">
        <v>0</v>
      </c>
      <c r="AF805">
        <v>0</v>
      </c>
      <c r="AG805">
        <v>0</v>
      </c>
      <c r="AH805" s="235">
        <f>'Basis Options'!CD810</f>
        <v>0</v>
      </c>
      <c r="AI805">
        <v>226</v>
      </c>
      <c r="AJ805" t="s">
        <v>256</v>
      </c>
      <c r="AK805">
        <v>0</v>
      </c>
      <c r="AL805">
        <v>0</v>
      </c>
      <c r="AM805">
        <v>0</v>
      </c>
    </row>
    <row r="806" spans="1:39" x14ac:dyDescent="0.25">
      <c r="A806" t="s">
        <v>233</v>
      </c>
      <c r="B806" t="str">
        <f>'Basis Options'!C809</f>
        <v>NW8030.1</v>
      </c>
      <c r="C806" t="s">
        <v>255</v>
      </c>
      <c r="D806" t="s">
        <v>234</v>
      </c>
      <c r="E806" t="s">
        <v>20</v>
      </c>
      <c r="F806" t="str">
        <f>'Basis Options'!A809</f>
        <v>OCCIDENTENEMAR</v>
      </c>
      <c r="G806" t="s">
        <v>269</v>
      </c>
      <c r="H806" t="s">
        <v>254</v>
      </c>
      <c r="I806" t="s">
        <v>242</v>
      </c>
      <c r="J806" t="s">
        <v>235</v>
      </c>
      <c r="K806" s="380">
        <f>'Basis Options'!G809</f>
        <v>36951</v>
      </c>
      <c r="L806" s="235">
        <f>'Basis Options'!U809</f>
        <v>13982.450171505909</v>
      </c>
      <c r="M806" s="380">
        <f>'Basis Options'!Q809</f>
        <v>36949</v>
      </c>
      <c r="N806" t="str">
        <f>'Basis Options'!F809</f>
        <v>P</v>
      </c>
      <c r="O806">
        <f>'Basis Options'!I809</f>
        <v>0.11</v>
      </c>
      <c r="P806">
        <v>0</v>
      </c>
      <c r="Q806">
        <v>0</v>
      </c>
      <c r="R806">
        <v>0</v>
      </c>
      <c r="S806">
        <v>0</v>
      </c>
      <c r="T806" t="s">
        <v>253</v>
      </c>
      <c r="U806" t="str">
        <f>IF('Basis Options'!D809="NGI/CHI. GATE","""NGI/CHI. GATE""",TRIM('Basis Options'!D809))</f>
        <v>"NGI/CHI. GATE"</v>
      </c>
      <c r="V806" t="s">
        <v>253</v>
      </c>
      <c r="W806" t="s">
        <v>132</v>
      </c>
      <c r="X806" t="s">
        <v>253</v>
      </c>
      <c r="Y806" t="s">
        <v>235</v>
      </c>
      <c r="Z806" t="s">
        <v>236</v>
      </c>
      <c r="AA806" t="s">
        <v>253</v>
      </c>
      <c r="AB806" t="s">
        <v>1</v>
      </c>
      <c r="AC806" s="235">
        <f>'Basis Options'!H809</f>
        <v>310000</v>
      </c>
      <c r="AD806" s="235">
        <f>'Basis Options'!W809</f>
        <v>3282.3171806106693</v>
      </c>
      <c r="AE806">
        <v>0</v>
      </c>
      <c r="AF806">
        <v>0</v>
      </c>
      <c r="AG806">
        <v>0</v>
      </c>
      <c r="AH806" s="235">
        <f>'Basis Options'!CD811</f>
        <v>0</v>
      </c>
      <c r="AI806">
        <v>226</v>
      </c>
      <c r="AJ806" t="s">
        <v>256</v>
      </c>
      <c r="AK806">
        <v>0</v>
      </c>
      <c r="AL806">
        <v>0</v>
      </c>
      <c r="AM806">
        <v>0</v>
      </c>
    </row>
    <row r="807" spans="1:39" x14ac:dyDescent="0.25">
      <c r="A807" t="s">
        <v>233</v>
      </c>
      <c r="B807" t="str">
        <f>'Basis Options'!C810</f>
        <v>NW8030.2</v>
      </c>
      <c r="C807" t="s">
        <v>255</v>
      </c>
      <c r="D807" t="s">
        <v>234</v>
      </c>
      <c r="E807" t="s">
        <v>20</v>
      </c>
      <c r="F807" t="str">
        <f>'Basis Options'!A810</f>
        <v>OCCIDENTENEMAR</v>
      </c>
      <c r="G807" t="s">
        <v>269</v>
      </c>
      <c r="H807" t="s">
        <v>254</v>
      </c>
      <c r="I807" t="s">
        <v>242</v>
      </c>
      <c r="J807" t="s">
        <v>235</v>
      </c>
      <c r="K807" s="380">
        <f>'Basis Options'!G810</f>
        <v>36831</v>
      </c>
      <c r="L807" s="235">
        <f>'Basis Options'!U810</f>
        <v>14854.803858345307</v>
      </c>
      <c r="M807" s="380">
        <f>'Basis Options'!Q810</f>
        <v>36829</v>
      </c>
      <c r="N807" t="str">
        <f>'Basis Options'!F810</f>
        <v>P</v>
      </c>
      <c r="O807">
        <f>'Basis Options'!I810</f>
        <v>0.11</v>
      </c>
      <c r="P807">
        <v>0</v>
      </c>
      <c r="Q807">
        <v>0</v>
      </c>
      <c r="R807">
        <v>0</v>
      </c>
      <c r="S807">
        <v>0</v>
      </c>
      <c r="T807" t="s">
        <v>253</v>
      </c>
      <c r="U807" t="str">
        <f>IF('Basis Options'!D810="NGI/CHI. GATE","""NGI/CHI. GATE""",TRIM('Basis Options'!D810))</f>
        <v>"NGI/CHI. GATE"</v>
      </c>
      <c r="V807" t="s">
        <v>253</v>
      </c>
      <c r="W807" t="s">
        <v>132</v>
      </c>
      <c r="X807" t="s">
        <v>253</v>
      </c>
      <c r="Y807" t="s">
        <v>235</v>
      </c>
      <c r="Z807" t="s">
        <v>236</v>
      </c>
      <c r="AA807" t="s">
        <v>253</v>
      </c>
      <c r="AB807" t="s">
        <v>1</v>
      </c>
      <c r="AC807" s="235">
        <f>'Basis Options'!H810</f>
        <v>300000</v>
      </c>
      <c r="AD807" s="235">
        <f>'Basis Options'!W810</f>
        <v>2096.8613632594061</v>
      </c>
      <c r="AE807">
        <v>0</v>
      </c>
      <c r="AF807">
        <v>0</v>
      </c>
      <c r="AG807">
        <v>0</v>
      </c>
      <c r="AH807" s="235">
        <f>'Basis Options'!CD812</f>
        <v>0</v>
      </c>
      <c r="AI807">
        <v>226</v>
      </c>
      <c r="AJ807" t="s">
        <v>256</v>
      </c>
      <c r="AK807">
        <v>0</v>
      </c>
      <c r="AL807">
        <v>0</v>
      </c>
      <c r="AM807">
        <v>0</v>
      </c>
    </row>
    <row r="808" spans="1:39" x14ac:dyDescent="0.25">
      <c r="A808" t="s">
        <v>233</v>
      </c>
      <c r="B808" t="str">
        <f>'Basis Options'!C811</f>
        <v>NW8030.2</v>
      </c>
      <c r="C808" t="s">
        <v>255</v>
      </c>
      <c r="D808" t="s">
        <v>234</v>
      </c>
      <c r="E808" t="s">
        <v>20</v>
      </c>
      <c r="F808" t="str">
        <f>'Basis Options'!A811</f>
        <v>OCCIDENTENEMAR</v>
      </c>
      <c r="G808" t="s">
        <v>269</v>
      </c>
      <c r="H808" t="s">
        <v>254</v>
      </c>
      <c r="I808" t="s">
        <v>242</v>
      </c>
      <c r="J808" t="s">
        <v>235</v>
      </c>
      <c r="K808" s="380">
        <f>'Basis Options'!G811</f>
        <v>36861</v>
      </c>
      <c r="L808" s="235">
        <f>'Basis Options'!U811</f>
        <v>15919.370457812225</v>
      </c>
      <c r="M808" s="380">
        <f>'Basis Options'!Q811</f>
        <v>36859</v>
      </c>
      <c r="N808" t="str">
        <f>'Basis Options'!F811</f>
        <v>P</v>
      </c>
      <c r="O808">
        <f>'Basis Options'!I811</f>
        <v>0.11</v>
      </c>
      <c r="P808">
        <v>0</v>
      </c>
      <c r="Q808">
        <v>0</v>
      </c>
      <c r="R808">
        <v>0</v>
      </c>
      <c r="S808">
        <v>0</v>
      </c>
      <c r="T808" t="s">
        <v>253</v>
      </c>
      <c r="U808" t="str">
        <f>IF('Basis Options'!D811="NGI/CHI. GATE","""NGI/CHI. GATE""",TRIM('Basis Options'!D811))</f>
        <v>"NGI/CHI. GATE"</v>
      </c>
      <c r="V808" t="s">
        <v>253</v>
      </c>
      <c r="W808" t="s">
        <v>132</v>
      </c>
      <c r="X808" t="s">
        <v>253</v>
      </c>
      <c r="Y808" t="s">
        <v>235</v>
      </c>
      <c r="Z808" t="s">
        <v>236</v>
      </c>
      <c r="AA808" t="s">
        <v>253</v>
      </c>
      <c r="AB808" t="s">
        <v>1</v>
      </c>
      <c r="AC808" s="235">
        <f>'Basis Options'!H811</f>
        <v>310000</v>
      </c>
      <c r="AD808" s="235">
        <f>'Basis Options'!W811</f>
        <v>2712.1251725048933</v>
      </c>
      <c r="AE808">
        <v>0</v>
      </c>
      <c r="AF808">
        <v>0</v>
      </c>
      <c r="AG808">
        <v>0</v>
      </c>
      <c r="AH808" s="235">
        <f>'Basis Options'!CD813</f>
        <v>0</v>
      </c>
      <c r="AI808">
        <v>226</v>
      </c>
      <c r="AJ808" t="s">
        <v>256</v>
      </c>
      <c r="AK808">
        <v>0</v>
      </c>
      <c r="AL808">
        <v>0</v>
      </c>
      <c r="AM808">
        <v>0</v>
      </c>
    </row>
    <row r="809" spans="1:39" x14ac:dyDescent="0.25">
      <c r="A809" t="s">
        <v>233</v>
      </c>
      <c r="B809" t="str">
        <f>'Basis Options'!C812</f>
        <v>NW8030.2</v>
      </c>
      <c r="C809" t="s">
        <v>255</v>
      </c>
      <c r="D809" t="s">
        <v>234</v>
      </c>
      <c r="E809" t="s">
        <v>20</v>
      </c>
      <c r="F809" t="str">
        <f>'Basis Options'!A812</f>
        <v>OCCIDENTENEMAR</v>
      </c>
      <c r="G809" t="s">
        <v>269</v>
      </c>
      <c r="H809" t="s">
        <v>254</v>
      </c>
      <c r="I809" t="s">
        <v>242</v>
      </c>
      <c r="J809" t="s">
        <v>235</v>
      </c>
      <c r="K809" s="380">
        <f>'Basis Options'!G812</f>
        <v>36892</v>
      </c>
      <c r="L809" s="235">
        <f>'Basis Options'!U812</f>
        <v>13871.846870392645</v>
      </c>
      <c r="M809" s="380">
        <f>'Basis Options'!Q812</f>
        <v>36888</v>
      </c>
      <c r="N809" t="str">
        <f>'Basis Options'!F812</f>
        <v>P</v>
      </c>
      <c r="O809">
        <f>'Basis Options'!I812</f>
        <v>0.11</v>
      </c>
      <c r="P809">
        <v>0</v>
      </c>
      <c r="Q809">
        <v>0</v>
      </c>
      <c r="R809">
        <v>0</v>
      </c>
      <c r="S809">
        <v>0</v>
      </c>
      <c r="T809" t="s">
        <v>253</v>
      </c>
      <c r="U809" t="str">
        <f>IF('Basis Options'!D812="NGI/CHI. GATE","""NGI/CHI. GATE""",TRIM('Basis Options'!D812))</f>
        <v>"NGI/CHI. GATE"</v>
      </c>
      <c r="V809" t="s">
        <v>253</v>
      </c>
      <c r="W809" t="s">
        <v>132</v>
      </c>
      <c r="X809" t="s">
        <v>253</v>
      </c>
      <c r="Y809" t="s">
        <v>235</v>
      </c>
      <c r="Z809" t="s">
        <v>236</v>
      </c>
      <c r="AA809" t="s">
        <v>253</v>
      </c>
      <c r="AB809" t="s">
        <v>1</v>
      </c>
      <c r="AC809" s="235">
        <f>'Basis Options'!H812</f>
        <v>310000</v>
      </c>
      <c r="AD809" s="235">
        <f>'Basis Options'!W812</f>
        <v>3093.9107663001923</v>
      </c>
      <c r="AE809">
        <v>0</v>
      </c>
      <c r="AF809">
        <v>0</v>
      </c>
      <c r="AG809">
        <v>0</v>
      </c>
      <c r="AH809" s="235">
        <f>'Basis Options'!CD814</f>
        <v>0</v>
      </c>
      <c r="AI809">
        <v>226</v>
      </c>
      <c r="AJ809" t="s">
        <v>256</v>
      </c>
      <c r="AK809">
        <v>0</v>
      </c>
      <c r="AL809">
        <v>0</v>
      </c>
      <c r="AM809">
        <v>0</v>
      </c>
    </row>
    <row r="810" spans="1:39" x14ac:dyDescent="0.25">
      <c r="A810" t="s">
        <v>233</v>
      </c>
      <c r="B810" t="str">
        <f>'Basis Options'!C813</f>
        <v>NW8030.2</v>
      </c>
      <c r="C810" t="s">
        <v>255</v>
      </c>
      <c r="D810" t="s">
        <v>234</v>
      </c>
      <c r="E810" t="s">
        <v>20</v>
      </c>
      <c r="F810" t="str">
        <f>'Basis Options'!A813</f>
        <v>OCCIDENTENEMAR</v>
      </c>
      <c r="G810" t="s">
        <v>269</v>
      </c>
      <c r="H810" t="s">
        <v>254</v>
      </c>
      <c r="I810" t="s">
        <v>242</v>
      </c>
      <c r="J810" t="s">
        <v>235</v>
      </c>
      <c r="K810" s="380">
        <f>'Basis Options'!G813</f>
        <v>36923</v>
      </c>
      <c r="L810" s="235">
        <f>'Basis Options'!U813</f>
        <v>12065.430170515432</v>
      </c>
      <c r="M810" s="380">
        <f>'Basis Options'!Q813</f>
        <v>36921</v>
      </c>
      <c r="N810" t="str">
        <f>'Basis Options'!F813</f>
        <v>P</v>
      </c>
      <c r="O810">
        <f>'Basis Options'!I813</f>
        <v>0.11</v>
      </c>
      <c r="P810">
        <v>0</v>
      </c>
      <c r="Q810">
        <v>0</v>
      </c>
      <c r="R810">
        <v>0</v>
      </c>
      <c r="S810">
        <v>0</v>
      </c>
      <c r="T810" t="s">
        <v>253</v>
      </c>
      <c r="U810" t="str">
        <f>IF('Basis Options'!D813="NGI/CHI. GATE","""NGI/CHI. GATE""",TRIM('Basis Options'!D813))</f>
        <v>"NGI/CHI. GATE"</v>
      </c>
      <c r="V810" t="s">
        <v>253</v>
      </c>
      <c r="W810" t="s">
        <v>132</v>
      </c>
      <c r="X810" t="s">
        <v>253</v>
      </c>
      <c r="Y810" t="s">
        <v>235</v>
      </c>
      <c r="Z810" t="s">
        <v>236</v>
      </c>
      <c r="AA810" t="s">
        <v>253</v>
      </c>
      <c r="AB810" t="s">
        <v>1</v>
      </c>
      <c r="AC810" s="235">
        <f>'Basis Options'!H813</f>
        <v>280000</v>
      </c>
      <c r="AD810" s="235">
        <f>'Basis Options'!W813</f>
        <v>3020.3439544763387</v>
      </c>
      <c r="AE810">
        <v>0</v>
      </c>
      <c r="AF810">
        <v>0</v>
      </c>
      <c r="AG810">
        <v>0</v>
      </c>
      <c r="AH810" s="235">
        <f>'Basis Options'!CD815</f>
        <v>0</v>
      </c>
      <c r="AI810">
        <v>226</v>
      </c>
      <c r="AJ810" t="s">
        <v>256</v>
      </c>
      <c r="AK810">
        <v>0</v>
      </c>
      <c r="AL810">
        <v>0</v>
      </c>
      <c r="AM810">
        <v>0</v>
      </c>
    </row>
    <row r="811" spans="1:39" x14ac:dyDescent="0.25">
      <c r="A811" t="s">
        <v>233</v>
      </c>
      <c r="B811" t="str">
        <f>'Basis Options'!C814</f>
        <v>NW9582</v>
      </c>
      <c r="C811" t="s">
        <v>255</v>
      </c>
      <c r="D811" t="s">
        <v>234</v>
      </c>
      <c r="E811" t="s">
        <v>20</v>
      </c>
      <c r="F811" t="str">
        <f>'Basis Options'!A814</f>
        <v>AEPENESER</v>
      </c>
      <c r="G811" t="s">
        <v>269</v>
      </c>
      <c r="H811" t="s">
        <v>254</v>
      </c>
      <c r="I811" t="s">
        <v>242</v>
      </c>
      <c r="J811" t="s">
        <v>235</v>
      </c>
      <c r="K811" s="380">
        <f>'Basis Options'!G814</f>
        <v>36831</v>
      </c>
      <c r="L811" s="235">
        <f>'Basis Options'!U814</f>
        <v>84220.888242940942</v>
      </c>
      <c r="M811" s="380">
        <f>'Basis Options'!Q814</f>
        <v>36829</v>
      </c>
      <c r="N811" t="str">
        <f>'Basis Options'!F814</f>
        <v>C</v>
      </c>
      <c r="O811">
        <f>'Basis Options'!I814</f>
        <v>1</v>
      </c>
      <c r="P811">
        <v>0</v>
      </c>
      <c r="Q811">
        <v>0</v>
      </c>
      <c r="R811">
        <v>0</v>
      </c>
      <c r="S811">
        <v>0</v>
      </c>
      <c r="T811" t="s">
        <v>253</v>
      </c>
      <c r="U811" t="str">
        <f>IF('Basis Options'!D814="NGI/CHI. GATE","""NGI/CHI. GATE""",TRIM('Basis Options'!D814))</f>
        <v>IF-TRANSCO/Z6</v>
      </c>
      <c r="V811" t="s">
        <v>253</v>
      </c>
      <c r="W811" t="s">
        <v>132</v>
      </c>
      <c r="X811" t="s">
        <v>253</v>
      </c>
      <c r="Y811" t="s">
        <v>235</v>
      </c>
      <c r="Z811" t="s">
        <v>236</v>
      </c>
      <c r="AA811" t="s">
        <v>253</v>
      </c>
      <c r="AB811" t="s">
        <v>1</v>
      </c>
      <c r="AC811" s="235">
        <f>'Basis Options'!H814</f>
        <v>500000</v>
      </c>
      <c r="AD811" s="235">
        <f>'Basis Options'!W814</f>
        <v>20725.281041892973</v>
      </c>
      <c r="AE811">
        <v>0</v>
      </c>
      <c r="AF811">
        <v>0</v>
      </c>
      <c r="AG811">
        <v>0</v>
      </c>
      <c r="AH811" s="235">
        <f>'Basis Options'!CD816</f>
        <v>0</v>
      </c>
      <c r="AI811">
        <v>226</v>
      </c>
      <c r="AJ811" t="s">
        <v>256</v>
      </c>
      <c r="AK811">
        <v>0</v>
      </c>
      <c r="AL811">
        <v>0</v>
      </c>
      <c r="AM811">
        <v>0</v>
      </c>
    </row>
    <row r="812" spans="1:39" x14ac:dyDescent="0.25">
      <c r="A812" t="s">
        <v>233</v>
      </c>
      <c r="B812" t="str">
        <f>'Basis Options'!C815</f>
        <v>NW9726</v>
      </c>
      <c r="C812" t="s">
        <v>255</v>
      </c>
      <c r="D812" t="s">
        <v>234</v>
      </c>
      <c r="E812" t="s">
        <v>20</v>
      </c>
      <c r="F812" t="str">
        <f>'Basis Options'!A815</f>
        <v>CONAGRAENESER</v>
      </c>
      <c r="G812" t="s">
        <v>269</v>
      </c>
      <c r="H812" t="s">
        <v>254</v>
      </c>
      <c r="I812" t="s">
        <v>242</v>
      </c>
      <c r="J812" t="s">
        <v>235</v>
      </c>
      <c r="K812" s="380">
        <f>'Basis Options'!G815</f>
        <v>36831</v>
      </c>
      <c r="L812" s="235">
        <f>'Basis Options'!U815</f>
        <v>138087.49969965144</v>
      </c>
      <c r="M812" s="380">
        <f>'Basis Options'!Q815</f>
        <v>36829</v>
      </c>
      <c r="N812" t="str">
        <f>'Basis Options'!F815</f>
        <v>P</v>
      </c>
      <c r="O812">
        <f>'Basis Options'!I815</f>
        <v>0.5</v>
      </c>
      <c r="P812">
        <v>0</v>
      </c>
      <c r="Q812">
        <v>0</v>
      </c>
      <c r="R812">
        <v>0</v>
      </c>
      <c r="S812">
        <v>0</v>
      </c>
      <c r="T812" t="s">
        <v>253</v>
      </c>
      <c r="U812" t="str">
        <f>IF('Basis Options'!D815="NGI/CHI. GATE","""NGI/CHI. GATE""",TRIM('Basis Options'!D815))</f>
        <v>IF-TRANSCO/Z6</v>
      </c>
      <c r="V812" t="s">
        <v>253</v>
      </c>
      <c r="W812" t="s">
        <v>132</v>
      </c>
      <c r="X812" t="s">
        <v>253</v>
      </c>
      <c r="Y812" t="s">
        <v>235</v>
      </c>
      <c r="Z812" t="s">
        <v>236</v>
      </c>
      <c r="AA812" t="s">
        <v>253</v>
      </c>
      <c r="AB812" t="s">
        <v>1</v>
      </c>
      <c r="AC812" s="235">
        <f>'Basis Options'!H815</f>
        <v>1000000</v>
      </c>
      <c r="AD812" s="235">
        <f>'Basis Options'!W815</f>
        <v>41756.370353092439</v>
      </c>
      <c r="AE812">
        <v>0</v>
      </c>
      <c r="AF812">
        <v>0</v>
      </c>
      <c r="AG812">
        <v>0</v>
      </c>
      <c r="AH812" s="235">
        <f>'Basis Options'!CD817</f>
        <v>0</v>
      </c>
      <c r="AI812">
        <v>226</v>
      </c>
      <c r="AJ812" t="s">
        <v>256</v>
      </c>
      <c r="AK812">
        <v>0</v>
      </c>
      <c r="AL812">
        <v>0</v>
      </c>
      <c r="AM812">
        <v>0</v>
      </c>
    </row>
    <row r="813" spans="1:39" x14ac:dyDescent="0.25">
      <c r="A813" t="s">
        <v>233</v>
      </c>
      <c r="B813" t="str">
        <f>'Basis Options'!C816</f>
        <v>NW9731</v>
      </c>
      <c r="C813" t="s">
        <v>255</v>
      </c>
      <c r="D813" t="s">
        <v>234</v>
      </c>
      <c r="E813" t="s">
        <v>20</v>
      </c>
      <c r="F813" t="str">
        <f>'Basis Options'!A816</f>
        <v>VIRGINIAPOWENE</v>
      </c>
      <c r="G813" t="s">
        <v>269</v>
      </c>
      <c r="H813" t="s">
        <v>254</v>
      </c>
      <c r="I813" t="s">
        <v>242</v>
      </c>
      <c r="J813" t="s">
        <v>235</v>
      </c>
      <c r="K813" s="380">
        <f>'Basis Options'!G816</f>
        <v>36831</v>
      </c>
      <c r="L813" s="235">
        <f>'Basis Options'!U816</f>
        <v>50532.532945764564</v>
      </c>
      <c r="M813" s="380">
        <f>'Basis Options'!Q816</f>
        <v>36829</v>
      </c>
      <c r="N813" t="str">
        <f>'Basis Options'!F816</f>
        <v>C</v>
      </c>
      <c r="O813">
        <f>'Basis Options'!I816</f>
        <v>1</v>
      </c>
      <c r="P813">
        <v>0</v>
      </c>
      <c r="Q813">
        <v>0</v>
      </c>
      <c r="R813">
        <v>0</v>
      </c>
      <c r="S813">
        <v>0</v>
      </c>
      <c r="T813" t="s">
        <v>253</v>
      </c>
      <c r="U813" t="str">
        <f>IF('Basis Options'!D816="NGI/CHI. GATE","""NGI/CHI. GATE""",TRIM('Basis Options'!D816))</f>
        <v>IF-TRANSCO/Z6</v>
      </c>
      <c r="V813" t="s">
        <v>253</v>
      </c>
      <c r="W813" t="s">
        <v>132</v>
      </c>
      <c r="X813" t="s">
        <v>253</v>
      </c>
      <c r="Y813" t="s">
        <v>235</v>
      </c>
      <c r="Z813" t="s">
        <v>236</v>
      </c>
      <c r="AA813" t="s">
        <v>253</v>
      </c>
      <c r="AB813" t="s">
        <v>1</v>
      </c>
      <c r="AC813" s="235">
        <f>'Basis Options'!H816</f>
        <v>300000</v>
      </c>
      <c r="AD813" s="235">
        <f>'Basis Options'!W816</f>
        <v>12435.16862513579</v>
      </c>
      <c r="AE813">
        <v>0</v>
      </c>
      <c r="AF813">
        <v>0</v>
      </c>
      <c r="AG813">
        <v>0</v>
      </c>
      <c r="AH813" s="235">
        <f>'Basis Options'!CD818</f>
        <v>0</v>
      </c>
      <c r="AI813">
        <v>226</v>
      </c>
      <c r="AJ813" t="s">
        <v>256</v>
      </c>
      <c r="AK813">
        <v>0</v>
      </c>
      <c r="AL813">
        <v>0</v>
      </c>
      <c r="AM813">
        <v>0</v>
      </c>
    </row>
    <row r="814" spans="1:39" x14ac:dyDescent="0.25">
      <c r="A814" t="s">
        <v>233</v>
      </c>
      <c r="B814" t="str">
        <f>'Basis Options'!C817</f>
        <v>NW9732</v>
      </c>
      <c r="C814" t="s">
        <v>255</v>
      </c>
      <c r="D814" t="s">
        <v>234</v>
      </c>
      <c r="E814" t="s">
        <v>20</v>
      </c>
      <c r="F814" t="str">
        <f>'Basis Options'!A817</f>
        <v>RELIANTENESER</v>
      </c>
      <c r="G814" t="s">
        <v>269</v>
      </c>
      <c r="H814" t="s">
        <v>254</v>
      </c>
      <c r="I814" t="s">
        <v>242</v>
      </c>
      <c r="J814" t="s">
        <v>235</v>
      </c>
      <c r="K814" s="380">
        <f>'Basis Options'!G817</f>
        <v>36831</v>
      </c>
      <c r="L814" s="235">
        <f>'Basis Options'!U817</f>
        <v>-3664.9593149999187</v>
      </c>
      <c r="M814" s="380">
        <f>'Basis Options'!Q817</f>
        <v>36829</v>
      </c>
      <c r="N814" t="str">
        <f>'Basis Options'!F817</f>
        <v>P</v>
      </c>
      <c r="O814">
        <f>'Basis Options'!I817</f>
        <v>0.5</v>
      </c>
      <c r="P814">
        <v>0</v>
      </c>
      <c r="Q814">
        <v>0</v>
      </c>
      <c r="R814">
        <v>0</v>
      </c>
      <c r="S814">
        <v>0</v>
      </c>
      <c r="T814" t="s">
        <v>253</v>
      </c>
      <c r="U814" t="str">
        <f>IF('Basis Options'!D817="NGI/CHI. GATE","""NGI/CHI. GATE""",TRIM('Basis Options'!D817))</f>
        <v>NGI-SOCAL</v>
      </c>
      <c r="V814" t="s">
        <v>253</v>
      </c>
      <c r="W814" t="s">
        <v>132</v>
      </c>
      <c r="X814" t="s">
        <v>253</v>
      </c>
      <c r="Y814" t="s">
        <v>235</v>
      </c>
      <c r="Z814" t="s">
        <v>236</v>
      </c>
      <c r="AA814" t="s">
        <v>253</v>
      </c>
      <c r="AB814" t="s">
        <v>1</v>
      </c>
      <c r="AC814" s="235">
        <f>'Basis Options'!H817</f>
        <v>-150000</v>
      </c>
      <c r="AD814" s="235">
        <f>'Basis Options'!W817</f>
        <v>-2769.3930958367364</v>
      </c>
      <c r="AE814">
        <v>0</v>
      </c>
      <c r="AF814">
        <v>0</v>
      </c>
      <c r="AG814">
        <v>0</v>
      </c>
      <c r="AH814" s="235">
        <f>'Basis Options'!CD819</f>
        <v>0</v>
      </c>
      <c r="AI814">
        <v>226</v>
      </c>
      <c r="AJ814" t="s">
        <v>256</v>
      </c>
      <c r="AK814">
        <v>0</v>
      </c>
      <c r="AL814">
        <v>0</v>
      </c>
      <c r="AM814">
        <v>0</v>
      </c>
    </row>
    <row r="815" spans="1:39" x14ac:dyDescent="0.25">
      <c r="A815" t="s">
        <v>233</v>
      </c>
      <c r="B815" t="str">
        <f>'Basis Options'!C818</f>
        <v>NW9732</v>
      </c>
      <c r="C815" t="s">
        <v>255</v>
      </c>
      <c r="D815" t="s">
        <v>234</v>
      </c>
      <c r="E815" t="s">
        <v>20</v>
      </c>
      <c r="F815" t="str">
        <f>'Basis Options'!A818</f>
        <v>RELIANTENESER</v>
      </c>
      <c r="G815" t="s">
        <v>269</v>
      </c>
      <c r="H815" t="s">
        <v>254</v>
      </c>
      <c r="I815" t="s">
        <v>242</v>
      </c>
      <c r="J815" t="s">
        <v>235</v>
      </c>
      <c r="K815" s="380">
        <f>'Basis Options'!G818</f>
        <v>36861</v>
      </c>
      <c r="L815" s="235">
        <f>'Basis Options'!U818</f>
        <v>-22788.216307576738</v>
      </c>
      <c r="M815" s="380">
        <f>'Basis Options'!Q818</f>
        <v>36859</v>
      </c>
      <c r="N815" t="str">
        <f>'Basis Options'!F818</f>
        <v>P</v>
      </c>
      <c r="O815">
        <f>'Basis Options'!I818</f>
        <v>0.5</v>
      </c>
      <c r="P815">
        <v>0</v>
      </c>
      <c r="Q815">
        <v>0</v>
      </c>
      <c r="R815">
        <v>0</v>
      </c>
      <c r="S815">
        <v>0</v>
      </c>
      <c r="T815" t="s">
        <v>253</v>
      </c>
      <c r="U815" t="str">
        <f>IF('Basis Options'!D818="NGI/CHI. GATE","""NGI/CHI. GATE""",TRIM('Basis Options'!D818))</f>
        <v>NGI-SOCAL</v>
      </c>
      <c r="V815" t="s">
        <v>253</v>
      </c>
      <c r="W815" t="s">
        <v>132</v>
      </c>
      <c r="X815" t="s">
        <v>253</v>
      </c>
      <c r="Y815" t="s">
        <v>235</v>
      </c>
      <c r="Z815" t="s">
        <v>236</v>
      </c>
      <c r="AA815" t="s">
        <v>253</v>
      </c>
      <c r="AB815" t="s">
        <v>1</v>
      </c>
      <c r="AC815" s="235">
        <f>'Basis Options'!H818</f>
        <v>-155000</v>
      </c>
      <c r="AD815" s="235">
        <f>'Basis Options'!W818</f>
        <v>-8218.0011940470868</v>
      </c>
      <c r="AE815">
        <v>0</v>
      </c>
      <c r="AF815">
        <v>0</v>
      </c>
      <c r="AG815">
        <v>0</v>
      </c>
      <c r="AH815" s="235">
        <f>'Basis Options'!CD820</f>
        <v>0</v>
      </c>
      <c r="AI815">
        <v>226</v>
      </c>
      <c r="AJ815" t="s">
        <v>256</v>
      </c>
      <c r="AK815">
        <v>0</v>
      </c>
      <c r="AL815">
        <v>0</v>
      </c>
      <c r="AM815">
        <v>0</v>
      </c>
    </row>
    <row r="816" spans="1:39" x14ac:dyDescent="0.25">
      <c r="A816" t="s">
        <v>233</v>
      </c>
      <c r="B816" t="str">
        <f>'Basis Options'!C819</f>
        <v>NW9732</v>
      </c>
      <c r="C816" t="s">
        <v>255</v>
      </c>
      <c r="D816" t="s">
        <v>234</v>
      </c>
      <c r="E816" t="s">
        <v>20</v>
      </c>
      <c r="F816" t="str">
        <f>'Basis Options'!A819</f>
        <v>RELIANTENESER</v>
      </c>
      <c r="G816" t="s">
        <v>269</v>
      </c>
      <c r="H816" t="s">
        <v>254</v>
      </c>
      <c r="I816" t="s">
        <v>242</v>
      </c>
      <c r="J816" t="s">
        <v>235</v>
      </c>
      <c r="K816" s="380">
        <f>'Basis Options'!G819</f>
        <v>36892</v>
      </c>
      <c r="L816" s="235">
        <f>'Basis Options'!U819</f>
        <v>-40480.089052828902</v>
      </c>
      <c r="M816" s="380">
        <f>'Basis Options'!Q819</f>
        <v>36888</v>
      </c>
      <c r="N816" t="str">
        <f>'Basis Options'!F819</f>
        <v>P</v>
      </c>
      <c r="O816">
        <f>'Basis Options'!I819</f>
        <v>0.5</v>
      </c>
      <c r="P816">
        <v>0</v>
      </c>
      <c r="Q816">
        <v>0</v>
      </c>
      <c r="R816">
        <v>0</v>
      </c>
      <c r="S816">
        <v>0</v>
      </c>
      <c r="T816" t="s">
        <v>253</v>
      </c>
      <c r="U816" t="str">
        <f>IF('Basis Options'!D819="NGI/CHI. GATE","""NGI/CHI. GATE""",TRIM('Basis Options'!D819))</f>
        <v>NGI-SOCAL</v>
      </c>
      <c r="V816" t="s">
        <v>253</v>
      </c>
      <c r="W816" t="s">
        <v>132</v>
      </c>
      <c r="X816" t="s">
        <v>253</v>
      </c>
      <c r="Y816" t="s">
        <v>235</v>
      </c>
      <c r="Z816" t="s">
        <v>236</v>
      </c>
      <c r="AA816" t="s">
        <v>253</v>
      </c>
      <c r="AB816" t="s">
        <v>1</v>
      </c>
      <c r="AC816" s="235">
        <f>'Basis Options'!H819</f>
        <v>-155000</v>
      </c>
      <c r="AD816" s="235">
        <f>'Basis Options'!W819</f>
        <v>-10768.161181695505</v>
      </c>
      <c r="AE816">
        <v>0</v>
      </c>
      <c r="AF816">
        <v>0</v>
      </c>
      <c r="AG816">
        <v>0</v>
      </c>
      <c r="AH816" s="235">
        <f>'Basis Options'!CD821</f>
        <v>0</v>
      </c>
      <c r="AI816">
        <v>226</v>
      </c>
      <c r="AJ816" t="s">
        <v>256</v>
      </c>
      <c r="AK816">
        <v>0</v>
      </c>
      <c r="AL816">
        <v>0</v>
      </c>
      <c r="AM816">
        <v>0</v>
      </c>
    </row>
    <row r="817" spans="1:39" x14ac:dyDescent="0.25">
      <c r="A817" t="s">
        <v>233</v>
      </c>
      <c r="B817" t="str">
        <f>'Basis Options'!C820</f>
        <v>NW9732</v>
      </c>
      <c r="C817" t="s">
        <v>255</v>
      </c>
      <c r="D817" t="s">
        <v>234</v>
      </c>
      <c r="E817" t="s">
        <v>20</v>
      </c>
      <c r="F817" t="str">
        <f>'Basis Options'!A820</f>
        <v>RELIANTENESER</v>
      </c>
      <c r="G817" t="s">
        <v>269</v>
      </c>
      <c r="H817" t="s">
        <v>254</v>
      </c>
      <c r="I817" t="s">
        <v>242</v>
      </c>
      <c r="J817" t="s">
        <v>235</v>
      </c>
      <c r="K817" s="380">
        <f>'Basis Options'!G820</f>
        <v>36923</v>
      </c>
      <c r="L817" s="235">
        <f>'Basis Options'!U820</f>
        <v>-46696.183849724177</v>
      </c>
      <c r="M817" s="380">
        <f>'Basis Options'!Q820</f>
        <v>36921</v>
      </c>
      <c r="N817" t="str">
        <f>'Basis Options'!F820</f>
        <v>P</v>
      </c>
      <c r="O817">
        <f>'Basis Options'!I820</f>
        <v>0.5</v>
      </c>
      <c r="P817">
        <v>0</v>
      </c>
      <c r="Q817">
        <v>0</v>
      </c>
      <c r="R817">
        <v>0</v>
      </c>
      <c r="S817">
        <v>0</v>
      </c>
      <c r="T817" t="s">
        <v>253</v>
      </c>
      <c r="U817" t="str">
        <f>IF('Basis Options'!D820="NGI/CHI. GATE","""NGI/CHI. GATE""",TRIM('Basis Options'!D820))</f>
        <v>NGI-SOCAL</v>
      </c>
      <c r="V817" t="s">
        <v>253</v>
      </c>
      <c r="W817" t="s">
        <v>132</v>
      </c>
      <c r="X817" t="s">
        <v>253</v>
      </c>
      <c r="Y817" t="s">
        <v>235</v>
      </c>
      <c r="Z817" t="s">
        <v>236</v>
      </c>
      <c r="AA817" t="s">
        <v>253</v>
      </c>
      <c r="AB817" t="s">
        <v>1</v>
      </c>
      <c r="AC817" s="235">
        <f>'Basis Options'!H820</f>
        <v>-140000</v>
      </c>
      <c r="AD817" s="235">
        <f>'Basis Options'!W820</f>
        <v>-10986.064130840394</v>
      </c>
      <c r="AE817">
        <v>0</v>
      </c>
      <c r="AF817">
        <v>0</v>
      </c>
      <c r="AG817">
        <v>0</v>
      </c>
      <c r="AH817" s="235">
        <f>'Basis Options'!CD822</f>
        <v>0</v>
      </c>
      <c r="AI817">
        <v>226</v>
      </c>
      <c r="AJ817" t="s">
        <v>256</v>
      </c>
      <c r="AK817">
        <v>0</v>
      </c>
      <c r="AL817">
        <v>0</v>
      </c>
      <c r="AM817">
        <v>0</v>
      </c>
    </row>
    <row r="818" spans="1:39" x14ac:dyDescent="0.25">
      <c r="A818" t="s">
        <v>233</v>
      </c>
      <c r="B818" t="str">
        <f>'Basis Options'!C821</f>
        <v>NW9732</v>
      </c>
      <c r="C818" t="s">
        <v>255</v>
      </c>
      <c r="D818" t="s">
        <v>234</v>
      </c>
      <c r="E818" t="s">
        <v>20</v>
      </c>
      <c r="F818" t="str">
        <f>'Basis Options'!A821</f>
        <v>RELIANTENESER</v>
      </c>
      <c r="G818" t="s">
        <v>269</v>
      </c>
      <c r="H818" t="s">
        <v>254</v>
      </c>
      <c r="I818" t="s">
        <v>242</v>
      </c>
      <c r="J818" t="s">
        <v>235</v>
      </c>
      <c r="K818" s="380">
        <f>'Basis Options'!G821</f>
        <v>36951</v>
      </c>
      <c r="L818" s="235">
        <f>'Basis Options'!U821</f>
        <v>-48170.956431844897</v>
      </c>
      <c r="M818" s="380">
        <f>'Basis Options'!Q821</f>
        <v>36949</v>
      </c>
      <c r="N818" t="str">
        <f>'Basis Options'!F821</f>
        <v>P</v>
      </c>
      <c r="O818">
        <f>'Basis Options'!I821</f>
        <v>0.5</v>
      </c>
      <c r="P818">
        <v>0</v>
      </c>
      <c r="Q818">
        <v>0</v>
      </c>
      <c r="R818">
        <v>0</v>
      </c>
      <c r="S818">
        <v>0</v>
      </c>
      <c r="T818" t="s">
        <v>253</v>
      </c>
      <c r="U818" t="str">
        <f>IF('Basis Options'!D821="NGI/CHI. GATE","""NGI/CHI. GATE""",TRIM('Basis Options'!D821))</f>
        <v>NGI-SOCAL</v>
      </c>
      <c r="V818" t="s">
        <v>253</v>
      </c>
      <c r="W818" t="s">
        <v>132</v>
      </c>
      <c r="X818" t="s">
        <v>253</v>
      </c>
      <c r="Y818" t="s">
        <v>235</v>
      </c>
      <c r="Z818" t="s">
        <v>236</v>
      </c>
      <c r="AA818" t="s">
        <v>253</v>
      </c>
      <c r="AB818" t="s">
        <v>1</v>
      </c>
      <c r="AC818" s="235">
        <f>'Basis Options'!H821</f>
        <v>-155000</v>
      </c>
      <c r="AD818" s="235">
        <f>'Basis Options'!W821</f>
        <v>-11812.649398484558</v>
      </c>
      <c r="AE818">
        <v>0</v>
      </c>
      <c r="AF818">
        <v>0</v>
      </c>
      <c r="AG818">
        <v>0</v>
      </c>
      <c r="AH818" s="235">
        <f>'Basis Options'!CD823</f>
        <v>0</v>
      </c>
      <c r="AI818">
        <v>226</v>
      </c>
      <c r="AJ818" t="s">
        <v>256</v>
      </c>
      <c r="AK818">
        <v>0</v>
      </c>
      <c r="AL818">
        <v>0</v>
      </c>
      <c r="AM818">
        <v>0</v>
      </c>
    </row>
    <row r="819" spans="1:39" x14ac:dyDescent="0.25">
      <c r="A819" t="s">
        <v>233</v>
      </c>
      <c r="B819" t="str">
        <f>'Basis Options'!C822</f>
        <v>NW9733</v>
      </c>
      <c r="C819" t="s">
        <v>255</v>
      </c>
      <c r="D819" t="s">
        <v>234</v>
      </c>
      <c r="E819" t="s">
        <v>20</v>
      </c>
      <c r="F819" t="str">
        <f>'Basis Options'!A822</f>
        <v>AEPENESER</v>
      </c>
      <c r="G819" t="s">
        <v>269</v>
      </c>
      <c r="H819" t="s">
        <v>254</v>
      </c>
      <c r="I819" t="s">
        <v>242</v>
      </c>
      <c r="J819" t="s">
        <v>235</v>
      </c>
      <c r="K819" s="380">
        <f>'Basis Options'!G822</f>
        <v>36831</v>
      </c>
      <c r="L819" s="235">
        <f>'Basis Options'!U822</f>
        <v>-24433.062099999457</v>
      </c>
      <c r="M819" s="380">
        <f>'Basis Options'!Q822</f>
        <v>36829</v>
      </c>
      <c r="N819" t="str">
        <f>'Basis Options'!F822</f>
        <v>P</v>
      </c>
      <c r="O819">
        <f>'Basis Options'!I822</f>
        <v>0.5</v>
      </c>
      <c r="P819">
        <v>0</v>
      </c>
      <c r="Q819">
        <v>0</v>
      </c>
      <c r="R819">
        <v>0</v>
      </c>
      <c r="S819">
        <v>0</v>
      </c>
      <c r="T819" t="s">
        <v>253</v>
      </c>
      <c r="U819" t="str">
        <f>IF('Basis Options'!D822="NGI/CHI. GATE","""NGI/CHI. GATE""",TRIM('Basis Options'!D822))</f>
        <v>NGI-SOCAL</v>
      </c>
      <c r="V819" t="s">
        <v>253</v>
      </c>
      <c r="W819" t="s">
        <v>132</v>
      </c>
      <c r="X819" t="s">
        <v>253</v>
      </c>
      <c r="Y819" t="s">
        <v>235</v>
      </c>
      <c r="Z819" t="s">
        <v>236</v>
      </c>
      <c r="AA819" t="s">
        <v>253</v>
      </c>
      <c r="AB819" t="s">
        <v>1</v>
      </c>
      <c r="AC819" s="235">
        <f>'Basis Options'!H822</f>
        <v>-1000000</v>
      </c>
      <c r="AD819" s="235">
        <f>'Basis Options'!W822</f>
        <v>-18462.620638911583</v>
      </c>
      <c r="AE819">
        <v>0</v>
      </c>
      <c r="AF819">
        <v>0</v>
      </c>
      <c r="AG819">
        <v>0</v>
      </c>
      <c r="AH819" s="235">
        <f>'Basis Options'!CD824</f>
        <v>0</v>
      </c>
      <c r="AI819">
        <v>226</v>
      </c>
      <c r="AJ819" t="s">
        <v>256</v>
      </c>
      <c r="AK819">
        <v>0</v>
      </c>
      <c r="AL819">
        <v>0</v>
      </c>
      <c r="AM819">
        <v>0</v>
      </c>
    </row>
    <row r="820" spans="1:39" x14ac:dyDescent="0.25">
      <c r="A820" t="s">
        <v>233</v>
      </c>
      <c r="B820" t="str">
        <f>'Basis Options'!C823</f>
        <v>NW9733</v>
      </c>
      <c r="C820" t="s">
        <v>255</v>
      </c>
      <c r="D820" t="s">
        <v>234</v>
      </c>
      <c r="E820" t="s">
        <v>20</v>
      </c>
      <c r="F820" t="str">
        <f>'Basis Options'!A823</f>
        <v>AEPENESER</v>
      </c>
      <c r="G820" t="s">
        <v>269</v>
      </c>
      <c r="H820" t="s">
        <v>254</v>
      </c>
      <c r="I820" t="s">
        <v>242</v>
      </c>
      <c r="J820" t="s">
        <v>235</v>
      </c>
      <c r="K820" s="380">
        <f>'Basis Options'!G823</f>
        <v>36861</v>
      </c>
      <c r="L820" s="235">
        <f>'Basis Options'!U823</f>
        <v>-147020.75037146284</v>
      </c>
      <c r="M820" s="380">
        <f>'Basis Options'!Q823</f>
        <v>36859</v>
      </c>
      <c r="N820" t="str">
        <f>'Basis Options'!F823</f>
        <v>P</v>
      </c>
      <c r="O820">
        <f>'Basis Options'!I823</f>
        <v>0.5</v>
      </c>
      <c r="P820">
        <v>0</v>
      </c>
      <c r="Q820">
        <v>0</v>
      </c>
      <c r="R820">
        <v>0</v>
      </c>
      <c r="S820">
        <v>0</v>
      </c>
      <c r="T820" t="s">
        <v>253</v>
      </c>
      <c r="U820" t="str">
        <f>IF('Basis Options'!D823="NGI/CHI. GATE","""NGI/CHI. GATE""",TRIM('Basis Options'!D823))</f>
        <v>NGI-SOCAL</v>
      </c>
      <c r="V820" t="s">
        <v>253</v>
      </c>
      <c r="W820" t="s">
        <v>132</v>
      </c>
      <c r="X820" t="s">
        <v>253</v>
      </c>
      <c r="Y820" t="s">
        <v>235</v>
      </c>
      <c r="Z820" t="s">
        <v>236</v>
      </c>
      <c r="AA820" t="s">
        <v>253</v>
      </c>
      <c r="AB820" t="s">
        <v>1</v>
      </c>
      <c r="AC820" s="235">
        <f>'Basis Options'!H823</f>
        <v>-1000000</v>
      </c>
      <c r="AD820" s="235">
        <f>'Basis Options'!W823</f>
        <v>-53019.36254223928</v>
      </c>
      <c r="AE820">
        <v>0</v>
      </c>
      <c r="AF820">
        <v>0</v>
      </c>
      <c r="AG820">
        <v>0</v>
      </c>
      <c r="AH820" s="235">
        <f>'Basis Options'!CD825</f>
        <v>0</v>
      </c>
      <c r="AI820">
        <v>226</v>
      </c>
      <c r="AJ820" t="s">
        <v>256</v>
      </c>
      <c r="AK820">
        <v>0</v>
      </c>
      <c r="AL820">
        <v>0</v>
      </c>
      <c r="AM820">
        <v>0</v>
      </c>
    </row>
    <row r="821" spans="1:39" x14ac:dyDescent="0.25">
      <c r="A821" t="s">
        <v>233</v>
      </c>
      <c r="B821" t="str">
        <f>'Basis Options'!C824</f>
        <v>NW9733</v>
      </c>
      <c r="C821" t="s">
        <v>255</v>
      </c>
      <c r="D821" t="s">
        <v>234</v>
      </c>
      <c r="E821" t="s">
        <v>20</v>
      </c>
      <c r="F821" t="str">
        <f>'Basis Options'!A824</f>
        <v>AEPENESER</v>
      </c>
      <c r="G821" t="s">
        <v>269</v>
      </c>
      <c r="H821" t="s">
        <v>254</v>
      </c>
      <c r="I821" t="s">
        <v>242</v>
      </c>
      <c r="J821" t="s">
        <v>235</v>
      </c>
      <c r="K821" s="380">
        <f>'Basis Options'!G824</f>
        <v>36892</v>
      </c>
      <c r="L821" s="235">
        <f>'Basis Options'!U824</f>
        <v>-261161.86485696063</v>
      </c>
      <c r="M821" s="380">
        <f>'Basis Options'!Q824</f>
        <v>36888</v>
      </c>
      <c r="N821" t="str">
        <f>'Basis Options'!F824</f>
        <v>P</v>
      </c>
      <c r="O821">
        <f>'Basis Options'!I824</f>
        <v>0.5</v>
      </c>
      <c r="P821">
        <v>0</v>
      </c>
      <c r="Q821">
        <v>0</v>
      </c>
      <c r="R821">
        <v>0</v>
      </c>
      <c r="S821">
        <v>0</v>
      </c>
      <c r="T821" t="s">
        <v>253</v>
      </c>
      <c r="U821" t="str">
        <f>IF('Basis Options'!D824="NGI/CHI. GATE","""NGI/CHI. GATE""",TRIM('Basis Options'!D824))</f>
        <v>NGI-SOCAL</v>
      </c>
      <c r="V821" t="s">
        <v>253</v>
      </c>
      <c r="W821" t="s">
        <v>132</v>
      </c>
      <c r="X821" t="s">
        <v>253</v>
      </c>
      <c r="Y821" t="s">
        <v>235</v>
      </c>
      <c r="Z821" t="s">
        <v>236</v>
      </c>
      <c r="AA821" t="s">
        <v>253</v>
      </c>
      <c r="AB821" t="s">
        <v>1</v>
      </c>
      <c r="AC821" s="235">
        <f>'Basis Options'!H824</f>
        <v>-1000000</v>
      </c>
      <c r="AD821" s="235">
        <f>'Basis Options'!W824</f>
        <v>-69472.007623841986</v>
      </c>
      <c r="AE821">
        <v>0</v>
      </c>
      <c r="AF821">
        <v>0</v>
      </c>
      <c r="AG821">
        <v>0</v>
      </c>
      <c r="AH821" s="235">
        <f>'Basis Options'!CD826</f>
        <v>0</v>
      </c>
      <c r="AI821">
        <v>226</v>
      </c>
      <c r="AJ821" t="s">
        <v>256</v>
      </c>
      <c r="AK821">
        <v>0</v>
      </c>
      <c r="AL821">
        <v>0</v>
      </c>
      <c r="AM821">
        <v>0</v>
      </c>
    </row>
    <row r="822" spans="1:39" x14ac:dyDescent="0.25">
      <c r="A822" t="s">
        <v>233</v>
      </c>
      <c r="B822" t="str">
        <f>'Basis Options'!C825</f>
        <v>NW9733</v>
      </c>
      <c r="C822" t="s">
        <v>255</v>
      </c>
      <c r="D822" t="s">
        <v>234</v>
      </c>
      <c r="E822" t="s">
        <v>20</v>
      </c>
      <c r="F822" t="str">
        <f>'Basis Options'!A825</f>
        <v>AEPENESER</v>
      </c>
      <c r="G822" t="s">
        <v>269</v>
      </c>
      <c r="H822" t="s">
        <v>254</v>
      </c>
      <c r="I822" t="s">
        <v>242</v>
      </c>
      <c r="J822" t="s">
        <v>235</v>
      </c>
      <c r="K822" s="380">
        <f>'Basis Options'!G825</f>
        <v>36923</v>
      </c>
      <c r="L822" s="235">
        <f>'Basis Options'!U825</f>
        <v>-333544.17035517271</v>
      </c>
      <c r="M822" s="380">
        <f>'Basis Options'!Q825</f>
        <v>36921</v>
      </c>
      <c r="N822" t="str">
        <f>'Basis Options'!F825</f>
        <v>P</v>
      </c>
      <c r="O822">
        <f>'Basis Options'!I825</f>
        <v>0.5</v>
      </c>
      <c r="P822">
        <v>0</v>
      </c>
      <c r="Q822">
        <v>0</v>
      </c>
      <c r="R822">
        <v>0</v>
      </c>
      <c r="S822">
        <v>0</v>
      </c>
      <c r="T822" t="s">
        <v>253</v>
      </c>
      <c r="U822" t="str">
        <f>IF('Basis Options'!D825="NGI/CHI. GATE","""NGI/CHI. GATE""",TRIM('Basis Options'!D825))</f>
        <v>NGI-SOCAL</v>
      </c>
      <c r="V822" t="s">
        <v>253</v>
      </c>
      <c r="W822" t="s">
        <v>132</v>
      </c>
      <c r="X822" t="s">
        <v>253</v>
      </c>
      <c r="Y822" t="s">
        <v>235</v>
      </c>
      <c r="Z822" t="s">
        <v>236</v>
      </c>
      <c r="AA822" t="s">
        <v>253</v>
      </c>
      <c r="AB822" t="s">
        <v>1</v>
      </c>
      <c r="AC822" s="235">
        <f>'Basis Options'!H825</f>
        <v>-1000000</v>
      </c>
      <c r="AD822" s="235">
        <f>'Basis Options'!W825</f>
        <v>-78471.886648860003</v>
      </c>
      <c r="AE822">
        <v>0</v>
      </c>
      <c r="AF822">
        <v>0</v>
      </c>
      <c r="AG822">
        <v>0</v>
      </c>
      <c r="AH822" s="235">
        <f>'Basis Options'!CD827</f>
        <v>0</v>
      </c>
      <c r="AI822">
        <v>226</v>
      </c>
      <c r="AJ822" t="s">
        <v>256</v>
      </c>
      <c r="AK822">
        <v>0</v>
      </c>
      <c r="AL822">
        <v>0</v>
      </c>
      <c r="AM822">
        <v>0</v>
      </c>
    </row>
    <row r="823" spans="1:39" x14ac:dyDescent="0.25">
      <c r="A823" t="s">
        <v>233</v>
      </c>
      <c r="B823" t="str">
        <f>'Basis Options'!C826</f>
        <v>NW9733</v>
      </c>
      <c r="C823" t="s">
        <v>255</v>
      </c>
      <c r="D823" t="s">
        <v>234</v>
      </c>
      <c r="E823" t="s">
        <v>20</v>
      </c>
      <c r="F823" t="str">
        <f>'Basis Options'!A826</f>
        <v>AEPENESER</v>
      </c>
      <c r="G823" t="s">
        <v>269</v>
      </c>
      <c r="H823" t="s">
        <v>254</v>
      </c>
      <c r="I823" t="s">
        <v>242</v>
      </c>
      <c r="J823" t="s">
        <v>235</v>
      </c>
      <c r="K823" s="380">
        <f>'Basis Options'!G826</f>
        <v>36951</v>
      </c>
      <c r="L823" s="235">
        <f>'Basis Options'!U826</f>
        <v>-310780.36407641869</v>
      </c>
      <c r="M823" s="380">
        <f>'Basis Options'!Q826</f>
        <v>36949</v>
      </c>
      <c r="N823" t="str">
        <f>'Basis Options'!F826</f>
        <v>P</v>
      </c>
      <c r="O823">
        <f>'Basis Options'!I826</f>
        <v>0.5</v>
      </c>
      <c r="P823">
        <v>0</v>
      </c>
      <c r="Q823">
        <v>0</v>
      </c>
      <c r="R823">
        <v>0</v>
      </c>
      <c r="S823">
        <v>0</v>
      </c>
      <c r="T823" t="s">
        <v>253</v>
      </c>
      <c r="U823" t="str">
        <f>IF('Basis Options'!D826="NGI/CHI. GATE","""NGI/CHI. GATE""",TRIM('Basis Options'!D826))</f>
        <v>NGI-SOCAL</v>
      </c>
      <c r="V823" t="s">
        <v>253</v>
      </c>
      <c r="W823" t="s">
        <v>132</v>
      </c>
      <c r="X823" t="s">
        <v>253</v>
      </c>
      <c r="Y823" t="s">
        <v>235</v>
      </c>
      <c r="Z823" t="s">
        <v>236</v>
      </c>
      <c r="AA823" t="s">
        <v>253</v>
      </c>
      <c r="AB823" t="s">
        <v>1</v>
      </c>
      <c r="AC823" s="235">
        <f>'Basis Options'!H826</f>
        <v>-1000000</v>
      </c>
      <c r="AD823" s="235">
        <f>'Basis Options'!W826</f>
        <v>-76210.641280545562</v>
      </c>
      <c r="AE823">
        <v>0</v>
      </c>
      <c r="AF823">
        <v>0</v>
      </c>
      <c r="AG823">
        <v>0</v>
      </c>
      <c r="AH823" s="235">
        <f>'Basis Options'!CD828</f>
        <v>0</v>
      </c>
      <c r="AI823">
        <v>226</v>
      </c>
      <c r="AJ823" t="s">
        <v>256</v>
      </c>
      <c r="AK823">
        <v>0</v>
      </c>
      <c r="AL823">
        <v>0</v>
      </c>
      <c r="AM823">
        <v>0</v>
      </c>
    </row>
    <row r="824" spans="1:39" x14ac:dyDescent="0.25">
      <c r="A824" t="s">
        <v>233</v>
      </c>
      <c r="B824" t="str">
        <f>'Basis Options'!C827</f>
        <v>NW9477.2</v>
      </c>
      <c r="C824" t="s">
        <v>255</v>
      </c>
      <c r="D824" t="s">
        <v>234</v>
      </c>
      <c r="E824" t="s">
        <v>20</v>
      </c>
      <c r="F824" t="str">
        <f>'Basis Options'!A827</f>
        <v>FT-US/CAND-ERMS</v>
      </c>
      <c r="G824" t="s">
        <v>269</v>
      </c>
      <c r="H824" t="s">
        <v>254</v>
      </c>
      <c r="I824" t="s">
        <v>242</v>
      </c>
      <c r="J824" t="s">
        <v>235</v>
      </c>
      <c r="K824" s="380">
        <f>'Basis Options'!G827</f>
        <v>36831</v>
      </c>
      <c r="L824" s="235">
        <f>'Basis Options'!U827</f>
        <v>141369.74759049367</v>
      </c>
      <c r="M824" s="380">
        <f>'Basis Options'!Q827</f>
        <v>36829</v>
      </c>
      <c r="N824" t="str">
        <f>'Basis Options'!F827</f>
        <v>C</v>
      </c>
      <c r="O824">
        <f>'Basis Options'!I827</f>
        <v>0.15</v>
      </c>
      <c r="P824">
        <v>0</v>
      </c>
      <c r="Q824">
        <v>0</v>
      </c>
      <c r="R824">
        <v>0</v>
      </c>
      <c r="S824">
        <v>0</v>
      </c>
      <c r="T824" t="s">
        <v>253</v>
      </c>
      <c r="U824" t="str">
        <f>IF('Basis Options'!D827="NGI/CHI. GATE","""NGI/CHI. GATE""",TRIM('Basis Options'!D827))</f>
        <v>IF-NTHWST/CANBR</v>
      </c>
      <c r="V824" t="s">
        <v>253</v>
      </c>
      <c r="W824" t="s">
        <v>132</v>
      </c>
      <c r="X824" t="s">
        <v>253</v>
      </c>
      <c r="Y824" t="s">
        <v>235</v>
      </c>
      <c r="Z824" t="s">
        <v>236</v>
      </c>
      <c r="AA824" t="s">
        <v>253</v>
      </c>
      <c r="AB824" t="s">
        <v>1</v>
      </c>
      <c r="AC824" s="235">
        <f>'Basis Options'!H827</f>
        <v>2500000</v>
      </c>
      <c r="AD824" s="235">
        <f>'Basis Options'!W827</f>
        <v>68907.601835132809</v>
      </c>
      <c r="AE824">
        <v>0</v>
      </c>
      <c r="AF824">
        <v>0</v>
      </c>
      <c r="AG824">
        <v>0</v>
      </c>
      <c r="AH824" s="235">
        <f>'Basis Options'!CD829</f>
        <v>0</v>
      </c>
      <c r="AI824">
        <v>226</v>
      </c>
      <c r="AJ824" t="s">
        <v>256</v>
      </c>
      <c r="AK824">
        <v>0</v>
      </c>
      <c r="AL824">
        <v>0</v>
      </c>
      <c r="AM824">
        <v>0</v>
      </c>
    </row>
    <row r="825" spans="1:39" x14ac:dyDescent="0.25">
      <c r="A825" t="s">
        <v>233</v>
      </c>
      <c r="B825" t="str">
        <f>'Basis Options'!C828</f>
        <v>NW9477.2</v>
      </c>
      <c r="C825" t="s">
        <v>255</v>
      </c>
      <c r="D825" t="s">
        <v>234</v>
      </c>
      <c r="E825" t="s">
        <v>20</v>
      </c>
      <c r="F825" t="str">
        <f>'Basis Options'!A828</f>
        <v>FT-US/CAND-ERMS</v>
      </c>
      <c r="G825" t="s">
        <v>269</v>
      </c>
      <c r="H825" t="s">
        <v>254</v>
      </c>
      <c r="I825" t="s">
        <v>242</v>
      </c>
      <c r="J825" t="s">
        <v>235</v>
      </c>
      <c r="K825" s="380">
        <f>'Basis Options'!G828</f>
        <v>36861</v>
      </c>
      <c r="L825" s="235">
        <f>'Basis Options'!U828</f>
        <v>1153917.401712602</v>
      </c>
      <c r="M825" s="380">
        <f>'Basis Options'!Q828</f>
        <v>36859</v>
      </c>
      <c r="N825" t="str">
        <f>'Basis Options'!F828</f>
        <v>C</v>
      </c>
      <c r="O825">
        <f>'Basis Options'!I828</f>
        <v>0.15</v>
      </c>
      <c r="P825">
        <v>0</v>
      </c>
      <c r="Q825">
        <v>0</v>
      </c>
      <c r="R825">
        <v>0</v>
      </c>
      <c r="S825">
        <v>0</v>
      </c>
      <c r="T825" t="s">
        <v>253</v>
      </c>
      <c r="U825" t="str">
        <f>IF('Basis Options'!D828="NGI/CHI. GATE","""NGI/CHI. GATE""",TRIM('Basis Options'!D828))</f>
        <v>IF-NTHWST/CANBR</v>
      </c>
      <c r="V825" t="s">
        <v>253</v>
      </c>
      <c r="W825" t="s">
        <v>132</v>
      </c>
      <c r="X825" t="s">
        <v>253</v>
      </c>
      <c r="Y825" t="s">
        <v>235</v>
      </c>
      <c r="Z825" t="s">
        <v>236</v>
      </c>
      <c r="AA825" t="s">
        <v>253</v>
      </c>
      <c r="AB825" t="s">
        <v>1</v>
      </c>
      <c r="AC825" s="235">
        <f>'Basis Options'!H828</f>
        <v>2500000</v>
      </c>
      <c r="AD825" s="235">
        <f>'Basis Options'!W828</f>
        <v>89891.819575824775</v>
      </c>
      <c r="AE825">
        <v>0</v>
      </c>
      <c r="AF825">
        <v>0</v>
      </c>
      <c r="AG825">
        <v>0</v>
      </c>
      <c r="AH825" s="235">
        <f>'Basis Options'!CD830</f>
        <v>0</v>
      </c>
      <c r="AI825">
        <v>226</v>
      </c>
      <c r="AJ825" t="s">
        <v>256</v>
      </c>
      <c r="AK825">
        <v>0</v>
      </c>
      <c r="AL825">
        <v>0</v>
      </c>
      <c r="AM825">
        <v>0</v>
      </c>
    </row>
    <row r="826" spans="1:39" x14ac:dyDescent="0.25">
      <c r="A826" t="s">
        <v>233</v>
      </c>
      <c r="B826" t="str">
        <f>'Basis Options'!C829</f>
        <v>NW9477.2</v>
      </c>
      <c r="C826" t="s">
        <v>255</v>
      </c>
      <c r="D826" t="s">
        <v>234</v>
      </c>
      <c r="E826" t="s">
        <v>20</v>
      </c>
      <c r="F826" t="str">
        <f>'Basis Options'!A829</f>
        <v>FT-US/CAND-ERMS</v>
      </c>
      <c r="G826" t="s">
        <v>269</v>
      </c>
      <c r="H826" t="s">
        <v>254</v>
      </c>
      <c r="I826" t="s">
        <v>242</v>
      </c>
      <c r="J826" t="s">
        <v>235</v>
      </c>
      <c r="K826" s="380">
        <f>'Basis Options'!G829</f>
        <v>36892</v>
      </c>
      <c r="L826" s="235">
        <f>'Basis Options'!U829</f>
        <v>1214997.0362145461</v>
      </c>
      <c r="M826" s="380">
        <f>'Basis Options'!Q829</f>
        <v>36888</v>
      </c>
      <c r="N826" t="str">
        <f>'Basis Options'!F829</f>
        <v>C</v>
      </c>
      <c r="O826">
        <f>'Basis Options'!I829</f>
        <v>0.15</v>
      </c>
      <c r="P826">
        <v>0</v>
      </c>
      <c r="Q826">
        <v>0</v>
      </c>
      <c r="R826">
        <v>0</v>
      </c>
      <c r="S826">
        <v>0</v>
      </c>
      <c r="T826" t="s">
        <v>253</v>
      </c>
      <c r="U826" t="str">
        <f>IF('Basis Options'!D829="NGI/CHI. GATE","""NGI/CHI. GATE""",TRIM('Basis Options'!D829))</f>
        <v>IF-NTHWST/CANBR</v>
      </c>
      <c r="V826" t="s">
        <v>253</v>
      </c>
      <c r="W826" t="s">
        <v>132</v>
      </c>
      <c r="X826" t="s">
        <v>253</v>
      </c>
      <c r="Y826" t="s">
        <v>235</v>
      </c>
      <c r="Z826" t="s">
        <v>236</v>
      </c>
      <c r="AA826" t="s">
        <v>253</v>
      </c>
      <c r="AB826" t="s">
        <v>1</v>
      </c>
      <c r="AC826" s="235">
        <f>'Basis Options'!H829</f>
        <v>2500000</v>
      </c>
      <c r="AD826" s="235">
        <f>'Basis Options'!W829</f>
        <v>108678.73293402116</v>
      </c>
      <c r="AE826">
        <v>0</v>
      </c>
      <c r="AF826">
        <v>0</v>
      </c>
      <c r="AG826">
        <v>0</v>
      </c>
      <c r="AH826" s="235">
        <f>'Basis Options'!CD831</f>
        <v>0</v>
      </c>
      <c r="AI826">
        <v>226</v>
      </c>
      <c r="AJ826" t="s">
        <v>256</v>
      </c>
      <c r="AK826">
        <v>0</v>
      </c>
      <c r="AL826">
        <v>0</v>
      </c>
      <c r="AM826">
        <v>0</v>
      </c>
    </row>
    <row r="827" spans="1:39" x14ac:dyDescent="0.25">
      <c r="A827" t="s">
        <v>233</v>
      </c>
      <c r="B827" t="str">
        <f>'Basis Options'!C830</f>
        <v>NW9477.2</v>
      </c>
      <c r="C827" t="s">
        <v>255</v>
      </c>
      <c r="D827" t="s">
        <v>234</v>
      </c>
      <c r="E827" t="s">
        <v>20</v>
      </c>
      <c r="F827" t="str">
        <f>'Basis Options'!A830</f>
        <v>FT-US/CAND-ERMS</v>
      </c>
      <c r="G827" t="s">
        <v>269</v>
      </c>
      <c r="H827" t="s">
        <v>254</v>
      </c>
      <c r="I827" t="s">
        <v>242</v>
      </c>
      <c r="J827" t="s">
        <v>235</v>
      </c>
      <c r="K827" s="380">
        <f>'Basis Options'!G830</f>
        <v>36923</v>
      </c>
      <c r="L827" s="235">
        <f>'Basis Options'!U830</f>
        <v>924343.55364367424</v>
      </c>
      <c r="M827" s="380">
        <f>'Basis Options'!Q830</f>
        <v>36921</v>
      </c>
      <c r="N827" t="str">
        <f>'Basis Options'!F830</f>
        <v>C</v>
      </c>
      <c r="O827">
        <f>'Basis Options'!I830</f>
        <v>0.15</v>
      </c>
      <c r="P827">
        <v>0</v>
      </c>
      <c r="Q827">
        <v>0</v>
      </c>
      <c r="R827">
        <v>0</v>
      </c>
      <c r="S827">
        <v>0</v>
      </c>
      <c r="T827" t="s">
        <v>253</v>
      </c>
      <c r="U827" t="str">
        <f>IF('Basis Options'!D830="NGI/CHI. GATE","""NGI/CHI. GATE""",TRIM('Basis Options'!D830))</f>
        <v>IF-NTHWST/CANBR</v>
      </c>
      <c r="V827" t="s">
        <v>253</v>
      </c>
      <c r="W827" t="s">
        <v>132</v>
      </c>
      <c r="X827" t="s">
        <v>253</v>
      </c>
      <c r="Y827" t="s">
        <v>235</v>
      </c>
      <c r="Z827" t="s">
        <v>236</v>
      </c>
      <c r="AA827" t="s">
        <v>253</v>
      </c>
      <c r="AB827" t="s">
        <v>1</v>
      </c>
      <c r="AC827" s="235">
        <f>'Basis Options'!H830</f>
        <v>2500000</v>
      </c>
      <c r="AD827" s="235">
        <f>'Basis Options'!W830</f>
        <v>134743.88521071966</v>
      </c>
      <c r="AE827">
        <v>0</v>
      </c>
      <c r="AF827">
        <v>0</v>
      </c>
      <c r="AG827">
        <v>0</v>
      </c>
      <c r="AH827" s="235">
        <f>'Basis Options'!CD832</f>
        <v>0</v>
      </c>
      <c r="AI827">
        <v>226</v>
      </c>
      <c r="AJ827" t="s">
        <v>256</v>
      </c>
      <c r="AK827">
        <v>0</v>
      </c>
      <c r="AL827">
        <v>0</v>
      </c>
      <c r="AM827">
        <v>0</v>
      </c>
    </row>
    <row r="828" spans="1:39" x14ac:dyDescent="0.25">
      <c r="A828" t="s">
        <v>233</v>
      </c>
      <c r="B828" t="str">
        <f>'Basis Options'!C831</f>
        <v>NW9477.2</v>
      </c>
      <c r="C828" t="s">
        <v>255</v>
      </c>
      <c r="D828" t="s">
        <v>234</v>
      </c>
      <c r="E828" t="s">
        <v>20</v>
      </c>
      <c r="F828" t="str">
        <f>'Basis Options'!A831</f>
        <v>FT-US/CAND-ERMS</v>
      </c>
      <c r="G828" t="s">
        <v>269</v>
      </c>
      <c r="H828" t="s">
        <v>254</v>
      </c>
      <c r="I828" t="s">
        <v>242</v>
      </c>
      <c r="J828" t="s">
        <v>235</v>
      </c>
      <c r="K828" s="380">
        <f>'Basis Options'!G831</f>
        <v>36951</v>
      </c>
      <c r="L828" s="235">
        <f>'Basis Options'!U831</f>
        <v>388688.77329050045</v>
      </c>
      <c r="M828" s="380">
        <f>'Basis Options'!Q831</f>
        <v>36949</v>
      </c>
      <c r="N828" t="str">
        <f>'Basis Options'!F831</f>
        <v>C</v>
      </c>
      <c r="O828">
        <f>'Basis Options'!I831</f>
        <v>0.15</v>
      </c>
      <c r="P828">
        <v>0</v>
      </c>
      <c r="Q828">
        <v>0</v>
      </c>
      <c r="R828">
        <v>0</v>
      </c>
      <c r="S828">
        <v>0</v>
      </c>
      <c r="T828" t="s">
        <v>253</v>
      </c>
      <c r="U828" t="str">
        <f>IF('Basis Options'!D831="NGI/CHI. GATE","""NGI/CHI. GATE""",TRIM('Basis Options'!D831))</f>
        <v>IF-NTHWST/CANBR</v>
      </c>
      <c r="V828" t="s">
        <v>253</v>
      </c>
      <c r="W828" t="s">
        <v>132</v>
      </c>
      <c r="X828" t="s">
        <v>253</v>
      </c>
      <c r="Y828" t="s">
        <v>235</v>
      </c>
      <c r="Z828" t="s">
        <v>236</v>
      </c>
      <c r="AA828" t="s">
        <v>253</v>
      </c>
      <c r="AB828" t="s">
        <v>1</v>
      </c>
      <c r="AC828" s="235">
        <f>'Basis Options'!H831</f>
        <v>2500000</v>
      </c>
      <c r="AD828" s="235">
        <f>'Basis Options'!W831</f>
        <v>130389.62165370234</v>
      </c>
      <c r="AE828">
        <v>0</v>
      </c>
      <c r="AF828">
        <v>0</v>
      </c>
      <c r="AG828">
        <v>0</v>
      </c>
      <c r="AH828" s="235">
        <f>'Basis Options'!CD833</f>
        <v>0</v>
      </c>
      <c r="AI828">
        <v>226</v>
      </c>
      <c r="AJ828" t="s">
        <v>256</v>
      </c>
      <c r="AK828">
        <v>0</v>
      </c>
      <c r="AL828">
        <v>0</v>
      </c>
      <c r="AM828">
        <v>0</v>
      </c>
    </row>
    <row r="829" spans="1:39" x14ac:dyDescent="0.25">
      <c r="A829" t="s">
        <v>233</v>
      </c>
      <c r="B829" t="str">
        <f>'Basis Options'!C832</f>
        <v>NX1655.1</v>
      </c>
      <c r="C829" t="s">
        <v>255</v>
      </c>
      <c r="D829" t="s">
        <v>234</v>
      </c>
      <c r="E829" t="s">
        <v>20</v>
      </c>
      <c r="F829" t="str">
        <f>'Basis Options'!A832</f>
        <v>ELPASMER</v>
      </c>
      <c r="G829" t="s">
        <v>269</v>
      </c>
      <c r="H829" t="s">
        <v>254</v>
      </c>
      <c r="I829" t="s">
        <v>242</v>
      </c>
      <c r="J829" t="s">
        <v>235</v>
      </c>
      <c r="K829" s="380">
        <f>'Basis Options'!G832</f>
        <v>36831</v>
      </c>
      <c r="L829" s="235">
        <f>'Basis Options'!U832</f>
        <v>-100396.28690839994</v>
      </c>
      <c r="M829" s="380">
        <f>'Basis Options'!Q832</f>
        <v>36829</v>
      </c>
      <c r="N829" t="str">
        <f>'Basis Options'!F832</f>
        <v>C</v>
      </c>
      <c r="O829">
        <f>'Basis Options'!I832</f>
        <v>1.5</v>
      </c>
      <c r="P829">
        <v>0</v>
      </c>
      <c r="Q829">
        <v>0</v>
      </c>
      <c r="R829">
        <v>0</v>
      </c>
      <c r="S829">
        <v>0</v>
      </c>
      <c r="T829" t="s">
        <v>253</v>
      </c>
      <c r="U829" t="str">
        <f>IF('Basis Options'!D832="NGI/CHI. GATE","""NGI/CHI. GATE""",TRIM('Basis Options'!D832))</f>
        <v>NGI-SOCAL</v>
      </c>
      <c r="V829" t="s">
        <v>253</v>
      </c>
      <c r="W829" t="s">
        <v>132</v>
      </c>
      <c r="X829" t="s">
        <v>253</v>
      </c>
      <c r="Y829" t="s">
        <v>235</v>
      </c>
      <c r="Z829" t="s">
        <v>236</v>
      </c>
      <c r="AA829" t="s">
        <v>253</v>
      </c>
      <c r="AB829" t="s">
        <v>1</v>
      </c>
      <c r="AC829" s="235">
        <f>'Basis Options'!H832</f>
        <v>-300000</v>
      </c>
      <c r="AD829" s="235">
        <f>'Basis Options'!W832</f>
        <v>-14021.204023601575</v>
      </c>
      <c r="AE829">
        <v>0</v>
      </c>
      <c r="AF829">
        <v>0</v>
      </c>
      <c r="AG829">
        <v>0</v>
      </c>
      <c r="AH829" s="235">
        <f>'Basis Options'!CD834</f>
        <v>0</v>
      </c>
      <c r="AI829">
        <v>226</v>
      </c>
      <c r="AJ829" t="s">
        <v>256</v>
      </c>
      <c r="AK829">
        <v>0</v>
      </c>
      <c r="AL829">
        <v>0</v>
      </c>
      <c r="AM829">
        <v>0</v>
      </c>
    </row>
    <row r="830" spans="1:39" x14ac:dyDescent="0.25">
      <c r="A830" t="s">
        <v>233</v>
      </c>
      <c r="B830" t="str">
        <f>'Basis Options'!C833</f>
        <v>NX1655.1</v>
      </c>
      <c r="C830" t="s">
        <v>255</v>
      </c>
      <c r="D830" t="s">
        <v>234</v>
      </c>
      <c r="E830" t="s">
        <v>20</v>
      </c>
      <c r="F830" t="str">
        <f>'Basis Options'!A833</f>
        <v>ELPASMER</v>
      </c>
      <c r="G830" t="s">
        <v>269</v>
      </c>
      <c r="H830" t="s">
        <v>254</v>
      </c>
      <c r="I830" t="s">
        <v>242</v>
      </c>
      <c r="J830" t="s">
        <v>235</v>
      </c>
      <c r="K830" s="380">
        <f>'Basis Options'!G833</f>
        <v>36861</v>
      </c>
      <c r="L830" s="235">
        <f>'Basis Options'!U833</f>
        <v>-54207.791384925062</v>
      </c>
      <c r="M830" s="380">
        <f>'Basis Options'!Q833</f>
        <v>36859</v>
      </c>
      <c r="N830" t="str">
        <f>'Basis Options'!F833</f>
        <v>C</v>
      </c>
      <c r="O830">
        <f>'Basis Options'!I833</f>
        <v>1.5</v>
      </c>
      <c r="P830">
        <v>0</v>
      </c>
      <c r="Q830">
        <v>0</v>
      </c>
      <c r="R830">
        <v>0</v>
      </c>
      <c r="S830">
        <v>0</v>
      </c>
      <c r="T830" t="s">
        <v>253</v>
      </c>
      <c r="U830" t="str">
        <f>IF('Basis Options'!D833="NGI/CHI. GATE","""NGI/CHI. GATE""",TRIM('Basis Options'!D833))</f>
        <v>NGI-SOCAL</v>
      </c>
      <c r="V830" t="s">
        <v>253</v>
      </c>
      <c r="W830" t="s">
        <v>132</v>
      </c>
      <c r="X830" t="s">
        <v>253</v>
      </c>
      <c r="Y830" t="s">
        <v>235</v>
      </c>
      <c r="Z830" t="s">
        <v>236</v>
      </c>
      <c r="AA830" t="s">
        <v>253</v>
      </c>
      <c r="AB830" t="s">
        <v>1</v>
      </c>
      <c r="AC830" s="235">
        <f>'Basis Options'!H833</f>
        <v>-310000</v>
      </c>
      <c r="AD830" s="235">
        <f>'Basis Options'!W833</f>
        <v>-15567.672461845897</v>
      </c>
      <c r="AE830">
        <v>0</v>
      </c>
      <c r="AF830">
        <v>0</v>
      </c>
      <c r="AG830">
        <v>0</v>
      </c>
      <c r="AH830" s="235">
        <f>'Basis Options'!CD835</f>
        <v>0</v>
      </c>
      <c r="AI830">
        <v>226</v>
      </c>
      <c r="AJ830" t="s">
        <v>256</v>
      </c>
      <c r="AK830">
        <v>0</v>
      </c>
      <c r="AL830">
        <v>0</v>
      </c>
      <c r="AM830">
        <v>0</v>
      </c>
    </row>
    <row r="831" spans="1:39" x14ac:dyDescent="0.25">
      <c r="A831" t="s">
        <v>233</v>
      </c>
      <c r="B831" t="str">
        <f>'Basis Options'!C834</f>
        <v>NX1655.1</v>
      </c>
      <c r="C831" t="s">
        <v>255</v>
      </c>
      <c r="D831" t="s">
        <v>234</v>
      </c>
      <c r="E831" t="s">
        <v>20</v>
      </c>
      <c r="F831" t="str">
        <f>'Basis Options'!A834</f>
        <v>ELPASMER</v>
      </c>
      <c r="G831" t="s">
        <v>269</v>
      </c>
      <c r="H831" t="s">
        <v>254</v>
      </c>
      <c r="I831" t="s">
        <v>242</v>
      </c>
      <c r="J831" t="s">
        <v>235</v>
      </c>
      <c r="K831" s="380">
        <f>'Basis Options'!G834</f>
        <v>36892</v>
      </c>
      <c r="L831" s="235">
        <f>'Basis Options'!U834</f>
        <v>-46074.766596125432</v>
      </c>
      <c r="M831" s="380">
        <f>'Basis Options'!Q834</f>
        <v>36888</v>
      </c>
      <c r="N831" t="str">
        <f>'Basis Options'!F834</f>
        <v>C</v>
      </c>
      <c r="O831">
        <f>'Basis Options'!I834</f>
        <v>1.5</v>
      </c>
      <c r="P831">
        <v>0</v>
      </c>
      <c r="Q831">
        <v>0</v>
      </c>
      <c r="R831">
        <v>0</v>
      </c>
      <c r="S831">
        <v>0</v>
      </c>
      <c r="T831" t="s">
        <v>253</v>
      </c>
      <c r="U831" t="str">
        <f>IF('Basis Options'!D834="NGI/CHI. GATE","""NGI/CHI. GATE""",TRIM('Basis Options'!D834))</f>
        <v>NGI-SOCAL</v>
      </c>
      <c r="V831" t="s">
        <v>253</v>
      </c>
      <c r="W831" t="s">
        <v>132</v>
      </c>
      <c r="X831" t="s">
        <v>253</v>
      </c>
      <c r="Y831" t="s">
        <v>235</v>
      </c>
      <c r="Z831" t="s">
        <v>236</v>
      </c>
      <c r="AA831" t="s">
        <v>253</v>
      </c>
      <c r="AB831" t="s">
        <v>1</v>
      </c>
      <c r="AC831" s="235">
        <f>'Basis Options'!H834</f>
        <v>-310000</v>
      </c>
      <c r="AD831" s="235">
        <f>'Basis Options'!W834</f>
        <v>-16197.686961236992</v>
      </c>
      <c r="AE831">
        <v>0</v>
      </c>
      <c r="AF831">
        <v>0</v>
      </c>
      <c r="AG831">
        <v>0</v>
      </c>
      <c r="AH831" s="235">
        <f>'Basis Options'!CD836</f>
        <v>0</v>
      </c>
      <c r="AI831">
        <v>226</v>
      </c>
      <c r="AJ831" t="s">
        <v>256</v>
      </c>
      <c r="AK831">
        <v>0</v>
      </c>
      <c r="AL831">
        <v>0</v>
      </c>
      <c r="AM831">
        <v>0</v>
      </c>
    </row>
    <row r="832" spans="1:39" x14ac:dyDescent="0.25">
      <c r="A832" t="s">
        <v>233</v>
      </c>
      <c r="B832" t="str">
        <f>'Basis Options'!C835</f>
        <v>NX1655.1</v>
      </c>
      <c r="C832" t="s">
        <v>255</v>
      </c>
      <c r="D832" t="s">
        <v>234</v>
      </c>
      <c r="E832" t="s">
        <v>20</v>
      </c>
      <c r="F832" t="str">
        <f>'Basis Options'!A835</f>
        <v>ELPASMER</v>
      </c>
      <c r="G832" t="s">
        <v>269</v>
      </c>
      <c r="H832" t="s">
        <v>254</v>
      </c>
      <c r="I832" t="s">
        <v>242</v>
      </c>
      <c r="J832" t="s">
        <v>235</v>
      </c>
      <c r="K832" s="380">
        <f>'Basis Options'!G835</f>
        <v>36923</v>
      </c>
      <c r="L832" s="235">
        <f>'Basis Options'!U835</f>
        <v>-35845.179750995769</v>
      </c>
      <c r="M832" s="380">
        <f>'Basis Options'!Q835</f>
        <v>36921</v>
      </c>
      <c r="N832" t="str">
        <f>'Basis Options'!F835</f>
        <v>C</v>
      </c>
      <c r="O832">
        <f>'Basis Options'!I835</f>
        <v>1.5</v>
      </c>
      <c r="P832">
        <v>0</v>
      </c>
      <c r="Q832">
        <v>0</v>
      </c>
      <c r="R832">
        <v>0</v>
      </c>
      <c r="S832">
        <v>0</v>
      </c>
      <c r="T832" t="s">
        <v>253</v>
      </c>
      <c r="U832" t="str">
        <f>IF('Basis Options'!D835="NGI/CHI. GATE","""NGI/CHI. GATE""",TRIM('Basis Options'!D835))</f>
        <v>NGI-SOCAL</v>
      </c>
      <c r="V832" t="s">
        <v>253</v>
      </c>
      <c r="W832" t="s">
        <v>132</v>
      </c>
      <c r="X832" t="s">
        <v>253</v>
      </c>
      <c r="Y832" t="s">
        <v>235</v>
      </c>
      <c r="Z832" t="s">
        <v>236</v>
      </c>
      <c r="AA832" t="s">
        <v>253</v>
      </c>
      <c r="AB832" t="s">
        <v>1</v>
      </c>
      <c r="AC832" s="235">
        <f>'Basis Options'!H835</f>
        <v>-280000</v>
      </c>
      <c r="AD832" s="235">
        <f>'Basis Options'!W835</f>
        <v>-14761.722067962677</v>
      </c>
      <c r="AE832">
        <v>0</v>
      </c>
      <c r="AF832">
        <v>0</v>
      </c>
      <c r="AG832">
        <v>0</v>
      </c>
      <c r="AH832" s="235">
        <f>'Basis Options'!CD837</f>
        <v>0</v>
      </c>
      <c r="AI832">
        <v>226</v>
      </c>
      <c r="AJ832" t="s">
        <v>256</v>
      </c>
      <c r="AK832">
        <v>0</v>
      </c>
      <c r="AL832">
        <v>0</v>
      </c>
      <c r="AM832">
        <v>0</v>
      </c>
    </row>
    <row r="833" spans="1:39" x14ac:dyDescent="0.25">
      <c r="A833" t="s">
        <v>233</v>
      </c>
      <c r="B833" t="str">
        <f>'Basis Options'!C836</f>
        <v>NX1655.1</v>
      </c>
      <c r="C833" t="s">
        <v>255</v>
      </c>
      <c r="D833" t="s">
        <v>234</v>
      </c>
      <c r="E833" t="s">
        <v>20</v>
      </c>
      <c r="F833" t="str">
        <f>'Basis Options'!A836</f>
        <v>ELPASMER</v>
      </c>
      <c r="G833" t="s">
        <v>269</v>
      </c>
      <c r="H833" t="s">
        <v>254</v>
      </c>
      <c r="I833" t="s">
        <v>242</v>
      </c>
      <c r="J833" t="s">
        <v>235</v>
      </c>
      <c r="K833" s="380">
        <f>'Basis Options'!G836</f>
        <v>36951</v>
      </c>
      <c r="L833" s="235">
        <f>'Basis Options'!U836</f>
        <v>-31917.058320241162</v>
      </c>
      <c r="M833" s="380">
        <f>'Basis Options'!Q836</f>
        <v>36949</v>
      </c>
      <c r="N833" t="str">
        <f>'Basis Options'!F836</f>
        <v>C</v>
      </c>
      <c r="O833">
        <f>'Basis Options'!I836</f>
        <v>1.5</v>
      </c>
      <c r="P833">
        <v>0</v>
      </c>
      <c r="Q833">
        <v>0</v>
      </c>
      <c r="R833">
        <v>0</v>
      </c>
      <c r="S833">
        <v>0</v>
      </c>
      <c r="T833" t="s">
        <v>253</v>
      </c>
      <c r="U833" t="str">
        <f>IF('Basis Options'!D836="NGI/CHI. GATE","""NGI/CHI. GATE""",TRIM('Basis Options'!D836))</f>
        <v>NGI-SOCAL</v>
      </c>
      <c r="V833" t="s">
        <v>253</v>
      </c>
      <c r="W833" t="s">
        <v>132</v>
      </c>
      <c r="X833" t="s">
        <v>253</v>
      </c>
      <c r="Y833" t="s">
        <v>235</v>
      </c>
      <c r="Z833" t="s">
        <v>236</v>
      </c>
      <c r="AA833" t="s">
        <v>253</v>
      </c>
      <c r="AB833" t="s">
        <v>1</v>
      </c>
      <c r="AC833" s="235">
        <f>'Basis Options'!H836</f>
        <v>-310000</v>
      </c>
      <c r="AD833" s="235">
        <f>'Basis Options'!W836</f>
        <v>-14765.587017530066</v>
      </c>
      <c r="AE833">
        <v>0</v>
      </c>
      <c r="AF833">
        <v>0</v>
      </c>
      <c r="AG833">
        <v>0</v>
      </c>
      <c r="AH833" s="235">
        <f>'Basis Options'!CD838</f>
        <v>0</v>
      </c>
      <c r="AI833">
        <v>226</v>
      </c>
      <c r="AJ833" t="s">
        <v>256</v>
      </c>
      <c r="AK833">
        <v>0</v>
      </c>
      <c r="AL833">
        <v>0</v>
      </c>
      <c r="AM833">
        <v>0</v>
      </c>
    </row>
    <row r="834" spans="1:39" x14ac:dyDescent="0.25">
      <c r="A834" t="s">
        <v>233</v>
      </c>
      <c r="B834" t="str">
        <f>'Basis Options'!C837</f>
        <v>NX1655.2</v>
      </c>
      <c r="C834" t="s">
        <v>255</v>
      </c>
      <c r="D834" t="s">
        <v>234</v>
      </c>
      <c r="E834" t="s">
        <v>20</v>
      </c>
      <c r="F834" t="str">
        <f>'Basis Options'!A837</f>
        <v>ELPASMER</v>
      </c>
      <c r="G834" t="s">
        <v>269</v>
      </c>
      <c r="H834" t="s">
        <v>254</v>
      </c>
      <c r="I834" t="s">
        <v>242</v>
      </c>
      <c r="J834" t="s">
        <v>235</v>
      </c>
      <c r="K834" s="380">
        <f>'Basis Options'!G837</f>
        <v>36831</v>
      </c>
      <c r="L834" s="235">
        <f>'Basis Options'!U837</f>
        <v>334654.28969466651</v>
      </c>
      <c r="M834" s="380">
        <f>'Basis Options'!Q837</f>
        <v>36829</v>
      </c>
      <c r="N834" t="str">
        <f>'Basis Options'!F837</f>
        <v>C</v>
      </c>
      <c r="O834">
        <f>'Basis Options'!I837</f>
        <v>1.5</v>
      </c>
      <c r="P834">
        <v>0</v>
      </c>
      <c r="Q834">
        <v>0</v>
      </c>
      <c r="R834">
        <v>0</v>
      </c>
      <c r="S834">
        <v>0</v>
      </c>
      <c r="T834" t="s">
        <v>253</v>
      </c>
      <c r="U834" t="str">
        <f>IF('Basis Options'!D837="NGI/CHI. GATE","""NGI/CHI. GATE""",TRIM('Basis Options'!D837))</f>
        <v>NGI-SOCAL</v>
      </c>
      <c r="V834" t="s">
        <v>253</v>
      </c>
      <c r="W834" t="s">
        <v>132</v>
      </c>
      <c r="X834" t="s">
        <v>253</v>
      </c>
      <c r="Y834" t="s">
        <v>235</v>
      </c>
      <c r="Z834" t="s">
        <v>236</v>
      </c>
      <c r="AA834" t="s">
        <v>253</v>
      </c>
      <c r="AB834" t="s">
        <v>1</v>
      </c>
      <c r="AC834" s="235">
        <f>'Basis Options'!H837</f>
        <v>1000000</v>
      </c>
      <c r="AD834" s="235">
        <f>'Basis Options'!W837</f>
        <v>46737.34674533864</v>
      </c>
      <c r="AE834">
        <v>0</v>
      </c>
      <c r="AF834">
        <v>0</v>
      </c>
      <c r="AG834">
        <v>0</v>
      </c>
      <c r="AH834" s="235">
        <f>'Basis Options'!CD839</f>
        <v>0</v>
      </c>
      <c r="AI834">
        <v>226</v>
      </c>
      <c r="AJ834" t="s">
        <v>256</v>
      </c>
      <c r="AK834">
        <v>0</v>
      </c>
      <c r="AL834">
        <v>0</v>
      </c>
      <c r="AM834">
        <v>0</v>
      </c>
    </row>
    <row r="835" spans="1:39" x14ac:dyDescent="0.25">
      <c r="A835" t="s">
        <v>233</v>
      </c>
      <c r="B835" t="str">
        <f>'Basis Options'!C838</f>
        <v>NX1655.2</v>
      </c>
      <c r="C835" t="s">
        <v>255</v>
      </c>
      <c r="D835" t="s">
        <v>234</v>
      </c>
      <c r="E835" t="s">
        <v>20</v>
      </c>
      <c r="F835" t="str">
        <f>'Basis Options'!A838</f>
        <v>ELPASMER</v>
      </c>
      <c r="G835" t="s">
        <v>269</v>
      </c>
      <c r="H835" t="s">
        <v>254</v>
      </c>
      <c r="I835" t="s">
        <v>242</v>
      </c>
      <c r="J835" t="s">
        <v>235</v>
      </c>
      <c r="K835" s="380">
        <f>'Basis Options'!G838</f>
        <v>36861</v>
      </c>
      <c r="L835" s="235">
        <f>'Basis Options'!U838</f>
        <v>174863.84317717762</v>
      </c>
      <c r="M835" s="380">
        <f>'Basis Options'!Q838</f>
        <v>36859</v>
      </c>
      <c r="N835" t="str">
        <f>'Basis Options'!F838</f>
        <v>C</v>
      </c>
      <c r="O835">
        <f>'Basis Options'!I838</f>
        <v>1.5</v>
      </c>
      <c r="P835">
        <v>0</v>
      </c>
      <c r="Q835">
        <v>0</v>
      </c>
      <c r="R835">
        <v>0</v>
      </c>
      <c r="S835">
        <v>0</v>
      </c>
      <c r="T835" t="s">
        <v>253</v>
      </c>
      <c r="U835" t="str">
        <f>IF('Basis Options'!D838="NGI/CHI. GATE","""NGI/CHI. GATE""",TRIM('Basis Options'!D838))</f>
        <v>NGI-SOCAL</v>
      </c>
      <c r="V835" t="s">
        <v>253</v>
      </c>
      <c r="W835" t="s">
        <v>132</v>
      </c>
      <c r="X835" t="s">
        <v>253</v>
      </c>
      <c r="Y835" t="s">
        <v>235</v>
      </c>
      <c r="Z835" t="s">
        <v>236</v>
      </c>
      <c r="AA835" t="s">
        <v>253</v>
      </c>
      <c r="AB835" t="s">
        <v>1</v>
      </c>
      <c r="AC835" s="235">
        <f>'Basis Options'!H838</f>
        <v>1000000</v>
      </c>
      <c r="AD835" s="235">
        <f>'Basis Options'!W838</f>
        <v>50218.298264019075</v>
      </c>
      <c r="AE835">
        <v>0</v>
      </c>
      <c r="AF835">
        <v>0</v>
      </c>
      <c r="AG835">
        <v>0</v>
      </c>
      <c r="AH835" s="235">
        <f>'Basis Options'!CD840</f>
        <v>0</v>
      </c>
      <c r="AI835">
        <v>226</v>
      </c>
      <c r="AJ835" t="s">
        <v>256</v>
      </c>
      <c r="AK835">
        <v>0</v>
      </c>
      <c r="AL835">
        <v>0</v>
      </c>
      <c r="AM835">
        <v>0</v>
      </c>
    </row>
    <row r="836" spans="1:39" x14ac:dyDescent="0.25">
      <c r="A836" t="s">
        <v>233</v>
      </c>
      <c r="B836" t="str">
        <f>'Basis Options'!C839</f>
        <v>NX1655.2</v>
      </c>
      <c r="C836" t="s">
        <v>255</v>
      </c>
      <c r="D836" t="s">
        <v>234</v>
      </c>
      <c r="E836" t="s">
        <v>20</v>
      </c>
      <c r="F836" t="str">
        <f>'Basis Options'!A839</f>
        <v>ELPASMER</v>
      </c>
      <c r="G836" t="s">
        <v>269</v>
      </c>
      <c r="H836" t="s">
        <v>254</v>
      </c>
      <c r="I836" t="s">
        <v>242</v>
      </c>
      <c r="J836" t="s">
        <v>235</v>
      </c>
      <c r="K836" s="380">
        <f>'Basis Options'!G839</f>
        <v>36892</v>
      </c>
      <c r="L836" s="235">
        <f>'Basis Options'!U839</f>
        <v>148628.2793423401</v>
      </c>
      <c r="M836" s="380">
        <f>'Basis Options'!Q839</f>
        <v>36888</v>
      </c>
      <c r="N836" t="str">
        <f>'Basis Options'!F839</f>
        <v>C</v>
      </c>
      <c r="O836">
        <f>'Basis Options'!I839</f>
        <v>1.5</v>
      </c>
      <c r="P836">
        <v>0</v>
      </c>
      <c r="Q836">
        <v>0</v>
      </c>
      <c r="R836">
        <v>0</v>
      </c>
      <c r="S836">
        <v>0</v>
      </c>
      <c r="T836" t="s">
        <v>253</v>
      </c>
      <c r="U836" t="str">
        <f>IF('Basis Options'!D839="NGI/CHI. GATE","""NGI/CHI. GATE""",TRIM('Basis Options'!D839))</f>
        <v>NGI-SOCAL</v>
      </c>
      <c r="V836" t="s">
        <v>253</v>
      </c>
      <c r="W836" t="s">
        <v>132</v>
      </c>
      <c r="X836" t="s">
        <v>253</v>
      </c>
      <c r="Y836" t="s">
        <v>235</v>
      </c>
      <c r="Z836" t="s">
        <v>236</v>
      </c>
      <c r="AA836" t="s">
        <v>253</v>
      </c>
      <c r="AB836" t="s">
        <v>1</v>
      </c>
      <c r="AC836" s="235">
        <f>'Basis Options'!H839</f>
        <v>1000000</v>
      </c>
      <c r="AD836" s="235">
        <f>'Basis Options'!W839</f>
        <v>52250.603100764507</v>
      </c>
      <c r="AE836">
        <v>0</v>
      </c>
      <c r="AF836">
        <v>0</v>
      </c>
      <c r="AG836">
        <v>0</v>
      </c>
      <c r="AH836" s="235">
        <f>'Basis Options'!CD841</f>
        <v>0</v>
      </c>
      <c r="AI836">
        <v>226</v>
      </c>
      <c r="AJ836" t="s">
        <v>256</v>
      </c>
      <c r="AK836">
        <v>0</v>
      </c>
      <c r="AL836">
        <v>0</v>
      </c>
      <c r="AM836">
        <v>0</v>
      </c>
    </row>
    <row r="837" spans="1:39" x14ac:dyDescent="0.25">
      <c r="A837" t="s">
        <v>233</v>
      </c>
      <c r="B837" t="str">
        <f>'Basis Options'!C840</f>
        <v>NX1655.2</v>
      </c>
      <c r="C837" t="s">
        <v>255</v>
      </c>
      <c r="D837" t="s">
        <v>234</v>
      </c>
      <c r="E837" t="s">
        <v>20</v>
      </c>
      <c r="F837" t="str">
        <f>'Basis Options'!A840</f>
        <v>ELPASMER</v>
      </c>
      <c r="G837" t="s">
        <v>269</v>
      </c>
      <c r="H837" t="s">
        <v>254</v>
      </c>
      <c r="I837" t="s">
        <v>242</v>
      </c>
      <c r="J837" t="s">
        <v>235</v>
      </c>
      <c r="K837" s="380">
        <f>'Basis Options'!G840</f>
        <v>36923</v>
      </c>
      <c r="L837" s="235">
        <f>'Basis Options'!U840</f>
        <v>128018.49911069918</v>
      </c>
      <c r="M837" s="380">
        <f>'Basis Options'!Q840</f>
        <v>36921</v>
      </c>
      <c r="N837" t="str">
        <f>'Basis Options'!F840</f>
        <v>C</v>
      </c>
      <c r="O837">
        <f>'Basis Options'!I840</f>
        <v>1.5</v>
      </c>
      <c r="P837">
        <v>0</v>
      </c>
      <c r="Q837">
        <v>0</v>
      </c>
      <c r="R837">
        <v>0</v>
      </c>
      <c r="S837">
        <v>0</v>
      </c>
      <c r="T837" t="s">
        <v>253</v>
      </c>
      <c r="U837" t="str">
        <f>IF('Basis Options'!D840="NGI/CHI. GATE","""NGI/CHI. GATE""",TRIM('Basis Options'!D840))</f>
        <v>NGI-SOCAL</v>
      </c>
      <c r="V837" t="s">
        <v>253</v>
      </c>
      <c r="W837" t="s">
        <v>132</v>
      </c>
      <c r="X837" t="s">
        <v>253</v>
      </c>
      <c r="Y837" t="s">
        <v>235</v>
      </c>
      <c r="Z837" t="s">
        <v>236</v>
      </c>
      <c r="AA837" t="s">
        <v>253</v>
      </c>
      <c r="AB837" t="s">
        <v>1</v>
      </c>
      <c r="AC837" s="235">
        <f>'Basis Options'!H840</f>
        <v>1000000</v>
      </c>
      <c r="AD837" s="235">
        <f>'Basis Options'!W840</f>
        <v>52720.435957009584</v>
      </c>
      <c r="AE837">
        <v>0</v>
      </c>
      <c r="AF837">
        <v>0</v>
      </c>
      <c r="AG837">
        <v>0</v>
      </c>
      <c r="AH837" s="235">
        <f>'Basis Options'!CD842</f>
        <v>0</v>
      </c>
      <c r="AI837">
        <v>226</v>
      </c>
      <c r="AJ837" t="s">
        <v>256</v>
      </c>
      <c r="AK837">
        <v>0</v>
      </c>
      <c r="AL837">
        <v>0</v>
      </c>
      <c r="AM837">
        <v>0</v>
      </c>
    </row>
    <row r="838" spans="1:39" x14ac:dyDescent="0.25">
      <c r="A838" t="s">
        <v>233</v>
      </c>
      <c r="B838" t="str">
        <f>'Basis Options'!C841</f>
        <v>NX1655.2</v>
      </c>
      <c r="C838" t="s">
        <v>255</v>
      </c>
      <c r="D838" t="s">
        <v>234</v>
      </c>
      <c r="E838" t="s">
        <v>20</v>
      </c>
      <c r="F838" t="str">
        <f>'Basis Options'!A841</f>
        <v>ELPASMER</v>
      </c>
      <c r="G838" t="s">
        <v>269</v>
      </c>
      <c r="H838" t="s">
        <v>254</v>
      </c>
      <c r="I838" t="s">
        <v>242</v>
      </c>
      <c r="J838" t="s">
        <v>235</v>
      </c>
      <c r="K838" s="380">
        <f>'Basis Options'!G841</f>
        <v>36951</v>
      </c>
      <c r="L838" s="235">
        <f>'Basis Options'!U841</f>
        <v>102958.25264593924</v>
      </c>
      <c r="M838" s="380">
        <f>'Basis Options'!Q841</f>
        <v>36949</v>
      </c>
      <c r="N838" t="str">
        <f>'Basis Options'!F841</f>
        <v>C</v>
      </c>
      <c r="O838">
        <f>'Basis Options'!I841</f>
        <v>1.5</v>
      </c>
      <c r="P838">
        <v>0</v>
      </c>
      <c r="Q838">
        <v>0</v>
      </c>
      <c r="R838">
        <v>0</v>
      </c>
      <c r="S838">
        <v>0</v>
      </c>
      <c r="T838" t="s">
        <v>253</v>
      </c>
      <c r="U838" t="str">
        <f>IF('Basis Options'!D841="NGI/CHI. GATE","""NGI/CHI. GATE""",TRIM('Basis Options'!D841))</f>
        <v>NGI-SOCAL</v>
      </c>
      <c r="V838" t="s">
        <v>253</v>
      </c>
      <c r="W838" t="s">
        <v>132</v>
      </c>
      <c r="X838" t="s">
        <v>253</v>
      </c>
      <c r="Y838" t="s">
        <v>235</v>
      </c>
      <c r="Z838" t="s">
        <v>236</v>
      </c>
      <c r="AA838" t="s">
        <v>253</v>
      </c>
      <c r="AB838" t="s">
        <v>1</v>
      </c>
      <c r="AC838" s="235">
        <f>'Basis Options'!H841</f>
        <v>1000000</v>
      </c>
      <c r="AD838" s="235">
        <f>'Basis Options'!W841</f>
        <v>47630.925863000244</v>
      </c>
      <c r="AE838">
        <v>0</v>
      </c>
      <c r="AF838">
        <v>0</v>
      </c>
      <c r="AG838">
        <v>0</v>
      </c>
      <c r="AH838" s="235">
        <f>'Basis Options'!CD843</f>
        <v>0</v>
      </c>
      <c r="AI838">
        <v>226</v>
      </c>
      <c r="AJ838" t="s">
        <v>256</v>
      </c>
      <c r="AK838">
        <v>0</v>
      </c>
      <c r="AL838">
        <v>0</v>
      </c>
      <c r="AM838">
        <v>0</v>
      </c>
    </row>
    <row r="839" spans="1:39" x14ac:dyDescent="0.25">
      <c r="A839" t="s">
        <v>233</v>
      </c>
      <c r="B839" t="str">
        <f>'Basis Options'!C842</f>
        <v>NX1655.3</v>
      </c>
      <c r="C839" t="s">
        <v>255</v>
      </c>
      <c r="D839" t="s">
        <v>234</v>
      </c>
      <c r="E839" t="s">
        <v>20</v>
      </c>
      <c r="F839" t="str">
        <f>'Basis Options'!A842</f>
        <v>ELPASMER</v>
      </c>
      <c r="G839" t="s">
        <v>269</v>
      </c>
      <c r="H839" t="s">
        <v>254</v>
      </c>
      <c r="I839" t="s">
        <v>242</v>
      </c>
      <c r="J839" t="s">
        <v>235</v>
      </c>
      <c r="K839" s="380">
        <f>'Basis Options'!G842</f>
        <v>36982</v>
      </c>
      <c r="L839" s="235">
        <f>'Basis Options'!U842</f>
        <v>-28061.174742306055</v>
      </c>
      <c r="M839" s="380">
        <f>'Basis Options'!Q842</f>
        <v>36979</v>
      </c>
      <c r="N839" t="str">
        <f>'Basis Options'!F842</f>
        <v>C</v>
      </c>
      <c r="O839">
        <f>'Basis Options'!I842</f>
        <v>1.5</v>
      </c>
      <c r="P839">
        <v>0</v>
      </c>
      <c r="Q839">
        <v>0</v>
      </c>
      <c r="R839">
        <v>0</v>
      </c>
      <c r="S839">
        <v>0</v>
      </c>
      <c r="T839" t="s">
        <v>253</v>
      </c>
      <c r="U839" t="str">
        <f>IF('Basis Options'!D842="NGI/CHI. GATE","""NGI/CHI. GATE""",TRIM('Basis Options'!D842))</f>
        <v>NGI-SOCAL</v>
      </c>
      <c r="V839" t="s">
        <v>253</v>
      </c>
      <c r="W839" t="s">
        <v>132</v>
      </c>
      <c r="X839" t="s">
        <v>253</v>
      </c>
      <c r="Y839" t="s">
        <v>235</v>
      </c>
      <c r="Z839" t="s">
        <v>236</v>
      </c>
      <c r="AA839" t="s">
        <v>253</v>
      </c>
      <c r="AB839" t="s">
        <v>1</v>
      </c>
      <c r="AC839" s="235">
        <f>'Basis Options'!H842</f>
        <v>-500000</v>
      </c>
      <c r="AD839" s="235">
        <f>'Basis Options'!W842</f>
        <v>-15490.172122385004</v>
      </c>
      <c r="AE839">
        <v>0</v>
      </c>
      <c r="AF839">
        <v>0</v>
      </c>
      <c r="AG839">
        <v>0</v>
      </c>
      <c r="AH839" s="235">
        <f>'Basis Options'!CD844</f>
        <v>0</v>
      </c>
      <c r="AI839">
        <v>226</v>
      </c>
      <c r="AJ839" t="s">
        <v>256</v>
      </c>
      <c r="AK839">
        <v>0</v>
      </c>
      <c r="AL839">
        <v>0</v>
      </c>
      <c r="AM839">
        <v>0</v>
      </c>
    </row>
    <row r="840" spans="1:39" x14ac:dyDescent="0.25">
      <c r="A840" t="s">
        <v>233</v>
      </c>
      <c r="B840" t="str">
        <f>'Basis Options'!C843</f>
        <v>NX1655.3</v>
      </c>
      <c r="C840" t="s">
        <v>255</v>
      </c>
      <c r="D840" t="s">
        <v>234</v>
      </c>
      <c r="E840" t="s">
        <v>20</v>
      </c>
      <c r="F840" t="str">
        <f>'Basis Options'!A843</f>
        <v>ELPASMER</v>
      </c>
      <c r="G840" t="s">
        <v>269</v>
      </c>
      <c r="H840" t="s">
        <v>254</v>
      </c>
      <c r="I840" t="s">
        <v>242</v>
      </c>
      <c r="J840" t="s">
        <v>235</v>
      </c>
      <c r="K840" s="380">
        <f>'Basis Options'!G843</f>
        <v>37012</v>
      </c>
      <c r="L840" s="235">
        <f>'Basis Options'!U843</f>
        <v>-24953.105042275809</v>
      </c>
      <c r="M840" s="380">
        <f>'Basis Options'!Q843</f>
        <v>37008</v>
      </c>
      <c r="N840" t="str">
        <f>'Basis Options'!F843</f>
        <v>C</v>
      </c>
      <c r="O840">
        <f>'Basis Options'!I843</f>
        <v>1.5</v>
      </c>
      <c r="P840">
        <v>0</v>
      </c>
      <c r="Q840">
        <v>0</v>
      </c>
      <c r="R840">
        <v>0</v>
      </c>
      <c r="S840">
        <v>0</v>
      </c>
      <c r="T840" t="s">
        <v>253</v>
      </c>
      <c r="U840" t="str">
        <f>IF('Basis Options'!D843="NGI/CHI. GATE","""NGI/CHI. GATE""",TRIM('Basis Options'!D843))</f>
        <v>NGI-SOCAL</v>
      </c>
      <c r="V840" t="s">
        <v>253</v>
      </c>
      <c r="W840" t="s">
        <v>132</v>
      </c>
      <c r="X840" t="s">
        <v>253</v>
      </c>
      <c r="Y840" t="s">
        <v>235</v>
      </c>
      <c r="Z840" t="s">
        <v>236</v>
      </c>
      <c r="AA840" t="s">
        <v>253</v>
      </c>
      <c r="AB840" t="s">
        <v>1</v>
      </c>
      <c r="AC840" s="235">
        <f>'Basis Options'!H843</f>
        <v>-500000</v>
      </c>
      <c r="AD840" s="235">
        <f>'Basis Options'!W843</f>
        <v>-14394.450947804486</v>
      </c>
      <c r="AE840">
        <v>0</v>
      </c>
      <c r="AF840">
        <v>0</v>
      </c>
      <c r="AG840">
        <v>0</v>
      </c>
      <c r="AH840" s="235">
        <f>'Basis Options'!CD845</f>
        <v>0</v>
      </c>
      <c r="AI840">
        <v>226</v>
      </c>
      <c r="AJ840" t="s">
        <v>256</v>
      </c>
      <c r="AK840">
        <v>0</v>
      </c>
      <c r="AL840">
        <v>0</v>
      </c>
      <c r="AM840">
        <v>0</v>
      </c>
    </row>
    <row r="841" spans="1:39" x14ac:dyDescent="0.25">
      <c r="A841" t="s">
        <v>233</v>
      </c>
      <c r="B841" t="str">
        <f>'Basis Options'!C844</f>
        <v>NX1655.3</v>
      </c>
      <c r="C841" t="s">
        <v>255</v>
      </c>
      <c r="D841" t="s">
        <v>234</v>
      </c>
      <c r="E841" t="s">
        <v>20</v>
      </c>
      <c r="F841" t="str">
        <f>'Basis Options'!A844</f>
        <v>ELPASMER</v>
      </c>
      <c r="G841" t="s">
        <v>269</v>
      </c>
      <c r="H841" t="s">
        <v>254</v>
      </c>
      <c r="I841" t="s">
        <v>242</v>
      </c>
      <c r="J841" t="s">
        <v>235</v>
      </c>
      <c r="K841" s="380">
        <f>'Basis Options'!G844</f>
        <v>37043</v>
      </c>
      <c r="L841" s="235">
        <f>'Basis Options'!U844</f>
        <v>-30490.891229283679</v>
      </c>
      <c r="M841" s="380">
        <f>'Basis Options'!Q844</f>
        <v>37041</v>
      </c>
      <c r="N841" t="str">
        <f>'Basis Options'!F844</f>
        <v>C</v>
      </c>
      <c r="O841">
        <f>'Basis Options'!I844</f>
        <v>1.5</v>
      </c>
      <c r="P841">
        <v>0</v>
      </c>
      <c r="Q841">
        <v>0</v>
      </c>
      <c r="R841">
        <v>0</v>
      </c>
      <c r="S841">
        <v>0</v>
      </c>
      <c r="T841" t="s">
        <v>253</v>
      </c>
      <c r="U841" t="str">
        <f>IF('Basis Options'!D844="NGI/CHI. GATE","""NGI/CHI. GATE""",TRIM('Basis Options'!D844))</f>
        <v>NGI-SOCAL</v>
      </c>
      <c r="V841" t="s">
        <v>253</v>
      </c>
      <c r="W841" t="s">
        <v>132</v>
      </c>
      <c r="X841" t="s">
        <v>253</v>
      </c>
      <c r="Y841" t="s">
        <v>235</v>
      </c>
      <c r="Z841" t="s">
        <v>236</v>
      </c>
      <c r="AA841" t="s">
        <v>253</v>
      </c>
      <c r="AB841" t="s">
        <v>1</v>
      </c>
      <c r="AC841" s="235">
        <f>'Basis Options'!H844</f>
        <v>-500000</v>
      </c>
      <c r="AD841" s="235">
        <f>'Basis Options'!W844</f>
        <v>-16396.913105458065</v>
      </c>
      <c r="AE841">
        <v>0</v>
      </c>
      <c r="AF841">
        <v>0</v>
      </c>
      <c r="AG841">
        <v>0</v>
      </c>
      <c r="AH841" s="235">
        <f>'Basis Options'!CD846</f>
        <v>0</v>
      </c>
      <c r="AI841">
        <v>226</v>
      </c>
      <c r="AJ841" t="s">
        <v>256</v>
      </c>
      <c r="AK841">
        <v>0</v>
      </c>
      <c r="AL841">
        <v>0</v>
      </c>
      <c r="AM841">
        <v>0</v>
      </c>
    </row>
    <row r="842" spans="1:39" x14ac:dyDescent="0.25">
      <c r="A842" t="s">
        <v>233</v>
      </c>
      <c r="B842" t="str">
        <f>'Basis Options'!C845</f>
        <v>NX1655.3</v>
      </c>
      <c r="C842" t="s">
        <v>255</v>
      </c>
      <c r="D842" t="s">
        <v>234</v>
      </c>
      <c r="E842" t="s">
        <v>20</v>
      </c>
      <c r="F842" t="str">
        <f>'Basis Options'!A845</f>
        <v>ELPASMER</v>
      </c>
      <c r="G842" t="s">
        <v>269</v>
      </c>
      <c r="H842" t="s">
        <v>254</v>
      </c>
      <c r="I842" t="s">
        <v>242</v>
      </c>
      <c r="J842" t="s">
        <v>235</v>
      </c>
      <c r="K842" s="380">
        <f>'Basis Options'!G845</f>
        <v>37073</v>
      </c>
      <c r="L842" s="235">
        <f>'Basis Options'!U845</f>
        <v>-120459.21207270942</v>
      </c>
      <c r="M842" s="380">
        <f>'Basis Options'!Q845</f>
        <v>37070</v>
      </c>
      <c r="N842" t="str">
        <f>'Basis Options'!F845</f>
        <v>C</v>
      </c>
      <c r="O842">
        <f>'Basis Options'!I845</f>
        <v>1.5</v>
      </c>
      <c r="P842">
        <v>0</v>
      </c>
      <c r="Q842">
        <v>0</v>
      </c>
      <c r="R842">
        <v>0</v>
      </c>
      <c r="S842">
        <v>0</v>
      </c>
      <c r="T842" t="s">
        <v>253</v>
      </c>
      <c r="U842" t="str">
        <f>IF('Basis Options'!D845="NGI/CHI. GATE","""NGI/CHI. GATE""",TRIM('Basis Options'!D845))</f>
        <v>NGI-SOCAL</v>
      </c>
      <c r="V842" t="s">
        <v>253</v>
      </c>
      <c r="W842" t="s">
        <v>132</v>
      </c>
      <c r="X842" t="s">
        <v>253</v>
      </c>
      <c r="Y842" t="s">
        <v>235</v>
      </c>
      <c r="Z842" t="s">
        <v>236</v>
      </c>
      <c r="AA842" t="s">
        <v>253</v>
      </c>
      <c r="AB842" t="s">
        <v>1</v>
      </c>
      <c r="AC842" s="235">
        <f>'Basis Options'!H845</f>
        <v>-500000</v>
      </c>
      <c r="AD842" s="235">
        <f>'Basis Options'!W845</f>
        <v>-27526.725158358022</v>
      </c>
      <c r="AE842">
        <v>0</v>
      </c>
      <c r="AF842">
        <v>0</v>
      </c>
      <c r="AG842">
        <v>0</v>
      </c>
      <c r="AH842" s="235">
        <f>'Basis Options'!CD847</f>
        <v>0</v>
      </c>
      <c r="AI842">
        <v>226</v>
      </c>
      <c r="AJ842" t="s">
        <v>256</v>
      </c>
      <c r="AK842">
        <v>0</v>
      </c>
      <c r="AL842">
        <v>0</v>
      </c>
      <c r="AM842">
        <v>0</v>
      </c>
    </row>
    <row r="843" spans="1:39" x14ac:dyDescent="0.25">
      <c r="A843" t="s">
        <v>233</v>
      </c>
      <c r="B843" t="str">
        <f>'Basis Options'!C846</f>
        <v>NX1655.3</v>
      </c>
      <c r="C843" t="s">
        <v>255</v>
      </c>
      <c r="D843" t="s">
        <v>234</v>
      </c>
      <c r="E843" t="s">
        <v>20</v>
      </c>
      <c r="F843" t="str">
        <f>'Basis Options'!A846</f>
        <v>ELPASMER</v>
      </c>
      <c r="G843" t="s">
        <v>269</v>
      </c>
      <c r="H843" t="s">
        <v>254</v>
      </c>
      <c r="I843" t="s">
        <v>242</v>
      </c>
      <c r="J843" t="s">
        <v>235</v>
      </c>
      <c r="K843" s="380">
        <f>'Basis Options'!G846</f>
        <v>37104</v>
      </c>
      <c r="L843" s="235">
        <f>'Basis Options'!U846</f>
        <v>-139012.25467579823</v>
      </c>
      <c r="M843" s="380">
        <f>'Basis Options'!Q846</f>
        <v>37102</v>
      </c>
      <c r="N843" t="str">
        <f>'Basis Options'!F846</f>
        <v>C</v>
      </c>
      <c r="O843">
        <f>'Basis Options'!I846</f>
        <v>1.5</v>
      </c>
      <c r="P843">
        <v>0</v>
      </c>
      <c r="Q843">
        <v>0</v>
      </c>
      <c r="R843">
        <v>0</v>
      </c>
      <c r="S843">
        <v>0</v>
      </c>
      <c r="T843" t="s">
        <v>253</v>
      </c>
      <c r="U843" t="str">
        <f>IF('Basis Options'!D846="NGI/CHI. GATE","""NGI/CHI. GATE""",TRIM('Basis Options'!D846))</f>
        <v>NGI-SOCAL</v>
      </c>
      <c r="V843" t="s">
        <v>253</v>
      </c>
      <c r="W843" t="s">
        <v>132</v>
      </c>
      <c r="X843" t="s">
        <v>253</v>
      </c>
      <c r="Y843" t="s">
        <v>235</v>
      </c>
      <c r="Z843" t="s">
        <v>236</v>
      </c>
      <c r="AA843" t="s">
        <v>253</v>
      </c>
      <c r="AB843" t="s">
        <v>1</v>
      </c>
      <c r="AC843" s="235">
        <f>'Basis Options'!H846</f>
        <v>-500000</v>
      </c>
      <c r="AD843" s="235">
        <f>'Basis Options'!W846</f>
        <v>-29208.166912286077</v>
      </c>
      <c r="AE843">
        <v>0</v>
      </c>
      <c r="AF843">
        <v>0</v>
      </c>
      <c r="AG843">
        <v>0</v>
      </c>
      <c r="AH843" s="235">
        <f>'Basis Options'!CD848</f>
        <v>0</v>
      </c>
      <c r="AI843">
        <v>226</v>
      </c>
      <c r="AJ843" t="s">
        <v>256</v>
      </c>
      <c r="AK843">
        <v>0</v>
      </c>
      <c r="AL843">
        <v>0</v>
      </c>
      <c r="AM843">
        <v>0</v>
      </c>
    </row>
    <row r="844" spans="1:39" x14ac:dyDescent="0.25">
      <c r="A844" t="s">
        <v>233</v>
      </c>
      <c r="B844" t="str">
        <f>'Basis Options'!C847</f>
        <v>NX1655.3</v>
      </c>
      <c r="C844" t="s">
        <v>255</v>
      </c>
      <c r="D844" t="s">
        <v>234</v>
      </c>
      <c r="E844" t="s">
        <v>20</v>
      </c>
      <c r="F844" t="str">
        <f>'Basis Options'!A847</f>
        <v>ELPASMER</v>
      </c>
      <c r="G844" t="s">
        <v>269</v>
      </c>
      <c r="H844" t="s">
        <v>254</v>
      </c>
      <c r="I844" t="s">
        <v>242</v>
      </c>
      <c r="J844" t="s">
        <v>235</v>
      </c>
      <c r="K844" s="380">
        <f>'Basis Options'!G847</f>
        <v>37135</v>
      </c>
      <c r="L844" s="235">
        <f>'Basis Options'!U847</f>
        <v>-141073.92175665259</v>
      </c>
      <c r="M844" s="380">
        <f>'Basis Options'!Q847</f>
        <v>37133</v>
      </c>
      <c r="N844" t="str">
        <f>'Basis Options'!F847</f>
        <v>C</v>
      </c>
      <c r="O844">
        <f>'Basis Options'!I847</f>
        <v>1.5</v>
      </c>
      <c r="P844">
        <v>0</v>
      </c>
      <c r="Q844">
        <v>0</v>
      </c>
      <c r="R844">
        <v>0</v>
      </c>
      <c r="S844">
        <v>0</v>
      </c>
      <c r="T844" t="s">
        <v>253</v>
      </c>
      <c r="U844" t="str">
        <f>IF('Basis Options'!D847="NGI/CHI. GATE","""NGI/CHI. GATE""",TRIM('Basis Options'!D847))</f>
        <v>NGI-SOCAL</v>
      </c>
      <c r="V844" t="s">
        <v>253</v>
      </c>
      <c r="W844" t="s">
        <v>132</v>
      </c>
      <c r="X844" t="s">
        <v>253</v>
      </c>
      <c r="Y844" t="s">
        <v>235</v>
      </c>
      <c r="Z844" t="s">
        <v>236</v>
      </c>
      <c r="AA844" t="s">
        <v>253</v>
      </c>
      <c r="AB844" t="s">
        <v>1</v>
      </c>
      <c r="AC844" s="235">
        <f>'Basis Options'!H847</f>
        <v>-500000</v>
      </c>
      <c r="AD844" s="235">
        <f>'Basis Options'!W847</f>
        <v>-30274.842899397598</v>
      </c>
      <c r="AE844">
        <v>0</v>
      </c>
      <c r="AF844">
        <v>0</v>
      </c>
      <c r="AG844">
        <v>0</v>
      </c>
      <c r="AH844" s="235">
        <f>'Basis Options'!CD849</f>
        <v>0</v>
      </c>
      <c r="AI844">
        <v>226</v>
      </c>
      <c r="AJ844" t="s">
        <v>256</v>
      </c>
      <c r="AK844">
        <v>0</v>
      </c>
      <c r="AL844">
        <v>0</v>
      </c>
      <c r="AM844">
        <v>0</v>
      </c>
    </row>
    <row r="845" spans="1:39" x14ac:dyDescent="0.25">
      <c r="A845" t="s">
        <v>233</v>
      </c>
      <c r="B845" t="str">
        <f>'Basis Options'!C848</f>
        <v>NX1655.3</v>
      </c>
      <c r="C845" t="s">
        <v>255</v>
      </c>
      <c r="D845" t="s">
        <v>234</v>
      </c>
      <c r="E845" t="s">
        <v>20</v>
      </c>
      <c r="F845" t="str">
        <f>'Basis Options'!A848</f>
        <v>ELPASMER</v>
      </c>
      <c r="G845" t="s">
        <v>269</v>
      </c>
      <c r="H845" t="s">
        <v>254</v>
      </c>
      <c r="I845" t="s">
        <v>242</v>
      </c>
      <c r="J845" t="s">
        <v>235</v>
      </c>
      <c r="K845" s="380">
        <f>'Basis Options'!G848</f>
        <v>37165</v>
      </c>
      <c r="L845" s="235">
        <f>'Basis Options'!U848</f>
        <v>-64101.128031012544</v>
      </c>
      <c r="M845" s="380">
        <f>'Basis Options'!Q848</f>
        <v>37161</v>
      </c>
      <c r="N845" t="str">
        <f>'Basis Options'!F848</f>
        <v>C</v>
      </c>
      <c r="O845">
        <f>'Basis Options'!I848</f>
        <v>1.5</v>
      </c>
      <c r="P845">
        <v>0</v>
      </c>
      <c r="Q845">
        <v>0</v>
      </c>
      <c r="R845">
        <v>0</v>
      </c>
      <c r="S845">
        <v>0</v>
      </c>
      <c r="T845" t="s">
        <v>253</v>
      </c>
      <c r="U845" t="str">
        <f>IF('Basis Options'!D848="NGI/CHI. GATE","""NGI/CHI. GATE""",TRIM('Basis Options'!D848))</f>
        <v>NGI-SOCAL</v>
      </c>
      <c r="V845" t="s">
        <v>253</v>
      </c>
      <c r="W845" t="s">
        <v>132</v>
      </c>
      <c r="X845" t="s">
        <v>253</v>
      </c>
      <c r="Y845" t="s">
        <v>235</v>
      </c>
      <c r="Z845" t="s">
        <v>236</v>
      </c>
      <c r="AA845" t="s">
        <v>253</v>
      </c>
      <c r="AB845" t="s">
        <v>1</v>
      </c>
      <c r="AC845" s="235">
        <f>'Basis Options'!H848</f>
        <v>-500000</v>
      </c>
      <c r="AD845" s="235">
        <f>'Basis Options'!W848</f>
        <v>-25376.472624907765</v>
      </c>
      <c r="AE845">
        <v>0</v>
      </c>
      <c r="AF845">
        <v>0</v>
      </c>
      <c r="AG845">
        <v>0</v>
      </c>
      <c r="AH845" s="235">
        <f>'Basis Options'!CD850</f>
        <v>0</v>
      </c>
      <c r="AI845">
        <v>226</v>
      </c>
      <c r="AJ845" t="s">
        <v>256</v>
      </c>
      <c r="AK845">
        <v>0</v>
      </c>
      <c r="AL845">
        <v>0</v>
      </c>
      <c r="AM845">
        <v>0</v>
      </c>
    </row>
    <row r="846" spans="1:39" x14ac:dyDescent="0.25">
      <c r="A846" t="s">
        <v>233</v>
      </c>
      <c r="B846" t="str">
        <f>'Basis Options'!C849</f>
        <v>NX1655.4</v>
      </c>
      <c r="C846" t="s">
        <v>255</v>
      </c>
      <c r="D846" t="s">
        <v>234</v>
      </c>
      <c r="E846" t="s">
        <v>20</v>
      </c>
      <c r="F846" t="str">
        <f>'Basis Options'!A849</f>
        <v>ELPASMER</v>
      </c>
      <c r="G846" t="s">
        <v>269</v>
      </c>
      <c r="H846" t="s">
        <v>254</v>
      </c>
      <c r="I846" t="s">
        <v>242</v>
      </c>
      <c r="J846" t="s">
        <v>235</v>
      </c>
      <c r="K846" s="380">
        <f>'Basis Options'!G849</f>
        <v>36982</v>
      </c>
      <c r="L846" s="235">
        <f>'Basis Options'!U849</f>
        <v>-28061.174742306055</v>
      </c>
      <c r="M846" s="380">
        <f>'Basis Options'!Q849</f>
        <v>36979</v>
      </c>
      <c r="N846" t="str">
        <f>'Basis Options'!F849</f>
        <v>C</v>
      </c>
      <c r="O846">
        <f>'Basis Options'!I849</f>
        <v>1.5</v>
      </c>
      <c r="P846">
        <v>0</v>
      </c>
      <c r="Q846">
        <v>0</v>
      </c>
      <c r="R846">
        <v>0</v>
      </c>
      <c r="S846">
        <v>0</v>
      </c>
      <c r="T846" t="s">
        <v>253</v>
      </c>
      <c r="U846" t="str">
        <f>IF('Basis Options'!D849="NGI/CHI. GATE","""NGI/CHI. GATE""",TRIM('Basis Options'!D849))</f>
        <v>NGI-SOCAL</v>
      </c>
      <c r="V846" t="s">
        <v>253</v>
      </c>
      <c r="W846" t="s">
        <v>132</v>
      </c>
      <c r="X846" t="s">
        <v>253</v>
      </c>
      <c r="Y846" t="s">
        <v>235</v>
      </c>
      <c r="Z846" t="s">
        <v>236</v>
      </c>
      <c r="AA846" t="s">
        <v>253</v>
      </c>
      <c r="AB846" t="s">
        <v>1</v>
      </c>
      <c r="AC846" s="235">
        <f>'Basis Options'!H849</f>
        <v>-500000</v>
      </c>
      <c r="AD846" s="235">
        <f>'Basis Options'!W849</f>
        <v>-15490.172122385004</v>
      </c>
      <c r="AE846">
        <v>0</v>
      </c>
      <c r="AF846">
        <v>0</v>
      </c>
      <c r="AG846">
        <v>0</v>
      </c>
      <c r="AH846" s="235">
        <f>'Basis Options'!CD851</f>
        <v>0</v>
      </c>
      <c r="AI846">
        <v>226</v>
      </c>
      <c r="AJ846" t="s">
        <v>256</v>
      </c>
      <c r="AK846">
        <v>0</v>
      </c>
      <c r="AL846">
        <v>0</v>
      </c>
      <c r="AM846">
        <v>0</v>
      </c>
    </row>
    <row r="847" spans="1:39" x14ac:dyDescent="0.25">
      <c r="A847" t="s">
        <v>233</v>
      </c>
      <c r="B847" t="str">
        <f>'Basis Options'!C850</f>
        <v>NX1655.4</v>
      </c>
      <c r="C847" t="s">
        <v>255</v>
      </c>
      <c r="D847" t="s">
        <v>234</v>
      </c>
      <c r="E847" t="s">
        <v>20</v>
      </c>
      <c r="F847" t="str">
        <f>'Basis Options'!A850</f>
        <v>ELPASMER</v>
      </c>
      <c r="G847" t="s">
        <v>269</v>
      </c>
      <c r="H847" t="s">
        <v>254</v>
      </c>
      <c r="I847" t="s">
        <v>242</v>
      </c>
      <c r="J847" t="s">
        <v>235</v>
      </c>
      <c r="K847" s="380">
        <f>'Basis Options'!G850</f>
        <v>37012</v>
      </c>
      <c r="L847" s="235">
        <f>'Basis Options'!U850</f>
        <v>-24953.105042275809</v>
      </c>
      <c r="M847" s="380">
        <f>'Basis Options'!Q850</f>
        <v>37008</v>
      </c>
      <c r="N847" t="str">
        <f>'Basis Options'!F850</f>
        <v>C</v>
      </c>
      <c r="O847">
        <f>'Basis Options'!I850</f>
        <v>1.5</v>
      </c>
      <c r="P847">
        <v>0</v>
      </c>
      <c r="Q847">
        <v>0</v>
      </c>
      <c r="R847">
        <v>0</v>
      </c>
      <c r="S847">
        <v>0</v>
      </c>
      <c r="T847" t="s">
        <v>253</v>
      </c>
      <c r="U847" t="str">
        <f>IF('Basis Options'!D850="NGI/CHI. GATE","""NGI/CHI. GATE""",TRIM('Basis Options'!D850))</f>
        <v>NGI-SOCAL</v>
      </c>
      <c r="V847" t="s">
        <v>253</v>
      </c>
      <c r="W847" t="s">
        <v>132</v>
      </c>
      <c r="X847" t="s">
        <v>253</v>
      </c>
      <c r="Y847" t="s">
        <v>235</v>
      </c>
      <c r="Z847" t="s">
        <v>236</v>
      </c>
      <c r="AA847" t="s">
        <v>253</v>
      </c>
      <c r="AB847" t="s">
        <v>1</v>
      </c>
      <c r="AC847" s="235">
        <f>'Basis Options'!H850</f>
        <v>-500000</v>
      </c>
      <c r="AD847" s="235">
        <f>'Basis Options'!W850</f>
        <v>-14394.450947804486</v>
      </c>
      <c r="AE847">
        <v>0</v>
      </c>
      <c r="AF847">
        <v>0</v>
      </c>
      <c r="AG847">
        <v>0</v>
      </c>
      <c r="AH847" s="235">
        <f>'Basis Options'!CD852</f>
        <v>0</v>
      </c>
      <c r="AI847">
        <v>226</v>
      </c>
      <c r="AJ847" t="s">
        <v>256</v>
      </c>
      <c r="AK847">
        <v>0</v>
      </c>
      <c r="AL847">
        <v>0</v>
      </c>
      <c r="AM847">
        <v>0</v>
      </c>
    </row>
    <row r="848" spans="1:39" x14ac:dyDescent="0.25">
      <c r="A848" t="s">
        <v>233</v>
      </c>
      <c r="B848" t="str">
        <f>'Basis Options'!C851</f>
        <v>NX1655.4</v>
      </c>
      <c r="C848" t="s">
        <v>255</v>
      </c>
      <c r="D848" t="s">
        <v>234</v>
      </c>
      <c r="E848" t="s">
        <v>20</v>
      </c>
      <c r="F848" t="str">
        <f>'Basis Options'!A851</f>
        <v>ELPASMER</v>
      </c>
      <c r="G848" t="s">
        <v>269</v>
      </c>
      <c r="H848" t="s">
        <v>254</v>
      </c>
      <c r="I848" t="s">
        <v>242</v>
      </c>
      <c r="J848" t="s">
        <v>235</v>
      </c>
      <c r="K848" s="380">
        <f>'Basis Options'!G851</f>
        <v>37043</v>
      </c>
      <c r="L848" s="235">
        <f>'Basis Options'!U851</f>
        <v>-30490.891229283679</v>
      </c>
      <c r="M848" s="380">
        <f>'Basis Options'!Q851</f>
        <v>37041</v>
      </c>
      <c r="N848" t="str">
        <f>'Basis Options'!F851</f>
        <v>C</v>
      </c>
      <c r="O848">
        <f>'Basis Options'!I851</f>
        <v>1.5</v>
      </c>
      <c r="P848">
        <v>0</v>
      </c>
      <c r="Q848">
        <v>0</v>
      </c>
      <c r="R848">
        <v>0</v>
      </c>
      <c r="S848">
        <v>0</v>
      </c>
      <c r="T848" t="s">
        <v>253</v>
      </c>
      <c r="U848" t="str">
        <f>IF('Basis Options'!D851="NGI/CHI. GATE","""NGI/CHI. GATE""",TRIM('Basis Options'!D851))</f>
        <v>NGI-SOCAL</v>
      </c>
      <c r="V848" t="s">
        <v>253</v>
      </c>
      <c r="W848" t="s">
        <v>132</v>
      </c>
      <c r="X848" t="s">
        <v>253</v>
      </c>
      <c r="Y848" t="s">
        <v>235</v>
      </c>
      <c r="Z848" t="s">
        <v>236</v>
      </c>
      <c r="AA848" t="s">
        <v>253</v>
      </c>
      <c r="AB848" t="s">
        <v>1</v>
      </c>
      <c r="AC848" s="235">
        <f>'Basis Options'!H851</f>
        <v>-500000</v>
      </c>
      <c r="AD848" s="235">
        <f>'Basis Options'!W851</f>
        <v>-16396.913105458065</v>
      </c>
      <c r="AE848">
        <v>0</v>
      </c>
      <c r="AF848">
        <v>0</v>
      </c>
      <c r="AG848">
        <v>0</v>
      </c>
      <c r="AH848" s="235">
        <f>'Basis Options'!CD853</f>
        <v>0</v>
      </c>
      <c r="AI848">
        <v>226</v>
      </c>
      <c r="AJ848" t="s">
        <v>256</v>
      </c>
      <c r="AK848">
        <v>0</v>
      </c>
      <c r="AL848">
        <v>0</v>
      </c>
      <c r="AM848">
        <v>0</v>
      </c>
    </row>
    <row r="849" spans="1:39" x14ac:dyDescent="0.25">
      <c r="A849" t="s">
        <v>233</v>
      </c>
      <c r="B849" t="str">
        <f>'Basis Options'!C852</f>
        <v>NX1655.4</v>
      </c>
      <c r="C849" t="s">
        <v>255</v>
      </c>
      <c r="D849" t="s">
        <v>234</v>
      </c>
      <c r="E849" t="s">
        <v>20</v>
      </c>
      <c r="F849" t="str">
        <f>'Basis Options'!A852</f>
        <v>ELPASMER</v>
      </c>
      <c r="G849" t="s">
        <v>269</v>
      </c>
      <c r="H849" t="s">
        <v>254</v>
      </c>
      <c r="I849" t="s">
        <v>242</v>
      </c>
      <c r="J849" t="s">
        <v>235</v>
      </c>
      <c r="K849" s="380">
        <f>'Basis Options'!G852</f>
        <v>37073</v>
      </c>
      <c r="L849" s="235">
        <f>'Basis Options'!U852</f>
        <v>-120459.21207270942</v>
      </c>
      <c r="M849" s="380">
        <f>'Basis Options'!Q852</f>
        <v>37070</v>
      </c>
      <c r="N849" t="str">
        <f>'Basis Options'!F852</f>
        <v>C</v>
      </c>
      <c r="O849">
        <f>'Basis Options'!I852</f>
        <v>1.5</v>
      </c>
      <c r="P849">
        <v>0</v>
      </c>
      <c r="Q849">
        <v>0</v>
      </c>
      <c r="R849">
        <v>0</v>
      </c>
      <c r="S849">
        <v>0</v>
      </c>
      <c r="T849" t="s">
        <v>253</v>
      </c>
      <c r="U849" t="str">
        <f>IF('Basis Options'!D852="NGI/CHI. GATE","""NGI/CHI. GATE""",TRIM('Basis Options'!D852))</f>
        <v>NGI-SOCAL</v>
      </c>
      <c r="V849" t="s">
        <v>253</v>
      </c>
      <c r="W849" t="s">
        <v>132</v>
      </c>
      <c r="X849" t="s">
        <v>253</v>
      </c>
      <c r="Y849" t="s">
        <v>235</v>
      </c>
      <c r="Z849" t="s">
        <v>236</v>
      </c>
      <c r="AA849" t="s">
        <v>253</v>
      </c>
      <c r="AB849" t="s">
        <v>1</v>
      </c>
      <c r="AC849" s="235">
        <f>'Basis Options'!H852</f>
        <v>-500000</v>
      </c>
      <c r="AD849" s="235">
        <f>'Basis Options'!W852</f>
        <v>-27526.725158358022</v>
      </c>
      <c r="AE849">
        <v>0</v>
      </c>
      <c r="AF849">
        <v>0</v>
      </c>
      <c r="AG849">
        <v>0</v>
      </c>
      <c r="AH849" s="235">
        <f>'Basis Options'!CD854</f>
        <v>0</v>
      </c>
      <c r="AI849">
        <v>226</v>
      </c>
      <c r="AJ849" t="s">
        <v>256</v>
      </c>
      <c r="AK849">
        <v>0</v>
      </c>
      <c r="AL849">
        <v>0</v>
      </c>
      <c r="AM849">
        <v>0</v>
      </c>
    </row>
    <row r="850" spans="1:39" x14ac:dyDescent="0.25">
      <c r="A850" t="s">
        <v>233</v>
      </c>
      <c r="B850" t="str">
        <f>'Basis Options'!C853</f>
        <v>NX1655.4</v>
      </c>
      <c r="C850" t="s">
        <v>255</v>
      </c>
      <c r="D850" t="s">
        <v>234</v>
      </c>
      <c r="E850" t="s">
        <v>20</v>
      </c>
      <c r="F850" t="str">
        <f>'Basis Options'!A853</f>
        <v>ELPASMER</v>
      </c>
      <c r="G850" t="s">
        <v>269</v>
      </c>
      <c r="H850" t="s">
        <v>254</v>
      </c>
      <c r="I850" t="s">
        <v>242</v>
      </c>
      <c r="J850" t="s">
        <v>235</v>
      </c>
      <c r="K850" s="380">
        <f>'Basis Options'!G853</f>
        <v>37104</v>
      </c>
      <c r="L850" s="235">
        <f>'Basis Options'!U853</f>
        <v>-139012.25467579823</v>
      </c>
      <c r="M850" s="380">
        <f>'Basis Options'!Q853</f>
        <v>37102</v>
      </c>
      <c r="N850" t="str">
        <f>'Basis Options'!F853</f>
        <v>C</v>
      </c>
      <c r="O850">
        <f>'Basis Options'!I853</f>
        <v>1.5</v>
      </c>
      <c r="P850">
        <v>0</v>
      </c>
      <c r="Q850">
        <v>0</v>
      </c>
      <c r="R850">
        <v>0</v>
      </c>
      <c r="S850">
        <v>0</v>
      </c>
      <c r="T850" t="s">
        <v>253</v>
      </c>
      <c r="U850" t="str">
        <f>IF('Basis Options'!D853="NGI/CHI. GATE","""NGI/CHI. GATE""",TRIM('Basis Options'!D853))</f>
        <v>NGI-SOCAL</v>
      </c>
      <c r="V850" t="s">
        <v>253</v>
      </c>
      <c r="W850" t="s">
        <v>132</v>
      </c>
      <c r="X850" t="s">
        <v>253</v>
      </c>
      <c r="Y850" t="s">
        <v>235</v>
      </c>
      <c r="Z850" t="s">
        <v>236</v>
      </c>
      <c r="AA850" t="s">
        <v>253</v>
      </c>
      <c r="AB850" t="s">
        <v>1</v>
      </c>
      <c r="AC850" s="235">
        <f>'Basis Options'!H853</f>
        <v>-500000</v>
      </c>
      <c r="AD850" s="235">
        <f>'Basis Options'!W853</f>
        <v>-29208.166912286077</v>
      </c>
      <c r="AE850">
        <v>0</v>
      </c>
      <c r="AF850">
        <v>0</v>
      </c>
      <c r="AG850">
        <v>0</v>
      </c>
      <c r="AH850" s="235">
        <f>'Basis Options'!CD855</f>
        <v>0</v>
      </c>
      <c r="AI850">
        <v>226</v>
      </c>
      <c r="AJ850" t="s">
        <v>256</v>
      </c>
      <c r="AK850">
        <v>0</v>
      </c>
      <c r="AL850">
        <v>0</v>
      </c>
      <c r="AM850">
        <v>0</v>
      </c>
    </row>
    <row r="851" spans="1:39" x14ac:dyDescent="0.25">
      <c r="A851" t="s">
        <v>233</v>
      </c>
      <c r="B851" t="str">
        <f>'Basis Options'!C854</f>
        <v>NX1655.4</v>
      </c>
      <c r="C851" t="s">
        <v>255</v>
      </c>
      <c r="D851" t="s">
        <v>234</v>
      </c>
      <c r="E851" t="s">
        <v>20</v>
      </c>
      <c r="F851" t="str">
        <f>'Basis Options'!A854</f>
        <v>ELPASMER</v>
      </c>
      <c r="G851" t="s">
        <v>269</v>
      </c>
      <c r="H851" t="s">
        <v>254</v>
      </c>
      <c r="I851" t="s">
        <v>242</v>
      </c>
      <c r="J851" t="s">
        <v>235</v>
      </c>
      <c r="K851" s="380">
        <f>'Basis Options'!G854</f>
        <v>37135</v>
      </c>
      <c r="L851" s="235">
        <f>'Basis Options'!U854</f>
        <v>-141073.92175665259</v>
      </c>
      <c r="M851" s="380">
        <f>'Basis Options'!Q854</f>
        <v>37133</v>
      </c>
      <c r="N851" t="str">
        <f>'Basis Options'!F854</f>
        <v>C</v>
      </c>
      <c r="O851">
        <f>'Basis Options'!I854</f>
        <v>1.5</v>
      </c>
      <c r="P851">
        <v>0</v>
      </c>
      <c r="Q851">
        <v>0</v>
      </c>
      <c r="R851">
        <v>0</v>
      </c>
      <c r="S851">
        <v>0</v>
      </c>
      <c r="T851" t="s">
        <v>253</v>
      </c>
      <c r="U851" t="str">
        <f>IF('Basis Options'!D854="NGI/CHI. GATE","""NGI/CHI. GATE""",TRIM('Basis Options'!D854))</f>
        <v>NGI-SOCAL</v>
      </c>
      <c r="V851" t="s">
        <v>253</v>
      </c>
      <c r="W851" t="s">
        <v>132</v>
      </c>
      <c r="X851" t="s">
        <v>253</v>
      </c>
      <c r="Y851" t="s">
        <v>235</v>
      </c>
      <c r="Z851" t="s">
        <v>236</v>
      </c>
      <c r="AA851" t="s">
        <v>253</v>
      </c>
      <c r="AB851" t="s">
        <v>1</v>
      </c>
      <c r="AC851" s="235">
        <f>'Basis Options'!H854</f>
        <v>-500000</v>
      </c>
      <c r="AD851" s="235">
        <f>'Basis Options'!W854</f>
        <v>-30274.842899397598</v>
      </c>
      <c r="AE851">
        <v>0</v>
      </c>
      <c r="AF851">
        <v>0</v>
      </c>
      <c r="AG851">
        <v>0</v>
      </c>
      <c r="AH851" s="235">
        <f>'Basis Options'!CD856</f>
        <v>0</v>
      </c>
      <c r="AI851">
        <v>226</v>
      </c>
      <c r="AJ851" t="s">
        <v>256</v>
      </c>
      <c r="AK851">
        <v>0</v>
      </c>
      <c r="AL851">
        <v>0</v>
      </c>
      <c r="AM851">
        <v>0</v>
      </c>
    </row>
    <row r="852" spans="1:39" x14ac:dyDescent="0.25">
      <c r="A852" t="s">
        <v>233</v>
      </c>
      <c r="B852" t="str">
        <f>'Basis Options'!C855</f>
        <v>NX1655.4</v>
      </c>
      <c r="C852" t="s">
        <v>255</v>
      </c>
      <c r="D852" t="s">
        <v>234</v>
      </c>
      <c r="E852" t="s">
        <v>20</v>
      </c>
      <c r="F852" t="str">
        <f>'Basis Options'!A855</f>
        <v>ELPASMER</v>
      </c>
      <c r="G852" t="s">
        <v>269</v>
      </c>
      <c r="H852" t="s">
        <v>254</v>
      </c>
      <c r="I852" t="s">
        <v>242</v>
      </c>
      <c r="J852" t="s">
        <v>235</v>
      </c>
      <c r="K852" s="380">
        <f>'Basis Options'!G855</f>
        <v>37165</v>
      </c>
      <c r="L852" s="235">
        <f>'Basis Options'!U855</f>
        <v>-64101.128031012544</v>
      </c>
      <c r="M852" s="380">
        <f>'Basis Options'!Q855</f>
        <v>37161</v>
      </c>
      <c r="N852" t="str">
        <f>'Basis Options'!F855</f>
        <v>C</v>
      </c>
      <c r="O852">
        <f>'Basis Options'!I855</f>
        <v>1.5</v>
      </c>
      <c r="P852">
        <v>0</v>
      </c>
      <c r="Q852">
        <v>0</v>
      </c>
      <c r="R852">
        <v>0</v>
      </c>
      <c r="S852">
        <v>0</v>
      </c>
      <c r="T852" t="s">
        <v>253</v>
      </c>
      <c r="U852" t="str">
        <f>IF('Basis Options'!D855="NGI/CHI. GATE","""NGI/CHI. GATE""",TRIM('Basis Options'!D855))</f>
        <v>NGI-SOCAL</v>
      </c>
      <c r="V852" t="s">
        <v>253</v>
      </c>
      <c r="W852" t="s">
        <v>132</v>
      </c>
      <c r="X852" t="s">
        <v>253</v>
      </c>
      <c r="Y852" t="s">
        <v>235</v>
      </c>
      <c r="Z852" t="s">
        <v>236</v>
      </c>
      <c r="AA852" t="s">
        <v>253</v>
      </c>
      <c r="AB852" t="s">
        <v>1</v>
      </c>
      <c r="AC852" s="235">
        <f>'Basis Options'!H855</f>
        <v>-500000</v>
      </c>
      <c r="AD852" s="235">
        <f>'Basis Options'!W855</f>
        <v>-25376.472624907765</v>
      </c>
      <c r="AE852">
        <v>0</v>
      </c>
      <c r="AF852">
        <v>0</v>
      </c>
      <c r="AG852">
        <v>0</v>
      </c>
      <c r="AH852" s="235">
        <f>'Basis Options'!CD857</f>
        <v>0</v>
      </c>
      <c r="AI852">
        <v>226</v>
      </c>
      <c r="AJ852" t="s">
        <v>256</v>
      </c>
      <c r="AK852">
        <v>0</v>
      </c>
      <c r="AL852">
        <v>0</v>
      </c>
      <c r="AM852">
        <v>0</v>
      </c>
    </row>
    <row r="853" spans="1:39" x14ac:dyDescent="0.25">
      <c r="A853" t="s">
        <v>233</v>
      </c>
      <c r="B853" t="str">
        <f>'Basis Options'!C856</f>
        <v>NX1690</v>
      </c>
      <c r="C853" t="s">
        <v>255</v>
      </c>
      <c r="D853" t="s">
        <v>234</v>
      </c>
      <c r="E853" t="s">
        <v>20</v>
      </c>
      <c r="F853" t="str">
        <f>'Basis Options'!A856</f>
        <v>ELPASMER</v>
      </c>
      <c r="G853" t="s">
        <v>269</v>
      </c>
      <c r="H853" t="s">
        <v>254</v>
      </c>
      <c r="I853" t="s">
        <v>242</v>
      </c>
      <c r="J853" t="s">
        <v>235</v>
      </c>
      <c r="K853" s="380">
        <f>'Basis Options'!G856</f>
        <v>36982</v>
      </c>
      <c r="L853" s="235">
        <f>'Basis Options'!U856</f>
        <v>-28061.174742306055</v>
      </c>
      <c r="M853" s="380">
        <f>'Basis Options'!Q856</f>
        <v>36979</v>
      </c>
      <c r="N853" t="str">
        <f>'Basis Options'!F856</f>
        <v>C</v>
      </c>
      <c r="O853">
        <f>'Basis Options'!I856</f>
        <v>1.5</v>
      </c>
      <c r="P853">
        <v>0</v>
      </c>
      <c r="Q853">
        <v>0</v>
      </c>
      <c r="R853">
        <v>0</v>
      </c>
      <c r="S853">
        <v>0</v>
      </c>
      <c r="T853" t="s">
        <v>253</v>
      </c>
      <c r="U853" t="str">
        <f>IF('Basis Options'!D856="NGI/CHI. GATE","""NGI/CHI. GATE""",TRIM('Basis Options'!D856))</f>
        <v>NGI-SOCAL</v>
      </c>
      <c r="V853" t="s">
        <v>253</v>
      </c>
      <c r="W853" t="s">
        <v>132</v>
      </c>
      <c r="X853" t="s">
        <v>253</v>
      </c>
      <c r="Y853" t="s">
        <v>235</v>
      </c>
      <c r="Z853" t="s">
        <v>236</v>
      </c>
      <c r="AA853" t="s">
        <v>253</v>
      </c>
      <c r="AB853" t="s">
        <v>1</v>
      </c>
      <c r="AC853" s="235">
        <f>'Basis Options'!H856</f>
        <v>-500000</v>
      </c>
      <c r="AD853" s="235">
        <f>'Basis Options'!W856</f>
        <v>-15490.172122385004</v>
      </c>
      <c r="AE853">
        <v>0</v>
      </c>
      <c r="AF853">
        <v>0</v>
      </c>
      <c r="AG853">
        <v>0</v>
      </c>
      <c r="AH853" s="235">
        <f>'Basis Options'!CD858</f>
        <v>0</v>
      </c>
      <c r="AI853">
        <v>226</v>
      </c>
      <c r="AJ853" t="s">
        <v>256</v>
      </c>
      <c r="AK853">
        <v>0</v>
      </c>
      <c r="AL853">
        <v>0</v>
      </c>
      <c r="AM853">
        <v>0</v>
      </c>
    </row>
    <row r="854" spans="1:39" x14ac:dyDescent="0.25">
      <c r="A854" t="s">
        <v>233</v>
      </c>
      <c r="B854" t="str">
        <f>'Basis Options'!C857</f>
        <v>NX1690</v>
      </c>
      <c r="C854" t="s">
        <v>255</v>
      </c>
      <c r="D854" t="s">
        <v>234</v>
      </c>
      <c r="E854" t="s">
        <v>20</v>
      </c>
      <c r="F854" t="str">
        <f>'Basis Options'!A857</f>
        <v>ELPASMER</v>
      </c>
      <c r="G854" t="s">
        <v>269</v>
      </c>
      <c r="H854" t="s">
        <v>254</v>
      </c>
      <c r="I854" t="s">
        <v>242</v>
      </c>
      <c r="J854" t="s">
        <v>235</v>
      </c>
      <c r="K854" s="380">
        <f>'Basis Options'!G857</f>
        <v>37012</v>
      </c>
      <c r="L854" s="235">
        <f>'Basis Options'!U857</f>
        <v>-24953.105042275809</v>
      </c>
      <c r="M854" s="380">
        <f>'Basis Options'!Q857</f>
        <v>37008</v>
      </c>
      <c r="N854" t="str">
        <f>'Basis Options'!F857</f>
        <v>C</v>
      </c>
      <c r="O854">
        <f>'Basis Options'!I857</f>
        <v>1.5</v>
      </c>
      <c r="P854">
        <v>0</v>
      </c>
      <c r="Q854">
        <v>0</v>
      </c>
      <c r="R854">
        <v>0</v>
      </c>
      <c r="S854">
        <v>0</v>
      </c>
      <c r="T854" t="s">
        <v>253</v>
      </c>
      <c r="U854" t="str">
        <f>IF('Basis Options'!D857="NGI/CHI. GATE","""NGI/CHI. GATE""",TRIM('Basis Options'!D857))</f>
        <v>NGI-SOCAL</v>
      </c>
      <c r="V854" t="s">
        <v>253</v>
      </c>
      <c r="W854" t="s">
        <v>132</v>
      </c>
      <c r="X854" t="s">
        <v>253</v>
      </c>
      <c r="Y854" t="s">
        <v>235</v>
      </c>
      <c r="Z854" t="s">
        <v>236</v>
      </c>
      <c r="AA854" t="s">
        <v>253</v>
      </c>
      <c r="AB854" t="s">
        <v>1</v>
      </c>
      <c r="AC854" s="235">
        <f>'Basis Options'!H857</f>
        <v>-500000</v>
      </c>
      <c r="AD854" s="235">
        <f>'Basis Options'!W857</f>
        <v>-14394.450947804486</v>
      </c>
      <c r="AE854">
        <v>0</v>
      </c>
      <c r="AF854">
        <v>0</v>
      </c>
      <c r="AG854">
        <v>0</v>
      </c>
      <c r="AH854" s="235">
        <f>'Basis Options'!CD859</f>
        <v>0</v>
      </c>
      <c r="AI854">
        <v>226</v>
      </c>
      <c r="AJ854" t="s">
        <v>256</v>
      </c>
      <c r="AK854">
        <v>0</v>
      </c>
      <c r="AL854">
        <v>0</v>
      </c>
      <c r="AM854">
        <v>0</v>
      </c>
    </row>
    <row r="855" spans="1:39" x14ac:dyDescent="0.25">
      <c r="A855" t="s">
        <v>233</v>
      </c>
      <c r="B855" t="str">
        <f>'Basis Options'!C858</f>
        <v>NX1690</v>
      </c>
      <c r="C855" t="s">
        <v>255</v>
      </c>
      <c r="D855" t="s">
        <v>234</v>
      </c>
      <c r="E855" t="s">
        <v>20</v>
      </c>
      <c r="F855" t="str">
        <f>'Basis Options'!A858</f>
        <v>ELPASMER</v>
      </c>
      <c r="G855" t="s">
        <v>269</v>
      </c>
      <c r="H855" t="s">
        <v>254</v>
      </c>
      <c r="I855" t="s">
        <v>242</v>
      </c>
      <c r="J855" t="s">
        <v>235</v>
      </c>
      <c r="K855" s="380">
        <f>'Basis Options'!G858</f>
        <v>37043</v>
      </c>
      <c r="L855" s="235">
        <f>'Basis Options'!U858</f>
        <v>-30490.891229283679</v>
      </c>
      <c r="M855" s="380">
        <f>'Basis Options'!Q858</f>
        <v>37041</v>
      </c>
      <c r="N855" t="str">
        <f>'Basis Options'!F858</f>
        <v>C</v>
      </c>
      <c r="O855">
        <f>'Basis Options'!I858</f>
        <v>1.5</v>
      </c>
      <c r="P855">
        <v>0</v>
      </c>
      <c r="Q855">
        <v>0</v>
      </c>
      <c r="R855">
        <v>0</v>
      </c>
      <c r="S855">
        <v>0</v>
      </c>
      <c r="T855" t="s">
        <v>253</v>
      </c>
      <c r="U855" t="str">
        <f>IF('Basis Options'!D858="NGI/CHI. GATE","""NGI/CHI. GATE""",TRIM('Basis Options'!D858))</f>
        <v>NGI-SOCAL</v>
      </c>
      <c r="V855" t="s">
        <v>253</v>
      </c>
      <c r="W855" t="s">
        <v>132</v>
      </c>
      <c r="X855" t="s">
        <v>253</v>
      </c>
      <c r="Y855" t="s">
        <v>235</v>
      </c>
      <c r="Z855" t="s">
        <v>236</v>
      </c>
      <c r="AA855" t="s">
        <v>253</v>
      </c>
      <c r="AB855" t="s">
        <v>1</v>
      </c>
      <c r="AC855" s="235">
        <f>'Basis Options'!H858</f>
        <v>-500000</v>
      </c>
      <c r="AD855" s="235">
        <f>'Basis Options'!W858</f>
        <v>-16396.913105458065</v>
      </c>
      <c r="AE855">
        <v>0</v>
      </c>
      <c r="AF855">
        <v>0</v>
      </c>
      <c r="AG855">
        <v>0</v>
      </c>
      <c r="AH855" s="235">
        <f>'Basis Options'!CD860</f>
        <v>0</v>
      </c>
      <c r="AI855">
        <v>226</v>
      </c>
      <c r="AJ855" t="s">
        <v>256</v>
      </c>
      <c r="AK855">
        <v>0</v>
      </c>
      <c r="AL855">
        <v>0</v>
      </c>
      <c r="AM855">
        <v>0</v>
      </c>
    </row>
    <row r="856" spans="1:39" x14ac:dyDescent="0.25">
      <c r="A856" t="s">
        <v>233</v>
      </c>
      <c r="B856" t="str">
        <f>'Basis Options'!C859</f>
        <v>NX1690</v>
      </c>
      <c r="C856" t="s">
        <v>255</v>
      </c>
      <c r="D856" t="s">
        <v>234</v>
      </c>
      <c r="E856" t="s">
        <v>20</v>
      </c>
      <c r="F856" t="str">
        <f>'Basis Options'!A859</f>
        <v>ELPASMER</v>
      </c>
      <c r="G856" t="s">
        <v>269</v>
      </c>
      <c r="H856" t="s">
        <v>254</v>
      </c>
      <c r="I856" t="s">
        <v>242</v>
      </c>
      <c r="J856" t="s">
        <v>235</v>
      </c>
      <c r="K856" s="380">
        <f>'Basis Options'!G859</f>
        <v>37073</v>
      </c>
      <c r="L856" s="235">
        <f>'Basis Options'!U859</f>
        <v>-120459.21207270942</v>
      </c>
      <c r="M856" s="380">
        <f>'Basis Options'!Q859</f>
        <v>37070</v>
      </c>
      <c r="N856" t="str">
        <f>'Basis Options'!F859</f>
        <v>C</v>
      </c>
      <c r="O856">
        <f>'Basis Options'!I859</f>
        <v>1.5</v>
      </c>
      <c r="P856">
        <v>0</v>
      </c>
      <c r="Q856">
        <v>0</v>
      </c>
      <c r="R856">
        <v>0</v>
      </c>
      <c r="S856">
        <v>0</v>
      </c>
      <c r="T856" t="s">
        <v>253</v>
      </c>
      <c r="U856" t="str">
        <f>IF('Basis Options'!D859="NGI/CHI. GATE","""NGI/CHI. GATE""",TRIM('Basis Options'!D859))</f>
        <v>NGI-SOCAL</v>
      </c>
      <c r="V856" t="s">
        <v>253</v>
      </c>
      <c r="W856" t="s">
        <v>132</v>
      </c>
      <c r="X856" t="s">
        <v>253</v>
      </c>
      <c r="Y856" t="s">
        <v>235</v>
      </c>
      <c r="Z856" t="s">
        <v>236</v>
      </c>
      <c r="AA856" t="s">
        <v>253</v>
      </c>
      <c r="AB856" t="s">
        <v>1</v>
      </c>
      <c r="AC856" s="235">
        <f>'Basis Options'!H859</f>
        <v>-500000</v>
      </c>
      <c r="AD856" s="235">
        <f>'Basis Options'!W859</f>
        <v>-27526.725158358022</v>
      </c>
      <c r="AE856">
        <v>0</v>
      </c>
      <c r="AF856">
        <v>0</v>
      </c>
      <c r="AG856">
        <v>0</v>
      </c>
      <c r="AH856" s="235">
        <f>'Basis Options'!CD861</f>
        <v>0</v>
      </c>
      <c r="AI856">
        <v>226</v>
      </c>
      <c r="AJ856" t="s">
        <v>256</v>
      </c>
      <c r="AK856">
        <v>0</v>
      </c>
      <c r="AL856">
        <v>0</v>
      </c>
      <c r="AM856">
        <v>0</v>
      </c>
    </row>
    <row r="857" spans="1:39" x14ac:dyDescent="0.25">
      <c r="A857" t="s">
        <v>233</v>
      </c>
      <c r="B857" t="str">
        <f>'Basis Options'!C860</f>
        <v>NX1690</v>
      </c>
      <c r="C857" t="s">
        <v>255</v>
      </c>
      <c r="D857" t="s">
        <v>234</v>
      </c>
      <c r="E857" t="s">
        <v>20</v>
      </c>
      <c r="F857" t="str">
        <f>'Basis Options'!A860</f>
        <v>ELPASMER</v>
      </c>
      <c r="G857" t="s">
        <v>269</v>
      </c>
      <c r="H857" t="s">
        <v>254</v>
      </c>
      <c r="I857" t="s">
        <v>242</v>
      </c>
      <c r="J857" t="s">
        <v>235</v>
      </c>
      <c r="K857" s="380">
        <f>'Basis Options'!G860</f>
        <v>37104</v>
      </c>
      <c r="L857" s="235">
        <f>'Basis Options'!U860</f>
        <v>-139012.25467579823</v>
      </c>
      <c r="M857" s="380">
        <f>'Basis Options'!Q860</f>
        <v>37102</v>
      </c>
      <c r="N857" t="str">
        <f>'Basis Options'!F860</f>
        <v>C</v>
      </c>
      <c r="O857">
        <f>'Basis Options'!I860</f>
        <v>1.5</v>
      </c>
      <c r="P857">
        <v>0</v>
      </c>
      <c r="Q857">
        <v>0</v>
      </c>
      <c r="R857">
        <v>0</v>
      </c>
      <c r="S857">
        <v>0</v>
      </c>
      <c r="T857" t="s">
        <v>253</v>
      </c>
      <c r="U857" t="str">
        <f>IF('Basis Options'!D860="NGI/CHI. GATE","""NGI/CHI. GATE""",TRIM('Basis Options'!D860))</f>
        <v>NGI-SOCAL</v>
      </c>
      <c r="V857" t="s">
        <v>253</v>
      </c>
      <c r="W857" t="s">
        <v>132</v>
      </c>
      <c r="X857" t="s">
        <v>253</v>
      </c>
      <c r="Y857" t="s">
        <v>235</v>
      </c>
      <c r="Z857" t="s">
        <v>236</v>
      </c>
      <c r="AA857" t="s">
        <v>253</v>
      </c>
      <c r="AB857" t="s">
        <v>1</v>
      </c>
      <c r="AC857" s="235">
        <f>'Basis Options'!H860</f>
        <v>-500000</v>
      </c>
      <c r="AD857" s="235">
        <f>'Basis Options'!W860</f>
        <v>-29208.166912286077</v>
      </c>
      <c r="AE857">
        <v>0</v>
      </c>
      <c r="AF857">
        <v>0</v>
      </c>
      <c r="AG857">
        <v>0</v>
      </c>
      <c r="AH857" s="235">
        <f>'Basis Options'!CD862</f>
        <v>0</v>
      </c>
      <c r="AI857">
        <v>226</v>
      </c>
      <c r="AJ857" t="s">
        <v>256</v>
      </c>
      <c r="AK857">
        <v>0</v>
      </c>
      <c r="AL857">
        <v>0</v>
      </c>
      <c r="AM857">
        <v>0</v>
      </c>
    </row>
    <row r="858" spans="1:39" x14ac:dyDescent="0.25">
      <c r="A858" t="s">
        <v>233</v>
      </c>
      <c r="B858" t="str">
        <f>'Basis Options'!C861</f>
        <v>NX1690</v>
      </c>
      <c r="C858" t="s">
        <v>255</v>
      </c>
      <c r="D858" t="s">
        <v>234</v>
      </c>
      <c r="E858" t="s">
        <v>20</v>
      </c>
      <c r="F858" t="str">
        <f>'Basis Options'!A861</f>
        <v>ELPASMER</v>
      </c>
      <c r="G858" t="s">
        <v>269</v>
      </c>
      <c r="H858" t="s">
        <v>254</v>
      </c>
      <c r="I858" t="s">
        <v>242</v>
      </c>
      <c r="J858" t="s">
        <v>235</v>
      </c>
      <c r="K858" s="380">
        <f>'Basis Options'!G861</f>
        <v>37135</v>
      </c>
      <c r="L858" s="235">
        <f>'Basis Options'!U861</f>
        <v>-141073.92175665259</v>
      </c>
      <c r="M858" s="380">
        <f>'Basis Options'!Q861</f>
        <v>37133</v>
      </c>
      <c r="N858" t="str">
        <f>'Basis Options'!F861</f>
        <v>C</v>
      </c>
      <c r="O858">
        <f>'Basis Options'!I861</f>
        <v>1.5</v>
      </c>
      <c r="P858">
        <v>0</v>
      </c>
      <c r="Q858">
        <v>0</v>
      </c>
      <c r="R858">
        <v>0</v>
      </c>
      <c r="S858">
        <v>0</v>
      </c>
      <c r="T858" t="s">
        <v>253</v>
      </c>
      <c r="U858" t="str">
        <f>IF('Basis Options'!D861="NGI/CHI. GATE","""NGI/CHI. GATE""",TRIM('Basis Options'!D861))</f>
        <v>NGI-SOCAL</v>
      </c>
      <c r="V858" t="s">
        <v>253</v>
      </c>
      <c r="W858" t="s">
        <v>132</v>
      </c>
      <c r="X858" t="s">
        <v>253</v>
      </c>
      <c r="Y858" t="s">
        <v>235</v>
      </c>
      <c r="Z858" t="s">
        <v>236</v>
      </c>
      <c r="AA858" t="s">
        <v>253</v>
      </c>
      <c r="AB858" t="s">
        <v>1</v>
      </c>
      <c r="AC858" s="235">
        <f>'Basis Options'!H861</f>
        <v>-500000</v>
      </c>
      <c r="AD858" s="235">
        <f>'Basis Options'!W861</f>
        <v>-30274.842899397598</v>
      </c>
      <c r="AE858">
        <v>0</v>
      </c>
      <c r="AF858">
        <v>0</v>
      </c>
      <c r="AG858">
        <v>0</v>
      </c>
      <c r="AH858" s="235">
        <f>'Basis Options'!CD863</f>
        <v>0</v>
      </c>
      <c r="AI858">
        <v>226</v>
      </c>
      <c r="AJ858" t="s">
        <v>256</v>
      </c>
      <c r="AK858">
        <v>0</v>
      </c>
      <c r="AL858">
        <v>0</v>
      </c>
      <c r="AM858">
        <v>0</v>
      </c>
    </row>
    <row r="859" spans="1:39" x14ac:dyDescent="0.25">
      <c r="A859" t="s">
        <v>233</v>
      </c>
      <c r="B859" t="str">
        <f>'Basis Options'!C862</f>
        <v>NX1690</v>
      </c>
      <c r="C859" t="s">
        <v>255</v>
      </c>
      <c r="D859" t="s">
        <v>234</v>
      </c>
      <c r="E859" t="s">
        <v>20</v>
      </c>
      <c r="F859" t="str">
        <f>'Basis Options'!A862</f>
        <v>ELPASMER</v>
      </c>
      <c r="G859" t="s">
        <v>269</v>
      </c>
      <c r="H859" t="s">
        <v>254</v>
      </c>
      <c r="I859" t="s">
        <v>242</v>
      </c>
      <c r="J859" t="s">
        <v>235</v>
      </c>
      <c r="K859" s="380">
        <f>'Basis Options'!G862</f>
        <v>37165</v>
      </c>
      <c r="L859" s="235">
        <f>'Basis Options'!U862</f>
        <v>-64101.128031012544</v>
      </c>
      <c r="M859" s="380">
        <f>'Basis Options'!Q862</f>
        <v>37161</v>
      </c>
      <c r="N859" t="str">
        <f>'Basis Options'!F862</f>
        <v>C</v>
      </c>
      <c r="O859">
        <f>'Basis Options'!I862</f>
        <v>1.5</v>
      </c>
      <c r="P859">
        <v>0</v>
      </c>
      <c r="Q859">
        <v>0</v>
      </c>
      <c r="R859">
        <v>0</v>
      </c>
      <c r="S859">
        <v>0</v>
      </c>
      <c r="T859" t="s">
        <v>253</v>
      </c>
      <c r="U859" t="str">
        <f>IF('Basis Options'!D862="NGI/CHI. GATE","""NGI/CHI. GATE""",TRIM('Basis Options'!D862))</f>
        <v>NGI-SOCAL</v>
      </c>
      <c r="V859" t="s">
        <v>253</v>
      </c>
      <c r="W859" t="s">
        <v>132</v>
      </c>
      <c r="X859" t="s">
        <v>253</v>
      </c>
      <c r="Y859" t="s">
        <v>235</v>
      </c>
      <c r="Z859" t="s">
        <v>236</v>
      </c>
      <c r="AA859" t="s">
        <v>253</v>
      </c>
      <c r="AB859" t="s">
        <v>1</v>
      </c>
      <c r="AC859" s="235">
        <f>'Basis Options'!H862</f>
        <v>-500000</v>
      </c>
      <c r="AD859" s="235">
        <f>'Basis Options'!W862</f>
        <v>-25376.472624907765</v>
      </c>
      <c r="AE859">
        <v>0</v>
      </c>
      <c r="AF859">
        <v>0</v>
      </c>
      <c r="AG859">
        <v>0</v>
      </c>
      <c r="AH859" s="235">
        <f>'Basis Options'!CD864</f>
        <v>0</v>
      </c>
      <c r="AI859">
        <v>226</v>
      </c>
      <c r="AJ859" t="s">
        <v>256</v>
      </c>
      <c r="AK859">
        <v>0</v>
      </c>
      <c r="AL859">
        <v>0</v>
      </c>
      <c r="AM859">
        <v>0</v>
      </c>
    </row>
    <row r="860" spans="1:39" x14ac:dyDescent="0.25">
      <c r="A860" t="s">
        <v>233</v>
      </c>
      <c r="B860" t="str">
        <f>'Basis Options'!C863</f>
        <v>NX1706</v>
      </c>
      <c r="C860" t="s">
        <v>255</v>
      </c>
      <c r="D860" t="s">
        <v>234</v>
      </c>
      <c r="E860" t="s">
        <v>20</v>
      </c>
      <c r="F860" t="str">
        <f>'Basis Options'!A863</f>
        <v>SOUTHERCOMENEMA</v>
      </c>
      <c r="G860" t="s">
        <v>269</v>
      </c>
      <c r="H860" t="s">
        <v>254</v>
      </c>
      <c r="I860" t="s">
        <v>242</v>
      </c>
      <c r="J860" t="s">
        <v>235</v>
      </c>
      <c r="K860" s="380">
        <f>'Basis Options'!G863</f>
        <v>36770</v>
      </c>
      <c r="L860" s="235">
        <f>'Basis Options'!U863</f>
        <v>-1994.70673526006</v>
      </c>
      <c r="M860" s="380">
        <f>'Basis Options'!Q863</f>
        <v>36768</v>
      </c>
      <c r="N860" t="str">
        <f>'Basis Options'!F863</f>
        <v>P</v>
      </c>
      <c r="O860">
        <f>'Basis Options'!I863</f>
        <v>0.3</v>
      </c>
      <c r="P860">
        <v>0</v>
      </c>
      <c r="Q860">
        <v>0</v>
      </c>
      <c r="R860">
        <v>0</v>
      </c>
      <c r="S860">
        <v>0</v>
      </c>
      <c r="T860" t="s">
        <v>253</v>
      </c>
      <c r="U860" t="str">
        <f>IF('Basis Options'!D863="NGI/CHI. GATE","""NGI/CHI. GATE""",TRIM('Basis Options'!D863))</f>
        <v>IF-TRANSCO/Z6</v>
      </c>
      <c r="V860" t="s">
        <v>253</v>
      </c>
      <c r="W860" t="s">
        <v>132</v>
      </c>
      <c r="X860" t="s">
        <v>253</v>
      </c>
      <c r="Y860" t="s">
        <v>235</v>
      </c>
      <c r="Z860" t="s">
        <v>236</v>
      </c>
      <c r="AA860" t="s">
        <v>253</v>
      </c>
      <c r="AB860" t="s">
        <v>1</v>
      </c>
      <c r="AC860" s="235">
        <f>'Basis Options'!H863</f>
        <v>-2500000</v>
      </c>
      <c r="AD860" s="235">
        <f>'Basis Options'!W863</f>
        <v>-1157.518225322885</v>
      </c>
      <c r="AE860">
        <v>0</v>
      </c>
      <c r="AF860">
        <v>0</v>
      </c>
      <c r="AG860">
        <v>0</v>
      </c>
      <c r="AH860" s="235">
        <f>'Basis Options'!CD865</f>
        <v>0</v>
      </c>
      <c r="AI860">
        <v>226</v>
      </c>
      <c r="AJ860" t="s">
        <v>256</v>
      </c>
      <c r="AK860">
        <v>0</v>
      </c>
      <c r="AL860">
        <v>0</v>
      </c>
      <c r="AM860">
        <v>0</v>
      </c>
    </row>
    <row r="861" spans="1:39" x14ac:dyDescent="0.25">
      <c r="A861" t="s">
        <v>233</v>
      </c>
      <c r="B861" t="str">
        <f>'Basis Options'!C864</f>
        <v>NX1727.2</v>
      </c>
      <c r="C861" t="s">
        <v>255</v>
      </c>
      <c r="D861" t="s">
        <v>234</v>
      </c>
      <c r="E861" t="s">
        <v>20</v>
      </c>
      <c r="F861" t="str">
        <f>'Basis Options'!A864</f>
        <v>FT-US/CAND-ERMS</v>
      </c>
      <c r="G861" t="s">
        <v>269</v>
      </c>
      <c r="H861" t="s">
        <v>254</v>
      </c>
      <c r="I861" t="s">
        <v>242</v>
      </c>
      <c r="J861" t="s">
        <v>235</v>
      </c>
      <c r="K861" s="380">
        <f>'Basis Options'!G864</f>
        <v>36831</v>
      </c>
      <c r="L861" s="235">
        <f>'Basis Options'!U864</f>
        <v>188906.12079196397</v>
      </c>
      <c r="M861" s="380">
        <f>'Basis Options'!Q864</f>
        <v>36829</v>
      </c>
      <c r="N861" t="str">
        <f>'Basis Options'!F864</f>
        <v>P</v>
      </c>
      <c r="O861">
        <f>'Basis Options'!I864</f>
        <v>0.15</v>
      </c>
      <c r="P861">
        <v>0</v>
      </c>
      <c r="Q861">
        <v>0</v>
      </c>
      <c r="R861">
        <v>0</v>
      </c>
      <c r="S861">
        <v>0</v>
      </c>
      <c r="T861" t="s">
        <v>253</v>
      </c>
      <c r="U861" t="str">
        <f>IF('Basis Options'!D864="NGI/CHI. GATE","""NGI/CHI. GATE""",TRIM('Basis Options'!D864))</f>
        <v>IF-NTHWST/CANBR</v>
      </c>
      <c r="V861" t="s">
        <v>253</v>
      </c>
      <c r="W861" t="s">
        <v>132</v>
      </c>
      <c r="X861" t="s">
        <v>253</v>
      </c>
      <c r="Y861" t="s">
        <v>235</v>
      </c>
      <c r="Z861" t="s">
        <v>236</v>
      </c>
      <c r="AA861" t="s">
        <v>253</v>
      </c>
      <c r="AB861" t="s">
        <v>1</v>
      </c>
      <c r="AC861" s="235">
        <f>'Basis Options'!H864</f>
        <v>500000</v>
      </c>
      <c r="AD861" s="235">
        <f>'Basis Options'!W864</f>
        <v>13781.520367026562</v>
      </c>
      <c r="AE861">
        <v>0</v>
      </c>
      <c r="AF861">
        <v>0</v>
      </c>
      <c r="AG861">
        <v>0</v>
      </c>
      <c r="AH861" s="235">
        <f>'Basis Options'!CD866</f>
        <v>0</v>
      </c>
      <c r="AI861">
        <v>226</v>
      </c>
      <c r="AJ861" t="s">
        <v>256</v>
      </c>
      <c r="AK861">
        <v>0</v>
      </c>
      <c r="AL861">
        <v>0</v>
      </c>
      <c r="AM861">
        <v>0</v>
      </c>
    </row>
    <row r="862" spans="1:39" x14ac:dyDescent="0.25">
      <c r="A862" t="s">
        <v>233</v>
      </c>
      <c r="B862" t="str">
        <f>'Basis Options'!C865</f>
        <v>NX1727.2</v>
      </c>
      <c r="C862" t="s">
        <v>255</v>
      </c>
      <c r="D862" t="s">
        <v>234</v>
      </c>
      <c r="E862" t="s">
        <v>20</v>
      </c>
      <c r="F862" t="str">
        <f>'Basis Options'!A865</f>
        <v>FT-US/CAND-ERMS</v>
      </c>
      <c r="G862" t="s">
        <v>269</v>
      </c>
      <c r="H862" t="s">
        <v>254</v>
      </c>
      <c r="I862" t="s">
        <v>242</v>
      </c>
      <c r="J862" t="s">
        <v>235</v>
      </c>
      <c r="K862" s="380">
        <f>'Basis Options'!G865</f>
        <v>36861</v>
      </c>
      <c r="L862" s="235">
        <f>'Basis Options'!U865</f>
        <v>44024.860597028506</v>
      </c>
      <c r="M862" s="380">
        <f>'Basis Options'!Q865</f>
        <v>36859</v>
      </c>
      <c r="N862" t="str">
        <f>'Basis Options'!F865</f>
        <v>P</v>
      </c>
      <c r="O862">
        <f>'Basis Options'!I865</f>
        <v>0.15</v>
      </c>
      <c r="P862">
        <v>0</v>
      </c>
      <c r="Q862">
        <v>0</v>
      </c>
      <c r="R862">
        <v>0</v>
      </c>
      <c r="S862">
        <v>0</v>
      </c>
      <c r="T862" t="s">
        <v>253</v>
      </c>
      <c r="U862" t="str">
        <f>IF('Basis Options'!D865="NGI/CHI. GATE","""NGI/CHI. GATE""",TRIM('Basis Options'!D865))</f>
        <v>IF-NTHWST/CANBR</v>
      </c>
      <c r="V862" t="s">
        <v>253</v>
      </c>
      <c r="W862" t="s">
        <v>132</v>
      </c>
      <c r="X862" t="s">
        <v>253</v>
      </c>
      <c r="Y862" t="s">
        <v>235</v>
      </c>
      <c r="Z862" t="s">
        <v>236</v>
      </c>
      <c r="AA862" t="s">
        <v>253</v>
      </c>
      <c r="AB862" t="s">
        <v>1</v>
      </c>
      <c r="AC862" s="235">
        <f>'Basis Options'!H865</f>
        <v>500000</v>
      </c>
      <c r="AD862" s="235">
        <f>'Basis Options'!W865</f>
        <v>17978.36391516494</v>
      </c>
      <c r="AE862">
        <v>0</v>
      </c>
      <c r="AF862">
        <v>0</v>
      </c>
      <c r="AG862">
        <v>0</v>
      </c>
      <c r="AH862" s="235">
        <f>'Basis Options'!CD867</f>
        <v>0</v>
      </c>
      <c r="AI862">
        <v>226</v>
      </c>
      <c r="AJ862" t="s">
        <v>256</v>
      </c>
      <c r="AK862">
        <v>0</v>
      </c>
      <c r="AL862">
        <v>0</v>
      </c>
      <c r="AM862">
        <v>0</v>
      </c>
    </row>
    <row r="863" spans="1:39" x14ac:dyDescent="0.25">
      <c r="A863" t="s">
        <v>233</v>
      </c>
      <c r="B863" t="str">
        <f>'Basis Options'!C866</f>
        <v>NX1727.2</v>
      </c>
      <c r="C863" t="s">
        <v>255</v>
      </c>
      <c r="D863" t="s">
        <v>234</v>
      </c>
      <c r="E863" t="s">
        <v>20</v>
      </c>
      <c r="F863" t="str">
        <f>'Basis Options'!A866</f>
        <v>FT-US/CAND-ERMS</v>
      </c>
      <c r="G863" t="s">
        <v>269</v>
      </c>
      <c r="H863" t="s">
        <v>254</v>
      </c>
      <c r="I863" t="s">
        <v>242</v>
      </c>
      <c r="J863" t="s">
        <v>235</v>
      </c>
      <c r="K863" s="380">
        <f>'Basis Options'!G866</f>
        <v>36892</v>
      </c>
      <c r="L863" s="235">
        <f>'Basis Options'!U866</f>
        <v>57254.760806982966</v>
      </c>
      <c r="M863" s="380">
        <f>'Basis Options'!Q866</f>
        <v>36888</v>
      </c>
      <c r="N863" t="str">
        <f>'Basis Options'!F866</f>
        <v>P</v>
      </c>
      <c r="O863">
        <f>'Basis Options'!I866</f>
        <v>0.15</v>
      </c>
      <c r="P863">
        <v>0</v>
      </c>
      <c r="Q863">
        <v>0</v>
      </c>
      <c r="R863">
        <v>0</v>
      </c>
      <c r="S863">
        <v>0</v>
      </c>
      <c r="T863" t="s">
        <v>253</v>
      </c>
      <c r="U863" t="str">
        <f>IF('Basis Options'!D866="NGI/CHI. GATE","""NGI/CHI. GATE""",TRIM('Basis Options'!D866))</f>
        <v>IF-NTHWST/CANBR</v>
      </c>
      <c r="V863" t="s">
        <v>253</v>
      </c>
      <c r="W863" t="s">
        <v>132</v>
      </c>
      <c r="X863" t="s">
        <v>253</v>
      </c>
      <c r="Y863" t="s">
        <v>235</v>
      </c>
      <c r="Z863" t="s">
        <v>236</v>
      </c>
      <c r="AA863" t="s">
        <v>253</v>
      </c>
      <c r="AB863" t="s">
        <v>1</v>
      </c>
      <c r="AC863" s="235">
        <f>'Basis Options'!H866</f>
        <v>500000</v>
      </c>
      <c r="AD863" s="235">
        <f>'Basis Options'!W866</f>
        <v>21735.74658680422</v>
      </c>
      <c r="AE863">
        <v>0</v>
      </c>
      <c r="AF863">
        <v>0</v>
      </c>
      <c r="AG863">
        <v>0</v>
      </c>
      <c r="AH863" s="235">
        <f>'Basis Options'!CD868</f>
        <v>0</v>
      </c>
      <c r="AI863">
        <v>226</v>
      </c>
      <c r="AJ863" t="s">
        <v>256</v>
      </c>
      <c r="AK863">
        <v>0</v>
      </c>
      <c r="AL863">
        <v>0</v>
      </c>
      <c r="AM863">
        <v>0</v>
      </c>
    </row>
    <row r="864" spans="1:39" x14ac:dyDescent="0.25">
      <c r="A864" t="s">
        <v>233</v>
      </c>
      <c r="B864" t="str">
        <f>'Basis Options'!C867</f>
        <v>NX1727.2</v>
      </c>
      <c r="C864" t="s">
        <v>255</v>
      </c>
      <c r="D864" t="s">
        <v>234</v>
      </c>
      <c r="E864" t="s">
        <v>20</v>
      </c>
      <c r="F864" t="str">
        <f>'Basis Options'!A867</f>
        <v>FT-US/CAND-ERMS</v>
      </c>
      <c r="G864" t="s">
        <v>269</v>
      </c>
      <c r="H864" t="s">
        <v>254</v>
      </c>
      <c r="I864" t="s">
        <v>242</v>
      </c>
      <c r="J864" t="s">
        <v>235</v>
      </c>
      <c r="K864" s="380">
        <f>'Basis Options'!G867</f>
        <v>36923</v>
      </c>
      <c r="L864" s="235">
        <f>'Basis Options'!U867</f>
        <v>90149.987288886521</v>
      </c>
      <c r="M864" s="380">
        <f>'Basis Options'!Q867</f>
        <v>36921</v>
      </c>
      <c r="N864" t="str">
        <f>'Basis Options'!F867</f>
        <v>P</v>
      </c>
      <c r="O864">
        <f>'Basis Options'!I867</f>
        <v>0.15</v>
      </c>
      <c r="P864">
        <v>0</v>
      </c>
      <c r="Q864">
        <v>0</v>
      </c>
      <c r="R864">
        <v>0</v>
      </c>
      <c r="S864">
        <v>0</v>
      </c>
      <c r="T864" t="s">
        <v>253</v>
      </c>
      <c r="U864" t="str">
        <f>IF('Basis Options'!D867="NGI/CHI. GATE","""NGI/CHI. GATE""",TRIM('Basis Options'!D867))</f>
        <v>IF-NTHWST/CANBR</v>
      </c>
      <c r="V864" t="s">
        <v>253</v>
      </c>
      <c r="W864" t="s">
        <v>132</v>
      </c>
      <c r="X864" t="s">
        <v>253</v>
      </c>
      <c r="Y864" t="s">
        <v>235</v>
      </c>
      <c r="Z864" t="s">
        <v>236</v>
      </c>
      <c r="AA864" t="s">
        <v>253</v>
      </c>
      <c r="AB864" t="s">
        <v>1</v>
      </c>
      <c r="AC864" s="235">
        <f>'Basis Options'!H867</f>
        <v>500000</v>
      </c>
      <c r="AD864" s="235">
        <f>'Basis Options'!W867</f>
        <v>26948.777042143949</v>
      </c>
      <c r="AE864">
        <v>0</v>
      </c>
      <c r="AF864">
        <v>0</v>
      </c>
      <c r="AG864">
        <v>0</v>
      </c>
      <c r="AH864" s="235">
        <f>'Basis Options'!CD869</f>
        <v>0</v>
      </c>
      <c r="AI864">
        <v>226</v>
      </c>
      <c r="AJ864" t="s">
        <v>256</v>
      </c>
      <c r="AK864">
        <v>0</v>
      </c>
      <c r="AL864">
        <v>0</v>
      </c>
      <c r="AM864">
        <v>0</v>
      </c>
    </row>
    <row r="865" spans="1:39" x14ac:dyDescent="0.25">
      <c r="A865" t="s">
        <v>233</v>
      </c>
      <c r="B865" t="str">
        <f>'Basis Options'!C868</f>
        <v>NX1727.2</v>
      </c>
      <c r="C865" t="s">
        <v>255</v>
      </c>
      <c r="D865" t="s">
        <v>234</v>
      </c>
      <c r="E865" t="s">
        <v>20</v>
      </c>
      <c r="F865" t="str">
        <f>'Basis Options'!A868</f>
        <v>FT-US/CAND-ERMS</v>
      </c>
      <c r="G865" t="s">
        <v>269</v>
      </c>
      <c r="H865" t="s">
        <v>254</v>
      </c>
      <c r="I865" t="s">
        <v>242</v>
      </c>
      <c r="J865" t="s">
        <v>235</v>
      </c>
      <c r="K865" s="380">
        <f>'Basis Options'!G868</f>
        <v>36951</v>
      </c>
      <c r="L865" s="235">
        <f>'Basis Options'!U868</f>
        <v>164701.17957563623</v>
      </c>
      <c r="M865" s="380">
        <f>'Basis Options'!Q868</f>
        <v>36949</v>
      </c>
      <c r="N865" t="str">
        <f>'Basis Options'!F868</f>
        <v>P</v>
      </c>
      <c r="O865">
        <f>'Basis Options'!I868</f>
        <v>0.15</v>
      </c>
      <c r="P865">
        <v>0</v>
      </c>
      <c r="Q865">
        <v>0</v>
      </c>
      <c r="R865">
        <v>0</v>
      </c>
      <c r="S865">
        <v>0</v>
      </c>
      <c r="T865" t="s">
        <v>253</v>
      </c>
      <c r="U865" t="str">
        <f>IF('Basis Options'!D868="NGI/CHI. GATE","""NGI/CHI. GATE""",TRIM('Basis Options'!D868))</f>
        <v>IF-NTHWST/CANBR</v>
      </c>
      <c r="V865" t="s">
        <v>253</v>
      </c>
      <c r="W865" t="s">
        <v>132</v>
      </c>
      <c r="X865" t="s">
        <v>253</v>
      </c>
      <c r="Y865" t="s">
        <v>235</v>
      </c>
      <c r="Z865" t="s">
        <v>236</v>
      </c>
      <c r="AA865" t="s">
        <v>253</v>
      </c>
      <c r="AB865" t="s">
        <v>1</v>
      </c>
      <c r="AC865" s="235">
        <f>'Basis Options'!H868</f>
        <v>500000</v>
      </c>
      <c r="AD865" s="235">
        <f>'Basis Options'!W868</f>
        <v>26077.92433074041</v>
      </c>
      <c r="AE865">
        <v>0</v>
      </c>
      <c r="AF865">
        <v>0</v>
      </c>
      <c r="AG865">
        <v>0</v>
      </c>
      <c r="AH865" s="235">
        <f>'Basis Options'!CD870</f>
        <v>0</v>
      </c>
      <c r="AI865">
        <v>226</v>
      </c>
      <c r="AJ865" t="s">
        <v>256</v>
      </c>
      <c r="AK865">
        <v>0</v>
      </c>
      <c r="AL865">
        <v>0</v>
      </c>
      <c r="AM865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AM217"/>
  <sheetViews>
    <sheetView workbookViewId="0"/>
  </sheetViews>
  <sheetFormatPr defaultRowHeight="13.2" x14ac:dyDescent="0.25"/>
  <cols>
    <col min="11" max="11" width="11.109375" bestFit="1" customWidth="1"/>
    <col min="13" max="13" width="9.6640625" bestFit="1" customWidth="1"/>
  </cols>
  <sheetData>
    <row r="1" spans="1:39" x14ac:dyDescent="0.25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t="s">
        <v>222</v>
      </c>
      <c r="AD1" t="s">
        <v>223</v>
      </c>
      <c r="AE1" t="s">
        <v>224</v>
      </c>
      <c r="AF1" t="s">
        <v>225</v>
      </c>
      <c r="AG1" t="s">
        <v>226</v>
      </c>
      <c r="AH1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</row>
    <row r="2" spans="1:39" x14ac:dyDescent="0.25">
      <c r="K2" s="141"/>
      <c r="M2" s="141"/>
    </row>
    <row r="3" spans="1:39" x14ac:dyDescent="0.25">
      <c r="K3" s="141"/>
      <c r="M3" s="141"/>
    </row>
    <row r="4" spans="1:39" x14ac:dyDescent="0.25">
      <c r="K4" s="141"/>
      <c r="M4" s="141"/>
    </row>
    <row r="5" spans="1:39" x14ac:dyDescent="0.25">
      <c r="K5" s="141"/>
      <c r="M5" s="141"/>
    </row>
    <row r="6" spans="1:39" x14ac:dyDescent="0.25">
      <c r="K6" s="141"/>
      <c r="M6" s="141"/>
    </row>
    <row r="7" spans="1:39" x14ac:dyDescent="0.25">
      <c r="K7" s="141"/>
      <c r="M7" s="141"/>
    </row>
    <row r="8" spans="1:39" x14ac:dyDescent="0.25">
      <c r="K8" s="141"/>
      <c r="M8" s="141"/>
    </row>
    <row r="9" spans="1:39" x14ac:dyDescent="0.25">
      <c r="K9" s="141"/>
      <c r="M9" s="141"/>
    </row>
    <row r="10" spans="1:39" x14ac:dyDescent="0.25">
      <c r="K10" s="141"/>
      <c r="M10" s="141"/>
    </row>
    <row r="11" spans="1:39" x14ac:dyDescent="0.25">
      <c r="K11" s="141"/>
      <c r="M11" s="141"/>
    </row>
    <row r="12" spans="1:39" x14ac:dyDescent="0.25">
      <c r="K12" s="141"/>
      <c r="M12" s="141"/>
    </row>
    <row r="13" spans="1:39" x14ac:dyDescent="0.25">
      <c r="K13" s="141"/>
      <c r="M13" s="141"/>
    </row>
    <row r="14" spans="1:39" x14ac:dyDescent="0.25">
      <c r="K14" s="141"/>
      <c r="M14" s="141"/>
    </row>
    <row r="15" spans="1:39" x14ac:dyDescent="0.25">
      <c r="K15" s="141"/>
      <c r="M15" s="141"/>
    </row>
    <row r="16" spans="1:39" x14ac:dyDescent="0.25">
      <c r="K16" s="141"/>
      <c r="M16" s="141"/>
    </row>
    <row r="17" spans="11:13" ht="14.25" customHeight="1" x14ac:dyDescent="0.25">
      <c r="K17" s="141"/>
      <c r="M17" s="141"/>
    </row>
    <row r="18" spans="11:13" x14ac:dyDescent="0.25">
      <c r="K18" s="141"/>
      <c r="M18" s="141"/>
    </row>
    <row r="19" spans="11:13" x14ac:dyDescent="0.25">
      <c r="K19" s="141"/>
      <c r="M19" s="141"/>
    </row>
    <row r="20" spans="11:13" x14ac:dyDescent="0.25">
      <c r="K20" s="141"/>
      <c r="M20" s="141"/>
    </row>
    <row r="21" spans="11:13" x14ac:dyDescent="0.25">
      <c r="K21" s="141"/>
      <c r="M21" s="141"/>
    </row>
    <row r="22" spans="11:13" x14ac:dyDescent="0.25">
      <c r="K22" s="141"/>
      <c r="M22" s="141"/>
    </row>
    <row r="23" spans="11:13" x14ac:dyDescent="0.25">
      <c r="K23" s="141"/>
      <c r="M23" s="141"/>
    </row>
    <row r="24" spans="11:13" x14ac:dyDescent="0.25">
      <c r="K24" s="141"/>
      <c r="M24" s="141"/>
    </row>
    <row r="25" spans="11:13" x14ac:dyDescent="0.25">
      <c r="K25" s="141"/>
      <c r="M25" s="141"/>
    </row>
    <row r="26" spans="11:13" x14ac:dyDescent="0.25">
      <c r="K26" s="141"/>
      <c r="M26" s="141"/>
    </row>
    <row r="27" spans="11:13" x14ac:dyDescent="0.25">
      <c r="K27" s="141"/>
      <c r="M27" s="141"/>
    </row>
    <row r="28" spans="11:13" x14ac:dyDescent="0.25">
      <c r="K28" s="141"/>
      <c r="M28" s="141"/>
    </row>
    <row r="29" spans="11:13" x14ac:dyDescent="0.25">
      <c r="K29" s="141"/>
      <c r="M29" s="141"/>
    </row>
    <row r="30" spans="11:13" x14ac:dyDescent="0.25">
      <c r="K30" s="141"/>
      <c r="M30" s="141"/>
    </row>
    <row r="31" spans="11:13" x14ac:dyDescent="0.25">
      <c r="K31" s="141"/>
      <c r="M31" s="141"/>
    </row>
    <row r="32" spans="11:13" x14ac:dyDescent="0.25">
      <c r="K32" s="141"/>
      <c r="M32" s="141"/>
    </row>
    <row r="33" spans="11:13" x14ac:dyDescent="0.25">
      <c r="K33" s="141"/>
      <c r="M33" s="141"/>
    </row>
    <row r="34" spans="11:13" x14ac:dyDescent="0.25">
      <c r="K34" s="141"/>
      <c r="M34" s="141"/>
    </row>
    <row r="35" spans="11:13" x14ac:dyDescent="0.25">
      <c r="K35" s="141"/>
      <c r="M35" s="141"/>
    </row>
    <row r="36" spans="11:13" x14ac:dyDescent="0.25">
      <c r="K36" s="141"/>
      <c r="M36" s="141"/>
    </row>
    <row r="37" spans="11:13" x14ac:dyDescent="0.25">
      <c r="K37" s="141"/>
      <c r="M37" s="141"/>
    </row>
    <row r="38" spans="11:13" x14ac:dyDescent="0.25">
      <c r="K38" s="141"/>
      <c r="M38" s="141"/>
    </row>
    <row r="39" spans="11:13" x14ac:dyDescent="0.25">
      <c r="K39" s="141"/>
      <c r="M39" s="141"/>
    </row>
    <row r="40" spans="11:13" x14ac:dyDescent="0.25">
      <c r="K40" s="141"/>
      <c r="M40" s="141"/>
    </row>
    <row r="41" spans="11:13" x14ac:dyDescent="0.25">
      <c r="K41" s="141"/>
      <c r="M41" s="141"/>
    </row>
    <row r="42" spans="11:13" x14ac:dyDescent="0.25">
      <c r="K42" s="141"/>
      <c r="M42" s="141"/>
    </row>
    <row r="43" spans="11:13" x14ac:dyDescent="0.25">
      <c r="K43" s="141"/>
      <c r="M43" s="141"/>
    </row>
    <row r="44" spans="11:13" x14ac:dyDescent="0.25">
      <c r="K44" s="141"/>
      <c r="M44" s="141"/>
    </row>
    <row r="45" spans="11:13" x14ac:dyDescent="0.25">
      <c r="K45" s="141"/>
      <c r="M45" s="141"/>
    </row>
    <row r="46" spans="11:13" x14ac:dyDescent="0.25">
      <c r="K46" s="141"/>
      <c r="M46" s="141"/>
    </row>
    <row r="47" spans="11:13" x14ac:dyDescent="0.25">
      <c r="K47" s="141"/>
      <c r="M47" s="141"/>
    </row>
    <row r="48" spans="11:13" x14ac:dyDescent="0.25">
      <c r="K48" s="141"/>
      <c r="M48" s="141"/>
    </row>
    <row r="49" spans="11:13" x14ac:dyDescent="0.25">
      <c r="K49" s="141"/>
      <c r="M49" s="141"/>
    </row>
    <row r="50" spans="11:13" x14ac:dyDescent="0.25">
      <c r="K50" s="141"/>
      <c r="M50" s="141"/>
    </row>
    <row r="51" spans="11:13" x14ac:dyDescent="0.25">
      <c r="K51" s="141"/>
      <c r="M51" s="141"/>
    </row>
    <row r="52" spans="11:13" x14ac:dyDescent="0.25">
      <c r="K52" s="141"/>
      <c r="M52" s="141"/>
    </row>
    <row r="53" spans="11:13" x14ac:dyDescent="0.25">
      <c r="K53" s="141"/>
      <c r="M53" s="141"/>
    </row>
    <row r="54" spans="11:13" x14ac:dyDescent="0.25">
      <c r="K54" s="141"/>
      <c r="M54" s="141"/>
    </row>
    <row r="55" spans="11:13" x14ac:dyDescent="0.25">
      <c r="K55" s="141"/>
      <c r="M55" s="141"/>
    </row>
    <row r="56" spans="11:13" x14ac:dyDescent="0.25">
      <c r="K56" s="141"/>
      <c r="M56" s="141"/>
    </row>
    <row r="57" spans="11:13" x14ac:dyDescent="0.25">
      <c r="K57" s="141"/>
      <c r="M57" s="141"/>
    </row>
    <row r="58" spans="11:13" x14ac:dyDescent="0.25">
      <c r="K58" s="141"/>
      <c r="M58" s="141"/>
    </row>
    <row r="59" spans="11:13" x14ac:dyDescent="0.25">
      <c r="K59" s="141"/>
      <c r="M59" s="141"/>
    </row>
    <row r="60" spans="11:13" x14ac:dyDescent="0.25">
      <c r="K60" s="141"/>
      <c r="M60" s="141"/>
    </row>
    <row r="61" spans="11:13" x14ac:dyDescent="0.25">
      <c r="K61" s="141"/>
      <c r="M61" s="141"/>
    </row>
    <row r="62" spans="11:13" x14ac:dyDescent="0.25">
      <c r="K62" s="141"/>
      <c r="M62" s="141"/>
    </row>
    <row r="63" spans="11:13" x14ac:dyDescent="0.25">
      <c r="K63" s="141"/>
      <c r="M63" s="141"/>
    </row>
    <row r="64" spans="11:13" x14ac:dyDescent="0.25">
      <c r="K64" s="141"/>
      <c r="M64" s="141"/>
    </row>
    <row r="65" spans="11:13" x14ac:dyDescent="0.25">
      <c r="K65" s="141"/>
      <c r="M65" s="141"/>
    </row>
    <row r="66" spans="11:13" x14ac:dyDescent="0.25">
      <c r="K66" s="141"/>
      <c r="M66" s="141"/>
    </row>
    <row r="67" spans="11:13" x14ac:dyDescent="0.25">
      <c r="K67" s="141"/>
      <c r="M67" s="141"/>
    </row>
    <row r="68" spans="11:13" x14ac:dyDescent="0.25">
      <c r="K68" s="141"/>
      <c r="M68" s="141"/>
    </row>
    <row r="69" spans="11:13" x14ac:dyDescent="0.25">
      <c r="K69" s="141"/>
      <c r="M69" s="141"/>
    </row>
    <row r="70" spans="11:13" x14ac:dyDescent="0.25">
      <c r="K70" s="141"/>
      <c r="M70" s="141"/>
    </row>
    <row r="71" spans="11:13" x14ac:dyDescent="0.25">
      <c r="K71" s="141"/>
      <c r="M71" s="141"/>
    </row>
    <row r="72" spans="11:13" x14ac:dyDescent="0.25">
      <c r="K72" s="141"/>
      <c r="M72" s="141"/>
    </row>
    <row r="73" spans="11:13" x14ac:dyDescent="0.25">
      <c r="K73" s="141"/>
      <c r="M73" s="141"/>
    </row>
    <row r="74" spans="11:13" x14ac:dyDescent="0.25">
      <c r="K74" s="141"/>
      <c r="M74" s="141"/>
    </row>
    <row r="75" spans="11:13" x14ac:dyDescent="0.25">
      <c r="K75" s="141"/>
      <c r="M75" s="141"/>
    </row>
    <row r="76" spans="11:13" x14ac:dyDescent="0.25">
      <c r="K76" s="141"/>
      <c r="M76" s="141"/>
    </row>
    <row r="77" spans="11:13" x14ac:dyDescent="0.25">
      <c r="K77" s="141"/>
      <c r="M77" s="141"/>
    </row>
    <row r="78" spans="11:13" x14ac:dyDescent="0.25">
      <c r="K78" s="141"/>
      <c r="M78" s="141"/>
    </row>
    <row r="79" spans="11:13" x14ac:dyDescent="0.25">
      <c r="K79" s="141"/>
      <c r="M79" s="141"/>
    </row>
    <row r="80" spans="11:13" x14ac:dyDescent="0.25">
      <c r="K80" s="141"/>
      <c r="M80" s="141"/>
    </row>
    <row r="81" spans="11:13" x14ac:dyDescent="0.25">
      <c r="K81" s="141"/>
      <c r="M81" s="141"/>
    </row>
    <row r="82" spans="11:13" x14ac:dyDescent="0.25">
      <c r="K82" s="141"/>
      <c r="M82" s="141"/>
    </row>
    <row r="83" spans="11:13" x14ac:dyDescent="0.25">
      <c r="K83" s="141"/>
      <c r="M83" s="141"/>
    </row>
    <row r="84" spans="11:13" x14ac:dyDescent="0.25">
      <c r="K84" s="141"/>
      <c r="M84" s="141"/>
    </row>
    <row r="85" spans="11:13" x14ac:dyDescent="0.25">
      <c r="K85" s="141"/>
      <c r="M85" s="141"/>
    </row>
    <row r="86" spans="11:13" x14ac:dyDescent="0.25">
      <c r="K86" s="141"/>
      <c r="M86" s="141"/>
    </row>
    <row r="87" spans="11:13" x14ac:dyDescent="0.25">
      <c r="K87" s="141"/>
      <c r="M87" s="141"/>
    </row>
    <row r="88" spans="11:13" x14ac:dyDescent="0.25">
      <c r="K88" s="141"/>
      <c r="M88" s="141"/>
    </row>
    <row r="89" spans="11:13" x14ac:dyDescent="0.25">
      <c r="K89" s="141"/>
      <c r="M89" s="141"/>
    </row>
    <row r="90" spans="11:13" x14ac:dyDescent="0.25">
      <c r="K90" s="141"/>
      <c r="M90" s="141"/>
    </row>
    <row r="91" spans="11:13" x14ac:dyDescent="0.25">
      <c r="K91" s="141"/>
      <c r="M91" s="141"/>
    </row>
    <row r="92" spans="11:13" x14ac:dyDescent="0.25">
      <c r="K92" s="141"/>
      <c r="M92" s="141"/>
    </row>
    <row r="93" spans="11:13" x14ac:dyDescent="0.25">
      <c r="K93" s="141"/>
      <c r="M93" s="141"/>
    </row>
    <row r="94" spans="11:13" x14ac:dyDescent="0.25">
      <c r="K94" s="141"/>
      <c r="M94" s="141"/>
    </row>
    <row r="95" spans="11:13" x14ac:dyDescent="0.25">
      <c r="K95" s="141"/>
      <c r="M95" s="141"/>
    </row>
    <row r="96" spans="11:13" x14ac:dyDescent="0.25">
      <c r="K96" s="141"/>
      <c r="M96" s="141"/>
    </row>
    <row r="97" spans="11:13" x14ac:dyDescent="0.25">
      <c r="K97" s="141"/>
      <c r="M97" s="141"/>
    </row>
    <row r="98" spans="11:13" x14ac:dyDescent="0.25">
      <c r="K98" s="141"/>
      <c r="M98" s="141"/>
    </row>
    <row r="99" spans="11:13" x14ac:dyDescent="0.25">
      <c r="K99" s="141"/>
      <c r="M99" s="141"/>
    </row>
    <row r="100" spans="11:13" x14ac:dyDescent="0.25">
      <c r="K100" s="141"/>
      <c r="M100" s="141"/>
    </row>
    <row r="101" spans="11:13" x14ac:dyDescent="0.25">
      <c r="K101" s="141"/>
      <c r="M101" s="141"/>
    </row>
    <row r="102" spans="11:13" x14ac:dyDescent="0.25">
      <c r="K102" s="141"/>
      <c r="M102" s="141"/>
    </row>
    <row r="103" spans="11:13" x14ac:dyDescent="0.25">
      <c r="K103" s="141"/>
      <c r="M103" s="141"/>
    </row>
    <row r="104" spans="11:13" x14ac:dyDescent="0.25">
      <c r="K104" s="141"/>
      <c r="M104" s="141"/>
    </row>
    <row r="105" spans="11:13" x14ac:dyDescent="0.25">
      <c r="K105" s="141"/>
      <c r="M105" s="141"/>
    </row>
    <row r="106" spans="11:13" x14ac:dyDescent="0.25">
      <c r="K106" s="141"/>
      <c r="M106" s="141"/>
    </row>
    <row r="107" spans="11:13" x14ac:dyDescent="0.25">
      <c r="K107" s="141"/>
      <c r="M107" s="141"/>
    </row>
    <row r="108" spans="11:13" x14ac:dyDescent="0.25">
      <c r="K108" s="141"/>
      <c r="M108" s="141"/>
    </row>
    <row r="109" spans="11:13" x14ac:dyDescent="0.25">
      <c r="K109" s="141"/>
      <c r="M109" s="141"/>
    </row>
    <row r="110" spans="11:13" x14ac:dyDescent="0.25">
      <c r="K110" s="141"/>
      <c r="M110" s="141"/>
    </row>
    <row r="111" spans="11:13" x14ac:dyDescent="0.25">
      <c r="K111" s="141"/>
      <c r="M111" s="141"/>
    </row>
    <row r="112" spans="11:13" x14ac:dyDescent="0.25">
      <c r="K112" s="141"/>
      <c r="M112" s="141"/>
    </row>
    <row r="113" spans="11:13" x14ac:dyDescent="0.25">
      <c r="K113" s="141"/>
      <c r="M113" s="141"/>
    </row>
    <row r="114" spans="11:13" x14ac:dyDescent="0.25">
      <c r="K114" s="141"/>
      <c r="M114" s="141"/>
    </row>
    <row r="115" spans="11:13" x14ac:dyDescent="0.25">
      <c r="K115" s="141"/>
      <c r="M115" s="141"/>
    </row>
    <row r="116" spans="11:13" x14ac:dyDescent="0.25">
      <c r="K116" s="141"/>
      <c r="M116" s="141"/>
    </row>
    <row r="117" spans="11:13" x14ac:dyDescent="0.25">
      <c r="K117" s="141"/>
      <c r="M117" s="141"/>
    </row>
    <row r="118" spans="11:13" x14ac:dyDescent="0.25">
      <c r="K118" s="141"/>
      <c r="M118" s="141"/>
    </row>
    <row r="119" spans="11:13" x14ac:dyDescent="0.25">
      <c r="K119" s="141"/>
      <c r="M119" s="141"/>
    </row>
    <row r="120" spans="11:13" x14ac:dyDescent="0.25">
      <c r="K120" s="141"/>
      <c r="M120" s="141"/>
    </row>
    <row r="121" spans="11:13" x14ac:dyDescent="0.25">
      <c r="K121" s="141"/>
      <c r="M121" s="141"/>
    </row>
    <row r="122" spans="11:13" x14ac:dyDescent="0.25">
      <c r="K122" s="141"/>
      <c r="M122" s="141"/>
    </row>
    <row r="123" spans="11:13" x14ac:dyDescent="0.25">
      <c r="K123" s="141"/>
      <c r="M123" s="141"/>
    </row>
    <row r="124" spans="11:13" x14ac:dyDescent="0.25">
      <c r="K124" s="141"/>
      <c r="M124" s="141"/>
    </row>
    <row r="125" spans="11:13" x14ac:dyDescent="0.25">
      <c r="K125" s="141"/>
      <c r="M125" s="141"/>
    </row>
    <row r="126" spans="11:13" x14ac:dyDescent="0.25">
      <c r="K126" s="141"/>
      <c r="M126" s="141"/>
    </row>
    <row r="127" spans="11:13" x14ac:dyDescent="0.25">
      <c r="K127" s="141"/>
      <c r="M127" s="141"/>
    </row>
    <row r="128" spans="11:13" x14ac:dyDescent="0.25">
      <c r="K128" s="141"/>
      <c r="M128" s="141"/>
    </row>
    <row r="129" spans="11:13" x14ac:dyDescent="0.25">
      <c r="K129" s="141"/>
      <c r="M129" s="141"/>
    </row>
    <row r="130" spans="11:13" x14ac:dyDescent="0.25">
      <c r="K130" s="141"/>
      <c r="M130" s="141"/>
    </row>
    <row r="131" spans="11:13" x14ac:dyDescent="0.25">
      <c r="K131" s="141"/>
      <c r="M131" s="141"/>
    </row>
    <row r="132" spans="11:13" x14ac:dyDescent="0.25">
      <c r="K132" s="141"/>
      <c r="M132" s="141"/>
    </row>
    <row r="133" spans="11:13" x14ac:dyDescent="0.25">
      <c r="K133" s="141"/>
      <c r="M133" s="141"/>
    </row>
    <row r="134" spans="11:13" x14ac:dyDescent="0.25">
      <c r="K134" s="141"/>
      <c r="M134" s="141"/>
    </row>
    <row r="135" spans="11:13" x14ac:dyDescent="0.25">
      <c r="K135" s="141"/>
      <c r="M135" s="141"/>
    </row>
    <row r="136" spans="11:13" x14ac:dyDescent="0.25">
      <c r="K136" s="141"/>
      <c r="M136" s="141"/>
    </row>
    <row r="137" spans="11:13" x14ac:dyDescent="0.25">
      <c r="K137" s="141"/>
      <c r="M137" s="141"/>
    </row>
    <row r="138" spans="11:13" x14ac:dyDescent="0.25">
      <c r="K138" s="141"/>
      <c r="M138" s="141"/>
    </row>
    <row r="139" spans="11:13" x14ac:dyDescent="0.25">
      <c r="K139" s="141"/>
      <c r="M139" s="141"/>
    </row>
    <row r="140" spans="11:13" x14ac:dyDescent="0.25">
      <c r="K140" s="141"/>
      <c r="M140" s="141"/>
    </row>
    <row r="141" spans="11:13" x14ac:dyDescent="0.25">
      <c r="K141" s="141"/>
      <c r="M141" s="141"/>
    </row>
    <row r="142" spans="11:13" x14ac:dyDescent="0.25">
      <c r="K142" s="141"/>
      <c r="M142" s="141"/>
    </row>
    <row r="143" spans="11:13" x14ac:dyDescent="0.25">
      <c r="K143" s="141"/>
      <c r="M143" s="141"/>
    </row>
    <row r="144" spans="11:13" x14ac:dyDescent="0.25">
      <c r="K144" s="141"/>
      <c r="M144" s="141"/>
    </row>
    <row r="145" spans="11:13" x14ac:dyDescent="0.25">
      <c r="K145" s="141"/>
      <c r="M145" s="141"/>
    </row>
    <row r="146" spans="11:13" x14ac:dyDescent="0.25">
      <c r="K146" s="141"/>
      <c r="M146" s="141"/>
    </row>
    <row r="147" spans="11:13" x14ac:dyDescent="0.25">
      <c r="K147" s="141"/>
      <c r="M147" s="141"/>
    </row>
    <row r="148" spans="11:13" x14ac:dyDescent="0.25">
      <c r="K148" s="141"/>
      <c r="M148" s="141"/>
    </row>
    <row r="149" spans="11:13" x14ac:dyDescent="0.25">
      <c r="K149" s="141"/>
      <c r="M149" s="141"/>
    </row>
    <row r="150" spans="11:13" x14ac:dyDescent="0.25">
      <c r="K150" s="141"/>
      <c r="M150" s="141"/>
    </row>
    <row r="151" spans="11:13" x14ac:dyDescent="0.25">
      <c r="K151" s="141"/>
      <c r="M151" s="141"/>
    </row>
    <row r="152" spans="11:13" x14ac:dyDescent="0.25">
      <c r="K152" s="141"/>
      <c r="M152" s="141"/>
    </row>
    <row r="153" spans="11:13" x14ac:dyDescent="0.25">
      <c r="K153" s="141"/>
      <c r="M153" s="141"/>
    </row>
    <row r="154" spans="11:13" x14ac:dyDescent="0.25">
      <c r="K154" s="141"/>
      <c r="M154" s="141"/>
    </row>
    <row r="155" spans="11:13" x14ac:dyDescent="0.25">
      <c r="K155" s="141"/>
      <c r="M155" s="141"/>
    </row>
    <row r="156" spans="11:13" x14ac:dyDescent="0.25">
      <c r="K156" s="141"/>
      <c r="M156" s="141"/>
    </row>
    <row r="157" spans="11:13" x14ac:dyDescent="0.25">
      <c r="K157" s="141"/>
      <c r="M157" s="141"/>
    </row>
    <row r="158" spans="11:13" x14ac:dyDescent="0.25">
      <c r="K158" s="141"/>
      <c r="M158" s="141"/>
    </row>
    <row r="159" spans="11:13" x14ac:dyDescent="0.25">
      <c r="K159" s="141"/>
      <c r="M159" s="141"/>
    </row>
    <row r="160" spans="11:13" x14ac:dyDescent="0.25">
      <c r="K160" s="141"/>
      <c r="M160" s="141"/>
    </row>
    <row r="161" spans="11:13" x14ac:dyDescent="0.25">
      <c r="K161" s="141"/>
      <c r="M161" s="141"/>
    </row>
    <row r="162" spans="11:13" x14ac:dyDescent="0.25">
      <c r="K162" s="141"/>
      <c r="M162" s="141"/>
    </row>
    <row r="163" spans="11:13" x14ac:dyDescent="0.25">
      <c r="K163" s="141"/>
      <c r="M163" s="141"/>
    </row>
    <row r="164" spans="11:13" x14ac:dyDescent="0.25">
      <c r="K164" s="141"/>
      <c r="M164" s="141"/>
    </row>
    <row r="165" spans="11:13" x14ac:dyDescent="0.25">
      <c r="K165" s="141"/>
      <c r="M165" s="141"/>
    </row>
    <row r="166" spans="11:13" x14ac:dyDescent="0.25">
      <c r="K166" s="141"/>
      <c r="M166" s="141"/>
    </row>
    <row r="167" spans="11:13" x14ac:dyDescent="0.25">
      <c r="K167" s="141"/>
      <c r="M167" s="141"/>
    </row>
    <row r="168" spans="11:13" x14ac:dyDescent="0.25">
      <c r="K168" s="141"/>
      <c r="M168" s="141"/>
    </row>
    <row r="169" spans="11:13" x14ac:dyDescent="0.25">
      <c r="K169" s="141"/>
      <c r="M169" s="141"/>
    </row>
    <row r="170" spans="11:13" x14ac:dyDescent="0.25">
      <c r="K170" s="141"/>
      <c r="M170" s="141"/>
    </row>
    <row r="171" spans="11:13" x14ac:dyDescent="0.25">
      <c r="K171" s="141"/>
      <c r="M171" s="141"/>
    </row>
    <row r="172" spans="11:13" x14ac:dyDescent="0.25">
      <c r="K172" s="141"/>
      <c r="M172" s="141"/>
    </row>
    <row r="173" spans="11:13" x14ac:dyDescent="0.25">
      <c r="K173" s="141"/>
      <c r="M173" s="141"/>
    </row>
    <row r="174" spans="11:13" x14ac:dyDescent="0.25">
      <c r="K174" s="141"/>
      <c r="M174" s="141"/>
    </row>
    <row r="175" spans="11:13" x14ac:dyDescent="0.25">
      <c r="K175" s="141"/>
      <c r="M175" s="141"/>
    </row>
    <row r="176" spans="11:13" x14ac:dyDescent="0.25">
      <c r="K176" s="141"/>
      <c r="M176" s="141"/>
    </row>
    <row r="177" spans="11:13" x14ac:dyDescent="0.25">
      <c r="K177" s="141"/>
      <c r="M177" s="141"/>
    </row>
    <row r="178" spans="11:13" x14ac:dyDescent="0.25">
      <c r="K178" s="141"/>
      <c r="M178" s="141"/>
    </row>
    <row r="179" spans="11:13" x14ac:dyDescent="0.25">
      <c r="K179" s="141"/>
      <c r="M179" s="141"/>
    </row>
    <row r="180" spans="11:13" x14ac:dyDescent="0.25">
      <c r="K180" s="141"/>
      <c r="M180" s="141"/>
    </row>
    <row r="181" spans="11:13" x14ac:dyDescent="0.25">
      <c r="K181" s="141"/>
      <c r="M181" s="141"/>
    </row>
    <row r="182" spans="11:13" x14ac:dyDescent="0.25">
      <c r="K182" s="141"/>
      <c r="M182" s="141"/>
    </row>
    <row r="183" spans="11:13" x14ac:dyDescent="0.25">
      <c r="K183" s="141"/>
      <c r="M183" s="141"/>
    </row>
    <row r="184" spans="11:13" x14ac:dyDescent="0.25">
      <c r="K184" s="141"/>
      <c r="M184" s="141"/>
    </row>
    <row r="185" spans="11:13" x14ac:dyDescent="0.25">
      <c r="K185" s="141"/>
      <c r="M185" s="141"/>
    </row>
    <row r="186" spans="11:13" x14ac:dyDescent="0.25">
      <c r="K186" s="141"/>
      <c r="M186" s="141"/>
    </row>
    <row r="187" spans="11:13" x14ac:dyDescent="0.25">
      <c r="K187" s="141"/>
      <c r="M187" s="141"/>
    </row>
    <row r="188" spans="11:13" x14ac:dyDescent="0.25">
      <c r="K188" s="141"/>
      <c r="M188" s="141"/>
    </row>
    <row r="189" spans="11:13" x14ac:dyDescent="0.25">
      <c r="K189" s="141"/>
      <c r="M189" s="141"/>
    </row>
    <row r="190" spans="11:13" x14ac:dyDescent="0.25">
      <c r="K190" s="141"/>
      <c r="M190" s="141"/>
    </row>
    <row r="191" spans="11:13" x14ac:dyDescent="0.25">
      <c r="K191" s="141"/>
      <c r="M191" s="141"/>
    </row>
    <row r="192" spans="11:13" x14ac:dyDescent="0.25">
      <c r="K192" s="141"/>
      <c r="M192" s="141"/>
    </row>
    <row r="193" spans="11:13" x14ac:dyDescent="0.25">
      <c r="K193" s="141"/>
      <c r="M193" s="141"/>
    </row>
    <row r="194" spans="11:13" x14ac:dyDescent="0.25">
      <c r="K194" s="141"/>
      <c r="M194" s="141"/>
    </row>
    <row r="195" spans="11:13" x14ac:dyDescent="0.25">
      <c r="K195" s="141"/>
      <c r="M195" s="141"/>
    </row>
    <row r="196" spans="11:13" x14ac:dyDescent="0.25">
      <c r="K196" s="141"/>
      <c r="M196" s="141"/>
    </row>
    <row r="197" spans="11:13" x14ac:dyDescent="0.25">
      <c r="K197" s="141"/>
      <c r="M197" s="141"/>
    </row>
    <row r="198" spans="11:13" x14ac:dyDescent="0.25">
      <c r="K198" s="141"/>
      <c r="M198" s="141"/>
    </row>
    <row r="199" spans="11:13" x14ac:dyDescent="0.25">
      <c r="K199" s="141"/>
      <c r="M199" s="141"/>
    </row>
    <row r="200" spans="11:13" x14ac:dyDescent="0.25">
      <c r="K200" s="141"/>
      <c r="M200" s="141"/>
    </row>
    <row r="201" spans="11:13" x14ac:dyDescent="0.25">
      <c r="K201" s="141"/>
      <c r="M201" s="141"/>
    </row>
    <row r="202" spans="11:13" x14ac:dyDescent="0.25">
      <c r="K202" s="141"/>
      <c r="M202" s="141"/>
    </row>
    <row r="203" spans="11:13" x14ac:dyDescent="0.25">
      <c r="K203" s="141"/>
      <c r="M203" s="141"/>
    </row>
    <row r="204" spans="11:13" x14ac:dyDescent="0.25">
      <c r="K204" s="141"/>
      <c r="M204" s="141"/>
    </row>
    <row r="205" spans="11:13" x14ac:dyDescent="0.25">
      <c r="K205" s="141"/>
      <c r="M205" s="141"/>
    </row>
    <row r="206" spans="11:13" x14ac:dyDescent="0.25">
      <c r="K206" s="141"/>
      <c r="M206" s="141"/>
    </row>
    <row r="207" spans="11:13" x14ac:dyDescent="0.25">
      <c r="K207" s="141"/>
      <c r="M207" s="141"/>
    </row>
    <row r="208" spans="11:13" x14ac:dyDescent="0.25">
      <c r="K208" s="141"/>
      <c r="M208" s="141"/>
    </row>
    <row r="209" spans="11:13" x14ac:dyDescent="0.25">
      <c r="K209" s="141"/>
      <c r="M209" s="141"/>
    </row>
    <row r="210" spans="11:13" x14ac:dyDescent="0.25">
      <c r="K210" s="141"/>
      <c r="M210" s="141"/>
    </row>
    <row r="211" spans="11:13" x14ac:dyDescent="0.25">
      <c r="K211" s="141"/>
      <c r="M211" s="141"/>
    </row>
    <row r="212" spans="11:13" x14ac:dyDescent="0.25">
      <c r="K212" s="141"/>
      <c r="M212" s="141"/>
    </row>
    <row r="213" spans="11:13" x14ac:dyDescent="0.25">
      <c r="K213" s="141"/>
      <c r="M213" s="141"/>
    </row>
    <row r="214" spans="11:13" x14ac:dyDescent="0.25">
      <c r="K214" s="141"/>
      <c r="M214" s="141"/>
    </row>
    <row r="215" spans="11:13" x14ac:dyDescent="0.25">
      <c r="K215" s="141"/>
      <c r="M215" s="141"/>
    </row>
    <row r="216" spans="11:13" x14ac:dyDescent="0.25">
      <c r="K216" s="141"/>
      <c r="M216" s="141"/>
    </row>
    <row r="217" spans="11:13" x14ac:dyDescent="0.25">
      <c r="K217" s="141"/>
      <c r="M217" s="14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M3717"/>
  <sheetViews>
    <sheetView workbookViewId="0"/>
  </sheetViews>
  <sheetFormatPr defaultRowHeight="13.2" x14ac:dyDescent="0.25"/>
  <cols>
    <col min="12" max="12" width="9.33203125" bestFit="1" customWidth="1"/>
    <col min="29" max="29" width="10.88671875" bestFit="1" customWidth="1"/>
    <col min="30" max="30" width="10.33203125" bestFit="1" customWidth="1"/>
  </cols>
  <sheetData>
    <row r="1" spans="1:39" x14ac:dyDescent="0.25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t="s">
        <v>222</v>
      </c>
      <c r="AD1" t="s">
        <v>223</v>
      </c>
      <c r="AE1" t="s">
        <v>224</v>
      </c>
      <c r="AF1" t="s">
        <v>225</v>
      </c>
      <c r="AG1" t="s">
        <v>226</v>
      </c>
      <c r="AH1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</row>
    <row r="2" spans="1:39" x14ac:dyDescent="0.25">
      <c r="A2" t="s">
        <v>233</v>
      </c>
      <c r="B2" t="str">
        <f>'GD Spread Options'!C217</f>
        <v>NT7394</v>
      </c>
      <c r="C2" t="s">
        <v>255</v>
      </c>
      <c r="D2" t="s">
        <v>234</v>
      </c>
      <c r="E2" t="s">
        <v>20</v>
      </c>
      <c r="F2" t="str">
        <f>'GD Spread Options'!A217</f>
        <v>SOUTHERCOMENEMA</v>
      </c>
      <c r="G2" t="s">
        <v>269</v>
      </c>
      <c r="H2" t="s">
        <v>254</v>
      </c>
      <c r="I2" t="s">
        <v>242</v>
      </c>
      <c r="J2" t="s">
        <v>235</v>
      </c>
      <c r="K2" s="141">
        <f>'GD Spread Options'!H217</f>
        <v>36831</v>
      </c>
      <c r="L2" s="235">
        <f>'GD Spread Options'!U217</f>
        <v>55000</v>
      </c>
      <c r="M2" s="141">
        <f>'GD Spread Options'!Q217</f>
        <v>36860</v>
      </c>
      <c r="N2" t="str">
        <f>'GD Spread Options'!G217</f>
        <v>P</v>
      </c>
      <c r="O2" s="235">
        <f>'GD Spread Options'!J217</f>
        <v>0.5</v>
      </c>
      <c r="P2">
        <v>0</v>
      </c>
      <c r="Q2">
        <v>0</v>
      </c>
      <c r="R2">
        <v>0</v>
      </c>
      <c r="S2">
        <v>0</v>
      </c>
      <c r="T2" t="s">
        <v>253</v>
      </c>
      <c r="U2" t="str">
        <f>'GD Spread Options'!D217</f>
        <v>GDP-TRCOZ6/NY</v>
      </c>
      <c r="V2" t="str">
        <f>'GD Spread Options'!E217</f>
        <v>GDP-HEHUB</v>
      </c>
      <c r="W2" t="s">
        <v>132</v>
      </c>
      <c r="X2" t="s">
        <v>132</v>
      </c>
      <c r="Y2" t="s">
        <v>235</v>
      </c>
      <c r="Z2" t="s">
        <v>236</v>
      </c>
      <c r="AA2" t="s">
        <v>236</v>
      </c>
      <c r="AB2" t="s">
        <v>1</v>
      </c>
      <c r="AC2" s="235">
        <f>'GD Spread Options'!I217</f>
        <v>500000</v>
      </c>
      <c r="AD2" s="235">
        <f>'GD Spread Options'!W217/10000</f>
        <v>1.2488988171143749</v>
      </c>
      <c r="AE2">
        <v>0</v>
      </c>
      <c r="AF2">
        <v>0</v>
      </c>
      <c r="AG2">
        <v>0</v>
      </c>
      <c r="AH2" s="235">
        <f>'GD Spread Options'!AC217</f>
        <v>0</v>
      </c>
      <c r="AI2">
        <v>0</v>
      </c>
      <c r="AJ2" t="s">
        <v>256</v>
      </c>
      <c r="AK2">
        <v>0</v>
      </c>
      <c r="AL2">
        <v>0</v>
      </c>
      <c r="AM2">
        <v>0</v>
      </c>
    </row>
    <row r="3" spans="1:39" x14ac:dyDescent="0.25">
      <c r="A3" t="s">
        <v>233</v>
      </c>
      <c r="B3" t="str">
        <f>'GD Spread Options'!C218</f>
        <v>NT7394</v>
      </c>
      <c r="C3" t="s">
        <v>255</v>
      </c>
      <c r="D3" t="s">
        <v>234</v>
      </c>
      <c r="E3" t="s">
        <v>20</v>
      </c>
      <c r="F3" t="str">
        <f>'GD Spread Options'!A218</f>
        <v>SOUTHERCOMENEMA</v>
      </c>
      <c r="G3" t="s">
        <v>269</v>
      </c>
      <c r="H3" t="s">
        <v>254</v>
      </c>
      <c r="I3" t="s">
        <v>242</v>
      </c>
      <c r="J3" t="s">
        <v>235</v>
      </c>
      <c r="K3" s="141">
        <f>'GD Spread Options'!H218</f>
        <v>36861</v>
      </c>
      <c r="L3" s="235">
        <f>'GD Spread Options'!U218</f>
        <v>55000</v>
      </c>
      <c r="M3" s="141">
        <f>'GD Spread Options'!Q218</f>
        <v>36891</v>
      </c>
      <c r="N3" t="str">
        <f>'GD Spread Options'!G218</f>
        <v>P</v>
      </c>
      <c r="O3" s="235">
        <f>'GD Spread Options'!J218</f>
        <v>0.5</v>
      </c>
      <c r="P3">
        <v>0</v>
      </c>
      <c r="Q3">
        <v>0</v>
      </c>
      <c r="R3">
        <v>0</v>
      </c>
      <c r="S3">
        <v>0</v>
      </c>
      <c r="T3" t="s">
        <v>253</v>
      </c>
      <c r="U3" t="str">
        <f>'GD Spread Options'!D218</f>
        <v>GDP-TRCOZ6/NY</v>
      </c>
      <c r="V3" t="str">
        <f>'GD Spread Options'!E218</f>
        <v>GDP-HEHUB</v>
      </c>
      <c r="W3" t="s">
        <v>132</v>
      </c>
      <c r="X3" t="s">
        <v>132</v>
      </c>
      <c r="Y3" t="s">
        <v>235</v>
      </c>
      <c r="Z3" t="s">
        <v>236</v>
      </c>
      <c r="AA3" t="s">
        <v>236</v>
      </c>
      <c r="AB3" t="s">
        <v>1</v>
      </c>
      <c r="AC3" s="235">
        <f>'GD Spread Options'!I218</f>
        <v>500000</v>
      </c>
      <c r="AD3" s="235">
        <f>'GD Spread Options'!W218/10000</f>
        <v>0.23925359302059404</v>
      </c>
      <c r="AE3">
        <v>0</v>
      </c>
      <c r="AF3">
        <v>0</v>
      </c>
      <c r="AG3">
        <v>0</v>
      </c>
      <c r="AH3" s="235">
        <f>'GD Spread Options'!AC218</f>
        <v>0</v>
      </c>
      <c r="AI3">
        <v>0</v>
      </c>
      <c r="AJ3" t="s">
        <v>256</v>
      </c>
      <c r="AK3">
        <v>0</v>
      </c>
      <c r="AL3">
        <v>0</v>
      </c>
      <c r="AM3">
        <v>0</v>
      </c>
    </row>
    <row r="4" spans="1:39" x14ac:dyDescent="0.25">
      <c r="A4" t="s">
        <v>233</v>
      </c>
      <c r="B4" t="str">
        <f>'GD Spread Options'!C219</f>
        <v>NT7394</v>
      </c>
      <c r="C4" t="s">
        <v>255</v>
      </c>
      <c r="D4" t="s">
        <v>234</v>
      </c>
      <c r="E4" t="s">
        <v>20</v>
      </c>
      <c r="F4" t="str">
        <f>'GD Spread Options'!A219</f>
        <v>SOUTHERCOMENEMA</v>
      </c>
      <c r="G4" t="s">
        <v>269</v>
      </c>
      <c r="H4" t="s">
        <v>254</v>
      </c>
      <c r="I4" t="s">
        <v>242</v>
      </c>
      <c r="J4" t="s">
        <v>235</v>
      </c>
      <c r="K4" s="141">
        <f>'GD Spread Options'!H219</f>
        <v>36892</v>
      </c>
      <c r="L4" s="235">
        <f>'GD Spread Options'!U219</f>
        <v>55000</v>
      </c>
      <c r="M4" s="141">
        <f>'GD Spread Options'!Q219</f>
        <v>36922</v>
      </c>
      <c r="N4" t="str">
        <f>'GD Spread Options'!G219</f>
        <v>P</v>
      </c>
      <c r="O4" s="235">
        <f>'GD Spread Options'!J219</f>
        <v>0.5</v>
      </c>
      <c r="P4">
        <v>0</v>
      </c>
      <c r="Q4">
        <v>0</v>
      </c>
      <c r="R4">
        <v>0</v>
      </c>
      <c r="S4">
        <v>0</v>
      </c>
      <c r="T4" t="s">
        <v>253</v>
      </c>
      <c r="U4" t="str">
        <f>'GD Spread Options'!D219</f>
        <v>GDP-TRCOZ6/NY</v>
      </c>
      <c r="V4" t="str">
        <f>'GD Spread Options'!E219</f>
        <v>GDP-HEHUB</v>
      </c>
      <c r="W4" t="s">
        <v>132</v>
      </c>
      <c r="X4" t="s">
        <v>132</v>
      </c>
      <c r="Y4" t="s">
        <v>235</v>
      </c>
      <c r="Z4" t="s">
        <v>236</v>
      </c>
      <c r="AA4" t="s">
        <v>236</v>
      </c>
      <c r="AB4" t="s">
        <v>1</v>
      </c>
      <c r="AC4" s="235">
        <f>'GD Spread Options'!I219</f>
        <v>500000</v>
      </c>
      <c r="AD4" s="235">
        <f>'GD Spread Options'!W219/10000</f>
        <v>0.13899374867846204</v>
      </c>
      <c r="AE4">
        <v>0</v>
      </c>
      <c r="AF4">
        <v>0</v>
      </c>
      <c r="AG4">
        <v>0</v>
      </c>
      <c r="AH4" s="235">
        <f>'GD Spread Options'!AC219</f>
        <v>0</v>
      </c>
      <c r="AI4">
        <v>0</v>
      </c>
      <c r="AJ4" t="s">
        <v>256</v>
      </c>
      <c r="AK4">
        <v>0</v>
      </c>
      <c r="AL4">
        <v>0</v>
      </c>
      <c r="AM4">
        <v>0</v>
      </c>
    </row>
    <row r="5" spans="1:39" x14ac:dyDescent="0.25">
      <c r="A5" t="s">
        <v>233</v>
      </c>
      <c r="B5" t="str">
        <f>'GD Spread Options'!C220</f>
        <v>NT7394</v>
      </c>
      <c r="C5" t="s">
        <v>255</v>
      </c>
      <c r="D5" t="s">
        <v>234</v>
      </c>
      <c r="E5" t="s">
        <v>20</v>
      </c>
      <c r="F5" t="str">
        <f>'GD Spread Options'!A220</f>
        <v>SOUTHERCOMENEMA</v>
      </c>
      <c r="G5" t="s">
        <v>269</v>
      </c>
      <c r="H5" t="s">
        <v>254</v>
      </c>
      <c r="I5" t="s">
        <v>242</v>
      </c>
      <c r="J5" t="s">
        <v>235</v>
      </c>
      <c r="K5" s="141">
        <f>'GD Spread Options'!H220</f>
        <v>36923</v>
      </c>
      <c r="L5" s="235">
        <f>'GD Spread Options'!U220</f>
        <v>55000</v>
      </c>
      <c r="M5" s="141">
        <f>'GD Spread Options'!Q220</f>
        <v>36950</v>
      </c>
      <c r="N5" t="str">
        <f>'GD Spread Options'!G220</f>
        <v>P</v>
      </c>
      <c r="O5" s="235">
        <f>'GD Spread Options'!J220</f>
        <v>0.5</v>
      </c>
      <c r="P5">
        <v>0</v>
      </c>
      <c r="Q5">
        <v>0</v>
      </c>
      <c r="R5">
        <v>0</v>
      </c>
      <c r="S5">
        <v>0</v>
      </c>
      <c r="T5" t="s">
        <v>253</v>
      </c>
      <c r="U5" t="str">
        <f>'GD Spread Options'!D220</f>
        <v>GDP-TRCOZ6/NY</v>
      </c>
      <c r="V5" t="str">
        <f>'GD Spread Options'!E220</f>
        <v>GDP-HEHUB</v>
      </c>
      <c r="W5" t="s">
        <v>132</v>
      </c>
      <c r="X5" t="s">
        <v>132</v>
      </c>
      <c r="Y5" t="s">
        <v>235</v>
      </c>
      <c r="Z5" t="s">
        <v>236</v>
      </c>
      <c r="AA5" t="s">
        <v>236</v>
      </c>
      <c r="AB5" t="s">
        <v>1</v>
      </c>
      <c r="AC5" s="235">
        <f>'GD Spread Options'!I220</f>
        <v>500000</v>
      </c>
      <c r="AD5" s="235">
        <f>'GD Spread Options'!W220/10000</f>
        <v>0.38854637857185226</v>
      </c>
      <c r="AE5">
        <v>0</v>
      </c>
      <c r="AF5">
        <v>0</v>
      </c>
      <c r="AG5">
        <v>0</v>
      </c>
      <c r="AH5" s="235">
        <f>'GD Spread Options'!AC220</f>
        <v>0</v>
      </c>
      <c r="AI5">
        <v>0</v>
      </c>
      <c r="AJ5" t="s">
        <v>256</v>
      </c>
      <c r="AK5">
        <v>0</v>
      </c>
      <c r="AL5">
        <v>0</v>
      </c>
      <c r="AM5">
        <v>0</v>
      </c>
    </row>
    <row r="6" spans="1:39" x14ac:dyDescent="0.25">
      <c r="A6" t="s">
        <v>233</v>
      </c>
      <c r="B6" t="str">
        <f>'GD Spread Options'!C221</f>
        <v>NT7394</v>
      </c>
      <c r="C6" t="s">
        <v>255</v>
      </c>
      <c r="D6" t="s">
        <v>234</v>
      </c>
      <c r="E6" t="s">
        <v>20</v>
      </c>
      <c r="F6" t="str">
        <f>'GD Spread Options'!A221</f>
        <v>SOUTHERCOMENEMA</v>
      </c>
      <c r="G6" t="s">
        <v>269</v>
      </c>
      <c r="H6" t="s">
        <v>254</v>
      </c>
      <c r="I6" t="s">
        <v>242</v>
      </c>
      <c r="J6" t="s">
        <v>235</v>
      </c>
      <c r="K6" s="141">
        <f>'GD Spread Options'!H221</f>
        <v>36951</v>
      </c>
      <c r="L6" s="235">
        <f>'GD Spread Options'!U221</f>
        <v>55000</v>
      </c>
      <c r="M6" s="141">
        <f>'GD Spread Options'!Q221</f>
        <v>36981</v>
      </c>
      <c r="N6" t="str">
        <f>'GD Spread Options'!G221</f>
        <v>P</v>
      </c>
      <c r="O6" s="235">
        <f>'GD Spread Options'!J221</f>
        <v>0.5</v>
      </c>
      <c r="P6">
        <v>0</v>
      </c>
      <c r="Q6">
        <v>0</v>
      </c>
      <c r="R6">
        <v>0</v>
      </c>
      <c r="S6">
        <v>0</v>
      </c>
      <c r="T6" t="s">
        <v>253</v>
      </c>
      <c r="U6" t="str">
        <f>'GD Spread Options'!D221</f>
        <v>GDP-TRCOZ6/NY</v>
      </c>
      <c r="V6" t="str">
        <f>'GD Spread Options'!E221</f>
        <v>GDP-HEHUB</v>
      </c>
      <c r="W6" t="s">
        <v>132</v>
      </c>
      <c r="X6" t="s">
        <v>132</v>
      </c>
      <c r="Y6" t="s">
        <v>235</v>
      </c>
      <c r="Z6" t="s">
        <v>236</v>
      </c>
      <c r="AA6" t="s">
        <v>236</v>
      </c>
      <c r="AB6" t="s">
        <v>1</v>
      </c>
      <c r="AC6" s="235">
        <f>'GD Spread Options'!I221</f>
        <v>500000</v>
      </c>
      <c r="AD6" s="235">
        <f>'GD Spread Options'!W221/10000</f>
        <v>1.6970987487033402</v>
      </c>
      <c r="AE6">
        <v>0</v>
      </c>
      <c r="AF6">
        <v>0</v>
      </c>
      <c r="AG6">
        <v>0</v>
      </c>
      <c r="AH6" s="235">
        <f>'GD Spread Options'!AC221</f>
        <v>0</v>
      </c>
      <c r="AI6">
        <v>0</v>
      </c>
      <c r="AJ6" t="s">
        <v>256</v>
      </c>
      <c r="AK6">
        <v>0</v>
      </c>
      <c r="AL6">
        <v>0</v>
      </c>
      <c r="AM6">
        <v>0</v>
      </c>
    </row>
    <row r="7" spans="1:39" x14ac:dyDescent="0.25">
      <c r="K7" s="141"/>
      <c r="L7" s="235"/>
      <c r="M7" s="141"/>
      <c r="O7" s="235"/>
      <c r="AC7" s="235"/>
      <c r="AD7" s="235"/>
      <c r="AH7" s="235"/>
    </row>
    <row r="8" spans="1:39" x14ac:dyDescent="0.25">
      <c r="K8" s="141"/>
      <c r="L8" s="235"/>
      <c r="M8" s="141"/>
      <c r="O8" s="235"/>
      <c r="AC8" s="235"/>
      <c r="AD8" s="235"/>
      <c r="AH8" s="235"/>
    </row>
    <row r="9" spans="1:39" x14ac:dyDescent="0.25">
      <c r="K9" s="141"/>
      <c r="L9" s="235"/>
      <c r="M9" s="141"/>
      <c r="O9" s="235"/>
      <c r="AC9" s="235"/>
      <c r="AD9" s="235"/>
      <c r="AH9" s="235"/>
    </row>
    <row r="10" spans="1:39" x14ac:dyDescent="0.25">
      <c r="K10" s="141"/>
      <c r="L10" s="235"/>
      <c r="M10" s="141"/>
      <c r="O10" s="235"/>
      <c r="AC10" s="235"/>
      <c r="AD10" s="235"/>
      <c r="AH10" s="235"/>
    </row>
    <row r="11" spans="1:39" x14ac:dyDescent="0.25">
      <c r="K11" s="141"/>
      <c r="L11" s="235"/>
      <c r="M11" s="141"/>
      <c r="O11" s="235"/>
      <c r="AC11" s="235"/>
      <c r="AD11" s="235"/>
      <c r="AH11" s="235"/>
    </row>
    <row r="12" spans="1:39" x14ac:dyDescent="0.25">
      <c r="K12" s="141"/>
      <c r="L12" s="235"/>
      <c r="M12" s="141"/>
      <c r="O12" s="235"/>
      <c r="AC12" s="235"/>
      <c r="AD12" s="235"/>
      <c r="AH12" s="235"/>
    </row>
    <row r="13" spans="1:39" x14ac:dyDescent="0.25">
      <c r="K13" s="141"/>
      <c r="L13" s="235"/>
      <c r="M13" s="141"/>
      <c r="O13" s="235"/>
      <c r="AC13" s="235"/>
      <c r="AD13" s="235"/>
      <c r="AH13" s="235"/>
    </row>
    <row r="14" spans="1:39" x14ac:dyDescent="0.25">
      <c r="K14" s="141"/>
      <c r="L14" s="235"/>
      <c r="M14" s="141"/>
      <c r="O14" s="235"/>
      <c r="AC14" s="235"/>
      <c r="AD14" s="235"/>
      <c r="AH14" s="235"/>
    </row>
    <row r="15" spans="1:39" x14ac:dyDescent="0.25">
      <c r="K15" s="141"/>
      <c r="L15" s="235"/>
      <c r="M15" s="141"/>
      <c r="O15" s="235"/>
      <c r="AC15" s="235"/>
      <c r="AD15" s="235"/>
      <c r="AH15" s="235"/>
    </row>
    <row r="16" spans="1:39" x14ac:dyDescent="0.25">
      <c r="K16" s="141"/>
      <c r="L16" s="235"/>
      <c r="M16" s="141"/>
      <c r="O16" s="235"/>
      <c r="AC16" s="235"/>
      <c r="AD16" s="235"/>
      <c r="AH16" s="235"/>
    </row>
    <row r="17" spans="11:34" x14ac:dyDescent="0.25">
      <c r="K17" s="141"/>
      <c r="L17" s="235"/>
      <c r="M17" s="141"/>
      <c r="O17" s="235"/>
      <c r="AC17" s="235"/>
      <c r="AD17" s="235"/>
      <c r="AH17" s="235"/>
    </row>
    <row r="18" spans="11:34" x14ac:dyDescent="0.25">
      <c r="K18" s="141"/>
      <c r="L18" s="235"/>
      <c r="M18" s="141"/>
      <c r="O18" s="235"/>
      <c r="AC18" s="235"/>
      <c r="AD18" s="235"/>
      <c r="AH18" s="235"/>
    </row>
    <row r="19" spans="11:34" x14ac:dyDescent="0.25">
      <c r="K19" s="141"/>
      <c r="L19" s="235"/>
      <c r="M19" s="141"/>
      <c r="O19" s="235"/>
      <c r="AC19" s="235"/>
      <c r="AD19" s="235"/>
      <c r="AH19" s="235"/>
    </row>
    <row r="20" spans="11:34" x14ac:dyDescent="0.25">
      <c r="K20" s="141"/>
      <c r="L20" s="235"/>
      <c r="M20" s="141"/>
      <c r="O20" s="235"/>
      <c r="AC20" s="235"/>
      <c r="AD20" s="235"/>
      <c r="AH20" s="235"/>
    </row>
    <row r="21" spans="11:34" x14ac:dyDescent="0.25">
      <c r="K21" s="141"/>
      <c r="L21" s="235"/>
      <c r="M21" s="141"/>
      <c r="O21" s="235"/>
      <c r="AC21" s="235"/>
      <c r="AD21" s="235"/>
      <c r="AH21" s="235"/>
    </row>
    <row r="22" spans="11:34" x14ac:dyDescent="0.25">
      <c r="K22" s="141"/>
      <c r="L22" s="235"/>
      <c r="M22" s="141"/>
      <c r="O22" s="235"/>
      <c r="AC22" s="235"/>
      <c r="AD22" s="235"/>
      <c r="AH22" s="235"/>
    </row>
    <row r="23" spans="11:34" x14ac:dyDescent="0.25">
      <c r="L23" s="235"/>
      <c r="O23" s="235"/>
      <c r="AC23" s="235"/>
      <c r="AD23" s="235"/>
    </row>
    <row r="24" spans="11:34" x14ac:dyDescent="0.25">
      <c r="L24" s="235"/>
      <c r="O24" s="235"/>
      <c r="AC24" s="235"/>
      <c r="AD24" s="235"/>
    </row>
    <row r="25" spans="11:34" x14ac:dyDescent="0.25">
      <c r="L25" s="235"/>
      <c r="O25" s="235"/>
      <c r="AC25" s="235"/>
      <c r="AD25" s="235"/>
    </row>
    <row r="26" spans="11:34" x14ac:dyDescent="0.25">
      <c r="L26" s="235"/>
      <c r="O26" s="235"/>
      <c r="AC26" s="235"/>
      <c r="AD26" s="235"/>
    </row>
    <row r="27" spans="11:34" x14ac:dyDescent="0.25">
      <c r="L27" s="235"/>
      <c r="O27" s="235"/>
      <c r="AC27" s="235"/>
      <c r="AD27" s="235"/>
    </row>
    <row r="28" spans="11:34" x14ac:dyDescent="0.25">
      <c r="L28" s="235"/>
      <c r="O28" s="235"/>
      <c r="AC28" s="235"/>
      <c r="AD28" s="235"/>
    </row>
    <row r="29" spans="11:34" x14ac:dyDescent="0.25">
      <c r="L29" s="235"/>
      <c r="O29" s="235"/>
      <c r="AC29" s="235"/>
      <c r="AD29" s="235"/>
    </row>
    <row r="30" spans="11:34" x14ac:dyDescent="0.25">
      <c r="L30" s="235"/>
      <c r="O30" s="235"/>
      <c r="AC30" s="235"/>
      <c r="AD30" s="235"/>
    </row>
    <row r="31" spans="11:34" x14ac:dyDescent="0.25">
      <c r="L31" s="235"/>
      <c r="O31" s="235"/>
      <c r="AC31" s="235"/>
      <c r="AD31" s="235"/>
    </row>
    <row r="32" spans="11:34" x14ac:dyDescent="0.25">
      <c r="L32" s="235"/>
      <c r="O32" s="235"/>
      <c r="AC32" s="235"/>
      <c r="AD32" s="235"/>
    </row>
    <row r="33" spans="12:30" x14ac:dyDescent="0.25">
      <c r="L33" s="235"/>
      <c r="O33" s="235"/>
      <c r="AC33" s="235"/>
      <c r="AD33" s="235"/>
    </row>
    <row r="34" spans="12:30" x14ac:dyDescent="0.25">
      <c r="L34" s="235"/>
      <c r="O34" s="235"/>
      <c r="AC34" s="235"/>
      <c r="AD34" s="235"/>
    </row>
    <row r="35" spans="12:30" x14ac:dyDescent="0.25">
      <c r="L35" s="235"/>
      <c r="O35" s="235"/>
      <c r="AC35" s="235"/>
      <c r="AD35" s="235"/>
    </row>
    <row r="36" spans="12:30" x14ac:dyDescent="0.25">
      <c r="L36" s="235"/>
      <c r="O36" s="235"/>
      <c r="AC36" s="235"/>
      <c r="AD36" s="235"/>
    </row>
    <row r="37" spans="12:30" x14ac:dyDescent="0.25">
      <c r="L37" s="235"/>
      <c r="O37" s="235"/>
      <c r="AC37" s="235"/>
      <c r="AD37" s="235"/>
    </row>
    <row r="38" spans="12:30" x14ac:dyDescent="0.25">
      <c r="L38" s="235"/>
      <c r="O38" s="235"/>
      <c r="AC38" s="235"/>
      <c r="AD38" s="235"/>
    </row>
    <row r="39" spans="12:30" x14ac:dyDescent="0.25">
      <c r="L39" s="235"/>
      <c r="O39" s="235"/>
      <c r="AC39" s="235"/>
      <c r="AD39" s="235"/>
    </row>
    <row r="40" spans="12:30" x14ac:dyDescent="0.25">
      <c r="L40" s="235"/>
      <c r="O40" s="235"/>
      <c r="AC40" s="235"/>
      <c r="AD40" s="235"/>
    </row>
    <row r="41" spans="12:30" x14ac:dyDescent="0.25">
      <c r="L41" s="235"/>
      <c r="O41" s="235"/>
      <c r="AC41" s="235"/>
      <c r="AD41" s="235"/>
    </row>
    <row r="42" spans="12:30" x14ac:dyDescent="0.25">
      <c r="L42" s="235"/>
      <c r="O42" s="235"/>
      <c r="AC42" s="235"/>
      <c r="AD42" s="235"/>
    </row>
    <row r="43" spans="12:30" x14ac:dyDescent="0.25">
      <c r="L43" s="235"/>
      <c r="O43" s="235"/>
      <c r="AC43" s="235"/>
      <c r="AD43" s="235"/>
    </row>
    <row r="44" spans="12:30" x14ac:dyDescent="0.25">
      <c r="L44" s="235"/>
      <c r="O44" s="235"/>
      <c r="AC44" s="235"/>
      <c r="AD44" s="235"/>
    </row>
    <row r="45" spans="12:30" x14ac:dyDescent="0.25">
      <c r="L45" s="235"/>
      <c r="O45" s="235"/>
      <c r="AC45" s="235"/>
      <c r="AD45" s="235"/>
    </row>
    <row r="46" spans="12:30" x14ac:dyDescent="0.25">
      <c r="L46" s="235"/>
      <c r="O46" s="235"/>
      <c r="AC46" s="235"/>
      <c r="AD46" s="235"/>
    </row>
    <row r="47" spans="12:30" x14ac:dyDescent="0.25">
      <c r="L47" s="235"/>
      <c r="O47" s="235"/>
      <c r="AC47" s="235"/>
      <c r="AD47" s="235"/>
    </row>
    <row r="48" spans="12:30" x14ac:dyDescent="0.25">
      <c r="L48" s="235"/>
      <c r="O48" s="235"/>
      <c r="AC48" s="235"/>
      <c r="AD48" s="235"/>
    </row>
    <row r="49" spans="12:30" x14ac:dyDescent="0.25">
      <c r="L49" s="235"/>
      <c r="O49" s="235"/>
      <c r="AC49" s="235"/>
      <c r="AD49" s="235"/>
    </row>
    <row r="50" spans="12:30" x14ac:dyDescent="0.25">
      <c r="L50" s="235"/>
      <c r="O50" s="235"/>
      <c r="AC50" s="235"/>
      <c r="AD50" s="235"/>
    </row>
    <row r="51" spans="12:30" x14ac:dyDescent="0.25">
      <c r="L51" s="235"/>
      <c r="O51" s="235"/>
      <c r="AC51" s="235"/>
      <c r="AD51" s="235"/>
    </row>
    <row r="52" spans="12:30" x14ac:dyDescent="0.25">
      <c r="L52" s="235"/>
      <c r="O52" s="235"/>
      <c r="AC52" s="235"/>
      <c r="AD52" s="235"/>
    </row>
    <row r="53" spans="12:30" x14ac:dyDescent="0.25">
      <c r="L53" s="235"/>
      <c r="O53" s="235"/>
      <c r="AC53" s="235"/>
      <c r="AD53" s="235"/>
    </row>
    <row r="54" spans="12:30" x14ac:dyDescent="0.25">
      <c r="L54" s="235"/>
      <c r="O54" s="235"/>
      <c r="AC54" s="235"/>
      <c r="AD54" s="235"/>
    </row>
    <row r="55" spans="12:30" x14ac:dyDescent="0.25">
      <c r="L55" s="235"/>
      <c r="O55" s="235"/>
      <c r="AC55" s="235"/>
      <c r="AD55" s="235"/>
    </row>
    <row r="56" spans="12:30" x14ac:dyDescent="0.25">
      <c r="L56" s="235"/>
      <c r="O56" s="235"/>
      <c r="AC56" s="235"/>
      <c r="AD56" s="235"/>
    </row>
    <row r="57" spans="12:30" x14ac:dyDescent="0.25">
      <c r="L57" s="235"/>
      <c r="O57" s="235"/>
      <c r="AC57" s="235"/>
      <c r="AD57" s="235"/>
    </row>
    <row r="58" spans="12:30" x14ac:dyDescent="0.25">
      <c r="L58" s="235"/>
      <c r="O58" s="235"/>
      <c r="AC58" s="235"/>
      <c r="AD58" s="235"/>
    </row>
    <row r="59" spans="12:30" x14ac:dyDescent="0.25">
      <c r="L59" s="235"/>
      <c r="O59" s="235"/>
      <c r="AC59" s="235"/>
      <c r="AD59" s="235"/>
    </row>
    <row r="60" spans="12:30" x14ac:dyDescent="0.25">
      <c r="L60" s="235"/>
      <c r="O60" s="235"/>
      <c r="AC60" s="235"/>
      <c r="AD60" s="235"/>
    </row>
    <row r="61" spans="12:30" x14ac:dyDescent="0.25">
      <c r="L61" s="235"/>
      <c r="O61" s="235"/>
      <c r="AC61" s="235"/>
      <c r="AD61" s="235"/>
    </row>
    <row r="62" spans="12:30" x14ac:dyDescent="0.25">
      <c r="L62" s="235"/>
      <c r="O62" s="235"/>
      <c r="AC62" s="235"/>
      <c r="AD62" s="235"/>
    </row>
    <row r="63" spans="12:30" x14ac:dyDescent="0.25">
      <c r="L63" s="235"/>
      <c r="O63" s="235"/>
      <c r="AC63" s="235"/>
      <c r="AD63" s="235"/>
    </row>
    <row r="64" spans="12:30" x14ac:dyDescent="0.25">
      <c r="L64" s="235"/>
      <c r="O64" s="235"/>
      <c r="AC64" s="235"/>
      <c r="AD64" s="235"/>
    </row>
    <row r="65" spans="12:30" x14ac:dyDescent="0.25">
      <c r="L65" s="235"/>
      <c r="O65" s="235"/>
      <c r="AC65" s="235"/>
      <c r="AD65" s="235"/>
    </row>
    <row r="66" spans="12:30" x14ac:dyDescent="0.25">
      <c r="L66" s="235"/>
      <c r="O66" s="235"/>
      <c r="AC66" s="235"/>
      <c r="AD66" s="235"/>
    </row>
    <row r="67" spans="12:30" x14ac:dyDescent="0.25">
      <c r="L67" s="235"/>
      <c r="O67" s="235"/>
      <c r="AC67" s="235"/>
      <c r="AD67" s="235"/>
    </row>
    <row r="68" spans="12:30" x14ac:dyDescent="0.25">
      <c r="L68" s="235"/>
      <c r="O68" s="235"/>
      <c r="AC68" s="235"/>
      <c r="AD68" s="235"/>
    </row>
    <row r="69" spans="12:30" x14ac:dyDescent="0.25">
      <c r="L69" s="235"/>
      <c r="O69" s="235"/>
      <c r="AC69" s="235"/>
      <c r="AD69" s="235"/>
    </row>
    <row r="70" spans="12:30" x14ac:dyDescent="0.25">
      <c r="L70" s="235"/>
      <c r="O70" s="235"/>
      <c r="AC70" s="235"/>
      <c r="AD70" s="235"/>
    </row>
    <row r="71" spans="12:30" x14ac:dyDescent="0.25">
      <c r="L71" s="235"/>
      <c r="O71" s="235"/>
      <c r="AC71" s="235"/>
      <c r="AD71" s="235"/>
    </row>
    <row r="72" spans="12:30" x14ac:dyDescent="0.25">
      <c r="L72" s="235"/>
      <c r="O72" s="235"/>
      <c r="AC72" s="235"/>
      <c r="AD72" s="235"/>
    </row>
    <row r="73" spans="12:30" x14ac:dyDescent="0.25">
      <c r="L73" s="235"/>
      <c r="O73" s="235"/>
      <c r="AC73" s="235"/>
      <c r="AD73" s="235"/>
    </row>
    <row r="74" spans="12:30" x14ac:dyDescent="0.25">
      <c r="L74" s="235"/>
      <c r="O74" s="235"/>
      <c r="AC74" s="235"/>
      <c r="AD74" s="235"/>
    </row>
    <row r="75" spans="12:30" x14ac:dyDescent="0.25">
      <c r="L75" s="235"/>
      <c r="O75" s="235"/>
      <c r="AC75" s="235"/>
      <c r="AD75" s="235"/>
    </row>
    <row r="76" spans="12:30" x14ac:dyDescent="0.25">
      <c r="L76" s="235"/>
      <c r="O76" s="235"/>
      <c r="AC76" s="235"/>
      <c r="AD76" s="235"/>
    </row>
    <row r="77" spans="12:30" x14ac:dyDescent="0.25">
      <c r="L77" s="235"/>
      <c r="O77" s="235"/>
      <c r="AC77" s="235"/>
      <c r="AD77" s="235"/>
    </row>
    <row r="78" spans="12:30" x14ac:dyDescent="0.25">
      <c r="L78" s="235"/>
      <c r="O78" s="235"/>
      <c r="AC78" s="235"/>
      <c r="AD78" s="235"/>
    </row>
    <row r="79" spans="12:30" x14ac:dyDescent="0.25">
      <c r="L79" s="235"/>
      <c r="O79" s="235"/>
      <c r="AC79" s="235"/>
      <c r="AD79" s="235"/>
    </row>
    <row r="80" spans="12:30" x14ac:dyDescent="0.25">
      <c r="L80" s="235"/>
      <c r="O80" s="235"/>
      <c r="AC80" s="235"/>
      <c r="AD80" s="235"/>
    </row>
    <row r="81" spans="12:30" x14ac:dyDescent="0.25">
      <c r="L81" s="235"/>
      <c r="O81" s="235"/>
      <c r="AC81" s="235"/>
      <c r="AD81" s="235"/>
    </row>
    <row r="82" spans="12:30" x14ac:dyDescent="0.25">
      <c r="L82" s="235"/>
      <c r="O82" s="235"/>
      <c r="AC82" s="235"/>
      <c r="AD82" s="235"/>
    </row>
    <row r="83" spans="12:30" x14ac:dyDescent="0.25">
      <c r="L83" s="235"/>
      <c r="O83" s="235"/>
      <c r="AC83" s="235"/>
      <c r="AD83" s="235"/>
    </row>
    <row r="84" spans="12:30" x14ac:dyDescent="0.25">
      <c r="L84" s="235"/>
      <c r="O84" s="235"/>
      <c r="AC84" s="235"/>
      <c r="AD84" s="235"/>
    </row>
    <row r="85" spans="12:30" x14ac:dyDescent="0.25">
      <c r="L85" s="235"/>
      <c r="O85" s="235"/>
      <c r="AC85" s="235"/>
      <c r="AD85" s="235"/>
    </row>
    <row r="86" spans="12:30" x14ac:dyDescent="0.25">
      <c r="L86" s="235"/>
      <c r="O86" s="235"/>
      <c r="AC86" s="235"/>
      <c r="AD86" s="235"/>
    </row>
    <row r="87" spans="12:30" x14ac:dyDescent="0.25">
      <c r="L87" s="235"/>
      <c r="O87" s="235"/>
      <c r="AC87" s="235"/>
      <c r="AD87" s="235"/>
    </row>
    <row r="88" spans="12:30" x14ac:dyDescent="0.25">
      <c r="L88" s="235"/>
      <c r="O88" s="235"/>
      <c r="AC88" s="235"/>
      <c r="AD88" s="235"/>
    </row>
    <row r="89" spans="12:30" x14ac:dyDescent="0.25">
      <c r="L89" s="235"/>
      <c r="O89" s="235"/>
      <c r="AC89" s="235"/>
      <c r="AD89" s="235"/>
    </row>
    <row r="90" spans="12:30" x14ac:dyDescent="0.25">
      <c r="L90" s="235"/>
      <c r="O90" s="235"/>
      <c r="AC90" s="235"/>
      <c r="AD90" s="235"/>
    </row>
    <row r="91" spans="12:30" x14ac:dyDescent="0.25">
      <c r="L91" s="235"/>
      <c r="O91" s="235"/>
      <c r="AC91" s="235"/>
      <c r="AD91" s="235"/>
    </row>
    <row r="92" spans="12:30" x14ac:dyDescent="0.25">
      <c r="L92" s="235"/>
      <c r="O92" s="235"/>
      <c r="AC92" s="235"/>
      <c r="AD92" s="235"/>
    </row>
    <row r="93" spans="12:30" x14ac:dyDescent="0.25">
      <c r="L93" s="235"/>
      <c r="O93" s="235"/>
      <c r="AC93" s="235"/>
      <c r="AD93" s="235"/>
    </row>
    <row r="94" spans="12:30" x14ac:dyDescent="0.25">
      <c r="L94" s="235"/>
      <c r="O94" s="235"/>
      <c r="AC94" s="235"/>
      <c r="AD94" s="235"/>
    </row>
    <row r="95" spans="12:30" x14ac:dyDescent="0.25">
      <c r="L95" s="235"/>
      <c r="O95" s="235"/>
      <c r="AC95" s="235"/>
      <c r="AD95" s="235"/>
    </row>
    <row r="96" spans="12:30" x14ac:dyDescent="0.25">
      <c r="L96" s="235"/>
      <c r="O96" s="235"/>
      <c r="AC96" s="235"/>
      <c r="AD96" s="235"/>
    </row>
    <row r="97" spans="12:30" x14ac:dyDescent="0.25">
      <c r="L97" s="235"/>
      <c r="O97" s="235"/>
      <c r="AC97" s="235"/>
      <c r="AD97" s="235"/>
    </row>
    <row r="98" spans="12:30" x14ac:dyDescent="0.25">
      <c r="L98" s="235"/>
      <c r="O98" s="235"/>
      <c r="AC98" s="235"/>
      <c r="AD98" s="235"/>
    </row>
    <row r="99" spans="12:30" x14ac:dyDescent="0.25">
      <c r="L99" s="235"/>
      <c r="O99" s="235"/>
      <c r="AC99" s="235"/>
      <c r="AD99" s="235"/>
    </row>
    <row r="100" spans="12:30" x14ac:dyDescent="0.25">
      <c r="L100" s="235"/>
      <c r="O100" s="235"/>
      <c r="AC100" s="235"/>
      <c r="AD100" s="235"/>
    </row>
    <row r="101" spans="12:30" x14ac:dyDescent="0.25">
      <c r="L101" s="235"/>
      <c r="O101" s="235"/>
      <c r="AC101" s="235"/>
      <c r="AD101" s="235"/>
    </row>
    <row r="102" spans="12:30" x14ac:dyDescent="0.25">
      <c r="L102" s="235"/>
      <c r="O102" s="235"/>
      <c r="AC102" s="235"/>
      <c r="AD102" s="235"/>
    </row>
    <row r="103" spans="12:30" x14ac:dyDescent="0.25">
      <c r="L103" s="235"/>
      <c r="O103" s="235"/>
      <c r="AC103" s="235"/>
      <c r="AD103" s="235"/>
    </row>
    <row r="104" spans="12:30" x14ac:dyDescent="0.25">
      <c r="L104" s="235"/>
      <c r="O104" s="235"/>
      <c r="AC104" s="235"/>
      <c r="AD104" s="235"/>
    </row>
    <row r="105" spans="12:30" x14ac:dyDescent="0.25">
      <c r="L105" s="235"/>
      <c r="O105" s="235"/>
      <c r="AC105" s="235"/>
      <c r="AD105" s="235"/>
    </row>
    <row r="106" spans="12:30" x14ac:dyDescent="0.25">
      <c r="L106" s="235"/>
      <c r="O106" s="235"/>
      <c r="AC106" s="235"/>
      <c r="AD106" s="235"/>
    </row>
    <row r="107" spans="12:30" x14ac:dyDescent="0.25">
      <c r="L107" s="235"/>
      <c r="O107" s="235"/>
      <c r="AC107" s="235"/>
      <c r="AD107" s="235"/>
    </row>
    <row r="108" spans="12:30" x14ac:dyDescent="0.25">
      <c r="L108" s="235"/>
      <c r="O108" s="235"/>
      <c r="AC108" s="235"/>
      <c r="AD108" s="235"/>
    </row>
    <row r="109" spans="12:30" x14ac:dyDescent="0.25">
      <c r="L109" s="235"/>
      <c r="O109" s="235"/>
      <c r="AC109" s="235"/>
      <c r="AD109" s="235"/>
    </row>
    <row r="110" spans="12:30" x14ac:dyDescent="0.25">
      <c r="L110" s="235"/>
      <c r="O110" s="235"/>
      <c r="AC110" s="235"/>
      <c r="AD110" s="235"/>
    </row>
    <row r="111" spans="12:30" x14ac:dyDescent="0.25">
      <c r="L111" s="235"/>
      <c r="O111" s="235"/>
      <c r="AC111" s="235"/>
      <c r="AD111" s="235"/>
    </row>
    <row r="112" spans="12:30" x14ac:dyDescent="0.25">
      <c r="L112" s="235"/>
      <c r="O112" s="235"/>
      <c r="AC112" s="235"/>
      <c r="AD112" s="235"/>
    </row>
    <row r="113" spans="12:30" x14ac:dyDescent="0.25">
      <c r="L113" s="235"/>
      <c r="O113" s="235"/>
      <c r="AC113" s="235"/>
      <c r="AD113" s="235"/>
    </row>
    <row r="114" spans="12:30" x14ac:dyDescent="0.25">
      <c r="L114" s="235"/>
      <c r="O114" s="235"/>
      <c r="AC114" s="235"/>
      <c r="AD114" s="235"/>
    </row>
    <row r="115" spans="12:30" x14ac:dyDescent="0.25">
      <c r="L115" s="235"/>
      <c r="O115" s="235"/>
      <c r="AC115" s="235"/>
      <c r="AD115" s="235"/>
    </row>
    <row r="116" spans="12:30" x14ac:dyDescent="0.25">
      <c r="L116" s="235"/>
      <c r="O116" s="235"/>
      <c r="AC116" s="235"/>
      <c r="AD116" s="235"/>
    </row>
    <row r="117" spans="12:30" x14ac:dyDescent="0.25">
      <c r="L117" s="235"/>
      <c r="O117" s="235"/>
      <c r="AC117" s="235"/>
      <c r="AD117" s="235"/>
    </row>
    <row r="118" spans="12:30" x14ac:dyDescent="0.25">
      <c r="L118" s="235"/>
      <c r="O118" s="235"/>
      <c r="AC118" s="235"/>
      <c r="AD118" s="235"/>
    </row>
    <row r="119" spans="12:30" x14ac:dyDescent="0.25">
      <c r="L119" s="235"/>
      <c r="O119" s="235"/>
      <c r="AC119" s="235"/>
      <c r="AD119" s="235"/>
    </row>
    <row r="120" spans="12:30" x14ac:dyDescent="0.25">
      <c r="L120" s="235"/>
      <c r="O120" s="235"/>
      <c r="AC120" s="235"/>
      <c r="AD120" s="235"/>
    </row>
    <row r="121" spans="12:30" x14ac:dyDescent="0.25">
      <c r="L121" s="235"/>
      <c r="O121" s="235"/>
      <c r="AC121" s="235"/>
      <c r="AD121" s="235"/>
    </row>
    <row r="122" spans="12:30" x14ac:dyDescent="0.25">
      <c r="L122" s="235"/>
      <c r="O122" s="235"/>
      <c r="AC122" s="235"/>
      <c r="AD122" s="235"/>
    </row>
    <row r="123" spans="12:30" x14ac:dyDescent="0.25">
      <c r="L123" s="235"/>
      <c r="O123" s="235"/>
      <c r="AC123" s="235"/>
      <c r="AD123" s="235"/>
    </row>
    <row r="124" spans="12:30" x14ac:dyDescent="0.25">
      <c r="L124" s="235"/>
      <c r="O124" s="235"/>
      <c r="AC124" s="235"/>
      <c r="AD124" s="235"/>
    </row>
    <row r="125" spans="12:30" x14ac:dyDescent="0.25">
      <c r="L125" s="235"/>
      <c r="O125" s="235"/>
      <c r="AC125" s="235"/>
      <c r="AD125" s="235"/>
    </row>
    <row r="126" spans="12:30" x14ac:dyDescent="0.25">
      <c r="L126" s="235"/>
      <c r="O126" s="235"/>
      <c r="AC126" s="235"/>
      <c r="AD126" s="235"/>
    </row>
    <row r="127" spans="12:30" x14ac:dyDescent="0.25">
      <c r="L127" s="235"/>
      <c r="O127" s="235"/>
      <c r="AC127" s="235"/>
      <c r="AD127" s="235"/>
    </row>
    <row r="128" spans="12:30" x14ac:dyDescent="0.25">
      <c r="L128" s="235"/>
      <c r="O128" s="235"/>
      <c r="AC128" s="235"/>
      <c r="AD128" s="235"/>
    </row>
    <row r="129" spans="12:30" x14ac:dyDescent="0.25">
      <c r="L129" s="235"/>
      <c r="O129" s="235"/>
      <c r="AC129" s="235"/>
      <c r="AD129" s="235"/>
    </row>
    <row r="130" spans="12:30" x14ac:dyDescent="0.25">
      <c r="L130" s="235"/>
      <c r="O130" s="235"/>
      <c r="AC130" s="235"/>
      <c r="AD130" s="235"/>
    </row>
    <row r="131" spans="12:30" x14ac:dyDescent="0.25">
      <c r="L131" s="235"/>
      <c r="O131" s="235"/>
      <c r="AC131" s="235"/>
      <c r="AD131" s="235"/>
    </row>
    <row r="132" spans="12:30" x14ac:dyDescent="0.25">
      <c r="L132" s="235"/>
      <c r="O132" s="235"/>
      <c r="AC132" s="235"/>
      <c r="AD132" s="235"/>
    </row>
    <row r="133" spans="12:30" x14ac:dyDescent="0.25">
      <c r="L133" s="235"/>
      <c r="O133" s="235"/>
      <c r="AC133" s="235"/>
      <c r="AD133" s="235"/>
    </row>
    <row r="134" spans="12:30" x14ac:dyDescent="0.25">
      <c r="L134" s="235"/>
      <c r="O134" s="235"/>
      <c r="AC134" s="235"/>
      <c r="AD134" s="235"/>
    </row>
    <row r="135" spans="12:30" x14ac:dyDescent="0.25">
      <c r="L135" s="235"/>
      <c r="O135" s="235"/>
      <c r="AC135" s="235"/>
      <c r="AD135" s="235"/>
    </row>
    <row r="136" spans="12:30" x14ac:dyDescent="0.25">
      <c r="L136" s="235"/>
      <c r="O136" s="235"/>
      <c r="AC136" s="235"/>
      <c r="AD136" s="235"/>
    </row>
    <row r="137" spans="12:30" x14ac:dyDescent="0.25">
      <c r="L137" s="235"/>
      <c r="O137" s="235"/>
      <c r="AC137" s="235"/>
      <c r="AD137" s="235"/>
    </row>
    <row r="138" spans="12:30" x14ac:dyDescent="0.25">
      <c r="L138" s="235"/>
      <c r="O138" s="235"/>
      <c r="AC138" s="235"/>
      <c r="AD138" s="235"/>
    </row>
    <row r="139" spans="12:30" x14ac:dyDescent="0.25">
      <c r="L139" s="235"/>
      <c r="O139" s="235"/>
      <c r="AC139" s="235"/>
      <c r="AD139" s="235"/>
    </row>
    <row r="140" spans="12:30" x14ac:dyDescent="0.25">
      <c r="L140" s="235"/>
      <c r="O140" s="235"/>
      <c r="AC140" s="235"/>
      <c r="AD140" s="235"/>
    </row>
    <row r="141" spans="12:30" x14ac:dyDescent="0.25">
      <c r="L141" s="235"/>
      <c r="O141" s="235"/>
      <c r="AC141" s="235"/>
      <c r="AD141" s="235"/>
    </row>
    <row r="142" spans="12:30" x14ac:dyDescent="0.25">
      <c r="L142" s="235"/>
      <c r="O142" s="235"/>
      <c r="AC142" s="235"/>
      <c r="AD142" s="235"/>
    </row>
    <row r="143" spans="12:30" x14ac:dyDescent="0.25">
      <c r="L143" s="235"/>
      <c r="O143" s="235"/>
      <c r="AC143" s="235"/>
      <c r="AD143" s="235"/>
    </row>
    <row r="144" spans="12:30" x14ac:dyDescent="0.25">
      <c r="L144" s="235"/>
      <c r="O144" s="235"/>
      <c r="AC144" s="235"/>
      <c r="AD144" s="235"/>
    </row>
    <row r="145" spans="12:30" x14ac:dyDescent="0.25">
      <c r="L145" s="235"/>
      <c r="O145" s="235"/>
      <c r="AC145" s="235"/>
      <c r="AD145" s="235"/>
    </row>
    <row r="146" spans="12:30" x14ac:dyDescent="0.25">
      <c r="L146" s="235"/>
      <c r="O146" s="235"/>
      <c r="AC146" s="235"/>
      <c r="AD146" s="235"/>
    </row>
    <row r="147" spans="12:30" x14ac:dyDescent="0.25">
      <c r="L147" s="235"/>
      <c r="O147" s="235"/>
      <c r="AC147" s="235"/>
      <c r="AD147" s="235"/>
    </row>
    <row r="148" spans="12:30" x14ac:dyDescent="0.25">
      <c r="L148" s="235"/>
      <c r="O148" s="235"/>
      <c r="AC148" s="235"/>
      <c r="AD148" s="235"/>
    </row>
    <row r="149" spans="12:30" x14ac:dyDescent="0.25">
      <c r="L149" s="235"/>
      <c r="O149" s="235"/>
      <c r="AC149" s="235"/>
      <c r="AD149" s="235"/>
    </row>
    <row r="150" spans="12:30" x14ac:dyDescent="0.25">
      <c r="L150" s="235"/>
      <c r="O150" s="235"/>
      <c r="AC150" s="235"/>
      <c r="AD150" s="235"/>
    </row>
    <row r="151" spans="12:30" x14ac:dyDescent="0.25">
      <c r="L151" s="235"/>
      <c r="O151" s="235"/>
      <c r="AC151" s="235"/>
      <c r="AD151" s="235"/>
    </row>
    <row r="152" spans="12:30" x14ac:dyDescent="0.25">
      <c r="L152" s="235"/>
      <c r="O152" s="235"/>
      <c r="AC152" s="235"/>
      <c r="AD152" s="235"/>
    </row>
    <row r="153" spans="12:30" x14ac:dyDescent="0.25">
      <c r="L153" s="235"/>
      <c r="O153" s="235"/>
      <c r="AC153" s="235"/>
      <c r="AD153" s="235"/>
    </row>
    <row r="154" spans="12:30" x14ac:dyDescent="0.25">
      <c r="L154" s="235"/>
      <c r="O154" s="235"/>
      <c r="AC154" s="235"/>
      <c r="AD154" s="235"/>
    </row>
    <row r="155" spans="12:30" x14ac:dyDescent="0.25">
      <c r="L155" s="235"/>
      <c r="O155" s="235"/>
      <c r="AC155" s="235"/>
      <c r="AD155" s="235"/>
    </row>
    <row r="156" spans="12:30" x14ac:dyDescent="0.25">
      <c r="L156" s="235"/>
      <c r="O156" s="235"/>
      <c r="AC156" s="235"/>
      <c r="AD156" s="235"/>
    </row>
    <row r="157" spans="12:30" x14ac:dyDescent="0.25">
      <c r="L157" s="235"/>
      <c r="O157" s="235"/>
      <c r="AC157" s="235"/>
      <c r="AD157" s="235"/>
    </row>
    <row r="158" spans="12:30" x14ac:dyDescent="0.25">
      <c r="L158" s="235"/>
      <c r="O158" s="235"/>
      <c r="AC158" s="235"/>
      <c r="AD158" s="235"/>
    </row>
    <row r="159" spans="12:30" x14ac:dyDescent="0.25">
      <c r="L159" s="235"/>
      <c r="O159" s="235"/>
      <c r="AC159" s="235"/>
      <c r="AD159" s="235"/>
    </row>
    <row r="160" spans="12:30" x14ac:dyDescent="0.25">
      <c r="L160" s="235"/>
      <c r="O160" s="235"/>
      <c r="AC160" s="235"/>
      <c r="AD160" s="235"/>
    </row>
    <row r="161" spans="12:30" x14ac:dyDescent="0.25">
      <c r="L161" s="235"/>
      <c r="O161" s="235"/>
      <c r="AC161" s="235"/>
      <c r="AD161" s="235"/>
    </row>
    <row r="162" spans="12:30" x14ac:dyDescent="0.25">
      <c r="L162" s="235"/>
      <c r="O162" s="235"/>
      <c r="AC162" s="235"/>
      <c r="AD162" s="235"/>
    </row>
    <row r="163" spans="12:30" x14ac:dyDescent="0.25">
      <c r="L163" s="235"/>
      <c r="O163" s="235"/>
      <c r="AC163" s="235"/>
      <c r="AD163" s="235"/>
    </row>
    <row r="164" spans="12:30" x14ac:dyDescent="0.25">
      <c r="L164" s="235"/>
      <c r="O164" s="235"/>
      <c r="AC164" s="235"/>
      <c r="AD164" s="235"/>
    </row>
    <row r="165" spans="12:30" x14ac:dyDescent="0.25">
      <c r="L165" s="235"/>
      <c r="O165" s="235"/>
      <c r="AC165" s="235"/>
      <c r="AD165" s="235"/>
    </row>
    <row r="166" spans="12:30" x14ac:dyDescent="0.25">
      <c r="L166" s="235"/>
      <c r="O166" s="235"/>
      <c r="AC166" s="235"/>
      <c r="AD166" s="235"/>
    </row>
    <row r="167" spans="12:30" x14ac:dyDescent="0.25">
      <c r="L167" s="235"/>
      <c r="O167" s="235"/>
      <c r="AC167" s="235"/>
      <c r="AD167" s="235"/>
    </row>
    <row r="168" spans="12:30" x14ac:dyDescent="0.25">
      <c r="L168" s="235"/>
      <c r="O168" s="235"/>
      <c r="AC168" s="235"/>
      <c r="AD168" s="235"/>
    </row>
    <row r="169" spans="12:30" x14ac:dyDescent="0.25">
      <c r="L169" s="235"/>
      <c r="O169" s="235"/>
      <c r="AC169" s="235"/>
      <c r="AD169" s="235"/>
    </row>
    <row r="170" spans="12:30" x14ac:dyDescent="0.25">
      <c r="L170" s="235"/>
      <c r="O170" s="235"/>
      <c r="AC170" s="235"/>
      <c r="AD170" s="235"/>
    </row>
    <row r="171" spans="12:30" x14ac:dyDescent="0.25">
      <c r="L171" s="235"/>
      <c r="O171" s="235"/>
      <c r="AC171" s="235"/>
      <c r="AD171" s="235"/>
    </row>
    <row r="172" spans="12:30" x14ac:dyDescent="0.25">
      <c r="L172" s="235"/>
      <c r="O172" s="235"/>
      <c r="AC172" s="235"/>
      <c r="AD172" s="235"/>
    </row>
    <row r="173" spans="12:30" x14ac:dyDescent="0.25">
      <c r="L173" s="235"/>
      <c r="O173" s="235"/>
      <c r="AC173" s="235"/>
      <c r="AD173" s="235"/>
    </row>
    <row r="174" spans="12:30" x14ac:dyDescent="0.25">
      <c r="L174" s="235"/>
      <c r="O174" s="235"/>
      <c r="AC174" s="235"/>
      <c r="AD174" s="235"/>
    </row>
    <row r="175" spans="12:30" x14ac:dyDescent="0.25">
      <c r="L175" s="235"/>
      <c r="O175" s="235"/>
      <c r="AC175" s="235"/>
      <c r="AD175" s="235"/>
    </row>
    <row r="176" spans="12:30" x14ac:dyDescent="0.25">
      <c r="L176" s="235"/>
      <c r="O176" s="235"/>
      <c r="AC176" s="235"/>
      <c r="AD176" s="235"/>
    </row>
    <row r="177" spans="12:30" x14ac:dyDescent="0.25">
      <c r="L177" s="235"/>
      <c r="O177" s="235"/>
      <c r="AC177" s="235"/>
      <c r="AD177" s="235"/>
    </row>
    <row r="178" spans="12:30" x14ac:dyDescent="0.25">
      <c r="L178" s="235"/>
      <c r="O178" s="235"/>
      <c r="AC178" s="235"/>
      <c r="AD178" s="235"/>
    </row>
    <row r="179" spans="12:30" x14ac:dyDescent="0.25">
      <c r="L179" s="235"/>
      <c r="O179" s="235"/>
      <c r="AC179" s="235"/>
      <c r="AD179" s="235"/>
    </row>
    <row r="180" spans="12:30" x14ac:dyDescent="0.25">
      <c r="L180" s="235"/>
      <c r="O180" s="235"/>
      <c r="AC180" s="235"/>
      <c r="AD180" s="235"/>
    </row>
    <row r="181" spans="12:30" x14ac:dyDescent="0.25">
      <c r="L181" s="235"/>
      <c r="O181" s="235"/>
      <c r="AC181" s="235"/>
      <c r="AD181" s="235"/>
    </row>
    <row r="182" spans="12:30" x14ac:dyDescent="0.25">
      <c r="L182" s="235"/>
      <c r="O182" s="235"/>
      <c r="AC182" s="235"/>
      <c r="AD182" s="235"/>
    </row>
    <row r="183" spans="12:30" x14ac:dyDescent="0.25">
      <c r="L183" s="235"/>
      <c r="O183" s="235"/>
      <c r="AC183" s="235"/>
      <c r="AD183" s="235"/>
    </row>
    <row r="184" spans="12:30" x14ac:dyDescent="0.25">
      <c r="L184" s="235"/>
      <c r="O184" s="235"/>
      <c r="AC184" s="235"/>
      <c r="AD184" s="235"/>
    </row>
    <row r="185" spans="12:30" x14ac:dyDescent="0.25">
      <c r="L185" s="235"/>
      <c r="O185" s="235"/>
      <c r="AC185" s="235"/>
      <c r="AD185" s="235"/>
    </row>
    <row r="186" spans="12:30" x14ac:dyDescent="0.25">
      <c r="L186" s="235"/>
      <c r="O186" s="235"/>
      <c r="AC186" s="235"/>
      <c r="AD186" s="235"/>
    </row>
    <row r="187" spans="12:30" x14ac:dyDescent="0.25">
      <c r="L187" s="235"/>
      <c r="O187" s="235"/>
      <c r="AC187" s="235"/>
      <c r="AD187" s="235"/>
    </row>
    <row r="188" spans="12:30" x14ac:dyDescent="0.25">
      <c r="L188" s="235"/>
      <c r="O188" s="235"/>
      <c r="AC188" s="235"/>
      <c r="AD188" s="235"/>
    </row>
    <row r="189" spans="12:30" x14ac:dyDescent="0.25">
      <c r="L189" s="235"/>
      <c r="O189" s="235"/>
      <c r="AC189" s="235"/>
      <c r="AD189" s="235"/>
    </row>
    <row r="190" spans="12:30" x14ac:dyDescent="0.25">
      <c r="L190" s="235"/>
      <c r="O190" s="235"/>
      <c r="AC190" s="235"/>
      <c r="AD190" s="235"/>
    </row>
    <row r="191" spans="12:30" x14ac:dyDescent="0.25">
      <c r="L191" s="235"/>
      <c r="O191" s="235"/>
      <c r="AC191" s="235"/>
      <c r="AD191" s="235"/>
    </row>
    <row r="192" spans="12:30" x14ac:dyDescent="0.25">
      <c r="L192" s="235"/>
      <c r="O192" s="235"/>
      <c r="AC192" s="235"/>
      <c r="AD192" s="235"/>
    </row>
    <row r="193" spans="12:30" x14ac:dyDescent="0.25">
      <c r="L193" s="235"/>
      <c r="O193" s="235"/>
      <c r="AC193" s="235"/>
      <c r="AD193" s="235"/>
    </row>
    <row r="194" spans="12:30" x14ac:dyDescent="0.25">
      <c r="L194" s="235"/>
      <c r="O194" s="235"/>
      <c r="AC194" s="235"/>
      <c r="AD194" s="235"/>
    </row>
    <row r="195" spans="12:30" x14ac:dyDescent="0.25">
      <c r="L195" s="235"/>
      <c r="O195" s="235"/>
      <c r="AC195" s="235"/>
      <c r="AD195" s="235"/>
    </row>
    <row r="196" spans="12:30" x14ac:dyDescent="0.25">
      <c r="L196" s="235"/>
      <c r="O196" s="235"/>
      <c r="AC196" s="235"/>
      <c r="AD196" s="235"/>
    </row>
    <row r="197" spans="12:30" x14ac:dyDescent="0.25">
      <c r="L197" s="235"/>
      <c r="O197" s="235"/>
      <c r="AC197" s="235"/>
      <c r="AD197" s="235"/>
    </row>
    <row r="198" spans="12:30" x14ac:dyDescent="0.25">
      <c r="L198" s="235"/>
      <c r="O198" s="235"/>
      <c r="AC198" s="235"/>
      <c r="AD198" s="235"/>
    </row>
    <row r="199" spans="12:30" x14ac:dyDescent="0.25">
      <c r="L199" s="235"/>
      <c r="O199" s="235"/>
      <c r="AC199" s="235"/>
      <c r="AD199" s="235"/>
    </row>
    <row r="200" spans="12:30" x14ac:dyDescent="0.25">
      <c r="L200" s="235"/>
      <c r="O200" s="235"/>
      <c r="AC200" s="235"/>
      <c r="AD200" s="235"/>
    </row>
    <row r="201" spans="12:30" x14ac:dyDescent="0.25">
      <c r="L201" s="235"/>
      <c r="O201" s="235"/>
      <c r="AC201" s="235"/>
      <c r="AD201" s="235"/>
    </row>
    <row r="202" spans="12:30" x14ac:dyDescent="0.25">
      <c r="L202" s="235"/>
      <c r="O202" s="235"/>
      <c r="AC202" s="235"/>
      <c r="AD202" s="235"/>
    </row>
    <row r="203" spans="12:30" x14ac:dyDescent="0.25">
      <c r="L203" s="235"/>
      <c r="O203" s="235"/>
      <c r="AC203" s="235"/>
      <c r="AD203" s="235"/>
    </row>
    <row r="204" spans="12:30" x14ac:dyDescent="0.25">
      <c r="L204" s="235"/>
      <c r="O204" s="235"/>
      <c r="AC204" s="235"/>
      <c r="AD204" s="235"/>
    </row>
    <row r="205" spans="12:30" x14ac:dyDescent="0.25">
      <c r="L205" s="235"/>
      <c r="O205" s="235"/>
      <c r="AC205" s="235"/>
      <c r="AD205" s="235"/>
    </row>
    <row r="206" spans="12:30" x14ac:dyDescent="0.25">
      <c r="L206" s="235"/>
      <c r="O206" s="235"/>
      <c r="AC206" s="235"/>
      <c r="AD206" s="235"/>
    </row>
    <row r="207" spans="12:30" x14ac:dyDescent="0.25">
      <c r="L207" s="235"/>
      <c r="O207" s="235"/>
      <c r="AC207" s="235"/>
      <c r="AD207" s="235"/>
    </row>
    <row r="208" spans="12:30" x14ac:dyDescent="0.25">
      <c r="L208" s="235"/>
      <c r="O208" s="235"/>
      <c r="AC208" s="235"/>
      <c r="AD208" s="235"/>
    </row>
    <row r="209" spans="12:30" x14ac:dyDescent="0.25">
      <c r="L209" s="235"/>
      <c r="O209" s="235"/>
      <c r="AC209" s="235"/>
      <c r="AD209" s="235"/>
    </row>
    <row r="210" spans="12:30" x14ac:dyDescent="0.25">
      <c r="L210" s="235"/>
      <c r="O210" s="235"/>
      <c r="AC210" s="235"/>
      <c r="AD210" s="235"/>
    </row>
    <row r="211" spans="12:30" x14ac:dyDescent="0.25">
      <c r="L211" s="235"/>
      <c r="O211" s="235"/>
      <c r="AC211" s="235"/>
      <c r="AD211" s="235"/>
    </row>
    <row r="212" spans="12:30" x14ac:dyDescent="0.25">
      <c r="L212" s="235"/>
      <c r="O212" s="235"/>
      <c r="AC212" s="235"/>
      <c r="AD212" s="235"/>
    </row>
    <row r="213" spans="12:30" x14ac:dyDescent="0.25">
      <c r="L213" s="235"/>
      <c r="O213" s="235"/>
      <c r="AC213" s="235"/>
      <c r="AD213" s="235"/>
    </row>
    <row r="214" spans="12:30" x14ac:dyDescent="0.25">
      <c r="L214" s="235"/>
      <c r="O214" s="235"/>
      <c r="AC214" s="235"/>
      <c r="AD214" s="235"/>
    </row>
    <row r="215" spans="12:30" x14ac:dyDescent="0.25">
      <c r="L215" s="235"/>
      <c r="O215" s="235"/>
      <c r="AC215" s="235"/>
      <c r="AD215" s="235"/>
    </row>
    <row r="216" spans="12:30" x14ac:dyDescent="0.25">
      <c r="L216" s="235"/>
      <c r="O216" s="235"/>
      <c r="AC216" s="235"/>
      <c r="AD216" s="235"/>
    </row>
    <row r="217" spans="12:30" x14ac:dyDescent="0.25">
      <c r="L217" s="235"/>
      <c r="O217" s="235"/>
      <c r="AC217" s="235"/>
      <c r="AD217" s="235"/>
    </row>
    <row r="218" spans="12:30" x14ac:dyDescent="0.25">
      <c r="L218" s="235"/>
      <c r="O218" s="235"/>
      <c r="AC218" s="235"/>
      <c r="AD218" s="235"/>
    </row>
    <row r="219" spans="12:30" x14ac:dyDescent="0.25">
      <c r="L219" s="235"/>
      <c r="O219" s="235"/>
      <c r="AC219" s="235"/>
      <c r="AD219" s="235"/>
    </row>
    <row r="220" spans="12:30" x14ac:dyDescent="0.25">
      <c r="L220" s="235"/>
      <c r="O220" s="235"/>
      <c r="AC220" s="235"/>
      <c r="AD220" s="235"/>
    </row>
    <row r="221" spans="12:30" x14ac:dyDescent="0.25">
      <c r="L221" s="235"/>
      <c r="O221" s="235"/>
      <c r="AC221" s="235"/>
      <c r="AD221" s="235"/>
    </row>
    <row r="222" spans="12:30" x14ac:dyDescent="0.25">
      <c r="L222" s="235"/>
      <c r="O222" s="235"/>
      <c r="AC222" s="235"/>
      <c r="AD222" s="235"/>
    </row>
    <row r="223" spans="12:30" x14ac:dyDescent="0.25">
      <c r="L223" s="235"/>
      <c r="O223" s="235"/>
      <c r="AC223" s="235"/>
      <c r="AD223" s="235"/>
    </row>
    <row r="224" spans="12:30" x14ac:dyDescent="0.25">
      <c r="L224" s="235"/>
      <c r="O224" s="235"/>
      <c r="AC224" s="235"/>
      <c r="AD224" s="235"/>
    </row>
    <row r="225" spans="12:30" x14ac:dyDescent="0.25">
      <c r="L225" s="235"/>
      <c r="O225" s="235"/>
      <c r="AC225" s="235"/>
      <c r="AD225" s="235"/>
    </row>
    <row r="226" spans="12:30" x14ac:dyDescent="0.25">
      <c r="L226" s="235"/>
      <c r="O226" s="235"/>
      <c r="AC226" s="235"/>
      <c r="AD226" s="235"/>
    </row>
    <row r="227" spans="12:30" x14ac:dyDescent="0.25">
      <c r="L227" s="235"/>
      <c r="O227" s="235"/>
      <c r="AC227" s="235"/>
      <c r="AD227" s="235"/>
    </row>
    <row r="228" spans="12:30" x14ac:dyDescent="0.25">
      <c r="L228" s="235"/>
      <c r="O228" s="235"/>
      <c r="AC228" s="235"/>
      <c r="AD228" s="235"/>
    </row>
    <row r="229" spans="12:30" x14ac:dyDescent="0.25">
      <c r="L229" s="235"/>
      <c r="O229" s="235"/>
      <c r="AC229" s="235"/>
      <c r="AD229" s="235"/>
    </row>
    <row r="230" spans="12:30" x14ac:dyDescent="0.25">
      <c r="L230" s="235"/>
      <c r="O230" s="235"/>
      <c r="AC230" s="235"/>
      <c r="AD230" s="235"/>
    </row>
    <row r="231" spans="12:30" x14ac:dyDescent="0.25">
      <c r="L231" s="235"/>
      <c r="O231" s="235"/>
      <c r="AC231" s="235"/>
      <c r="AD231" s="235"/>
    </row>
    <row r="232" spans="12:30" x14ac:dyDescent="0.25">
      <c r="L232" s="235"/>
      <c r="O232" s="235"/>
      <c r="AC232" s="235"/>
      <c r="AD232" s="235"/>
    </row>
    <row r="233" spans="12:30" x14ac:dyDescent="0.25">
      <c r="L233" s="235"/>
      <c r="O233" s="235"/>
      <c r="AC233" s="235"/>
      <c r="AD233" s="235"/>
    </row>
    <row r="234" spans="12:30" x14ac:dyDescent="0.25">
      <c r="L234" s="235"/>
      <c r="O234" s="235"/>
      <c r="AC234" s="235"/>
      <c r="AD234" s="235"/>
    </row>
    <row r="235" spans="12:30" x14ac:dyDescent="0.25">
      <c r="L235" s="235"/>
      <c r="O235" s="235"/>
      <c r="AC235" s="235"/>
      <c r="AD235" s="235"/>
    </row>
    <row r="236" spans="12:30" x14ac:dyDescent="0.25">
      <c r="L236" s="235"/>
      <c r="O236" s="235"/>
      <c r="AC236" s="235"/>
      <c r="AD236" s="235"/>
    </row>
    <row r="237" spans="12:30" x14ac:dyDescent="0.25">
      <c r="L237" s="235"/>
      <c r="O237" s="235"/>
      <c r="AC237" s="235"/>
      <c r="AD237" s="235"/>
    </row>
    <row r="238" spans="12:30" x14ac:dyDescent="0.25">
      <c r="L238" s="235"/>
      <c r="O238" s="235"/>
      <c r="AC238" s="235"/>
      <c r="AD238" s="235"/>
    </row>
    <row r="239" spans="12:30" x14ac:dyDescent="0.25">
      <c r="L239" s="235"/>
      <c r="O239" s="235"/>
      <c r="AC239" s="235"/>
      <c r="AD239" s="235"/>
    </row>
    <row r="240" spans="12:30" x14ac:dyDescent="0.25">
      <c r="L240" s="235"/>
      <c r="O240" s="235"/>
      <c r="AC240" s="235"/>
      <c r="AD240" s="235"/>
    </row>
    <row r="241" spans="12:30" x14ac:dyDescent="0.25">
      <c r="L241" s="235"/>
      <c r="O241" s="235"/>
      <c r="AC241" s="235"/>
      <c r="AD241" s="235"/>
    </row>
    <row r="242" spans="12:30" x14ac:dyDescent="0.25">
      <c r="L242" s="235"/>
      <c r="O242" s="235"/>
      <c r="AC242" s="235"/>
      <c r="AD242" s="235"/>
    </row>
    <row r="243" spans="12:30" x14ac:dyDescent="0.25">
      <c r="L243" s="235"/>
      <c r="O243" s="235"/>
      <c r="AC243" s="235"/>
      <c r="AD243" s="235"/>
    </row>
    <row r="244" spans="12:30" x14ac:dyDescent="0.25">
      <c r="L244" s="235"/>
      <c r="O244" s="235"/>
      <c r="AC244" s="235"/>
      <c r="AD244" s="235"/>
    </row>
    <row r="245" spans="12:30" x14ac:dyDescent="0.25">
      <c r="L245" s="235"/>
      <c r="O245" s="235"/>
      <c r="AC245" s="235"/>
      <c r="AD245" s="235"/>
    </row>
    <row r="246" spans="12:30" x14ac:dyDescent="0.25">
      <c r="L246" s="235"/>
      <c r="O246" s="235"/>
      <c r="AC246" s="235"/>
      <c r="AD246" s="235"/>
    </row>
    <row r="247" spans="12:30" x14ac:dyDescent="0.25">
      <c r="L247" s="235"/>
      <c r="O247" s="235"/>
      <c r="AC247" s="235"/>
      <c r="AD247" s="235"/>
    </row>
    <row r="248" spans="12:30" x14ac:dyDescent="0.25">
      <c r="L248" s="235"/>
      <c r="O248" s="235"/>
      <c r="AC248" s="235"/>
      <c r="AD248" s="235"/>
    </row>
    <row r="249" spans="12:30" x14ac:dyDescent="0.25">
      <c r="L249" s="235"/>
      <c r="O249" s="235"/>
      <c r="AC249" s="235"/>
      <c r="AD249" s="235"/>
    </row>
    <row r="250" spans="12:30" x14ac:dyDescent="0.25">
      <c r="L250" s="235"/>
      <c r="O250" s="235"/>
      <c r="AC250" s="235"/>
      <c r="AD250" s="235"/>
    </row>
    <row r="251" spans="12:30" x14ac:dyDescent="0.25">
      <c r="L251" s="235"/>
      <c r="O251" s="235"/>
      <c r="AC251" s="235"/>
      <c r="AD251" s="235"/>
    </row>
    <row r="252" spans="12:30" x14ac:dyDescent="0.25">
      <c r="L252" s="235"/>
      <c r="O252" s="235"/>
      <c r="AC252" s="235"/>
      <c r="AD252" s="235"/>
    </row>
    <row r="253" spans="12:30" x14ac:dyDescent="0.25">
      <c r="L253" s="235"/>
      <c r="O253" s="235"/>
      <c r="AC253" s="235"/>
      <c r="AD253" s="235"/>
    </row>
    <row r="254" spans="12:30" x14ac:dyDescent="0.25">
      <c r="L254" s="235"/>
      <c r="O254" s="235"/>
      <c r="AC254" s="235"/>
      <c r="AD254" s="235"/>
    </row>
    <row r="255" spans="12:30" x14ac:dyDescent="0.25">
      <c r="L255" s="235"/>
      <c r="O255" s="235"/>
      <c r="AC255" s="235"/>
      <c r="AD255" s="235"/>
    </row>
    <row r="256" spans="12:30" x14ac:dyDescent="0.25">
      <c r="L256" s="235"/>
      <c r="O256" s="235"/>
      <c r="AC256" s="235"/>
      <c r="AD256" s="235"/>
    </row>
    <row r="257" spans="12:30" x14ac:dyDescent="0.25">
      <c r="L257" s="235"/>
      <c r="O257" s="235"/>
      <c r="AC257" s="235"/>
      <c r="AD257" s="235"/>
    </row>
    <row r="258" spans="12:30" x14ac:dyDescent="0.25">
      <c r="L258" s="235"/>
      <c r="O258" s="235"/>
      <c r="AC258" s="235"/>
      <c r="AD258" s="235"/>
    </row>
    <row r="259" spans="12:30" x14ac:dyDescent="0.25">
      <c r="L259" s="235"/>
      <c r="O259" s="235"/>
      <c r="AC259" s="235"/>
      <c r="AD259" s="235"/>
    </row>
    <row r="260" spans="12:30" x14ac:dyDescent="0.25">
      <c r="L260" s="235"/>
      <c r="O260" s="235"/>
      <c r="AC260" s="235"/>
      <c r="AD260" s="235"/>
    </row>
    <row r="261" spans="12:30" x14ac:dyDescent="0.25">
      <c r="L261" s="235"/>
      <c r="O261" s="235"/>
      <c r="AC261" s="235"/>
      <c r="AD261" s="235"/>
    </row>
    <row r="262" spans="12:30" x14ac:dyDescent="0.25">
      <c r="L262" s="235"/>
      <c r="O262" s="235"/>
      <c r="AC262" s="235"/>
      <c r="AD262" s="235"/>
    </row>
    <row r="263" spans="12:30" x14ac:dyDescent="0.25">
      <c r="L263" s="235"/>
      <c r="O263" s="235"/>
      <c r="AC263" s="235"/>
      <c r="AD263" s="235"/>
    </row>
    <row r="264" spans="12:30" x14ac:dyDescent="0.25">
      <c r="L264" s="235"/>
      <c r="O264" s="235"/>
      <c r="AC264" s="235"/>
      <c r="AD264" s="235"/>
    </row>
    <row r="265" spans="12:30" x14ac:dyDescent="0.25">
      <c r="L265" s="235"/>
      <c r="O265" s="235"/>
      <c r="AC265" s="235"/>
      <c r="AD265" s="235"/>
    </row>
    <row r="266" spans="12:30" x14ac:dyDescent="0.25">
      <c r="L266" s="235"/>
      <c r="O266" s="235"/>
      <c r="AC266" s="235"/>
      <c r="AD266" s="235"/>
    </row>
    <row r="267" spans="12:30" x14ac:dyDescent="0.25">
      <c r="L267" s="235"/>
      <c r="O267" s="235"/>
      <c r="AC267" s="235"/>
      <c r="AD267" s="235"/>
    </row>
    <row r="268" spans="12:30" x14ac:dyDescent="0.25">
      <c r="L268" s="235"/>
      <c r="O268" s="235"/>
      <c r="AC268" s="235"/>
      <c r="AD268" s="235"/>
    </row>
    <row r="269" spans="12:30" x14ac:dyDescent="0.25">
      <c r="L269" s="235"/>
      <c r="O269" s="235"/>
      <c r="AC269" s="235"/>
      <c r="AD269" s="235"/>
    </row>
    <row r="270" spans="12:30" x14ac:dyDescent="0.25">
      <c r="L270" s="235"/>
      <c r="O270" s="235"/>
      <c r="AC270" s="235"/>
      <c r="AD270" s="235"/>
    </row>
    <row r="271" spans="12:30" x14ac:dyDescent="0.25">
      <c r="L271" s="235"/>
      <c r="O271" s="235"/>
      <c r="AC271" s="235"/>
      <c r="AD271" s="235"/>
    </row>
    <row r="272" spans="12:30" x14ac:dyDescent="0.25">
      <c r="L272" s="235"/>
      <c r="O272" s="235"/>
      <c r="AC272" s="235"/>
      <c r="AD272" s="235"/>
    </row>
    <row r="273" spans="12:30" x14ac:dyDescent="0.25">
      <c r="L273" s="235"/>
      <c r="O273" s="235"/>
      <c r="AC273" s="235"/>
      <c r="AD273" s="235"/>
    </row>
    <row r="274" spans="12:30" x14ac:dyDescent="0.25">
      <c r="L274" s="235"/>
      <c r="O274" s="235"/>
      <c r="AC274" s="235"/>
      <c r="AD274" s="235"/>
    </row>
    <row r="275" spans="12:30" x14ac:dyDescent="0.25">
      <c r="L275" s="235"/>
      <c r="O275" s="235"/>
      <c r="AC275" s="235"/>
      <c r="AD275" s="235"/>
    </row>
    <row r="276" spans="12:30" x14ac:dyDescent="0.25">
      <c r="L276" s="235"/>
      <c r="O276" s="235"/>
      <c r="AC276" s="235"/>
      <c r="AD276" s="235"/>
    </row>
    <row r="277" spans="12:30" x14ac:dyDescent="0.25">
      <c r="L277" s="235"/>
      <c r="O277" s="235"/>
      <c r="AC277" s="235"/>
      <c r="AD277" s="235"/>
    </row>
    <row r="278" spans="12:30" x14ac:dyDescent="0.25">
      <c r="L278" s="235"/>
      <c r="O278" s="235"/>
      <c r="AC278" s="235"/>
      <c r="AD278" s="235"/>
    </row>
    <row r="279" spans="12:30" x14ac:dyDescent="0.25">
      <c r="L279" s="235"/>
      <c r="O279" s="235"/>
      <c r="AC279" s="235"/>
      <c r="AD279" s="235"/>
    </row>
    <row r="280" spans="12:30" x14ac:dyDescent="0.25">
      <c r="L280" s="235"/>
      <c r="O280" s="235"/>
      <c r="AC280" s="235"/>
      <c r="AD280" s="235"/>
    </row>
    <row r="281" spans="12:30" x14ac:dyDescent="0.25">
      <c r="L281" s="235"/>
      <c r="O281" s="235"/>
      <c r="AC281" s="235"/>
      <c r="AD281" s="235"/>
    </row>
    <row r="282" spans="12:30" x14ac:dyDescent="0.25">
      <c r="L282" s="235"/>
      <c r="O282" s="235"/>
      <c r="AC282" s="235"/>
      <c r="AD282" s="235"/>
    </row>
    <row r="283" spans="12:30" x14ac:dyDescent="0.25">
      <c r="L283" s="235"/>
      <c r="O283" s="235"/>
      <c r="AC283" s="235"/>
      <c r="AD283" s="235"/>
    </row>
    <row r="284" spans="12:30" x14ac:dyDescent="0.25">
      <c r="L284" s="235"/>
      <c r="O284" s="235"/>
      <c r="AC284" s="235"/>
      <c r="AD284" s="235"/>
    </row>
    <row r="285" spans="12:30" x14ac:dyDescent="0.25">
      <c r="L285" s="235"/>
      <c r="O285" s="235"/>
      <c r="AC285" s="235"/>
      <c r="AD285" s="235"/>
    </row>
    <row r="286" spans="12:30" x14ac:dyDescent="0.25">
      <c r="L286" s="235"/>
      <c r="O286" s="235"/>
      <c r="AC286" s="235"/>
      <c r="AD286" s="235"/>
    </row>
    <row r="287" spans="12:30" x14ac:dyDescent="0.25">
      <c r="L287" s="235"/>
      <c r="O287" s="235"/>
      <c r="AC287" s="235"/>
      <c r="AD287" s="235"/>
    </row>
    <row r="288" spans="12:30" x14ac:dyDescent="0.25">
      <c r="L288" s="235"/>
      <c r="O288" s="235"/>
      <c r="AC288" s="235"/>
      <c r="AD288" s="235"/>
    </row>
    <row r="289" spans="12:30" x14ac:dyDescent="0.25">
      <c r="L289" s="235"/>
      <c r="O289" s="235"/>
      <c r="AC289" s="235"/>
      <c r="AD289" s="235"/>
    </row>
    <row r="290" spans="12:30" x14ac:dyDescent="0.25">
      <c r="L290" s="235"/>
      <c r="O290" s="235"/>
      <c r="AC290" s="235"/>
      <c r="AD290" s="235"/>
    </row>
    <row r="291" spans="12:30" x14ac:dyDescent="0.25">
      <c r="L291" s="235"/>
      <c r="O291" s="235"/>
      <c r="AC291" s="235"/>
      <c r="AD291" s="235"/>
    </row>
    <row r="292" spans="12:30" x14ac:dyDescent="0.25">
      <c r="L292" s="235"/>
      <c r="O292" s="235"/>
      <c r="AC292" s="235"/>
      <c r="AD292" s="235"/>
    </row>
    <row r="293" spans="12:30" x14ac:dyDescent="0.25">
      <c r="L293" s="235"/>
      <c r="O293" s="235"/>
      <c r="AC293" s="235"/>
      <c r="AD293" s="235"/>
    </row>
    <row r="294" spans="12:30" x14ac:dyDescent="0.25">
      <c r="L294" s="235"/>
      <c r="O294" s="235"/>
      <c r="AC294" s="235"/>
      <c r="AD294" s="235"/>
    </row>
    <row r="295" spans="12:30" x14ac:dyDescent="0.25">
      <c r="L295" s="235"/>
      <c r="O295" s="235"/>
      <c r="AC295" s="235"/>
      <c r="AD295" s="235"/>
    </row>
    <row r="296" spans="12:30" x14ac:dyDescent="0.25">
      <c r="L296" s="235"/>
      <c r="O296" s="235"/>
      <c r="AC296" s="235"/>
      <c r="AD296" s="235"/>
    </row>
    <row r="297" spans="12:30" x14ac:dyDescent="0.25">
      <c r="L297" s="235"/>
      <c r="O297" s="235"/>
      <c r="AC297" s="235"/>
      <c r="AD297" s="235"/>
    </row>
    <row r="298" spans="12:30" x14ac:dyDescent="0.25">
      <c r="L298" s="235"/>
      <c r="O298" s="235"/>
      <c r="AC298" s="235"/>
      <c r="AD298" s="235"/>
    </row>
    <row r="299" spans="12:30" x14ac:dyDescent="0.25">
      <c r="L299" s="235"/>
      <c r="O299" s="235"/>
      <c r="AC299" s="235"/>
      <c r="AD299" s="235"/>
    </row>
    <row r="300" spans="12:30" x14ac:dyDescent="0.25">
      <c r="L300" s="235"/>
      <c r="O300" s="235"/>
      <c r="AC300" s="235"/>
      <c r="AD300" s="235"/>
    </row>
    <row r="301" spans="12:30" x14ac:dyDescent="0.25">
      <c r="L301" s="235"/>
      <c r="O301" s="235"/>
      <c r="AC301" s="235"/>
      <c r="AD301" s="235"/>
    </row>
    <row r="302" spans="12:30" x14ac:dyDescent="0.25">
      <c r="L302" s="235"/>
      <c r="O302" s="235"/>
      <c r="AC302" s="235"/>
      <c r="AD302" s="235"/>
    </row>
    <row r="303" spans="12:30" x14ac:dyDescent="0.25">
      <c r="L303" s="235"/>
      <c r="O303" s="235"/>
      <c r="AC303" s="235"/>
      <c r="AD303" s="235"/>
    </row>
    <row r="304" spans="12:30" x14ac:dyDescent="0.25">
      <c r="L304" s="235"/>
      <c r="O304" s="235"/>
      <c r="AC304" s="235"/>
      <c r="AD304" s="235"/>
    </row>
    <row r="305" spans="12:30" x14ac:dyDescent="0.25">
      <c r="L305" s="235"/>
      <c r="O305" s="235"/>
      <c r="AC305" s="235"/>
      <c r="AD305" s="235"/>
    </row>
    <row r="306" spans="12:30" x14ac:dyDescent="0.25">
      <c r="L306" s="235"/>
      <c r="O306" s="235"/>
      <c r="AC306" s="235"/>
      <c r="AD306" s="235"/>
    </row>
    <row r="307" spans="12:30" x14ac:dyDescent="0.25">
      <c r="L307" s="235"/>
      <c r="O307" s="235"/>
      <c r="AC307" s="235"/>
      <c r="AD307" s="235"/>
    </row>
    <row r="308" spans="12:30" x14ac:dyDescent="0.25">
      <c r="L308" s="235"/>
      <c r="O308" s="235"/>
      <c r="AC308" s="235"/>
      <c r="AD308" s="235"/>
    </row>
    <row r="309" spans="12:30" x14ac:dyDescent="0.25">
      <c r="L309" s="235"/>
      <c r="O309" s="235"/>
      <c r="AC309" s="235"/>
      <c r="AD309" s="235"/>
    </row>
    <row r="310" spans="12:30" x14ac:dyDescent="0.25">
      <c r="L310" s="235"/>
      <c r="O310" s="235"/>
      <c r="AC310" s="235"/>
      <c r="AD310" s="235"/>
    </row>
    <row r="311" spans="12:30" x14ac:dyDescent="0.25">
      <c r="L311" s="235"/>
      <c r="O311" s="235"/>
      <c r="AC311" s="235"/>
      <c r="AD311" s="235"/>
    </row>
    <row r="312" spans="12:30" x14ac:dyDescent="0.25">
      <c r="L312" s="235"/>
      <c r="O312" s="235"/>
      <c r="AC312" s="235"/>
      <c r="AD312" s="235"/>
    </row>
    <row r="313" spans="12:30" x14ac:dyDescent="0.25">
      <c r="L313" s="235"/>
      <c r="O313" s="235"/>
      <c r="AC313" s="235"/>
      <c r="AD313" s="235"/>
    </row>
    <row r="314" spans="12:30" x14ac:dyDescent="0.25">
      <c r="L314" s="235"/>
      <c r="O314" s="235"/>
      <c r="AC314" s="235"/>
      <c r="AD314" s="235"/>
    </row>
    <row r="315" spans="12:30" x14ac:dyDescent="0.25">
      <c r="L315" s="235"/>
      <c r="O315" s="235"/>
      <c r="AC315" s="235"/>
      <c r="AD315" s="235"/>
    </row>
    <row r="316" spans="12:30" x14ac:dyDescent="0.25">
      <c r="L316" s="235"/>
      <c r="O316" s="235"/>
      <c r="AC316" s="235"/>
      <c r="AD316" s="235"/>
    </row>
    <row r="317" spans="12:30" x14ac:dyDescent="0.25">
      <c r="L317" s="235"/>
      <c r="O317" s="235"/>
      <c r="AC317" s="235"/>
      <c r="AD317" s="235"/>
    </row>
    <row r="318" spans="12:30" x14ac:dyDescent="0.25">
      <c r="L318" s="235"/>
      <c r="O318" s="235"/>
      <c r="AC318" s="235"/>
      <c r="AD318" s="235"/>
    </row>
    <row r="319" spans="12:30" x14ac:dyDescent="0.25">
      <c r="L319" s="235"/>
      <c r="O319" s="235"/>
      <c r="AC319" s="235"/>
      <c r="AD319" s="235"/>
    </row>
    <row r="320" spans="12:30" x14ac:dyDescent="0.25">
      <c r="L320" s="235"/>
      <c r="O320" s="235"/>
      <c r="AC320" s="235"/>
      <c r="AD320" s="235"/>
    </row>
    <row r="321" spans="12:30" x14ac:dyDescent="0.25">
      <c r="L321" s="235"/>
      <c r="O321" s="235"/>
      <c r="AC321" s="235"/>
      <c r="AD321" s="235"/>
    </row>
    <row r="322" spans="12:30" x14ac:dyDescent="0.25">
      <c r="L322" s="235"/>
      <c r="O322" s="235"/>
      <c r="AC322" s="235"/>
      <c r="AD322" s="235"/>
    </row>
    <row r="323" spans="12:30" x14ac:dyDescent="0.25">
      <c r="L323" s="235"/>
      <c r="O323" s="235"/>
      <c r="AC323" s="235"/>
      <c r="AD323" s="235"/>
    </row>
    <row r="324" spans="12:30" x14ac:dyDescent="0.25">
      <c r="L324" s="235"/>
      <c r="O324" s="235"/>
      <c r="AC324" s="235"/>
      <c r="AD324" s="235"/>
    </row>
    <row r="325" spans="12:30" x14ac:dyDescent="0.25">
      <c r="L325" s="235"/>
      <c r="O325" s="235"/>
      <c r="AC325" s="235"/>
      <c r="AD325" s="235"/>
    </row>
    <row r="326" spans="12:30" x14ac:dyDescent="0.25">
      <c r="L326" s="235"/>
      <c r="O326" s="235"/>
      <c r="AC326" s="235"/>
      <c r="AD326" s="235"/>
    </row>
    <row r="327" spans="12:30" x14ac:dyDescent="0.25">
      <c r="L327" s="235"/>
      <c r="O327" s="235"/>
      <c r="AC327" s="235"/>
      <c r="AD327" s="235"/>
    </row>
    <row r="328" spans="12:30" x14ac:dyDescent="0.25">
      <c r="L328" s="235"/>
      <c r="O328" s="235"/>
      <c r="AC328" s="235"/>
      <c r="AD328" s="235"/>
    </row>
    <row r="329" spans="12:30" x14ac:dyDescent="0.25">
      <c r="L329" s="235"/>
      <c r="O329" s="235"/>
      <c r="AC329" s="235"/>
      <c r="AD329" s="235"/>
    </row>
    <row r="330" spans="12:30" x14ac:dyDescent="0.25">
      <c r="L330" s="235"/>
      <c r="O330" s="235"/>
      <c r="AC330" s="235"/>
      <c r="AD330" s="235"/>
    </row>
    <row r="331" spans="12:30" x14ac:dyDescent="0.25">
      <c r="L331" s="235"/>
      <c r="O331" s="235"/>
      <c r="AC331" s="235"/>
      <c r="AD331" s="235"/>
    </row>
    <row r="332" spans="12:30" x14ac:dyDescent="0.25">
      <c r="L332" s="235"/>
      <c r="O332" s="235"/>
      <c r="AC332" s="235"/>
      <c r="AD332" s="235"/>
    </row>
    <row r="333" spans="12:30" x14ac:dyDescent="0.25">
      <c r="L333" s="235"/>
      <c r="O333" s="235"/>
      <c r="AC333" s="235"/>
      <c r="AD333" s="235"/>
    </row>
    <row r="334" spans="12:30" x14ac:dyDescent="0.25">
      <c r="L334" s="235"/>
      <c r="O334" s="235"/>
      <c r="AC334" s="235"/>
      <c r="AD334" s="235"/>
    </row>
    <row r="335" spans="12:30" x14ac:dyDescent="0.25">
      <c r="L335" s="235"/>
      <c r="O335" s="235"/>
      <c r="AC335" s="235"/>
      <c r="AD335" s="235"/>
    </row>
    <row r="336" spans="12:30" x14ac:dyDescent="0.25">
      <c r="L336" s="235"/>
      <c r="O336" s="235"/>
      <c r="AC336" s="235"/>
      <c r="AD336" s="235"/>
    </row>
    <row r="337" spans="12:30" x14ac:dyDescent="0.25">
      <c r="L337" s="235"/>
      <c r="O337" s="235"/>
      <c r="AC337" s="235"/>
      <c r="AD337" s="235"/>
    </row>
    <row r="338" spans="12:30" x14ac:dyDescent="0.25">
      <c r="L338" s="235"/>
      <c r="O338" s="235"/>
      <c r="AC338" s="235"/>
      <c r="AD338" s="235"/>
    </row>
    <row r="339" spans="12:30" x14ac:dyDescent="0.25">
      <c r="L339" s="235"/>
      <c r="O339" s="235"/>
      <c r="AC339" s="235"/>
      <c r="AD339" s="235"/>
    </row>
    <row r="340" spans="12:30" x14ac:dyDescent="0.25">
      <c r="L340" s="235"/>
      <c r="O340" s="235"/>
      <c r="AC340" s="235"/>
      <c r="AD340" s="235"/>
    </row>
    <row r="341" spans="12:30" x14ac:dyDescent="0.25">
      <c r="L341" s="235"/>
      <c r="O341" s="235"/>
      <c r="AC341" s="235"/>
      <c r="AD341" s="235"/>
    </row>
    <row r="342" spans="12:30" x14ac:dyDescent="0.25">
      <c r="L342" s="235"/>
      <c r="O342" s="235"/>
      <c r="AC342" s="235"/>
      <c r="AD342" s="235"/>
    </row>
    <row r="343" spans="12:30" x14ac:dyDescent="0.25">
      <c r="L343" s="235"/>
      <c r="O343" s="235"/>
      <c r="AC343" s="235"/>
      <c r="AD343" s="235"/>
    </row>
    <row r="344" spans="12:30" x14ac:dyDescent="0.25">
      <c r="L344" s="235"/>
      <c r="O344" s="235"/>
      <c r="AC344" s="235"/>
      <c r="AD344" s="235"/>
    </row>
    <row r="345" spans="12:30" x14ac:dyDescent="0.25">
      <c r="L345" s="235"/>
      <c r="O345" s="235"/>
      <c r="AC345" s="235"/>
      <c r="AD345" s="235"/>
    </row>
    <row r="346" spans="12:30" x14ac:dyDescent="0.25">
      <c r="L346" s="235"/>
      <c r="O346" s="235"/>
      <c r="AC346" s="235"/>
      <c r="AD346" s="235"/>
    </row>
    <row r="347" spans="12:30" x14ac:dyDescent="0.25">
      <c r="L347" s="235"/>
      <c r="O347" s="235"/>
      <c r="AC347" s="235"/>
      <c r="AD347" s="235"/>
    </row>
    <row r="348" spans="12:30" x14ac:dyDescent="0.25">
      <c r="L348" s="235"/>
      <c r="O348" s="235"/>
      <c r="AC348" s="235"/>
      <c r="AD348" s="235"/>
    </row>
    <row r="349" spans="12:30" x14ac:dyDescent="0.25">
      <c r="L349" s="235"/>
      <c r="O349" s="235"/>
      <c r="AC349" s="235"/>
      <c r="AD349" s="235"/>
    </row>
    <row r="350" spans="12:30" x14ac:dyDescent="0.25">
      <c r="L350" s="235"/>
      <c r="O350" s="235"/>
      <c r="AC350" s="235"/>
      <c r="AD350" s="235"/>
    </row>
    <row r="351" spans="12:30" x14ac:dyDescent="0.25">
      <c r="L351" s="235"/>
      <c r="O351" s="235"/>
      <c r="AC351" s="235"/>
      <c r="AD351" s="235"/>
    </row>
    <row r="352" spans="12:30" x14ac:dyDescent="0.25">
      <c r="L352" s="235"/>
      <c r="O352" s="235"/>
      <c r="AC352" s="235"/>
      <c r="AD352" s="235"/>
    </row>
    <row r="353" spans="12:30" x14ac:dyDescent="0.25">
      <c r="L353" s="235"/>
      <c r="O353" s="235"/>
      <c r="AC353" s="235"/>
      <c r="AD353" s="235"/>
    </row>
    <row r="354" spans="12:30" x14ac:dyDescent="0.25">
      <c r="L354" s="235"/>
      <c r="O354" s="235"/>
      <c r="AC354" s="235"/>
      <c r="AD354" s="235"/>
    </row>
    <row r="355" spans="12:30" x14ac:dyDescent="0.25">
      <c r="L355" s="235"/>
      <c r="O355" s="235"/>
      <c r="AC355" s="235"/>
      <c r="AD355" s="235"/>
    </row>
    <row r="356" spans="12:30" x14ac:dyDescent="0.25">
      <c r="L356" s="235"/>
      <c r="O356" s="235"/>
      <c r="AC356" s="235"/>
      <c r="AD356" s="235"/>
    </row>
    <row r="357" spans="12:30" x14ac:dyDescent="0.25">
      <c r="L357" s="235"/>
      <c r="O357" s="235"/>
      <c r="AC357" s="235"/>
      <c r="AD357" s="235"/>
    </row>
    <row r="358" spans="12:30" x14ac:dyDescent="0.25">
      <c r="L358" s="235"/>
      <c r="O358" s="235"/>
      <c r="AC358" s="235"/>
      <c r="AD358" s="235"/>
    </row>
    <row r="359" spans="12:30" x14ac:dyDescent="0.25">
      <c r="L359" s="235"/>
      <c r="O359" s="235"/>
      <c r="AC359" s="235"/>
      <c r="AD359" s="235"/>
    </row>
    <row r="360" spans="12:30" x14ac:dyDescent="0.25">
      <c r="L360" s="235"/>
      <c r="O360" s="235"/>
      <c r="AC360" s="235"/>
      <c r="AD360" s="235"/>
    </row>
    <row r="361" spans="12:30" x14ac:dyDescent="0.25">
      <c r="L361" s="235"/>
      <c r="O361" s="235"/>
      <c r="AC361" s="235"/>
      <c r="AD361" s="235"/>
    </row>
    <row r="362" spans="12:30" x14ac:dyDescent="0.25">
      <c r="L362" s="235"/>
      <c r="O362" s="235"/>
      <c r="AC362" s="235"/>
      <c r="AD362" s="235"/>
    </row>
    <row r="363" spans="12:30" x14ac:dyDescent="0.25">
      <c r="L363" s="235"/>
      <c r="O363" s="235"/>
      <c r="AC363" s="235"/>
      <c r="AD363" s="235"/>
    </row>
    <row r="364" spans="12:30" x14ac:dyDescent="0.25">
      <c r="L364" s="235"/>
      <c r="O364" s="235"/>
      <c r="AC364" s="235"/>
      <c r="AD364" s="235"/>
    </row>
    <row r="365" spans="12:30" x14ac:dyDescent="0.25">
      <c r="L365" s="235"/>
      <c r="O365" s="235"/>
      <c r="AC365" s="235"/>
      <c r="AD365" s="235"/>
    </row>
    <row r="366" spans="12:30" x14ac:dyDescent="0.25">
      <c r="L366" s="235"/>
      <c r="O366" s="235"/>
      <c r="AC366" s="235"/>
      <c r="AD366" s="235"/>
    </row>
    <row r="367" spans="12:30" x14ac:dyDescent="0.25">
      <c r="L367" s="235"/>
      <c r="O367" s="235"/>
      <c r="AC367" s="235"/>
      <c r="AD367" s="235"/>
    </row>
    <row r="368" spans="12:30" x14ac:dyDescent="0.25">
      <c r="L368" s="235"/>
      <c r="O368" s="235"/>
      <c r="AC368" s="235"/>
      <c r="AD368" s="235"/>
    </row>
    <row r="369" spans="12:30" x14ac:dyDescent="0.25">
      <c r="L369" s="235"/>
      <c r="O369" s="235"/>
      <c r="AC369" s="235"/>
      <c r="AD369" s="235"/>
    </row>
    <row r="370" spans="12:30" x14ac:dyDescent="0.25">
      <c r="L370" s="235"/>
      <c r="O370" s="235"/>
      <c r="AC370" s="235"/>
      <c r="AD370" s="235"/>
    </row>
    <row r="371" spans="12:30" x14ac:dyDescent="0.25">
      <c r="L371" s="235"/>
      <c r="O371" s="235"/>
      <c r="AC371" s="235"/>
      <c r="AD371" s="235"/>
    </row>
    <row r="372" spans="12:30" x14ac:dyDescent="0.25">
      <c r="L372" s="235"/>
      <c r="O372" s="235"/>
      <c r="AC372" s="235"/>
      <c r="AD372" s="235"/>
    </row>
    <row r="373" spans="12:30" x14ac:dyDescent="0.25">
      <c r="L373" s="235"/>
      <c r="O373" s="235"/>
      <c r="AC373" s="235"/>
      <c r="AD373" s="235"/>
    </row>
    <row r="374" spans="12:30" x14ac:dyDescent="0.25">
      <c r="L374" s="235"/>
      <c r="O374" s="235"/>
      <c r="AC374" s="235"/>
      <c r="AD374" s="235"/>
    </row>
    <row r="375" spans="12:30" x14ac:dyDescent="0.25">
      <c r="L375" s="235"/>
      <c r="O375" s="235"/>
      <c r="AC375" s="235"/>
      <c r="AD375" s="235"/>
    </row>
    <row r="376" spans="12:30" x14ac:dyDescent="0.25">
      <c r="L376" s="235"/>
      <c r="O376" s="235"/>
      <c r="AC376" s="235"/>
      <c r="AD376" s="235"/>
    </row>
    <row r="377" spans="12:30" x14ac:dyDescent="0.25">
      <c r="L377" s="235"/>
      <c r="O377" s="235"/>
      <c r="AC377" s="235"/>
      <c r="AD377" s="235"/>
    </row>
    <row r="378" spans="12:30" x14ac:dyDescent="0.25">
      <c r="L378" s="235"/>
      <c r="O378" s="235"/>
      <c r="AC378" s="235"/>
      <c r="AD378" s="235"/>
    </row>
    <row r="379" spans="12:30" x14ac:dyDescent="0.25">
      <c r="L379" s="235"/>
      <c r="O379" s="235"/>
      <c r="AC379" s="235"/>
      <c r="AD379" s="235"/>
    </row>
    <row r="380" spans="12:30" x14ac:dyDescent="0.25">
      <c r="L380" s="235"/>
      <c r="O380" s="235"/>
      <c r="AC380" s="235"/>
      <c r="AD380" s="235"/>
    </row>
    <row r="381" spans="12:30" x14ac:dyDescent="0.25">
      <c r="L381" s="235"/>
      <c r="O381" s="235"/>
      <c r="AC381" s="235"/>
      <c r="AD381" s="235"/>
    </row>
    <row r="382" spans="12:30" x14ac:dyDescent="0.25">
      <c r="L382" s="235"/>
      <c r="O382" s="235"/>
      <c r="AC382" s="235"/>
      <c r="AD382" s="235"/>
    </row>
    <row r="383" spans="12:30" x14ac:dyDescent="0.25">
      <c r="L383" s="235"/>
      <c r="O383" s="235"/>
      <c r="AC383" s="235"/>
      <c r="AD383" s="235"/>
    </row>
    <row r="384" spans="12:30" x14ac:dyDescent="0.25">
      <c r="L384" s="235"/>
      <c r="O384" s="235"/>
      <c r="AC384" s="235"/>
      <c r="AD384" s="235"/>
    </row>
    <row r="385" spans="12:30" x14ac:dyDescent="0.25">
      <c r="L385" s="235"/>
      <c r="O385" s="235"/>
      <c r="AC385" s="235"/>
      <c r="AD385" s="235"/>
    </row>
    <row r="386" spans="12:30" x14ac:dyDescent="0.25">
      <c r="L386" s="235"/>
      <c r="O386" s="235"/>
      <c r="AC386" s="235"/>
      <c r="AD386" s="235"/>
    </row>
    <row r="387" spans="12:30" x14ac:dyDescent="0.25">
      <c r="L387" s="235"/>
      <c r="O387" s="235"/>
      <c r="AC387" s="235"/>
      <c r="AD387" s="235"/>
    </row>
    <row r="388" spans="12:30" x14ac:dyDescent="0.25">
      <c r="L388" s="235"/>
      <c r="O388" s="235"/>
      <c r="AC388" s="235"/>
      <c r="AD388" s="235"/>
    </row>
    <row r="389" spans="12:30" x14ac:dyDescent="0.25">
      <c r="L389" s="235"/>
      <c r="O389" s="235"/>
      <c r="AC389" s="235"/>
      <c r="AD389" s="235"/>
    </row>
    <row r="390" spans="12:30" x14ac:dyDescent="0.25">
      <c r="L390" s="235"/>
      <c r="O390" s="235"/>
      <c r="AC390" s="235"/>
      <c r="AD390" s="235"/>
    </row>
    <row r="391" spans="12:30" x14ac:dyDescent="0.25">
      <c r="L391" s="235"/>
      <c r="O391" s="235"/>
      <c r="AC391" s="235"/>
      <c r="AD391" s="235"/>
    </row>
    <row r="392" spans="12:30" x14ac:dyDescent="0.25">
      <c r="L392" s="235"/>
      <c r="O392" s="235"/>
      <c r="AC392" s="235"/>
      <c r="AD392" s="235"/>
    </row>
    <row r="393" spans="12:30" x14ac:dyDescent="0.25">
      <c r="L393" s="235"/>
      <c r="O393" s="235"/>
      <c r="AC393" s="235"/>
      <c r="AD393" s="235"/>
    </row>
    <row r="394" spans="12:30" x14ac:dyDescent="0.25">
      <c r="L394" s="235"/>
      <c r="O394" s="235"/>
      <c r="AC394" s="235"/>
      <c r="AD394" s="235"/>
    </row>
    <row r="395" spans="12:30" x14ac:dyDescent="0.25">
      <c r="L395" s="235"/>
      <c r="O395" s="235"/>
      <c r="AC395" s="235"/>
      <c r="AD395" s="235"/>
    </row>
    <row r="396" spans="12:30" x14ac:dyDescent="0.25">
      <c r="L396" s="235"/>
      <c r="O396" s="235"/>
      <c r="AC396" s="235"/>
      <c r="AD396" s="235"/>
    </row>
    <row r="397" spans="12:30" x14ac:dyDescent="0.25">
      <c r="L397" s="235"/>
      <c r="O397" s="235"/>
      <c r="AC397" s="235"/>
      <c r="AD397" s="235"/>
    </row>
    <row r="398" spans="12:30" x14ac:dyDescent="0.25">
      <c r="L398" s="235"/>
      <c r="O398" s="235"/>
      <c r="AC398" s="235"/>
      <c r="AD398" s="235"/>
    </row>
    <row r="399" spans="12:30" x14ac:dyDescent="0.25">
      <c r="L399" s="235"/>
      <c r="O399" s="235"/>
      <c r="AC399" s="235"/>
      <c r="AD399" s="235"/>
    </row>
    <row r="400" spans="12:30" x14ac:dyDescent="0.25">
      <c r="L400" s="235"/>
      <c r="O400" s="235"/>
      <c r="AC400" s="235"/>
      <c r="AD400" s="235"/>
    </row>
    <row r="401" spans="12:30" x14ac:dyDescent="0.25">
      <c r="L401" s="235"/>
      <c r="O401" s="235"/>
      <c r="AC401" s="235"/>
      <c r="AD401" s="235"/>
    </row>
    <row r="402" spans="12:30" x14ac:dyDescent="0.25">
      <c r="L402" s="235"/>
      <c r="O402" s="235"/>
      <c r="AC402" s="235"/>
      <c r="AD402" s="235"/>
    </row>
    <row r="403" spans="12:30" x14ac:dyDescent="0.25">
      <c r="L403" s="235"/>
      <c r="O403" s="235"/>
      <c r="AC403" s="235"/>
      <c r="AD403" s="235"/>
    </row>
    <row r="404" spans="12:30" x14ac:dyDescent="0.25">
      <c r="L404" s="235"/>
      <c r="O404" s="235"/>
      <c r="AC404" s="235"/>
      <c r="AD404" s="235"/>
    </row>
    <row r="405" spans="12:30" x14ac:dyDescent="0.25">
      <c r="L405" s="235"/>
      <c r="O405" s="235"/>
      <c r="AC405" s="235"/>
      <c r="AD405" s="235"/>
    </row>
    <row r="406" spans="12:30" x14ac:dyDescent="0.25">
      <c r="L406" s="235"/>
      <c r="O406" s="235"/>
      <c r="AC406" s="235"/>
      <c r="AD406" s="235"/>
    </row>
    <row r="407" spans="12:30" x14ac:dyDescent="0.25">
      <c r="L407" s="235"/>
      <c r="O407" s="235"/>
      <c r="AC407" s="235"/>
      <c r="AD407" s="235"/>
    </row>
    <row r="408" spans="12:30" x14ac:dyDescent="0.25">
      <c r="L408" s="235"/>
      <c r="O408" s="235"/>
      <c r="AC408" s="235"/>
      <c r="AD408" s="235"/>
    </row>
    <row r="409" spans="12:30" x14ac:dyDescent="0.25">
      <c r="L409" s="235"/>
      <c r="O409" s="235"/>
      <c r="AC409" s="235"/>
      <c r="AD409" s="235"/>
    </row>
    <row r="410" spans="12:30" x14ac:dyDescent="0.25">
      <c r="L410" s="235"/>
      <c r="O410" s="235"/>
      <c r="AC410" s="235"/>
      <c r="AD410" s="235"/>
    </row>
    <row r="411" spans="12:30" x14ac:dyDescent="0.25">
      <c r="L411" s="235"/>
      <c r="O411" s="235"/>
      <c r="AC411" s="235"/>
      <c r="AD411" s="235"/>
    </row>
    <row r="412" spans="12:30" x14ac:dyDescent="0.25">
      <c r="L412" s="235"/>
      <c r="O412" s="235"/>
      <c r="AC412" s="235"/>
      <c r="AD412" s="235"/>
    </row>
    <row r="413" spans="12:30" x14ac:dyDescent="0.25">
      <c r="L413" s="235"/>
      <c r="O413" s="235"/>
      <c r="AC413" s="235"/>
      <c r="AD413" s="235"/>
    </row>
    <row r="414" spans="12:30" x14ac:dyDescent="0.25">
      <c r="L414" s="235"/>
      <c r="O414" s="235"/>
      <c r="AC414" s="235"/>
      <c r="AD414" s="235"/>
    </row>
    <row r="415" spans="12:30" x14ac:dyDescent="0.25">
      <c r="L415" s="235"/>
      <c r="O415" s="235"/>
      <c r="AC415" s="235"/>
      <c r="AD415" s="235"/>
    </row>
    <row r="416" spans="12:30" x14ac:dyDescent="0.25">
      <c r="L416" s="235"/>
      <c r="O416" s="235"/>
      <c r="AC416" s="235"/>
      <c r="AD416" s="235"/>
    </row>
    <row r="417" spans="12:30" x14ac:dyDescent="0.25">
      <c r="L417" s="235"/>
      <c r="O417" s="235"/>
      <c r="AC417" s="235"/>
      <c r="AD417" s="235"/>
    </row>
    <row r="418" spans="12:30" x14ac:dyDescent="0.25">
      <c r="L418" s="235"/>
      <c r="O418" s="235"/>
      <c r="AC418" s="235"/>
      <c r="AD418" s="235"/>
    </row>
    <row r="419" spans="12:30" x14ac:dyDescent="0.25">
      <c r="L419" s="235"/>
      <c r="O419" s="235"/>
      <c r="AC419" s="235"/>
      <c r="AD419" s="235"/>
    </row>
    <row r="420" spans="12:30" x14ac:dyDescent="0.25">
      <c r="L420" s="235"/>
      <c r="O420" s="235"/>
      <c r="AC420" s="235"/>
      <c r="AD420" s="235"/>
    </row>
    <row r="421" spans="12:30" x14ac:dyDescent="0.25">
      <c r="L421" s="235"/>
      <c r="O421" s="235"/>
      <c r="AC421" s="235"/>
      <c r="AD421" s="235"/>
    </row>
    <row r="422" spans="12:30" x14ac:dyDescent="0.25">
      <c r="L422" s="235"/>
      <c r="O422" s="235"/>
      <c r="AC422" s="235"/>
      <c r="AD422" s="235"/>
    </row>
    <row r="423" spans="12:30" x14ac:dyDescent="0.25">
      <c r="L423" s="235"/>
      <c r="O423" s="235"/>
      <c r="AC423" s="235"/>
      <c r="AD423" s="235"/>
    </row>
    <row r="424" spans="12:30" x14ac:dyDescent="0.25">
      <c r="L424" s="235"/>
      <c r="O424" s="235"/>
      <c r="AC424" s="235"/>
      <c r="AD424" s="235"/>
    </row>
    <row r="425" spans="12:30" x14ac:dyDescent="0.25">
      <c r="L425" s="235"/>
      <c r="O425" s="235"/>
      <c r="AC425" s="235"/>
      <c r="AD425" s="235"/>
    </row>
    <row r="426" spans="12:30" x14ac:dyDescent="0.25">
      <c r="L426" s="235"/>
      <c r="O426" s="235"/>
      <c r="AC426" s="235"/>
      <c r="AD426" s="235"/>
    </row>
    <row r="427" spans="12:30" x14ac:dyDescent="0.25">
      <c r="L427" s="235"/>
      <c r="O427" s="235"/>
      <c r="AC427" s="235"/>
      <c r="AD427" s="235"/>
    </row>
    <row r="428" spans="12:30" x14ac:dyDescent="0.25">
      <c r="L428" s="235"/>
      <c r="O428" s="235"/>
      <c r="AC428" s="235"/>
      <c r="AD428" s="235"/>
    </row>
    <row r="429" spans="12:30" x14ac:dyDescent="0.25">
      <c r="L429" s="235"/>
      <c r="O429" s="235"/>
      <c r="AC429" s="235"/>
      <c r="AD429" s="235"/>
    </row>
    <row r="430" spans="12:30" x14ac:dyDescent="0.25">
      <c r="L430" s="235"/>
      <c r="O430" s="235"/>
      <c r="AC430" s="235"/>
      <c r="AD430" s="235"/>
    </row>
    <row r="431" spans="12:30" x14ac:dyDescent="0.25">
      <c r="L431" s="235"/>
      <c r="O431" s="235"/>
      <c r="AC431" s="235"/>
      <c r="AD431" s="235"/>
    </row>
    <row r="432" spans="12:30" x14ac:dyDescent="0.25">
      <c r="L432" s="235"/>
      <c r="O432" s="235"/>
      <c r="AC432" s="235"/>
      <c r="AD432" s="235"/>
    </row>
    <row r="433" spans="12:30" x14ac:dyDescent="0.25">
      <c r="L433" s="235"/>
      <c r="O433" s="235"/>
      <c r="AC433" s="235"/>
      <c r="AD433" s="235"/>
    </row>
    <row r="434" spans="12:30" x14ac:dyDescent="0.25">
      <c r="L434" s="235"/>
      <c r="O434" s="235"/>
      <c r="AC434" s="235"/>
      <c r="AD434" s="235"/>
    </row>
    <row r="435" spans="12:30" x14ac:dyDescent="0.25">
      <c r="L435" s="235"/>
      <c r="O435" s="235"/>
      <c r="AC435" s="235"/>
      <c r="AD435" s="235"/>
    </row>
    <row r="436" spans="12:30" x14ac:dyDescent="0.25">
      <c r="L436" s="235"/>
      <c r="O436" s="235"/>
      <c r="AC436" s="235"/>
      <c r="AD436" s="235"/>
    </row>
    <row r="437" spans="12:30" x14ac:dyDescent="0.25">
      <c r="L437" s="235"/>
      <c r="O437" s="235"/>
      <c r="AC437" s="235"/>
      <c r="AD437" s="235"/>
    </row>
    <row r="438" spans="12:30" x14ac:dyDescent="0.25">
      <c r="L438" s="235"/>
      <c r="O438" s="235"/>
      <c r="AC438" s="235"/>
      <c r="AD438" s="235"/>
    </row>
    <row r="439" spans="12:30" x14ac:dyDescent="0.25">
      <c r="L439" s="235"/>
      <c r="O439" s="235"/>
      <c r="AC439" s="235"/>
      <c r="AD439" s="235"/>
    </row>
    <row r="440" spans="12:30" x14ac:dyDescent="0.25">
      <c r="L440" s="235"/>
      <c r="O440" s="235"/>
      <c r="AC440" s="235"/>
      <c r="AD440" s="235"/>
    </row>
    <row r="441" spans="12:30" x14ac:dyDescent="0.25">
      <c r="L441" s="235"/>
      <c r="O441" s="235"/>
      <c r="AC441" s="235"/>
      <c r="AD441" s="235"/>
    </row>
    <row r="442" spans="12:30" x14ac:dyDescent="0.25">
      <c r="L442" s="235"/>
      <c r="O442" s="235"/>
      <c r="AC442" s="235"/>
      <c r="AD442" s="235"/>
    </row>
    <row r="443" spans="12:30" x14ac:dyDescent="0.25">
      <c r="L443" s="235"/>
      <c r="O443" s="235"/>
      <c r="AC443" s="235"/>
      <c r="AD443" s="235"/>
    </row>
    <row r="444" spans="12:30" x14ac:dyDescent="0.25">
      <c r="L444" s="235"/>
      <c r="O444" s="235"/>
      <c r="AC444" s="235"/>
      <c r="AD444" s="235"/>
    </row>
    <row r="445" spans="12:30" x14ac:dyDescent="0.25">
      <c r="L445" s="235"/>
      <c r="O445" s="235"/>
      <c r="AC445" s="235"/>
      <c r="AD445" s="235"/>
    </row>
    <row r="446" spans="12:30" x14ac:dyDescent="0.25">
      <c r="L446" s="235"/>
      <c r="O446" s="235"/>
      <c r="AC446" s="235"/>
      <c r="AD446" s="235"/>
    </row>
    <row r="447" spans="12:30" x14ac:dyDescent="0.25">
      <c r="L447" s="235"/>
      <c r="O447" s="235"/>
      <c r="AC447" s="235"/>
      <c r="AD447" s="235"/>
    </row>
    <row r="448" spans="12:30" x14ac:dyDescent="0.25">
      <c r="L448" s="235"/>
      <c r="O448" s="235"/>
      <c r="AC448" s="235"/>
      <c r="AD448" s="235"/>
    </row>
    <row r="449" spans="12:30" x14ac:dyDescent="0.25">
      <c r="L449" s="235"/>
      <c r="O449" s="235"/>
      <c r="AC449" s="235"/>
      <c r="AD449" s="235"/>
    </row>
    <row r="450" spans="12:30" x14ac:dyDescent="0.25">
      <c r="L450" s="235"/>
      <c r="O450" s="235"/>
      <c r="AC450" s="235"/>
      <c r="AD450" s="235"/>
    </row>
    <row r="451" spans="12:30" x14ac:dyDescent="0.25">
      <c r="L451" s="235"/>
      <c r="O451" s="235"/>
      <c r="AC451" s="235"/>
      <c r="AD451" s="235"/>
    </row>
    <row r="452" spans="12:30" x14ac:dyDescent="0.25">
      <c r="L452" s="235"/>
      <c r="O452" s="235"/>
      <c r="AC452" s="235"/>
      <c r="AD452" s="235"/>
    </row>
    <row r="453" spans="12:30" x14ac:dyDescent="0.25">
      <c r="L453" s="235"/>
      <c r="O453" s="235"/>
      <c r="AC453" s="235"/>
      <c r="AD453" s="235"/>
    </row>
    <row r="454" spans="12:30" x14ac:dyDescent="0.25">
      <c r="L454" s="235"/>
      <c r="O454" s="235"/>
      <c r="AC454" s="235"/>
      <c r="AD454" s="235"/>
    </row>
    <row r="455" spans="12:30" x14ac:dyDescent="0.25">
      <c r="L455" s="235"/>
      <c r="O455" s="235"/>
      <c r="AC455" s="235"/>
      <c r="AD455" s="235"/>
    </row>
    <row r="456" spans="12:30" x14ac:dyDescent="0.25">
      <c r="L456" s="235"/>
      <c r="O456" s="235"/>
      <c r="AC456" s="235"/>
      <c r="AD456" s="235"/>
    </row>
    <row r="457" spans="12:30" x14ac:dyDescent="0.25">
      <c r="L457" s="235"/>
      <c r="O457" s="235"/>
      <c r="AC457" s="235"/>
      <c r="AD457" s="235"/>
    </row>
    <row r="458" spans="12:30" x14ac:dyDescent="0.25">
      <c r="L458" s="235"/>
      <c r="O458" s="235"/>
      <c r="AC458" s="235"/>
      <c r="AD458" s="235"/>
    </row>
    <row r="459" spans="12:30" x14ac:dyDescent="0.25">
      <c r="L459" s="235"/>
      <c r="O459" s="235"/>
      <c r="AC459" s="235"/>
      <c r="AD459" s="235"/>
    </row>
    <row r="460" spans="12:30" x14ac:dyDescent="0.25">
      <c r="L460" s="235"/>
      <c r="O460" s="235"/>
      <c r="AC460" s="235"/>
      <c r="AD460" s="235"/>
    </row>
    <row r="461" spans="12:30" x14ac:dyDescent="0.25">
      <c r="L461" s="235"/>
      <c r="O461" s="235"/>
      <c r="AC461" s="235"/>
      <c r="AD461" s="235"/>
    </row>
    <row r="462" spans="12:30" x14ac:dyDescent="0.25">
      <c r="L462" s="235"/>
      <c r="O462" s="235"/>
      <c r="AC462" s="235"/>
      <c r="AD462" s="235"/>
    </row>
    <row r="463" spans="12:30" x14ac:dyDescent="0.25">
      <c r="L463" s="235"/>
      <c r="O463" s="235"/>
      <c r="AC463" s="235"/>
      <c r="AD463" s="235"/>
    </row>
    <row r="464" spans="12:30" x14ac:dyDescent="0.25">
      <c r="L464" s="235"/>
      <c r="O464" s="235"/>
      <c r="AC464" s="235"/>
      <c r="AD464" s="235"/>
    </row>
    <row r="465" spans="12:30" x14ac:dyDescent="0.25">
      <c r="L465" s="235"/>
      <c r="O465" s="235"/>
      <c r="AC465" s="235"/>
      <c r="AD465" s="235"/>
    </row>
    <row r="466" spans="12:30" x14ac:dyDescent="0.25">
      <c r="L466" s="235"/>
      <c r="O466" s="235"/>
      <c r="AC466" s="235"/>
      <c r="AD466" s="235"/>
    </row>
    <row r="467" spans="12:30" x14ac:dyDescent="0.25">
      <c r="L467" s="235"/>
      <c r="O467" s="235"/>
      <c r="AC467" s="235"/>
      <c r="AD467" s="235"/>
    </row>
    <row r="468" spans="12:30" x14ac:dyDescent="0.25">
      <c r="L468" s="235"/>
      <c r="O468" s="235"/>
      <c r="AC468" s="235"/>
      <c r="AD468" s="235"/>
    </row>
    <row r="469" spans="12:30" x14ac:dyDescent="0.25">
      <c r="L469" s="235"/>
      <c r="O469" s="235"/>
      <c r="AC469" s="235"/>
      <c r="AD469" s="235"/>
    </row>
    <row r="470" spans="12:30" x14ac:dyDescent="0.25">
      <c r="L470" s="235"/>
      <c r="O470" s="235"/>
      <c r="AC470" s="235"/>
      <c r="AD470" s="235"/>
    </row>
    <row r="471" spans="12:30" x14ac:dyDescent="0.25">
      <c r="L471" s="235"/>
      <c r="O471" s="235"/>
      <c r="AC471" s="235"/>
      <c r="AD471" s="235"/>
    </row>
    <row r="472" spans="12:30" x14ac:dyDescent="0.25">
      <c r="L472" s="235"/>
      <c r="O472" s="235"/>
      <c r="AC472" s="235"/>
      <c r="AD472" s="235"/>
    </row>
    <row r="473" spans="12:30" x14ac:dyDescent="0.25">
      <c r="L473" s="235"/>
      <c r="O473" s="235"/>
      <c r="AC473" s="235"/>
      <c r="AD473" s="235"/>
    </row>
    <row r="474" spans="12:30" x14ac:dyDescent="0.25">
      <c r="L474" s="235"/>
      <c r="O474" s="235"/>
      <c r="AC474" s="235"/>
      <c r="AD474" s="235"/>
    </row>
    <row r="475" spans="12:30" x14ac:dyDescent="0.25">
      <c r="L475" s="235"/>
      <c r="O475" s="235"/>
      <c r="AC475" s="235"/>
      <c r="AD475" s="235"/>
    </row>
    <row r="476" spans="12:30" x14ac:dyDescent="0.25">
      <c r="L476" s="235"/>
      <c r="O476" s="235"/>
      <c r="AC476" s="235"/>
      <c r="AD476" s="235"/>
    </row>
    <row r="477" spans="12:30" x14ac:dyDescent="0.25">
      <c r="L477" s="235"/>
      <c r="O477" s="235"/>
      <c r="AC477" s="235"/>
      <c r="AD477" s="235"/>
    </row>
    <row r="478" spans="12:30" x14ac:dyDescent="0.25">
      <c r="L478" s="235"/>
      <c r="O478" s="235"/>
      <c r="AC478" s="235"/>
      <c r="AD478" s="235"/>
    </row>
    <row r="479" spans="12:30" x14ac:dyDescent="0.25">
      <c r="L479" s="235"/>
      <c r="O479" s="235"/>
      <c r="AC479" s="235"/>
      <c r="AD479" s="235"/>
    </row>
    <row r="480" spans="12:30" x14ac:dyDescent="0.25">
      <c r="L480" s="235"/>
      <c r="O480" s="235"/>
      <c r="AC480" s="235"/>
      <c r="AD480" s="235"/>
    </row>
    <row r="481" spans="12:30" x14ac:dyDescent="0.25">
      <c r="L481" s="235"/>
      <c r="O481" s="235"/>
      <c r="AC481" s="235"/>
      <c r="AD481" s="235"/>
    </row>
    <row r="482" spans="12:30" x14ac:dyDescent="0.25">
      <c r="L482" s="235"/>
      <c r="O482" s="235"/>
      <c r="AC482" s="235"/>
      <c r="AD482" s="235"/>
    </row>
    <row r="483" spans="12:30" x14ac:dyDescent="0.25">
      <c r="L483" s="235"/>
      <c r="O483" s="235"/>
      <c r="AC483" s="235"/>
      <c r="AD483" s="235"/>
    </row>
    <row r="484" spans="12:30" x14ac:dyDescent="0.25">
      <c r="L484" s="235"/>
      <c r="O484" s="235"/>
      <c r="AC484" s="235"/>
      <c r="AD484" s="235"/>
    </row>
    <row r="485" spans="12:30" x14ac:dyDescent="0.25">
      <c r="L485" s="235"/>
      <c r="O485" s="235"/>
      <c r="AC485" s="235"/>
      <c r="AD485" s="235"/>
    </row>
    <row r="486" spans="12:30" x14ac:dyDescent="0.25">
      <c r="L486" s="235"/>
      <c r="O486" s="235"/>
      <c r="AC486" s="235"/>
      <c r="AD486" s="235"/>
    </row>
    <row r="487" spans="12:30" x14ac:dyDescent="0.25">
      <c r="L487" s="235"/>
      <c r="O487" s="235"/>
      <c r="AC487" s="235"/>
      <c r="AD487" s="235"/>
    </row>
    <row r="488" spans="12:30" x14ac:dyDescent="0.25">
      <c r="L488" s="235"/>
      <c r="O488" s="235"/>
      <c r="AC488" s="235"/>
      <c r="AD488" s="235"/>
    </row>
    <row r="489" spans="12:30" x14ac:dyDescent="0.25">
      <c r="L489" s="235"/>
      <c r="O489" s="235"/>
      <c r="AC489" s="235"/>
      <c r="AD489" s="235"/>
    </row>
    <row r="490" spans="12:30" x14ac:dyDescent="0.25">
      <c r="L490" s="235"/>
      <c r="O490" s="235"/>
      <c r="AC490" s="235"/>
      <c r="AD490" s="235"/>
    </row>
    <row r="491" spans="12:30" x14ac:dyDescent="0.25">
      <c r="L491" s="235"/>
      <c r="O491" s="235"/>
      <c r="AC491" s="235"/>
      <c r="AD491" s="235"/>
    </row>
    <row r="492" spans="12:30" x14ac:dyDescent="0.25">
      <c r="L492" s="235"/>
      <c r="O492" s="235"/>
      <c r="AC492" s="235"/>
      <c r="AD492" s="235"/>
    </row>
    <row r="493" spans="12:30" x14ac:dyDescent="0.25">
      <c r="L493" s="235"/>
      <c r="O493" s="235"/>
      <c r="AC493" s="235"/>
      <c r="AD493" s="235"/>
    </row>
    <row r="494" spans="12:30" x14ac:dyDescent="0.25">
      <c r="L494" s="235"/>
      <c r="O494" s="235"/>
      <c r="AC494" s="235"/>
      <c r="AD494" s="235"/>
    </row>
    <row r="495" spans="12:30" x14ac:dyDescent="0.25">
      <c r="L495" s="235"/>
      <c r="O495" s="235"/>
      <c r="AC495" s="235"/>
      <c r="AD495" s="235"/>
    </row>
    <row r="496" spans="12:30" x14ac:dyDescent="0.25">
      <c r="L496" s="235"/>
      <c r="O496" s="235"/>
      <c r="AC496" s="235"/>
      <c r="AD496" s="235"/>
    </row>
    <row r="497" spans="12:30" x14ac:dyDescent="0.25">
      <c r="L497" s="235"/>
      <c r="O497" s="235"/>
      <c r="AC497" s="235"/>
      <c r="AD497" s="235"/>
    </row>
    <row r="498" spans="12:30" x14ac:dyDescent="0.25">
      <c r="L498" s="235"/>
      <c r="O498" s="235"/>
      <c r="AC498" s="235"/>
      <c r="AD498" s="235"/>
    </row>
    <row r="499" spans="12:30" x14ac:dyDescent="0.25">
      <c r="L499" s="235"/>
      <c r="O499" s="235"/>
      <c r="AC499" s="235"/>
      <c r="AD499" s="235"/>
    </row>
    <row r="500" spans="12:30" x14ac:dyDescent="0.25">
      <c r="L500" s="235"/>
      <c r="O500" s="235"/>
      <c r="AC500" s="235"/>
      <c r="AD500" s="235"/>
    </row>
    <row r="501" spans="12:30" x14ac:dyDescent="0.25">
      <c r="L501" s="235"/>
      <c r="O501" s="235"/>
      <c r="AC501" s="235"/>
      <c r="AD501" s="235"/>
    </row>
    <row r="502" spans="12:30" x14ac:dyDescent="0.25">
      <c r="L502" s="235"/>
      <c r="O502" s="235"/>
      <c r="AC502" s="235"/>
      <c r="AD502" s="235"/>
    </row>
    <row r="503" spans="12:30" x14ac:dyDescent="0.25">
      <c r="L503" s="235"/>
      <c r="O503" s="235"/>
      <c r="AC503" s="235"/>
      <c r="AD503" s="235"/>
    </row>
    <row r="504" spans="12:30" x14ac:dyDescent="0.25">
      <c r="L504" s="235"/>
      <c r="O504" s="235"/>
      <c r="AC504" s="235"/>
      <c r="AD504" s="235"/>
    </row>
    <row r="505" spans="12:30" x14ac:dyDescent="0.25">
      <c r="L505" s="235"/>
      <c r="O505" s="235"/>
      <c r="AC505" s="235"/>
      <c r="AD505" s="235"/>
    </row>
    <row r="506" spans="12:30" x14ac:dyDescent="0.25">
      <c r="L506" s="235"/>
      <c r="O506" s="235"/>
      <c r="AC506" s="235"/>
      <c r="AD506" s="235"/>
    </row>
    <row r="507" spans="12:30" x14ac:dyDescent="0.25">
      <c r="L507" s="235"/>
      <c r="O507" s="235"/>
      <c r="AC507" s="235"/>
      <c r="AD507" s="235"/>
    </row>
    <row r="508" spans="12:30" x14ac:dyDescent="0.25">
      <c r="L508" s="235"/>
      <c r="O508" s="235"/>
      <c r="AC508" s="235"/>
      <c r="AD508" s="235"/>
    </row>
    <row r="509" spans="12:30" x14ac:dyDescent="0.25">
      <c r="L509" s="235"/>
      <c r="O509" s="235"/>
      <c r="AC509" s="235"/>
      <c r="AD509" s="235"/>
    </row>
    <row r="510" spans="12:30" x14ac:dyDescent="0.25">
      <c r="L510" s="235"/>
      <c r="O510" s="235"/>
      <c r="AC510" s="235"/>
      <c r="AD510" s="235"/>
    </row>
    <row r="511" spans="12:30" x14ac:dyDescent="0.25">
      <c r="L511" s="235"/>
      <c r="O511" s="235"/>
      <c r="AC511" s="235"/>
      <c r="AD511" s="235"/>
    </row>
    <row r="512" spans="12:30" x14ac:dyDescent="0.25">
      <c r="L512" s="235"/>
      <c r="O512" s="235"/>
      <c r="AC512" s="235"/>
      <c r="AD512" s="235"/>
    </row>
    <row r="513" spans="12:30" x14ac:dyDescent="0.25">
      <c r="L513" s="235"/>
      <c r="O513" s="235"/>
      <c r="AC513" s="235"/>
      <c r="AD513" s="235"/>
    </row>
    <row r="514" spans="12:30" x14ac:dyDescent="0.25">
      <c r="L514" s="235"/>
      <c r="O514" s="235"/>
      <c r="AC514" s="235"/>
      <c r="AD514" s="235"/>
    </row>
    <row r="515" spans="12:30" x14ac:dyDescent="0.25">
      <c r="L515" s="235"/>
      <c r="O515" s="235"/>
      <c r="AC515" s="235"/>
      <c r="AD515" s="235"/>
    </row>
    <row r="516" spans="12:30" x14ac:dyDescent="0.25">
      <c r="L516" s="235"/>
      <c r="O516" s="235"/>
      <c r="AC516" s="235"/>
      <c r="AD516" s="235"/>
    </row>
    <row r="517" spans="12:30" x14ac:dyDescent="0.25">
      <c r="L517" s="235"/>
      <c r="O517" s="235"/>
      <c r="AC517" s="235"/>
      <c r="AD517" s="235"/>
    </row>
    <row r="518" spans="12:30" x14ac:dyDescent="0.25">
      <c r="L518" s="235"/>
      <c r="O518" s="235"/>
      <c r="AC518" s="235"/>
      <c r="AD518" s="235"/>
    </row>
    <row r="519" spans="12:30" x14ac:dyDescent="0.25">
      <c r="L519" s="235"/>
      <c r="O519" s="235"/>
      <c r="AC519" s="235"/>
      <c r="AD519" s="235"/>
    </row>
    <row r="520" spans="12:30" x14ac:dyDescent="0.25">
      <c r="L520" s="235"/>
      <c r="O520" s="235"/>
      <c r="AC520" s="235"/>
      <c r="AD520" s="235"/>
    </row>
    <row r="521" spans="12:30" x14ac:dyDescent="0.25">
      <c r="L521" s="235"/>
      <c r="O521" s="235"/>
      <c r="AC521" s="235"/>
      <c r="AD521" s="235"/>
    </row>
    <row r="522" spans="12:30" x14ac:dyDescent="0.25">
      <c r="L522" s="235"/>
      <c r="O522" s="235"/>
      <c r="AC522" s="235"/>
      <c r="AD522" s="235"/>
    </row>
    <row r="523" spans="12:30" x14ac:dyDescent="0.25">
      <c r="L523" s="235"/>
      <c r="O523" s="235"/>
      <c r="AC523" s="235"/>
      <c r="AD523" s="235"/>
    </row>
    <row r="524" spans="12:30" x14ac:dyDescent="0.25">
      <c r="L524" s="235"/>
      <c r="O524" s="235"/>
      <c r="AC524" s="235"/>
      <c r="AD524" s="235"/>
    </row>
    <row r="525" spans="12:30" x14ac:dyDescent="0.25">
      <c r="L525" s="235"/>
      <c r="O525" s="235"/>
      <c r="AC525" s="235"/>
      <c r="AD525" s="235"/>
    </row>
    <row r="526" spans="12:30" x14ac:dyDescent="0.25">
      <c r="L526" s="235"/>
      <c r="O526" s="235"/>
      <c r="AC526" s="235"/>
      <c r="AD526" s="235"/>
    </row>
    <row r="527" spans="12:30" x14ac:dyDescent="0.25">
      <c r="L527" s="235"/>
      <c r="O527" s="235"/>
      <c r="AC527" s="235"/>
      <c r="AD527" s="235"/>
    </row>
    <row r="528" spans="12:30" x14ac:dyDescent="0.25">
      <c r="L528" s="235"/>
      <c r="O528" s="235"/>
      <c r="AC528" s="235"/>
      <c r="AD528" s="235"/>
    </row>
    <row r="529" spans="12:30" x14ac:dyDescent="0.25">
      <c r="L529" s="235"/>
      <c r="O529" s="235"/>
      <c r="AC529" s="235"/>
      <c r="AD529" s="235"/>
    </row>
    <row r="530" spans="12:30" x14ac:dyDescent="0.25">
      <c r="L530" s="235"/>
      <c r="O530" s="235"/>
      <c r="AC530" s="235"/>
      <c r="AD530" s="235"/>
    </row>
    <row r="531" spans="12:30" x14ac:dyDescent="0.25">
      <c r="L531" s="235"/>
      <c r="O531" s="235"/>
      <c r="AC531" s="235"/>
      <c r="AD531" s="235"/>
    </row>
    <row r="532" spans="12:30" x14ac:dyDescent="0.25">
      <c r="L532" s="235"/>
      <c r="O532" s="235"/>
      <c r="AC532" s="235"/>
      <c r="AD532" s="235"/>
    </row>
    <row r="533" spans="12:30" x14ac:dyDescent="0.25">
      <c r="L533" s="235"/>
      <c r="O533" s="235"/>
      <c r="AC533" s="235"/>
      <c r="AD533" s="235"/>
    </row>
    <row r="534" spans="12:30" x14ac:dyDescent="0.25">
      <c r="L534" s="235"/>
      <c r="O534" s="235"/>
      <c r="AC534" s="235"/>
      <c r="AD534" s="235"/>
    </row>
    <row r="535" spans="12:30" x14ac:dyDescent="0.25">
      <c r="L535" s="235"/>
      <c r="O535" s="235"/>
      <c r="AC535" s="235"/>
      <c r="AD535" s="235"/>
    </row>
    <row r="536" spans="12:30" x14ac:dyDescent="0.25">
      <c r="L536" s="235"/>
      <c r="O536" s="235"/>
      <c r="AC536" s="235"/>
      <c r="AD536" s="235"/>
    </row>
    <row r="537" spans="12:30" x14ac:dyDescent="0.25">
      <c r="L537" s="235"/>
      <c r="O537" s="235"/>
      <c r="AC537" s="235"/>
      <c r="AD537" s="235"/>
    </row>
    <row r="538" spans="12:30" x14ac:dyDescent="0.25">
      <c r="L538" s="235"/>
      <c r="O538" s="235"/>
      <c r="AC538" s="235"/>
      <c r="AD538" s="235"/>
    </row>
    <row r="539" spans="12:30" x14ac:dyDescent="0.25">
      <c r="L539" s="235"/>
      <c r="O539" s="235"/>
      <c r="AC539" s="235"/>
      <c r="AD539" s="235"/>
    </row>
    <row r="540" spans="12:30" x14ac:dyDescent="0.25">
      <c r="L540" s="235"/>
      <c r="O540" s="235"/>
      <c r="AC540" s="235"/>
      <c r="AD540" s="235"/>
    </row>
    <row r="541" spans="12:30" x14ac:dyDescent="0.25">
      <c r="L541" s="235"/>
      <c r="O541" s="235"/>
      <c r="AC541" s="235"/>
      <c r="AD541" s="235"/>
    </row>
    <row r="542" spans="12:30" x14ac:dyDescent="0.25">
      <c r="L542" s="235"/>
      <c r="O542" s="235"/>
      <c r="AC542" s="235"/>
      <c r="AD542" s="235"/>
    </row>
    <row r="543" spans="12:30" x14ac:dyDescent="0.25">
      <c r="L543" s="235"/>
      <c r="O543" s="235"/>
      <c r="AC543" s="235"/>
      <c r="AD543" s="235"/>
    </row>
    <row r="544" spans="12:30" x14ac:dyDescent="0.25">
      <c r="L544" s="235"/>
      <c r="O544" s="235"/>
      <c r="AC544" s="235"/>
      <c r="AD544" s="235"/>
    </row>
    <row r="545" spans="12:30" x14ac:dyDescent="0.25">
      <c r="L545" s="235"/>
      <c r="O545" s="235"/>
      <c r="AC545" s="235"/>
      <c r="AD545" s="235"/>
    </row>
    <row r="546" spans="12:30" x14ac:dyDescent="0.25">
      <c r="L546" s="235"/>
      <c r="O546" s="235"/>
      <c r="AC546" s="235"/>
      <c r="AD546" s="235"/>
    </row>
    <row r="547" spans="12:30" x14ac:dyDescent="0.25">
      <c r="L547" s="235"/>
      <c r="O547" s="235"/>
      <c r="AC547" s="235"/>
      <c r="AD547" s="235"/>
    </row>
    <row r="548" spans="12:30" x14ac:dyDescent="0.25">
      <c r="L548" s="235"/>
      <c r="O548" s="235"/>
      <c r="AC548" s="235"/>
      <c r="AD548" s="235"/>
    </row>
    <row r="549" spans="12:30" x14ac:dyDescent="0.25">
      <c r="L549" s="235"/>
      <c r="O549" s="235"/>
      <c r="AC549" s="235"/>
      <c r="AD549" s="235"/>
    </row>
    <row r="550" spans="12:30" x14ac:dyDescent="0.25">
      <c r="L550" s="235"/>
      <c r="O550" s="235"/>
      <c r="AC550" s="235"/>
      <c r="AD550" s="235"/>
    </row>
    <row r="551" spans="12:30" x14ac:dyDescent="0.25">
      <c r="L551" s="235"/>
      <c r="O551" s="235"/>
      <c r="AC551" s="235"/>
      <c r="AD551" s="235"/>
    </row>
    <row r="552" spans="12:30" x14ac:dyDescent="0.25">
      <c r="L552" s="235"/>
      <c r="O552" s="235"/>
      <c r="AC552" s="235"/>
      <c r="AD552" s="235"/>
    </row>
    <row r="553" spans="12:30" x14ac:dyDescent="0.25">
      <c r="L553" s="235"/>
      <c r="O553" s="235"/>
      <c r="AC553" s="235"/>
      <c r="AD553" s="235"/>
    </row>
    <row r="554" spans="12:30" x14ac:dyDescent="0.25">
      <c r="L554" s="235"/>
      <c r="O554" s="235"/>
      <c r="AC554" s="235"/>
      <c r="AD554" s="235"/>
    </row>
    <row r="555" spans="12:30" x14ac:dyDescent="0.25">
      <c r="L555" s="235"/>
      <c r="O555" s="235"/>
      <c r="AC555" s="235"/>
      <c r="AD555" s="235"/>
    </row>
    <row r="556" spans="12:30" x14ac:dyDescent="0.25">
      <c r="L556" s="235"/>
      <c r="O556" s="235"/>
      <c r="AC556" s="235"/>
      <c r="AD556" s="235"/>
    </row>
    <row r="557" spans="12:30" x14ac:dyDescent="0.25">
      <c r="L557" s="235"/>
      <c r="O557" s="235"/>
      <c r="AC557" s="235"/>
      <c r="AD557" s="235"/>
    </row>
    <row r="558" spans="12:30" x14ac:dyDescent="0.25">
      <c r="L558" s="235"/>
      <c r="O558" s="235"/>
      <c r="AC558" s="235"/>
      <c r="AD558" s="235"/>
    </row>
    <row r="559" spans="12:30" x14ac:dyDescent="0.25">
      <c r="L559" s="235"/>
      <c r="O559" s="235"/>
      <c r="AC559" s="235"/>
      <c r="AD559" s="235"/>
    </row>
    <row r="560" spans="12:30" x14ac:dyDescent="0.25">
      <c r="L560" s="235"/>
      <c r="O560" s="235"/>
      <c r="AC560" s="235"/>
      <c r="AD560" s="235"/>
    </row>
    <row r="561" spans="12:30" x14ac:dyDescent="0.25">
      <c r="L561" s="235"/>
      <c r="O561" s="235"/>
      <c r="AC561" s="235"/>
      <c r="AD561" s="235"/>
    </row>
    <row r="562" spans="12:30" x14ac:dyDescent="0.25">
      <c r="L562" s="235"/>
      <c r="O562" s="235"/>
      <c r="AC562" s="235"/>
      <c r="AD562" s="235"/>
    </row>
    <row r="563" spans="12:30" x14ac:dyDescent="0.25">
      <c r="L563" s="235"/>
      <c r="O563" s="235"/>
      <c r="AC563" s="235"/>
      <c r="AD563" s="235"/>
    </row>
    <row r="564" spans="12:30" x14ac:dyDescent="0.25">
      <c r="L564" s="235"/>
      <c r="O564" s="235"/>
      <c r="AC564" s="235"/>
      <c r="AD564" s="235"/>
    </row>
    <row r="565" spans="12:30" x14ac:dyDescent="0.25">
      <c r="L565" s="235"/>
      <c r="O565" s="235"/>
      <c r="AC565" s="235"/>
      <c r="AD565" s="235"/>
    </row>
    <row r="566" spans="12:30" x14ac:dyDescent="0.25">
      <c r="L566" s="235"/>
      <c r="O566" s="235"/>
      <c r="AC566" s="235"/>
      <c r="AD566" s="235"/>
    </row>
    <row r="567" spans="12:30" x14ac:dyDescent="0.25">
      <c r="L567" s="235"/>
      <c r="O567" s="235"/>
      <c r="AC567" s="235"/>
      <c r="AD567" s="235"/>
    </row>
    <row r="568" spans="12:30" x14ac:dyDescent="0.25">
      <c r="L568" s="235"/>
      <c r="O568" s="235"/>
      <c r="AC568" s="235"/>
      <c r="AD568" s="235"/>
    </row>
    <row r="569" spans="12:30" x14ac:dyDescent="0.25">
      <c r="L569" s="235"/>
      <c r="O569" s="235"/>
      <c r="AC569" s="235"/>
      <c r="AD569" s="235"/>
    </row>
    <row r="570" spans="12:30" x14ac:dyDescent="0.25">
      <c r="L570" s="235"/>
      <c r="O570" s="235"/>
      <c r="AC570" s="235"/>
      <c r="AD570" s="235"/>
    </row>
    <row r="571" spans="12:30" x14ac:dyDescent="0.25">
      <c r="L571" s="235"/>
      <c r="O571" s="235"/>
      <c r="AC571" s="235"/>
      <c r="AD571" s="235"/>
    </row>
    <row r="572" spans="12:30" x14ac:dyDescent="0.25">
      <c r="L572" s="235"/>
      <c r="O572" s="235"/>
      <c r="AC572" s="235"/>
      <c r="AD572" s="235"/>
    </row>
    <row r="573" spans="12:30" x14ac:dyDescent="0.25">
      <c r="L573" s="235"/>
      <c r="O573" s="235"/>
      <c r="AC573" s="235"/>
      <c r="AD573" s="235"/>
    </row>
    <row r="574" spans="12:30" x14ac:dyDescent="0.25">
      <c r="L574" s="235"/>
      <c r="O574" s="235"/>
      <c r="AC574" s="235"/>
      <c r="AD574" s="235"/>
    </row>
    <row r="575" spans="12:30" x14ac:dyDescent="0.25">
      <c r="L575" s="235"/>
      <c r="O575" s="235"/>
      <c r="AC575" s="235"/>
      <c r="AD575" s="235"/>
    </row>
    <row r="576" spans="12:30" x14ac:dyDescent="0.25">
      <c r="L576" s="235"/>
      <c r="O576" s="235"/>
      <c r="AC576" s="235"/>
      <c r="AD576" s="235"/>
    </row>
    <row r="577" spans="12:30" x14ac:dyDescent="0.25">
      <c r="L577" s="235"/>
      <c r="O577" s="235"/>
      <c r="AC577" s="235"/>
      <c r="AD577" s="235"/>
    </row>
    <row r="578" spans="12:30" x14ac:dyDescent="0.25">
      <c r="L578" s="235"/>
      <c r="O578" s="235"/>
      <c r="AC578" s="235"/>
      <c r="AD578" s="235"/>
    </row>
    <row r="579" spans="12:30" x14ac:dyDescent="0.25">
      <c r="L579" s="235"/>
      <c r="O579" s="235"/>
      <c r="AC579" s="235"/>
      <c r="AD579" s="235"/>
    </row>
    <row r="580" spans="12:30" x14ac:dyDescent="0.25">
      <c r="L580" s="235"/>
      <c r="O580" s="235"/>
      <c r="AC580" s="235"/>
      <c r="AD580" s="235"/>
    </row>
    <row r="581" spans="12:30" x14ac:dyDescent="0.25">
      <c r="L581" s="235"/>
      <c r="O581" s="235"/>
      <c r="AC581" s="235"/>
      <c r="AD581" s="235"/>
    </row>
    <row r="582" spans="12:30" x14ac:dyDescent="0.25">
      <c r="L582" s="235"/>
      <c r="O582" s="235"/>
      <c r="AC582" s="235"/>
      <c r="AD582" s="235"/>
    </row>
    <row r="583" spans="12:30" x14ac:dyDescent="0.25">
      <c r="L583" s="235"/>
      <c r="O583" s="235"/>
      <c r="AC583" s="235"/>
      <c r="AD583" s="235"/>
    </row>
    <row r="584" spans="12:30" x14ac:dyDescent="0.25">
      <c r="L584" s="235"/>
      <c r="O584" s="235"/>
      <c r="AC584" s="235"/>
      <c r="AD584" s="235"/>
    </row>
    <row r="585" spans="12:30" x14ac:dyDescent="0.25">
      <c r="L585" s="235"/>
      <c r="O585" s="235"/>
      <c r="AC585" s="235"/>
      <c r="AD585" s="235"/>
    </row>
    <row r="586" spans="12:30" x14ac:dyDescent="0.25">
      <c r="L586" s="235"/>
      <c r="O586" s="235"/>
      <c r="AC586" s="235"/>
      <c r="AD586" s="235"/>
    </row>
    <row r="587" spans="12:30" x14ac:dyDescent="0.25">
      <c r="L587" s="235"/>
      <c r="O587" s="235"/>
      <c r="AC587" s="235"/>
      <c r="AD587" s="235"/>
    </row>
    <row r="588" spans="12:30" x14ac:dyDescent="0.25">
      <c r="L588" s="235"/>
      <c r="O588" s="235"/>
      <c r="AC588" s="235"/>
      <c r="AD588" s="235"/>
    </row>
    <row r="589" spans="12:30" x14ac:dyDescent="0.25">
      <c r="L589" s="235"/>
      <c r="O589" s="235"/>
      <c r="AC589" s="235"/>
      <c r="AD589" s="235"/>
    </row>
    <row r="590" spans="12:30" x14ac:dyDescent="0.25">
      <c r="L590" s="235"/>
      <c r="O590" s="235"/>
      <c r="AC590" s="235"/>
      <c r="AD590" s="235"/>
    </row>
    <row r="591" spans="12:30" x14ac:dyDescent="0.25">
      <c r="L591" s="235"/>
      <c r="O591" s="235"/>
      <c r="AC591" s="235"/>
      <c r="AD591" s="235"/>
    </row>
    <row r="592" spans="12:30" x14ac:dyDescent="0.25">
      <c r="L592" s="235"/>
      <c r="O592" s="235"/>
      <c r="AC592" s="235"/>
      <c r="AD592" s="235"/>
    </row>
    <row r="593" spans="12:30" x14ac:dyDescent="0.25">
      <c r="L593" s="235"/>
      <c r="O593" s="235"/>
      <c r="AC593" s="235"/>
      <c r="AD593" s="235"/>
    </row>
    <row r="594" spans="12:30" x14ac:dyDescent="0.25">
      <c r="L594" s="235"/>
      <c r="O594" s="235"/>
      <c r="AC594" s="235"/>
      <c r="AD594" s="235"/>
    </row>
    <row r="595" spans="12:30" x14ac:dyDescent="0.25">
      <c r="L595" s="235"/>
      <c r="O595" s="235"/>
      <c r="AC595" s="235"/>
      <c r="AD595" s="235"/>
    </row>
    <row r="596" spans="12:30" x14ac:dyDescent="0.25">
      <c r="L596" s="235"/>
      <c r="O596" s="235"/>
      <c r="AC596" s="235"/>
      <c r="AD596" s="235"/>
    </row>
    <row r="597" spans="12:30" x14ac:dyDescent="0.25">
      <c r="L597" s="235"/>
      <c r="O597" s="235"/>
      <c r="AC597" s="235"/>
      <c r="AD597" s="235"/>
    </row>
    <row r="598" spans="12:30" x14ac:dyDescent="0.25">
      <c r="L598" s="235"/>
      <c r="O598" s="235"/>
      <c r="AC598" s="235"/>
      <c r="AD598" s="235"/>
    </row>
    <row r="599" spans="12:30" x14ac:dyDescent="0.25">
      <c r="L599" s="235"/>
      <c r="O599" s="235"/>
      <c r="AC599" s="235"/>
      <c r="AD599" s="235"/>
    </row>
    <row r="600" spans="12:30" x14ac:dyDescent="0.25">
      <c r="L600" s="235"/>
      <c r="O600" s="235"/>
      <c r="AC600" s="235"/>
      <c r="AD600" s="235"/>
    </row>
    <row r="601" spans="12:30" x14ac:dyDescent="0.25">
      <c r="L601" s="235"/>
      <c r="O601" s="235"/>
      <c r="AC601" s="235"/>
      <c r="AD601" s="235"/>
    </row>
    <row r="602" spans="12:30" x14ac:dyDescent="0.25">
      <c r="L602" s="235"/>
      <c r="O602" s="235"/>
      <c r="AC602" s="235"/>
      <c r="AD602" s="235"/>
    </row>
    <row r="603" spans="12:30" x14ac:dyDescent="0.25">
      <c r="L603" s="235"/>
      <c r="O603" s="235"/>
      <c r="AC603" s="235"/>
      <c r="AD603" s="235"/>
    </row>
    <row r="604" spans="12:30" x14ac:dyDescent="0.25">
      <c r="L604" s="235"/>
      <c r="O604" s="235"/>
      <c r="AC604" s="235"/>
      <c r="AD604" s="235"/>
    </row>
    <row r="605" spans="12:30" x14ac:dyDescent="0.25">
      <c r="L605" s="235"/>
      <c r="O605" s="235"/>
      <c r="AC605" s="235"/>
      <c r="AD605" s="235"/>
    </row>
    <row r="606" spans="12:30" x14ac:dyDescent="0.25">
      <c r="L606" s="235"/>
      <c r="O606" s="235"/>
      <c r="AC606" s="235"/>
      <c r="AD606" s="235"/>
    </row>
    <row r="607" spans="12:30" x14ac:dyDescent="0.25">
      <c r="L607" s="235"/>
      <c r="O607" s="235"/>
      <c r="AC607" s="235"/>
      <c r="AD607" s="235"/>
    </row>
    <row r="608" spans="12:30" x14ac:dyDescent="0.25">
      <c r="L608" s="235"/>
      <c r="O608" s="235"/>
      <c r="AC608" s="235"/>
      <c r="AD608" s="235"/>
    </row>
    <row r="609" spans="12:30" x14ac:dyDescent="0.25">
      <c r="L609" s="235"/>
      <c r="O609" s="235"/>
      <c r="AC609" s="235"/>
      <c r="AD609" s="235"/>
    </row>
    <row r="610" spans="12:30" x14ac:dyDescent="0.25">
      <c r="L610" s="235"/>
      <c r="O610" s="235"/>
      <c r="AC610" s="235"/>
      <c r="AD610" s="235"/>
    </row>
    <row r="611" spans="12:30" x14ac:dyDescent="0.25">
      <c r="L611" s="235"/>
      <c r="O611" s="235"/>
      <c r="AC611" s="235"/>
      <c r="AD611" s="235"/>
    </row>
    <row r="612" spans="12:30" x14ac:dyDescent="0.25">
      <c r="L612" s="235"/>
      <c r="O612" s="235"/>
      <c r="AC612" s="235"/>
      <c r="AD612" s="235"/>
    </row>
    <row r="613" spans="12:30" x14ac:dyDescent="0.25">
      <c r="L613" s="235"/>
      <c r="O613" s="235"/>
      <c r="AC613" s="235"/>
      <c r="AD613" s="235"/>
    </row>
    <row r="614" spans="12:30" x14ac:dyDescent="0.25">
      <c r="L614" s="235"/>
      <c r="O614" s="235"/>
      <c r="AC614" s="235"/>
      <c r="AD614" s="235"/>
    </row>
    <row r="615" spans="12:30" x14ac:dyDescent="0.25">
      <c r="L615" s="235"/>
      <c r="O615" s="235"/>
      <c r="AC615" s="235"/>
      <c r="AD615" s="235"/>
    </row>
    <row r="616" spans="12:30" x14ac:dyDescent="0.25">
      <c r="L616" s="235"/>
      <c r="O616" s="235"/>
      <c r="AC616" s="235"/>
      <c r="AD616" s="235"/>
    </row>
    <row r="617" spans="12:30" x14ac:dyDescent="0.25">
      <c r="L617" s="235"/>
      <c r="O617" s="235"/>
      <c r="AC617" s="235"/>
      <c r="AD617" s="235"/>
    </row>
    <row r="618" spans="12:30" x14ac:dyDescent="0.25">
      <c r="L618" s="235"/>
      <c r="O618" s="235"/>
      <c r="AC618" s="235"/>
      <c r="AD618" s="235"/>
    </row>
    <row r="619" spans="12:30" x14ac:dyDescent="0.25">
      <c r="L619" s="235"/>
      <c r="O619" s="235"/>
      <c r="AC619" s="235"/>
      <c r="AD619" s="235"/>
    </row>
    <row r="620" spans="12:30" x14ac:dyDescent="0.25">
      <c r="L620" s="235"/>
      <c r="O620" s="235"/>
      <c r="AC620" s="235"/>
      <c r="AD620" s="235"/>
    </row>
    <row r="621" spans="12:30" x14ac:dyDescent="0.25">
      <c r="L621" s="235"/>
      <c r="O621" s="235"/>
      <c r="AC621" s="235"/>
      <c r="AD621" s="235"/>
    </row>
    <row r="622" spans="12:30" x14ac:dyDescent="0.25">
      <c r="L622" s="235"/>
      <c r="O622" s="235"/>
      <c r="AC622" s="235"/>
      <c r="AD622" s="235"/>
    </row>
    <row r="623" spans="12:30" x14ac:dyDescent="0.25">
      <c r="L623" s="235"/>
      <c r="O623" s="235"/>
      <c r="AC623" s="235"/>
      <c r="AD623" s="235"/>
    </row>
    <row r="624" spans="12:30" x14ac:dyDescent="0.25">
      <c r="L624" s="235"/>
      <c r="O624" s="235"/>
      <c r="AC624" s="235"/>
      <c r="AD624" s="235"/>
    </row>
    <row r="625" spans="12:30" x14ac:dyDescent="0.25">
      <c r="L625" s="235"/>
      <c r="O625" s="235"/>
      <c r="AC625" s="235"/>
      <c r="AD625" s="235"/>
    </row>
    <row r="626" spans="12:30" x14ac:dyDescent="0.25">
      <c r="L626" s="235"/>
      <c r="O626" s="235"/>
      <c r="AC626" s="235"/>
      <c r="AD626" s="235"/>
    </row>
    <row r="627" spans="12:30" x14ac:dyDescent="0.25">
      <c r="L627" s="235"/>
      <c r="O627" s="235"/>
      <c r="AC627" s="235"/>
      <c r="AD627" s="235"/>
    </row>
    <row r="628" spans="12:30" x14ac:dyDescent="0.25">
      <c r="L628" s="235"/>
      <c r="O628" s="235"/>
      <c r="AC628" s="235"/>
      <c r="AD628" s="235"/>
    </row>
    <row r="629" spans="12:30" x14ac:dyDescent="0.25">
      <c r="L629" s="235"/>
      <c r="O629" s="235"/>
      <c r="AC629" s="235"/>
      <c r="AD629" s="235"/>
    </row>
    <row r="630" spans="12:30" x14ac:dyDescent="0.25">
      <c r="L630" s="235"/>
      <c r="O630" s="235"/>
      <c r="AC630" s="235"/>
      <c r="AD630" s="235"/>
    </row>
    <row r="631" spans="12:30" x14ac:dyDescent="0.25">
      <c r="L631" s="235"/>
      <c r="O631" s="235"/>
      <c r="AC631" s="235"/>
      <c r="AD631" s="235"/>
    </row>
    <row r="632" spans="12:30" x14ac:dyDescent="0.25">
      <c r="L632" s="235"/>
      <c r="O632" s="235"/>
      <c r="AC632" s="235"/>
      <c r="AD632" s="235"/>
    </row>
    <row r="633" spans="12:30" x14ac:dyDescent="0.25">
      <c r="L633" s="235"/>
      <c r="O633" s="235"/>
      <c r="AC633" s="235"/>
      <c r="AD633" s="235"/>
    </row>
    <row r="634" spans="12:30" x14ac:dyDescent="0.25">
      <c r="L634" s="235"/>
      <c r="O634" s="235"/>
      <c r="AC634" s="235"/>
      <c r="AD634" s="235"/>
    </row>
    <row r="635" spans="12:30" x14ac:dyDescent="0.25">
      <c r="L635" s="235"/>
      <c r="O635" s="235"/>
      <c r="AC635" s="235"/>
      <c r="AD635" s="235"/>
    </row>
    <row r="636" spans="12:30" x14ac:dyDescent="0.25">
      <c r="L636" s="235"/>
      <c r="O636" s="235"/>
      <c r="AC636" s="235"/>
      <c r="AD636" s="235"/>
    </row>
    <row r="637" spans="12:30" x14ac:dyDescent="0.25">
      <c r="L637" s="235"/>
      <c r="O637" s="235"/>
      <c r="AC637" s="235"/>
      <c r="AD637" s="235"/>
    </row>
    <row r="638" spans="12:30" x14ac:dyDescent="0.25">
      <c r="L638" s="235"/>
      <c r="O638" s="235"/>
      <c r="AC638" s="235"/>
      <c r="AD638" s="235"/>
    </row>
    <row r="639" spans="12:30" x14ac:dyDescent="0.25">
      <c r="L639" s="235"/>
      <c r="O639" s="235"/>
      <c r="AC639" s="235"/>
      <c r="AD639" s="235"/>
    </row>
    <row r="640" spans="12:30" x14ac:dyDescent="0.25">
      <c r="L640" s="235"/>
      <c r="O640" s="235"/>
      <c r="AC640" s="235"/>
      <c r="AD640" s="235"/>
    </row>
    <row r="641" spans="12:30" x14ac:dyDescent="0.25">
      <c r="L641" s="235"/>
      <c r="O641" s="235"/>
      <c r="AC641" s="235"/>
      <c r="AD641" s="235"/>
    </row>
    <row r="642" spans="12:30" x14ac:dyDescent="0.25">
      <c r="L642" s="235"/>
      <c r="O642" s="235"/>
      <c r="AC642" s="235"/>
      <c r="AD642" s="235"/>
    </row>
    <row r="643" spans="12:30" x14ac:dyDescent="0.25">
      <c r="L643" s="235"/>
      <c r="O643" s="235"/>
      <c r="AC643" s="235"/>
      <c r="AD643" s="235"/>
    </row>
    <row r="644" spans="12:30" x14ac:dyDescent="0.25">
      <c r="L644" s="235"/>
      <c r="O644" s="235"/>
      <c r="AC644" s="235"/>
      <c r="AD644" s="235"/>
    </row>
    <row r="645" spans="12:30" x14ac:dyDescent="0.25">
      <c r="L645" s="235"/>
      <c r="O645" s="235"/>
      <c r="AC645" s="235"/>
      <c r="AD645" s="235"/>
    </row>
    <row r="646" spans="12:30" x14ac:dyDescent="0.25">
      <c r="L646" s="235"/>
      <c r="O646" s="235"/>
      <c r="AC646" s="235"/>
      <c r="AD646" s="235"/>
    </row>
    <row r="647" spans="12:30" x14ac:dyDescent="0.25">
      <c r="L647" s="235"/>
      <c r="O647" s="235"/>
      <c r="AC647" s="235"/>
      <c r="AD647" s="235"/>
    </row>
    <row r="648" spans="12:30" x14ac:dyDescent="0.25">
      <c r="L648" s="235"/>
      <c r="O648" s="235"/>
      <c r="AC648" s="235"/>
      <c r="AD648" s="235"/>
    </row>
    <row r="649" spans="12:30" x14ac:dyDescent="0.25">
      <c r="L649" s="235"/>
      <c r="O649" s="235"/>
      <c r="AC649" s="235"/>
      <c r="AD649" s="235"/>
    </row>
    <row r="650" spans="12:30" x14ac:dyDescent="0.25">
      <c r="L650" s="235"/>
      <c r="O650" s="235"/>
      <c r="AC650" s="235"/>
      <c r="AD650" s="235"/>
    </row>
    <row r="651" spans="12:30" x14ac:dyDescent="0.25">
      <c r="L651" s="235"/>
      <c r="O651" s="235"/>
      <c r="AC651" s="235"/>
      <c r="AD651" s="235"/>
    </row>
    <row r="652" spans="12:30" x14ac:dyDescent="0.25">
      <c r="L652" s="235"/>
      <c r="O652" s="235"/>
      <c r="AC652" s="235"/>
      <c r="AD652" s="235"/>
    </row>
    <row r="653" spans="12:30" x14ac:dyDescent="0.25">
      <c r="L653" s="235"/>
      <c r="O653" s="235"/>
      <c r="AC653" s="235"/>
      <c r="AD653" s="235"/>
    </row>
    <row r="654" spans="12:30" x14ac:dyDescent="0.25">
      <c r="L654" s="235"/>
      <c r="O654" s="235"/>
      <c r="AC654" s="235"/>
      <c r="AD654" s="235"/>
    </row>
    <row r="655" spans="12:30" x14ac:dyDescent="0.25">
      <c r="L655" s="235"/>
      <c r="O655" s="235"/>
      <c r="AC655" s="235"/>
      <c r="AD655" s="235"/>
    </row>
    <row r="656" spans="12:30" x14ac:dyDescent="0.25">
      <c r="L656" s="235"/>
      <c r="O656" s="235"/>
      <c r="AC656" s="235"/>
      <c r="AD656" s="235"/>
    </row>
    <row r="657" spans="12:30" x14ac:dyDescent="0.25">
      <c r="L657" s="235"/>
      <c r="O657" s="235"/>
      <c r="AC657" s="235"/>
      <c r="AD657" s="235"/>
    </row>
    <row r="658" spans="12:30" x14ac:dyDescent="0.25">
      <c r="L658" s="235"/>
      <c r="O658" s="235"/>
      <c r="AC658" s="235"/>
      <c r="AD658" s="235"/>
    </row>
    <row r="659" spans="12:30" x14ac:dyDescent="0.25">
      <c r="L659" s="235"/>
      <c r="O659" s="235"/>
      <c r="AC659" s="235"/>
      <c r="AD659" s="235"/>
    </row>
    <row r="660" spans="12:30" x14ac:dyDescent="0.25">
      <c r="L660" s="235"/>
      <c r="O660" s="235"/>
      <c r="AC660" s="235"/>
      <c r="AD660" s="235"/>
    </row>
    <row r="661" spans="12:30" x14ac:dyDescent="0.25">
      <c r="L661" s="235"/>
      <c r="O661" s="235"/>
      <c r="AC661" s="235"/>
      <c r="AD661" s="235"/>
    </row>
    <row r="662" spans="12:30" x14ac:dyDescent="0.25">
      <c r="L662" s="235"/>
      <c r="O662" s="235"/>
      <c r="AC662" s="235"/>
      <c r="AD662" s="235"/>
    </row>
    <row r="663" spans="12:30" x14ac:dyDescent="0.25">
      <c r="L663" s="235"/>
      <c r="O663" s="235"/>
      <c r="AC663" s="235"/>
      <c r="AD663" s="235"/>
    </row>
    <row r="664" spans="12:30" x14ac:dyDescent="0.25">
      <c r="L664" s="235"/>
      <c r="O664" s="235"/>
      <c r="AC664" s="235"/>
      <c r="AD664" s="235"/>
    </row>
    <row r="665" spans="12:30" x14ac:dyDescent="0.25">
      <c r="L665" s="235"/>
      <c r="O665" s="235"/>
      <c r="AC665" s="235"/>
      <c r="AD665" s="235"/>
    </row>
    <row r="666" spans="12:30" x14ac:dyDescent="0.25">
      <c r="L666" s="235"/>
      <c r="O666" s="235"/>
      <c r="AC666" s="235"/>
      <c r="AD666" s="235"/>
    </row>
    <row r="667" spans="12:30" x14ac:dyDescent="0.25">
      <c r="L667" s="235"/>
      <c r="O667" s="235"/>
      <c r="AC667" s="235"/>
      <c r="AD667" s="235"/>
    </row>
    <row r="668" spans="12:30" x14ac:dyDescent="0.25">
      <c r="L668" s="235"/>
      <c r="O668" s="235"/>
      <c r="AC668" s="235"/>
      <c r="AD668" s="235"/>
    </row>
    <row r="669" spans="12:30" x14ac:dyDescent="0.25">
      <c r="L669" s="235"/>
      <c r="O669" s="235"/>
      <c r="AC669" s="235"/>
      <c r="AD669" s="235"/>
    </row>
    <row r="670" spans="12:30" x14ac:dyDescent="0.25">
      <c r="L670" s="235"/>
      <c r="O670" s="235"/>
      <c r="AC670" s="235"/>
      <c r="AD670" s="235"/>
    </row>
    <row r="671" spans="12:30" x14ac:dyDescent="0.25">
      <c r="L671" s="235"/>
      <c r="O671" s="235"/>
      <c r="AC671" s="235"/>
      <c r="AD671" s="235"/>
    </row>
    <row r="672" spans="12:30" x14ac:dyDescent="0.25">
      <c r="L672" s="235"/>
      <c r="O672" s="235"/>
      <c r="AC672" s="235"/>
      <c r="AD672" s="235"/>
    </row>
    <row r="673" spans="12:30" x14ac:dyDescent="0.25">
      <c r="L673" s="235"/>
      <c r="O673" s="235"/>
      <c r="AC673" s="235"/>
      <c r="AD673" s="235"/>
    </row>
    <row r="674" spans="12:30" x14ac:dyDescent="0.25">
      <c r="L674" s="235"/>
      <c r="O674" s="235"/>
      <c r="AC674" s="235"/>
      <c r="AD674" s="235"/>
    </row>
    <row r="675" spans="12:30" x14ac:dyDescent="0.25">
      <c r="L675" s="235"/>
      <c r="O675" s="235"/>
      <c r="AC675" s="235"/>
      <c r="AD675" s="235"/>
    </row>
    <row r="676" spans="12:30" x14ac:dyDescent="0.25">
      <c r="L676" s="235"/>
      <c r="O676" s="235"/>
      <c r="AC676" s="235"/>
      <c r="AD676" s="235"/>
    </row>
    <row r="677" spans="12:30" x14ac:dyDescent="0.25">
      <c r="L677" s="235"/>
      <c r="O677" s="235"/>
      <c r="AC677" s="235"/>
      <c r="AD677" s="235"/>
    </row>
    <row r="678" spans="12:30" x14ac:dyDescent="0.25">
      <c r="L678" s="235"/>
      <c r="O678" s="235"/>
      <c r="AC678" s="235"/>
      <c r="AD678" s="235"/>
    </row>
    <row r="679" spans="12:30" x14ac:dyDescent="0.25">
      <c r="L679" s="235"/>
      <c r="O679" s="235"/>
      <c r="AC679" s="235"/>
      <c r="AD679" s="235"/>
    </row>
    <row r="680" spans="12:30" x14ac:dyDescent="0.25">
      <c r="L680" s="235"/>
      <c r="O680" s="235"/>
      <c r="AC680" s="235"/>
      <c r="AD680" s="235"/>
    </row>
    <row r="681" spans="12:30" x14ac:dyDescent="0.25">
      <c r="L681" s="235"/>
      <c r="O681" s="235"/>
      <c r="AC681" s="235"/>
      <c r="AD681" s="235"/>
    </row>
    <row r="682" spans="12:30" x14ac:dyDescent="0.25">
      <c r="L682" s="235"/>
      <c r="O682" s="235"/>
      <c r="AC682" s="235"/>
      <c r="AD682" s="235"/>
    </row>
    <row r="683" spans="12:30" x14ac:dyDescent="0.25">
      <c r="L683" s="235"/>
      <c r="O683" s="235"/>
      <c r="AC683" s="235"/>
      <c r="AD683" s="235"/>
    </row>
    <row r="684" spans="12:30" x14ac:dyDescent="0.25">
      <c r="L684" s="235"/>
      <c r="O684" s="235"/>
      <c r="AC684" s="235"/>
      <c r="AD684" s="235"/>
    </row>
    <row r="685" spans="12:30" x14ac:dyDescent="0.25">
      <c r="L685" s="235"/>
      <c r="O685" s="235"/>
      <c r="AC685" s="235"/>
      <c r="AD685" s="235"/>
    </row>
    <row r="686" spans="12:30" x14ac:dyDescent="0.25">
      <c r="L686" s="235"/>
      <c r="O686" s="235"/>
      <c r="AC686" s="235"/>
      <c r="AD686" s="235"/>
    </row>
    <row r="687" spans="12:30" x14ac:dyDescent="0.25">
      <c r="L687" s="235"/>
      <c r="O687" s="235"/>
      <c r="AC687" s="235"/>
      <c r="AD687" s="235"/>
    </row>
    <row r="688" spans="12:30" x14ac:dyDescent="0.25">
      <c r="L688" s="235"/>
      <c r="O688" s="235"/>
      <c r="AC688" s="235"/>
      <c r="AD688" s="235"/>
    </row>
    <row r="689" spans="12:30" x14ac:dyDescent="0.25">
      <c r="L689" s="235"/>
      <c r="O689" s="235"/>
      <c r="AC689" s="235"/>
      <c r="AD689" s="235"/>
    </row>
    <row r="690" spans="12:30" x14ac:dyDescent="0.25">
      <c r="L690" s="235"/>
      <c r="O690" s="235"/>
      <c r="AC690" s="235"/>
      <c r="AD690" s="235"/>
    </row>
    <row r="691" spans="12:30" x14ac:dyDescent="0.25">
      <c r="L691" s="235"/>
      <c r="O691" s="235"/>
      <c r="AC691" s="235"/>
      <c r="AD691" s="235"/>
    </row>
    <row r="692" spans="12:30" x14ac:dyDescent="0.25">
      <c r="L692" s="235"/>
      <c r="O692" s="235"/>
      <c r="AC692" s="235"/>
      <c r="AD692" s="235"/>
    </row>
    <row r="693" spans="12:30" x14ac:dyDescent="0.25">
      <c r="L693" s="235"/>
      <c r="O693" s="235"/>
      <c r="AC693" s="235"/>
      <c r="AD693" s="235"/>
    </row>
    <row r="694" spans="12:30" x14ac:dyDescent="0.25">
      <c r="L694" s="235"/>
      <c r="O694" s="235"/>
      <c r="AC694" s="235"/>
      <c r="AD694" s="235"/>
    </row>
    <row r="695" spans="12:30" x14ac:dyDescent="0.25">
      <c r="L695" s="235"/>
      <c r="O695" s="235"/>
      <c r="AC695" s="235"/>
      <c r="AD695" s="235"/>
    </row>
    <row r="696" spans="12:30" x14ac:dyDescent="0.25">
      <c r="L696" s="235"/>
      <c r="O696" s="235"/>
      <c r="AC696" s="235"/>
      <c r="AD696" s="235"/>
    </row>
    <row r="697" spans="12:30" x14ac:dyDescent="0.25">
      <c r="L697" s="235"/>
      <c r="O697" s="235"/>
      <c r="AC697" s="235"/>
      <c r="AD697" s="235"/>
    </row>
    <row r="698" spans="12:30" x14ac:dyDescent="0.25">
      <c r="L698" s="235"/>
      <c r="O698" s="235"/>
      <c r="AC698" s="235"/>
      <c r="AD698" s="235"/>
    </row>
    <row r="699" spans="12:30" x14ac:dyDescent="0.25">
      <c r="L699" s="235"/>
      <c r="O699" s="235"/>
      <c r="AC699" s="235"/>
      <c r="AD699" s="235"/>
    </row>
    <row r="700" spans="12:30" x14ac:dyDescent="0.25">
      <c r="L700" s="235"/>
      <c r="O700" s="235"/>
      <c r="AC700" s="235"/>
      <c r="AD700" s="235"/>
    </row>
    <row r="701" spans="12:30" x14ac:dyDescent="0.25">
      <c r="L701" s="235"/>
      <c r="O701" s="235"/>
      <c r="AC701" s="235"/>
      <c r="AD701" s="235"/>
    </row>
    <row r="702" spans="12:30" x14ac:dyDescent="0.25">
      <c r="L702" s="235"/>
      <c r="O702" s="235"/>
      <c r="AC702" s="235"/>
      <c r="AD702" s="235"/>
    </row>
    <row r="703" spans="12:30" x14ac:dyDescent="0.25">
      <c r="L703" s="235"/>
      <c r="O703" s="235"/>
      <c r="AC703" s="235"/>
      <c r="AD703" s="235"/>
    </row>
    <row r="704" spans="12:30" x14ac:dyDescent="0.25">
      <c r="L704" s="235"/>
      <c r="O704" s="235"/>
      <c r="AC704" s="235"/>
      <c r="AD704" s="235"/>
    </row>
    <row r="705" spans="12:30" x14ac:dyDescent="0.25">
      <c r="L705" s="235"/>
      <c r="O705" s="235"/>
      <c r="AC705" s="235"/>
      <c r="AD705" s="235"/>
    </row>
    <row r="706" spans="12:30" x14ac:dyDescent="0.25">
      <c r="L706" s="235"/>
      <c r="O706" s="235"/>
      <c r="AC706" s="235"/>
      <c r="AD706" s="235"/>
    </row>
    <row r="707" spans="12:30" x14ac:dyDescent="0.25">
      <c r="L707" s="235"/>
      <c r="O707" s="235"/>
      <c r="AC707" s="235"/>
      <c r="AD707" s="235"/>
    </row>
    <row r="708" spans="12:30" x14ac:dyDescent="0.25">
      <c r="L708" s="235"/>
      <c r="O708" s="235"/>
      <c r="AC708" s="235"/>
      <c r="AD708" s="235"/>
    </row>
    <row r="709" spans="12:30" x14ac:dyDescent="0.25">
      <c r="L709" s="235"/>
      <c r="O709" s="235"/>
      <c r="AC709" s="235"/>
      <c r="AD709" s="235"/>
    </row>
    <row r="710" spans="12:30" x14ac:dyDescent="0.25">
      <c r="L710" s="235"/>
      <c r="O710" s="235"/>
      <c r="AC710" s="235"/>
      <c r="AD710" s="235"/>
    </row>
    <row r="711" spans="12:30" x14ac:dyDescent="0.25">
      <c r="L711" s="235"/>
      <c r="O711" s="235"/>
      <c r="AC711" s="235"/>
      <c r="AD711" s="235"/>
    </row>
    <row r="712" spans="12:30" x14ac:dyDescent="0.25">
      <c r="L712" s="235"/>
      <c r="O712" s="235"/>
      <c r="AC712" s="235"/>
      <c r="AD712" s="235"/>
    </row>
    <row r="713" spans="12:30" x14ac:dyDescent="0.25">
      <c r="L713" s="235"/>
      <c r="O713" s="235"/>
      <c r="AC713" s="235"/>
      <c r="AD713" s="235"/>
    </row>
    <row r="714" spans="12:30" x14ac:dyDescent="0.25">
      <c r="L714" s="235"/>
      <c r="O714" s="235"/>
      <c r="AC714" s="235"/>
      <c r="AD714" s="235"/>
    </row>
    <row r="715" spans="12:30" x14ac:dyDescent="0.25">
      <c r="L715" s="235"/>
      <c r="O715" s="235"/>
      <c r="AC715" s="235"/>
      <c r="AD715" s="235"/>
    </row>
    <row r="716" spans="12:30" x14ac:dyDescent="0.25">
      <c r="L716" s="235"/>
      <c r="O716" s="235"/>
      <c r="AC716" s="235"/>
      <c r="AD716" s="235"/>
    </row>
    <row r="717" spans="12:30" x14ac:dyDescent="0.25">
      <c r="L717" s="235"/>
      <c r="O717" s="235"/>
      <c r="AC717" s="235"/>
      <c r="AD717" s="235"/>
    </row>
    <row r="718" spans="12:30" x14ac:dyDescent="0.25">
      <c r="L718" s="235"/>
      <c r="O718" s="235"/>
      <c r="AC718" s="235"/>
      <c r="AD718" s="235"/>
    </row>
    <row r="719" spans="12:30" x14ac:dyDescent="0.25">
      <c r="L719" s="235"/>
      <c r="O719" s="235"/>
      <c r="AC719" s="235"/>
      <c r="AD719" s="235"/>
    </row>
    <row r="720" spans="12:30" x14ac:dyDescent="0.25">
      <c r="L720" s="235"/>
      <c r="O720" s="235"/>
      <c r="AC720" s="235"/>
      <c r="AD720" s="235"/>
    </row>
    <row r="721" spans="12:30" x14ac:dyDescent="0.25">
      <c r="L721" s="235"/>
      <c r="O721" s="235"/>
      <c r="AC721" s="235"/>
      <c r="AD721" s="235"/>
    </row>
    <row r="722" spans="12:30" x14ac:dyDescent="0.25">
      <c r="L722" s="235"/>
      <c r="O722" s="235"/>
      <c r="AC722" s="235"/>
      <c r="AD722" s="235"/>
    </row>
    <row r="723" spans="12:30" x14ac:dyDescent="0.25">
      <c r="L723" s="235"/>
      <c r="O723" s="235"/>
      <c r="AC723" s="235"/>
      <c r="AD723" s="235"/>
    </row>
    <row r="724" spans="12:30" x14ac:dyDescent="0.25">
      <c r="L724" s="235"/>
      <c r="O724" s="235"/>
      <c r="AC724" s="235"/>
      <c r="AD724" s="235"/>
    </row>
    <row r="725" spans="12:30" x14ac:dyDescent="0.25">
      <c r="L725" s="235"/>
      <c r="O725" s="235"/>
      <c r="AC725" s="235"/>
      <c r="AD725" s="235"/>
    </row>
    <row r="726" spans="12:30" x14ac:dyDescent="0.25">
      <c r="L726" s="235"/>
      <c r="O726" s="235"/>
      <c r="AC726" s="235"/>
      <c r="AD726" s="235"/>
    </row>
    <row r="727" spans="12:30" x14ac:dyDescent="0.25">
      <c r="L727" s="235"/>
      <c r="O727" s="235"/>
      <c r="AC727" s="235"/>
      <c r="AD727" s="235"/>
    </row>
    <row r="728" spans="12:30" x14ac:dyDescent="0.25">
      <c r="L728" s="235"/>
      <c r="O728" s="235"/>
      <c r="AC728" s="235"/>
      <c r="AD728" s="235"/>
    </row>
    <row r="729" spans="12:30" x14ac:dyDescent="0.25">
      <c r="L729" s="235"/>
      <c r="O729" s="235"/>
      <c r="AC729" s="235"/>
      <c r="AD729" s="235"/>
    </row>
    <row r="730" spans="12:30" x14ac:dyDescent="0.25">
      <c r="L730" s="235"/>
      <c r="O730" s="235"/>
      <c r="AC730" s="235"/>
      <c r="AD730" s="235"/>
    </row>
    <row r="731" spans="12:30" x14ac:dyDescent="0.25">
      <c r="L731" s="235"/>
      <c r="O731" s="235"/>
      <c r="AC731" s="235"/>
      <c r="AD731" s="235"/>
    </row>
    <row r="732" spans="12:30" x14ac:dyDescent="0.25">
      <c r="L732" s="235"/>
      <c r="O732" s="235"/>
      <c r="AC732" s="235"/>
      <c r="AD732" s="235"/>
    </row>
    <row r="733" spans="12:30" x14ac:dyDescent="0.25">
      <c r="L733" s="235"/>
      <c r="O733" s="235"/>
      <c r="AC733" s="235"/>
      <c r="AD733" s="235"/>
    </row>
    <row r="734" spans="12:30" x14ac:dyDescent="0.25">
      <c r="L734" s="235"/>
      <c r="O734" s="235"/>
      <c r="AC734" s="235"/>
      <c r="AD734" s="235"/>
    </row>
    <row r="735" spans="12:30" x14ac:dyDescent="0.25">
      <c r="L735" s="235"/>
      <c r="O735" s="235"/>
      <c r="AC735" s="235"/>
      <c r="AD735" s="235"/>
    </row>
    <row r="736" spans="12:30" x14ac:dyDescent="0.25">
      <c r="L736" s="235"/>
      <c r="O736" s="235"/>
      <c r="AC736" s="235"/>
      <c r="AD736" s="235"/>
    </row>
    <row r="737" spans="12:30" x14ac:dyDescent="0.25">
      <c r="L737" s="235"/>
      <c r="O737" s="235"/>
      <c r="AC737" s="235"/>
      <c r="AD737" s="235"/>
    </row>
    <row r="738" spans="12:30" x14ac:dyDescent="0.25">
      <c r="L738" s="235"/>
      <c r="O738" s="235"/>
      <c r="AC738" s="235"/>
      <c r="AD738" s="235"/>
    </row>
    <row r="739" spans="12:30" x14ac:dyDescent="0.25">
      <c r="L739" s="235"/>
      <c r="O739" s="235"/>
      <c r="AC739" s="235"/>
      <c r="AD739" s="235"/>
    </row>
    <row r="740" spans="12:30" x14ac:dyDescent="0.25">
      <c r="L740" s="235"/>
      <c r="O740" s="235"/>
      <c r="AC740" s="235"/>
      <c r="AD740" s="235"/>
    </row>
    <row r="741" spans="12:30" x14ac:dyDescent="0.25">
      <c r="L741" s="235"/>
      <c r="O741" s="235"/>
      <c r="AC741" s="235"/>
      <c r="AD741" s="235"/>
    </row>
    <row r="742" spans="12:30" x14ac:dyDescent="0.25">
      <c r="L742" s="235"/>
      <c r="O742" s="235"/>
      <c r="AC742" s="235"/>
      <c r="AD742" s="235"/>
    </row>
    <row r="743" spans="12:30" x14ac:dyDescent="0.25">
      <c r="L743" s="235"/>
      <c r="O743" s="235"/>
      <c r="AC743" s="235"/>
      <c r="AD743" s="235"/>
    </row>
    <row r="744" spans="12:30" x14ac:dyDescent="0.25">
      <c r="L744" s="235"/>
      <c r="O744" s="235"/>
      <c r="AC744" s="235"/>
      <c r="AD744" s="235"/>
    </row>
    <row r="745" spans="12:30" x14ac:dyDescent="0.25">
      <c r="L745" s="235"/>
      <c r="O745" s="235"/>
      <c r="AC745" s="235"/>
      <c r="AD745" s="235"/>
    </row>
    <row r="746" spans="12:30" x14ac:dyDescent="0.25">
      <c r="L746" s="235"/>
      <c r="O746" s="235"/>
      <c r="AC746" s="235"/>
      <c r="AD746" s="235"/>
    </row>
    <row r="747" spans="12:30" x14ac:dyDescent="0.25">
      <c r="L747" s="235"/>
      <c r="O747" s="235"/>
      <c r="AC747" s="235"/>
      <c r="AD747" s="235"/>
    </row>
    <row r="748" spans="12:30" x14ac:dyDescent="0.25">
      <c r="L748" s="235"/>
      <c r="O748" s="235"/>
      <c r="AC748" s="235"/>
      <c r="AD748" s="235"/>
    </row>
    <row r="749" spans="12:30" x14ac:dyDescent="0.25">
      <c r="L749" s="235"/>
      <c r="O749" s="235"/>
      <c r="AC749" s="235"/>
    </row>
    <row r="750" spans="12:30" x14ac:dyDescent="0.25">
      <c r="L750" s="235"/>
      <c r="O750" s="235"/>
      <c r="AC750" s="235"/>
    </row>
    <row r="751" spans="12:30" x14ac:dyDescent="0.25">
      <c r="L751" s="235"/>
      <c r="O751" s="235"/>
      <c r="AC751" s="235"/>
    </row>
    <row r="752" spans="12:30" x14ac:dyDescent="0.25">
      <c r="L752" s="235"/>
      <c r="O752" s="235"/>
      <c r="AC752" s="235"/>
    </row>
    <row r="753" spans="12:29" x14ac:dyDescent="0.25">
      <c r="L753" s="235"/>
      <c r="O753" s="235"/>
      <c r="AC753" s="235"/>
    </row>
    <row r="754" spans="12:29" x14ac:dyDescent="0.25">
      <c r="L754" s="235"/>
      <c r="O754" s="235"/>
      <c r="AC754" s="235"/>
    </row>
    <row r="755" spans="12:29" x14ac:dyDescent="0.25">
      <c r="L755" s="235"/>
      <c r="O755" s="235"/>
      <c r="AC755" s="235"/>
    </row>
    <row r="756" spans="12:29" x14ac:dyDescent="0.25">
      <c r="L756" s="235"/>
      <c r="O756" s="235"/>
      <c r="AC756" s="235"/>
    </row>
    <row r="757" spans="12:29" x14ac:dyDescent="0.25">
      <c r="L757" s="235"/>
      <c r="O757" s="235"/>
      <c r="AC757" s="235"/>
    </row>
    <row r="758" spans="12:29" x14ac:dyDescent="0.25">
      <c r="L758" s="235"/>
      <c r="O758" s="235"/>
      <c r="AC758" s="235"/>
    </row>
    <row r="759" spans="12:29" x14ac:dyDescent="0.25">
      <c r="L759" s="235"/>
      <c r="O759" s="235"/>
      <c r="AC759" s="235"/>
    </row>
    <row r="760" spans="12:29" x14ac:dyDescent="0.25">
      <c r="L760" s="235"/>
      <c r="O760" s="235"/>
      <c r="AC760" s="235"/>
    </row>
    <row r="761" spans="12:29" x14ac:dyDescent="0.25">
      <c r="L761" s="235"/>
      <c r="O761" s="235"/>
      <c r="AC761" s="235"/>
    </row>
    <row r="762" spans="12:29" x14ac:dyDescent="0.25">
      <c r="L762" s="235"/>
      <c r="O762" s="235"/>
      <c r="AC762" s="235"/>
    </row>
    <row r="763" spans="12:29" x14ac:dyDescent="0.25">
      <c r="L763" s="235"/>
      <c r="O763" s="235"/>
      <c r="AC763" s="235"/>
    </row>
    <row r="764" spans="12:29" x14ac:dyDescent="0.25">
      <c r="L764" s="235"/>
      <c r="O764" s="235"/>
      <c r="AC764" s="235"/>
    </row>
    <row r="765" spans="12:29" x14ac:dyDescent="0.25">
      <c r="L765" s="235"/>
      <c r="O765" s="235"/>
      <c r="AC765" s="235"/>
    </row>
    <row r="766" spans="12:29" x14ac:dyDescent="0.25">
      <c r="L766" s="235"/>
      <c r="O766" s="235"/>
      <c r="AC766" s="235"/>
    </row>
    <row r="767" spans="12:29" x14ac:dyDescent="0.25">
      <c r="L767" s="235"/>
      <c r="O767" s="235"/>
      <c r="AC767" s="235"/>
    </row>
    <row r="768" spans="12:29" x14ac:dyDescent="0.25">
      <c r="L768" s="235"/>
      <c r="O768" s="235"/>
      <c r="AC768" s="235"/>
    </row>
    <row r="769" spans="12:29" x14ac:dyDescent="0.25">
      <c r="L769" s="235"/>
      <c r="O769" s="235"/>
      <c r="AC769" s="235"/>
    </row>
    <row r="770" spans="12:29" x14ac:dyDescent="0.25">
      <c r="L770" s="235"/>
      <c r="O770" s="235"/>
      <c r="AC770" s="235"/>
    </row>
    <row r="771" spans="12:29" x14ac:dyDescent="0.25">
      <c r="L771" s="235"/>
      <c r="O771" s="235"/>
      <c r="AC771" s="235"/>
    </row>
    <row r="772" spans="12:29" x14ac:dyDescent="0.25">
      <c r="L772" s="235"/>
      <c r="O772" s="235"/>
      <c r="AC772" s="235"/>
    </row>
    <row r="773" spans="12:29" x14ac:dyDescent="0.25">
      <c r="L773" s="235"/>
      <c r="O773" s="235"/>
      <c r="AC773" s="235"/>
    </row>
    <row r="774" spans="12:29" x14ac:dyDescent="0.25">
      <c r="L774" s="235"/>
      <c r="O774" s="235"/>
      <c r="AC774" s="235"/>
    </row>
    <row r="775" spans="12:29" x14ac:dyDescent="0.25">
      <c r="L775" s="235"/>
      <c r="O775" s="235"/>
      <c r="AC775" s="235"/>
    </row>
    <row r="776" spans="12:29" x14ac:dyDescent="0.25">
      <c r="L776" s="235"/>
      <c r="O776" s="235"/>
      <c r="AC776" s="235"/>
    </row>
    <row r="777" spans="12:29" x14ac:dyDescent="0.25">
      <c r="L777" s="235"/>
      <c r="O777" s="235"/>
      <c r="AC777" s="235"/>
    </row>
    <row r="778" spans="12:29" x14ac:dyDescent="0.25">
      <c r="L778" s="235"/>
      <c r="O778" s="235"/>
      <c r="AC778" s="235"/>
    </row>
    <row r="779" spans="12:29" x14ac:dyDescent="0.25">
      <c r="L779" s="235"/>
      <c r="O779" s="235"/>
      <c r="AC779" s="235"/>
    </row>
    <row r="780" spans="12:29" x14ac:dyDescent="0.25">
      <c r="L780" s="235"/>
      <c r="O780" s="235"/>
      <c r="AC780" s="235"/>
    </row>
    <row r="781" spans="12:29" x14ac:dyDescent="0.25">
      <c r="L781" s="235"/>
      <c r="O781" s="235"/>
      <c r="AC781" s="235"/>
    </row>
    <row r="782" spans="12:29" x14ac:dyDescent="0.25">
      <c r="L782" s="235"/>
      <c r="O782" s="235"/>
      <c r="AC782" s="235"/>
    </row>
    <row r="783" spans="12:29" x14ac:dyDescent="0.25">
      <c r="L783" s="235"/>
      <c r="O783" s="235"/>
      <c r="AC783" s="235"/>
    </row>
    <row r="784" spans="12:29" x14ac:dyDescent="0.25">
      <c r="L784" s="235"/>
      <c r="O784" s="235"/>
      <c r="AC784" s="235"/>
    </row>
    <row r="785" spans="12:29" x14ac:dyDescent="0.25">
      <c r="L785" s="235"/>
      <c r="O785" s="235"/>
      <c r="AC785" s="235"/>
    </row>
    <row r="786" spans="12:29" x14ac:dyDescent="0.25">
      <c r="L786" s="235"/>
      <c r="O786" s="235"/>
      <c r="AC786" s="235"/>
    </row>
    <row r="787" spans="12:29" x14ac:dyDescent="0.25">
      <c r="L787" s="235"/>
      <c r="O787" s="235"/>
      <c r="AC787" s="235"/>
    </row>
    <row r="788" spans="12:29" x14ac:dyDescent="0.25">
      <c r="L788" s="235"/>
      <c r="O788" s="235"/>
      <c r="AC788" s="235"/>
    </row>
    <row r="789" spans="12:29" x14ac:dyDescent="0.25">
      <c r="L789" s="235"/>
      <c r="O789" s="235"/>
      <c r="AC789" s="235"/>
    </row>
    <row r="790" spans="12:29" x14ac:dyDescent="0.25">
      <c r="L790" s="235"/>
      <c r="O790" s="235"/>
      <c r="AC790" s="235"/>
    </row>
    <row r="791" spans="12:29" x14ac:dyDescent="0.25">
      <c r="L791" s="235"/>
      <c r="O791" s="235"/>
      <c r="AC791" s="235"/>
    </row>
    <row r="792" spans="12:29" x14ac:dyDescent="0.25">
      <c r="L792" s="235"/>
      <c r="O792" s="235"/>
      <c r="AC792" s="235"/>
    </row>
    <row r="793" spans="12:29" x14ac:dyDescent="0.25">
      <c r="L793" s="235"/>
      <c r="O793" s="235"/>
      <c r="AC793" s="235"/>
    </row>
    <row r="794" spans="12:29" x14ac:dyDescent="0.25">
      <c r="L794" s="235"/>
      <c r="O794" s="235"/>
      <c r="AC794" s="235"/>
    </row>
    <row r="795" spans="12:29" x14ac:dyDescent="0.25">
      <c r="L795" s="235"/>
      <c r="O795" s="235"/>
      <c r="AC795" s="235"/>
    </row>
    <row r="796" spans="12:29" x14ac:dyDescent="0.25">
      <c r="L796" s="235"/>
      <c r="O796" s="235"/>
      <c r="AC796" s="235"/>
    </row>
    <row r="797" spans="12:29" x14ac:dyDescent="0.25">
      <c r="L797" s="235"/>
      <c r="O797" s="235"/>
      <c r="AC797" s="235"/>
    </row>
    <row r="798" spans="12:29" x14ac:dyDescent="0.25">
      <c r="L798" s="235"/>
      <c r="O798" s="235"/>
      <c r="AC798" s="235"/>
    </row>
    <row r="799" spans="12:29" x14ac:dyDescent="0.25">
      <c r="L799" s="235"/>
      <c r="O799" s="235"/>
      <c r="AC799" s="235"/>
    </row>
    <row r="800" spans="12:29" x14ac:dyDescent="0.25">
      <c r="L800" s="235"/>
      <c r="O800" s="235"/>
      <c r="AC800" s="235"/>
    </row>
    <row r="801" spans="12:29" x14ac:dyDescent="0.25">
      <c r="L801" s="235"/>
      <c r="O801" s="235"/>
      <c r="AC801" s="235"/>
    </row>
    <row r="802" spans="12:29" x14ac:dyDescent="0.25">
      <c r="L802" s="235"/>
      <c r="O802" s="235"/>
      <c r="AC802" s="235"/>
    </row>
    <row r="803" spans="12:29" x14ac:dyDescent="0.25">
      <c r="L803" s="235"/>
      <c r="O803" s="235"/>
      <c r="AC803" s="235"/>
    </row>
    <row r="804" spans="12:29" x14ac:dyDescent="0.25">
      <c r="L804" s="235"/>
      <c r="O804" s="235"/>
      <c r="AC804" s="235"/>
    </row>
    <row r="805" spans="12:29" x14ac:dyDescent="0.25">
      <c r="L805" s="235"/>
      <c r="O805" s="235"/>
      <c r="AC805" s="235"/>
    </row>
    <row r="806" spans="12:29" x14ac:dyDescent="0.25">
      <c r="L806" s="235"/>
      <c r="O806" s="235"/>
      <c r="AC806" s="235"/>
    </row>
    <row r="807" spans="12:29" x14ac:dyDescent="0.25">
      <c r="L807" s="235"/>
      <c r="O807" s="235"/>
      <c r="AC807" s="235"/>
    </row>
    <row r="808" spans="12:29" x14ac:dyDescent="0.25">
      <c r="L808" s="235"/>
      <c r="O808" s="235"/>
      <c r="AC808" s="235"/>
    </row>
    <row r="809" spans="12:29" x14ac:dyDescent="0.25">
      <c r="L809" s="235"/>
      <c r="O809" s="235"/>
      <c r="AC809" s="235"/>
    </row>
    <row r="810" spans="12:29" x14ac:dyDescent="0.25">
      <c r="L810" s="235"/>
      <c r="O810" s="235"/>
      <c r="AC810" s="235"/>
    </row>
    <row r="811" spans="12:29" x14ac:dyDescent="0.25">
      <c r="L811" s="235"/>
      <c r="O811" s="235"/>
      <c r="AC811" s="235"/>
    </row>
    <row r="812" spans="12:29" x14ac:dyDescent="0.25">
      <c r="L812" s="235"/>
      <c r="O812" s="235"/>
      <c r="AC812" s="235"/>
    </row>
    <row r="813" spans="12:29" x14ac:dyDescent="0.25">
      <c r="L813" s="235"/>
      <c r="O813" s="235"/>
      <c r="AC813" s="235"/>
    </row>
    <row r="814" spans="12:29" x14ac:dyDescent="0.25">
      <c r="L814" s="235"/>
      <c r="O814" s="235"/>
      <c r="AC814" s="235"/>
    </row>
    <row r="815" spans="12:29" x14ac:dyDescent="0.25">
      <c r="L815" s="235"/>
      <c r="O815" s="235"/>
    </row>
    <row r="816" spans="12:29" x14ac:dyDescent="0.25">
      <c r="L816" s="235"/>
      <c r="O816" s="235"/>
    </row>
    <row r="817" spans="12:15" x14ac:dyDescent="0.25">
      <c r="L817" s="235"/>
      <c r="O817" s="235"/>
    </row>
    <row r="818" spans="12:15" x14ac:dyDescent="0.25">
      <c r="L818" s="235"/>
      <c r="O818" s="235"/>
    </row>
    <row r="819" spans="12:15" x14ac:dyDescent="0.25">
      <c r="L819" s="235"/>
      <c r="O819" s="235"/>
    </row>
    <row r="820" spans="12:15" x14ac:dyDescent="0.25">
      <c r="L820" s="235"/>
      <c r="O820" s="235"/>
    </row>
    <row r="821" spans="12:15" x14ac:dyDescent="0.25">
      <c r="L821" s="235"/>
      <c r="O821" s="235"/>
    </row>
    <row r="822" spans="12:15" x14ac:dyDescent="0.25">
      <c r="L822" s="235"/>
      <c r="O822" s="235"/>
    </row>
    <row r="823" spans="12:15" x14ac:dyDescent="0.25">
      <c r="L823" s="235"/>
      <c r="O823" s="235"/>
    </row>
    <row r="824" spans="12:15" x14ac:dyDescent="0.25">
      <c r="L824" s="235"/>
      <c r="O824" s="235"/>
    </row>
    <row r="825" spans="12:15" x14ac:dyDescent="0.25">
      <c r="L825" s="235"/>
      <c r="O825" s="235"/>
    </row>
    <row r="826" spans="12:15" x14ac:dyDescent="0.25">
      <c r="L826" s="235"/>
      <c r="O826" s="235"/>
    </row>
    <row r="827" spans="12:15" x14ac:dyDescent="0.25">
      <c r="L827" s="235"/>
      <c r="O827" s="235"/>
    </row>
    <row r="828" spans="12:15" x14ac:dyDescent="0.25">
      <c r="L828" s="235"/>
      <c r="O828" s="235"/>
    </row>
    <row r="829" spans="12:15" x14ac:dyDescent="0.25">
      <c r="L829" s="235"/>
      <c r="O829" s="235"/>
    </row>
    <row r="830" spans="12:15" x14ac:dyDescent="0.25">
      <c r="L830" s="235"/>
      <c r="O830" s="235"/>
    </row>
    <row r="831" spans="12:15" x14ac:dyDescent="0.25">
      <c r="L831" s="235"/>
      <c r="O831" s="235"/>
    </row>
    <row r="832" spans="12:15" x14ac:dyDescent="0.25">
      <c r="L832" s="235"/>
      <c r="O832" s="235"/>
    </row>
    <row r="833" spans="12:15" x14ac:dyDescent="0.25">
      <c r="L833" s="235"/>
      <c r="O833" s="235"/>
    </row>
    <row r="834" spans="12:15" x14ac:dyDescent="0.25">
      <c r="L834" s="235"/>
      <c r="O834" s="235"/>
    </row>
    <row r="835" spans="12:15" x14ac:dyDescent="0.25">
      <c r="L835" s="235"/>
      <c r="O835" s="235"/>
    </row>
    <row r="836" spans="12:15" x14ac:dyDescent="0.25">
      <c r="L836" s="235"/>
      <c r="O836" s="235"/>
    </row>
    <row r="837" spans="12:15" x14ac:dyDescent="0.25">
      <c r="L837" s="235"/>
      <c r="O837" s="235"/>
    </row>
    <row r="838" spans="12:15" x14ac:dyDescent="0.25">
      <c r="L838" s="235"/>
      <c r="O838" s="235"/>
    </row>
    <row r="839" spans="12:15" x14ac:dyDescent="0.25">
      <c r="L839" s="235"/>
      <c r="O839" s="235"/>
    </row>
    <row r="840" spans="12:15" x14ac:dyDescent="0.25">
      <c r="L840" s="235"/>
      <c r="O840" s="235"/>
    </row>
    <row r="841" spans="12:15" x14ac:dyDescent="0.25">
      <c r="L841" s="235"/>
      <c r="O841" s="235"/>
    </row>
    <row r="842" spans="12:15" x14ac:dyDescent="0.25">
      <c r="L842" s="235"/>
      <c r="O842" s="235"/>
    </row>
    <row r="843" spans="12:15" x14ac:dyDescent="0.25">
      <c r="L843" s="235"/>
      <c r="O843" s="235"/>
    </row>
    <row r="844" spans="12:15" x14ac:dyDescent="0.25">
      <c r="L844" s="235"/>
      <c r="O844" s="235"/>
    </row>
    <row r="845" spans="12:15" x14ac:dyDescent="0.25">
      <c r="L845" s="235"/>
      <c r="O845" s="235"/>
    </row>
    <row r="846" spans="12:15" x14ac:dyDescent="0.25">
      <c r="L846" s="235"/>
      <c r="O846" s="235"/>
    </row>
    <row r="847" spans="12:15" x14ac:dyDescent="0.25">
      <c r="L847" s="235"/>
      <c r="O847" s="235"/>
    </row>
    <row r="848" spans="12:15" x14ac:dyDescent="0.25">
      <c r="L848" s="235"/>
      <c r="O848" s="235"/>
    </row>
    <row r="849" spans="12:15" x14ac:dyDescent="0.25">
      <c r="L849" s="235"/>
      <c r="O849" s="235"/>
    </row>
    <row r="850" spans="12:15" x14ac:dyDescent="0.25">
      <c r="L850" s="235"/>
      <c r="O850" s="235"/>
    </row>
    <row r="851" spans="12:15" x14ac:dyDescent="0.25">
      <c r="L851" s="235"/>
      <c r="O851" s="235"/>
    </row>
    <row r="852" spans="12:15" x14ac:dyDescent="0.25">
      <c r="L852" s="235"/>
      <c r="O852" s="235"/>
    </row>
    <row r="853" spans="12:15" x14ac:dyDescent="0.25">
      <c r="L853" s="235"/>
      <c r="O853" s="235"/>
    </row>
    <row r="854" spans="12:15" x14ac:dyDescent="0.25">
      <c r="L854" s="235"/>
      <c r="O854" s="235"/>
    </row>
    <row r="855" spans="12:15" x14ac:dyDescent="0.25">
      <c r="L855" s="235"/>
      <c r="O855" s="235"/>
    </row>
    <row r="856" spans="12:15" x14ac:dyDescent="0.25">
      <c r="L856" s="235"/>
      <c r="O856" s="235"/>
    </row>
    <row r="857" spans="12:15" x14ac:dyDescent="0.25">
      <c r="L857" s="235"/>
      <c r="O857" s="235"/>
    </row>
    <row r="858" spans="12:15" x14ac:dyDescent="0.25">
      <c r="L858" s="235"/>
      <c r="O858" s="235"/>
    </row>
    <row r="859" spans="12:15" x14ac:dyDescent="0.25">
      <c r="L859" s="235"/>
      <c r="O859" s="235"/>
    </row>
    <row r="860" spans="12:15" x14ac:dyDescent="0.25">
      <c r="L860" s="235"/>
      <c r="O860" s="235"/>
    </row>
    <row r="861" spans="12:15" x14ac:dyDescent="0.25">
      <c r="L861" s="235"/>
      <c r="O861" s="235"/>
    </row>
    <row r="862" spans="12:15" x14ac:dyDescent="0.25">
      <c r="L862" s="235"/>
      <c r="O862" s="235"/>
    </row>
    <row r="863" spans="12:15" x14ac:dyDescent="0.25">
      <c r="L863" s="235"/>
      <c r="O863" s="235"/>
    </row>
    <row r="864" spans="12:15" x14ac:dyDescent="0.25">
      <c r="L864" s="235"/>
      <c r="O864" s="235"/>
    </row>
    <row r="865" spans="12:15" x14ac:dyDescent="0.25">
      <c r="L865" s="235"/>
      <c r="O865" s="235"/>
    </row>
    <row r="866" spans="12:15" x14ac:dyDescent="0.25">
      <c r="L866" s="235"/>
      <c r="O866" s="235"/>
    </row>
    <row r="867" spans="12:15" x14ac:dyDescent="0.25">
      <c r="L867" s="235"/>
      <c r="O867" s="235"/>
    </row>
    <row r="868" spans="12:15" x14ac:dyDescent="0.25">
      <c r="L868" s="235"/>
      <c r="O868" s="235"/>
    </row>
    <row r="869" spans="12:15" x14ac:dyDescent="0.25">
      <c r="L869" s="235"/>
      <c r="O869" s="235"/>
    </row>
    <row r="870" spans="12:15" x14ac:dyDescent="0.25">
      <c r="L870" s="235"/>
      <c r="O870" s="235"/>
    </row>
    <row r="871" spans="12:15" x14ac:dyDescent="0.25">
      <c r="L871" s="235"/>
      <c r="O871" s="235"/>
    </row>
    <row r="872" spans="12:15" x14ac:dyDescent="0.25">
      <c r="L872" s="235"/>
      <c r="O872" s="235"/>
    </row>
    <row r="873" spans="12:15" x14ac:dyDescent="0.25">
      <c r="L873" s="235"/>
      <c r="O873" s="235"/>
    </row>
    <row r="874" spans="12:15" x14ac:dyDescent="0.25">
      <c r="L874" s="235"/>
      <c r="O874" s="235"/>
    </row>
    <row r="875" spans="12:15" x14ac:dyDescent="0.25">
      <c r="L875" s="235"/>
      <c r="O875" s="235"/>
    </row>
    <row r="876" spans="12:15" x14ac:dyDescent="0.25">
      <c r="L876" s="235"/>
      <c r="O876" s="235"/>
    </row>
    <row r="877" spans="12:15" x14ac:dyDescent="0.25">
      <c r="L877" s="235"/>
      <c r="O877" s="235"/>
    </row>
    <row r="878" spans="12:15" x14ac:dyDescent="0.25">
      <c r="L878" s="235"/>
      <c r="O878" s="235"/>
    </row>
    <row r="879" spans="12:15" x14ac:dyDescent="0.25">
      <c r="L879" s="235"/>
      <c r="O879" s="235"/>
    </row>
    <row r="880" spans="12:15" x14ac:dyDescent="0.25">
      <c r="L880" s="235"/>
      <c r="O880" s="235"/>
    </row>
    <row r="881" spans="12:15" x14ac:dyDescent="0.25">
      <c r="L881" s="235"/>
      <c r="O881" s="235"/>
    </row>
    <row r="882" spans="12:15" x14ac:dyDescent="0.25">
      <c r="L882" s="235"/>
      <c r="O882" s="235"/>
    </row>
    <row r="883" spans="12:15" x14ac:dyDescent="0.25">
      <c r="L883" s="235"/>
      <c r="O883" s="235"/>
    </row>
    <row r="884" spans="12:15" x14ac:dyDescent="0.25">
      <c r="L884" s="235"/>
      <c r="O884" s="235"/>
    </row>
    <row r="885" spans="12:15" x14ac:dyDescent="0.25">
      <c r="L885" s="235"/>
      <c r="O885" s="235"/>
    </row>
    <row r="886" spans="12:15" x14ac:dyDescent="0.25">
      <c r="L886" s="235"/>
      <c r="O886" s="235"/>
    </row>
    <row r="887" spans="12:15" x14ac:dyDescent="0.25">
      <c r="L887" s="235"/>
      <c r="O887" s="235"/>
    </row>
    <row r="888" spans="12:15" x14ac:dyDescent="0.25">
      <c r="L888" s="235"/>
      <c r="O888" s="235"/>
    </row>
    <row r="889" spans="12:15" x14ac:dyDescent="0.25">
      <c r="L889" s="235"/>
      <c r="O889" s="235"/>
    </row>
    <row r="890" spans="12:15" x14ac:dyDescent="0.25">
      <c r="L890" s="235"/>
      <c r="O890" s="235"/>
    </row>
    <row r="891" spans="12:15" x14ac:dyDescent="0.25">
      <c r="L891" s="235"/>
      <c r="O891" s="235"/>
    </row>
    <row r="892" spans="12:15" x14ac:dyDescent="0.25">
      <c r="L892" s="235"/>
      <c r="O892" s="235"/>
    </row>
    <row r="893" spans="12:15" x14ac:dyDescent="0.25">
      <c r="L893" s="235"/>
      <c r="O893" s="235"/>
    </row>
    <row r="894" spans="12:15" x14ac:dyDescent="0.25">
      <c r="L894" s="235"/>
      <c r="O894" s="235"/>
    </row>
    <row r="895" spans="12:15" x14ac:dyDescent="0.25">
      <c r="L895" s="235"/>
      <c r="O895" s="235"/>
    </row>
    <row r="896" spans="12:15" x14ac:dyDescent="0.25">
      <c r="L896" s="235"/>
      <c r="O896" s="235"/>
    </row>
    <row r="897" spans="12:15" x14ac:dyDescent="0.25">
      <c r="L897" s="235"/>
      <c r="O897" s="235"/>
    </row>
    <row r="898" spans="12:15" x14ac:dyDescent="0.25">
      <c r="L898" s="235"/>
      <c r="O898" s="235"/>
    </row>
    <row r="899" spans="12:15" x14ac:dyDescent="0.25">
      <c r="L899" s="235"/>
      <c r="O899" s="235"/>
    </row>
    <row r="900" spans="12:15" x14ac:dyDescent="0.25">
      <c r="L900" s="235"/>
      <c r="O900" s="235"/>
    </row>
    <row r="901" spans="12:15" x14ac:dyDescent="0.25">
      <c r="L901" s="235"/>
      <c r="O901" s="235"/>
    </row>
    <row r="902" spans="12:15" x14ac:dyDescent="0.25">
      <c r="L902" s="235"/>
      <c r="O902" s="235"/>
    </row>
    <row r="903" spans="12:15" x14ac:dyDescent="0.25">
      <c r="L903" s="235"/>
      <c r="O903" s="235"/>
    </row>
    <row r="904" spans="12:15" x14ac:dyDescent="0.25">
      <c r="L904" s="235"/>
      <c r="O904" s="235"/>
    </row>
    <row r="905" spans="12:15" x14ac:dyDescent="0.25">
      <c r="L905" s="235"/>
      <c r="O905" s="235"/>
    </row>
    <row r="906" spans="12:15" x14ac:dyDescent="0.25">
      <c r="L906" s="235"/>
      <c r="O906" s="235"/>
    </row>
    <row r="907" spans="12:15" x14ac:dyDescent="0.25">
      <c r="L907" s="235"/>
      <c r="O907" s="235"/>
    </row>
    <row r="908" spans="12:15" x14ac:dyDescent="0.25">
      <c r="L908" s="235"/>
      <c r="O908" s="235"/>
    </row>
    <row r="909" spans="12:15" x14ac:dyDescent="0.25">
      <c r="L909" s="235"/>
      <c r="O909" s="235"/>
    </row>
    <row r="910" spans="12:15" x14ac:dyDescent="0.25">
      <c r="L910" s="235"/>
      <c r="O910" s="235"/>
    </row>
    <row r="911" spans="12:15" x14ac:dyDescent="0.25">
      <c r="L911" s="235"/>
      <c r="O911" s="235"/>
    </row>
    <row r="912" spans="12:15" x14ac:dyDescent="0.25">
      <c r="L912" s="235"/>
      <c r="O912" s="235"/>
    </row>
    <row r="913" spans="12:15" x14ac:dyDescent="0.25">
      <c r="L913" s="235"/>
      <c r="O913" s="235"/>
    </row>
    <row r="914" spans="12:15" x14ac:dyDescent="0.25">
      <c r="L914" s="235"/>
      <c r="O914" s="235"/>
    </row>
    <row r="915" spans="12:15" x14ac:dyDescent="0.25">
      <c r="L915" s="235"/>
      <c r="O915" s="235"/>
    </row>
    <row r="916" spans="12:15" x14ac:dyDescent="0.25">
      <c r="L916" s="235"/>
      <c r="O916" s="235"/>
    </row>
    <row r="917" spans="12:15" x14ac:dyDescent="0.25">
      <c r="L917" s="235"/>
      <c r="O917" s="235"/>
    </row>
    <row r="918" spans="12:15" x14ac:dyDescent="0.25">
      <c r="L918" s="235"/>
      <c r="O918" s="235"/>
    </row>
    <row r="919" spans="12:15" x14ac:dyDescent="0.25">
      <c r="L919" s="235"/>
      <c r="O919" s="235"/>
    </row>
    <row r="920" spans="12:15" x14ac:dyDescent="0.25">
      <c r="L920" s="235"/>
      <c r="O920" s="235"/>
    </row>
    <row r="921" spans="12:15" x14ac:dyDescent="0.25">
      <c r="L921" s="235"/>
      <c r="O921" s="235"/>
    </row>
    <row r="922" spans="12:15" x14ac:dyDescent="0.25">
      <c r="L922" s="235"/>
      <c r="O922" s="235"/>
    </row>
    <row r="923" spans="12:15" x14ac:dyDescent="0.25">
      <c r="L923" s="235"/>
      <c r="O923" s="235"/>
    </row>
    <row r="924" spans="12:15" x14ac:dyDescent="0.25">
      <c r="L924" s="235"/>
      <c r="O924" s="235"/>
    </row>
    <row r="925" spans="12:15" x14ac:dyDescent="0.25">
      <c r="L925" s="235"/>
      <c r="O925" s="235"/>
    </row>
    <row r="926" spans="12:15" x14ac:dyDescent="0.25">
      <c r="L926" s="235"/>
      <c r="O926" s="235"/>
    </row>
    <row r="927" spans="12:15" x14ac:dyDescent="0.25">
      <c r="L927" s="235"/>
      <c r="O927" s="235"/>
    </row>
    <row r="928" spans="12:15" x14ac:dyDescent="0.25">
      <c r="L928" s="235"/>
      <c r="O928" s="235"/>
    </row>
    <row r="929" spans="12:15" x14ac:dyDescent="0.25">
      <c r="L929" s="235"/>
      <c r="O929" s="235"/>
    </row>
    <row r="930" spans="12:15" x14ac:dyDescent="0.25">
      <c r="L930" s="235"/>
      <c r="O930" s="235"/>
    </row>
    <row r="931" spans="12:15" x14ac:dyDescent="0.25">
      <c r="L931" s="235"/>
      <c r="O931" s="235"/>
    </row>
    <row r="932" spans="12:15" x14ac:dyDescent="0.25">
      <c r="L932" s="235"/>
      <c r="O932" s="235"/>
    </row>
    <row r="933" spans="12:15" x14ac:dyDescent="0.25">
      <c r="L933" s="235"/>
      <c r="O933" s="235"/>
    </row>
    <row r="934" spans="12:15" x14ac:dyDescent="0.25">
      <c r="L934" s="235"/>
      <c r="O934" s="235"/>
    </row>
    <row r="935" spans="12:15" x14ac:dyDescent="0.25">
      <c r="L935" s="235"/>
      <c r="O935" s="235"/>
    </row>
    <row r="936" spans="12:15" x14ac:dyDescent="0.25">
      <c r="L936" s="235"/>
      <c r="O936" s="235"/>
    </row>
    <row r="937" spans="12:15" x14ac:dyDescent="0.25">
      <c r="L937" s="235"/>
      <c r="O937" s="235"/>
    </row>
    <row r="938" spans="12:15" x14ac:dyDescent="0.25">
      <c r="L938" s="235"/>
      <c r="O938" s="235"/>
    </row>
    <row r="939" spans="12:15" x14ac:dyDescent="0.25">
      <c r="L939" s="235"/>
      <c r="O939" s="235"/>
    </row>
    <row r="940" spans="12:15" x14ac:dyDescent="0.25">
      <c r="L940" s="235"/>
      <c r="O940" s="235"/>
    </row>
    <row r="941" spans="12:15" x14ac:dyDescent="0.25">
      <c r="L941" s="235"/>
      <c r="O941" s="235"/>
    </row>
    <row r="942" spans="12:15" x14ac:dyDescent="0.25">
      <c r="L942" s="235"/>
      <c r="O942" s="235"/>
    </row>
    <row r="943" spans="12:15" x14ac:dyDescent="0.25">
      <c r="L943" s="235"/>
      <c r="O943" s="235"/>
    </row>
    <row r="944" spans="12:15" x14ac:dyDescent="0.25">
      <c r="L944" s="235"/>
      <c r="O944" s="235"/>
    </row>
    <row r="945" spans="12:15" x14ac:dyDescent="0.25">
      <c r="L945" s="235"/>
      <c r="O945" s="235"/>
    </row>
    <row r="946" spans="12:15" x14ac:dyDescent="0.25">
      <c r="L946" s="235"/>
      <c r="O946" s="235"/>
    </row>
    <row r="947" spans="12:15" x14ac:dyDescent="0.25">
      <c r="L947" s="235"/>
      <c r="O947" s="235"/>
    </row>
    <row r="948" spans="12:15" x14ac:dyDescent="0.25">
      <c r="L948" s="235"/>
      <c r="O948" s="235"/>
    </row>
    <row r="949" spans="12:15" x14ac:dyDescent="0.25">
      <c r="L949" s="235"/>
      <c r="O949" s="235"/>
    </row>
    <row r="950" spans="12:15" x14ac:dyDescent="0.25">
      <c r="L950" s="235"/>
      <c r="O950" s="235"/>
    </row>
    <row r="951" spans="12:15" x14ac:dyDescent="0.25">
      <c r="L951" s="235"/>
      <c r="O951" s="235"/>
    </row>
    <row r="952" spans="12:15" x14ac:dyDescent="0.25">
      <c r="L952" s="235"/>
      <c r="O952" s="235"/>
    </row>
    <row r="953" spans="12:15" x14ac:dyDescent="0.25">
      <c r="L953" s="235"/>
      <c r="O953" s="235"/>
    </row>
    <row r="954" spans="12:15" x14ac:dyDescent="0.25">
      <c r="L954" s="235"/>
      <c r="O954" s="235"/>
    </row>
    <row r="955" spans="12:15" x14ac:dyDescent="0.25">
      <c r="L955" s="235"/>
      <c r="O955" s="235"/>
    </row>
    <row r="956" spans="12:15" x14ac:dyDescent="0.25">
      <c r="L956" s="235"/>
      <c r="O956" s="235"/>
    </row>
    <row r="957" spans="12:15" x14ac:dyDescent="0.25">
      <c r="L957" s="235"/>
      <c r="O957" s="235"/>
    </row>
    <row r="958" spans="12:15" x14ac:dyDescent="0.25">
      <c r="L958" s="235"/>
      <c r="O958" s="235"/>
    </row>
    <row r="959" spans="12:15" x14ac:dyDescent="0.25">
      <c r="L959" s="235"/>
      <c r="O959" s="235"/>
    </row>
    <row r="960" spans="12:15" x14ac:dyDescent="0.25">
      <c r="L960" s="235"/>
      <c r="O960" s="235"/>
    </row>
    <row r="961" spans="12:15" x14ac:dyDescent="0.25">
      <c r="L961" s="235"/>
      <c r="O961" s="235"/>
    </row>
    <row r="962" spans="12:15" x14ac:dyDescent="0.25">
      <c r="L962" s="235"/>
      <c r="O962" s="235"/>
    </row>
    <row r="963" spans="12:15" x14ac:dyDescent="0.25">
      <c r="L963" s="235"/>
      <c r="O963" s="235"/>
    </row>
    <row r="964" spans="12:15" x14ac:dyDescent="0.25">
      <c r="L964" s="235"/>
      <c r="O964" s="235"/>
    </row>
    <row r="965" spans="12:15" x14ac:dyDescent="0.25">
      <c r="L965" s="235"/>
      <c r="O965" s="235"/>
    </row>
    <row r="966" spans="12:15" x14ac:dyDescent="0.25">
      <c r="L966" s="235"/>
      <c r="O966" s="235"/>
    </row>
    <row r="967" spans="12:15" x14ac:dyDescent="0.25">
      <c r="L967" s="235"/>
      <c r="O967" s="235"/>
    </row>
    <row r="968" spans="12:15" x14ac:dyDescent="0.25">
      <c r="L968" s="235"/>
      <c r="O968" s="235"/>
    </row>
    <row r="969" spans="12:15" x14ac:dyDescent="0.25">
      <c r="L969" s="235"/>
      <c r="O969" s="235"/>
    </row>
    <row r="970" spans="12:15" x14ac:dyDescent="0.25">
      <c r="L970" s="235"/>
      <c r="O970" s="235"/>
    </row>
    <row r="971" spans="12:15" x14ac:dyDescent="0.25">
      <c r="L971" s="235"/>
      <c r="O971" s="235"/>
    </row>
    <row r="972" spans="12:15" x14ac:dyDescent="0.25">
      <c r="L972" s="235"/>
      <c r="O972" s="235"/>
    </row>
    <row r="973" spans="12:15" x14ac:dyDescent="0.25">
      <c r="L973" s="235"/>
      <c r="O973" s="235"/>
    </row>
    <row r="974" spans="12:15" x14ac:dyDescent="0.25">
      <c r="L974" s="235"/>
      <c r="O974" s="235"/>
    </row>
    <row r="975" spans="12:15" x14ac:dyDescent="0.25">
      <c r="L975" s="235"/>
      <c r="O975" s="235"/>
    </row>
    <row r="976" spans="12:15" x14ac:dyDescent="0.25">
      <c r="L976" s="235"/>
      <c r="O976" s="235"/>
    </row>
    <row r="977" spans="12:15" x14ac:dyDescent="0.25">
      <c r="L977" s="235"/>
      <c r="O977" s="235"/>
    </row>
    <row r="978" spans="12:15" x14ac:dyDescent="0.25">
      <c r="L978" s="235"/>
      <c r="O978" s="235"/>
    </row>
    <row r="979" spans="12:15" x14ac:dyDescent="0.25">
      <c r="L979" s="235"/>
      <c r="O979" s="235"/>
    </row>
    <row r="980" spans="12:15" x14ac:dyDescent="0.25">
      <c r="L980" s="235"/>
      <c r="O980" s="235"/>
    </row>
    <row r="981" spans="12:15" x14ac:dyDescent="0.25">
      <c r="L981" s="235"/>
      <c r="O981" s="235"/>
    </row>
    <row r="982" spans="12:15" x14ac:dyDescent="0.25">
      <c r="L982" s="235"/>
      <c r="O982" s="235"/>
    </row>
    <row r="983" spans="12:15" x14ac:dyDescent="0.25">
      <c r="L983" s="235"/>
      <c r="O983" s="235"/>
    </row>
    <row r="984" spans="12:15" x14ac:dyDescent="0.25">
      <c r="L984" s="235"/>
      <c r="O984" s="235"/>
    </row>
    <row r="985" spans="12:15" x14ac:dyDescent="0.25">
      <c r="L985" s="235"/>
      <c r="O985" s="235"/>
    </row>
    <row r="986" spans="12:15" x14ac:dyDescent="0.25">
      <c r="L986" s="235"/>
      <c r="O986" s="235"/>
    </row>
    <row r="987" spans="12:15" x14ac:dyDescent="0.25">
      <c r="L987" s="235"/>
      <c r="O987" s="235"/>
    </row>
    <row r="988" spans="12:15" x14ac:dyDescent="0.25">
      <c r="L988" s="235"/>
      <c r="O988" s="235"/>
    </row>
    <row r="989" spans="12:15" x14ac:dyDescent="0.25">
      <c r="L989" s="235"/>
      <c r="O989" s="235"/>
    </row>
    <row r="990" spans="12:15" x14ac:dyDescent="0.25">
      <c r="L990" s="235"/>
      <c r="O990" s="235"/>
    </row>
    <row r="991" spans="12:15" x14ac:dyDescent="0.25">
      <c r="L991" s="235"/>
      <c r="O991" s="235"/>
    </row>
    <row r="992" spans="12:15" x14ac:dyDescent="0.25">
      <c r="L992" s="235"/>
      <c r="O992" s="235"/>
    </row>
    <row r="993" spans="12:15" x14ac:dyDescent="0.25">
      <c r="L993" s="235"/>
      <c r="O993" s="235"/>
    </row>
    <row r="994" spans="12:15" x14ac:dyDescent="0.25">
      <c r="L994" s="235"/>
      <c r="O994" s="235"/>
    </row>
    <row r="995" spans="12:15" x14ac:dyDescent="0.25">
      <c r="L995" s="235"/>
      <c r="O995" s="235"/>
    </row>
    <row r="996" spans="12:15" x14ac:dyDescent="0.25">
      <c r="L996" s="235"/>
      <c r="O996" s="235"/>
    </row>
    <row r="997" spans="12:15" x14ac:dyDescent="0.25">
      <c r="L997" s="235"/>
      <c r="O997" s="235"/>
    </row>
    <row r="998" spans="12:15" x14ac:dyDescent="0.25">
      <c r="L998" s="235"/>
      <c r="O998" s="235"/>
    </row>
    <row r="999" spans="12:15" x14ac:dyDescent="0.25">
      <c r="L999" s="235"/>
      <c r="O999" s="235"/>
    </row>
    <row r="1000" spans="12:15" x14ac:dyDescent="0.25">
      <c r="L1000" s="235"/>
      <c r="O1000" s="235"/>
    </row>
    <row r="1001" spans="12:15" x14ac:dyDescent="0.25">
      <c r="L1001" s="235"/>
      <c r="O1001" s="235"/>
    </row>
    <row r="1002" spans="12:15" x14ac:dyDescent="0.25">
      <c r="L1002" s="235"/>
      <c r="O1002" s="235"/>
    </row>
    <row r="1003" spans="12:15" x14ac:dyDescent="0.25">
      <c r="L1003" s="235"/>
      <c r="O1003" s="235"/>
    </row>
    <row r="1004" spans="12:15" x14ac:dyDescent="0.25">
      <c r="L1004" s="235"/>
      <c r="O1004" s="235"/>
    </row>
    <row r="1005" spans="12:15" x14ac:dyDescent="0.25">
      <c r="L1005" s="235"/>
      <c r="O1005" s="235"/>
    </row>
    <row r="1006" spans="12:15" x14ac:dyDescent="0.25">
      <c r="L1006" s="235"/>
      <c r="O1006" s="235"/>
    </row>
    <row r="1007" spans="12:15" x14ac:dyDescent="0.25">
      <c r="L1007" s="235"/>
      <c r="O1007" s="235"/>
    </row>
    <row r="1008" spans="12:15" x14ac:dyDescent="0.25">
      <c r="L1008" s="235"/>
      <c r="O1008" s="235"/>
    </row>
    <row r="1009" spans="12:15" x14ac:dyDescent="0.25">
      <c r="L1009" s="235"/>
      <c r="O1009" s="235"/>
    </row>
    <row r="1010" spans="12:15" x14ac:dyDescent="0.25">
      <c r="L1010" s="235"/>
      <c r="O1010" s="235"/>
    </row>
    <row r="1011" spans="12:15" x14ac:dyDescent="0.25">
      <c r="L1011" s="235"/>
      <c r="O1011" s="235"/>
    </row>
    <row r="1012" spans="12:15" x14ac:dyDescent="0.25">
      <c r="L1012" s="235"/>
      <c r="O1012" s="235"/>
    </row>
    <row r="1013" spans="12:15" x14ac:dyDescent="0.25">
      <c r="L1013" s="235"/>
      <c r="O1013" s="235"/>
    </row>
    <row r="1014" spans="12:15" x14ac:dyDescent="0.25">
      <c r="L1014" s="235"/>
      <c r="O1014" s="235"/>
    </row>
    <row r="1015" spans="12:15" x14ac:dyDescent="0.25">
      <c r="L1015" s="235"/>
      <c r="O1015" s="235"/>
    </row>
    <row r="1016" spans="12:15" x14ac:dyDescent="0.25">
      <c r="L1016" s="235"/>
      <c r="O1016" s="235"/>
    </row>
    <row r="1017" spans="12:15" x14ac:dyDescent="0.25">
      <c r="L1017" s="235"/>
      <c r="O1017" s="235"/>
    </row>
    <row r="1018" spans="12:15" x14ac:dyDescent="0.25">
      <c r="L1018" s="235"/>
      <c r="O1018" s="235"/>
    </row>
    <row r="1019" spans="12:15" x14ac:dyDescent="0.25">
      <c r="L1019" s="235"/>
      <c r="O1019" s="235"/>
    </row>
    <row r="1020" spans="12:15" x14ac:dyDescent="0.25">
      <c r="L1020" s="235"/>
      <c r="O1020" s="235"/>
    </row>
    <row r="1021" spans="12:15" x14ac:dyDescent="0.25">
      <c r="L1021" s="235"/>
      <c r="O1021" s="235"/>
    </row>
    <row r="1022" spans="12:15" x14ac:dyDescent="0.25">
      <c r="L1022" s="235"/>
      <c r="O1022" s="235"/>
    </row>
    <row r="1023" spans="12:15" x14ac:dyDescent="0.25">
      <c r="L1023" s="235"/>
      <c r="O1023" s="235"/>
    </row>
    <row r="1024" spans="12:15" x14ac:dyDescent="0.25">
      <c r="L1024" s="235"/>
      <c r="O1024" s="235"/>
    </row>
    <row r="1025" spans="12:15" x14ac:dyDescent="0.25">
      <c r="L1025" s="235"/>
      <c r="O1025" s="235"/>
    </row>
    <row r="1026" spans="12:15" x14ac:dyDescent="0.25">
      <c r="L1026" s="235"/>
      <c r="O1026" s="235"/>
    </row>
    <row r="1027" spans="12:15" x14ac:dyDescent="0.25">
      <c r="L1027" s="235"/>
      <c r="O1027" s="235"/>
    </row>
    <row r="1028" spans="12:15" x14ac:dyDescent="0.25">
      <c r="L1028" s="235"/>
      <c r="O1028" s="235"/>
    </row>
    <row r="1029" spans="12:15" x14ac:dyDescent="0.25">
      <c r="L1029" s="235"/>
      <c r="O1029" s="235"/>
    </row>
    <row r="1030" spans="12:15" x14ac:dyDescent="0.25">
      <c r="L1030" s="235"/>
      <c r="O1030" s="235"/>
    </row>
    <row r="1031" spans="12:15" x14ac:dyDescent="0.25">
      <c r="L1031" s="235"/>
      <c r="O1031" s="235"/>
    </row>
    <row r="1032" spans="12:15" x14ac:dyDescent="0.25">
      <c r="L1032" s="235"/>
      <c r="O1032" s="235"/>
    </row>
    <row r="1033" spans="12:15" x14ac:dyDescent="0.25">
      <c r="L1033" s="235"/>
      <c r="O1033" s="235"/>
    </row>
    <row r="1034" spans="12:15" x14ac:dyDescent="0.25">
      <c r="L1034" s="235"/>
      <c r="O1034" s="235"/>
    </row>
    <row r="1035" spans="12:15" x14ac:dyDescent="0.25">
      <c r="L1035" s="235"/>
      <c r="O1035" s="235"/>
    </row>
    <row r="1036" spans="12:15" x14ac:dyDescent="0.25">
      <c r="L1036" s="235"/>
      <c r="O1036" s="235"/>
    </row>
    <row r="1037" spans="12:15" x14ac:dyDescent="0.25">
      <c r="L1037" s="235"/>
      <c r="O1037" s="235"/>
    </row>
    <row r="1038" spans="12:15" x14ac:dyDescent="0.25">
      <c r="L1038" s="235"/>
      <c r="O1038" s="235"/>
    </row>
    <row r="1039" spans="12:15" x14ac:dyDescent="0.25">
      <c r="L1039" s="235"/>
      <c r="O1039" s="235"/>
    </row>
    <row r="1040" spans="12:15" x14ac:dyDescent="0.25">
      <c r="L1040" s="235"/>
      <c r="O1040" s="235"/>
    </row>
    <row r="1041" spans="12:15" x14ac:dyDescent="0.25">
      <c r="L1041" s="235"/>
      <c r="O1041" s="235"/>
    </row>
    <row r="1042" spans="12:15" x14ac:dyDescent="0.25">
      <c r="L1042" s="235"/>
      <c r="O1042" s="235"/>
    </row>
    <row r="1043" spans="12:15" x14ac:dyDescent="0.25">
      <c r="L1043" s="235"/>
      <c r="O1043" s="235"/>
    </row>
    <row r="1044" spans="12:15" x14ac:dyDescent="0.25">
      <c r="L1044" s="235"/>
      <c r="O1044" s="235"/>
    </row>
    <row r="1045" spans="12:15" x14ac:dyDescent="0.25">
      <c r="L1045" s="235"/>
      <c r="O1045" s="235"/>
    </row>
    <row r="1046" spans="12:15" x14ac:dyDescent="0.25">
      <c r="L1046" s="235"/>
      <c r="O1046" s="235"/>
    </row>
    <row r="1047" spans="12:15" x14ac:dyDescent="0.25">
      <c r="L1047" s="235"/>
      <c r="O1047" s="235"/>
    </row>
    <row r="1048" spans="12:15" x14ac:dyDescent="0.25">
      <c r="L1048" s="235"/>
      <c r="O1048" s="235"/>
    </row>
    <row r="1049" spans="12:15" x14ac:dyDescent="0.25">
      <c r="L1049" s="235"/>
      <c r="O1049" s="235"/>
    </row>
    <row r="1050" spans="12:15" x14ac:dyDescent="0.25">
      <c r="L1050" s="235"/>
      <c r="O1050" s="235"/>
    </row>
    <row r="1051" spans="12:15" x14ac:dyDescent="0.25">
      <c r="L1051" s="235"/>
      <c r="O1051" s="235"/>
    </row>
    <row r="1052" spans="12:15" x14ac:dyDescent="0.25">
      <c r="L1052" s="235"/>
      <c r="O1052" s="235"/>
    </row>
    <row r="1053" spans="12:15" x14ac:dyDescent="0.25">
      <c r="L1053" s="235"/>
      <c r="O1053" s="235"/>
    </row>
    <row r="1054" spans="12:15" x14ac:dyDescent="0.25">
      <c r="L1054" s="235"/>
      <c r="O1054" s="235"/>
    </row>
    <row r="1055" spans="12:15" x14ac:dyDescent="0.25">
      <c r="L1055" s="235"/>
      <c r="O1055" s="235"/>
    </row>
    <row r="1056" spans="12:15" x14ac:dyDescent="0.25">
      <c r="L1056" s="235"/>
      <c r="O1056" s="235"/>
    </row>
    <row r="1057" spans="12:15" x14ac:dyDescent="0.25">
      <c r="L1057" s="235"/>
      <c r="O1057" s="235"/>
    </row>
    <row r="1058" spans="12:15" x14ac:dyDescent="0.25">
      <c r="L1058" s="235"/>
      <c r="O1058" s="235"/>
    </row>
    <row r="1059" spans="12:15" x14ac:dyDescent="0.25">
      <c r="L1059" s="235"/>
      <c r="O1059" s="235"/>
    </row>
    <row r="1060" spans="12:15" x14ac:dyDescent="0.25">
      <c r="L1060" s="235"/>
      <c r="O1060" s="235"/>
    </row>
    <row r="1061" spans="12:15" x14ac:dyDescent="0.25">
      <c r="L1061" s="235"/>
      <c r="O1061" s="235"/>
    </row>
    <row r="1062" spans="12:15" x14ac:dyDescent="0.25">
      <c r="L1062" s="235"/>
      <c r="O1062" s="235"/>
    </row>
    <row r="1063" spans="12:15" x14ac:dyDescent="0.25">
      <c r="L1063" s="235"/>
      <c r="O1063" s="235"/>
    </row>
    <row r="1064" spans="12:15" x14ac:dyDescent="0.25">
      <c r="L1064" s="235"/>
      <c r="O1064" s="235"/>
    </row>
    <row r="1065" spans="12:15" x14ac:dyDescent="0.25">
      <c r="L1065" s="235"/>
      <c r="O1065" s="235"/>
    </row>
    <row r="1066" spans="12:15" x14ac:dyDescent="0.25">
      <c r="L1066" s="235"/>
      <c r="O1066" s="235"/>
    </row>
    <row r="1067" spans="12:15" x14ac:dyDescent="0.25">
      <c r="L1067" s="235"/>
      <c r="O1067" s="235"/>
    </row>
    <row r="1068" spans="12:15" x14ac:dyDescent="0.25">
      <c r="L1068" s="235"/>
      <c r="O1068" s="235"/>
    </row>
    <row r="1069" spans="12:15" x14ac:dyDescent="0.25">
      <c r="L1069" s="235"/>
      <c r="O1069" s="235"/>
    </row>
    <row r="1070" spans="12:15" x14ac:dyDescent="0.25">
      <c r="L1070" s="235"/>
      <c r="O1070" s="235"/>
    </row>
    <row r="1071" spans="12:15" x14ac:dyDescent="0.25">
      <c r="L1071" s="235"/>
      <c r="O1071" s="235"/>
    </row>
    <row r="1072" spans="12:15" x14ac:dyDescent="0.25">
      <c r="L1072" s="235"/>
      <c r="O1072" s="235"/>
    </row>
    <row r="1073" spans="12:15" x14ac:dyDescent="0.25">
      <c r="L1073" s="235"/>
      <c r="O1073" s="235"/>
    </row>
    <row r="1074" spans="12:15" x14ac:dyDescent="0.25">
      <c r="L1074" s="235"/>
      <c r="O1074" s="235"/>
    </row>
    <row r="1075" spans="12:15" x14ac:dyDescent="0.25">
      <c r="L1075" s="235"/>
      <c r="O1075" s="235"/>
    </row>
    <row r="1076" spans="12:15" x14ac:dyDescent="0.25">
      <c r="L1076" s="235"/>
      <c r="O1076" s="235"/>
    </row>
    <row r="1077" spans="12:15" x14ac:dyDescent="0.25">
      <c r="L1077" s="235"/>
      <c r="O1077" s="235"/>
    </row>
    <row r="1078" spans="12:15" x14ac:dyDescent="0.25">
      <c r="L1078" s="235"/>
      <c r="O1078" s="235"/>
    </row>
    <row r="1079" spans="12:15" x14ac:dyDescent="0.25">
      <c r="L1079" s="235"/>
      <c r="O1079" s="235"/>
    </row>
    <row r="1080" spans="12:15" x14ac:dyDescent="0.25">
      <c r="L1080" s="235"/>
      <c r="O1080" s="235"/>
    </row>
    <row r="1081" spans="12:15" x14ac:dyDescent="0.25">
      <c r="L1081" s="235"/>
      <c r="O1081" s="235"/>
    </row>
    <row r="1082" spans="12:15" x14ac:dyDescent="0.25">
      <c r="L1082" s="235"/>
      <c r="O1082" s="235"/>
    </row>
    <row r="1083" spans="12:15" x14ac:dyDescent="0.25">
      <c r="L1083" s="235"/>
      <c r="O1083" s="235"/>
    </row>
    <row r="1084" spans="12:15" x14ac:dyDescent="0.25">
      <c r="L1084" s="235"/>
      <c r="O1084" s="235"/>
    </row>
    <row r="1085" spans="12:15" x14ac:dyDescent="0.25">
      <c r="L1085" s="235"/>
      <c r="O1085" s="235"/>
    </row>
    <row r="1086" spans="12:15" x14ac:dyDescent="0.25">
      <c r="L1086" s="235"/>
      <c r="O1086" s="235"/>
    </row>
    <row r="1087" spans="12:15" x14ac:dyDescent="0.25">
      <c r="L1087" s="235"/>
      <c r="O1087" s="235"/>
    </row>
    <row r="1088" spans="12:15" x14ac:dyDescent="0.25">
      <c r="L1088" s="235"/>
      <c r="O1088" s="235"/>
    </row>
    <row r="1089" spans="12:15" x14ac:dyDescent="0.25">
      <c r="L1089" s="235"/>
      <c r="O1089" s="235"/>
    </row>
    <row r="1090" spans="12:15" x14ac:dyDescent="0.25">
      <c r="L1090" s="235"/>
      <c r="O1090" s="235"/>
    </row>
    <row r="1091" spans="12:15" x14ac:dyDescent="0.25">
      <c r="L1091" s="235"/>
      <c r="O1091" s="235"/>
    </row>
    <row r="1092" spans="12:15" x14ac:dyDescent="0.25">
      <c r="L1092" s="235"/>
      <c r="O1092" s="235"/>
    </row>
    <row r="1093" spans="12:15" x14ac:dyDescent="0.25">
      <c r="L1093" s="235"/>
      <c r="O1093" s="235"/>
    </row>
    <row r="1094" spans="12:15" x14ac:dyDescent="0.25">
      <c r="L1094" s="235"/>
      <c r="O1094" s="235"/>
    </row>
    <row r="1095" spans="12:15" x14ac:dyDescent="0.25">
      <c r="L1095" s="235"/>
      <c r="O1095" s="235"/>
    </row>
    <row r="1096" spans="12:15" x14ac:dyDescent="0.25">
      <c r="L1096" s="235"/>
      <c r="O1096" s="235"/>
    </row>
    <row r="1097" spans="12:15" x14ac:dyDescent="0.25">
      <c r="L1097" s="235"/>
      <c r="O1097" s="235"/>
    </row>
    <row r="1098" spans="12:15" x14ac:dyDescent="0.25">
      <c r="L1098" s="235"/>
      <c r="O1098" s="235"/>
    </row>
    <row r="1099" spans="12:15" x14ac:dyDescent="0.25">
      <c r="L1099" s="235"/>
      <c r="O1099" s="235"/>
    </row>
    <row r="1100" spans="12:15" x14ac:dyDescent="0.25">
      <c r="L1100" s="235"/>
      <c r="O1100" s="235"/>
    </row>
    <row r="1101" spans="12:15" x14ac:dyDescent="0.25">
      <c r="L1101" s="235"/>
      <c r="O1101" s="235"/>
    </row>
    <row r="1102" spans="12:15" x14ac:dyDescent="0.25">
      <c r="L1102" s="235"/>
      <c r="O1102" s="235"/>
    </row>
    <row r="1103" spans="12:15" x14ac:dyDescent="0.25">
      <c r="L1103" s="235"/>
      <c r="O1103" s="235"/>
    </row>
    <row r="1104" spans="12:15" x14ac:dyDescent="0.25">
      <c r="L1104" s="235"/>
      <c r="O1104" s="235"/>
    </row>
    <row r="1105" spans="12:15" x14ac:dyDescent="0.25">
      <c r="L1105" s="235"/>
      <c r="O1105" s="235"/>
    </row>
    <row r="1106" spans="12:15" x14ac:dyDescent="0.25">
      <c r="L1106" s="235"/>
      <c r="O1106" s="235"/>
    </row>
    <row r="1107" spans="12:15" x14ac:dyDescent="0.25">
      <c r="L1107" s="235"/>
      <c r="O1107" s="235"/>
    </row>
    <row r="1108" spans="12:15" x14ac:dyDescent="0.25">
      <c r="L1108" s="235"/>
      <c r="O1108" s="235"/>
    </row>
    <row r="1109" spans="12:15" x14ac:dyDescent="0.25">
      <c r="L1109" s="235"/>
      <c r="O1109" s="235"/>
    </row>
    <row r="1110" spans="12:15" x14ac:dyDescent="0.25">
      <c r="L1110" s="235"/>
      <c r="O1110" s="235"/>
    </row>
    <row r="1111" spans="12:15" x14ac:dyDescent="0.25">
      <c r="L1111" s="235"/>
      <c r="O1111" s="235"/>
    </row>
    <row r="1112" spans="12:15" x14ac:dyDescent="0.25">
      <c r="L1112" s="235"/>
      <c r="O1112" s="235"/>
    </row>
    <row r="1113" spans="12:15" x14ac:dyDescent="0.25">
      <c r="L1113" s="235"/>
      <c r="O1113" s="235"/>
    </row>
    <row r="1114" spans="12:15" x14ac:dyDescent="0.25">
      <c r="L1114" s="235"/>
      <c r="O1114" s="235"/>
    </row>
    <row r="1115" spans="12:15" x14ac:dyDescent="0.25">
      <c r="L1115" s="235"/>
      <c r="O1115" s="235"/>
    </row>
    <row r="1116" spans="12:15" x14ac:dyDescent="0.25">
      <c r="L1116" s="235"/>
      <c r="O1116" s="235"/>
    </row>
    <row r="1117" spans="12:15" x14ac:dyDescent="0.25">
      <c r="L1117" s="235"/>
      <c r="O1117" s="235"/>
    </row>
    <row r="1118" spans="12:15" x14ac:dyDescent="0.25">
      <c r="L1118" s="235"/>
      <c r="O1118" s="235"/>
    </row>
    <row r="1119" spans="12:15" x14ac:dyDescent="0.25">
      <c r="L1119" s="235"/>
      <c r="O1119" s="235"/>
    </row>
    <row r="1120" spans="12:15" x14ac:dyDescent="0.25">
      <c r="L1120" s="235"/>
      <c r="O1120" s="235"/>
    </row>
    <row r="1121" spans="12:15" x14ac:dyDescent="0.25">
      <c r="L1121" s="235"/>
      <c r="O1121" s="235"/>
    </row>
    <row r="1122" spans="12:15" x14ac:dyDescent="0.25">
      <c r="L1122" s="235"/>
      <c r="O1122" s="235"/>
    </row>
    <row r="1123" spans="12:15" x14ac:dyDescent="0.25">
      <c r="L1123" s="235"/>
      <c r="O1123" s="235"/>
    </row>
    <row r="1124" spans="12:15" x14ac:dyDescent="0.25">
      <c r="L1124" s="235"/>
      <c r="O1124" s="235"/>
    </row>
    <row r="1125" spans="12:15" x14ac:dyDescent="0.25">
      <c r="L1125" s="235"/>
      <c r="O1125" s="235"/>
    </row>
    <row r="1126" spans="12:15" x14ac:dyDescent="0.25">
      <c r="L1126" s="235"/>
      <c r="O1126" s="235"/>
    </row>
    <row r="1127" spans="12:15" x14ac:dyDescent="0.25">
      <c r="L1127" s="235"/>
      <c r="O1127" s="235"/>
    </row>
    <row r="1128" spans="12:15" x14ac:dyDescent="0.25">
      <c r="L1128" s="235"/>
      <c r="O1128" s="235"/>
    </row>
    <row r="1129" spans="12:15" x14ac:dyDescent="0.25">
      <c r="L1129" s="235"/>
      <c r="O1129" s="235"/>
    </row>
    <row r="1130" spans="12:15" x14ac:dyDescent="0.25">
      <c r="L1130" s="235"/>
      <c r="O1130" s="235"/>
    </row>
    <row r="1131" spans="12:15" x14ac:dyDescent="0.25">
      <c r="L1131" s="235"/>
      <c r="O1131" s="235"/>
    </row>
    <row r="1132" spans="12:15" x14ac:dyDescent="0.25">
      <c r="L1132" s="235"/>
      <c r="O1132" s="235"/>
    </row>
    <row r="1133" spans="12:15" x14ac:dyDescent="0.25">
      <c r="L1133" s="235"/>
      <c r="O1133" s="235"/>
    </row>
    <row r="1134" spans="12:15" x14ac:dyDescent="0.25">
      <c r="L1134" s="235"/>
      <c r="O1134" s="235"/>
    </row>
    <row r="1135" spans="12:15" x14ac:dyDescent="0.25">
      <c r="L1135" s="235"/>
      <c r="O1135" s="235"/>
    </row>
    <row r="1136" spans="12:15" x14ac:dyDescent="0.25">
      <c r="L1136" s="235"/>
      <c r="O1136" s="235"/>
    </row>
    <row r="1137" spans="12:15" x14ac:dyDescent="0.25">
      <c r="L1137" s="235"/>
      <c r="O1137" s="235"/>
    </row>
    <row r="1138" spans="12:15" x14ac:dyDescent="0.25">
      <c r="L1138" s="235"/>
      <c r="O1138" s="235"/>
    </row>
    <row r="1139" spans="12:15" x14ac:dyDescent="0.25">
      <c r="L1139" s="235"/>
      <c r="O1139" s="235"/>
    </row>
    <row r="1140" spans="12:15" x14ac:dyDescent="0.25">
      <c r="L1140" s="235"/>
      <c r="O1140" s="235"/>
    </row>
    <row r="1141" spans="12:15" x14ac:dyDescent="0.25">
      <c r="L1141" s="235"/>
      <c r="O1141" s="235"/>
    </row>
    <row r="1142" spans="12:15" x14ac:dyDescent="0.25">
      <c r="L1142" s="235"/>
      <c r="O1142" s="235"/>
    </row>
    <row r="1143" spans="12:15" x14ac:dyDescent="0.25">
      <c r="L1143" s="235"/>
      <c r="O1143" s="235"/>
    </row>
    <row r="1144" spans="12:15" x14ac:dyDescent="0.25">
      <c r="L1144" s="235"/>
      <c r="O1144" s="235"/>
    </row>
    <row r="1145" spans="12:15" x14ac:dyDescent="0.25">
      <c r="L1145" s="235"/>
      <c r="O1145" s="235"/>
    </row>
    <row r="1146" spans="12:15" x14ac:dyDescent="0.25">
      <c r="L1146" s="235"/>
      <c r="O1146" s="235"/>
    </row>
    <row r="1147" spans="12:15" x14ac:dyDescent="0.25">
      <c r="L1147" s="235"/>
      <c r="O1147" s="235"/>
    </row>
    <row r="1148" spans="12:15" x14ac:dyDescent="0.25">
      <c r="L1148" s="235"/>
      <c r="O1148" s="235"/>
    </row>
    <row r="1149" spans="12:15" x14ac:dyDescent="0.25">
      <c r="L1149" s="235"/>
      <c r="O1149" s="235"/>
    </row>
    <row r="1150" spans="12:15" x14ac:dyDescent="0.25">
      <c r="L1150" s="235"/>
      <c r="O1150" s="235"/>
    </row>
    <row r="1151" spans="12:15" x14ac:dyDescent="0.25">
      <c r="L1151" s="235"/>
      <c r="O1151" s="235"/>
    </row>
    <row r="1152" spans="12:15" x14ac:dyDescent="0.25">
      <c r="L1152" s="235"/>
      <c r="O1152" s="235"/>
    </row>
    <row r="1153" spans="12:15" x14ac:dyDescent="0.25">
      <c r="L1153" s="235"/>
      <c r="O1153" s="235"/>
    </row>
    <row r="1154" spans="12:15" x14ac:dyDescent="0.25">
      <c r="L1154" s="235"/>
      <c r="O1154" s="235"/>
    </row>
    <row r="1155" spans="12:15" x14ac:dyDescent="0.25">
      <c r="L1155" s="235"/>
      <c r="O1155" s="235"/>
    </row>
    <row r="1156" spans="12:15" x14ac:dyDescent="0.25">
      <c r="L1156" s="235"/>
      <c r="O1156" s="235"/>
    </row>
    <row r="1157" spans="12:15" x14ac:dyDescent="0.25">
      <c r="L1157" s="235"/>
      <c r="O1157" s="235"/>
    </row>
    <row r="1158" spans="12:15" x14ac:dyDescent="0.25">
      <c r="L1158" s="235"/>
      <c r="O1158" s="235"/>
    </row>
    <row r="1159" spans="12:15" x14ac:dyDescent="0.25">
      <c r="L1159" s="235"/>
      <c r="O1159" s="235"/>
    </row>
    <row r="1160" spans="12:15" x14ac:dyDescent="0.25">
      <c r="L1160" s="235"/>
      <c r="O1160" s="235"/>
    </row>
    <row r="1161" spans="12:15" x14ac:dyDescent="0.25">
      <c r="L1161" s="235"/>
      <c r="O1161" s="235"/>
    </row>
    <row r="1162" spans="12:15" x14ac:dyDescent="0.25">
      <c r="L1162" s="235"/>
      <c r="O1162" s="235"/>
    </row>
    <row r="1163" spans="12:15" x14ac:dyDescent="0.25">
      <c r="L1163" s="235"/>
      <c r="O1163" s="235"/>
    </row>
    <row r="1164" spans="12:15" x14ac:dyDescent="0.25">
      <c r="L1164" s="235"/>
      <c r="O1164" s="235"/>
    </row>
    <row r="1165" spans="12:15" x14ac:dyDescent="0.25">
      <c r="L1165" s="235"/>
      <c r="O1165" s="235"/>
    </row>
    <row r="1166" spans="12:15" x14ac:dyDescent="0.25">
      <c r="L1166" s="235"/>
      <c r="O1166" s="235"/>
    </row>
    <row r="1167" spans="12:15" x14ac:dyDescent="0.25">
      <c r="L1167" s="235"/>
      <c r="O1167" s="235"/>
    </row>
    <row r="1168" spans="12:15" x14ac:dyDescent="0.25">
      <c r="L1168" s="235"/>
      <c r="O1168" s="235"/>
    </row>
    <row r="1169" spans="12:15" x14ac:dyDescent="0.25">
      <c r="L1169" s="235"/>
      <c r="O1169" s="235"/>
    </row>
    <row r="1170" spans="12:15" x14ac:dyDescent="0.25">
      <c r="L1170" s="235"/>
      <c r="O1170" s="235"/>
    </row>
    <row r="1171" spans="12:15" x14ac:dyDescent="0.25">
      <c r="L1171" s="235"/>
      <c r="O1171" s="235"/>
    </row>
    <row r="1172" spans="12:15" x14ac:dyDescent="0.25">
      <c r="L1172" s="235"/>
      <c r="O1172" s="235"/>
    </row>
    <row r="1173" spans="12:15" x14ac:dyDescent="0.25">
      <c r="L1173" s="235"/>
      <c r="O1173" s="235"/>
    </row>
    <row r="1174" spans="12:15" x14ac:dyDescent="0.25">
      <c r="L1174" s="235"/>
      <c r="O1174" s="235"/>
    </row>
    <row r="1175" spans="12:15" x14ac:dyDescent="0.25">
      <c r="L1175" s="235"/>
      <c r="O1175" s="235"/>
    </row>
    <row r="1176" spans="12:15" x14ac:dyDescent="0.25">
      <c r="L1176" s="235"/>
      <c r="O1176" s="235"/>
    </row>
    <row r="1177" spans="12:15" x14ac:dyDescent="0.25">
      <c r="L1177" s="235"/>
      <c r="O1177" s="235"/>
    </row>
    <row r="1178" spans="12:15" x14ac:dyDescent="0.25">
      <c r="L1178" s="235"/>
      <c r="O1178" s="235"/>
    </row>
    <row r="1179" spans="12:15" x14ac:dyDescent="0.25">
      <c r="L1179" s="235"/>
      <c r="O1179" s="235"/>
    </row>
    <row r="1180" spans="12:15" x14ac:dyDescent="0.25">
      <c r="L1180" s="235"/>
      <c r="O1180" s="235"/>
    </row>
    <row r="1181" spans="12:15" x14ac:dyDescent="0.25">
      <c r="L1181" s="235"/>
      <c r="O1181" s="235"/>
    </row>
    <row r="1182" spans="12:15" x14ac:dyDescent="0.25">
      <c r="L1182" s="235"/>
      <c r="O1182" s="235"/>
    </row>
    <row r="1183" spans="12:15" x14ac:dyDescent="0.25">
      <c r="L1183" s="235"/>
      <c r="O1183" s="235"/>
    </row>
    <row r="1184" spans="12:15" x14ac:dyDescent="0.25">
      <c r="L1184" s="235"/>
      <c r="O1184" s="235"/>
    </row>
    <row r="1185" spans="12:15" x14ac:dyDescent="0.25">
      <c r="L1185" s="235"/>
      <c r="O1185" s="235"/>
    </row>
    <row r="1186" spans="12:15" x14ac:dyDescent="0.25">
      <c r="L1186" s="235"/>
      <c r="O1186" s="235"/>
    </row>
    <row r="1187" spans="12:15" x14ac:dyDescent="0.25">
      <c r="L1187" s="235"/>
      <c r="O1187" s="235"/>
    </row>
    <row r="1188" spans="12:15" x14ac:dyDescent="0.25">
      <c r="L1188" s="235"/>
      <c r="O1188" s="235"/>
    </row>
    <row r="1189" spans="12:15" x14ac:dyDescent="0.25">
      <c r="L1189" s="235"/>
      <c r="O1189" s="235"/>
    </row>
    <row r="1190" spans="12:15" x14ac:dyDescent="0.25">
      <c r="L1190" s="235"/>
      <c r="O1190" s="235"/>
    </row>
    <row r="1191" spans="12:15" x14ac:dyDescent="0.25">
      <c r="L1191" s="235"/>
      <c r="O1191" s="235"/>
    </row>
    <row r="1192" spans="12:15" x14ac:dyDescent="0.25">
      <c r="L1192" s="235"/>
      <c r="O1192" s="235"/>
    </row>
    <row r="1193" spans="12:15" x14ac:dyDescent="0.25">
      <c r="L1193" s="235"/>
      <c r="O1193" s="235"/>
    </row>
    <row r="1194" spans="12:15" x14ac:dyDescent="0.25">
      <c r="L1194" s="235"/>
      <c r="O1194" s="235"/>
    </row>
    <row r="1195" spans="12:15" x14ac:dyDescent="0.25">
      <c r="L1195" s="235"/>
      <c r="O1195" s="235"/>
    </row>
    <row r="1196" spans="12:15" x14ac:dyDescent="0.25">
      <c r="L1196" s="235"/>
      <c r="O1196" s="235"/>
    </row>
    <row r="1197" spans="12:15" x14ac:dyDescent="0.25">
      <c r="L1197" s="235"/>
      <c r="O1197" s="235"/>
    </row>
    <row r="1198" spans="12:15" x14ac:dyDescent="0.25">
      <c r="L1198" s="235"/>
      <c r="O1198" s="235"/>
    </row>
    <row r="1199" spans="12:15" x14ac:dyDescent="0.25">
      <c r="L1199" s="235"/>
      <c r="O1199" s="235"/>
    </row>
    <row r="1200" spans="12:15" x14ac:dyDescent="0.25">
      <c r="L1200" s="235"/>
      <c r="O1200" s="235"/>
    </row>
    <row r="1201" spans="12:15" x14ac:dyDescent="0.25">
      <c r="L1201" s="235"/>
      <c r="O1201" s="235"/>
    </row>
    <row r="1202" spans="12:15" x14ac:dyDescent="0.25">
      <c r="L1202" s="235"/>
      <c r="O1202" s="235"/>
    </row>
    <row r="1203" spans="12:15" x14ac:dyDescent="0.25">
      <c r="L1203" s="235"/>
      <c r="O1203" s="235"/>
    </row>
    <row r="1204" spans="12:15" x14ac:dyDescent="0.25">
      <c r="L1204" s="235"/>
      <c r="O1204" s="235"/>
    </row>
    <row r="1205" spans="12:15" x14ac:dyDescent="0.25">
      <c r="L1205" s="235"/>
      <c r="O1205" s="235"/>
    </row>
    <row r="1206" spans="12:15" x14ac:dyDescent="0.25">
      <c r="L1206" s="235"/>
      <c r="O1206" s="235"/>
    </row>
    <row r="1207" spans="12:15" x14ac:dyDescent="0.25">
      <c r="L1207" s="235"/>
      <c r="O1207" s="235"/>
    </row>
    <row r="1208" spans="12:15" x14ac:dyDescent="0.25">
      <c r="L1208" s="235"/>
      <c r="O1208" s="235"/>
    </row>
    <row r="1209" spans="12:15" x14ac:dyDescent="0.25">
      <c r="L1209" s="235"/>
      <c r="O1209" s="235"/>
    </row>
    <row r="1210" spans="12:15" x14ac:dyDescent="0.25">
      <c r="L1210" s="235"/>
      <c r="O1210" s="235"/>
    </row>
    <row r="1211" spans="12:15" x14ac:dyDescent="0.25">
      <c r="L1211" s="235"/>
      <c r="O1211" s="235"/>
    </row>
    <row r="1212" spans="12:15" x14ac:dyDescent="0.25">
      <c r="L1212" s="235"/>
      <c r="O1212" s="235"/>
    </row>
    <row r="1213" spans="12:15" x14ac:dyDescent="0.25">
      <c r="L1213" s="235"/>
      <c r="O1213" s="235"/>
    </row>
    <row r="1214" spans="12:15" x14ac:dyDescent="0.25">
      <c r="L1214" s="235"/>
      <c r="O1214" s="235"/>
    </row>
    <row r="1215" spans="12:15" x14ac:dyDescent="0.25">
      <c r="L1215" s="235"/>
      <c r="O1215" s="235"/>
    </row>
    <row r="1216" spans="12:15" x14ac:dyDescent="0.25">
      <c r="L1216" s="235"/>
      <c r="O1216" s="235"/>
    </row>
    <row r="1217" spans="12:15" x14ac:dyDescent="0.25">
      <c r="L1217" s="235"/>
      <c r="O1217" s="235"/>
    </row>
    <row r="1218" spans="12:15" x14ac:dyDescent="0.25">
      <c r="L1218" s="235"/>
      <c r="O1218" s="235"/>
    </row>
    <row r="1219" spans="12:15" x14ac:dyDescent="0.25">
      <c r="L1219" s="235"/>
      <c r="O1219" s="235"/>
    </row>
    <row r="1220" spans="12:15" x14ac:dyDescent="0.25">
      <c r="L1220" s="235"/>
      <c r="O1220" s="235"/>
    </row>
    <row r="1221" spans="12:15" x14ac:dyDescent="0.25">
      <c r="L1221" s="235"/>
      <c r="O1221" s="235"/>
    </row>
    <row r="1222" spans="12:15" x14ac:dyDescent="0.25">
      <c r="L1222" s="235"/>
      <c r="O1222" s="235"/>
    </row>
    <row r="1223" spans="12:15" x14ac:dyDescent="0.25">
      <c r="L1223" s="235"/>
      <c r="O1223" s="235"/>
    </row>
    <row r="1224" spans="12:15" x14ac:dyDescent="0.25">
      <c r="L1224" s="235"/>
      <c r="O1224" s="235"/>
    </row>
    <row r="1225" spans="12:15" x14ac:dyDescent="0.25">
      <c r="L1225" s="235"/>
      <c r="O1225" s="235"/>
    </row>
    <row r="1226" spans="12:15" x14ac:dyDescent="0.25">
      <c r="L1226" s="235"/>
      <c r="O1226" s="235"/>
    </row>
    <row r="1227" spans="12:15" x14ac:dyDescent="0.25">
      <c r="L1227" s="235"/>
      <c r="O1227" s="235"/>
    </row>
    <row r="1228" spans="12:15" x14ac:dyDescent="0.25">
      <c r="L1228" s="235"/>
      <c r="O1228" s="235"/>
    </row>
    <row r="1229" spans="12:15" x14ac:dyDescent="0.25">
      <c r="L1229" s="235"/>
      <c r="O1229" s="235"/>
    </row>
    <row r="1230" spans="12:15" x14ac:dyDescent="0.25">
      <c r="L1230" s="235"/>
      <c r="O1230" s="235"/>
    </row>
    <row r="1231" spans="12:15" x14ac:dyDescent="0.25">
      <c r="L1231" s="235"/>
      <c r="O1231" s="235"/>
    </row>
    <row r="1232" spans="12:15" x14ac:dyDescent="0.25">
      <c r="L1232" s="235"/>
      <c r="O1232" s="235"/>
    </row>
    <row r="1233" spans="12:15" x14ac:dyDescent="0.25">
      <c r="L1233" s="235"/>
      <c r="O1233" s="235"/>
    </row>
    <row r="1234" spans="12:15" x14ac:dyDescent="0.25">
      <c r="L1234" s="235"/>
      <c r="O1234" s="235"/>
    </row>
    <row r="1235" spans="12:15" x14ac:dyDescent="0.25">
      <c r="L1235" s="235"/>
      <c r="O1235" s="235"/>
    </row>
    <row r="1236" spans="12:15" x14ac:dyDescent="0.25">
      <c r="L1236" s="235"/>
      <c r="O1236" s="235"/>
    </row>
    <row r="1237" spans="12:15" x14ac:dyDescent="0.25">
      <c r="L1237" s="235"/>
      <c r="O1237" s="235"/>
    </row>
    <row r="1238" spans="12:15" x14ac:dyDescent="0.25">
      <c r="L1238" s="235"/>
      <c r="O1238" s="235"/>
    </row>
    <row r="1239" spans="12:15" x14ac:dyDescent="0.25">
      <c r="L1239" s="235"/>
      <c r="O1239" s="235"/>
    </row>
    <row r="1240" spans="12:15" x14ac:dyDescent="0.25">
      <c r="L1240" s="235"/>
      <c r="O1240" s="235"/>
    </row>
    <row r="1241" spans="12:15" x14ac:dyDescent="0.25">
      <c r="L1241" s="235"/>
      <c r="O1241" s="235"/>
    </row>
    <row r="1242" spans="12:15" x14ac:dyDescent="0.25">
      <c r="L1242" s="235"/>
      <c r="O1242" s="235"/>
    </row>
    <row r="1243" spans="12:15" x14ac:dyDescent="0.25">
      <c r="L1243" s="235"/>
      <c r="O1243" s="235"/>
    </row>
    <row r="1244" spans="12:15" x14ac:dyDescent="0.25">
      <c r="L1244" s="235"/>
      <c r="O1244" s="235"/>
    </row>
    <row r="1245" spans="12:15" x14ac:dyDescent="0.25">
      <c r="L1245" s="235"/>
      <c r="O1245" s="235"/>
    </row>
    <row r="1246" spans="12:15" x14ac:dyDescent="0.25">
      <c r="L1246" s="235"/>
      <c r="O1246" s="235"/>
    </row>
    <row r="1247" spans="12:15" x14ac:dyDescent="0.25">
      <c r="L1247" s="235"/>
      <c r="O1247" s="235"/>
    </row>
    <row r="1248" spans="12:15" x14ac:dyDescent="0.25">
      <c r="L1248" s="235"/>
      <c r="O1248" s="235"/>
    </row>
    <row r="1249" spans="12:15" x14ac:dyDescent="0.25">
      <c r="L1249" s="235"/>
      <c r="O1249" s="235"/>
    </row>
    <row r="1250" spans="12:15" x14ac:dyDescent="0.25">
      <c r="L1250" s="235"/>
      <c r="O1250" s="235"/>
    </row>
    <row r="1251" spans="12:15" x14ac:dyDescent="0.25">
      <c r="L1251" s="235"/>
      <c r="O1251" s="235"/>
    </row>
    <row r="1252" spans="12:15" x14ac:dyDescent="0.25">
      <c r="L1252" s="235"/>
      <c r="O1252" s="235"/>
    </row>
    <row r="1253" spans="12:15" x14ac:dyDescent="0.25">
      <c r="L1253" s="235"/>
      <c r="O1253" s="235"/>
    </row>
    <row r="1254" spans="12:15" x14ac:dyDescent="0.25">
      <c r="L1254" s="235"/>
      <c r="O1254" s="235"/>
    </row>
    <row r="1255" spans="12:15" x14ac:dyDescent="0.25">
      <c r="L1255" s="235"/>
      <c r="O1255" s="235"/>
    </row>
    <row r="1256" spans="12:15" x14ac:dyDescent="0.25">
      <c r="L1256" s="235"/>
      <c r="O1256" s="235"/>
    </row>
    <row r="1257" spans="12:15" x14ac:dyDescent="0.25">
      <c r="L1257" s="235"/>
      <c r="O1257" s="235"/>
    </row>
    <row r="1258" spans="12:15" x14ac:dyDescent="0.25">
      <c r="L1258" s="235"/>
      <c r="O1258" s="235"/>
    </row>
    <row r="1259" spans="12:15" x14ac:dyDescent="0.25">
      <c r="L1259" s="235"/>
      <c r="O1259" s="235"/>
    </row>
    <row r="1260" spans="12:15" x14ac:dyDescent="0.25">
      <c r="L1260" s="235"/>
      <c r="O1260" s="235"/>
    </row>
    <row r="1261" spans="12:15" x14ac:dyDescent="0.25">
      <c r="L1261" s="235"/>
      <c r="O1261" s="235"/>
    </row>
    <row r="1262" spans="12:15" x14ac:dyDescent="0.25">
      <c r="L1262" s="235"/>
      <c r="O1262" s="235"/>
    </row>
    <row r="1263" spans="12:15" x14ac:dyDescent="0.25">
      <c r="L1263" s="235"/>
      <c r="O1263" s="235"/>
    </row>
    <row r="1264" spans="12:15" x14ac:dyDescent="0.25">
      <c r="L1264" s="235"/>
      <c r="O1264" s="235"/>
    </row>
    <row r="1265" spans="12:15" x14ac:dyDescent="0.25">
      <c r="L1265" s="235"/>
      <c r="O1265" s="235"/>
    </row>
    <row r="1266" spans="12:15" x14ac:dyDescent="0.25">
      <c r="L1266" s="235"/>
      <c r="O1266" s="235"/>
    </row>
    <row r="1267" spans="12:15" x14ac:dyDescent="0.25">
      <c r="L1267" s="235"/>
      <c r="O1267" s="235"/>
    </row>
    <row r="1268" spans="12:15" x14ac:dyDescent="0.25">
      <c r="L1268" s="235"/>
      <c r="O1268" s="235"/>
    </row>
    <row r="1269" spans="12:15" x14ac:dyDescent="0.25">
      <c r="L1269" s="235"/>
      <c r="O1269" s="235"/>
    </row>
    <row r="1270" spans="12:15" x14ac:dyDescent="0.25">
      <c r="L1270" s="235"/>
      <c r="O1270" s="235"/>
    </row>
    <row r="1271" spans="12:15" x14ac:dyDescent="0.25">
      <c r="L1271" s="235"/>
      <c r="O1271" s="235"/>
    </row>
    <row r="1272" spans="12:15" x14ac:dyDescent="0.25">
      <c r="L1272" s="235"/>
      <c r="O1272" s="235"/>
    </row>
    <row r="1273" spans="12:15" x14ac:dyDescent="0.25">
      <c r="L1273" s="235"/>
      <c r="O1273" s="235"/>
    </row>
    <row r="1274" spans="12:15" x14ac:dyDescent="0.25">
      <c r="L1274" s="235"/>
      <c r="O1274" s="235"/>
    </row>
    <row r="1275" spans="12:15" x14ac:dyDescent="0.25">
      <c r="L1275" s="235"/>
      <c r="O1275" s="235"/>
    </row>
    <row r="1276" spans="12:15" x14ac:dyDescent="0.25">
      <c r="L1276" s="235"/>
      <c r="O1276" s="235"/>
    </row>
    <row r="1277" spans="12:15" x14ac:dyDescent="0.25">
      <c r="L1277" s="235"/>
      <c r="O1277" s="235"/>
    </row>
    <row r="1278" spans="12:15" x14ac:dyDescent="0.25">
      <c r="L1278" s="235"/>
      <c r="O1278" s="235"/>
    </row>
    <row r="1279" spans="12:15" x14ac:dyDescent="0.25">
      <c r="L1279" s="235"/>
      <c r="O1279" s="235"/>
    </row>
    <row r="1280" spans="12:15" x14ac:dyDescent="0.25">
      <c r="L1280" s="235"/>
      <c r="O1280" s="235"/>
    </row>
    <row r="1281" spans="12:15" x14ac:dyDescent="0.25">
      <c r="L1281" s="235"/>
      <c r="O1281" s="235"/>
    </row>
    <row r="1282" spans="12:15" x14ac:dyDescent="0.25">
      <c r="L1282" s="235"/>
      <c r="O1282" s="235"/>
    </row>
    <row r="1283" spans="12:15" x14ac:dyDescent="0.25">
      <c r="L1283" s="235"/>
      <c r="O1283" s="235"/>
    </row>
    <row r="1284" spans="12:15" x14ac:dyDescent="0.25">
      <c r="L1284" s="235"/>
      <c r="O1284" s="235"/>
    </row>
    <row r="1285" spans="12:15" x14ac:dyDescent="0.25">
      <c r="L1285" s="235"/>
      <c r="O1285" s="235"/>
    </row>
    <row r="1286" spans="12:15" x14ac:dyDescent="0.25">
      <c r="L1286" s="235"/>
      <c r="O1286" s="235"/>
    </row>
    <row r="1287" spans="12:15" x14ac:dyDescent="0.25">
      <c r="L1287" s="235"/>
      <c r="O1287" s="235"/>
    </row>
    <row r="1288" spans="12:15" x14ac:dyDescent="0.25">
      <c r="L1288" s="235"/>
      <c r="O1288" s="235"/>
    </row>
    <row r="1289" spans="12:15" x14ac:dyDescent="0.25">
      <c r="L1289" s="235"/>
      <c r="O1289" s="235"/>
    </row>
    <row r="1290" spans="12:15" x14ac:dyDescent="0.25">
      <c r="L1290" s="235"/>
      <c r="O1290" s="235"/>
    </row>
    <row r="1291" spans="12:15" x14ac:dyDescent="0.25">
      <c r="L1291" s="235"/>
      <c r="O1291" s="235"/>
    </row>
    <row r="1292" spans="12:15" x14ac:dyDescent="0.25">
      <c r="L1292" s="235"/>
      <c r="O1292" s="235"/>
    </row>
    <row r="1293" spans="12:15" x14ac:dyDescent="0.25">
      <c r="L1293" s="235"/>
      <c r="O1293" s="235"/>
    </row>
    <row r="1294" spans="12:15" x14ac:dyDescent="0.25">
      <c r="L1294" s="235"/>
      <c r="O1294" s="235"/>
    </row>
    <row r="1295" spans="12:15" x14ac:dyDescent="0.25">
      <c r="L1295" s="235"/>
      <c r="O1295" s="235"/>
    </row>
    <row r="1296" spans="12:15" x14ac:dyDescent="0.25">
      <c r="L1296" s="235"/>
      <c r="O1296" s="235"/>
    </row>
    <row r="1297" spans="12:15" x14ac:dyDescent="0.25">
      <c r="L1297" s="235"/>
      <c r="O1297" s="235"/>
    </row>
    <row r="1298" spans="12:15" x14ac:dyDescent="0.25">
      <c r="L1298" s="235"/>
      <c r="O1298" s="235"/>
    </row>
    <row r="1299" spans="12:15" x14ac:dyDescent="0.25">
      <c r="L1299" s="235"/>
      <c r="O1299" s="235"/>
    </row>
    <row r="1300" spans="12:15" x14ac:dyDescent="0.25">
      <c r="L1300" s="235"/>
      <c r="O1300" s="235"/>
    </row>
    <row r="1301" spans="12:15" x14ac:dyDescent="0.25">
      <c r="L1301" s="235"/>
      <c r="O1301" s="235"/>
    </row>
    <row r="1302" spans="12:15" x14ac:dyDescent="0.25">
      <c r="L1302" s="235"/>
      <c r="O1302" s="235"/>
    </row>
    <row r="1303" spans="12:15" x14ac:dyDescent="0.25">
      <c r="L1303" s="235"/>
      <c r="O1303" s="235"/>
    </row>
    <row r="1304" spans="12:15" x14ac:dyDescent="0.25">
      <c r="L1304" s="235"/>
      <c r="O1304" s="235"/>
    </row>
    <row r="1305" spans="12:15" x14ac:dyDescent="0.25">
      <c r="L1305" s="235"/>
      <c r="O1305" s="235"/>
    </row>
    <row r="1306" spans="12:15" x14ac:dyDescent="0.25">
      <c r="L1306" s="235"/>
      <c r="O1306" s="235"/>
    </row>
    <row r="1307" spans="12:15" x14ac:dyDescent="0.25">
      <c r="L1307" s="235"/>
      <c r="O1307" s="235"/>
    </row>
    <row r="1308" spans="12:15" x14ac:dyDescent="0.25">
      <c r="L1308" s="235"/>
      <c r="O1308" s="235"/>
    </row>
    <row r="1309" spans="12:15" x14ac:dyDescent="0.25">
      <c r="L1309" s="235"/>
      <c r="O1309" s="235"/>
    </row>
    <row r="1310" spans="12:15" x14ac:dyDescent="0.25">
      <c r="L1310" s="235"/>
      <c r="O1310" s="235"/>
    </row>
    <row r="1311" spans="12:15" x14ac:dyDescent="0.25">
      <c r="L1311" s="235"/>
      <c r="O1311" s="235"/>
    </row>
    <row r="1312" spans="12:15" x14ac:dyDescent="0.25">
      <c r="L1312" s="235"/>
      <c r="O1312" s="235"/>
    </row>
    <row r="1313" spans="12:15" x14ac:dyDescent="0.25">
      <c r="L1313" s="235"/>
      <c r="O1313" s="235"/>
    </row>
    <row r="1314" spans="12:15" x14ac:dyDescent="0.25">
      <c r="L1314" s="235"/>
      <c r="O1314" s="235"/>
    </row>
    <row r="1315" spans="12:15" x14ac:dyDescent="0.25">
      <c r="L1315" s="235"/>
      <c r="O1315" s="235"/>
    </row>
    <row r="1316" spans="12:15" x14ac:dyDescent="0.25">
      <c r="L1316" s="235"/>
      <c r="O1316" s="235"/>
    </row>
    <row r="1317" spans="12:15" x14ac:dyDescent="0.25">
      <c r="L1317" s="235"/>
      <c r="O1317" s="235"/>
    </row>
    <row r="1318" spans="12:15" x14ac:dyDescent="0.25">
      <c r="L1318" s="235"/>
      <c r="O1318" s="235"/>
    </row>
    <row r="1319" spans="12:15" x14ac:dyDescent="0.25">
      <c r="L1319" s="235"/>
      <c r="O1319" s="235"/>
    </row>
    <row r="1320" spans="12:15" x14ac:dyDescent="0.25">
      <c r="L1320" s="235"/>
      <c r="O1320" s="235"/>
    </row>
    <row r="1321" spans="12:15" x14ac:dyDescent="0.25">
      <c r="L1321" s="235"/>
      <c r="O1321" s="235"/>
    </row>
    <row r="1322" spans="12:15" x14ac:dyDescent="0.25">
      <c r="L1322" s="235"/>
      <c r="O1322" s="235"/>
    </row>
    <row r="1323" spans="12:15" x14ac:dyDescent="0.25">
      <c r="L1323" s="235"/>
      <c r="O1323" s="235"/>
    </row>
    <row r="1324" spans="12:15" x14ac:dyDescent="0.25">
      <c r="L1324" s="235"/>
      <c r="O1324" s="235"/>
    </row>
    <row r="1325" spans="12:15" x14ac:dyDescent="0.25">
      <c r="L1325" s="235"/>
      <c r="O1325" s="235"/>
    </row>
    <row r="1326" spans="12:15" x14ac:dyDescent="0.25">
      <c r="L1326" s="235"/>
      <c r="O1326" s="235"/>
    </row>
    <row r="1327" spans="12:15" x14ac:dyDescent="0.25">
      <c r="L1327" s="235"/>
      <c r="O1327" s="235"/>
    </row>
    <row r="1328" spans="12:15" x14ac:dyDescent="0.25">
      <c r="L1328" s="235"/>
      <c r="O1328" s="235"/>
    </row>
    <row r="1329" spans="12:15" x14ac:dyDescent="0.25">
      <c r="L1329" s="235"/>
      <c r="O1329" s="235"/>
    </row>
    <row r="1330" spans="12:15" x14ac:dyDescent="0.25">
      <c r="L1330" s="235"/>
      <c r="O1330" s="235"/>
    </row>
    <row r="1331" spans="12:15" x14ac:dyDescent="0.25">
      <c r="L1331" s="235"/>
      <c r="O1331" s="235"/>
    </row>
    <row r="1332" spans="12:15" x14ac:dyDescent="0.25">
      <c r="L1332" s="235"/>
      <c r="O1332" s="235"/>
    </row>
    <row r="1333" spans="12:15" x14ac:dyDescent="0.25">
      <c r="L1333" s="235"/>
      <c r="O1333" s="235"/>
    </row>
    <row r="1334" spans="12:15" x14ac:dyDescent="0.25">
      <c r="L1334" s="235"/>
      <c r="O1334" s="235"/>
    </row>
    <row r="1335" spans="12:15" x14ac:dyDescent="0.25">
      <c r="L1335" s="235"/>
      <c r="O1335" s="235"/>
    </row>
    <row r="1336" spans="12:15" x14ac:dyDescent="0.25">
      <c r="L1336" s="235"/>
      <c r="O1336" s="235"/>
    </row>
    <row r="1337" spans="12:15" x14ac:dyDescent="0.25">
      <c r="L1337" s="235"/>
      <c r="O1337" s="235"/>
    </row>
    <row r="1338" spans="12:15" x14ac:dyDescent="0.25">
      <c r="L1338" s="235"/>
      <c r="O1338" s="235"/>
    </row>
    <row r="1339" spans="12:15" x14ac:dyDescent="0.25">
      <c r="L1339" s="235"/>
      <c r="O1339" s="235"/>
    </row>
    <row r="1340" spans="12:15" x14ac:dyDescent="0.25">
      <c r="L1340" s="235"/>
      <c r="O1340" s="235"/>
    </row>
    <row r="1341" spans="12:15" x14ac:dyDescent="0.25">
      <c r="L1341" s="235"/>
      <c r="O1341" s="235"/>
    </row>
    <row r="1342" spans="12:15" x14ac:dyDescent="0.25">
      <c r="L1342" s="235"/>
      <c r="O1342" s="235"/>
    </row>
    <row r="1343" spans="12:15" x14ac:dyDescent="0.25">
      <c r="O1343" s="235"/>
    </row>
    <row r="1344" spans="12:15" x14ac:dyDescent="0.25">
      <c r="O1344" s="235"/>
    </row>
    <row r="1345" spans="15:15" x14ac:dyDescent="0.25">
      <c r="O1345" s="235"/>
    </row>
    <row r="1346" spans="15:15" x14ac:dyDescent="0.25">
      <c r="O1346" s="235"/>
    </row>
    <row r="1347" spans="15:15" x14ac:dyDescent="0.25">
      <c r="O1347" s="235"/>
    </row>
    <row r="1348" spans="15:15" x14ac:dyDescent="0.25">
      <c r="O1348" s="235"/>
    </row>
    <row r="1349" spans="15:15" x14ac:dyDescent="0.25">
      <c r="O1349" s="235"/>
    </row>
    <row r="1350" spans="15:15" x14ac:dyDescent="0.25">
      <c r="O1350" s="235"/>
    </row>
    <row r="1351" spans="15:15" x14ac:dyDescent="0.25">
      <c r="O1351" s="235"/>
    </row>
    <row r="1352" spans="15:15" x14ac:dyDescent="0.25">
      <c r="O1352" s="235"/>
    </row>
    <row r="1353" spans="15:15" x14ac:dyDescent="0.25">
      <c r="O1353" s="235"/>
    </row>
    <row r="1354" spans="15:15" x14ac:dyDescent="0.25">
      <c r="O1354" s="235"/>
    </row>
    <row r="1355" spans="15:15" x14ac:dyDescent="0.25">
      <c r="O1355" s="235"/>
    </row>
    <row r="1356" spans="15:15" x14ac:dyDescent="0.25">
      <c r="O1356" s="235"/>
    </row>
    <row r="1357" spans="15:15" x14ac:dyDescent="0.25">
      <c r="O1357" s="235"/>
    </row>
    <row r="1358" spans="15:15" x14ac:dyDescent="0.25">
      <c r="O1358" s="235"/>
    </row>
    <row r="1359" spans="15:15" x14ac:dyDescent="0.25">
      <c r="O1359" s="235"/>
    </row>
    <row r="1360" spans="15:15" x14ac:dyDescent="0.25">
      <c r="O1360" s="235"/>
    </row>
    <row r="1361" spans="15:15" x14ac:dyDescent="0.25">
      <c r="O1361" s="235"/>
    </row>
    <row r="1362" spans="15:15" x14ac:dyDescent="0.25">
      <c r="O1362" s="235"/>
    </row>
    <row r="1363" spans="15:15" x14ac:dyDescent="0.25">
      <c r="O1363" s="235"/>
    </row>
    <row r="1364" spans="15:15" x14ac:dyDescent="0.25">
      <c r="O1364" s="235"/>
    </row>
    <row r="1365" spans="15:15" x14ac:dyDescent="0.25">
      <c r="O1365" s="235"/>
    </row>
    <row r="1366" spans="15:15" x14ac:dyDescent="0.25">
      <c r="O1366" s="235"/>
    </row>
    <row r="1367" spans="15:15" x14ac:dyDescent="0.25">
      <c r="O1367" s="235"/>
    </row>
    <row r="1368" spans="15:15" x14ac:dyDescent="0.25">
      <c r="O1368" s="235"/>
    </row>
    <row r="1369" spans="15:15" x14ac:dyDescent="0.25">
      <c r="O1369" s="235"/>
    </row>
    <row r="1370" spans="15:15" x14ac:dyDescent="0.25">
      <c r="O1370" s="235"/>
    </row>
    <row r="1371" spans="15:15" x14ac:dyDescent="0.25">
      <c r="O1371" s="235"/>
    </row>
    <row r="1372" spans="15:15" x14ac:dyDescent="0.25">
      <c r="O1372" s="235"/>
    </row>
    <row r="1373" spans="15:15" x14ac:dyDescent="0.25">
      <c r="O1373" s="235"/>
    </row>
    <row r="1374" spans="15:15" x14ac:dyDescent="0.25">
      <c r="O1374" s="235"/>
    </row>
    <row r="1375" spans="15:15" x14ac:dyDescent="0.25">
      <c r="O1375" s="235"/>
    </row>
    <row r="1376" spans="15:15" x14ac:dyDescent="0.25">
      <c r="O1376" s="235"/>
    </row>
    <row r="1377" spans="15:15" x14ac:dyDescent="0.25">
      <c r="O1377" s="235"/>
    </row>
    <row r="1378" spans="15:15" x14ac:dyDescent="0.25">
      <c r="O1378" s="235"/>
    </row>
    <row r="1379" spans="15:15" x14ac:dyDescent="0.25">
      <c r="O1379" s="235"/>
    </row>
    <row r="1380" spans="15:15" x14ac:dyDescent="0.25">
      <c r="O1380" s="235"/>
    </row>
    <row r="1381" spans="15:15" x14ac:dyDescent="0.25">
      <c r="O1381" s="235"/>
    </row>
    <row r="1382" spans="15:15" x14ac:dyDescent="0.25">
      <c r="O1382" s="235"/>
    </row>
    <row r="1383" spans="15:15" x14ac:dyDescent="0.25">
      <c r="O1383" s="235"/>
    </row>
    <row r="1384" spans="15:15" x14ac:dyDescent="0.25">
      <c r="O1384" s="235"/>
    </row>
    <row r="1385" spans="15:15" x14ac:dyDescent="0.25">
      <c r="O1385" s="235"/>
    </row>
    <row r="1386" spans="15:15" x14ac:dyDescent="0.25">
      <c r="O1386" s="235"/>
    </row>
    <row r="1387" spans="15:15" x14ac:dyDescent="0.25">
      <c r="O1387" s="235"/>
    </row>
    <row r="1388" spans="15:15" x14ac:dyDescent="0.25">
      <c r="O1388" s="235"/>
    </row>
    <row r="1389" spans="15:15" x14ac:dyDescent="0.25">
      <c r="O1389" s="235"/>
    </row>
    <row r="1390" spans="15:15" x14ac:dyDescent="0.25">
      <c r="O1390" s="235"/>
    </row>
    <row r="1391" spans="15:15" x14ac:dyDescent="0.25">
      <c r="O1391" s="235"/>
    </row>
    <row r="1392" spans="15:15" x14ac:dyDescent="0.25">
      <c r="O1392" s="235"/>
    </row>
    <row r="1393" spans="15:15" x14ac:dyDescent="0.25">
      <c r="O1393" s="235"/>
    </row>
    <row r="1394" spans="15:15" x14ac:dyDescent="0.25">
      <c r="O1394" s="235"/>
    </row>
    <row r="1395" spans="15:15" x14ac:dyDescent="0.25">
      <c r="O1395" s="235"/>
    </row>
    <row r="1396" spans="15:15" x14ac:dyDescent="0.25">
      <c r="O1396" s="235"/>
    </row>
    <row r="1397" spans="15:15" x14ac:dyDescent="0.25">
      <c r="O1397" s="235"/>
    </row>
    <row r="1398" spans="15:15" x14ac:dyDescent="0.25">
      <c r="O1398" s="235"/>
    </row>
    <row r="1399" spans="15:15" x14ac:dyDescent="0.25">
      <c r="O1399" s="235"/>
    </row>
    <row r="1400" spans="15:15" x14ac:dyDescent="0.25">
      <c r="O1400" s="235"/>
    </row>
    <row r="1401" spans="15:15" x14ac:dyDescent="0.25">
      <c r="O1401" s="235"/>
    </row>
    <row r="1402" spans="15:15" x14ac:dyDescent="0.25">
      <c r="O1402" s="235"/>
    </row>
    <row r="1403" spans="15:15" x14ac:dyDescent="0.25">
      <c r="O1403" s="235"/>
    </row>
    <row r="1404" spans="15:15" x14ac:dyDescent="0.25">
      <c r="O1404" s="235"/>
    </row>
    <row r="1405" spans="15:15" x14ac:dyDescent="0.25">
      <c r="O1405" s="235"/>
    </row>
    <row r="1406" spans="15:15" x14ac:dyDescent="0.25">
      <c r="O1406" s="235"/>
    </row>
    <row r="1407" spans="15:15" x14ac:dyDescent="0.25">
      <c r="O1407" s="235"/>
    </row>
    <row r="1408" spans="15:15" x14ac:dyDescent="0.25">
      <c r="O1408" s="235"/>
    </row>
    <row r="1409" spans="15:15" x14ac:dyDescent="0.25">
      <c r="O1409" s="235"/>
    </row>
    <row r="1410" spans="15:15" x14ac:dyDescent="0.25">
      <c r="O1410" s="235"/>
    </row>
    <row r="1411" spans="15:15" x14ac:dyDescent="0.25">
      <c r="O1411" s="235"/>
    </row>
    <row r="1412" spans="15:15" x14ac:dyDescent="0.25">
      <c r="O1412" s="235"/>
    </row>
    <row r="1413" spans="15:15" x14ac:dyDescent="0.25">
      <c r="O1413" s="235"/>
    </row>
    <row r="1414" spans="15:15" x14ac:dyDescent="0.25">
      <c r="O1414" s="235"/>
    </row>
    <row r="1415" spans="15:15" x14ac:dyDescent="0.25">
      <c r="O1415" s="235"/>
    </row>
    <row r="1416" spans="15:15" x14ac:dyDescent="0.25">
      <c r="O1416" s="235"/>
    </row>
    <row r="1417" spans="15:15" x14ac:dyDescent="0.25">
      <c r="O1417" s="235"/>
    </row>
    <row r="1418" spans="15:15" x14ac:dyDescent="0.25">
      <c r="O1418" s="235"/>
    </row>
    <row r="1419" spans="15:15" x14ac:dyDescent="0.25">
      <c r="O1419" s="235"/>
    </row>
    <row r="1420" spans="15:15" x14ac:dyDescent="0.25">
      <c r="O1420" s="235"/>
    </row>
    <row r="1421" spans="15:15" x14ac:dyDescent="0.25">
      <c r="O1421" s="235"/>
    </row>
    <row r="1422" spans="15:15" x14ac:dyDescent="0.25">
      <c r="O1422" s="235"/>
    </row>
    <row r="1423" spans="15:15" x14ac:dyDescent="0.25">
      <c r="O1423" s="235"/>
    </row>
    <row r="1424" spans="15:15" x14ac:dyDescent="0.25">
      <c r="O1424" s="235"/>
    </row>
    <row r="1425" spans="15:15" x14ac:dyDescent="0.25">
      <c r="O1425" s="235"/>
    </row>
    <row r="1426" spans="15:15" x14ac:dyDescent="0.25">
      <c r="O1426" s="235"/>
    </row>
    <row r="1427" spans="15:15" x14ac:dyDescent="0.25">
      <c r="O1427" s="235"/>
    </row>
    <row r="1428" spans="15:15" x14ac:dyDescent="0.25">
      <c r="O1428" s="235"/>
    </row>
    <row r="1429" spans="15:15" x14ac:dyDescent="0.25">
      <c r="O1429" s="235"/>
    </row>
    <row r="1430" spans="15:15" x14ac:dyDescent="0.25">
      <c r="O1430" s="235"/>
    </row>
    <row r="1431" spans="15:15" x14ac:dyDescent="0.25">
      <c r="O1431" s="235"/>
    </row>
    <row r="1432" spans="15:15" x14ac:dyDescent="0.25">
      <c r="O1432" s="235"/>
    </row>
    <row r="1433" spans="15:15" x14ac:dyDescent="0.25">
      <c r="O1433" s="235"/>
    </row>
    <row r="1434" spans="15:15" x14ac:dyDescent="0.25">
      <c r="O1434" s="235"/>
    </row>
    <row r="1435" spans="15:15" x14ac:dyDescent="0.25">
      <c r="O1435" s="235"/>
    </row>
    <row r="1436" spans="15:15" x14ac:dyDescent="0.25">
      <c r="O1436" s="235"/>
    </row>
    <row r="1437" spans="15:15" x14ac:dyDescent="0.25">
      <c r="O1437" s="235"/>
    </row>
    <row r="1438" spans="15:15" x14ac:dyDescent="0.25">
      <c r="O1438" s="235"/>
    </row>
    <row r="1439" spans="15:15" x14ac:dyDescent="0.25">
      <c r="O1439" s="235"/>
    </row>
    <row r="1440" spans="15:15" x14ac:dyDescent="0.25">
      <c r="O1440" s="235"/>
    </row>
    <row r="1441" spans="15:15" x14ac:dyDescent="0.25">
      <c r="O1441" s="235"/>
    </row>
    <row r="1442" spans="15:15" x14ac:dyDescent="0.25">
      <c r="O1442" s="235"/>
    </row>
    <row r="1443" spans="15:15" x14ac:dyDescent="0.25">
      <c r="O1443" s="235"/>
    </row>
    <row r="1444" spans="15:15" x14ac:dyDescent="0.25">
      <c r="O1444" s="235"/>
    </row>
    <row r="1445" spans="15:15" x14ac:dyDescent="0.25">
      <c r="O1445" s="235"/>
    </row>
    <row r="1446" spans="15:15" x14ac:dyDescent="0.25">
      <c r="O1446" s="235"/>
    </row>
    <row r="1447" spans="15:15" x14ac:dyDescent="0.25">
      <c r="O1447" s="235"/>
    </row>
    <row r="1448" spans="15:15" x14ac:dyDescent="0.25">
      <c r="O1448" s="235"/>
    </row>
    <row r="1449" spans="15:15" x14ac:dyDescent="0.25">
      <c r="O1449" s="235"/>
    </row>
    <row r="1450" spans="15:15" x14ac:dyDescent="0.25">
      <c r="O1450" s="235"/>
    </row>
    <row r="1451" spans="15:15" x14ac:dyDescent="0.25">
      <c r="O1451" s="235"/>
    </row>
    <row r="1452" spans="15:15" x14ac:dyDescent="0.25">
      <c r="O1452" s="235"/>
    </row>
    <row r="1453" spans="15:15" x14ac:dyDescent="0.25">
      <c r="O1453" s="235"/>
    </row>
    <row r="1454" spans="15:15" x14ac:dyDescent="0.25">
      <c r="O1454" s="235"/>
    </row>
    <row r="1455" spans="15:15" x14ac:dyDescent="0.25">
      <c r="O1455" s="235"/>
    </row>
    <row r="1456" spans="15:15" x14ac:dyDescent="0.25">
      <c r="O1456" s="235"/>
    </row>
    <row r="1457" spans="15:15" x14ac:dyDescent="0.25">
      <c r="O1457" s="235"/>
    </row>
    <row r="1458" spans="15:15" x14ac:dyDescent="0.25">
      <c r="O1458" s="235"/>
    </row>
    <row r="1459" spans="15:15" x14ac:dyDescent="0.25">
      <c r="O1459" s="235"/>
    </row>
    <row r="1460" spans="15:15" x14ac:dyDescent="0.25">
      <c r="O1460" s="235"/>
    </row>
    <row r="1461" spans="15:15" x14ac:dyDescent="0.25">
      <c r="O1461" s="235"/>
    </row>
    <row r="1462" spans="15:15" x14ac:dyDescent="0.25">
      <c r="O1462" s="235"/>
    </row>
    <row r="1463" spans="15:15" x14ac:dyDescent="0.25">
      <c r="O1463" s="235"/>
    </row>
    <row r="1464" spans="15:15" x14ac:dyDescent="0.25">
      <c r="O1464" s="235"/>
    </row>
    <row r="1465" spans="15:15" x14ac:dyDescent="0.25">
      <c r="O1465" s="235"/>
    </row>
    <row r="1466" spans="15:15" x14ac:dyDescent="0.25">
      <c r="O1466" s="235"/>
    </row>
    <row r="1467" spans="15:15" x14ac:dyDescent="0.25">
      <c r="O1467" s="235"/>
    </row>
    <row r="1468" spans="15:15" x14ac:dyDescent="0.25">
      <c r="O1468" s="235"/>
    </row>
    <row r="1469" spans="15:15" x14ac:dyDescent="0.25">
      <c r="O1469" s="235"/>
    </row>
    <row r="1470" spans="15:15" x14ac:dyDescent="0.25">
      <c r="O1470" s="235"/>
    </row>
    <row r="1471" spans="15:15" x14ac:dyDescent="0.25">
      <c r="O1471" s="235"/>
    </row>
    <row r="1472" spans="15:15" x14ac:dyDescent="0.25">
      <c r="O1472" s="235"/>
    </row>
    <row r="1473" spans="15:15" x14ac:dyDescent="0.25">
      <c r="O1473" s="235"/>
    </row>
    <row r="1474" spans="15:15" x14ac:dyDescent="0.25">
      <c r="O1474" s="235"/>
    </row>
    <row r="1475" spans="15:15" x14ac:dyDescent="0.25">
      <c r="O1475" s="235"/>
    </row>
    <row r="1476" spans="15:15" x14ac:dyDescent="0.25">
      <c r="O1476" s="235"/>
    </row>
    <row r="1477" spans="15:15" x14ac:dyDescent="0.25">
      <c r="O1477" s="235"/>
    </row>
    <row r="1478" spans="15:15" x14ac:dyDescent="0.25">
      <c r="O1478" s="235"/>
    </row>
    <row r="1479" spans="15:15" x14ac:dyDescent="0.25">
      <c r="O1479" s="235"/>
    </row>
    <row r="1480" spans="15:15" x14ac:dyDescent="0.25">
      <c r="O1480" s="235"/>
    </row>
    <row r="1481" spans="15:15" x14ac:dyDescent="0.25">
      <c r="O1481" s="235"/>
    </row>
    <row r="1482" spans="15:15" x14ac:dyDescent="0.25">
      <c r="O1482" s="235"/>
    </row>
    <row r="1483" spans="15:15" x14ac:dyDescent="0.25">
      <c r="O1483" s="235"/>
    </row>
    <row r="1484" spans="15:15" x14ac:dyDescent="0.25">
      <c r="O1484" s="235"/>
    </row>
    <row r="1485" spans="15:15" x14ac:dyDescent="0.25">
      <c r="O1485" s="235"/>
    </row>
    <row r="1486" spans="15:15" x14ac:dyDescent="0.25">
      <c r="O1486" s="235"/>
    </row>
    <row r="1487" spans="15:15" x14ac:dyDescent="0.25">
      <c r="O1487" s="235"/>
    </row>
    <row r="1488" spans="15:15" x14ac:dyDescent="0.25">
      <c r="O1488" s="235"/>
    </row>
    <row r="1489" spans="15:15" x14ac:dyDescent="0.25">
      <c r="O1489" s="235"/>
    </row>
    <row r="1490" spans="15:15" x14ac:dyDescent="0.25">
      <c r="O1490" s="235"/>
    </row>
    <row r="1491" spans="15:15" x14ac:dyDescent="0.25">
      <c r="O1491" s="235"/>
    </row>
    <row r="1492" spans="15:15" x14ac:dyDescent="0.25">
      <c r="O1492" s="235"/>
    </row>
    <row r="1493" spans="15:15" x14ac:dyDescent="0.25">
      <c r="O1493" s="235"/>
    </row>
    <row r="1494" spans="15:15" x14ac:dyDescent="0.25">
      <c r="O1494" s="235"/>
    </row>
    <row r="1495" spans="15:15" x14ac:dyDescent="0.25">
      <c r="O1495" s="235"/>
    </row>
    <row r="1496" spans="15:15" x14ac:dyDescent="0.25">
      <c r="O1496" s="235"/>
    </row>
    <row r="1497" spans="15:15" x14ac:dyDescent="0.25">
      <c r="O1497" s="235"/>
    </row>
    <row r="1498" spans="15:15" x14ac:dyDescent="0.25">
      <c r="O1498" s="235"/>
    </row>
    <row r="1499" spans="15:15" x14ac:dyDescent="0.25">
      <c r="O1499" s="235"/>
    </row>
    <row r="1500" spans="15:15" x14ac:dyDescent="0.25">
      <c r="O1500" s="235"/>
    </row>
    <row r="1501" spans="15:15" x14ac:dyDescent="0.25">
      <c r="O1501" s="235"/>
    </row>
    <row r="1502" spans="15:15" x14ac:dyDescent="0.25">
      <c r="O1502" s="235"/>
    </row>
    <row r="1503" spans="15:15" x14ac:dyDescent="0.25">
      <c r="O1503" s="235"/>
    </row>
    <row r="1504" spans="15:15" x14ac:dyDescent="0.25">
      <c r="O1504" s="235"/>
    </row>
    <row r="1505" spans="15:15" x14ac:dyDescent="0.25">
      <c r="O1505" s="235"/>
    </row>
    <row r="1506" spans="15:15" x14ac:dyDescent="0.25">
      <c r="O1506" s="235"/>
    </row>
    <row r="1507" spans="15:15" x14ac:dyDescent="0.25">
      <c r="O1507" s="235"/>
    </row>
    <row r="1508" spans="15:15" x14ac:dyDescent="0.25">
      <c r="O1508" s="235"/>
    </row>
    <row r="1509" spans="15:15" x14ac:dyDescent="0.25">
      <c r="O1509" s="235"/>
    </row>
    <row r="1510" spans="15:15" x14ac:dyDescent="0.25">
      <c r="O1510" s="235"/>
    </row>
    <row r="1511" spans="15:15" x14ac:dyDescent="0.25">
      <c r="O1511" s="235"/>
    </row>
    <row r="1512" spans="15:15" x14ac:dyDescent="0.25">
      <c r="O1512" s="235"/>
    </row>
    <row r="1513" spans="15:15" x14ac:dyDescent="0.25">
      <c r="O1513" s="235"/>
    </row>
    <row r="1514" spans="15:15" x14ac:dyDescent="0.25">
      <c r="O1514" s="235"/>
    </row>
    <row r="1515" spans="15:15" x14ac:dyDescent="0.25">
      <c r="O1515" s="235"/>
    </row>
    <row r="1516" spans="15:15" x14ac:dyDescent="0.25">
      <c r="O1516" s="235"/>
    </row>
    <row r="1517" spans="15:15" x14ac:dyDescent="0.25">
      <c r="O1517" s="235"/>
    </row>
    <row r="1518" spans="15:15" x14ac:dyDescent="0.25">
      <c r="O1518" s="235"/>
    </row>
    <row r="1519" spans="15:15" x14ac:dyDescent="0.25">
      <c r="O1519" s="235"/>
    </row>
    <row r="1520" spans="15:15" x14ac:dyDescent="0.25">
      <c r="O1520" s="235"/>
    </row>
    <row r="1521" spans="15:15" x14ac:dyDescent="0.25">
      <c r="O1521" s="235"/>
    </row>
    <row r="1522" spans="15:15" x14ac:dyDescent="0.25">
      <c r="O1522" s="235"/>
    </row>
    <row r="1523" spans="15:15" x14ac:dyDescent="0.25">
      <c r="O1523" s="235"/>
    </row>
    <row r="1524" spans="15:15" x14ac:dyDescent="0.25">
      <c r="O1524" s="235"/>
    </row>
    <row r="1525" spans="15:15" x14ac:dyDescent="0.25">
      <c r="O1525" s="235"/>
    </row>
    <row r="1526" spans="15:15" x14ac:dyDescent="0.25">
      <c r="O1526" s="235"/>
    </row>
    <row r="1527" spans="15:15" x14ac:dyDescent="0.25">
      <c r="O1527" s="235"/>
    </row>
    <row r="1528" spans="15:15" x14ac:dyDescent="0.25">
      <c r="O1528" s="235"/>
    </row>
    <row r="1529" spans="15:15" x14ac:dyDescent="0.25">
      <c r="O1529" s="235"/>
    </row>
    <row r="1530" spans="15:15" x14ac:dyDescent="0.25">
      <c r="O1530" s="235"/>
    </row>
    <row r="1531" spans="15:15" x14ac:dyDescent="0.25">
      <c r="O1531" s="235"/>
    </row>
    <row r="1532" spans="15:15" x14ac:dyDescent="0.25">
      <c r="O1532" s="235"/>
    </row>
    <row r="1533" spans="15:15" x14ac:dyDescent="0.25">
      <c r="O1533" s="235"/>
    </row>
    <row r="1534" spans="15:15" x14ac:dyDescent="0.25">
      <c r="O1534" s="235"/>
    </row>
    <row r="1535" spans="15:15" x14ac:dyDescent="0.25">
      <c r="O1535" s="235"/>
    </row>
    <row r="1536" spans="15:15" x14ac:dyDescent="0.25">
      <c r="O1536" s="235"/>
    </row>
    <row r="1537" spans="15:15" x14ac:dyDescent="0.25">
      <c r="O1537" s="235"/>
    </row>
    <row r="1538" spans="15:15" x14ac:dyDescent="0.25">
      <c r="O1538" s="235"/>
    </row>
    <row r="1539" spans="15:15" x14ac:dyDescent="0.25">
      <c r="O1539" s="235"/>
    </row>
    <row r="1540" spans="15:15" x14ac:dyDescent="0.25">
      <c r="O1540" s="235"/>
    </row>
    <row r="1541" spans="15:15" x14ac:dyDescent="0.25">
      <c r="O1541" s="235"/>
    </row>
    <row r="1542" spans="15:15" x14ac:dyDescent="0.25">
      <c r="O1542" s="235"/>
    </row>
    <row r="1543" spans="15:15" x14ac:dyDescent="0.25">
      <c r="O1543" s="235"/>
    </row>
    <row r="1544" spans="15:15" x14ac:dyDescent="0.25">
      <c r="O1544" s="235"/>
    </row>
    <row r="1545" spans="15:15" x14ac:dyDescent="0.25">
      <c r="O1545" s="235"/>
    </row>
    <row r="1546" spans="15:15" x14ac:dyDescent="0.25">
      <c r="O1546" s="235"/>
    </row>
    <row r="1547" spans="15:15" x14ac:dyDescent="0.25">
      <c r="O1547" s="235"/>
    </row>
    <row r="1548" spans="15:15" x14ac:dyDescent="0.25">
      <c r="O1548" s="235"/>
    </row>
    <row r="1549" spans="15:15" x14ac:dyDescent="0.25">
      <c r="O1549" s="235"/>
    </row>
    <row r="1550" spans="15:15" x14ac:dyDescent="0.25">
      <c r="O1550" s="235"/>
    </row>
    <row r="1551" spans="15:15" x14ac:dyDescent="0.25">
      <c r="O1551" s="235"/>
    </row>
    <row r="1552" spans="15:15" x14ac:dyDescent="0.25">
      <c r="O1552" s="235"/>
    </row>
    <row r="1553" spans="15:15" x14ac:dyDescent="0.25">
      <c r="O1553" s="235"/>
    </row>
    <row r="1554" spans="15:15" x14ac:dyDescent="0.25">
      <c r="O1554" s="235"/>
    </row>
    <row r="1555" spans="15:15" x14ac:dyDescent="0.25">
      <c r="O1555" s="235"/>
    </row>
    <row r="1556" spans="15:15" x14ac:dyDescent="0.25">
      <c r="O1556" s="235"/>
    </row>
    <row r="1557" spans="15:15" x14ac:dyDescent="0.25">
      <c r="O1557" s="235"/>
    </row>
    <row r="1558" spans="15:15" x14ac:dyDescent="0.25">
      <c r="O1558" s="235"/>
    </row>
    <row r="1559" spans="15:15" x14ac:dyDescent="0.25">
      <c r="O1559" s="235"/>
    </row>
    <row r="1560" spans="15:15" x14ac:dyDescent="0.25">
      <c r="O1560" s="235"/>
    </row>
    <row r="1561" spans="15:15" x14ac:dyDescent="0.25">
      <c r="O1561" s="235"/>
    </row>
    <row r="1562" spans="15:15" x14ac:dyDescent="0.25">
      <c r="O1562" s="235"/>
    </row>
    <row r="1563" spans="15:15" x14ac:dyDescent="0.25">
      <c r="O1563" s="235"/>
    </row>
    <row r="1564" spans="15:15" x14ac:dyDescent="0.25">
      <c r="O1564" s="235"/>
    </row>
    <row r="1565" spans="15:15" x14ac:dyDescent="0.25">
      <c r="O1565" s="235"/>
    </row>
    <row r="1566" spans="15:15" x14ac:dyDescent="0.25">
      <c r="O1566" s="235"/>
    </row>
    <row r="1567" spans="15:15" x14ac:dyDescent="0.25">
      <c r="O1567" s="235"/>
    </row>
    <row r="1568" spans="15:15" x14ac:dyDescent="0.25">
      <c r="O1568" s="235"/>
    </row>
    <row r="1569" spans="15:15" x14ac:dyDescent="0.25">
      <c r="O1569" s="235"/>
    </row>
    <row r="1570" spans="15:15" x14ac:dyDescent="0.25">
      <c r="O1570" s="235"/>
    </row>
    <row r="1571" spans="15:15" x14ac:dyDescent="0.25">
      <c r="O1571" s="235"/>
    </row>
    <row r="1572" spans="15:15" x14ac:dyDescent="0.25">
      <c r="O1572" s="235"/>
    </row>
    <row r="1573" spans="15:15" x14ac:dyDescent="0.25">
      <c r="O1573" s="235"/>
    </row>
    <row r="1574" spans="15:15" x14ac:dyDescent="0.25">
      <c r="O1574" s="235"/>
    </row>
    <row r="1575" spans="15:15" x14ac:dyDescent="0.25">
      <c r="O1575" s="235"/>
    </row>
    <row r="1576" spans="15:15" x14ac:dyDescent="0.25">
      <c r="O1576" s="235"/>
    </row>
    <row r="1577" spans="15:15" x14ac:dyDescent="0.25">
      <c r="O1577" s="235"/>
    </row>
    <row r="1578" spans="15:15" x14ac:dyDescent="0.25">
      <c r="O1578" s="235"/>
    </row>
    <row r="1579" spans="15:15" x14ac:dyDescent="0.25">
      <c r="O1579" s="235"/>
    </row>
    <row r="1580" spans="15:15" x14ac:dyDescent="0.25">
      <c r="O1580" s="235"/>
    </row>
    <row r="1581" spans="15:15" x14ac:dyDescent="0.25">
      <c r="O1581" s="235"/>
    </row>
    <row r="1582" spans="15:15" x14ac:dyDescent="0.25">
      <c r="O1582" s="235"/>
    </row>
    <row r="1583" spans="15:15" x14ac:dyDescent="0.25">
      <c r="O1583" s="235"/>
    </row>
    <row r="1584" spans="15:15" x14ac:dyDescent="0.25">
      <c r="O1584" s="235"/>
    </row>
    <row r="1585" spans="15:15" x14ac:dyDescent="0.25">
      <c r="O1585" s="235"/>
    </row>
    <row r="1586" spans="15:15" x14ac:dyDescent="0.25">
      <c r="O1586" s="235"/>
    </row>
    <row r="1587" spans="15:15" x14ac:dyDescent="0.25">
      <c r="O1587" s="235"/>
    </row>
    <row r="1588" spans="15:15" x14ac:dyDescent="0.25">
      <c r="O1588" s="235"/>
    </row>
    <row r="1589" spans="15:15" x14ac:dyDescent="0.25">
      <c r="O1589" s="235"/>
    </row>
    <row r="1590" spans="15:15" x14ac:dyDescent="0.25">
      <c r="O1590" s="235"/>
    </row>
    <row r="1591" spans="15:15" x14ac:dyDescent="0.25">
      <c r="O1591" s="235"/>
    </row>
    <row r="1592" spans="15:15" x14ac:dyDescent="0.25">
      <c r="O1592" s="235"/>
    </row>
    <row r="1593" spans="15:15" x14ac:dyDescent="0.25">
      <c r="O1593" s="235"/>
    </row>
    <row r="1594" spans="15:15" x14ac:dyDescent="0.25">
      <c r="O1594" s="235"/>
    </row>
    <row r="1595" spans="15:15" x14ac:dyDescent="0.25">
      <c r="O1595" s="235"/>
    </row>
    <row r="1596" spans="15:15" x14ac:dyDescent="0.25">
      <c r="O1596" s="235"/>
    </row>
    <row r="1597" spans="15:15" x14ac:dyDescent="0.25">
      <c r="O1597" s="235"/>
    </row>
    <row r="1598" spans="15:15" x14ac:dyDescent="0.25">
      <c r="O1598" s="235"/>
    </row>
    <row r="1599" spans="15:15" x14ac:dyDescent="0.25">
      <c r="O1599" s="235"/>
    </row>
    <row r="1600" spans="15:15" x14ac:dyDescent="0.25">
      <c r="O1600" s="235"/>
    </row>
    <row r="1601" spans="15:15" x14ac:dyDescent="0.25">
      <c r="O1601" s="235"/>
    </row>
    <row r="1602" spans="15:15" x14ac:dyDescent="0.25">
      <c r="O1602" s="235"/>
    </row>
    <row r="1603" spans="15:15" x14ac:dyDescent="0.25">
      <c r="O1603" s="235"/>
    </row>
    <row r="1604" spans="15:15" x14ac:dyDescent="0.25">
      <c r="O1604" s="235"/>
    </row>
    <row r="1605" spans="15:15" x14ac:dyDescent="0.25">
      <c r="O1605" s="235"/>
    </row>
    <row r="1606" spans="15:15" x14ac:dyDescent="0.25">
      <c r="O1606" s="235"/>
    </row>
    <row r="1607" spans="15:15" x14ac:dyDescent="0.25">
      <c r="O1607" s="235"/>
    </row>
    <row r="1608" spans="15:15" x14ac:dyDescent="0.25">
      <c r="O1608" s="235"/>
    </row>
    <row r="1609" spans="15:15" x14ac:dyDescent="0.25">
      <c r="O1609" s="235"/>
    </row>
    <row r="1610" spans="15:15" x14ac:dyDescent="0.25">
      <c r="O1610" s="235"/>
    </row>
    <row r="1611" spans="15:15" x14ac:dyDescent="0.25">
      <c r="O1611" s="235"/>
    </row>
    <row r="1612" spans="15:15" x14ac:dyDescent="0.25">
      <c r="O1612" s="235"/>
    </row>
    <row r="1613" spans="15:15" x14ac:dyDescent="0.25">
      <c r="O1613" s="235"/>
    </row>
    <row r="1614" spans="15:15" x14ac:dyDescent="0.25">
      <c r="O1614" s="235"/>
    </row>
    <row r="1615" spans="15:15" x14ac:dyDescent="0.25">
      <c r="O1615" s="235"/>
    </row>
    <row r="1616" spans="15:15" x14ac:dyDescent="0.25">
      <c r="O1616" s="235"/>
    </row>
    <row r="1617" spans="15:15" x14ac:dyDescent="0.25">
      <c r="O1617" s="235"/>
    </row>
    <row r="1618" spans="15:15" x14ac:dyDescent="0.25">
      <c r="O1618" s="235"/>
    </row>
    <row r="1619" spans="15:15" x14ac:dyDescent="0.25">
      <c r="O1619" s="235"/>
    </row>
    <row r="1620" spans="15:15" x14ac:dyDescent="0.25">
      <c r="O1620" s="235"/>
    </row>
    <row r="1621" spans="15:15" x14ac:dyDescent="0.25">
      <c r="O1621" s="235"/>
    </row>
    <row r="1622" spans="15:15" x14ac:dyDescent="0.25">
      <c r="O1622" s="235"/>
    </row>
    <row r="1623" spans="15:15" x14ac:dyDescent="0.25">
      <c r="O1623" s="235"/>
    </row>
    <row r="1624" spans="15:15" x14ac:dyDescent="0.25">
      <c r="O1624" s="235"/>
    </row>
    <row r="1625" spans="15:15" x14ac:dyDescent="0.25">
      <c r="O1625" s="235"/>
    </row>
    <row r="1626" spans="15:15" x14ac:dyDescent="0.25">
      <c r="O1626" s="235"/>
    </row>
    <row r="1627" spans="15:15" x14ac:dyDescent="0.25">
      <c r="O1627" s="235"/>
    </row>
    <row r="1628" spans="15:15" x14ac:dyDescent="0.25">
      <c r="O1628" s="235"/>
    </row>
    <row r="1629" spans="15:15" x14ac:dyDescent="0.25">
      <c r="O1629" s="235"/>
    </row>
    <row r="1630" spans="15:15" x14ac:dyDescent="0.25">
      <c r="O1630" s="235"/>
    </row>
    <row r="1631" spans="15:15" x14ac:dyDescent="0.25">
      <c r="O1631" s="235"/>
    </row>
    <row r="1632" spans="15:15" x14ac:dyDescent="0.25">
      <c r="O1632" s="235"/>
    </row>
    <row r="1633" spans="15:15" x14ac:dyDescent="0.25">
      <c r="O1633" s="235"/>
    </row>
    <row r="1634" spans="15:15" x14ac:dyDescent="0.25">
      <c r="O1634" s="235"/>
    </row>
    <row r="1635" spans="15:15" x14ac:dyDescent="0.25">
      <c r="O1635" s="235"/>
    </row>
    <row r="1636" spans="15:15" x14ac:dyDescent="0.25">
      <c r="O1636" s="235"/>
    </row>
    <row r="1637" spans="15:15" x14ac:dyDescent="0.25">
      <c r="O1637" s="235"/>
    </row>
    <row r="1638" spans="15:15" x14ac:dyDescent="0.25">
      <c r="O1638" s="235"/>
    </row>
    <row r="1639" spans="15:15" x14ac:dyDescent="0.25">
      <c r="O1639" s="235"/>
    </row>
    <row r="1640" spans="15:15" x14ac:dyDescent="0.25">
      <c r="O1640" s="235"/>
    </row>
    <row r="1641" spans="15:15" x14ac:dyDescent="0.25">
      <c r="O1641" s="235"/>
    </row>
    <row r="1642" spans="15:15" x14ac:dyDescent="0.25">
      <c r="O1642" s="235"/>
    </row>
    <row r="1643" spans="15:15" x14ac:dyDescent="0.25">
      <c r="O1643" s="235"/>
    </row>
    <row r="1644" spans="15:15" x14ac:dyDescent="0.25">
      <c r="O1644" s="235"/>
    </row>
    <row r="1645" spans="15:15" x14ac:dyDescent="0.25">
      <c r="O1645" s="235"/>
    </row>
    <row r="1646" spans="15:15" x14ac:dyDescent="0.25">
      <c r="O1646" s="235"/>
    </row>
    <row r="1647" spans="15:15" x14ac:dyDescent="0.25">
      <c r="O1647" s="235"/>
    </row>
    <row r="1648" spans="15:15" x14ac:dyDescent="0.25">
      <c r="O1648" s="235"/>
    </row>
    <row r="1649" spans="15:15" x14ac:dyDescent="0.25">
      <c r="O1649" s="235"/>
    </row>
    <row r="1650" spans="15:15" x14ac:dyDescent="0.25">
      <c r="O1650" s="235"/>
    </row>
    <row r="1651" spans="15:15" x14ac:dyDescent="0.25">
      <c r="O1651" s="235"/>
    </row>
    <row r="1652" spans="15:15" x14ac:dyDescent="0.25">
      <c r="O1652" s="235"/>
    </row>
    <row r="1653" spans="15:15" x14ac:dyDescent="0.25">
      <c r="O1653" s="235"/>
    </row>
    <row r="1654" spans="15:15" x14ac:dyDescent="0.25">
      <c r="O1654" s="235"/>
    </row>
    <row r="1655" spans="15:15" x14ac:dyDescent="0.25">
      <c r="O1655" s="235"/>
    </row>
    <row r="1656" spans="15:15" x14ac:dyDescent="0.25">
      <c r="O1656" s="235"/>
    </row>
    <row r="1657" spans="15:15" x14ac:dyDescent="0.25">
      <c r="O1657" s="235"/>
    </row>
    <row r="1658" spans="15:15" x14ac:dyDescent="0.25">
      <c r="O1658" s="235"/>
    </row>
    <row r="1659" spans="15:15" x14ac:dyDescent="0.25">
      <c r="O1659" s="235"/>
    </row>
    <row r="1660" spans="15:15" x14ac:dyDescent="0.25">
      <c r="O1660" s="235"/>
    </row>
    <row r="1661" spans="15:15" x14ac:dyDescent="0.25">
      <c r="O1661" s="235"/>
    </row>
    <row r="1662" spans="15:15" x14ac:dyDescent="0.25">
      <c r="O1662" s="235"/>
    </row>
    <row r="1663" spans="15:15" x14ac:dyDescent="0.25">
      <c r="O1663" s="235"/>
    </row>
    <row r="1664" spans="15:15" x14ac:dyDescent="0.25">
      <c r="O1664" s="235"/>
    </row>
    <row r="1665" spans="15:15" x14ac:dyDescent="0.25">
      <c r="O1665" s="235"/>
    </row>
    <row r="1666" spans="15:15" x14ac:dyDescent="0.25">
      <c r="O1666" s="235"/>
    </row>
    <row r="1667" spans="15:15" x14ac:dyDescent="0.25">
      <c r="O1667" s="235"/>
    </row>
    <row r="1668" spans="15:15" x14ac:dyDescent="0.25">
      <c r="O1668" s="235"/>
    </row>
    <row r="1669" spans="15:15" x14ac:dyDescent="0.25">
      <c r="O1669" s="235"/>
    </row>
    <row r="1670" spans="15:15" x14ac:dyDescent="0.25">
      <c r="O1670" s="235"/>
    </row>
    <row r="1671" spans="15:15" x14ac:dyDescent="0.25">
      <c r="O1671" s="235"/>
    </row>
    <row r="1672" spans="15:15" x14ac:dyDescent="0.25">
      <c r="O1672" s="235"/>
    </row>
    <row r="1673" spans="15:15" x14ac:dyDescent="0.25">
      <c r="O1673" s="235"/>
    </row>
    <row r="1674" spans="15:15" x14ac:dyDescent="0.25">
      <c r="O1674" s="235"/>
    </row>
    <row r="1675" spans="15:15" x14ac:dyDescent="0.25">
      <c r="O1675" s="235"/>
    </row>
    <row r="1676" spans="15:15" x14ac:dyDescent="0.25">
      <c r="O1676" s="235"/>
    </row>
    <row r="1677" spans="15:15" x14ac:dyDescent="0.25">
      <c r="O1677" s="235"/>
    </row>
    <row r="1678" spans="15:15" x14ac:dyDescent="0.25">
      <c r="O1678" s="235"/>
    </row>
    <row r="1679" spans="15:15" x14ac:dyDescent="0.25">
      <c r="O1679" s="235"/>
    </row>
    <row r="1680" spans="15:15" x14ac:dyDescent="0.25">
      <c r="O1680" s="235"/>
    </row>
    <row r="1681" spans="15:15" x14ac:dyDescent="0.25">
      <c r="O1681" s="235"/>
    </row>
    <row r="1682" spans="15:15" x14ac:dyDescent="0.25">
      <c r="O1682" s="235"/>
    </row>
    <row r="1683" spans="15:15" x14ac:dyDescent="0.25">
      <c r="O1683" s="235"/>
    </row>
    <row r="1684" spans="15:15" x14ac:dyDescent="0.25">
      <c r="O1684" s="235"/>
    </row>
    <row r="1685" spans="15:15" x14ac:dyDescent="0.25">
      <c r="O1685" s="235"/>
    </row>
    <row r="1686" spans="15:15" x14ac:dyDescent="0.25">
      <c r="O1686" s="235"/>
    </row>
    <row r="1687" spans="15:15" x14ac:dyDescent="0.25">
      <c r="O1687" s="235"/>
    </row>
    <row r="1688" spans="15:15" x14ac:dyDescent="0.25">
      <c r="O1688" s="235"/>
    </row>
    <row r="1689" spans="15:15" x14ac:dyDescent="0.25">
      <c r="O1689" s="235"/>
    </row>
    <row r="1690" spans="15:15" x14ac:dyDescent="0.25">
      <c r="O1690" s="235"/>
    </row>
    <row r="1691" spans="15:15" x14ac:dyDescent="0.25">
      <c r="O1691" s="235"/>
    </row>
    <row r="1692" spans="15:15" x14ac:dyDescent="0.25">
      <c r="O1692" s="235"/>
    </row>
    <row r="1693" spans="15:15" x14ac:dyDescent="0.25">
      <c r="O1693" s="235"/>
    </row>
    <row r="1694" spans="15:15" x14ac:dyDescent="0.25">
      <c r="O1694" s="235"/>
    </row>
    <row r="1695" spans="15:15" x14ac:dyDescent="0.25">
      <c r="O1695" s="235"/>
    </row>
    <row r="1696" spans="15:15" x14ac:dyDescent="0.25">
      <c r="O1696" s="235"/>
    </row>
    <row r="1697" spans="15:15" x14ac:dyDescent="0.25">
      <c r="O1697" s="235"/>
    </row>
    <row r="1698" spans="15:15" x14ac:dyDescent="0.25">
      <c r="O1698" s="235"/>
    </row>
    <row r="1699" spans="15:15" x14ac:dyDescent="0.25">
      <c r="O1699" s="235"/>
    </row>
    <row r="1700" spans="15:15" x14ac:dyDescent="0.25">
      <c r="O1700" s="235"/>
    </row>
    <row r="1701" spans="15:15" x14ac:dyDescent="0.25">
      <c r="O1701" s="235"/>
    </row>
    <row r="1702" spans="15:15" x14ac:dyDescent="0.25">
      <c r="O1702" s="235"/>
    </row>
    <row r="1703" spans="15:15" x14ac:dyDescent="0.25">
      <c r="O1703" s="235"/>
    </row>
    <row r="1704" spans="15:15" x14ac:dyDescent="0.25">
      <c r="O1704" s="235"/>
    </row>
    <row r="1705" spans="15:15" x14ac:dyDescent="0.25">
      <c r="O1705" s="235"/>
    </row>
    <row r="1706" spans="15:15" x14ac:dyDescent="0.25">
      <c r="O1706" s="235"/>
    </row>
    <row r="1707" spans="15:15" x14ac:dyDescent="0.25">
      <c r="O1707" s="235"/>
    </row>
    <row r="1708" spans="15:15" x14ac:dyDescent="0.25">
      <c r="O1708" s="235"/>
    </row>
    <row r="1709" spans="15:15" x14ac:dyDescent="0.25">
      <c r="O1709" s="235"/>
    </row>
    <row r="1710" spans="15:15" x14ac:dyDescent="0.25">
      <c r="O1710" s="235"/>
    </row>
    <row r="1711" spans="15:15" x14ac:dyDescent="0.25">
      <c r="O1711" s="235"/>
    </row>
    <row r="1712" spans="15:15" x14ac:dyDescent="0.25">
      <c r="O1712" s="235"/>
    </row>
    <row r="1713" spans="15:15" x14ac:dyDescent="0.25">
      <c r="O1713" s="235"/>
    </row>
    <row r="1714" spans="15:15" x14ac:dyDescent="0.25">
      <c r="O1714" s="235"/>
    </row>
    <row r="1715" spans="15:15" x14ac:dyDescent="0.25">
      <c r="O1715" s="235"/>
    </row>
    <row r="1716" spans="15:15" x14ac:dyDescent="0.25">
      <c r="O1716" s="235"/>
    </row>
    <row r="1717" spans="15:15" x14ac:dyDescent="0.25">
      <c r="O1717" s="235"/>
    </row>
    <row r="1718" spans="15:15" x14ac:dyDescent="0.25">
      <c r="O1718" s="235"/>
    </row>
    <row r="1719" spans="15:15" x14ac:dyDescent="0.25">
      <c r="O1719" s="235"/>
    </row>
    <row r="1720" spans="15:15" x14ac:dyDescent="0.25">
      <c r="O1720" s="235"/>
    </row>
    <row r="1721" spans="15:15" x14ac:dyDescent="0.25">
      <c r="O1721" s="235"/>
    </row>
    <row r="1722" spans="15:15" x14ac:dyDescent="0.25">
      <c r="O1722" s="235"/>
    </row>
    <row r="1723" spans="15:15" x14ac:dyDescent="0.25">
      <c r="O1723" s="235"/>
    </row>
    <row r="1724" spans="15:15" x14ac:dyDescent="0.25">
      <c r="O1724" s="235"/>
    </row>
    <row r="1725" spans="15:15" x14ac:dyDescent="0.25">
      <c r="O1725" s="235"/>
    </row>
    <row r="1726" spans="15:15" x14ac:dyDescent="0.25">
      <c r="O1726" s="235"/>
    </row>
    <row r="1727" spans="15:15" x14ac:dyDescent="0.25">
      <c r="O1727" s="235"/>
    </row>
    <row r="1728" spans="15:15" x14ac:dyDescent="0.25">
      <c r="O1728" s="235"/>
    </row>
    <row r="1729" spans="15:15" x14ac:dyDescent="0.25">
      <c r="O1729" s="235"/>
    </row>
    <row r="1730" spans="15:15" x14ac:dyDescent="0.25">
      <c r="O1730" s="235"/>
    </row>
    <row r="1731" spans="15:15" x14ac:dyDescent="0.25">
      <c r="O1731" s="235"/>
    </row>
    <row r="1732" spans="15:15" x14ac:dyDescent="0.25">
      <c r="O1732" s="235"/>
    </row>
    <row r="1733" spans="15:15" x14ac:dyDescent="0.25">
      <c r="O1733" s="235"/>
    </row>
    <row r="1734" spans="15:15" x14ac:dyDescent="0.25">
      <c r="O1734" s="235"/>
    </row>
    <row r="1735" spans="15:15" x14ac:dyDescent="0.25">
      <c r="O1735" s="235"/>
    </row>
    <row r="1736" spans="15:15" x14ac:dyDescent="0.25">
      <c r="O1736" s="235"/>
    </row>
    <row r="1737" spans="15:15" x14ac:dyDescent="0.25">
      <c r="O1737" s="235"/>
    </row>
    <row r="1738" spans="15:15" x14ac:dyDescent="0.25">
      <c r="O1738" s="235"/>
    </row>
    <row r="1739" spans="15:15" x14ac:dyDescent="0.25">
      <c r="O1739" s="235"/>
    </row>
    <row r="1740" spans="15:15" x14ac:dyDescent="0.25">
      <c r="O1740" s="235"/>
    </row>
    <row r="1741" spans="15:15" x14ac:dyDescent="0.25">
      <c r="O1741" s="235"/>
    </row>
    <row r="1742" spans="15:15" x14ac:dyDescent="0.25">
      <c r="O1742" s="235"/>
    </row>
    <row r="1743" spans="15:15" x14ac:dyDescent="0.25">
      <c r="O1743" s="235"/>
    </row>
    <row r="1744" spans="15:15" x14ac:dyDescent="0.25">
      <c r="O1744" s="235"/>
    </row>
    <row r="1745" spans="15:15" x14ac:dyDescent="0.25">
      <c r="O1745" s="235"/>
    </row>
    <row r="1746" spans="15:15" x14ac:dyDescent="0.25">
      <c r="O1746" s="235"/>
    </row>
    <row r="1747" spans="15:15" x14ac:dyDescent="0.25">
      <c r="O1747" s="235"/>
    </row>
    <row r="1748" spans="15:15" x14ac:dyDescent="0.25">
      <c r="O1748" s="235"/>
    </row>
    <row r="1749" spans="15:15" x14ac:dyDescent="0.25">
      <c r="O1749" s="235"/>
    </row>
    <row r="1750" spans="15:15" x14ac:dyDescent="0.25">
      <c r="O1750" s="235"/>
    </row>
    <row r="1751" spans="15:15" x14ac:dyDescent="0.25">
      <c r="O1751" s="235"/>
    </row>
    <row r="1752" spans="15:15" x14ac:dyDescent="0.25">
      <c r="O1752" s="235"/>
    </row>
    <row r="1753" spans="15:15" x14ac:dyDescent="0.25">
      <c r="O1753" s="235"/>
    </row>
    <row r="1754" spans="15:15" x14ac:dyDescent="0.25">
      <c r="O1754" s="235"/>
    </row>
    <row r="1755" spans="15:15" x14ac:dyDescent="0.25">
      <c r="O1755" s="235"/>
    </row>
    <row r="1756" spans="15:15" x14ac:dyDescent="0.25">
      <c r="O1756" s="235"/>
    </row>
    <row r="1757" spans="15:15" x14ac:dyDescent="0.25">
      <c r="O1757" s="235"/>
    </row>
    <row r="1758" spans="15:15" x14ac:dyDescent="0.25">
      <c r="O1758" s="235"/>
    </row>
    <row r="1759" spans="15:15" x14ac:dyDescent="0.25">
      <c r="O1759" s="235"/>
    </row>
    <row r="1760" spans="15:15" x14ac:dyDescent="0.25">
      <c r="O1760" s="235"/>
    </row>
    <row r="1761" spans="15:15" x14ac:dyDescent="0.25">
      <c r="O1761" s="235"/>
    </row>
    <row r="1762" spans="15:15" x14ac:dyDescent="0.25">
      <c r="O1762" s="235"/>
    </row>
    <row r="1763" spans="15:15" x14ac:dyDescent="0.25">
      <c r="O1763" s="235"/>
    </row>
    <row r="1764" spans="15:15" x14ac:dyDescent="0.25">
      <c r="O1764" s="235"/>
    </row>
    <row r="1765" spans="15:15" x14ac:dyDescent="0.25">
      <c r="O1765" s="235"/>
    </row>
    <row r="1766" spans="15:15" x14ac:dyDescent="0.25">
      <c r="O1766" s="235"/>
    </row>
    <row r="1767" spans="15:15" x14ac:dyDescent="0.25">
      <c r="O1767" s="235"/>
    </row>
    <row r="1768" spans="15:15" x14ac:dyDescent="0.25">
      <c r="O1768" s="235"/>
    </row>
    <row r="1769" spans="15:15" x14ac:dyDescent="0.25">
      <c r="O1769" s="235"/>
    </row>
    <row r="1770" spans="15:15" x14ac:dyDescent="0.25">
      <c r="O1770" s="235"/>
    </row>
    <row r="1771" spans="15:15" x14ac:dyDescent="0.25">
      <c r="O1771" s="235"/>
    </row>
    <row r="1772" spans="15:15" x14ac:dyDescent="0.25">
      <c r="O1772" s="235"/>
    </row>
    <row r="1773" spans="15:15" x14ac:dyDescent="0.25">
      <c r="O1773" s="235"/>
    </row>
    <row r="1774" spans="15:15" x14ac:dyDescent="0.25">
      <c r="O1774" s="235"/>
    </row>
    <row r="1775" spans="15:15" x14ac:dyDescent="0.25">
      <c r="O1775" s="235"/>
    </row>
    <row r="1776" spans="15:15" x14ac:dyDescent="0.25">
      <c r="O1776" s="235"/>
    </row>
    <row r="1777" spans="15:15" x14ac:dyDescent="0.25">
      <c r="O1777" s="235"/>
    </row>
    <row r="1778" spans="15:15" x14ac:dyDescent="0.25">
      <c r="O1778" s="235"/>
    </row>
    <row r="1779" spans="15:15" x14ac:dyDescent="0.25">
      <c r="O1779" s="235"/>
    </row>
    <row r="1780" spans="15:15" x14ac:dyDescent="0.25">
      <c r="O1780" s="235"/>
    </row>
    <row r="1781" spans="15:15" x14ac:dyDescent="0.25">
      <c r="O1781" s="235"/>
    </row>
    <row r="1782" spans="15:15" x14ac:dyDescent="0.25">
      <c r="O1782" s="235"/>
    </row>
    <row r="1783" spans="15:15" x14ac:dyDescent="0.25">
      <c r="O1783" s="235"/>
    </row>
    <row r="1784" spans="15:15" x14ac:dyDescent="0.25">
      <c r="O1784" s="235"/>
    </row>
    <row r="1785" spans="15:15" x14ac:dyDescent="0.25">
      <c r="O1785" s="235"/>
    </row>
    <row r="1786" spans="15:15" x14ac:dyDescent="0.25">
      <c r="O1786" s="235"/>
    </row>
    <row r="1787" spans="15:15" x14ac:dyDescent="0.25">
      <c r="O1787" s="235"/>
    </row>
    <row r="1788" spans="15:15" x14ac:dyDescent="0.25">
      <c r="O1788" s="235"/>
    </row>
    <row r="1789" spans="15:15" x14ac:dyDescent="0.25">
      <c r="O1789" s="235"/>
    </row>
    <row r="1790" spans="15:15" x14ac:dyDescent="0.25">
      <c r="O1790" s="235"/>
    </row>
    <row r="1791" spans="15:15" x14ac:dyDescent="0.25">
      <c r="O1791" s="235"/>
    </row>
    <row r="1792" spans="15:15" x14ac:dyDescent="0.25">
      <c r="O1792" s="235"/>
    </row>
    <row r="1793" spans="15:15" x14ac:dyDescent="0.25">
      <c r="O1793" s="235"/>
    </row>
    <row r="1794" spans="15:15" x14ac:dyDescent="0.25">
      <c r="O1794" s="235"/>
    </row>
    <row r="1795" spans="15:15" x14ac:dyDescent="0.25">
      <c r="O1795" s="235"/>
    </row>
    <row r="1796" spans="15:15" x14ac:dyDescent="0.25">
      <c r="O1796" s="235"/>
    </row>
    <row r="1797" spans="15:15" x14ac:dyDescent="0.25">
      <c r="O1797" s="235"/>
    </row>
    <row r="1798" spans="15:15" x14ac:dyDescent="0.25">
      <c r="O1798" s="235"/>
    </row>
    <row r="1799" spans="15:15" x14ac:dyDescent="0.25">
      <c r="O1799" s="235"/>
    </row>
    <row r="1800" spans="15:15" x14ac:dyDescent="0.25">
      <c r="O1800" s="235"/>
    </row>
    <row r="1801" spans="15:15" x14ac:dyDescent="0.25">
      <c r="O1801" s="235"/>
    </row>
    <row r="1802" spans="15:15" x14ac:dyDescent="0.25">
      <c r="O1802" s="235"/>
    </row>
    <row r="1803" spans="15:15" x14ac:dyDescent="0.25">
      <c r="O1803" s="235"/>
    </row>
    <row r="1804" spans="15:15" x14ac:dyDescent="0.25">
      <c r="O1804" s="235"/>
    </row>
    <row r="1805" spans="15:15" x14ac:dyDescent="0.25">
      <c r="O1805" s="235"/>
    </row>
    <row r="1806" spans="15:15" x14ac:dyDescent="0.25">
      <c r="O1806" s="235"/>
    </row>
    <row r="1807" spans="15:15" x14ac:dyDescent="0.25">
      <c r="O1807" s="235"/>
    </row>
    <row r="1808" spans="15:15" x14ac:dyDescent="0.25">
      <c r="O1808" s="235"/>
    </row>
    <row r="1809" spans="15:15" x14ac:dyDescent="0.25">
      <c r="O1809" s="235"/>
    </row>
    <row r="1810" spans="15:15" x14ac:dyDescent="0.25">
      <c r="O1810" s="235"/>
    </row>
    <row r="1811" spans="15:15" x14ac:dyDescent="0.25">
      <c r="O1811" s="235"/>
    </row>
    <row r="1812" spans="15:15" x14ac:dyDescent="0.25">
      <c r="O1812" s="235"/>
    </row>
    <row r="1813" spans="15:15" x14ac:dyDescent="0.25">
      <c r="O1813" s="235"/>
    </row>
    <row r="1814" spans="15:15" x14ac:dyDescent="0.25">
      <c r="O1814" s="235"/>
    </row>
    <row r="1815" spans="15:15" x14ac:dyDescent="0.25">
      <c r="O1815" s="235"/>
    </row>
    <row r="1816" spans="15:15" x14ac:dyDescent="0.25">
      <c r="O1816" s="235"/>
    </row>
    <row r="1817" spans="15:15" x14ac:dyDescent="0.25">
      <c r="O1817" s="235"/>
    </row>
    <row r="1818" spans="15:15" x14ac:dyDescent="0.25">
      <c r="O1818" s="235"/>
    </row>
    <row r="1819" spans="15:15" x14ac:dyDescent="0.25">
      <c r="O1819" s="235"/>
    </row>
    <row r="1820" spans="15:15" x14ac:dyDescent="0.25">
      <c r="O1820" s="235"/>
    </row>
    <row r="1821" spans="15:15" x14ac:dyDescent="0.25">
      <c r="O1821" s="235"/>
    </row>
    <row r="1822" spans="15:15" x14ac:dyDescent="0.25">
      <c r="O1822" s="235"/>
    </row>
    <row r="1823" spans="15:15" x14ac:dyDescent="0.25">
      <c r="O1823" s="235"/>
    </row>
    <row r="1824" spans="15:15" x14ac:dyDescent="0.25">
      <c r="O1824" s="235"/>
    </row>
    <row r="1825" spans="15:15" x14ac:dyDescent="0.25">
      <c r="O1825" s="235"/>
    </row>
    <row r="1826" spans="15:15" x14ac:dyDescent="0.25">
      <c r="O1826" s="235"/>
    </row>
    <row r="1827" spans="15:15" x14ac:dyDescent="0.25">
      <c r="O1827" s="235"/>
    </row>
    <row r="1828" spans="15:15" x14ac:dyDescent="0.25">
      <c r="O1828" s="235"/>
    </row>
    <row r="1829" spans="15:15" x14ac:dyDescent="0.25">
      <c r="O1829" s="235"/>
    </row>
    <row r="1830" spans="15:15" x14ac:dyDescent="0.25">
      <c r="O1830" s="235"/>
    </row>
    <row r="1831" spans="15:15" x14ac:dyDescent="0.25">
      <c r="O1831" s="235"/>
    </row>
    <row r="1832" spans="15:15" x14ac:dyDescent="0.25">
      <c r="O1832" s="235"/>
    </row>
    <row r="1833" spans="15:15" x14ac:dyDescent="0.25">
      <c r="O1833" s="235"/>
    </row>
    <row r="1834" spans="15:15" x14ac:dyDescent="0.25">
      <c r="O1834" s="235"/>
    </row>
    <row r="1835" spans="15:15" x14ac:dyDescent="0.25">
      <c r="O1835" s="235"/>
    </row>
    <row r="1836" spans="15:15" x14ac:dyDescent="0.25">
      <c r="O1836" s="235"/>
    </row>
    <row r="1837" spans="15:15" x14ac:dyDescent="0.25">
      <c r="O1837" s="235"/>
    </row>
    <row r="1838" spans="15:15" x14ac:dyDescent="0.25">
      <c r="O1838" s="235"/>
    </row>
    <row r="1839" spans="15:15" x14ac:dyDescent="0.25">
      <c r="O1839" s="235"/>
    </row>
    <row r="1840" spans="15:15" x14ac:dyDescent="0.25">
      <c r="O1840" s="235"/>
    </row>
    <row r="1841" spans="15:15" x14ac:dyDescent="0.25">
      <c r="O1841" s="235"/>
    </row>
    <row r="1842" spans="15:15" x14ac:dyDescent="0.25">
      <c r="O1842" s="235"/>
    </row>
    <row r="1843" spans="15:15" x14ac:dyDescent="0.25">
      <c r="O1843" s="235"/>
    </row>
    <row r="1844" spans="15:15" x14ac:dyDescent="0.25">
      <c r="O1844" s="235"/>
    </row>
    <row r="1845" spans="15:15" x14ac:dyDescent="0.25">
      <c r="O1845" s="235"/>
    </row>
    <row r="1846" spans="15:15" x14ac:dyDescent="0.25">
      <c r="O1846" s="235"/>
    </row>
    <row r="1847" spans="15:15" x14ac:dyDescent="0.25">
      <c r="O1847" s="235"/>
    </row>
    <row r="1848" spans="15:15" x14ac:dyDescent="0.25">
      <c r="O1848" s="235"/>
    </row>
    <row r="1849" spans="15:15" x14ac:dyDescent="0.25">
      <c r="O1849" s="235"/>
    </row>
    <row r="1850" spans="15:15" x14ac:dyDescent="0.25">
      <c r="O1850" s="235"/>
    </row>
    <row r="1851" spans="15:15" x14ac:dyDescent="0.25">
      <c r="O1851" s="235"/>
    </row>
    <row r="1852" spans="15:15" x14ac:dyDescent="0.25">
      <c r="O1852" s="235"/>
    </row>
    <row r="1853" spans="15:15" x14ac:dyDescent="0.25">
      <c r="O1853" s="235"/>
    </row>
    <row r="1854" spans="15:15" x14ac:dyDescent="0.25">
      <c r="O1854" s="235"/>
    </row>
    <row r="1855" spans="15:15" x14ac:dyDescent="0.25">
      <c r="O1855" s="235"/>
    </row>
    <row r="1856" spans="15:15" x14ac:dyDescent="0.25">
      <c r="O1856" s="235"/>
    </row>
    <row r="1857" spans="15:15" x14ac:dyDescent="0.25">
      <c r="O1857" s="235"/>
    </row>
    <row r="1858" spans="15:15" x14ac:dyDescent="0.25">
      <c r="O1858" s="235"/>
    </row>
    <row r="1859" spans="15:15" x14ac:dyDescent="0.25">
      <c r="O1859" s="235"/>
    </row>
    <row r="1860" spans="15:15" x14ac:dyDescent="0.25">
      <c r="O1860" s="235"/>
    </row>
    <row r="1861" spans="15:15" x14ac:dyDescent="0.25">
      <c r="O1861" s="235"/>
    </row>
    <row r="1862" spans="15:15" x14ac:dyDescent="0.25">
      <c r="O1862" s="235"/>
    </row>
    <row r="1863" spans="15:15" x14ac:dyDescent="0.25">
      <c r="O1863" s="235"/>
    </row>
    <row r="1864" spans="15:15" x14ac:dyDescent="0.25">
      <c r="O1864" s="235"/>
    </row>
    <row r="1865" spans="15:15" x14ac:dyDescent="0.25">
      <c r="O1865" s="235"/>
    </row>
    <row r="1866" spans="15:15" x14ac:dyDescent="0.25">
      <c r="O1866" s="235"/>
    </row>
    <row r="1867" spans="15:15" x14ac:dyDescent="0.25">
      <c r="O1867" s="235"/>
    </row>
    <row r="1868" spans="15:15" x14ac:dyDescent="0.25">
      <c r="O1868" s="235"/>
    </row>
    <row r="1869" spans="15:15" x14ac:dyDescent="0.25">
      <c r="O1869" s="235"/>
    </row>
    <row r="1870" spans="15:15" x14ac:dyDescent="0.25">
      <c r="O1870" s="235"/>
    </row>
    <row r="1871" spans="15:15" x14ac:dyDescent="0.25">
      <c r="O1871" s="235"/>
    </row>
    <row r="1872" spans="15:15" x14ac:dyDescent="0.25">
      <c r="O1872" s="235"/>
    </row>
    <row r="1873" spans="15:15" x14ac:dyDescent="0.25">
      <c r="O1873" s="235"/>
    </row>
    <row r="1874" spans="15:15" x14ac:dyDescent="0.25">
      <c r="O1874" s="235"/>
    </row>
    <row r="1875" spans="15:15" x14ac:dyDescent="0.25">
      <c r="O1875" s="235"/>
    </row>
    <row r="1876" spans="15:15" x14ac:dyDescent="0.25">
      <c r="O1876" s="235"/>
    </row>
    <row r="1877" spans="15:15" x14ac:dyDescent="0.25">
      <c r="O1877" s="235"/>
    </row>
    <row r="1878" spans="15:15" x14ac:dyDescent="0.25">
      <c r="O1878" s="235"/>
    </row>
    <row r="1879" spans="15:15" x14ac:dyDescent="0.25">
      <c r="O1879" s="235"/>
    </row>
    <row r="1880" spans="15:15" x14ac:dyDescent="0.25">
      <c r="O1880" s="235"/>
    </row>
    <row r="1881" spans="15:15" x14ac:dyDescent="0.25">
      <c r="O1881" s="235"/>
    </row>
    <row r="1882" spans="15:15" x14ac:dyDescent="0.25">
      <c r="O1882" s="235"/>
    </row>
    <row r="1883" spans="15:15" x14ac:dyDescent="0.25">
      <c r="O1883" s="235"/>
    </row>
    <row r="1884" spans="15:15" x14ac:dyDescent="0.25">
      <c r="O1884" s="235"/>
    </row>
    <row r="1885" spans="15:15" x14ac:dyDescent="0.25">
      <c r="O1885" s="235"/>
    </row>
    <row r="1886" spans="15:15" x14ac:dyDescent="0.25">
      <c r="O1886" s="235"/>
    </row>
    <row r="1887" spans="15:15" x14ac:dyDescent="0.25">
      <c r="O1887" s="235"/>
    </row>
    <row r="1888" spans="15:15" x14ac:dyDescent="0.25">
      <c r="O1888" s="235"/>
    </row>
    <row r="1889" spans="15:15" x14ac:dyDescent="0.25">
      <c r="O1889" s="235"/>
    </row>
    <row r="1890" spans="15:15" x14ac:dyDescent="0.25">
      <c r="O1890" s="235"/>
    </row>
    <row r="1891" spans="15:15" x14ac:dyDescent="0.25">
      <c r="O1891" s="235"/>
    </row>
    <row r="1892" spans="15:15" x14ac:dyDescent="0.25">
      <c r="O1892" s="235"/>
    </row>
    <row r="1893" spans="15:15" x14ac:dyDescent="0.25">
      <c r="O1893" s="235"/>
    </row>
    <row r="1894" spans="15:15" x14ac:dyDescent="0.25">
      <c r="O1894" s="235"/>
    </row>
    <row r="1895" spans="15:15" x14ac:dyDescent="0.25">
      <c r="O1895" s="235"/>
    </row>
    <row r="1896" spans="15:15" x14ac:dyDescent="0.25">
      <c r="O1896" s="235"/>
    </row>
    <row r="1897" spans="15:15" x14ac:dyDescent="0.25">
      <c r="O1897" s="235"/>
    </row>
    <row r="1898" spans="15:15" x14ac:dyDescent="0.25">
      <c r="O1898" s="235"/>
    </row>
    <row r="1899" spans="15:15" x14ac:dyDescent="0.25">
      <c r="O1899" s="235"/>
    </row>
    <row r="1900" spans="15:15" x14ac:dyDescent="0.25">
      <c r="O1900" s="235"/>
    </row>
    <row r="1901" spans="15:15" x14ac:dyDescent="0.25">
      <c r="O1901" s="235"/>
    </row>
    <row r="1902" spans="15:15" x14ac:dyDescent="0.25">
      <c r="O1902" s="235"/>
    </row>
    <row r="1903" spans="15:15" x14ac:dyDescent="0.25">
      <c r="O1903" s="235"/>
    </row>
    <row r="1904" spans="15:15" x14ac:dyDescent="0.25">
      <c r="O1904" s="235"/>
    </row>
    <row r="1905" spans="15:15" x14ac:dyDescent="0.25">
      <c r="O1905" s="235"/>
    </row>
    <row r="1906" spans="15:15" x14ac:dyDescent="0.25">
      <c r="O1906" s="235"/>
    </row>
    <row r="1907" spans="15:15" x14ac:dyDescent="0.25">
      <c r="O1907" s="235"/>
    </row>
    <row r="1908" spans="15:15" x14ac:dyDescent="0.25">
      <c r="O1908" s="235"/>
    </row>
    <row r="1909" spans="15:15" x14ac:dyDescent="0.25">
      <c r="O1909" s="235"/>
    </row>
    <row r="1910" spans="15:15" x14ac:dyDescent="0.25">
      <c r="O1910" s="235"/>
    </row>
    <row r="1911" spans="15:15" x14ac:dyDescent="0.25">
      <c r="O1911" s="235"/>
    </row>
    <row r="1912" spans="15:15" x14ac:dyDescent="0.25">
      <c r="O1912" s="235"/>
    </row>
    <row r="1913" spans="15:15" x14ac:dyDescent="0.25">
      <c r="O1913" s="235"/>
    </row>
    <row r="1914" spans="15:15" x14ac:dyDescent="0.25">
      <c r="O1914" s="235"/>
    </row>
    <row r="1915" spans="15:15" x14ac:dyDescent="0.25">
      <c r="O1915" s="235"/>
    </row>
    <row r="1916" spans="15:15" x14ac:dyDescent="0.25">
      <c r="O1916" s="235"/>
    </row>
    <row r="1917" spans="15:15" x14ac:dyDescent="0.25">
      <c r="O1917" s="235"/>
    </row>
    <row r="1918" spans="15:15" x14ac:dyDescent="0.25">
      <c r="O1918" s="235"/>
    </row>
    <row r="1919" spans="15:15" x14ac:dyDescent="0.25">
      <c r="O1919" s="235"/>
    </row>
    <row r="1920" spans="15:15" x14ac:dyDescent="0.25">
      <c r="O1920" s="235"/>
    </row>
    <row r="1921" spans="15:15" x14ac:dyDescent="0.25">
      <c r="O1921" s="235"/>
    </row>
    <row r="1922" spans="15:15" x14ac:dyDescent="0.25">
      <c r="O1922" s="235"/>
    </row>
    <row r="1923" spans="15:15" x14ac:dyDescent="0.25">
      <c r="O1923" s="235"/>
    </row>
    <row r="1924" spans="15:15" x14ac:dyDescent="0.25">
      <c r="O1924" s="235"/>
    </row>
    <row r="1925" spans="15:15" x14ac:dyDescent="0.25">
      <c r="O1925" s="235"/>
    </row>
    <row r="1926" spans="15:15" x14ac:dyDescent="0.25">
      <c r="O1926" s="235"/>
    </row>
    <row r="1927" spans="15:15" x14ac:dyDescent="0.25">
      <c r="O1927" s="235"/>
    </row>
    <row r="1928" spans="15:15" x14ac:dyDescent="0.25">
      <c r="O1928" s="235"/>
    </row>
    <row r="1929" spans="15:15" x14ac:dyDescent="0.25">
      <c r="O1929" s="235"/>
    </row>
    <row r="1930" spans="15:15" x14ac:dyDescent="0.25">
      <c r="O1930" s="235"/>
    </row>
    <row r="1931" spans="15:15" x14ac:dyDescent="0.25">
      <c r="O1931" s="235"/>
    </row>
    <row r="1932" spans="15:15" x14ac:dyDescent="0.25">
      <c r="O1932" s="235"/>
    </row>
    <row r="1933" spans="15:15" x14ac:dyDescent="0.25">
      <c r="O1933" s="235"/>
    </row>
    <row r="1934" spans="15:15" x14ac:dyDescent="0.25">
      <c r="O1934" s="235"/>
    </row>
    <row r="1935" spans="15:15" x14ac:dyDescent="0.25">
      <c r="O1935" s="235"/>
    </row>
    <row r="1936" spans="15:15" x14ac:dyDescent="0.25">
      <c r="O1936" s="235"/>
    </row>
    <row r="1937" spans="15:15" x14ac:dyDescent="0.25">
      <c r="O1937" s="235"/>
    </row>
    <row r="1938" spans="15:15" x14ac:dyDescent="0.25">
      <c r="O1938" s="235"/>
    </row>
    <row r="1939" spans="15:15" x14ac:dyDescent="0.25">
      <c r="O1939" s="235"/>
    </row>
    <row r="1940" spans="15:15" x14ac:dyDescent="0.25">
      <c r="O1940" s="235"/>
    </row>
    <row r="1941" spans="15:15" x14ac:dyDescent="0.25">
      <c r="O1941" s="235"/>
    </row>
    <row r="1942" spans="15:15" x14ac:dyDescent="0.25">
      <c r="O1942" s="235"/>
    </row>
    <row r="1943" spans="15:15" x14ac:dyDescent="0.25">
      <c r="O1943" s="235"/>
    </row>
    <row r="1944" spans="15:15" x14ac:dyDescent="0.25">
      <c r="O1944" s="235"/>
    </row>
    <row r="1945" spans="15:15" x14ac:dyDescent="0.25">
      <c r="O1945" s="235"/>
    </row>
    <row r="1946" spans="15:15" x14ac:dyDescent="0.25">
      <c r="O1946" s="235"/>
    </row>
    <row r="1947" spans="15:15" x14ac:dyDescent="0.25">
      <c r="O1947" s="235"/>
    </row>
    <row r="1948" spans="15:15" x14ac:dyDescent="0.25">
      <c r="O1948" s="235"/>
    </row>
    <row r="1949" spans="15:15" x14ac:dyDescent="0.25">
      <c r="O1949" s="235"/>
    </row>
    <row r="1950" spans="15:15" x14ac:dyDescent="0.25">
      <c r="O1950" s="235"/>
    </row>
    <row r="1951" spans="15:15" x14ac:dyDescent="0.25">
      <c r="O1951" s="235"/>
    </row>
    <row r="1952" spans="15:15" x14ac:dyDescent="0.25">
      <c r="O1952" s="235"/>
    </row>
    <row r="1953" spans="15:15" x14ac:dyDescent="0.25">
      <c r="O1953" s="235"/>
    </row>
    <row r="1954" spans="15:15" x14ac:dyDescent="0.25">
      <c r="O1954" s="235"/>
    </row>
    <row r="1955" spans="15:15" x14ac:dyDescent="0.25">
      <c r="O1955" s="235"/>
    </row>
    <row r="1956" spans="15:15" x14ac:dyDescent="0.25">
      <c r="O1956" s="235"/>
    </row>
    <row r="1957" spans="15:15" x14ac:dyDescent="0.25">
      <c r="O1957" s="235"/>
    </row>
    <row r="1958" spans="15:15" x14ac:dyDescent="0.25">
      <c r="O1958" s="235"/>
    </row>
    <row r="1959" spans="15:15" x14ac:dyDescent="0.25">
      <c r="O1959" s="235"/>
    </row>
    <row r="1960" spans="15:15" x14ac:dyDescent="0.25">
      <c r="O1960" s="235"/>
    </row>
    <row r="1961" spans="15:15" x14ac:dyDescent="0.25">
      <c r="O1961" s="235"/>
    </row>
    <row r="1962" spans="15:15" x14ac:dyDescent="0.25">
      <c r="O1962" s="235"/>
    </row>
    <row r="1963" spans="15:15" x14ac:dyDescent="0.25">
      <c r="O1963" s="235"/>
    </row>
    <row r="1964" spans="15:15" x14ac:dyDescent="0.25">
      <c r="O1964" s="235"/>
    </row>
    <row r="1965" spans="15:15" x14ac:dyDescent="0.25">
      <c r="O1965" s="235"/>
    </row>
    <row r="1966" spans="15:15" x14ac:dyDescent="0.25">
      <c r="O1966" s="235"/>
    </row>
    <row r="1967" spans="15:15" x14ac:dyDescent="0.25">
      <c r="O1967" s="235"/>
    </row>
    <row r="1968" spans="15:15" x14ac:dyDescent="0.25">
      <c r="O1968" s="235"/>
    </row>
    <row r="1969" spans="15:15" x14ac:dyDescent="0.25">
      <c r="O1969" s="235"/>
    </row>
    <row r="1970" spans="15:15" x14ac:dyDescent="0.25">
      <c r="O1970" s="235"/>
    </row>
    <row r="1971" spans="15:15" x14ac:dyDescent="0.25">
      <c r="O1971" s="235"/>
    </row>
    <row r="1972" spans="15:15" x14ac:dyDescent="0.25">
      <c r="O1972" s="235"/>
    </row>
    <row r="1973" spans="15:15" x14ac:dyDescent="0.25">
      <c r="O1973" s="235"/>
    </row>
    <row r="1974" spans="15:15" x14ac:dyDescent="0.25">
      <c r="O1974" s="235"/>
    </row>
    <row r="1975" spans="15:15" x14ac:dyDescent="0.25">
      <c r="O1975" s="235"/>
    </row>
    <row r="1976" spans="15:15" x14ac:dyDescent="0.25">
      <c r="O1976" s="235"/>
    </row>
    <row r="1977" spans="15:15" x14ac:dyDescent="0.25">
      <c r="O1977" s="235"/>
    </row>
    <row r="1978" spans="15:15" x14ac:dyDescent="0.25">
      <c r="O1978" s="235"/>
    </row>
    <row r="1979" spans="15:15" x14ac:dyDescent="0.25">
      <c r="O1979" s="235"/>
    </row>
    <row r="1980" spans="15:15" x14ac:dyDescent="0.25">
      <c r="O1980" s="235"/>
    </row>
    <row r="1981" spans="15:15" x14ac:dyDescent="0.25">
      <c r="O1981" s="235"/>
    </row>
    <row r="1982" spans="15:15" x14ac:dyDescent="0.25">
      <c r="O1982" s="235"/>
    </row>
    <row r="1983" spans="15:15" x14ac:dyDescent="0.25">
      <c r="O1983" s="235"/>
    </row>
    <row r="1984" spans="15:15" x14ac:dyDescent="0.25">
      <c r="O1984" s="235"/>
    </row>
    <row r="1985" spans="15:15" x14ac:dyDescent="0.25">
      <c r="O1985" s="235"/>
    </row>
    <row r="1986" spans="15:15" x14ac:dyDescent="0.25">
      <c r="O1986" s="235"/>
    </row>
    <row r="1987" spans="15:15" x14ac:dyDescent="0.25">
      <c r="O1987" s="235"/>
    </row>
    <row r="1988" spans="15:15" x14ac:dyDescent="0.25">
      <c r="O1988" s="235"/>
    </row>
    <row r="1989" spans="15:15" x14ac:dyDescent="0.25">
      <c r="O1989" s="235"/>
    </row>
    <row r="1990" spans="15:15" x14ac:dyDescent="0.25">
      <c r="O1990" s="235"/>
    </row>
    <row r="1991" spans="15:15" x14ac:dyDescent="0.25">
      <c r="O1991" s="235"/>
    </row>
    <row r="1992" spans="15:15" x14ac:dyDescent="0.25">
      <c r="O1992" s="235"/>
    </row>
    <row r="1993" spans="15:15" x14ac:dyDescent="0.25">
      <c r="O1993" s="235"/>
    </row>
    <row r="1994" spans="15:15" x14ac:dyDescent="0.25">
      <c r="O1994" s="235"/>
    </row>
    <row r="1995" spans="15:15" x14ac:dyDescent="0.25">
      <c r="O1995" s="235"/>
    </row>
    <row r="1996" spans="15:15" x14ac:dyDescent="0.25">
      <c r="O1996" s="235"/>
    </row>
    <row r="1997" spans="15:15" x14ac:dyDescent="0.25">
      <c r="O1997" s="235"/>
    </row>
    <row r="1998" spans="15:15" x14ac:dyDescent="0.25">
      <c r="O1998" s="235"/>
    </row>
    <row r="1999" spans="15:15" x14ac:dyDescent="0.25">
      <c r="O1999" s="235"/>
    </row>
    <row r="2000" spans="15:15" x14ac:dyDescent="0.25">
      <c r="O2000" s="235"/>
    </row>
    <row r="2001" spans="15:15" x14ac:dyDescent="0.25">
      <c r="O2001" s="235"/>
    </row>
    <row r="2002" spans="15:15" x14ac:dyDescent="0.25">
      <c r="O2002" s="235"/>
    </row>
    <row r="2003" spans="15:15" x14ac:dyDescent="0.25">
      <c r="O2003" s="235"/>
    </row>
    <row r="2004" spans="15:15" x14ac:dyDescent="0.25">
      <c r="O2004" s="235"/>
    </row>
    <row r="2005" spans="15:15" x14ac:dyDescent="0.25">
      <c r="O2005" s="235"/>
    </row>
    <row r="2006" spans="15:15" x14ac:dyDescent="0.25">
      <c r="O2006" s="235"/>
    </row>
    <row r="2007" spans="15:15" x14ac:dyDescent="0.25">
      <c r="O2007" s="235"/>
    </row>
    <row r="2008" spans="15:15" x14ac:dyDescent="0.25">
      <c r="O2008" s="235"/>
    </row>
    <row r="2009" spans="15:15" x14ac:dyDescent="0.25">
      <c r="O2009" s="235"/>
    </row>
    <row r="2010" spans="15:15" x14ac:dyDescent="0.25">
      <c r="O2010" s="235"/>
    </row>
    <row r="2011" spans="15:15" x14ac:dyDescent="0.25">
      <c r="O2011" s="235"/>
    </row>
    <row r="2012" spans="15:15" x14ac:dyDescent="0.25">
      <c r="O2012" s="235"/>
    </row>
    <row r="2013" spans="15:15" x14ac:dyDescent="0.25">
      <c r="O2013" s="235"/>
    </row>
    <row r="2014" spans="15:15" x14ac:dyDescent="0.25">
      <c r="O2014" s="235"/>
    </row>
    <row r="2015" spans="15:15" x14ac:dyDescent="0.25">
      <c r="O2015" s="235"/>
    </row>
    <row r="2016" spans="15:15" x14ac:dyDescent="0.25">
      <c r="O2016" s="235"/>
    </row>
    <row r="2017" spans="15:15" x14ac:dyDescent="0.25">
      <c r="O2017" s="235"/>
    </row>
    <row r="2018" spans="15:15" x14ac:dyDescent="0.25">
      <c r="O2018" s="235"/>
    </row>
    <row r="2019" spans="15:15" x14ac:dyDescent="0.25">
      <c r="O2019" s="235"/>
    </row>
    <row r="2020" spans="15:15" x14ac:dyDescent="0.25">
      <c r="O2020" s="235"/>
    </row>
    <row r="2021" spans="15:15" x14ac:dyDescent="0.25">
      <c r="O2021" s="235"/>
    </row>
    <row r="2022" spans="15:15" x14ac:dyDescent="0.25">
      <c r="O2022" s="235"/>
    </row>
    <row r="2023" spans="15:15" x14ac:dyDescent="0.25">
      <c r="O2023" s="235"/>
    </row>
    <row r="2024" spans="15:15" x14ac:dyDescent="0.25">
      <c r="O2024" s="235"/>
    </row>
    <row r="2025" spans="15:15" x14ac:dyDescent="0.25">
      <c r="O2025" s="235"/>
    </row>
    <row r="2026" spans="15:15" x14ac:dyDescent="0.25">
      <c r="O2026" s="235"/>
    </row>
    <row r="2027" spans="15:15" x14ac:dyDescent="0.25">
      <c r="O2027" s="235"/>
    </row>
    <row r="2028" spans="15:15" x14ac:dyDescent="0.25">
      <c r="O2028" s="235"/>
    </row>
    <row r="2029" spans="15:15" x14ac:dyDescent="0.25">
      <c r="O2029" s="235"/>
    </row>
    <row r="2030" spans="15:15" x14ac:dyDescent="0.25">
      <c r="O2030" s="235"/>
    </row>
    <row r="2031" spans="15:15" x14ac:dyDescent="0.25">
      <c r="O2031" s="235"/>
    </row>
    <row r="2032" spans="15:15" x14ac:dyDescent="0.25">
      <c r="O2032" s="235"/>
    </row>
    <row r="2033" spans="15:15" x14ac:dyDescent="0.25">
      <c r="O2033" s="235"/>
    </row>
    <row r="2034" spans="15:15" x14ac:dyDescent="0.25">
      <c r="O2034" s="235"/>
    </row>
    <row r="2035" spans="15:15" x14ac:dyDescent="0.25">
      <c r="O2035" s="235"/>
    </row>
    <row r="2036" spans="15:15" x14ac:dyDescent="0.25">
      <c r="O2036" s="235"/>
    </row>
    <row r="2037" spans="15:15" x14ac:dyDescent="0.25">
      <c r="O2037" s="235"/>
    </row>
    <row r="2038" spans="15:15" x14ac:dyDescent="0.25">
      <c r="O2038" s="235"/>
    </row>
    <row r="2039" spans="15:15" x14ac:dyDescent="0.25">
      <c r="O2039" s="235"/>
    </row>
    <row r="2040" spans="15:15" x14ac:dyDescent="0.25">
      <c r="O2040" s="235"/>
    </row>
    <row r="2041" spans="15:15" x14ac:dyDescent="0.25">
      <c r="O2041" s="235"/>
    </row>
    <row r="2042" spans="15:15" x14ac:dyDescent="0.25">
      <c r="O2042" s="235"/>
    </row>
    <row r="2043" spans="15:15" x14ac:dyDescent="0.25">
      <c r="O2043" s="235"/>
    </row>
    <row r="2044" spans="15:15" x14ac:dyDescent="0.25">
      <c r="O2044" s="235"/>
    </row>
    <row r="2045" spans="15:15" x14ac:dyDescent="0.25">
      <c r="O2045" s="235"/>
    </row>
    <row r="2046" spans="15:15" x14ac:dyDescent="0.25">
      <c r="O2046" s="235"/>
    </row>
    <row r="2047" spans="15:15" x14ac:dyDescent="0.25">
      <c r="O2047" s="235"/>
    </row>
    <row r="2048" spans="15:15" x14ac:dyDescent="0.25">
      <c r="O2048" s="235"/>
    </row>
    <row r="2049" spans="15:15" x14ac:dyDescent="0.25">
      <c r="O2049" s="235"/>
    </row>
    <row r="2050" spans="15:15" x14ac:dyDescent="0.25">
      <c r="O2050" s="235"/>
    </row>
    <row r="2051" spans="15:15" x14ac:dyDescent="0.25">
      <c r="O2051" s="235"/>
    </row>
    <row r="2052" spans="15:15" x14ac:dyDescent="0.25">
      <c r="O2052" s="235"/>
    </row>
    <row r="2053" spans="15:15" x14ac:dyDescent="0.25">
      <c r="O2053" s="235"/>
    </row>
    <row r="2054" spans="15:15" x14ac:dyDescent="0.25">
      <c r="O2054" s="235"/>
    </row>
    <row r="2055" spans="15:15" x14ac:dyDescent="0.25">
      <c r="O2055" s="235"/>
    </row>
    <row r="2056" spans="15:15" x14ac:dyDescent="0.25">
      <c r="O2056" s="235"/>
    </row>
    <row r="2057" spans="15:15" x14ac:dyDescent="0.25">
      <c r="O2057" s="235"/>
    </row>
    <row r="2058" spans="15:15" x14ac:dyDescent="0.25">
      <c r="O2058" s="235"/>
    </row>
    <row r="2059" spans="15:15" x14ac:dyDescent="0.25">
      <c r="O2059" s="235"/>
    </row>
    <row r="2060" spans="15:15" x14ac:dyDescent="0.25">
      <c r="O2060" s="235"/>
    </row>
    <row r="2061" spans="15:15" x14ac:dyDescent="0.25">
      <c r="O2061" s="235"/>
    </row>
    <row r="2062" spans="15:15" x14ac:dyDescent="0.25">
      <c r="O2062" s="235"/>
    </row>
    <row r="2063" spans="15:15" x14ac:dyDescent="0.25">
      <c r="O2063" s="235"/>
    </row>
    <row r="2064" spans="15:15" x14ac:dyDescent="0.25">
      <c r="O2064" s="235"/>
    </row>
    <row r="2065" spans="15:15" x14ac:dyDescent="0.25">
      <c r="O2065" s="235"/>
    </row>
    <row r="2066" spans="15:15" x14ac:dyDescent="0.25">
      <c r="O2066" s="235"/>
    </row>
    <row r="2067" spans="15:15" x14ac:dyDescent="0.25">
      <c r="O2067" s="235"/>
    </row>
    <row r="2068" spans="15:15" x14ac:dyDescent="0.25">
      <c r="O2068" s="235"/>
    </row>
    <row r="2069" spans="15:15" x14ac:dyDescent="0.25">
      <c r="O2069" s="235"/>
    </row>
    <row r="2070" spans="15:15" x14ac:dyDescent="0.25">
      <c r="O2070" s="235"/>
    </row>
    <row r="2071" spans="15:15" x14ac:dyDescent="0.25">
      <c r="O2071" s="235"/>
    </row>
    <row r="2072" spans="15:15" x14ac:dyDescent="0.25">
      <c r="O2072" s="235"/>
    </row>
    <row r="2073" spans="15:15" x14ac:dyDescent="0.25">
      <c r="O2073" s="235"/>
    </row>
    <row r="2074" spans="15:15" x14ac:dyDescent="0.25">
      <c r="O2074" s="235"/>
    </row>
    <row r="2075" spans="15:15" x14ac:dyDescent="0.25">
      <c r="O2075" s="235"/>
    </row>
    <row r="2076" spans="15:15" x14ac:dyDescent="0.25">
      <c r="O2076" s="235"/>
    </row>
    <row r="2077" spans="15:15" x14ac:dyDescent="0.25">
      <c r="O2077" s="235"/>
    </row>
    <row r="2078" spans="15:15" x14ac:dyDescent="0.25">
      <c r="O2078" s="235"/>
    </row>
    <row r="2079" spans="15:15" x14ac:dyDescent="0.25">
      <c r="O2079" s="235"/>
    </row>
    <row r="2080" spans="15:15" x14ac:dyDescent="0.25">
      <c r="O2080" s="235"/>
    </row>
    <row r="2081" spans="15:15" x14ac:dyDescent="0.25">
      <c r="O2081" s="235"/>
    </row>
    <row r="2082" spans="15:15" x14ac:dyDescent="0.25">
      <c r="O2082" s="235"/>
    </row>
    <row r="2083" spans="15:15" x14ac:dyDescent="0.25">
      <c r="O2083" s="235"/>
    </row>
    <row r="2084" spans="15:15" x14ac:dyDescent="0.25">
      <c r="O2084" s="235"/>
    </row>
    <row r="2085" spans="15:15" x14ac:dyDescent="0.25">
      <c r="O2085" s="235"/>
    </row>
    <row r="2086" spans="15:15" x14ac:dyDescent="0.25">
      <c r="O2086" s="235"/>
    </row>
    <row r="2087" spans="15:15" x14ac:dyDescent="0.25">
      <c r="O2087" s="235"/>
    </row>
    <row r="2088" spans="15:15" x14ac:dyDescent="0.25">
      <c r="O2088" s="235"/>
    </row>
    <row r="2089" spans="15:15" x14ac:dyDescent="0.25">
      <c r="O2089" s="235"/>
    </row>
    <row r="2090" spans="15:15" x14ac:dyDescent="0.25">
      <c r="O2090" s="235"/>
    </row>
    <row r="2091" spans="15:15" x14ac:dyDescent="0.25">
      <c r="O2091" s="235"/>
    </row>
    <row r="2092" spans="15:15" x14ac:dyDescent="0.25">
      <c r="O2092" s="235"/>
    </row>
    <row r="2093" spans="15:15" x14ac:dyDescent="0.25">
      <c r="O2093" s="235"/>
    </row>
    <row r="2094" spans="15:15" x14ac:dyDescent="0.25">
      <c r="O2094" s="235"/>
    </row>
    <row r="2095" spans="15:15" x14ac:dyDescent="0.25">
      <c r="O2095" s="235"/>
    </row>
    <row r="2096" spans="15:15" x14ac:dyDescent="0.25">
      <c r="O2096" s="235"/>
    </row>
    <row r="2097" spans="15:15" x14ac:dyDescent="0.25">
      <c r="O2097" s="235"/>
    </row>
    <row r="2098" spans="15:15" x14ac:dyDescent="0.25">
      <c r="O2098" s="235"/>
    </row>
    <row r="2099" spans="15:15" x14ac:dyDescent="0.25">
      <c r="O2099" s="235"/>
    </row>
    <row r="2100" spans="15:15" x14ac:dyDescent="0.25">
      <c r="O2100" s="235"/>
    </row>
    <row r="2101" spans="15:15" x14ac:dyDescent="0.25">
      <c r="O2101" s="235"/>
    </row>
    <row r="2102" spans="15:15" x14ac:dyDescent="0.25">
      <c r="O2102" s="235"/>
    </row>
    <row r="2103" spans="15:15" x14ac:dyDescent="0.25">
      <c r="O2103" s="235"/>
    </row>
    <row r="2104" spans="15:15" x14ac:dyDescent="0.25">
      <c r="O2104" s="235"/>
    </row>
    <row r="2105" spans="15:15" x14ac:dyDescent="0.25">
      <c r="O2105" s="235"/>
    </row>
    <row r="2106" spans="15:15" x14ac:dyDescent="0.25">
      <c r="O2106" s="235"/>
    </row>
    <row r="2107" spans="15:15" x14ac:dyDescent="0.25">
      <c r="O2107" s="235"/>
    </row>
    <row r="2108" spans="15:15" x14ac:dyDescent="0.25">
      <c r="O2108" s="235"/>
    </row>
    <row r="2109" spans="15:15" x14ac:dyDescent="0.25">
      <c r="O2109" s="235"/>
    </row>
    <row r="2110" spans="15:15" x14ac:dyDescent="0.25">
      <c r="O2110" s="235"/>
    </row>
    <row r="2111" spans="15:15" x14ac:dyDescent="0.25">
      <c r="O2111" s="235"/>
    </row>
    <row r="2112" spans="15:15" x14ac:dyDescent="0.25">
      <c r="O2112" s="235"/>
    </row>
    <row r="2113" spans="15:15" x14ac:dyDescent="0.25">
      <c r="O2113" s="235"/>
    </row>
    <row r="2114" spans="15:15" x14ac:dyDescent="0.25">
      <c r="O2114" s="235"/>
    </row>
    <row r="2115" spans="15:15" x14ac:dyDescent="0.25">
      <c r="O2115" s="235"/>
    </row>
    <row r="2116" spans="15:15" x14ac:dyDescent="0.25">
      <c r="O2116" s="235"/>
    </row>
    <row r="2117" spans="15:15" x14ac:dyDescent="0.25">
      <c r="O2117" s="235"/>
    </row>
    <row r="2118" spans="15:15" x14ac:dyDescent="0.25">
      <c r="O2118" s="235"/>
    </row>
    <row r="2119" spans="15:15" x14ac:dyDescent="0.25">
      <c r="O2119" s="235"/>
    </row>
    <row r="2120" spans="15:15" x14ac:dyDescent="0.25">
      <c r="O2120" s="235"/>
    </row>
    <row r="2121" spans="15:15" x14ac:dyDescent="0.25">
      <c r="O2121" s="235"/>
    </row>
    <row r="2122" spans="15:15" x14ac:dyDescent="0.25">
      <c r="O2122" s="235"/>
    </row>
    <row r="2123" spans="15:15" x14ac:dyDescent="0.25">
      <c r="O2123" s="235"/>
    </row>
    <row r="2124" spans="15:15" x14ac:dyDescent="0.25">
      <c r="O2124" s="235"/>
    </row>
    <row r="2125" spans="15:15" x14ac:dyDescent="0.25">
      <c r="O2125" s="235"/>
    </row>
    <row r="2126" spans="15:15" x14ac:dyDescent="0.25">
      <c r="O2126" s="235"/>
    </row>
    <row r="2127" spans="15:15" x14ac:dyDescent="0.25">
      <c r="O2127" s="235"/>
    </row>
    <row r="2128" spans="15:15" x14ac:dyDescent="0.25">
      <c r="O2128" s="235"/>
    </row>
    <row r="2129" spans="15:15" x14ac:dyDescent="0.25">
      <c r="O2129" s="235"/>
    </row>
    <row r="2130" spans="15:15" x14ac:dyDescent="0.25">
      <c r="O2130" s="235"/>
    </row>
    <row r="2131" spans="15:15" x14ac:dyDescent="0.25">
      <c r="O2131" s="235"/>
    </row>
    <row r="2132" spans="15:15" x14ac:dyDescent="0.25">
      <c r="O2132" s="235"/>
    </row>
    <row r="2133" spans="15:15" x14ac:dyDescent="0.25">
      <c r="O2133" s="235"/>
    </row>
    <row r="2134" spans="15:15" x14ac:dyDescent="0.25">
      <c r="O2134" s="235"/>
    </row>
    <row r="2135" spans="15:15" x14ac:dyDescent="0.25">
      <c r="O2135" s="235"/>
    </row>
    <row r="2136" spans="15:15" x14ac:dyDescent="0.25">
      <c r="O2136" s="235"/>
    </row>
    <row r="2137" spans="15:15" x14ac:dyDescent="0.25">
      <c r="O2137" s="235"/>
    </row>
    <row r="2138" spans="15:15" x14ac:dyDescent="0.25">
      <c r="O2138" s="235"/>
    </row>
    <row r="2139" spans="15:15" x14ac:dyDescent="0.25">
      <c r="O2139" s="235"/>
    </row>
    <row r="2140" spans="15:15" x14ac:dyDescent="0.25">
      <c r="O2140" s="235"/>
    </row>
    <row r="2141" spans="15:15" x14ac:dyDescent="0.25">
      <c r="O2141" s="235"/>
    </row>
    <row r="2142" spans="15:15" x14ac:dyDescent="0.25">
      <c r="O2142" s="235"/>
    </row>
    <row r="2143" spans="15:15" x14ac:dyDescent="0.25">
      <c r="O2143" s="235"/>
    </row>
    <row r="2144" spans="15:15" x14ac:dyDescent="0.25">
      <c r="O2144" s="235"/>
    </row>
    <row r="2145" spans="15:15" x14ac:dyDescent="0.25">
      <c r="O2145" s="235"/>
    </row>
    <row r="2146" spans="15:15" x14ac:dyDescent="0.25">
      <c r="O2146" s="235"/>
    </row>
    <row r="2147" spans="15:15" x14ac:dyDescent="0.25">
      <c r="O2147" s="235"/>
    </row>
    <row r="2148" spans="15:15" x14ac:dyDescent="0.25">
      <c r="O2148" s="235"/>
    </row>
    <row r="2149" spans="15:15" x14ac:dyDescent="0.25">
      <c r="O2149" s="235"/>
    </row>
    <row r="2150" spans="15:15" x14ac:dyDescent="0.25">
      <c r="O2150" s="235"/>
    </row>
    <row r="2151" spans="15:15" x14ac:dyDescent="0.25">
      <c r="O2151" s="235"/>
    </row>
    <row r="2152" spans="15:15" x14ac:dyDescent="0.25">
      <c r="O2152" s="235"/>
    </row>
    <row r="2153" spans="15:15" x14ac:dyDescent="0.25">
      <c r="O2153" s="235"/>
    </row>
    <row r="2154" spans="15:15" x14ac:dyDescent="0.25">
      <c r="O2154" s="235"/>
    </row>
    <row r="2155" spans="15:15" x14ac:dyDescent="0.25">
      <c r="O2155" s="235"/>
    </row>
    <row r="2156" spans="15:15" x14ac:dyDescent="0.25">
      <c r="O2156" s="235"/>
    </row>
    <row r="2157" spans="15:15" x14ac:dyDescent="0.25">
      <c r="O2157" s="235"/>
    </row>
    <row r="2158" spans="15:15" x14ac:dyDescent="0.25">
      <c r="O2158" s="235"/>
    </row>
    <row r="2159" spans="15:15" x14ac:dyDescent="0.25">
      <c r="O2159" s="235"/>
    </row>
    <row r="2160" spans="15:15" x14ac:dyDescent="0.25">
      <c r="O2160" s="235"/>
    </row>
    <row r="2161" spans="15:15" x14ac:dyDescent="0.25">
      <c r="O2161" s="235"/>
    </row>
    <row r="2162" spans="15:15" x14ac:dyDescent="0.25">
      <c r="O2162" s="235"/>
    </row>
    <row r="2163" spans="15:15" x14ac:dyDescent="0.25">
      <c r="O2163" s="235"/>
    </row>
    <row r="2164" spans="15:15" x14ac:dyDescent="0.25">
      <c r="O2164" s="235"/>
    </row>
    <row r="2165" spans="15:15" x14ac:dyDescent="0.25">
      <c r="O2165" s="235"/>
    </row>
    <row r="2166" spans="15:15" x14ac:dyDescent="0.25">
      <c r="O2166" s="235"/>
    </row>
    <row r="2167" spans="15:15" x14ac:dyDescent="0.25">
      <c r="O2167" s="235"/>
    </row>
    <row r="2168" spans="15:15" x14ac:dyDescent="0.25">
      <c r="O2168" s="235"/>
    </row>
    <row r="2169" spans="15:15" x14ac:dyDescent="0.25">
      <c r="O2169" s="235"/>
    </row>
    <row r="2170" spans="15:15" x14ac:dyDescent="0.25">
      <c r="O2170" s="235"/>
    </row>
    <row r="2171" spans="15:15" x14ac:dyDescent="0.25">
      <c r="O2171" s="235"/>
    </row>
    <row r="2172" spans="15:15" x14ac:dyDescent="0.25">
      <c r="O2172" s="235"/>
    </row>
    <row r="2173" spans="15:15" x14ac:dyDescent="0.25">
      <c r="O2173" s="235"/>
    </row>
    <row r="2174" spans="15:15" x14ac:dyDescent="0.25">
      <c r="O2174" s="235"/>
    </row>
    <row r="2175" spans="15:15" x14ac:dyDescent="0.25">
      <c r="O2175" s="235"/>
    </row>
    <row r="2176" spans="15:15" x14ac:dyDescent="0.25">
      <c r="O2176" s="235"/>
    </row>
    <row r="2177" spans="15:15" x14ac:dyDescent="0.25">
      <c r="O2177" s="235"/>
    </row>
    <row r="2178" spans="15:15" x14ac:dyDescent="0.25">
      <c r="O2178" s="235"/>
    </row>
    <row r="2179" spans="15:15" x14ac:dyDescent="0.25">
      <c r="O2179" s="235"/>
    </row>
    <row r="2180" spans="15:15" x14ac:dyDescent="0.25">
      <c r="O2180" s="235"/>
    </row>
    <row r="2181" spans="15:15" x14ac:dyDescent="0.25">
      <c r="O2181" s="235"/>
    </row>
    <row r="2182" spans="15:15" x14ac:dyDescent="0.25">
      <c r="O2182" s="235"/>
    </row>
    <row r="2183" spans="15:15" x14ac:dyDescent="0.25">
      <c r="O2183" s="235"/>
    </row>
    <row r="2184" spans="15:15" x14ac:dyDescent="0.25">
      <c r="O2184" s="235"/>
    </row>
    <row r="2185" spans="15:15" x14ac:dyDescent="0.25">
      <c r="O2185" s="235"/>
    </row>
    <row r="2186" spans="15:15" x14ac:dyDescent="0.25">
      <c r="O2186" s="235"/>
    </row>
    <row r="2187" spans="15:15" x14ac:dyDescent="0.25">
      <c r="O2187" s="235"/>
    </row>
    <row r="2188" spans="15:15" x14ac:dyDescent="0.25">
      <c r="O2188" s="235"/>
    </row>
    <row r="2189" spans="15:15" x14ac:dyDescent="0.25">
      <c r="O2189" s="235"/>
    </row>
    <row r="2190" spans="15:15" x14ac:dyDescent="0.25">
      <c r="O2190" s="235"/>
    </row>
    <row r="2191" spans="15:15" x14ac:dyDescent="0.25">
      <c r="O2191" s="235"/>
    </row>
    <row r="2192" spans="15:15" x14ac:dyDescent="0.25">
      <c r="O2192" s="235"/>
    </row>
    <row r="2193" spans="15:15" x14ac:dyDescent="0.25">
      <c r="O2193" s="235"/>
    </row>
    <row r="2194" spans="15:15" x14ac:dyDescent="0.25">
      <c r="O2194" s="235"/>
    </row>
    <row r="2195" spans="15:15" x14ac:dyDescent="0.25">
      <c r="O2195" s="235"/>
    </row>
    <row r="2196" spans="15:15" x14ac:dyDescent="0.25">
      <c r="O2196" s="235"/>
    </row>
    <row r="2197" spans="15:15" x14ac:dyDescent="0.25">
      <c r="O2197" s="235"/>
    </row>
    <row r="2198" spans="15:15" x14ac:dyDescent="0.25">
      <c r="O2198" s="235"/>
    </row>
    <row r="2199" spans="15:15" x14ac:dyDescent="0.25">
      <c r="O2199" s="235"/>
    </row>
    <row r="2200" spans="15:15" x14ac:dyDescent="0.25">
      <c r="O2200" s="235"/>
    </row>
    <row r="2201" spans="15:15" x14ac:dyDescent="0.25">
      <c r="O2201" s="235"/>
    </row>
    <row r="2202" spans="15:15" x14ac:dyDescent="0.25">
      <c r="O2202" s="235"/>
    </row>
    <row r="2203" spans="15:15" x14ac:dyDescent="0.25">
      <c r="O2203" s="235"/>
    </row>
    <row r="2204" spans="15:15" x14ac:dyDescent="0.25">
      <c r="O2204" s="235"/>
    </row>
    <row r="2205" spans="15:15" x14ac:dyDescent="0.25">
      <c r="O2205" s="235"/>
    </row>
    <row r="2206" spans="15:15" x14ac:dyDescent="0.25">
      <c r="O2206" s="235"/>
    </row>
    <row r="2207" spans="15:15" x14ac:dyDescent="0.25">
      <c r="O2207" s="235"/>
    </row>
    <row r="2208" spans="15:15" x14ac:dyDescent="0.25">
      <c r="O2208" s="235"/>
    </row>
    <row r="2209" spans="15:15" x14ac:dyDescent="0.25">
      <c r="O2209" s="235"/>
    </row>
    <row r="2210" spans="15:15" x14ac:dyDescent="0.25">
      <c r="O2210" s="235"/>
    </row>
    <row r="2211" spans="15:15" x14ac:dyDescent="0.25">
      <c r="O2211" s="235"/>
    </row>
    <row r="2212" spans="15:15" x14ac:dyDescent="0.25">
      <c r="O2212" s="235"/>
    </row>
    <row r="2213" spans="15:15" x14ac:dyDescent="0.25">
      <c r="O2213" s="235"/>
    </row>
    <row r="2214" spans="15:15" x14ac:dyDescent="0.25">
      <c r="O2214" s="235"/>
    </row>
    <row r="2215" spans="15:15" x14ac:dyDescent="0.25">
      <c r="O2215" s="235"/>
    </row>
    <row r="2216" spans="15:15" x14ac:dyDescent="0.25">
      <c r="O2216" s="235"/>
    </row>
    <row r="2217" spans="15:15" x14ac:dyDescent="0.25">
      <c r="O2217" s="235"/>
    </row>
    <row r="2218" spans="15:15" x14ac:dyDescent="0.25">
      <c r="O2218" s="235"/>
    </row>
    <row r="2219" spans="15:15" x14ac:dyDescent="0.25">
      <c r="O2219" s="235"/>
    </row>
    <row r="2220" spans="15:15" x14ac:dyDescent="0.25">
      <c r="O2220" s="235"/>
    </row>
    <row r="2221" spans="15:15" x14ac:dyDescent="0.25">
      <c r="O2221" s="235"/>
    </row>
    <row r="2222" spans="15:15" x14ac:dyDescent="0.25">
      <c r="O2222" s="235"/>
    </row>
    <row r="2223" spans="15:15" x14ac:dyDescent="0.25">
      <c r="O2223" s="235"/>
    </row>
    <row r="2224" spans="15:15" x14ac:dyDescent="0.25">
      <c r="O2224" s="235"/>
    </row>
    <row r="2225" spans="15:15" x14ac:dyDescent="0.25">
      <c r="O2225" s="235"/>
    </row>
    <row r="2226" spans="15:15" x14ac:dyDescent="0.25">
      <c r="O2226" s="235"/>
    </row>
    <row r="2227" spans="15:15" x14ac:dyDescent="0.25">
      <c r="O2227" s="235"/>
    </row>
    <row r="2228" spans="15:15" x14ac:dyDescent="0.25">
      <c r="O2228" s="235"/>
    </row>
    <row r="2229" spans="15:15" x14ac:dyDescent="0.25">
      <c r="O2229" s="235"/>
    </row>
    <row r="2230" spans="15:15" x14ac:dyDescent="0.25">
      <c r="O2230" s="235"/>
    </row>
    <row r="2231" spans="15:15" x14ac:dyDescent="0.25">
      <c r="O2231" s="235"/>
    </row>
    <row r="2232" spans="15:15" x14ac:dyDescent="0.25">
      <c r="O2232" s="235"/>
    </row>
    <row r="2233" spans="15:15" x14ac:dyDescent="0.25">
      <c r="O2233" s="235"/>
    </row>
    <row r="2234" spans="15:15" x14ac:dyDescent="0.25">
      <c r="O2234" s="235"/>
    </row>
    <row r="2235" spans="15:15" x14ac:dyDescent="0.25">
      <c r="O2235" s="235"/>
    </row>
    <row r="2236" spans="15:15" x14ac:dyDescent="0.25">
      <c r="O2236" s="235"/>
    </row>
    <row r="2237" spans="15:15" x14ac:dyDescent="0.25">
      <c r="O2237" s="235"/>
    </row>
    <row r="2238" spans="15:15" x14ac:dyDescent="0.25">
      <c r="O2238" s="235"/>
    </row>
    <row r="2239" spans="15:15" x14ac:dyDescent="0.25">
      <c r="O2239" s="235"/>
    </row>
    <row r="2240" spans="15:15" x14ac:dyDescent="0.25">
      <c r="O2240" s="235"/>
    </row>
    <row r="2241" spans="15:15" x14ac:dyDescent="0.25">
      <c r="O2241" s="235"/>
    </row>
    <row r="2242" spans="15:15" x14ac:dyDescent="0.25">
      <c r="O2242" s="235"/>
    </row>
    <row r="2243" spans="15:15" x14ac:dyDescent="0.25">
      <c r="O2243" s="235"/>
    </row>
    <row r="2244" spans="15:15" x14ac:dyDescent="0.25">
      <c r="O2244" s="235"/>
    </row>
    <row r="2245" spans="15:15" x14ac:dyDescent="0.25">
      <c r="O2245" s="235"/>
    </row>
    <row r="2246" spans="15:15" x14ac:dyDescent="0.25">
      <c r="O2246" s="235"/>
    </row>
    <row r="2247" spans="15:15" x14ac:dyDescent="0.25">
      <c r="O2247" s="235"/>
    </row>
    <row r="2248" spans="15:15" x14ac:dyDescent="0.25">
      <c r="O2248" s="235"/>
    </row>
    <row r="2249" spans="15:15" x14ac:dyDescent="0.25">
      <c r="O2249" s="235"/>
    </row>
    <row r="2250" spans="15:15" x14ac:dyDescent="0.25">
      <c r="O2250" s="235"/>
    </row>
    <row r="2251" spans="15:15" x14ac:dyDescent="0.25">
      <c r="O2251" s="235"/>
    </row>
    <row r="2252" spans="15:15" x14ac:dyDescent="0.25">
      <c r="O2252" s="235"/>
    </row>
    <row r="2253" spans="15:15" x14ac:dyDescent="0.25">
      <c r="O2253" s="235"/>
    </row>
    <row r="2254" spans="15:15" x14ac:dyDescent="0.25">
      <c r="O2254" s="235"/>
    </row>
    <row r="2255" spans="15:15" x14ac:dyDescent="0.25">
      <c r="O2255" s="235"/>
    </row>
    <row r="2256" spans="15:15" x14ac:dyDescent="0.25">
      <c r="O2256" s="235"/>
    </row>
    <row r="2257" spans="15:15" x14ac:dyDescent="0.25">
      <c r="O2257" s="235"/>
    </row>
    <row r="2258" spans="15:15" x14ac:dyDescent="0.25">
      <c r="O2258" s="235"/>
    </row>
    <row r="2259" spans="15:15" x14ac:dyDescent="0.25">
      <c r="O2259" s="235"/>
    </row>
    <row r="2260" spans="15:15" x14ac:dyDescent="0.25">
      <c r="O2260" s="235"/>
    </row>
    <row r="2261" spans="15:15" x14ac:dyDescent="0.25">
      <c r="O2261" s="235"/>
    </row>
    <row r="2262" spans="15:15" x14ac:dyDescent="0.25">
      <c r="O2262" s="235"/>
    </row>
    <row r="2263" spans="15:15" x14ac:dyDescent="0.25">
      <c r="O2263" s="235"/>
    </row>
    <row r="2264" spans="15:15" x14ac:dyDescent="0.25">
      <c r="O2264" s="235"/>
    </row>
    <row r="2265" spans="15:15" x14ac:dyDescent="0.25">
      <c r="O2265" s="235"/>
    </row>
    <row r="2266" spans="15:15" x14ac:dyDescent="0.25">
      <c r="O2266" s="235"/>
    </row>
    <row r="2267" spans="15:15" x14ac:dyDescent="0.25">
      <c r="O2267" s="235"/>
    </row>
    <row r="2268" spans="15:15" x14ac:dyDescent="0.25">
      <c r="O2268" s="235"/>
    </row>
    <row r="2269" spans="15:15" x14ac:dyDescent="0.25">
      <c r="O2269" s="235"/>
    </row>
    <row r="2270" spans="15:15" x14ac:dyDescent="0.25">
      <c r="O2270" s="235"/>
    </row>
    <row r="2271" spans="15:15" x14ac:dyDescent="0.25">
      <c r="O2271" s="235"/>
    </row>
    <row r="2272" spans="15:15" x14ac:dyDescent="0.25">
      <c r="O2272" s="235"/>
    </row>
    <row r="2273" spans="15:15" x14ac:dyDescent="0.25">
      <c r="O2273" s="235"/>
    </row>
    <row r="2274" spans="15:15" x14ac:dyDescent="0.25">
      <c r="O2274" s="235"/>
    </row>
    <row r="2275" spans="15:15" x14ac:dyDescent="0.25">
      <c r="O2275" s="235"/>
    </row>
    <row r="2276" spans="15:15" x14ac:dyDescent="0.25">
      <c r="O2276" s="235"/>
    </row>
    <row r="2277" spans="15:15" x14ac:dyDescent="0.25">
      <c r="O2277" s="235"/>
    </row>
    <row r="2278" spans="15:15" x14ac:dyDescent="0.25">
      <c r="O2278" s="235"/>
    </row>
    <row r="2279" spans="15:15" x14ac:dyDescent="0.25">
      <c r="O2279" s="235"/>
    </row>
    <row r="2280" spans="15:15" x14ac:dyDescent="0.25">
      <c r="O2280" s="235"/>
    </row>
    <row r="2281" spans="15:15" x14ac:dyDescent="0.25">
      <c r="O2281" s="235"/>
    </row>
    <row r="2282" spans="15:15" x14ac:dyDescent="0.25">
      <c r="O2282" s="235"/>
    </row>
    <row r="2283" spans="15:15" x14ac:dyDescent="0.25">
      <c r="O2283" s="235"/>
    </row>
    <row r="2284" spans="15:15" x14ac:dyDescent="0.25">
      <c r="O2284" s="235"/>
    </row>
    <row r="2285" spans="15:15" x14ac:dyDescent="0.25">
      <c r="O2285" s="235"/>
    </row>
    <row r="2286" spans="15:15" x14ac:dyDescent="0.25">
      <c r="O2286" s="235"/>
    </row>
    <row r="2287" spans="15:15" x14ac:dyDescent="0.25">
      <c r="O2287" s="235"/>
    </row>
    <row r="2288" spans="15:15" x14ac:dyDescent="0.25">
      <c r="O2288" s="235"/>
    </row>
    <row r="2289" spans="15:15" x14ac:dyDescent="0.25">
      <c r="O2289" s="235"/>
    </row>
    <row r="2290" spans="15:15" x14ac:dyDescent="0.25">
      <c r="O2290" s="235"/>
    </row>
    <row r="2291" spans="15:15" x14ac:dyDescent="0.25">
      <c r="O2291" s="235"/>
    </row>
    <row r="2292" spans="15:15" x14ac:dyDescent="0.25">
      <c r="O2292" s="235"/>
    </row>
    <row r="2293" spans="15:15" x14ac:dyDescent="0.25">
      <c r="O2293" s="235"/>
    </row>
    <row r="2294" spans="15:15" x14ac:dyDescent="0.25">
      <c r="O2294" s="235"/>
    </row>
    <row r="2295" spans="15:15" x14ac:dyDescent="0.25">
      <c r="O2295" s="235"/>
    </row>
    <row r="2296" spans="15:15" x14ac:dyDescent="0.25">
      <c r="O2296" s="235"/>
    </row>
    <row r="2297" spans="15:15" x14ac:dyDescent="0.25">
      <c r="O2297" s="235"/>
    </row>
    <row r="2298" spans="15:15" x14ac:dyDescent="0.25">
      <c r="O2298" s="235"/>
    </row>
    <row r="2299" spans="15:15" x14ac:dyDescent="0.25">
      <c r="O2299" s="235"/>
    </row>
    <row r="2300" spans="15:15" x14ac:dyDescent="0.25">
      <c r="O2300" s="235"/>
    </row>
    <row r="2301" spans="15:15" x14ac:dyDescent="0.25">
      <c r="O2301" s="235"/>
    </row>
    <row r="2302" spans="15:15" x14ac:dyDescent="0.25">
      <c r="O2302" s="235"/>
    </row>
    <row r="2303" spans="15:15" x14ac:dyDescent="0.25">
      <c r="O2303" s="235"/>
    </row>
    <row r="2304" spans="15:15" x14ac:dyDescent="0.25">
      <c r="O2304" s="235"/>
    </row>
    <row r="2305" spans="15:15" x14ac:dyDescent="0.25">
      <c r="O2305" s="235"/>
    </row>
    <row r="2306" spans="15:15" x14ac:dyDescent="0.25">
      <c r="O2306" s="235"/>
    </row>
    <row r="2307" spans="15:15" x14ac:dyDescent="0.25">
      <c r="O2307" s="235"/>
    </row>
    <row r="2308" spans="15:15" x14ac:dyDescent="0.25">
      <c r="O2308" s="235"/>
    </row>
    <row r="2309" spans="15:15" x14ac:dyDescent="0.25">
      <c r="O2309" s="235"/>
    </row>
    <row r="2310" spans="15:15" x14ac:dyDescent="0.25">
      <c r="O2310" s="235"/>
    </row>
    <row r="2311" spans="15:15" x14ac:dyDescent="0.25">
      <c r="O2311" s="235"/>
    </row>
    <row r="2312" spans="15:15" x14ac:dyDescent="0.25">
      <c r="O2312" s="235"/>
    </row>
    <row r="2313" spans="15:15" x14ac:dyDescent="0.25">
      <c r="O2313" s="235"/>
    </row>
    <row r="2314" spans="15:15" x14ac:dyDescent="0.25">
      <c r="O2314" s="235"/>
    </row>
    <row r="2315" spans="15:15" x14ac:dyDescent="0.25">
      <c r="O2315" s="235"/>
    </row>
    <row r="2316" spans="15:15" x14ac:dyDescent="0.25">
      <c r="O2316" s="235"/>
    </row>
    <row r="2317" spans="15:15" x14ac:dyDescent="0.25">
      <c r="O2317" s="235"/>
    </row>
    <row r="2318" spans="15:15" x14ac:dyDescent="0.25">
      <c r="O2318" s="235"/>
    </row>
    <row r="2319" spans="15:15" x14ac:dyDescent="0.25">
      <c r="O2319" s="235"/>
    </row>
    <row r="2320" spans="15:15" x14ac:dyDescent="0.25">
      <c r="O2320" s="235"/>
    </row>
    <row r="2321" spans="15:15" x14ac:dyDescent="0.25">
      <c r="O2321" s="235"/>
    </row>
    <row r="2322" spans="15:15" x14ac:dyDescent="0.25">
      <c r="O2322" s="235"/>
    </row>
    <row r="2323" spans="15:15" x14ac:dyDescent="0.25">
      <c r="O2323" s="235"/>
    </row>
    <row r="2324" spans="15:15" x14ac:dyDescent="0.25">
      <c r="O2324" s="235"/>
    </row>
    <row r="2325" spans="15:15" x14ac:dyDescent="0.25">
      <c r="O2325" s="235"/>
    </row>
    <row r="2326" spans="15:15" x14ac:dyDescent="0.25">
      <c r="O2326" s="235"/>
    </row>
    <row r="2327" spans="15:15" x14ac:dyDescent="0.25">
      <c r="O2327" s="235"/>
    </row>
    <row r="2328" spans="15:15" x14ac:dyDescent="0.25">
      <c r="O2328" s="235"/>
    </row>
    <row r="2329" spans="15:15" x14ac:dyDescent="0.25">
      <c r="O2329" s="235"/>
    </row>
    <row r="2330" spans="15:15" x14ac:dyDescent="0.25">
      <c r="O2330" s="235"/>
    </row>
    <row r="2331" spans="15:15" x14ac:dyDescent="0.25">
      <c r="O2331" s="235"/>
    </row>
    <row r="2332" spans="15:15" x14ac:dyDescent="0.25">
      <c r="O2332" s="235"/>
    </row>
    <row r="2333" spans="15:15" x14ac:dyDescent="0.25">
      <c r="O2333" s="235"/>
    </row>
    <row r="2334" spans="15:15" x14ac:dyDescent="0.25">
      <c r="O2334" s="235"/>
    </row>
    <row r="2335" spans="15:15" x14ac:dyDescent="0.25">
      <c r="O2335" s="235"/>
    </row>
    <row r="2336" spans="15:15" x14ac:dyDescent="0.25">
      <c r="O2336" s="235"/>
    </row>
    <row r="2337" spans="15:15" x14ac:dyDescent="0.25">
      <c r="O2337" s="235"/>
    </row>
    <row r="2338" spans="15:15" x14ac:dyDescent="0.25">
      <c r="O2338" s="235"/>
    </row>
    <row r="2339" spans="15:15" x14ac:dyDescent="0.25">
      <c r="O2339" s="235"/>
    </row>
    <row r="2340" spans="15:15" x14ac:dyDescent="0.25">
      <c r="O2340" s="235"/>
    </row>
    <row r="2341" spans="15:15" x14ac:dyDescent="0.25">
      <c r="O2341" s="235"/>
    </row>
    <row r="2342" spans="15:15" x14ac:dyDescent="0.25">
      <c r="O2342" s="235"/>
    </row>
    <row r="2343" spans="15:15" x14ac:dyDescent="0.25">
      <c r="O2343" s="235"/>
    </row>
    <row r="2344" spans="15:15" x14ac:dyDescent="0.25">
      <c r="O2344" s="235"/>
    </row>
    <row r="2345" spans="15:15" x14ac:dyDescent="0.25">
      <c r="O2345" s="235"/>
    </row>
    <row r="2346" spans="15:15" x14ac:dyDescent="0.25">
      <c r="O2346" s="235"/>
    </row>
    <row r="2347" spans="15:15" x14ac:dyDescent="0.25">
      <c r="O2347" s="235"/>
    </row>
    <row r="2348" spans="15:15" x14ac:dyDescent="0.25">
      <c r="O2348" s="235"/>
    </row>
    <row r="2349" spans="15:15" x14ac:dyDescent="0.25">
      <c r="O2349" s="235"/>
    </row>
    <row r="2350" spans="15:15" x14ac:dyDescent="0.25">
      <c r="O2350" s="235"/>
    </row>
    <row r="2351" spans="15:15" x14ac:dyDescent="0.25">
      <c r="O2351" s="235"/>
    </row>
    <row r="2352" spans="15:15" x14ac:dyDescent="0.25">
      <c r="O2352" s="235"/>
    </row>
    <row r="2353" spans="15:15" x14ac:dyDescent="0.25">
      <c r="O2353" s="235"/>
    </row>
    <row r="2354" spans="15:15" x14ac:dyDescent="0.25">
      <c r="O2354" s="235"/>
    </row>
    <row r="2355" spans="15:15" x14ac:dyDescent="0.25">
      <c r="O2355" s="235"/>
    </row>
    <row r="2356" spans="15:15" x14ac:dyDescent="0.25">
      <c r="O2356" s="235"/>
    </row>
    <row r="2357" spans="15:15" x14ac:dyDescent="0.25">
      <c r="O2357" s="235"/>
    </row>
    <row r="2358" spans="15:15" x14ac:dyDescent="0.25">
      <c r="O2358" s="235"/>
    </row>
    <row r="2359" spans="15:15" x14ac:dyDescent="0.25">
      <c r="O2359" s="235"/>
    </row>
    <row r="2360" spans="15:15" x14ac:dyDescent="0.25">
      <c r="O2360" s="235"/>
    </row>
    <row r="2361" spans="15:15" x14ac:dyDescent="0.25">
      <c r="O2361" s="235"/>
    </row>
    <row r="2362" spans="15:15" x14ac:dyDescent="0.25">
      <c r="O2362" s="235"/>
    </row>
    <row r="2363" spans="15:15" x14ac:dyDescent="0.25">
      <c r="O2363" s="235"/>
    </row>
    <row r="2364" spans="15:15" x14ac:dyDescent="0.25">
      <c r="O2364" s="235"/>
    </row>
    <row r="2365" spans="15:15" x14ac:dyDescent="0.25">
      <c r="O2365" s="235"/>
    </row>
    <row r="2366" spans="15:15" x14ac:dyDescent="0.25">
      <c r="O2366" s="235"/>
    </row>
    <row r="2367" spans="15:15" x14ac:dyDescent="0.25">
      <c r="O2367" s="235"/>
    </row>
    <row r="2368" spans="15:15" x14ac:dyDescent="0.25">
      <c r="O2368" s="235"/>
    </row>
    <row r="2369" spans="15:15" x14ac:dyDescent="0.25">
      <c r="O2369" s="235"/>
    </row>
    <row r="2370" spans="15:15" x14ac:dyDescent="0.25">
      <c r="O2370" s="235"/>
    </row>
    <row r="2371" spans="15:15" x14ac:dyDescent="0.25">
      <c r="O2371" s="235"/>
    </row>
    <row r="2372" spans="15:15" x14ac:dyDescent="0.25">
      <c r="O2372" s="235"/>
    </row>
    <row r="2373" spans="15:15" x14ac:dyDescent="0.25">
      <c r="O2373" s="235"/>
    </row>
    <row r="2374" spans="15:15" x14ac:dyDescent="0.25">
      <c r="O2374" s="235"/>
    </row>
    <row r="2375" spans="15:15" x14ac:dyDescent="0.25">
      <c r="O2375" s="235"/>
    </row>
    <row r="2376" spans="15:15" x14ac:dyDescent="0.25">
      <c r="O2376" s="235"/>
    </row>
    <row r="2377" spans="15:15" x14ac:dyDescent="0.25">
      <c r="O2377" s="235"/>
    </row>
    <row r="2378" spans="15:15" x14ac:dyDescent="0.25">
      <c r="O2378" s="235"/>
    </row>
    <row r="2379" spans="15:15" x14ac:dyDescent="0.25">
      <c r="O2379" s="235"/>
    </row>
    <row r="2380" spans="15:15" x14ac:dyDescent="0.25">
      <c r="O2380" s="235"/>
    </row>
    <row r="2381" spans="15:15" x14ac:dyDescent="0.25">
      <c r="O2381" s="235"/>
    </row>
    <row r="2382" spans="15:15" x14ac:dyDescent="0.25">
      <c r="O2382" s="235"/>
    </row>
    <row r="2383" spans="15:15" x14ac:dyDescent="0.25">
      <c r="O2383" s="235"/>
    </row>
    <row r="2384" spans="15:15" x14ac:dyDescent="0.25">
      <c r="O2384" s="235"/>
    </row>
    <row r="2385" spans="15:15" x14ac:dyDescent="0.25">
      <c r="O2385" s="235"/>
    </row>
    <row r="2386" spans="15:15" x14ac:dyDescent="0.25">
      <c r="O2386" s="235"/>
    </row>
    <row r="2387" spans="15:15" x14ac:dyDescent="0.25">
      <c r="O2387" s="235"/>
    </row>
    <row r="2388" spans="15:15" x14ac:dyDescent="0.25">
      <c r="O2388" s="235"/>
    </row>
    <row r="2389" spans="15:15" x14ac:dyDescent="0.25">
      <c r="O2389" s="235"/>
    </row>
    <row r="2390" spans="15:15" x14ac:dyDescent="0.25">
      <c r="O2390" s="235"/>
    </row>
    <row r="2391" spans="15:15" x14ac:dyDescent="0.25">
      <c r="O2391" s="235"/>
    </row>
    <row r="2392" spans="15:15" x14ac:dyDescent="0.25">
      <c r="O2392" s="235"/>
    </row>
    <row r="2393" spans="15:15" x14ac:dyDescent="0.25">
      <c r="O2393" s="235"/>
    </row>
    <row r="2394" spans="15:15" x14ac:dyDescent="0.25">
      <c r="O2394" s="235"/>
    </row>
    <row r="2395" spans="15:15" x14ac:dyDescent="0.25">
      <c r="O2395" s="235"/>
    </row>
    <row r="2396" spans="15:15" x14ac:dyDescent="0.25">
      <c r="O2396" s="235"/>
    </row>
    <row r="2397" spans="15:15" x14ac:dyDescent="0.25">
      <c r="O2397" s="235"/>
    </row>
    <row r="2398" spans="15:15" x14ac:dyDescent="0.25">
      <c r="O2398" s="235"/>
    </row>
    <row r="2399" spans="15:15" x14ac:dyDescent="0.25">
      <c r="O2399" s="235"/>
    </row>
    <row r="2400" spans="15:15" x14ac:dyDescent="0.25">
      <c r="O2400" s="235"/>
    </row>
    <row r="2401" spans="15:15" x14ac:dyDescent="0.25">
      <c r="O2401" s="235"/>
    </row>
    <row r="2402" spans="15:15" x14ac:dyDescent="0.25">
      <c r="O2402" s="235"/>
    </row>
    <row r="2403" spans="15:15" x14ac:dyDescent="0.25">
      <c r="O2403" s="235"/>
    </row>
    <row r="2404" spans="15:15" x14ac:dyDescent="0.25">
      <c r="O2404" s="235"/>
    </row>
    <row r="2405" spans="15:15" x14ac:dyDescent="0.25">
      <c r="O2405" s="235"/>
    </row>
    <row r="2406" spans="15:15" x14ac:dyDescent="0.25">
      <c r="O2406" s="235"/>
    </row>
    <row r="2407" spans="15:15" x14ac:dyDescent="0.25">
      <c r="O2407" s="235"/>
    </row>
    <row r="2408" spans="15:15" x14ac:dyDescent="0.25">
      <c r="O2408" s="235"/>
    </row>
    <row r="2409" spans="15:15" x14ac:dyDescent="0.25">
      <c r="O2409" s="235"/>
    </row>
    <row r="2410" spans="15:15" x14ac:dyDescent="0.25">
      <c r="O2410" s="235"/>
    </row>
    <row r="2411" spans="15:15" x14ac:dyDescent="0.25">
      <c r="O2411" s="235"/>
    </row>
    <row r="2412" spans="15:15" x14ac:dyDescent="0.25">
      <c r="O2412" s="235"/>
    </row>
    <row r="2413" spans="15:15" x14ac:dyDescent="0.25">
      <c r="O2413" s="235"/>
    </row>
    <row r="2414" spans="15:15" x14ac:dyDescent="0.25">
      <c r="O2414" s="235"/>
    </row>
    <row r="2415" spans="15:15" x14ac:dyDescent="0.25">
      <c r="O2415" s="235"/>
    </row>
    <row r="2416" spans="15:15" x14ac:dyDescent="0.25">
      <c r="O2416" s="235"/>
    </row>
    <row r="2417" spans="15:15" x14ac:dyDescent="0.25">
      <c r="O2417" s="235"/>
    </row>
    <row r="2418" spans="15:15" x14ac:dyDescent="0.25">
      <c r="O2418" s="235"/>
    </row>
    <row r="2419" spans="15:15" x14ac:dyDescent="0.25">
      <c r="O2419" s="235"/>
    </row>
    <row r="2420" spans="15:15" x14ac:dyDescent="0.25">
      <c r="O2420" s="235"/>
    </row>
    <row r="2421" spans="15:15" x14ac:dyDescent="0.25">
      <c r="O2421" s="235"/>
    </row>
    <row r="2422" spans="15:15" x14ac:dyDescent="0.25">
      <c r="O2422" s="235"/>
    </row>
    <row r="2423" spans="15:15" x14ac:dyDescent="0.25">
      <c r="O2423" s="235"/>
    </row>
    <row r="2424" spans="15:15" x14ac:dyDescent="0.25">
      <c r="O2424" s="235"/>
    </row>
    <row r="2425" spans="15:15" x14ac:dyDescent="0.25">
      <c r="O2425" s="235"/>
    </row>
    <row r="2426" spans="15:15" x14ac:dyDescent="0.25">
      <c r="O2426" s="235"/>
    </row>
    <row r="2427" spans="15:15" x14ac:dyDescent="0.25">
      <c r="O2427" s="235"/>
    </row>
    <row r="2428" spans="15:15" x14ac:dyDescent="0.25">
      <c r="O2428" s="235"/>
    </row>
    <row r="2429" spans="15:15" x14ac:dyDescent="0.25">
      <c r="O2429" s="235"/>
    </row>
    <row r="2430" spans="15:15" x14ac:dyDescent="0.25">
      <c r="O2430" s="235"/>
    </row>
    <row r="2431" spans="15:15" x14ac:dyDescent="0.25">
      <c r="O2431" s="235"/>
    </row>
    <row r="2432" spans="15:15" x14ac:dyDescent="0.25">
      <c r="O2432" s="235"/>
    </row>
    <row r="2433" spans="15:15" x14ac:dyDescent="0.25">
      <c r="O2433" s="235"/>
    </row>
    <row r="2434" spans="15:15" x14ac:dyDescent="0.25">
      <c r="O2434" s="235"/>
    </row>
    <row r="2435" spans="15:15" x14ac:dyDescent="0.25">
      <c r="O2435" s="235"/>
    </row>
    <row r="2436" spans="15:15" x14ac:dyDescent="0.25">
      <c r="O2436" s="235"/>
    </row>
    <row r="2437" spans="15:15" x14ac:dyDescent="0.25">
      <c r="O2437" s="235"/>
    </row>
    <row r="2438" spans="15:15" x14ac:dyDescent="0.25">
      <c r="O2438" s="235"/>
    </row>
    <row r="2439" spans="15:15" x14ac:dyDescent="0.25">
      <c r="O2439" s="235"/>
    </row>
    <row r="2440" spans="15:15" x14ac:dyDescent="0.25">
      <c r="O2440" s="235"/>
    </row>
    <row r="2441" spans="15:15" x14ac:dyDescent="0.25">
      <c r="O2441" s="235"/>
    </row>
    <row r="2442" spans="15:15" x14ac:dyDescent="0.25">
      <c r="O2442" s="235"/>
    </row>
    <row r="2443" spans="15:15" x14ac:dyDescent="0.25">
      <c r="O2443" s="235"/>
    </row>
    <row r="2444" spans="15:15" x14ac:dyDescent="0.25">
      <c r="O2444" s="235"/>
    </row>
    <row r="2445" spans="15:15" x14ac:dyDescent="0.25">
      <c r="O2445" s="235"/>
    </row>
    <row r="2446" spans="15:15" x14ac:dyDescent="0.25">
      <c r="O2446" s="235"/>
    </row>
    <row r="2447" spans="15:15" x14ac:dyDescent="0.25">
      <c r="O2447" s="235"/>
    </row>
    <row r="2448" spans="15:15" x14ac:dyDescent="0.25">
      <c r="O2448" s="235"/>
    </row>
    <row r="2449" spans="15:15" x14ac:dyDescent="0.25">
      <c r="O2449" s="235"/>
    </row>
    <row r="2450" spans="15:15" x14ac:dyDescent="0.25">
      <c r="O2450" s="235"/>
    </row>
    <row r="2451" spans="15:15" x14ac:dyDescent="0.25">
      <c r="O2451" s="235"/>
    </row>
    <row r="2452" spans="15:15" x14ac:dyDescent="0.25">
      <c r="O2452" s="235"/>
    </row>
    <row r="2453" spans="15:15" x14ac:dyDescent="0.25">
      <c r="O2453" s="235"/>
    </row>
    <row r="2454" spans="15:15" x14ac:dyDescent="0.25">
      <c r="O2454" s="235"/>
    </row>
    <row r="2455" spans="15:15" x14ac:dyDescent="0.25">
      <c r="O2455" s="235"/>
    </row>
    <row r="2456" spans="15:15" x14ac:dyDescent="0.25">
      <c r="O2456" s="235"/>
    </row>
    <row r="2457" spans="15:15" x14ac:dyDescent="0.25">
      <c r="O2457" s="235"/>
    </row>
    <row r="2458" spans="15:15" x14ac:dyDescent="0.25">
      <c r="O2458" s="235"/>
    </row>
    <row r="2459" spans="15:15" x14ac:dyDescent="0.25">
      <c r="O2459" s="235"/>
    </row>
    <row r="2460" spans="15:15" x14ac:dyDescent="0.25">
      <c r="O2460" s="235"/>
    </row>
    <row r="2461" spans="15:15" x14ac:dyDescent="0.25">
      <c r="O2461" s="235"/>
    </row>
    <row r="2462" spans="15:15" x14ac:dyDescent="0.25">
      <c r="O2462" s="235"/>
    </row>
    <row r="2463" spans="15:15" x14ac:dyDescent="0.25">
      <c r="O2463" s="235"/>
    </row>
    <row r="2464" spans="15:15" x14ac:dyDescent="0.25">
      <c r="O2464" s="235"/>
    </row>
    <row r="2465" spans="15:15" x14ac:dyDescent="0.25">
      <c r="O2465" s="235"/>
    </row>
    <row r="2466" spans="15:15" x14ac:dyDescent="0.25">
      <c r="O2466" s="235"/>
    </row>
    <row r="2467" spans="15:15" x14ac:dyDescent="0.25">
      <c r="O2467" s="235"/>
    </row>
    <row r="2468" spans="15:15" x14ac:dyDescent="0.25">
      <c r="O2468" s="235"/>
    </row>
    <row r="2469" spans="15:15" x14ac:dyDescent="0.25">
      <c r="O2469" s="235"/>
    </row>
    <row r="2470" spans="15:15" x14ac:dyDescent="0.25">
      <c r="O2470" s="235"/>
    </row>
    <row r="2471" spans="15:15" x14ac:dyDescent="0.25">
      <c r="O2471" s="235"/>
    </row>
    <row r="2472" spans="15:15" x14ac:dyDescent="0.25">
      <c r="O2472" s="235"/>
    </row>
    <row r="2473" spans="15:15" x14ac:dyDescent="0.25">
      <c r="O2473" s="235"/>
    </row>
    <row r="2474" spans="15:15" x14ac:dyDescent="0.25">
      <c r="O2474" s="235"/>
    </row>
    <row r="2475" spans="15:15" x14ac:dyDescent="0.25">
      <c r="O2475" s="235"/>
    </row>
    <row r="2476" spans="15:15" x14ac:dyDescent="0.25">
      <c r="O2476" s="235"/>
    </row>
    <row r="2477" spans="15:15" x14ac:dyDescent="0.25">
      <c r="O2477" s="235"/>
    </row>
    <row r="2478" spans="15:15" x14ac:dyDescent="0.25">
      <c r="O2478" s="235"/>
    </row>
    <row r="2479" spans="15:15" x14ac:dyDescent="0.25">
      <c r="O2479" s="235"/>
    </row>
    <row r="2480" spans="15:15" x14ac:dyDescent="0.25">
      <c r="O2480" s="235"/>
    </row>
    <row r="2481" spans="15:15" x14ac:dyDescent="0.25">
      <c r="O2481" s="235"/>
    </row>
    <row r="2482" spans="15:15" x14ac:dyDescent="0.25">
      <c r="O2482" s="235"/>
    </row>
    <row r="2483" spans="15:15" x14ac:dyDescent="0.25">
      <c r="O2483" s="235"/>
    </row>
    <row r="2484" spans="15:15" x14ac:dyDescent="0.25">
      <c r="O2484" s="235"/>
    </row>
    <row r="2485" spans="15:15" x14ac:dyDescent="0.25">
      <c r="O2485" s="235"/>
    </row>
    <row r="2486" spans="15:15" x14ac:dyDescent="0.25">
      <c r="O2486" s="235"/>
    </row>
    <row r="2487" spans="15:15" x14ac:dyDescent="0.25">
      <c r="O2487" s="235"/>
    </row>
    <row r="2488" spans="15:15" x14ac:dyDescent="0.25">
      <c r="O2488" s="235"/>
    </row>
    <row r="2489" spans="15:15" x14ac:dyDescent="0.25">
      <c r="O2489" s="235"/>
    </row>
    <row r="2490" spans="15:15" x14ac:dyDescent="0.25">
      <c r="O2490" s="235"/>
    </row>
    <row r="2491" spans="15:15" x14ac:dyDescent="0.25">
      <c r="O2491" s="235"/>
    </row>
    <row r="2492" spans="15:15" x14ac:dyDescent="0.25">
      <c r="O2492" s="235"/>
    </row>
    <row r="2493" spans="15:15" x14ac:dyDescent="0.25">
      <c r="O2493" s="235"/>
    </row>
    <row r="2494" spans="15:15" x14ac:dyDescent="0.25">
      <c r="O2494" s="235"/>
    </row>
    <row r="2495" spans="15:15" x14ac:dyDescent="0.25">
      <c r="O2495" s="235"/>
    </row>
    <row r="2496" spans="15:15" x14ac:dyDescent="0.25">
      <c r="O2496" s="235"/>
    </row>
    <row r="2497" spans="15:15" x14ac:dyDescent="0.25">
      <c r="O2497" s="235"/>
    </row>
    <row r="2498" spans="15:15" x14ac:dyDescent="0.25">
      <c r="O2498" s="235"/>
    </row>
    <row r="2499" spans="15:15" x14ac:dyDescent="0.25">
      <c r="O2499" s="235"/>
    </row>
    <row r="2500" spans="15:15" x14ac:dyDescent="0.25">
      <c r="O2500" s="235"/>
    </row>
    <row r="2501" spans="15:15" x14ac:dyDescent="0.25">
      <c r="O2501" s="235"/>
    </row>
    <row r="2502" spans="15:15" x14ac:dyDescent="0.25">
      <c r="O2502" s="235"/>
    </row>
    <row r="2503" spans="15:15" x14ac:dyDescent="0.25">
      <c r="O2503" s="235"/>
    </row>
    <row r="2504" spans="15:15" x14ac:dyDescent="0.25">
      <c r="O2504" s="235"/>
    </row>
    <row r="2505" spans="15:15" x14ac:dyDescent="0.25">
      <c r="O2505" s="235"/>
    </row>
    <row r="2506" spans="15:15" x14ac:dyDescent="0.25">
      <c r="O2506" s="235"/>
    </row>
    <row r="2507" spans="15:15" x14ac:dyDescent="0.25">
      <c r="O2507" s="235"/>
    </row>
    <row r="2508" spans="15:15" x14ac:dyDescent="0.25">
      <c r="O2508" s="235"/>
    </row>
    <row r="2509" spans="15:15" x14ac:dyDescent="0.25">
      <c r="O2509" s="235"/>
    </row>
    <row r="2510" spans="15:15" x14ac:dyDescent="0.25">
      <c r="O2510" s="235"/>
    </row>
    <row r="2511" spans="15:15" x14ac:dyDescent="0.25">
      <c r="O2511" s="235"/>
    </row>
    <row r="2512" spans="15:15" x14ac:dyDescent="0.25">
      <c r="O2512" s="235"/>
    </row>
    <row r="2513" spans="15:15" x14ac:dyDescent="0.25">
      <c r="O2513" s="235"/>
    </row>
    <row r="2514" spans="15:15" x14ac:dyDescent="0.25">
      <c r="O2514" s="235"/>
    </row>
    <row r="2515" spans="15:15" x14ac:dyDescent="0.25">
      <c r="O2515" s="235"/>
    </row>
    <row r="2516" spans="15:15" x14ac:dyDescent="0.25">
      <c r="O2516" s="235"/>
    </row>
    <row r="2517" spans="15:15" x14ac:dyDescent="0.25">
      <c r="O2517" s="235"/>
    </row>
    <row r="2518" spans="15:15" x14ac:dyDescent="0.25">
      <c r="O2518" s="235"/>
    </row>
    <row r="2519" spans="15:15" x14ac:dyDescent="0.25">
      <c r="O2519" s="235"/>
    </row>
    <row r="2520" spans="15:15" x14ac:dyDescent="0.25">
      <c r="O2520" s="235"/>
    </row>
    <row r="2521" spans="15:15" x14ac:dyDescent="0.25">
      <c r="O2521" s="235"/>
    </row>
    <row r="2522" spans="15:15" x14ac:dyDescent="0.25">
      <c r="O2522" s="235"/>
    </row>
    <row r="2523" spans="15:15" x14ac:dyDescent="0.25">
      <c r="O2523" s="235"/>
    </row>
    <row r="2524" spans="15:15" x14ac:dyDescent="0.25">
      <c r="O2524" s="235"/>
    </row>
    <row r="2525" spans="15:15" x14ac:dyDescent="0.25">
      <c r="O2525" s="235"/>
    </row>
    <row r="2526" spans="15:15" x14ac:dyDescent="0.25">
      <c r="O2526" s="235"/>
    </row>
    <row r="2527" spans="15:15" x14ac:dyDescent="0.25">
      <c r="O2527" s="235"/>
    </row>
    <row r="2528" spans="15:15" x14ac:dyDescent="0.25">
      <c r="O2528" s="235"/>
    </row>
    <row r="2529" spans="15:15" x14ac:dyDescent="0.25">
      <c r="O2529" s="235"/>
    </row>
    <row r="2530" spans="15:15" x14ac:dyDescent="0.25">
      <c r="O2530" s="235"/>
    </row>
    <row r="2531" spans="15:15" x14ac:dyDescent="0.25">
      <c r="O2531" s="235"/>
    </row>
    <row r="2532" spans="15:15" x14ac:dyDescent="0.25">
      <c r="O2532" s="235"/>
    </row>
    <row r="2533" spans="15:15" x14ac:dyDescent="0.25">
      <c r="O2533" s="235"/>
    </row>
    <row r="2534" spans="15:15" x14ac:dyDescent="0.25">
      <c r="O2534" s="235"/>
    </row>
    <row r="2535" spans="15:15" x14ac:dyDescent="0.25">
      <c r="O2535" s="235"/>
    </row>
    <row r="2536" spans="15:15" x14ac:dyDescent="0.25">
      <c r="O2536" s="235"/>
    </row>
    <row r="2537" spans="15:15" x14ac:dyDescent="0.25">
      <c r="O2537" s="235"/>
    </row>
    <row r="2538" spans="15:15" x14ac:dyDescent="0.25">
      <c r="O2538" s="235"/>
    </row>
    <row r="2539" spans="15:15" x14ac:dyDescent="0.25">
      <c r="O2539" s="235"/>
    </row>
    <row r="2540" spans="15:15" x14ac:dyDescent="0.25">
      <c r="O2540" s="235"/>
    </row>
    <row r="2541" spans="15:15" x14ac:dyDescent="0.25">
      <c r="O2541" s="235"/>
    </row>
    <row r="2542" spans="15:15" x14ac:dyDescent="0.25">
      <c r="O2542" s="235"/>
    </row>
    <row r="2543" spans="15:15" x14ac:dyDescent="0.25">
      <c r="O2543" s="235"/>
    </row>
    <row r="2544" spans="15:15" x14ac:dyDescent="0.25">
      <c r="O2544" s="235"/>
    </row>
    <row r="2545" spans="15:15" x14ac:dyDescent="0.25">
      <c r="O2545" s="235"/>
    </row>
    <row r="2546" spans="15:15" x14ac:dyDescent="0.25">
      <c r="O2546" s="235"/>
    </row>
    <row r="2547" spans="15:15" x14ac:dyDescent="0.25">
      <c r="O2547" s="235"/>
    </row>
    <row r="2548" spans="15:15" x14ac:dyDescent="0.25">
      <c r="O2548" s="235"/>
    </row>
    <row r="2549" spans="15:15" x14ac:dyDescent="0.25">
      <c r="O2549" s="235"/>
    </row>
    <row r="2550" spans="15:15" x14ac:dyDescent="0.25">
      <c r="O2550" s="235"/>
    </row>
    <row r="2551" spans="15:15" x14ac:dyDescent="0.25">
      <c r="O2551" s="235"/>
    </row>
    <row r="2552" spans="15:15" x14ac:dyDescent="0.25">
      <c r="O2552" s="235"/>
    </row>
    <row r="2553" spans="15:15" x14ac:dyDescent="0.25">
      <c r="O2553" s="235"/>
    </row>
    <row r="2554" spans="15:15" x14ac:dyDescent="0.25">
      <c r="O2554" s="235"/>
    </row>
    <row r="2555" spans="15:15" x14ac:dyDescent="0.25">
      <c r="O2555" s="235"/>
    </row>
    <row r="2556" spans="15:15" x14ac:dyDescent="0.25">
      <c r="O2556" s="235"/>
    </row>
    <row r="2557" spans="15:15" x14ac:dyDescent="0.25">
      <c r="O2557" s="235"/>
    </row>
    <row r="2558" spans="15:15" x14ac:dyDescent="0.25">
      <c r="O2558" s="235"/>
    </row>
    <row r="2559" spans="15:15" x14ac:dyDescent="0.25">
      <c r="O2559" s="235"/>
    </row>
    <row r="2560" spans="15:15" x14ac:dyDescent="0.25">
      <c r="O2560" s="235"/>
    </row>
    <row r="2561" spans="15:15" x14ac:dyDescent="0.25">
      <c r="O2561" s="235"/>
    </row>
    <row r="2562" spans="15:15" x14ac:dyDescent="0.25">
      <c r="O2562" s="235"/>
    </row>
    <row r="2563" spans="15:15" x14ac:dyDescent="0.25">
      <c r="O2563" s="235"/>
    </row>
    <row r="2564" spans="15:15" x14ac:dyDescent="0.25">
      <c r="O2564" s="235"/>
    </row>
    <row r="2565" spans="15:15" x14ac:dyDescent="0.25">
      <c r="O2565" s="235"/>
    </row>
    <row r="2566" spans="15:15" x14ac:dyDescent="0.25">
      <c r="O2566" s="235"/>
    </row>
    <row r="2567" spans="15:15" x14ac:dyDescent="0.25">
      <c r="O2567" s="235"/>
    </row>
    <row r="2568" spans="15:15" x14ac:dyDescent="0.25">
      <c r="O2568" s="235"/>
    </row>
    <row r="2569" spans="15:15" x14ac:dyDescent="0.25">
      <c r="O2569" s="235"/>
    </row>
    <row r="2570" spans="15:15" x14ac:dyDescent="0.25">
      <c r="O2570" s="235"/>
    </row>
    <row r="2571" spans="15:15" x14ac:dyDescent="0.25">
      <c r="O2571" s="235"/>
    </row>
    <row r="2572" spans="15:15" x14ac:dyDescent="0.25">
      <c r="O2572" s="235"/>
    </row>
    <row r="2573" spans="15:15" x14ac:dyDescent="0.25">
      <c r="O2573" s="235"/>
    </row>
    <row r="2574" spans="15:15" x14ac:dyDescent="0.25">
      <c r="O2574" s="235"/>
    </row>
    <row r="2575" spans="15:15" x14ac:dyDescent="0.25">
      <c r="O2575" s="235"/>
    </row>
    <row r="2576" spans="15:15" x14ac:dyDescent="0.25">
      <c r="O2576" s="235"/>
    </row>
    <row r="2577" spans="15:15" x14ac:dyDescent="0.25">
      <c r="O2577" s="235"/>
    </row>
    <row r="2578" spans="15:15" x14ac:dyDescent="0.25">
      <c r="O2578" s="235"/>
    </row>
    <row r="2579" spans="15:15" x14ac:dyDescent="0.25">
      <c r="O2579" s="235"/>
    </row>
    <row r="2580" spans="15:15" x14ac:dyDescent="0.25">
      <c r="O2580" s="235"/>
    </row>
    <row r="2581" spans="15:15" x14ac:dyDescent="0.25">
      <c r="O2581" s="235"/>
    </row>
    <row r="2582" spans="15:15" x14ac:dyDescent="0.25">
      <c r="O2582" s="235"/>
    </row>
    <row r="2583" spans="15:15" x14ac:dyDescent="0.25">
      <c r="O2583" s="235"/>
    </row>
    <row r="2584" spans="15:15" x14ac:dyDescent="0.25">
      <c r="O2584" s="235"/>
    </row>
    <row r="2585" spans="15:15" x14ac:dyDescent="0.25">
      <c r="O2585" s="235"/>
    </row>
    <row r="2586" spans="15:15" x14ac:dyDescent="0.25">
      <c r="O2586" s="235"/>
    </row>
    <row r="2587" spans="15:15" x14ac:dyDescent="0.25">
      <c r="O2587" s="235"/>
    </row>
    <row r="2588" spans="15:15" x14ac:dyDescent="0.25">
      <c r="O2588" s="235"/>
    </row>
    <row r="2589" spans="15:15" x14ac:dyDescent="0.25">
      <c r="O2589" s="235"/>
    </row>
    <row r="2590" spans="15:15" x14ac:dyDescent="0.25">
      <c r="O2590" s="235"/>
    </row>
    <row r="2591" spans="15:15" x14ac:dyDescent="0.25">
      <c r="O2591" s="235"/>
    </row>
    <row r="2592" spans="15:15" x14ac:dyDescent="0.25">
      <c r="O2592" s="235"/>
    </row>
    <row r="2593" spans="15:15" x14ac:dyDescent="0.25">
      <c r="O2593" s="235"/>
    </row>
    <row r="2594" spans="15:15" x14ac:dyDescent="0.25">
      <c r="O2594" s="235"/>
    </row>
    <row r="2595" spans="15:15" x14ac:dyDescent="0.25">
      <c r="O2595" s="235"/>
    </row>
    <row r="2596" spans="15:15" x14ac:dyDescent="0.25">
      <c r="O2596" s="235"/>
    </row>
    <row r="2597" spans="15:15" x14ac:dyDescent="0.25">
      <c r="O2597" s="235"/>
    </row>
    <row r="2598" spans="15:15" x14ac:dyDescent="0.25">
      <c r="O2598" s="235"/>
    </row>
    <row r="2599" spans="15:15" x14ac:dyDescent="0.25">
      <c r="O2599" s="235"/>
    </row>
    <row r="2600" spans="15:15" x14ac:dyDescent="0.25">
      <c r="O2600" s="235"/>
    </row>
    <row r="2601" spans="15:15" x14ac:dyDescent="0.25">
      <c r="O2601" s="235"/>
    </row>
    <row r="2602" spans="15:15" x14ac:dyDescent="0.25">
      <c r="O2602" s="235"/>
    </row>
    <row r="2603" spans="15:15" x14ac:dyDescent="0.25">
      <c r="O2603" s="235"/>
    </row>
    <row r="2604" spans="15:15" x14ac:dyDescent="0.25">
      <c r="O2604" s="235"/>
    </row>
    <row r="2605" spans="15:15" x14ac:dyDescent="0.25">
      <c r="O2605" s="235"/>
    </row>
    <row r="2606" spans="15:15" x14ac:dyDescent="0.25">
      <c r="O2606" s="235"/>
    </row>
    <row r="2607" spans="15:15" x14ac:dyDescent="0.25">
      <c r="O2607" s="235"/>
    </row>
    <row r="2608" spans="15:15" x14ac:dyDescent="0.25">
      <c r="O2608" s="235"/>
    </row>
    <row r="2609" spans="15:15" x14ac:dyDescent="0.25">
      <c r="O2609" s="235"/>
    </row>
    <row r="2610" spans="15:15" x14ac:dyDescent="0.25">
      <c r="O2610" s="235"/>
    </row>
    <row r="2611" spans="15:15" x14ac:dyDescent="0.25">
      <c r="O2611" s="235"/>
    </row>
    <row r="2612" spans="15:15" x14ac:dyDescent="0.25">
      <c r="O2612" s="235"/>
    </row>
    <row r="2613" spans="15:15" x14ac:dyDescent="0.25">
      <c r="O2613" s="235"/>
    </row>
    <row r="2614" spans="15:15" x14ac:dyDescent="0.25">
      <c r="O2614" s="235"/>
    </row>
    <row r="2615" spans="15:15" x14ac:dyDescent="0.25">
      <c r="O2615" s="235"/>
    </row>
    <row r="2616" spans="15:15" x14ac:dyDescent="0.25">
      <c r="O2616" s="235"/>
    </row>
    <row r="2617" spans="15:15" x14ac:dyDescent="0.25">
      <c r="O2617" s="235"/>
    </row>
    <row r="2618" spans="15:15" x14ac:dyDescent="0.25">
      <c r="O2618" s="235"/>
    </row>
    <row r="2619" spans="15:15" x14ac:dyDescent="0.25">
      <c r="O2619" s="235"/>
    </row>
    <row r="2620" spans="15:15" x14ac:dyDescent="0.25">
      <c r="O2620" s="235"/>
    </row>
    <row r="2621" spans="15:15" x14ac:dyDescent="0.25">
      <c r="O2621" s="235"/>
    </row>
    <row r="2622" spans="15:15" x14ac:dyDescent="0.25">
      <c r="O2622" s="235"/>
    </row>
    <row r="2623" spans="15:15" x14ac:dyDescent="0.25">
      <c r="O2623" s="235"/>
    </row>
    <row r="2624" spans="15:15" x14ac:dyDescent="0.25">
      <c r="O2624" s="235"/>
    </row>
    <row r="2625" spans="15:15" x14ac:dyDescent="0.25">
      <c r="O2625" s="235"/>
    </row>
    <row r="2626" spans="15:15" x14ac:dyDescent="0.25">
      <c r="O2626" s="235"/>
    </row>
    <row r="2627" spans="15:15" x14ac:dyDescent="0.25">
      <c r="O2627" s="235"/>
    </row>
    <row r="2628" spans="15:15" x14ac:dyDescent="0.25">
      <c r="O2628" s="235"/>
    </row>
    <row r="2629" spans="15:15" x14ac:dyDescent="0.25">
      <c r="O2629" s="235"/>
    </row>
    <row r="2630" spans="15:15" x14ac:dyDescent="0.25">
      <c r="O2630" s="235"/>
    </row>
    <row r="2631" spans="15:15" x14ac:dyDescent="0.25">
      <c r="O2631" s="235"/>
    </row>
    <row r="2632" spans="15:15" x14ac:dyDescent="0.25">
      <c r="O2632" s="235"/>
    </row>
    <row r="2633" spans="15:15" x14ac:dyDescent="0.25">
      <c r="O2633" s="235"/>
    </row>
    <row r="2634" spans="15:15" x14ac:dyDescent="0.25">
      <c r="O2634" s="235"/>
    </row>
    <row r="2635" spans="15:15" x14ac:dyDescent="0.25">
      <c r="O2635" s="235"/>
    </row>
    <row r="2636" spans="15:15" x14ac:dyDescent="0.25">
      <c r="O2636" s="235"/>
    </row>
    <row r="2637" spans="15:15" x14ac:dyDescent="0.25">
      <c r="O2637" s="235"/>
    </row>
    <row r="2638" spans="15:15" x14ac:dyDescent="0.25">
      <c r="O2638" s="235"/>
    </row>
    <row r="2639" spans="15:15" x14ac:dyDescent="0.25">
      <c r="O2639" s="235"/>
    </row>
    <row r="2640" spans="15:15" x14ac:dyDescent="0.25">
      <c r="O2640" s="235"/>
    </row>
    <row r="2641" spans="15:15" x14ac:dyDescent="0.25">
      <c r="O2641" s="235"/>
    </row>
    <row r="2642" spans="15:15" x14ac:dyDescent="0.25">
      <c r="O2642" s="235"/>
    </row>
    <row r="2643" spans="15:15" x14ac:dyDescent="0.25">
      <c r="O2643" s="235"/>
    </row>
    <row r="2644" spans="15:15" x14ac:dyDescent="0.25">
      <c r="O2644" s="235"/>
    </row>
    <row r="2645" spans="15:15" x14ac:dyDescent="0.25">
      <c r="O2645" s="235"/>
    </row>
    <row r="2646" spans="15:15" x14ac:dyDescent="0.25">
      <c r="O2646" s="235"/>
    </row>
    <row r="2647" spans="15:15" x14ac:dyDescent="0.25">
      <c r="O2647" s="235"/>
    </row>
    <row r="2648" spans="15:15" x14ac:dyDescent="0.25">
      <c r="O2648" s="235"/>
    </row>
    <row r="2649" spans="15:15" x14ac:dyDescent="0.25">
      <c r="O2649" s="235"/>
    </row>
    <row r="2650" spans="15:15" x14ac:dyDescent="0.25">
      <c r="O2650" s="235"/>
    </row>
    <row r="2651" spans="15:15" x14ac:dyDescent="0.25">
      <c r="O2651" s="235"/>
    </row>
    <row r="2652" spans="15:15" x14ac:dyDescent="0.25">
      <c r="O2652" s="235"/>
    </row>
    <row r="2653" spans="15:15" x14ac:dyDescent="0.25">
      <c r="O2653" s="235"/>
    </row>
    <row r="2654" spans="15:15" x14ac:dyDescent="0.25">
      <c r="O2654" s="235"/>
    </row>
    <row r="2655" spans="15:15" x14ac:dyDescent="0.25">
      <c r="O2655" s="235"/>
    </row>
    <row r="2656" spans="15:15" x14ac:dyDescent="0.25">
      <c r="O2656" s="235"/>
    </row>
    <row r="2657" spans="15:15" x14ac:dyDescent="0.25">
      <c r="O2657" s="235"/>
    </row>
    <row r="2658" spans="15:15" x14ac:dyDescent="0.25">
      <c r="O2658" s="235"/>
    </row>
    <row r="2659" spans="15:15" x14ac:dyDescent="0.25">
      <c r="O2659" s="235"/>
    </row>
    <row r="2660" spans="15:15" x14ac:dyDescent="0.25">
      <c r="O2660" s="235"/>
    </row>
    <row r="2661" spans="15:15" x14ac:dyDescent="0.25">
      <c r="O2661" s="235"/>
    </row>
    <row r="2662" spans="15:15" x14ac:dyDescent="0.25">
      <c r="O2662" s="235"/>
    </row>
    <row r="2663" spans="15:15" x14ac:dyDescent="0.25">
      <c r="O2663" s="235"/>
    </row>
    <row r="2664" spans="15:15" x14ac:dyDescent="0.25">
      <c r="O2664" s="235"/>
    </row>
    <row r="2665" spans="15:15" x14ac:dyDescent="0.25">
      <c r="O2665" s="235"/>
    </row>
    <row r="2666" spans="15:15" x14ac:dyDescent="0.25">
      <c r="O2666" s="235"/>
    </row>
    <row r="2667" spans="15:15" x14ac:dyDescent="0.25">
      <c r="O2667" s="235"/>
    </row>
    <row r="2668" spans="15:15" x14ac:dyDescent="0.25">
      <c r="O2668" s="235"/>
    </row>
    <row r="2669" spans="15:15" x14ac:dyDescent="0.25">
      <c r="O2669" s="235"/>
    </row>
    <row r="2670" spans="15:15" x14ac:dyDescent="0.25">
      <c r="O2670" s="235"/>
    </row>
    <row r="2671" spans="15:15" x14ac:dyDescent="0.25">
      <c r="O2671" s="235"/>
    </row>
    <row r="2672" spans="15:15" x14ac:dyDescent="0.25">
      <c r="O2672" s="235"/>
    </row>
    <row r="2673" spans="15:15" x14ac:dyDescent="0.25">
      <c r="O2673" s="235"/>
    </row>
    <row r="2674" spans="15:15" x14ac:dyDescent="0.25">
      <c r="O2674" s="235"/>
    </row>
    <row r="2675" spans="15:15" x14ac:dyDescent="0.25">
      <c r="O2675" s="235"/>
    </row>
    <row r="2676" spans="15:15" x14ac:dyDescent="0.25">
      <c r="O2676" s="235"/>
    </row>
    <row r="2677" spans="15:15" x14ac:dyDescent="0.25">
      <c r="O2677" s="235"/>
    </row>
    <row r="2678" spans="15:15" x14ac:dyDescent="0.25">
      <c r="O2678" s="235"/>
    </row>
    <row r="2679" spans="15:15" x14ac:dyDescent="0.25">
      <c r="O2679" s="235"/>
    </row>
    <row r="2680" spans="15:15" x14ac:dyDescent="0.25">
      <c r="O2680" s="235"/>
    </row>
    <row r="2681" spans="15:15" x14ac:dyDescent="0.25">
      <c r="O2681" s="235"/>
    </row>
    <row r="2682" spans="15:15" x14ac:dyDescent="0.25">
      <c r="O2682" s="235"/>
    </row>
    <row r="2683" spans="15:15" x14ac:dyDescent="0.25">
      <c r="O2683" s="235"/>
    </row>
    <row r="2684" spans="15:15" x14ac:dyDescent="0.25">
      <c r="O2684" s="235"/>
    </row>
    <row r="2685" spans="15:15" x14ac:dyDescent="0.25">
      <c r="O2685" s="235"/>
    </row>
    <row r="2686" spans="15:15" x14ac:dyDescent="0.25">
      <c r="O2686" s="235"/>
    </row>
    <row r="2687" spans="15:15" x14ac:dyDescent="0.25">
      <c r="O2687" s="235"/>
    </row>
    <row r="2688" spans="15:15" x14ac:dyDescent="0.25">
      <c r="O2688" s="235"/>
    </row>
    <row r="2689" spans="15:15" x14ac:dyDescent="0.25">
      <c r="O2689" s="235"/>
    </row>
    <row r="2690" spans="15:15" x14ac:dyDescent="0.25">
      <c r="O2690" s="235"/>
    </row>
    <row r="2691" spans="15:15" x14ac:dyDescent="0.25">
      <c r="O2691" s="235"/>
    </row>
    <row r="2692" spans="15:15" x14ac:dyDescent="0.25">
      <c r="O2692" s="235"/>
    </row>
    <row r="2693" spans="15:15" x14ac:dyDescent="0.25">
      <c r="O2693" s="235"/>
    </row>
    <row r="2694" spans="15:15" x14ac:dyDescent="0.25">
      <c r="O2694" s="235"/>
    </row>
    <row r="2695" spans="15:15" x14ac:dyDescent="0.25">
      <c r="O2695" s="235"/>
    </row>
    <row r="2696" spans="15:15" x14ac:dyDescent="0.25">
      <c r="O2696" s="235"/>
    </row>
    <row r="2697" spans="15:15" x14ac:dyDescent="0.25">
      <c r="O2697" s="235"/>
    </row>
    <row r="2698" spans="15:15" x14ac:dyDescent="0.25">
      <c r="O2698" s="235"/>
    </row>
    <row r="2699" spans="15:15" x14ac:dyDescent="0.25">
      <c r="O2699" s="235"/>
    </row>
    <row r="2700" spans="15:15" x14ac:dyDescent="0.25">
      <c r="O2700" s="235"/>
    </row>
    <row r="2701" spans="15:15" x14ac:dyDescent="0.25">
      <c r="O2701" s="235"/>
    </row>
    <row r="2702" spans="15:15" x14ac:dyDescent="0.25">
      <c r="O2702" s="235"/>
    </row>
    <row r="2703" spans="15:15" x14ac:dyDescent="0.25">
      <c r="O2703" s="235"/>
    </row>
    <row r="2704" spans="15:15" x14ac:dyDescent="0.25">
      <c r="O2704" s="235"/>
    </row>
    <row r="2705" spans="15:15" x14ac:dyDescent="0.25">
      <c r="O2705" s="235"/>
    </row>
    <row r="2706" spans="15:15" x14ac:dyDescent="0.25">
      <c r="O2706" s="235"/>
    </row>
    <row r="2707" spans="15:15" x14ac:dyDescent="0.25">
      <c r="O2707" s="235"/>
    </row>
    <row r="2708" spans="15:15" x14ac:dyDescent="0.25">
      <c r="O2708" s="235"/>
    </row>
    <row r="2709" spans="15:15" x14ac:dyDescent="0.25">
      <c r="O2709" s="235"/>
    </row>
    <row r="2710" spans="15:15" x14ac:dyDescent="0.25">
      <c r="O2710" s="235"/>
    </row>
    <row r="2711" spans="15:15" x14ac:dyDescent="0.25">
      <c r="O2711" s="235"/>
    </row>
    <row r="2712" spans="15:15" x14ac:dyDescent="0.25">
      <c r="O2712" s="235"/>
    </row>
    <row r="2713" spans="15:15" x14ac:dyDescent="0.25">
      <c r="O2713" s="235"/>
    </row>
    <row r="2714" spans="15:15" x14ac:dyDescent="0.25">
      <c r="O2714" s="235"/>
    </row>
    <row r="2715" spans="15:15" x14ac:dyDescent="0.25">
      <c r="O2715" s="235"/>
    </row>
    <row r="2716" spans="15:15" x14ac:dyDescent="0.25">
      <c r="O2716" s="235"/>
    </row>
    <row r="2717" spans="15:15" x14ac:dyDescent="0.25">
      <c r="O2717" s="235"/>
    </row>
    <row r="2718" spans="15:15" x14ac:dyDescent="0.25">
      <c r="O2718" s="235"/>
    </row>
    <row r="2719" spans="15:15" x14ac:dyDescent="0.25">
      <c r="O2719" s="235"/>
    </row>
    <row r="2720" spans="15:15" x14ac:dyDescent="0.25">
      <c r="O2720" s="235"/>
    </row>
    <row r="2721" spans="15:15" x14ac:dyDescent="0.25">
      <c r="O2721" s="235"/>
    </row>
    <row r="2722" spans="15:15" x14ac:dyDescent="0.25">
      <c r="O2722" s="235"/>
    </row>
    <row r="2723" spans="15:15" x14ac:dyDescent="0.25">
      <c r="O2723" s="235"/>
    </row>
    <row r="2724" spans="15:15" x14ac:dyDescent="0.25">
      <c r="O2724" s="235"/>
    </row>
    <row r="2725" spans="15:15" x14ac:dyDescent="0.25">
      <c r="O2725" s="235"/>
    </row>
    <row r="2726" spans="15:15" x14ac:dyDescent="0.25">
      <c r="O2726" s="235"/>
    </row>
    <row r="2727" spans="15:15" x14ac:dyDescent="0.25">
      <c r="O2727" s="235"/>
    </row>
    <row r="2728" spans="15:15" x14ac:dyDescent="0.25">
      <c r="O2728" s="235"/>
    </row>
    <row r="2729" spans="15:15" x14ac:dyDescent="0.25">
      <c r="O2729" s="235"/>
    </row>
    <row r="2730" spans="15:15" x14ac:dyDescent="0.25">
      <c r="O2730" s="235"/>
    </row>
    <row r="2731" spans="15:15" x14ac:dyDescent="0.25">
      <c r="O2731" s="235"/>
    </row>
    <row r="2732" spans="15:15" x14ac:dyDescent="0.25">
      <c r="O2732" s="235"/>
    </row>
    <row r="2733" spans="15:15" x14ac:dyDescent="0.25">
      <c r="O2733" s="235"/>
    </row>
    <row r="2734" spans="15:15" x14ac:dyDescent="0.25">
      <c r="O2734" s="235"/>
    </row>
    <row r="2735" spans="15:15" x14ac:dyDescent="0.25">
      <c r="O2735" s="235"/>
    </row>
    <row r="2736" spans="15:15" x14ac:dyDescent="0.25">
      <c r="O2736" s="235"/>
    </row>
    <row r="2737" spans="15:15" x14ac:dyDescent="0.25">
      <c r="O2737" s="235"/>
    </row>
    <row r="2738" spans="15:15" x14ac:dyDescent="0.25">
      <c r="O2738" s="235"/>
    </row>
    <row r="2739" spans="15:15" x14ac:dyDescent="0.25">
      <c r="O2739" s="235"/>
    </row>
    <row r="2740" spans="15:15" x14ac:dyDescent="0.25">
      <c r="O2740" s="235"/>
    </row>
    <row r="2741" spans="15:15" x14ac:dyDescent="0.25">
      <c r="O2741" s="235"/>
    </row>
    <row r="2742" spans="15:15" x14ac:dyDescent="0.25">
      <c r="O2742" s="235"/>
    </row>
    <row r="2743" spans="15:15" x14ac:dyDescent="0.25">
      <c r="O2743" s="235"/>
    </row>
    <row r="2744" spans="15:15" x14ac:dyDescent="0.25">
      <c r="O2744" s="235"/>
    </row>
    <row r="2745" spans="15:15" x14ac:dyDescent="0.25">
      <c r="O2745" s="235"/>
    </row>
    <row r="2746" spans="15:15" x14ac:dyDescent="0.25">
      <c r="O2746" s="235"/>
    </row>
    <row r="2747" spans="15:15" x14ac:dyDescent="0.25">
      <c r="O2747" s="235"/>
    </row>
    <row r="2748" spans="15:15" x14ac:dyDescent="0.25">
      <c r="O2748" s="235"/>
    </row>
    <row r="2749" spans="15:15" x14ac:dyDescent="0.25">
      <c r="O2749" s="235"/>
    </row>
    <row r="2750" spans="15:15" x14ac:dyDescent="0.25">
      <c r="O2750" s="235"/>
    </row>
    <row r="2751" spans="15:15" x14ac:dyDescent="0.25">
      <c r="O2751" s="235"/>
    </row>
    <row r="2752" spans="15:15" x14ac:dyDescent="0.25">
      <c r="O2752" s="235"/>
    </row>
    <row r="2753" spans="15:15" x14ac:dyDescent="0.25">
      <c r="O2753" s="235"/>
    </row>
    <row r="2754" spans="15:15" x14ac:dyDescent="0.25">
      <c r="O2754" s="235"/>
    </row>
    <row r="2755" spans="15:15" x14ac:dyDescent="0.25">
      <c r="O2755" s="235"/>
    </row>
    <row r="2756" spans="15:15" x14ac:dyDescent="0.25">
      <c r="O2756" s="235"/>
    </row>
    <row r="2757" spans="15:15" x14ac:dyDescent="0.25">
      <c r="O2757" s="235"/>
    </row>
    <row r="2758" spans="15:15" x14ac:dyDescent="0.25">
      <c r="O2758" s="235"/>
    </row>
    <row r="2759" spans="15:15" x14ac:dyDescent="0.25">
      <c r="O2759" s="235"/>
    </row>
    <row r="2760" spans="15:15" x14ac:dyDescent="0.25">
      <c r="O2760" s="235"/>
    </row>
    <row r="2761" spans="15:15" x14ac:dyDescent="0.25">
      <c r="O2761" s="235"/>
    </row>
    <row r="2762" spans="15:15" x14ac:dyDescent="0.25">
      <c r="O2762" s="235"/>
    </row>
    <row r="2763" spans="15:15" x14ac:dyDescent="0.25">
      <c r="O2763" s="235"/>
    </row>
    <row r="2764" spans="15:15" x14ac:dyDescent="0.25">
      <c r="O2764" s="235"/>
    </row>
    <row r="2765" spans="15:15" x14ac:dyDescent="0.25">
      <c r="O2765" s="235"/>
    </row>
    <row r="2766" spans="15:15" x14ac:dyDescent="0.25">
      <c r="O2766" s="235"/>
    </row>
    <row r="2767" spans="15:15" x14ac:dyDescent="0.25">
      <c r="O2767" s="235"/>
    </row>
    <row r="2768" spans="15:15" x14ac:dyDescent="0.25">
      <c r="O2768" s="235"/>
    </row>
    <row r="2769" spans="15:15" x14ac:dyDescent="0.25">
      <c r="O2769" s="235"/>
    </row>
    <row r="2770" spans="15:15" x14ac:dyDescent="0.25">
      <c r="O2770" s="235"/>
    </row>
    <row r="2771" spans="15:15" x14ac:dyDescent="0.25">
      <c r="O2771" s="235"/>
    </row>
    <row r="2772" spans="15:15" x14ac:dyDescent="0.25">
      <c r="O2772" s="235"/>
    </row>
    <row r="2773" spans="15:15" x14ac:dyDescent="0.25">
      <c r="O2773" s="235"/>
    </row>
    <row r="2774" spans="15:15" x14ac:dyDescent="0.25">
      <c r="O2774" s="235"/>
    </row>
    <row r="2775" spans="15:15" x14ac:dyDescent="0.25">
      <c r="O2775" s="235"/>
    </row>
    <row r="2776" spans="15:15" x14ac:dyDescent="0.25">
      <c r="O2776" s="235"/>
    </row>
    <row r="2777" spans="15:15" x14ac:dyDescent="0.25">
      <c r="O2777" s="235"/>
    </row>
    <row r="2778" spans="15:15" x14ac:dyDescent="0.25">
      <c r="O2778" s="235"/>
    </row>
    <row r="2779" spans="15:15" x14ac:dyDescent="0.25">
      <c r="O2779" s="235"/>
    </row>
    <row r="2780" spans="15:15" x14ac:dyDescent="0.25">
      <c r="O2780" s="235"/>
    </row>
    <row r="2781" spans="15:15" x14ac:dyDescent="0.25">
      <c r="O2781" s="235"/>
    </row>
    <row r="2782" spans="15:15" x14ac:dyDescent="0.25">
      <c r="O2782" s="235"/>
    </row>
    <row r="2783" spans="15:15" x14ac:dyDescent="0.25">
      <c r="O2783" s="235"/>
    </row>
    <row r="2784" spans="15:15" x14ac:dyDescent="0.25">
      <c r="O2784" s="235"/>
    </row>
    <row r="2785" spans="15:15" x14ac:dyDescent="0.25">
      <c r="O2785" s="235"/>
    </row>
    <row r="2786" spans="15:15" x14ac:dyDescent="0.25">
      <c r="O2786" s="235"/>
    </row>
    <row r="2787" spans="15:15" x14ac:dyDescent="0.25">
      <c r="O2787" s="235"/>
    </row>
    <row r="2788" spans="15:15" x14ac:dyDescent="0.25">
      <c r="O2788" s="235"/>
    </row>
    <row r="2789" spans="15:15" x14ac:dyDescent="0.25">
      <c r="O2789" s="235"/>
    </row>
    <row r="2790" spans="15:15" x14ac:dyDescent="0.25">
      <c r="O2790" s="235"/>
    </row>
    <row r="2791" spans="15:15" x14ac:dyDescent="0.25">
      <c r="O2791" s="235"/>
    </row>
    <row r="2792" spans="15:15" x14ac:dyDescent="0.25">
      <c r="O2792" s="235"/>
    </row>
    <row r="2793" spans="15:15" x14ac:dyDescent="0.25">
      <c r="O2793" s="235"/>
    </row>
    <row r="2794" spans="15:15" x14ac:dyDescent="0.25">
      <c r="O2794" s="235"/>
    </row>
    <row r="2795" spans="15:15" x14ac:dyDescent="0.25">
      <c r="O2795" s="235"/>
    </row>
    <row r="2796" spans="15:15" x14ac:dyDescent="0.25">
      <c r="O2796" s="235"/>
    </row>
    <row r="2797" spans="15:15" x14ac:dyDescent="0.25">
      <c r="O2797" s="235"/>
    </row>
    <row r="2798" spans="15:15" x14ac:dyDescent="0.25">
      <c r="O2798" s="235"/>
    </row>
    <row r="2799" spans="15:15" x14ac:dyDescent="0.25">
      <c r="O2799" s="235"/>
    </row>
    <row r="2800" spans="15:15" x14ac:dyDescent="0.25">
      <c r="O2800" s="235"/>
    </row>
    <row r="2801" spans="15:15" x14ac:dyDescent="0.25">
      <c r="O2801" s="235"/>
    </row>
    <row r="2802" spans="15:15" x14ac:dyDescent="0.25">
      <c r="O2802" s="235"/>
    </row>
    <row r="2803" spans="15:15" x14ac:dyDescent="0.25">
      <c r="O2803" s="235"/>
    </row>
    <row r="2804" spans="15:15" x14ac:dyDescent="0.25">
      <c r="O2804" s="235"/>
    </row>
    <row r="2805" spans="15:15" x14ac:dyDescent="0.25">
      <c r="O2805" s="235"/>
    </row>
    <row r="2806" spans="15:15" x14ac:dyDescent="0.25">
      <c r="O2806" s="235"/>
    </row>
    <row r="2807" spans="15:15" x14ac:dyDescent="0.25">
      <c r="O2807" s="235"/>
    </row>
    <row r="2808" spans="15:15" x14ac:dyDescent="0.25">
      <c r="O2808" s="235"/>
    </row>
    <row r="2809" spans="15:15" x14ac:dyDescent="0.25">
      <c r="O2809" s="235"/>
    </row>
    <row r="2810" spans="15:15" x14ac:dyDescent="0.25">
      <c r="O2810" s="235"/>
    </row>
    <row r="2811" spans="15:15" x14ac:dyDescent="0.25">
      <c r="O2811" s="235"/>
    </row>
    <row r="2812" spans="15:15" x14ac:dyDescent="0.25">
      <c r="O2812" s="235"/>
    </row>
    <row r="2813" spans="15:15" x14ac:dyDescent="0.25">
      <c r="O2813" s="235"/>
    </row>
    <row r="2814" spans="15:15" x14ac:dyDescent="0.25">
      <c r="O2814" s="235"/>
    </row>
    <row r="2815" spans="15:15" x14ac:dyDescent="0.25">
      <c r="O2815" s="235"/>
    </row>
    <row r="2816" spans="15:15" x14ac:dyDescent="0.25">
      <c r="O2816" s="235"/>
    </row>
    <row r="2817" spans="15:15" x14ac:dyDescent="0.25">
      <c r="O2817" s="235"/>
    </row>
    <row r="2818" spans="15:15" x14ac:dyDescent="0.25">
      <c r="O2818" s="235"/>
    </row>
    <row r="2819" spans="15:15" x14ac:dyDescent="0.25">
      <c r="O2819" s="235"/>
    </row>
    <row r="2820" spans="15:15" x14ac:dyDescent="0.25">
      <c r="O2820" s="235"/>
    </row>
    <row r="2821" spans="15:15" x14ac:dyDescent="0.25">
      <c r="O2821" s="235"/>
    </row>
    <row r="2822" spans="15:15" x14ac:dyDescent="0.25">
      <c r="O2822" s="235"/>
    </row>
    <row r="2823" spans="15:15" x14ac:dyDescent="0.25">
      <c r="O2823" s="235"/>
    </row>
    <row r="2824" spans="15:15" x14ac:dyDescent="0.25">
      <c r="O2824" s="235"/>
    </row>
    <row r="2825" spans="15:15" x14ac:dyDescent="0.25">
      <c r="O2825" s="235"/>
    </row>
    <row r="2826" spans="15:15" x14ac:dyDescent="0.25">
      <c r="O2826" s="235"/>
    </row>
    <row r="2827" spans="15:15" x14ac:dyDescent="0.25">
      <c r="O2827" s="235"/>
    </row>
    <row r="2828" spans="15:15" x14ac:dyDescent="0.25">
      <c r="O2828" s="235"/>
    </row>
    <row r="2829" spans="15:15" x14ac:dyDescent="0.25">
      <c r="O2829" s="235"/>
    </row>
    <row r="2830" spans="15:15" x14ac:dyDescent="0.25">
      <c r="O2830" s="235"/>
    </row>
    <row r="2831" spans="15:15" x14ac:dyDescent="0.25">
      <c r="O2831" s="235"/>
    </row>
    <row r="2832" spans="15:15" x14ac:dyDescent="0.25">
      <c r="O2832" s="235"/>
    </row>
    <row r="2833" spans="15:15" x14ac:dyDescent="0.25">
      <c r="O2833" s="235"/>
    </row>
    <row r="2834" spans="15:15" x14ac:dyDescent="0.25">
      <c r="O2834" s="235"/>
    </row>
    <row r="2835" spans="15:15" x14ac:dyDescent="0.25">
      <c r="O2835" s="235"/>
    </row>
    <row r="2836" spans="15:15" x14ac:dyDescent="0.25">
      <c r="O2836" s="235"/>
    </row>
    <row r="2837" spans="15:15" x14ac:dyDescent="0.25">
      <c r="O2837" s="235"/>
    </row>
    <row r="2838" spans="15:15" x14ac:dyDescent="0.25">
      <c r="O2838" s="235"/>
    </row>
    <row r="2839" spans="15:15" x14ac:dyDescent="0.25">
      <c r="O2839" s="235"/>
    </row>
    <row r="2840" spans="15:15" x14ac:dyDescent="0.25">
      <c r="O2840" s="235"/>
    </row>
    <row r="2841" spans="15:15" x14ac:dyDescent="0.25">
      <c r="O2841" s="235"/>
    </row>
    <row r="2842" spans="15:15" x14ac:dyDescent="0.25">
      <c r="O2842" s="235"/>
    </row>
    <row r="2843" spans="15:15" x14ac:dyDescent="0.25">
      <c r="O2843" s="235"/>
    </row>
    <row r="2844" spans="15:15" x14ac:dyDescent="0.25">
      <c r="O2844" s="235"/>
    </row>
    <row r="2845" spans="15:15" x14ac:dyDescent="0.25">
      <c r="O2845" s="235"/>
    </row>
    <row r="2846" spans="15:15" x14ac:dyDescent="0.25">
      <c r="O2846" s="235"/>
    </row>
    <row r="2847" spans="15:15" x14ac:dyDescent="0.25">
      <c r="O2847" s="235"/>
    </row>
    <row r="2848" spans="15:15" x14ac:dyDescent="0.25">
      <c r="O2848" s="235"/>
    </row>
    <row r="2849" spans="15:15" x14ac:dyDescent="0.25">
      <c r="O2849" s="235"/>
    </row>
    <row r="2850" spans="15:15" x14ac:dyDescent="0.25">
      <c r="O2850" s="235"/>
    </row>
    <row r="2851" spans="15:15" x14ac:dyDescent="0.25">
      <c r="O2851" s="235"/>
    </row>
    <row r="2852" spans="15:15" x14ac:dyDescent="0.25">
      <c r="O2852" s="235"/>
    </row>
    <row r="2853" spans="15:15" x14ac:dyDescent="0.25">
      <c r="O2853" s="235"/>
    </row>
    <row r="2854" spans="15:15" x14ac:dyDescent="0.25">
      <c r="O2854" s="235"/>
    </row>
    <row r="2855" spans="15:15" x14ac:dyDescent="0.25">
      <c r="O2855" s="235"/>
    </row>
    <row r="2856" spans="15:15" x14ac:dyDescent="0.25">
      <c r="O2856" s="235"/>
    </row>
    <row r="2857" spans="15:15" x14ac:dyDescent="0.25">
      <c r="O2857" s="235"/>
    </row>
    <row r="2858" spans="15:15" x14ac:dyDescent="0.25">
      <c r="O2858" s="235"/>
    </row>
    <row r="2859" spans="15:15" x14ac:dyDescent="0.25">
      <c r="O2859" s="235"/>
    </row>
    <row r="2860" spans="15:15" x14ac:dyDescent="0.25">
      <c r="O2860" s="235"/>
    </row>
    <row r="2861" spans="15:15" x14ac:dyDescent="0.25">
      <c r="O2861" s="235"/>
    </row>
    <row r="2862" spans="15:15" x14ac:dyDescent="0.25">
      <c r="O2862" s="235"/>
    </row>
    <row r="2863" spans="15:15" x14ac:dyDescent="0.25">
      <c r="O2863" s="235"/>
    </row>
    <row r="2864" spans="15:15" x14ac:dyDescent="0.25">
      <c r="O2864" s="235"/>
    </row>
    <row r="2865" spans="15:15" x14ac:dyDescent="0.25">
      <c r="O2865" s="235"/>
    </row>
    <row r="2866" spans="15:15" x14ac:dyDescent="0.25">
      <c r="O2866" s="235"/>
    </row>
    <row r="2867" spans="15:15" x14ac:dyDescent="0.25">
      <c r="O2867" s="235"/>
    </row>
    <row r="2868" spans="15:15" x14ac:dyDescent="0.25">
      <c r="O2868" s="235"/>
    </row>
    <row r="2869" spans="15:15" x14ac:dyDescent="0.25">
      <c r="O2869" s="235"/>
    </row>
    <row r="2870" spans="15:15" x14ac:dyDescent="0.25">
      <c r="O2870" s="235"/>
    </row>
    <row r="2871" spans="15:15" x14ac:dyDescent="0.25">
      <c r="O2871" s="235"/>
    </row>
    <row r="2872" spans="15:15" x14ac:dyDescent="0.25">
      <c r="O2872" s="235"/>
    </row>
    <row r="2873" spans="15:15" x14ac:dyDescent="0.25">
      <c r="O2873" s="235"/>
    </row>
    <row r="2874" spans="15:15" x14ac:dyDescent="0.25">
      <c r="O2874" s="235"/>
    </row>
    <row r="2875" spans="15:15" x14ac:dyDescent="0.25">
      <c r="O2875" s="235"/>
    </row>
    <row r="2876" spans="15:15" x14ac:dyDescent="0.25">
      <c r="O2876" s="235"/>
    </row>
    <row r="2877" spans="15:15" x14ac:dyDescent="0.25">
      <c r="O2877" s="235"/>
    </row>
    <row r="2878" spans="15:15" x14ac:dyDescent="0.25">
      <c r="O2878" s="235"/>
    </row>
    <row r="2879" spans="15:15" x14ac:dyDescent="0.25">
      <c r="O2879" s="235"/>
    </row>
    <row r="2880" spans="15:15" x14ac:dyDescent="0.25">
      <c r="O2880" s="235"/>
    </row>
    <row r="2881" spans="15:15" x14ac:dyDescent="0.25">
      <c r="O2881" s="235"/>
    </row>
    <row r="2882" spans="15:15" x14ac:dyDescent="0.25">
      <c r="O2882" s="235"/>
    </row>
    <row r="2883" spans="15:15" x14ac:dyDescent="0.25">
      <c r="O2883" s="235"/>
    </row>
    <row r="2884" spans="15:15" x14ac:dyDescent="0.25">
      <c r="O2884" s="235"/>
    </row>
    <row r="2885" spans="15:15" x14ac:dyDescent="0.25">
      <c r="O2885" s="235"/>
    </row>
    <row r="2886" spans="15:15" x14ac:dyDescent="0.25">
      <c r="O2886" s="235"/>
    </row>
    <row r="2887" spans="15:15" x14ac:dyDescent="0.25">
      <c r="O2887" s="235"/>
    </row>
    <row r="2888" spans="15:15" x14ac:dyDescent="0.25">
      <c r="O2888" s="235"/>
    </row>
    <row r="2889" spans="15:15" x14ac:dyDescent="0.25">
      <c r="O2889" s="235"/>
    </row>
    <row r="2890" spans="15:15" x14ac:dyDescent="0.25">
      <c r="O2890" s="235"/>
    </row>
    <row r="2891" spans="15:15" x14ac:dyDescent="0.25">
      <c r="O2891" s="235"/>
    </row>
    <row r="2892" spans="15:15" x14ac:dyDescent="0.25">
      <c r="O2892" s="235"/>
    </row>
    <row r="2893" spans="15:15" x14ac:dyDescent="0.25">
      <c r="O2893" s="235"/>
    </row>
    <row r="2894" spans="15:15" x14ac:dyDescent="0.25">
      <c r="O2894" s="235"/>
    </row>
    <row r="2895" spans="15:15" x14ac:dyDescent="0.25">
      <c r="O2895" s="235"/>
    </row>
    <row r="2896" spans="15:15" x14ac:dyDescent="0.25">
      <c r="O2896" s="235"/>
    </row>
    <row r="2897" spans="15:15" x14ac:dyDescent="0.25">
      <c r="O2897" s="235"/>
    </row>
    <row r="2898" spans="15:15" x14ac:dyDescent="0.25">
      <c r="O2898" s="235"/>
    </row>
    <row r="2899" spans="15:15" x14ac:dyDescent="0.25">
      <c r="O2899" s="235"/>
    </row>
    <row r="2900" spans="15:15" x14ac:dyDescent="0.25">
      <c r="O2900" s="235"/>
    </row>
    <row r="2901" spans="15:15" x14ac:dyDescent="0.25">
      <c r="O2901" s="235"/>
    </row>
    <row r="2902" spans="15:15" x14ac:dyDescent="0.25">
      <c r="O2902" s="235"/>
    </row>
    <row r="2903" spans="15:15" x14ac:dyDescent="0.25">
      <c r="O2903" s="235"/>
    </row>
    <row r="2904" spans="15:15" x14ac:dyDescent="0.25">
      <c r="O2904" s="235"/>
    </row>
    <row r="2905" spans="15:15" x14ac:dyDescent="0.25">
      <c r="O2905" s="235"/>
    </row>
    <row r="2906" spans="15:15" x14ac:dyDescent="0.25">
      <c r="O2906" s="235"/>
    </row>
    <row r="2907" spans="15:15" x14ac:dyDescent="0.25">
      <c r="O2907" s="235"/>
    </row>
    <row r="2908" spans="15:15" x14ac:dyDescent="0.25">
      <c r="O2908" s="235"/>
    </row>
    <row r="2909" spans="15:15" x14ac:dyDescent="0.25">
      <c r="O2909" s="235"/>
    </row>
    <row r="2910" spans="15:15" x14ac:dyDescent="0.25">
      <c r="O2910" s="235"/>
    </row>
    <row r="2911" spans="15:15" x14ac:dyDescent="0.25">
      <c r="O2911" s="235"/>
    </row>
    <row r="2912" spans="15:15" x14ac:dyDescent="0.25">
      <c r="O2912" s="235"/>
    </row>
    <row r="2913" spans="15:15" x14ac:dyDescent="0.25">
      <c r="O2913" s="235"/>
    </row>
    <row r="2914" spans="15:15" x14ac:dyDescent="0.25">
      <c r="O2914" s="235"/>
    </row>
    <row r="2915" spans="15:15" x14ac:dyDescent="0.25">
      <c r="O2915" s="235"/>
    </row>
    <row r="2916" spans="15:15" x14ac:dyDescent="0.25">
      <c r="O2916" s="235"/>
    </row>
    <row r="2917" spans="15:15" x14ac:dyDescent="0.25">
      <c r="O2917" s="235"/>
    </row>
    <row r="2918" spans="15:15" x14ac:dyDescent="0.25">
      <c r="O2918" s="235"/>
    </row>
    <row r="2919" spans="15:15" x14ac:dyDescent="0.25">
      <c r="O2919" s="235"/>
    </row>
    <row r="2920" spans="15:15" x14ac:dyDescent="0.25">
      <c r="O2920" s="235"/>
    </row>
    <row r="2921" spans="15:15" x14ac:dyDescent="0.25">
      <c r="O2921" s="235"/>
    </row>
    <row r="2922" spans="15:15" x14ac:dyDescent="0.25">
      <c r="O2922" s="235"/>
    </row>
    <row r="2923" spans="15:15" x14ac:dyDescent="0.25">
      <c r="O2923" s="235"/>
    </row>
    <row r="2924" spans="15:15" x14ac:dyDescent="0.25">
      <c r="O2924" s="235"/>
    </row>
    <row r="2925" spans="15:15" x14ac:dyDescent="0.25">
      <c r="O2925" s="235"/>
    </row>
    <row r="2926" spans="15:15" x14ac:dyDescent="0.25">
      <c r="O2926" s="235"/>
    </row>
    <row r="2927" spans="15:15" x14ac:dyDescent="0.25">
      <c r="O2927" s="235"/>
    </row>
    <row r="2928" spans="15:15" x14ac:dyDescent="0.25">
      <c r="O2928" s="235"/>
    </row>
    <row r="2929" spans="15:15" x14ac:dyDescent="0.25">
      <c r="O2929" s="235"/>
    </row>
    <row r="2930" spans="15:15" x14ac:dyDescent="0.25">
      <c r="O2930" s="235"/>
    </row>
    <row r="2931" spans="15:15" x14ac:dyDescent="0.25">
      <c r="O2931" s="235"/>
    </row>
    <row r="2932" spans="15:15" x14ac:dyDescent="0.25">
      <c r="O2932" s="235"/>
    </row>
    <row r="2933" spans="15:15" x14ac:dyDescent="0.25">
      <c r="O2933" s="235"/>
    </row>
    <row r="2934" spans="15:15" x14ac:dyDescent="0.25">
      <c r="O2934" s="235"/>
    </row>
    <row r="2935" spans="15:15" x14ac:dyDescent="0.25">
      <c r="O2935" s="235"/>
    </row>
    <row r="2936" spans="15:15" x14ac:dyDescent="0.25">
      <c r="O2936" s="235"/>
    </row>
    <row r="2937" spans="15:15" x14ac:dyDescent="0.25">
      <c r="O2937" s="235"/>
    </row>
    <row r="2938" spans="15:15" x14ac:dyDescent="0.25">
      <c r="O2938" s="235"/>
    </row>
    <row r="2939" spans="15:15" x14ac:dyDescent="0.25">
      <c r="O2939" s="235"/>
    </row>
    <row r="2940" spans="15:15" x14ac:dyDescent="0.25">
      <c r="O2940" s="235"/>
    </row>
    <row r="2941" spans="15:15" x14ac:dyDescent="0.25">
      <c r="O2941" s="235"/>
    </row>
    <row r="2942" spans="15:15" x14ac:dyDescent="0.25">
      <c r="O2942" s="235"/>
    </row>
    <row r="2943" spans="15:15" x14ac:dyDescent="0.25">
      <c r="O2943" s="235"/>
    </row>
    <row r="2944" spans="15:15" x14ac:dyDescent="0.25">
      <c r="O2944" s="235"/>
    </row>
    <row r="2945" spans="15:15" x14ac:dyDescent="0.25">
      <c r="O2945" s="235"/>
    </row>
    <row r="2946" spans="15:15" x14ac:dyDescent="0.25">
      <c r="O2946" s="235"/>
    </row>
    <row r="2947" spans="15:15" x14ac:dyDescent="0.25">
      <c r="O2947" s="235"/>
    </row>
    <row r="2948" spans="15:15" x14ac:dyDescent="0.25">
      <c r="O2948" s="235"/>
    </row>
    <row r="2949" spans="15:15" x14ac:dyDescent="0.25">
      <c r="O2949" s="235"/>
    </row>
    <row r="2950" spans="15:15" x14ac:dyDescent="0.25">
      <c r="O2950" s="235"/>
    </row>
    <row r="2951" spans="15:15" x14ac:dyDescent="0.25">
      <c r="O2951" s="235"/>
    </row>
    <row r="2952" spans="15:15" x14ac:dyDescent="0.25">
      <c r="O2952" s="235"/>
    </row>
    <row r="2953" spans="15:15" x14ac:dyDescent="0.25">
      <c r="O2953" s="235"/>
    </row>
    <row r="2954" spans="15:15" x14ac:dyDescent="0.25">
      <c r="O2954" s="235"/>
    </row>
    <row r="2955" spans="15:15" x14ac:dyDescent="0.25">
      <c r="O2955" s="235"/>
    </row>
    <row r="2956" spans="15:15" x14ac:dyDescent="0.25">
      <c r="O2956" s="235"/>
    </row>
    <row r="2957" spans="15:15" x14ac:dyDescent="0.25">
      <c r="O2957" s="235"/>
    </row>
    <row r="2958" spans="15:15" x14ac:dyDescent="0.25">
      <c r="O2958" s="235"/>
    </row>
    <row r="2959" spans="15:15" x14ac:dyDescent="0.25">
      <c r="O2959" s="235"/>
    </row>
    <row r="2960" spans="15:15" x14ac:dyDescent="0.25">
      <c r="O2960" s="235"/>
    </row>
    <row r="2961" spans="15:15" x14ac:dyDescent="0.25">
      <c r="O2961" s="235"/>
    </row>
    <row r="2962" spans="15:15" x14ac:dyDescent="0.25">
      <c r="O2962" s="235"/>
    </row>
    <row r="2963" spans="15:15" x14ac:dyDescent="0.25">
      <c r="O2963" s="235"/>
    </row>
    <row r="2964" spans="15:15" x14ac:dyDescent="0.25">
      <c r="O2964" s="235"/>
    </row>
    <row r="2965" spans="15:15" x14ac:dyDescent="0.25">
      <c r="O2965" s="235"/>
    </row>
    <row r="2966" spans="15:15" x14ac:dyDescent="0.25">
      <c r="O2966" s="235"/>
    </row>
    <row r="2967" spans="15:15" x14ac:dyDescent="0.25">
      <c r="O2967" s="235"/>
    </row>
    <row r="2968" spans="15:15" x14ac:dyDescent="0.25">
      <c r="O2968" s="235"/>
    </row>
    <row r="2969" spans="15:15" x14ac:dyDescent="0.25">
      <c r="O2969" s="235"/>
    </row>
    <row r="2970" spans="15:15" x14ac:dyDescent="0.25">
      <c r="O2970" s="235"/>
    </row>
    <row r="2971" spans="15:15" x14ac:dyDescent="0.25">
      <c r="O2971" s="235"/>
    </row>
    <row r="2972" spans="15:15" x14ac:dyDescent="0.25">
      <c r="O2972" s="235"/>
    </row>
    <row r="2973" spans="15:15" x14ac:dyDescent="0.25">
      <c r="O2973" s="235"/>
    </row>
    <row r="2974" spans="15:15" x14ac:dyDescent="0.25">
      <c r="O2974" s="235"/>
    </row>
    <row r="2975" spans="15:15" x14ac:dyDescent="0.25">
      <c r="O2975" s="235"/>
    </row>
    <row r="2976" spans="15:15" x14ac:dyDescent="0.25">
      <c r="O2976" s="235"/>
    </row>
    <row r="2977" spans="15:15" x14ac:dyDescent="0.25">
      <c r="O2977" s="235"/>
    </row>
    <row r="2978" spans="15:15" x14ac:dyDescent="0.25">
      <c r="O2978" s="235"/>
    </row>
    <row r="2979" spans="15:15" x14ac:dyDescent="0.25">
      <c r="O2979" s="235"/>
    </row>
    <row r="2980" spans="15:15" x14ac:dyDescent="0.25">
      <c r="O2980" s="235"/>
    </row>
    <row r="2981" spans="15:15" x14ac:dyDescent="0.25">
      <c r="O2981" s="235"/>
    </row>
    <row r="2982" spans="15:15" x14ac:dyDescent="0.25">
      <c r="O2982" s="235"/>
    </row>
    <row r="2983" spans="15:15" x14ac:dyDescent="0.25">
      <c r="O2983" s="235"/>
    </row>
    <row r="2984" spans="15:15" x14ac:dyDescent="0.25">
      <c r="O2984" s="235"/>
    </row>
    <row r="2985" spans="15:15" x14ac:dyDescent="0.25">
      <c r="O2985" s="235"/>
    </row>
    <row r="2986" spans="15:15" x14ac:dyDescent="0.25">
      <c r="O2986" s="235"/>
    </row>
    <row r="2987" spans="15:15" x14ac:dyDescent="0.25">
      <c r="O2987" s="235"/>
    </row>
    <row r="2988" spans="15:15" x14ac:dyDescent="0.25">
      <c r="O2988" s="235"/>
    </row>
    <row r="2989" spans="15:15" x14ac:dyDescent="0.25">
      <c r="O2989" s="235"/>
    </row>
    <row r="2990" spans="15:15" x14ac:dyDescent="0.25">
      <c r="O2990" s="235"/>
    </row>
    <row r="2991" spans="15:15" x14ac:dyDescent="0.25">
      <c r="O2991" s="235"/>
    </row>
    <row r="2992" spans="15:15" x14ac:dyDescent="0.25">
      <c r="O2992" s="235"/>
    </row>
    <row r="2993" spans="15:15" x14ac:dyDescent="0.25">
      <c r="O2993" s="235"/>
    </row>
    <row r="2994" spans="15:15" x14ac:dyDescent="0.25">
      <c r="O2994" s="235"/>
    </row>
    <row r="2995" spans="15:15" x14ac:dyDescent="0.25">
      <c r="O2995" s="235"/>
    </row>
    <row r="2996" spans="15:15" x14ac:dyDescent="0.25">
      <c r="O2996" s="235"/>
    </row>
    <row r="2997" spans="15:15" x14ac:dyDescent="0.25">
      <c r="O2997" s="235"/>
    </row>
    <row r="2998" spans="15:15" x14ac:dyDescent="0.25">
      <c r="O2998" s="235"/>
    </row>
    <row r="2999" spans="15:15" x14ac:dyDescent="0.25">
      <c r="O2999" s="235"/>
    </row>
    <row r="3000" spans="15:15" x14ac:dyDescent="0.25">
      <c r="O3000" s="235"/>
    </row>
    <row r="3001" spans="15:15" x14ac:dyDescent="0.25">
      <c r="O3001" s="235"/>
    </row>
    <row r="3002" spans="15:15" x14ac:dyDescent="0.25">
      <c r="O3002" s="235"/>
    </row>
    <row r="3003" spans="15:15" x14ac:dyDescent="0.25">
      <c r="O3003" s="235"/>
    </row>
    <row r="3004" spans="15:15" x14ac:dyDescent="0.25">
      <c r="O3004" s="235"/>
    </row>
    <row r="3005" spans="15:15" x14ac:dyDescent="0.25">
      <c r="O3005" s="235"/>
    </row>
    <row r="3006" spans="15:15" x14ac:dyDescent="0.25">
      <c r="O3006" s="235"/>
    </row>
    <row r="3007" spans="15:15" x14ac:dyDescent="0.25">
      <c r="O3007" s="235"/>
    </row>
    <row r="3008" spans="15:15" x14ac:dyDescent="0.25">
      <c r="O3008" s="235"/>
    </row>
    <row r="3009" spans="15:15" x14ac:dyDescent="0.25">
      <c r="O3009" s="235"/>
    </row>
    <row r="3010" spans="15:15" x14ac:dyDescent="0.25">
      <c r="O3010" s="235"/>
    </row>
    <row r="3011" spans="15:15" x14ac:dyDescent="0.25">
      <c r="O3011" s="235"/>
    </row>
    <row r="3012" spans="15:15" x14ac:dyDescent="0.25">
      <c r="O3012" s="235"/>
    </row>
    <row r="3013" spans="15:15" x14ac:dyDescent="0.25">
      <c r="O3013" s="235"/>
    </row>
    <row r="3014" spans="15:15" x14ac:dyDescent="0.25">
      <c r="O3014" s="235"/>
    </row>
    <row r="3015" spans="15:15" x14ac:dyDescent="0.25">
      <c r="O3015" s="235"/>
    </row>
    <row r="3016" spans="15:15" x14ac:dyDescent="0.25">
      <c r="O3016" s="235"/>
    </row>
    <row r="3017" spans="15:15" x14ac:dyDescent="0.25">
      <c r="O3017" s="235"/>
    </row>
    <row r="3018" spans="15:15" x14ac:dyDescent="0.25">
      <c r="O3018" s="235"/>
    </row>
    <row r="3019" spans="15:15" x14ac:dyDescent="0.25">
      <c r="O3019" s="235"/>
    </row>
    <row r="3020" spans="15:15" x14ac:dyDescent="0.25">
      <c r="O3020" s="235"/>
    </row>
    <row r="3021" spans="15:15" x14ac:dyDescent="0.25">
      <c r="O3021" s="235"/>
    </row>
    <row r="3022" spans="15:15" x14ac:dyDescent="0.25">
      <c r="O3022" s="235"/>
    </row>
    <row r="3023" spans="15:15" x14ac:dyDescent="0.25">
      <c r="O3023" s="235"/>
    </row>
    <row r="3024" spans="15:15" x14ac:dyDescent="0.25">
      <c r="O3024" s="235"/>
    </row>
    <row r="3025" spans="15:15" x14ac:dyDescent="0.25">
      <c r="O3025" s="235"/>
    </row>
    <row r="3026" spans="15:15" x14ac:dyDescent="0.25">
      <c r="O3026" s="235"/>
    </row>
    <row r="3027" spans="15:15" x14ac:dyDescent="0.25">
      <c r="O3027" s="235"/>
    </row>
    <row r="3028" spans="15:15" x14ac:dyDescent="0.25">
      <c r="O3028" s="235"/>
    </row>
    <row r="3029" spans="15:15" x14ac:dyDescent="0.25">
      <c r="O3029" s="235"/>
    </row>
    <row r="3030" spans="15:15" x14ac:dyDescent="0.25">
      <c r="O3030" s="235"/>
    </row>
    <row r="3031" spans="15:15" x14ac:dyDescent="0.25">
      <c r="O3031" s="235"/>
    </row>
    <row r="3032" spans="15:15" x14ac:dyDescent="0.25">
      <c r="O3032" s="235"/>
    </row>
    <row r="3033" spans="15:15" x14ac:dyDescent="0.25">
      <c r="O3033" s="235"/>
    </row>
    <row r="3034" spans="15:15" x14ac:dyDescent="0.25">
      <c r="O3034" s="235"/>
    </row>
    <row r="3035" spans="15:15" x14ac:dyDescent="0.25">
      <c r="O3035" s="235"/>
    </row>
    <row r="3036" spans="15:15" x14ac:dyDescent="0.25">
      <c r="O3036" s="235"/>
    </row>
    <row r="3037" spans="15:15" x14ac:dyDescent="0.25">
      <c r="O3037" s="235"/>
    </row>
    <row r="3038" spans="15:15" x14ac:dyDescent="0.25">
      <c r="O3038" s="235"/>
    </row>
    <row r="3039" spans="15:15" x14ac:dyDescent="0.25">
      <c r="O3039" s="235"/>
    </row>
    <row r="3040" spans="15:15" x14ac:dyDescent="0.25">
      <c r="O3040" s="235"/>
    </row>
    <row r="3041" spans="15:15" x14ac:dyDescent="0.25">
      <c r="O3041" s="235"/>
    </row>
    <row r="3042" spans="15:15" x14ac:dyDescent="0.25">
      <c r="O3042" s="235"/>
    </row>
    <row r="3043" spans="15:15" x14ac:dyDescent="0.25">
      <c r="O3043" s="235"/>
    </row>
    <row r="3044" spans="15:15" x14ac:dyDescent="0.25">
      <c r="O3044" s="235"/>
    </row>
    <row r="3045" spans="15:15" x14ac:dyDescent="0.25">
      <c r="O3045" s="235"/>
    </row>
    <row r="3046" spans="15:15" x14ac:dyDescent="0.25">
      <c r="O3046" s="235"/>
    </row>
    <row r="3047" spans="15:15" x14ac:dyDescent="0.25">
      <c r="O3047" s="235"/>
    </row>
    <row r="3048" spans="15:15" x14ac:dyDescent="0.25">
      <c r="O3048" s="235"/>
    </row>
    <row r="3049" spans="15:15" x14ac:dyDescent="0.25">
      <c r="O3049" s="235"/>
    </row>
    <row r="3050" spans="15:15" x14ac:dyDescent="0.25">
      <c r="O3050" s="235"/>
    </row>
    <row r="3051" spans="15:15" x14ac:dyDescent="0.25">
      <c r="O3051" s="235"/>
    </row>
    <row r="3052" spans="15:15" x14ac:dyDescent="0.25">
      <c r="O3052" s="235"/>
    </row>
    <row r="3053" spans="15:15" x14ac:dyDescent="0.25">
      <c r="O3053" s="235"/>
    </row>
    <row r="3054" spans="15:15" x14ac:dyDescent="0.25">
      <c r="O3054" s="235"/>
    </row>
    <row r="3055" spans="15:15" x14ac:dyDescent="0.25">
      <c r="O3055" s="235"/>
    </row>
    <row r="3056" spans="15:15" x14ac:dyDescent="0.25">
      <c r="O3056" s="235"/>
    </row>
    <row r="3057" spans="15:15" x14ac:dyDescent="0.25">
      <c r="O3057" s="235"/>
    </row>
    <row r="3058" spans="15:15" x14ac:dyDescent="0.25">
      <c r="O3058" s="235"/>
    </row>
    <row r="3059" spans="15:15" x14ac:dyDescent="0.25">
      <c r="O3059" s="235"/>
    </row>
    <row r="3060" spans="15:15" x14ac:dyDescent="0.25">
      <c r="O3060" s="235"/>
    </row>
    <row r="3061" spans="15:15" x14ac:dyDescent="0.25">
      <c r="O3061" s="235"/>
    </row>
    <row r="3062" spans="15:15" x14ac:dyDescent="0.25">
      <c r="O3062" s="235"/>
    </row>
    <row r="3063" spans="15:15" x14ac:dyDescent="0.25">
      <c r="O3063" s="235"/>
    </row>
    <row r="3064" spans="15:15" x14ac:dyDescent="0.25">
      <c r="O3064" s="235"/>
    </row>
    <row r="3065" spans="15:15" x14ac:dyDescent="0.25">
      <c r="O3065" s="235"/>
    </row>
    <row r="3066" spans="15:15" x14ac:dyDescent="0.25">
      <c r="O3066" s="235"/>
    </row>
    <row r="3067" spans="15:15" x14ac:dyDescent="0.25">
      <c r="O3067" s="235"/>
    </row>
    <row r="3068" spans="15:15" x14ac:dyDescent="0.25">
      <c r="O3068" s="235"/>
    </row>
    <row r="3069" spans="15:15" x14ac:dyDescent="0.25">
      <c r="O3069" s="235"/>
    </row>
    <row r="3070" spans="15:15" x14ac:dyDescent="0.25">
      <c r="O3070" s="235"/>
    </row>
    <row r="3071" spans="15:15" x14ac:dyDescent="0.25">
      <c r="O3071" s="235"/>
    </row>
    <row r="3072" spans="15:15" x14ac:dyDescent="0.25">
      <c r="O3072" s="235"/>
    </row>
    <row r="3073" spans="15:15" x14ac:dyDescent="0.25">
      <c r="O3073" s="235"/>
    </row>
    <row r="3074" spans="15:15" x14ac:dyDescent="0.25">
      <c r="O3074" s="235"/>
    </row>
    <row r="3075" spans="15:15" x14ac:dyDescent="0.25">
      <c r="O3075" s="235"/>
    </row>
    <row r="3076" spans="15:15" x14ac:dyDescent="0.25">
      <c r="O3076" s="235"/>
    </row>
    <row r="3077" spans="15:15" x14ac:dyDescent="0.25">
      <c r="O3077" s="235"/>
    </row>
    <row r="3078" spans="15:15" x14ac:dyDescent="0.25">
      <c r="O3078" s="235"/>
    </row>
    <row r="3079" spans="15:15" x14ac:dyDescent="0.25">
      <c r="O3079" s="235"/>
    </row>
    <row r="3080" spans="15:15" x14ac:dyDescent="0.25">
      <c r="O3080" s="235"/>
    </row>
    <row r="3081" spans="15:15" x14ac:dyDescent="0.25">
      <c r="O3081" s="235"/>
    </row>
    <row r="3082" spans="15:15" x14ac:dyDescent="0.25">
      <c r="O3082" s="235"/>
    </row>
    <row r="3083" spans="15:15" x14ac:dyDescent="0.25">
      <c r="O3083" s="235"/>
    </row>
    <row r="3084" spans="15:15" x14ac:dyDescent="0.25">
      <c r="O3084" s="235"/>
    </row>
    <row r="3085" spans="15:15" x14ac:dyDescent="0.25">
      <c r="O3085" s="235"/>
    </row>
    <row r="3086" spans="15:15" x14ac:dyDescent="0.25">
      <c r="O3086" s="235"/>
    </row>
    <row r="3087" spans="15:15" x14ac:dyDescent="0.25">
      <c r="O3087" s="235"/>
    </row>
    <row r="3088" spans="15:15" x14ac:dyDescent="0.25">
      <c r="O3088" s="235"/>
    </row>
    <row r="3089" spans="15:15" x14ac:dyDescent="0.25">
      <c r="O3089" s="235"/>
    </row>
    <row r="3090" spans="15:15" x14ac:dyDescent="0.25">
      <c r="O3090" s="235"/>
    </row>
    <row r="3091" spans="15:15" x14ac:dyDescent="0.25">
      <c r="O3091" s="235"/>
    </row>
    <row r="3092" spans="15:15" x14ac:dyDescent="0.25">
      <c r="O3092" s="235"/>
    </row>
    <row r="3093" spans="15:15" x14ac:dyDescent="0.25">
      <c r="O3093" s="235"/>
    </row>
    <row r="3094" spans="15:15" x14ac:dyDescent="0.25">
      <c r="O3094" s="235"/>
    </row>
    <row r="3095" spans="15:15" x14ac:dyDescent="0.25">
      <c r="O3095" s="235"/>
    </row>
    <row r="3096" spans="15:15" x14ac:dyDescent="0.25">
      <c r="O3096" s="235"/>
    </row>
    <row r="3097" spans="15:15" x14ac:dyDescent="0.25">
      <c r="O3097" s="235"/>
    </row>
    <row r="3098" spans="15:15" x14ac:dyDescent="0.25">
      <c r="O3098" s="235"/>
    </row>
    <row r="3099" spans="15:15" x14ac:dyDescent="0.25">
      <c r="O3099" s="235"/>
    </row>
    <row r="3100" spans="15:15" x14ac:dyDescent="0.25">
      <c r="O3100" s="235"/>
    </row>
    <row r="3101" spans="15:15" x14ac:dyDescent="0.25">
      <c r="O3101" s="235"/>
    </row>
    <row r="3102" spans="15:15" x14ac:dyDescent="0.25">
      <c r="O3102" s="235"/>
    </row>
    <row r="3103" spans="15:15" x14ac:dyDescent="0.25">
      <c r="O3103" s="235"/>
    </row>
    <row r="3104" spans="15:15" x14ac:dyDescent="0.25">
      <c r="O3104" s="235"/>
    </row>
    <row r="3105" spans="15:15" x14ac:dyDescent="0.25">
      <c r="O3105" s="235"/>
    </row>
    <row r="3106" spans="15:15" x14ac:dyDescent="0.25">
      <c r="O3106" s="235"/>
    </row>
    <row r="3107" spans="15:15" x14ac:dyDescent="0.25">
      <c r="O3107" s="235"/>
    </row>
    <row r="3108" spans="15:15" x14ac:dyDescent="0.25">
      <c r="O3108" s="235"/>
    </row>
    <row r="3109" spans="15:15" x14ac:dyDescent="0.25">
      <c r="O3109" s="235"/>
    </row>
    <row r="3110" spans="15:15" x14ac:dyDescent="0.25">
      <c r="O3110" s="235"/>
    </row>
    <row r="3111" spans="15:15" x14ac:dyDescent="0.25">
      <c r="O3111" s="235"/>
    </row>
    <row r="3112" spans="15:15" x14ac:dyDescent="0.25">
      <c r="O3112" s="235"/>
    </row>
    <row r="3113" spans="15:15" x14ac:dyDescent="0.25">
      <c r="O3113" s="235"/>
    </row>
    <row r="3114" spans="15:15" x14ac:dyDescent="0.25">
      <c r="O3114" s="235"/>
    </row>
    <row r="3115" spans="15:15" x14ac:dyDescent="0.25">
      <c r="O3115" s="235"/>
    </row>
    <row r="3116" spans="15:15" x14ac:dyDescent="0.25">
      <c r="O3116" s="235"/>
    </row>
    <row r="3117" spans="15:15" x14ac:dyDescent="0.25">
      <c r="O3117" s="235"/>
    </row>
    <row r="3118" spans="15:15" x14ac:dyDescent="0.25">
      <c r="O3118" s="235"/>
    </row>
    <row r="3119" spans="15:15" x14ac:dyDescent="0.25">
      <c r="O3119" s="235"/>
    </row>
    <row r="3120" spans="15:15" x14ac:dyDescent="0.25">
      <c r="O3120" s="235"/>
    </row>
    <row r="3121" spans="15:15" x14ac:dyDescent="0.25">
      <c r="O3121" s="235"/>
    </row>
    <row r="3122" spans="15:15" x14ac:dyDescent="0.25">
      <c r="O3122" s="235"/>
    </row>
    <row r="3123" spans="15:15" x14ac:dyDescent="0.25">
      <c r="O3123" s="235"/>
    </row>
    <row r="3124" spans="15:15" x14ac:dyDescent="0.25">
      <c r="O3124" s="235"/>
    </row>
    <row r="3125" spans="15:15" x14ac:dyDescent="0.25">
      <c r="O3125" s="235"/>
    </row>
    <row r="3126" spans="15:15" x14ac:dyDescent="0.25">
      <c r="O3126" s="235"/>
    </row>
    <row r="3127" spans="15:15" x14ac:dyDescent="0.25">
      <c r="O3127" s="235"/>
    </row>
    <row r="3128" spans="15:15" x14ac:dyDescent="0.25">
      <c r="O3128" s="235"/>
    </row>
    <row r="3129" spans="15:15" x14ac:dyDescent="0.25">
      <c r="O3129" s="235"/>
    </row>
    <row r="3130" spans="15:15" x14ac:dyDescent="0.25">
      <c r="O3130" s="235"/>
    </row>
    <row r="3131" spans="15:15" x14ac:dyDescent="0.25">
      <c r="O3131" s="235"/>
    </row>
    <row r="3132" spans="15:15" x14ac:dyDescent="0.25">
      <c r="O3132" s="235"/>
    </row>
    <row r="3133" spans="15:15" x14ac:dyDescent="0.25">
      <c r="O3133" s="235"/>
    </row>
    <row r="3134" spans="15:15" x14ac:dyDescent="0.25">
      <c r="O3134" s="235"/>
    </row>
    <row r="3135" spans="15:15" x14ac:dyDescent="0.25">
      <c r="O3135" s="235"/>
    </row>
    <row r="3136" spans="15:15" x14ac:dyDescent="0.25">
      <c r="O3136" s="235"/>
    </row>
    <row r="3137" spans="15:15" x14ac:dyDescent="0.25">
      <c r="O3137" s="235"/>
    </row>
    <row r="3138" spans="15:15" x14ac:dyDescent="0.25">
      <c r="O3138" s="235"/>
    </row>
    <row r="3139" spans="15:15" x14ac:dyDescent="0.25">
      <c r="O3139" s="235"/>
    </row>
    <row r="3140" spans="15:15" x14ac:dyDescent="0.25">
      <c r="O3140" s="235"/>
    </row>
    <row r="3141" spans="15:15" x14ac:dyDescent="0.25">
      <c r="O3141" s="235"/>
    </row>
    <row r="3142" spans="15:15" x14ac:dyDescent="0.25">
      <c r="O3142" s="235"/>
    </row>
    <row r="3143" spans="15:15" x14ac:dyDescent="0.25">
      <c r="O3143" s="235"/>
    </row>
    <row r="3144" spans="15:15" x14ac:dyDescent="0.25">
      <c r="O3144" s="235"/>
    </row>
    <row r="3145" spans="15:15" x14ac:dyDescent="0.25">
      <c r="O3145" s="235"/>
    </row>
    <row r="3146" spans="15:15" x14ac:dyDescent="0.25">
      <c r="O3146" s="235"/>
    </row>
    <row r="3147" spans="15:15" x14ac:dyDescent="0.25">
      <c r="O3147" s="235"/>
    </row>
    <row r="3148" spans="15:15" x14ac:dyDescent="0.25">
      <c r="O3148" s="235"/>
    </row>
    <row r="3149" spans="15:15" x14ac:dyDescent="0.25">
      <c r="O3149" s="235"/>
    </row>
    <row r="3150" spans="15:15" x14ac:dyDescent="0.25">
      <c r="O3150" s="235"/>
    </row>
    <row r="3151" spans="15:15" x14ac:dyDescent="0.25">
      <c r="O3151" s="235"/>
    </row>
    <row r="3152" spans="15:15" x14ac:dyDescent="0.25">
      <c r="O3152" s="235"/>
    </row>
    <row r="3153" spans="15:15" x14ac:dyDescent="0.25">
      <c r="O3153" s="235"/>
    </row>
    <row r="3154" spans="15:15" x14ac:dyDescent="0.25">
      <c r="O3154" s="235"/>
    </row>
    <row r="3155" spans="15:15" x14ac:dyDescent="0.25">
      <c r="O3155" s="235"/>
    </row>
    <row r="3156" spans="15:15" x14ac:dyDescent="0.25">
      <c r="O3156" s="235"/>
    </row>
    <row r="3157" spans="15:15" x14ac:dyDescent="0.25">
      <c r="O3157" s="235"/>
    </row>
    <row r="3158" spans="15:15" x14ac:dyDescent="0.25">
      <c r="O3158" s="235"/>
    </row>
    <row r="3159" spans="15:15" x14ac:dyDescent="0.25">
      <c r="O3159" s="235"/>
    </row>
    <row r="3160" spans="15:15" x14ac:dyDescent="0.25">
      <c r="O3160" s="235"/>
    </row>
    <row r="3161" spans="15:15" x14ac:dyDescent="0.25">
      <c r="O3161" s="235"/>
    </row>
    <row r="3162" spans="15:15" x14ac:dyDescent="0.25">
      <c r="O3162" s="235"/>
    </row>
    <row r="3163" spans="15:15" x14ac:dyDescent="0.25">
      <c r="O3163" s="235"/>
    </row>
    <row r="3164" spans="15:15" x14ac:dyDescent="0.25">
      <c r="O3164" s="235"/>
    </row>
    <row r="3165" spans="15:15" x14ac:dyDescent="0.25">
      <c r="O3165" s="235"/>
    </row>
    <row r="3166" spans="15:15" x14ac:dyDescent="0.25">
      <c r="O3166" s="235"/>
    </row>
    <row r="3167" spans="15:15" x14ac:dyDescent="0.25">
      <c r="O3167" s="235"/>
    </row>
    <row r="3168" spans="15:15" x14ac:dyDescent="0.25">
      <c r="O3168" s="235"/>
    </row>
    <row r="3169" spans="15:15" x14ac:dyDescent="0.25">
      <c r="O3169" s="235"/>
    </row>
    <row r="3170" spans="15:15" x14ac:dyDescent="0.25">
      <c r="O3170" s="235"/>
    </row>
    <row r="3171" spans="15:15" x14ac:dyDescent="0.25">
      <c r="O3171" s="235"/>
    </row>
    <row r="3172" spans="15:15" x14ac:dyDescent="0.25">
      <c r="O3172" s="235"/>
    </row>
    <row r="3173" spans="15:15" x14ac:dyDescent="0.25">
      <c r="O3173" s="235"/>
    </row>
    <row r="3174" spans="15:15" x14ac:dyDescent="0.25">
      <c r="O3174" s="235"/>
    </row>
    <row r="3175" spans="15:15" x14ac:dyDescent="0.25">
      <c r="O3175" s="235"/>
    </row>
    <row r="3176" spans="15:15" x14ac:dyDescent="0.25">
      <c r="O3176" s="235"/>
    </row>
    <row r="3177" spans="15:15" x14ac:dyDescent="0.25">
      <c r="O3177" s="235"/>
    </row>
    <row r="3178" spans="15:15" x14ac:dyDescent="0.25">
      <c r="O3178" s="235"/>
    </row>
    <row r="3179" spans="15:15" x14ac:dyDescent="0.25">
      <c r="O3179" s="235"/>
    </row>
    <row r="3180" spans="15:15" x14ac:dyDescent="0.25">
      <c r="O3180" s="235"/>
    </row>
    <row r="3181" spans="15:15" x14ac:dyDescent="0.25">
      <c r="O3181" s="235"/>
    </row>
    <row r="3182" spans="15:15" x14ac:dyDescent="0.25">
      <c r="O3182" s="235"/>
    </row>
    <row r="3183" spans="15:15" x14ac:dyDescent="0.25">
      <c r="O3183" s="235"/>
    </row>
    <row r="3184" spans="15:15" x14ac:dyDescent="0.25">
      <c r="O3184" s="235"/>
    </row>
    <row r="3185" spans="15:15" x14ac:dyDescent="0.25">
      <c r="O3185" s="235"/>
    </row>
    <row r="3186" spans="15:15" x14ac:dyDescent="0.25">
      <c r="O3186" s="235"/>
    </row>
    <row r="3187" spans="15:15" x14ac:dyDescent="0.25">
      <c r="O3187" s="235"/>
    </row>
    <row r="3188" spans="15:15" x14ac:dyDescent="0.25">
      <c r="O3188" s="235"/>
    </row>
    <row r="3189" spans="15:15" x14ac:dyDescent="0.25">
      <c r="O3189" s="235"/>
    </row>
    <row r="3190" spans="15:15" x14ac:dyDescent="0.25">
      <c r="O3190" s="235"/>
    </row>
    <row r="3191" spans="15:15" x14ac:dyDescent="0.25">
      <c r="O3191" s="235"/>
    </row>
    <row r="3192" spans="15:15" x14ac:dyDescent="0.25">
      <c r="O3192" s="235"/>
    </row>
    <row r="3193" spans="15:15" x14ac:dyDescent="0.25">
      <c r="O3193" s="235"/>
    </row>
    <row r="3194" spans="15:15" x14ac:dyDescent="0.25">
      <c r="O3194" s="235"/>
    </row>
    <row r="3195" spans="15:15" x14ac:dyDescent="0.25">
      <c r="O3195" s="235"/>
    </row>
    <row r="3196" spans="15:15" x14ac:dyDescent="0.25">
      <c r="O3196" s="235"/>
    </row>
    <row r="3197" spans="15:15" x14ac:dyDescent="0.25">
      <c r="O3197" s="235"/>
    </row>
    <row r="3198" spans="15:15" x14ac:dyDescent="0.25">
      <c r="O3198" s="235"/>
    </row>
    <row r="3199" spans="15:15" x14ac:dyDescent="0.25">
      <c r="O3199" s="235"/>
    </row>
    <row r="3200" spans="15:15" x14ac:dyDescent="0.25">
      <c r="O3200" s="235"/>
    </row>
    <row r="3201" spans="15:15" x14ac:dyDescent="0.25">
      <c r="O3201" s="235"/>
    </row>
    <row r="3202" spans="15:15" x14ac:dyDescent="0.25">
      <c r="O3202" s="235"/>
    </row>
    <row r="3203" spans="15:15" x14ac:dyDescent="0.25">
      <c r="O3203" s="235"/>
    </row>
    <row r="3204" spans="15:15" x14ac:dyDescent="0.25">
      <c r="O3204" s="235"/>
    </row>
    <row r="3205" spans="15:15" x14ac:dyDescent="0.25">
      <c r="O3205" s="235"/>
    </row>
    <row r="3206" spans="15:15" x14ac:dyDescent="0.25">
      <c r="O3206" s="235"/>
    </row>
    <row r="3207" spans="15:15" x14ac:dyDescent="0.25">
      <c r="O3207" s="235"/>
    </row>
    <row r="3208" spans="15:15" x14ac:dyDescent="0.25">
      <c r="O3208" s="235"/>
    </row>
    <row r="3209" spans="15:15" x14ac:dyDescent="0.25">
      <c r="O3209" s="235"/>
    </row>
    <row r="3210" spans="15:15" x14ac:dyDescent="0.25">
      <c r="O3210" s="235"/>
    </row>
    <row r="3211" spans="15:15" x14ac:dyDescent="0.25">
      <c r="O3211" s="235"/>
    </row>
    <row r="3212" spans="15:15" x14ac:dyDescent="0.25">
      <c r="O3212" s="235"/>
    </row>
    <row r="3213" spans="15:15" x14ac:dyDescent="0.25">
      <c r="O3213" s="235"/>
    </row>
    <row r="3214" spans="15:15" x14ac:dyDescent="0.25">
      <c r="O3214" s="235"/>
    </row>
    <row r="3215" spans="15:15" x14ac:dyDescent="0.25">
      <c r="O3215" s="235"/>
    </row>
    <row r="3216" spans="15:15" x14ac:dyDescent="0.25">
      <c r="O3216" s="235"/>
    </row>
    <row r="3217" spans="15:15" x14ac:dyDescent="0.25">
      <c r="O3217" s="235"/>
    </row>
    <row r="3218" spans="15:15" x14ac:dyDescent="0.25">
      <c r="O3218" s="235"/>
    </row>
    <row r="3219" spans="15:15" x14ac:dyDescent="0.25">
      <c r="O3219" s="235"/>
    </row>
    <row r="3220" spans="15:15" x14ac:dyDescent="0.25">
      <c r="O3220" s="235"/>
    </row>
    <row r="3221" spans="15:15" x14ac:dyDescent="0.25">
      <c r="O3221" s="235"/>
    </row>
    <row r="3222" spans="15:15" x14ac:dyDescent="0.25">
      <c r="O3222" s="235"/>
    </row>
    <row r="3223" spans="15:15" x14ac:dyDescent="0.25">
      <c r="O3223" s="235"/>
    </row>
    <row r="3224" spans="15:15" x14ac:dyDescent="0.25">
      <c r="O3224" s="235"/>
    </row>
    <row r="3225" spans="15:15" x14ac:dyDescent="0.25">
      <c r="O3225" s="235"/>
    </row>
    <row r="3226" spans="15:15" x14ac:dyDescent="0.25">
      <c r="O3226" s="235"/>
    </row>
    <row r="3227" spans="15:15" x14ac:dyDescent="0.25">
      <c r="O3227" s="235"/>
    </row>
    <row r="3228" spans="15:15" x14ac:dyDescent="0.25">
      <c r="O3228" s="235"/>
    </row>
    <row r="3229" spans="15:15" x14ac:dyDescent="0.25">
      <c r="O3229" s="235"/>
    </row>
    <row r="3230" spans="15:15" x14ac:dyDescent="0.25">
      <c r="O3230" s="235"/>
    </row>
    <row r="3231" spans="15:15" x14ac:dyDescent="0.25">
      <c r="O3231" s="235"/>
    </row>
    <row r="3232" spans="15:15" x14ac:dyDescent="0.25">
      <c r="O3232" s="235"/>
    </row>
    <row r="3233" spans="15:15" x14ac:dyDescent="0.25">
      <c r="O3233" s="235"/>
    </row>
    <row r="3234" spans="15:15" x14ac:dyDescent="0.25">
      <c r="O3234" s="235"/>
    </row>
    <row r="3235" spans="15:15" x14ac:dyDescent="0.25">
      <c r="O3235" s="235"/>
    </row>
    <row r="3236" spans="15:15" x14ac:dyDescent="0.25">
      <c r="O3236" s="235"/>
    </row>
    <row r="3237" spans="15:15" x14ac:dyDescent="0.25">
      <c r="O3237" s="235"/>
    </row>
    <row r="3238" spans="15:15" x14ac:dyDescent="0.25">
      <c r="O3238" s="235"/>
    </row>
    <row r="3239" spans="15:15" x14ac:dyDescent="0.25">
      <c r="O3239" s="235"/>
    </row>
    <row r="3240" spans="15:15" x14ac:dyDescent="0.25">
      <c r="O3240" s="235"/>
    </row>
    <row r="3241" spans="15:15" x14ac:dyDescent="0.25">
      <c r="O3241" s="235"/>
    </row>
    <row r="3242" spans="15:15" x14ac:dyDescent="0.25">
      <c r="O3242" s="235"/>
    </row>
    <row r="3243" spans="15:15" x14ac:dyDescent="0.25">
      <c r="O3243" s="235"/>
    </row>
    <row r="3244" spans="15:15" x14ac:dyDescent="0.25">
      <c r="O3244" s="235"/>
    </row>
    <row r="3245" spans="15:15" x14ac:dyDescent="0.25">
      <c r="O3245" s="235"/>
    </row>
    <row r="3246" spans="15:15" x14ac:dyDescent="0.25">
      <c r="O3246" s="235"/>
    </row>
    <row r="3247" spans="15:15" x14ac:dyDescent="0.25">
      <c r="O3247" s="235"/>
    </row>
    <row r="3248" spans="15:15" x14ac:dyDescent="0.25">
      <c r="O3248" s="235"/>
    </row>
    <row r="3249" spans="15:15" x14ac:dyDescent="0.25">
      <c r="O3249" s="235"/>
    </row>
    <row r="3250" spans="15:15" x14ac:dyDescent="0.25">
      <c r="O3250" s="235"/>
    </row>
    <row r="3251" spans="15:15" x14ac:dyDescent="0.25">
      <c r="O3251" s="235"/>
    </row>
    <row r="3252" spans="15:15" x14ac:dyDescent="0.25">
      <c r="O3252" s="235"/>
    </row>
    <row r="3253" spans="15:15" x14ac:dyDescent="0.25">
      <c r="O3253" s="235"/>
    </row>
    <row r="3254" spans="15:15" x14ac:dyDescent="0.25">
      <c r="O3254" s="235"/>
    </row>
    <row r="3255" spans="15:15" x14ac:dyDescent="0.25">
      <c r="O3255" s="235"/>
    </row>
    <row r="3256" spans="15:15" x14ac:dyDescent="0.25">
      <c r="O3256" s="235"/>
    </row>
    <row r="3257" spans="15:15" x14ac:dyDescent="0.25">
      <c r="O3257" s="235"/>
    </row>
    <row r="3258" spans="15:15" x14ac:dyDescent="0.25">
      <c r="O3258" s="235"/>
    </row>
    <row r="3259" spans="15:15" x14ac:dyDescent="0.25">
      <c r="O3259" s="235"/>
    </row>
    <row r="3260" spans="15:15" x14ac:dyDescent="0.25">
      <c r="O3260" s="235"/>
    </row>
    <row r="3261" spans="15:15" x14ac:dyDescent="0.25">
      <c r="O3261" s="235"/>
    </row>
    <row r="3262" spans="15:15" x14ac:dyDescent="0.25">
      <c r="O3262" s="235"/>
    </row>
    <row r="3263" spans="15:15" x14ac:dyDescent="0.25">
      <c r="O3263" s="235"/>
    </row>
    <row r="3264" spans="15:15" x14ac:dyDescent="0.25">
      <c r="O3264" s="235"/>
    </row>
    <row r="3265" spans="15:15" x14ac:dyDescent="0.25">
      <c r="O3265" s="235"/>
    </row>
    <row r="3266" spans="15:15" x14ac:dyDescent="0.25">
      <c r="O3266" s="235"/>
    </row>
    <row r="3267" spans="15:15" x14ac:dyDescent="0.25">
      <c r="O3267" s="235"/>
    </row>
    <row r="3268" spans="15:15" x14ac:dyDescent="0.25">
      <c r="O3268" s="235"/>
    </row>
    <row r="3269" spans="15:15" x14ac:dyDescent="0.25">
      <c r="O3269" s="235"/>
    </row>
    <row r="3270" spans="15:15" x14ac:dyDescent="0.25">
      <c r="O3270" s="235"/>
    </row>
    <row r="3271" spans="15:15" x14ac:dyDescent="0.25">
      <c r="O3271" s="235"/>
    </row>
    <row r="3272" spans="15:15" x14ac:dyDescent="0.25">
      <c r="O3272" s="235"/>
    </row>
    <row r="3273" spans="15:15" x14ac:dyDescent="0.25">
      <c r="O3273" s="235"/>
    </row>
    <row r="3274" spans="15:15" x14ac:dyDescent="0.25">
      <c r="O3274" s="235"/>
    </row>
    <row r="3275" spans="15:15" x14ac:dyDescent="0.25">
      <c r="O3275" s="235"/>
    </row>
    <row r="3276" spans="15:15" x14ac:dyDescent="0.25">
      <c r="O3276" s="235"/>
    </row>
    <row r="3277" spans="15:15" x14ac:dyDescent="0.25">
      <c r="O3277" s="235"/>
    </row>
    <row r="3278" spans="15:15" x14ac:dyDescent="0.25">
      <c r="O3278" s="235"/>
    </row>
    <row r="3279" spans="15:15" x14ac:dyDescent="0.25">
      <c r="O3279" s="235"/>
    </row>
    <row r="3280" spans="15:15" x14ac:dyDescent="0.25">
      <c r="O3280" s="235"/>
    </row>
    <row r="3281" spans="15:15" x14ac:dyDescent="0.25">
      <c r="O3281" s="235"/>
    </row>
    <row r="3282" spans="15:15" x14ac:dyDescent="0.25">
      <c r="O3282" s="235"/>
    </row>
    <row r="3283" spans="15:15" x14ac:dyDescent="0.25">
      <c r="O3283" s="235"/>
    </row>
    <row r="3284" spans="15:15" x14ac:dyDescent="0.25">
      <c r="O3284" s="235"/>
    </row>
    <row r="3285" spans="15:15" x14ac:dyDescent="0.25">
      <c r="O3285" s="235"/>
    </row>
    <row r="3286" spans="15:15" x14ac:dyDescent="0.25">
      <c r="O3286" s="235"/>
    </row>
    <row r="3287" spans="15:15" x14ac:dyDescent="0.25">
      <c r="O3287" s="235"/>
    </row>
    <row r="3288" spans="15:15" x14ac:dyDescent="0.25">
      <c r="O3288" s="235"/>
    </row>
    <row r="3289" spans="15:15" x14ac:dyDescent="0.25">
      <c r="O3289" s="235"/>
    </row>
    <row r="3290" spans="15:15" x14ac:dyDescent="0.25">
      <c r="O3290" s="235"/>
    </row>
    <row r="3291" spans="15:15" x14ac:dyDescent="0.25">
      <c r="O3291" s="235"/>
    </row>
    <row r="3292" spans="15:15" x14ac:dyDescent="0.25">
      <c r="O3292" s="235"/>
    </row>
    <row r="3293" spans="15:15" x14ac:dyDescent="0.25">
      <c r="O3293" s="235"/>
    </row>
    <row r="3294" spans="15:15" x14ac:dyDescent="0.25">
      <c r="O3294" s="235"/>
    </row>
    <row r="3295" spans="15:15" x14ac:dyDescent="0.25">
      <c r="O3295" s="235"/>
    </row>
    <row r="3296" spans="15:15" x14ac:dyDescent="0.25">
      <c r="O3296" s="235"/>
    </row>
    <row r="3297" spans="15:15" x14ac:dyDescent="0.25">
      <c r="O3297" s="235"/>
    </row>
    <row r="3298" spans="15:15" x14ac:dyDescent="0.25">
      <c r="O3298" s="235"/>
    </row>
    <row r="3299" spans="15:15" x14ac:dyDescent="0.25">
      <c r="O3299" s="235"/>
    </row>
    <row r="3300" spans="15:15" x14ac:dyDescent="0.25">
      <c r="O3300" s="235"/>
    </row>
    <row r="3301" spans="15:15" x14ac:dyDescent="0.25">
      <c r="O3301" s="235"/>
    </row>
    <row r="3302" spans="15:15" x14ac:dyDescent="0.25">
      <c r="O3302" s="235"/>
    </row>
    <row r="3303" spans="15:15" x14ac:dyDescent="0.25">
      <c r="O3303" s="235"/>
    </row>
    <row r="3304" spans="15:15" x14ac:dyDescent="0.25">
      <c r="O3304" s="235"/>
    </row>
    <row r="3305" spans="15:15" x14ac:dyDescent="0.25">
      <c r="O3305" s="235"/>
    </row>
    <row r="3306" spans="15:15" x14ac:dyDescent="0.25">
      <c r="O3306" s="235"/>
    </row>
    <row r="3307" spans="15:15" x14ac:dyDescent="0.25">
      <c r="O3307" s="235"/>
    </row>
    <row r="3308" spans="15:15" x14ac:dyDescent="0.25">
      <c r="O3308" s="235"/>
    </row>
    <row r="3309" spans="15:15" x14ac:dyDescent="0.25">
      <c r="O3309" s="235"/>
    </row>
    <row r="3310" spans="15:15" x14ac:dyDescent="0.25">
      <c r="O3310" s="235"/>
    </row>
    <row r="3311" spans="15:15" x14ac:dyDescent="0.25">
      <c r="O3311" s="235"/>
    </row>
    <row r="3312" spans="15:15" x14ac:dyDescent="0.25">
      <c r="O3312" s="235"/>
    </row>
    <row r="3313" spans="15:15" x14ac:dyDescent="0.25">
      <c r="O3313" s="235"/>
    </row>
    <row r="3314" spans="15:15" x14ac:dyDescent="0.25">
      <c r="O3314" s="235"/>
    </row>
    <row r="3315" spans="15:15" x14ac:dyDescent="0.25">
      <c r="O3315" s="235"/>
    </row>
    <row r="3316" spans="15:15" x14ac:dyDescent="0.25">
      <c r="O3316" s="235"/>
    </row>
    <row r="3317" spans="15:15" x14ac:dyDescent="0.25">
      <c r="O3317" s="235"/>
    </row>
    <row r="3318" spans="15:15" x14ac:dyDescent="0.25">
      <c r="O3318" s="235"/>
    </row>
    <row r="3319" spans="15:15" x14ac:dyDescent="0.25">
      <c r="O3319" s="235"/>
    </row>
    <row r="3320" spans="15:15" x14ac:dyDescent="0.25">
      <c r="O3320" s="235"/>
    </row>
    <row r="3321" spans="15:15" x14ac:dyDescent="0.25">
      <c r="O3321" s="235"/>
    </row>
    <row r="3322" spans="15:15" x14ac:dyDescent="0.25">
      <c r="O3322" s="235"/>
    </row>
    <row r="3323" spans="15:15" x14ac:dyDescent="0.25">
      <c r="O3323" s="235"/>
    </row>
    <row r="3324" spans="15:15" x14ac:dyDescent="0.25">
      <c r="O3324" s="235"/>
    </row>
    <row r="3325" spans="15:15" x14ac:dyDescent="0.25">
      <c r="O3325" s="235"/>
    </row>
    <row r="3326" spans="15:15" x14ac:dyDescent="0.25">
      <c r="O3326" s="235"/>
    </row>
    <row r="3327" spans="15:15" x14ac:dyDescent="0.25">
      <c r="O3327" s="235"/>
    </row>
    <row r="3328" spans="15:15" x14ac:dyDescent="0.25">
      <c r="O3328" s="235"/>
    </row>
    <row r="3329" spans="15:15" x14ac:dyDescent="0.25">
      <c r="O3329" s="235"/>
    </row>
    <row r="3330" spans="15:15" x14ac:dyDescent="0.25">
      <c r="O3330" s="235"/>
    </row>
    <row r="3331" spans="15:15" x14ac:dyDescent="0.25">
      <c r="O3331" s="235"/>
    </row>
    <row r="3332" spans="15:15" x14ac:dyDescent="0.25">
      <c r="O3332" s="235"/>
    </row>
    <row r="3333" spans="15:15" x14ac:dyDescent="0.25">
      <c r="O3333" s="235"/>
    </row>
    <row r="3334" spans="15:15" x14ac:dyDescent="0.25">
      <c r="O3334" s="235"/>
    </row>
    <row r="3335" spans="15:15" x14ac:dyDescent="0.25">
      <c r="O3335" s="235"/>
    </row>
    <row r="3336" spans="15:15" x14ac:dyDescent="0.25">
      <c r="O3336" s="235"/>
    </row>
    <row r="3337" spans="15:15" x14ac:dyDescent="0.25">
      <c r="O3337" s="235"/>
    </row>
    <row r="3338" spans="15:15" x14ac:dyDescent="0.25">
      <c r="O3338" s="235"/>
    </row>
    <row r="3339" spans="15:15" x14ac:dyDescent="0.25">
      <c r="O3339" s="235"/>
    </row>
    <row r="3340" spans="15:15" x14ac:dyDescent="0.25">
      <c r="O3340" s="235"/>
    </row>
    <row r="3341" spans="15:15" x14ac:dyDescent="0.25">
      <c r="O3341" s="235"/>
    </row>
    <row r="3342" spans="15:15" x14ac:dyDescent="0.25">
      <c r="O3342" s="235"/>
    </row>
    <row r="3343" spans="15:15" x14ac:dyDescent="0.25">
      <c r="O3343" s="235"/>
    </row>
    <row r="3344" spans="15:15" x14ac:dyDescent="0.25">
      <c r="O3344" s="235"/>
    </row>
    <row r="3345" spans="15:15" x14ac:dyDescent="0.25">
      <c r="O3345" s="235"/>
    </row>
    <row r="3346" spans="15:15" x14ac:dyDescent="0.25">
      <c r="O3346" s="235"/>
    </row>
    <row r="3347" spans="15:15" x14ac:dyDescent="0.25">
      <c r="O3347" s="235"/>
    </row>
    <row r="3348" spans="15:15" x14ac:dyDescent="0.25">
      <c r="O3348" s="235"/>
    </row>
    <row r="3349" spans="15:15" x14ac:dyDescent="0.25">
      <c r="O3349" s="235"/>
    </row>
    <row r="3350" spans="15:15" x14ac:dyDescent="0.25">
      <c r="O3350" s="235"/>
    </row>
    <row r="3351" spans="15:15" x14ac:dyDescent="0.25">
      <c r="O3351" s="235"/>
    </row>
    <row r="3352" spans="15:15" x14ac:dyDescent="0.25">
      <c r="O3352" s="235"/>
    </row>
    <row r="3353" spans="15:15" x14ac:dyDescent="0.25">
      <c r="O3353" s="235"/>
    </row>
    <row r="3354" spans="15:15" x14ac:dyDescent="0.25">
      <c r="O3354" s="235"/>
    </row>
    <row r="3355" spans="15:15" x14ac:dyDescent="0.25">
      <c r="O3355" s="235"/>
    </row>
    <row r="3356" spans="15:15" x14ac:dyDescent="0.25">
      <c r="O3356" s="235"/>
    </row>
    <row r="3357" spans="15:15" x14ac:dyDescent="0.25">
      <c r="O3357" s="235"/>
    </row>
    <row r="3358" spans="15:15" x14ac:dyDescent="0.25">
      <c r="O3358" s="235"/>
    </row>
    <row r="3359" spans="15:15" x14ac:dyDescent="0.25">
      <c r="O3359" s="235"/>
    </row>
    <row r="3360" spans="15:15" x14ac:dyDescent="0.25">
      <c r="O3360" s="235"/>
    </row>
    <row r="3361" spans="15:15" x14ac:dyDescent="0.25">
      <c r="O3361" s="235"/>
    </row>
    <row r="3362" spans="15:15" x14ac:dyDescent="0.25">
      <c r="O3362" s="235"/>
    </row>
    <row r="3363" spans="15:15" x14ac:dyDescent="0.25">
      <c r="O3363" s="235"/>
    </row>
    <row r="3364" spans="15:15" x14ac:dyDescent="0.25">
      <c r="O3364" s="235"/>
    </row>
    <row r="3365" spans="15:15" x14ac:dyDescent="0.25">
      <c r="O3365" s="235"/>
    </row>
    <row r="3366" spans="15:15" x14ac:dyDescent="0.25">
      <c r="O3366" s="235"/>
    </row>
    <row r="3367" spans="15:15" x14ac:dyDescent="0.25">
      <c r="O3367" s="235"/>
    </row>
    <row r="3368" spans="15:15" x14ac:dyDescent="0.25">
      <c r="O3368" s="235"/>
    </row>
    <row r="3369" spans="15:15" x14ac:dyDescent="0.25">
      <c r="O3369" s="235"/>
    </row>
    <row r="3370" spans="15:15" x14ac:dyDescent="0.25">
      <c r="O3370" s="235"/>
    </row>
    <row r="3371" spans="15:15" x14ac:dyDescent="0.25">
      <c r="O3371" s="235"/>
    </row>
    <row r="3372" spans="15:15" x14ac:dyDescent="0.25">
      <c r="O3372" s="235"/>
    </row>
    <row r="3373" spans="15:15" x14ac:dyDescent="0.25">
      <c r="O3373" s="235"/>
    </row>
    <row r="3374" spans="15:15" x14ac:dyDescent="0.25">
      <c r="O3374" s="235"/>
    </row>
    <row r="3375" spans="15:15" x14ac:dyDescent="0.25">
      <c r="O3375" s="235"/>
    </row>
    <row r="3376" spans="15:15" x14ac:dyDescent="0.25">
      <c r="O3376" s="235"/>
    </row>
    <row r="3377" spans="15:15" x14ac:dyDescent="0.25">
      <c r="O3377" s="235"/>
    </row>
    <row r="3378" spans="15:15" x14ac:dyDescent="0.25">
      <c r="O3378" s="235"/>
    </row>
    <row r="3379" spans="15:15" x14ac:dyDescent="0.25">
      <c r="O3379" s="235"/>
    </row>
    <row r="3380" spans="15:15" x14ac:dyDescent="0.25">
      <c r="O3380" s="235"/>
    </row>
    <row r="3381" spans="15:15" x14ac:dyDescent="0.25">
      <c r="O3381" s="235"/>
    </row>
    <row r="3382" spans="15:15" x14ac:dyDescent="0.25">
      <c r="O3382" s="235"/>
    </row>
    <row r="3383" spans="15:15" x14ac:dyDescent="0.25">
      <c r="O3383" s="235"/>
    </row>
    <row r="3384" spans="15:15" x14ac:dyDescent="0.25">
      <c r="O3384" s="235"/>
    </row>
    <row r="3385" spans="15:15" x14ac:dyDescent="0.25">
      <c r="O3385" s="235"/>
    </row>
    <row r="3386" spans="15:15" x14ac:dyDescent="0.25">
      <c r="O3386" s="235"/>
    </row>
    <row r="3387" spans="15:15" x14ac:dyDescent="0.25">
      <c r="O3387" s="235"/>
    </row>
    <row r="3388" spans="15:15" x14ac:dyDescent="0.25">
      <c r="O3388" s="235"/>
    </row>
    <row r="3389" spans="15:15" x14ac:dyDescent="0.25">
      <c r="O3389" s="235"/>
    </row>
    <row r="3390" spans="15:15" x14ac:dyDescent="0.25">
      <c r="O3390" s="235"/>
    </row>
    <row r="3391" spans="15:15" x14ac:dyDescent="0.25">
      <c r="O3391" s="235"/>
    </row>
    <row r="3392" spans="15:15" x14ac:dyDescent="0.25">
      <c r="O3392" s="235"/>
    </row>
    <row r="3393" spans="15:15" x14ac:dyDescent="0.25">
      <c r="O3393" s="235"/>
    </row>
    <row r="3394" spans="15:15" x14ac:dyDescent="0.25">
      <c r="O3394" s="235"/>
    </row>
    <row r="3395" spans="15:15" x14ac:dyDescent="0.25">
      <c r="O3395" s="235"/>
    </row>
    <row r="3396" spans="15:15" x14ac:dyDescent="0.25">
      <c r="O3396" s="235"/>
    </row>
    <row r="3397" spans="15:15" x14ac:dyDescent="0.25">
      <c r="O3397" s="235"/>
    </row>
    <row r="3398" spans="15:15" x14ac:dyDescent="0.25">
      <c r="O3398" s="235"/>
    </row>
    <row r="3399" spans="15:15" x14ac:dyDescent="0.25">
      <c r="O3399" s="235"/>
    </row>
    <row r="3400" spans="15:15" x14ac:dyDescent="0.25">
      <c r="O3400" s="235"/>
    </row>
    <row r="3401" spans="15:15" x14ac:dyDescent="0.25">
      <c r="O3401" s="235"/>
    </row>
    <row r="3402" spans="15:15" x14ac:dyDescent="0.25">
      <c r="O3402" s="235"/>
    </row>
    <row r="3403" spans="15:15" x14ac:dyDescent="0.25">
      <c r="O3403" s="235"/>
    </row>
    <row r="3404" spans="15:15" x14ac:dyDescent="0.25">
      <c r="O3404" s="235"/>
    </row>
    <row r="3405" spans="15:15" x14ac:dyDescent="0.25">
      <c r="O3405" s="235"/>
    </row>
    <row r="3406" spans="15:15" x14ac:dyDescent="0.25">
      <c r="O3406" s="235"/>
    </row>
    <row r="3407" spans="15:15" x14ac:dyDescent="0.25">
      <c r="O3407" s="235"/>
    </row>
    <row r="3408" spans="15:15" x14ac:dyDescent="0.25">
      <c r="O3408" s="235"/>
    </row>
    <row r="3409" spans="15:15" x14ac:dyDescent="0.25">
      <c r="O3409" s="235"/>
    </row>
    <row r="3410" spans="15:15" x14ac:dyDescent="0.25">
      <c r="O3410" s="235"/>
    </row>
    <row r="3411" spans="15:15" x14ac:dyDescent="0.25">
      <c r="O3411" s="235"/>
    </row>
    <row r="3412" spans="15:15" x14ac:dyDescent="0.25">
      <c r="O3412" s="235"/>
    </row>
    <row r="3413" spans="15:15" x14ac:dyDescent="0.25">
      <c r="O3413" s="235"/>
    </row>
    <row r="3414" spans="15:15" x14ac:dyDescent="0.25">
      <c r="O3414" s="235"/>
    </row>
    <row r="3415" spans="15:15" x14ac:dyDescent="0.25">
      <c r="O3415" s="235"/>
    </row>
    <row r="3416" spans="15:15" x14ac:dyDescent="0.25">
      <c r="O3416" s="235"/>
    </row>
    <row r="3417" spans="15:15" x14ac:dyDescent="0.25">
      <c r="O3417" s="235"/>
    </row>
    <row r="3418" spans="15:15" x14ac:dyDescent="0.25">
      <c r="O3418" s="235"/>
    </row>
    <row r="3419" spans="15:15" x14ac:dyDescent="0.25">
      <c r="O3419" s="235"/>
    </row>
    <row r="3420" spans="15:15" x14ac:dyDescent="0.25">
      <c r="O3420" s="235"/>
    </row>
    <row r="3421" spans="15:15" x14ac:dyDescent="0.25">
      <c r="O3421" s="235"/>
    </row>
    <row r="3422" spans="15:15" x14ac:dyDescent="0.25">
      <c r="O3422" s="235"/>
    </row>
    <row r="3423" spans="15:15" x14ac:dyDescent="0.25">
      <c r="O3423" s="235"/>
    </row>
    <row r="3424" spans="15:15" x14ac:dyDescent="0.25">
      <c r="O3424" s="235"/>
    </row>
    <row r="3425" spans="15:15" x14ac:dyDescent="0.25">
      <c r="O3425" s="235"/>
    </row>
    <row r="3426" spans="15:15" x14ac:dyDescent="0.25">
      <c r="O3426" s="235"/>
    </row>
    <row r="3427" spans="15:15" x14ac:dyDescent="0.25">
      <c r="O3427" s="235"/>
    </row>
    <row r="3428" spans="15:15" x14ac:dyDescent="0.25">
      <c r="O3428" s="235"/>
    </row>
    <row r="3429" spans="15:15" x14ac:dyDescent="0.25">
      <c r="O3429" s="235"/>
    </row>
    <row r="3430" spans="15:15" x14ac:dyDescent="0.25">
      <c r="O3430" s="235"/>
    </row>
    <row r="3431" spans="15:15" x14ac:dyDescent="0.25">
      <c r="O3431" s="235"/>
    </row>
    <row r="3432" spans="15:15" x14ac:dyDescent="0.25">
      <c r="O3432" s="235"/>
    </row>
    <row r="3433" spans="15:15" x14ac:dyDescent="0.25">
      <c r="O3433" s="235"/>
    </row>
    <row r="3434" spans="15:15" x14ac:dyDescent="0.25">
      <c r="O3434" s="235"/>
    </row>
    <row r="3435" spans="15:15" x14ac:dyDescent="0.25">
      <c r="O3435" s="235"/>
    </row>
    <row r="3436" spans="15:15" x14ac:dyDescent="0.25">
      <c r="O3436" s="235"/>
    </row>
    <row r="3437" spans="15:15" x14ac:dyDescent="0.25">
      <c r="O3437" s="235"/>
    </row>
    <row r="3438" spans="15:15" x14ac:dyDescent="0.25">
      <c r="O3438" s="235"/>
    </row>
    <row r="3439" spans="15:15" x14ac:dyDescent="0.25">
      <c r="O3439" s="235"/>
    </row>
    <row r="3440" spans="15:15" x14ac:dyDescent="0.25">
      <c r="O3440" s="235"/>
    </row>
    <row r="3441" spans="15:15" x14ac:dyDescent="0.25">
      <c r="O3441" s="235"/>
    </row>
    <row r="3442" spans="15:15" x14ac:dyDescent="0.25">
      <c r="O3442" s="235"/>
    </row>
    <row r="3443" spans="15:15" x14ac:dyDescent="0.25">
      <c r="O3443" s="235"/>
    </row>
    <row r="3444" spans="15:15" x14ac:dyDescent="0.25">
      <c r="O3444" s="235"/>
    </row>
    <row r="3445" spans="15:15" x14ac:dyDescent="0.25">
      <c r="O3445" s="235"/>
    </row>
    <row r="3446" spans="15:15" x14ac:dyDescent="0.25">
      <c r="O3446" s="235"/>
    </row>
    <row r="3447" spans="15:15" x14ac:dyDescent="0.25">
      <c r="O3447" s="235"/>
    </row>
    <row r="3448" spans="15:15" x14ac:dyDescent="0.25">
      <c r="O3448" s="235"/>
    </row>
    <row r="3449" spans="15:15" x14ac:dyDescent="0.25">
      <c r="O3449" s="235"/>
    </row>
    <row r="3450" spans="15:15" x14ac:dyDescent="0.25">
      <c r="O3450" s="235"/>
    </row>
    <row r="3451" spans="15:15" x14ac:dyDescent="0.25">
      <c r="O3451" s="235"/>
    </row>
    <row r="3452" spans="15:15" x14ac:dyDescent="0.25">
      <c r="O3452" s="235"/>
    </row>
    <row r="3453" spans="15:15" x14ac:dyDescent="0.25">
      <c r="O3453" s="235"/>
    </row>
    <row r="3454" spans="15:15" x14ac:dyDescent="0.25">
      <c r="O3454" s="235"/>
    </row>
    <row r="3455" spans="15:15" x14ac:dyDescent="0.25">
      <c r="O3455" s="235"/>
    </row>
    <row r="3456" spans="15:15" x14ac:dyDescent="0.25">
      <c r="O3456" s="235"/>
    </row>
    <row r="3457" spans="15:15" x14ac:dyDescent="0.25">
      <c r="O3457" s="235"/>
    </row>
    <row r="3458" spans="15:15" x14ac:dyDescent="0.25">
      <c r="O3458" s="235"/>
    </row>
    <row r="3459" spans="15:15" x14ac:dyDescent="0.25">
      <c r="O3459" s="235"/>
    </row>
    <row r="3460" spans="15:15" x14ac:dyDescent="0.25">
      <c r="O3460" s="235"/>
    </row>
    <row r="3461" spans="15:15" x14ac:dyDescent="0.25">
      <c r="O3461" s="235"/>
    </row>
    <row r="3462" spans="15:15" x14ac:dyDescent="0.25">
      <c r="O3462" s="235"/>
    </row>
    <row r="3463" spans="15:15" x14ac:dyDescent="0.25">
      <c r="O3463" s="235"/>
    </row>
    <row r="3464" spans="15:15" x14ac:dyDescent="0.25">
      <c r="O3464" s="235"/>
    </row>
    <row r="3465" spans="15:15" x14ac:dyDescent="0.25">
      <c r="O3465" s="235"/>
    </row>
    <row r="3466" spans="15:15" x14ac:dyDescent="0.25">
      <c r="O3466" s="235"/>
    </row>
    <row r="3467" spans="15:15" x14ac:dyDescent="0.25">
      <c r="O3467" s="235"/>
    </row>
    <row r="3468" spans="15:15" x14ac:dyDescent="0.25">
      <c r="O3468" s="235"/>
    </row>
    <row r="3469" spans="15:15" x14ac:dyDescent="0.25">
      <c r="O3469" s="235"/>
    </row>
    <row r="3470" spans="15:15" x14ac:dyDescent="0.25">
      <c r="O3470" s="235"/>
    </row>
    <row r="3471" spans="15:15" x14ac:dyDescent="0.25">
      <c r="O3471" s="235"/>
    </row>
    <row r="3472" spans="15:15" x14ac:dyDescent="0.25">
      <c r="O3472" s="235"/>
    </row>
    <row r="3473" spans="15:15" x14ac:dyDescent="0.25">
      <c r="O3473" s="235"/>
    </row>
    <row r="3474" spans="15:15" x14ac:dyDescent="0.25">
      <c r="O3474" s="235"/>
    </row>
    <row r="3475" spans="15:15" x14ac:dyDescent="0.25">
      <c r="O3475" s="235"/>
    </row>
    <row r="3476" spans="15:15" x14ac:dyDescent="0.25">
      <c r="O3476" s="235"/>
    </row>
    <row r="3477" spans="15:15" x14ac:dyDescent="0.25">
      <c r="O3477" s="235"/>
    </row>
    <row r="3478" spans="15:15" x14ac:dyDescent="0.25">
      <c r="O3478" s="235"/>
    </row>
    <row r="3479" spans="15:15" x14ac:dyDescent="0.25">
      <c r="O3479" s="235"/>
    </row>
    <row r="3480" spans="15:15" x14ac:dyDescent="0.25">
      <c r="O3480" s="235"/>
    </row>
    <row r="3481" spans="15:15" x14ac:dyDescent="0.25">
      <c r="O3481" s="235"/>
    </row>
    <row r="3482" spans="15:15" x14ac:dyDescent="0.25">
      <c r="O3482" s="235"/>
    </row>
    <row r="3483" spans="15:15" x14ac:dyDescent="0.25">
      <c r="O3483" s="235"/>
    </row>
    <row r="3484" spans="15:15" x14ac:dyDescent="0.25">
      <c r="O3484" s="235"/>
    </row>
    <row r="3485" spans="15:15" x14ac:dyDescent="0.25">
      <c r="O3485" s="235"/>
    </row>
    <row r="3486" spans="15:15" x14ac:dyDescent="0.25">
      <c r="O3486" s="235"/>
    </row>
    <row r="3487" spans="15:15" x14ac:dyDescent="0.25">
      <c r="O3487" s="235"/>
    </row>
    <row r="3488" spans="15:15" x14ac:dyDescent="0.25">
      <c r="O3488" s="235"/>
    </row>
    <row r="3489" spans="15:15" x14ac:dyDescent="0.25">
      <c r="O3489" s="235"/>
    </row>
    <row r="3490" spans="15:15" x14ac:dyDescent="0.25">
      <c r="O3490" s="235"/>
    </row>
    <row r="3491" spans="15:15" x14ac:dyDescent="0.25">
      <c r="O3491" s="235"/>
    </row>
    <row r="3492" spans="15:15" x14ac:dyDescent="0.25">
      <c r="O3492" s="235"/>
    </row>
    <row r="3493" spans="15:15" x14ac:dyDescent="0.25">
      <c r="O3493" s="235"/>
    </row>
    <row r="3494" spans="15:15" x14ac:dyDescent="0.25">
      <c r="O3494" s="235"/>
    </row>
    <row r="3495" spans="15:15" x14ac:dyDescent="0.25">
      <c r="O3495" s="235"/>
    </row>
    <row r="3496" spans="15:15" x14ac:dyDescent="0.25">
      <c r="O3496" s="235"/>
    </row>
    <row r="3497" spans="15:15" x14ac:dyDescent="0.25">
      <c r="O3497" s="235"/>
    </row>
    <row r="3498" spans="15:15" x14ac:dyDescent="0.25">
      <c r="O3498" s="235"/>
    </row>
    <row r="3499" spans="15:15" x14ac:dyDescent="0.25">
      <c r="O3499" s="235"/>
    </row>
    <row r="3500" spans="15:15" x14ac:dyDescent="0.25">
      <c r="O3500" s="235"/>
    </row>
    <row r="3501" spans="15:15" x14ac:dyDescent="0.25">
      <c r="O3501" s="235"/>
    </row>
    <row r="3502" spans="15:15" x14ac:dyDescent="0.25">
      <c r="O3502" s="235"/>
    </row>
    <row r="3503" spans="15:15" x14ac:dyDescent="0.25">
      <c r="O3503" s="235"/>
    </row>
    <row r="3504" spans="15:15" x14ac:dyDescent="0.25">
      <c r="O3504" s="235"/>
    </row>
    <row r="3505" spans="15:15" x14ac:dyDescent="0.25">
      <c r="O3505" s="235"/>
    </row>
    <row r="3506" spans="15:15" x14ac:dyDescent="0.25">
      <c r="O3506" s="235"/>
    </row>
    <row r="3507" spans="15:15" x14ac:dyDescent="0.25">
      <c r="O3507" s="235"/>
    </row>
    <row r="3508" spans="15:15" x14ac:dyDescent="0.25">
      <c r="O3508" s="235"/>
    </row>
    <row r="3509" spans="15:15" x14ac:dyDescent="0.25">
      <c r="O3509" s="235"/>
    </row>
    <row r="3510" spans="15:15" x14ac:dyDescent="0.25">
      <c r="O3510" s="235"/>
    </row>
    <row r="3511" spans="15:15" x14ac:dyDescent="0.25">
      <c r="O3511" s="235"/>
    </row>
    <row r="3512" spans="15:15" x14ac:dyDescent="0.25">
      <c r="O3512" s="235"/>
    </row>
    <row r="3513" spans="15:15" x14ac:dyDescent="0.25">
      <c r="O3513" s="235"/>
    </row>
    <row r="3514" spans="15:15" x14ac:dyDescent="0.25">
      <c r="O3514" s="235"/>
    </row>
    <row r="3515" spans="15:15" x14ac:dyDescent="0.25">
      <c r="O3515" s="235"/>
    </row>
    <row r="3516" spans="15:15" x14ac:dyDescent="0.25">
      <c r="O3516" s="235"/>
    </row>
    <row r="3517" spans="15:15" x14ac:dyDescent="0.25">
      <c r="O3517" s="235"/>
    </row>
    <row r="3518" spans="15:15" x14ac:dyDescent="0.25">
      <c r="O3518" s="235"/>
    </row>
    <row r="3519" spans="15:15" x14ac:dyDescent="0.25">
      <c r="O3519" s="235"/>
    </row>
    <row r="3520" spans="15:15" x14ac:dyDescent="0.25">
      <c r="O3520" s="235"/>
    </row>
    <row r="3521" spans="15:15" x14ac:dyDescent="0.25">
      <c r="O3521" s="235"/>
    </row>
    <row r="3522" spans="15:15" x14ac:dyDescent="0.25">
      <c r="O3522" s="235"/>
    </row>
    <row r="3523" spans="15:15" x14ac:dyDescent="0.25">
      <c r="O3523" s="235"/>
    </row>
    <row r="3524" spans="15:15" x14ac:dyDescent="0.25">
      <c r="O3524" s="235"/>
    </row>
    <row r="3525" spans="15:15" x14ac:dyDescent="0.25">
      <c r="O3525" s="235"/>
    </row>
    <row r="3526" spans="15:15" x14ac:dyDescent="0.25">
      <c r="O3526" s="235"/>
    </row>
    <row r="3527" spans="15:15" x14ac:dyDescent="0.25">
      <c r="O3527" s="235"/>
    </row>
    <row r="3528" spans="15:15" x14ac:dyDescent="0.25">
      <c r="O3528" s="235"/>
    </row>
    <row r="3529" spans="15:15" x14ac:dyDescent="0.25">
      <c r="O3529" s="235"/>
    </row>
    <row r="3530" spans="15:15" x14ac:dyDescent="0.25">
      <c r="O3530" s="235"/>
    </row>
    <row r="3531" spans="15:15" x14ac:dyDescent="0.25">
      <c r="O3531" s="235"/>
    </row>
    <row r="3532" spans="15:15" x14ac:dyDescent="0.25">
      <c r="O3532" s="235"/>
    </row>
    <row r="3533" spans="15:15" x14ac:dyDescent="0.25">
      <c r="O3533" s="235"/>
    </row>
    <row r="3534" spans="15:15" x14ac:dyDescent="0.25">
      <c r="O3534" s="235"/>
    </row>
    <row r="3535" spans="15:15" x14ac:dyDescent="0.25">
      <c r="O3535" s="235"/>
    </row>
    <row r="3536" spans="15:15" x14ac:dyDescent="0.25">
      <c r="O3536" s="235"/>
    </row>
    <row r="3537" spans="15:15" x14ac:dyDescent="0.25">
      <c r="O3537" s="235"/>
    </row>
    <row r="3538" spans="15:15" x14ac:dyDescent="0.25">
      <c r="O3538" s="235"/>
    </row>
    <row r="3539" spans="15:15" x14ac:dyDescent="0.25">
      <c r="O3539" s="235"/>
    </row>
    <row r="3540" spans="15:15" x14ac:dyDescent="0.25">
      <c r="O3540" s="235"/>
    </row>
    <row r="3541" spans="15:15" x14ac:dyDescent="0.25">
      <c r="O3541" s="235"/>
    </row>
    <row r="3542" spans="15:15" x14ac:dyDescent="0.25">
      <c r="O3542" s="235"/>
    </row>
    <row r="3543" spans="15:15" x14ac:dyDescent="0.25">
      <c r="O3543" s="235"/>
    </row>
    <row r="3544" spans="15:15" x14ac:dyDescent="0.25">
      <c r="O3544" s="235"/>
    </row>
    <row r="3545" spans="15:15" x14ac:dyDescent="0.25">
      <c r="O3545" s="235"/>
    </row>
    <row r="3546" spans="15:15" x14ac:dyDescent="0.25">
      <c r="O3546" s="235"/>
    </row>
    <row r="3547" spans="15:15" x14ac:dyDescent="0.25">
      <c r="O3547" s="235"/>
    </row>
    <row r="3548" spans="15:15" x14ac:dyDescent="0.25">
      <c r="O3548" s="235"/>
    </row>
    <row r="3549" spans="15:15" x14ac:dyDescent="0.25">
      <c r="O3549" s="235"/>
    </row>
    <row r="3550" spans="15:15" x14ac:dyDescent="0.25">
      <c r="O3550" s="235"/>
    </row>
    <row r="3551" spans="15:15" x14ac:dyDescent="0.25">
      <c r="O3551" s="235"/>
    </row>
    <row r="3552" spans="15:15" x14ac:dyDescent="0.25">
      <c r="O3552" s="235"/>
    </row>
    <row r="3553" spans="15:15" x14ac:dyDescent="0.25">
      <c r="O3553" s="235"/>
    </row>
    <row r="3554" spans="15:15" x14ac:dyDescent="0.25">
      <c r="O3554" s="235"/>
    </row>
    <row r="3555" spans="15:15" x14ac:dyDescent="0.25">
      <c r="O3555" s="235"/>
    </row>
    <row r="3556" spans="15:15" x14ac:dyDescent="0.25">
      <c r="O3556" s="235"/>
    </row>
    <row r="3557" spans="15:15" x14ac:dyDescent="0.25">
      <c r="O3557" s="235"/>
    </row>
    <row r="3558" spans="15:15" x14ac:dyDescent="0.25">
      <c r="O3558" s="235"/>
    </row>
    <row r="3559" spans="15:15" x14ac:dyDescent="0.25">
      <c r="O3559" s="235"/>
    </row>
    <row r="3560" spans="15:15" x14ac:dyDescent="0.25">
      <c r="O3560" s="235"/>
    </row>
    <row r="3561" spans="15:15" x14ac:dyDescent="0.25">
      <c r="O3561" s="235"/>
    </row>
    <row r="3562" spans="15:15" x14ac:dyDescent="0.25">
      <c r="O3562" s="235"/>
    </row>
    <row r="3563" spans="15:15" x14ac:dyDescent="0.25">
      <c r="O3563" s="235"/>
    </row>
    <row r="3564" spans="15:15" x14ac:dyDescent="0.25">
      <c r="O3564" s="235"/>
    </row>
    <row r="3565" spans="15:15" x14ac:dyDescent="0.25">
      <c r="O3565" s="235"/>
    </row>
    <row r="3566" spans="15:15" x14ac:dyDescent="0.25">
      <c r="O3566" s="235"/>
    </row>
    <row r="3567" spans="15:15" x14ac:dyDescent="0.25">
      <c r="O3567" s="235"/>
    </row>
    <row r="3568" spans="15:15" x14ac:dyDescent="0.25">
      <c r="O3568" s="235"/>
    </row>
    <row r="3569" spans="15:15" x14ac:dyDescent="0.25">
      <c r="O3569" s="235"/>
    </row>
    <row r="3570" spans="15:15" x14ac:dyDescent="0.25">
      <c r="O3570" s="235"/>
    </row>
    <row r="3571" spans="15:15" x14ac:dyDescent="0.25">
      <c r="O3571" s="235"/>
    </row>
    <row r="3572" spans="15:15" x14ac:dyDescent="0.25">
      <c r="O3572" s="235"/>
    </row>
    <row r="3573" spans="15:15" x14ac:dyDescent="0.25">
      <c r="O3573" s="235"/>
    </row>
    <row r="3574" spans="15:15" x14ac:dyDescent="0.25">
      <c r="O3574" s="235"/>
    </row>
    <row r="3575" spans="15:15" x14ac:dyDescent="0.25">
      <c r="O3575" s="235"/>
    </row>
    <row r="3576" spans="15:15" x14ac:dyDescent="0.25">
      <c r="O3576" s="235"/>
    </row>
    <row r="3577" spans="15:15" x14ac:dyDescent="0.25">
      <c r="O3577" s="235"/>
    </row>
    <row r="3578" spans="15:15" x14ac:dyDescent="0.25">
      <c r="O3578" s="235"/>
    </row>
    <row r="3579" spans="15:15" x14ac:dyDescent="0.25">
      <c r="O3579" s="235"/>
    </row>
    <row r="3580" spans="15:15" x14ac:dyDescent="0.25">
      <c r="O3580" s="235"/>
    </row>
    <row r="3581" spans="15:15" x14ac:dyDescent="0.25">
      <c r="O3581" s="235"/>
    </row>
    <row r="3582" spans="15:15" x14ac:dyDescent="0.25">
      <c r="O3582" s="235"/>
    </row>
    <row r="3583" spans="15:15" x14ac:dyDescent="0.25">
      <c r="O3583" s="235"/>
    </row>
    <row r="3584" spans="15:15" x14ac:dyDescent="0.25">
      <c r="O3584" s="235"/>
    </row>
    <row r="3585" spans="15:15" x14ac:dyDescent="0.25">
      <c r="O3585" s="235"/>
    </row>
    <row r="3586" spans="15:15" x14ac:dyDescent="0.25">
      <c r="O3586" s="235"/>
    </row>
    <row r="3587" spans="15:15" x14ac:dyDescent="0.25">
      <c r="O3587" s="235"/>
    </row>
    <row r="3588" spans="15:15" x14ac:dyDescent="0.25">
      <c r="O3588" s="235"/>
    </row>
    <row r="3589" spans="15:15" x14ac:dyDescent="0.25">
      <c r="O3589" s="235"/>
    </row>
    <row r="3590" spans="15:15" x14ac:dyDescent="0.25">
      <c r="O3590" s="235"/>
    </row>
    <row r="3591" spans="15:15" x14ac:dyDescent="0.25">
      <c r="O3591" s="235"/>
    </row>
    <row r="3592" spans="15:15" x14ac:dyDescent="0.25">
      <c r="O3592" s="235"/>
    </row>
    <row r="3593" spans="15:15" x14ac:dyDescent="0.25">
      <c r="O3593" s="235"/>
    </row>
    <row r="3594" spans="15:15" x14ac:dyDescent="0.25">
      <c r="O3594" s="235"/>
    </row>
    <row r="3595" spans="15:15" x14ac:dyDescent="0.25">
      <c r="O3595" s="235"/>
    </row>
    <row r="3596" spans="15:15" x14ac:dyDescent="0.25">
      <c r="O3596" s="235"/>
    </row>
    <row r="3597" spans="15:15" x14ac:dyDescent="0.25">
      <c r="O3597" s="235"/>
    </row>
    <row r="3598" spans="15:15" x14ac:dyDescent="0.25">
      <c r="O3598" s="235"/>
    </row>
    <row r="3599" spans="15:15" x14ac:dyDescent="0.25">
      <c r="O3599" s="235"/>
    </row>
    <row r="3600" spans="15:15" x14ac:dyDescent="0.25">
      <c r="O3600" s="235"/>
    </row>
    <row r="3601" spans="15:15" x14ac:dyDescent="0.25">
      <c r="O3601" s="235"/>
    </row>
    <row r="3602" spans="15:15" x14ac:dyDescent="0.25">
      <c r="O3602" s="235"/>
    </row>
    <row r="3603" spans="15:15" x14ac:dyDescent="0.25">
      <c r="O3603" s="235"/>
    </row>
    <row r="3604" spans="15:15" x14ac:dyDescent="0.25">
      <c r="O3604" s="235"/>
    </row>
    <row r="3605" spans="15:15" x14ac:dyDescent="0.25">
      <c r="O3605" s="235"/>
    </row>
    <row r="3606" spans="15:15" x14ac:dyDescent="0.25">
      <c r="O3606" s="235"/>
    </row>
    <row r="3607" spans="15:15" x14ac:dyDescent="0.25">
      <c r="O3607" s="235"/>
    </row>
    <row r="3608" spans="15:15" x14ac:dyDescent="0.25">
      <c r="O3608" s="235"/>
    </row>
    <row r="3609" spans="15:15" x14ac:dyDescent="0.25">
      <c r="O3609" s="235"/>
    </row>
    <row r="3610" spans="15:15" x14ac:dyDescent="0.25">
      <c r="O3610" s="235"/>
    </row>
    <row r="3611" spans="15:15" x14ac:dyDescent="0.25">
      <c r="O3611" s="235"/>
    </row>
    <row r="3612" spans="15:15" x14ac:dyDescent="0.25">
      <c r="O3612" s="235"/>
    </row>
    <row r="3613" spans="15:15" x14ac:dyDescent="0.25">
      <c r="O3613" s="235"/>
    </row>
    <row r="3614" spans="15:15" x14ac:dyDescent="0.25">
      <c r="O3614" s="235"/>
    </row>
    <row r="3615" spans="15:15" x14ac:dyDescent="0.25">
      <c r="O3615" s="235"/>
    </row>
    <row r="3616" spans="15:15" x14ac:dyDescent="0.25">
      <c r="O3616" s="235"/>
    </row>
    <row r="3617" spans="15:15" x14ac:dyDescent="0.25">
      <c r="O3617" s="235"/>
    </row>
    <row r="3618" spans="15:15" x14ac:dyDescent="0.25">
      <c r="O3618" s="235"/>
    </row>
    <row r="3619" spans="15:15" x14ac:dyDescent="0.25">
      <c r="O3619" s="235"/>
    </row>
    <row r="3620" spans="15:15" x14ac:dyDescent="0.25">
      <c r="O3620" s="235"/>
    </row>
    <row r="3621" spans="15:15" x14ac:dyDescent="0.25">
      <c r="O3621" s="235"/>
    </row>
    <row r="3622" spans="15:15" x14ac:dyDescent="0.25">
      <c r="O3622" s="235"/>
    </row>
    <row r="3623" spans="15:15" x14ac:dyDescent="0.25">
      <c r="O3623" s="235"/>
    </row>
    <row r="3624" spans="15:15" x14ac:dyDescent="0.25">
      <c r="O3624" s="235"/>
    </row>
    <row r="3625" spans="15:15" x14ac:dyDescent="0.25">
      <c r="O3625" s="235"/>
    </row>
    <row r="3626" spans="15:15" x14ac:dyDescent="0.25">
      <c r="O3626" s="235"/>
    </row>
    <row r="3627" spans="15:15" x14ac:dyDescent="0.25">
      <c r="O3627" s="235"/>
    </row>
    <row r="3628" spans="15:15" x14ac:dyDescent="0.25">
      <c r="O3628" s="235"/>
    </row>
    <row r="3629" spans="15:15" x14ac:dyDescent="0.25">
      <c r="O3629" s="235"/>
    </row>
    <row r="3630" spans="15:15" x14ac:dyDescent="0.25">
      <c r="O3630" s="235"/>
    </row>
    <row r="3631" spans="15:15" x14ac:dyDescent="0.25">
      <c r="O3631" s="235"/>
    </row>
    <row r="3632" spans="15:15" x14ac:dyDescent="0.25">
      <c r="O3632" s="235"/>
    </row>
    <row r="3633" spans="15:15" x14ac:dyDescent="0.25">
      <c r="O3633" s="235"/>
    </row>
    <row r="3634" spans="15:15" x14ac:dyDescent="0.25">
      <c r="O3634" s="235"/>
    </row>
    <row r="3635" spans="15:15" x14ac:dyDescent="0.25">
      <c r="O3635" s="235"/>
    </row>
    <row r="3636" spans="15:15" x14ac:dyDescent="0.25">
      <c r="O3636" s="235"/>
    </row>
    <row r="3637" spans="15:15" x14ac:dyDescent="0.25">
      <c r="O3637" s="235"/>
    </row>
    <row r="3638" spans="15:15" x14ac:dyDescent="0.25">
      <c r="O3638" s="235"/>
    </row>
    <row r="3639" spans="15:15" x14ac:dyDescent="0.25">
      <c r="O3639" s="235"/>
    </row>
    <row r="3640" spans="15:15" x14ac:dyDescent="0.25">
      <c r="O3640" s="235"/>
    </row>
    <row r="3641" spans="15:15" x14ac:dyDescent="0.25">
      <c r="O3641" s="235"/>
    </row>
    <row r="3642" spans="15:15" x14ac:dyDescent="0.25">
      <c r="O3642" s="235"/>
    </row>
    <row r="3643" spans="15:15" x14ac:dyDescent="0.25">
      <c r="O3643" s="235"/>
    </row>
    <row r="3644" spans="15:15" x14ac:dyDescent="0.25">
      <c r="O3644" s="235"/>
    </row>
    <row r="3645" spans="15:15" x14ac:dyDescent="0.25">
      <c r="O3645" s="235"/>
    </row>
    <row r="3646" spans="15:15" x14ac:dyDescent="0.25">
      <c r="O3646" s="235"/>
    </row>
    <row r="3647" spans="15:15" x14ac:dyDescent="0.25">
      <c r="O3647" s="235"/>
    </row>
    <row r="3648" spans="15:15" x14ac:dyDescent="0.25">
      <c r="O3648" s="235"/>
    </row>
    <row r="3649" spans="15:15" x14ac:dyDescent="0.25">
      <c r="O3649" s="235"/>
    </row>
    <row r="3650" spans="15:15" x14ac:dyDescent="0.25">
      <c r="O3650" s="235"/>
    </row>
    <row r="3651" spans="15:15" x14ac:dyDescent="0.25">
      <c r="O3651" s="235"/>
    </row>
    <row r="3652" spans="15:15" x14ac:dyDescent="0.25">
      <c r="O3652" s="235"/>
    </row>
    <row r="3653" spans="15:15" x14ac:dyDescent="0.25">
      <c r="O3653" s="235"/>
    </row>
    <row r="3654" spans="15:15" x14ac:dyDescent="0.25">
      <c r="O3654" s="235"/>
    </row>
    <row r="3655" spans="15:15" x14ac:dyDescent="0.25">
      <c r="O3655" s="235"/>
    </row>
    <row r="3656" spans="15:15" x14ac:dyDescent="0.25">
      <c r="O3656" s="235"/>
    </row>
    <row r="3657" spans="15:15" x14ac:dyDescent="0.25">
      <c r="O3657" s="235"/>
    </row>
    <row r="3658" spans="15:15" x14ac:dyDescent="0.25">
      <c r="O3658" s="235"/>
    </row>
    <row r="3659" spans="15:15" x14ac:dyDescent="0.25">
      <c r="O3659" s="235"/>
    </row>
    <row r="3660" spans="15:15" x14ac:dyDescent="0.25">
      <c r="O3660" s="235"/>
    </row>
    <row r="3661" spans="15:15" x14ac:dyDescent="0.25">
      <c r="O3661" s="235"/>
    </row>
    <row r="3662" spans="15:15" x14ac:dyDescent="0.25">
      <c r="O3662" s="235"/>
    </row>
    <row r="3663" spans="15:15" x14ac:dyDescent="0.25">
      <c r="O3663" s="235"/>
    </row>
    <row r="3664" spans="15:15" x14ac:dyDescent="0.25">
      <c r="O3664" s="235"/>
    </row>
    <row r="3665" spans="15:15" x14ac:dyDescent="0.25">
      <c r="O3665" s="235"/>
    </row>
    <row r="3666" spans="15:15" x14ac:dyDescent="0.25">
      <c r="O3666" s="235"/>
    </row>
    <row r="3667" spans="15:15" x14ac:dyDescent="0.25">
      <c r="O3667" s="235"/>
    </row>
    <row r="3668" spans="15:15" x14ac:dyDescent="0.25">
      <c r="O3668" s="235"/>
    </row>
    <row r="3669" spans="15:15" x14ac:dyDescent="0.25">
      <c r="O3669" s="235"/>
    </row>
    <row r="3670" spans="15:15" x14ac:dyDescent="0.25">
      <c r="O3670" s="235"/>
    </row>
    <row r="3671" spans="15:15" x14ac:dyDescent="0.25">
      <c r="O3671" s="235"/>
    </row>
    <row r="3672" spans="15:15" x14ac:dyDescent="0.25">
      <c r="O3672" s="235"/>
    </row>
    <row r="3673" spans="15:15" x14ac:dyDescent="0.25">
      <c r="O3673" s="235"/>
    </row>
    <row r="3674" spans="15:15" x14ac:dyDescent="0.25">
      <c r="O3674" s="235"/>
    </row>
    <row r="3675" spans="15:15" x14ac:dyDescent="0.25">
      <c r="O3675" s="235"/>
    </row>
    <row r="3676" spans="15:15" x14ac:dyDescent="0.25">
      <c r="O3676" s="235"/>
    </row>
    <row r="3677" spans="15:15" x14ac:dyDescent="0.25">
      <c r="O3677" s="235"/>
    </row>
    <row r="3678" spans="15:15" x14ac:dyDescent="0.25">
      <c r="O3678" s="235"/>
    </row>
    <row r="3679" spans="15:15" x14ac:dyDescent="0.25">
      <c r="O3679" s="235"/>
    </row>
    <row r="3680" spans="15:15" x14ac:dyDescent="0.25">
      <c r="O3680" s="235"/>
    </row>
    <row r="3681" spans="15:15" x14ac:dyDescent="0.25">
      <c r="O3681" s="235"/>
    </row>
    <row r="3682" spans="15:15" x14ac:dyDescent="0.25">
      <c r="O3682" s="235"/>
    </row>
    <row r="3683" spans="15:15" x14ac:dyDescent="0.25">
      <c r="O3683" s="235"/>
    </row>
    <row r="3684" spans="15:15" x14ac:dyDescent="0.25">
      <c r="O3684" s="235"/>
    </row>
    <row r="3685" spans="15:15" x14ac:dyDescent="0.25">
      <c r="O3685" s="235"/>
    </row>
    <row r="3686" spans="15:15" x14ac:dyDescent="0.25">
      <c r="O3686" s="235"/>
    </row>
    <row r="3687" spans="15:15" x14ac:dyDescent="0.25">
      <c r="O3687" s="235"/>
    </row>
    <row r="3688" spans="15:15" x14ac:dyDescent="0.25">
      <c r="O3688" s="235"/>
    </row>
    <row r="3689" spans="15:15" x14ac:dyDescent="0.25">
      <c r="O3689" s="235"/>
    </row>
    <row r="3690" spans="15:15" x14ac:dyDescent="0.25">
      <c r="O3690" s="235"/>
    </row>
    <row r="3691" spans="15:15" x14ac:dyDescent="0.25">
      <c r="O3691" s="235"/>
    </row>
    <row r="3692" spans="15:15" x14ac:dyDescent="0.25">
      <c r="O3692" s="235"/>
    </row>
    <row r="3693" spans="15:15" x14ac:dyDescent="0.25">
      <c r="O3693" s="235"/>
    </row>
    <row r="3694" spans="15:15" x14ac:dyDescent="0.25">
      <c r="O3694" s="235"/>
    </row>
    <row r="3695" spans="15:15" x14ac:dyDescent="0.25">
      <c r="O3695" s="235"/>
    </row>
    <row r="3696" spans="15:15" x14ac:dyDescent="0.25">
      <c r="O3696" s="235"/>
    </row>
    <row r="3697" spans="15:15" x14ac:dyDescent="0.25">
      <c r="O3697" s="235"/>
    </row>
    <row r="3698" spans="15:15" x14ac:dyDescent="0.25">
      <c r="O3698" s="235"/>
    </row>
    <row r="3699" spans="15:15" x14ac:dyDescent="0.25">
      <c r="O3699" s="235"/>
    </row>
    <row r="3700" spans="15:15" x14ac:dyDescent="0.25">
      <c r="O3700" s="235"/>
    </row>
    <row r="3701" spans="15:15" x14ac:dyDescent="0.25">
      <c r="O3701" s="235"/>
    </row>
    <row r="3702" spans="15:15" x14ac:dyDescent="0.25">
      <c r="O3702" s="235"/>
    </row>
    <row r="3703" spans="15:15" x14ac:dyDescent="0.25">
      <c r="O3703" s="235"/>
    </row>
    <row r="3704" spans="15:15" x14ac:dyDescent="0.25">
      <c r="O3704" s="235"/>
    </row>
    <row r="3705" spans="15:15" x14ac:dyDescent="0.25">
      <c r="O3705" s="235"/>
    </row>
    <row r="3706" spans="15:15" x14ac:dyDescent="0.25">
      <c r="O3706" s="235"/>
    </row>
    <row r="3707" spans="15:15" x14ac:dyDescent="0.25">
      <c r="O3707" s="235"/>
    </row>
    <row r="3708" spans="15:15" x14ac:dyDescent="0.25">
      <c r="O3708" s="235"/>
    </row>
    <row r="3709" spans="15:15" x14ac:dyDescent="0.25">
      <c r="O3709" s="235"/>
    </row>
    <row r="3710" spans="15:15" x14ac:dyDescent="0.25">
      <c r="O3710" s="235"/>
    </row>
    <row r="3711" spans="15:15" x14ac:dyDescent="0.25">
      <c r="O3711" s="235"/>
    </row>
    <row r="3712" spans="15:15" x14ac:dyDescent="0.25">
      <c r="O3712" s="235"/>
    </row>
    <row r="3713" spans="15:15" x14ac:dyDescent="0.25">
      <c r="O3713" s="235"/>
    </row>
    <row r="3714" spans="15:15" x14ac:dyDescent="0.25">
      <c r="O3714" s="235"/>
    </row>
    <row r="3715" spans="15:15" x14ac:dyDescent="0.25">
      <c r="O3715" s="235"/>
    </row>
    <row r="3716" spans="15:15" x14ac:dyDescent="0.25">
      <c r="O3716" s="235"/>
    </row>
    <row r="3717" spans="15:15" x14ac:dyDescent="0.25">
      <c r="O3717" s="235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HE870"/>
  <sheetViews>
    <sheetView workbookViewId="0"/>
  </sheetViews>
  <sheetFormatPr defaultRowHeight="13.2" x14ac:dyDescent="0.25"/>
  <cols>
    <col min="11" max="11" width="10.6640625" style="380" customWidth="1"/>
    <col min="12" max="12" width="12" style="235" customWidth="1"/>
    <col min="13" max="13" width="11.5546875" style="380" customWidth="1"/>
    <col min="15" max="19" width="9.33203125" customWidth="1"/>
    <col min="21" max="21" width="18.6640625" customWidth="1"/>
    <col min="29" max="29" width="13.5546875" style="235" customWidth="1"/>
    <col min="30" max="30" width="10.109375" style="235" customWidth="1"/>
    <col min="31" max="33" width="9.33203125" customWidth="1"/>
    <col min="34" max="34" width="12" style="235" customWidth="1"/>
    <col min="35" max="35" width="9.33203125" customWidth="1"/>
    <col min="37" max="39" width="9.33203125" customWidth="1"/>
  </cols>
  <sheetData>
    <row r="1" spans="1:213" x14ac:dyDescent="0.25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s="380" t="s">
        <v>204</v>
      </c>
      <c r="L1" s="235" t="s">
        <v>205</v>
      </c>
      <c r="M1" s="380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s="235" t="s">
        <v>222</v>
      </c>
      <c r="AD1" s="235" t="s">
        <v>223</v>
      </c>
      <c r="AE1" t="s">
        <v>224</v>
      </c>
      <c r="AF1" t="s">
        <v>225</v>
      </c>
      <c r="AG1" t="s">
        <v>226</v>
      </c>
      <c r="AH1" s="235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  <c r="GS1" t="s">
        <v>233</v>
      </c>
      <c r="GT1">
        <v>0</v>
      </c>
      <c r="GU1" t="s">
        <v>255</v>
      </c>
      <c r="GV1" t="s">
        <v>234</v>
      </c>
      <c r="GW1" t="s">
        <v>20</v>
      </c>
      <c r="GX1">
        <v>0</v>
      </c>
      <c r="GY1" t="s">
        <v>253</v>
      </c>
      <c r="GZ1" t="s">
        <v>254</v>
      </c>
      <c r="HA1" t="s">
        <v>242</v>
      </c>
      <c r="HB1" t="s">
        <v>235</v>
      </c>
      <c r="HC1">
        <v>0</v>
      </c>
      <c r="HD1" t="e">
        <v>#VALUE!</v>
      </c>
      <c r="HE1">
        <v>36637</v>
      </c>
    </row>
    <row r="2" spans="1:213" x14ac:dyDescent="0.25">
      <c r="A2" t="s">
        <v>601</v>
      </c>
      <c r="B2" t="s">
        <v>265</v>
      </c>
      <c r="C2" t="s">
        <v>255</v>
      </c>
      <c r="D2" t="s">
        <v>234</v>
      </c>
      <c r="E2" t="s">
        <v>20</v>
      </c>
      <c r="F2" t="s">
        <v>276</v>
      </c>
      <c r="G2" t="s">
        <v>269</v>
      </c>
      <c r="H2" t="s">
        <v>254</v>
      </c>
      <c r="I2" t="s">
        <v>242</v>
      </c>
      <c r="J2" t="s">
        <v>235</v>
      </c>
      <c r="K2" s="380">
        <v>37316</v>
      </c>
      <c r="L2" s="235">
        <v>-332681.39891641738</v>
      </c>
      <c r="M2" s="380">
        <v>37314</v>
      </c>
      <c r="N2" t="s">
        <v>21</v>
      </c>
      <c r="O2">
        <v>0.95</v>
      </c>
      <c r="P2">
        <v>0</v>
      </c>
      <c r="Q2">
        <v>0</v>
      </c>
      <c r="R2">
        <v>0</v>
      </c>
      <c r="S2">
        <v>0</v>
      </c>
      <c r="T2" t="s">
        <v>253</v>
      </c>
      <c r="U2" t="s">
        <v>7</v>
      </c>
      <c r="V2" t="s">
        <v>253</v>
      </c>
      <c r="W2" t="s">
        <v>132</v>
      </c>
      <c r="X2" t="s">
        <v>253</v>
      </c>
      <c r="Y2" t="s">
        <v>235</v>
      </c>
      <c r="Z2" t="s">
        <v>236</v>
      </c>
      <c r="AA2" t="s">
        <v>253</v>
      </c>
      <c r="AB2" t="s">
        <v>121</v>
      </c>
      <c r="AC2" s="235">
        <v>-1000000</v>
      </c>
      <c r="AD2" s="235">
        <v>-48929.713968046824</v>
      </c>
      <c r="AE2">
        <v>0</v>
      </c>
      <c r="AF2">
        <v>0</v>
      </c>
      <c r="AG2">
        <v>0</v>
      </c>
      <c r="AH2" s="235">
        <v>-17191.056613827415</v>
      </c>
      <c r="AI2">
        <v>226</v>
      </c>
      <c r="AJ2" t="s">
        <v>256</v>
      </c>
      <c r="AK2">
        <v>0</v>
      </c>
      <c r="AL2">
        <v>0</v>
      </c>
      <c r="AM2">
        <v>0</v>
      </c>
    </row>
    <row r="3" spans="1:213" x14ac:dyDescent="0.25">
      <c r="A3" t="s">
        <v>601</v>
      </c>
      <c r="B3" t="s">
        <v>265</v>
      </c>
      <c r="C3" t="s">
        <v>255</v>
      </c>
      <c r="D3" t="s">
        <v>234</v>
      </c>
      <c r="E3" t="s">
        <v>20</v>
      </c>
      <c r="F3" t="s">
        <v>276</v>
      </c>
      <c r="G3" t="s">
        <v>269</v>
      </c>
      <c r="H3" t="s">
        <v>254</v>
      </c>
      <c r="I3" t="s">
        <v>242</v>
      </c>
      <c r="J3" t="s">
        <v>235</v>
      </c>
      <c r="K3" s="380">
        <v>37288</v>
      </c>
      <c r="L3" s="235">
        <v>-708613.97715581022</v>
      </c>
      <c r="M3" s="380">
        <v>37286</v>
      </c>
      <c r="N3" t="s">
        <v>21</v>
      </c>
      <c r="O3">
        <v>0.95</v>
      </c>
      <c r="P3">
        <v>0</v>
      </c>
      <c r="Q3">
        <v>0</v>
      </c>
      <c r="R3">
        <v>0</v>
      </c>
      <c r="S3">
        <v>0</v>
      </c>
      <c r="T3" t="s">
        <v>253</v>
      </c>
      <c r="U3" t="s">
        <v>7</v>
      </c>
      <c r="V3" t="s">
        <v>253</v>
      </c>
      <c r="W3" t="s">
        <v>132</v>
      </c>
      <c r="X3" t="s">
        <v>253</v>
      </c>
      <c r="Y3" t="s">
        <v>235</v>
      </c>
      <c r="Z3" t="s">
        <v>236</v>
      </c>
      <c r="AA3" t="s">
        <v>253</v>
      </c>
      <c r="AB3" t="s">
        <v>121</v>
      </c>
      <c r="AC3" s="235">
        <v>-1000000</v>
      </c>
      <c r="AD3" s="235">
        <v>-41105.325179778272</v>
      </c>
      <c r="AE3">
        <v>0</v>
      </c>
      <c r="AF3">
        <v>0</v>
      </c>
      <c r="AG3">
        <v>0</v>
      </c>
      <c r="AH3" s="235">
        <v>-22524.219667350757</v>
      </c>
      <c r="AI3">
        <v>226</v>
      </c>
      <c r="AJ3" t="s">
        <v>256</v>
      </c>
      <c r="AK3">
        <v>0</v>
      </c>
      <c r="AL3">
        <v>0</v>
      </c>
      <c r="AM3">
        <v>0</v>
      </c>
    </row>
    <row r="4" spans="1:213" x14ac:dyDescent="0.25">
      <c r="A4" t="s">
        <v>601</v>
      </c>
      <c r="B4" t="s">
        <v>265</v>
      </c>
      <c r="C4" t="s">
        <v>255</v>
      </c>
      <c r="D4" t="s">
        <v>234</v>
      </c>
      <c r="E4" t="s">
        <v>20</v>
      </c>
      <c r="F4" t="s">
        <v>276</v>
      </c>
      <c r="G4" t="s">
        <v>269</v>
      </c>
      <c r="H4" t="s">
        <v>254</v>
      </c>
      <c r="I4" t="s">
        <v>242</v>
      </c>
      <c r="J4" t="s">
        <v>235</v>
      </c>
      <c r="K4" s="380">
        <v>37257</v>
      </c>
      <c r="L4" s="235">
        <v>-723208.05016235029</v>
      </c>
      <c r="M4" s="380">
        <v>37253</v>
      </c>
      <c r="N4" t="s">
        <v>21</v>
      </c>
      <c r="O4">
        <v>0.95</v>
      </c>
      <c r="P4">
        <v>0</v>
      </c>
      <c r="Q4">
        <v>0</v>
      </c>
      <c r="R4">
        <v>0</v>
      </c>
      <c r="S4">
        <v>0</v>
      </c>
      <c r="T4" t="s">
        <v>253</v>
      </c>
      <c r="U4" t="s">
        <v>7</v>
      </c>
      <c r="V4" t="s">
        <v>253</v>
      </c>
      <c r="W4" t="s">
        <v>132</v>
      </c>
      <c r="X4" t="s">
        <v>253</v>
      </c>
      <c r="Y4" t="s">
        <v>235</v>
      </c>
      <c r="Z4" t="s">
        <v>236</v>
      </c>
      <c r="AA4" t="s">
        <v>253</v>
      </c>
      <c r="AB4" t="s">
        <v>121</v>
      </c>
      <c r="AC4" s="235">
        <v>-1000000</v>
      </c>
      <c r="AD4" s="235">
        <v>-42724.833151095663</v>
      </c>
      <c r="AE4">
        <v>0</v>
      </c>
      <c r="AF4">
        <v>0</v>
      </c>
      <c r="AG4">
        <v>0</v>
      </c>
      <c r="AH4" s="235">
        <v>-22683.011234872625</v>
      </c>
      <c r="AI4">
        <v>226</v>
      </c>
      <c r="AJ4" t="s">
        <v>256</v>
      </c>
      <c r="AK4">
        <v>0</v>
      </c>
      <c r="AL4">
        <v>0</v>
      </c>
      <c r="AM4">
        <v>0</v>
      </c>
    </row>
    <row r="5" spans="1:213" x14ac:dyDescent="0.25">
      <c r="A5" t="s">
        <v>601</v>
      </c>
      <c r="B5" t="s">
        <v>265</v>
      </c>
      <c r="C5" t="s">
        <v>255</v>
      </c>
      <c r="D5" t="s">
        <v>234</v>
      </c>
      <c r="E5" t="s">
        <v>20</v>
      </c>
      <c r="F5" t="s">
        <v>276</v>
      </c>
      <c r="G5" t="s">
        <v>269</v>
      </c>
      <c r="H5" t="s">
        <v>254</v>
      </c>
      <c r="I5" t="s">
        <v>242</v>
      </c>
      <c r="J5" t="s">
        <v>235</v>
      </c>
      <c r="K5" s="380">
        <v>37226</v>
      </c>
      <c r="L5" s="235">
        <v>-546942.90301287465</v>
      </c>
      <c r="M5" s="380">
        <v>37224</v>
      </c>
      <c r="N5" t="s">
        <v>21</v>
      </c>
      <c r="O5">
        <v>0.95</v>
      </c>
      <c r="P5">
        <v>0</v>
      </c>
      <c r="Q5">
        <v>0</v>
      </c>
      <c r="R5">
        <v>0</v>
      </c>
      <c r="S5">
        <v>0</v>
      </c>
      <c r="T5" t="s">
        <v>253</v>
      </c>
      <c r="U5" t="s">
        <v>7</v>
      </c>
      <c r="V5" t="s">
        <v>253</v>
      </c>
      <c r="W5" t="s">
        <v>132</v>
      </c>
      <c r="X5" t="s">
        <v>253</v>
      </c>
      <c r="Y5" t="s">
        <v>235</v>
      </c>
      <c r="Z5" t="s">
        <v>236</v>
      </c>
      <c r="AA5" t="s">
        <v>253</v>
      </c>
      <c r="AB5" t="s">
        <v>121</v>
      </c>
      <c r="AC5" s="235">
        <v>-1000000</v>
      </c>
      <c r="AD5" s="235">
        <v>-46630.586230566725</v>
      </c>
      <c r="AE5">
        <v>0</v>
      </c>
      <c r="AF5">
        <v>0</v>
      </c>
      <c r="AG5">
        <v>0</v>
      </c>
      <c r="AH5" s="235">
        <v>-21067.422585947206</v>
      </c>
      <c r="AI5">
        <v>226</v>
      </c>
      <c r="AJ5" t="s">
        <v>256</v>
      </c>
      <c r="AK5">
        <v>0</v>
      </c>
      <c r="AL5">
        <v>0</v>
      </c>
      <c r="AM5">
        <v>0</v>
      </c>
    </row>
    <row r="6" spans="1:213" x14ac:dyDescent="0.25">
      <c r="A6" t="s">
        <v>601</v>
      </c>
      <c r="B6" t="s">
        <v>265</v>
      </c>
      <c r="C6" t="s">
        <v>255</v>
      </c>
      <c r="D6" t="s">
        <v>234</v>
      </c>
      <c r="E6" t="s">
        <v>20</v>
      </c>
      <c r="F6" t="s">
        <v>276</v>
      </c>
      <c r="G6" t="s">
        <v>269</v>
      </c>
      <c r="H6" t="s">
        <v>254</v>
      </c>
      <c r="I6" t="s">
        <v>242</v>
      </c>
      <c r="J6" t="s">
        <v>235</v>
      </c>
      <c r="K6" s="380">
        <v>37196</v>
      </c>
      <c r="L6" s="235">
        <v>-295233.34351388493</v>
      </c>
      <c r="M6" s="380">
        <v>37194</v>
      </c>
      <c r="N6" t="s">
        <v>21</v>
      </c>
      <c r="O6">
        <v>0.95</v>
      </c>
      <c r="P6">
        <v>0</v>
      </c>
      <c r="Q6">
        <v>0</v>
      </c>
      <c r="R6">
        <v>0</v>
      </c>
      <c r="S6">
        <v>0</v>
      </c>
      <c r="T6" t="s">
        <v>253</v>
      </c>
      <c r="U6" t="s">
        <v>7</v>
      </c>
      <c r="V6" t="s">
        <v>253</v>
      </c>
      <c r="W6" t="s">
        <v>132</v>
      </c>
      <c r="X6" t="s">
        <v>253</v>
      </c>
      <c r="Y6" t="s">
        <v>235</v>
      </c>
      <c r="Z6" t="s">
        <v>236</v>
      </c>
      <c r="AA6" t="s">
        <v>253</v>
      </c>
      <c r="AB6" t="s">
        <v>121</v>
      </c>
      <c r="AC6" s="235">
        <v>-1000000</v>
      </c>
      <c r="AD6" s="235">
        <v>-49712.263461544411</v>
      </c>
      <c r="AE6">
        <v>0</v>
      </c>
      <c r="AF6">
        <v>0</v>
      </c>
      <c r="AG6">
        <v>0</v>
      </c>
      <c r="AH6" s="235">
        <v>-16574.312874732655</v>
      </c>
      <c r="AI6">
        <v>226</v>
      </c>
      <c r="AJ6" t="s">
        <v>256</v>
      </c>
      <c r="AK6">
        <v>0</v>
      </c>
      <c r="AL6">
        <v>0</v>
      </c>
      <c r="AM6">
        <v>0</v>
      </c>
    </row>
    <row r="7" spans="1:213" x14ac:dyDescent="0.25">
      <c r="A7" t="s">
        <v>601</v>
      </c>
      <c r="B7" t="s">
        <v>402</v>
      </c>
      <c r="C7" t="s">
        <v>255</v>
      </c>
      <c r="D7" t="s">
        <v>234</v>
      </c>
      <c r="E7" t="s">
        <v>20</v>
      </c>
      <c r="F7" t="s">
        <v>267</v>
      </c>
      <c r="G7" t="s">
        <v>269</v>
      </c>
      <c r="H7" t="s">
        <v>254</v>
      </c>
      <c r="I7" t="s">
        <v>242</v>
      </c>
      <c r="J7" t="s">
        <v>235</v>
      </c>
      <c r="K7" s="380">
        <v>37165</v>
      </c>
      <c r="L7" s="235">
        <v>115820.01395071605</v>
      </c>
      <c r="M7" s="380">
        <v>37161</v>
      </c>
      <c r="N7" t="s">
        <v>21</v>
      </c>
      <c r="O7">
        <v>0.3</v>
      </c>
      <c r="P7">
        <v>0</v>
      </c>
      <c r="Q7">
        <v>0</v>
      </c>
      <c r="R7">
        <v>0</v>
      </c>
      <c r="S7">
        <v>0</v>
      </c>
      <c r="T7" t="s">
        <v>253</v>
      </c>
      <c r="U7" t="s">
        <v>7</v>
      </c>
      <c r="V7" t="s">
        <v>253</v>
      </c>
      <c r="W7" t="s">
        <v>132</v>
      </c>
      <c r="X7" t="s">
        <v>253</v>
      </c>
      <c r="Y7" t="s">
        <v>235</v>
      </c>
      <c r="Z7" t="s">
        <v>236</v>
      </c>
      <c r="AA7" t="s">
        <v>253</v>
      </c>
      <c r="AB7" t="s">
        <v>121</v>
      </c>
      <c r="AC7" s="235">
        <v>500000</v>
      </c>
      <c r="AD7" s="235">
        <v>15233.217701204761</v>
      </c>
      <c r="AE7">
        <v>0</v>
      </c>
      <c r="AF7">
        <v>0</v>
      </c>
      <c r="AG7">
        <v>0</v>
      </c>
      <c r="AH7" s="235">
        <v>723.03375862188113</v>
      </c>
      <c r="AI7">
        <v>226</v>
      </c>
      <c r="AJ7" t="s">
        <v>256</v>
      </c>
      <c r="AK7">
        <v>0</v>
      </c>
      <c r="AL7">
        <v>0</v>
      </c>
      <c r="AM7">
        <v>0</v>
      </c>
    </row>
    <row r="8" spans="1:213" x14ac:dyDescent="0.25">
      <c r="A8" t="s">
        <v>601</v>
      </c>
      <c r="B8" t="s">
        <v>402</v>
      </c>
      <c r="C8" t="s">
        <v>255</v>
      </c>
      <c r="D8" t="s">
        <v>234</v>
      </c>
      <c r="E8" t="s">
        <v>20</v>
      </c>
      <c r="F8" t="s">
        <v>267</v>
      </c>
      <c r="G8" t="s">
        <v>269</v>
      </c>
      <c r="H8" t="s">
        <v>254</v>
      </c>
      <c r="I8" t="s">
        <v>242</v>
      </c>
      <c r="J8" t="s">
        <v>235</v>
      </c>
      <c r="K8" s="380">
        <v>37135</v>
      </c>
      <c r="L8" s="235">
        <v>93914.827942187374</v>
      </c>
      <c r="M8" s="380">
        <v>37133</v>
      </c>
      <c r="N8" t="s">
        <v>21</v>
      </c>
      <c r="O8">
        <v>0.3</v>
      </c>
      <c r="P8">
        <v>0</v>
      </c>
      <c r="Q8">
        <v>0</v>
      </c>
      <c r="R8">
        <v>0</v>
      </c>
      <c r="S8">
        <v>0</v>
      </c>
      <c r="T8" t="s">
        <v>253</v>
      </c>
      <c r="U8" t="s">
        <v>7</v>
      </c>
      <c r="V8" t="s">
        <v>253</v>
      </c>
      <c r="W8" t="s">
        <v>132</v>
      </c>
      <c r="X8" t="s">
        <v>253</v>
      </c>
      <c r="Y8" t="s">
        <v>235</v>
      </c>
      <c r="Z8" t="s">
        <v>236</v>
      </c>
      <c r="AA8" t="s">
        <v>253</v>
      </c>
      <c r="AB8" t="s">
        <v>121</v>
      </c>
      <c r="AC8" s="235">
        <v>500000</v>
      </c>
      <c r="AD8" s="235">
        <v>15498.018506256514</v>
      </c>
      <c r="AE8">
        <v>0</v>
      </c>
      <c r="AF8">
        <v>0</v>
      </c>
      <c r="AG8">
        <v>0</v>
      </c>
      <c r="AH8" s="235">
        <v>736.17246900031751</v>
      </c>
      <c r="AI8">
        <v>226</v>
      </c>
      <c r="AJ8" t="s">
        <v>256</v>
      </c>
      <c r="AK8">
        <v>0</v>
      </c>
      <c r="AL8">
        <v>0</v>
      </c>
      <c r="AM8">
        <v>0</v>
      </c>
    </row>
    <row r="9" spans="1:213" x14ac:dyDescent="0.25">
      <c r="A9" t="s">
        <v>601</v>
      </c>
      <c r="B9" t="s">
        <v>402</v>
      </c>
      <c r="C9" t="s">
        <v>255</v>
      </c>
      <c r="D9" t="s">
        <v>234</v>
      </c>
      <c r="E9" t="s">
        <v>20</v>
      </c>
      <c r="F9" t="s">
        <v>267</v>
      </c>
      <c r="G9" t="s">
        <v>269</v>
      </c>
      <c r="H9" t="s">
        <v>254</v>
      </c>
      <c r="I9" t="s">
        <v>242</v>
      </c>
      <c r="J9" t="s">
        <v>235</v>
      </c>
      <c r="K9" s="380">
        <v>37104</v>
      </c>
      <c r="L9" s="235">
        <v>111793.33391877604</v>
      </c>
      <c r="M9" s="380">
        <v>37102</v>
      </c>
      <c r="N9" t="s">
        <v>21</v>
      </c>
      <c r="O9">
        <v>0.3</v>
      </c>
      <c r="P9">
        <v>0</v>
      </c>
      <c r="Q9">
        <v>0</v>
      </c>
      <c r="R9">
        <v>0</v>
      </c>
      <c r="S9">
        <v>0</v>
      </c>
      <c r="T9" t="s">
        <v>253</v>
      </c>
      <c r="U9" t="s">
        <v>7</v>
      </c>
      <c r="V9" t="s">
        <v>253</v>
      </c>
      <c r="W9" t="s">
        <v>132</v>
      </c>
      <c r="X9" t="s">
        <v>253</v>
      </c>
      <c r="Y9" t="s">
        <v>235</v>
      </c>
      <c r="Z9" t="s">
        <v>236</v>
      </c>
      <c r="AA9" t="s">
        <v>253</v>
      </c>
      <c r="AB9" t="s">
        <v>121</v>
      </c>
      <c r="AC9" s="235">
        <v>500000</v>
      </c>
      <c r="AD9" s="235">
        <v>13959.994866225868</v>
      </c>
      <c r="AE9">
        <v>0</v>
      </c>
      <c r="AF9">
        <v>0</v>
      </c>
      <c r="AG9">
        <v>0</v>
      </c>
      <c r="AH9" s="235">
        <v>662.09931597436662</v>
      </c>
      <c r="AI9">
        <v>226</v>
      </c>
      <c r="AJ9" t="s">
        <v>256</v>
      </c>
      <c r="AK9">
        <v>0</v>
      </c>
      <c r="AL9">
        <v>0</v>
      </c>
      <c r="AM9">
        <v>0</v>
      </c>
    </row>
    <row r="10" spans="1:213" x14ac:dyDescent="0.25">
      <c r="A10" t="s">
        <v>601</v>
      </c>
      <c r="B10" t="s">
        <v>402</v>
      </c>
      <c r="C10" t="s">
        <v>255</v>
      </c>
      <c r="D10" t="s">
        <v>234</v>
      </c>
      <c r="E10" t="s">
        <v>20</v>
      </c>
      <c r="F10" t="s">
        <v>267</v>
      </c>
      <c r="G10" t="s">
        <v>269</v>
      </c>
      <c r="H10" t="s">
        <v>254</v>
      </c>
      <c r="I10" t="s">
        <v>242</v>
      </c>
      <c r="J10" t="s">
        <v>235</v>
      </c>
      <c r="K10" s="380">
        <v>37073</v>
      </c>
      <c r="L10" s="235">
        <v>109392.04566727873</v>
      </c>
      <c r="M10" s="380">
        <v>37070</v>
      </c>
      <c r="N10" t="s">
        <v>21</v>
      </c>
      <c r="O10">
        <v>0.3</v>
      </c>
      <c r="P10">
        <v>0</v>
      </c>
      <c r="Q10">
        <v>0</v>
      </c>
      <c r="R10">
        <v>0</v>
      </c>
      <c r="S10">
        <v>0</v>
      </c>
      <c r="T10" t="s">
        <v>253</v>
      </c>
      <c r="U10" t="s">
        <v>7</v>
      </c>
      <c r="V10" t="s">
        <v>253</v>
      </c>
      <c r="W10" t="s">
        <v>132</v>
      </c>
      <c r="X10" t="s">
        <v>253</v>
      </c>
      <c r="Y10" t="s">
        <v>235</v>
      </c>
      <c r="Z10" t="s">
        <v>236</v>
      </c>
      <c r="AA10" t="s">
        <v>253</v>
      </c>
      <c r="AB10" t="s">
        <v>121</v>
      </c>
      <c r="AC10" s="235">
        <v>500000</v>
      </c>
      <c r="AD10" s="235">
        <v>13219.76395663037</v>
      </c>
      <c r="AE10">
        <v>0</v>
      </c>
      <c r="AF10">
        <v>0</v>
      </c>
      <c r="AG10">
        <v>0</v>
      </c>
      <c r="AH10" s="235">
        <v>627.12638252615579</v>
      </c>
      <c r="AI10">
        <v>226</v>
      </c>
      <c r="AJ10" t="s">
        <v>256</v>
      </c>
      <c r="AK10">
        <v>0</v>
      </c>
      <c r="AL10">
        <v>0</v>
      </c>
      <c r="AM10">
        <v>0</v>
      </c>
    </row>
    <row r="11" spans="1:213" x14ac:dyDescent="0.25">
      <c r="A11" t="s">
        <v>601</v>
      </c>
      <c r="B11" t="s">
        <v>402</v>
      </c>
      <c r="C11" t="s">
        <v>255</v>
      </c>
      <c r="D11" t="s">
        <v>234</v>
      </c>
      <c r="E11" t="s">
        <v>20</v>
      </c>
      <c r="F11" t="s">
        <v>267</v>
      </c>
      <c r="G11" t="s">
        <v>269</v>
      </c>
      <c r="H11" t="s">
        <v>254</v>
      </c>
      <c r="I11" t="s">
        <v>242</v>
      </c>
      <c r="J11" t="s">
        <v>235</v>
      </c>
      <c r="K11" s="380">
        <v>37043</v>
      </c>
      <c r="L11" s="235">
        <v>86775.479144627723</v>
      </c>
      <c r="M11" s="380">
        <v>37041</v>
      </c>
      <c r="N11" t="s">
        <v>21</v>
      </c>
      <c r="O11">
        <v>0.3</v>
      </c>
      <c r="P11">
        <v>0</v>
      </c>
      <c r="Q11">
        <v>0</v>
      </c>
      <c r="R11">
        <v>0</v>
      </c>
      <c r="S11">
        <v>0</v>
      </c>
      <c r="T11" t="s">
        <v>253</v>
      </c>
      <c r="U11" t="s">
        <v>7</v>
      </c>
      <c r="V11" t="s">
        <v>253</v>
      </c>
      <c r="W11" t="s">
        <v>132</v>
      </c>
      <c r="X11" t="s">
        <v>253</v>
      </c>
      <c r="Y11" t="s">
        <v>235</v>
      </c>
      <c r="Z11" t="s">
        <v>236</v>
      </c>
      <c r="AA11" t="s">
        <v>253</v>
      </c>
      <c r="AB11" t="s">
        <v>121</v>
      </c>
      <c r="AC11" s="235">
        <v>500000</v>
      </c>
      <c r="AD11" s="235">
        <v>13532.060510858137</v>
      </c>
      <c r="AE11">
        <v>0</v>
      </c>
      <c r="AF11">
        <v>0</v>
      </c>
      <c r="AG11">
        <v>0</v>
      </c>
      <c r="AH11" s="235">
        <v>643.46025547180034</v>
      </c>
      <c r="AI11">
        <v>226</v>
      </c>
      <c r="AJ11" t="s">
        <v>256</v>
      </c>
      <c r="AK11">
        <v>0</v>
      </c>
      <c r="AL11">
        <v>0</v>
      </c>
      <c r="AM11">
        <v>0</v>
      </c>
    </row>
    <row r="12" spans="1:213" x14ac:dyDescent="0.25">
      <c r="A12" t="s">
        <v>601</v>
      </c>
      <c r="B12" t="s">
        <v>402</v>
      </c>
      <c r="C12" t="s">
        <v>255</v>
      </c>
      <c r="D12" t="s">
        <v>234</v>
      </c>
      <c r="E12" t="s">
        <v>20</v>
      </c>
      <c r="F12" t="s">
        <v>267</v>
      </c>
      <c r="G12" t="s">
        <v>269</v>
      </c>
      <c r="H12" t="s">
        <v>254</v>
      </c>
      <c r="I12" t="s">
        <v>242</v>
      </c>
      <c r="J12" t="s">
        <v>235</v>
      </c>
      <c r="K12" s="380">
        <v>37012</v>
      </c>
      <c r="L12" s="235">
        <v>87670.776524810892</v>
      </c>
      <c r="M12" s="380">
        <v>37008</v>
      </c>
      <c r="N12" t="s">
        <v>21</v>
      </c>
      <c r="O12">
        <v>0.3</v>
      </c>
      <c r="P12">
        <v>0</v>
      </c>
      <c r="Q12">
        <v>0</v>
      </c>
      <c r="R12">
        <v>0</v>
      </c>
      <c r="S12">
        <v>0</v>
      </c>
      <c r="T12" t="s">
        <v>253</v>
      </c>
      <c r="U12" t="s">
        <v>7</v>
      </c>
      <c r="V12" t="s">
        <v>253</v>
      </c>
      <c r="W12" t="s">
        <v>132</v>
      </c>
      <c r="X12" t="s">
        <v>253</v>
      </c>
      <c r="Y12" t="s">
        <v>235</v>
      </c>
      <c r="Z12" t="s">
        <v>236</v>
      </c>
      <c r="AA12" t="s">
        <v>253</v>
      </c>
      <c r="AB12" t="s">
        <v>121</v>
      </c>
      <c r="AC12" s="235">
        <v>500000</v>
      </c>
      <c r="AD12" s="235">
        <v>12755.612757213064</v>
      </c>
      <c r="AE12">
        <v>0</v>
      </c>
      <c r="AF12">
        <v>0</v>
      </c>
      <c r="AG12">
        <v>0</v>
      </c>
      <c r="AH12" s="235">
        <v>606.89318817775347</v>
      </c>
      <c r="AI12">
        <v>226</v>
      </c>
      <c r="AJ12" t="s">
        <v>256</v>
      </c>
      <c r="AK12">
        <v>0</v>
      </c>
      <c r="AL12">
        <v>0</v>
      </c>
      <c r="AM12">
        <v>0</v>
      </c>
    </row>
    <row r="13" spans="1:213" x14ac:dyDescent="0.25">
      <c r="A13" t="s">
        <v>601</v>
      </c>
      <c r="B13" t="s">
        <v>402</v>
      </c>
      <c r="C13" t="s">
        <v>255</v>
      </c>
      <c r="D13" t="s">
        <v>234</v>
      </c>
      <c r="E13" t="s">
        <v>20</v>
      </c>
      <c r="F13" t="s">
        <v>267</v>
      </c>
      <c r="G13" t="s">
        <v>269</v>
      </c>
      <c r="H13" t="s">
        <v>254</v>
      </c>
      <c r="I13" t="s">
        <v>242</v>
      </c>
      <c r="J13" t="s">
        <v>235</v>
      </c>
      <c r="K13" s="380">
        <v>36982</v>
      </c>
      <c r="L13" s="235">
        <v>129723.27521062607</v>
      </c>
      <c r="M13" s="380">
        <v>36979</v>
      </c>
      <c r="N13" t="s">
        <v>21</v>
      </c>
      <c r="O13">
        <v>0.3</v>
      </c>
      <c r="P13">
        <v>0</v>
      </c>
      <c r="Q13">
        <v>0</v>
      </c>
      <c r="R13">
        <v>0</v>
      </c>
      <c r="S13">
        <v>0</v>
      </c>
      <c r="T13" t="s">
        <v>253</v>
      </c>
      <c r="U13" t="s">
        <v>7</v>
      </c>
      <c r="V13" t="s">
        <v>253</v>
      </c>
      <c r="W13" t="s">
        <v>132</v>
      </c>
      <c r="X13" t="s">
        <v>253</v>
      </c>
      <c r="Y13" t="s">
        <v>235</v>
      </c>
      <c r="Z13" t="s">
        <v>236</v>
      </c>
      <c r="AA13" t="s">
        <v>253</v>
      </c>
      <c r="AB13" t="s">
        <v>121</v>
      </c>
      <c r="AC13" s="235">
        <v>500000</v>
      </c>
      <c r="AD13" s="235">
        <v>11158.954066135979</v>
      </c>
      <c r="AE13">
        <v>0</v>
      </c>
      <c r="AF13">
        <v>0</v>
      </c>
      <c r="AG13">
        <v>0</v>
      </c>
      <c r="AH13" s="235">
        <v>530.28351871318591</v>
      </c>
      <c r="AI13">
        <v>226</v>
      </c>
      <c r="AJ13" t="s">
        <v>256</v>
      </c>
      <c r="AK13">
        <v>0</v>
      </c>
      <c r="AL13">
        <v>0</v>
      </c>
      <c r="AM13">
        <v>0</v>
      </c>
    </row>
    <row r="14" spans="1:213" x14ac:dyDescent="0.25">
      <c r="A14" t="s">
        <v>601</v>
      </c>
      <c r="B14" t="s">
        <v>402</v>
      </c>
      <c r="C14" t="s">
        <v>255</v>
      </c>
      <c r="D14" t="s">
        <v>234</v>
      </c>
      <c r="E14" t="s">
        <v>20</v>
      </c>
      <c r="F14" t="s">
        <v>267</v>
      </c>
      <c r="G14" t="s">
        <v>269</v>
      </c>
      <c r="H14" t="s">
        <v>254</v>
      </c>
      <c r="I14" t="s">
        <v>242</v>
      </c>
      <c r="J14" t="s">
        <v>235</v>
      </c>
      <c r="K14" s="380">
        <v>36800</v>
      </c>
      <c r="L14" s="235">
        <v>60873.3375446555</v>
      </c>
      <c r="M14" s="380">
        <v>36797</v>
      </c>
      <c r="N14" t="s">
        <v>21</v>
      </c>
      <c r="O14">
        <v>0.3</v>
      </c>
      <c r="P14">
        <v>0</v>
      </c>
      <c r="Q14">
        <v>0</v>
      </c>
      <c r="R14">
        <v>0</v>
      </c>
      <c r="S14">
        <v>0</v>
      </c>
      <c r="T14" t="s">
        <v>253</v>
      </c>
      <c r="U14" t="s">
        <v>7</v>
      </c>
      <c r="V14" t="s">
        <v>253</v>
      </c>
      <c r="W14" t="s">
        <v>132</v>
      </c>
      <c r="X14" t="s">
        <v>253</v>
      </c>
      <c r="Y14" t="s">
        <v>235</v>
      </c>
      <c r="Z14" t="s">
        <v>236</v>
      </c>
      <c r="AA14" t="s">
        <v>253</v>
      </c>
      <c r="AB14" t="s">
        <v>121</v>
      </c>
      <c r="AC14" s="235">
        <v>500000</v>
      </c>
      <c r="AD14" s="235">
        <v>1957.0619425657205</v>
      </c>
      <c r="AE14">
        <v>0</v>
      </c>
      <c r="AF14">
        <v>0</v>
      </c>
      <c r="AG14">
        <v>0</v>
      </c>
      <c r="AH14" s="235">
        <v>113.31568075960968</v>
      </c>
      <c r="AI14">
        <v>226</v>
      </c>
      <c r="AJ14" t="s">
        <v>256</v>
      </c>
      <c r="AK14">
        <v>0</v>
      </c>
      <c r="AL14">
        <v>0</v>
      </c>
      <c r="AM14">
        <v>0</v>
      </c>
    </row>
    <row r="15" spans="1:213" x14ac:dyDescent="0.25">
      <c r="A15" t="s">
        <v>601</v>
      </c>
      <c r="B15" t="s">
        <v>402</v>
      </c>
      <c r="C15" t="s">
        <v>255</v>
      </c>
      <c r="D15" t="s">
        <v>234</v>
      </c>
      <c r="E15" t="s">
        <v>20</v>
      </c>
      <c r="F15" t="s">
        <v>267</v>
      </c>
      <c r="G15" t="s">
        <v>269</v>
      </c>
      <c r="H15" t="s">
        <v>254</v>
      </c>
      <c r="I15" t="s">
        <v>242</v>
      </c>
      <c r="J15" t="s">
        <v>235</v>
      </c>
      <c r="K15" s="380">
        <v>36770</v>
      </c>
      <c r="L15" s="235">
        <v>8568.2289642934593</v>
      </c>
      <c r="M15" s="380">
        <v>36768</v>
      </c>
      <c r="N15" t="s">
        <v>21</v>
      </c>
      <c r="O15">
        <v>0.3</v>
      </c>
      <c r="P15">
        <v>0</v>
      </c>
      <c r="Q15">
        <v>0</v>
      </c>
      <c r="R15">
        <v>0</v>
      </c>
      <c r="S15">
        <v>0</v>
      </c>
      <c r="T15" t="s">
        <v>253</v>
      </c>
      <c r="U15" t="s">
        <v>7</v>
      </c>
      <c r="V15" t="s">
        <v>253</v>
      </c>
      <c r="W15" t="s">
        <v>132</v>
      </c>
      <c r="X15" t="s">
        <v>253</v>
      </c>
      <c r="Y15" t="s">
        <v>235</v>
      </c>
      <c r="Z15" t="s">
        <v>236</v>
      </c>
      <c r="AA15" t="s">
        <v>253</v>
      </c>
      <c r="AB15" t="s">
        <v>121</v>
      </c>
      <c r="AC15" s="235">
        <v>500000</v>
      </c>
      <c r="AD15" s="235">
        <v>456.94051639048848</v>
      </c>
      <c r="AE15">
        <v>0</v>
      </c>
      <c r="AF15">
        <v>0</v>
      </c>
      <c r="AG15">
        <v>0</v>
      </c>
      <c r="AH15" s="235">
        <v>68.869557973457631</v>
      </c>
      <c r="AI15">
        <v>226</v>
      </c>
      <c r="AJ15" t="s">
        <v>256</v>
      </c>
      <c r="AK15">
        <v>0</v>
      </c>
      <c r="AL15">
        <v>0</v>
      </c>
      <c r="AM15">
        <v>0</v>
      </c>
    </row>
    <row r="16" spans="1:213" x14ac:dyDescent="0.25">
      <c r="A16" t="s">
        <v>601</v>
      </c>
      <c r="B16" t="s">
        <v>403</v>
      </c>
      <c r="C16" t="s">
        <v>255</v>
      </c>
      <c r="D16" t="s">
        <v>234</v>
      </c>
      <c r="E16" t="s">
        <v>20</v>
      </c>
      <c r="F16" t="s">
        <v>268</v>
      </c>
      <c r="G16" t="s">
        <v>269</v>
      </c>
      <c r="H16" t="s">
        <v>254</v>
      </c>
      <c r="I16" t="s">
        <v>242</v>
      </c>
      <c r="J16" t="s">
        <v>235</v>
      </c>
      <c r="K16" s="380">
        <v>36800</v>
      </c>
      <c r="L16" s="235">
        <v>135478.04693419076</v>
      </c>
      <c r="M16" s="380">
        <v>36797</v>
      </c>
      <c r="N16" t="s">
        <v>1</v>
      </c>
      <c r="O16">
        <v>-0.4</v>
      </c>
      <c r="P16">
        <v>0</v>
      </c>
      <c r="Q16">
        <v>0</v>
      </c>
      <c r="R16">
        <v>0</v>
      </c>
      <c r="S16">
        <v>0</v>
      </c>
      <c r="T16" t="s">
        <v>253</v>
      </c>
      <c r="U16" t="s">
        <v>9</v>
      </c>
      <c r="V16" t="s">
        <v>253</v>
      </c>
      <c r="W16" t="s">
        <v>132</v>
      </c>
      <c r="X16" t="s">
        <v>253</v>
      </c>
      <c r="Y16" t="s">
        <v>235</v>
      </c>
      <c r="Z16" t="s">
        <v>236</v>
      </c>
      <c r="AA16" t="s">
        <v>253</v>
      </c>
      <c r="AB16" t="s">
        <v>121</v>
      </c>
      <c r="AC16" s="235">
        <v>310000</v>
      </c>
      <c r="AD16" s="235">
        <v>6913.5936822457588</v>
      </c>
      <c r="AE16">
        <v>0</v>
      </c>
      <c r="AF16">
        <v>0</v>
      </c>
      <c r="AG16">
        <v>0</v>
      </c>
      <c r="AH16" s="235">
        <v>16486.28998771339</v>
      </c>
      <c r="AI16">
        <v>226</v>
      </c>
      <c r="AJ16" t="s">
        <v>256</v>
      </c>
      <c r="AK16">
        <v>0</v>
      </c>
      <c r="AL16">
        <v>0</v>
      </c>
      <c r="AM16">
        <v>0</v>
      </c>
    </row>
    <row r="17" spans="1:39" x14ac:dyDescent="0.25">
      <c r="A17" t="s">
        <v>601</v>
      </c>
      <c r="B17" t="s">
        <v>403</v>
      </c>
      <c r="C17" t="s">
        <v>255</v>
      </c>
      <c r="D17" t="s">
        <v>234</v>
      </c>
      <c r="E17" t="s">
        <v>20</v>
      </c>
      <c r="F17" t="s">
        <v>268</v>
      </c>
      <c r="G17" t="s">
        <v>269</v>
      </c>
      <c r="H17" t="s">
        <v>254</v>
      </c>
      <c r="I17" t="s">
        <v>242</v>
      </c>
      <c r="J17" t="s">
        <v>235</v>
      </c>
      <c r="K17" s="380">
        <v>36770</v>
      </c>
      <c r="L17" s="235">
        <v>251907.30002441828</v>
      </c>
      <c r="M17" s="380">
        <v>36768</v>
      </c>
      <c r="N17" t="s">
        <v>1</v>
      </c>
      <c r="O17">
        <v>-0.4</v>
      </c>
      <c r="P17">
        <v>0</v>
      </c>
      <c r="Q17">
        <v>0</v>
      </c>
      <c r="R17">
        <v>0</v>
      </c>
      <c r="S17">
        <v>0</v>
      </c>
      <c r="T17" t="s">
        <v>253</v>
      </c>
      <c r="U17" t="s">
        <v>9</v>
      </c>
      <c r="V17" t="s">
        <v>253</v>
      </c>
      <c r="W17" t="s">
        <v>132</v>
      </c>
      <c r="X17" t="s">
        <v>253</v>
      </c>
      <c r="Y17" t="s">
        <v>235</v>
      </c>
      <c r="Z17" t="s">
        <v>236</v>
      </c>
      <c r="AA17" t="s">
        <v>253</v>
      </c>
      <c r="AB17" t="s">
        <v>121</v>
      </c>
      <c r="AC17" s="235">
        <v>300000</v>
      </c>
      <c r="AD17" s="235">
        <v>-1.1573564494028687E-2</v>
      </c>
      <c r="AE17">
        <v>0</v>
      </c>
      <c r="AF17">
        <v>0</v>
      </c>
      <c r="AG17">
        <v>0</v>
      </c>
      <c r="AH17" s="235">
        <v>17983.459655293584</v>
      </c>
      <c r="AI17">
        <v>226</v>
      </c>
      <c r="AJ17" t="s">
        <v>256</v>
      </c>
      <c r="AK17">
        <v>0</v>
      </c>
      <c r="AL17">
        <v>0</v>
      </c>
      <c r="AM17">
        <v>0</v>
      </c>
    </row>
    <row r="18" spans="1:39" x14ac:dyDescent="0.25">
      <c r="A18" t="s">
        <v>601</v>
      </c>
      <c r="B18" t="s">
        <v>109</v>
      </c>
      <c r="C18" t="s">
        <v>255</v>
      </c>
      <c r="D18" t="s">
        <v>234</v>
      </c>
      <c r="E18" t="s">
        <v>20</v>
      </c>
      <c r="F18" t="s">
        <v>279</v>
      </c>
      <c r="G18" t="s">
        <v>269</v>
      </c>
      <c r="H18" t="s">
        <v>254</v>
      </c>
      <c r="I18" t="s">
        <v>242</v>
      </c>
      <c r="J18" t="s">
        <v>235</v>
      </c>
      <c r="K18" s="380">
        <v>36800</v>
      </c>
      <c r="L18" s="235">
        <v>51599.607583914629</v>
      </c>
      <c r="M18" s="380">
        <v>36797</v>
      </c>
      <c r="N18" t="s">
        <v>21</v>
      </c>
      <c r="O18">
        <v>0.25</v>
      </c>
      <c r="P18">
        <v>0</v>
      </c>
      <c r="Q18">
        <v>0</v>
      </c>
      <c r="R18">
        <v>0</v>
      </c>
      <c r="S18">
        <v>0</v>
      </c>
      <c r="T18" t="s">
        <v>253</v>
      </c>
      <c r="U18" t="s">
        <v>7</v>
      </c>
      <c r="V18" t="s">
        <v>253</v>
      </c>
      <c r="W18" t="s">
        <v>132</v>
      </c>
      <c r="X18" t="s">
        <v>253</v>
      </c>
      <c r="Y18" t="s">
        <v>235</v>
      </c>
      <c r="Z18" t="s">
        <v>236</v>
      </c>
      <c r="AA18" t="s">
        <v>253</v>
      </c>
      <c r="AB18" t="s">
        <v>121</v>
      </c>
      <c r="AC18" s="235">
        <v>310000</v>
      </c>
      <c r="AD18" s="235">
        <v>636.00812104460783</v>
      </c>
      <c r="AE18">
        <v>0</v>
      </c>
      <c r="AF18">
        <v>0</v>
      </c>
      <c r="AG18">
        <v>0</v>
      </c>
      <c r="AH18" s="235">
        <v>37.516429721676104</v>
      </c>
      <c r="AI18">
        <v>226</v>
      </c>
      <c r="AJ18" t="s">
        <v>256</v>
      </c>
      <c r="AK18">
        <v>0</v>
      </c>
      <c r="AL18">
        <v>0</v>
      </c>
      <c r="AM18">
        <v>0</v>
      </c>
    </row>
    <row r="19" spans="1:39" x14ac:dyDescent="0.25">
      <c r="A19" t="s">
        <v>601</v>
      </c>
      <c r="B19" t="s">
        <v>109</v>
      </c>
      <c r="C19" t="s">
        <v>255</v>
      </c>
      <c r="D19" t="s">
        <v>234</v>
      </c>
      <c r="E19" t="s">
        <v>20</v>
      </c>
      <c r="F19" t="s">
        <v>279</v>
      </c>
      <c r="G19" t="s">
        <v>269</v>
      </c>
      <c r="H19" t="s">
        <v>254</v>
      </c>
      <c r="I19" t="s">
        <v>242</v>
      </c>
      <c r="J19" t="s">
        <v>235</v>
      </c>
      <c r="K19" s="380">
        <v>36770</v>
      </c>
      <c r="L19" s="235">
        <v>19493.021280464007</v>
      </c>
      <c r="M19" s="380">
        <v>36768</v>
      </c>
      <c r="N19" t="s">
        <v>21</v>
      </c>
      <c r="O19">
        <v>0.25</v>
      </c>
      <c r="P19">
        <v>0</v>
      </c>
      <c r="Q19">
        <v>0</v>
      </c>
      <c r="R19">
        <v>0</v>
      </c>
      <c r="S19">
        <v>0</v>
      </c>
      <c r="T19" t="s">
        <v>253</v>
      </c>
      <c r="U19" t="s">
        <v>7</v>
      </c>
      <c r="V19" t="s">
        <v>253</v>
      </c>
      <c r="W19" t="s">
        <v>132</v>
      </c>
      <c r="X19" t="s">
        <v>253</v>
      </c>
      <c r="Y19" t="s">
        <v>235</v>
      </c>
      <c r="Z19" t="s">
        <v>236</v>
      </c>
      <c r="AA19" t="s">
        <v>253</v>
      </c>
      <c r="AB19" t="s">
        <v>121</v>
      </c>
      <c r="AC19" s="235">
        <v>300000</v>
      </c>
      <c r="AD19" s="235">
        <v>0.56564054300542921</v>
      </c>
      <c r="AE19">
        <v>0</v>
      </c>
      <c r="AF19">
        <v>0</v>
      </c>
      <c r="AG19">
        <v>0</v>
      </c>
      <c r="AH19" s="235">
        <v>9.7244322320475476</v>
      </c>
      <c r="AI19">
        <v>226</v>
      </c>
      <c r="AJ19" t="s">
        <v>256</v>
      </c>
      <c r="AK19">
        <v>0</v>
      </c>
      <c r="AL19">
        <v>0</v>
      </c>
      <c r="AM19">
        <v>0</v>
      </c>
    </row>
    <row r="20" spans="1:39" x14ac:dyDescent="0.25">
      <c r="A20" t="s">
        <v>601</v>
      </c>
      <c r="B20" t="s">
        <v>266</v>
      </c>
      <c r="C20" t="s">
        <v>255</v>
      </c>
      <c r="D20" t="s">
        <v>234</v>
      </c>
      <c r="E20" t="s">
        <v>20</v>
      </c>
      <c r="F20" t="s">
        <v>267</v>
      </c>
      <c r="G20" t="s">
        <v>269</v>
      </c>
      <c r="H20" t="s">
        <v>254</v>
      </c>
      <c r="I20" t="s">
        <v>242</v>
      </c>
      <c r="J20" t="s">
        <v>235</v>
      </c>
      <c r="K20" s="380">
        <v>36800</v>
      </c>
      <c r="L20" s="235">
        <v>28384.389512382386</v>
      </c>
      <c r="M20" s="380">
        <v>36797</v>
      </c>
      <c r="N20" t="s">
        <v>21</v>
      </c>
      <c r="O20">
        <v>0.16</v>
      </c>
      <c r="P20">
        <v>0</v>
      </c>
      <c r="Q20">
        <v>0</v>
      </c>
      <c r="R20">
        <v>0</v>
      </c>
      <c r="S20">
        <v>0</v>
      </c>
      <c r="T20" t="s">
        <v>253</v>
      </c>
      <c r="U20" t="s">
        <v>10</v>
      </c>
      <c r="V20" t="s">
        <v>253</v>
      </c>
      <c r="W20" t="s">
        <v>132</v>
      </c>
      <c r="X20" t="s">
        <v>253</v>
      </c>
      <c r="Y20" t="s">
        <v>235</v>
      </c>
      <c r="Z20" t="s">
        <v>236</v>
      </c>
      <c r="AA20" t="s">
        <v>253</v>
      </c>
      <c r="AB20" t="s">
        <v>121</v>
      </c>
      <c r="AC20" s="235">
        <v>620000</v>
      </c>
      <c r="AD20" s="235">
        <v>3737.9041624827078</v>
      </c>
      <c r="AE20">
        <v>0</v>
      </c>
      <c r="AF20">
        <v>0</v>
      </c>
      <c r="AG20">
        <v>0</v>
      </c>
      <c r="AH20" s="235">
        <v>213.66219876283503</v>
      </c>
      <c r="AI20">
        <v>226</v>
      </c>
      <c r="AJ20" t="s">
        <v>256</v>
      </c>
      <c r="AK20">
        <v>0</v>
      </c>
      <c r="AL20">
        <v>0</v>
      </c>
      <c r="AM20">
        <v>0</v>
      </c>
    </row>
    <row r="21" spans="1:39" x14ac:dyDescent="0.25">
      <c r="A21" t="s">
        <v>601</v>
      </c>
      <c r="B21" t="s">
        <v>266</v>
      </c>
      <c r="C21" t="s">
        <v>255</v>
      </c>
      <c r="D21" t="s">
        <v>234</v>
      </c>
      <c r="E21" t="s">
        <v>20</v>
      </c>
      <c r="F21" t="s">
        <v>267</v>
      </c>
      <c r="G21" t="s">
        <v>269</v>
      </c>
      <c r="H21" t="s">
        <v>254</v>
      </c>
      <c r="I21" t="s">
        <v>242</v>
      </c>
      <c r="J21" t="s">
        <v>235</v>
      </c>
      <c r="K21" s="380">
        <v>36770</v>
      </c>
      <c r="L21" s="235">
        <v>7187.327945406123</v>
      </c>
      <c r="M21" s="380">
        <v>36768</v>
      </c>
      <c r="N21" t="s">
        <v>21</v>
      </c>
      <c r="O21">
        <v>0.16</v>
      </c>
      <c r="P21">
        <v>0</v>
      </c>
      <c r="Q21">
        <v>0</v>
      </c>
      <c r="R21">
        <v>0</v>
      </c>
      <c r="S21">
        <v>0</v>
      </c>
      <c r="T21" t="s">
        <v>253</v>
      </c>
      <c r="U21" t="s">
        <v>10</v>
      </c>
      <c r="V21" t="s">
        <v>253</v>
      </c>
      <c r="W21" t="s">
        <v>132</v>
      </c>
      <c r="X21" t="s">
        <v>253</v>
      </c>
      <c r="Y21" t="s">
        <v>235</v>
      </c>
      <c r="Z21" t="s">
        <v>236</v>
      </c>
      <c r="AA21" t="s">
        <v>253</v>
      </c>
      <c r="AB21" t="s">
        <v>121</v>
      </c>
      <c r="AC21" s="235">
        <v>600000</v>
      </c>
      <c r="AD21" s="235">
        <v>525.71637278492562</v>
      </c>
      <c r="AE21">
        <v>0</v>
      </c>
      <c r="AF21">
        <v>0</v>
      </c>
      <c r="AG21">
        <v>0</v>
      </c>
      <c r="AH21" s="235">
        <v>74.4090093541854</v>
      </c>
      <c r="AI21">
        <v>226</v>
      </c>
      <c r="AJ21" t="s">
        <v>256</v>
      </c>
      <c r="AK21">
        <v>0</v>
      </c>
      <c r="AL21">
        <v>0</v>
      </c>
      <c r="AM21">
        <v>0</v>
      </c>
    </row>
    <row r="22" spans="1:39" x14ac:dyDescent="0.25">
      <c r="A22" t="s">
        <v>601</v>
      </c>
      <c r="B22" t="s">
        <v>271</v>
      </c>
      <c r="C22" t="s">
        <v>255</v>
      </c>
      <c r="D22" t="s">
        <v>234</v>
      </c>
      <c r="E22" t="s">
        <v>20</v>
      </c>
      <c r="F22" t="s">
        <v>270</v>
      </c>
      <c r="G22" t="s">
        <v>269</v>
      </c>
      <c r="H22" t="s">
        <v>254</v>
      </c>
      <c r="I22" t="s">
        <v>242</v>
      </c>
      <c r="J22" t="s">
        <v>235</v>
      </c>
      <c r="K22" s="380">
        <v>36800</v>
      </c>
      <c r="L22" s="235">
        <v>14192.194756191193</v>
      </c>
      <c r="M22" s="380">
        <v>36797</v>
      </c>
      <c r="N22" t="s">
        <v>21</v>
      </c>
      <c r="O22">
        <v>0.16</v>
      </c>
      <c r="P22">
        <v>0</v>
      </c>
      <c r="Q22">
        <v>0</v>
      </c>
      <c r="R22">
        <v>0</v>
      </c>
      <c r="S22">
        <v>0</v>
      </c>
      <c r="T22" t="s">
        <v>253</v>
      </c>
      <c r="U22" t="s">
        <v>10</v>
      </c>
      <c r="V22" t="s">
        <v>253</v>
      </c>
      <c r="W22" t="s">
        <v>132</v>
      </c>
      <c r="X22" t="s">
        <v>253</v>
      </c>
      <c r="Y22" t="s">
        <v>235</v>
      </c>
      <c r="Z22" t="s">
        <v>236</v>
      </c>
      <c r="AA22" t="s">
        <v>253</v>
      </c>
      <c r="AB22" t="s">
        <v>121</v>
      </c>
      <c r="AC22" s="235">
        <v>310000</v>
      </c>
      <c r="AD22" s="235">
        <v>1868.9520812413539</v>
      </c>
      <c r="AE22">
        <v>0</v>
      </c>
      <c r="AF22">
        <v>0</v>
      </c>
      <c r="AG22">
        <v>0</v>
      </c>
      <c r="AH22" s="235">
        <v>106.83109938141752</v>
      </c>
      <c r="AI22">
        <v>226</v>
      </c>
      <c r="AJ22" t="s">
        <v>256</v>
      </c>
      <c r="AK22">
        <v>0</v>
      </c>
      <c r="AL22">
        <v>0</v>
      </c>
      <c r="AM22">
        <v>0</v>
      </c>
    </row>
    <row r="23" spans="1:39" x14ac:dyDescent="0.25">
      <c r="A23" t="s">
        <v>601</v>
      </c>
      <c r="B23" t="s">
        <v>271</v>
      </c>
      <c r="C23" t="s">
        <v>255</v>
      </c>
      <c r="D23" t="s">
        <v>234</v>
      </c>
      <c r="E23" t="s">
        <v>20</v>
      </c>
      <c r="F23" t="s">
        <v>270</v>
      </c>
      <c r="G23" t="s">
        <v>269</v>
      </c>
      <c r="H23" t="s">
        <v>254</v>
      </c>
      <c r="I23" t="s">
        <v>242</v>
      </c>
      <c r="J23" t="s">
        <v>235</v>
      </c>
      <c r="K23" s="380">
        <v>36770</v>
      </c>
      <c r="L23" s="235">
        <v>3593.6639727030615</v>
      </c>
      <c r="M23" s="380">
        <v>36768</v>
      </c>
      <c r="N23" t="s">
        <v>21</v>
      </c>
      <c r="O23">
        <v>0.16</v>
      </c>
      <c r="P23">
        <v>0</v>
      </c>
      <c r="Q23">
        <v>0</v>
      </c>
      <c r="R23">
        <v>0</v>
      </c>
      <c r="S23">
        <v>0</v>
      </c>
      <c r="T23" t="s">
        <v>253</v>
      </c>
      <c r="U23" t="s">
        <v>10</v>
      </c>
      <c r="V23" t="s">
        <v>253</v>
      </c>
      <c r="W23" t="s">
        <v>132</v>
      </c>
      <c r="X23" t="s">
        <v>253</v>
      </c>
      <c r="Y23" t="s">
        <v>235</v>
      </c>
      <c r="Z23" t="s">
        <v>236</v>
      </c>
      <c r="AA23" t="s">
        <v>253</v>
      </c>
      <c r="AB23" t="s">
        <v>121</v>
      </c>
      <c r="AC23" s="235">
        <v>300000</v>
      </c>
      <c r="AD23" s="235">
        <v>262.85818639246281</v>
      </c>
      <c r="AE23">
        <v>0</v>
      </c>
      <c r="AF23">
        <v>0</v>
      </c>
      <c r="AG23">
        <v>0</v>
      </c>
      <c r="AH23" s="235">
        <v>37.2045046770927</v>
      </c>
      <c r="AI23">
        <v>226</v>
      </c>
      <c r="AJ23" t="s">
        <v>256</v>
      </c>
      <c r="AK23">
        <v>0</v>
      </c>
      <c r="AL23">
        <v>0</v>
      </c>
      <c r="AM23">
        <v>0</v>
      </c>
    </row>
    <row r="24" spans="1:39" x14ac:dyDescent="0.25">
      <c r="A24" t="s">
        <v>601</v>
      </c>
      <c r="B24" t="s">
        <v>278</v>
      </c>
      <c r="C24" t="s">
        <v>255</v>
      </c>
      <c r="D24" t="s">
        <v>234</v>
      </c>
      <c r="E24" t="s">
        <v>20</v>
      </c>
      <c r="F24" t="s">
        <v>277</v>
      </c>
      <c r="G24" t="s">
        <v>269</v>
      </c>
      <c r="H24" t="s">
        <v>254</v>
      </c>
      <c r="I24" t="s">
        <v>242</v>
      </c>
      <c r="J24" t="s">
        <v>235</v>
      </c>
      <c r="K24" s="380">
        <v>36951</v>
      </c>
      <c r="L24" s="235">
        <v>23306.219826890283</v>
      </c>
      <c r="M24" s="380">
        <v>36949</v>
      </c>
      <c r="N24" t="s">
        <v>21</v>
      </c>
      <c r="O24">
        <v>0.33</v>
      </c>
      <c r="P24">
        <v>0</v>
      </c>
      <c r="Q24">
        <v>0</v>
      </c>
      <c r="R24">
        <v>0</v>
      </c>
      <c r="S24">
        <v>0</v>
      </c>
      <c r="T24" t="s">
        <v>253</v>
      </c>
      <c r="U24" t="s">
        <v>10</v>
      </c>
      <c r="V24" t="s">
        <v>253</v>
      </c>
      <c r="W24" t="s">
        <v>132</v>
      </c>
      <c r="X24" t="s">
        <v>253</v>
      </c>
      <c r="Y24" t="s">
        <v>235</v>
      </c>
      <c r="Z24" t="s">
        <v>236</v>
      </c>
      <c r="AA24" t="s">
        <v>253</v>
      </c>
      <c r="AB24" t="s">
        <v>121</v>
      </c>
      <c r="AC24" s="235">
        <v>310000</v>
      </c>
      <c r="AD24" s="235">
        <v>5563.6508852697734</v>
      </c>
      <c r="AE24">
        <v>0</v>
      </c>
      <c r="AF24">
        <v>0</v>
      </c>
      <c r="AG24">
        <v>0</v>
      </c>
      <c r="AH24" s="235">
        <v>282.86751915856439</v>
      </c>
      <c r="AI24">
        <v>226</v>
      </c>
      <c r="AJ24" t="s">
        <v>256</v>
      </c>
      <c r="AK24">
        <v>0</v>
      </c>
      <c r="AL24">
        <v>0</v>
      </c>
      <c r="AM24">
        <v>0</v>
      </c>
    </row>
    <row r="25" spans="1:39" x14ac:dyDescent="0.25">
      <c r="A25" t="s">
        <v>601</v>
      </c>
      <c r="B25" t="s">
        <v>278</v>
      </c>
      <c r="C25" t="s">
        <v>255</v>
      </c>
      <c r="D25" t="s">
        <v>234</v>
      </c>
      <c r="E25" t="s">
        <v>20</v>
      </c>
      <c r="F25" t="s">
        <v>277</v>
      </c>
      <c r="G25" t="s">
        <v>269</v>
      </c>
      <c r="H25" t="s">
        <v>254</v>
      </c>
      <c r="I25" t="s">
        <v>242</v>
      </c>
      <c r="J25" t="s">
        <v>235</v>
      </c>
      <c r="K25" s="380">
        <v>36923</v>
      </c>
      <c r="L25" s="235">
        <v>26279.555795981134</v>
      </c>
      <c r="M25" s="380">
        <v>36921</v>
      </c>
      <c r="N25" t="s">
        <v>21</v>
      </c>
      <c r="O25">
        <v>0.33</v>
      </c>
      <c r="P25">
        <v>0</v>
      </c>
      <c r="Q25">
        <v>0</v>
      </c>
      <c r="R25">
        <v>0</v>
      </c>
      <c r="S25">
        <v>0</v>
      </c>
      <c r="T25" t="s">
        <v>253</v>
      </c>
      <c r="U25" t="s">
        <v>10</v>
      </c>
      <c r="V25" t="s">
        <v>253</v>
      </c>
      <c r="W25" t="s">
        <v>132</v>
      </c>
      <c r="X25" t="s">
        <v>253</v>
      </c>
      <c r="Y25" t="s">
        <v>235</v>
      </c>
      <c r="Z25" t="s">
        <v>236</v>
      </c>
      <c r="AA25" t="s">
        <v>253</v>
      </c>
      <c r="AB25" t="s">
        <v>121</v>
      </c>
      <c r="AC25" s="235">
        <v>280000</v>
      </c>
      <c r="AD25" s="235">
        <v>5301.2136434806453</v>
      </c>
      <c r="AE25">
        <v>0</v>
      </c>
      <c r="AF25">
        <v>0</v>
      </c>
      <c r="AG25">
        <v>0</v>
      </c>
      <c r="AH25" s="235">
        <v>254.37851875119668</v>
      </c>
      <c r="AI25">
        <v>226</v>
      </c>
      <c r="AJ25" t="s">
        <v>256</v>
      </c>
      <c r="AK25">
        <v>0</v>
      </c>
      <c r="AL25">
        <v>0</v>
      </c>
      <c r="AM25">
        <v>0</v>
      </c>
    </row>
    <row r="26" spans="1:39" x14ac:dyDescent="0.25">
      <c r="A26" t="s">
        <v>601</v>
      </c>
      <c r="B26" t="s">
        <v>278</v>
      </c>
      <c r="C26" t="s">
        <v>255</v>
      </c>
      <c r="D26" t="s">
        <v>234</v>
      </c>
      <c r="E26" t="s">
        <v>20</v>
      </c>
      <c r="F26" t="s">
        <v>277</v>
      </c>
      <c r="G26" t="s">
        <v>269</v>
      </c>
      <c r="H26" t="s">
        <v>254</v>
      </c>
      <c r="I26" t="s">
        <v>242</v>
      </c>
      <c r="J26" t="s">
        <v>235</v>
      </c>
      <c r="K26" s="380">
        <v>36892</v>
      </c>
      <c r="L26" s="235">
        <v>28095.250222502727</v>
      </c>
      <c r="M26" s="380">
        <v>36888</v>
      </c>
      <c r="N26" t="s">
        <v>21</v>
      </c>
      <c r="O26">
        <v>0.33</v>
      </c>
      <c r="P26">
        <v>0</v>
      </c>
      <c r="Q26">
        <v>0</v>
      </c>
      <c r="R26">
        <v>0</v>
      </c>
      <c r="S26">
        <v>0</v>
      </c>
      <c r="T26" t="s">
        <v>253</v>
      </c>
      <c r="U26" t="s">
        <v>10</v>
      </c>
      <c r="V26" t="s">
        <v>253</v>
      </c>
      <c r="W26" t="s">
        <v>132</v>
      </c>
      <c r="X26" t="s">
        <v>253</v>
      </c>
      <c r="Y26" t="s">
        <v>235</v>
      </c>
      <c r="Z26" t="s">
        <v>236</v>
      </c>
      <c r="AA26" t="s">
        <v>253</v>
      </c>
      <c r="AB26" t="s">
        <v>121</v>
      </c>
      <c r="AC26" s="235">
        <v>310000</v>
      </c>
      <c r="AD26" s="235">
        <v>5395.2156866489677</v>
      </c>
      <c r="AE26">
        <v>0</v>
      </c>
      <c r="AF26">
        <v>0</v>
      </c>
      <c r="AG26">
        <v>0</v>
      </c>
      <c r="AH26" s="235">
        <v>259.62626649013328</v>
      </c>
      <c r="AI26">
        <v>226</v>
      </c>
      <c r="AJ26" t="s">
        <v>256</v>
      </c>
      <c r="AK26">
        <v>0</v>
      </c>
      <c r="AL26">
        <v>0</v>
      </c>
      <c r="AM26">
        <v>0</v>
      </c>
    </row>
    <row r="27" spans="1:39" x14ac:dyDescent="0.25">
      <c r="A27" t="s">
        <v>601</v>
      </c>
      <c r="B27" t="s">
        <v>278</v>
      </c>
      <c r="C27" t="s">
        <v>255</v>
      </c>
      <c r="D27" t="s">
        <v>234</v>
      </c>
      <c r="E27" t="s">
        <v>20</v>
      </c>
      <c r="F27" t="s">
        <v>277</v>
      </c>
      <c r="G27" t="s">
        <v>269</v>
      </c>
      <c r="H27" t="s">
        <v>254</v>
      </c>
      <c r="I27" t="s">
        <v>242</v>
      </c>
      <c r="J27" t="s">
        <v>235</v>
      </c>
      <c r="K27" s="380">
        <v>36861</v>
      </c>
      <c r="L27" s="235">
        <v>23452.844409817353</v>
      </c>
      <c r="M27" s="380">
        <v>36859</v>
      </c>
      <c r="N27" t="s">
        <v>21</v>
      </c>
      <c r="O27">
        <v>0.33</v>
      </c>
      <c r="P27">
        <v>0</v>
      </c>
      <c r="Q27">
        <v>0</v>
      </c>
      <c r="R27">
        <v>0</v>
      </c>
      <c r="S27">
        <v>0</v>
      </c>
      <c r="T27" t="s">
        <v>253</v>
      </c>
      <c r="U27" t="s">
        <v>10</v>
      </c>
      <c r="V27" t="s">
        <v>253</v>
      </c>
      <c r="W27" t="s">
        <v>132</v>
      </c>
      <c r="X27" t="s">
        <v>253</v>
      </c>
      <c r="Y27" t="s">
        <v>235</v>
      </c>
      <c r="Z27" t="s">
        <v>236</v>
      </c>
      <c r="AA27" t="s">
        <v>253</v>
      </c>
      <c r="AB27" t="s">
        <v>121</v>
      </c>
      <c r="AC27" s="235">
        <v>310000</v>
      </c>
      <c r="AD27" s="235">
        <v>4683.9319604659977</v>
      </c>
      <c r="AE27">
        <v>0</v>
      </c>
      <c r="AF27">
        <v>0</v>
      </c>
      <c r="AG27">
        <v>0</v>
      </c>
      <c r="AH27" s="235">
        <v>235.66268524753832</v>
      </c>
      <c r="AI27">
        <v>226</v>
      </c>
      <c r="AJ27" t="s">
        <v>256</v>
      </c>
      <c r="AK27">
        <v>0</v>
      </c>
      <c r="AL27">
        <v>0</v>
      </c>
      <c r="AM27">
        <v>0</v>
      </c>
    </row>
    <row r="28" spans="1:39" x14ac:dyDescent="0.25">
      <c r="A28" t="s">
        <v>601</v>
      </c>
      <c r="B28" t="s">
        <v>278</v>
      </c>
      <c r="C28" t="s">
        <v>255</v>
      </c>
      <c r="D28" t="s">
        <v>234</v>
      </c>
      <c r="E28" t="s">
        <v>20</v>
      </c>
      <c r="F28" t="s">
        <v>277</v>
      </c>
      <c r="G28" t="s">
        <v>269</v>
      </c>
      <c r="H28" t="s">
        <v>254</v>
      </c>
      <c r="I28" t="s">
        <v>242</v>
      </c>
      <c r="J28" t="s">
        <v>235</v>
      </c>
      <c r="K28" s="380">
        <v>36831</v>
      </c>
      <c r="L28" s="235">
        <v>13944.933442900956</v>
      </c>
      <c r="M28" s="380">
        <v>36829</v>
      </c>
      <c r="N28" t="s">
        <v>21</v>
      </c>
      <c r="O28">
        <v>0.33</v>
      </c>
      <c r="P28">
        <v>0</v>
      </c>
      <c r="Q28">
        <v>0</v>
      </c>
      <c r="R28">
        <v>0</v>
      </c>
      <c r="S28">
        <v>0</v>
      </c>
      <c r="T28" t="s">
        <v>253</v>
      </c>
      <c r="U28" t="s">
        <v>10</v>
      </c>
      <c r="V28" t="s">
        <v>253</v>
      </c>
      <c r="W28" t="s">
        <v>132</v>
      </c>
      <c r="X28" t="s">
        <v>253</v>
      </c>
      <c r="Y28" t="s">
        <v>235</v>
      </c>
      <c r="Z28" t="s">
        <v>236</v>
      </c>
      <c r="AA28" t="s">
        <v>253</v>
      </c>
      <c r="AB28" t="s">
        <v>121</v>
      </c>
      <c r="AC28" s="235">
        <v>300000</v>
      </c>
      <c r="AD28" s="235">
        <v>3549.4231135468726</v>
      </c>
      <c r="AE28">
        <v>0</v>
      </c>
      <c r="AF28">
        <v>0</v>
      </c>
      <c r="AG28">
        <v>0</v>
      </c>
      <c r="AH28" s="235">
        <v>190.90227607235829</v>
      </c>
      <c r="AI28">
        <v>226</v>
      </c>
      <c r="AJ28" t="s">
        <v>256</v>
      </c>
      <c r="AK28">
        <v>0</v>
      </c>
      <c r="AL28">
        <v>0</v>
      </c>
      <c r="AM28">
        <v>0</v>
      </c>
    </row>
    <row r="29" spans="1:39" x14ac:dyDescent="0.25">
      <c r="A29" t="s">
        <v>601</v>
      </c>
      <c r="B29" t="s">
        <v>282</v>
      </c>
      <c r="C29" t="s">
        <v>255</v>
      </c>
      <c r="D29" t="s">
        <v>234</v>
      </c>
      <c r="E29" t="s">
        <v>20</v>
      </c>
      <c r="F29" t="s">
        <v>281</v>
      </c>
      <c r="G29" t="s">
        <v>269</v>
      </c>
      <c r="H29" t="s">
        <v>254</v>
      </c>
      <c r="I29" t="s">
        <v>242</v>
      </c>
      <c r="J29" t="s">
        <v>235</v>
      </c>
      <c r="K29" s="380">
        <v>36831</v>
      </c>
      <c r="L29" s="235">
        <v>153392.00747505392</v>
      </c>
      <c r="M29" s="380">
        <v>36829</v>
      </c>
      <c r="N29" t="s">
        <v>21</v>
      </c>
      <c r="O29">
        <v>1</v>
      </c>
      <c r="P29">
        <v>0</v>
      </c>
      <c r="Q29">
        <v>0</v>
      </c>
      <c r="R29">
        <v>0</v>
      </c>
      <c r="S29">
        <v>0</v>
      </c>
      <c r="T29" t="s">
        <v>253</v>
      </c>
      <c r="U29" t="s">
        <v>7</v>
      </c>
      <c r="V29" t="s">
        <v>253</v>
      </c>
      <c r="W29" t="s">
        <v>132</v>
      </c>
      <c r="X29" t="s">
        <v>253</v>
      </c>
      <c r="Y29" t="s">
        <v>235</v>
      </c>
      <c r="Z29" t="s">
        <v>236</v>
      </c>
      <c r="AA29" t="s">
        <v>253</v>
      </c>
      <c r="AB29" t="s">
        <v>121</v>
      </c>
      <c r="AC29" s="235">
        <v>900000</v>
      </c>
      <c r="AD29" s="235">
        <v>37632.51840937091</v>
      </c>
      <c r="AE29">
        <v>0</v>
      </c>
      <c r="AF29">
        <v>0</v>
      </c>
      <c r="AG29">
        <v>0</v>
      </c>
      <c r="AH29" s="235">
        <v>15599.766056933644</v>
      </c>
      <c r="AI29">
        <v>226</v>
      </c>
      <c r="AJ29" t="s">
        <v>256</v>
      </c>
      <c r="AK29">
        <v>0</v>
      </c>
      <c r="AL29">
        <v>0</v>
      </c>
      <c r="AM29">
        <v>0</v>
      </c>
    </row>
    <row r="30" spans="1:39" x14ac:dyDescent="0.25">
      <c r="A30" t="s">
        <v>601</v>
      </c>
      <c r="B30" t="s">
        <v>283</v>
      </c>
      <c r="C30" t="s">
        <v>255</v>
      </c>
      <c r="D30" t="s">
        <v>234</v>
      </c>
      <c r="E30" t="s">
        <v>20</v>
      </c>
      <c r="F30" t="s">
        <v>324</v>
      </c>
      <c r="G30" t="s">
        <v>269</v>
      </c>
      <c r="H30" t="s">
        <v>254</v>
      </c>
      <c r="I30" t="s">
        <v>242</v>
      </c>
      <c r="J30" t="s">
        <v>235</v>
      </c>
      <c r="K30" s="380">
        <v>36831</v>
      </c>
      <c r="L30" s="235">
        <v>36813.035566042454</v>
      </c>
      <c r="M30" s="380">
        <v>36829</v>
      </c>
      <c r="N30" t="s">
        <v>1</v>
      </c>
      <c r="O30">
        <v>0.45</v>
      </c>
      <c r="P30">
        <v>0</v>
      </c>
      <c r="Q30">
        <v>0</v>
      </c>
      <c r="R30">
        <v>0</v>
      </c>
      <c r="S30">
        <v>0</v>
      </c>
      <c r="T30" t="s">
        <v>253</v>
      </c>
      <c r="U30" t="s">
        <v>7</v>
      </c>
      <c r="V30" t="s">
        <v>253</v>
      </c>
      <c r="W30" t="s">
        <v>132</v>
      </c>
      <c r="X30" t="s">
        <v>253</v>
      </c>
      <c r="Y30" t="s">
        <v>235</v>
      </c>
      <c r="Z30" t="s">
        <v>236</v>
      </c>
      <c r="AA30" t="s">
        <v>253</v>
      </c>
      <c r="AB30" t="s">
        <v>121</v>
      </c>
      <c r="AC30" s="235">
        <v>300000</v>
      </c>
      <c r="AD30" s="235">
        <v>12219.301714542598</v>
      </c>
      <c r="AE30">
        <v>0</v>
      </c>
      <c r="AF30">
        <v>0</v>
      </c>
      <c r="AG30">
        <v>0</v>
      </c>
      <c r="AH30" s="235">
        <v>-2865.7585639311219</v>
      </c>
      <c r="AI30">
        <v>226</v>
      </c>
      <c r="AJ30" t="s">
        <v>256</v>
      </c>
      <c r="AK30">
        <v>0</v>
      </c>
      <c r="AL30">
        <v>0</v>
      </c>
      <c r="AM30">
        <v>0</v>
      </c>
    </row>
    <row r="31" spans="1:39" x14ac:dyDescent="0.25">
      <c r="A31" t="s">
        <v>601</v>
      </c>
      <c r="B31" t="s">
        <v>285</v>
      </c>
      <c r="C31" t="s">
        <v>255</v>
      </c>
      <c r="D31" t="s">
        <v>234</v>
      </c>
      <c r="E31" t="s">
        <v>20</v>
      </c>
      <c r="F31" t="s">
        <v>284</v>
      </c>
      <c r="G31" t="s">
        <v>269</v>
      </c>
      <c r="H31" t="s">
        <v>254</v>
      </c>
      <c r="I31" t="s">
        <v>242</v>
      </c>
      <c r="J31" t="s">
        <v>235</v>
      </c>
      <c r="K31" s="380">
        <v>36831</v>
      </c>
      <c r="L31" s="235">
        <v>110439.10669812738</v>
      </c>
      <c r="M31" s="380">
        <v>36829</v>
      </c>
      <c r="N31" t="s">
        <v>1</v>
      </c>
      <c r="O31">
        <v>0.45</v>
      </c>
      <c r="P31">
        <v>0</v>
      </c>
      <c r="Q31">
        <v>0</v>
      </c>
      <c r="R31">
        <v>0</v>
      </c>
      <c r="S31">
        <v>0</v>
      </c>
      <c r="T31" t="s">
        <v>253</v>
      </c>
      <c r="U31" t="s">
        <v>7</v>
      </c>
      <c r="V31" t="s">
        <v>253</v>
      </c>
      <c r="W31" t="s">
        <v>132</v>
      </c>
      <c r="X31" t="s">
        <v>253</v>
      </c>
      <c r="Y31" t="s">
        <v>235</v>
      </c>
      <c r="Z31" t="s">
        <v>236</v>
      </c>
      <c r="AA31" t="s">
        <v>253</v>
      </c>
      <c r="AB31" t="s">
        <v>121</v>
      </c>
      <c r="AC31" s="235">
        <v>900000</v>
      </c>
      <c r="AD31" s="235">
        <v>36657.90514362781</v>
      </c>
      <c r="AE31">
        <v>0</v>
      </c>
      <c r="AF31">
        <v>0</v>
      </c>
      <c r="AG31">
        <v>0</v>
      </c>
      <c r="AH31" s="235">
        <v>-8597.2756917933584</v>
      </c>
      <c r="AI31">
        <v>226</v>
      </c>
      <c r="AJ31" t="s">
        <v>256</v>
      </c>
      <c r="AK31">
        <v>0</v>
      </c>
      <c r="AL31">
        <v>0</v>
      </c>
      <c r="AM31">
        <v>0</v>
      </c>
    </row>
    <row r="32" spans="1:39" x14ac:dyDescent="0.25">
      <c r="A32" t="s">
        <v>601</v>
      </c>
      <c r="B32" t="s">
        <v>287</v>
      </c>
      <c r="C32" t="s">
        <v>255</v>
      </c>
      <c r="D32" t="s">
        <v>234</v>
      </c>
      <c r="E32" t="s">
        <v>20</v>
      </c>
      <c r="F32" t="s">
        <v>286</v>
      </c>
      <c r="G32" t="s">
        <v>269</v>
      </c>
      <c r="H32" t="s">
        <v>254</v>
      </c>
      <c r="I32" t="s">
        <v>242</v>
      </c>
      <c r="J32" t="s">
        <v>235</v>
      </c>
      <c r="K32" s="380">
        <v>36831</v>
      </c>
      <c r="L32" s="235">
        <v>184065.17783021228</v>
      </c>
      <c r="M32" s="380">
        <v>36829</v>
      </c>
      <c r="N32" t="s">
        <v>1</v>
      </c>
      <c r="O32">
        <v>0.45</v>
      </c>
      <c r="P32">
        <v>0</v>
      </c>
      <c r="Q32">
        <v>0</v>
      </c>
      <c r="R32">
        <v>0</v>
      </c>
      <c r="S32">
        <v>0</v>
      </c>
      <c r="T32" t="s">
        <v>253</v>
      </c>
      <c r="U32" t="s">
        <v>7</v>
      </c>
      <c r="V32" t="s">
        <v>253</v>
      </c>
      <c r="W32" t="s">
        <v>132</v>
      </c>
      <c r="X32" t="s">
        <v>253</v>
      </c>
      <c r="Y32" t="s">
        <v>235</v>
      </c>
      <c r="Z32" t="s">
        <v>236</v>
      </c>
      <c r="AA32" t="s">
        <v>253</v>
      </c>
      <c r="AB32" t="s">
        <v>121</v>
      </c>
      <c r="AC32" s="235">
        <v>1500000</v>
      </c>
      <c r="AD32" s="235">
        <v>61096.508572713006</v>
      </c>
      <c r="AE32">
        <v>0</v>
      </c>
      <c r="AF32">
        <v>0</v>
      </c>
      <c r="AG32">
        <v>0</v>
      </c>
      <c r="AH32" s="235">
        <v>-14328.792819655617</v>
      </c>
      <c r="AI32">
        <v>226</v>
      </c>
      <c r="AJ32" t="s">
        <v>256</v>
      </c>
      <c r="AK32">
        <v>0</v>
      </c>
      <c r="AL32">
        <v>0</v>
      </c>
      <c r="AM32">
        <v>0</v>
      </c>
    </row>
    <row r="33" spans="1:39" x14ac:dyDescent="0.25">
      <c r="A33" t="s">
        <v>601</v>
      </c>
      <c r="B33" t="s">
        <v>288</v>
      </c>
      <c r="C33" t="s">
        <v>255</v>
      </c>
      <c r="D33" t="s">
        <v>234</v>
      </c>
      <c r="E33" t="s">
        <v>20</v>
      </c>
      <c r="F33" t="s">
        <v>281</v>
      </c>
      <c r="G33" t="s">
        <v>269</v>
      </c>
      <c r="H33" t="s">
        <v>254</v>
      </c>
      <c r="I33" t="s">
        <v>242</v>
      </c>
      <c r="J33" t="s">
        <v>235</v>
      </c>
      <c r="K33" s="380">
        <v>36951</v>
      </c>
      <c r="L33" s="235">
        <v>544946.36983086227</v>
      </c>
      <c r="M33" s="380">
        <v>36949</v>
      </c>
      <c r="N33" t="s">
        <v>494</v>
      </c>
      <c r="O33">
        <v>1.25</v>
      </c>
      <c r="P33">
        <v>0</v>
      </c>
      <c r="Q33">
        <v>0</v>
      </c>
      <c r="R33">
        <v>0</v>
      </c>
      <c r="S33">
        <v>0</v>
      </c>
      <c r="T33" t="s">
        <v>253</v>
      </c>
      <c r="U33" t="s">
        <v>7</v>
      </c>
      <c r="V33" t="s">
        <v>253</v>
      </c>
      <c r="W33" t="s">
        <v>132</v>
      </c>
      <c r="X33" t="s">
        <v>253</v>
      </c>
      <c r="Y33" t="s">
        <v>235</v>
      </c>
      <c r="Z33" t="s">
        <v>236</v>
      </c>
      <c r="AA33" t="s">
        <v>253</v>
      </c>
      <c r="AB33" t="s">
        <v>121</v>
      </c>
      <c r="AC33" s="235">
        <v>1240000</v>
      </c>
      <c r="AD33" s="235">
        <v>108135.68292496999</v>
      </c>
      <c r="AE33">
        <v>0</v>
      </c>
      <c r="AF33">
        <v>0</v>
      </c>
      <c r="AG33">
        <v>0</v>
      </c>
      <c r="AH33" s="235">
        <v>40752.66083241778</v>
      </c>
      <c r="AI33">
        <v>226</v>
      </c>
      <c r="AJ33" t="s">
        <v>256</v>
      </c>
      <c r="AK33">
        <v>0</v>
      </c>
      <c r="AL33">
        <v>0</v>
      </c>
      <c r="AM33">
        <v>0</v>
      </c>
    </row>
    <row r="34" spans="1:39" x14ac:dyDescent="0.25">
      <c r="A34" t="s">
        <v>601</v>
      </c>
      <c r="B34" t="s">
        <v>289</v>
      </c>
      <c r="C34" t="s">
        <v>255</v>
      </c>
      <c r="D34" t="s">
        <v>234</v>
      </c>
      <c r="E34" t="s">
        <v>20</v>
      </c>
      <c r="F34" t="s">
        <v>290</v>
      </c>
      <c r="G34" t="s">
        <v>269</v>
      </c>
      <c r="H34" t="s">
        <v>254</v>
      </c>
      <c r="I34" t="s">
        <v>242</v>
      </c>
      <c r="J34" t="s">
        <v>235</v>
      </c>
      <c r="K34" s="380">
        <v>36951</v>
      </c>
      <c r="L34" s="235">
        <v>-136236.59245771557</v>
      </c>
      <c r="M34" s="380">
        <v>36949</v>
      </c>
      <c r="N34" t="s">
        <v>21</v>
      </c>
      <c r="O34">
        <v>1.25</v>
      </c>
      <c r="P34">
        <v>0</v>
      </c>
      <c r="Q34">
        <v>0</v>
      </c>
      <c r="R34">
        <v>0</v>
      </c>
      <c r="S34">
        <v>0</v>
      </c>
      <c r="T34" t="s">
        <v>253</v>
      </c>
      <c r="U34" t="s">
        <v>7</v>
      </c>
      <c r="V34" t="s">
        <v>253</v>
      </c>
      <c r="W34" t="s">
        <v>132</v>
      </c>
      <c r="X34" t="s">
        <v>253</v>
      </c>
      <c r="Y34" t="s">
        <v>235</v>
      </c>
      <c r="Z34" t="s">
        <v>236</v>
      </c>
      <c r="AA34" t="s">
        <v>253</v>
      </c>
      <c r="AB34" t="s">
        <v>121</v>
      </c>
      <c r="AC34" s="235">
        <v>-310000</v>
      </c>
      <c r="AD34" s="235">
        <v>-27033.920731242499</v>
      </c>
      <c r="AE34">
        <v>0</v>
      </c>
      <c r="AF34">
        <v>0</v>
      </c>
      <c r="AG34">
        <v>0</v>
      </c>
      <c r="AH34" s="235">
        <v>-10188.165208104445</v>
      </c>
      <c r="AI34">
        <v>226</v>
      </c>
      <c r="AJ34" t="s">
        <v>256</v>
      </c>
      <c r="AK34">
        <v>0</v>
      </c>
      <c r="AL34">
        <v>0</v>
      </c>
      <c r="AM34">
        <v>0</v>
      </c>
    </row>
    <row r="35" spans="1:39" x14ac:dyDescent="0.25">
      <c r="A35" t="s">
        <v>601</v>
      </c>
      <c r="B35" t="s">
        <v>295</v>
      </c>
      <c r="C35" t="s">
        <v>255</v>
      </c>
      <c r="D35" t="s">
        <v>234</v>
      </c>
      <c r="E35" t="s">
        <v>20</v>
      </c>
      <c r="F35" t="s">
        <v>294</v>
      </c>
      <c r="G35" t="s">
        <v>269</v>
      </c>
      <c r="H35" t="s">
        <v>254</v>
      </c>
      <c r="I35" t="s">
        <v>242</v>
      </c>
      <c r="J35" t="s">
        <v>235</v>
      </c>
      <c r="K35" s="380">
        <v>36800</v>
      </c>
      <c r="L35" s="235">
        <v>7066.6235968552037</v>
      </c>
      <c r="M35" s="380">
        <v>36797</v>
      </c>
      <c r="N35" t="s">
        <v>21</v>
      </c>
      <c r="O35">
        <v>-0.32</v>
      </c>
      <c r="P35">
        <v>0</v>
      </c>
      <c r="Q35">
        <v>0</v>
      </c>
      <c r="R35">
        <v>0</v>
      </c>
      <c r="S35">
        <v>0</v>
      </c>
      <c r="T35" t="s">
        <v>253</v>
      </c>
      <c r="U35" t="s">
        <v>9</v>
      </c>
      <c r="V35" t="s">
        <v>253</v>
      </c>
      <c r="W35" t="s">
        <v>132</v>
      </c>
      <c r="X35" t="s">
        <v>253</v>
      </c>
      <c r="Y35" t="s">
        <v>235</v>
      </c>
      <c r="Z35" t="s">
        <v>236</v>
      </c>
      <c r="AA35" t="s">
        <v>253</v>
      </c>
      <c r="AB35" t="s">
        <v>121</v>
      </c>
      <c r="AC35" s="235">
        <v>310000</v>
      </c>
      <c r="AD35" s="235">
        <v>5556.4659231622936</v>
      </c>
      <c r="AE35">
        <v>0</v>
      </c>
      <c r="AF35">
        <v>0</v>
      </c>
      <c r="AG35">
        <v>0</v>
      </c>
      <c r="AH35" s="235">
        <v>-2595.0692820906825</v>
      </c>
      <c r="AI35">
        <v>226</v>
      </c>
      <c r="AJ35" t="s">
        <v>256</v>
      </c>
      <c r="AK35">
        <v>0</v>
      </c>
      <c r="AL35">
        <v>0</v>
      </c>
      <c r="AM35">
        <v>0</v>
      </c>
    </row>
    <row r="36" spans="1:39" x14ac:dyDescent="0.25">
      <c r="A36" t="s">
        <v>601</v>
      </c>
      <c r="B36" t="s">
        <v>295</v>
      </c>
      <c r="C36" t="s">
        <v>255</v>
      </c>
      <c r="D36" t="s">
        <v>234</v>
      </c>
      <c r="E36" t="s">
        <v>20</v>
      </c>
      <c r="F36" t="s">
        <v>294</v>
      </c>
      <c r="G36" t="s">
        <v>269</v>
      </c>
      <c r="H36" t="s">
        <v>254</v>
      </c>
      <c r="I36" t="s">
        <v>242</v>
      </c>
      <c r="J36" t="s">
        <v>235</v>
      </c>
      <c r="K36" s="380">
        <v>36770</v>
      </c>
      <c r="L36" s="235">
        <v>3.6173228695757231E-2</v>
      </c>
      <c r="M36" s="380">
        <v>36768</v>
      </c>
      <c r="N36" t="s">
        <v>21</v>
      </c>
      <c r="O36">
        <v>-0.32</v>
      </c>
      <c r="P36">
        <v>0</v>
      </c>
      <c r="Q36">
        <v>0</v>
      </c>
      <c r="R36">
        <v>0</v>
      </c>
      <c r="S36">
        <v>0</v>
      </c>
      <c r="T36" t="s">
        <v>253</v>
      </c>
      <c r="U36" t="s">
        <v>9</v>
      </c>
      <c r="V36" t="s">
        <v>253</v>
      </c>
      <c r="W36" t="s">
        <v>132</v>
      </c>
      <c r="X36" t="s">
        <v>253</v>
      </c>
      <c r="Y36" t="s">
        <v>235</v>
      </c>
      <c r="Z36" t="s">
        <v>236</v>
      </c>
      <c r="AA36" t="s">
        <v>253</v>
      </c>
      <c r="AB36" t="s">
        <v>121</v>
      </c>
      <c r="AC36" s="235">
        <v>300000</v>
      </c>
      <c r="AD36" s="235">
        <v>-1.1573564440148232E-2</v>
      </c>
      <c r="AE36">
        <v>0</v>
      </c>
      <c r="AF36">
        <v>0</v>
      </c>
      <c r="AG36">
        <v>0</v>
      </c>
      <c r="AH36" s="235">
        <v>2.3516743219431646E-3</v>
      </c>
      <c r="AI36">
        <v>226</v>
      </c>
      <c r="AJ36" t="s">
        <v>256</v>
      </c>
      <c r="AK36">
        <v>0</v>
      </c>
      <c r="AL36">
        <v>0</v>
      </c>
      <c r="AM36">
        <v>0</v>
      </c>
    </row>
    <row r="37" spans="1:39" x14ac:dyDescent="0.25">
      <c r="A37" t="s">
        <v>601</v>
      </c>
      <c r="B37" t="s">
        <v>296</v>
      </c>
      <c r="C37" t="s">
        <v>255</v>
      </c>
      <c r="D37" t="s">
        <v>234</v>
      </c>
      <c r="E37" t="s">
        <v>20</v>
      </c>
      <c r="F37" t="s">
        <v>294</v>
      </c>
      <c r="G37" t="s">
        <v>269</v>
      </c>
      <c r="H37" t="s">
        <v>254</v>
      </c>
      <c r="I37" t="s">
        <v>242</v>
      </c>
      <c r="J37" t="s">
        <v>235</v>
      </c>
      <c r="K37" s="380">
        <v>36800</v>
      </c>
      <c r="L37" s="235">
        <v>156550.75000271705</v>
      </c>
      <c r="M37" s="380">
        <v>36797</v>
      </c>
      <c r="N37" t="s">
        <v>1</v>
      </c>
      <c r="O37">
        <v>-0.32</v>
      </c>
      <c r="P37">
        <v>0</v>
      </c>
      <c r="Q37">
        <v>0</v>
      </c>
      <c r="R37">
        <v>0</v>
      </c>
      <c r="S37">
        <v>0</v>
      </c>
      <c r="T37" t="s">
        <v>253</v>
      </c>
      <c r="U37" t="s">
        <v>9</v>
      </c>
      <c r="V37" t="s">
        <v>253</v>
      </c>
      <c r="W37" t="s">
        <v>132</v>
      </c>
      <c r="X37" t="s">
        <v>253</v>
      </c>
      <c r="Y37" t="s">
        <v>235</v>
      </c>
      <c r="Z37" t="s">
        <v>236</v>
      </c>
      <c r="AA37" t="s">
        <v>253</v>
      </c>
      <c r="AB37" t="s">
        <v>121</v>
      </c>
      <c r="AC37" s="235">
        <v>310000</v>
      </c>
      <c r="AD37" s="235">
        <v>5556.4659231622936</v>
      </c>
      <c r="AE37">
        <v>0</v>
      </c>
      <c r="AF37">
        <v>0</v>
      </c>
      <c r="AG37">
        <v>0</v>
      </c>
      <c r="AH37" s="235">
        <v>17427.849339428009</v>
      </c>
      <c r="AI37">
        <v>226</v>
      </c>
      <c r="AJ37" t="s">
        <v>256</v>
      </c>
      <c r="AK37">
        <v>0</v>
      </c>
      <c r="AL37">
        <v>0</v>
      </c>
      <c r="AM37">
        <v>0</v>
      </c>
    </row>
    <row r="38" spans="1:39" x14ac:dyDescent="0.25">
      <c r="A38" t="s">
        <v>601</v>
      </c>
      <c r="B38" t="s">
        <v>296</v>
      </c>
      <c r="C38" t="s">
        <v>255</v>
      </c>
      <c r="D38" t="s">
        <v>234</v>
      </c>
      <c r="E38" t="s">
        <v>20</v>
      </c>
      <c r="F38" t="s">
        <v>294</v>
      </c>
      <c r="G38" t="s">
        <v>269</v>
      </c>
      <c r="H38" t="s">
        <v>254</v>
      </c>
      <c r="I38" t="s">
        <v>242</v>
      </c>
      <c r="J38" t="s">
        <v>235</v>
      </c>
      <c r="K38" s="380">
        <v>36770</v>
      </c>
      <c r="L38" s="235">
        <v>275898.47145564808</v>
      </c>
      <c r="M38" s="380">
        <v>36768</v>
      </c>
      <c r="N38" t="s">
        <v>1</v>
      </c>
      <c r="O38">
        <v>-0.32</v>
      </c>
      <c r="P38">
        <v>0</v>
      </c>
      <c r="Q38">
        <v>0</v>
      </c>
      <c r="R38">
        <v>0</v>
      </c>
      <c r="S38">
        <v>0</v>
      </c>
      <c r="T38" t="s">
        <v>253</v>
      </c>
      <c r="U38" t="s">
        <v>9</v>
      </c>
      <c r="V38" t="s">
        <v>253</v>
      </c>
      <c r="W38" t="s">
        <v>132</v>
      </c>
      <c r="X38" t="s">
        <v>253</v>
      </c>
      <c r="Y38" t="s">
        <v>235</v>
      </c>
      <c r="Z38" t="s">
        <v>236</v>
      </c>
      <c r="AA38" t="s">
        <v>253</v>
      </c>
      <c r="AB38" t="s">
        <v>121</v>
      </c>
      <c r="AC38" s="235">
        <v>300000</v>
      </c>
      <c r="AD38" s="235">
        <v>-1.1573564435821027E-2</v>
      </c>
      <c r="AE38">
        <v>0</v>
      </c>
      <c r="AF38">
        <v>0</v>
      </c>
      <c r="AG38">
        <v>0</v>
      </c>
      <c r="AH38" s="235">
        <v>17983.459727202397</v>
      </c>
      <c r="AI38">
        <v>226</v>
      </c>
      <c r="AJ38" t="s">
        <v>256</v>
      </c>
      <c r="AK38">
        <v>0</v>
      </c>
      <c r="AL38">
        <v>0</v>
      </c>
      <c r="AM38">
        <v>0</v>
      </c>
    </row>
    <row r="39" spans="1:39" x14ac:dyDescent="0.25">
      <c r="A39" t="s">
        <v>601</v>
      </c>
      <c r="B39" t="s">
        <v>297</v>
      </c>
      <c r="C39" t="s">
        <v>255</v>
      </c>
      <c r="D39" t="s">
        <v>234</v>
      </c>
      <c r="E39" t="s">
        <v>20</v>
      </c>
      <c r="F39" t="s">
        <v>294</v>
      </c>
      <c r="G39" t="s">
        <v>269</v>
      </c>
      <c r="H39" t="s">
        <v>254</v>
      </c>
      <c r="I39" t="s">
        <v>242</v>
      </c>
      <c r="J39" t="s">
        <v>235</v>
      </c>
      <c r="K39" s="380">
        <v>36800</v>
      </c>
      <c r="L39" s="235">
        <v>270956.09386838152</v>
      </c>
      <c r="M39" s="380">
        <v>36797</v>
      </c>
      <c r="N39" t="s">
        <v>1</v>
      </c>
      <c r="O39">
        <v>-0.4</v>
      </c>
      <c r="P39">
        <v>0</v>
      </c>
      <c r="Q39">
        <v>0</v>
      </c>
      <c r="R39">
        <v>0</v>
      </c>
      <c r="S39">
        <v>0</v>
      </c>
      <c r="T39" t="s">
        <v>253</v>
      </c>
      <c r="U39" t="s">
        <v>9</v>
      </c>
      <c r="V39" t="s">
        <v>253</v>
      </c>
      <c r="W39" t="s">
        <v>132</v>
      </c>
      <c r="X39" t="s">
        <v>253</v>
      </c>
      <c r="Y39" t="s">
        <v>235</v>
      </c>
      <c r="Z39" t="s">
        <v>236</v>
      </c>
      <c r="AA39" t="s">
        <v>253</v>
      </c>
      <c r="AB39" t="s">
        <v>121</v>
      </c>
      <c r="AC39" s="235">
        <v>620000</v>
      </c>
      <c r="AD39" s="235">
        <v>13827.187364491518</v>
      </c>
      <c r="AE39">
        <v>0</v>
      </c>
      <c r="AF39">
        <v>0</v>
      </c>
      <c r="AG39">
        <v>0</v>
      </c>
      <c r="AH39" s="235">
        <v>32972.579975426779</v>
      </c>
      <c r="AI39">
        <v>226</v>
      </c>
      <c r="AJ39" t="s">
        <v>256</v>
      </c>
      <c r="AK39">
        <v>0</v>
      </c>
      <c r="AL39">
        <v>0</v>
      </c>
      <c r="AM39">
        <v>0</v>
      </c>
    </row>
    <row r="40" spans="1:39" x14ac:dyDescent="0.25">
      <c r="A40" t="s">
        <v>601</v>
      </c>
      <c r="B40" t="s">
        <v>297</v>
      </c>
      <c r="C40" t="s">
        <v>255</v>
      </c>
      <c r="D40" t="s">
        <v>234</v>
      </c>
      <c r="E40" t="s">
        <v>20</v>
      </c>
      <c r="F40" t="s">
        <v>294</v>
      </c>
      <c r="G40" t="s">
        <v>269</v>
      </c>
      <c r="H40" t="s">
        <v>254</v>
      </c>
      <c r="I40" t="s">
        <v>242</v>
      </c>
      <c r="J40" t="s">
        <v>235</v>
      </c>
      <c r="K40" s="380">
        <v>36770</v>
      </c>
      <c r="L40" s="235">
        <v>503814.60004883655</v>
      </c>
      <c r="M40" s="380">
        <v>36768</v>
      </c>
      <c r="N40" t="s">
        <v>1</v>
      </c>
      <c r="O40">
        <v>-0.4</v>
      </c>
      <c r="P40">
        <v>0</v>
      </c>
      <c r="Q40">
        <v>0</v>
      </c>
      <c r="R40">
        <v>0</v>
      </c>
      <c r="S40">
        <v>0</v>
      </c>
      <c r="T40" t="s">
        <v>253</v>
      </c>
      <c r="U40" t="s">
        <v>9</v>
      </c>
      <c r="V40" t="s">
        <v>253</v>
      </c>
      <c r="W40" t="s">
        <v>132</v>
      </c>
      <c r="X40" t="s">
        <v>253</v>
      </c>
      <c r="Y40" t="s">
        <v>235</v>
      </c>
      <c r="Z40" t="s">
        <v>236</v>
      </c>
      <c r="AA40" t="s">
        <v>253</v>
      </c>
      <c r="AB40" t="s">
        <v>121</v>
      </c>
      <c r="AC40" s="235">
        <v>600000</v>
      </c>
      <c r="AD40" s="235">
        <v>-2.3147128988057375E-2</v>
      </c>
      <c r="AE40">
        <v>0</v>
      </c>
      <c r="AF40">
        <v>0</v>
      </c>
      <c r="AG40">
        <v>0</v>
      </c>
      <c r="AH40" s="235">
        <v>35966.919310587167</v>
      </c>
      <c r="AI40">
        <v>226</v>
      </c>
      <c r="AJ40" t="s">
        <v>256</v>
      </c>
      <c r="AK40">
        <v>0</v>
      </c>
      <c r="AL40">
        <v>0</v>
      </c>
      <c r="AM40">
        <v>0</v>
      </c>
    </row>
    <row r="41" spans="1:39" x14ac:dyDescent="0.25">
      <c r="A41" t="s">
        <v>601</v>
      </c>
      <c r="B41" t="s">
        <v>298</v>
      </c>
      <c r="C41" t="s">
        <v>255</v>
      </c>
      <c r="D41" t="s">
        <v>234</v>
      </c>
      <c r="E41" t="s">
        <v>20</v>
      </c>
      <c r="F41" t="s">
        <v>268</v>
      </c>
      <c r="G41" t="s">
        <v>269</v>
      </c>
      <c r="H41" t="s">
        <v>254</v>
      </c>
      <c r="I41" t="s">
        <v>242</v>
      </c>
      <c r="J41" t="s">
        <v>235</v>
      </c>
      <c r="K41" s="380">
        <v>36800</v>
      </c>
      <c r="L41" s="235">
        <v>4800.7764660175344</v>
      </c>
      <c r="M41" s="380">
        <v>36797</v>
      </c>
      <c r="N41" t="s">
        <v>21</v>
      </c>
      <c r="O41">
        <v>-0.25</v>
      </c>
      <c r="P41">
        <v>0</v>
      </c>
      <c r="Q41">
        <v>0</v>
      </c>
      <c r="R41">
        <v>0</v>
      </c>
      <c r="S41">
        <v>0</v>
      </c>
      <c r="T41" t="s">
        <v>253</v>
      </c>
      <c r="U41" t="s">
        <v>9</v>
      </c>
      <c r="V41" t="s">
        <v>253</v>
      </c>
      <c r="W41" t="s">
        <v>132</v>
      </c>
      <c r="X41" t="s">
        <v>253</v>
      </c>
      <c r="Y41" t="s">
        <v>235</v>
      </c>
      <c r="Z41" t="s">
        <v>236</v>
      </c>
      <c r="AA41" t="s">
        <v>253</v>
      </c>
      <c r="AB41" t="s">
        <v>121</v>
      </c>
      <c r="AC41" s="235">
        <v>310000</v>
      </c>
      <c r="AD41" s="235">
        <v>4423.4779449620437</v>
      </c>
      <c r="AE41">
        <v>0</v>
      </c>
      <c r="AF41">
        <v>0</v>
      </c>
      <c r="AG41">
        <v>0</v>
      </c>
      <c r="AH41" s="235">
        <v>-1922.4470824384944</v>
      </c>
      <c r="AI41">
        <v>226</v>
      </c>
      <c r="AJ41" t="s">
        <v>256</v>
      </c>
      <c r="AK41">
        <v>0</v>
      </c>
      <c r="AL41">
        <v>0</v>
      </c>
      <c r="AM41">
        <v>0</v>
      </c>
    </row>
    <row r="42" spans="1:39" x14ac:dyDescent="0.25">
      <c r="A42" t="s">
        <v>601</v>
      </c>
      <c r="B42" t="s">
        <v>298</v>
      </c>
      <c r="C42" t="s">
        <v>255</v>
      </c>
      <c r="D42" t="s">
        <v>234</v>
      </c>
      <c r="E42" t="s">
        <v>20</v>
      </c>
      <c r="F42" t="s">
        <v>268</v>
      </c>
      <c r="G42" t="s">
        <v>269</v>
      </c>
      <c r="H42" t="s">
        <v>254</v>
      </c>
      <c r="I42" t="s">
        <v>242</v>
      </c>
      <c r="J42" t="s">
        <v>235</v>
      </c>
      <c r="K42" s="380">
        <v>36770</v>
      </c>
      <c r="L42" s="235">
        <v>3.8925805420642057E-2</v>
      </c>
      <c r="M42" s="380">
        <v>36768</v>
      </c>
      <c r="N42" t="s">
        <v>21</v>
      </c>
      <c r="O42">
        <v>-0.25</v>
      </c>
      <c r="P42">
        <v>0</v>
      </c>
      <c r="Q42">
        <v>0</v>
      </c>
      <c r="R42">
        <v>0</v>
      </c>
      <c r="S42">
        <v>0</v>
      </c>
      <c r="T42" t="s">
        <v>253</v>
      </c>
      <c r="U42" t="s">
        <v>9</v>
      </c>
      <c r="V42" t="s">
        <v>253</v>
      </c>
      <c r="W42" t="s">
        <v>132</v>
      </c>
      <c r="X42" t="s">
        <v>253</v>
      </c>
      <c r="Y42" t="s">
        <v>235</v>
      </c>
      <c r="Z42" t="s">
        <v>236</v>
      </c>
      <c r="AA42" t="s">
        <v>253</v>
      </c>
      <c r="AB42" t="s">
        <v>121</v>
      </c>
      <c r="AC42" s="235">
        <v>300000</v>
      </c>
      <c r="AD42" s="235">
        <v>-1.1573564673295067E-2</v>
      </c>
      <c r="AE42">
        <v>0</v>
      </c>
      <c r="AF42">
        <v>0</v>
      </c>
      <c r="AG42">
        <v>0</v>
      </c>
      <c r="AH42" s="235">
        <v>2.3531673942756015E-3</v>
      </c>
      <c r="AI42">
        <v>226</v>
      </c>
      <c r="AJ42" t="s">
        <v>256</v>
      </c>
      <c r="AK42">
        <v>0</v>
      </c>
      <c r="AL42">
        <v>0</v>
      </c>
      <c r="AM42">
        <v>0</v>
      </c>
    </row>
    <row r="43" spans="1:39" x14ac:dyDescent="0.25">
      <c r="A43" t="s">
        <v>601</v>
      </c>
      <c r="B43" t="s">
        <v>299</v>
      </c>
      <c r="C43" t="s">
        <v>255</v>
      </c>
      <c r="D43" t="s">
        <v>234</v>
      </c>
      <c r="E43" t="s">
        <v>20</v>
      </c>
      <c r="F43" t="s">
        <v>286</v>
      </c>
      <c r="G43" t="s">
        <v>269</v>
      </c>
      <c r="H43" t="s">
        <v>254</v>
      </c>
      <c r="I43" t="s">
        <v>242</v>
      </c>
      <c r="J43" t="s">
        <v>235</v>
      </c>
      <c r="K43" s="380">
        <v>36800</v>
      </c>
      <c r="L43" s="235">
        <v>6344.3466982786749</v>
      </c>
      <c r="M43" s="380">
        <v>36797</v>
      </c>
      <c r="N43" t="s">
        <v>21</v>
      </c>
      <c r="O43">
        <v>-0.3</v>
      </c>
      <c r="P43">
        <v>0</v>
      </c>
      <c r="Q43">
        <v>0</v>
      </c>
      <c r="R43">
        <v>0</v>
      </c>
      <c r="S43">
        <v>0</v>
      </c>
      <c r="T43" t="s">
        <v>253</v>
      </c>
      <c r="U43" t="s">
        <v>9</v>
      </c>
      <c r="V43" t="s">
        <v>253</v>
      </c>
      <c r="W43" t="s">
        <v>132</v>
      </c>
      <c r="X43" t="s">
        <v>253</v>
      </c>
      <c r="Y43" t="s">
        <v>235</v>
      </c>
      <c r="Z43" t="s">
        <v>236</v>
      </c>
      <c r="AA43" t="s">
        <v>253</v>
      </c>
      <c r="AB43" t="s">
        <v>121</v>
      </c>
      <c r="AC43" s="235">
        <v>310000</v>
      </c>
      <c r="AD43" s="235">
        <v>5224.3341106869921</v>
      </c>
      <c r="AE43">
        <v>0</v>
      </c>
      <c r="AF43">
        <v>0</v>
      </c>
      <c r="AG43">
        <v>0</v>
      </c>
      <c r="AH43" s="235">
        <v>-2388.5629839263929</v>
      </c>
      <c r="AI43">
        <v>226</v>
      </c>
      <c r="AJ43" t="s">
        <v>256</v>
      </c>
      <c r="AK43">
        <v>0</v>
      </c>
      <c r="AL43">
        <v>0</v>
      </c>
      <c r="AM43">
        <v>0</v>
      </c>
    </row>
    <row r="44" spans="1:39" x14ac:dyDescent="0.25">
      <c r="A44" t="s">
        <v>601</v>
      </c>
      <c r="B44" t="s">
        <v>299</v>
      </c>
      <c r="C44" t="s">
        <v>255</v>
      </c>
      <c r="D44" t="s">
        <v>234</v>
      </c>
      <c r="E44" t="s">
        <v>20</v>
      </c>
      <c r="F44" t="s">
        <v>286</v>
      </c>
      <c r="G44" t="s">
        <v>269</v>
      </c>
      <c r="H44" t="s">
        <v>254</v>
      </c>
      <c r="I44" t="s">
        <v>242</v>
      </c>
      <c r="J44" t="s">
        <v>235</v>
      </c>
      <c r="K44" s="380">
        <v>36800</v>
      </c>
      <c r="L44" s="235">
        <v>161992.76697654725</v>
      </c>
      <c r="M44" s="380">
        <v>36797</v>
      </c>
      <c r="N44" t="s">
        <v>1</v>
      </c>
      <c r="O44">
        <v>-0.3</v>
      </c>
      <c r="P44">
        <v>0</v>
      </c>
      <c r="Q44">
        <v>0</v>
      </c>
      <c r="R44">
        <v>0</v>
      </c>
      <c r="S44">
        <v>0</v>
      </c>
      <c r="T44" t="s">
        <v>253</v>
      </c>
      <c r="U44" t="s">
        <v>9</v>
      </c>
      <c r="V44" t="s">
        <v>253</v>
      </c>
      <c r="W44" t="s">
        <v>132</v>
      </c>
      <c r="X44" t="s">
        <v>253</v>
      </c>
      <c r="Y44" t="s">
        <v>235</v>
      </c>
      <c r="Z44" t="s">
        <v>236</v>
      </c>
      <c r="AA44" t="s">
        <v>253</v>
      </c>
      <c r="AB44" t="s">
        <v>121</v>
      </c>
      <c r="AC44" s="235">
        <v>310000</v>
      </c>
      <c r="AD44" s="235">
        <v>5224.3341106870212</v>
      </c>
      <c r="AE44">
        <v>0</v>
      </c>
      <c r="AF44">
        <v>0</v>
      </c>
      <c r="AG44">
        <v>0</v>
      </c>
      <c r="AH44" s="235">
        <v>17634.355637592555</v>
      </c>
      <c r="AI44">
        <v>226</v>
      </c>
      <c r="AJ44" t="s">
        <v>256</v>
      </c>
      <c r="AK44">
        <v>0</v>
      </c>
      <c r="AL44">
        <v>0</v>
      </c>
      <c r="AM44">
        <v>0</v>
      </c>
    </row>
    <row r="45" spans="1:39" x14ac:dyDescent="0.25">
      <c r="A45" t="s">
        <v>601</v>
      </c>
      <c r="B45" t="s">
        <v>299</v>
      </c>
      <c r="C45" t="s">
        <v>255</v>
      </c>
      <c r="D45" t="s">
        <v>234</v>
      </c>
      <c r="E45" t="s">
        <v>20</v>
      </c>
      <c r="F45" t="s">
        <v>286</v>
      </c>
      <c r="G45" t="s">
        <v>269</v>
      </c>
      <c r="H45" t="s">
        <v>254</v>
      </c>
      <c r="I45" t="s">
        <v>242</v>
      </c>
      <c r="J45" t="s">
        <v>235</v>
      </c>
      <c r="K45" s="380">
        <v>36770</v>
      </c>
      <c r="L45" s="235">
        <v>3.6959679283743441E-2</v>
      </c>
      <c r="M45" s="380">
        <v>36768</v>
      </c>
      <c r="N45" t="s">
        <v>21</v>
      </c>
      <c r="O45">
        <v>-0.3</v>
      </c>
      <c r="P45">
        <v>0</v>
      </c>
      <c r="Q45">
        <v>0</v>
      </c>
      <c r="R45">
        <v>0</v>
      </c>
      <c r="S45">
        <v>0</v>
      </c>
      <c r="T45" t="s">
        <v>253</v>
      </c>
      <c r="U45" t="s">
        <v>9</v>
      </c>
      <c r="V45" t="s">
        <v>253</v>
      </c>
      <c r="W45" t="s">
        <v>132</v>
      </c>
      <c r="X45" t="s">
        <v>253</v>
      </c>
      <c r="Y45" t="s">
        <v>235</v>
      </c>
      <c r="Z45" t="s">
        <v>236</v>
      </c>
      <c r="AA45" t="s">
        <v>253</v>
      </c>
      <c r="AB45" t="s">
        <v>121</v>
      </c>
      <c r="AC45" s="235">
        <v>300000</v>
      </c>
      <c r="AD45" s="235">
        <v>-1.1573564606681686E-2</v>
      </c>
      <c r="AE45">
        <v>0</v>
      </c>
      <c r="AF45">
        <v>0</v>
      </c>
      <c r="AG45">
        <v>0</v>
      </c>
      <c r="AH45" s="235">
        <v>2.3526582015875874E-3</v>
      </c>
      <c r="AI45">
        <v>226</v>
      </c>
      <c r="AJ45" t="s">
        <v>256</v>
      </c>
      <c r="AK45">
        <v>0</v>
      </c>
      <c r="AL45">
        <v>0</v>
      </c>
      <c r="AM45">
        <v>0</v>
      </c>
    </row>
    <row r="46" spans="1:39" x14ac:dyDescent="0.25">
      <c r="A46" t="s">
        <v>601</v>
      </c>
      <c r="B46" t="s">
        <v>299</v>
      </c>
      <c r="C46" t="s">
        <v>255</v>
      </c>
      <c r="D46" t="s">
        <v>234</v>
      </c>
      <c r="E46" t="s">
        <v>20</v>
      </c>
      <c r="F46" t="s">
        <v>286</v>
      </c>
      <c r="G46" t="s">
        <v>269</v>
      </c>
      <c r="H46" t="s">
        <v>254</v>
      </c>
      <c r="I46" t="s">
        <v>242</v>
      </c>
      <c r="J46" t="s">
        <v>235</v>
      </c>
      <c r="K46" s="380">
        <v>36770</v>
      </c>
      <c r="L46" s="235">
        <v>281896.26431345561</v>
      </c>
      <c r="M46" s="380">
        <v>36768</v>
      </c>
      <c r="N46" t="s">
        <v>1</v>
      </c>
      <c r="O46">
        <v>-0.3</v>
      </c>
      <c r="P46">
        <v>0</v>
      </c>
      <c r="Q46">
        <v>0</v>
      </c>
      <c r="R46">
        <v>0</v>
      </c>
      <c r="S46">
        <v>0</v>
      </c>
      <c r="T46" t="s">
        <v>253</v>
      </c>
      <c r="U46" t="s">
        <v>9</v>
      </c>
      <c r="V46" t="s">
        <v>253</v>
      </c>
      <c r="W46" t="s">
        <v>132</v>
      </c>
      <c r="X46" t="s">
        <v>253</v>
      </c>
      <c r="Y46" t="s">
        <v>235</v>
      </c>
      <c r="Z46" t="s">
        <v>236</v>
      </c>
      <c r="AA46" t="s">
        <v>253</v>
      </c>
      <c r="AB46" t="s">
        <v>121</v>
      </c>
      <c r="AC46" s="235">
        <v>300000</v>
      </c>
      <c r="AD46" s="235">
        <v>-1.1573564610444009E-2</v>
      </c>
      <c r="AE46">
        <v>0</v>
      </c>
      <c r="AF46">
        <v>0</v>
      </c>
      <c r="AG46">
        <v>0</v>
      </c>
      <c r="AH46" s="235">
        <v>17983.459728186193</v>
      </c>
      <c r="AI46">
        <v>226</v>
      </c>
      <c r="AJ46" t="s">
        <v>256</v>
      </c>
      <c r="AK46">
        <v>0</v>
      </c>
      <c r="AL46">
        <v>0</v>
      </c>
      <c r="AM46">
        <v>0</v>
      </c>
    </row>
    <row r="47" spans="1:39" x14ac:dyDescent="0.25">
      <c r="A47" t="s">
        <v>601</v>
      </c>
      <c r="B47" t="s">
        <v>300</v>
      </c>
      <c r="C47" t="s">
        <v>255</v>
      </c>
      <c r="D47" t="s">
        <v>234</v>
      </c>
      <c r="E47" t="s">
        <v>20</v>
      </c>
      <c r="F47" t="s">
        <v>279</v>
      </c>
      <c r="G47" t="s">
        <v>269</v>
      </c>
      <c r="H47" t="s">
        <v>254</v>
      </c>
      <c r="I47" t="s">
        <v>242</v>
      </c>
      <c r="J47" t="s">
        <v>235</v>
      </c>
      <c r="K47" s="380">
        <v>36923</v>
      </c>
      <c r="L47" s="235">
        <v>102538.00368606592</v>
      </c>
      <c r="M47" s="380">
        <v>36921</v>
      </c>
      <c r="N47" t="s">
        <v>1</v>
      </c>
      <c r="O47">
        <v>1</v>
      </c>
      <c r="P47">
        <v>0</v>
      </c>
      <c r="Q47">
        <v>0</v>
      </c>
      <c r="R47">
        <v>0</v>
      </c>
      <c r="S47">
        <v>0</v>
      </c>
      <c r="T47" t="s">
        <v>253</v>
      </c>
      <c r="U47" t="s">
        <v>7</v>
      </c>
      <c r="V47" t="s">
        <v>253</v>
      </c>
      <c r="W47" t="s">
        <v>132</v>
      </c>
      <c r="X47" t="s">
        <v>253</v>
      </c>
      <c r="Y47" t="s">
        <v>235</v>
      </c>
      <c r="Z47" t="s">
        <v>236</v>
      </c>
      <c r="AA47" t="s">
        <v>253</v>
      </c>
      <c r="AB47" t="s">
        <v>121</v>
      </c>
      <c r="AC47" s="235">
        <v>500000</v>
      </c>
      <c r="AD47" s="235">
        <v>35321.254205072255</v>
      </c>
      <c r="AE47">
        <v>0</v>
      </c>
      <c r="AF47">
        <v>0</v>
      </c>
      <c r="AG47">
        <v>0</v>
      </c>
      <c r="AH47" s="235">
        <v>-5238.9851098930667</v>
      </c>
      <c r="AI47">
        <v>226</v>
      </c>
      <c r="AJ47" t="s">
        <v>256</v>
      </c>
      <c r="AK47">
        <v>0</v>
      </c>
      <c r="AL47">
        <v>0</v>
      </c>
      <c r="AM47">
        <v>0</v>
      </c>
    </row>
    <row r="48" spans="1:39" x14ac:dyDescent="0.25">
      <c r="A48" t="s">
        <v>601</v>
      </c>
      <c r="B48" t="s">
        <v>300</v>
      </c>
      <c r="C48" t="s">
        <v>255</v>
      </c>
      <c r="D48" t="s">
        <v>234</v>
      </c>
      <c r="E48" t="s">
        <v>20</v>
      </c>
      <c r="F48" t="s">
        <v>279</v>
      </c>
      <c r="G48" t="s">
        <v>269</v>
      </c>
      <c r="H48" t="s">
        <v>254</v>
      </c>
      <c r="I48" t="s">
        <v>242</v>
      </c>
      <c r="J48" t="s">
        <v>235</v>
      </c>
      <c r="K48" s="380">
        <v>36892</v>
      </c>
      <c r="L48" s="235">
        <v>83410.80436090054</v>
      </c>
      <c r="M48" s="380">
        <v>36888</v>
      </c>
      <c r="N48" t="s">
        <v>1</v>
      </c>
      <c r="O48">
        <v>1</v>
      </c>
      <c r="P48">
        <v>0</v>
      </c>
      <c r="Q48">
        <v>0</v>
      </c>
      <c r="R48">
        <v>0</v>
      </c>
      <c r="S48">
        <v>0</v>
      </c>
      <c r="T48" t="s">
        <v>253</v>
      </c>
      <c r="U48" t="s">
        <v>7</v>
      </c>
      <c r="V48" t="s">
        <v>253</v>
      </c>
      <c r="W48" t="s">
        <v>132</v>
      </c>
      <c r="X48" t="s">
        <v>253</v>
      </c>
      <c r="Y48" t="s">
        <v>235</v>
      </c>
      <c r="Z48" t="s">
        <v>236</v>
      </c>
      <c r="AA48" t="s">
        <v>253</v>
      </c>
      <c r="AB48" t="s">
        <v>121</v>
      </c>
      <c r="AC48" s="235">
        <v>500000</v>
      </c>
      <c r="AD48" s="235">
        <v>30166.831542529413</v>
      </c>
      <c r="AE48">
        <v>0</v>
      </c>
      <c r="AF48">
        <v>0</v>
      </c>
      <c r="AG48">
        <v>0</v>
      </c>
      <c r="AH48" s="235">
        <v>-3871.8307403988729</v>
      </c>
      <c r="AI48">
        <v>226</v>
      </c>
      <c r="AJ48" t="s">
        <v>256</v>
      </c>
      <c r="AK48">
        <v>0</v>
      </c>
      <c r="AL48">
        <v>0</v>
      </c>
      <c r="AM48">
        <v>0</v>
      </c>
    </row>
    <row r="49" spans="1:39" x14ac:dyDescent="0.25">
      <c r="A49" t="s">
        <v>601</v>
      </c>
      <c r="B49" t="s">
        <v>300</v>
      </c>
      <c r="C49" t="s">
        <v>255</v>
      </c>
      <c r="D49" t="s">
        <v>234</v>
      </c>
      <c r="E49" t="s">
        <v>20</v>
      </c>
      <c r="F49" t="s">
        <v>279</v>
      </c>
      <c r="G49" t="s">
        <v>269</v>
      </c>
      <c r="H49" t="s">
        <v>254</v>
      </c>
      <c r="I49" t="s">
        <v>242</v>
      </c>
      <c r="J49" t="s">
        <v>235</v>
      </c>
      <c r="K49" s="380">
        <v>36861</v>
      </c>
      <c r="L49" s="235">
        <v>111797.4485597843</v>
      </c>
      <c r="M49" s="380">
        <v>36859</v>
      </c>
      <c r="N49" t="s">
        <v>1</v>
      </c>
      <c r="O49">
        <v>1</v>
      </c>
      <c r="P49">
        <v>0</v>
      </c>
      <c r="Q49">
        <v>0</v>
      </c>
      <c r="R49">
        <v>0</v>
      </c>
      <c r="S49">
        <v>0</v>
      </c>
      <c r="T49" t="s">
        <v>253</v>
      </c>
      <c r="U49" t="s">
        <v>7</v>
      </c>
      <c r="V49" t="s">
        <v>253</v>
      </c>
      <c r="W49" t="s">
        <v>132</v>
      </c>
      <c r="X49" t="s">
        <v>253</v>
      </c>
      <c r="Y49" t="s">
        <v>235</v>
      </c>
      <c r="Z49" t="s">
        <v>236</v>
      </c>
      <c r="AA49" t="s">
        <v>253</v>
      </c>
      <c r="AB49" t="s">
        <v>121</v>
      </c>
      <c r="AC49" s="235">
        <v>500000</v>
      </c>
      <c r="AD49" s="235">
        <v>31757.126713017336</v>
      </c>
      <c r="AE49">
        <v>0</v>
      </c>
      <c r="AF49">
        <v>0</v>
      </c>
      <c r="AG49">
        <v>0</v>
      </c>
      <c r="AH49" s="235">
        <v>-4345.4608277247025</v>
      </c>
      <c r="AI49">
        <v>226</v>
      </c>
      <c r="AJ49" t="s">
        <v>256</v>
      </c>
      <c r="AK49">
        <v>0</v>
      </c>
      <c r="AL49">
        <v>0</v>
      </c>
      <c r="AM49">
        <v>0</v>
      </c>
    </row>
    <row r="50" spans="1:39" x14ac:dyDescent="0.25">
      <c r="A50" t="s">
        <v>601</v>
      </c>
      <c r="B50" t="s">
        <v>301</v>
      </c>
      <c r="C50" t="s">
        <v>255</v>
      </c>
      <c r="D50" t="s">
        <v>234</v>
      </c>
      <c r="E50" t="s">
        <v>20</v>
      </c>
      <c r="F50" t="s">
        <v>294</v>
      </c>
      <c r="G50" t="s">
        <v>269</v>
      </c>
      <c r="H50" t="s">
        <v>254</v>
      </c>
      <c r="I50" t="s">
        <v>242</v>
      </c>
      <c r="J50" t="s">
        <v>235</v>
      </c>
      <c r="K50" s="380">
        <v>36951</v>
      </c>
      <c r="L50" s="235">
        <v>171077.44847212691</v>
      </c>
      <c r="M50" s="380">
        <v>36949</v>
      </c>
      <c r="N50" t="s">
        <v>1</v>
      </c>
      <c r="O50">
        <v>0.75</v>
      </c>
      <c r="P50">
        <v>0</v>
      </c>
      <c r="Q50">
        <v>0</v>
      </c>
      <c r="R50">
        <v>0</v>
      </c>
      <c r="S50">
        <v>0</v>
      </c>
      <c r="T50" t="s">
        <v>253</v>
      </c>
      <c r="U50" t="s">
        <v>7</v>
      </c>
      <c r="V50" t="s">
        <v>253</v>
      </c>
      <c r="W50" t="s">
        <v>132</v>
      </c>
      <c r="X50" t="s">
        <v>253</v>
      </c>
      <c r="Y50" t="s">
        <v>235</v>
      </c>
      <c r="Z50" t="s">
        <v>236</v>
      </c>
      <c r="AA50" t="s">
        <v>253</v>
      </c>
      <c r="AB50" t="s">
        <v>121</v>
      </c>
      <c r="AC50" s="235">
        <v>500000</v>
      </c>
      <c r="AD50" s="235">
        <v>43710.151473572099</v>
      </c>
      <c r="AE50">
        <v>0</v>
      </c>
      <c r="AF50">
        <v>0</v>
      </c>
      <c r="AG50">
        <v>0</v>
      </c>
      <c r="AH50" s="235">
        <v>-8168.6097124045191</v>
      </c>
      <c r="AI50">
        <v>226</v>
      </c>
      <c r="AJ50" t="s">
        <v>256</v>
      </c>
      <c r="AK50">
        <v>0</v>
      </c>
      <c r="AL50">
        <v>0</v>
      </c>
      <c r="AM50">
        <v>0</v>
      </c>
    </row>
    <row r="51" spans="1:39" x14ac:dyDescent="0.25">
      <c r="A51" t="s">
        <v>601</v>
      </c>
      <c r="B51" t="s">
        <v>301</v>
      </c>
      <c r="C51" t="s">
        <v>255</v>
      </c>
      <c r="D51" t="s">
        <v>234</v>
      </c>
      <c r="E51" t="s">
        <v>20</v>
      </c>
      <c r="F51" t="s">
        <v>294</v>
      </c>
      <c r="G51" t="s">
        <v>269</v>
      </c>
      <c r="H51" t="s">
        <v>254</v>
      </c>
      <c r="I51" t="s">
        <v>242</v>
      </c>
      <c r="J51" t="s">
        <v>235</v>
      </c>
      <c r="K51" s="380">
        <v>36923</v>
      </c>
      <c r="L51" s="235">
        <v>70124.249611158535</v>
      </c>
      <c r="M51" s="380">
        <v>36921</v>
      </c>
      <c r="N51" t="s">
        <v>1</v>
      </c>
      <c r="O51">
        <v>0.75</v>
      </c>
      <c r="P51">
        <v>0</v>
      </c>
      <c r="Q51">
        <v>0</v>
      </c>
      <c r="R51">
        <v>0</v>
      </c>
      <c r="S51">
        <v>0</v>
      </c>
      <c r="T51" t="s">
        <v>253</v>
      </c>
      <c r="U51" t="s">
        <v>7</v>
      </c>
      <c r="V51" t="s">
        <v>253</v>
      </c>
      <c r="W51" t="s">
        <v>132</v>
      </c>
      <c r="X51" t="s">
        <v>253</v>
      </c>
      <c r="Y51" t="s">
        <v>235</v>
      </c>
      <c r="Z51" t="s">
        <v>236</v>
      </c>
      <c r="AA51" t="s">
        <v>253</v>
      </c>
      <c r="AB51" t="s">
        <v>121</v>
      </c>
      <c r="AC51" s="235">
        <v>500000</v>
      </c>
      <c r="AD51" s="235">
        <v>30734.785796236509</v>
      </c>
      <c r="AE51">
        <v>0</v>
      </c>
      <c r="AF51">
        <v>0</v>
      </c>
      <c r="AG51">
        <v>0</v>
      </c>
      <c r="AH51" s="235">
        <v>-3753.3510640277527</v>
      </c>
      <c r="AI51">
        <v>226</v>
      </c>
      <c r="AJ51" t="s">
        <v>256</v>
      </c>
      <c r="AK51">
        <v>0</v>
      </c>
      <c r="AL51">
        <v>0</v>
      </c>
      <c r="AM51">
        <v>0</v>
      </c>
    </row>
    <row r="52" spans="1:39" x14ac:dyDescent="0.25">
      <c r="A52" t="s">
        <v>601</v>
      </c>
      <c r="B52" t="s">
        <v>301</v>
      </c>
      <c r="C52" t="s">
        <v>255</v>
      </c>
      <c r="D52" t="s">
        <v>234</v>
      </c>
      <c r="E52" t="s">
        <v>20</v>
      </c>
      <c r="F52" t="s">
        <v>294</v>
      </c>
      <c r="G52" t="s">
        <v>269</v>
      </c>
      <c r="H52" t="s">
        <v>254</v>
      </c>
      <c r="I52" t="s">
        <v>242</v>
      </c>
      <c r="J52" t="s">
        <v>235</v>
      </c>
      <c r="K52" s="380">
        <v>36892</v>
      </c>
      <c r="L52" s="235">
        <v>55369.844724811934</v>
      </c>
      <c r="M52" s="380">
        <v>36888</v>
      </c>
      <c r="N52" t="s">
        <v>1</v>
      </c>
      <c r="O52">
        <v>0.75</v>
      </c>
      <c r="P52">
        <v>0</v>
      </c>
      <c r="Q52">
        <v>0</v>
      </c>
      <c r="R52">
        <v>0</v>
      </c>
      <c r="S52">
        <v>0</v>
      </c>
      <c r="T52" t="s">
        <v>253</v>
      </c>
      <c r="U52" t="s">
        <v>7</v>
      </c>
      <c r="V52" t="s">
        <v>253</v>
      </c>
      <c r="W52" t="s">
        <v>132</v>
      </c>
      <c r="X52" t="s">
        <v>253</v>
      </c>
      <c r="Y52" t="s">
        <v>235</v>
      </c>
      <c r="Z52" t="s">
        <v>236</v>
      </c>
      <c r="AA52" t="s">
        <v>253</v>
      </c>
      <c r="AB52" t="s">
        <v>121</v>
      </c>
      <c r="AC52" s="235">
        <v>500000</v>
      </c>
      <c r="AD52" s="235">
        <v>25488.871766922552</v>
      </c>
      <c r="AE52">
        <v>0</v>
      </c>
      <c r="AF52">
        <v>0</v>
      </c>
      <c r="AG52">
        <v>0</v>
      </c>
      <c r="AH52" s="235">
        <v>-2670.9125970105815</v>
      </c>
      <c r="AI52">
        <v>226</v>
      </c>
      <c r="AJ52" t="s">
        <v>256</v>
      </c>
      <c r="AK52">
        <v>0</v>
      </c>
      <c r="AL52">
        <v>0</v>
      </c>
      <c r="AM52">
        <v>0</v>
      </c>
    </row>
    <row r="53" spans="1:39" x14ac:dyDescent="0.25">
      <c r="A53" t="s">
        <v>601</v>
      </c>
      <c r="B53" t="s">
        <v>301</v>
      </c>
      <c r="C53" t="s">
        <v>255</v>
      </c>
      <c r="D53" t="s">
        <v>234</v>
      </c>
      <c r="E53" t="s">
        <v>20</v>
      </c>
      <c r="F53" t="s">
        <v>294</v>
      </c>
      <c r="G53" t="s">
        <v>269</v>
      </c>
      <c r="H53" t="s">
        <v>254</v>
      </c>
      <c r="I53" t="s">
        <v>242</v>
      </c>
      <c r="J53" t="s">
        <v>235</v>
      </c>
      <c r="K53" s="380">
        <v>36861</v>
      </c>
      <c r="L53" s="235">
        <v>73958.492585636472</v>
      </c>
      <c r="M53" s="380">
        <v>36859</v>
      </c>
      <c r="N53" t="s">
        <v>1</v>
      </c>
      <c r="O53">
        <v>0.75</v>
      </c>
      <c r="P53">
        <v>0</v>
      </c>
      <c r="Q53">
        <v>0</v>
      </c>
      <c r="R53">
        <v>0</v>
      </c>
      <c r="S53">
        <v>0</v>
      </c>
      <c r="T53" t="s">
        <v>253</v>
      </c>
      <c r="U53" t="s">
        <v>7</v>
      </c>
      <c r="V53" t="s">
        <v>253</v>
      </c>
      <c r="W53" t="s">
        <v>132</v>
      </c>
      <c r="X53" t="s">
        <v>253</v>
      </c>
      <c r="Y53" t="s">
        <v>235</v>
      </c>
      <c r="Z53" t="s">
        <v>236</v>
      </c>
      <c r="AA53" t="s">
        <v>253</v>
      </c>
      <c r="AB53" t="s">
        <v>121</v>
      </c>
      <c r="AC53" s="235">
        <v>500000</v>
      </c>
      <c r="AD53" s="235">
        <v>27791.540150040542</v>
      </c>
      <c r="AE53">
        <v>0</v>
      </c>
      <c r="AF53">
        <v>0</v>
      </c>
      <c r="AG53">
        <v>0</v>
      </c>
      <c r="AH53" s="235">
        <v>-3004.0376327980048</v>
      </c>
      <c r="AI53">
        <v>226</v>
      </c>
      <c r="AJ53" t="s">
        <v>256</v>
      </c>
      <c r="AK53">
        <v>0</v>
      </c>
      <c r="AL53">
        <v>0</v>
      </c>
      <c r="AM53">
        <v>0</v>
      </c>
    </row>
    <row r="54" spans="1:39" x14ac:dyDescent="0.25">
      <c r="A54" t="s">
        <v>601</v>
      </c>
      <c r="B54" t="s">
        <v>301</v>
      </c>
      <c r="C54" t="s">
        <v>255</v>
      </c>
      <c r="D54" t="s">
        <v>234</v>
      </c>
      <c r="E54" t="s">
        <v>20</v>
      </c>
      <c r="F54" t="s">
        <v>294</v>
      </c>
      <c r="G54" t="s">
        <v>269</v>
      </c>
      <c r="H54" t="s">
        <v>254</v>
      </c>
      <c r="I54" t="s">
        <v>242</v>
      </c>
      <c r="J54" t="s">
        <v>235</v>
      </c>
      <c r="K54" s="380">
        <v>36831</v>
      </c>
      <c r="L54" s="235">
        <v>124808.94629220579</v>
      </c>
      <c r="M54" s="380">
        <v>36829</v>
      </c>
      <c r="N54" t="s">
        <v>1</v>
      </c>
      <c r="O54">
        <v>0.75</v>
      </c>
      <c r="P54">
        <v>0</v>
      </c>
      <c r="Q54">
        <v>0</v>
      </c>
      <c r="R54">
        <v>0</v>
      </c>
      <c r="S54">
        <v>0</v>
      </c>
      <c r="T54" t="s">
        <v>253</v>
      </c>
      <c r="U54" t="s">
        <v>7</v>
      </c>
      <c r="V54" t="s">
        <v>253</v>
      </c>
      <c r="W54" t="s">
        <v>132</v>
      </c>
      <c r="X54" t="s">
        <v>253</v>
      </c>
      <c r="Y54" t="s">
        <v>235</v>
      </c>
      <c r="Z54" t="s">
        <v>236</v>
      </c>
      <c r="AA54" t="s">
        <v>253</v>
      </c>
      <c r="AB54" t="s">
        <v>121</v>
      </c>
      <c r="AC54" s="235">
        <v>500000</v>
      </c>
      <c r="AD54" s="235">
        <v>22575.297341584926</v>
      </c>
      <c r="AE54">
        <v>0</v>
      </c>
      <c r="AF54">
        <v>0</v>
      </c>
      <c r="AG54">
        <v>0</v>
      </c>
      <c r="AH54" s="235">
        <v>-8179.1766620815615</v>
      </c>
      <c r="AI54">
        <v>226</v>
      </c>
      <c r="AJ54" t="s">
        <v>256</v>
      </c>
      <c r="AK54">
        <v>0</v>
      </c>
      <c r="AL54">
        <v>0</v>
      </c>
      <c r="AM54">
        <v>0</v>
      </c>
    </row>
    <row r="55" spans="1:39" x14ac:dyDescent="0.25">
      <c r="A55" t="s">
        <v>601</v>
      </c>
      <c r="B55" t="s">
        <v>302</v>
      </c>
      <c r="C55" t="s">
        <v>255</v>
      </c>
      <c r="D55" t="s">
        <v>234</v>
      </c>
      <c r="E55" t="s">
        <v>20</v>
      </c>
      <c r="F55" t="s">
        <v>279</v>
      </c>
      <c r="G55" t="s">
        <v>269</v>
      </c>
      <c r="H55" t="s">
        <v>254</v>
      </c>
      <c r="I55" t="s">
        <v>242</v>
      </c>
      <c r="J55" t="s">
        <v>235</v>
      </c>
      <c r="K55" s="380">
        <v>36951</v>
      </c>
      <c r="L55" s="235">
        <v>-238329.28076945851</v>
      </c>
      <c r="M55" s="380">
        <v>36949</v>
      </c>
      <c r="N55" t="s">
        <v>21</v>
      </c>
      <c r="O55">
        <v>1.1499999999999999</v>
      </c>
      <c r="P55">
        <v>0</v>
      </c>
      <c r="Q55">
        <v>0</v>
      </c>
      <c r="R55">
        <v>0</v>
      </c>
      <c r="S55">
        <v>0</v>
      </c>
      <c r="T55" t="s">
        <v>253</v>
      </c>
      <c r="U55" t="s">
        <v>7</v>
      </c>
      <c r="V55" t="s">
        <v>253</v>
      </c>
      <c r="W55" t="s">
        <v>132</v>
      </c>
      <c r="X55" t="s">
        <v>253</v>
      </c>
      <c r="Y55" t="s">
        <v>235</v>
      </c>
      <c r="Z55" t="s">
        <v>236</v>
      </c>
      <c r="AA55" t="s">
        <v>253</v>
      </c>
      <c r="AB55" t="s">
        <v>121</v>
      </c>
      <c r="AC55" s="235">
        <v>-500000</v>
      </c>
      <c r="AD55" s="235">
        <v>-44116.943054389791</v>
      </c>
      <c r="AE55">
        <v>0</v>
      </c>
      <c r="AF55">
        <v>0</v>
      </c>
      <c r="AG55">
        <v>0</v>
      </c>
      <c r="AH55" s="235">
        <v>-17294.744100332813</v>
      </c>
      <c r="AI55">
        <v>226</v>
      </c>
      <c r="AJ55" t="s">
        <v>256</v>
      </c>
      <c r="AK55">
        <v>0</v>
      </c>
      <c r="AL55">
        <v>0</v>
      </c>
      <c r="AM55">
        <v>0</v>
      </c>
    </row>
    <row r="56" spans="1:39" x14ac:dyDescent="0.25">
      <c r="A56" t="s">
        <v>601</v>
      </c>
      <c r="B56" t="s">
        <v>302</v>
      </c>
      <c r="C56" t="s">
        <v>255</v>
      </c>
      <c r="D56" t="s">
        <v>234</v>
      </c>
      <c r="E56" t="s">
        <v>20</v>
      </c>
      <c r="F56" t="s">
        <v>279</v>
      </c>
      <c r="G56" t="s">
        <v>269</v>
      </c>
      <c r="H56" t="s">
        <v>254</v>
      </c>
      <c r="I56" t="s">
        <v>242</v>
      </c>
      <c r="J56" t="s">
        <v>235</v>
      </c>
      <c r="K56" s="380">
        <v>36923</v>
      </c>
      <c r="L56" s="235">
        <v>-582577.67270690796</v>
      </c>
      <c r="M56" s="380">
        <v>36921</v>
      </c>
      <c r="N56" t="s">
        <v>21</v>
      </c>
      <c r="O56">
        <v>1.1499999999999999</v>
      </c>
      <c r="P56">
        <v>0</v>
      </c>
      <c r="Q56">
        <v>0</v>
      </c>
      <c r="R56">
        <v>0</v>
      </c>
      <c r="S56">
        <v>0</v>
      </c>
      <c r="T56" t="s">
        <v>253</v>
      </c>
      <c r="U56" t="s">
        <v>7</v>
      </c>
      <c r="V56" t="s">
        <v>253</v>
      </c>
      <c r="W56" t="s">
        <v>132</v>
      </c>
      <c r="X56" t="s">
        <v>253</v>
      </c>
      <c r="Y56" t="s">
        <v>235</v>
      </c>
      <c r="Z56" t="s">
        <v>236</v>
      </c>
      <c r="AA56" t="s">
        <v>253</v>
      </c>
      <c r="AB56" t="s">
        <v>121</v>
      </c>
      <c r="AC56" s="235">
        <v>-500000</v>
      </c>
      <c r="AD56" s="235">
        <v>-37594.599146006338</v>
      </c>
      <c r="AE56">
        <v>0</v>
      </c>
      <c r="AF56">
        <v>0</v>
      </c>
      <c r="AG56">
        <v>0</v>
      </c>
      <c r="AH56" s="235">
        <v>-27744.349519028096</v>
      </c>
      <c r="AI56">
        <v>226</v>
      </c>
      <c r="AJ56" t="s">
        <v>256</v>
      </c>
      <c r="AK56">
        <v>0</v>
      </c>
      <c r="AL56">
        <v>0</v>
      </c>
      <c r="AM56">
        <v>0</v>
      </c>
    </row>
    <row r="57" spans="1:39" x14ac:dyDescent="0.25">
      <c r="A57" t="s">
        <v>601</v>
      </c>
      <c r="B57" t="s">
        <v>302</v>
      </c>
      <c r="C57" t="s">
        <v>255</v>
      </c>
      <c r="D57" t="s">
        <v>234</v>
      </c>
      <c r="E57" t="s">
        <v>20</v>
      </c>
      <c r="F57" t="s">
        <v>279</v>
      </c>
      <c r="G57" t="s">
        <v>269</v>
      </c>
      <c r="H57" t="s">
        <v>254</v>
      </c>
      <c r="I57" t="s">
        <v>242</v>
      </c>
      <c r="J57" t="s">
        <v>235</v>
      </c>
      <c r="K57" s="380">
        <v>36892</v>
      </c>
      <c r="L57" s="235">
        <v>-602722.51398475259</v>
      </c>
      <c r="M57" s="380">
        <v>36888</v>
      </c>
      <c r="N57" t="s">
        <v>21</v>
      </c>
      <c r="O57">
        <v>1.1499999999999999</v>
      </c>
      <c r="P57">
        <v>0</v>
      </c>
      <c r="Q57">
        <v>0</v>
      </c>
      <c r="R57">
        <v>0</v>
      </c>
      <c r="S57">
        <v>0</v>
      </c>
      <c r="T57" t="s">
        <v>253</v>
      </c>
      <c r="U57" t="s">
        <v>7</v>
      </c>
      <c r="V57" t="s">
        <v>253</v>
      </c>
      <c r="W57" t="s">
        <v>132</v>
      </c>
      <c r="X57" t="s">
        <v>253</v>
      </c>
      <c r="Y57" t="s">
        <v>235</v>
      </c>
      <c r="Z57" t="s">
        <v>236</v>
      </c>
      <c r="AA57" t="s">
        <v>253</v>
      </c>
      <c r="AB57" t="s">
        <v>121</v>
      </c>
      <c r="AC57" s="235">
        <v>-500000</v>
      </c>
      <c r="AD57" s="235">
        <v>-32597.029848996899</v>
      </c>
      <c r="AE57">
        <v>0</v>
      </c>
      <c r="AF57">
        <v>0</v>
      </c>
      <c r="AG57">
        <v>0</v>
      </c>
      <c r="AH57" s="235">
        <v>-24606.567855161149</v>
      </c>
      <c r="AI57">
        <v>226</v>
      </c>
      <c r="AJ57" t="s">
        <v>256</v>
      </c>
      <c r="AK57">
        <v>0</v>
      </c>
      <c r="AL57">
        <v>0</v>
      </c>
      <c r="AM57">
        <v>0</v>
      </c>
    </row>
    <row r="58" spans="1:39" x14ac:dyDescent="0.25">
      <c r="A58" t="s">
        <v>601</v>
      </c>
      <c r="B58" t="s">
        <v>302</v>
      </c>
      <c r="C58" t="s">
        <v>255</v>
      </c>
      <c r="D58" t="s">
        <v>234</v>
      </c>
      <c r="E58" t="s">
        <v>20</v>
      </c>
      <c r="F58" t="s">
        <v>279</v>
      </c>
      <c r="G58" t="s">
        <v>269</v>
      </c>
      <c r="H58" t="s">
        <v>254</v>
      </c>
      <c r="I58" t="s">
        <v>242</v>
      </c>
      <c r="J58" t="s">
        <v>235</v>
      </c>
      <c r="K58" s="380">
        <v>36861</v>
      </c>
      <c r="L58" s="235">
        <v>-382811.88667598693</v>
      </c>
      <c r="M58" s="380">
        <v>36859</v>
      </c>
      <c r="N58" t="s">
        <v>21</v>
      </c>
      <c r="O58">
        <v>1.1499999999999999</v>
      </c>
      <c r="P58">
        <v>0</v>
      </c>
      <c r="Q58">
        <v>0</v>
      </c>
      <c r="R58">
        <v>0</v>
      </c>
      <c r="S58">
        <v>0</v>
      </c>
      <c r="T58" t="s">
        <v>253</v>
      </c>
      <c r="U58" t="s">
        <v>7</v>
      </c>
      <c r="V58" t="s">
        <v>253</v>
      </c>
      <c r="W58" t="s">
        <v>132</v>
      </c>
      <c r="X58" t="s">
        <v>253</v>
      </c>
      <c r="Y58" t="s">
        <v>235</v>
      </c>
      <c r="Z58" t="s">
        <v>236</v>
      </c>
      <c r="AA58" t="s">
        <v>253</v>
      </c>
      <c r="AB58" t="s">
        <v>121</v>
      </c>
      <c r="AC58" s="235">
        <v>-500000</v>
      </c>
      <c r="AD58" s="235">
        <v>-33465.864579853485</v>
      </c>
      <c r="AE58">
        <v>0</v>
      </c>
      <c r="AF58">
        <v>0</v>
      </c>
      <c r="AG58">
        <v>0</v>
      </c>
      <c r="AH58" s="235">
        <v>-16853.365497509018</v>
      </c>
      <c r="AI58">
        <v>226</v>
      </c>
      <c r="AJ58" t="s">
        <v>256</v>
      </c>
      <c r="AK58">
        <v>0</v>
      </c>
      <c r="AL58">
        <v>0</v>
      </c>
      <c r="AM58">
        <v>0</v>
      </c>
    </row>
    <row r="59" spans="1:39" x14ac:dyDescent="0.25">
      <c r="A59" t="s">
        <v>601</v>
      </c>
      <c r="B59" t="s">
        <v>302</v>
      </c>
      <c r="C59" t="s">
        <v>255</v>
      </c>
      <c r="D59" t="s">
        <v>234</v>
      </c>
      <c r="E59" t="s">
        <v>20</v>
      </c>
      <c r="F59" t="s">
        <v>279</v>
      </c>
      <c r="G59" t="s">
        <v>269</v>
      </c>
      <c r="H59" t="s">
        <v>254</v>
      </c>
      <c r="I59" t="s">
        <v>242</v>
      </c>
      <c r="J59" t="s">
        <v>235</v>
      </c>
      <c r="K59" s="380">
        <v>36831</v>
      </c>
      <c r="L59" s="235">
        <v>-63565.100727442761</v>
      </c>
      <c r="M59" s="380">
        <v>36829</v>
      </c>
      <c r="N59" t="s">
        <v>21</v>
      </c>
      <c r="O59">
        <v>1.1499999999999999</v>
      </c>
      <c r="P59">
        <v>0</v>
      </c>
      <c r="Q59">
        <v>0</v>
      </c>
      <c r="R59">
        <v>0</v>
      </c>
      <c r="S59">
        <v>0</v>
      </c>
      <c r="T59" t="s">
        <v>253</v>
      </c>
      <c r="U59" t="s">
        <v>7</v>
      </c>
      <c r="V59" t="s">
        <v>253</v>
      </c>
      <c r="W59" t="s">
        <v>132</v>
      </c>
      <c r="X59" t="s">
        <v>253</v>
      </c>
      <c r="Y59" t="s">
        <v>235</v>
      </c>
      <c r="Z59" t="s">
        <v>236</v>
      </c>
      <c r="AA59" t="s">
        <v>253</v>
      </c>
      <c r="AB59" t="s">
        <v>121</v>
      </c>
      <c r="AC59" s="235">
        <v>-500000</v>
      </c>
      <c r="AD59" s="235">
        <v>-18869.345714786497</v>
      </c>
      <c r="AE59">
        <v>0</v>
      </c>
      <c r="AF59">
        <v>0</v>
      </c>
      <c r="AG59">
        <v>0</v>
      </c>
      <c r="AH59" s="235">
        <v>-7077.9534187121099</v>
      </c>
      <c r="AI59">
        <v>226</v>
      </c>
      <c r="AJ59" t="s">
        <v>256</v>
      </c>
      <c r="AK59">
        <v>0</v>
      </c>
      <c r="AL59">
        <v>0</v>
      </c>
      <c r="AM59">
        <v>0</v>
      </c>
    </row>
    <row r="60" spans="1:39" x14ac:dyDescent="0.25">
      <c r="A60" t="s">
        <v>601</v>
      </c>
      <c r="B60" t="s">
        <v>303</v>
      </c>
      <c r="C60" t="s">
        <v>255</v>
      </c>
      <c r="D60" t="s">
        <v>234</v>
      </c>
      <c r="E60" t="s">
        <v>20</v>
      </c>
      <c r="F60" t="s">
        <v>294</v>
      </c>
      <c r="G60" t="s">
        <v>269</v>
      </c>
      <c r="H60" t="s">
        <v>254</v>
      </c>
      <c r="I60" t="s">
        <v>242</v>
      </c>
      <c r="J60" t="s">
        <v>235</v>
      </c>
      <c r="K60" s="380">
        <v>36800</v>
      </c>
      <c r="L60" s="235">
        <v>-30436.66877232775</v>
      </c>
      <c r="M60" s="380">
        <v>36797</v>
      </c>
      <c r="N60" t="s">
        <v>21</v>
      </c>
      <c r="O60">
        <v>0.3</v>
      </c>
      <c r="P60">
        <v>0</v>
      </c>
      <c r="Q60">
        <v>0</v>
      </c>
      <c r="R60">
        <v>0</v>
      </c>
      <c r="S60">
        <v>0</v>
      </c>
      <c r="T60" t="s">
        <v>253</v>
      </c>
      <c r="U60" t="s">
        <v>7</v>
      </c>
      <c r="V60" t="s">
        <v>253</v>
      </c>
      <c r="W60" t="s">
        <v>132</v>
      </c>
      <c r="X60" t="s">
        <v>253</v>
      </c>
      <c r="Y60" t="s">
        <v>235</v>
      </c>
      <c r="Z60" t="s">
        <v>236</v>
      </c>
      <c r="AA60" t="s">
        <v>253</v>
      </c>
      <c r="AB60" t="s">
        <v>121</v>
      </c>
      <c r="AC60" s="235">
        <v>-250000</v>
      </c>
      <c r="AD60" s="235">
        <v>-978.53097128286026</v>
      </c>
      <c r="AE60">
        <v>0</v>
      </c>
      <c r="AF60">
        <v>0</v>
      </c>
      <c r="AG60">
        <v>0</v>
      </c>
      <c r="AH60" s="235">
        <v>-56.657840379804838</v>
      </c>
      <c r="AI60">
        <v>226</v>
      </c>
      <c r="AJ60" t="s">
        <v>256</v>
      </c>
      <c r="AK60">
        <v>0</v>
      </c>
      <c r="AL60">
        <v>0</v>
      </c>
      <c r="AM60">
        <v>0</v>
      </c>
    </row>
    <row r="61" spans="1:39" x14ac:dyDescent="0.25">
      <c r="A61" t="s">
        <v>601</v>
      </c>
      <c r="B61" t="s">
        <v>303</v>
      </c>
      <c r="C61" t="s">
        <v>255</v>
      </c>
      <c r="D61" t="s">
        <v>234</v>
      </c>
      <c r="E61" t="s">
        <v>20</v>
      </c>
      <c r="F61" t="s">
        <v>294</v>
      </c>
      <c r="G61" t="s">
        <v>269</v>
      </c>
      <c r="H61" t="s">
        <v>254</v>
      </c>
      <c r="I61" t="s">
        <v>242</v>
      </c>
      <c r="J61" t="s">
        <v>235</v>
      </c>
      <c r="K61" s="380">
        <v>36770</v>
      </c>
      <c r="L61" s="235">
        <v>-4284.1144821467296</v>
      </c>
      <c r="M61" s="380">
        <v>36768</v>
      </c>
      <c r="N61" t="s">
        <v>21</v>
      </c>
      <c r="O61">
        <v>0.3</v>
      </c>
      <c r="P61">
        <v>0</v>
      </c>
      <c r="Q61">
        <v>0</v>
      </c>
      <c r="R61">
        <v>0</v>
      </c>
      <c r="S61">
        <v>0</v>
      </c>
      <c r="T61" t="s">
        <v>253</v>
      </c>
      <c r="U61" t="s">
        <v>7</v>
      </c>
      <c r="V61" t="s">
        <v>253</v>
      </c>
      <c r="W61" t="s">
        <v>132</v>
      </c>
      <c r="X61" t="s">
        <v>253</v>
      </c>
      <c r="Y61" t="s">
        <v>235</v>
      </c>
      <c r="Z61" t="s">
        <v>236</v>
      </c>
      <c r="AA61" t="s">
        <v>253</v>
      </c>
      <c r="AB61" t="s">
        <v>121</v>
      </c>
      <c r="AC61" s="235">
        <v>-250000</v>
      </c>
      <c r="AD61" s="235">
        <v>-228.47025819524424</v>
      </c>
      <c r="AE61">
        <v>0</v>
      </c>
      <c r="AF61">
        <v>0</v>
      </c>
      <c r="AG61">
        <v>0</v>
      </c>
      <c r="AH61" s="235">
        <v>-34.434778986728816</v>
      </c>
      <c r="AI61">
        <v>226</v>
      </c>
      <c r="AJ61" t="s">
        <v>256</v>
      </c>
      <c r="AK61">
        <v>0</v>
      </c>
      <c r="AL61">
        <v>0</v>
      </c>
      <c r="AM61">
        <v>0</v>
      </c>
    </row>
    <row r="62" spans="1:39" x14ac:dyDescent="0.25">
      <c r="A62" t="s">
        <v>601</v>
      </c>
      <c r="B62" t="s">
        <v>304</v>
      </c>
      <c r="C62" t="s">
        <v>255</v>
      </c>
      <c r="D62" t="s">
        <v>234</v>
      </c>
      <c r="E62" t="s">
        <v>20</v>
      </c>
      <c r="F62" t="s">
        <v>294</v>
      </c>
      <c r="G62" t="s">
        <v>269</v>
      </c>
      <c r="H62" t="s">
        <v>254</v>
      </c>
      <c r="I62" t="s">
        <v>242</v>
      </c>
      <c r="J62" t="s">
        <v>235</v>
      </c>
      <c r="K62" s="380">
        <v>36800</v>
      </c>
      <c r="L62" s="235">
        <v>-1852.2415414097547</v>
      </c>
      <c r="M62" s="380">
        <v>36797</v>
      </c>
      <c r="N62" t="s">
        <v>1</v>
      </c>
      <c r="O62">
        <v>0.3</v>
      </c>
      <c r="P62">
        <v>0</v>
      </c>
      <c r="Q62">
        <v>0</v>
      </c>
      <c r="R62">
        <v>0</v>
      </c>
      <c r="S62">
        <v>0</v>
      </c>
      <c r="T62" t="s">
        <v>253</v>
      </c>
      <c r="U62" t="s">
        <v>7</v>
      </c>
      <c r="V62" t="s">
        <v>253</v>
      </c>
      <c r="W62" t="s">
        <v>132</v>
      </c>
      <c r="X62" t="s">
        <v>253</v>
      </c>
      <c r="Y62" t="s">
        <v>235</v>
      </c>
      <c r="Z62" t="s">
        <v>236</v>
      </c>
      <c r="AA62" t="s">
        <v>253</v>
      </c>
      <c r="AB62" t="s">
        <v>121</v>
      </c>
      <c r="AC62" s="235">
        <v>-250000</v>
      </c>
      <c r="AD62" s="235">
        <v>-978.53097128286026</v>
      </c>
      <c r="AE62">
        <v>0</v>
      </c>
      <c r="AF62">
        <v>0</v>
      </c>
      <c r="AG62">
        <v>0</v>
      </c>
      <c r="AH62" s="235">
        <v>-56.657840380003336</v>
      </c>
      <c r="AI62">
        <v>226</v>
      </c>
      <c r="AJ62" t="s">
        <v>256</v>
      </c>
      <c r="AK62">
        <v>0</v>
      </c>
      <c r="AL62">
        <v>0</v>
      </c>
      <c r="AM62">
        <v>0</v>
      </c>
    </row>
    <row r="63" spans="1:39" x14ac:dyDescent="0.25">
      <c r="A63" t="s">
        <v>601</v>
      </c>
      <c r="B63" t="s">
        <v>304</v>
      </c>
      <c r="C63" t="s">
        <v>255</v>
      </c>
      <c r="D63" t="s">
        <v>234</v>
      </c>
      <c r="E63" t="s">
        <v>20</v>
      </c>
      <c r="F63" t="s">
        <v>294</v>
      </c>
      <c r="G63" t="s">
        <v>269</v>
      </c>
      <c r="H63" t="s">
        <v>254</v>
      </c>
      <c r="I63" t="s">
        <v>242</v>
      </c>
      <c r="J63" t="s">
        <v>235</v>
      </c>
      <c r="K63" s="380">
        <v>36770</v>
      </c>
      <c r="L63" s="235">
        <v>-535.49443754871697</v>
      </c>
      <c r="M63" s="380">
        <v>36768</v>
      </c>
      <c r="N63" t="s">
        <v>1</v>
      </c>
      <c r="O63">
        <v>0.3</v>
      </c>
      <c r="P63">
        <v>0</v>
      </c>
      <c r="Q63">
        <v>0</v>
      </c>
      <c r="R63">
        <v>0</v>
      </c>
      <c r="S63">
        <v>0</v>
      </c>
      <c r="T63" t="s">
        <v>253</v>
      </c>
      <c r="U63" t="s">
        <v>7</v>
      </c>
      <c r="V63" t="s">
        <v>253</v>
      </c>
      <c r="W63" t="s">
        <v>132</v>
      </c>
      <c r="X63" t="s">
        <v>253</v>
      </c>
      <c r="Y63" t="s">
        <v>235</v>
      </c>
      <c r="Z63" t="s">
        <v>236</v>
      </c>
      <c r="AA63" t="s">
        <v>253</v>
      </c>
      <c r="AB63" t="s">
        <v>121</v>
      </c>
      <c r="AC63" s="235">
        <v>-250000</v>
      </c>
      <c r="AD63" s="235">
        <v>-228.47025819525152</v>
      </c>
      <c r="AE63">
        <v>0</v>
      </c>
      <c r="AF63">
        <v>0</v>
      </c>
      <c r="AG63">
        <v>0</v>
      </c>
      <c r="AH63" s="235">
        <v>-34.434778986680612</v>
      </c>
      <c r="AI63">
        <v>226</v>
      </c>
      <c r="AJ63" t="s">
        <v>256</v>
      </c>
      <c r="AK63">
        <v>0</v>
      </c>
      <c r="AL63">
        <v>0</v>
      </c>
      <c r="AM63">
        <v>0</v>
      </c>
    </row>
    <row r="64" spans="1:39" x14ac:dyDescent="0.25">
      <c r="A64" t="s">
        <v>601</v>
      </c>
      <c r="B64" t="s">
        <v>305</v>
      </c>
      <c r="C64" t="s">
        <v>255</v>
      </c>
      <c r="D64" t="s">
        <v>234</v>
      </c>
      <c r="E64" t="s">
        <v>20</v>
      </c>
      <c r="F64" t="s">
        <v>279</v>
      </c>
      <c r="G64" t="s">
        <v>269</v>
      </c>
      <c r="H64" t="s">
        <v>254</v>
      </c>
      <c r="I64" t="s">
        <v>242</v>
      </c>
      <c r="J64" t="s">
        <v>235</v>
      </c>
      <c r="K64" s="380">
        <v>36800</v>
      </c>
      <c r="L64" s="235">
        <v>-30436.66877232775</v>
      </c>
      <c r="M64" s="380">
        <v>36797</v>
      </c>
      <c r="N64" t="s">
        <v>21</v>
      </c>
      <c r="O64">
        <v>0.3</v>
      </c>
      <c r="P64">
        <v>0</v>
      </c>
      <c r="Q64">
        <v>0</v>
      </c>
      <c r="R64">
        <v>0</v>
      </c>
      <c r="S64">
        <v>0</v>
      </c>
      <c r="T64" t="s">
        <v>253</v>
      </c>
      <c r="U64" t="s">
        <v>7</v>
      </c>
      <c r="V64" t="s">
        <v>253</v>
      </c>
      <c r="W64" t="s">
        <v>132</v>
      </c>
      <c r="X64" t="s">
        <v>253</v>
      </c>
      <c r="Y64" t="s">
        <v>235</v>
      </c>
      <c r="Z64" t="s">
        <v>236</v>
      </c>
      <c r="AA64" t="s">
        <v>253</v>
      </c>
      <c r="AB64" t="s">
        <v>121</v>
      </c>
      <c r="AC64" s="235">
        <v>-250000</v>
      </c>
      <c r="AD64" s="235">
        <v>-978.53097128286026</v>
      </c>
      <c r="AE64">
        <v>0</v>
      </c>
      <c r="AF64">
        <v>0</v>
      </c>
      <c r="AG64">
        <v>0</v>
      </c>
      <c r="AH64" s="235">
        <v>-56.657840379804838</v>
      </c>
      <c r="AI64">
        <v>226</v>
      </c>
      <c r="AJ64" t="s">
        <v>256</v>
      </c>
      <c r="AK64">
        <v>0</v>
      </c>
      <c r="AL64">
        <v>0</v>
      </c>
      <c r="AM64">
        <v>0</v>
      </c>
    </row>
    <row r="65" spans="1:39" x14ac:dyDescent="0.25">
      <c r="A65" t="s">
        <v>601</v>
      </c>
      <c r="B65" t="s">
        <v>305</v>
      </c>
      <c r="C65" t="s">
        <v>255</v>
      </c>
      <c r="D65" t="s">
        <v>234</v>
      </c>
      <c r="E65" t="s">
        <v>20</v>
      </c>
      <c r="F65" t="s">
        <v>279</v>
      </c>
      <c r="G65" t="s">
        <v>269</v>
      </c>
      <c r="H65" t="s">
        <v>254</v>
      </c>
      <c r="I65" t="s">
        <v>242</v>
      </c>
      <c r="J65" t="s">
        <v>235</v>
      </c>
      <c r="K65" s="380">
        <v>36800</v>
      </c>
      <c r="L65" s="235">
        <v>-60873.3375446555</v>
      </c>
      <c r="M65" s="380">
        <v>36797</v>
      </c>
      <c r="N65" t="s">
        <v>21</v>
      </c>
      <c r="O65">
        <v>0.3</v>
      </c>
      <c r="P65">
        <v>0</v>
      </c>
      <c r="Q65">
        <v>0</v>
      </c>
      <c r="R65">
        <v>0</v>
      </c>
      <c r="S65">
        <v>0</v>
      </c>
      <c r="T65" t="s">
        <v>253</v>
      </c>
      <c r="U65" t="s">
        <v>7</v>
      </c>
      <c r="V65" t="s">
        <v>253</v>
      </c>
      <c r="W65" t="s">
        <v>132</v>
      </c>
      <c r="X65" t="s">
        <v>253</v>
      </c>
      <c r="Y65" t="s">
        <v>235</v>
      </c>
      <c r="Z65" t="s">
        <v>236</v>
      </c>
      <c r="AA65" t="s">
        <v>253</v>
      </c>
      <c r="AB65" t="s">
        <v>121</v>
      </c>
      <c r="AC65" s="235">
        <v>-500000</v>
      </c>
      <c r="AD65" s="235">
        <v>-1957.0619425657205</v>
      </c>
      <c r="AE65">
        <v>0</v>
      </c>
      <c r="AF65">
        <v>0</v>
      </c>
      <c r="AG65">
        <v>0</v>
      </c>
      <c r="AH65" s="235">
        <v>-113.31568075960968</v>
      </c>
      <c r="AI65">
        <v>226</v>
      </c>
      <c r="AJ65" t="s">
        <v>256</v>
      </c>
      <c r="AK65">
        <v>0</v>
      </c>
      <c r="AL65">
        <v>0</v>
      </c>
      <c r="AM65">
        <v>0</v>
      </c>
    </row>
    <row r="66" spans="1:39" x14ac:dyDescent="0.25">
      <c r="A66" t="s">
        <v>601</v>
      </c>
      <c r="B66" t="s">
        <v>305</v>
      </c>
      <c r="C66" t="s">
        <v>255</v>
      </c>
      <c r="D66" t="s">
        <v>234</v>
      </c>
      <c r="E66" t="s">
        <v>20</v>
      </c>
      <c r="F66" t="s">
        <v>279</v>
      </c>
      <c r="G66" t="s">
        <v>269</v>
      </c>
      <c r="H66" t="s">
        <v>254</v>
      </c>
      <c r="I66" t="s">
        <v>242</v>
      </c>
      <c r="J66" t="s">
        <v>235</v>
      </c>
      <c r="K66" s="380">
        <v>36770</v>
      </c>
      <c r="L66" s="235">
        <v>-4284.1144821467296</v>
      </c>
      <c r="M66" s="380">
        <v>36768</v>
      </c>
      <c r="N66" t="s">
        <v>21</v>
      </c>
      <c r="O66">
        <v>0.3</v>
      </c>
      <c r="P66">
        <v>0</v>
      </c>
      <c r="Q66">
        <v>0</v>
      </c>
      <c r="R66">
        <v>0</v>
      </c>
      <c r="S66">
        <v>0</v>
      </c>
      <c r="T66" t="s">
        <v>253</v>
      </c>
      <c r="U66" t="s">
        <v>7</v>
      </c>
      <c r="V66" t="s">
        <v>253</v>
      </c>
      <c r="W66" t="s">
        <v>132</v>
      </c>
      <c r="X66" t="s">
        <v>253</v>
      </c>
      <c r="Y66" t="s">
        <v>235</v>
      </c>
      <c r="Z66" t="s">
        <v>236</v>
      </c>
      <c r="AA66" t="s">
        <v>253</v>
      </c>
      <c r="AB66" t="s">
        <v>121</v>
      </c>
      <c r="AC66" s="235">
        <v>-250000</v>
      </c>
      <c r="AD66" s="235">
        <v>-228.47025819524424</v>
      </c>
      <c r="AE66">
        <v>0</v>
      </c>
      <c r="AF66">
        <v>0</v>
      </c>
      <c r="AG66">
        <v>0</v>
      </c>
      <c r="AH66" s="235">
        <v>-34.434778986728816</v>
      </c>
      <c r="AI66">
        <v>226</v>
      </c>
      <c r="AJ66" t="s">
        <v>256</v>
      </c>
      <c r="AK66">
        <v>0</v>
      </c>
      <c r="AL66">
        <v>0</v>
      </c>
      <c r="AM66">
        <v>0</v>
      </c>
    </row>
    <row r="67" spans="1:39" x14ac:dyDescent="0.25">
      <c r="A67" t="s">
        <v>601</v>
      </c>
      <c r="B67" t="s">
        <v>305</v>
      </c>
      <c r="C67" t="s">
        <v>255</v>
      </c>
      <c r="D67" t="s">
        <v>234</v>
      </c>
      <c r="E67" t="s">
        <v>20</v>
      </c>
      <c r="F67" t="s">
        <v>279</v>
      </c>
      <c r="G67" t="s">
        <v>269</v>
      </c>
      <c r="H67" t="s">
        <v>254</v>
      </c>
      <c r="I67" t="s">
        <v>242</v>
      </c>
      <c r="J67" t="s">
        <v>235</v>
      </c>
      <c r="K67" s="380">
        <v>36770</v>
      </c>
      <c r="L67" s="235">
        <v>-8568.2289642934593</v>
      </c>
      <c r="M67" s="380">
        <v>36768</v>
      </c>
      <c r="N67" t="s">
        <v>21</v>
      </c>
      <c r="O67">
        <v>0.3</v>
      </c>
      <c r="P67">
        <v>0</v>
      </c>
      <c r="Q67">
        <v>0</v>
      </c>
      <c r="R67">
        <v>0</v>
      </c>
      <c r="S67">
        <v>0</v>
      </c>
      <c r="T67" t="s">
        <v>253</v>
      </c>
      <c r="U67" t="s">
        <v>7</v>
      </c>
      <c r="V67" t="s">
        <v>253</v>
      </c>
      <c r="W67" t="s">
        <v>132</v>
      </c>
      <c r="X67" t="s">
        <v>253</v>
      </c>
      <c r="Y67" t="s">
        <v>235</v>
      </c>
      <c r="Z67" t="s">
        <v>236</v>
      </c>
      <c r="AA67" t="s">
        <v>253</v>
      </c>
      <c r="AB67" t="s">
        <v>121</v>
      </c>
      <c r="AC67" s="235">
        <v>-500000</v>
      </c>
      <c r="AD67" s="235">
        <v>-456.94051639048848</v>
      </c>
      <c r="AE67">
        <v>0</v>
      </c>
      <c r="AF67">
        <v>0</v>
      </c>
      <c r="AG67">
        <v>0</v>
      </c>
      <c r="AH67" s="235">
        <v>-68.869557973457631</v>
      </c>
      <c r="AI67">
        <v>226</v>
      </c>
      <c r="AJ67" t="s">
        <v>256</v>
      </c>
      <c r="AK67">
        <v>0</v>
      </c>
      <c r="AL67">
        <v>0</v>
      </c>
      <c r="AM67">
        <v>0</v>
      </c>
    </row>
    <row r="68" spans="1:39" x14ac:dyDescent="0.25">
      <c r="A68" t="s">
        <v>601</v>
      </c>
      <c r="B68" t="s">
        <v>306</v>
      </c>
      <c r="C68" t="s">
        <v>255</v>
      </c>
      <c r="D68" t="s">
        <v>234</v>
      </c>
      <c r="E68" t="s">
        <v>20</v>
      </c>
      <c r="F68" t="s">
        <v>279</v>
      </c>
      <c r="G68" t="s">
        <v>269</v>
      </c>
      <c r="H68" t="s">
        <v>254</v>
      </c>
      <c r="I68" t="s">
        <v>242</v>
      </c>
      <c r="J68" t="s">
        <v>235</v>
      </c>
      <c r="K68" s="380">
        <v>36800</v>
      </c>
      <c r="L68" s="235">
        <v>-1852.2415414097547</v>
      </c>
      <c r="M68" s="380">
        <v>36797</v>
      </c>
      <c r="N68" t="s">
        <v>1</v>
      </c>
      <c r="O68">
        <v>0.3</v>
      </c>
      <c r="P68">
        <v>0</v>
      </c>
      <c r="Q68">
        <v>0</v>
      </c>
      <c r="R68">
        <v>0</v>
      </c>
      <c r="S68">
        <v>0</v>
      </c>
      <c r="T68" t="s">
        <v>253</v>
      </c>
      <c r="U68" t="s">
        <v>7</v>
      </c>
      <c r="V68" t="s">
        <v>253</v>
      </c>
      <c r="W68" t="s">
        <v>132</v>
      </c>
      <c r="X68" t="s">
        <v>253</v>
      </c>
      <c r="Y68" t="s">
        <v>235</v>
      </c>
      <c r="Z68" t="s">
        <v>236</v>
      </c>
      <c r="AA68" t="s">
        <v>253</v>
      </c>
      <c r="AB68" t="s">
        <v>121</v>
      </c>
      <c r="AC68" s="235">
        <v>-250000</v>
      </c>
      <c r="AD68" s="235">
        <v>-978.53097128286026</v>
      </c>
      <c r="AE68">
        <v>0</v>
      </c>
      <c r="AF68">
        <v>0</v>
      </c>
      <c r="AG68">
        <v>0</v>
      </c>
      <c r="AH68" s="235">
        <v>-56.657840380003336</v>
      </c>
      <c r="AI68">
        <v>226</v>
      </c>
      <c r="AJ68" t="s">
        <v>256</v>
      </c>
      <c r="AK68">
        <v>0</v>
      </c>
      <c r="AL68">
        <v>0</v>
      </c>
      <c r="AM68">
        <v>0</v>
      </c>
    </row>
    <row r="69" spans="1:39" x14ac:dyDescent="0.25">
      <c r="A69" t="s">
        <v>601</v>
      </c>
      <c r="B69" t="s">
        <v>306</v>
      </c>
      <c r="C69" t="s">
        <v>255</v>
      </c>
      <c r="D69" t="s">
        <v>234</v>
      </c>
      <c r="E69" t="s">
        <v>20</v>
      </c>
      <c r="F69" t="s">
        <v>279</v>
      </c>
      <c r="G69" t="s">
        <v>269</v>
      </c>
      <c r="H69" t="s">
        <v>254</v>
      </c>
      <c r="I69" t="s">
        <v>242</v>
      </c>
      <c r="J69" t="s">
        <v>235</v>
      </c>
      <c r="K69" s="380">
        <v>36800</v>
      </c>
      <c r="L69" s="235">
        <v>-3704.4830828195095</v>
      </c>
      <c r="M69" s="380">
        <v>36797</v>
      </c>
      <c r="N69" t="s">
        <v>1</v>
      </c>
      <c r="O69">
        <v>0.3</v>
      </c>
      <c r="P69">
        <v>0</v>
      </c>
      <c r="Q69">
        <v>0</v>
      </c>
      <c r="R69">
        <v>0</v>
      </c>
      <c r="S69">
        <v>0</v>
      </c>
      <c r="T69" t="s">
        <v>253</v>
      </c>
      <c r="U69" t="s">
        <v>7</v>
      </c>
      <c r="V69" t="s">
        <v>253</v>
      </c>
      <c r="W69" t="s">
        <v>132</v>
      </c>
      <c r="X69" t="s">
        <v>253</v>
      </c>
      <c r="Y69" t="s">
        <v>235</v>
      </c>
      <c r="Z69" t="s">
        <v>236</v>
      </c>
      <c r="AA69" t="s">
        <v>253</v>
      </c>
      <c r="AB69" t="s">
        <v>121</v>
      </c>
      <c r="AC69" s="235">
        <v>-500000</v>
      </c>
      <c r="AD69" s="235">
        <v>-1957.0619425657205</v>
      </c>
      <c r="AE69">
        <v>0</v>
      </c>
      <c r="AF69">
        <v>0</v>
      </c>
      <c r="AG69">
        <v>0</v>
      </c>
      <c r="AH69" s="235">
        <v>-113.31568076000667</v>
      </c>
      <c r="AI69">
        <v>226</v>
      </c>
      <c r="AJ69" t="s">
        <v>256</v>
      </c>
      <c r="AK69">
        <v>0</v>
      </c>
      <c r="AL69">
        <v>0</v>
      </c>
      <c r="AM69">
        <v>0</v>
      </c>
    </row>
    <row r="70" spans="1:39" x14ac:dyDescent="0.25">
      <c r="A70" t="s">
        <v>601</v>
      </c>
      <c r="B70" t="s">
        <v>306</v>
      </c>
      <c r="C70" t="s">
        <v>255</v>
      </c>
      <c r="D70" t="s">
        <v>234</v>
      </c>
      <c r="E70" t="s">
        <v>20</v>
      </c>
      <c r="F70" t="s">
        <v>279</v>
      </c>
      <c r="G70" t="s">
        <v>269</v>
      </c>
      <c r="H70" t="s">
        <v>254</v>
      </c>
      <c r="I70" t="s">
        <v>242</v>
      </c>
      <c r="J70" t="s">
        <v>235</v>
      </c>
      <c r="K70" s="380">
        <v>36770</v>
      </c>
      <c r="L70" s="235">
        <v>-535.49443754871697</v>
      </c>
      <c r="M70" s="380">
        <v>36768</v>
      </c>
      <c r="N70" t="s">
        <v>1</v>
      </c>
      <c r="O70">
        <v>0.3</v>
      </c>
      <c r="P70">
        <v>0</v>
      </c>
      <c r="Q70">
        <v>0</v>
      </c>
      <c r="R70">
        <v>0</v>
      </c>
      <c r="S70">
        <v>0</v>
      </c>
      <c r="T70" t="s">
        <v>253</v>
      </c>
      <c r="U70" t="s">
        <v>7</v>
      </c>
      <c r="V70" t="s">
        <v>253</v>
      </c>
      <c r="W70" t="s">
        <v>132</v>
      </c>
      <c r="X70" t="s">
        <v>253</v>
      </c>
      <c r="Y70" t="s">
        <v>235</v>
      </c>
      <c r="Z70" t="s">
        <v>236</v>
      </c>
      <c r="AA70" t="s">
        <v>253</v>
      </c>
      <c r="AB70" t="s">
        <v>121</v>
      </c>
      <c r="AC70" s="235">
        <v>-250000</v>
      </c>
      <c r="AD70" s="235">
        <v>-228.47025819525152</v>
      </c>
      <c r="AE70">
        <v>0</v>
      </c>
      <c r="AF70">
        <v>0</v>
      </c>
      <c r="AG70">
        <v>0</v>
      </c>
      <c r="AH70" s="235">
        <v>-34.434778986680612</v>
      </c>
      <c r="AI70">
        <v>226</v>
      </c>
      <c r="AJ70" t="s">
        <v>256</v>
      </c>
      <c r="AK70">
        <v>0</v>
      </c>
      <c r="AL70">
        <v>0</v>
      </c>
      <c r="AM70">
        <v>0</v>
      </c>
    </row>
    <row r="71" spans="1:39" x14ac:dyDescent="0.25">
      <c r="A71" t="s">
        <v>601</v>
      </c>
      <c r="B71" t="s">
        <v>306</v>
      </c>
      <c r="C71" t="s">
        <v>255</v>
      </c>
      <c r="D71" t="s">
        <v>234</v>
      </c>
      <c r="E71" t="s">
        <v>20</v>
      </c>
      <c r="F71" t="s">
        <v>279</v>
      </c>
      <c r="G71" t="s">
        <v>269</v>
      </c>
      <c r="H71" t="s">
        <v>254</v>
      </c>
      <c r="I71" t="s">
        <v>242</v>
      </c>
      <c r="J71" t="s">
        <v>235</v>
      </c>
      <c r="K71" s="380">
        <v>36770</v>
      </c>
      <c r="L71" s="235">
        <v>-1070.9888750974339</v>
      </c>
      <c r="M71" s="380">
        <v>36768</v>
      </c>
      <c r="N71" t="s">
        <v>1</v>
      </c>
      <c r="O71">
        <v>0.3</v>
      </c>
      <c r="P71">
        <v>0</v>
      </c>
      <c r="Q71">
        <v>0</v>
      </c>
      <c r="R71">
        <v>0</v>
      </c>
      <c r="S71">
        <v>0</v>
      </c>
      <c r="T71" t="s">
        <v>253</v>
      </c>
      <c r="U71" t="s">
        <v>7</v>
      </c>
      <c r="V71" t="s">
        <v>253</v>
      </c>
      <c r="W71" t="s">
        <v>132</v>
      </c>
      <c r="X71" t="s">
        <v>253</v>
      </c>
      <c r="Y71" t="s">
        <v>235</v>
      </c>
      <c r="Z71" t="s">
        <v>236</v>
      </c>
      <c r="AA71" t="s">
        <v>253</v>
      </c>
      <c r="AB71" t="s">
        <v>121</v>
      </c>
      <c r="AC71" s="235">
        <v>-500000</v>
      </c>
      <c r="AD71" s="235">
        <v>-456.94051639050303</v>
      </c>
      <c r="AE71">
        <v>0</v>
      </c>
      <c r="AF71">
        <v>0</v>
      </c>
      <c r="AG71">
        <v>0</v>
      </c>
      <c r="AH71" s="235">
        <v>-68.869557973361225</v>
      </c>
      <c r="AI71">
        <v>226</v>
      </c>
      <c r="AJ71" t="s">
        <v>256</v>
      </c>
      <c r="AK71">
        <v>0</v>
      </c>
      <c r="AL71">
        <v>0</v>
      </c>
      <c r="AM71">
        <v>0</v>
      </c>
    </row>
    <row r="72" spans="1:39" x14ac:dyDescent="0.25">
      <c r="A72" t="s">
        <v>601</v>
      </c>
      <c r="B72" t="s">
        <v>307</v>
      </c>
      <c r="C72" t="s">
        <v>255</v>
      </c>
      <c r="D72" t="s">
        <v>234</v>
      </c>
      <c r="E72" t="s">
        <v>20</v>
      </c>
      <c r="F72" t="s">
        <v>279</v>
      </c>
      <c r="G72" t="s">
        <v>269</v>
      </c>
      <c r="H72" t="s">
        <v>254</v>
      </c>
      <c r="I72" t="s">
        <v>242</v>
      </c>
      <c r="J72" t="s">
        <v>235</v>
      </c>
      <c r="K72" s="380">
        <v>36800</v>
      </c>
      <c r="L72" s="235">
        <v>-15486.375696830757</v>
      </c>
      <c r="M72" s="380">
        <v>36797</v>
      </c>
      <c r="N72" t="s">
        <v>21</v>
      </c>
      <c r="O72">
        <v>-0.25</v>
      </c>
      <c r="P72">
        <v>0</v>
      </c>
      <c r="Q72">
        <v>0</v>
      </c>
      <c r="R72">
        <v>0</v>
      </c>
      <c r="S72">
        <v>0</v>
      </c>
      <c r="T72" t="s">
        <v>253</v>
      </c>
      <c r="U72" t="s">
        <v>9</v>
      </c>
      <c r="V72" t="s">
        <v>253</v>
      </c>
      <c r="W72" t="s">
        <v>132</v>
      </c>
      <c r="X72" t="s">
        <v>253</v>
      </c>
      <c r="Y72" t="s">
        <v>235</v>
      </c>
      <c r="Z72" t="s">
        <v>236</v>
      </c>
      <c r="AA72" t="s">
        <v>253</v>
      </c>
      <c r="AB72" t="s">
        <v>121</v>
      </c>
      <c r="AC72" s="235">
        <v>-1000000</v>
      </c>
      <c r="AD72" s="235">
        <v>-14269.283693425954</v>
      </c>
      <c r="AE72">
        <v>0</v>
      </c>
      <c r="AF72">
        <v>0</v>
      </c>
      <c r="AG72">
        <v>0</v>
      </c>
      <c r="AH72" s="235">
        <v>6201.4422014144984</v>
      </c>
      <c r="AI72">
        <v>226</v>
      </c>
      <c r="AJ72" t="s">
        <v>256</v>
      </c>
      <c r="AK72">
        <v>0</v>
      </c>
      <c r="AL72">
        <v>0</v>
      </c>
      <c r="AM72">
        <v>0</v>
      </c>
    </row>
    <row r="73" spans="1:39" x14ac:dyDescent="0.25">
      <c r="A73" t="s">
        <v>601</v>
      </c>
      <c r="B73" t="s">
        <v>307</v>
      </c>
      <c r="C73" t="s">
        <v>255</v>
      </c>
      <c r="D73" t="s">
        <v>234</v>
      </c>
      <c r="E73" t="s">
        <v>20</v>
      </c>
      <c r="F73" t="s">
        <v>279</v>
      </c>
      <c r="G73" t="s">
        <v>269</v>
      </c>
      <c r="H73" t="s">
        <v>254</v>
      </c>
      <c r="I73" t="s">
        <v>242</v>
      </c>
      <c r="J73" t="s">
        <v>235</v>
      </c>
      <c r="K73" s="380">
        <v>36770</v>
      </c>
      <c r="L73" s="235">
        <v>-0.12975268473547352</v>
      </c>
      <c r="M73" s="380">
        <v>36768</v>
      </c>
      <c r="N73" t="s">
        <v>21</v>
      </c>
      <c r="O73">
        <v>-0.25</v>
      </c>
      <c r="P73">
        <v>0</v>
      </c>
      <c r="Q73">
        <v>0</v>
      </c>
      <c r="R73">
        <v>0</v>
      </c>
      <c r="S73">
        <v>0</v>
      </c>
      <c r="T73" t="s">
        <v>253</v>
      </c>
      <c r="U73" t="s">
        <v>9</v>
      </c>
      <c r="V73" t="s">
        <v>253</v>
      </c>
      <c r="W73" t="s">
        <v>132</v>
      </c>
      <c r="X73" t="s">
        <v>253</v>
      </c>
      <c r="Y73" t="s">
        <v>235</v>
      </c>
      <c r="Z73" t="s">
        <v>236</v>
      </c>
      <c r="AA73" t="s">
        <v>253</v>
      </c>
      <c r="AB73" t="s">
        <v>121</v>
      </c>
      <c r="AC73" s="235">
        <v>-1000000</v>
      </c>
      <c r="AD73" s="235">
        <v>3.8578548910983557E-2</v>
      </c>
      <c r="AE73">
        <v>0</v>
      </c>
      <c r="AF73">
        <v>0</v>
      </c>
      <c r="AG73">
        <v>0</v>
      </c>
      <c r="AH73" s="235">
        <v>-7.843891314252005E-3</v>
      </c>
      <c r="AI73">
        <v>226</v>
      </c>
      <c r="AJ73" t="s">
        <v>256</v>
      </c>
      <c r="AK73">
        <v>0</v>
      </c>
      <c r="AL73">
        <v>0</v>
      </c>
      <c r="AM73">
        <v>0</v>
      </c>
    </row>
    <row r="74" spans="1:39" x14ac:dyDescent="0.25">
      <c r="A74" t="s">
        <v>601</v>
      </c>
      <c r="B74" t="s">
        <v>308</v>
      </c>
      <c r="C74" t="s">
        <v>255</v>
      </c>
      <c r="D74" t="s">
        <v>234</v>
      </c>
      <c r="E74" t="s">
        <v>20</v>
      </c>
      <c r="F74" t="s">
        <v>279</v>
      </c>
      <c r="G74" t="s">
        <v>269</v>
      </c>
      <c r="H74" t="s">
        <v>254</v>
      </c>
      <c r="I74" t="s">
        <v>242</v>
      </c>
      <c r="J74" t="s">
        <v>235</v>
      </c>
      <c r="K74" s="380">
        <v>36800</v>
      </c>
      <c r="L74" s="235">
        <v>437025.95785222825</v>
      </c>
      <c r="M74" s="380">
        <v>36797</v>
      </c>
      <c r="N74" t="s">
        <v>1</v>
      </c>
      <c r="O74">
        <v>-0.4</v>
      </c>
      <c r="P74">
        <v>0</v>
      </c>
      <c r="Q74">
        <v>0</v>
      </c>
      <c r="R74">
        <v>0</v>
      </c>
      <c r="S74">
        <v>0</v>
      </c>
      <c r="T74" t="s">
        <v>253</v>
      </c>
      <c r="U74" t="s">
        <v>9</v>
      </c>
      <c r="V74" t="s">
        <v>253</v>
      </c>
      <c r="W74" t="s">
        <v>132</v>
      </c>
      <c r="X74" t="s">
        <v>253</v>
      </c>
      <c r="Y74" t="s">
        <v>235</v>
      </c>
      <c r="Z74" t="s">
        <v>236</v>
      </c>
      <c r="AA74" t="s">
        <v>253</v>
      </c>
      <c r="AB74" t="s">
        <v>121</v>
      </c>
      <c r="AC74" s="235">
        <v>1000000</v>
      </c>
      <c r="AD74" s="235">
        <v>22301.915104018524</v>
      </c>
      <c r="AE74">
        <v>0</v>
      </c>
      <c r="AF74">
        <v>0</v>
      </c>
      <c r="AG74">
        <v>0</v>
      </c>
      <c r="AH74" s="235">
        <v>53181.580605527095</v>
      </c>
      <c r="AI74">
        <v>226</v>
      </c>
      <c r="AJ74" t="s">
        <v>256</v>
      </c>
      <c r="AK74">
        <v>0</v>
      </c>
      <c r="AL74">
        <v>0</v>
      </c>
      <c r="AM74">
        <v>0</v>
      </c>
    </row>
    <row r="75" spans="1:39" x14ac:dyDescent="0.25">
      <c r="A75" t="s">
        <v>601</v>
      </c>
      <c r="B75" t="s">
        <v>308</v>
      </c>
      <c r="C75" t="s">
        <v>255</v>
      </c>
      <c r="D75" t="s">
        <v>234</v>
      </c>
      <c r="E75" t="s">
        <v>20</v>
      </c>
      <c r="F75" t="s">
        <v>279</v>
      </c>
      <c r="G75" t="s">
        <v>269</v>
      </c>
      <c r="H75" t="s">
        <v>254</v>
      </c>
      <c r="I75" t="s">
        <v>242</v>
      </c>
      <c r="J75" t="s">
        <v>235</v>
      </c>
      <c r="K75" s="380">
        <v>36770</v>
      </c>
      <c r="L75" s="235">
        <v>839691.00008139433</v>
      </c>
      <c r="M75" s="380">
        <v>36768</v>
      </c>
      <c r="N75" t="s">
        <v>1</v>
      </c>
      <c r="O75">
        <v>-0.4</v>
      </c>
      <c r="P75">
        <v>0</v>
      </c>
      <c r="Q75">
        <v>0</v>
      </c>
      <c r="R75">
        <v>0</v>
      </c>
      <c r="S75">
        <v>0</v>
      </c>
      <c r="T75" t="s">
        <v>253</v>
      </c>
      <c r="U75" t="s">
        <v>9</v>
      </c>
      <c r="V75" t="s">
        <v>253</v>
      </c>
      <c r="W75" t="s">
        <v>132</v>
      </c>
      <c r="X75" t="s">
        <v>253</v>
      </c>
      <c r="Y75" t="s">
        <v>235</v>
      </c>
      <c r="Z75" t="s">
        <v>236</v>
      </c>
      <c r="AA75" t="s">
        <v>253</v>
      </c>
      <c r="AB75" t="s">
        <v>121</v>
      </c>
      <c r="AC75" s="235">
        <v>1000000</v>
      </c>
      <c r="AD75" s="235">
        <v>-3.8578548235818744E-2</v>
      </c>
      <c r="AE75">
        <v>0</v>
      </c>
      <c r="AF75">
        <v>0</v>
      </c>
      <c r="AG75">
        <v>0</v>
      </c>
      <c r="AH75" s="235">
        <v>59944.865517645143</v>
      </c>
      <c r="AI75">
        <v>226</v>
      </c>
      <c r="AJ75" t="s">
        <v>256</v>
      </c>
      <c r="AK75">
        <v>0</v>
      </c>
      <c r="AL75">
        <v>0</v>
      </c>
      <c r="AM75">
        <v>0</v>
      </c>
    </row>
    <row r="76" spans="1:39" x14ac:dyDescent="0.25">
      <c r="A76" t="s">
        <v>601</v>
      </c>
      <c r="B76" t="s">
        <v>309</v>
      </c>
      <c r="C76" t="s">
        <v>255</v>
      </c>
      <c r="D76" t="s">
        <v>234</v>
      </c>
      <c r="E76" t="s">
        <v>20</v>
      </c>
      <c r="F76" t="s">
        <v>279</v>
      </c>
      <c r="G76" t="s">
        <v>269</v>
      </c>
      <c r="H76" t="s">
        <v>254</v>
      </c>
      <c r="I76" t="s">
        <v>242</v>
      </c>
      <c r="J76" t="s">
        <v>235</v>
      </c>
      <c r="K76" s="380">
        <v>36951</v>
      </c>
      <c r="L76" s="235">
        <v>-119164.64038472925</v>
      </c>
      <c r="M76" s="380">
        <v>36949</v>
      </c>
      <c r="N76" t="s">
        <v>21</v>
      </c>
      <c r="O76">
        <v>1.1499999999999999</v>
      </c>
      <c r="P76">
        <v>0</v>
      </c>
      <c r="Q76">
        <v>0</v>
      </c>
      <c r="R76">
        <v>0</v>
      </c>
      <c r="S76">
        <v>0</v>
      </c>
      <c r="T76" t="s">
        <v>253</v>
      </c>
      <c r="U76" t="s">
        <v>7</v>
      </c>
      <c r="V76" t="s">
        <v>253</v>
      </c>
      <c r="W76" t="s">
        <v>132</v>
      </c>
      <c r="X76" t="s">
        <v>253</v>
      </c>
      <c r="Y76" t="s">
        <v>235</v>
      </c>
      <c r="Z76" t="s">
        <v>236</v>
      </c>
      <c r="AA76" t="s">
        <v>253</v>
      </c>
      <c r="AB76" t="s">
        <v>121</v>
      </c>
      <c r="AC76" s="235">
        <v>-250000</v>
      </c>
      <c r="AD76" s="235">
        <v>-22058.471527194895</v>
      </c>
      <c r="AE76">
        <v>0</v>
      </c>
      <c r="AF76">
        <v>0</v>
      </c>
      <c r="AG76">
        <v>0</v>
      </c>
      <c r="AH76" s="235">
        <v>-8647.3720501664066</v>
      </c>
      <c r="AI76">
        <v>226</v>
      </c>
      <c r="AJ76" t="s">
        <v>256</v>
      </c>
      <c r="AK76">
        <v>0</v>
      </c>
      <c r="AL76">
        <v>0</v>
      </c>
      <c r="AM76">
        <v>0</v>
      </c>
    </row>
    <row r="77" spans="1:39" x14ac:dyDescent="0.25">
      <c r="A77" t="s">
        <v>601</v>
      </c>
      <c r="B77" t="s">
        <v>309</v>
      </c>
      <c r="C77" t="s">
        <v>255</v>
      </c>
      <c r="D77" t="s">
        <v>234</v>
      </c>
      <c r="E77" t="s">
        <v>20</v>
      </c>
      <c r="F77" t="s">
        <v>279</v>
      </c>
      <c r="G77" t="s">
        <v>269</v>
      </c>
      <c r="H77" t="s">
        <v>254</v>
      </c>
      <c r="I77" t="s">
        <v>242</v>
      </c>
      <c r="J77" t="s">
        <v>235</v>
      </c>
      <c r="K77" s="380">
        <v>36923</v>
      </c>
      <c r="L77" s="235">
        <v>-291288.83635345398</v>
      </c>
      <c r="M77" s="380">
        <v>36921</v>
      </c>
      <c r="N77" t="s">
        <v>21</v>
      </c>
      <c r="O77">
        <v>1.1499999999999999</v>
      </c>
      <c r="P77">
        <v>0</v>
      </c>
      <c r="Q77">
        <v>0</v>
      </c>
      <c r="R77">
        <v>0</v>
      </c>
      <c r="S77">
        <v>0</v>
      </c>
      <c r="T77" t="s">
        <v>253</v>
      </c>
      <c r="U77" t="s">
        <v>7</v>
      </c>
      <c r="V77" t="s">
        <v>253</v>
      </c>
      <c r="W77" t="s">
        <v>132</v>
      </c>
      <c r="X77" t="s">
        <v>253</v>
      </c>
      <c r="Y77" t="s">
        <v>235</v>
      </c>
      <c r="Z77" t="s">
        <v>236</v>
      </c>
      <c r="AA77" t="s">
        <v>253</v>
      </c>
      <c r="AB77" t="s">
        <v>121</v>
      </c>
      <c r="AC77" s="235">
        <v>-250000</v>
      </c>
      <c r="AD77" s="235">
        <v>-18797.299573003169</v>
      </c>
      <c r="AE77">
        <v>0</v>
      </c>
      <c r="AF77">
        <v>0</v>
      </c>
      <c r="AG77">
        <v>0</v>
      </c>
      <c r="AH77" s="235">
        <v>-13872.174759514048</v>
      </c>
      <c r="AI77">
        <v>226</v>
      </c>
      <c r="AJ77" t="s">
        <v>256</v>
      </c>
      <c r="AK77">
        <v>0</v>
      </c>
      <c r="AL77">
        <v>0</v>
      </c>
      <c r="AM77">
        <v>0</v>
      </c>
    </row>
    <row r="78" spans="1:39" x14ac:dyDescent="0.25">
      <c r="A78" t="s">
        <v>601</v>
      </c>
      <c r="B78" t="s">
        <v>309</v>
      </c>
      <c r="C78" t="s">
        <v>255</v>
      </c>
      <c r="D78" t="s">
        <v>234</v>
      </c>
      <c r="E78" t="s">
        <v>20</v>
      </c>
      <c r="F78" t="s">
        <v>279</v>
      </c>
      <c r="G78" t="s">
        <v>269</v>
      </c>
      <c r="H78" t="s">
        <v>254</v>
      </c>
      <c r="I78" t="s">
        <v>242</v>
      </c>
      <c r="J78" t="s">
        <v>235</v>
      </c>
      <c r="K78" s="380">
        <v>36892</v>
      </c>
      <c r="L78" s="235">
        <v>-301361.25699237629</v>
      </c>
      <c r="M78" s="380">
        <v>36888</v>
      </c>
      <c r="N78" t="s">
        <v>21</v>
      </c>
      <c r="O78">
        <v>1.1499999999999999</v>
      </c>
      <c r="P78">
        <v>0</v>
      </c>
      <c r="Q78">
        <v>0</v>
      </c>
      <c r="R78">
        <v>0</v>
      </c>
      <c r="S78">
        <v>0</v>
      </c>
      <c r="T78" t="s">
        <v>253</v>
      </c>
      <c r="U78" t="s">
        <v>7</v>
      </c>
      <c r="V78" t="s">
        <v>253</v>
      </c>
      <c r="W78" t="s">
        <v>132</v>
      </c>
      <c r="X78" t="s">
        <v>253</v>
      </c>
      <c r="Y78" t="s">
        <v>235</v>
      </c>
      <c r="Z78" t="s">
        <v>236</v>
      </c>
      <c r="AA78" t="s">
        <v>253</v>
      </c>
      <c r="AB78" t="s">
        <v>121</v>
      </c>
      <c r="AC78" s="235">
        <v>-250000</v>
      </c>
      <c r="AD78" s="235">
        <v>-16298.51492449845</v>
      </c>
      <c r="AE78">
        <v>0</v>
      </c>
      <c r="AF78">
        <v>0</v>
      </c>
      <c r="AG78">
        <v>0</v>
      </c>
      <c r="AH78" s="235">
        <v>-12303.283927580575</v>
      </c>
      <c r="AI78">
        <v>226</v>
      </c>
      <c r="AJ78" t="s">
        <v>256</v>
      </c>
      <c r="AK78">
        <v>0</v>
      </c>
      <c r="AL78">
        <v>0</v>
      </c>
      <c r="AM78">
        <v>0</v>
      </c>
    </row>
    <row r="79" spans="1:39" x14ac:dyDescent="0.25">
      <c r="A79" t="s">
        <v>601</v>
      </c>
      <c r="B79" t="s">
        <v>309</v>
      </c>
      <c r="C79" t="s">
        <v>255</v>
      </c>
      <c r="D79" t="s">
        <v>234</v>
      </c>
      <c r="E79" t="s">
        <v>20</v>
      </c>
      <c r="F79" t="s">
        <v>279</v>
      </c>
      <c r="G79" t="s">
        <v>269</v>
      </c>
      <c r="H79" t="s">
        <v>254</v>
      </c>
      <c r="I79" t="s">
        <v>242</v>
      </c>
      <c r="J79" t="s">
        <v>235</v>
      </c>
      <c r="K79" s="380">
        <v>36861</v>
      </c>
      <c r="L79" s="235">
        <v>-191405.94333799346</v>
      </c>
      <c r="M79" s="380">
        <v>36859</v>
      </c>
      <c r="N79" t="s">
        <v>21</v>
      </c>
      <c r="O79">
        <v>1.1499999999999999</v>
      </c>
      <c r="P79">
        <v>0</v>
      </c>
      <c r="Q79">
        <v>0</v>
      </c>
      <c r="R79">
        <v>0</v>
      </c>
      <c r="S79">
        <v>0</v>
      </c>
      <c r="T79" t="s">
        <v>253</v>
      </c>
      <c r="U79" t="s">
        <v>7</v>
      </c>
      <c r="V79" t="s">
        <v>253</v>
      </c>
      <c r="W79" t="s">
        <v>132</v>
      </c>
      <c r="X79" t="s">
        <v>253</v>
      </c>
      <c r="Y79" t="s">
        <v>235</v>
      </c>
      <c r="Z79" t="s">
        <v>236</v>
      </c>
      <c r="AA79" t="s">
        <v>253</v>
      </c>
      <c r="AB79" t="s">
        <v>121</v>
      </c>
      <c r="AC79" s="235">
        <v>-250000</v>
      </c>
      <c r="AD79" s="235">
        <v>-16732.932289926743</v>
      </c>
      <c r="AE79">
        <v>0</v>
      </c>
      <c r="AF79">
        <v>0</v>
      </c>
      <c r="AG79">
        <v>0</v>
      </c>
      <c r="AH79" s="235">
        <v>-8426.6827487545088</v>
      </c>
      <c r="AI79">
        <v>226</v>
      </c>
      <c r="AJ79" t="s">
        <v>256</v>
      </c>
      <c r="AK79">
        <v>0</v>
      </c>
      <c r="AL79">
        <v>0</v>
      </c>
      <c r="AM79">
        <v>0</v>
      </c>
    </row>
    <row r="80" spans="1:39" x14ac:dyDescent="0.25">
      <c r="A80" t="s">
        <v>601</v>
      </c>
      <c r="B80" t="s">
        <v>309</v>
      </c>
      <c r="C80" t="s">
        <v>255</v>
      </c>
      <c r="D80" t="s">
        <v>234</v>
      </c>
      <c r="E80" t="s">
        <v>20</v>
      </c>
      <c r="F80" t="s">
        <v>279</v>
      </c>
      <c r="G80" t="s">
        <v>269</v>
      </c>
      <c r="H80" t="s">
        <v>254</v>
      </c>
      <c r="I80" t="s">
        <v>242</v>
      </c>
      <c r="J80" t="s">
        <v>235</v>
      </c>
      <c r="K80" s="380">
        <v>36831</v>
      </c>
      <c r="L80" s="235">
        <v>-31782.550363721381</v>
      </c>
      <c r="M80" s="380">
        <v>36829</v>
      </c>
      <c r="N80" t="s">
        <v>21</v>
      </c>
      <c r="O80">
        <v>1.1499999999999999</v>
      </c>
      <c r="P80">
        <v>0</v>
      </c>
      <c r="Q80">
        <v>0</v>
      </c>
      <c r="R80">
        <v>0</v>
      </c>
      <c r="S80">
        <v>0</v>
      </c>
      <c r="T80" t="s">
        <v>253</v>
      </c>
      <c r="U80" t="s">
        <v>7</v>
      </c>
      <c r="V80" t="s">
        <v>253</v>
      </c>
      <c r="W80" t="s">
        <v>132</v>
      </c>
      <c r="X80" t="s">
        <v>253</v>
      </c>
      <c r="Y80" t="s">
        <v>235</v>
      </c>
      <c r="Z80" t="s">
        <v>236</v>
      </c>
      <c r="AA80" t="s">
        <v>253</v>
      </c>
      <c r="AB80" t="s">
        <v>121</v>
      </c>
      <c r="AC80" s="235">
        <v>-250000</v>
      </c>
      <c r="AD80" s="235">
        <v>-9434.6728573932487</v>
      </c>
      <c r="AE80">
        <v>0</v>
      </c>
      <c r="AF80">
        <v>0</v>
      </c>
      <c r="AG80">
        <v>0</v>
      </c>
      <c r="AH80" s="235">
        <v>-3538.9767093560549</v>
      </c>
      <c r="AI80">
        <v>226</v>
      </c>
      <c r="AJ80" t="s">
        <v>256</v>
      </c>
      <c r="AK80">
        <v>0</v>
      </c>
      <c r="AL80">
        <v>0</v>
      </c>
      <c r="AM80">
        <v>0</v>
      </c>
    </row>
    <row r="81" spans="1:39" x14ac:dyDescent="0.25">
      <c r="A81" t="s">
        <v>601</v>
      </c>
      <c r="B81" t="s">
        <v>310</v>
      </c>
      <c r="C81" t="s">
        <v>255</v>
      </c>
      <c r="D81" t="s">
        <v>234</v>
      </c>
      <c r="E81" t="s">
        <v>20</v>
      </c>
      <c r="F81" t="s">
        <v>279</v>
      </c>
      <c r="G81" t="s">
        <v>269</v>
      </c>
      <c r="H81" t="s">
        <v>254</v>
      </c>
      <c r="I81" t="s">
        <v>242</v>
      </c>
      <c r="J81" t="s">
        <v>235</v>
      </c>
      <c r="K81" s="380">
        <v>36951</v>
      </c>
      <c r="L81" s="235">
        <v>-137278.60427435162</v>
      </c>
      <c r="M81" s="380">
        <v>36949</v>
      </c>
      <c r="N81" t="s">
        <v>1</v>
      </c>
      <c r="O81">
        <v>1.1499999999999999</v>
      </c>
      <c r="P81">
        <v>0</v>
      </c>
      <c r="Q81">
        <v>0</v>
      </c>
      <c r="R81">
        <v>0</v>
      </c>
      <c r="S81">
        <v>0</v>
      </c>
      <c r="T81" t="s">
        <v>253</v>
      </c>
      <c r="U81" t="s">
        <v>7</v>
      </c>
      <c r="V81" t="s">
        <v>253</v>
      </c>
      <c r="W81" t="s">
        <v>132</v>
      </c>
      <c r="X81" t="s">
        <v>253</v>
      </c>
      <c r="Y81" t="s">
        <v>235</v>
      </c>
      <c r="Z81" t="s">
        <v>236</v>
      </c>
      <c r="AA81" t="s">
        <v>253</v>
      </c>
      <c r="AB81" t="s">
        <v>121</v>
      </c>
      <c r="AC81" s="235">
        <v>-250000</v>
      </c>
      <c r="AD81" s="235">
        <v>-22058.471527194881</v>
      </c>
      <c r="AE81">
        <v>0</v>
      </c>
      <c r="AF81">
        <v>0</v>
      </c>
      <c r="AG81">
        <v>0</v>
      </c>
      <c r="AH81" s="235">
        <v>5836.6614267209079</v>
      </c>
      <c r="AI81">
        <v>226</v>
      </c>
      <c r="AJ81" t="s">
        <v>256</v>
      </c>
      <c r="AK81">
        <v>0</v>
      </c>
      <c r="AL81">
        <v>0</v>
      </c>
      <c r="AM81">
        <v>0</v>
      </c>
    </row>
    <row r="82" spans="1:39" x14ac:dyDescent="0.25">
      <c r="A82" t="s">
        <v>601</v>
      </c>
      <c r="B82" t="s">
        <v>310</v>
      </c>
      <c r="C82" t="s">
        <v>255</v>
      </c>
      <c r="D82" t="s">
        <v>234</v>
      </c>
      <c r="E82" t="s">
        <v>20</v>
      </c>
      <c r="F82" t="s">
        <v>279</v>
      </c>
      <c r="G82" t="s">
        <v>269</v>
      </c>
      <c r="H82" t="s">
        <v>254</v>
      </c>
      <c r="I82" t="s">
        <v>242</v>
      </c>
      <c r="J82" t="s">
        <v>235</v>
      </c>
      <c r="K82" s="380">
        <v>36923</v>
      </c>
      <c r="L82" s="235">
        <v>-63035.324930244387</v>
      </c>
      <c r="M82" s="380">
        <v>36921</v>
      </c>
      <c r="N82" t="s">
        <v>1</v>
      </c>
      <c r="O82">
        <v>1.1499999999999999</v>
      </c>
      <c r="P82">
        <v>0</v>
      </c>
      <c r="Q82">
        <v>0</v>
      </c>
      <c r="R82">
        <v>0</v>
      </c>
      <c r="S82">
        <v>0</v>
      </c>
      <c r="T82" t="s">
        <v>253</v>
      </c>
      <c r="U82" t="s">
        <v>7</v>
      </c>
      <c r="V82" t="s">
        <v>253</v>
      </c>
      <c r="W82" t="s">
        <v>132</v>
      </c>
      <c r="X82" t="s">
        <v>253</v>
      </c>
      <c r="Y82" t="s">
        <v>235</v>
      </c>
      <c r="Z82" t="s">
        <v>236</v>
      </c>
      <c r="AA82" t="s">
        <v>253</v>
      </c>
      <c r="AB82" t="s">
        <v>121</v>
      </c>
      <c r="AC82" s="235">
        <v>-250000</v>
      </c>
      <c r="AD82" s="235">
        <v>-18797.299573003183</v>
      </c>
      <c r="AE82">
        <v>0</v>
      </c>
      <c r="AF82">
        <v>0</v>
      </c>
      <c r="AG82">
        <v>0</v>
      </c>
      <c r="AH82" s="235">
        <v>3116.6893953742328</v>
      </c>
      <c r="AI82">
        <v>226</v>
      </c>
      <c r="AJ82" t="s">
        <v>256</v>
      </c>
      <c r="AK82">
        <v>0</v>
      </c>
      <c r="AL82">
        <v>0</v>
      </c>
      <c r="AM82">
        <v>0</v>
      </c>
    </row>
    <row r="83" spans="1:39" x14ac:dyDescent="0.25">
      <c r="A83" t="s">
        <v>601</v>
      </c>
      <c r="B83" t="s">
        <v>310</v>
      </c>
      <c r="C83" t="s">
        <v>255</v>
      </c>
      <c r="D83" t="s">
        <v>234</v>
      </c>
      <c r="E83" t="s">
        <v>20</v>
      </c>
      <c r="F83" t="s">
        <v>279</v>
      </c>
      <c r="G83" t="s">
        <v>269</v>
      </c>
      <c r="H83" t="s">
        <v>254</v>
      </c>
      <c r="I83" t="s">
        <v>242</v>
      </c>
      <c r="J83" t="s">
        <v>235</v>
      </c>
      <c r="K83" s="380">
        <v>36892</v>
      </c>
      <c r="L83" s="235">
        <v>-52119.051936837801</v>
      </c>
      <c r="M83" s="380">
        <v>36888</v>
      </c>
      <c r="N83" t="s">
        <v>1</v>
      </c>
      <c r="O83">
        <v>1.1499999999999999</v>
      </c>
      <c r="P83">
        <v>0</v>
      </c>
      <c r="Q83">
        <v>0</v>
      </c>
      <c r="R83">
        <v>0</v>
      </c>
      <c r="S83">
        <v>0</v>
      </c>
      <c r="T83" t="s">
        <v>253</v>
      </c>
      <c r="U83" t="s">
        <v>7</v>
      </c>
      <c r="V83" t="s">
        <v>253</v>
      </c>
      <c r="W83" t="s">
        <v>132</v>
      </c>
      <c r="X83" t="s">
        <v>253</v>
      </c>
      <c r="Y83" t="s">
        <v>235</v>
      </c>
      <c r="Z83" t="s">
        <v>236</v>
      </c>
      <c r="AA83" t="s">
        <v>253</v>
      </c>
      <c r="AB83" t="s">
        <v>121</v>
      </c>
      <c r="AC83" s="235">
        <v>-250000</v>
      </c>
      <c r="AD83" s="235">
        <v>-16298.514924498442</v>
      </c>
      <c r="AE83">
        <v>0</v>
      </c>
      <c r="AF83">
        <v>0</v>
      </c>
      <c r="AG83">
        <v>0</v>
      </c>
      <c r="AH83" s="235">
        <v>2350.205384903602</v>
      </c>
      <c r="AI83">
        <v>226</v>
      </c>
      <c r="AJ83" t="s">
        <v>256</v>
      </c>
      <c r="AK83">
        <v>0</v>
      </c>
      <c r="AL83">
        <v>0</v>
      </c>
      <c r="AM83">
        <v>0</v>
      </c>
    </row>
    <row r="84" spans="1:39" x14ac:dyDescent="0.25">
      <c r="A84" t="s">
        <v>601</v>
      </c>
      <c r="B84" t="s">
        <v>310</v>
      </c>
      <c r="C84" t="s">
        <v>255</v>
      </c>
      <c r="D84" t="s">
        <v>234</v>
      </c>
      <c r="E84" t="s">
        <v>20</v>
      </c>
      <c r="F84" t="s">
        <v>279</v>
      </c>
      <c r="G84" t="s">
        <v>269</v>
      </c>
      <c r="H84" t="s">
        <v>254</v>
      </c>
      <c r="I84" t="s">
        <v>242</v>
      </c>
      <c r="J84" t="s">
        <v>235</v>
      </c>
      <c r="K84" s="380">
        <v>36861</v>
      </c>
      <c r="L84" s="235">
        <v>-69789.853901626237</v>
      </c>
      <c r="M84" s="380">
        <v>36859</v>
      </c>
      <c r="N84" t="s">
        <v>1</v>
      </c>
      <c r="O84">
        <v>1.1499999999999999</v>
      </c>
      <c r="P84">
        <v>0</v>
      </c>
      <c r="Q84">
        <v>0</v>
      </c>
      <c r="R84">
        <v>0</v>
      </c>
      <c r="S84">
        <v>0</v>
      </c>
      <c r="T84" t="s">
        <v>253</v>
      </c>
      <c r="U84" t="s">
        <v>7</v>
      </c>
      <c r="V84" t="s">
        <v>253</v>
      </c>
      <c r="W84" t="s">
        <v>132</v>
      </c>
      <c r="X84" t="s">
        <v>253</v>
      </c>
      <c r="Y84" t="s">
        <v>235</v>
      </c>
      <c r="Z84" t="s">
        <v>236</v>
      </c>
      <c r="AA84" t="s">
        <v>253</v>
      </c>
      <c r="AB84" t="s">
        <v>121</v>
      </c>
      <c r="AC84" s="235">
        <v>-250000</v>
      </c>
      <c r="AD84" s="235">
        <v>-16732.932289926757</v>
      </c>
      <c r="AE84">
        <v>0</v>
      </c>
      <c r="AF84">
        <v>0</v>
      </c>
      <c r="AG84">
        <v>0</v>
      </c>
      <c r="AH84" s="235">
        <v>2623.2436886048963</v>
      </c>
      <c r="AI84">
        <v>226</v>
      </c>
      <c r="AJ84" t="s">
        <v>256</v>
      </c>
      <c r="AK84">
        <v>0</v>
      </c>
      <c r="AL84">
        <v>0</v>
      </c>
      <c r="AM84">
        <v>0</v>
      </c>
    </row>
    <row r="85" spans="1:39" x14ac:dyDescent="0.25">
      <c r="A85" t="s">
        <v>601</v>
      </c>
      <c r="B85" t="s">
        <v>310</v>
      </c>
      <c r="C85" t="s">
        <v>255</v>
      </c>
      <c r="D85" t="s">
        <v>234</v>
      </c>
      <c r="E85" t="s">
        <v>20</v>
      </c>
      <c r="F85" t="s">
        <v>279</v>
      </c>
      <c r="G85" t="s">
        <v>269</v>
      </c>
      <c r="H85" t="s">
        <v>254</v>
      </c>
      <c r="I85" t="s">
        <v>242</v>
      </c>
      <c r="J85" t="s">
        <v>235</v>
      </c>
      <c r="K85" s="380">
        <v>36831</v>
      </c>
      <c r="L85" s="235">
        <v>-125673.07991703114</v>
      </c>
      <c r="M85" s="380">
        <v>36829</v>
      </c>
      <c r="N85" t="s">
        <v>1</v>
      </c>
      <c r="O85">
        <v>1.1499999999999999</v>
      </c>
      <c r="P85">
        <v>0</v>
      </c>
      <c r="Q85">
        <v>0</v>
      </c>
      <c r="R85">
        <v>0</v>
      </c>
      <c r="S85">
        <v>0</v>
      </c>
      <c r="T85" t="s">
        <v>253</v>
      </c>
      <c r="U85" t="s">
        <v>7</v>
      </c>
      <c r="V85" t="s">
        <v>253</v>
      </c>
      <c r="W85" t="s">
        <v>132</v>
      </c>
      <c r="X85" t="s">
        <v>253</v>
      </c>
      <c r="Y85" t="s">
        <v>235</v>
      </c>
      <c r="Z85" t="s">
        <v>236</v>
      </c>
      <c r="AA85" t="s">
        <v>253</v>
      </c>
      <c r="AB85" t="s">
        <v>121</v>
      </c>
      <c r="AC85" s="235">
        <v>-250000</v>
      </c>
      <c r="AD85" s="235">
        <v>-9434.6728573932487</v>
      </c>
      <c r="AE85">
        <v>0</v>
      </c>
      <c r="AF85">
        <v>0</v>
      </c>
      <c r="AG85">
        <v>0</v>
      </c>
      <c r="AH85" s="235">
        <v>6338.7951437863376</v>
      </c>
      <c r="AI85">
        <v>226</v>
      </c>
      <c r="AJ85" t="s">
        <v>256</v>
      </c>
      <c r="AK85">
        <v>0</v>
      </c>
      <c r="AL85">
        <v>0</v>
      </c>
      <c r="AM85">
        <v>0</v>
      </c>
    </row>
    <row r="86" spans="1:39" x14ac:dyDescent="0.25">
      <c r="A86" t="s">
        <v>601</v>
      </c>
      <c r="B86" t="s">
        <v>311</v>
      </c>
      <c r="C86" t="s">
        <v>255</v>
      </c>
      <c r="D86" t="s">
        <v>234</v>
      </c>
      <c r="E86" t="s">
        <v>20</v>
      </c>
      <c r="F86" t="s">
        <v>279</v>
      </c>
      <c r="G86" t="s">
        <v>269</v>
      </c>
      <c r="H86" t="s">
        <v>254</v>
      </c>
      <c r="I86" t="s">
        <v>242</v>
      </c>
      <c r="J86" t="s">
        <v>235</v>
      </c>
      <c r="K86" s="380">
        <v>36800</v>
      </c>
      <c r="L86" s="235">
        <v>-11397.779994927749</v>
      </c>
      <c r="M86" s="380">
        <v>36797</v>
      </c>
      <c r="N86" t="s">
        <v>21</v>
      </c>
      <c r="O86">
        <v>-0.32</v>
      </c>
      <c r="P86">
        <v>0</v>
      </c>
      <c r="Q86">
        <v>0</v>
      </c>
      <c r="R86">
        <v>0</v>
      </c>
      <c r="S86">
        <v>0</v>
      </c>
      <c r="T86" t="s">
        <v>253</v>
      </c>
      <c r="U86" t="s">
        <v>9</v>
      </c>
      <c r="V86" t="s">
        <v>253</v>
      </c>
      <c r="W86" t="s">
        <v>132</v>
      </c>
      <c r="X86" t="s">
        <v>253</v>
      </c>
      <c r="Y86" t="s">
        <v>235</v>
      </c>
      <c r="Z86" t="s">
        <v>236</v>
      </c>
      <c r="AA86" t="s">
        <v>253</v>
      </c>
      <c r="AB86" t="s">
        <v>121</v>
      </c>
      <c r="AC86" s="235">
        <v>-500000</v>
      </c>
      <c r="AD86" s="235">
        <v>-8962.0418115520806</v>
      </c>
      <c r="AE86">
        <v>0</v>
      </c>
      <c r="AF86">
        <v>0</v>
      </c>
      <c r="AG86">
        <v>0</v>
      </c>
      <c r="AH86" s="235">
        <v>4185.5956162752937</v>
      </c>
      <c r="AI86">
        <v>226</v>
      </c>
      <c r="AJ86" t="s">
        <v>256</v>
      </c>
      <c r="AK86">
        <v>0</v>
      </c>
      <c r="AL86">
        <v>0</v>
      </c>
      <c r="AM86">
        <v>0</v>
      </c>
    </row>
    <row r="87" spans="1:39" x14ac:dyDescent="0.25">
      <c r="A87" t="s">
        <v>601</v>
      </c>
      <c r="B87" t="s">
        <v>311</v>
      </c>
      <c r="C87" t="s">
        <v>255</v>
      </c>
      <c r="D87" t="s">
        <v>234</v>
      </c>
      <c r="E87" t="s">
        <v>20</v>
      </c>
      <c r="F87" t="s">
        <v>279</v>
      </c>
      <c r="G87" t="s">
        <v>269</v>
      </c>
      <c r="H87" t="s">
        <v>254</v>
      </c>
      <c r="I87" t="s">
        <v>242</v>
      </c>
      <c r="J87" t="s">
        <v>235</v>
      </c>
      <c r="K87" s="380">
        <v>36770</v>
      </c>
      <c r="L87" s="235">
        <v>-6.0288714492928719E-2</v>
      </c>
      <c r="M87" s="380">
        <v>36768</v>
      </c>
      <c r="N87" t="s">
        <v>21</v>
      </c>
      <c r="O87">
        <v>-0.32</v>
      </c>
      <c r="P87">
        <v>0</v>
      </c>
      <c r="Q87">
        <v>0</v>
      </c>
      <c r="R87">
        <v>0</v>
      </c>
      <c r="S87">
        <v>0</v>
      </c>
      <c r="T87" t="s">
        <v>253</v>
      </c>
      <c r="U87" t="s">
        <v>9</v>
      </c>
      <c r="V87" t="s">
        <v>253</v>
      </c>
      <c r="W87" t="s">
        <v>132</v>
      </c>
      <c r="X87" t="s">
        <v>253</v>
      </c>
      <c r="Y87" t="s">
        <v>235</v>
      </c>
      <c r="Z87" t="s">
        <v>236</v>
      </c>
      <c r="AA87" t="s">
        <v>253</v>
      </c>
      <c r="AB87" t="s">
        <v>121</v>
      </c>
      <c r="AC87" s="235">
        <v>-500000</v>
      </c>
      <c r="AD87" s="235">
        <v>1.928927406691372E-2</v>
      </c>
      <c r="AE87">
        <v>0</v>
      </c>
      <c r="AF87">
        <v>0</v>
      </c>
      <c r="AG87">
        <v>0</v>
      </c>
      <c r="AH87" s="235">
        <v>-3.9194572032386077E-3</v>
      </c>
      <c r="AI87">
        <v>226</v>
      </c>
      <c r="AJ87" t="s">
        <v>256</v>
      </c>
      <c r="AK87">
        <v>0</v>
      </c>
      <c r="AL87">
        <v>0</v>
      </c>
      <c r="AM87">
        <v>0</v>
      </c>
    </row>
    <row r="88" spans="1:39" x14ac:dyDescent="0.25">
      <c r="A88" t="s">
        <v>601</v>
      </c>
      <c r="B88" t="s">
        <v>312</v>
      </c>
      <c r="C88" t="s">
        <v>255</v>
      </c>
      <c r="D88" t="s">
        <v>234</v>
      </c>
      <c r="E88" t="s">
        <v>20</v>
      </c>
      <c r="F88" t="s">
        <v>279</v>
      </c>
      <c r="G88" t="s">
        <v>269</v>
      </c>
      <c r="H88" t="s">
        <v>254</v>
      </c>
      <c r="I88" t="s">
        <v>242</v>
      </c>
      <c r="J88" t="s">
        <v>235</v>
      </c>
      <c r="K88" s="380">
        <v>36800</v>
      </c>
      <c r="L88" s="235">
        <v>-252501.20968180167</v>
      </c>
      <c r="M88" s="380">
        <v>36797</v>
      </c>
      <c r="N88" t="s">
        <v>1</v>
      </c>
      <c r="O88">
        <v>-0.32</v>
      </c>
      <c r="P88">
        <v>0</v>
      </c>
      <c r="Q88">
        <v>0</v>
      </c>
      <c r="R88">
        <v>0</v>
      </c>
      <c r="S88">
        <v>0</v>
      </c>
      <c r="T88" t="s">
        <v>253</v>
      </c>
      <c r="U88" t="s">
        <v>9</v>
      </c>
      <c r="V88" t="s">
        <v>253</v>
      </c>
      <c r="W88" t="s">
        <v>132</v>
      </c>
      <c r="X88" t="s">
        <v>253</v>
      </c>
      <c r="Y88" t="s">
        <v>235</v>
      </c>
      <c r="Z88" t="s">
        <v>236</v>
      </c>
      <c r="AA88" t="s">
        <v>253</v>
      </c>
      <c r="AB88" t="s">
        <v>121</v>
      </c>
      <c r="AC88" s="235">
        <v>-500000</v>
      </c>
      <c r="AD88" s="235">
        <v>-8962.0418115520733</v>
      </c>
      <c r="AE88">
        <v>0</v>
      </c>
      <c r="AF88">
        <v>0</v>
      </c>
      <c r="AG88">
        <v>0</v>
      </c>
      <c r="AH88" s="235">
        <v>-28109.434418432327</v>
      </c>
      <c r="AI88">
        <v>226</v>
      </c>
      <c r="AJ88" t="s">
        <v>256</v>
      </c>
      <c r="AK88">
        <v>0</v>
      </c>
      <c r="AL88">
        <v>0</v>
      </c>
      <c r="AM88">
        <v>0</v>
      </c>
    </row>
    <row r="89" spans="1:39" x14ac:dyDescent="0.25">
      <c r="A89" t="s">
        <v>601</v>
      </c>
      <c r="B89" t="s">
        <v>312</v>
      </c>
      <c r="C89" t="s">
        <v>255</v>
      </c>
      <c r="D89" t="s">
        <v>234</v>
      </c>
      <c r="E89" t="s">
        <v>20</v>
      </c>
      <c r="F89" t="s">
        <v>279</v>
      </c>
      <c r="G89" t="s">
        <v>269</v>
      </c>
      <c r="H89" t="s">
        <v>254</v>
      </c>
      <c r="I89" t="s">
        <v>242</v>
      </c>
      <c r="J89" t="s">
        <v>235</v>
      </c>
      <c r="K89" s="380">
        <v>36770</v>
      </c>
      <c r="L89" s="235">
        <v>-459830.7857594135</v>
      </c>
      <c r="M89" s="380">
        <v>36768</v>
      </c>
      <c r="N89" t="s">
        <v>1</v>
      </c>
      <c r="O89">
        <v>-0.32</v>
      </c>
      <c r="P89">
        <v>0</v>
      </c>
      <c r="Q89">
        <v>0</v>
      </c>
      <c r="R89">
        <v>0</v>
      </c>
      <c r="S89">
        <v>0</v>
      </c>
      <c r="T89" t="s">
        <v>253</v>
      </c>
      <c r="U89" t="s">
        <v>9</v>
      </c>
      <c r="V89" t="s">
        <v>253</v>
      </c>
      <c r="W89" t="s">
        <v>132</v>
      </c>
      <c r="X89" t="s">
        <v>253</v>
      </c>
      <c r="Y89" t="s">
        <v>235</v>
      </c>
      <c r="Z89" t="s">
        <v>236</v>
      </c>
      <c r="AA89" t="s">
        <v>253</v>
      </c>
      <c r="AB89" t="s">
        <v>121</v>
      </c>
      <c r="AC89" s="235">
        <v>-500000</v>
      </c>
      <c r="AD89" s="235">
        <v>1.9289274059701711E-2</v>
      </c>
      <c r="AE89">
        <v>0</v>
      </c>
      <c r="AF89">
        <v>0</v>
      </c>
      <c r="AG89">
        <v>0</v>
      </c>
      <c r="AH89" s="235">
        <v>-29972.43287867069</v>
      </c>
      <c r="AI89">
        <v>226</v>
      </c>
      <c r="AJ89" t="s">
        <v>256</v>
      </c>
      <c r="AK89">
        <v>0</v>
      </c>
      <c r="AL89">
        <v>0</v>
      </c>
      <c r="AM89">
        <v>0</v>
      </c>
    </row>
    <row r="90" spans="1:39" x14ac:dyDescent="0.25">
      <c r="A90" t="s">
        <v>601</v>
      </c>
      <c r="B90" t="s">
        <v>313</v>
      </c>
      <c r="C90" t="s">
        <v>255</v>
      </c>
      <c r="D90" t="s">
        <v>234</v>
      </c>
      <c r="E90" t="s">
        <v>20</v>
      </c>
      <c r="F90" t="s">
        <v>279</v>
      </c>
      <c r="G90" t="s">
        <v>269</v>
      </c>
      <c r="H90" t="s">
        <v>254</v>
      </c>
      <c r="I90" t="s">
        <v>242</v>
      </c>
      <c r="J90" t="s">
        <v>235</v>
      </c>
      <c r="K90" s="380">
        <v>36800</v>
      </c>
      <c r="L90" s="235">
        <v>-52680.866995454991</v>
      </c>
      <c r="M90" s="380">
        <v>36797</v>
      </c>
      <c r="N90" t="s">
        <v>21</v>
      </c>
      <c r="O90">
        <v>0.32</v>
      </c>
      <c r="P90">
        <v>0</v>
      </c>
      <c r="Q90">
        <v>0</v>
      </c>
      <c r="R90">
        <v>0</v>
      </c>
      <c r="S90">
        <v>0</v>
      </c>
      <c r="T90" t="s">
        <v>253</v>
      </c>
      <c r="U90" t="s">
        <v>7</v>
      </c>
      <c r="V90" t="s">
        <v>253</v>
      </c>
      <c r="W90" t="s">
        <v>132</v>
      </c>
      <c r="X90" t="s">
        <v>253</v>
      </c>
      <c r="Y90" t="s">
        <v>235</v>
      </c>
      <c r="Z90" t="s">
        <v>236</v>
      </c>
      <c r="AA90" t="s">
        <v>253</v>
      </c>
      <c r="AB90" t="s">
        <v>121</v>
      </c>
      <c r="AC90" s="235">
        <v>-500000</v>
      </c>
      <c r="AD90" s="235">
        <v>-2344.6881448923959</v>
      </c>
      <c r="AE90">
        <v>0</v>
      </c>
      <c r="AF90">
        <v>0</v>
      </c>
      <c r="AG90">
        <v>0</v>
      </c>
      <c r="AH90" s="235">
        <v>-135.03278493037942</v>
      </c>
      <c r="AI90">
        <v>226</v>
      </c>
      <c r="AJ90" t="s">
        <v>256</v>
      </c>
      <c r="AK90">
        <v>0</v>
      </c>
      <c r="AL90">
        <v>0</v>
      </c>
      <c r="AM90">
        <v>0</v>
      </c>
    </row>
    <row r="91" spans="1:39" x14ac:dyDescent="0.25">
      <c r="A91" t="s">
        <v>601</v>
      </c>
      <c r="B91" t="s">
        <v>313</v>
      </c>
      <c r="C91" t="s">
        <v>255</v>
      </c>
      <c r="D91" t="s">
        <v>234</v>
      </c>
      <c r="E91" t="s">
        <v>20</v>
      </c>
      <c r="F91" t="s">
        <v>279</v>
      </c>
      <c r="G91" t="s">
        <v>269</v>
      </c>
      <c r="H91" t="s">
        <v>254</v>
      </c>
      <c r="I91" t="s">
        <v>242</v>
      </c>
      <c r="J91" t="s">
        <v>235</v>
      </c>
      <c r="K91" s="380">
        <v>36770</v>
      </c>
      <c r="L91" s="235">
        <v>-2581.9274564666166</v>
      </c>
      <c r="M91" s="380">
        <v>36768</v>
      </c>
      <c r="N91" t="s">
        <v>21</v>
      </c>
      <c r="O91">
        <v>0.32</v>
      </c>
      <c r="P91">
        <v>0</v>
      </c>
      <c r="Q91">
        <v>0</v>
      </c>
      <c r="R91">
        <v>0</v>
      </c>
      <c r="S91">
        <v>0</v>
      </c>
      <c r="T91" t="s">
        <v>253</v>
      </c>
      <c r="U91" t="s">
        <v>7</v>
      </c>
      <c r="V91" t="s">
        <v>253</v>
      </c>
      <c r="W91" t="s">
        <v>132</v>
      </c>
      <c r="X91" t="s">
        <v>253</v>
      </c>
      <c r="Y91" t="s">
        <v>235</v>
      </c>
      <c r="Z91" t="s">
        <v>236</v>
      </c>
      <c r="AA91" t="s">
        <v>253</v>
      </c>
      <c r="AB91" t="s">
        <v>121</v>
      </c>
      <c r="AC91" s="235">
        <v>-500000</v>
      </c>
      <c r="AD91" s="235">
        <v>-607.13973900169367</v>
      </c>
      <c r="AE91">
        <v>0</v>
      </c>
      <c r="AF91">
        <v>0</v>
      </c>
      <c r="AG91">
        <v>0</v>
      </c>
      <c r="AH91" s="235">
        <v>-72.960845767439423</v>
      </c>
      <c r="AI91">
        <v>226</v>
      </c>
      <c r="AJ91" t="s">
        <v>256</v>
      </c>
      <c r="AK91">
        <v>0</v>
      </c>
      <c r="AL91">
        <v>0</v>
      </c>
      <c r="AM91">
        <v>0</v>
      </c>
    </row>
    <row r="92" spans="1:39" x14ac:dyDescent="0.25">
      <c r="A92" t="s">
        <v>601</v>
      </c>
      <c r="B92" t="s">
        <v>314</v>
      </c>
      <c r="C92" t="s">
        <v>255</v>
      </c>
      <c r="D92" t="s">
        <v>234</v>
      </c>
      <c r="E92" t="s">
        <v>20</v>
      </c>
      <c r="F92" t="s">
        <v>279</v>
      </c>
      <c r="G92" t="s">
        <v>269</v>
      </c>
      <c r="H92" t="s">
        <v>254</v>
      </c>
      <c r="I92" t="s">
        <v>242</v>
      </c>
      <c r="J92" t="s">
        <v>235</v>
      </c>
      <c r="K92" s="380">
        <v>36800</v>
      </c>
      <c r="L92" s="235">
        <v>-5454.4220052429318</v>
      </c>
      <c r="M92" s="380">
        <v>36797</v>
      </c>
      <c r="N92" t="s">
        <v>1</v>
      </c>
      <c r="O92">
        <v>0.32</v>
      </c>
      <c r="P92">
        <v>0</v>
      </c>
      <c r="Q92">
        <v>0</v>
      </c>
      <c r="R92">
        <v>0</v>
      </c>
      <c r="S92">
        <v>0</v>
      </c>
      <c r="T92" t="s">
        <v>253</v>
      </c>
      <c r="U92" t="s">
        <v>7</v>
      </c>
      <c r="V92" t="s">
        <v>253</v>
      </c>
      <c r="W92" t="s">
        <v>132</v>
      </c>
      <c r="X92" t="s">
        <v>253</v>
      </c>
      <c r="Y92" t="s">
        <v>235</v>
      </c>
      <c r="Z92" t="s">
        <v>236</v>
      </c>
      <c r="AA92" t="s">
        <v>253</v>
      </c>
      <c r="AB92" t="s">
        <v>121</v>
      </c>
      <c r="AC92" s="235">
        <v>-500000</v>
      </c>
      <c r="AD92" s="235">
        <v>-2344.6881448924105</v>
      </c>
      <c r="AE92">
        <v>0</v>
      </c>
      <c r="AF92">
        <v>0</v>
      </c>
      <c r="AG92">
        <v>0</v>
      </c>
      <c r="AH92" s="235">
        <v>-135.03278493054404</v>
      </c>
      <c r="AI92">
        <v>226</v>
      </c>
      <c r="AJ92" t="s">
        <v>256</v>
      </c>
      <c r="AK92">
        <v>0</v>
      </c>
      <c r="AL92">
        <v>0</v>
      </c>
      <c r="AM92">
        <v>0</v>
      </c>
    </row>
    <row r="93" spans="1:39" x14ac:dyDescent="0.25">
      <c r="A93" t="s">
        <v>601</v>
      </c>
      <c r="B93" t="s">
        <v>314</v>
      </c>
      <c r="C93" t="s">
        <v>255</v>
      </c>
      <c r="D93" t="s">
        <v>234</v>
      </c>
      <c r="E93" t="s">
        <v>20</v>
      </c>
      <c r="F93" t="s">
        <v>279</v>
      </c>
      <c r="G93" t="s">
        <v>269</v>
      </c>
      <c r="H93" t="s">
        <v>254</v>
      </c>
      <c r="I93" t="s">
        <v>242</v>
      </c>
      <c r="J93" t="s">
        <v>235</v>
      </c>
      <c r="K93" s="380">
        <v>36770</v>
      </c>
      <c r="L93" s="235">
        <v>-5081.0074861984685</v>
      </c>
      <c r="M93" s="380">
        <v>36768</v>
      </c>
      <c r="N93" t="s">
        <v>1</v>
      </c>
      <c r="O93">
        <v>0.32</v>
      </c>
      <c r="P93">
        <v>0</v>
      </c>
      <c r="Q93">
        <v>0</v>
      </c>
      <c r="R93">
        <v>0</v>
      </c>
      <c r="S93">
        <v>0</v>
      </c>
      <c r="T93" t="s">
        <v>253</v>
      </c>
      <c r="U93" t="s">
        <v>7</v>
      </c>
      <c r="V93" t="s">
        <v>253</v>
      </c>
      <c r="W93" t="s">
        <v>132</v>
      </c>
      <c r="X93" t="s">
        <v>253</v>
      </c>
      <c r="Y93" t="s">
        <v>235</v>
      </c>
      <c r="Z93" t="s">
        <v>236</v>
      </c>
      <c r="AA93" t="s">
        <v>253</v>
      </c>
      <c r="AB93" t="s">
        <v>121</v>
      </c>
      <c r="AC93" s="235">
        <v>-500000</v>
      </c>
      <c r="AD93" s="235">
        <v>-607.13973900163546</v>
      </c>
      <c r="AE93">
        <v>0</v>
      </c>
      <c r="AF93">
        <v>0</v>
      </c>
      <c r="AG93">
        <v>0</v>
      </c>
      <c r="AH93" s="235">
        <v>-72.960845767689534</v>
      </c>
      <c r="AI93">
        <v>226</v>
      </c>
      <c r="AJ93" t="s">
        <v>256</v>
      </c>
      <c r="AK93">
        <v>0</v>
      </c>
      <c r="AL93">
        <v>0</v>
      </c>
      <c r="AM93">
        <v>0</v>
      </c>
    </row>
    <row r="94" spans="1:39" x14ac:dyDescent="0.25">
      <c r="A94" t="s">
        <v>601</v>
      </c>
      <c r="B94" t="s">
        <v>315</v>
      </c>
      <c r="C94" t="s">
        <v>255</v>
      </c>
      <c r="D94" t="s">
        <v>234</v>
      </c>
      <c r="E94" t="s">
        <v>20</v>
      </c>
      <c r="F94" t="s">
        <v>279</v>
      </c>
      <c r="G94" t="s">
        <v>269</v>
      </c>
      <c r="H94" t="s">
        <v>254</v>
      </c>
      <c r="I94" t="s">
        <v>242</v>
      </c>
      <c r="J94" t="s">
        <v>235</v>
      </c>
      <c r="K94" s="380">
        <v>36800</v>
      </c>
      <c r="L94" s="235">
        <v>-52680.866995454991</v>
      </c>
      <c r="M94" s="380">
        <v>36797</v>
      </c>
      <c r="N94" t="s">
        <v>21</v>
      </c>
      <c r="O94">
        <v>0.32</v>
      </c>
      <c r="P94">
        <v>0</v>
      </c>
      <c r="Q94">
        <v>0</v>
      </c>
      <c r="R94">
        <v>0</v>
      </c>
      <c r="S94">
        <v>0</v>
      </c>
      <c r="T94" t="s">
        <v>253</v>
      </c>
      <c r="U94" t="s">
        <v>7</v>
      </c>
      <c r="V94" t="s">
        <v>253</v>
      </c>
      <c r="W94" t="s">
        <v>132</v>
      </c>
      <c r="X94" t="s">
        <v>253</v>
      </c>
      <c r="Y94" t="s">
        <v>235</v>
      </c>
      <c r="Z94" t="s">
        <v>236</v>
      </c>
      <c r="AA94" t="s">
        <v>253</v>
      </c>
      <c r="AB94" t="s">
        <v>121</v>
      </c>
      <c r="AC94" s="235">
        <v>-500000</v>
      </c>
      <c r="AD94" s="235">
        <v>-2344.6881448923959</v>
      </c>
      <c r="AE94">
        <v>0</v>
      </c>
      <c r="AF94">
        <v>0</v>
      </c>
      <c r="AG94">
        <v>0</v>
      </c>
      <c r="AH94" s="235">
        <v>-135.03278493037942</v>
      </c>
      <c r="AI94">
        <v>226</v>
      </c>
      <c r="AJ94" t="s">
        <v>256</v>
      </c>
      <c r="AK94">
        <v>0</v>
      </c>
      <c r="AL94">
        <v>0</v>
      </c>
      <c r="AM94">
        <v>0</v>
      </c>
    </row>
    <row r="95" spans="1:39" x14ac:dyDescent="0.25">
      <c r="A95" t="s">
        <v>601</v>
      </c>
      <c r="B95" t="s">
        <v>315</v>
      </c>
      <c r="C95" t="s">
        <v>255</v>
      </c>
      <c r="D95" t="s">
        <v>234</v>
      </c>
      <c r="E95" t="s">
        <v>20</v>
      </c>
      <c r="F95" t="s">
        <v>279</v>
      </c>
      <c r="G95" t="s">
        <v>269</v>
      </c>
      <c r="H95" t="s">
        <v>254</v>
      </c>
      <c r="I95" t="s">
        <v>242</v>
      </c>
      <c r="J95" t="s">
        <v>235</v>
      </c>
      <c r="K95" s="380">
        <v>36770</v>
      </c>
      <c r="L95" s="235">
        <v>-2581.9274564666166</v>
      </c>
      <c r="M95" s="380">
        <v>36768</v>
      </c>
      <c r="N95" t="s">
        <v>21</v>
      </c>
      <c r="O95">
        <v>0.32</v>
      </c>
      <c r="P95">
        <v>0</v>
      </c>
      <c r="Q95">
        <v>0</v>
      </c>
      <c r="R95">
        <v>0</v>
      </c>
      <c r="S95">
        <v>0</v>
      </c>
      <c r="T95" t="s">
        <v>253</v>
      </c>
      <c r="U95" t="s">
        <v>7</v>
      </c>
      <c r="V95" t="s">
        <v>253</v>
      </c>
      <c r="W95" t="s">
        <v>132</v>
      </c>
      <c r="X95" t="s">
        <v>253</v>
      </c>
      <c r="Y95" t="s">
        <v>235</v>
      </c>
      <c r="Z95" t="s">
        <v>236</v>
      </c>
      <c r="AA95" t="s">
        <v>253</v>
      </c>
      <c r="AB95" t="s">
        <v>121</v>
      </c>
      <c r="AC95" s="235">
        <v>-500000</v>
      </c>
      <c r="AD95" s="235">
        <v>-607.13973900169367</v>
      </c>
      <c r="AE95">
        <v>0</v>
      </c>
      <c r="AF95">
        <v>0</v>
      </c>
      <c r="AG95">
        <v>0</v>
      </c>
      <c r="AH95" s="235">
        <v>-72.960845767439423</v>
      </c>
      <c r="AI95">
        <v>226</v>
      </c>
      <c r="AJ95" t="s">
        <v>256</v>
      </c>
      <c r="AK95">
        <v>0</v>
      </c>
      <c r="AL95">
        <v>0</v>
      </c>
      <c r="AM95">
        <v>0</v>
      </c>
    </row>
    <row r="96" spans="1:39" x14ac:dyDescent="0.25">
      <c r="A96" t="s">
        <v>601</v>
      </c>
      <c r="B96" t="s">
        <v>316</v>
      </c>
      <c r="C96" t="s">
        <v>255</v>
      </c>
      <c r="D96" t="s">
        <v>234</v>
      </c>
      <c r="E96" t="s">
        <v>20</v>
      </c>
      <c r="F96" t="s">
        <v>279</v>
      </c>
      <c r="G96" t="s">
        <v>269</v>
      </c>
      <c r="H96" t="s">
        <v>254</v>
      </c>
      <c r="I96" t="s">
        <v>242</v>
      </c>
      <c r="J96" t="s">
        <v>235</v>
      </c>
      <c r="K96" s="380">
        <v>36800</v>
      </c>
      <c r="L96" s="235">
        <v>-5454.4220052429318</v>
      </c>
      <c r="M96" s="380">
        <v>36797</v>
      </c>
      <c r="N96" t="s">
        <v>1</v>
      </c>
      <c r="O96">
        <v>0.32</v>
      </c>
      <c r="P96">
        <v>0</v>
      </c>
      <c r="Q96">
        <v>0</v>
      </c>
      <c r="R96">
        <v>0</v>
      </c>
      <c r="S96">
        <v>0</v>
      </c>
      <c r="T96" t="s">
        <v>253</v>
      </c>
      <c r="U96" t="s">
        <v>7</v>
      </c>
      <c r="V96" t="s">
        <v>253</v>
      </c>
      <c r="W96" t="s">
        <v>132</v>
      </c>
      <c r="X96" t="s">
        <v>253</v>
      </c>
      <c r="Y96" t="s">
        <v>235</v>
      </c>
      <c r="Z96" t="s">
        <v>236</v>
      </c>
      <c r="AA96" t="s">
        <v>253</v>
      </c>
      <c r="AB96" t="s">
        <v>121</v>
      </c>
      <c r="AC96" s="235">
        <v>-500000</v>
      </c>
      <c r="AD96" s="235">
        <v>-2344.6881448924105</v>
      </c>
      <c r="AE96">
        <v>0</v>
      </c>
      <c r="AF96">
        <v>0</v>
      </c>
      <c r="AG96">
        <v>0</v>
      </c>
      <c r="AH96" s="235">
        <v>-135.03278493054404</v>
      </c>
      <c r="AI96">
        <v>226</v>
      </c>
      <c r="AJ96" t="s">
        <v>256</v>
      </c>
      <c r="AK96">
        <v>0</v>
      </c>
      <c r="AL96">
        <v>0</v>
      </c>
      <c r="AM96">
        <v>0</v>
      </c>
    </row>
    <row r="97" spans="1:39" x14ac:dyDescent="0.25">
      <c r="A97" t="s">
        <v>601</v>
      </c>
      <c r="B97" t="s">
        <v>316</v>
      </c>
      <c r="C97" t="s">
        <v>255</v>
      </c>
      <c r="D97" t="s">
        <v>234</v>
      </c>
      <c r="E97" t="s">
        <v>20</v>
      </c>
      <c r="F97" t="s">
        <v>279</v>
      </c>
      <c r="G97" t="s">
        <v>269</v>
      </c>
      <c r="H97" t="s">
        <v>254</v>
      </c>
      <c r="I97" t="s">
        <v>242</v>
      </c>
      <c r="J97" t="s">
        <v>235</v>
      </c>
      <c r="K97" s="380">
        <v>36770</v>
      </c>
      <c r="L97" s="235">
        <v>-5081.0074861984685</v>
      </c>
      <c r="M97" s="380">
        <v>36768</v>
      </c>
      <c r="N97" t="s">
        <v>1</v>
      </c>
      <c r="O97">
        <v>0.32</v>
      </c>
      <c r="P97">
        <v>0</v>
      </c>
      <c r="Q97">
        <v>0</v>
      </c>
      <c r="R97">
        <v>0</v>
      </c>
      <c r="S97">
        <v>0</v>
      </c>
      <c r="T97" t="s">
        <v>253</v>
      </c>
      <c r="U97" t="s">
        <v>7</v>
      </c>
      <c r="V97" t="s">
        <v>253</v>
      </c>
      <c r="W97" t="s">
        <v>132</v>
      </c>
      <c r="X97" t="s">
        <v>253</v>
      </c>
      <c r="Y97" t="s">
        <v>235</v>
      </c>
      <c r="Z97" t="s">
        <v>236</v>
      </c>
      <c r="AA97" t="s">
        <v>253</v>
      </c>
      <c r="AB97" t="s">
        <v>121</v>
      </c>
      <c r="AC97" s="235">
        <v>-500000</v>
      </c>
      <c r="AD97" s="235">
        <v>-607.13973900163546</v>
      </c>
      <c r="AE97">
        <v>0</v>
      </c>
      <c r="AF97">
        <v>0</v>
      </c>
      <c r="AG97">
        <v>0</v>
      </c>
      <c r="AH97" s="235">
        <v>-72.960845767689534</v>
      </c>
      <c r="AI97">
        <v>226</v>
      </c>
      <c r="AJ97" t="s">
        <v>256</v>
      </c>
      <c r="AK97">
        <v>0</v>
      </c>
      <c r="AL97">
        <v>0</v>
      </c>
      <c r="AM97">
        <v>0</v>
      </c>
    </row>
    <row r="98" spans="1:39" x14ac:dyDescent="0.25">
      <c r="A98" t="s">
        <v>601</v>
      </c>
      <c r="B98" t="s">
        <v>317</v>
      </c>
      <c r="C98" t="s">
        <v>255</v>
      </c>
      <c r="D98" t="s">
        <v>234</v>
      </c>
      <c r="E98" t="s">
        <v>20</v>
      </c>
      <c r="F98" t="s">
        <v>279</v>
      </c>
      <c r="G98" t="s">
        <v>269</v>
      </c>
      <c r="H98" t="s">
        <v>254</v>
      </c>
      <c r="I98" t="s">
        <v>242</v>
      </c>
      <c r="J98" t="s">
        <v>235</v>
      </c>
      <c r="K98" s="380">
        <v>36800</v>
      </c>
      <c r="L98" s="235">
        <v>-2727.2110026214659</v>
      </c>
      <c r="M98" s="380">
        <v>36797</v>
      </c>
      <c r="N98" t="s">
        <v>1</v>
      </c>
      <c r="O98">
        <v>0.32</v>
      </c>
      <c r="P98">
        <v>0</v>
      </c>
      <c r="Q98">
        <v>0</v>
      </c>
      <c r="R98">
        <v>0</v>
      </c>
      <c r="S98">
        <v>0</v>
      </c>
      <c r="T98" t="s">
        <v>253</v>
      </c>
      <c r="U98" t="s">
        <v>7</v>
      </c>
      <c r="V98" t="s">
        <v>253</v>
      </c>
      <c r="W98" t="s">
        <v>132</v>
      </c>
      <c r="X98" t="s">
        <v>253</v>
      </c>
      <c r="Y98" t="s">
        <v>235</v>
      </c>
      <c r="Z98" t="s">
        <v>236</v>
      </c>
      <c r="AA98" t="s">
        <v>253</v>
      </c>
      <c r="AB98" t="s">
        <v>121</v>
      </c>
      <c r="AC98" s="235">
        <v>-250000</v>
      </c>
      <c r="AD98" s="235">
        <v>-1172.3440724462052</v>
      </c>
      <c r="AE98">
        <v>0</v>
      </c>
      <c r="AF98">
        <v>0</v>
      </c>
      <c r="AG98">
        <v>0</v>
      </c>
      <c r="AH98" s="235">
        <v>-67.51639246527202</v>
      </c>
      <c r="AI98">
        <v>226</v>
      </c>
      <c r="AJ98" t="s">
        <v>256</v>
      </c>
      <c r="AK98">
        <v>0</v>
      </c>
      <c r="AL98">
        <v>0</v>
      </c>
      <c r="AM98">
        <v>0</v>
      </c>
    </row>
    <row r="99" spans="1:39" x14ac:dyDescent="0.25">
      <c r="A99" t="s">
        <v>601</v>
      </c>
      <c r="B99" t="s">
        <v>317</v>
      </c>
      <c r="C99" t="s">
        <v>255</v>
      </c>
      <c r="D99" t="s">
        <v>234</v>
      </c>
      <c r="E99" t="s">
        <v>20</v>
      </c>
      <c r="F99" t="s">
        <v>279</v>
      </c>
      <c r="G99" t="s">
        <v>269</v>
      </c>
      <c r="H99" t="s">
        <v>254</v>
      </c>
      <c r="I99" t="s">
        <v>242</v>
      </c>
      <c r="J99" t="s">
        <v>235</v>
      </c>
      <c r="K99" s="380">
        <v>36770</v>
      </c>
      <c r="L99" s="235">
        <v>-2540.5037430992343</v>
      </c>
      <c r="M99" s="380">
        <v>36768</v>
      </c>
      <c r="N99" t="s">
        <v>1</v>
      </c>
      <c r="O99">
        <v>0.32</v>
      </c>
      <c r="P99">
        <v>0</v>
      </c>
      <c r="Q99">
        <v>0</v>
      </c>
      <c r="R99">
        <v>0</v>
      </c>
      <c r="S99">
        <v>0</v>
      </c>
      <c r="T99" t="s">
        <v>253</v>
      </c>
      <c r="U99" t="s">
        <v>7</v>
      </c>
      <c r="V99" t="s">
        <v>253</v>
      </c>
      <c r="W99" t="s">
        <v>132</v>
      </c>
      <c r="X99" t="s">
        <v>253</v>
      </c>
      <c r="Y99" t="s">
        <v>235</v>
      </c>
      <c r="Z99" t="s">
        <v>236</v>
      </c>
      <c r="AA99" t="s">
        <v>253</v>
      </c>
      <c r="AB99" t="s">
        <v>121</v>
      </c>
      <c r="AC99" s="235">
        <v>-250000</v>
      </c>
      <c r="AD99" s="235">
        <v>-303.56986950081773</v>
      </c>
      <c r="AE99">
        <v>0</v>
      </c>
      <c r="AF99">
        <v>0</v>
      </c>
      <c r="AG99">
        <v>0</v>
      </c>
      <c r="AH99" s="235">
        <v>-36.480422883844767</v>
      </c>
      <c r="AI99">
        <v>226</v>
      </c>
      <c r="AJ99" t="s">
        <v>256</v>
      </c>
      <c r="AK99">
        <v>0</v>
      </c>
      <c r="AL99">
        <v>0</v>
      </c>
      <c r="AM99">
        <v>0</v>
      </c>
    </row>
    <row r="100" spans="1:39" x14ac:dyDescent="0.25">
      <c r="A100" t="s">
        <v>601</v>
      </c>
      <c r="B100" t="s">
        <v>318</v>
      </c>
      <c r="C100" t="s">
        <v>255</v>
      </c>
      <c r="D100" t="s">
        <v>234</v>
      </c>
      <c r="E100" t="s">
        <v>20</v>
      </c>
      <c r="F100" t="s">
        <v>279</v>
      </c>
      <c r="G100" t="s">
        <v>269</v>
      </c>
      <c r="H100" t="s">
        <v>254</v>
      </c>
      <c r="I100" t="s">
        <v>242</v>
      </c>
      <c r="J100" t="s">
        <v>235</v>
      </c>
      <c r="K100" s="380">
        <v>36800</v>
      </c>
      <c r="L100" s="235">
        <v>-766.23434914212248</v>
      </c>
      <c r="M100" s="380">
        <v>36797</v>
      </c>
      <c r="N100" t="s">
        <v>1</v>
      </c>
      <c r="O100">
        <v>0.26</v>
      </c>
      <c r="P100">
        <v>0</v>
      </c>
      <c r="Q100">
        <v>0</v>
      </c>
      <c r="R100">
        <v>0</v>
      </c>
      <c r="S100">
        <v>0</v>
      </c>
      <c r="T100" t="s">
        <v>253</v>
      </c>
      <c r="U100" t="s">
        <v>7</v>
      </c>
      <c r="V100" t="s">
        <v>253</v>
      </c>
      <c r="W100" t="s">
        <v>132</v>
      </c>
      <c r="X100" t="s">
        <v>253</v>
      </c>
      <c r="Y100" t="s">
        <v>235</v>
      </c>
      <c r="Z100" t="s">
        <v>236</v>
      </c>
      <c r="AA100" t="s">
        <v>253</v>
      </c>
      <c r="AB100" t="s">
        <v>121</v>
      </c>
      <c r="AC100" s="235">
        <v>-250000</v>
      </c>
      <c r="AD100" s="235">
        <v>-597.21433803636319</v>
      </c>
      <c r="AE100">
        <v>0</v>
      </c>
      <c r="AF100">
        <v>0</v>
      </c>
      <c r="AG100">
        <v>0</v>
      </c>
      <c r="AH100" s="235">
        <v>-35.075759671432479</v>
      </c>
      <c r="AI100">
        <v>226</v>
      </c>
      <c r="AJ100" t="s">
        <v>256</v>
      </c>
      <c r="AK100">
        <v>0</v>
      </c>
      <c r="AL100">
        <v>0</v>
      </c>
      <c r="AM100">
        <v>0</v>
      </c>
    </row>
    <row r="101" spans="1:39" x14ac:dyDescent="0.25">
      <c r="A101" t="s">
        <v>601</v>
      </c>
      <c r="B101" t="s">
        <v>318</v>
      </c>
      <c r="C101" t="s">
        <v>255</v>
      </c>
      <c r="D101" t="s">
        <v>234</v>
      </c>
      <c r="E101" t="s">
        <v>20</v>
      </c>
      <c r="F101" t="s">
        <v>279</v>
      </c>
      <c r="G101" t="s">
        <v>269</v>
      </c>
      <c r="H101" t="s">
        <v>254</v>
      </c>
      <c r="I101" t="s">
        <v>242</v>
      </c>
      <c r="J101" t="s">
        <v>235</v>
      </c>
      <c r="K101" s="380">
        <v>36770</v>
      </c>
      <c r="L101" s="235">
        <v>-1.4441180302693368</v>
      </c>
      <c r="M101" s="380">
        <v>36768</v>
      </c>
      <c r="N101" t="s">
        <v>1</v>
      </c>
      <c r="O101">
        <v>0.26</v>
      </c>
      <c r="P101">
        <v>0</v>
      </c>
      <c r="Q101">
        <v>0</v>
      </c>
      <c r="R101">
        <v>0</v>
      </c>
      <c r="S101">
        <v>0</v>
      </c>
      <c r="T101" t="s">
        <v>253</v>
      </c>
      <c r="U101" t="s">
        <v>7</v>
      </c>
      <c r="V101" t="s">
        <v>253</v>
      </c>
      <c r="W101" t="s">
        <v>132</v>
      </c>
      <c r="X101" t="s">
        <v>253</v>
      </c>
      <c r="Y101" t="s">
        <v>235</v>
      </c>
      <c r="Z101" t="s">
        <v>236</v>
      </c>
      <c r="AA101" t="s">
        <v>253</v>
      </c>
      <c r="AB101" t="s">
        <v>121</v>
      </c>
      <c r="AC101" s="235">
        <v>-250000</v>
      </c>
      <c r="AD101" s="235">
        <v>-3.1315472847626324</v>
      </c>
      <c r="AE101">
        <v>0</v>
      </c>
      <c r="AF101">
        <v>0</v>
      </c>
      <c r="AG101">
        <v>0</v>
      </c>
      <c r="AH101" s="235">
        <v>-12.654778984932932</v>
      </c>
      <c r="AI101">
        <v>226</v>
      </c>
      <c r="AJ101" t="s">
        <v>256</v>
      </c>
      <c r="AK101">
        <v>0</v>
      </c>
      <c r="AL101">
        <v>0</v>
      </c>
      <c r="AM101">
        <v>0</v>
      </c>
    </row>
    <row r="102" spans="1:39" x14ac:dyDescent="0.25">
      <c r="A102" t="s">
        <v>601</v>
      </c>
      <c r="B102" t="s">
        <v>319</v>
      </c>
      <c r="C102" t="s">
        <v>255</v>
      </c>
      <c r="D102" t="s">
        <v>234</v>
      </c>
      <c r="E102" t="s">
        <v>20</v>
      </c>
      <c r="F102" t="s">
        <v>284</v>
      </c>
      <c r="G102" t="s">
        <v>269</v>
      </c>
      <c r="H102" t="s">
        <v>254</v>
      </c>
      <c r="I102" t="s">
        <v>242</v>
      </c>
      <c r="J102" t="s">
        <v>235</v>
      </c>
      <c r="K102" s="380">
        <v>36951</v>
      </c>
      <c r="L102" s="235">
        <v>124938.11962783689</v>
      </c>
      <c r="M102" s="380">
        <v>36949</v>
      </c>
      <c r="N102" t="s">
        <v>21</v>
      </c>
      <c r="O102">
        <v>2.2000000000000002</v>
      </c>
      <c r="P102">
        <v>0</v>
      </c>
      <c r="Q102">
        <v>0</v>
      </c>
      <c r="R102">
        <v>0</v>
      </c>
      <c r="S102">
        <v>0</v>
      </c>
      <c r="T102" t="s">
        <v>253</v>
      </c>
      <c r="U102" t="s">
        <v>7</v>
      </c>
      <c r="V102" t="s">
        <v>253</v>
      </c>
      <c r="W102" t="s">
        <v>132</v>
      </c>
      <c r="X102" t="s">
        <v>253</v>
      </c>
      <c r="Y102" t="s">
        <v>235</v>
      </c>
      <c r="Z102" t="s">
        <v>236</v>
      </c>
      <c r="AA102" t="s">
        <v>253</v>
      </c>
      <c r="AB102" t="s">
        <v>121</v>
      </c>
      <c r="AC102" s="235">
        <v>620000</v>
      </c>
      <c r="AD102" s="235">
        <v>40586.617107061596</v>
      </c>
      <c r="AE102">
        <v>0</v>
      </c>
      <c r="AF102">
        <v>0</v>
      </c>
      <c r="AG102">
        <v>0</v>
      </c>
      <c r="AH102" s="235">
        <v>11748.084806293598</v>
      </c>
      <c r="AI102">
        <v>226</v>
      </c>
      <c r="AJ102" t="s">
        <v>256</v>
      </c>
      <c r="AK102">
        <v>0</v>
      </c>
      <c r="AL102">
        <v>0</v>
      </c>
      <c r="AM102">
        <v>0</v>
      </c>
    </row>
    <row r="103" spans="1:39" x14ac:dyDescent="0.25">
      <c r="A103" t="s">
        <v>601</v>
      </c>
      <c r="B103" t="s">
        <v>319</v>
      </c>
      <c r="C103" t="s">
        <v>255</v>
      </c>
      <c r="D103" t="s">
        <v>234</v>
      </c>
      <c r="E103" t="s">
        <v>20</v>
      </c>
      <c r="F103" t="s">
        <v>284</v>
      </c>
      <c r="G103" t="s">
        <v>269</v>
      </c>
      <c r="H103" t="s">
        <v>254</v>
      </c>
      <c r="I103" t="s">
        <v>242</v>
      </c>
      <c r="J103" t="s">
        <v>235</v>
      </c>
      <c r="K103" s="380">
        <v>36923</v>
      </c>
      <c r="L103" s="235">
        <v>358702.78758309153</v>
      </c>
      <c r="M103" s="380">
        <v>36921</v>
      </c>
      <c r="N103" t="s">
        <v>21</v>
      </c>
      <c r="O103">
        <v>2.2000000000000002</v>
      </c>
      <c r="P103">
        <v>0</v>
      </c>
      <c r="Q103">
        <v>0</v>
      </c>
      <c r="R103">
        <v>0</v>
      </c>
      <c r="S103">
        <v>0</v>
      </c>
      <c r="T103" t="s">
        <v>253</v>
      </c>
      <c r="U103" t="s">
        <v>7</v>
      </c>
      <c r="V103" t="s">
        <v>253</v>
      </c>
      <c r="W103" t="s">
        <v>132</v>
      </c>
      <c r="X103" t="s">
        <v>253</v>
      </c>
      <c r="Y103" t="s">
        <v>235</v>
      </c>
      <c r="Z103" t="s">
        <v>236</v>
      </c>
      <c r="AA103" t="s">
        <v>253</v>
      </c>
      <c r="AB103" t="s">
        <v>121</v>
      </c>
      <c r="AC103" s="235">
        <v>560000</v>
      </c>
      <c r="AD103" s="235">
        <v>47797.078140472004</v>
      </c>
      <c r="AE103">
        <v>0</v>
      </c>
      <c r="AF103">
        <v>0</v>
      </c>
      <c r="AG103">
        <v>0</v>
      </c>
      <c r="AH103" s="235">
        <v>22299.11581734725</v>
      </c>
      <c r="AI103">
        <v>226</v>
      </c>
      <c r="AJ103" t="s">
        <v>256</v>
      </c>
      <c r="AK103">
        <v>0</v>
      </c>
      <c r="AL103">
        <v>0</v>
      </c>
      <c r="AM103">
        <v>0</v>
      </c>
    </row>
    <row r="104" spans="1:39" x14ac:dyDescent="0.25">
      <c r="A104" t="s">
        <v>601</v>
      </c>
      <c r="B104" t="s">
        <v>319</v>
      </c>
      <c r="C104" t="s">
        <v>255</v>
      </c>
      <c r="D104" t="s">
        <v>234</v>
      </c>
      <c r="E104" t="s">
        <v>20</v>
      </c>
      <c r="F104" t="s">
        <v>284</v>
      </c>
      <c r="G104" t="s">
        <v>269</v>
      </c>
      <c r="H104" t="s">
        <v>254</v>
      </c>
      <c r="I104" t="s">
        <v>242</v>
      </c>
      <c r="J104" t="s">
        <v>235</v>
      </c>
      <c r="K104" s="380">
        <v>36892</v>
      </c>
      <c r="L104" s="235">
        <v>398427.19493390259</v>
      </c>
      <c r="M104" s="380">
        <v>36888</v>
      </c>
      <c r="N104" t="s">
        <v>21</v>
      </c>
      <c r="O104">
        <v>2.2000000000000002</v>
      </c>
      <c r="P104">
        <v>0</v>
      </c>
      <c r="Q104">
        <v>0</v>
      </c>
      <c r="R104">
        <v>0</v>
      </c>
      <c r="S104">
        <v>0</v>
      </c>
      <c r="T104" t="s">
        <v>253</v>
      </c>
      <c r="U104" t="s">
        <v>7</v>
      </c>
      <c r="V104" t="s">
        <v>253</v>
      </c>
      <c r="W104" t="s">
        <v>132</v>
      </c>
      <c r="X104" t="s">
        <v>253</v>
      </c>
      <c r="Y104" t="s">
        <v>235</v>
      </c>
      <c r="Z104" t="s">
        <v>236</v>
      </c>
      <c r="AA104" t="s">
        <v>253</v>
      </c>
      <c r="AB104" t="s">
        <v>121</v>
      </c>
      <c r="AC104" s="235">
        <v>620000</v>
      </c>
      <c r="AD104" s="235">
        <v>48615.006295616215</v>
      </c>
      <c r="AE104">
        <v>0</v>
      </c>
      <c r="AF104">
        <v>0</v>
      </c>
      <c r="AG104">
        <v>0</v>
      </c>
      <c r="AH104" s="235">
        <v>21884.575549048139</v>
      </c>
      <c r="AI104">
        <v>226</v>
      </c>
      <c r="AJ104" t="s">
        <v>256</v>
      </c>
      <c r="AK104">
        <v>0</v>
      </c>
      <c r="AL104">
        <v>0</v>
      </c>
      <c r="AM104">
        <v>0</v>
      </c>
    </row>
    <row r="105" spans="1:39" x14ac:dyDescent="0.25">
      <c r="A105" t="s">
        <v>601</v>
      </c>
      <c r="B105" t="s">
        <v>319</v>
      </c>
      <c r="C105" t="s">
        <v>255</v>
      </c>
      <c r="D105" t="s">
        <v>234</v>
      </c>
      <c r="E105" t="s">
        <v>20</v>
      </c>
      <c r="F105" t="s">
        <v>284</v>
      </c>
      <c r="G105" t="s">
        <v>269</v>
      </c>
      <c r="H105" t="s">
        <v>254</v>
      </c>
      <c r="I105" t="s">
        <v>242</v>
      </c>
      <c r="J105" t="s">
        <v>235</v>
      </c>
      <c r="K105" s="380">
        <v>36861</v>
      </c>
      <c r="L105" s="235">
        <v>199738.29047234956</v>
      </c>
      <c r="M105" s="380">
        <v>36859</v>
      </c>
      <c r="N105" t="s">
        <v>21</v>
      </c>
      <c r="O105">
        <v>2.2000000000000002</v>
      </c>
      <c r="P105">
        <v>0</v>
      </c>
      <c r="Q105">
        <v>0</v>
      </c>
      <c r="R105">
        <v>0</v>
      </c>
      <c r="S105">
        <v>0</v>
      </c>
      <c r="T105" t="s">
        <v>253</v>
      </c>
      <c r="U105" t="s">
        <v>7</v>
      </c>
      <c r="V105" t="s">
        <v>253</v>
      </c>
      <c r="W105" t="s">
        <v>132</v>
      </c>
      <c r="X105" t="s">
        <v>253</v>
      </c>
      <c r="Y105" t="s">
        <v>235</v>
      </c>
      <c r="Z105" t="s">
        <v>236</v>
      </c>
      <c r="AA105" t="s">
        <v>253</v>
      </c>
      <c r="AB105" t="s">
        <v>121</v>
      </c>
      <c r="AC105" s="235">
        <v>620000</v>
      </c>
      <c r="AD105" s="235">
        <v>39788.027459148463</v>
      </c>
      <c r="AE105">
        <v>0</v>
      </c>
      <c r="AF105">
        <v>0</v>
      </c>
      <c r="AG105">
        <v>0</v>
      </c>
      <c r="AH105" s="235">
        <v>12505.845021453482</v>
      </c>
      <c r="AI105">
        <v>226</v>
      </c>
      <c r="AJ105" t="s">
        <v>256</v>
      </c>
      <c r="AK105">
        <v>0</v>
      </c>
      <c r="AL105">
        <v>0</v>
      </c>
      <c r="AM105">
        <v>0</v>
      </c>
    </row>
    <row r="106" spans="1:39" x14ac:dyDescent="0.25">
      <c r="A106" t="s">
        <v>601</v>
      </c>
      <c r="B106" t="s">
        <v>319</v>
      </c>
      <c r="C106" t="s">
        <v>255</v>
      </c>
      <c r="D106" t="s">
        <v>234</v>
      </c>
      <c r="E106" t="s">
        <v>20</v>
      </c>
      <c r="F106" t="s">
        <v>284</v>
      </c>
      <c r="G106" t="s">
        <v>269</v>
      </c>
      <c r="H106" t="s">
        <v>254</v>
      </c>
      <c r="I106" t="s">
        <v>242</v>
      </c>
      <c r="J106" t="s">
        <v>235</v>
      </c>
      <c r="K106" s="380">
        <v>36831</v>
      </c>
      <c r="L106" s="235">
        <v>7728.1620757230057</v>
      </c>
      <c r="M106" s="380">
        <v>36829</v>
      </c>
      <c r="N106" t="s">
        <v>21</v>
      </c>
      <c r="O106">
        <v>2.2000000000000002</v>
      </c>
      <c r="P106">
        <v>0</v>
      </c>
      <c r="Q106">
        <v>0</v>
      </c>
      <c r="R106">
        <v>0</v>
      </c>
      <c r="S106">
        <v>0</v>
      </c>
      <c r="T106" t="s">
        <v>253</v>
      </c>
      <c r="U106" t="s">
        <v>7</v>
      </c>
      <c r="V106" t="s">
        <v>253</v>
      </c>
      <c r="W106" t="s">
        <v>132</v>
      </c>
      <c r="X106" t="s">
        <v>253</v>
      </c>
      <c r="Y106" t="s">
        <v>235</v>
      </c>
      <c r="Z106" t="s">
        <v>236</v>
      </c>
      <c r="AA106" t="s">
        <v>253</v>
      </c>
      <c r="AB106" t="s">
        <v>121</v>
      </c>
      <c r="AC106" s="235">
        <v>600000</v>
      </c>
      <c r="AD106" s="235">
        <v>5389.6163290982149</v>
      </c>
      <c r="AE106">
        <v>0</v>
      </c>
      <c r="AF106">
        <v>0</v>
      </c>
      <c r="AG106">
        <v>0</v>
      </c>
      <c r="AH106" s="235">
        <v>1377.8133499583882</v>
      </c>
      <c r="AI106">
        <v>226</v>
      </c>
      <c r="AJ106" t="s">
        <v>256</v>
      </c>
      <c r="AK106">
        <v>0</v>
      </c>
      <c r="AL106">
        <v>0</v>
      </c>
      <c r="AM106">
        <v>0</v>
      </c>
    </row>
    <row r="107" spans="1:39" x14ac:dyDescent="0.25">
      <c r="A107" t="s">
        <v>601</v>
      </c>
      <c r="B107" t="s">
        <v>321</v>
      </c>
      <c r="C107" t="s">
        <v>255</v>
      </c>
      <c r="D107" t="s">
        <v>234</v>
      </c>
      <c r="E107" t="s">
        <v>20</v>
      </c>
      <c r="F107" t="s">
        <v>320</v>
      </c>
      <c r="G107" t="s">
        <v>269</v>
      </c>
      <c r="H107" t="s">
        <v>254</v>
      </c>
      <c r="I107" t="s">
        <v>242</v>
      </c>
      <c r="J107" t="s">
        <v>235</v>
      </c>
      <c r="K107" s="380">
        <v>36951</v>
      </c>
      <c r="L107" s="235">
        <v>160013.49465428333</v>
      </c>
      <c r="M107" s="380">
        <v>36949</v>
      </c>
      <c r="N107" t="s">
        <v>1</v>
      </c>
      <c r="O107">
        <v>0.7</v>
      </c>
      <c r="P107">
        <v>0</v>
      </c>
      <c r="Q107">
        <v>0</v>
      </c>
      <c r="R107">
        <v>0</v>
      </c>
      <c r="S107">
        <v>0</v>
      </c>
      <c r="T107" t="s">
        <v>253</v>
      </c>
      <c r="U107" t="s">
        <v>7</v>
      </c>
      <c r="V107" t="s">
        <v>253</v>
      </c>
      <c r="W107" t="s">
        <v>132</v>
      </c>
      <c r="X107" t="s">
        <v>253</v>
      </c>
      <c r="Y107" t="s">
        <v>235</v>
      </c>
      <c r="Z107" t="s">
        <v>236</v>
      </c>
      <c r="AA107" t="s">
        <v>253</v>
      </c>
      <c r="AB107" t="s">
        <v>121</v>
      </c>
      <c r="AC107" s="235">
        <v>500000</v>
      </c>
      <c r="AD107" s="235">
        <v>43330.870709748735</v>
      </c>
      <c r="AE107">
        <v>0</v>
      </c>
      <c r="AF107">
        <v>0</v>
      </c>
      <c r="AG107">
        <v>0</v>
      </c>
      <c r="AH107" s="235">
        <v>-7738.7699128053209</v>
      </c>
      <c r="AI107">
        <v>226</v>
      </c>
      <c r="AJ107" t="s">
        <v>256</v>
      </c>
      <c r="AK107">
        <v>0</v>
      </c>
      <c r="AL107">
        <v>0</v>
      </c>
      <c r="AM107">
        <v>0</v>
      </c>
    </row>
    <row r="108" spans="1:39" x14ac:dyDescent="0.25">
      <c r="A108" t="s">
        <v>601</v>
      </c>
      <c r="B108" t="s">
        <v>321</v>
      </c>
      <c r="C108" t="s">
        <v>255</v>
      </c>
      <c r="D108" t="s">
        <v>234</v>
      </c>
      <c r="E108" t="s">
        <v>20</v>
      </c>
      <c r="F108" t="s">
        <v>320</v>
      </c>
      <c r="G108" t="s">
        <v>269</v>
      </c>
      <c r="H108" t="s">
        <v>254</v>
      </c>
      <c r="I108" t="s">
        <v>242</v>
      </c>
      <c r="J108" t="s">
        <v>235</v>
      </c>
      <c r="K108" s="380">
        <v>36923</v>
      </c>
      <c r="L108" s="235">
        <v>64633.941476257009</v>
      </c>
      <c r="M108" s="380">
        <v>36921</v>
      </c>
      <c r="N108" t="s">
        <v>1</v>
      </c>
      <c r="O108">
        <v>0.7</v>
      </c>
      <c r="P108">
        <v>0</v>
      </c>
      <c r="Q108">
        <v>0</v>
      </c>
      <c r="R108">
        <v>0</v>
      </c>
      <c r="S108">
        <v>0</v>
      </c>
      <c r="T108" t="s">
        <v>253</v>
      </c>
      <c r="U108" t="s">
        <v>7</v>
      </c>
      <c r="V108" t="s">
        <v>253</v>
      </c>
      <c r="W108" t="s">
        <v>132</v>
      </c>
      <c r="X108" t="s">
        <v>253</v>
      </c>
      <c r="Y108" t="s">
        <v>235</v>
      </c>
      <c r="Z108" t="s">
        <v>236</v>
      </c>
      <c r="AA108" t="s">
        <v>253</v>
      </c>
      <c r="AB108" t="s">
        <v>121</v>
      </c>
      <c r="AC108" s="235">
        <v>500000</v>
      </c>
      <c r="AD108" s="235">
        <v>29717.687451287886</v>
      </c>
      <c r="AE108">
        <v>0</v>
      </c>
      <c r="AF108">
        <v>0</v>
      </c>
      <c r="AG108">
        <v>0</v>
      </c>
      <c r="AH108" s="235">
        <v>-3486.3314122071097</v>
      </c>
      <c r="AI108">
        <v>226</v>
      </c>
      <c r="AJ108" t="s">
        <v>256</v>
      </c>
      <c r="AK108">
        <v>0</v>
      </c>
      <c r="AL108">
        <v>0</v>
      </c>
      <c r="AM108">
        <v>0</v>
      </c>
    </row>
    <row r="109" spans="1:39" x14ac:dyDescent="0.25">
      <c r="A109" t="s">
        <v>601</v>
      </c>
      <c r="B109" t="s">
        <v>321</v>
      </c>
      <c r="C109" t="s">
        <v>255</v>
      </c>
      <c r="D109" t="s">
        <v>234</v>
      </c>
      <c r="E109" t="s">
        <v>20</v>
      </c>
      <c r="F109" t="s">
        <v>320</v>
      </c>
      <c r="G109" t="s">
        <v>269</v>
      </c>
      <c r="H109" t="s">
        <v>254</v>
      </c>
      <c r="I109" t="s">
        <v>242</v>
      </c>
      <c r="J109" t="s">
        <v>235</v>
      </c>
      <c r="K109" s="380">
        <v>36892</v>
      </c>
      <c r="L109" s="235">
        <v>50711.576374094235</v>
      </c>
      <c r="M109" s="380">
        <v>36888</v>
      </c>
      <c r="N109" t="s">
        <v>1</v>
      </c>
      <c r="O109">
        <v>0.7</v>
      </c>
      <c r="P109">
        <v>0</v>
      </c>
      <c r="Q109">
        <v>0</v>
      </c>
      <c r="R109">
        <v>0</v>
      </c>
      <c r="S109">
        <v>0</v>
      </c>
      <c r="T109" t="s">
        <v>253</v>
      </c>
      <c r="U109" t="s">
        <v>7</v>
      </c>
      <c r="V109" t="s">
        <v>253</v>
      </c>
      <c r="W109" t="s">
        <v>132</v>
      </c>
      <c r="X109" t="s">
        <v>253</v>
      </c>
      <c r="Y109" t="s">
        <v>235</v>
      </c>
      <c r="Z109" t="s">
        <v>236</v>
      </c>
      <c r="AA109" t="s">
        <v>253</v>
      </c>
      <c r="AB109" t="s">
        <v>121</v>
      </c>
      <c r="AC109" s="235">
        <v>500000</v>
      </c>
      <c r="AD109" s="235">
        <v>24485.577755361082</v>
      </c>
      <c r="AE109">
        <v>0</v>
      </c>
      <c r="AF109">
        <v>0</v>
      </c>
      <c r="AG109">
        <v>0</v>
      </c>
      <c r="AH109" s="235">
        <v>-2460.6123207733253</v>
      </c>
      <c r="AI109">
        <v>226</v>
      </c>
      <c r="AJ109" t="s">
        <v>256</v>
      </c>
      <c r="AK109">
        <v>0</v>
      </c>
      <c r="AL109">
        <v>0</v>
      </c>
      <c r="AM109">
        <v>0</v>
      </c>
    </row>
    <row r="110" spans="1:39" x14ac:dyDescent="0.25">
      <c r="A110" t="s">
        <v>601</v>
      </c>
      <c r="B110" t="s">
        <v>321</v>
      </c>
      <c r="C110" t="s">
        <v>255</v>
      </c>
      <c r="D110" t="s">
        <v>234</v>
      </c>
      <c r="E110" t="s">
        <v>20</v>
      </c>
      <c r="F110" t="s">
        <v>320</v>
      </c>
      <c r="G110" t="s">
        <v>269</v>
      </c>
      <c r="H110" t="s">
        <v>254</v>
      </c>
      <c r="I110" t="s">
        <v>242</v>
      </c>
      <c r="J110" t="s">
        <v>235</v>
      </c>
      <c r="K110" s="380">
        <v>36861</v>
      </c>
      <c r="L110" s="235">
        <v>67625.326271583297</v>
      </c>
      <c r="M110" s="380">
        <v>36859</v>
      </c>
      <c r="N110" t="s">
        <v>1</v>
      </c>
      <c r="O110">
        <v>0.7</v>
      </c>
      <c r="P110">
        <v>0</v>
      </c>
      <c r="Q110">
        <v>0</v>
      </c>
      <c r="R110">
        <v>0</v>
      </c>
      <c r="S110">
        <v>0</v>
      </c>
      <c r="T110" t="s">
        <v>253</v>
      </c>
      <c r="U110" t="s">
        <v>7</v>
      </c>
      <c r="V110" t="s">
        <v>253</v>
      </c>
      <c r="W110" t="s">
        <v>132</v>
      </c>
      <c r="X110" t="s">
        <v>253</v>
      </c>
      <c r="Y110" t="s">
        <v>235</v>
      </c>
      <c r="Z110" t="s">
        <v>236</v>
      </c>
      <c r="AA110" t="s">
        <v>253</v>
      </c>
      <c r="AB110" t="s">
        <v>121</v>
      </c>
      <c r="AC110" s="235">
        <v>500000</v>
      </c>
      <c r="AD110" s="235">
        <v>26854.262618988651</v>
      </c>
      <c r="AE110">
        <v>0</v>
      </c>
      <c r="AF110">
        <v>0</v>
      </c>
      <c r="AG110">
        <v>0</v>
      </c>
      <c r="AH110" s="235">
        <v>-2764.9832762479637</v>
      </c>
      <c r="AI110">
        <v>226</v>
      </c>
      <c r="AJ110" t="s">
        <v>256</v>
      </c>
      <c r="AK110">
        <v>0</v>
      </c>
      <c r="AL110">
        <v>0</v>
      </c>
      <c r="AM110">
        <v>0</v>
      </c>
    </row>
    <row r="111" spans="1:39" x14ac:dyDescent="0.25">
      <c r="A111" t="s">
        <v>601</v>
      </c>
      <c r="B111" t="s">
        <v>321</v>
      </c>
      <c r="C111" t="s">
        <v>255</v>
      </c>
      <c r="D111" t="s">
        <v>234</v>
      </c>
      <c r="E111" t="s">
        <v>20</v>
      </c>
      <c r="F111" t="s">
        <v>320</v>
      </c>
      <c r="G111" t="s">
        <v>269</v>
      </c>
      <c r="H111" t="s">
        <v>254</v>
      </c>
      <c r="I111" t="s">
        <v>242</v>
      </c>
      <c r="J111" t="s">
        <v>235</v>
      </c>
      <c r="K111" s="380">
        <v>36831</v>
      </c>
      <c r="L111" s="235">
        <v>112243.68419881586</v>
      </c>
      <c r="M111" s="380">
        <v>36829</v>
      </c>
      <c r="N111" t="s">
        <v>1</v>
      </c>
      <c r="O111">
        <v>0.7</v>
      </c>
      <c r="P111">
        <v>0</v>
      </c>
      <c r="Q111">
        <v>0</v>
      </c>
      <c r="R111">
        <v>0</v>
      </c>
      <c r="S111">
        <v>0</v>
      </c>
      <c r="T111" t="s">
        <v>253</v>
      </c>
      <c r="U111" t="s">
        <v>7</v>
      </c>
      <c r="V111" t="s">
        <v>253</v>
      </c>
      <c r="W111" t="s">
        <v>132</v>
      </c>
      <c r="X111" t="s">
        <v>253</v>
      </c>
      <c r="Y111" t="s">
        <v>235</v>
      </c>
      <c r="Z111" t="s">
        <v>236</v>
      </c>
      <c r="AA111" t="s">
        <v>253</v>
      </c>
      <c r="AB111" t="s">
        <v>121</v>
      </c>
      <c r="AC111" s="235">
        <v>500000</v>
      </c>
      <c r="AD111" s="235">
        <v>22551.217129870056</v>
      </c>
      <c r="AE111">
        <v>0</v>
      </c>
      <c r="AF111">
        <v>0</v>
      </c>
      <c r="AG111">
        <v>0</v>
      </c>
      <c r="AH111" s="235">
        <v>-7585.6548787238717</v>
      </c>
      <c r="AI111">
        <v>226</v>
      </c>
      <c r="AJ111" t="s">
        <v>256</v>
      </c>
      <c r="AK111">
        <v>0</v>
      </c>
      <c r="AL111">
        <v>0</v>
      </c>
      <c r="AM111">
        <v>0</v>
      </c>
    </row>
    <row r="112" spans="1:39" x14ac:dyDescent="0.25">
      <c r="A112" t="s">
        <v>601</v>
      </c>
      <c r="B112" t="s">
        <v>322</v>
      </c>
      <c r="C112" t="s">
        <v>255</v>
      </c>
      <c r="D112" t="s">
        <v>234</v>
      </c>
      <c r="E112" t="s">
        <v>20</v>
      </c>
      <c r="F112" t="s">
        <v>320</v>
      </c>
      <c r="G112" t="s">
        <v>269</v>
      </c>
      <c r="H112" t="s">
        <v>254</v>
      </c>
      <c r="I112" t="s">
        <v>242</v>
      </c>
      <c r="J112" t="s">
        <v>235</v>
      </c>
      <c r="K112" s="380">
        <v>36923</v>
      </c>
      <c r="L112" s="235">
        <v>-507261.23592205794</v>
      </c>
      <c r="M112" s="380">
        <v>36921</v>
      </c>
      <c r="N112" t="s">
        <v>21</v>
      </c>
      <c r="O112">
        <v>1.4</v>
      </c>
      <c r="P112">
        <v>0</v>
      </c>
      <c r="Q112">
        <v>0</v>
      </c>
      <c r="R112">
        <v>0</v>
      </c>
      <c r="S112">
        <v>0</v>
      </c>
      <c r="T112" t="s">
        <v>253</v>
      </c>
      <c r="U112" t="s">
        <v>7</v>
      </c>
      <c r="V112" t="s">
        <v>253</v>
      </c>
      <c r="W112" t="s">
        <v>132</v>
      </c>
      <c r="X112" t="s">
        <v>253</v>
      </c>
      <c r="Y112" t="s">
        <v>235</v>
      </c>
      <c r="Z112" t="s">
        <v>236</v>
      </c>
      <c r="AA112" t="s">
        <v>253</v>
      </c>
      <c r="AB112" t="s">
        <v>121</v>
      </c>
      <c r="AC112" s="235">
        <v>-500000</v>
      </c>
      <c r="AD112" s="235">
        <v>-40486.025465118058</v>
      </c>
      <c r="AE112">
        <v>0</v>
      </c>
      <c r="AF112">
        <v>0</v>
      </c>
      <c r="AG112">
        <v>0</v>
      </c>
      <c r="AH112" s="235">
        <v>-25962.458986309881</v>
      </c>
      <c r="AI112">
        <v>226</v>
      </c>
      <c r="AJ112" t="s">
        <v>256</v>
      </c>
      <c r="AK112">
        <v>0</v>
      </c>
      <c r="AL112">
        <v>0</v>
      </c>
      <c r="AM112">
        <v>0</v>
      </c>
    </row>
    <row r="113" spans="1:39" x14ac:dyDescent="0.25">
      <c r="A113" t="s">
        <v>601</v>
      </c>
      <c r="B113" t="s">
        <v>322</v>
      </c>
      <c r="C113" t="s">
        <v>255</v>
      </c>
      <c r="D113" t="s">
        <v>234</v>
      </c>
      <c r="E113" t="s">
        <v>20</v>
      </c>
      <c r="F113" t="s">
        <v>320</v>
      </c>
      <c r="G113" t="s">
        <v>269</v>
      </c>
      <c r="H113" t="s">
        <v>254</v>
      </c>
      <c r="I113" t="s">
        <v>242</v>
      </c>
      <c r="J113" t="s">
        <v>235</v>
      </c>
      <c r="K113" s="380">
        <v>36892</v>
      </c>
      <c r="L113" s="235">
        <v>-522198.68515903148</v>
      </c>
      <c r="M113" s="380">
        <v>36888</v>
      </c>
      <c r="N113" t="s">
        <v>21</v>
      </c>
      <c r="O113">
        <v>1.4</v>
      </c>
      <c r="P113">
        <v>0</v>
      </c>
      <c r="Q113">
        <v>0</v>
      </c>
      <c r="R113">
        <v>0</v>
      </c>
      <c r="S113">
        <v>0</v>
      </c>
      <c r="T113" t="s">
        <v>253</v>
      </c>
      <c r="U113" t="s">
        <v>7</v>
      </c>
      <c r="V113" t="s">
        <v>253</v>
      </c>
      <c r="W113" t="s">
        <v>132</v>
      </c>
      <c r="X113" t="s">
        <v>253</v>
      </c>
      <c r="Y113" t="s">
        <v>235</v>
      </c>
      <c r="Z113" t="s">
        <v>236</v>
      </c>
      <c r="AA113" t="s">
        <v>253</v>
      </c>
      <c r="AB113" t="s">
        <v>121</v>
      </c>
      <c r="AC113" s="235">
        <v>-500000</v>
      </c>
      <c r="AD113" s="235">
        <v>-35849.377365674649</v>
      </c>
      <c r="AE113">
        <v>0</v>
      </c>
      <c r="AF113">
        <v>0</v>
      </c>
      <c r="AG113">
        <v>0</v>
      </c>
      <c r="AH113" s="235">
        <v>-23082.289150268654</v>
      </c>
      <c r="AI113">
        <v>226</v>
      </c>
      <c r="AJ113" t="s">
        <v>256</v>
      </c>
      <c r="AK113">
        <v>0</v>
      </c>
      <c r="AL113">
        <v>0</v>
      </c>
      <c r="AM113">
        <v>0</v>
      </c>
    </row>
    <row r="114" spans="1:39" x14ac:dyDescent="0.25">
      <c r="A114" t="s">
        <v>601</v>
      </c>
      <c r="B114" t="s">
        <v>322</v>
      </c>
      <c r="C114" t="s">
        <v>255</v>
      </c>
      <c r="D114" t="s">
        <v>234</v>
      </c>
      <c r="E114" t="s">
        <v>20</v>
      </c>
      <c r="F114" t="s">
        <v>320</v>
      </c>
      <c r="G114" t="s">
        <v>269</v>
      </c>
      <c r="H114" t="s">
        <v>254</v>
      </c>
      <c r="I114" t="s">
        <v>242</v>
      </c>
      <c r="J114" t="s">
        <v>235</v>
      </c>
      <c r="K114" s="380">
        <v>36861</v>
      </c>
      <c r="L114" s="235">
        <v>-314750.30554387363</v>
      </c>
      <c r="M114" s="380">
        <v>36859</v>
      </c>
      <c r="N114" t="s">
        <v>21</v>
      </c>
      <c r="O114">
        <v>1.4</v>
      </c>
      <c r="P114">
        <v>0</v>
      </c>
      <c r="Q114">
        <v>0</v>
      </c>
      <c r="R114">
        <v>0</v>
      </c>
      <c r="S114">
        <v>0</v>
      </c>
      <c r="T114" t="s">
        <v>253</v>
      </c>
      <c r="U114" t="s">
        <v>7</v>
      </c>
      <c r="V114" t="s">
        <v>253</v>
      </c>
      <c r="W114" t="s">
        <v>132</v>
      </c>
      <c r="X114" t="s">
        <v>253</v>
      </c>
      <c r="Y114" t="s">
        <v>235</v>
      </c>
      <c r="Z114" t="s">
        <v>236</v>
      </c>
      <c r="AA114" t="s">
        <v>253</v>
      </c>
      <c r="AB114" t="s">
        <v>121</v>
      </c>
      <c r="AC114" s="235">
        <v>-500000</v>
      </c>
      <c r="AD114" s="235">
        <v>-35113.391947979224</v>
      </c>
      <c r="AE114">
        <v>0</v>
      </c>
      <c r="AF114">
        <v>0</v>
      </c>
      <c r="AG114">
        <v>0</v>
      </c>
      <c r="AH114" s="235">
        <v>-15248.968952929135</v>
      </c>
      <c r="AI114">
        <v>226</v>
      </c>
      <c r="AJ114" t="s">
        <v>256</v>
      </c>
      <c r="AK114">
        <v>0</v>
      </c>
      <c r="AL114">
        <v>0</v>
      </c>
      <c r="AM114">
        <v>0</v>
      </c>
    </row>
    <row r="115" spans="1:39" x14ac:dyDescent="0.25">
      <c r="A115" t="s">
        <v>601</v>
      </c>
      <c r="B115" t="s">
        <v>323</v>
      </c>
      <c r="C115" t="s">
        <v>255</v>
      </c>
      <c r="D115" t="s">
        <v>234</v>
      </c>
      <c r="E115" t="s">
        <v>20</v>
      </c>
      <c r="F115" t="s">
        <v>320</v>
      </c>
      <c r="G115" t="s">
        <v>269</v>
      </c>
      <c r="H115" t="s">
        <v>254</v>
      </c>
      <c r="I115" t="s">
        <v>242</v>
      </c>
      <c r="J115" t="s">
        <v>235</v>
      </c>
      <c r="K115" s="380">
        <v>36923</v>
      </c>
      <c r="L115" s="235">
        <v>-172165.65532202678</v>
      </c>
      <c r="M115" s="380">
        <v>36921</v>
      </c>
      <c r="N115" t="s">
        <v>1</v>
      </c>
      <c r="O115">
        <v>1.4</v>
      </c>
      <c r="P115">
        <v>0</v>
      </c>
      <c r="Q115">
        <v>0</v>
      </c>
      <c r="R115">
        <v>0</v>
      </c>
      <c r="S115">
        <v>0</v>
      </c>
      <c r="T115" t="s">
        <v>253</v>
      </c>
      <c r="U115" t="s">
        <v>7</v>
      </c>
      <c r="V115" t="s">
        <v>253</v>
      </c>
      <c r="W115" t="s">
        <v>132</v>
      </c>
      <c r="X115" t="s">
        <v>253</v>
      </c>
      <c r="Y115" t="s">
        <v>235</v>
      </c>
      <c r="Z115" t="s">
        <v>236</v>
      </c>
      <c r="AA115" t="s">
        <v>253</v>
      </c>
      <c r="AB115" t="s">
        <v>121</v>
      </c>
      <c r="AC115" s="235">
        <v>-500000</v>
      </c>
      <c r="AD115" s="235">
        <v>-40486.025465118058</v>
      </c>
      <c r="AE115">
        <v>0</v>
      </c>
      <c r="AF115">
        <v>0</v>
      </c>
      <c r="AG115">
        <v>0</v>
      </c>
      <c r="AH115" s="235">
        <v>8015.2693234660837</v>
      </c>
      <c r="AI115">
        <v>226</v>
      </c>
      <c r="AJ115" t="s">
        <v>256</v>
      </c>
      <c r="AK115">
        <v>0</v>
      </c>
      <c r="AL115">
        <v>0</v>
      </c>
      <c r="AM115">
        <v>0</v>
      </c>
    </row>
    <row r="116" spans="1:39" x14ac:dyDescent="0.25">
      <c r="A116" t="s">
        <v>601</v>
      </c>
      <c r="B116" t="s">
        <v>323</v>
      </c>
      <c r="C116" t="s">
        <v>255</v>
      </c>
      <c r="D116" t="s">
        <v>234</v>
      </c>
      <c r="E116" t="s">
        <v>20</v>
      </c>
      <c r="F116" t="s">
        <v>320</v>
      </c>
      <c r="G116" t="s">
        <v>269</v>
      </c>
      <c r="H116" t="s">
        <v>254</v>
      </c>
      <c r="I116" t="s">
        <v>242</v>
      </c>
      <c r="J116" t="s">
        <v>235</v>
      </c>
      <c r="K116" s="380">
        <v>36892</v>
      </c>
      <c r="L116" s="235">
        <v>-145891.82654576772</v>
      </c>
      <c r="M116" s="380">
        <v>36888</v>
      </c>
      <c r="N116" t="s">
        <v>1</v>
      </c>
      <c r="O116">
        <v>1.4</v>
      </c>
      <c r="P116">
        <v>0</v>
      </c>
      <c r="Q116">
        <v>0</v>
      </c>
      <c r="R116">
        <v>0</v>
      </c>
      <c r="S116">
        <v>0</v>
      </c>
      <c r="T116" t="s">
        <v>253</v>
      </c>
      <c r="U116" t="s">
        <v>7</v>
      </c>
      <c r="V116" t="s">
        <v>253</v>
      </c>
      <c r="W116" t="s">
        <v>132</v>
      </c>
      <c r="X116" t="s">
        <v>253</v>
      </c>
      <c r="Y116" t="s">
        <v>235</v>
      </c>
      <c r="Z116" t="s">
        <v>236</v>
      </c>
      <c r="AA116" t="s">
        <v>253</v>
      </c>
      <c r="AB116" t="s">
        <v>121</v>
      </c>
      <c r="AC116" s="235">
        <v>-500000</v>
      </c>
      <c r="AD116" s="235">
        <v>-35849.377365674693</v>
      </c>
      <c r="AE116">
        <v>0</v>
      </c>
      <c r="AF116">
        <v>0</v>
      </c>
      <c r="AG116">
        <v>0</v>
      </c>
      <c r="AH116" s="235">
        <v>6224.6894746995531</v>
      </c>
      <c r="AI116">
        <v>226</v>
      </c>
      <c r="AJ116" t="s">
        <v>256</v>
      </c>
      <c r="AK116">
        <v>0</v>
      </c>
      <c r="AL116">
        <v>0</v>
      </c>
      <c r="AM116">
        <v>0</v>
      </c>
    </row>
    <row r="117" spans="1:39" x14ac:dyDescent="0.25">
      <c r="A117" t="s">
        <v>601</v>
      </c>
      <c r="B117" t="s">
        <v>323</v>
      </c>
      <c r="C117" t="s">
        <v>255</v>
      </c>
      <c r="D117" t="s">
        <v>234</v>
      </c>
      <c r="E117" t="s">
        <v>20</v>
      </c>
      <c r="F117" t="s">
        <v>320</v>
      </c>
      <c r="G117" t="s">
        <v>269</v>
      </c>
      <c r="H117" t="s">
        <v>254</v>
      </c>
      <c r="I117" t="s">
        <v>242</v>
      </c>
      <c r="J117" t="s">
        <v>235</v>
      </c>
      <c r="K117" s="380">
        <v>36861</v>
      </c>
      <c r="L117" s="235">
        <v>-194362.66145534854</v>
      </c>
      <c r="M117" s="380">
        <v>36859</v>
      </c>
      <c r="N117" t="s">
        <v>1</v>
      </c>
      <c r="O117">
        <v>1.4</v>
      </c>
      <c r="P117">
        <v>0</v>
      </c>
      <c r="Q117">
        <v>0</v>
      </c>
      <c r="R117">
        <v>0</v>
      </c>
      <c r="S117">
        <v>0</v>
      </c>
      <c r="T117" t="s">
        <v>253</v>
      </c>
      <c r="U117" t="s">
        <v>7</v>
      </c>
      <c r="V117" t="s">
        <v>253</v>
      </c>
      <c r="W117" t="s">
        <v>132</v>
      </c>
      <c r="X117" t="s">
        <v>253</v>
      </c>
      <c r="Y117" t="s">
        <v>235</v>
      </c>
      <c r="Z117" t="s">
        <v>236</v>
      </c>
      <c r="AA117" t="s">
        <v>253</v>
      </c>
      <c r="AB117" t="s">
        <v>121</v>
      </c>
      <c r="AC117" s="235">
        <v>-500000</v>
      </c>
      <c r="AD117" s="235">
        <v>-35113.391947979224</v>
      </c>
      <c r="AE117">
        <v>0</v>
      </c>
      <c r="AF117">
        <v>0</v>
      </c>
      <c r="AG117">
        <v>0</v>
      </c>
      <c r="AH117" s="235">
        <v>6850.8839217895584</v>
      </c>
      <c r="AI117">
        <v>226</v>
      </c>
      <c r="AJ117" t="s">
        <v>256</v>
      </c>
      <c r="AK117">
        <v>0</v>
      </c>
      <c r="AL117">
        <v>0</v>
      </c>
      <c r="AM117">
        <v>0</v>
      </c>
    </row>
    <row r="118" spans="1:39" x14ac:dyDescent="0.25">
      <c r="A118" t="s">
        <v>601</v>
      </c>
      <c r="B118" t="s">
        <v>326</v>
      </c>
      <c r="C118" t="s">
        <v>255</v>
      </c>
      <c r="D118" t="s">
        <v>234</v>
      </c>
      <c r="E118" t="s">
        <v>20</v>
      </c>
      <c r="F118" t="s">
        <v>279</v>
      </c>
      <c r="G118" t="s">
        <v>269</v>
      </c>
      <c r="H118" t="s">
        <v>254</v>
      </c>
      <c r="I118" t="s">
        <v>242</v>
      </c>
      <c r="J118" t="s">
        <v>235</v>
      </c>
      <c r="K118" s="380">
        <v>36951</v>
      </c>
      <c r="L118" s="235">
        <v>-71142.689100674776</v>
      </c>
      <c r="M118" s="380">
        <v>36949</v>
      </c>
      <c r="N118" t="s">
        <v>21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253</v>
      </c>
      <c r="U118" t="s">
        <v>325</v>
      </c>
      <c r="V118" t="s">
        <v>253</v>
      </c>
      <c r="W118" t="s">
        <v>132</v>
      </c>
      <c r="X118" t="s">
        <v>253</v>
      </c>
      <c r="Y118" t="s">
        <v>235</v>
      </c>
      <c r="Z118" t="s">
        <v>236</v>
      </c>
      <c r="AA118" t="s">
        <v>253</v>
      </c>
      <c r="AB118" t="s">
        <v>121</v>
      </c>
      <c r="AC118" s="235">
        <v>-1000000</v>
      </c>
      <c r="AD118" s="235">
        <v>-12428.832251967629</v>
      </c>
      <c r="AE118">
        <v>0</v>
      </c>
      <c r="AF118">
        <v>0</v>
      </c>
      <c r="AG118">
        <v>0</v>
      </c>
      <c r="AH118" s="235">
        <v>-634.61622781217739</v>
      </c>
      <c r="AI118">
        <v>226</v>
      </c>
      <c r="AJ118" t="s">
        <v>256</v>
      </c>
      <c r="AK118">
        <v>0</v>
      </c>
      <c r="AL118">
        <v>0</v>
      </c>
      <c r="AM118">
        <v>0</v>
      </c>
    </row>
    <row r="119" spans="1:39" x14ac:dyDescent="0.25">
      <c r="A119" t="s">
        <v>601</v>
      </c>
      <c r="B119" t="s">
        <v>326</v>
      </c>
      <c r="C119" t="s">
        <v>255</v>
      </c>
      <c r="D119" t="s">
        <v>234</v>
      </c>
      <c r="E119" t="s">
        <v>20</v>
      </c>
      <c r="F119" t="s">
        <v>279</v>
      </c>
      <c r="G119" t="s">
        <v>269</v>
      </c>
      <c r="H119" t="s">
        <v>254</v>
      </c>
      <c r="I119" t="s">
        <v>242</v>
      </c>
      <c r="J119" t="s">
        <v>235</v>
      </c>
      <c r="K119" s="380">
        <v>36923</v>
      </c>
      <c r="L119" s="235">
        <v>-77674.757511825141</v>
      </c>
      <c r="M119" s="380">
        <v>36921</v>
      </c>
      <c r="N119" t="s">
        <v>21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253</v>
      </c>
      <c r="U119" t="s">
        <v>325</v>
      </c>
      <c r="V119" t="s">
        <v>253</v>
      </c>
      <c r="W119" t="s">
        <v>132</v>
      </c>
      <c r="X119" t="s">
        <v>253</v>
      </c>
      <c r="Y119" t="s">
        <v>235</v>
      </c>
      <c r="Z119" t="s">
        <v>236</v>
      </c>
      <c r="AA119" t="s">
        <v>253</v>
      </c>
      <c r="AB119" t="s">
        <v>121</v>
      </c>
      <c r="AC119" s="235">
        <v>-1000000</v>
      </c>
      <c r="AD119" s="235">
        <v>-12805.792313298909</v>
      </c>
      <c r="AE119">
        <v>0</v>
      </c>
      <c r="AF119">
        <v>0</v>
      </c>
      <c r="AG119">
        <v>0</v>
      </c>
      <c r="AH119" s="235">
        <v>-616.76923998762504</v>
      </c>
      <c r="AI119">
        <v>226</v>
      </c>
      <c r="AJ119" t="s">
        <v>256</v>
      </c>
      <c r="AK119">
        <v>0</v>
      </c>
      <c r="AL119">
        <v>0</v>
      </c>
      <c r="AM119">
        <v>0</v>
      </c>
    </row>
    <row r="120" spans="1:39" x14ac:dyDescent="0.25">
      <c r="A120" t="s">
        <v>601</v>
      </c>
      <c r="B120" t="s">
        <v>326</v>
      </c>
      <c r="C120" t="s">
        <v>255</v>
      </c>
      <c r="D120" t="s">
        <v>234</v>
      </c>
      <c r="E120" t="s">
        <v>20</v>
      </c>
      <c r="F120" t="s">
        <v>279</v>
      </c>
      <c r="G120" t="s">
        <v>269</v>
      </c>
      <c r="H120" t="s">
        <v>254</v>
      </c>
      <c r="I120" t="s">
        <v>242</v>
      </c>
      <c r="J120" t="s">
        <v>235</v>
      </c>
      <c r="K120" s="380">
        <v>36892</v>
      </c>
      <c r="L120" s="235">
        <v>-72817.75418204267</v>
      </c>
      <c r="M120" s="380">
        <v>36888</v>
      </c>
      <c r="N120" t="s">
        <v>21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253</v>
      </c>
      <c r="U120" t="s">
        <v>325</v>
      </c>
      <c r="V120" t="s">
        <v>253</v>
      </c>
      <c r="W120" t="s">
        <v>132</v>
      </c>
      <c r="X120" t="s">
        <v>253</v>
      </c>
      <c r="Y120" t="s">
        <v>235</v>
      </c>
      <c r="Z120" t="s">
        <v>236</v>
      </c>
      <c r="AA120" t="s">
        <v>253</v>
      </c>
      <c r="AB120" t="s">
        <v>121</v>
      </c>
      <c r="AC120" s="235">
        <v>-1000000</v>
      </c>
      <c r="AD120" s="235">
        <v>-11719.073011935805</v>
      </c>
      <c r="AE120">
        <v>0</v>
      </c>
      <c r="AF120">
        <v>0</v>
      </c>
      <c r="AG120">
        <v>0</v>
      </c>
      <c r="AH120" s="235">
        <v>-566.00262099893007</v>
      </c>
      <c r="AI120">
        <v>226</v>
      </c>
      <c r="AJ120" t="s">
        <v>256</v>
      </c>
      <c r="AK120">
        <v>0</v>
      </c>
      <c r="AL120">
        <v>0</v>
      </c>
      <c r="AM120">
        <v>0</v>
      </c>
    </row>
    <row r="121" spans="1:39" x14ac:dyDescent="0.25">
      <c r="A121" t="s">
        <v>601</v>
      </c>
      <c r="B121" t="s">
        <v>326</v>
      </c>
      <c r="C121" t="s">
        <v>255</v>
      </c>
      <c r="D121" t="s">
        <v>234</v>
      </c>
      <c r="E121" t="s">
        <v>20</v>
      </c>
      <c r="F121" t="s">
        <v>279</v>
      </c>
      <c r="G121" t="s">
        <v>269</v>
      </c>
      <c r="H121" t="s">
        <v>254</v>
      </c>
      <c r="I121" t="s">
        <v>242</v>
      </c>
      <c r="J121" t="s">
        <v>235</v>
      </c>
      <c r="K121" s="380">
        <v>36861</v>
      </c>
      <c r="L121" s="235">
        <v>-59315.326948970003</v>
      </c>
      <c r="M121" s="380">
        <v>36859</v>
      </c>
      <c r="N121" t="s">
        <v>21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253</v>
      </c>
      <c r="U121" t="s">
        <v>325</v>
      </c>
      <c r="V121" t="s">
        <v>253</v>
      </c>
      <c r="W121" t="s">
        <v>132</v>
      </c>
      <c r="X121" t="s">
        <v>253</v>
      </c>
      <c r="Y121" t="s">
        <v>235</v>
      </c>
      <c r="Z121" t="s">
        <v>236</v>
      </c>
      <c r="AA121" t="s">
        <v>253</v>
      </c>
      <c r="AB121" t="s">
        <v>121</v>
      </c>
      <c r="AC121" s="235">
        <v>-1000000</v>
      </c>
      <c r="AD121" s="235">
        <v>-10352.450034938753</v>
      </c>
      <c r="AE121">
        <v>0</v>
      </c>
      <c r="AF121">
        <v>0</v>
      </c>
      <c r="AG121">
        <v>0</v>
      </c>
      <c r="AH121" s="235">
        <v>-522.77235381308856</v>
      </c>
      <c r="AI121">
        <v>226</v>
      </c>
      <c r="AJ121" t="s">
        <v>256</v>
      </c>
      <c r="AK121">
        <v>0</v>
      </c>
      <c r="AL121">
        <v>0</v>
      </c>
      <c r="AM121">
        <v>0</v>
      </c>
    </row>
    <row r="122" spans="1:39" x14ac:dyDescent="0.25">
      <c r="A122" t="s">
        <v>601</v>
      </c>
      <c r="B122" t="s">
        <v>326</v>
      </c>
      <c r="C122" t="s">
        <v>255</v>
      </c>
      <c r="D122" t="s">
        <v>234</v>
      </c>
      <c r="E122" t="s">
        <v>20</v>
      </c>
      <c r="F122" t="s">
        <v>279</v>
      </c>
      <c r="G122" t="s">
        <v>269</v>
      </c>
      <c r="H122" t="s">
        <v>254</v>
      </c>
      <c r="I122" t="s">
        <v>242</v>
      </c>
      <c r="J122" t="s">
        <v>235</v>
      </c>
      <c r="K122" s="380">
        <v>36831</v>
      </c>
      <c r="L122" s="235">
        <v>-39503.038518871253</v>
      </c>
      <c r="M122" s="380">
        <v>36829</v>
      </c>
      <c r="N122" t="s">
        <v>21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253</v>
      </c>
      <c r="U122" t="s">
        <v>325</v>
      </c>
      <c r="V122" t="s">
        <v>253</v>
      </c>
      <c r="W122" t="s">
        <v>132</v>
      </c>
      <c r="X122" t="s">
        <v>253</v>
      </c>
      <c r="Y122" t="s">
        <v>235</v>
      </c>
      <c r="Z122" t="s">
        <v>236</v>
      </c>
      <c r="AA122" t="s">
        <v>253</v>
      </c>
      <c r="AB122" t="s">
        <v>121</v>
      </c>
      <c r="AC122" s="235">
        <v>-1000000</v>
      </c>
      <c r="AD122" s="235">
        <v>-8599.093135254865</v>
      </c>
      <c r="AE122">
        <v>0</v>
      </c>
      <c r="AF122">
        <v>0</v>
      </c>
      <c r="AG122">
        <v>0</v>
      </c>
      <c r="AH122" s="235">
        <v>-463.65030285940156</v>
      </c>
      <c r="AI122">
        <v>226</v>
      </c>
      <c r="AJ122" t="s">
        <v>256</v>
      </c>
      <c r="AK122">
        <v>0</v>
      </c>
      <c r="AL122">
        <v>0</v>
      </c>
      <c r="AM122">
        <v>0</v>
      </c>
    </row>
    <row r="123" spans="1:39" x14ac:dyDescent="0.25">
      <c r="A123" t="s">
        <v>601</v>
      </c>
      <c r="B123" t="s">
        <v>326</v>
      </c>
      <c r="C123" t="s">
        <v>255</v>
      </c>
      <c r="D123" t="s">
        <v>234</v>
      </c>
      <c r="E123" t="s">
        <v>20</v>
      </c>
      <c r="F123" t="s">
        <v>279</v>
      </c>
      <c r="G123" t="s">
        <v>269</v>
      </c>
      <c r="H123" t="s">
        <v>254</v>
      </c>
      <c r="I123" t="s">
        <v>242</v>
      </c>
      <c r="J123" t="s">
        <v>235</v>
      </c>
      <c r="K123" s="380">
        <v>36800</v>
      </c>
      <c r="L123" s="235">
        <v>-1170.31335042456</v>
      </c>
      <c r="M123" s="380">
        <v>36797</v>
      </c>
      <c r="N123" t="s">
        <v>21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253</v>
      </c>
      <c r="U123" t="s">
        <v>325</v>
      </c>
      <c r="V123" t="s">
        <v>253</v>
      </c>
      <c r="W123" t="s">
        <v>132</v>
      </c>
      <c r="X123" t="s">
        <v>253</v>
      </c>
      <c r="Y123" t="s">
        <v>235</v>
      </c>
      <c r="Z123" t="s">
        <v>236</v>
      </c>
      <c r="AA123" t="s">
        <v>253</v>
      </c>
      <c r="AB123" t="s">
        <v>121</v>
      </c>
      <c r="AC123" s="235">
        <v>-1000000</v>
      </c>
      <c r="AD123" s="235">
        <v>-1234.2130285719832</v>
      </c>
      <c r="AE123">
        <v>0</v>
      </c>
      <c r="AF123">
        <v>0</v>
      </c>
      <c r="AG123">
        <v>0</v>
      </c>
      <c r="AH123" s="235">
        <v>-73.0490748787538</v>
      </c>
      <c r="AI123">
        <v>226</v>
      </c>
      <c r="AJ123" t="s">
        <v>256</v>
      </c>
      <c r="AK123">
        <v>0</v>
      </c>
      <c r="AL123">
        <v>0</v>
      </c>
      <c r="AM123">
        <v>0</v>
      </c>
    </row>
    <row r="124" spans="1:39" x14ac:dyDescent="0.25">
      <c r="A124" t="s">
        <v>601</v>
      </c>
      <c r="B124" t="s">
        <v>326</v>
      </c>
      <c r="C124" t="s">
        <v>255</v>
      </c>
      <c r="D124" t="s">
        <v>234</v>
      </c>
      <c r="E124" t="s">
        <v>20</v>
      </c>
      <c r="F124" t="s">
        <v>279</v>
      </c>
      <c r="G124" t="s">
        <v>269</v>
      </c>
      <c r="H124" t="s">
        <v>254</v>
      </c>
      <c r="I124" t="s">
        <v>242</v>
      </c>
      <c r="J124" t="s">
        <v>235</v>
      </c>
      <c r="K124" s="380">
        <v>36770</v>
      </c>
      <c r="L124" s="235">
        <v>-2.9317190494040337E-27</v>
      </c>
      <c r="M124" s="380">
        <v>36768</v>
      </c>
      <c r="N124" t="s">
        <v>21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253</v>
      </c>
      <c r="U124" t="s">
        <v>325</v>
      </c>
      <c r="V124" t="s">
        <v>253</v>
      </c>
      <c r="W124" t="s">
        <v>132</v>
      </c>
      <c r="X124" t="s">
        <v>253</v>
      </c>
      <c r="Y124" t="s">
        <v>235</v>
      </c>
      <c r="Z124" t="s">
        <v>236</v>
      </c>
      <c r="AA124" t="s">
        <v>253</v>
      </c>
      <c r="AB124" t="s">
        <v>121</v>
      </c>
      <c r="AC124" s="235">
        <v>-1000000</v>
      </c>
      <c r="AD124" s="235">
        <v>-8.9781342977392657E-26</v>
      </c>
      <c r="AE124">
        <v>0</v>
      </c>
      <c r="AF124">
        <v>0</v>
      </c>
      <c r="AG124">
        <v>0</v>
      </c>
      <c r="AH124" s="235">
        <v>-4.8393400979331718E-5</v>
      </c>
      <c r="AI124">
        <v>226</v>
      </c>
      <c r="AJ124" t="s">
        <v>256</v>
      </c>
      <c r="AK124">
        <v>0</v>
      </c>
      <c r="AL124">
        <v>0</v>
      </c>
      <c r="AM124">
        <v>0</v>
      </c>
    </row>
    <row r="125" spans="1:39" x14ac:dyDescent="0.25">
      <c r="A125" t="s">
        <v>601</v>
      </c>
      <c r="B125" t="s">
        <v>327</v>
      </c>
      <c r="C125" t="s">
        <v>255</v>
      </c>
      <c r="D125" t="s">
        <v>234</v>
      </c>
      <c r="E125" t="s">
        <v>20</v>
      </c>
      <c r="F125" t="s">
        <v>279</v>
      </c>
      <c r="G125" t="s">
        <v>269</v>
      </c>
      <c r="H125" t="s">
        <v>254</v>
      </c>
      <c r="I125" t="s">
        <v>242</v>
      </c>
      <c r="J125" t="s">
        <v>235</v>
      </c>
      <c r="K125" s="380">
        <v>36951</v>
      </c>
      <c r="L125" s="235">
        <v>-39745.151691995772</v>
      </c>
      <c r="M125" s="380">
        <v>36949</v>
      </c>
      <c r="N125" t="s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253</v>
      </c>
      <c r="U125" t="s">
        <v>325</v>
      </c>
      <c r="V125" t="s">
        <v>253</v>
      </c>
      <c r="W125" t="s">
        <v>132</v>
      </c>
      <c r="X125" t="s">
        <v>253</v>
      </c>
      <c r="Y125" t="s">
        <v>235</v>
      </c>
      <c r="Z125" t="s">
        <v>236</v>
      </c>
      <c r="AA125" t="s">
        <v>253</v>
      </c>
      <c r="AB125" t="s">
        <v>121</v>
      </c>
      <c r="AC125" s="235">
        <v>-1000000</v>
      </c>
      <c r="AD125" s="235">
        <v>-12428.832251967571</v>
      </c>
      <c r="AE125">
        <v>0</v>
      </c>
      <c r="AF125">
        <v>0</v>
      </c>
      <c r="AG125">
        <v>0</v>
      </c>
      <c r="AH125" s="235">
        <v>-634.61622781124606</v>
      </c>
      <c r="AI125">
        <v>226</v>
      </c>
      <c r="AJ125" t="s">
        <v>256</v>
      </c>
      <c r="AK125">
        <v>0</v>
      </c>
      <c r="AL125">
        <v>0</v>
      </c>
      <c r="AM125">
        <v>0</v>
      </c>
    </row>
    <row r="126" spans="1:39" x14ac:dyDescent="0.25">
      <c r="A126" t="s">
        <v>601</v>
      </c>
      <c r="B126" t="s">
        <v>327</v>
      </c>
      <c r="C126" t="s">
        <v>255</v>
      </c>
      <c r="D126" t="s">
        <v>234</v>
      </c>
      <c r="E126" t="s">
        <v>20</v>
      </c>
      <c r="F126" t="s">
        <v>279</v>
      </c>
      <c r="G126" t="s">
        <v>269</v>
      </c>
      <c r="H126" t="s">
        <v>254</v>
      </c>
      <c r="I126" t="s">
        <v>242</v>
      </c>
      <c r="J126" t="s">
        <v>235</v>
      </c>
      <c r="K126" s="380">
        <v>36923</v>
      </c>
      <c r="L126" s="235">
        <v>-43679.553682835605</v>
      </c>
      <c r="M126" s="380">
        <v>36921</v>
      </c>
      <c r="N126" t="s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253</v>
      </c>
      <c r="U126" t="s">
        <v>325</v>
      </c>
      <c r="V126" t="s">
        <v>253</v>
      </c>
      <c r="W126" t="s">
        <v>132</v>
      </c>
      <c r="X126" t="s">
        <v>253</v>
      </c>
      <c r="Y126" t="s">
        <v>235</v>
      </c>
      <c r="Z126" t="s">
        <v>236</v>
      </c>
      <c r="AA126" t="s">
        <v>253</v>
      </c>
      <c r="AB126" t="s">
        <v>121</v>
      </c>
      <c r="AC126" s="235">
        <v>-1000000</v>
      </c>
      <c r="AD126" s="235">
        <v>-12805.792313298967</v>
      </c>
      <c r="AE126">
        <v>0</v>
      </c>
      <c r="AF126">
        <v>0</v>
      </c>
      <c r="AG126">
        <v>0</v>
      </c>
      <c r="AH126" s="235">
        <v>-616.76923998721031</v>
      </c>
      <c r="AI126">
        <v>226</v>
      </c>
      <c r="AJ126" t="s">
        <v>256</v>
      </c>
      <c r="AK126">
        <v>0</v>
      </c>
      <c r="AL126">
        <v>0</v>
      </c>
      <c r="AM126">
        <v>0</v>
      </c>
    </row>
    <row r="127" spans="1:39" x14ac:dyDescent="0.25">
      <c r="A127" t="s">
        <v>601</v>
      </c>
      <c r="B127" t="s">
        <v>327</v>
      </c>
      <c r="C127" t="s">
        <v>255</v>
      </c>
      <c r="D127" t="s">
        <v>234</v>
      </c>
      <c r="E127" t="s">
        <v>20</v>
      </c>
      <c r="F127" t="s">
        <v>279</v>
      </c>
      <c r="G127" t="s">
        <v>269</v>
      </c>
      <c r="H127" t="s">
        <v>254</v>
      </c>
      <c r="I127" t="s">
        <v>242</v>
      </c>
      <c r="J127" t="s">
        <v>235</v>
      </c>
      <c r="K127" s="380">
        <v>36892</v>
      </c>
      <c r="L127" s="235">
        <v>-43495.141822567086</v>
      </c>
      <c r="M127" s="380">
        <v>36888</v>
      </c>
      <c r="N127" t="s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253</v>
      </c>
      <c r="U127" t="s">
        <v>325</v>
      </c>
      <c r="V127" t="s">
        <v>253</v>
      </c>
      <c r="W127" t="s">
        <v>132</v>
      </c>
      <c r="X127" t="s">
        <v>253</v>
      </c>
      <c r="Y127" t="s">
        <v>235</v>
      </c>
      <c r="Z127" t="s">
        <v>236</v>
      </c>
      <c r="AA127" t="s">
        <v>253</v>
      </c>
      <c r="AB127" t="s">
        <v>121</v>
      </c>
      <c r="AC127" s="235">
        <v>-1000000</v>
      </c>
      <c r="AD127" s="235">
        <v>-11719.073011935863</v>
      </c>
      <c r="AE127">
        <v>0</v>
      </c>
      <c r="AF127">
        <v>0</v>
      </c>
      <c r="AG127">
        <v>0</v>
      </c>
      <c r="AH127" s="235">
        <v>-566.00262099948304</v>
      </c>
      <c r="AI127">
        <v>226</v>
      </c>
      <c r="AJ127" t="s">
        <v>256</v>
      </c>
      <c r="AK127">
        <v>0</v>
      </c>
      <c r="AL127">
        <v>0</v>
      </c>
      <c r="AM127">
        <v>0</v>
      </c>
    </row>
    <row r="128" spans="1:39" x14ac:dyDescent="0.25">
      <c r="A128" t="s">
        <v>601</v>
      </c>
      <c r="B128" t="s">
        <v>327</v>
      </c>
      <c r="C128" t="s">
        <v>255</v>
      </c>
      <c r="D128" t="s">
        <v>234</v>
      </c>
      <c r="E128" t="s">
        <v>20</v>
      </c>
      <c r="F128" t="s">
        <v>279</v>
      </c>
      <c r="G128" t="s">
        <v>269</v>
      </c>
      <c r="H128" t="s">
        <v>254</v>
      </c>
      <c r="I128" t="s">
        <v>242</v>
      </c>
      <c r="J128" t="s">
        <v>235</v>
      </c>
      <c r="K128" s="380">
        <v>36861</v>
      </c>
      <c r="L128" s="235">
        <v>-42117.092079180904</v>
      </c>
      <c r="M128" s="380">
        <v>36859</v>
      </c>
      <c r="N128" t="s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253</v>
      </c>
      <c r="U128" t="s">
        <v>325</v>
      </c>
      <c r="V128" t="s">
        <v>253</v>
      </c>
      <c r="W128" t="s">
        <v>132</v>
      </c>
      <c r="X128" t="s">
        <v>253</v>
      </c>
      <c r="Y128" t="s">
        <v>235</v>
      </c>
      <c r="Z128" t="s">
        <v>236</v>
      </c>
      <c r="AA128" t="s">
        <v>253</v>
      </c>
      <c r="AB128" t="s">
        <v>121</v>
      </c>
      <c r="AC128" s="235">
        <v>-1000000</v>
      </c>
      <c r="AD128" s="235">
        <v>-10352.450034938636</v>
      </c>
      <c r="AE128">
        <v>0</v>
      </c>
      <c r="AF128">
        <v>0</v>
      </c>
      <c r="AG128">
        <v>0</v>
      </c>
      <c r="AH128" s="235">
        <v>-522.77235381215723</v>
      </c>
      <c r="AI128">
        <v>226</v>
      </c>
      <c r="AJ128" t="s">
        <v>256</v>
      </c>
      <c r="AK128">
        <v>0</v>
      </c>
      <c r="AL128">
        <v>0</v>
      </c>
      <c r="AM128">
        <v>0</v>
      </c>
    </row>
    <row r="129" spans="1:39" x14ac:dyDescent="0.25">
      <c r="A129" t="s">
        <v>601</v>
      </c>
      <c r="B129" t="s">
        <v>327</v>
      </c>
      <c r="C129" t="s">
        <v>255</v>
      </c>
      <c r="D129" t="s">
        <v>234</v>
      </c>
      <c r="E129" t="s">
        <v>20</v>
      </c>
      <c r="F129" t="s">
        <v>279</v>
      </c>
      <c r="G129" t="s">
        <v>269</v>
      </c>
      <c r="H129" t="s">
        <v>254</v>
      </c>
      <c r="I129" t="s">
        <v>242</v>
      </c>
      <c r="J129" t="s">
        <v>235</v>
      </c>
      <c r="K129" s="380">
        <v>36831</v>
      </c>
      <c r="L129" s="235">
        <v>-41973.841928169444</v>
      </c>
      <c r="M129" s="380">
        <v>36829</v>
      </c>
      <c r="N129" t="s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253</v>
      </c>
      <c r="U129" t="s">
        <v>325</v>
      </c>
      <c r="V129" t="s">
        <v>253</v>
      </c>
      <c r="W129" t="s">
        <v>132</v>
      </c>
      <c r="X129" t="s">
        <v>253</v>
      </c>
      <c r="Y129" t="s">
        <v>235</v>
      </c>
      <c r="Z129" t="s">
        <v>236</v>
      </c>
      <c r="AA129" t="s">
        <v>253</v>
      </c>
      <c r="AB129" t="s">
        <v>121</v>
      </c>
      <c r="AC129" s="235">
        <v>-1000000</v>
      </c>
      <c r="AD129" s="235">
        <v>-8599.0931352548068</v>
      </c>
      <c r="AE129">
        <v>0</v>
      </c>
      <c r="AF129">
        <v>0</v>
      </c>
      <c r="AG129">
        <v>0</v>
      </c>
      <c r="AH129" s="235">
        <v>-463.65030285944522</v>
      </c>
      <c r="AI129">
        <v>226</v>
      </c>
      <c r="AJ129" t="s">
        <v>256</v>
      </c>
      <c r="AK129">
        <v>0</v>
      </c>
      <c r="AL129">
        <v>0</v>
      </c>
      <c r="AM129">
        <v>0</v>
      </c>
    </row>
    <row r="130" spans="1:39" x14ac:dyDescent="0.25">
      <c r="A130" t="s">
        <v>601</v>
      </c>
      <c r="B130" t="s">
        <v>327</v>
      </c>
      <c r="C130" t="s">
        <v>255</v>
      </c>
      <c r="D130" t="s">
        <v>234</v>
      </c>
      <c r="E130" t="s">
        <v>20</v>
      </c>
      <c r="F130" t="s">
        <v>279</v>
      </c>
      <c r="G130" t="s">
        <v>269</v>
      </c>
      <c r="H130" t="s">
        <v>254</v>
      </c>
      <c r="I130" t="s">
        <v>242</v>
      </c>
      <c r="J130" t="s">
        <v>235</v>
      </c>
      <c r="K130" s="380">
        <v>36800</v>
      </c>
      <c r="L130" s="235">
        <v>-90651.998595038036</v>
      </c>
      <c r="M130" s="380">
        <v>36797</v>
      </c>
      <c r="N130" t="s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253</v>
      </c>
      <c r="U130" t="s">
        <v>325</v>
      </c>
      <c r="V130" t="s">
        <v>253</v>
      </c>
      <c r="W130" t="s">
        <v>132</v>
      </c>
      <c r="X130" t="s">
        <v>253</v>
      </c>
      <c r="Y130" t="s">
        <v>235</v>
      </c>
      <c r="Z130" t="s">
        <v>236</v>
      </c>
      <c r="AA130" t="s">
        <v>253</v>
      </c>
      <c r="AB130" t="s">
        <v>121</v>
      </c>
      <c r="AC130" s="235">
        <v>-1000000</v>
      </c>
      <c r="AD130" s="235">
        <v>-1234.2130285720341</v>
      </c>
      <c r="AE130">
        <v>0</v>
      </c>
      <c r="AF130">
        <v>0</v>
      </c>
      <c r="AG130">
        <v>0</v>
      </c>
      <c r="AH130" s="235">
        <v>-73.049074878814281</v>
      </c>
      <c r="AI130">
        <v>226</v>
      </c>
      <c r="AJ130" t="s">
        <v>256</v>
      </c>
      <c r="AK130">
        <v>0</v>
      </c>
      <c r="AL130">
        <v>0</v>
      </c>
      <c r="AM130">
        <v>0</v>
      </c>
    </row>
    <row r="131" spans="1:39" x14ac:dyDescent="0.25">
      <c r="A131" t="s">
        <v>601</v>
      </c>
      <c r="B131" t="s">
        <v>327</v>
      </c>
      <c r="C131" t="s">
        <v>255</v>
      </c>
      <c r="D131" t="s">
        <v>234</v>
      </c>
      <c r="E131" t="s">
        <v>20</v>
      </c>
      <c r="F131" t="s">
        <v>279</v>
      </c>
      <c r="G131" t="s">
        <v>269</v>
      </c>
      <c r="H131" t="s">
        <v>254</v>
      </c>
      <c r="I131" t="s">
        <v>242</v>
      </c>
      <c r="J131" t="s">
        <v>235</v>
      </c>
      <c r="K131" s="380">
        <v>36770</v>
      </c>
      <c r="L131" s="235">
        <v>-109959.52130821074</v>
      </c>
      <c r="M131" s="380">
        <v>36768</v>
      </c>
      <c r="N131" t="s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253</v>
      </c>
      <c r="U131" t="s">
        <v>325</v>
      </c>
      <c r="V131" t="s">
        <v>253</v>
      </c>
      <c r="W131" t="s">
        <v>132</v>
      </c>
      <c r="X131" t="s">
        <v>253</v>
      </c>
      <c r="Y131" t="s">
        <v>235</v>
      </c>
      <c r="Z131" t="s">
        <v>236</v>
      </c>
      <c r="AA131" t="s">
        <v>253</v>
      </c>
      <c r="AB131" t="s">
        <v>121</v>
      </c>
      <c r="AC131" s="235">
        <v>-1000000</v>
      </c>
      <c r="AD131" s="235">
        <v>0</v>
      </c>
      <c r="AE131">
        <v>0</v>
      </c>
      <c r="AF131">
        <v>0</v>
      </c>
      <c r="AG131">
        <v>0</v>
      </c>
      <c r="AH131" s="235">
        <v>4995.4047781417612</v>
      </c>
      <c r="AI131">
        <v>226</v>
      </c>
      <c r="AJ131" t="s">
        <v>256</v>
      </c>
      <c r="AK131">
        <v>0</v>
      </c>
      <c r="AL131">
        <v>0</v>
      </c>
      <c r="AM131">
        <v>0</v>
      </c>
    </row>
    <row r="132" spans="1:39" x14ac:dyDescent="0.25">
      <c r="A132" t="s">
        <v>601</v>
      </c>
      <c r="B132" t="s">
        <v>328</v>
      </c>
      <c r="C132" t="s">
        <v>255</v>
      </c>
      <c r="D132" t="s">
        <v>234</v>
      </c>
      <c r="E132" t="s">
        <v>20</v>
      </c>
      <c r="F132" t="s">
        <v>284</v>
      </c>
      <c r="G132" t="s">
        <v>269</v>
      </c>
      <c r="H132" t="s">
        <v>254</v>
      </c>
      <c r="I132" t="s">
        <v>242</v>
      </c>
      <c r="J132" t="s">
        <v>235</v>
      </c>
      <c r="K132" s="380">
        <v>36951</v>
      </c>
      <c r="L132" s="235">
        <v>62469.059813918444</v>
      </c>
      <c r="M132" s="380">
        <v>36949</v>
      </c>
      <c r="N132" t="s">
        <v>21</v>
      </c>
      <c r="O132">
        <v>2.2000000000000002</v>
      </c>
      <c r="P132">
        <v>0</v>
      </c>
      <c r="Q132">
        <v>0</v>
      </c>
      <c r="R132">
        <v>0</v>
      </c>
      <c r="S132">
        <v>0</v>
      </c>
      <c r="T132" t="s">
        <v>253</v>
      </c>
      <c r="U132" t="s">
        <v>7</v>
      </c>
      <c r="V132" t="s">
        <v>253</v>
      </c>
      <c r="W132" t="s">
        <v>132</v>
      </c>
      <c r="X132" t="s">
        <v>253</v>
      </c>
      <c r="Y132" t="s">
        <v>235</v>
      </c>
      <c r="Z132" t="s">
        <v>236</v>
      </c>
      <c r="AA132" t="s">
        <v>253</v>
      </c>
      <c r="AB132" t="s">
        <v>121</v>
      </c>
      <c r="AC132" s="235">
        <v>310000</v>
      </c>
      <c r="AD132" s="235">
        <v>20293.308553530798</v>
      </c>
      <c r="AE132">
        <v>0</v>
      </c>
      <c r="AF132">
        <v>0</v>
      </c>
      <c r="AG132">
        <v>0</v>
      </c>
      <c r="AH132" s="235">
        <v>5874.0424031467992</v>
      </c>
      <c r="AI132">
        <v>226</v>
      </c>
      <c r="AJ132" t="s">
        <v>256</v>
      </c>
      <c r="AK132">
        <v>0</v>
      </c>
      <c r="AL132">
        <v>0</v>
      </c>
      <c r="AM132">
        <v>0</v>
      </c>
    </row>
    <row r="133" spans="1:39" x14ac:dyDescent="0.25">
      <c r="A133" t="s">
        <v>601</v>
      </c>
      <c r="B133" t="s">
        <v>328</v>
      </c>
      <c r="C133" t="s">
        <v>255</v>
      </c>
      <c r="D133" t="s">
        <v>234</v>
      </c>
      <c r="E133" t="s">
        <v>20</v>
      </c>
      <c r="F133" t="s">
        <v>284</v>
      </c>
      <c r="G133" t="s">
        <v>269</v>
      </c>
      <c r="H133" t="s">
        <v>254</v>
      </c>
      <c r="I133" t="s">
        <v>242</v>
      </c>
      <c r="J133" t="s">
        <v>235</v>
      </c>
      <c r="K133" s="380">
        <v>36923</v>
      </c>
      <c r="L133" s="235">
        <v>179351.39379154576</v>
      </c>
      <c r="M133" s="380">
        <v>36921</v>
      </c>
      <c r="N133" t="s">
        <v>21</v>
      </c>
      <c r="O133">
        <v>2.2000000000000002</v>
      </c>
      <c r="P133">
        <v>0</v>
      </c>
      <c r="Q133">
        <v>0</v>
      </c>
      <c r="R133">
        <v>0</v>
      </c>
      <c r="S133">
        <v>0</v>
      </c>
      <c r="T133" t="s">
        <v>253</v>
      </c>
      <c r="U133" t="s">
        <v>7</v>
      </c>
      <c r="V133" t="s">
        <v>253</v>
      </c>
      <c r="W133" t="s">
        <v>132</v>
      </c>
      <c r="X133" t="s">
        <v>253</v>
      </c>
      <c r="Y133" t="s">
        <v>235</v>
      </c>
      <c r="Z133" t="s">
        <v>236</v>
      </c>
      <c r="AA133" t="s">
        <v>253</v>
      </c>
      <c r="AB133" t="s">
        <v>121</v>
      </c>
      <c r="AC133" s="235">
        <v>280000</v>
      </c>
      <c r="AD133" s="235">
        <v>23898.539070236002</v>
      </c>
      <c r="AE133">
        <v>0</v>
      </c>
      <c r="AF133">
        <v>0</v>
      </c>
      <c r="AG133">
        <v>0</v>
      </c>
      <c r="AH133" s="235">
        <v>11149.557908673625</v>
      </c>
      <c r="AI133">
        <v>226</v>
      </c>
      <c r="AJ133" t="s">
        <v>256</v>
      </c>
      <c r="AK133">
        <v>0</v>
      </c>
      <c r="AL133">
        <v>0</v>
      </c>
      <c r="AM133">
        <v>0</v>
      </c>
    </row>
    <row r="134" spans="1:39" x14ac:dyDescent="0.25">
      <c r="A134" t="s">
        <v>601</v>
      </c>
      <c r="B134" t="s">
        <v>328</v>
      </c>
      <c r="C134" t="s">
        <v>255</v>
      </c>
      <c r="D134" t="s">
        <v>234</v>
      </c>
      <c r="E134" t="s">
        <v>20</v>
      </c>
      <c r="F134" t="s">
        <v>284</v>
      </c>
      <c r="G134" t="s">
        <v>269</v>
      </c>
      <c r="H134" t="s">
        <v>254</v>
      </c>
      <c r="I134" t="s">
        <v>242</v>
      </c>
      <c r="J134" t="s">
        <v>235</v>
      </c>
      <c r="K134" s="380">
        <v>36892</v>
      </c>
      <c r="L134" s="235">
        <v>199213.59746695129</v>
      </c>
      <c r="M134" s="380">
        <v>36888</v>
      </c>
      <c r="N134" t="s">
        <v>21</v>
      </c>
      <c r="O134">
        <v>2.2000000000000002</v>
      </c>
      <c r="P134">
        <v>0</v>
      </c>
      <c r="Q134">
        <v>0</v>
      </c>
      <c r="R134">
        <v>0</v>
      </c>
      <c r="S134">
        <v>0</v>
      </c>
      <c r="T134" t="s">
        <v>253</v>
      </c>
      <c r="U134" t="s">
        <v>7</v>
      </c>
      <c r="V134" t="s">
        <v>253</v>
      </c>
      <c r="W134" t="s">
        <v>132</v>
      </c>
      <c r="X134" t="s">
        <v>253</v>
      </c>
      <c r="Y134" t="s">
        <v>235</v>
      </c>
      <c r="Z134" t="s">
        <v>236</v>
      </c>
      <c r="AA134" t="s">
        <v>253</v>
      </c>
      <c r="AB134" t="s">
        <v>121</v>
      </c>
      <c r="AC134" s="235">
        <v>310000</v>
      </c>
      <c r="AD134" s="235">
        <v>24307.503147808107</v>
      </c>
      <c r="AE134">
        <v>0</v>
      </c>
      <c r="AF134">
        <v>0</v>
      </c>
      <c r="AG134">
        <v>0</v>
      </c>
      <c r="AH134" s="235">
        <v>10942.287774524069</v>
      </c>
      <c r="AI134">
        <v>226</v>
      </c>
      <c r="AJ134" t="s">
        <v>256</v>
      </c>
      <c r="AK134">
        <v>0</v>
      </c>
      <c r="AL134">
        <v>0</v>
      </c>
      <c r="AM134">
        <v>0</v>
      </c>
    </row>
    <row r="135" spans="1:39" x14ac:dyDescent="0.25">
      <c r="A135" t="s">
        <v>601</v>
      </c>
      <c r="B135" t="s">
        <v>328</v>
      </c>
      <c r="C135" t="s">
        <v>255</v>
      </c>
      <c r="D135" t="s">
        <v>234</v>
      </c>
      <c r="E135" t="s">
        <v>20</v>
      </c>
      <c r="F135" t="s">
        <v>284</v>
      </c>
      <c r="G135" t="s">
        <v>269</v>
      </c>
      <c r="H135" t="s">
        <v>254</v>
      </c>
      <c r="I135" t="s">
        <v>242</v>
      </c>
      <c r="J135" t="s">
        <v>235</v>
      </c>
      <c r="K135" s="380">
        <v>36861</v>
      </c>
      <c r="L135" s="235">
        <v>99869.14523617478</v>
      </c>
      <c r="M135" s="380">
        <v>36859</v>
      </c>
      <c r="N135" t="s">
        <v>21</v>
      </c>
      <c r="O135">
        <v>2.2000000000000002</v>
      </c>
      <c r="P135">
        <v>0</v>
      </c>
      <c r="Q135">
        <v>0</v>
      </c>
      <c r="R135">
        <v>0</v>
      </c>
      <c r="S135">
        <v>0</v>
      </c>
      <c r="T135" t="s">
        <v>253</v>
      </c>
      <c r="U135" t="s">
        <v>7</v>
      </c>
      <c r="V135" t="s">
        <v>253</v>
      </c>
      <c r="W135" t="s">
        <v>132</v>
      </c>
      <c r="X135" t="s">
        <v>253</v>
      </c>
      <c r="Y135" t="s">
        <v>235</v>
      </c>
      <c r="Z135" t="s">
        <v>236</v>
      </c>
      <c r="AA135" t="s">
        <v>253</v>
      </c>
      <c r="AB135" t="s">
        <v>121</v>
      </c>
      <c r="AC135" s="235">
        <v>310000</v>
      </c>
      <c r="AD135" s="235">
        <v>19894.013729574232</v>
      </c>
      <c r="AE135">
        <v>0</v>
      </c>
      <c r="AF135">
        <v>0</v>
      </c>
      <c r="AG135">
        <v>0</v>
      </c>
      <c r="AH135" s="235">
        <v>6252.9225107267412</v>
      </c>
      <c r="AI135">
        <v>226</v>
      </c>
      <c r="AJ135" t="s">
        <v>256</v>
      </c>
      <c r="AK135">
        <v>0</v>
      </c>
      <c r="AL135">
        <v>0</v>
      </c>
      <c r="AM135">
        <v>0</v>
      </c>
    </row>
    <row r="136" spans="1:39" x14ac:dyDescent="0.25">
      <c r="A136" t="s">
        <v>601</v>
      </c>
      <c r="B136" t="s">
        <v>328</v>
      </c>
      <c r="C136" t="s">
        <v>255</v>
      </c>
      <c r="D136" t="s">
        <v>234</v>
      </c>
      <c r="E136" t="s">
        <v>20</v>
      </c>
      <c r="F136" t="s">
        <v>284</v>
      </c>
      <c r="G136" t="s">
        <v>269</v>
      </c>
      <c r="H136" t="s">
        <v>254</v>
      </c>
      <c r="I136" t="s">
        <v>242</v>
      </c>
      <c r="J136" t="s">
        <v>235</v>
      </c>
      <c r="K136" s="380">
        <v>36831</v>
      </c>
      <c r="L136" s="235">
        <v>3864.0810378615029</v>
      </c>
      <c r="M136" s="380">
        <v>36829</v>
      </c>
      <c r="N136" t="s">
        <v>21</v>
      </c>
      <c r="O136">
        <v>2.2000000000000002</v>
      </c>
      <c r="P136">
        <v>0</v>
      </c>
      <c r="Q136">
        <v>0</v>
      </c>
      <c r="R136">
        <v>0</v>
      </c>
      <c r="S136">
        <v>0</v>
      </c>
      <c r="T136" t="s">
        <v>253</v>
      </c>
      <c r="U136" t="s">
        <v>7</v>
      </c>
      <c r="V136" t="s">
        <v>253</v>
      </c>
      <c r="W136" t="s">
        <v>132</v>
      </c>
      <c r="X136" t="s">
        <v>253</v>
      </c>
      <c r="Y136" t="s">
        <v>235</v>
      </c>
      <c r="Z136" t="s">
        <v>236</v>
      </c>
      <c r="AA136" t="s">
        <v>253</v>
      </c>
      <c r="AB136" t="s">
        <v>121</v>
      </c>
      <c r="AC136" s="235">
        <v>300000</v>
      </c>
      <c r="AD136" s="235">
        <v>2694.8081645491075</v>
      </c>
      <c r="AE136">
        <v>0</v>
      </c>
      <c r="AF136">
        <v>0</v>
      </c>
      <c r="AG136">
        <v>0</v>
      </c>
      <c r="AH136" s="235">
        <v>688.90667497919412</v>
      </c>
      <c r="AI136">
        <v>226</v>
      </c>
      <c r="AJ136" t="s">
        <v>256</v>
      </c>
      <c r="AK136">
        <v>0</v>
      </c>
      <c r="AL136">
        <v>0</v>
      </c>
      <c r="AM136">
        <v>0</v>
      </c>
    </row>
    <row r="137" spans="1:39" x14ac:dyDescent="0.25">
      <c r="A137" t="s">
        <v>601</v>
      </c>
      <c r="B137" t="s">
        <v>329</v>
      </c>
      <c r="C137" t="s">
        <v>255</v>
      </c>
      <c r="D137" t="s">
        <v>234</v>
      </c>
      <c r="E137" t="s">
        <v>20</v>
      </c>
      <c r="F137" t="s">
        <v>279</v>
      </c>
      <c r="G137" t="s">
        <v>269</v>
      </c>
      <c r="H137" t="s">
        <v>254</v>
      </c>
      <c r="I137" t="s">
        <v>242</v>
      </c>
      <c r="J137" t="s">
        <v>235</v>
      </c>
      <c r="K137" s="380">
        <v>36951</v>
      </c>
      <c r="L137" s="235">
        <v>-71142.689100674776</v>
      </c>
      <c r="M137" s="380">
        <v>36949</v>
      </c>
      <c r="N137" t="s">
        <v>21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253</v>
      </c>
      <c r="U137" t="s">
        <v>325</v>
      </c>
      <c r="V137" t="s">
        <v>253</v>
      </c>
      <c r="W137" t="s">
        <v>132</v>
      </c>
      <c r="X137" t="s">
        <v>253</v>
      </c>
      <c r="Y137" t="s">
        <v>235</v>
      </c>
      <c r="Z137" t="s">
        <v>236</v>
      </c>
      <c r="AA137" t="s">
        <v>253</v>
      </c>
      <c r="AB137" t="s">
        <v>121</v>
      </c>
      <c r="AC137" s="235">
        <v>-1000000</v>
      </c>
      <c r="AD137" s="235">
        <v>-12428.832251967629</v>
      </c>
      <c r="AE137">
        <v>0</v>
      </c>
      <c r="AF137">
        <v>0</v>
      </c>
      <c r="AG137">
        <v>0</v>
      </c>
      <c r="AH137" s="235">
        <v>-634.61622781217739</v>
      </c>
      <c r="AI137">
        <v>226</v>
      </c>
      <c r="AJ137" t="s">
        <v>256</v>
      </c>
      <c r="AK137">
        <v>0</v>
      </c>
      <c r="AL137">
        <v>0</v>
      </c>
      <c r="AM137">
        <v>0</v>
      </c>
    </row>
    <row r="138" spans="1:39" x14ac:dyDescent="0.25">
      <c r="A138" t="s">
        <v>601</v>
      </c>
      <c r="B138" t="s">
        <v>329</v>
      </c>
      <c r="C138" t="s">
        <v>255</v>
      </c>
      <c r="D138" t="s">
        <v>234</v>
      </c>
      <c r="E138" t="s">
        <v>20</v>
      </c>
      <c r="F138" t="s">
        <v>279</v>
      </c>
      <c r="G138" t="s">
        <v>269</v>
      </c>
      <c r="H138" t="s">
        <v>254</v>
      </c>
      <c r="I138" t="s">
        <v>242</v>
      </c>
      <c r="J138" t="s">
        <v>235</v>
      </c>
      <c r="K138" s="380">
        <v>36923</v>
      </c>
      <c r="L138" s="235">
        <v>-77674.757511825141</v>
      </c>
      <c r="M138" s="380">
        <v>36921</v>
      </c>
      <c r="N138" t="s">
        <v>21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253</v>
      </c>
      <c r="U138" t="s">
        <v>325</v>
      </c>
      <c r="V138" t="s">
        <v>253</v>
      </c>
      <c r="W138" t="s">
        <v>132</v>
      </c>
      <c r="X138" t="s">
        <v>253</v>
      </c>
      <c r="Y138" t="s">
        <v>235</v>
      </c>
      <c r="Z138" t="s">
        <v>236</v>
      </c>
      <c r="AA138" t="s">
        <v>253</v>
      </c>
      <c r="AB138" t="s">
        <v>121</v>
      </c>
      <c r="AC138" s="235">
        <v>-1000000</v>
      </c>
      <c r="AD138" s="235">
        <v>-12805.792313298909</v>
      </c>
      <c r="AE138">
        <v>0</v>
      </c>
      <c r="AF138">
        <v>0</v>
      </c>
      <c r="AG138">
        <v>0</v>
      </c>
      <c r="AH138" s="235">
        <v>-616.76923998762504</v>
      </c>
      <c r="AI138">
        <v>226</v>
      </c>
      <c r="AJ138" t="s">
        <v>256</v>
      </c>
      <c r="AK138">
        <v>0</v>
      </c>
      <c r="AL138">
        <v>0</v>
      </c>
      <c r="AM138">
        <v>0</v>
      </c>
    </row>
    <row r="139" spans="1:39" x14ac:dyDescent="0.25">
      <c r="A139" t="s">
        <v>601</v>
      </c>
      <c r="B139" t="s">
        <v>329</v>
      </c>
      <c r="C139" t="s">
        <v>255</v>
      </c>
      <c r="D139" t="s">
        <v>234</v>
      </c>
      <c r="E139" t="s">
        <v>20</v>
      </c>
      <c r="F139" t="s">
        <v>279</v>
      </c>
      <c r="G139" t="s">
        <v>269</v>
      </c>
      <c r="H139" t="s">
        <v>254</v>
      </c>
      <c r="I139" t="s">
        <v>242</v>
      </c>
      <c r="J139" t="s">
        <v>235</v>
      </c>
      <c r="K139" s="380">
        <v>36892</v>
      </c>
      <c r="L139" s="235">
        <v>-72817.75418204267</v>
      </c>
      <c r="M139" s="380">
        <v>36888</v>
      </c>
      <c r="N139" t="s">
        <v>21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253</v>
      </c>
      <c r="U139" t="s">
        <v>325</v>
      </c>
      <c r="V139" t="s">
        <v>253</v>
      </c>
      <c r="W139" t="s">
        <v>132</v>
      </c>
      <c r="X139" t="s">
        <v>253</v>
      </c>
      <c r="Y139" t="s">
        <v>235</v>
      </c>
      <c r="Z139" t="s">
        <v>236</v>
      </c>
      <c r="AA139" t="s">
        <v>253</v>
      </c>
      <c r="AB139" t="s">
        <v>121</v>
      </c>
      <c r="AC139" s="235">
        <v>-1000000</v>
      </c>
      <c r="AD139" s="235">
        <v>-11719.073011935805</v>
      </c>
      <c r="AE139">
        <v>0</v>
      </c>
      <c r="AF139">
        <v>0</v>
      </c>
      <c r="AG139">
        <v>0</v>
      </c>
      <c r="AH139" s="235">
        <v>-566.00262099893007</v>
      </c>
      <c r="AI139">
        <v>226</v>
      </c>
      <c r="AJ139" t="s">
        <v>256</v>
      </c>
      <c r="AK139">
        <v>0</v>
      </c>
      <c r="AL139">
        <v>0</v>
      </c>
      <c r="AM139">
        <v>0</v>
      </c>
    </row>
    <row r="140" spans="1:39" x14ac:dyDescent="0.25">
      <c r="A140" t="s">
        <v>601</v>
      </c>
      <c r="B140" t="s">
        <v>329</v>
      </c>
      <c r="C140" t="s">
        <v>255</v>
      </c>
      <c r="D140" t="s">
        <v>234</v>
      </c>
      <c r="E140" t="s">
        <v>20</v>
      </c>
      <c r="F140" t="s">
        <v>279</v>
      </c>
      <c r="G140" t="s">
        <v>269</v>
      </c>
      <c r="H140" t="s">
        <v>254</v>
      </c>
      <c r="I140" t="s">
        <v>242</v>
      </c>
      <c r="J140" t="s">
        <v>235</v>
      </c>
      <c r="K140" s="380">
        <v>36861</v>
      </c>
      <c r="L140" s="235">
        <v>-59315.326948970003</v>
      </c>
      <c r="M140" s="380">
        <v>36859</v>
      </c>
      <c r="N140" t="s">
        <v>21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253</v>
      </c>
      <c r="U140" t="s">
        <v>325</v>
      </c>
      <c r="V140" t="s">
        <v>253</v>
      </c>
      <c r="W140" t="s">
        <v>132</v>
      </c>
      <c r="X140" t="s">
        <v>253</v>
      </c>
      <c r="Y140" t="s">
        <v>235</v>
      </c>
      <c r="Z140" t="s">
        <v>236</v>
      </c>
      <c r="AA140" t="s">
        <v>253</v>
      </c>
      <c r="AB140" t="s">
        <v>121</v>
      </c>
      <c r="AC140" s="235">
        <v>-1000000</v>
      </c>
      <c r="AD140" s="235">
        <v>-10352.450034938753</v>
      </c>
      <c r="AE140">
        <v>0</v>
      </c>
      <c r="AF140">
        <v>0</v>
      </c>
      <c r="AG140">
        <v>0</v>
      </c>
      <c r="AH140" s="235">
        <v>-522.77235381308856</v>
      </c>
      <c r="AI140">
        <v>226</v>
      </c>
      <c r="AJ140" t="s">
        <v>256</v>
      </c>
      <c r="AK140">
        <v>0</v>
      </c>
      <c r="AL140">
        <v>0</v>
      </c>
      <c r="AM140">
        <v>0</v>
      </c>
    </row>
    <row r="141" spans="1:39" x14ac:dyDescent="0.25">
      <c r="A141" t="s">
        <v>601</v>
      </c>
      <c r="B141" t="s">
        <v>329</v>
      </c>
      <c r="C141" t="s">
        <v>255</v>
      </c>
      <c r="D141" t="s">
        <v>234</v>
      </c>
      <c r="E141" t="s">
        <v>20</v>
      </c>
      <c r="F141" t="s">
        <v>279</v>
      </c>
      <c r="G141" t="s">
        <v>269</v>
      </c>
      <c r="H141" t="s">
        <v>254</v>
      </c>
      <c r="I141" t="s">
        <v>242</v>
      </c>
      <c r="J141" t="s">
        <v>235</v>
      </c>
      <c r="K141" s="380">
        <v>36831</v>
      </c>
      <c r="L141" s="235">
        <v>-39503.038518871253</v>
      </c>
      <c r="M141" s="380">
        <v>36829</v>
      </c>
      <c r="N141" t="s">
        <v>21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253</v>
      </c>
      <c r="U141" t="s">
        <v>325</v>
      </c>
      <c r="V141" t="s">
        <v>253</v>
      </c>
      <c r="W141" t="s">
        <v>132</v>
      </c>
      <c r="X141" t="s">
        <v>253</v>
      </c>
      <c r="Y141" t="s">
        <v>235</v>
      </c>
      <c r="Z141" t="s">
        <v>236</v>
      </c>
      <c r="AA141" t="s">
        <v>253</v>
      </c>
      <c r="AB141" t="s">
        <v>121</v>
      </c>
      <c r="AC141" s="235">
        <v>-1000000</v>
      </c>
      <c r="AD141" s="235">
        <v>-8599.093135254865</v>
      </c>
      <c r="AE141">
        <v>0</v>
      </c>
      <c r="AF141">
        <v>0</v>
      </c>
      <c r="AG141">
        <v>0</v>
      </c>
      <c r="AH141" s="235">
        <v>-463.65030285940156</v>
      </c>
      <c r="AI141">
        <v>226</v>
      </c>
      <c r="AJ141" t="s">
        <v>256</v>
      </c>
      <c r="AK141">
        <v>0</v>
      </c>
      <c r="AL141">
        <v>0</v>
      </c>
      <c r="AM141">
        <v>0</v>
      </c>
    </row>
    <row r="142" spans="1:39" x14ac:dyDescent="0.25">
      <c r="A142" t="s">
        <v>601</v>
      </c>
      <c r="B142" t="s">
        <v>329</v>
      </c>
      <c r="C142" t="s">
        <v>255</v>
      </c>
      <c r="D142" t="s">
        <v>234</v>
      </c>
      <c r="E142" t="s">
        <v>20</v>
      </c>
      <c r="F142" t="s">
        <v>279</v>
      </c>
      <c r="G142" t="s">
        <v>269</v>
      </c>
      <c r="H142" t="s">
        <v>254</v>
      </c>
      <c r="I142" t="s">
        <v>242</v>
      </c>
      <c r="J142" t="s">
        <v>235</v>
      </c>
      <c r="K142" s="380">
        <v>36800</v>
      </c>
      <c r="L142" s="235">
        <v>-1170.31335042456</v>
      </c>
      <c r="M142" s="380">
        <v>36797</v>
      </c>
      <c r="N142" t="s">
        <v>21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253</v>
      </c>
      <c r="U142" t="s">
        <v>325</v>
      </c>
      <c r="V142" t="s">
        <v>253</v>
      </c>
      <c r="W142" t="s">
        <v>132</v>
      </c>
      <c r="X142" t="s">
        <v>253</v>
      </c>
      <c r="Y142" t="s">
        <v>235</v>
      </c>
      <c r="Z142" t="s">
        <v>236</v>
      </c>
      <c r="AA142" t="s">
        <v>253</v>
      </c>
      <c r="AB142" t="s">
        <v>121</v>
      </c>
      <c r="AC142" s="235">
        <v>-1000000</v>
      </c>
      <c r="AD142" s="235">
        <v>-1234.2130285719832</v>
      </c>
      <c r="AE142">
        <v>0</v>
      </c>
      <c r="AF142">
        <v>0</v>
      </c>
      <c r="AG142">
        <v>0</v>
      </c>
      <c r="AH142" s="235">
        <v>-73.0490748787538</v>
      </c>
      <c r="AI142">
        <v>226</v>
      </c>
      <c r="AJ142" t="s">
        <v>256</v>
      </c>
      <c r="AK142">
        <v>0</v>
      </c>
      <c r="AL142">
        <v>0</v>
      </c>
      <c r="AM142">
        <v>0</v>
      </c>
    </row>
    <row r="143" spans="1:39" x14ac:dyDescent="0.25">
      <c r="A143" t="s">
        <v>601</v>
      </c>
      <c r="B143" t="s">
        <v>329</v>
      </c>
      <c r="C143" t="s">
        <v>255</v>
      </c>
      <c r="D143" t="s">
        <v>234</v>
      </c>
      <c r="E143" t="s">
        <v>20</v>
      </c>
      <c r="F143" t="s">
        <v>279</v>
      </c>
      <c r="G143" t="s">
        <v>269</v>
      </c>
      <c r="H143" t="s">
        <v>254</v>
      </c>
      <c r="I143" t="s">
        <v>242</v>
      </c>
      <c r="J143" t="s">
        <v>235</v>
      </c>
      <c r="K143" s="380">
        <v>36770</v>
      </c>
      <c r="L143" s="235">
        <v>-2.9317190494040337E-27</v>
      </c>
      <c r="M143" s="380">
        <v>36768</v>
      </c>
      <c r="N143" t="s">
        <v>21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253</v>
      </c>
      <c r="U143" t="s">
        <v>325</v>
      </c>
      <c r="V143" t="s">
        <v>253</v>
      </c>
      <c r="W143" t="s">
        <v>132</v>
      </c>
      <c r="X143" t="s">
        <v>253</v>
      </c>
      <c r="Y143" t="s">
        <v>235</v>
      </c>
      <c r="Z143" t="s">
        <v>236</v>
      </c>
      <c r="AA143" t="s">
        <v>253</v>
      </c>
      <c r="AB143" t="s">
        <v>121</v>
      </c>
      <c r="AC143" s="235">
        <v>-1000000</v>
      </c>
      <c r="AD143" s="235">
        <v>-8.9781342977392657E-26</v>
      </c>
      <c r="AE143">
        <v>0</v>
      </c>
      <c r="AF143">
        <v>0</v>
      </c>
      <c r="AG143">
        <v>0</v>
      </c>
      <c r="AH143" s="235">
        <v>-4.8393400979331718E-5</v>
      </c>
      <c r="AI143">
        <v>226</v>
      </c>
      <c r="AJ143" t="s">
        <v>256</v>
      </c>
      <c r="AK143">
        <v>0</v>
      </c>
      <c r="AL143">
        <v>0</v>
      </c>
      <c r="AM143">
        <v>0</v>
      </c>
    </row>
    <row r="144" spans="1:39" x14ac:dyDescent="0.25">
      <c r="A144" t="s">
        <v>601</v>
      </c>
      <c r="B144" t="s">
        <v>330</v>
      </c>
      <c r="C144" t="s">
        <v>255</v>
      </c>
      <c r="D144" t="s">
        <v>234</v>
      </c>
      <c r="E144" t="s">
        <v>20</v>
      </c>
      <c r="F144" t="s">
        <v>279</v>
      </c>
      <c r="G144" t="s">
        <v>269</v>
      </c>
      <c r="H144" t="s">
        <v>254</v>
      </c>
      <c r="I144" t="s">
        <v>242</v>
      </c>
      <c r="J144" t="s">
        <v>235</v>
      </c>
      <c r="K144" s="380">
        <v>36951</v>
      </c>
      <c r="L144" s="235">
        <v>-39745.151691995772</v>
      </c>
      <c r="M144" s="380">
        <v>36949</v>
      </c>
      <c r="N144" t="s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253</v>
      </c>
      <c r="U144" t="s">
        <v>325</v>
      </c>
      <c r="V144" t="s">
        <v>253</v>
      </c>
      <c r="W144" t="s">
        <v>132</v>
      </c>
      <c r="X144" t="s">
        <v>253</v>
      </c>
      <c r="Y144" t="s">
        <v>235</v>
      </c>
      <c r="Z144" t="s">
        <v>236</v>
      </c>
      <c r="AA144" t="s">
        <v>253</v>
      </c>
      <c r="AB144" t="s">
        <v>121</v>
      </c>
      <c r="AC144" s="235">
        <v>-1000000</v>
      </c>
      <c r="AD144" s="235">
        <v>-12428.832251967571</v>
      </c>
      <c r="AE144">
        <v>0</v>
      </c>
      <c r="AF144">
        <v>0</v>
      </c>
      <c r="AG144">
        <v>0</v>
      </c>
      <c r="AH144" s="235">
        <v>-634.61622781124606</v>
      </c>
      <c r="AI144">
        <v>226</v>
      </c>
      <c r="AJ144" t="s">
        <v>256</v>
      </c>
      <c r="AK144">
        <v>0</v>
      </c>
      <c r="AL144">
        <v>0</v>
      </c>
      <c r="AM144">
        <v>0</v>
      </c>
    </row>
    <row r="145" spans="1:39" x14ac:dyDescent="0.25">
      <c r="A145" t="s">
        <v>601</v>
      </c>
      <c r="B145" t="s">
        <v>330</v>
      </c>
      <c r="C145" t="s">
        <v>255</v>
      </c>
      <c r="D145" t="s">
        <v>234</v>
      </c>
      <c r="E145" t="s">
        <v>20</v>
      </c>
      <c r="F145" t="s">
        <v>279</v>
      </c>
      <c r="G145" t="s">
        <v>269</v>
      </c>
      <c r="H145" t="s">
        <v>254</v>
      </c>
      <c r="I145" t="s">
        <v>242</v>
      </c>
      <c r="J145" t="s">
        <v>235</v>
      </c>
      <c r="K145" s="380">
        <v>36923</v>
      </c>
      <c r="L145" s="235">
        <v>-43679.553682835605</v>
      </c>
      <c r="M145" s="380">
        <v>36921</v>
      </c>
      <c r="N145" t="s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253</v>
      </c>
      <c r="U145" t="s">
        <v>325</v>
      </c>
      <c r="V145" t="s">
        <v>253</v>
      </c>
      <c r="W145" t="s">
        <v>132</v>
      </c>
      <c r="X145" t="s">
        <v>253</v>
      </c>
      <c r="Y145" t="s">
        <v>235</v>
      </c>
      <c r="Z145" t="s">
        <v>236</v>
      </c>
      <c r="AA145" t="s">
        <v>253</v>
      </c>
      <c r="AB145" t="s">
        <v>121</v>
      </c>
      <c r="AC145" s="235">
        <v>-1000000</v>
      </c>
      <c r="AD145" s="235">
        <v>-12805.792313298967</v>
      </c>
      <c r="AE145">
        <v>0</v>
      </c>
      <c r="AF145">
        <v>0</v>
      </c>
      <c r="AG145">
        <v>0</v>
      </c>
      <c r="AH145" s="235">
        <v>-616.76923998721031</v>
      </c>
      <c r="AI145">
        <v>226</v>
      </c>
      <c r="AJ145" t="s">
        <v>256</v>
      </c>
      <c r="AK145">
        <v>0</v>
      </c>
      <c r="AL145">
        <v>0</v>
      </c>
      <c r="AM145">
        <v>0</v>
      </c>
    </row>
    <row r="146" spans="1:39" x14ac:dyDescent="0.25">
      <c r="A146" t="s">
        <v>601</v>
      </c>
      <c r="B146" t="s">
        <v>330</v>
      </c>
      <c r="C146" t="s">
        <v>255</v>
      </c>
      <c r="D146" t="s">
        <v>234</v>
      </c>
      <c r="E146" t="s">
        <v>20</v>
      </c>
      <c r="F146" t="s">
        <v>279</v>
      </c>
      <c r="G146" t="s">
        <v>269</v>
      </c>
      <c r="H146" t="s">
        <v>254</v>
      </c>
      <c r="I146" t="s">
        <v>242</v>
      </c>
      <c r="J146" t="s">
        <v>235</v>
      </c>
      <c r="K146" s="380">
        <v>36892</v>
      </c>
      <c r="L146" s="235">
        <v>-43495.141822567086</v>
      </c>
      <c r="M146" s="380">
        <v>36888</v>
      </c>
      <c r="N146" t="s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253</v>
      </c>
      <c r="U146" t="s">
        <v>325</v>
      </c>
      <c r="V146" t="s">
        <v>253</v>
      </c>
      <c r="W146" t="s">
        <v>132</v>
      </c>
      <c r="X146" t="s">
        <v>253</v>
      </c>
      <c r="Y146" t="s">
        <v>235</v>
      </c>
      <c r="Z146" t="s">
        <v>236</v>
      </c>
      <c r="AA146" t="s">
        <v>253</v>
      </c>
      <c r="AB146" t="s">
        <v>121</v>
      </c>
      <c r="AC146" s="235">
        <v>-1000000</v>
      </c>
      <c r="AD146" s="235">
        <v>-11719.073011935863</v>
      </c>
      <c r="AE146">
        <v>0</v>
      </c>
      <c r="AF146">
        <v>0</v>
      </c>
      <c r="AG146">
        <v>0</v>
      </c>
      <c r="AH146" s="235">
        <v>-566.00262099948304</v>
      </c>
      <c r="AI146">
        <v>226</v>
      </c>
      <c r="AJ146" t="s">
        <v>256</v>
      </c>
      <c r="AK146">
        <v>0</v>
      </c>
      <c r="AL146">
        <v>0</v>
      </c>
      <c r="AM146">
        <v>0</v>
      </c>
    </row>
    <row r="147" spans="1:39" x14ac:dyDescent="0.25">
      <c r="A147" t="s">
        <v>601</v>
      </c>
      <c r="B147" t="s">
        <v>330</v>
      </c>
      <c r="C147" t="s">
        <v>255</v>
      </c>
      <c r="D147" t="s">
        <v>234</v>
      </c>
      <c r="E147" t="s">
        <v>20</v>
      </c>
      <c r="F147" t="s">
        <v>279</v>
      </c>
      <c r="G147" t="s">
        <v>269</v>
      </c>
      <c r="H147" t="s">
        <v>254</v>
      </c>
      <c r="I147" t="s">
        <v>242</v>
      </c>
      <c r="J147" t="s">
        <v>235</v>
      </c>
      <c r="K147" s="380">
        <v>36861</v>
      </c>
      <c r="L147" s="235">
        <v>-42117.092079180904</v>
      </c>
      <c r="M147" s="380">
        <v>36859</v>
      </c>
      <c r="N147" t="s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253</v>
      </c>
      <c r="U147" t="s">
        <v>325</v>
      </c>
      <c r="V147" t="s">
        <v>253</v>
      </c>
      <c r="W147" t="s">
        <v>132</v>
      </c>
      <c r="X147" t="s">
        <v>253</v>
      </c>
      <c r="Y147" t="s">
        <v>235</v>
      </c>
      <c r="Z147" t="s">
        <v>236</v>
      </c>
      <c r="AA147" t="s">
        <v>253</v>
      </c>
      <c r="AB147" t="s">
        <v>121</v>
      </c>
      <c r="AC147" s="235">
        <v>-1000000</v>
      </c>
      <c r="AD147" s="235">
        <v>-10352.450034938636</v>
      </c>
      <c r="AE147">
        <v>0</v>
      </c>
      <c r="AF147">
        <v>0</v>
      </c>
      <c r="AG147">
        <v>0</v>
      </c>
      <c r="AH147" s="235">
        <v>-522.77235381215723</v>
      </c>
      <c r="AI147">
        <v>226</v>
      </c>
      <c r="AJ147" t="s">
        <v>256</v>
      </c>
      <c r="AK147">
        <v>0</v>
      </c>
      <c r="AL147">
        <v>0</v>
      </c>
      <c r="AM147">
        <v>0</v>
      </c>
    </row>
    <row r="148" spans="1:39" x14ac:dyDescent="0.25">
      <c r="A148" t="s">
        <v>601</v>
      </c>
      <c r="B148" t="s">
        <v>330</v>
      </c>
      <c r="C148" t="s">
        <v>255</v>
      </c>
      <c r="D148" t="s">
        <v>234</v>
      </c>
      <c r="E148" t="s">
        <v>20</v>
      </c>
      <c r="F148" t="s">
        <v>279</v>
      </c>
      <c r="G148" t="s">
        <v>269</v>
      </c>
      <c r="H148" t="s">
        <v>254</v>
      </c>
      <c r="I148" t="s">
        <v>242</v>
      </c>
      <c r="J148" t="s">
        <v>235</v>
      </c>
      <c r="K148" s="380">
        <v>36831</v>
      </c>
      <c r="L148" s="235">
        <v>-41973.841928169444</v>
      </c>
      <c r="M148" s="380">
        <v>36829</v>
      </c>
      <c r="N148" t="s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253</v>
      </c>
      <c r="U148" t="s">
        <v>325</v>
      </c>
      <c r="V148" t="s">
        <v>253</v>
      </c>
      <c r="W148" t="s">
        <v>132</v>
      </c>
      <c r="X148" t="s">
        <v>253</v>
      </c>
      <c r="Y148" t="s">
        <v>235</v>
      </c>
      <c r="Z148" t="s">
        <v>236</v>
      </c>
      <c r="AA148" t="s">
        <v>253</v>
      </c>
      <c r="AB148" t="s">
        <v>121</v>
      </c>
      <c r="AC148" s="235">
        <v>-1000000</v>
      </c>
      <c r="AD148" s="235">
        <v>-8599.0931352548068</v>
      </c>
      <c r="AE148">
        <v>0</v>
      </c>
      <c r="AF148">
        <v>0</v>
      </c>
      <c r="AG148">
        <v>0</v>
      </c>
      <c r="AH148" s="235">
        <v>-463.65030285944522</v>
      </c>
      <c r="AI148">
        <v>226</v>
      </c>
      <c r="AJ148" t="s">
        <v>256</v>
      </c>
      <c r="AK148">
        <v>0</v>
      </c>
      <c r="AL148">
        <v>0</v>
      </c>
      <c r="AM148">
        <v>0</v>
      </c>
    </row>
    <row r="149" spans="1:39" x14ac:dyDescent="0.25">
      <c r="A149" t="s">
        <v>601</v>
      </c>
      <c r="B149" t="s">
        <v>330</v>
      </c>
      <c r="C149" t="s">
        <v>255</v>
      </c>
      <c r="D149" t="s">
        <v>234</v>
      </c>
      <c r="E149" t="s">
        <v>20</v>
      </c>
      <c r="F149" t="s">
        <v>279</v>
      </c>
      <c r="G149" t="s">
        <v>269</v>
      </c>
      <c r="H149" t="s">
        <v>254</v>
      </c>
      <c r="I149" t="s">
        <v>242</v>
      </c>
      <c r="J149" t="s">
        <v>235</v>
      </c>
      <c r="K149" s="380">
        <v>36800</v>
      </c>
      <c r="L149" s="235">
        <v>-90651.998595038036</v>
      </c>
      <c r="M149" s="380">
        <v>36797</v>
      </c>
      <c r="N149" t="s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253</v>
      </c>
      <c r="U149" t="s">
        <v>325</v>
      </c>
      <c r="V149" t="s">
        <v>253</v>
      </c>
      <c r="W149" t="s">
        <v>132</v>
      </c>
      <c r="X149" t="s">
        <v>253</v>
      </c>
      <c r="Y149" t="s">
        <v>235</v>
      </c>
      <c r="Z149" t="s">
        <v>236</v>
      </c>
      <c r="AA149" t="s">
        <v>253</v>
      </c>
      <c r="AB149" t="s">
        <v>121</v>
      </c>
      <c r="AC149" s="235">
        <v>-1000000</v>
      </c>
      <c r="AD149" s="235">
        <v>-1234.2130285720341</v>
      </c>
      <c r="AE149">
        <v>0</v>
      </c>
      <c r="AF149">
        <v>0</v>
      </c>
      <c r="AG149">
        <v>0</v>
      </c>
      <c r="AH149" s="235">
        <v>-73.049074878814281</v>
      </c>
      <c r="AI149">
        <v>226</v>
      </c>
      <c r="AJ149" t="s">
        <v>256</v>
      </c>
      <c r="AK149">
        <v>0</v>
      </c>
      <c r="AL149">
        <v>0</v>
      </c>
      <c r="AM149">
        <v>0</v>
      </c>
    </row>
    <row r="150" spans="1:39" x14ac:dyDescent="0.25">
      <c r="A150" t="s">
        <v>601</v>
      </c>
      <c r="B150" t="s">
        <v>330</v>
      </c>
      <c r="C150" t="s">
        <v>255</v>
      </c>
      <c r="D150" t="s">
        <v>234</v>
      </c>
      <c r="E150" t="s">
        <v>20</v>
      </c>
      <c r="F150" t="s">
        <v>279</v>
      </c>
      <c r="G150" t="s">
        <v>269</v>
      </c>
      <c r="H150" t="s">
        <v>254</v>
      </c>
      <c r="I150" t="s">
        <v>242</v>
      </c>
      <c r="J150" t="s">
        <v>235</v>
      </c>
      <c r="K150" s="380">
        <v>36770</v>
      </c>
      <c r="L150" s="235">
        <v>-109959.52130821074</v>
      </c>
      <c r="M150" s="380">
        <v>36768</v>
      </c>
      <c r="N150" t="s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253</v>
      </c>
      <c r="U150" t="s">
        <v>325</v>
      </c>
      <c r="V150" t="s">
        <v>253</v>
      </c>
      <c r="W150" t="s">
        <v>132</v>
      </c>
      <c r="X150" t="s">
        <v>253</v>
      </c>
      <c r="Y150" t="s">
        <v>235</v>
      </c>
      <c r="Z150" t="s">
        <v>236</v>
      </c>
      <c r="AA150" t="s">
        <v>253</v>
      </c>
      <c r="AB150" t="s">
        <v>121</v>
      </c>
      <c r="AC150" s="235">
        <v>-1000000</v>
      </c>
      <c r="AD150" s="235">
        <v>0</v>
      </c>
      <c r="AE150">
        <v>0</v>
      </c>
      <c r="AF150">
        <v>0</v>
      </c>
      <c r="AG150">
        <v>0</v>
      </c>
      <c r="AH150" s="235">
        <v>4995.4047781417612</v>
      </c>
      <c r="AI150">
        <v>226</v>
      </c>
      <c r="AJ150" t="s">
        <v>256</v>
      </c>
      <c r="AK150">
        <v>0</v>
      </c>
      <c r="AL150">
        <v>0</v>
      </c>
      <c r="AM150">
        <v>0</v>
      </c>
    </row>
    <row r="151" spans="1:39" x14ac:dyDescent="0.25">
      <c r="A151" t="s">
        <v>601</v>
      </c>
      <c r="B151" t="s">
        <v>332</v>
      </c>
      <c r="C151" t="s">
        <v>255</v>
      </c>
      <c r="D151" t="s">
        <v>234</v>
      </c>
      <c r="E151" t="s">
        <v>20</v>
      </c>
      <c r="F151" t="s">
        <v>294</v>
      </c>
      <c r="G151" t="s">
        <v>269</v>
      </c>
      <c r="H151" t="s">
        <v>254</v>
      </c>
      <c r="I151" t="s">
        <v>242</v>
      </c>
      <c r="J151" t="s">
        <v>235</v>
      </c>
      <c r="K151" s="380">
        <v>36951</v>
      </c>
      <c r="L151" s="235">
        <v>51553.310597766424</v>
      </c>
      <c r="M151" s="380">
        <v>36949</v>
      </c>
      <c r="N151" t="s">
        <v>21</v>
      </c>
      <c r="O151">
        <v>-0.27</v>
      </c>
      <c r="P151">
        <v>0</v>
      </c>
      <c r="Q151">
        <v>0</v>
      </c>
      <c r="R151">
        <v>0</v>
      </c>
      <c r="S151">
        <v>0</v>
      </c>
      <c r="T151" t="s">
        <v>253</v>
      </c>
      <c r="U151" t="s">
        <v>9</v>
      </c>
      <c r="V151" t="s">
        <v>253</v>
      </c>
      <c r="W151" t="s">
        <v>132</v>
      </c>
      <c r="X151" t="s">
        <v>253</v>
      </c>
      <c r="Y151" t="s">
        <v>235</v>
      </c>
      <c r="Z151" t="s">
        <v>236</v>
      </c>
      <c r="AA151" t="s">
        <v>253</v>
      </c>
      <c r="AB151" t="s">
        <v>121</v>
      </c>
      <c r="AC151" s="235">
        <v>310000</v>
      </c>
      <c r="AD151" s="235">
        <v>15937.336654382772</v>
      </c>
      <c r="AE151">
        <v>0</v>
      </c>
      <c r="AF151">
        <v>0</v>
      </c>
      <c r="AG151">
        <v>0</v>
      </c>
      <c r="AH151" s="235">
        <v>-4597.345680252125</v>
      </c>
      <c r="AI151">
        <v>226</v>
      </c>
      <c r="AJ151" t="s">
        <v>256</v>
      </c>
      <c r="AK151">
        <v>0</v>
      </c>
      <c r="AL151">
        <v>0</v>
      </c>
      <c r="AM151">
        <v>0</v>
      </c>
    </row>
    <row r="152" spans="1:39" x14ac:dyDescent="0.25">
      <c r="A152" t="s">
        <v>601</v>
      </c>
      <c r="B152" t="s">
        <v>332</v>
      </c>
      <c r="C152" t="s">
        <v>255</v>
      </c>
      <c r="D152" t="s">
        <v>234</v>
      </c>
      <c r="E152" t="s">
        <v>20</v>
      </c>
      <c r="F152" t="s">
        <v>294</v>
      </c>
      <c r="G152" t="s">
        <v>269</v>
      </c>
      <c r="H152" t="s">
        <v>254</v>
      </c>
      <c r="I152" t="s">
        <v>242</v>
      </c>
      <c r="J152" t="s">
        <v>235</v>
      </c>
      <c r="K152" s="380">
        <v>36923</v>
      </c>
      <c r="L152" s="235">
        <v>53469.622275923008</v>
      </c>
      <c r="M152" s="380">
        <v>36921</v>
      </c>
      <c r="N152" t="s">
        <v>21</v>
      </c>
      <c r="O152">
        <v>-0.27</v>
      </c>
      <c r="P152">
        <v>0</v>
      </c>
      <c r="Q152">
        <v>0</v>
      </c>
      <c r="R152">
        <v>0</v>
      </c>
      <c r="S152">
        <v>0</v>
      </c>
      <c r="T152" t="s">
        <v>253</v>
      </c>
      <c r="U152" t="s">
        <v>9</v>
      </c>
      <c r="V152" t="s">
        <v>253</v>
      </c>
      <c r="W152" t="s">
        <v>132</v>
      </c>
      <c r="X152" t="s">
        <v>253</v>
      </c>
      <c r="Y152" t="s">
        <v>235</v>
      </c>
      <c r="Z152" t="s">
        <v>236</v>
      </c>
      <c r="AA152" t="s">
        <v>253</v>
      </c>
      <c r="AB152" t="s">
        <v>121</v>
      </c>
      <c r="AC152" s="235">
        <v>280000</v>
      </c>
      <c r="AD152" s="235">
        <v>14954.951612402932</v>
      </c>
      <c r="AE152">
        <v>0</v>
      </c>
      <c r="AF152">
        <v>0</v>
      </c>
      <c r="AG152">
        <v>0</v>
      </c>
      <c r="AH152" s="235">
        <v>-4341.4144062943014</v>
      </c>
      <c r="AI152">
        <v>226</v>
      </c>
      <c r="AJ152" t="s">
        <v>256</v>
      </c>
      <c r="AK152">
        <v>0</v>
      </c>
      <c r="AL152">
        <v>0</v>
      </c>
      <c r="AM152">
        <v>0</v>
      </c>
    </row>
    <row r="153" spans="1:39" x14ac:dyDescent="0.25">
      <c r="A153" t="s">
        <v>601</v>
      </c>
      <c r="B153" t="s">
        <v>332</v>
      </c>
      <c r="C153" t="s">
        <v>255</v>
      </c>
      <c r="D153" t="s">
        <v>234</v>
      </c>
      <c r="E153" t="s">
        <v>20</v>
      </c>
      <c r="F153" t="s">
        <v>294</v>
      </c>
      <c r="G153" t="s">
        <v>269</v>
      </c>
      <c r="H153" t="s">
        <v>254</v>
      </c>
      <c r="I153" t="s">
        <v>242</v>
      </c>
      <c r="J153" t="s">
        <v>235</v>
      </c>
      <c r="K153" s="380">
        <v>36892</v>
      </c>
      <c r="L153" s="235">
        <v>59284.030589213136</v>
      </c>
      <c r="M153" s="380">
        <v>36888</v>
      </c>
      <c r="N153" t="s">
        <v>21</v>
      </c>
      <c r="O153">
        <v>-0.27</v>
      </c>
      <c r="P153">
        <v>0</v>
      </c>
      <c r="Q153">
        <v>0</v>
      </c>
      <c r="R153">
        <v>0</v>
      </c>
      <c r="S153">
        <v>0</v>
      </c>
      <c r="T153" t="s">
        <v>253</v>
      </c>
      <c r="U153" t="s">
        <v>9</v>
      </c>
      <c r="V153" t="s">
        <v>253</v>
      </c>
      <c r="W153" t="s">
        <v>132</v>
      </c>
      <c r="X153" t="s">
        <v>253</v>
      </c>
      <c r="Y153" t="s">
        <v>235</v>
      </c>
      <c r="Z153" t="s">
        <v>236</v>
      </c>
      <c r="AA153" t="s">
        <v>253</v>
      </c>
      <c r="AB153" t="s">
        <v>121</v>
      </c>
      <c r="AC153" s="235">
        <v>310000</v>
      </c>
      <c r="AD153" s="235">
        <v>15190.708722564334</v>
      </c>
      <c r="AE153">
        <v>0</v>
      </c>
      <c r="AF153">
        <v>0</v>
      </c>
      <c r="AG153">
        <v>0</v>
      </c>
      <c r="AH153" s="235">
        <v>-5008.6437778232648</v>
      </c>
      <c r="AI153">
        <v>226</v>
      </c>
      <c r="AJ153" t="s">
        <v>256</v>
      </c>
      <c r="AK153">
        <v>0</v>
      </c>
      <c r="AL153">
        <v>0</v>
      </c>
      <c r="AM153">
        <v>0</v>
      </c>
    </row>
    <row r="154" spans="1:39" x14ac:dyDescent="0.25">
      <c r="A154" t="s">
        <v>601</v>
      </c>
      <c r="B154" t="s">
        <v>332</v>
      </c>
      <c r="C154" t="s">
        <v>255</v>
      </c>
      <c r="D154" t="s">
        <v>234</v>
      </c>
      <c r="E154" t="s">
        <v>20</v>
      </c>
      <c r="F154" t="s">
        <v>294</v>
      </c>
      <c r="G154" t="s">
        <v>269</v>
      </c>
      <c r="H154" t="s">
        <v>254</v>
      </c>
      <c r="I154" t="s">
        <v>242</v>
      </c>
      <c r="J154" t="s">
        <v>235</v>
      </c>
      <c r="K154" s="380">
        <v>36861</v>
      </c>
      <c r="L154" s="235">
        <v>52016.863276896511</v>
      </c>
      <c r="M154" s="380">
        <v>36859</v>
      </c>
      <c r="N154" t="s">
        <v>21</v>
      </c>
      <c r="O154">
        <v>-0.27</v>
      </c>
      <c r="P154">
        <v>0</v>
      </c>
      <c r="Q154">
        <v>0</v>
      </c>
      <c r="R154">
        <v>0</v>
      </c>
      <c r="S154">
        <v>0</v>
      </c>
      <c r="T154" t="s">
        <v>253</v>
      </c>
      <c r="U154" t="s">
        <v>9</v>
      </c>
      <c r="V154" t="s">
        <v>253</v>
      </c>
      <c r="W154" t="s">
        <v>132</v>
      </c>
      <c r="X154" t="s">
        <v>253</v>
      </c>
      <c r="Y154" t="s">
        <v>235</v>
      </c>
      <c r="Z154" t="s">
        <v>236</v>
      </c>
      <c r="AA154" t="s">
        <v>253</v>
      </c>
      <c r="AB154" t="s">
        <v>121</v>
      </c>
      <c r="AC154" s="235">
        <v>310000</v>
      </c>
      <c r="AD154" s="235">
        <v>13224.569944096715</v>
      </c>
      <c r="AE154">
        <v>0</v>
      </c>
      <c r="AF154">
        <v>0</v>
      </c>
      <c r="AG154">
        <v>0</v>
      </c>
      <c r="AH154" s="235">
        <v>-5072.2050298476461</v>
      </c>
      <c r="AI154">
        <v>226</v>
      </c>
      <c r="AJ154" t="s">
        <v>256</v>
      </c>
      <c r="AK154">
        <v>0</v>
      </c>
      <c r="AL154">
        <v>0</v>
      </c>
      <c r="AM154">
        <v>0</v>
      </c>
    </row>
    <row r="155" spans="1:39" x14ac:dyDescent="0.25">
      <c r="A155" t="s">
        <v>601</v>
      </c>
      <c r="B155" t="s">
        <v>332</v>
      </c>
      <c r="C155" t="s">
        <v>255</v>
      </c>
      <c r="D155" t="s">
        <v>234</v>
      </c>
      <c r="E155" t="s">
        <v>20</v>
      </c>
      <c r="F155" t="s">
        <v>294</v>
      </c>
      <c r="G155" t="s">
        <v>269</v>
      </c>
      <c r="H155" t="s">
        <v>254</v>
      </c>
      <c r="I155" t="s">
        <v>242</v>
      </c>
      <c r="J155" t="s">
        <v>235</v>
      </c>
      <c r="K155" s="380">
        <v>36831</v>
      </c>
      <c r="L155" s="235">
        <v>26038.018439554951</v>
      </c>
      <c r="M155" s="380">
        <v>36829</v>
      </c>
      <c r="N155" t="s">
        <v>21</v>
      </c>
      <c r="O155">
        <v>-0.27</v>
      </c>
      <c r="P155">
        <v>0</v>
      </c>
      <c r="Q155">
        <v>0</v>
      </c>
      <c r="R155">
        <v>0</v>
      </c>
      <c r="S155">
        <v>0</v>
      </c>
      <c r="T155" t="s">
        <v>253</v>
      </c>
      <c r="U155" t="s">
        <v>9</v>
      </c>
      <c r="V155" t="s">
        <v>253</v>
      </c>
      <c r="W155" t="s">
        <v>132</v>
      </c>
      <c r="X155" t="s">
        <v>253</v>
      </c>
      <c r="Y155" t="s">
        <v>235</v>
      </c>
      <c r="Z155" t="s">
        <v>236</v>
      </c>
      <c r="AA155" t="s">
        <v>253</v>
      </c>
      <c r="AB155" t="s">
        <v>121</v>
      </c>
      <c r="AC155" s="235">
        <v>300000</v>
      </c>
      <c r="AD155" s="235">
        <v>9537.2238984074502</v>
      </c>
      <c r="AE155">
        <v>0</v>
      </c>
      <c r="AF155">
        <v>0</v>
      </c>
      <c r="AG155">
        <v>0</v>
      </c>
      <c r="AH155" s="235">
        <v>-3690.4010738492616</v>
      </c>
      <c r="AI155">
        <v>226</v>
      </c>
      <c r="AJ155" t="s">
        <v>256</v>
      </c>
      <c r="AK155">
        <v>0</v>
      </c>
      <c r="AL155">
        <v>0</v>
      </c>
      <c r="AM155">
        <v>0</v>
      </c>
    </row>
    <row r="156" spans="1:39" x14ac:dyDescent="0.25">
      <c r="A156" t="s">
        <v>601</v>
      </c>
      <c r="B156" t="s">
        <v>332</v>
      </c>
      <c r="C156" t="s">
        <v>255</v>
      </c>
      <c r="D156" t="s">
        <v>234</v>
      </c>
      <c r="E156" t="s">
        <v>20</v>
      </c>
      <c r="F156" t="s">
        <v>294</v>
      </c>
      <c r="G156" t="s">
        <v>269</v>
      </c>
      <c r="H156" t="s">
        <v>254</v>
      </c>
      <c r="I156" t="s">
        <v>242</v>
      </c>
      <c r="J156" t="s">
        <v>235</v>
      </c>
      <c r="K156" s="380">
        <v>36800</v>
      </c>
      <c r="L156" s="235">
        <v>5375.6377491289231</v>
      </c>
      <c r="M156" s="380">
        <v>36797</v>
      </c>
      <c r="N156" t="s">
        <v>21</v>
      </c>
      <c r="O156">
        <v>-0.27</v>
      </c>
      <c r="P156">
        <v>0</v>
      </c>
      <c r="Q156">
        <v>0</v>
      </c>
      <c r="R156">
        <v>0</v>
      </c>
      <c r="S156">
        <v>0</v>
      </c>
      <c r="T156" t="s">
        <v>253</v>
      </c>
      <c r="U156" t="s">
        <v>9</v>
      </c>
      <c r="V156" t="s">
        <v>253</v>
      </c>
      <c r="W156" t="s">
        <v>132</v>
      </c>
      <c r="X156" t="s">
        <v>253</v>
      </c>
      <c r="Y156" t="s">
        <v>235</v>
      </c>
      <c r="Z156" t="s">
        <v>236</v>
      </c>
      <c r="AA156" t="s">
        <v>253</v>
      </c>
      <c r="AB156" t="s">
        <v>121</v>
      </c>
      <c r="AC156" s="235">
        <v>310000</v>
      </c>
      <c r="AD156" s="235">
        <v>4737.9213566313047</v>
      </c>
      <c r="AE156">
        <v>0</v>
      </c>
      <c r="AF156">
        <v>0</v>
      </c>
      <c r="AG156">
        <v>0</v>
      </c>
      <c r="AH156" s="235">
        <v>-2100.3801918803201</v>
      </c>
      <c r="AI156">
        <v>226</v>
      </c>
      <c r="AJ156" t="s">
        <v>256</v>
      </c>
      <c r="AK156">
        <v>0</v>
      </c>
      <c r="AL156">
        <v>0</v>
      </c>
      <c r="AM156">
        <v>0</v>
      </c>
    </row>
    <row r="157" spans="1:39" x14ac:dyDescent="0.25">
      <c r="A157" t="s">
        <v>601</v>
      </c>
      <c r="B157" t="s">
        <v>332</v>
      </c>
      <c r="C157" t="s">
        <v>255</v>
      </c>
      <c r="D157" t="s">
        <v>234</v>
      </c>
      <c r="E157" t="s">
        <v>20</v>
      </c>
      <c r="F157" t="s">
        <v>294</v>
      </c>
      <c r="G157" t="s">
        <v>269</v>
      </c>
      <c r="H157" t="s">
        <v>254</v>
      </c>
      <c r="I157" t="s">
        <v>242</v>
      </c>
      <c r="J157" t="s">
        <v>235</v>
      </c>
      <c r="K157" s="380">
        <v>36770</v>
      </c>
      <c r="L157" s="235">
        <v>3.813935484098252E-2</v>
      </c>
      <c r="M157" s="380">
        <v>36768</v>
      </c>
      <c r="N157" t="s">
        <v>21</v>
      </c>
      <c r="O157">
        <v>-0.27</v>
      </c>
      <c r="P157">
        <v>0</v>
      </c>
      <c r="Q157">
        <v>0</v>
      </c>
      <c r="R157">
        <v>0</v>
      </c>
      <c r="S157">
        <v>0</v>
      </c>
      <c r="T157" t="s">
        <v>253</v>
      </c>
      <c r="U157" t="s">
        <v>9</v>
      </c>
      <c r="V157" t="s">
        <v>253</v>
      </c>
      <c r="W157" t="s">
        <v>132</v>
      </c>
      <c r="X157" t="s">
        <v>253</v>
      </c>
      <c r="Y157" t="s">
        <v>235</v>
      </c>
      <c r="Z157" t="s">
        <v>236</v>
      </c>
      <c r="AA157" t="s">
        <v>253</v>
      </c>
      <c r="AB157" t="s">
        <v>121</v>
      </c>
      <c r="AC157" s="235">
        <v>300000</v>
      </c>
      <c r="AD157" s="235">
        <v>-1.1573564973055284E-2</v>
      </c>
      <c r="AE157">
        <v>0</v>
      </c>
      <c r="AF157">
        <v>0</v>
      </c>
      <c r="AG157">
        <v>0</v>
      </c>
      <c r="AH157" s="235">
        <v>2.3530935866489244E-3</v>
      </c>
      <c r="AI157">
        <v>226</v>
      </c>
      <c r="AJ157" t="s">
        <v>256</v>
      </c>
      <c r="AK157">
        <v>0</v>
      </c>
      <c r="AL157">
        <v>0</v>
      </c>
      <c r="AM157">
        <v>0</v>
      </c>
    </row>
    <row r="158" spans="1:39" x14ac:dyDescent="0.25">
      <c r="A158" t="s">
        <v>601</v>
      </c>
      <c r="B158" t="s">
        <v>347</v>
      </c>
      <c r="C158" t="s">
        <v>255</v>
      </c>
      <c r="D158" t="s">
        <v>234</v>
      </c>
      <c r="E158" t="s">
        <v>20</v>
      </c>
      <c r="F158" t="s">
        <v>279</v>
      </c>
      <c r="G158" t="s">
        <v>269</v>
      </c>
      <c r="H158" t="s">
        <v>254</v>
      </c>
      <c r="I158" t="s">
        <v>242</v>
      </c>
      <c r="J158" t="s">
        <v>235</v>
      </c>
      <c r="K158" s="380">
        <v>36951</v>
      </c>
      <c r="L158" s="235">
        <v>-476658.56153891701</v>
      </c>
      <c r="M158" s="380">
        <v>36949</v>
      </c>
      <c r="N158" t="s">
        <v>21</v>
      </c>
      <c r="O158">
        <v>1.1499999999999999</v>
      </c>
      <c r="P158">
        <v>0</v>
      </c>
      <c r="Q158">
        <v>0</v>
      </c>
      <c r="R158">
        <v>0</v>
      </c>
      <c r="S158">
        <v>0</v>
      </c>
      <c r="T158" t="s">
        <v>253</v>
      </c>
      <c r="U158" t="s">
        <v>7</v>
      </c>
      <c r="V158" t="s">
        <v>253</v>
      </c>
      <c r="W158" t="s">
        <v>132</v>
      </c>
      <c r="X158" t="s">
        <v>253</v>
      </c>
      <c r="Y158" t="s">
        <v>235</v>
      </c>
      <c r="Z158" t="s">
        <v>236</v>
      </c>
      <c r="AA158" t="s">
        <v>253</v>
      </c>
      <c r="AB158" t="s">
        <v>121</v>
      </c>
      <c r="AC158" s="235">
        <v>-1000000</v>
      </c>
      <c r="AD158" s="235">
        <v>-88233.886108779581</v>
      </c>
      <c r="AE158">
        <v>0</v>
      </c>
      <c r="AF158">
        <v>0</v>
      </c>
      <c r="AG158">
        <v>0</v>
      </c>
      <c r="AH158" s="235">
        <v>-34589.488200665626</v>
      </c>
      <c r="AI158">
        <v>226</v>
      </c>
      <c r="AJ158" t="s">
        <v>256</v>
      </c>
      <c r="AK158">
        <v>0</v>
      </c>
      <c r="AL158">
        <v>0</v>
      </c>
      <c r="AM158">
        <v>0</v>
      </c>
    </row>
    <row r="159" spans="1:39" x14ac:dyDescent="0.25">
      <c r="A159" t="s">
        <v>601</v>
      </c>
      <c r="B159" t="s">
        <v>347</v>
      </c>
      <c r="C159" t="s">
        <v>255</v>
      </c>
      <c r="D159" t="s">
        <v>234</v>
      </c>
      <c r="E159" t="s">
        <v>20</v>
      </c>
      <c r="F159" t="s">
        <v>279</v>
      </c>
      <c r="G159" t="s">
        <v>269</v>
      </c>
      <c r="H159" t="s">
        <v>254</v>
      </c>
      <c r="I159" t="s">
        <v>242</v>
      </c>
      <c r="J159" t="s">
        <v>235</v>
      </c>
      <c r="K159" s="380">
        <v>36923</v>
      </c>
      <c r="L159" s="235">
        <v>-1165155.3454138159</v>
      </c>
      <c r="M159" s="380">
        <v>36921</v>
      </c>
      <c r="N159" t="s">
        <v>21</v>
      </c>
      <c r="O159">
        <v>1.1499999999999999</v>
      </c>
      <c r="P159">
        <v>0</v>
      </c>
      <c r="Q159">
        <v>0</v>
      </c>
      <c r="R159">
        <v>0</v>
      </c>
      <c r="S159">
        <v>0</v>
      </c>
      <c r="T159" t="s">
        <v>253</v>
      </c>
      <c r="U159" t="s">
        <v>7</v>
      </c>
      <c r="V159" t="s">
        <v>253</v>
      </c>
      <c r="W159" t="s">
        <v>132</v>
      </c>
      <c r="X159" t="s">
        <v>253</v>
      </c>
      <c r="Y159" t="s">
        <v>235</v>
      </c>
      <c r="Z159" t="s">
        <v>236</v>
      </c>
      <c r="AA159" t="s">
        <v>253</v>
      </c>
      <c r="AB159" t="s">
        <v>121</v>
      </c>
      <c r="AC159" s="235">
        <v>-1000000</v>
      </c>
      <c r="AD159" s="235">
        <v>-75189.198292012676</v>
      </c>
      <c r="AE159">
        <v>0</v>
      </c>
      <c r="AF159">
        <v>0</v>
      </c>
      <c r="AG159">
        <v>0</v>
      </c>
      <c r="AH159" s="235">
        <v>-55488.699038056191</v>
      </c>
      <c r="AI159">
        <v>226</v>
      </c>
      <c r="AJ159" t="s">
        <v>256</v>
      </c>
      <c r="AK159">
        <v>0</v>
      </c>
      <c r="AL159">
        <v>0</v>
      </c>
      <c r="AM159">
        <v>0</v>
      </c>
    </row>
    <row r="160" spans="1:39" x14ac:dyDescent="0.25">
      <c r="A160" t="s">
        <v>601</v>
      </c>
      <c r="B160" t="s">
        <v>347</v>
      </c>
      <c r="C160" t="s">
        <v>255</v>
      </c>
      <c r="D160" t="s">
        <v>234</v>
      </c>
      <c r="E160" t="s">
        <v>20</v>
      </c>
      <c r="F160" t="s">
        <v>279</v>
      </c>
      <c r="G160" t="s">
        <v>269</v>
      </c>
      <c r="H160" t="s">
        <v>254</v>
      </c>
      <c r="I160" t="s">
        <v>242</v>
      </c>
      <c r="J160" t="s">
        <v>235</v>
      </c>
      <c r="K160" s="380">
        <v>36892</v>
      </c>
      <c r="L160" s="235">
        <v>-1205445.0279695052</v>
      </c>
      <c r="M160" s="380">
        <v>36888</v>
      </c>
      <c r="N160" t="s">
        <v>21</v>
      </c>
      <c r="O160">
        <v>1.1499999999999999</v>
      </c>
      <c r="P160">
        <v>0</v>
      </c>
      <c r="Q160">
        <v>0</v>
      </c>
      <c r="R160">
        <v>0</v>
      </c>
      <c r="S160">
        <v>0</v>
      </c>
      <c r="T160" t="s">
        <v>253</v>
      </c>
      <c r="U160" t="s">
        <v>7</v>
      </c>
      <c r="V160" t="s">
        <v>253</v>
      </c>
      <c r="W160" t="s">
        <v>132</v>
      </c>
      <c r="X160" t="s">
        <v>253</v>
      </c>
      <c r="Y160" t="s">
        <v>235</v>
      </c>
      <c r="Z160" t="s">
        <v>236</v>
      </c>
      <c r="AA160" t="s">
        <v>253</v>
      </c>
      <c r="AB160" t="s">
        <v>121</v>
      </c>
      <c r="AC160" s="235">
        <v>-1000000</v>
      </c>
      <c r="AD160" s="235">
        <v>-65194.059697993798</v>
      </c>
      <c r="AE160">
        <v>0</v>
      </c>
      <c r="AF160">
        <v>0</v>
      </c>
      <c r="AG160">
        <v>0</v>
      </c>
      <c r="AH160" s="235">
        <v>-49213.135710322298</v>
      </c>
      <c r="AI160">
        <v>226</v>
      </c>
      <c r="AJ160" t="s">
        <v>256</v>
      </c>
      <c r="AK160">
        <v>0</v>
      </c>
      <c r="AL160">
        <v>0</v>
      </c>
      <c r="AM160">
        <v>0</v>
      </c>
    </row>
    <row r="161" spans="1:39" x14ac:dyDescent="0.25">
      <c r="A161" t="s">
        <v>601</v>
      </c>
      <c r="B161" t="s">
        <v>347</v>
      </c>
      <c r="C161" t="s">
        <v>255</v>
      </c>
      <c r="D161" t="s">
        <v>234</v>
      </c>
      <c r="E161" t="s">
        <v>20</v>
      </c>
      <c r="F161" t="s">
        <v>279</v>
      </c>
      <c r="G161" t="s">
        <v>269</v>
      </c>
      <c r="H161" t="s">
        <v>254</v>
      </c>
      <c r="I161" t="s">
        <v>242</v>
      </c>
      <c r="J161" t="s">
        <v>235</v>
      </c>
      <c r="K161" s="380">
        <v>36861</v>
      </c>
      <c r="L161" s="235">
        <v>-765623.77335197385</v>
      </c>
      <c r="M161" s="380">
        <v>36859</v>
      </c>
      <c r="N161" t="s">
        <v>21</v>
      </c>
      <c r="O161">
        <v>1.1499999999999999</v>
      </c>
      <c r="P161">
        <v>0</v>
      </c>
      <c r="Q161">
        <v>0</v>
      </c>
      <c r="R161">
        <v>0</v>
      </c>
      <c r="S161">
        <v>0</v>
      </c>
      <c r="T161" t="s">
        <v>253</v>
      </c>
      <c r="U161" t="s">
        <v>7</v>
      </c>
      <c r="V161" t="s">
        <v>253</v>
      </c>
      <c r="W161" t="s">
        <v>132</v>
      </c>
      <c r="X161" t="s">
        <v>253</v>
      </c>
      <c r="Y161" t="s">
        <v>235</v>
      </c>
      <c r="Z161" t="s">
        <v>236</v>
      </c>
      <c r="AA161" t="s">
        <v>253</v>
      </c>
      <c r="AB161" t="s">
        <v>121</v>
      </c>
      <c r="AC161" s="235">
        <v>-1000000</v>
      </c>
      <c r="AD161" s="235">
        <v>-66931.729159706971</v>
      </c>
      <c r="AE161">
        <v>0</v>
      </c>
      <c r="AF161">
        <v>0</v>
      </c>
      <c r="AG161">
        <v>0</v>
      </c>
      <c r="AH161" s="235">
        <v>-33706.730995018035</v>
      </c>
      <c r="AI161">
        <v>226</v>
      </c>
      <c r="AJ161" t="s">
        <v>256</v>
      </c>
      <c r="AK161">
        <v>0</v>
      </c>
      <c r="AL161">
        <v>0</v>
      </c>
      <c r="AM161">
        <v>0</v>
      </c>
    </row>
    <row r="162" spans="1:39" x14ac:dyDescent="0.25">
      <c r="A162" t="s">
        <v>601</v>
      </c>
      <c r="B162" t="s">
        <v>347</v>
      </c>
      <c r="C162" t="s">
        <v>255</v>
      </c>
      <c r="D162" t="s">
        <v>234</v>
      </c>
      <c r="E162" t="s">
        <v>20</v>
      </c>
      <c r="F162" t="s">
        <v>279</v>
      </c>
      <c r="G162" t="s">
        <v>269</v>
      </c>
      <c r="H162" t="s">
        <v>254</v>
      </c>
      <c r="I162" t="s">
        <v>242</v>
      </c>
      <c r="J162" t="s">
        <v>235</v>
      </c>
      <c r="K162" s="380">
        <v>36831</v>
      </c>
      <c r="L162" s="235">
        <v>-127130.20145488552</v>
      </c>
      <c r="M162" s="380">
        <v>36829</v>
      </c>
      <c r="N162" t="s">
        <v>21</v>
      </c>
      <c r="O162">
        <v>1.1499999999999999</v>
      </c>
      <c r="P162">
        <v>0</v>
      </c>
      <c r="Q162">
        <v>0</v>
      </c>
      <c r="R162">
        <v>0</v>
      </c>
      <c r="S162">
        <v>0</v>
      </c>
      <c r="T162" t="s">
        <v>253</v>
      </c>
      <c r="U162" t="s">
        <v>7</v>
      </c>
      <c r="V162" t="s">
        <v>253</v>
      </c>
      <c r="W162" t="s">
        <v>132</v>
      </c>
      <c r="X162" t="s">
        <v>253</v>
      </c>
      <c r="Y162" t="s">
        <v>235</v>
      </c>
      <c r="Z162" t="s">
        <v>236</v>
      </c>
      <c r="AA162" t="s">
        <v>253</v>
      </c>
      <c r="AB162" t="s">
        <v>121</v>
      </c>
      <c r="AC162" s="235">
        <v>-1000000</v>
      </c>
      <c r="AD162" s="235">
        <v>-37738.691429572995</v>
      </c>
      <c r="AE162">
        <v>0</v>
      </c>
      <c r="AF162">
        <v>0</v>
      </c>
      <c r="AG162">
        <v>0</v>
      </c>
      <c r="AH162" s="235">
        <v>-14155.90683742422</v>
      </c>
      <c r="AI162">
        <v>226</v>
      </c>
      <c r="AJ162" t="s">
        <v>256</v>
      </c>
      <c r="AK162">
        <v>0</v>
      </c>
      <c r="AL162">
        <v>0</v>
      </c>
      <c r="AM162">
        <v>0</v>
      </c>
    </row>
    <row r="163" spans="1:39" x14ac:dyDescent="0.25">
      <c r="A163" t="s">
        <v>601</v>
      </c>
      <c r="B163" t="s">
        <v>349</v>
      </c>
      <c r="C163" t="s">
        <v>255</v>
      </c>
      <c r="D163" t="s">
        <v>234</v>
      </c>
      <c r="E163" t="s">
        <v>20</v>
      </c>
      <c r="F163" t="s">
        <v>348</v>
      </c>
      <c r="G163" t="s">
        <v>269</v>
      </c>
      <c r="H163" t="s">
        <v>254</v>
      </c>
      <c r="I163" t="s">
        <v>242</v>
      </c>
      <c r="J163" t="s">
        <v>235</v>
      </c>
      <c r="K163" s="380">
        <v>36800</v>
      </c>
      <c r="L163" s="235">
        <v>-105361.73399090998</v>
      </c>
      <c r="M163" s="380">
        <v>36797</v>
      </c>
      <c r="N163" t="s">
        <v>21</v>
      </c>
      <c r="O163">
        <v>0.32</v>
      </c>
      <c r="P163">
        <v>0</v>
      </c>
      <c r="Q163">
        <v>0</v>
      </c>
      <c r="R163">
        <v>0</v>
      </c>
      <c r="S163">
        <v>0</v>
      </c>
      <c r="T163" t="s">
        <v>253</v>
      </c>
      <c r="U163" t="s">
        <v>7</v>
      </c>
      <c r="V163" t="s">
        <v>253</v>
      </c>
      <c r="W163" t="s">
        <v>132</v>
      </c>
      <c r="X163" t="s">
        <v>253</v>
      </c>
      <c r="Y163" t="s">
        <v>235</v>
      </c>
      <c r="Z163" t="s">
        <v>236</v>
      </c>
      <c r="AA163" t="s">
        <v>253</v>
      </c>
      <c r="AB163" t="s">
        <v>121</v>
      </c>
      <c r="AC163" s="235">
        <v>-1000000</v>
      </c>
      <c r="AD163" s="235">
        <v>-4689.3762897847919</v>
      </c>
      <c r="AE163">
        <v>0</v>
      </c>
      <c r="AF163">
        <v>0</v>
      </c>
      <c r="AG163">
        <v>0</v>
      </c>
      <c r="AH163" s="235">
        <v>-270.06556986075884</v>
      </c>
      <c r="AI163">
        <v>226</v>
      </c>
      <c r="AJ163" t="s">
        <v>256</v>
      </c>
      <c r="AK163">
        <v>0</v>
      </c>
      <c r="AL163">
        <v>0</v>
      </c>
      <c r="AM163">
        <v>0</v>
      </c>
    </row>
    <row r="164" spans="1:39" x14ac:dyDescent="0.25">
      <c r="A164" t="s">
        <v>601</v>
      </c>
      <c r="B164" t="s">
        <v>349</v>
      </c>
      <c r="C164" t="s">
        <v>255</v>
      </c>
      <c r="D164" t="s">
        <v>234</v>
      </c>
      <c r="E164" t="s">
        <v>20</v>
      </c>
      <c r="F164" t="s">
        <v>348</v>
      </c>
      <c r="G164" t="s">
        <v>269</v>
      </c>
      <c r="H164" t="s">
        <v>254</v>
      </c>
      <c r="I164" t="s">
        <v>242</v>
      </c>
      <c r="J164" t="s">
        <v>235</v>
      </c>
      <c r="K164" s="380">
        <v>36770</v>
      </c>
      <c r="L164" s="235">
        <v>-5163.8549129332332</v>
      </c>
      <c r="M164" s="380">
        <v>36768</v>
      </c>
      <c r="N164" t="s">
        <v>21</v>
      </c>
      <c r="O164">
        <v>0.32</v>
      </c>
      <c r="P164">
        <v>0</v>
      </c>
      <c r="Q164">
        <v>0</v>
      </c>
      <c r="R164">
        <v>0</v>
      </c>
      <c r="S164">
        <v>0</v>
      </c>
      <c r="T164" t="s">
        <v>253</v>
      </c>
      <c r="U164" t="s">
        <v>7</v>
      </c>
      <c r="V164" t="s">
        <v>253</v>
      </c>
      <c r="W164" t="s">
        <v>132</v>
      </c>
      <c r="X164" t="s">
        <v>253</v>
      </c>
      <c r="Y164" t="s">
        <v>235</v>
      </c>
      <c r="Z164" t="s">
        <v>236</v>
      </c>
      <c r="AA164" t="s">
        <v>253</v>
      </c>
      <c r="AB164" t="s">
        <v>121</v>
      </c>
      <c r="AC164" s="235">
        <v>-1000000</v>
      </c>
      <c r="AD164" s="235">
        <v>-1214.2794780033873</v>
      </c>
      <c r="AE164">
        <v>0</v>
      </c>
      <c r="AF164">
        <v>0</v>
      </c>
      <c r="AG164">
        <v>0</v>
      </c>
      <c r="AH164" s="235">
        <v>-145.92169153487885</v>
      </c>
      <c r="AI164">
        <v>226</v>
      </c>
      <c r="AJ164" t="s">
        <v>256</v>
      </c>
      <c r="AK164">
        <v>0</v>
      </c>
      <c r="AL164">
        <v>0</v>
      </c>
      <c r="AM164">
        <v>0</v>
      </c>
    </row>
    <row r="165" spans="1:39" x14ac:dyDescent="0.25">
      <c r="A165" t="s">
        <v>601</v>
      </c>
      <c r="B165" t="s">
        <v>350</v>
      </c>
      <c r="C165" t="s">
        <v>255</v>
      </c>
      <c r="D165" t="s">
        <v>234</v>
      </c>
      <c r="E165" t="s">
        <v>20</v>
      </c>
      <c r="F165" t="s">
        <v>348</v>
      </c>
      <c r="G165" t="s">
        <v>269</v>
      </c>
      <c r="H165" t="s">
        <v>254</v>
      </c>
      <c r="I165" t="s">
        <v>242</v>
      </c>
      <c r="J165" t="s">
        <v>235</v>
      </c>
      <c r="K165" s="380">
        <v>36800</v>
      </c>
      <c r="L165" s="235">
        <v>-10908.844010485864</v>
      </c>
      <c r="M165" s="380">
        <v>36797</v>
      </c>
      <c r="N165" t="s">
        <v>1</v>
      </c>
      <c r="O165">
        <v>0.32</v>
      </c>
      <c r="P165">
        <v>0</v>
      </c>
      <c r="Q165">
        <v>0</v>
      </c>
      <c r="R165">
        <v>0</v>
      </c>
      <c r="S165">
        <v>0</v>
      </c>
      <c r="T165" t="s">
        <v>253</v>
      </c>
      <c r="U165" t="s">
        <v>7</v>
      </c>
      <c r="V165" t="s">
        <v>253</v>
      </c>
      <c r="W165" t="s">
        <v>132</v>
      </c>
      <c r="X165" t="s">
        <v>253</v>
      </c>
      <c r="Y165" t="s">
        <v>235</v>
      </c>
      <c r="Z165" t="s">
        <v>236</v>
      </c>
      <c r="AA165" t="s">
        <v>253</v>
      </c>
      <c r="AB165" t="s">
        <v>121</v>
      </c>
      <c r="AC165" s="235">
        <v>-1000000</v>
      </c>
      <c r="AD165" s="235">
        <v>-4689.376289784821</v>
      </c>
      <c r="AE165">
        <v>0</v>
      </c>
      <c r="AF165">
        <v>0</v>
      </c>
      <c r="AG165">
        <v>0</v>
      </c>
      <c r="AH165" s="235">
        <v>-270.06556986108808</v>
      </c>
      <c r="AI165">
        <v>226</v>
      </c>
      <c r="AJ165" t="s">
        <v>256</v>
      </c>
      <c r="AK165">
        <v>0</v>
      </c>
      <c r="AL165">
        <v>0</v>
      </c>
      <c r="AM165">
        <v>0</v>
      </c>
    </row>
    <row r="166" spans="1:39" x14ac:dyDescent="0.25">
      <c r="A166" t="s">
        <v>601</v>
      </c>
      <c r="B166" t="s">
        <v>350</v>
      </c>
      <c r="C166" t="s">
        <v>255</v>
      </c>
      <c r="D166" t="s">
        <v>234</v>
      </c>
      <c r="E166" t="s">
        <v>20</v>
      </c>
      <c r="F166" t="s">
        <v>348</v>
      </c>
      <c r="G166" t="s">
        <v>269</v>
      </c>
      <c r="H166" t="s">
        <v>254</v>
      </c>
      <c r="I166" t="s">
        <v>242</v>
      </c>
      <c r="J166" t="s">
        <v>235</v>
      </c>
      <c r="K166" s="380">
        <v>36770</v>
      </c>
      <c r="L166" s="235">
        <v>-10162.014972396937</v>
      </c>
      <c r="M166" s="380">
        <v>36768</v>
      </c>
      <c r="N166" t="s">
        <v>1</v>
      </c>
      <c r="O166">
        <v>0.32</v>
      </c>
      <c r="P166">
        <v>0</v>
      </c>
      <c r="Q166">
        <v>0</v>
      </c>
      <c r="R166">
        <v>0</v>
      </c>
      <c r="S166">
        <v>0</v>
      </c>
      <c r="T166" t="s">
        <v>253</v>
      </c>
      <c r="U166" t="s">
        <v>7</v>
      </c>
      <c r="V166" t="s">
        <v>253</v>
      </c>
      <c r="W166" t="s">
        <v>132</v>
      </c>
      <c r="X166" t="s">
        <v>253</v>
      </c>
      <c r="Y166" t="s">
        <v>235</v>
      </c>
      <c r="Z166" t="s">
        <v>236</v>
      </c>
      <c r="AA166" t="s">
        <v>253</v>
      </c>
      <c r="AB166" t="s">
        <v>121</v>
      </c>
      <c r="AC166" s="235">
        <v>-1000000</v>
      </c>
      <c r="AD166" s="235">
        <v>-1214.2794780032709</v>
      </c>
      <c r="AE166">
        <v>0</v>
      </c>
      <c r="AF166">
        <v>0</v>
      </c>
      <c r="AG166">
        <v>0</v>
      </c>
      <c r="AH166" s="235">
        <v>-145.92169153537907</v>
      </c>
      <c r="AI166">
        <v>226</v>
      </c>
      <c r="AJ166" t="s">
        <v>256</v>
      </c>
      <c r="AK166">
        <v>0</v>
      </c>
      <c r="AL166">
        <v>0</v>
      </c>
      <c r="AM166">
        <v>0</v>
      </c>
    </row>
    <row r="167" spans="1:39" x14ac:dyDescent="0.25">
      <c r="A167" t="s">
        <v>601</v>
      </c>
      <c r="B167" t="s">
        <v>352</v>
      </c>
      <c r="C167" t="s">
        <v>255</v>
      </c>
      <c r="D167" t="s">
        <v>234</v>
      </c>
      <c r="E167" t="s">
        <v>20</v>
      </c>
      <c r="F167" t="s">
        <v>351</v>
      </c>
      <c r="G167" t="s">
        <v>269</v>
      </c>
      <c r="H167" t="s">
        <v>254</v>
      </c>
      <c r="I167" t="s">
        <v>242</v>
      </c>
      <c r="J167" t="s">
        <v>235</v>
      </c>
      <c r="K167" s="380">
        <v>36800</v>
      </c>
      <c r="L167" s="235">
        <v>218512.97892611413</v>
      </c>
      <c r="M167" s="380">
        <v>36797</v>
      </c>
      <c r="N167" t="s">
        <v>1</v>
      </c>
      <c r="O167">
        <v>-0.4</v>
      </c>
      <c r="P167">
        <v>0</v>
      </c>
      <c r="Q167">
        <v>0</v>
      </c>
      <c r="R167">
        <v>0</v>
      </c>
      <c r="S167">
        <v>0</v>
      </c>
      <c r="T167" t="s">
        <v>253</v>
      </c>
      <c r="U167" t="s">
        <v>9</v>
      </c>
      <c r="V167" t="s">
        <v>253</v>
      </c>
      <c r="W167" t="s">
        <v>132</v>
      </c>
      <c r="X167" t="s">
        <v>253</v>
      </c>
      <c r="Y167" t="s">
        <v>235</v>
      </c>
      <c r="Z167" t="s">
        <v>236</v>
      </c>
      <c r="AA167" t="s">
        <v>253</v>
      </c>
      <c r="AB167" t="s">
        <v>121</v>
      </c>
      <c r="AC167" s="235">
        <v>500000</v>
      </c>
      <c r="AD167" s="235">
        <v>11150.957552009262</v>
      </c>
      <c r="AE167">
        <v>0</v>
      </c>
      <c r="AF167">
        <v>0</v>
      </c>
      <c r="AG167">
        <v>0</v>
      </c>
      <c r="AH167" s="235">
        <v>26590.790302763548</v>
      </c>
      <c r="AI167">
        <v>226</v>
      </c>
      <c r="AJ167" t="s">
        <v>256</v>
      </c>
      <c r="AK167">
        <v>0</v>
      </c>
      <c r="AL167">
        <v>0</v>
      </c>
      <c r="AM167">
        <v>0</v>
      </c>
    </row>
    <row r="168" spans="1:39" x14ac:dyDescent="0.25">
      <c r="A168" t="s">
        <v>601</v>
      </c>
      <c r="B168" t="s">
        <v>352</v>
      </c>
      <c r="C168" t="s">
        <v>255</v>
      </c>
      <c r="D168" t="s">
        <v>234</v>
      </c>
      <c r="E168" t="s">
        <v>20</v>
      </c>
      <c r="F168" t="s">
        <v>351</v>
      </c>
      <c r="G168" t="s">
        <v>269</v>
      </c>
      <c r="H168" t="s">
        <v>254</v>
      </c>
      <c r="I168" t="s">
        <v>242</v>
      </c>
      <c r="J168" t="s">
        <v>235</v>
      </c>
      <c r="K168" s="380">
        <v>36770</v>
      </c>
      <c r="L168" s="235">
        <v>419845.50004069717</v>
      </c>
      <c r="M168" s="380">
        <v>36768</v>
      </c>
      <c r="N168" t="s">
        <v>1</v>
      </c>
      <c r="O168">
        <v>-0.4</v>
      </c>
      <c r="P168">
        <v>0</v>
      </c>
      <c r="Q168">
        <v>0</v>
      </c>
      <c r="R168">
        <v>0</v>
      </c>
      <c r="S168">
        <v>0</v>
      </c>
      <c r="T168" t="s">
        <v>253</v>
      </c>
      <c r="U168" t="s">
        <v>9</v>
      </c>
      <c r="V168" t="s">
        <v>253</v>
      </c>
      <c r="W168" t="s">
        <v>132</v>
      </c>
      <c r="X168" t="s">
        <v>253</v>
      </c>
      <c r="Y168" t="s">
        <v>235</v>
      </c>
      <c r="Z168" t="s">
        <v>236</v>
      </c>
      <c r="AA168" t="s">
        <v>253</v>
      </c>
      <c r="AB168" t="s">
        <v>121</v>
      </c>
      <c r="AC168" s="235">
        <v>500000</v>
      </c>
      <c r="AD168" s="235">
        <v>-1.9289274117909372E-2</v>
      </c>
      <c r="AE168">
        <v>0</v>
      </c>
      <c r="AF168">
        <v>0</v>
      </c>
      <c r="AG168">
        <v>0</v>
      </c>
      <c r="AH168" s="235">
        <v>29972.432758822571</v>
      </c>
      <c r="AI168">
        <v>226</v>
      </c>
      <c r="AJ168" t="s">
        <v>256</v>
      </c>
      <c r="AK168">
        <v>0</v>
      </c>
      <c r="AL168">
        <v>0</v>
      </c>
      <c r="AM168">
        <v>0</v>
      </c>
    </row>
    <row r="169" spans="1:39" x14ac:dyDescent="0.25">
      <c r="A169" t="s">
        <v>601</v>
      </c>
      <c r="B169" t="s">
        <v>358</v>
      </c>
      <c r="C169" t="s">
        <v>255</v>
      </c>
      <c r="D169" t="s">
        <v>234</v>
      </c>
      <c r="E169" t="s">
        <v>20</v>
      </c>
      <c r="F169" t="s">
        <v>348</v>
      </c>
      <c r="G169" t="s">
        <v>269</v>
      </c>
      <c r="H169" t="s">
        <v>254</v>
      </c>
      <c r="I169" t="s">
        <v>242</v>
      </c>
      <c r="J169" t="s">
        <v>235</v>
      </c>
      <c r="K169" s="380">
        <v>36800</v>
      </c>
      <c r="L169" s="235">
        <v>-939571.33195759938</v>
      </c>
      <c r="M169" s="380">
        <v>36797</v>
      </c>
      <c r="N169" t="s">
        <v>21</v>
      </c>
      <c r="O169">
        <v>0.1</v>
      </c>
      <c r="P169">
        <v>0</v>
      </c>
      <c r="Q169">
        <v>0</v>
      </c>
      <c r="R169">
        <v>0</v>
      </c>
      <c r="S169">
        <v>0</v>
      </c>
      <c r="T169" t="s">
        <v>253</v>
      </c>
      <c r="U169" t="s">
        <v>190</v>
      </c>
      <c r="V169" t="s">
        <v>253</v>
      </c>
      <c r="W169" t="s">
        <v>132</v>
      </c>
      <c r="X169" t="s">
        <v>253</v>
      </c>
      <c r="Y169" t="s">
        <v>235</v>
      </c>
      <c r="Z169" t="s">
        <v>236</v>
      </c>
      <c r="AA169" t="s">
        <v>253</v>
      </c>
      <c r="AB169" t="s">
        <v>121</v>
      </c>
      <c r="AC169" s="235">
        <v>-500000</v>
      </c>
      <c r="AD169" s="235">
        <v>-36.8795845604036</v>
      </c>
      <c r="AE169">
        <v>0</v>
      </c>
      <c r="AF169">
        <v>0</v>
      </c>
      <c r="AG169">
        <v>0</v>
      </c>
      <c r="AH169" s="235">
        <v>19867.962812026613</v>
      </c>
      <c r="AI169">
        <v>226</v>
      </c>
      <c r="AJ169" t="s">
        <v>256</v>
      </c>
      <c r="AK169">
        <v>0</v>
      </c>
      <c r="AL169">
        <v>0</v>
      </c>
      <c r="AM169">
        <v>0</v>
      </c>
    </row>
    <row r="170" spans="1:39" x14ac:dyDescent="0.25">
      <c r="A170" t="s">
        <v>601</v>
      </c>
      <c r="B170" t="s">
        <v>358</v>
      </c>
      <c r="C170" t="s">
        <v>255</v>
      </c>
      <c r="D170" t="s">
        <v>234</v>
      </c>
      <c r="E170" t="s">
        <v>20</v>
      </c>
      <c r="F170" t="s">
        <v>348</v>
      </c>
      <c r="G170" t="s">
        <v>269</v>
      </c>
      <c r="H170" t="s">
        <v>254</v>
      </c>
      <c r="I170" t="s">
        <v>242</v>
      </c>
      <c r="J170" t="s">
        <v>235</v>
      </c>
      <c r="K170" s="380">
        <v>36770</v>
      </c>
      <c r="L170" s="235">
        <v>-1199558.5715753427</v>
      </c>
      <c r="M170" s="380">
        <v>36768</v>
      </c>
      <c r="N170" t="s">
        <v>21</v>
      </c>
      <c r="O170">
        <v>0.1</v>
      </c>
      <c r="P170">
        <v>0</v>
      </c>
      <c r="Q170">
        <v>0</v>
      </c>
      <c r="R170">
        <v>0</v>
      </c>
      <c r="S170">
        <v>0</v>
      </c>
      <c r="T170" t="s">
        <v>253</v>
      </c>
      <c r="U170" t="s">
        <v>190</v>
      </c>
      <c r="V170" t="s">
        <v>253</v>
      </c>
      <c r="W170" t="s">
        <v>132</v>
      </c>
      <c r="X170" t="s">
        <v>253</v>
      </c>
      <c r="Y170" t="s">
        <v>235</v>
      </c>
      <c r="Z170" t="s">
        <v>236</v>
      </c>
      <c r="AA170" t="s">
        <v>253</v>
      </c>
      <c r="AB170" t="s">
        <v>121</v>
      </c>
      <c r="AC170" s="235">
        <v>-500000</v>
      </c>
      <c r="AD170" s="235">
        <v>1.9951428868807852E-2</v>
      </c>
      <c r="AE170">
        <v>0</v>
      </c>
      <c r="AF170">
        <v>0</v>
      </c>
      <c r="AG170">
        <v>0</v>
      </c>
      <c r="AH170" s="235">
        <v>-132378.24523491482</v>
      </c>
      <c r="AI170">
        <v>226</v>
      </c>
      <c r="AJ170" t="s">
        <v>256</v>
      </c>
      <c r="AK170">
        <v>0</v>
      </c>
      <c r="AL170">
        <v>0</v>
      </c>
      <c r="AM170">
        <v>0</v>
      </c>
    </row>
    <row r="171" spans="1:39" x14ac:dyDescent="0.25">
      <c r="A171" t="s">
        <v>601</v>
      </c>
      <c r="B171" t="s">
        <v>359</v>
      </c>
      <c r="C171" t="s">
        <v>255</v>
      </c>
      <c r="D171" t="s">
        <v>234</v>
      </c>
      <c r="E171" t="s">
        <v>20</v>
      </c>
      <c r="F171" t="s">
        <v>320</v>
      </c>
      <c r="G171" t="s">
        <v>269</v>
      </c>
      <c r="H171" t="s">
        <v>254</v>
      </c>
      <c r="I171" t="s">
        <v>242</v>
      </c>
      <c r="J171" t="s">
        <v>235</v>
      </c>
      <c r="K171" s="380">
        <v>36951</v>
      </c>
      <c r="L171" s="235">
        <v>147764.15407706428</v>
      </c>
      <c r="M171" s="380">
        <v>36949</v>
      </c>
      <c r="N171" t="s">
        <v>21</v>
      </c>
      <c r="O171">
        <v>1.1499999999999999</v>
      </c>
      <c r="P171">
        <v>0</v>
      </c>
      <c r="Q171">
        <v>0</v>
      </c>
      <c r="R171">
        <v>0</v>
      </c>
      <c r="S171">
        <v>0</v>
      </c>
      <c r="T171" t="s">
        <v>253</v>
      </c>
      <c r="U171" t="s">
        <v>7</v>
      </c>
      <c r="V171" t="s">
        <v>253</v>
      </c>
      <c r="W171" t="s">
        <v>132</v>
      </c>
      <c r="X171" t="s">
        <v>253</v>
      </c>
      <c r="Y171" t="s">
        <v>235</v>
      </c>
      <c r="Z171" t="s">
        <v>236</v>
      </c>
      <c r="AA171" t="s">
        <v>253</v>
      </c>
      <c r="AB171" t="s">
        <v>121</v>
      </c>
      <c r="AC171" s="235">
        <v>310000</v>
      </c>
      <c r="AD171" s="235">
        <v>27352.504693721654</v>
      </c>
      <c r="AE171">
        <v>0</v>
      </c>
      <c r="AF171">
        <v>0</v>
      </c>
      <c r="AG171">
        <v>0</v>
      </c>
      <c r="AH171" s="235">
        <v>10722.74134220634</v>
      </c>
      <c r="AI171">
        <v>226</v>
      </c>
      <c r="AJ171" t="s">
        <v>256</v>
      </c>
      <c r="AK171">
        <v>0</v>
      </c>
      <c r="AL171">
        <v>0</v>
      </c>
      <c r="AM171">
        <v>0</v>
      </c>
    </row>
    <row r="172" spans="1:39" x14ac:dyDescent="0.25">
      <c r="A172" t="s">
        <v>601</v>
      </c>
      <c r="B172" t="s">
        <v>359</v>
      </c>
      <c r="C172" t="s">
        <v>255</v>
      </c>
      <c r="D172" t="s">
        <v>234</v>
      </c>
      <c r="E172" t="s">
        <v>20</v>
      </c>
      <c r="F172" t="s">
        <v>320</v>
      </c>
      <c r="G172" t="s">
        <v>269</v>
      </c>
      <c r="H172" t="s">
        <v>254</v>
      </c>
      <c r="I172" t="s">
        <v>242</v>
      </c>
      <c r="J172" t="s">
        <v>235</v>
      </c>
      <c r="K172" s="380">
        <v>36923</v>
      </c>
      <c r="L172" s="235">
        <v>326243.49671586847</v>
      </c>
      <c r="M172" s="380">
        <v>36921</v>
      </c>
      <c r="N172" t="s">
        <v>21</v>
      </c>
      <c r="O172">
        <v>1.1499999999999999</v>
      </c>
      <c r="P172">
        <v>0</v>
      </c>
      <c r="Q172">
        <v>0</v>
      </c>
      <c r="R172">
        <v>0</v>
      </c>
      <c r="S172">
        <v>0</v>
      </c>
      <c r="T172" t="s">
        <v>253</v>
      </c>
      <c r="U172" t="s">
        <v>7</v>
      </c>
      <c r="V172" t="s">
        <v>253</v>
      </c>
      <c r="W172" t="s">
        <v>132</v>
      </c>
      <c r="X172" t="s">
        <v>253</v>
      </c>
      <c r="Y172" t="s">
        <v>235</v>
      </c>
      <c r="Z172" t="s">
        <v>236</v>
      </c>
      <c r="AA172" t="s">
        <v>253</v>
      </c>
      <c r="AB172" t="s">
        <v>121</v>
      </c>
      <c r="AC172" s="235">
        <v>280000</v>
      </c>
      <c r="AD172" s="235">
        <v>21052.975521763583</v>
      </c>
      <c r="AE172">
        <v>0</v>
      </c>
      <c r="AF172">
        <v>0</v>
      </c>
      <c r="AG172">
        <v>0</v>
      </c>
      <c r="AH172" s="235">
        <v>15536.835730655701</v>
      </c>
      <c r="AI172">
        <v>226</v>
      </c>
      <c r="AJ172" t="s">
        <v>256</v>
      </c>
      <c r="AK172">
        <v>0</v>
      </c>
      <c r="AL172">
        <v>0</v>
      </c>
      <c r="AM172">
        <v>0</v>
      </c>
    </row>
    <row r="173" spans="1:39" x14ac:dyDescent="0.25">
      <c r="A173" t="s">
        <v>601</v>
      </c>
      <c r="B173" t="s">
        <v>359</v>
      </c>
      <c r="C173" t="s">
        <v>255</v>
      </c>
      <c r="D173" t="s">
        <v>234</v>
      </c>
      <c r="E173" t="s">
        <v>20</v>
      </c>
      <c r="F173" t="s">
        <v>320</v>
      </c>
      <c r="G173" t="s">
        <v>269</v>
      </c>
      <c r="H173" t="s">
        <v>254</v>
      </c>
      <c r="I173" t="s">
        <v>242</v>
      </c>
      <c r="J173" t="s">
        <v>235</v>
      </c>
      <c r="K173" s="380">
        <v>36892</v>
      </c>
      <c r="L173" s="235">
        <v>373687.95867054665</v>
      </c>
      <c r="M173" s="380">
        <v>36888</v>
      </c>
      <c r="N173" t="s">
        <v>21</v>
      </c>
      <c r="O173">
        <v>1.1499999999999999</v>
      </c>
      <c r="P173">
        <v>0</v>
      </c>
      <c r="Q173">
        <v>0</v>
      </c>
      <c r="R173">
        <v>0</v>
      </c>
      <c r="S173">
        <v>0</v>
      </c>
      <c r="T173" t="s">
        <v>253</v>
      </c>
      <c r="U173" t="s">
        <v>7</v>
      </c>
      <c r="V173" t="s">
        <v>253</v>
      </c>
      <c r="W173" t="s">
        <v>132</v>
      </c>
      <c r="X173" t="s">
        <v>253</v>
      </c>
      <c r="Y173" t="s">
        <v>235</v>
      </c>
      <c r="Z173" t="s">
        <v>236</v>
      </c>
      <c r="AA173" t="s">
        <v>253</v>
      </c>
      <c r="AB173" t="s">
        <v>121</v>
      </c>
      <c r="AC173" s="235">
        <v>310000</v>
      </c>
      <c r="AD173" s="235">
        <v>20210.158506378066</v>
      </c>
      <c r="AE173">
        <v>0</v>
      </c>
      <c r="AF173">
        <v>0</v>
      </c>
      <c r="AG173">
        <v>0</v>
      </c>
      <c r="AH173" s="235">
        <v>15256.072070199938</v>
      </c>
      <c r="AI173">
        <v>226</v>
      </c>
      <c r="AJ173" t="s">
        <v>256</v>
      </c>
      <c r="AK173">
        <v>0</v>
      </c>
      <c r="AL173">
        <v>0</v>
      </c>
      <c r="AM173">
        <v>0</v>
      </c>
    </row>
    <row r="174" spans="1:39" x14ac:dyDescent="0.25">
      <c r="A174" t="s">
        <v>601</v>
      </c>
      <c r="B174" t="s">
        <v>359</v>
      </c>
      <c r="C174" t="s">
        <v>255</v>
      </c>
      <c r="D174" t="s">
        <v>234</v>
      </c>
      <c r="E174" t="s">
        <v>20</v>
      </c>
      <c r="F174" t="s">
        <v>320</v>
      </c>
      <c r="G174" t="s">
        <v>269</v>
      </c>
      <c r="H174" t="s">
        <v>254</v>
      </c>
      <c r="I174" t="s">
        <v>242</v>
      </c>
      <c r="J174" t="s">
        <v>235</v>
      </c>
      <c r="K174" s="380">
        <v>36861</v>
      </c>
      <c r="L174" s="235">
        <v>237343.36973911189</v>
      </c>
      <c r="M174" s="380">
        <v>36859</v>
      </c>
      <c r="N174" t="s">
        <v>21</v>
      </c>
      <c r="O174">
        <v>1.1499999999999999</v>
      </c>
      <c r="P174">
        <v>0</v>
      </c>
      <c r="Q174">
        <v>0</v>
      </c>
      <c r="R174">
        <v>0</v>
      </c>
      <c r="S174">
        <v>0</v>
      </c>
      <c r="T174" t="s">
        <v>253</v>
      </c>
      <c r="U174" t="s">
        <v>7</v>
      </c>
      <c r="V174" t="s">
        <v>253</v>
      </c>
      <c r="W174" t="s">
        <v>132</v>
      </c>
      <c r="X174" t="s">
        <v>253</v>
      </c>
      <c r="Y174" t="s">
        <v>235</v>
      </c>
      <c r="Z174" t="s">
        <v>236</v>
      </c>
      <c r="AA174" t="s">
        <v>253</v>
      </c>
      <c r="AB174" t="s">
        <v>121</v>
      </c>
      <c r="AC174" s="235">
        <v>310000</v>
      </c>
      <c r="AD174" s="235">
        <v>20748.836039509188</v>
      </c>
      <c r="AE174">
        <v>0</v>
      </c>
      <c r="AF174">
        <v>0</v>
      </c>
      <c r="AG174">
        <v>0</v>
      </c>
      <c r="AH174" s="235">
        <v>10449.086608455575</v>
      </c>
      <c r="AI174">
        <v>226</v>
      </c>
      <c r="AJ174" t="s">
        <v>256</v>
      </c>
      <c r="AK174">
        <v>0</v>
      </c>
      <c r="AL174">
        <v>0</v>
      </c>
      <c r="AM174">
        <v>0</v>
      </c>
    </row>
    <row r="175" spans="1:39" x14ac:dyDescent="0.25">
      <c r="A175" t="s">
        <v>601</v>
      </c>
      <c r="B175" t="s">
        <v>359</v>
      </c>
      <c r="C175" t="s">
        <v>255</v>
      </c>
      <c r="D175" t="s">
        <v>234</v>
      </c>
      <c r="E175" t="s">
        <v>20</v>
      </c>
      <c r="F175" t="s">
        <v>320</v>
      </c>
      <c r="G175" t="s">
        <v>269</v>
      </c>
      <c r="H175" t="s">
        <v>254</v>
      </c>
      <c r="I175" t="s">
        <v>242</v>
      </c>
      <c r="J175" t="s">
        <v>235</v>
      </c>
      <c r="K175" s="380">
        <v>36831</v>
      </c>
      <c r="L175" s="235">
        <v>38139.060436465654</v>
      </c>
      <c r="M175" s="380">
        <v>36829</v>
      </c>
      <c r="N175" t="s">
        <v>21</v>
      </c>
      <c r="O175">
        <v>1.1499999999999999</v>
      </c>
      <c r="P175">
        <v>0</v>
      </c>
      <c r="Q175">
        <v>0</v>
      </c>
      <c r="R175">
        <v>0</v>
      </c>
      <c r="S175">
        <v>0</v>
      </c>
      <c r="T175" t="s">
        <v>253</v>
      </c>
      <c r="U175" t="s">
        <v>7</v>
      </c>
      <c r="V175" t="s">
        <v>253</v>
      </c>
      <c r="W175" t="s">
        <v>132</v>
      </c>
      <c r="X175" t="s">
        <v>253</v>
      </c>
      <c r="Y175" t="s">
        <v>235</v>
      </c>
      <c r="Z175" t="s">
        <v>236</v>
      </c>
      <c r="AA175" t="s">
        <v>253</v>
      </c>
      <c r="AB175" t="s">
        <v>121</v>
      </c>
      <c r="AC175" s="235">
        <v>300000</v>
      </c>
      <c r="AD175" s="235">
        <v>11321.607428871896</v>
      </c>
      <c r="AE175">
        <v>0</v>
      </c>
      <c r="AF175">
        <v>0</v>
      </c>
      <c r="AG175">
        <v>0</v>
      </c>
      <c r="AH175" s="235">
        <v>4246.7720512272645</v>
      </c>
      <c r="AI175">
        <v>226</v>
      </c>
      <c r="AJ175" t="s">
        <v>256</v>
      </c>
      <c r="AK175">
        <v>0</v>
      </c>
      <c r="AL175">
        <v>0</v>
      </c>
      <c r="AM175">
        <v>0</v>
      </c>
    </row>
    <row r="176" spans="1:39" x14ac:dyDescent="0.25">
      <c r="A176" t="s">
        <v>601</v>
      </c>
      <c r="B176" t="s">
        <v>362</v>
      </c>
      <c r="C176" t="s">
        <v>255</v>
      </c>
      <c r="D176" t="s">
        <v>234</v>
      </c>
      <c r="E176" t="s">
        <v>20</v>
      </c>
      <c r="F176" t="s">
        <v>276</v>
      </c>
      <c r="G176" t="s">
        <v>269</v>
      </c>
      <c r="H176" t="s">
        <v>254</v>
      </c>
      <c r="I176" t="s">
        <v>242</v>
      </c>
      <c r="J176" t="s">
        <v>235</v>
      </c>
      <c r="K176" s="380">
        <v>36800</v>
      </c>
      <c r="L176" s="235">
        <v>28500.289536097403</v>
      </c>
      <c r="M176" s="380">
        <v>36797</v>
      </c>
      <c r="N176" t="s">
        <v>21</v>
      </c>
      <c r="O176">
        <v>0.33750000000000002</v>
      </c>
      <c r="P176">
        <v>0</v>
      </c>
      <c r="Q176">
        <v>0</v>
      </c>
      <c r="R176">
        <v>0</v>
      </c>
      <c r="S176">
        <v>0</v>
      </c>
      <c r="T176" t="s">
        <v>253</v>
      </c>
      <c r="U176" t="s">
        <v>7</v>
      </c>
      <c r="V176" t="s">
        <v>253</v>
      </c>
      <c r="W176" t="s">
        <v>132</v>
      </c>
      <c r="X176" t="s">
        <v>253</v>
      </c>
      <c r="Y176" t="s">
        <v>235</v>
      </c>
      <c r="Z176" t="s">
        <v>236</v>
      </c>
      <c r="AA176" t="s">
        <v>253</v>
      </c>
      <c r="AB176" t="s">
        <v>121</v>
      </c>
      <c r="AC176" s="235">
        <v>310000</v>
      </c>
      <c r="AD176" s="235">
        <v>1645.6344242194609</v>
      </c>
      <c r="AE176">
        <v>0</v>
      </c>
      <c r="AF176">
        <v>0</v>
      </c>
      <c r="AG176">
        <v>0</v>
      </c>
      <c r="AH176" s="235">
        <v>94.415084104170091</v>
      </c>
      <c r="AI176">
        <v>226</v>
      </c>
      <c r="AJ176" t="s">
        <v>256</v>
      </c>
      <c r="AK176">
        <v>0</v>
      </c>
      <c r="AL176">
        <v>0</v>
      </c>
      <c r="AM176">
        <v>0</v>
      </c>
    </row>
    <row r="177" spans="1:39" x14ac:dyDescent="0.25">
      <c r="A177" t="s">
        <v>601</v>
      </c>
      <c r="B177" t="s">
        <v>362</v>
      </c>
      <c r="C177" t="s">
        <v>255</v>
      </c>
      <c r="D177" t="s">
        <v>234</v>
      </c>
      <c r="E177" t="s">
        <v>20</v>
      </c>
      <c r="F177" t="s">
        <v>276</v>
      </c>
      <c r="G177" t="s">
        <v>269</v>
      </c>
      <c r="H177" t="s">
        <v>254</v>
      </c>
      <c r="I177" t="s">
        <v>242</v>
      </c>
      <c r="J177" t="s">
        <v>235</v>
      </c>
      <c r="K177" s="380">
        <v>36770</v>
      </c>
      <c r="L177" s="235">
        <v>313.22143280015894</v>
      </c>
      <c r="M177" s="380">
        <v>36768</v>
      </c>
      <c r="N177" t="s">
        <v>21</v>
      </c>
      <c r="O177">
        <v>0.33750000000000002</v>
      </c>
      <c r="P177">
        <v>0</v>
      </c>
      <c r="Q177">
        <v>0</v>
      </c>
      <c r="R177">
        <v>0</v>
      </c>
      <c r="S177">
        <v>0</v>
      </c>
      <c r="T177" t="s">
        <v>253</v>
      </c>
      <c r="U177" t="s">
        <v>7</v>
      </c>
      <c r="V177" t="s">
        <v>253</v>
      </c>
      <c r="W177" t="s">
        <v>132</v>
      </c>
      <c r="X177" t="s">
        <v>253</v>
      </c>
      <c r="Y177" t="s">
        <v>235</v>
      </c>
      <c r="Z177" t="s">
        <v>236</v>
      </c>
      <c r="AA177" t="s">
        <v>253</v>
      </c>
      <c r="AB177" t="s">
        <v>121</v>
      </c>
      <c r="AC177" s="235">
        <v>300000</v>
      </c>
      <c r="AD177" s="235">
        <v>181.31142947675835</v>
      </c>
      <c r="AE177">
        <v>0</v>
      </c>
      <c r="AF177">
        <v>0</v>
      </c>
      <c r="AG177">
        <v>0</v>
      </c>
      <c r="AH177" s="235">
        <v>36.779686162596363</v>
      </c>
      <c r="AI177">
        <v>226</v>
      </c>
      <c r="AJ177" t="s">
        <v>256</v>
      </c>
      <c r="AK177">
        <v>0</v>
      </c>
      <c r="AL177">
        <v>0</v>
      </c>
      <c r="AM177">
        <v>0</v>
      </c>
    </row>
    <row r="178" spans="1:39" x14ac:dyDescent="0.25">
      <c r="A178" t="s">
        <v>601</v>
      </c>
      <c r="B178" t="s">
        <v>365</v>
      </c>
      <c r="C178" t="s">
        <v>255</v>
      </c>
      <c r="D178" t="s">
        <v>234</v>
      </c>
      <c r="E178" t="s">
        <v>20</v>
      </c>
      <c r="F178" t="s">
        <v>348</v>
      </c>
      <c r="G178" t="s">
        <v>269</v>
      </c>
      <c r="H178" t="s">
        <v>254</v>
      </c>
      <c r="I178" t="s">
        <v>242</v>
      </c>
      <c r="J178" t="s">
        <v>235</v>
      </c>
      <c r="K178" s="380">
        <v>36800</v>
      </c>
      <c r="L178" s="235">
        <v>-939571.33195759938</v>
      </c>
      <c r="M178" s="380">
        <v>36797</v>
      </c>
      <c r="N178" t="s">
        <v>21</v>
      </c>
      <c r="O178">
        <v>0.1</v>
      </c>
      <c r="P178">
        <v>0</v>
      </c>
      <c r="Q178">
        <v>0</v>
      </c>
      <c r="R178">
        <v>0</v>
      </c>
      <c r="S178">
        <v>0</v>
      </c>
      <c r="T178" t="s">
        <v>253</v>
      </c>
      <c r="U178" t="s">
        <v>190</v>
      </c>
      <c r="V178" t="s">
        <v>253</v>
      </c>
      <c r="W178" t="s">
        <v>132</v>
      </c>
      <c r="X178" t="s">
        <v>253</v>
      </c>
      <c r="Y178" t="s">
        <v>235</v>
      </c>
      <c r="Z178" t="s">
        <v>236</v>
      </c>
      <c r="AA178" t="s">
        <v>253</v>
      </c>
      <c r="AB178" t="s">
        <v>121</v>
      </c>
      <c r="AC178" s="235">
        <v>-500000</v>
      </c>
      <c r="AD178" s="235">
        <v>-36.8795845604036</v>
      </c>
      <c r="AE178">
        <v>0</v>
      </c>
      <c r="AF178">
        <v>0</v>
      </c>
      <c r="AG178">
        <v>0</v>
      </c>
      <c r="AH178" s="235">
        <v>19867.962812026613</v>
      </c>
      <c r="AI178">
        <v>226</v>
      </c>
      <c r="AJ178" t="s">
        <v>256</v>
      </c>
      <c r="AK178">
        <v>0</v>
      </c>
      <c r="AL178">
        <v>0</v>
      </c>
      <c r="AM178">
        <v>0</v>
      </c>
    </row>
    <row r="179" spans="1:39" x14ac:dyDescent="0.25">
      <c r="A179" t="s">
        <v>601</v>
      </c>
      <c r="B179" t="s">
        <v>365</v>
      </c>
      <c r="C179" t="s">
        <v>255</v>
      </c>
      <c r="D179" t="s">
        <v>234</v>
      </c>
      <c r="E179" t="s">
        <v>20</v>
      </c>
      <c r="F179" t="s">
        <v>348</v>
      </c>
      <c r="G179" t="s">
        <v>269</v>
      </c>
      <c r="H179" t="s">
        <v>254</v>
      </c>
      <c r="I179" t="s">
        <v>242</v>
      </c>
      <c r="J179" t="s">
        <v>235</v>
      </c>
      <c r="K179" s="380">
        <v>36770</v>
      </c>
      <c r="L179" s="235">
        <v>-1199558.5715753427</v>
      </c>
      <c r="M179" s="380">
        <v>36768</v>
      </c>
      <c r="N179" t="s">
        <v>21</v>
      </c>
      <c r="O179">
        <v>0.1</v>
      </c>
      <c r="P179">
        <v>0</v>
      </c>
      <c r="Q179">
        <v>0</v>
      </c>
      <c r="R179">
        <v>0</v>
      </c>
      <c r="S179">
        <v>0</v>
      </c>
      <c r="T179" t="s">
        <v>253</v>
      </c>
      <c r="U179" t="s">
        <v>190</v>
      </c>
      <c r="V179" t="s">
        <v>253</v>
      </c>
      <c r="W179" t="s">
        <v>132</v>
      </c>
      <c r="X179" t="s">
        <v>253</v>
      </c>
      <c r="Y179" t="s">
        <v>235</v>
      </c>
      <c r="Z179" t="s">
        <v>236</v>
      </c>
      <c r="AA179" t="s">
        <v>253</v>
      </c>
      <c r="AB179" t="s">
        <v>121</v>
      </c>
      <c r="AC179" s="235">
        <v>-500000</v>
      </c>
      <c r="AD179" s="235">
        <v>1.9951428868807852E-2</v>
      </c>
      <c r="AE179">
        <v>0</v>
      </c>
      <c r="AF179">
        <v>0</v>
      </c>
      <c r="AG179">
        <v>0</v>
      </c>
      <c r="AH179" s="235">
        <v>-132378.24523491482</v>
      </c>
      <c r="AI179">
        <v>226</v>
      </c>
      <c r="AJ179" t="s">
        <v>256</v>
      </c>
      <c r="AK179">
        <v>0</v>
      </c>
      <c r="AL179">
        <v>0</v>
      </c>
      <c r="AM179">
        <v>0</v>
      </c>
    </row>
    <row r="180" spans="1:39" x14ac:dyDescent="0.25">
      <c r="A180" t="s">
        <v>601</v>
      </c>
      <c r="B180" t="s">
        <v>372</v>
      </c>
      <c r="C180" t="s">
        <v>255</v>
      </c>
      <c r="D180" t="s">
        <v>234</v>
      </c>
      <c r="E180" t="s">
        <v>20</v>
      </c>
      <c r="F180" t="s">
        <v>371</v>
      </c>
      <c r="G180" t="s">
        <v>269</v>
      </c>
      <c r="H180" t="s">
        <v>254</v>
      </c>
      <c r="I180" t="s">
        <v>242</v>
      </c>
      <c r="J180" t="s">
        <v>235</v>
      </c>
      <c r="K180" s="380">
        <v>36800</v>
      </c>
      <c r="L180" s="235">
        <v>-599483.28711371054</v>
      </c>
      <c r="M180" s="380">
        <v>36797</v>
      </c>
      <c r="N180" t="s">
        <v>21</v>
      </c>
      <c r="O180">
        <v>4.4999999999999998E-2</v>
      </c>
      <c r="P180">
        <v>0</v>
      </c>
      <c r="Q180">
        <v>0</v>
      </c>
      <c r="R180">
        <v>0</v>
      </c>
      <c r="S180">
        <v>0</v>
      </c>
      <c r="T180" t="s">
        <v>253</v>
      </c>
      <c r="U180" t="s">
        <v>190</v>
      </c>
      <c r="V180" t="s">
        <v>253</v>
      </c>
      <c r="W180" t="s">
        <v>132</v>
      </c>
      <c r="X180" t="s">
        <v>253</v>
      </c>
      <c r="Y180" t="s">
        <v>235</v>
      </c>
      <c r="Z180" t="s">
        <v>236</v>
      </c>
      <c r="AA180" t="s">
        <v>253</v>
      </c>
      <c r="AB180" t="s">
        <v>121</v>
      </c>
      <c r="AC180" s="235">
        <v>-310000</v>
      </c>
      <c r="AD180" s="235">
        <v>-16.075494686025195</v>
      </c>
      <c r="AE180">
        <v>0</v>
      </c>
      <c r="AF180">
        <v>0</v>
      </c>
      <c r="AG180">
        <v>0</v>
      </c>
      <c r="AH180" s="235">
        <v>12319.247903190088</v>
      </c>
      <c r="AI180">
        <v>226</v>
      </c>
      <c r="AJ180" t="s">
        <v>256</v>
      </c>
      <c r="AK180">
        <v>0</v>
      </c>
      <c r="AL180">
        <v>0</v>
      </c>
      <c r="AM180">
        <v>0</v>
      </c>
    </row>
    <row r="181" spans="1:39" x14ac:dyDescent="0.25">
      <c r="A181" t="s">
        <v>601</v>
      </c>
      <c r="B181" t="s">
        <v>372</v>
      </c>
      <c r="C181" t="s">
        <v>255</v>
      </c>
      <c r="D181" t="s">
        <v>234</v>
      </c>
      <c r="E181" t="s">
        <v>20</v>
      </c>
      <c r="F181" t="s">
        <v>371</v>
      </c>
      <c r="G181" t="s">
        <v>269</v>
      </c>
      <c r="H181" t="s">
        <v>254</v>
      </c>
      <c r="I181" t="s">
        <v>242</v>
      </c>
      <c r="J181" t="s">
        <v>235</v>
      </c>
      <c r="K181" s="380">
        <v>36800</v>
      </c>
      <c r="L181" s="235">
        <v>-5.7080221616646192</v>
      </c>
      <c r="M181" s="380">
        <v>36797</v>
      </c>
      <c r="N181" t="s">
        <v>1</v>
      </c>
      <c r="O181">
        <v>4.4999999999999998E-2</v>
      </c>
      <c r="P181">
        <v>0</v>
      </c>
      <c r="Q181">
        <v>0</v>
      </c>
      <c r="R181">
        <v>0</v>
      </c>
      <c r="S181">
        <v>0</v>
      </c>
      <c r="T181" t="s">
        <v>253</v>
      </c>
      <c r="U181" t="s">
        <v>190</v>
      </c>
      <c r="V181" t="s">
        <v>253</v>
      </c>
      <c r="W181" t="s">
        <v>132</v>
      </c>
      <c r="X181" t="s">
        <v>253</v>
      </c>
      <c r="Y181" t="s">
        <v>235</v>
      </c>
      <c r="Z181" t="s">
        <v>236</v>
      </c>
      <c r="AA181" t="s">
        <v>253</v>
      </c>
      <c r="AB181" t="s">
        <v>121</v>
      </c>
      <c r="AC181" s="235">
        <v>-310000</v>
      </c>
      <c r="AD181" s="235">
        <v>-16.075494686054178</v>
      </c>
      <c r="AE181">
        <v>0</v>
      </c>
      <c r="AF181">
        <v>0</v>
      </c>
      <c r="AG181">
        <v>0</v>
      </c>
      <c r="AH181" s="235">
        <v>-2.548171590834869</v>
      </c>
      <c r="AI181">
        <v>226</v>
      </c>
      <c r="AJ181" t="s">
        <v>256</v>
      </c>
      <c r="AK181">
        <v>0</v>
      </c>
      <c r="AL181">
        <v>0</v>
      </c>
      <c r="AM181">
        <v>0</v>
      </c>
    </row>
    <row r="182" spans="1:39" x14ac:dyDescent="0.25">
      <c r="A182" t="s">
        <v>601</v>
      </c>
      <c r="B182" t="s">
        <v>372</v>
      </c>
      <c r="C182" t="s">
        <v>255</v>
      </c>
      <c r="D182" t="s">
        <v>234</v>
      </c>
      <c r="E182" t="s">
        <v>20</v>
      </c>
      <c r="F182" t="s">
        <v>371</v>
      </c>
      <c r="G182" t="s">
        <v>269</v>
      </c>
      <c r="H182" t="s">
        <v>254</v>
      </c>
      <c r="I182" t="s">
        <v>242</v>
      </c>
      <c r="J182" t="s">
        <v>235</v>
      </c>
      <c r="K182" s="380">
        <v>36770</v>
      </c>
      <c r="L182" s="235">
        <v>-736229.07330417633</v>
      </c>
      <c r="M182" s="380">
        <v>36768</v>
      </c>
      <c r="N182" t="s">
        <v>21</v>
      </c>
      <c r="O182">
        <v>4.4999999999999998E-2</v>
      </c>
      <c r="P182">
        <v>0</v>
      </c>
      <c r="Q182">
        <v>0</v>
      </c>
      <c r="R182">
        <v>0</v>
      </c>
      <c r="S182">
        <v>0</v>
      </c>
      <c r="T182" t="s">
        <v>253</v>
      </c>
      <c r="U182" t="s">
        <v>190</v>
      </c>
      <c r="V182" t="s">
        <v>253</v>
      </c>
      <c r="W182" t="s">
        <v>132</v>
      </c>
      <c r="X182" t="s">
        <v>253</v>
      </c>
      <c r="Y182" t="s">
        <v>235</v>
      </c>
      <c r="Z182" t="s">
        <v>236</v>
      </c>
      <c r="AA182" t="s">
        <v>253</v>
      </c>
      <c r="AB182" t="s">
        <v>121</v>
      </c>
      <c r="AC182" s="235">
        <v>-300000</v>
      </c>
      <c r="AD182" s="235">
        <v>1.1970857565756887E-2</v>
      </c>
      <c r="AE182">
        <v>0</v>
      </c>
      <c r="AF182">
        <v>0</v>
      </c>
      <c r="AG182">
        <v>0</v>
      </c>
      <c r="AH182" s="235">
        <v>-79426.947140948498</v>
      </c>
      <c r="AI182">
        <v>226</v>
      </c>
      <c r="AJ182" t="s">
        <v>256</v>
      </c>
      <c r="AK182">
        <v>0</v>
      </c>
      <c r="AL182">
        <v>0</v>
      </c>
      <c r="AM182">
        <v>0</v>
      </c>
    </row>
    <row r="183" spans="1:39" x14ac:dyDescent="0.25">
      <c r="A183" t="s">
        <v>601</v>
      </c>
      <c r="B183" t="s">
        <v>372</v>
      </c>
      <c r="C183" t="s">
        <v>255</v>
      </c>
      <c r="D183" t="s">
        <v>234</v>
      </c>
      <c r="E183" t="s">
        <v>20</v>
      </c>
      <c r="F183" t="s">
        <v>371</v>
      </c>
      <c r="G183" t="s">
        <v>269</v>
      </c>
      <c r="H183" t="s">
        <v>254</v>
      </c>
      <c r="I183" t="s">
        <v>242</v>
      </c>
      <c r="J183" t="s">
        <v>235</v>
      </c>
      <c r="K183" s="380">
        <v>36770</v>
      </c>
      <c r="L183" s="235">
        <v>-9.6545112052842663E-2</v>
      </c>
      <c r="M183" s="380">
        <v>36768</v>
      </c>
      <c r="N183" t="s">
        <v>1</v>
      </c>
      <c r="O183">
        <v>4.4999999999999998E-2</v>
      </c>
      <c r="P183">
        <v>0</v>
      </c>
      <c r="Q183">
        <v>0</v>
      </c>
      <c r="R183">
        <v>0</v>
      </c>
      <c r="S183">
        <v>0</v>
      </c>
      <c r="T183" t="s">
        <v>253</v>
      </c>
      <c r="U183" t="s">
        <v>190</v>
      </c>
      <c r="V183" t="s">
        <v>253</v>
      </c>
      <c r="W183" t="s">
        <v>132</v>
      </c>
      <c r="X183" t="s">
        <v>253</v>
      </c>
      <c r="Y183" t="s">
        <v>235</v>
      </c>
      <c r="Z183" t="s">
        <v>236</v>
      </c>
      <c r="AA183" t="s">
        <v>253</v>
      </c>
      <c r="AB183" t="s">
        <v>121</v>
      </c>
      <c r="AC183" s="235">
        <v>-300000</v>
      </c>
      <c r="AD183" s="235">
        <v>1.1970857605181351E-2</v>
      </c>
      <c r="AE183">
        <v>0</v>
      </c>
      <c r="AF183">
        <v>0</v>
      </c>
      <c r="AG183">
        <v>0</v>
      </c>
      <c r="AH183" s="235">
        <v>-1.0399033900654331E-2</v>
      </c>
      <c r="AI183">
        <v>226</v>
      </c>
      <c r="AJ183" t="s">
        <v>256</v>
      </c>
      <c r="AK183">
        <v>0</v>
      </c>
      <c r="AL183">
        <v>0</v>
      </c>
      <c r="AM183">
        <v>0</v>
      </c>
    </row>
    <row r="184" spans="1:39" x14ac:dyDescent="0.25">
      <c r="A184" t="s">
        <v>601</v>
      </c>
      <c r="B184" t="s">
        <v>373</v>
      </c>
      <c r="C184" t="s">
        <v>255</v>
      </c>
      <c r="D184" t="s">
        <v>234</v>
      </c>
      <c r="E184" t="s">
        <v>20</v>
      </c>
      <c r="F184" t="s">
        <v>284</v>
      </c>
      <c r="G184" t="s">
        <v>269</v>
      </c>
      <c r="H184" t="s">
        <v>254</v>
      </c>
      <c r="I184" t="s">
        <v>242</v>
      </c>
      <c r="J184" t="s">
        <v>235</v>
      </c>
      <c r="K184" s="380">
        <v>36951</v>
      </c>
      <c r="L184" s="235">
        <v>237473.55682399185</v>
      </c>
      <c r="M184" s="380">
        <v>36949</v>
      </c>
      <c r="N184" t="s">
        <v>21</v>
      </c>
      <c r="O184">
        <v>2</v>
      </c>
      <c r="P184">
        <v>0</v>
      </c>
      <c r="Q184">
        <v>0</v>
      </c>
      <c r="R184">
        <v>0</v>
      </c>
      <c r="S184">
        <v>0</v>
      </c>
      <c r="T184" t="s">
        <v>253</v>
      </c>
      <c r="U184" t="s">
        <v>7</v>
      </c>
      <c r="V184" t="s">
        <v>253</v>
      </c>
      <c r="W184" t="s">
        <v>132</v>
      </c>
      <c r="X184" t="s">
        <v>253</v>
      </c>
      <c r="Y184" t="s">
        <v>235</v>
      </c>
      <c r="Z184" t="s">
        <v>236</v>
      </c>
      <c r="AA184" t="s">
        <v>253</v>
      </c>
      <c r="AB184" t="s">
        <v>121</v>
      </c>
      <c r="AC184" s="235">
        <v>1000000</v>
      </c>
      <c r="AD184" s="235">
        <v>70922.775436405907</v>
      </c>
      <c r="AE184">
        <v>0</v>
      </c>
      <c r="AF184">
        <v>0</v>
      </c>
      <c r="AG184">
        <v>0</v>
      </c>
      <c r="AH184" s="235">
        <v>21432.676976745075</v>
      </c>
      <c r="AI184">
        <v>226</v>
      </c>
      <c r="AJ184" t="s">
        <v>256</v>
      </c>
      <c r="AK184">
        <v>0</v>
      </c>
      <c r="AL184">
        <v>0</v>
      </c>
      <c r="AM184">
        <v>0</v>
      </c>
    </row>
    <row r="185" spans="1:39" x14ac:dyDescent="0.25">
      <c r="A185" t="s">
        <v>601</v>
      </c>
      <c r="B185" t="s">
        <v>373</v>
      </c>
      <c r="C185" t="s">
        <v>255</v>
      </c>
      <c r="D185" t="s">
        <v>234</v>
      </c>
      <c r="E185" t="s">
        <v>20</v>
      </c>
      <c r="F185" t="s">
        <v>284</v>
      </c>
      <c r="G185" t="s">
        <v>269</v>
      </c>
      <c r="H185" t="s">
        <v>254</v>
      </c>
      <c r="I185" t="s">
        <v>242</v>
      </c>
      <c r="J185" t="s">
        <v>235</v>
      </c>
      <c r="K185" s="380">
        <v>36923</v>
      </c>
      <c r="L185" s="235">
        <v>719788.60519873397</v>
      </c>
      <c r="M185" s="380">
        <v>36921</v>
      </c>
      <c r="N185" t="s">
        <v>21</v>
      </c>
      <c r="O185">
        <v>2</v>
      </c>
      <c r="P185">
        <v>0</v>
      </c>
      <c r="Q185">
        <v>0</v>
      </c>
      <c r="R185">
        <v>0</v>
      </c>
      <c r="S185">
        <v>0</v>
      </c>
      <c r="T185" t="s">
        <v>253</v>
      </c>
      <c r="U185" t="s">
        <v>7</v>
      </c>
      <c r="V185" t="s">
        <v>253</v>
      </c>
      <c r="W185" t="s">
        <v>132</v>
      </c>
      <c r="X185" t="s">
        <v>253</v>
      </c>
      <c r="Y185" t="s">
        <v>235</v>
      </c>
      <c r="Z185" t="s">
        <v>236</v>
      </c>
      <c r="AA185" t="s">
        <v>253</v>
      </c>
      <c r="AB185" t="s">
        <v>121</v>
      </c>
      <c r="AC185" s="235">
        <v>1000000</v>
      </c>
      <c r="AD185" s="235">
        <v>86005.937039504177</v>
      </c>
      <c r="AE185">
        <v>0</v>
      </c>
      <c r="AF185">
        <v>0</v>
      </c>
      <c r="AG185">
        <v>0</v>
      </c>
      <c r="AH185" s="235">
        <v>42824.758152688155</v>
      </c>
      <c r="AI185">
        <v>226</v>
      </c>
      <c r="AJ185" t="s">
        <v>256</v>
      </c>
      <c r="AK185">
        <v>0</v>
      </c>
      <c r="AL185">
        <v>0</v>
      </c>
      <c r="AM185">
        <v>0</v>
      </c>
    </row>
    <row r="186" spans="1:39" x14ac:dyDescent="0.25">
      <c r="A186" t="s">
        <v>601</v>
      </c>
      <c r="B186" t="s">
        <v>373</v>
      </c>
      <c r="C186" t="s">
        <v>255</v>
      </c>
      <c r="D186" t="s">
        <v>234</v>
      </c>
      <c r="E186" t="s">
        <v>20</v>
      </c>
      <c r="F186" t="s">
        <v>284</v>
      </c>
      <c r="G186" t="s">
        <v>269</v>
      </c>
      <c r="H186" t="s">
        <v>254</v>
      </c>
      <c r="I186" t="s">
        <v>242</v>
      </c>
      <c r="J186" t="s">
        <v>235</v>
      </c>
      <c r="K186" s="380">
        <v>36892</v>
      </c>
      <c r="L186" s="235">
        <v>727744.61781377078</v>
      </c>
      <c r="M186" s="380">
        <v>36888</v>
      </c>
      <c r="N186" t="s">
        <v>21</v>
      </c>
      <c r="O186">
        <v>2</v>
      </c>
      <c r="P186">
        <v>0</v>
      </c>
      <c r="Q186">
        <v>0</v>
      </c>
      <c r="R186">
        <v>0</v>
      </c>
      <c r="S186">
        <v>0</v>
      </c>
      <c r="T186" t="s">
        <v>253</v>
      </c>
      <c r="U186" t="s">
        <v>7</v>
      </c>
      <c r="V186" t="s">
        <v>253</v>
      </c>
      <c r="W186" t="s">
        <v>132</v>
      </c>
      <c r="X186" t="s">
        <v>253</v>
      </c>
      <c r="Y186" t="s">
        <v>235</v>
      </c>
      <c r="Z186" t="s">
        <v>236</v>
      </c>
      <c r="AA186" t="s">
        <v>253</v>
      </c>
      <c r="AB186" t="s">
        <v>121</v>
      </c>
      <c r="AC186" s="235">
        <v>1000000</v>
      </c>
      <c r="AD186" s="235">
        <v>78586.026437240886</v>
      </c>
      <c r="AE186">
        <v>0</v>
      </c>
      <c r="AF186">
        <v>0</v>
      </c>
      <c r="AG186">
        <v>0</v>
      </c>
      <c r="AH186" s="235">
        <v>38049.712292349199</v>
      </c>
      <c r="AI186">
        <v>226</v>
      </c>
      <c r="AJ186" t="s">
        <v>256</v>
      </c>
      <c r="AK186">
        <v>0</v>
      </c>
      <c r="AL186">
        <v>0</v>
      </c>
      <c r="AM186">
        <v>0</v>
      </c>
    </row>
    <row r="187" spans="1:39" x14ac:dyDescent="0.25">
      <c r="A187" t="s">
        <v>601</v>
      </c>
      <c r="B187" t="s">
        <v>373</v>
      </c>
      <c r="C187" t="s">
        <v>255</v>
      </c>
      <c r="D187" t="s">
        <v>234</v>
      </c>
      <c r="E187" t="s">
        <v>20</v>
      </c>
      <c r="F187" t="s">
        <v>284</v>
      </c>
      <c r="G187" t="s">
        <v>269</v>
      </c>
      <c r="H187" t="s">
        <v>254</v>
      </c>
      <c r="I187" t="s">
        <v>242</v>
      </c>
      <c r="J187" t="s">
        <v>235</v>
      </c>
      <c r="K187" s="380">
        <v>36861</v>
      </c>
      <c r="L187" s="235">
        <v>382740.66010561981</v>
      </c>
      <c r="M187" s="380">
        <v>36859</v>
      </c>
      <c r="N187" t="s">
        <v>21</v>
      </c>
      <c r="O187">
        <v>2</v>
      </c>
      <c r="P187">
        <v>0</v>
      </c>
      <c r="Q187">
        <v>0</v>
      </c>
      <c r="R187">
        <v>0</v>
      </c>
      <c r="S187">
        <v>0</v>
      </c>
      <c r="T187" t="s">
        <v>253</v>
      </c>
      <c r="U187" t="s">
        <v>7</v>
      </c>
      <c r="V187" t="s">
        <v>253</v>
      </c>
      <c r="W187" t="s">
        <v>132</v>
      </c>
      <c r="X187" t="s">
        <v>253</v>
      </c>
      <c r="Y187" t="s">
        <v>235</v>
      </c>
      <c r="Z187" t="s">
        <v>236</v>
      </c>
      <c r="AA187" t="s">
        <v>253</v>
      </c>
      <c r="AB187" t="s">
        <v>121</v>
      </c>
      <c r="AC187" s="235">
        <v>1000000</v>
      </c>
      <c r="AD187" s="235">
        <v>67471.868862714793</v>
      </c>
      <c r="AE187">
        <v>0</v>
      </c>
      <c r="AF187">
        <v>0</v>
      </c>
      <c r="AG187">
        <v>0</v>
      </c>
      <c r="AH187" s="235">
        <v>22623.155699188123</v>
      </c>
      <c r="AI187">
        <v>226</v>
      </c>
      <c r="AJ187" t="s">
        <v>256</v>
      </c>
      <c r="AK187">
        <v>0</v>
      </c>
      <c r="AL187">
        <v>0</v>
      </c>
      <c r="AM187">
        <v>0</v>
      </c>
    </row>
    <row r="188" spans="1:39" x14ac:dyDescent="0.25">
      <c r="A188" t="s">
        <v>601</v>
      </c>
      <c r="B188" t="s">
        <v>373</v>
      </c>
      <c r="C188" t="s">
        <v>255</v>
      </c>
      <c r="D188" t="s">
        <v>234</v>
      </c>
      <c r="E188" t="s">
        <v>20</v>
      </c>
      <c r="F188" t="s">
        <v>284</v>
      </c>
      <c r="G188" t="s">
        <v>269</v>
      </c>
      <c r="H188" t="s">
        <v>254</v>
      </c>
      <c r="I188" t="s">
        <v>242</v>
      </c>
      <c r="J188" t="s">
        <v>235</v>
      </c>
      <c r="K188" s="380">
        <v>36831</v>
      </c>
      <c r="L188" s="235">
        <v>20335.236025377199</v>
      </c>
      <c r="M188" s="380">
        <v>36829</v>
      </c>
      <c r="N188" t="s">
        <v>21</v>
      </c>
      <c r="O188">
        <v>2</v>
      </c>
      <c r="P188">
        <v>0</v>
      </c>
      <c r="Q188">
        <v>0</v>
      </c>
      <c r="R188">
        <v>0</v>
      </c>
      <c r="S188">
        <v>0</v>
      </c>
      <c r="T188" t="s">
        <v>253</v>
      </c>
      <c r="U188" t="s">
        <v>7</v>
      </c>
      <c r="V188" t="s">
        <v>253</v>
      </c>
      <c r="W188" t="s">
        <v>132</v>
      </c>
      <c r="X188" t="s">
        <v>253</v>
      </c>
      <c r="Y188" t="s">
        <v>235</v>
      </c>
      <c r="Z188" t="s">
        <v>236</v>
      </c>
      <c r="AA188" t="s">
        <v>253</v>
      </c>
      <c r="AB188" t="s">
        <v>121</v>
      </c>
      <c r="AC188" s="235">
        <v>1000000</v>
      </c>
      <c r="AD188" s="235">
        <v>12601.948846696127</v>
      </c>
      <c r="AE188">
        <v>0</v>
      </c>
      <c r="AF188">
        <v>0</v>
      </c>
      <c r="AG188">
        <v>0</v>
      </c>
      <c r="AH188" s="235">
        <v>3372.0075259026707</v>
      </c>
      <c r="AI188">
        <v>226</v>
      </c>
      <c r="AJ188" t="s">
        <v>256</v>
      </c>
      <c r="AK188">
        <v>0</v>
      </c>
      <c r="AL188">
        <v>0</v>
      </c>
      <c r="AM188">
        <v>0</v>
      </c>
    </row>
    <row r="189" spans="1:39" x14ac:dyDescent="0.25">
      <c r="A189" t="s">
        <v>601</v>
      </c>
      <c r="B189" t="s">
        <v>374</v>
      </c>
      <c r="C189" t="s">
        <v>255</v>
      </c>
      <c r="D189" t="s">
        <v>234</v>
      </c>
      <c r="E189" t="s">
        <v>20</v>
      </c>
      <c r="F189" t="s">
        <v>320</v>
      </c>
      <c r="G189" t="s">
        <v>269</v>
      </c>
      <c r="H189" t="s">
        <v>254</v>
      </c>
      <c r="I189" t="s">
        <v>242</v>
      </c>
      <c r="J189" t="s">
        <v>235</v>
      </c>
      <c r="K189" s="380">
        <v>36800</v>
      </c>
      <c r="L189" s="235">
        <v>27929.275763827409</v>
      </c>
      <c r="M189" s="380">
        <v>36797</v>
      </c>
      <c r="N189" t="s">
        <v>21</v>
      </c>
      <c r="O189">
        <v>0.34</v>
      </c>
      <c r="P189">
        <v>0</v>
      </c>
      <c r="Q189">
        <v>0</v>
      </c>
      <c r="R189">
        <v>0</v>
      </c>
      <c r="S189">
        <v>0</v>
      </c>
      <c r="T189" t="s">
        <v>253</v>
      </c>
      <c r="U189" t="s">
        <v>7</v>
      </c>
      <c r="V189" t="s">
        <v>253</v>
      </c>
      <c r="W189" t="s">
        <v>132</v>
      </c>
      <c r="X189" t="s">
        <v>253</v>
      </c>
      <c r="Y189" t="s">
        <v>235</v>
      </c>
      <c r="Z189" t="s">
        <v>236</v>
      </c>
      <c r="AA189" t="s">
        <v>253</v>
      </c>
      <c r="AB189" t="s">
        <v>121</v>
      </c>
      <c r="AC189" s="235">
        <v>310000</v>
      </c>
      <c r="AD189" s="235">
        <v>1670.8515682196303</v>
      </c>
      <c r="AE189">
        <v>0</v>
      </c>
      <c r="AF189">
        <v>0</v>
      </c>
      <c r="AG189">
        <v>0</v>
      </c>
      <c r="AH189" s="235">
        <v>95.81656180048958</v>
      </c>
      <c r="AI189">
        <v>226</v>
      </c>
      <c r="AJ189" t="s">
        <v>256</v>
      </c>
      <c r="AK189">
        <v>0</v>
      </c>
      <c r="AL189">
        <v>0</v>
      </c>
      <c r="AM189">
        <v>0</v>
      </c>
    </row>
    <row r="190" spans="1:39" x14ac:dyDescent="0.25">
      <c r="A190" t="s">
        <v>601</v>
      </c>
      <c r="B190" t="s">
        <v>374</v>
      </c>
      <c r="C190" t="s">
        <v>255</v>
      </c>
      <c r="D190" t="s">
        <v>234</v>
      </c>
      <c r="E190" t="s">
        <v>20</v>
      </c>
      <c r="F190" t="s">
        <v>320</v>
      </c>
      <c r="G190" t="s">
        <v>269</v>
      </c>
      <c r="H190" t="s">
        <v>254</v>
      </c>
      <c r="I190" t="s">
        <v>242</v>
      </c>
      <c r="J190" t="s">
        <v>235</v>
      </c>
      <c r="K190" s="380">
        <v>36770</v>
      </c>
      <c r="L190" s="235">
        <v>237.68601444573773</v>
      </c>
      <c r="M190" s="380">
        <v>36768</v>
      </c>
      <c r="N190" t="s">
        <v>21</v>
      </c>
      <c r="O190">
        <v>0.34</v>
      </c>
      <c r="P190">
        <v>0</v>
      </c>
      <c r="Q190">
        <v>0</v>
      </c>
      <c r="R190">
        <v>0</v>
      </c>
      <c r="S190">
        <v>0</v>
      </c>
      <c r="T190" t="s">
        <v>253</v>
      </c>
      <c r="U190" t="s">
        <v>7</v>
      </c>
      <c r="V190" t="s">
        <v>253</v>
      </c>
      <c r="W190" t="s">
        <v>132</v>
      </c>
      <c r="X190" t="s">
        <v>253</v>
      </c>
      <c r="Y190" t="s">
        <v>235</v>
      </c>
      <c r="Z190" t="s">
        <v>236</v>
      </c>
      <c r="AA190" t="s">
        <v>253</v>
      </c>
      <c r="AB190" t="s">
        <v>121</v>
      </c>
      <c r="AC190" s="235">
        <v>300000</v>
      </c>
      <c r="AD190" s="235">
        <v>153.1450116627675</v>
      </c>
      <c r="AE190">
        <v>0</v>
      </c>
      <c r="AF190">
        <v>0</v>
      </c>
      <c r="AG190">
        <v>0</v>
      </c>
      <c r="AH190" s="235">
        <v>35.292477667935373</v>
      </c>
      <c r="AI190">
        <v>226</v>
      </c>
      <c r="AJ190" t="s">
        <v>256</v>
      </c>
      <c r="AK190">
        <v>0</v>
      </c>
      <c r="AL190">
        <v>0</v>
      </c>
      <c r="AM190">
        <v>0</v>
      </c>
    </row>
    <row r="191" spans="1:39" x14ac:dyDescent="0.25">
      <c r="A191" t="s">
        <v>601</v>
      </c>
      <c r="B191" t="s">
        <v>414</v>
      </c>
      <c r="C191" t="s">
        <v>255</v>
      </c>
      <c r="D191" t="s">
        <v>234</v>
      </c>
      <c r="E191" t="s">
        <v>20</v>
      </c>
      <c r="F191" t="s">
        <v>277</v>
      </c>
      <c r="G191" t="s">
        <v>269</v>
      </c>
      <c r="H191" t="s">
        <v>254</v>
      </c>
      <c r="I191" t="s">
        <v>242</v>
      </c>
      <c r="J191" t="s">
        <v>235</v>
      </c>
      <c r="K191" s="380">
        <v>36800</v>
      </c>
      <c r="L191" s="235">
        <v>23681.219132108345</v>
      </c>
      <c r="M191" s="380">
        <v>36797</v>
      </c>
      <c r="N191" t="s">
        <v>21</v>
      </c>
      <c r="O191">
        <v>0.30249999999999999</v>
      </c>
      <c r="P191">
        <v>0</v>
      </c>
      <c r="Q191">
        <v>0</v>
      </c>
      <c r="R191">
        <v>0</v>
      </c>
      <c r="S191">
        <v>0</v>
      </c>
      <c r="T191" t="s">
        <v>253</v>
      </c>
      <c r="U191" t="s">
        <v>384</v>
      </c>
      <c r="V191" t="s">
        <v>253</v>
      </c>
      <c r="W191" t="s">
        <v>132</v>
      </c>
      <c r="X191" t="s">
        <v>253</v>
      </c>
      <c r="Y191" t="s">
        <v>235</v>
      </c>
      <c r="Z191" t="s">
        <v>236</v>
      </c>
      <c r="AA191" t="s">
        <v>253</v>
      </c>
      <c r="AB191" t="s">
        <v>121</v>
      </c>
      <c r="AC191" s="235">
        <v>310000</v>
      </c>
      <c r="AD191" s="235">
        <v>1900.6389464665845</v>
      </c>
      <c r="AE191">
        <v>0</v>
      </c>
      <c r="AF191">
        <v>0</v>
      </c>
      <c r="AG191">
        <v>0</v>
      </c>
      <c r="AH191" s="235">
        <v>108.78267398710886</v>
      </c>
      <c r="AI191">
        <v>226</v>
      </c>
      <c r="AJ191" t="s">
        <v>256</v>
      </c>
      <c r="AK191">
        <v>0</v>
      </c>
      <c r="AL191">
        <v>0</v>
      </c>
      <c r="AM191">
        <v>0</v>
      </c>
    </row>
    <row r="192" spans="1:39" x14ac:dyDescent="0.25">
      <c r="A192" t="s">
        <v>601</v>
      </c>
      <c r="B192" t="s">
        <v>414</v>
      </c>
      <c r="C192" t="s">
        <v>255</v>
      </c>
      <c r="D192" t="s">
        <v>234</v>
      </c>
      <c r="E192" t="s">
        <v>20</v>
      </c>
      <c r="F192" t="s">
        <v>277</v>
      </c>
      <c r="G192" t="s">
        <v>269</v>
      </c>
      <c r="H192" t="s">
        <v>254</v>
      </c>
      <c r="I192" t="s">
        <v>242</v>
      </c>
      <c r="J192" t="s">
        <v>235</v>
      </c>
      <c r="K192" s="380">
        <v>36770</v>
      </c>
      <c r="L192" s="235">
        <v>2592.0723512628656</v>
      </c>
      <c r="M192" s="380">
        <v>36768</v>
      </c>
      <c r="N192" t="s">
        <v>21</v>
      </c>
      <c r="O192">
        <v>0.30249999999999999</v>
      </c>
      <c r="P192">
        <v>0</v>
      </c>
      <c r="Q192">
        <v>0</v>
      </c>
      <c r="R192">
        <v>0</v>
      </c>
      <c r="S192">
        <v>0</v>
      </c>
      <c r="T192" t="s">
        <v>253</v>
      </c>
      <c r="U192" t="s">
        <v>384</v>
      </c>
      <c r="V192" t="s">
        <v>253</v>
      </c>
      <c r="W192" t="s">
        <v>132</v>
      </c>
      <c r="X192" t="s">
        <v>253</v>
      </c>
      <c r="Y192" t="s">
        <v>235</v>
      </c>
      <c r="Z192" t="s">
        <v>236</v>
      </c>
      <c r="AA192" t="s">
        <v>253</v>
      </c>
      <c r="AB192" t="s">
        <v>121</v>
      </c>
      <c r="AC192" s="235">
        <v>300000</v>
      </c>
      <c r="AD192" s="235">
        <v>379.13207022406277</v>
      </c>
      <c r="AE192">
        <v>0</v>
      </c>
      <c r="AF192">
        <v>0</v>
      </c>
      <c r="AG192">
        <v>0</v>
      </c>
      <c r="AH192" s="235">
        <v>44.629520369864622</v>
      </c>
      <c r="AI192">
        <v>226</v>
      </c>
      <c r="AJ192" t="s">
        <v>256</v>
      </c>
      <c r="AK192">
        <v>0</v>
      </c>
      <c r="AL192">
        <v>0</v>
      </c>
      <c r="AM192">
        <v>0</v>
      </c>
    </row>
    <row r="193" spans="1:39" x14ac:dyDescent="0.25">
      <c r="A193" t="s">
        <v>601</v>
      </c>
      <c r="B193" t="s">
        <v>415</v>
      </c>
      <c r="C193" t="s">
        <v>255</v>
      </c>
      <c r="D193" t="s">
        <v>234</v>
      </c>
      <c r="E193" t="s">
        <v>20</v>
      </c>
      <c r="F193" t="s">
        <v>277</v>
      </c>
      <c r="G193" t="s">
        <v>269</v>
      </c>
      <c r="H193" t="s">
        <v>254</v>
      </c>
      <c r="I193" t="s">
        <v>242</v>
      </c>
      <c r="J193" t="s">
        <v>235</v>
      </c>
      <c r="K193" s="380">
        <v>36800</v>
      </c>
      <c r="L193" s="235">
        <v>7423.5908763094549</v>
      </c>
      <c r="M193" s="380">
        <v>36797</v>
      </c>
      <c r="N193" t="s">
        <v>1</v>
      </c>
      <c r="O193">
        <v>0.16750000000000001</v>
      </c>
      <c r="P193">
        <v>0</v>
      </c>
      <c r="Q193">
        <v>0</v>
      </c>
      <c r="R193">
        <v>0</v>
      </c>
      <c r="S193">
        <v>0</v>
      </c>
      <c r="T193" t="s">
        <v>253</v>
      </c>
      <c r="U193" t="s">
        <v>10</v>
      </c>
      <c r="V193" t="s">
        <v>253</v>
      </c>
      <c r="W193" t="s">
        <v>132</v>
      </c>
      <c r="X193" t="s">
        <v>253</v>
      </c>
      <c r="Y193" t="s">
        <v>235</v>
      </c>
      <c r="Z193" t="s">
        <v>236</v>
      </c>
      <c r="AA193" t="s">
        <v>253</v>
      </c>
      <c r="AB193" t="s">
        <v>121</v>
      </c>
      <c r="AC193" s="235">
        <v>310000</v>
      </c>
      <c r="AD193" s="235">
        <v>1905.9946216441458</v>
      </c>
      <c r="AE193">
        <v>0</v>
      </c>
      <c r="AF193">
        <v>0</v>
      </c>
      <c r="AG193">
        <v>0</v>
      </c>
      <c r="AH193" s="235">
        <v>108.86988121242757</v>
      </c>
      <c r="AI193">
        <v>226</v>
      </c>
      <c r="AJ193" t="s">
        <v>256</v>
      </c>
      <c r="AK193">
        <v>0</v>
      </c>
      <c r="AL193">
        <v>0</v>
      </c>
      <c r="AM193">
        <v>0</v>
      </c>
    </row>
    <row r="194" spans="1:39" x14ac:dyDescent="0.25">
      <c r="A194" t="s">
        <v>601</v>
      </c>
      <c r="B194" t="s">
        <v>415</v>
      </c>
      <c r="C194" t="s">
        <v>255</v>
      </c>
      <c r="D194" t="s">
        <v>234</v>
      </c>
      <c r="E194" t="s">
        <v>20</v>
      </c>
      <c r="F194" t="s">
        <v>277</v>
      </c>
      <c r="G194" t="s">
        <v>269</v>
      </c>
      <c r="H194" t="s">
        <v>254</v>
      </c>
      <c r="I194" t="s">
        <v>242</v>
      </c>
      <c r="J194" t="s">
        <v>235</v>
      </c>
      <c r="K194" s="380">
        <v>36770</v>
      </c>
      <c r="L194" s="235">
        <v>1342.0165344533552</v>
      </c>
      <c r="M194" s="380">
        <v>36768</v>
      </c>
      <c r="N194" t="s">
        <v>1</v>
      </c>
      <c r="O194">
        <v>0.16750000000000001</v>
      </c>
      <c r="P194">
        <v>0</v>
      </c>
      <c r="Q194">
        <v>0</v>
      </c>
      <c r="R194">
        <v>0</v>
      </c>
      <c r="S194">
        <v>0</v>
      </c>
      <c r="T194" t="s">
        <v>253</v>
      </c>
      <c r="U194" t="s">
        <v>10</v>
      </c>
      <c r="V194" t="s">
        <v>253</v>
      </c>
      <c r="W194" t="s">
        <v>132</v>
      </c>
      <c r="X194" t="s">
        <v>253</v>
      </c>
      <c r="Y194" t="s">
        <v>235</v>
      </c>
      <c r="Z194" t="s">
        <v>236</v>
      </c>
      <c r="AA194" t="s">
        <v>253</v>
      </c>
      <c r="AB194" t="s">
        <v>121</v>
      </c>
      <c r="AC194" s="235">
        <v>300000</v>
      </c>
      <c r="AD194" s="235">
        <v>331.05888216281892</v>
      </c>
      <c r="AE194">
        <v>0</v>
      </c>
      <c r="AF194">
        <v>0</v>
      </c>
      <c r="AG194">
        <v>0</v>
      </c>
      <c r="AH194" s="235">
        <v>39.15460165213608</v>
      </c>
      <c r="AI194">
        <v>226</v>
      </c>
      <c r="AJ194" t="s">
        <v>256</v>
      </c>
      <c r="AK194">
        <v>0</v>
      </c>
      <c r="AL194">
        <v>0</v>
      </c>
      <c r="AM194">
        <v>0</v>
      </c>
    </row>
    <row r="195" spans="1:39" x14ac:dyDescent="0.25">
      <c r="A195" t="s">
        <v>601</v>
      </c>
      <c r="B195" t="s">
        <v>375</v>
      </c>
      <c r="C195" t="s">
        <v>255</v>
      </c>
      <c r="D195" t="s">
        <v>234</v>
      </c>
      <c r="E195" t="s">
        <v>20</v>
      </c>
      <c r="F195" t="s">
        <v>268</v>
      </c>
      <c r="G195" t="s">
        <v>269</v>
      </c>
      <c r="H195" t="s">
        <v>254</v>
      </c>
      <c r="I195" t="s">
        <v>242</v>
      </c>
      <c r="J195" t="s">
        <v>235</v>
      </c>
      <c r="K195" s="380">
        <v>36800</v>
      </c>
      <c r="L195" s="235">
        <v>291267.11290685582</v>
      </c>
      <c r="M195" s="380">
        <v>36797</v>
      </c>
      <c r="N195" t="s">
        <v>21</v>
      </c>
      <c r="O195">
        <v>0.1</v>
      </c>
      <c r="P195">
        <v>0</v>
      </c>
      <c r="Q195">
        <v>0</v>
      </c>
      <c r="R195">
        <v>0</v>
      </c>
      <c r="S195">
        <v>0</v>
      </c>
      <c r="T195" t="s">
        <v>253</v>
      </c>
      <c r="U195" t="s">
        <v>190</v>
      </c>
      <c r="V195" t="s">
        <v>253</v>
      </c>
      <c r="W195" t="s">
        <v>132</v>
      </c>
      <c r="X195" t="s">
        <v>253</v>
      </c>
      <c r="Y195" t="s">
        <v>235</v>
      </c>
      <c r="Z195" t="s">
        <v>236</v>
      </c>
      <c r="AA195" t="s">
        <v>253</v>
      </c>
      <c r="AB195" t="s">
        <v>121</v>
      </c>
      <c r="AC195" s="235">
        <v>155000</v>
      </c>
      <c r="AD195" s="235">
        <v>11.432671213697176</v>
      </c>
      <c r="AE195">
        <v>0</v>
      </c>
      <c r="AF195">
        <v>0</v>
      </c>
      <c r="AG195">
        <v>0</v>
      </c>
      <c r="AH195" s="235">
        <v>-6159.068471728242</v>
      </c>
      <c r="AI195">
        <v>226</v>
      </c>
      <c r="AJ195" t="s">
        <v>256</v>
      </c>
      <c r="AK195">
        <v>0</v>
      </c>
      <c r="AL195">
        <v>0</v>
      </c>
      <c r="AM195">
        <v>0</v>
      </c>
    </row>
    <row r="196" spans="1:39" x14ac:dyDescent="0.25">
      <c r="A196" t="s">
        <v>601</v>
      </c>
      <c r="B196" t="s">
        <v>375</v>
      </c>
      <c r="C196" t="s">
        <v>255</v>
      </c>
      <c r="D196" t="s">
        <v>234</v>
      </c>
      <c r="E196" t="s">
        <v>20</v>
      </c>
      <c r="F196" t="s">
        <v>268</v>
      </c>
      <c r="G196" t="s">
        <v>269</v>
      </c>
      <c r="H196" t="s">
        <v>254</v>
      </c>
      <c r="I196" t="s">
        <v>242</v>
      </c>
      <c r="J196" t="s">
        <v>235</v>
      </c>
      <c r="K196" s="380">
        <v>36770</v>
      </c>
      <c r="L196" s="235">
        <v>359867.57147260284</v>
      </c>
      <c r="M196" s="380">
        <v>36768</v>
      </c>
      <c r="N196" t="s">
        <v>21</v>
      </c>
      <c r="O196">
        <v>0.1</v>
      </c>
      <c r="P196">
        <v>0</v>
      </c>
      <c r="Q196">
        <v>0</v>
      </c>
      <c r="R196">
        <v>0</v>
      </c>
      <c r="S196">
        <v>0</v>
      </c>
      <c r="T196" t="s">
        <v>253</v>
      </c>
      <c r="U196" t="s">
        <v>190</v>
      </c>
      <c r="V196" t="s">
        <v>253</v>
      </c>
      <c r="W196" t="s">
        <v>132</v>
      </c>
      <c r="X196" t="s">
        <v>253</v>
      </c>
      <c r="Y196" t="s">
        <v>235</v>
      </c>
      <c r="Z196" t="s">
        <v>236</v>
      </c>
      <c r="AA196" t="s">
        <v>253</v>
      </c>
      <c r="AB196" t="s">
        <v>121</v>
      </c>
      <c r="AC196" s="235">
        <v>150000</v>
      </c>
      <c r="AD196" s="235">
        <v>-5.9854286373592913E-3</v>
      </c>
      <c r="AE196">
        <v>0</v>
      </c>
      <c r="AF196">
        <v>0</v>
      </c>
      <c r="AG196">
        <v>0</v>
      </c>
      <c r="AH196" s="235">
        <v>39713.473570474423</v>
      </c>
      <c r="AI196">
        <v>226</v>
      </c>
      <c r="AJ196" t="s">
        <v>256</v>
      </c>
      <c r="AK196">
        <v>0</v>
      </c>
      <c r="AL196">
        <v>0</v>
      </c>
      <c r="AM196">
        <v>0</v>
      </c>
    </row>
    <row r="197" spans="1:39" x14ac:dyDescent="0.25">
      <c r="A197" t="s">
        <v>601</v>
      </c>
      <c r="B197" t="s">
        <v>377</v>
      </c>
      <c r="C197" t="s">
        <v>255</v>
      </c>
      <c r="D197" t="s">
        <v>234</v>
      </c>
      <c r="E197" t="s">
        <v>20</v>
      </c>
      <c r="F197" t="s">
        <v>320</v>
      </c>
      <c r="G197" t="s">
        <v>269</v>
      </c>
      <c r="H197" t="s">
        <v>254</v>
      </c>
      <c r="I197" t="s">
        <v>242</v>
      </c>
      <c r="J197" t="s">
        <v>235</v>
      </c>
      <c r="K197" s="380">
        <v>36951</v>
      </c>
      <c r="L197" s="235">
        <v>-62469.059813918444</v>
      </c>
      <c r="M197" s="380">
        <v>36949</v>
      </c>
      <c r="N197" t="s">
        <v>21</v>
      </c>
      <c r="O197">
        <v>2.2000000000000002</v>
      </c>
      <c r="P197">
        <v>0</v>
      </c>
      <c r="Q197">
        <v>0</v>
      </c>
      <c r="R197">
        <v>0</v>
      </c>
      <c r="S197">
        <v>0</v>
      </c>
      <c r="T197" t="s">
        <v>253</v>
      </c>
      <c r="U197" t="s">
        <v>7</v>
      </c>
      <c r="V197" t="s">
        <v>253</v>
      </c>
      <c r="W197" t="s">
        <v>132</v>
      </c>
      <c r="X197" t="s">
        <v>253</v>
      </c>
      <c r="Y197" t="s">
        <v>235</v>
      </c>
      <c r="Z197" t="s">
        <v>236</v>
      </c>
      <c r="AA197" t="s">
        <v>253</v>
      </c>
      <c r="AB197" t="s">
        <v>121</v>
      </c>
      <c r="AC197" s="235">
        <v>-310000</v>
      </c>
      <c r="AD197" s="235">
        <v>-20293.308553530798</v>
      </c>
      <c r="AE197">
        <v>0</v>
      </c>
      <c r="AF197">
        <v>0</v>
      </c>
      <c r="AG197">
        <v>0</v>
      </c>
      <c r="AH197" s="235">
        <v>-5874.0424031467992</v>
      </c>
      <c r="AI197">
        <v>226</v>
      </c>
      <c r="AJ197" t="s">
        <v>256</v>
      </c>
      <c r="AK197">
        <v>0</v>
      </c>
      <c r="AL197">
        <v>0</v>
      </c>
      <c r="AM197">
        <v>0</v>
      </c>
    </row>
    <row r="198" spans="1:39" x14ac:dyDescent="0.25">
      <c r="A198" t="s">
        <v>601</v>
      </c>
      <c r="B198" t="s">
        <v>377</v>
      </c>
      <c r="C198" t="s">
        <v>255</v>
      </c>
      <c r="D198" t="s">
        <v>234</v>
      </c>
      <c r="E198" t="s">
        <v>20</v>
      </c>
      <c r="F198" t="s">
        <v>320</v>
      </c>
      <c r="G198" t="s">
        <v>269</v>
      </c>
      <c r="H198" t="s">
        <v>254</v>
      </c>
      <c r="I198" t="s">
        <v>242</v>
      </c>
      <c r="J198" t="s">
        <v>235</v>
      </c>
      <c r="K198" s="380">
        <v>36923</v>
      </c>
      <c r="L198" s="235">
        <v>-179351.39379154576</v>
      </c>
      <c r="M198" s="380">
        <v>36921</v>
      </c>
      <c r="N198" t="s">
        <v>21</v>
      </c>
      <c r="O198">
        <v>2.2000000000000002</v>
      </c>
      <c r="P198">
        <v>0</v>
      </c>
      <c r="Q198">
        <v>0</v>
      </c>
      <c r="R198">
        <v>0</v>
      </c>
      <c r="S198">
        <v>0</v>
      </c>
      <c r="T198" t="s">
        <v>253</v>
      </c>
      <c r="U198" t="s">
        <v>7</v>
      </c>
      <c r="V198" t="s">
        <v>253</v>
      </c>
      <c r="W198" t="s">
        <v>132</v>
      </c>
      <c r="X198" t="s">
        <v>253</v>
      </c>
      <c r="Y198" t="s">
        <v>235</v>
      </c>
      <c r="Z198" t="s">
        <v>236</v>
      </c>
      <c r="AA198" t="s">
        <v>253</v>
      </c>
      <c r="AB198" t="s">
        <v>121</v>
      </c>
      <c r="AC198" s="235">
        <v>-280000</v>
      </c>
      <c r="AD198" s="235">
        <v>-23898.539070236002</v>
      </c>
      <c r="AE198">
        <v>0</v>
      </c>
      <c r="AF198">
        <v>0</v>
      </c>
      <c r="AG198">
        <v>0</v>
      </c>
      <c r="AH198" s="235">
        <v>-11149.557908673625</v>
      </c>
      <c r="AI198">
        <v>226</v>
      </c>
      <c r="AJ198" t="s">
        <v>256</v>
      </c>
      <c r="AK198">
        <v>0</v>
      </c>
      <c r="AL198">
        <v>0</v>
      </c>
      <c r="AM198">
        <v>0</v>
      </c>
    </row>
    <row r="199" spans="1:39" x14ac:dyDescent="0.25">
      <c r="A199" t="s">
        <v>601</v>
      </c>
      <c r="B199" t="s">
        <v>377</v>
      </c>
      <c r="C199" t="s">
        <v>255</v>
      </c>
      <c r="D199" t="s">
        <v>234</v>
      </c>
      <c r="E199" t="s">
        <v>20</v>
      </c>
      <c r="F199" t="s">
        <v>320</v>
      </c>
      <c r="G199" t="s">
        <v>269</v>
      </c>
      <c r="H199" t="s">
        <v>254</v>
      </c>
      <c r="I199" t="s">
        <v>242</v>
      </c>
      <c r="J199" t="s">
        <v>235</v>
      </c>
      <c r="K199" s="380">
        <v>36892</v>
      </c>
      <c r="L199" s="235">
        <v>-199213.59746695129</v>
      </c>
      <c r="M199" s="380">
        <v>36888</v>
      </c>
      <c r="N199" t="s">
        <v>21</v>
      </c>
      <c r="O199">
        <v>2.2000000000000002</v>
      </c>
      <c r="P199">
        <v>0</v>
      </c>
      <c r="Q199">
        <v>0</v>
      </c>
      <c r="R199">
        <v>0</v>
      </c>
      <c r="S199">
        <v>0</v>
      </c>
      <c r="T199" t="s">
        <v>253</v>
      </c>
      <c r="U199" t="s">
        <v>7</v>
      </c>
      <c r="V199" t="s">
        <v>253</v>
      </c>
      <c r="W199" t="s">
        <v>132</v>
      </c>
      <c r="X199" t="s">
        <v>253</v>
      </c>
      <c r="Y199" t="s">
        <v>235</v>
      </c>
      <c r="Z199" t="s">
        <v>236</v>
      </c>
      <c r="AA199" t="s">
        <v>253</v>
      </c>
      <c r="AB199" t="s">
        <v>121</v>
      </c>
      <c r="AC199" s="235">
        <v>-310000</v>
      </c>
      <c r="AD199" s="235">
        <v>-24307.503147808107</v>
      </c>
      <c r="AE199">
        <v>0</v>
      </c>
      <c r="AF199">
        <v>0</v>
      </c>
      <c r="AG199">
        <v>0</v>
      </c>
      <c r="AH199" s="235">
        <v>-10942.287774524069</v>
      </c>
      <c r="AI199">
        <v>226</v>
      </c>
      <c r="AJ199" t="s">
        <v>256</v>
      </c>
      <c r="AK199">
        <v>0</v>
      </c>
      <c r="AL199">
        <v>0</v>
      </c>
      <c r="AM199">
        <v>0</v>
      </c>
    </row>
    <row r="200" spans="1:39" x14ac:dyDescent="0.25">
      <c r="A200" t="s">
        <v>601</v>
      </c>
      <c r="B200" t="s">
        <v>377</v>
      </c>
      <c r="C200" t="s">
        <v>255</v>
      </c>
      <c r="D200" t="s">
        <v>234</v>
      </c>
      <c r="E200" t="s">
        <v>20</v>
      </c>
      <c r="F200" t="s">
        <v>320</v>
      </c>
      <c r="G200" t="s">
        <v>269</v>
      </c>
      <c r="H200" t="s">
        <v>254</v>
      </c>
      <c r="I200" t="s">
        <v>242</v>
      </c>
      <c r="J200" t="s">
        <v>235</v>
      </c>
      <c r="K200" s="380">
        <v>36861</v>
      </c>
      <c r="L200" s="235">
        <v>-99869.14523617478</v>
      </c>
      <c r="M200" s="380">
        <v>36859</v>
      </c>
      <c r="N200" t="s">
        <v>21</v>
      </c>
      <c r="O200">
        <v>2.2000000000000002</v>
      </c>
      <c r="P200">
        <v>0</v>
      </c>
      <c r="Q200">
        <v>0</v>
      </c>
      <c r="R200">
        <v>0</v>
      </c>
      <c r="S200">
        <v>0</v>
      </c>
      <c r="T200" t="s">
        <v>253</v>
      </c>
      <c r="U200" t="s">
        <v>7</v>
      </c>
      <c r="V200" t="s">
        <v>253</v>
      </c>
      <c r="W200" t="s">
        <v>132</v>
      </c>
      <c r="X200" t="s">
        <v>253</v>
      </c>
      <c r="Y200" t="s">
        <v>235</v>
      </c>
      <c r="Z200" t="s">
        <v>236</v>
      </c>
      <c r="AA200" t="s">
        <v>253</v>
      </c>
      <c r="AB200" t="s">
        <v>121</v>
      </c>
      <c r="AC200" s="235">
        <v>-310000</v>
      </c>
      <c r="AD200" s="235">
        <v>-19894.013729574232</v>
      </c>
      <c r="AE200">
        <v>0</v>
      </c>
      <c r="AF200">
        <v>0</v>
      </c>
      <c r="AG200">
        <v>0</v>
      </c>
      <c r="AH200" s="235">
        <v>-6252.9225107267412</v>
      </c>
      <c r="AI200">
        <v>226</v>
      </c>
      <c r="AJ200" t="s">
        <v>256</v>
      </c>
      <c r="AK200">
        <v>0</v>
      </c>
      <c r="AL200">
        <v>0</v>
      </c>
      <c r="AM200">
        <v>0</v>
      </c>
    </row>
    <row r="201" spans="1:39" x14ac:dyDescent="0.25">
      <c r="A201" t="s">
        <v>601</v>
      </c>
      <c r="B201" t="s">
        <v>377</v>
      </c>
      <c r="C201" t="s">
        <v>255</v>
      </c>
      <c r="D201" t="s">
        <v>234</v>
      </c>
      <c r="E201" t="s">
        <v>20</v>
      </c>
      <c r="F201" t="s">
        <v>320</v>
      </c>
      <c r="G201" t="s">
        <v>269</v>
      </c>
      <c r="H201" t="s">
        <v>254</v>
      </c>
      <c r="I201" t="s">
        <v>242</v>
      </c>
      <c r="J201" t="s">
        <v>235</v>
      </c>
      <c r="K201" s="380">
        <v>36831</v>
      </c>
      <c r="L201" s="235">
        <v>-3864.0810378615029</v>
      </c>
      <c r="M201" s="380">
        <v>36829</v>
      </c>
      <c r="N201" t="s">
        <v>21</v>
      </c>
      <c r="O201">
        <v>2.2000000000000002</v>
      </c>
      <c r="P201">
        <v>0</v>
      </c>
      <c r="Q201">
        <v>0</v>
      </c>
      <c r="R201">
        <v>0</v>
      </c>
      <c r="S201">
        <v>0</v>
      </c>
      <c r="T201" t="s">
        <v>253</v>
      </c>
      <c r="U201" t="s">
        <v>7</v>
      </c>
      <c r="V201" t="s">
        <v>253</v>
      </c>
      <c r="W201" t="s">
        <v>132</v>
      </c>
      <c r="X201" t="s">
        <v>253</v>
      </c>
      <c r="Y201" t="s">
        <v>235</v>
      </c>
      <c r="Z201" t="s">
        <v>236</v>
      </c>
      <c r="AA201" t="s">
        <v>253</v>
      </c>
      <c r="AB201" t="s">
        <v>121</v>
      </c>
      <c r="AC201" s="235">
        <v>-300000</v>
      </c>
      <c r="AD201" s="235">
        <v>-2694.8081645491075</v>
      </c>
      <c r="AE201">
        <v>0</v>
      </c>
      <c r="AF201">
        <v>0</v>
      </c>
      <c r="AG201">
        <v>0</v>
      </c>
      <c r="AH201" s="235">
        <v>-688.90667497919412</v>
      </c>
      <c r="AI201">
        <v>226</v>
      </c>
      <c r="AJ201" t="s">
        <v>256</v>
      </c>
      <c r="AK201">
        <v>0</v>
      </c>
      <c r="AL201">
        <v>0</v>
      </c>
      <c r="AM201">
        <v>0</v>
      </c>
    </row>
    <row r="202" spans="1:39" x14ac:dyDescent="0.25">
      <c r="A202" t="s">
        <v>601</v>
      </c>
      <c r="B202" t="s">
        <v>378</v>
      </c>
      <c r="C202" t="s">
        <v>255</v>
      </c>
      <c r="D202" t="s">
        <v>234</v>
      </c>
      <c r="E202" t="s">
        <v>20</v>
      </c>
      <c r="F202" t="s">
        <v>281</v>
      </c>
      <c r="G202" t="s">
        <v>269</v>
      </c>
      <c r="H202" t="s">
        <v>254</v>
      </c>
      <c r="I202" t="s">
        <v>242</v>
      </c>
      <c r="J202" t="s">
        <v>235</v>
      </c>
      <c r="K202" s="380">
        <v>36951</v>
      </c>
      <c r="L202" s="235">
        <v>-164993.61861655075</v>
      </c>
      <c r="M202" s="380">
        <v>36949</v>
      </c>
      <c r="N202" t="s">
        <v>21</v>
      </c>
      <c r="O202">
        <v>1.6</v>
      </c>
      <c r="P202">
        <v>0</v>
      </c>
      <c r="Q202">
        <v>0</v>
      </c>
      <c r="R202">
        <v>0</v>
      </c>
      <c r="S202">
        <v>0</v>
      </c>
      <c r="T202" t="s">
        <v>253</v>
      </c>
      <c r="U202" t="s">
        <v>7</v>
      </c>
      <c r="V202" t="s">
        <v>253</v>
      </c>
      <c r="W202" t="s">
        <v>132</v>
      </c>
      <c r="X202" t="s">
        <v>253</v>
      </c>
      <c r="Y202" t="s">
        <v>235</v>
      </c>
      <c r="Z202" t="s">
        <v>236</v>
      </c>
      <c r="AA202" t="s">
        <v>253</v>
      </c>
      <c r="AB202" t="s">
        <v>121</v>
      </c>
      <c r="AC202" s="235">
        <v>-500000</v>
      </c>
      <c r="AD202" s="235">
        <v>-40486.301902801148</v>
      </c>
      <c r="AE202">
        <v>0</v>
      </c>
      <c r="AF202">
        <v>0</v>
      </c>
      <c r="AG202">
        <v>0</v>
      </c>
      <c r="AH202" s="235">
        <v>-13572.421626797965</v>
      </c>
      <c r="AI202">
        <v>226</v>
      </c>
      <c r="AJ202" t="s">
        <v>256</v>
      </c>
      <c r="AK202">
        <v>0</v>
      </c>
      <c r="AL202">
        <v>0</v>
      </c>
      <c r="AM202">
        <v>0</v>
      </c>
    </row>
    <row r="203" spans="1:39" x14ac:dyDescent="0.25">
      <c r="A203" t="s">
        <v>601</v>
      </c>
      <c r="B203" t="s">
        <v>378</v>
      </c>
      <c r="C203" t="s">
        <v>255</v>
      </c>
      <c r="D203" t="s">
        <v>234</v>
      </c>
      <c r="E203" t="s">
        <v>20</v>
      </c>
      <c r="F203" t="s">
        <v>281</v>
      </c>
      <c r="G203" t="s">
        <v>269</v>
      </c>
      <c r="H203" t="s">
        <v>254</v>
      </c>
      <c r="I203" t="s">
        <v>242</v>
      </c>
      <c r="J203" t="s">
        <v>235</v>
      </c>
      <c r="K203" s="380">
        <v>36923</v>
      </c>
      <c r="L203" s="235">
        <v>-453075.2502088857</v>
      </c>
      <c r="M203" s="380">
        <v>36921</v>
      </c>
      <c r="N203" t="s">
        <v>21</v>
      </c>
      <c r="O203">
        <v>1.6</v>
      </c>
      <c r="P203">
        <v>0</v>
      </c>
      <c r="Q203">
        <v>0</v>
      </c>
      <c r="R203">
        <v>0</v>
      </c>
      <c r="S203">
        <v>0</v>
      </c>
      <c r="T203" t="s">
        <v>253</v>
      </c>
      <c r="U203" t="s">
        <v>7</v>
      </c>
      <c r="V203" t="s">
        <v>253</v>
      </c>
      <c r="W203" t="s">
        <v>132</v>
      </c>
      <c r="X203" t="s">
        <v>253</v>
      </c>
      <c r="Y203" t="s">
        <v>235</v>
      </c>
      <c r="Z203" t="s">
        <v>236</v>
      </c>
      <c r="AA203" t="s">
        <v>253</v>
      </c>
      <c r="AB203" t="s">
        <v>121</v>
      </c>
      <c r="AC203" s="235">
        <v>-500000</v>
      </c>
      <c r="AD203" s="235">
        <v>-41984.319025358185</v>
      </c>
      <c r="AE203">
        <v>0</v>
      </c>
      <c r="AF203">
        <v>0</v>
      </c>
      <c r="AG203">
        <v>0</v>
      </c>
      <c r="AH203" s="235">
        <v>-24464.730833474314</v>
      </c>
      <c r="AI203">
        <v>226</v>
      </c>
      <c r="AJ203" t="s">
        <v>256</v>
      </c>
      <c r="AK203">
        <v>0</v>
      </c>
      <c r="AL203">
        <v>0</v>
      </c>
      <c r="AM203">
        <v>0</v>
      </c>
    </row>
    <row r="204" spans="1:39" x14ac:dyDescent="0.25">
      <c r="A204" t="s">
        <v>601</v>
      </c>
      <c r="B204" t="s">
        <v>378</v>
      </c>
      <c r="C204" t="s">
        <v>255</v>
      </c>
      <c r="D204" t="s">
        <v>234</v>
      </c>
      <c r="E204" t="s">
        <v>20</v>
      </c>
      <c r="F204" t="s">
        <v>281</v>
      </c>
      <c r="G204" t="s">
        <v>269</v>
      </c>
      <c r="H204" t="s">
        <v>254</v>
      </c>
      <c r="I204" t="s">
        <v>242</v>
      </c>
      <c r="J204" t="s">
        <v>235</v>
      </c>
      <c r="K204" s="380">
        <v>36892</v>
      </c>
      <c r="L204" s="235">
        <v>-464051.02821278502</v>
      </c>
      <c r="M204" s="380">
        <v>36888</v>
      </c>
      <c r="N204" t="s">
        <v>21</v>
      </c>
      <c r="O204">
        <v>1.6</v>
      </c>
      <c r="P204">
        <v>0</v>
      </c>
      <c r="Q204">
        <v>0</v>
      </c>
      <c r="R204">
        <v>0</v>
      </c>
      <c r="S204">
        <v>0</v>
      </c>
      <c r="T204" t="s">
        <v>253</v>
      </c>
      <c r="U204" t="s">
        <v>7</v>
      </c>
      <c r="V204" t="s">
        <v>253</v>
      </c>
      <c r="W204" t="s">
        <v>132</v>
      </c>
      <c r="X204" t="s">
        <v>253</v>
      </c>
      <c r="Y204" t="s">
        <v>235</v>
      </c>
      <c r="Z204" t="s">
        <v>236</v>
      </c>
      <c r="AA204" t="s">
        <v>253</v>
      </c>
      <c r="AB204" t="s">
        <v>121</v>
      </c>
      <c r="AC204" s="235">
        <v>-500000</v>
      </c>
      <c r="AD204" s="235">
        <v>-37672.529627170414</v>
      </c>
      <c r="AE204">
        <v>0</v>
      </c>
      <c r="AF204">
        <v>0</v>
      </c>
      <c r="AG204">
        <v>0</v>
      </c>
      <c r="AH204" s="235">
        <v>-21769.108398798446</v>
      </c>
      <c r="AI204">
        <v>226</v>
      </c>
      <c r="AJ204" t="s">
        <v>256</v>
      </c>
      <c r="AK204">
        <v>0</v>
      </c>
      <c r="AL204">
        <v>0</v>
      </c>
      <c r="AM204">
        <v>0</v>
      </c>
    </row>
    <row r="205" spans="1:39" x14ac:dyDescent="0.25">
      <c r="A205" t="s">
        <v>601</v>
      </c>
      <c r="B205" t="s">
        <v>378</v>
      </c>
      <c r="C205" t="s">
        <v>255</v>
      </c>
      <c r="D205" t="s">
        <v>234</v>
      </c>
      <c r="E205" t="s">
        <v>20</v>
      </c>
      <c r="F205" t="s">
        <v>281</v>
      </c>
      <c r="G205" t="s">
        <v>269</v>
      </c>
      <c r="H205" t="s">
        <v>254</v>
      </c>
      <c r="I205" t="s">
        <v>242</v>
      </c>
      <c r="J205" t="s">
        <v>235</v>
      </c>
      <c r="K205" s="380">
        <v>36861</v>
      </c>
      <c r="L205" s="235">
        <v>-267671.47544712661</v>
      </c>
      <c r="M205" s="380">
        <v>36859</v>
      </c>
      <c r="N205" t="s">
        <v>21</v>
      </c>
      <c r="O205">
        <v>1.6</v>
      </c>
      <c r="P205">
        <v>0</v>
      </c>
      <c r="Q205">
        <v>0</v>
      </c>
      <c r="R205">
        <v>0</v>
      </c>
      <c r="S205">
        <v>0</v>
      </c>
      <c r="T205" t="s">
        <v>253</v>
      </c>
      <c r="U205" t="s">
        <v>7</v>
      </c>
      <c r="V205" t="s">
        <v>253</v>
      </c>
      <c r="W205" t="s">
        <v>132</v>
      </c>
      <c r="X205" t="s">
        <v>253</v>
      </c>
      <c r="Y205" t="s">
        <v>235</v>
      </c>
      <c r="Z205" t="s">
        <v>236</v>
      </c>
      <c r="AA205" t="s">
        <v>253</v>
      </c>
      <c r="AB205" t="s">
        <v>121</v>
      </c>
      <c r="AC205" s="235">
        <v>-500000</v>
      </c>
      <c r="AD205" s="235">
        <v>-35401.201423718681</v>
      </c>
      <c r="AE205">
        <v>0</v>
      </c>
      <c r="AF205">
        <v>0</v>
      </c>
      <c r="AG205">
        <v>0</v>
      </c>
      <c r="AH205" s="235">
        <v>-13921.851269582665</v>
      </c>
      <c r="AI205">
        <v>226</v>
      </c>
      <c r="AJ205" t="s">
        <v>256</v>
      </c>
      <c r="AK205">
        <v>0</v>
      </c>
      <c r="AL205">
        <v>0</v>
      </c>
      <c r="AM205">
        <v>0</v>
      </c>
    </row>
    <row r="206" spans="1:39" x14ac:dyDescent="0.25">
      <c r="A206" t="s">
        <v>601</v>
      </c>
      <c r="B206" t="s">
        <v>378</v>
      </c>
      <c r="C206" t="s">
        <v>255</v>
      </c>
      <c r="D206" t="s">
        <v>234</v>
      </c>
      <c r="E206" t="s">
        <v>20</v>
      </c>
      <c r="F206" t="s">
        <v>281</v>
      </c>
      <c r="G206" t="s">
        <v>269</v>
      </c>
      <c r="H206" t="s">
        <v>254</v>
      </c>
      <c r="I206" t="s">
        <v>242</v>
      </c>
      <c r="J206" t="s">
        <v>235</v>
      </c>
      <c r="K206" s="380">
        <v>36831</v>
      </c>
      <c r="L206" s="235">
        <v>-24777.477296877751</v>
      </c>
      <c r="M206" s="380">
        <v>36829</v>
      </c>
      <c r="N206" t="s">
        <v>21</v>
      </c>
      <c r="O206">
        <v>1.6</v>
      </c>
      <c r="P206">
        <v>0</v>
      </c>
      <c r="Q206">
        <v>0</v>
      </c>
      <c r="R206">
        <v>0</v>
      </c>
      <c r="S206">
        <v>0</v>
      </c>
      <c r="T206" t="s">
        <v>253</v>
      </c>
      <c r="U206" t="s">
        <v>7</v>
      </c>
      <c r="V206" t="s">
        <v>253</v>
      </c>
      <c r="W206" t="s">
        <v>132</v>
      </c>
      <c r="X206" t="s">
        <v>253</v>
      </c>
      <c r="Y206" t="s">
        <v>235</v>
      </c>
      <c r="Z206" t="s">
        <v>236</v>
      </c>
      <c r="AA206" t="s">
        <v>253</v>
      </c>
      <c r="AB206" t="s">
        <v>121</v>
      </c>
      <c r="AC206" s="235">
        <v>-500000</v>
      </c>
      <c r="AD206" s="235">
        <v>-11503.944274113608</v>
      </c>
      <c r="AE206">
        <v>0</v>
      </c>
      <c r="AF206">
        <v>0</v>
      </c>
      <c r="AG206">
        <v>0</v>
      </c>
      <c r="AH206" s="235">
        <v>-3479.1637170615977</v>
      </c>
      <c r="AI206">
        <v>226</v>
      </c>
      <c r="AJ206" t="s">
        <v>256</v>
      </c>
      <c r="AK206">
        <v>0</v>
      </c>
      <c r="AL206">
        <v>0</v>
      </c>
      <c r="AM206">
        <v>0</v>
      </c>
    </row>
    <row r="207" spans="1:39" x14ac:dyDescent="0.25">
      <c r="A207" t="s">
        <v>601</v>
      </c>
      <c r="B207" t="s">
        <v>379</v>
      </c>
      <c r="C207" t="s">
        <v>255</v>
      </c>
      <c r="D207" t="s">
        <v>234</v>
      </c>
      <c r="E207" t="s">
        <v>20</v>
      </c>
      <c r="F207" t="s">
        <v>281</v>
      </c>
      <c r="G207" t="s">
        <v>269</v>
      </c>
      <c r="H207" t="s">
        <v>254</v>
      </c>
      <c r="I207" t="s">
        <v>242</v>
      </c>
      <c r="J207" t="s">
        <v>235</v>
      </c>
      <c r="K207" s="380">
        <v>36951</v>
      </c>
      <c r="L207" s="235">
        <v>109371.68982387714</v>
      </c>
      <c r="M207" s="380">
        <v>36949</v>
      </c>
      <c r="N207" t="s">
        <v>21</v>
      </c>
      <c r="O207">
        <v>2.1</v>
      </c>
      <c r="P207">
        <v>0</v>
      </c>
      <c r="Q207">
        <v>0</v>
      </c>
      <c r="R207">
        <v>0</v>
      </c>
      <c r="S207">
        <v>0</v>
      </c>
      <c r="T207" t="s">
        <v>253</v>
      </c>
      <c r="U207" t="s">
        <v>7</v>
      </c>
      <c r="V207" t="s">
        <v>253</v>
      </c>
      <c r="W207" t="s">
        <v>132</v>
      </c>
      <c r="X207" t="s">
        <v>253</v>
      </c>
      <c r="Y207" t="s">
        <v>235</v>
      </c>
      <c r="Z207" t="s">
        <v>236</v>
      </c>
      <c r="AA207" t="s">
        <v>253</v>
      </c>
      <c r="AB207" t="s">
        <v>121</v>
      </c>
      <c r="AC207" s="235">
        <v>500000</v>
      </c>
      <c r="AD207" s="235">
        <v>34102.064735658772</v>
      </c>
      <c r="AE207">
        <v>0</v>
      </c>
      <c r="AF207">
        <v>0</v>
      </c>
      <c r="AG207">
        <v>0</v>
      </c>
      <c r="AH207" s="235">
        <v>10079.673668305913</v>
      </c>
      <c r="AI207">
        <v>226</v>
      </c>
      <c r="AJ207" t="s">
        <v>256</v>
      </c>
      <c r="AK207">
        <v>0</v>
      </c>
      <c r="AL207">
        <v>0</v>
      </c>
      <c r="AM207">
        <v>0</v>
      </c>
    </row>
    <row r="208" spans="1:39" x14ac:dyDescent="0.25">
      <c r="A208" t="s">
        <v>601</v>
      </c>
      <c r="B208" t="s">
        <v>379</v>
      </c>
      <c r="C208" t="s">
        <v>255</v>
      </c>
      <c r="D208" t="s">
        <v>234</v>
      </c>
      <c r="E208" t="s">
        <v>20</v>
      </c>
      <c r="F208" t="s">
        <v>281</v>
      </c>
      <c r="G208" t="s">
        <v>269</v>
      </c>
      <c r="H208" t="s">
        <v>254</v>
      </c>
      <c r="I208" t="s">
        <v>242</v>
      </c>
      <c r="J208" t="s">
        <v>235</v>
      </c>
      <c r="K208" s="380">
        <v>36923</v>
      </c>
      <c r="L208" s="235">
        <v>339537.88299489295</v>
      </c>
      <c r="M208" s="380">
        <v>36921</v>
      </c>
      <c r="N208" t="s">
        <v>21</v>
      </c>
      <c r="O208">
        <v>2.1</v>
      </c>
      <c r="P208">
        <v>0</v>
      </c>
      <c r="Q208">
        <v>0</v>
      </c>
      <c r="R208">
        <v>0</v>
      </c>
      <c r="S208">
        <v>0</v>
      </c>
      <c r="T208" t="s">
        <v>253</v>
      </c>
      <c r="U208" t="s">
        <v>7</v>
      </c>
      <c r="V208" t="s">
        <v>253</v>
      </c>
      <c r="W208" t="s">
        <v>132</v>
      </c>
      <c r="X208" t="s">
        <v>253</v>
      </c>
      <c r="Y208" t="s">
        <v>235</v>
      </c>
      <c r="Z208" t="s">
        <v>236</v>
      </c>
      <c r="AA208" t="s">
        <v>253</v>
      </c>
      <c r="AB208" t="s">
        <v>121</v>
      </c>
      <c r="AC208" s="235">
        <v>500000</v>
      </c>
      <c r="AD208" s="235">
        <v>42900.183110857062</v>
      </c>
      <c r="AE208">
        <v>0</v>
      </c>
      <c r="AF208">
        <v>0</v>
      </c>
      <c r="AG208">
        <v>0</v>
      </c>
      <c r="AH208" s="235">
        <v>20656.908867582853</v>
      </c>
      <c r="AI208">
        <v>226</v>
      </c>
      <c r="AJ208" t="s">
        <v>256</v>
      </c>
      <c r="AK208">
        <v>0</v>
      </c>
      <c r="AL208">
        <v>0</v>
      </c>
      <c r="AM208">
        <v>0</v>
      </c>
    </row>
    <row r="209" spans="1:39" x14ac:dyDescent="0.25">
      <c r="A209" t="s">
        <v>601</v>
      </c>
      <c r="B209" t="s">
        <v>379</v>
      </c>
      <c r="C209" t="s">
        <v>255</v>
      </c>
      <c r="D209" t="s">
        <v>234</v>
      </c>
      <c r="E209" t="s">
        <v>20</v>
      </c>
      <c r="F209" t="s">
        <v>281</v>
      </c>
      <c r="G209" t="s">
        <v>269</v>
      </c>
      <c r="H209" t="s">
        <v>254</v>
      </c>
      <c r="I209" t="s">
        <v>242</v>
      </c>
      <c r="J209" t="s">
        <v>235</v>
      </c>
      <c r="K209" s="380">
        <v>36892</v>
      </c>
      <c r="L209" s="235">
        <v>341998.20047145017</v>
      </c>
      <c r="M209" s="380">
        <v>36888</v>
      </c>
      <c r="N209" t="s">
        <v>21</v>
      </c>
      <c r="O209">
        <v>2.1</v>
      </c>
      <c r="P209">
        <v>0</v>
      </c>
      <c r="Q209">
        <v>0</v>
      </c>
      <c r="R209">
        <v>0</v>
      </c>
      <c r="S209">
        <v>0</v>
      </c>
      <c r="T209" t="s">
        <v>253</v>
      </c>
      <c r="U209" t="s">
        <v>7</v>
      </c>
      <c r="V209" t="s">
        <v>253</v>
      </c>
      <c r="W209" t="s">
        <v>132</v>
      </c>
      <c r="X209" t="s">
        <v>253</v>
      </c>
      <c r="Y209" t="s">
        <v>235</v>
      </c>
      <c r="Z209" t="s">
        <v>236</v>
      </c>
      <c r="AA209" t="s">
        <v>253</v>
      </c>
      <c r="AB209" t="s">
        <v>121</v>
      </c>
      <c r="AC209" s="235">
        <v>500000</v>
      </c>
      <c r="AD209" s="235">
        <v>39316.161845855968</v>
      </c>
      <c r="AE209">
        <v>0</v>
      </c>
      <c r="AF209">
        <v>0</v>
      </c>
      <c r="AG209">
        <v>0</v>
      </c>
      <c r="AH209" s="235">
        <v>18334.674125103455</v>
      </c>
      <c r="AI209">
        <v>226</v>
      </c>
      <c r="AJ209" t="s">
        <v>256</v>
      </c>
      <c r="AK209">
        <v>0</v>
      </c>
      <c r="AL209">
        <v>0</v>
      </c>
      <c r="AM209">
        <v>0</v>
      </c>
    </row>
    <row r="210" spans="1:39" x14ac:dyDescent="0.25">
      <c r="A210" t="s">
        <v>601</v>
      </c>
      <c r="B210" t="s">
        <v>379</v>
      </c>
      <c r="C210" t="s">
        <v>255</v>
      </c>
      <c r="D210" t="s">
        <v>234</v>
      </c>
      <c r="E210" t="s">
        <v>20</v>
      </c>
      <c r="F210" t="s">
        <v>281</v>
      </c>
      <c r="G210" t="s">
        <v>269</v>
      </c>
      <c r="H210" t="s">
        <v>254</v>
      </c>
      <c r="I210" t="s">
        <v>242</v>
      </c>
      <c r="J210" t="s">
        <v>235</v>
      </c>
      <c r="K210" s="380">
        <v>36861</v>
      </c>
      <c r="L210" s="235">
        <v>175629.04621695401</v>
      </c>
      <c r="M210" s="380">
        <v>36859</v>
      </c>
      <c r="N210" t="s">
        <v>21</v>
      </c>
      <c r="O210">
        <v>2.1</v>
      </c>
      <c r="P210">
        <v>0</v>
      </c>
      <c r="Q210">
        <v>0</v>
      </c>
      <c r="R210">
        <v>0</v>
      </c>
      <c r="S210">
        <v>0</v>
      </c>
      <c r="T210" t="s">
        <v>253</v>
      </c>
      <c r="U210" t="s">
        <v>7</v>
      </c>
      <c r="V210" t="s">
        <v>253</v>
      </c>
      <c r="W210" t="s">
        <v>132</v>
      </c>
      <c r="X210" t="s">
        <v>253</v>
      </c>
      <c r="Y210" t="s">
        <v>235</v>
      </c>
      <c r="Z210" t="s">
        <v>236</v>
      </c>
      <c r="AA210" t="s">
        <v>253</v>
      </c>
      <c r="AB210" t="s">
        <v>121</v>
      </c>
      <c r="AC210" s="235">
        <v>500000</v>
      </c>
      <c r="AD210" s="235">
        <v>32963.365191181743</v>
      </c>
      <c r="AE210">
        <v>0</v>
      </c>
      <c r="AF210">
        <v>0</v>
      </c>
      <c r="AG210">
        <v>0</v>
      </c>
      <c r="AH210" s="235">
        <v>10689.623718832707</v>
      </c>
      <c r="AI210">
        <v>226</v>
      </c>
      <c r="AJ210" t="s">
        <v>256</v>
      </c>
      <c r="AK210">
        <v>0</v>
      </c>
      <c r="AL210">
        <v>0</v>
      </c>
      <c r="AM210">
        <v>0</v>
      </c>
    </row>
    <row r="211" spans="1:39" x14ac:dyDescent="0.25">
      <c r="A211" t="s">
        <v>601</v>
      </c>
      <c r="B211" t="s">
        <v>379</v>
      </c>
      <c r="C211" t="s">
        <v>255</v>
      </c>
      <c r="D211" t="s">
        <v>234</v>
      </c>
      <c r="E211" t="s">
        <v>20</v>
      </c>
      <c r="F211" t="s">
        <v>281</v>
      </c>
      <c r="G211" t="s">
        <v>269</v>
      </c>
      <c r="H211" t="s">
        <v>254</v>
      </c>
      <c r="I211" t="s">
        <v>242</v>
      </c>
      <c r="J211" t="s">
        <v>235</v>
      </c>
      <c r="K211" s="380">
        <v>36831</v>
      </c>
      <c r="L211" s="235">
        <v>8097.7127285457618</v>
      </c>
      <c r="M211" s="380">
        <v>36829</v>
      </c>
      <c r="N211" t="s">
        <v>21</v>
      </c>
      <c r="O211">
        <v>2.1</v>
      </c>
      <c r="P211">
        <v>0</v>
      </c>
      <c r="Q211">
        <v>0</v>
      </c>
      <c r="R211">
        <v>0</v>
      </c>
      <c r="S211">
        <v>0</v>
      </c>
      <c r="T211" t="s">
        <v>253</v>
      </c>
      <c r="U211" t="s">
        <v>7</v>
      </c>
      <c r="V211" t="s">
        <v>253</v>
      </c>
      <c r="W211" t="s">
        <v>132</v>
      </c>
      <c r="X211" t="s">
        <v>253</v>
      </c>
      <c r="Y211" t="s">
        <v>235</v>
      </c>
      <c r="Z211" t="s">
        <v>236</v>
      </c>
      <c r="AA211" t="s">
        <v>253</v>
      </c>
      <c r="AB211" t="s">
        <v>121</v>
      </c>
      <c r="AC211" s="235">
        <v>500000</v>
      </c>
      <c r="AD211" s="235">
        <v>5333.3039099514426</v>
      </c>
      <c r="AE211">
        <v>0</v>
      </c>
      <c r="AF211">
        <v>0</v>
      </c>
      <c r="AG211">
        <v>0</v>
      </c>
      <c r="AH211" s="235">
        <v>1393.4033393098143</v>
      </c>
      <c r="AI211">
        <v>226</v>
      </c>
      <c r="AJ211" t="s">
        <v>256</v>
      </c>
      <c r="AK211">
        <v>0</v>
      </c>
      <c r="AL211">
        <v>0</v>
      </c>
      <c r="AM211">
        <v>0</v>
      </c>
    </row>
    <row r="212" spans="1:39" x14ac:dyDescent="0.25">
      <c r="A212" t="s">
        <v>601</v>
      </c>
      <c r="B212" t="s">
        <v>380</v>
      </c>
      <c r="C212" t="s">
        <v>255</v>
      </c>
      <c r="D212" t="s">
        <v>234</v>
      </c>
      <c r="E212" t="s">
        <v>20</v>
      </c>
      <c r="F212" t="s">
        <v>286</v>
      </c>
      <c r="G212" t="s">
        <v>269</v>
      </c>
      <c r="H212" t="s">
        <v>254</v>
      </c>
      <c r="I212" t="s">
        <v>242</v>
      </c>
      <c r="J212" t="s">
        <v>235</v>
      </c>
      <c r="K212" s="380">
        <v>36831</v>
      </c>
      <c r="L212" s="235">
        <v>170435.56386117105</v>
      </c>
      <c r="M212" s="380">
        <v>36829</v>
      </c>
      <c r="N212" t="s">
        <v>21</v>
      </c>
      <c r="O212">
        <v>1</v>
      </c>
      <c r="P212">
        <v>0</v>
      </c>
      <c r="Q212">
        <v>0</v>
      </c>
      <c r="R212">
        <v>0</v>
      </c>
      <c r="S212">
        <v>0</v>
      </c>
      <c r="T212" t="s">
        <v>253</v>
      </c>
      <c r="U212" t="s">
        <v>7</v>
      </c>
      <c r="V212" t="s">
        <v>253</v>
      </c>
      <c r="W212" t="s">
        <v>132</v>
      </c>
      <c r="X212" t="s">
        <v>253</v>
      </c>
      <c r="Y212" t="s">
        <v>235</v>
      </c>
      <c r="Z212" t="s">
        <v>236</v>
      </c>
      <c r="AA212" t="s">
        <v>253</v>
      </c>
      <c r="AB212" t="s">
        <v>121</v>
      </c>
      <c r="AC212" s="235">
        <v>1000000</v>
      </c>
      <c r="AD212" s="235">
        <v>41813.909343745385</v>
      </c>
      <c r="AE212">
        <v>0</v>
      </c>
      <c r="AF212">
        <v>0</v>
      </c>
      <c r="AG212">
        <v>0</v>
      </c>
      <c r="AH212" s="235">
        <v>17333.073396592925</v>
      </c>
      <c r="AI212">
        <v>226</v>
      </c>
      <c r="AJ212" t="s">
        <v>256</v>
      </c>
      <c r="AK212">
        <v>0</v>
      </c>
      <c r="AL212">
        <v>0</v>
      </c>
      <c r="AM212">
        <v>0</v>
      </c>
    </row>
    <row r="213" spans="1:39" x14ac:dyDescent="0.25">
      <c r="A213" t="s">
        <v>601</v>
      </c>
      <c r="B213" t="s">
        <v>381</v>
      </c>
      <c r="C213" t="s">
        <v>255</v>
      </c>
      <c r="D213" t="s">
        <v>234</v>
      </c>
      <c r="E213" t="s">
        <v>20</v>
      </c>
      <c r="F213" t="s">
        <v>383</v>
      </c>
      <c r="G213" t="s">
        <v>269</v>
      </c>
      <c r="H213" t="s">
        <v>254</v>
      </c>
      <c r="I213" t="s">
        <v>242</v>
      </c>
      <c r="J213" t="s">
        <v>235</v>
      </c>
      <c r="K213" s="380">
        <v>36951</v>
      </c>
      <c r="L213" s="235">
        <v>-102296.04354226147</v>
      </c>
      <c r="M213" s="380">
        <v>36949</v>
      </c>
      <c r="N213" t="s">
        <v>21</v>
      </c>
      <c r="O213">
        <v>1.6</v>
      </c>
      <c r="P213">
        <v>0</v>
      </c>
      <c r="Q213">
        <v>0</v>
      </c>
      <c r="R213">
        <v>0</v>
      </c>
      <c r="S213">
        <v>0</v>
      </c>
      <c r="T213" t="s">
        <v>253</v>
      </c>
      <c r="U213" t="s">
        <v>7</v>
      </c>
      <c r="V213" t="s">
        <v>253</v>
      </c>
      <c r="W213" t="s">
        <v>132</v>
      </c>
      <c r="X213" t="s">
        <v>253</v>
      </c>
      <c r="Y213" t="s">
        <v>235</v>
      </c>
      <c r="Z213" t="s">
        <v>236</v>
      </c>
      <c r="AA213" t="s">
        <v>253</v>
      </c>
      <c r="AB213" t="s">
        <v>121</v>
      </c>
      <c r="AC213" s="235">
        <v>-310000</v>
      </c>
      <c r="AD213" s="235">
        <v>-25101.507179736698</v>
      </c>
      <c r="AE213">
        <v>0</v>
      </c>
      <c r="AF213">
        <v>0</v>
      </c>
      <c r="AG213">
        <v>0</v>
      </c>
      <c r="AH213" s="235">
        <v>-8414.9014086147217</v>
      </c>
      <c r="AI213">
        <v>226</v>
      </c>
      <c r="AJ213" t="s">
        <v>256</v>
      </c>
      <c r="AK213">
        <v>0</v>
      </c>
      <c r="AL213">
        <v>0</v>
      </c>
      <c r="AM213">
        <v>0</v>
      </c>
    </row>
    <row r="214" spans="1:39" x14ac:dyDescent="0.25">
      <c r="A214" t="s">
        <v>601</v>
      </c>
      <c r="B214" t="s">
        <v>381</v>
      </c>
      <c r="C214" t="s">
        <v>255</v>
      </c>
      <c r="D214" t="s">
        <v>234</v>
      </c>
      <c r="E214" t="s">
        <v>20</v>
      </c>
      <c r="F214" t="s">
        <v>383</v>
      </c>
      <c r="G214" t="s">
        <v>269</v>
      </c>
      <c r="H214" t="s">
        <v>254</v>
      </c>
      <c r="I214" t="s">
        <v>242</v>
      </c>
      <c r="J214" t="s">
        <v>235</v>
      </c>
      <c r="K214" s="380">
        <v>36923</v>
      </c>
      <c r="L214" s="235">
        <v>-253722.14011697602</v>
      </c>
      <c r="M214" s="380">
        <v>36921</v>
      </c>
      <c r="N214" t="s">
        <v>21</v>
      </c>
      <c r="O214">
        <v>1.6</v>
      </c>
      <c r="P214">
        <v>0</v>
      </c>
      <c r="Q214">
        <v>0</v>
      </c>
      <c r="R214">
        <v>0</v>
      </c>
      <c r="S214">
        <v>0</v>
      </c>
      <c r="T214" t="s">
        <v>253</v>
      </c>
      <c r="U214" t="s">
        <v>7</v>
      </c>
      <c r="V214" t="s">
        <v>253</v>
      </c>
      <c r="W214" t="s">
        <v>132</v>
      </c>
      <c r="X214" t="s">
        <v>253</v>
      </c>
      <c r="Y214" t="s">
        <v>235</v>
      </c>
      <c r="Z214" t="s">
        <v>236</v>
      </c>
      <c r="AA214" t="s">
        <v>253</v>
      </c>
      <c r="AB214" t="s">
        <v>121</v>
      </c>
      <c r="AC214" s="235">
        <v>-280000</v>
      </c>
      <c r="AD214" s="235">
        <v>-23511.218654200609</v>
      </c>
      <c r="AE214">
        <v>0</v>
      </c>
      <c r="AF214">
        <v>0</v>
      </c>
      <c r="AG214">
        <v>0</v>
      </c>
      <c r="AH214" s="235">
        <v>-13700.24926674561</v>
      </c>
      <c r="AI214">
        <v>226</v>
      </c>
      <c r="AJ214" t="s">
        <v>256</v>
      </c>
      <c r="AK214">
        <v>0</v>
      </c>
      <c r="AL214">
        <v>0</v>
      </c>
      <c r="AM214">
        <v>0</v>
      </c>
    </row>
    <row r="215" spans="1:39" x14ac:dyDescent="0.25">
      <c r="A215" t="s">
        <v>601</v>
      </c>
      <c r="B215" t="s">
        <v>381</v>
      </c>
      <c r="C215" t="s">
        <v>255</v>
      </c>
      <c r="D215" t="s">
        <v>234</v>
      </c>
      <c r="E215" t="s">
        <v>20</v>
      </c>
      <c r="F215" t="s">
        <v>383</v>
      </c>
      <c r="G215" t="s">
        <v>269</v>
      </c>
      <c r="H215" t="s">
        <v>254</v>
      </c>
      <c r="I215" t="s">
        <v>242</v>
      </c>
      <c r="J215" t="s">
        <v>235</v>
      </c>
      <c r="K215" s="380">
        <v>36892</v>
      </c>
      <c r="L215" s="235">
        <v>-287711.63749192673</v>
      </c>
      <c r="M215" s="380">
        <v>36888</v>
      </c>
      <c r="N215" t="s">
        <v>21</v>
      </c>
      <c r="O215">
        <v>1.6</v>
      </c>
      <c r="P215">
        <v>0</v>
      </c>
      <c r="Q215">
        <v>0</v>
      </c>
      <c r="R215">
        <v>0</v>
      </c>
      <c r="S215">
        <v>0</v>
      </c>
      <c r="T215" t="s">
        <v>253</v>
      </c>
      <c r="U215" t="s">
        <v>7</v>
      </c>
      <c r="V215" t="s">
        <v>253</v>
      </c>
      <c r="W215" t="s">
        <v>132</v>
      </c>
      <c r="X215" t="s">
        <v>253</v>
      </c>
      <c r="Y215" t="s">
        <v>235</v>
      </c>
      <c r="Z215" t="s">
        <v>236</v>
      </c>
      <c r="AA215" t="s">
        <v>253</v>
      </c>
      <c r="AB215" t="s">
        <v>121</v>
      </c>
      <c r="AC215" s="235">
        <v>-310000</v>
      </c>
      <c r="AD215" s="235">
        <v>-23356.968368845613</v>
      </c>
      <c r="AE215">
        <v>0</v>
      </c>
      <c r="AF215">
        <v>0</v>
      </c>
      <c r="AG215">
        <v>0</v>
      </c>
      <c r="AH215" s="235">
        <v>-13496.847207255079</v>
      </c>
      <c r="AI215">
        <v>226</v>
      </c>
      <c r="AJ215" t="s">
        <v>256</v>
      </c>
      <c r="AK215">
        <v>0</v>
      </c>
      <c r="AL215">
        <v>0</v>
      </c>
      <c r="AM215">
        <v>0</v>
      </c>
    </row>
    <row r="216" spans="1:39" x14ac:dyDescent="0.25">
      <c r="A216" t="s">
        <v>601</v>
      </c>
      <c r="B216" t="s">
        <v>381</v>
      </c>
      <c r="C216" t="s">
        <v>255</v>
      </c>
      <c r="D216" t="s">
        <v>234</v>
      </c>
      <c r="E216" t="s">
        <v>20</v>
      </c>
      <c r="F216" t="s">
        <v>383</v>
      </c>
      <c r="G216" t="s">
        <v>269</v>
      </c>
      <c r="H216" t="s">
        <v>254</v>
      </c>
      <c r="I216" t="s">
        <v>242</v>
      </c>
      <c r="J216" t="s">
        <v>235</v>
      </c>
      <c r="K216" s="380">
        <v>36861</v>
      </c>
      <c r="L216" s="235">
        <v>-165956.3147772185</v>
      </c>
      <c r="M216" s="380">
        <v>36859</v>
      </c>
      <c r="N216" t="s">
        <v>21</v>
      </c>
      <c r="O216">
        <v>1.6</v>
      </c>
      <c r="P216">
        <v>0</v>
      </c>
      <c r="Q216">
        <v>0</v>
      </c>
      <c r="R216">
        <v>0</v>
      </c>
      <c r="S216">
        <v>0</v>
      </c>
      <c r="T216" t="s">
        <v>253</v>
      </c>
      <c r="U216" t="s">
        <v>7</v>
      </c>
      <c r="V216" t="s">
        <v>253</v>
      </c>
      <c r="W216" t="s">
        <v>132</v>
      </c>
      <c r="X216" t="s">
        <v>253</v>
      </c>
      <c r="Y216" t="s">
        <v>235</v>
      </c>
      <c r="Z216" t="s">
        <v>236</v>
      </c>
      <c r="AA216" t="s">
        <v>253</v>
      </c>
      <c r="AB216" t="s">
        <v>121</v>
      </c>
      <c r="AC216" s="235">
        <v>-310000</v>
      </c>
      <c r="AD216" s="235">
        <v>-21948.744882705592</v>
      </c>
      <c r="AE216">
        <v>0</v>
      </c>
      <c r="AF216">
        <v>0</v>
      </c>
      <c r="AG216">
        <v>0</v>
      </c>
      <c r="AH216" s="235">
        <v>-8631.5477871412586</v>
      </c>
      <c r="AI216">
        <v>226</v>
      </c>
      <c r="AJ216" t="s">
        <v>256</v>
      </c>
      <c r="AK216">
        <v>0</v>
      </c>
      <c r="AL216">
        <v>0</v>
      </c>
      <c r="AM216">
        <v>0</v>
      </c>
    </row>
    <row r="217" spans="1:39" x14ac:dyDescent="0.25">
      <c r="A217" t="s">
        <v>601</v>
      </c>
      <c r="B217" t="s">
        <v>381</v>
      </c>
      <c r="C217" t="s">
        <v>255</v>
      </c>
      <c r="D217" t="s">
        <v>234</v>
      </c>
      <c r="E217" t="s">
        <v>20</v>
      </c>
      <c r="F217" t="s">
        <v>383</v>
      </c>
      <c r="G217" t="s">
        <v>269</v>
      </c>
      <c r="H217" t="s">
        <v>254</v>
      </c>
      <c r="I217" t="s">
        <v>242</v>
      </c>
      <c r="J217" t="s">
        <v>235</v>
      </c>
      <c r="K217" s="380">
        <v>36831</v>
      </c>
      <c r="L217" s="235">
        <v>-14866.48637812665</v>
      </c>
      <c r="M217" s="380">
        <v>36829</v>
      </c>
      <c r="N217" t="s">
        <v>21</v>
      </c>
      <c r="O217">
        <v>1.6</v>
      </c>
      <c r="P217">
        <v>0</v>
      </c>
      <c r="Q217">
        <v>0</v>
      </c>
      <c r="R217">
        <v>0</v>
      </c>
      <c r="S217">
        <v>0</v>
      </c>
      <c r="T217" t="s">
        <v>253</v>
      </c>
      <c r="U217" t="s">
        <v>7</v>
      </c>
      <c r="V217" t="s">
        <v>253</v>
      </c>
      <c r="W217" t="s">
        <v>132</v>
      </c>
      <c r="X217" t="s">
        <v>253</v>
      </c>
      <c r="Y217" t="s">
        <v>235</v>
      </c>
      <c r="Z217" t="s">
        <v>236</v>
      </c>
      <c r="AA217" t="s">
        <v>253</v>
      </c>
      <c r="AB217" t="s">
        <v>121</v>
      </c>
      <c r="AC217" s="235">
        <v>-300000</v>
      </c>
      <c r="AD217" s="235">
        <v>-6902.3665644681605</v>
      </c>
      <c r="AE217">
        <v>0</v>
      </c>
      <c r="AF217">
        <v>0</v>
      </c>
      <c r="AG217">
        <v>0</v>
      </c>
      <c r="AH217" s="235">
        <v>-2087.498230236959</v>
      </c>
      <c r="AI217">
        <v>226</v>
      </c>
      <c r="AJ217" t="s">
        <v>256</v>
      </c>
      <c r="AK217">
        <v>0</v>
      </c>
      <c r="AL217">
        <v>0</v>
      </c>
      <c r="AM217">
        <v>0</v>
      </c>
    </row>
    <row r="218" spans="1:39" x14ac:dyDescent="0.25">
      <c r="A218" t="s">
        <v>601</v>
      </c>
      <c r="B218" t="s">
        <v>382</v>
      </c>
      <c r="C218" t="s">
        <v>255</v>
      </c>
      <c r="D218" t="s">
        <v>234</v>
      </c>
      <c r="E218" t="s">
        <v>20</v>
      </c>
      <c r="F218" t="s">
        <v>383</v>
      </c>
      <c r="G218" t="s">
        <v>269</v>
      </c>
      <c r="H218" t="s">
        <v>254</v>
      </c>
      <c r="I218" t="s">
        <v>242</v>
      </c>
      <c r="J218" t="s">
        <v>235</v>
      </c>
      <c r="K218" s="380">
        <v>36951</v>
      </c>
      <c r="L218" s="235">
        <v>67810.447690803834</v>
      </c>
      <c r="M218" s="380">
        <v>36949</v>
      </c>
      <c r="N218" t="s">
        <v>21</v>
      </c>
      <c r="O218">
        <v>2.1</v>
      </c>
      <c r="P218">
        <v>0</v>
      </c>
      <c r="Q218">
        <v>0</v>
      </c>
      <c r="R218">
        <v>0</v>
      </c>
      <c r="S218">
        <v>0</v>
      </c>
      <c r="T218" t="s">
        <v>253</v>
      </c>
      <c r="U218" t="s">
        <v>7</v>
      </c>
      <c r="V218" t="s">
        <v>253</v>
      </c>
      <c r="W218" t="s">
        <v>132</v>
      </c>
      <c r="X218" t="s">
        <v>253</v>
      </c>
      <c r="Y218" t="s">
        <v>235</v>
      </c>
      <c r="Z218" t="s">
        <v>236</v>
      </c>
      <c r="AA218" t="s">
        <v>253</v>
      </c>
      <c r="AB218" t="s">
        <v>121</v>
      </c>
      <c r="AC218" s="235">
        <v>310000</v>
      </c>
      <c r="AD218" s="235">
        <v>21143.280136108442</v>
      </c>
      <c r="AE218">
        <v>0</v>
      </c>
      <c r="AF218">
        <v>0</v>
      </c>
      <c r="AG218">
        <v>0</v>
      </c>
      <c r="AH218" s="235">
        <v>6249.3976743496678</v>
      </c>
      <c r="AI218">
        <v>226</v>
      </c>
      <c r="AJ218" t="s">
        <v>256</v>
      </c>
      <c r="AK218">
        <v>0</v>
      </c>
      <c r="AL218">
        <v>0</v>
      </c>
      <c r="AM218">
        <v>0</v>
      </c>
    </row>
    <row r="219" spans="1:39" x14ac:dyDescent="0.25">
      <c r="A219" t="s">
        <v>601</v>
      </c>
      <c r="B219" t="s">
        <v>382</v>
      </c>
      <c r="C219" t="s">
        <v>255</v>
      </c>
      <c r="D219" t="s">
        <v>234</v>
      </c>
      <c r="E219" t="s">
        <v>20</v>
      </c>
      <c r="F219" t="s">
        <v>383</v>
      </c>
      <c r="G219" t="s">
        <v>269</v>
      </c>
      <c r="H219" t="s">
        <v>254</v>
      </c>
      <c r="I219" t="s">
        <v>242</v>
      </c>
      <c r="J219" t="s">
        <v>235</v>
      </c>
      <c r="K219" s="380">
        <v>36923</v>
      </c>
      <c r="L219" s="235">
        <v>190141.21447714005</v>
      </c>
      <c r="M219" s="380">
        <v>36921</v>
      </c>
      <c r="N219" t="s">
        <v>21</v>
      </c>
      <c r="O219">
        <v>2.1</v>
      </c>
      <c r="P219">
        <v>0</v>
      </c>
      <c r="Q219">
        <v>0</v>
      </c>
      <c r="R219">
        <v>0</v>
      </c>
      <c r="S219">
        <v>0</v>
      </c>
      <c r="T219" t="s">
        <v>253</v>
      </c>
      <c r="U219" t="s">
        <v>7</v>
      </c>
      <c r="V219" t="s">
        <v>253</v>
      </c>
      <c r="W219" t="s">
        <v>132</v>
      </c>
      <c r="X219" t="s">
        <v>253</v>
      </c>
      <c r="Y219" t="s">
        <v>235</v>
      </c>
      <c r="Z219" t="s">
        <v>236</v>
      </c>
      <c r="AA219" t="s">
        <v>253</v>
      </c>
      <c r="AB219" t="s">
        <v>121</v>
      </c>
      <c r="AC219" s="235">
        <v>280000</v>
      </c>
      <c r="AD219" s="235">
        <v>24024.102542079941</v>
      </c>
      <c r="AE219">
        <v>0</v>
      </c>
      <c r="AF219">
        <v>0</v>
      </c>
      <c r="AG219">
        <v>0</v>
      </c>
      <c r="AH219" s="235">
        <v>11567.86896584637</v>
      </c>
      <c r="AI219">
        <v>226</v>
      </c>
      <c r="AJ219" t="s">
        <v>256</v>
      </c>
      <c r="AK219">
        <v>0</v>
      </c>
      <c r="AL219">
        <v>0</v>
      </c>
      <c r="AM219">
        <v>0</v>
      </c>
    </row>
    <row r="220" spans="1:39" x14ac:dyDescent="0.25">
      <c r="A220" t="s">
        <v>601</v>
      </c>
      <c r="B220" t="s">
        <v>382</v>
      </c>
      <c r="C220" t="s">
        <v>255</v>
      </c>
      <c r="D220" t="s">
        <v>234</v>
      </c>
      <c r="E220" t="s">
        <v>20</v>
      </c>
      <c r="F220" t="s">
        <v>383</v>
      </c>
      <c r="G220" t="s">
        <v>269</v>
      </c>
      <c r="H220" t="s">
        <v>254</v>
      </c>
      <c r="I220" t="s">
        <v>242</v>
      </c>
      <c r="J220" t="s">
        <v>235</v>
      </c>
      <c r="K220" s="380">
        <v>36892</v>
      </c>
      <c r="L220" s="235">
        <v>212038.8842922991</v>
      </c>
      <c r="M220" s="380">
        <v>36888</v>
      </c>
      <c r="N220" t="s">
        <v>21</v>
      </c>
      <c r="O220">
        <v>2.1</v>
      </c>
      <c r="P220">
        <v>0</v>
      </c>
      <c r="Q220">
        <v>0</v>
      </c>
      <c r="R220">
        <v>0</v>
      </c>
      <c r="S220">
        <v>0</v>
      </c>
      <c r="T220" t="s">
        <v>253</v>
      </c>
      <c r="U220" t="s">
        <v>7</v>
      </c>
      <c r="V220" t="s">
        <v>253</v>
      </c>
      <c r="W220" t="s">
        <v>132</v>
      </c>
      <c r="X220" t="s">
        <v>253</v>
      </c>
      <c r="Y220" t="s">
        <v>235</v>
      </c>
      <c r="Z220" t="s">
        <v>236</v>
      </c>
      <c r="AA220" t="s">
        <v>253</v>
      </c>
      <c r="AB220" t="s">
        <v>121</v>
      </c>
      <c r="AC220" s="235">
        <v>310000</v>
      </c>
      <c r="AD220" s="235">
        <v>24376.020344430726</v>
      </c>
      <c r="AE220">
        <v>0</v>
      </c>
      <c r="AF220">
        <v>0</v>
      </c>
      <c r="AG220">
        <v>0</v>
      </c>
      <c r="AH220" s="235">
        <v>11367.497957564163</v>
      </c>
      <c r="AI220">
        <v>226</v>
      </c>
      <c r="AJ220" t="s">
        <v>256</v>
      </c>
      <c r="AK220">
        <v>0</v>
      </c>
      <c r="AL220">
        <v>0</v>
      </c>
      <c r="AM220">
        <v>0</v>
      </c>
    </row>
    <row r="221" spans="1:39" x14ac:dyDescent="0.25">
      <c r="A221" t="s">
        <v>601</v>
      </c>
      <c r="B221" t="s">
        <v>382</v>
      </c>
      <c r="C221" t="s">
        <v>255</v>
      </c>
      <c r="D221" t="s">
        <v>234</v>
      </c>
      <c r="E221" t="s">
        <v>20</v>
      </c>
      <c r="F221" t="s">
        <v>383</v>
      </c>
      <c r="G221" t="s">
        <v>269</v>
      </c>
      <c r="H221" t="s">
        <v>254</v>
      </c>
      <c r="I221" t="s">
        <v>242</v>
      </c>
      <c r="J221" t="s">
        <v>235</v>
      </c>
      <c r="K221" s="380">
        <v>36861</v>
      </c>
      <c r="L221" s="235">
        <v>108890.00865451149</v>
      </c>
      <c r="M221" s="380">
        <v>36859</v>
      </c>
      <c r="N221" t="s">
        <v>21</v>
      </c>
      <c r="O221">
        <v>2.1</v>
      </c>
      <c r="P221">
        <v>0</v>
      </c>
      <c r="Q221">
        <v>0</v>
      </c>
      <c r="R221">
        <v>0</v>
      </c>
      <c r="S221">
        <v>0</v>
      </c>
      <c r="T221" t="s">
        <v>253</v>
      </c>
      <c r="U221" t="s">
        <v>7</v>
      </c>
      <c r="V221" t="s">
        <v>253</v>
      </c>
      <c r="W221" t="s">
        <v>132</v>
      </c>
      <c r="X221" t="s">
        <v>253</v>
      </c>
      <c r="Y221" t="s">
        <v>235</v>
      </c>
      <c r="Z221" t="s">
        <v>236</v>
      </c>
      <c r="AA221" t="s">
        <v>253</v>
      </c>
      <c r="AB221" t="s">
        <v>121</v>
      </c>
      <c r="AC221" s="235">
        <v>310000</v>
      </c>
      <c r="AD221" s="235">
        <v>20437.286418532676</v>
      </c>
      <c r="AE221">
        <v>0</v>
      </c>
      <c r="AF221">
        <v>0</v>
      </c>
      <c r="AG221">
        <v>0</v>
      </c>
      <c r="AH221" s="235">
        <v>6627.5667056762904</v>
      </c>
      <c r="AI221">
        <v>226</v>
      </c>
      <c r="AJ221" t="s">
        <v>256</v>
      </c>
      <c r="AK221">
        <v>0</v>
      </c>
      <c r="AL221">
        <v>0</v>
      </c>
      <c r="AM221">
        <v>0</v>
      </c>
    </row>
    <row r="222" spans="1:39" x14ac:dyDescent="0.25">
      <c r="A222" t="s">
        <v>601</v>
      </c>
      <c r="B222" t="s">
        <v>382</v>
      </c>
      <c r="C222" t="s">
        <v>255</v>
      </c>
      <c r="D222" t="s">
        <v>234</v>
      </c>
      <c r="E222" t="s">
        <v>20</v>
      </c>
      <c r="F222" t="s">
        <v>383</v>
      </c>
      <c r="G222" t="s">
        <v>269</v>
      </c>
      <c r="H222" t="s">
        <v>254</v>
      </c>
      <c r="I222" t="s">
        <v>242</v>
      </c>
      <c r="J222" t="s">
        <v>235</v>
      </c>
      <c r="K222" s="380">
        <v>36831</v>
      </c>
      <c r="L222" s="235">
        <v>4858.6276371274571</v>
      </c>
      <c r="M222" s="380">
        <v>36829</v>
      </c>
      <c r="N222" t="s">
        <v>21</v>
      </c>
      <c r="O222">
        <v>2.1</v>
      </c>
      <c r="P222">
        <v>0</v>
      </c>
      <c r="Q222">
        <v>0</v>
      </c>
      <c r="R222">
        <v>0</v>
      </c>
      <c r="S222">
        <v>0</v>
      </c>
      <c r="T222" t="s">
        <v>253</v>
      </c>
      <c r="U222" t="s">
        <v>7</v>
      </c>
      <c r="V222" t="s">
        <v>253</v>
      </c>
      <c r="W222" t="s">
        <v>132</v>
      </c>
      <c r="X222" t="s">
        <v>253</v>
      </c>
      <c r="Y222" t="s">
        <v>235</v>
      </c>
      <c r="Z222" t="s">
        <v>236</v>
      </c>
      <c r="AA222" t="s">
        <v>253</v>
      </c>
      <c r="AB222" t="s">
        <v>121</v>
      </c>
      <c r="AC222" s="235">
        <v>300000</v>
      </c>
      <c r="AD222" s="235">
        <v>3199.9823459708659</v>
      </c>
      <c r="AE222">
        <v>0</v>
      </c>
      <c r="AF222">
        <v>0</v>
      </c>
      <c r="AG222">
        <v>0</v>
      </c>
      <c r="AH222" s="235">
        <v>836.04200358588878</v>
      </c>
      <c r="AI222">
        <v>226</v>
      </c>
      <c r="AJ222" t="s">
        <v>256</v>
      </c>
      <c r="AK222">
        <v>0</v>
      </c>
      <c r="AL222">
        <v>0</v>
      </c>
      <c r="AM222">
        <v>0</v>
      </c>
    </row>
    <row r="223" spans="1:39" x14ac:dyDescent="0.25">
      <c r="A223" t="s">
        <v>601</v>
      </c>
      <c r="B223" t="s">
        <v>396</v>
      </c>
      <c r="C223" t="s">
        <v>255</v>
      </c>
      <c r="D223" t="s">
        <v>234</v>
      </c>
      <c r="E223" t="s">
        <v>20</v>
      </c>
      <c r="F223" t="s">
        <v>395</v>
      </c>
      <c r="G223" t="s">
        <v>269</v>
      </c>
      <c r="H223" t="s">
        <v>254</v>
      </c>
      <c r="I223" t="s">
        <v>242</v>
      </c>
      <c r="J223" t="s">
        <v>235</v>
      </c>
      <c r="K223" s="380">
        <v>36892</v>
      </c>
      <c r="L223" s="235">
        <v>20693.915447853251</v>
      </c>
      <c r="M223" s="380">
        <v>36888</v>
      </c>
      <c r="N223" t="s">
        <v>21</v>
      </c>
      <c r="O223">
        <v>0.15</v>
      </c>
      <c r="P223">
        <v>0</v>
      </c>
      <c r="Q223">
        <v>0</v>
      </c>
      <c r="R223">
        <v>0</v>
      </c>
      <c r="S223">
        <v>0</v>
      </c>
      <c r="T223" t="s">
        <v>253</v>
      </c>
      <c r="U223" t="s">
        <v>600</v>
      </c>
      <c r="V223" t="s">
        <v>253</v>
      </c>
      <c r="W223" t="s">
        <v>132</v>
      </c>
      <c r="X223" t="s">
        <v>253</v>
      </c>
      <c r="Y223" t="s">
        <v>235</v>
      </c>
      <c r="Z223" t="s">
        <v>236</v>
      </c>
      <c r="AA223" t="s">
        <v>253</v>
      </c>
      <c r="AB223" t="s">
        <v>121</v>
      </c>
      <c r="AC223" s="235">
        <v>465000</v>
      </c>
      <c r="AD223" s="235">
        <v>4517.1804954007093</v>
      </c>
      <c r="AE223">
        <v>0</v>
      </c>
      <c r="AF223">
        <v>0</v>
      </c>
      <c r="AG223">
        <v>0</v>
      </c>
      <c r="AH223" s="235">
        <v>217.41146128339096</v>
      </c>
      <c r="AI223">
        <v>226</v>
      </c>
      <c r="AJ223" t="s">
        <v>256</v>
      </c>
      <c r="AK223">
        <v>0</v>
      </c>
      <c r="AL223">
        <v>0</v>
      </c>
      <c r="AM223">
        <v>0</v>
      </c>
    </row>
    <row r="224" spans="1:39" x14ac:dyDescent="0.25">
      <c r="A224" t="s">
        <v>601</v>
      </c>
      <c r="B224" t="s">
        <v>396</v>
      </c>
      <c r="C224" t="s">
        <v>255</v>
      </c>
      <c r="D224" t="s">
        <v>234</v>
      </c>
      <c r="E224" t="s">
        <v>20</v>
      </c>
      <c r="F224" t="s">
        <v>395</v>
      </c>
      <c r="G224" t="s">
        <v>269</v>
      </c>
      <c r="H224" t="s">
        <v>254</v>
      </c>
      <c r="I224" t="s">
        <v>242</v>
      </c>
      <c r="J224" t="s">
        <v>235</v>
      </c>
      <c r="K224" s="380">
        <v>36861</v>
      </c>
      <c r="L224" s="235">
        <v>12713.927934264901</v>
      </c>
      <c r="M224" s="380">
        <v>36859</v>
      </c>
      <c r="N224" t="s">
        <v>21</v>
      </c>
      <c r="O224">
        <v>0.15</v>
      </c>
      <c r="P224">
        <v>0</v>
      </c>
      <c r="Q224">
        <v>0</v>
      </c>
      <c r="R224">
        <v>0</v>
      </c>
      <c r="S224">
        <v>0</v>
      </c>
      <c r="T224" t="s">
        <v>253</v>
      </c>
      <c r="U224" t="s">
        <v>600</v>
      </c>
      <c r="V224" t="s">
        <v>253</v>
      </c>
      <c r="W224" t="s">
        <v>132</v>
      </c>
      <c r="X224" t="s">
        <v>253</v>
      </c>
      <c r="Y224" t="s">
        <v>235</v>
      </c>
      <c r="Z224" t="s">
        <v>236</v>
      </c>
      <c r="AA224" t="s">
        <v>253</v>
      </c>
      <c r="AB224" t="s">
        <v>121</v>
      </c>
      <c r="AC224" s="235">
        <v>465000</v>
      </c>
      <c r="AD224" s="235">
        <v>3684.8636638079188</v>
      </c>
      <c r="AE224">
        <v>0</v>
      </c>
      <c r="AF224">
        <v>0</v>
      </c>
      <c r="AG224">
        <v>0</v>
      </c>
      <c r="AH224" s="235">
        <v>185.52231129015308</v>
      </c>
      <c r="AI224">
        <v>226</v>
      </c>
      <c r="AJ224" t="s">
        <v>256</v>
      </c>
      <c r="AK224">
        <v>0</v>
      </c>
      <c r="AL224">
        <v>0</v>
      </c>
      <c r="AM224">
        <v>0</v>
      </c>
    </row>
    <row r="225" spans="1:39" x14ac:dyDescent="0.25">
      <c r="A225" t="s">
        <v>601</v>
      </c>
      <c r="B225" t="s">
        <v>397</v>
      </c>
      <c r="C225" t="s">
        <v>255</v>
      </c>
      <c r="D225" t="s">
        <v>234</v>
      </c>
      <c r="E225" t="s">
        <v>20</v>
      </c>
      <c r="F225" t="s">
        <v>284</v>
      </c>
      <c r="G225" t="s">
        <v>269</v>
      </c>
      <c r="H225" t="s">
        <v>254</v>
      </c>
      <c r="I225" t="s">
        <v>242</v>
      </c>
      <c r="J225" t="s">
        <v>235</v>
      </c>
      <c r="K225" s="380">
        <v>36800</v>
      </c>
      <c r="L225" s="235">
        <v>11483.89755674048</v>
      </c>
      <c r="M225" s="380">
        <v>36797</v>
      </c>
      <c r="N225" t="s">
        <v>1</v>
      </c>
      <c r="O225">
        <v>0.3</v>
      </c>
      <c r="P225">
        <v>0</v>
      </c>
      <c r="Q225">
        <v>0</v>
      </c>
      <c r="R225">
        <v>0</v>
      </c>
      <c r="S225">
        <v>0</v>
      </c>
      <c r="T225" t="s">
        <v>253</v>
      </c>
      <c r="U225" t="s">
        <v>7</v>
      </c>
      <c r="V225" t="s">
        <v>253</v>
      </c>
      <c r="W225" t="s">
        <v>132</v>
      </c>
      <c r="X225" t="s">
        <v>253</v>
      </c>
      <c r="Y225" t="s">
        <v>235</v>
      </c>
      <c r="Z225" t="s">
        <v>236</v>
      </c>
      <c r="AA225" t="s">
        <v>253</v>
      </c>
      <c r="AB225" t="s">
        <v>121</v>
      </c>
      <c r="AC225" s="235">
        <v>1550000</v>
      </c>
      <c r="AD225" s="235">
        <v>6066.8920219537686</v>
      </c>
      <c r="AE225">
        <v>0</v>
      </c>
      <c r="AF225">
        <v>0</v>
      </c>
      <c r="AG225">
        <v>0</v>
      </c>
      <c r="AH225" s="235">
        <v>351.27861035601927</v>
      </c>
      <c r="AI225">
        <v>226</v>
      </c>
      <c r="AJ225" t="s">
        <v>256</v>
      </c>
      <c r="AK225">
        <v>0</v>
      </c>
      <c r="AL225">
        <v>0</v>
      </c>
      <c r="AM225">
        <v>0</v>
      </c>
    </row>
    <row r="226" spans="1:39" x14ac:dyDescent="0.25">
      <c r="A226" t="s">
        <v>601</v>
      </c>
      <c r="B226" t="s">
        <v>397</v>
      </c>
      <c r="C226" t="s">
        <v>255</v>
      </c>
      <c r="D226" t="s">
        <v>234</v>
      </c>
      <c r="E226" t="s">
        <v>20</v>
      </c>
      <c r="F226" t="s">
        <v>284</v>
      </c>
      <c r="G226" t="s">
        <v>269</v>
      </c>
      <c r="H226" t="s">
        <v>254</v>
      </c>
      <c r="I226" t="s">
        <v>242</v>
      </c>
      <c r="J226" t="s">
        <v>235</v>
      </c>
      <c r="K226" s="380">
        <v>36770</v>
      </c>
      <c r="L226" s="235">
        <v>3212.9666252923016</v>
      </c>
      <c r="M226" s="380">
        <v>36768</v>
      </c>
      <c r="N226" t="s">
        <v>1</v>
      </c>
      <c r="O226">
        <v>0.3</v>
      </c>
      <c r="P226">
        <v>0</v>
      </c>
      <c r="Q226">
        <v>0</v>
      </c>
      <c r="R226">
        <v>0</v>
      </c>
      <c r="S226">
        <v>0</v>
      </c>
      <c r="T226" t="s">
        <v>253</v>
      </c>
      <c r="U226" t="s">
        <v>7</v>
      </c>
      <c r="V226" t="s">
        <v>253</v>
      </c>
      <c r="W226" t="s">
        <v>132</v>
      </c>
      <c r="X226" t="s">
        <v>253</v>
      </c>
      <c r="Y226" t="s">
        <v>235</v>
      </c>
      <c r="Z226" t="s">
        <v>236</v>
      </c>
      <c r="AA226" t="s">
        <v>253</v>
      </c>
      <c r="AB226" t="s">
        <v>121</v>
      </c>
      <c r="AC226" s="235">
        <v>1500000</v>
      </c>
      <c r="AD226" s="235">
        <v>1370.8215491714654</v>
      </c>
      <c r="AE226">
        <v>0</v>
      </c>
      <c r="AF226">
        <v>0</v>
      </c>
      <c r="AG226">
        <v>0</v>
      </c>
      <c r="AH226" s="235">
        <v>206.60867392008367</v>
      </c>
      <c r="AI226">
        <v>226</v>
      </c>
      <c r="AJ226" t="s">
        <v>256</v>
      </c>
      <c r="AK226">
        <v>0</v>
      </c>
      <c r="AL226">
        <v>0</v>
      </c>
      <c r="AM226">
        <v>0</v>
      </c>
    </row>
    <row r="227" spans="1:39" x14ac:dyDescent="0.25">
      <c r="A227" t="s">
        <v>601</v>
      </c>
      <c r="B227" t="s">
        <v>400</v>
      </c>
      <c r="C227" t="s">
        <v>255</v>
      </c>
      <c r="D227" t="s">
        <v>234</v>
      </c>
      <c r="E227" t="s">
        <v>20</v>
      </c>
      <c r="F227" t="s">
        <v>399</v>
      </c>
      <c r="G227" t="s">
        <v>269</v>
      </c>
      <c r="H227" t="s">
        <v>254</v>
      </c>
      <c r="I227" t="s">
        <v>242</v>
      </c>
      <c r="J227" t="s">
        <v>235</v>
      </c>
      <c r="K227" s="380">
        <v>36951</v>
      </c>
      <c r="L227" s="235">
        <v>12666.147560565782</v>
      </c>
      <c r="M227" s="380">
        <v>36949</v>
      </c>
      <c r="N227" t="s">
        <v>21</v>
      </c>
      <c r="O227">
        <v>0.15</v>
      </c>
      <c r="P227">
        <v>0</v>
      </c>
      <c r="Q227">
        <v>0</v>
      </c>
      <c r="R227">
        <v>0</v>
      </c>
      <c r="S227">
        <v>0</v>
      </c>
      <c r="T227" t="s">
        <v>253</v>
      </c>
      <c r="U227" t="s">
        <v>600</v>
      </c>
      <c r="V227" t="s">
        <v>253</v>
      </c>
      <c r="W227" t="s">
        <v>132</v>
      </c>
      <c r="X227" t="s">
        <v>253</v>
      </c>
      <c r="Y227" t="s">
        <v>235</v>
      </c>
      <c r="Z227" t="s">
        <v>236</v>
      </c>
      <c r="AA227" t="s">
        <v>253</v>
      </c>
      <c r="AB227" t="s">
        <v>121</v>
      </c>
      <c r="AC227" s="235">
        <v>310000</v>
      </c>
      <c r="AD227" s="235">
        <v>3147.1792276509368</v>
      </c>
      <c r="AE227">
        <v>0</v>
      </c>
      <c r="AF227">
        <v>0</v>
      </c>
      <c r="AG227">
        <v>0</v>
      </c>
      <c r="AH227" s="235">
        <v>160.05033692913094</v>
      </c>
      <c r="AI227">
        <v>226</v>
      </c>
      <c r="AJ227" t="s">
        <v>256</v>
      </c>
      <c r="AK227">
        <v>0</v>
      </c>
      <c r="AL227">
        <v>0</v>
      </c>
      <c r="AM227">
        <v>0</v>
      </c>
    </row>
    <row r="228" spans="1:39" x14ac:dyDescent="0.25">
      <c r="A228" t="s">
        <v>601</v>
      </c>
      <c r="B228" t="s">
        <v>400</v>
      </c>
      <c r="C228" t="s">
        <v>255</v>
      </c>
      <c r="D228" t="s">
        <v>234</v>
      </c>
      <c r="E228" t="s">
        <v>20</v>
      </c>
      <c r="F228" t="s">
        <v>399</v>
      </c>
      <c r="G228" t="s">
        <v>269</v>
      </c>
      <c r="H228" t="s">
        <v>254</v>
      </c>
      <c r="I228" t="s">
        <v>242</v>
      </c>
      <c r="J228" t="s">
        <v>235</v>
      </c>
      <c r="K228" s="380">
        <v>36923</v>
      </c>
      <c r="L228" s="235">
        <v>14498.102560808087</v>
      </c>
      <c r="M228" s="380">
        <v>36921</v>
      </c>
      <c r="N228" t="s">
        <v>21</v>
      </c>
      <c r="O228">
        <v>0.15</v>
      </c>
      <c r="P228">
        <v>0</v>
      </c>
      <c r="Q228">
        <v>0</v>
      </c>
      <c r="R228">
        <v>0</v>
      </c>
      <c r="S228">
        <v>0</v>
      </c>
      <c r="T228" t="s">
        <v>253</v>
      </c>
      <c r="U228" t="s">
        <v>600</v>
      </c>
      <c r="V228" t="s">
        <v>253</v>
      </c>
      <c r="W228" t="s">
        <v>132</v>
      </c>
      <c r="X228" t="s">
        <v>253</v>
      </c>
      <c r="Y228" t="s">
        <v>235</v>
      </c>
      <c r="Z228" t="s">
        <v>236</v>
      </c>
      <c r="AA228" t="s">
        <v>253</v>
      </c>
      <c r="AB228" t="s">
        <v>121</v>
      </c>
      <c r="AC228" s="235">
        <v>280000</v>
      </c>
      <c r="AD228" s="235">
        <v>2988.6712248928816</v>
      </c>
      <c r="AE228">
        <v>0</v>
      </c>
      <c r="AF228">
        <v>0</v>
      </c>
      <c r="AG228">
        <v>0</v>
      </c>
      <c r="AH228" s="235">
        <v>143.43839749428844</v>
      </c>
      <c r="AI228">
        <v>226</v>
      </c>
      <c r="AJ228" t="s">
        <v>256</v>
      </c>
      <c r="AK228">
        <v>0</v>
      </c>
      <c r="AL228">
        <v>0</v>
      </c>
      <c r="AM228">
        <v>0</v>
      </c>
    </row>
    <row r="229" spans="1:39" x14ac:dyDescent="0.25">
      <c r="A229" t="s">
        <v>601</v>
      </c>
      <c r="B229" t="s">
        <v>400</v>
      </c>
      <c r="C229" t="s">
        <v>255</v>
      </c>
      <c r="D229" t="s">
        <v>234</v>
      </c>
      <c r="E229" t="s">
        <v>20</v>
      </c>
      <c r="F229" t="s">
        <v>399</v>
      </c>
      <c r="G229" t="s">
        <v>269</v>
      </c>
      <c r="H229" t="s">
        <v>254</v>
      </c>
      <c r="I229" t="s">
        <v>242</v>
      </c>
      <c r="J229" t="s">
        <v>235</v>
      </c>
      <c r="K229" s="380">
        <v>36892</v>
      </c>
      <c r="L229" s="235">
        <v>13795.943631902166</v>
      </c>
      <c r="M229" s="380">
        <v>36888</v>
      </c>
      <c r="N229" t="s">
        <v>21</v>
      </c>
      <c r="O229">
        <v>0.15</v>
      </c>
      <c r="P229">
        <v>0</v>
      </c>
      <c r="Q229">
        <v>0</v>
      </c>
      <c r="R229">
        <v>0</v>
      </c>
      <c r="S229">
        <v>0</v>
      </c>
      <c r="T229" t="s">
        <v>253</v>
      </c>
      <c r="U229" t="s">
        <v>600</v>
      </c>
      <c r="V229" t="s">
        <v>253</v>
      </c>
      <c r="W229" t="s">
        <v>132</v>
      </c>
      <c r="X229" t="s">
        <v>253</v>
      </c>
      <c r="Y229" t="s">
        <v>235</v>
      </c>
      <c r="Z229" t="s">
        <v>236</v>
      </c>
      <c r="AA229" t="s">
        <v>253</v>
      </c>
      <c r="AB229" t="s">
        <v>121</v>
      </c>
      <c r="AC229" s="235">
        <v>310000</v>
      </c>
      <c r="AD229" s="235">
        <v>3011.4536636004632</v>
      </c>
      <c r="AE229">
        <v>0</v>
      </c>
      <c r="AF229">
        <v>0</v>
      </c>
      <c r="AG229">
        <v>0</v>
      </c>
      <c r="AH229" s="235">
        <v>144.9409741889267</v>
      </c>
      <c r="AI229">
        <v>226</v>
      </c>
      <c r="AJ229" t="s">
        <v>256</v>
      </c>
      <c r="AK229">
        <v>0</v>
      </c>
      <c r="AL229">
        <v>0</v>
      </c>
      <c r="AM229">
        <v>0</v>
      </c>
    </row>
    <row r="230" spans="1:39" x14ac:dyDescent="0.25">
      <c r="A230" t="s">
        <v>601</v>
      </c>
      <c r="B230" t="s">
        <v>400</v>
      </c>
      <c r="C230" t="s">
        <v>255</v>
      </c>
      <c r="D230" t="s">
        <v>234</v>
      </c>
      <c r="E230" t="s">
        <v>20</v>
      </c>
      <c r="F230" t="s">
        <v>399</v>
      </c>
      <c r="G230" t="s">
        <v>269</v>
      </c>
      <c r="H230" t="s">
        <v>254</v>
      </c>
      <c r="I230" t="s">
        <v>242</v>
      </c>
      <c r="J230" t="s">
        <v>235</v>
      </c>
      <c r="K230" s="380">
        <v>36861</v>
      </c>
      <c r="L230" s="235">
        <v>8475.9519561765992</v>
      </c>
      <c r="M230" s="380">
        <v>36859</v>
      </c>
      <c r="N230" t="s">
        <v>21</v>
      </c>
      <c r="O230">
        <v>0.15</v>
      </c>
      <c r="P230">
        <v>0</v>
      </c>
      <c r="Q230">
        <v>0</v>
      </c>
      <c r="R230">
        <v>0</v>
      </c>
      <c r="S230">
        <v>0</v>
      </c>
      <c r="T230" t="s">
        <v>253</v>
      </c>
      <c r="U230" t="s">
        <v>600</v>
      </c>
      <c r="V230" t="s">
        <v>253</v>
      </c>
      <c r="W230" t="s">
        <v>132</v>
      </c>
      <c r="X230" t="s">
        <v>253</v>
      </c>
      <c r="Y230" t="s">
        <v>235</v>
      </c>
      <c r="Z230" t="s">
        <v>236</v>
      </c>
      <c r="AA230" t="s">
        <v>253</v>
      </c>
      <c r="AB230" t="s">
        <v>121</v>
      </c>
      <c r="AC230" s="235">
        <v>310000</v>
      </c>
      <c r="AD230" s="235">
        <v>2456.5757758719556</v>
      </c>
      <c r="AE230">
        <v>0</v>
      </c>
      <c r="AF230">
        <v>0</v>
      </c>
      <c r="AG230">
        <v>0</v>
      </c>
      <c r="AH230" s="235">
        <v>123.68154086010327</v>
      </c>
      <c r="AI230">
        <v>226</v>
      </c>
      <c r="AJ230" t="s">
        <v>256</v>
      </c>
      <c r="AK230">
        <v>0</v>
      </c>
      <c r="AL230">
        <v>0</v>
      </c>
      <c r="AM230">
        <v>0</v>
      </c>
    </row>
    <row r="231" spans="1:39" x14ac:dyDescent="0.25">
      <c r="A231" t="s">
        <v>601</v>
      </c>
      <c r="B231" t="s">
        <v>400</v>
      </c>
      <c r="C231" t="s">
        <v>255</v>
      </c>
      <c r="D231" t="s">
        <v>234</v>
      </c>
      <c r="E231" t="s">
        <v>20</v>
      </c>
      <c r="F231" t="s">
        <v>399</v>
      </c>
      <c r="G231" t="s">
        <v>269</v>
      </c>
      <c r="H231" t="s">
        <v>254</v>
      </c>
      <c r="I231" t="s">
        <v>242</v>
      </c>
      <c r="J231" t="s">
        <v>235</v>
      </c>
      <c r="K231" s="380">
        <v>36831</v>
      </c>
      <c r="L231" s="235">
        <v>4650.1575587453335</v>
      </c>
      <c r="M231" s="380">
        <v>36829</v>
      </c>
      <c r="N231" t="s">
        <v>21</v>
      </c>
      <c r="O231">
        <v>0.15</v>
      </c>
      <c r="P231">
        <v>0</v>
      </c>
      <c r="Q231">
        <v>0</v>
      </c>
      <c r="R231">
        <v>0</v>
      </c>
      <c r="S231">
        <v>0</v>
      </c>
      <c r="T231" t="s">
        <v>253</v>
      </c>
      <c r="U231" t="s">
        <v>600</v>
      </c>
      <c r="V231" t="s">
        <v>253</v>
      </c>
      <c r="W231" t="s">
        <v>132</v>
      </c>
      <c r="X231" t="s">
        <v>253</v>
      </c>
      <c r="Y231" t="s">
        <v>235</v>
      </c>
      <c r="Z231" t="s">
        <v>236</v>
      </c>
      <c r="AA231" t="s">
        <v>253</v>
      </c>
      <c r="AB231" t="s">
        <v>121</v>
      </c>
      <c r="AC231" s="235">
        <v>300000</v>
      </c>
      <c r="AD231" s="235">
        <v>1734.9822694649774</v>
      </c>
      <c r="AE231">
        <v>0</v>
      </c>
      <c r="AF231">
        <v>0</v>
      </c>
      <c r="AG231">
        <v>0</v>
      </c>
      <c r="AH231" s="235">
        <v>93.596215675597705</v>
      </c>
      <c r="AI231">
        <v>226</v>
      </c>
      <c r="AJ231" t="s">
        <v>256</v>
      </c>
      <c r="AK231">
        <v>0</v>
      </c>
      <c r="AL231">
        <v>0</v>
      </c>
      <c r="AM231">
        <v>0</v>
      </c>
    </row>
    <row r="232" spans="1:39" x14ac:dyDescent="0.25">
      <c r="A232" t="s">
        <v>601</v>
      </c>
      <c r="B232" t="s">
        <v>404</v>
      </c>
      <c r="C232" t="s">
        <v>255</v>
      </c>
      <c r="D232" t="s">
        <v>234</v>
      </c>
      <c r="E232" t="s">
        <v>20</v>
      </c>
      <c r="F232" t="s">
        <v>324</v>
      </c>
      <c r="G232" t="s">
        <v>269</v>
      </c>
      <c r="H232" t="s">
        <v>254</v>
      </c>
      <c r="I232" t="s">
        <v>242</v>
      </c>
      <c r="J232" t="s">
        <v>235</v>
      </c>
      <c r="K232" s="380">
        <v>36951</v>
      </c>
      <c r="L232" s="235">
        <v>12666.147560565782</v>
      </c>
      <c r="M232" s="380">
        <v>36949</v>
      </c>
      <c r="N232" t="s">
        <v>21</v>
      </c>
      <c r="O232">
        <v>0.15</v>
      </c>
      <c r="P232">
        <v>0</v>
      </c>
      <c r="Q232">
        <v>0</v>
      </c>
      <c r="R232">
        <v>0</v>
      </c>
      <c r="S232">
        <v>0</v>
      </c>
      <c r="T232" t="s">
        <v>253</v>
      </c>
      <c r="U232" t="s">
        <v>600</v>
      </c>
      <c r="V232" t="s">
        <v>253</v>
      </c>
      <c r="W232" t="s">
        <v>132</v>
      </c>
      <c r="X232" t="s">
        <v>253</v>
      </c>
      <c r="Y232" t="s">
        <v>235</v>
      </c>
      <c r="Z232" t="s">
        <v>236</v>
      </c>
      <c r="AA232" t="s">
        <v>253</v>
      </c>
      <c r="AB232" t="s">
        <v>121</v>
      </c>
      <c r="AC232" s="235">
        <v>310000</v>
      </c>
      <c r="AD232" s="235">
        <v>3147.1792276509368</v>
      </c>
      <c r="AE232">
        <v>0</v>
      </c>
      <c r="AF232">
        <v>0</v>
      </c>
      <c r="AG232">
        <v>0</v>
      </c>
      <c r="AH232" s="235">
        <v>160.05033692913094</v>
      </c>
      <c r="AI232">
        <v>226</v>
      </c>
      <c r="AJ232" t="s">
        <v>256</v>
      </c>
      <c r="AK232">
        <v>0</v>
      </c>
      <c r="AL232">
        <v>0</v>
      </c>
      <c r="AM232">
        <v>0</v>
      </c>
    </row>
    <row r="233" spans="1:39" x14ac:dyDescent="0.25">
      <c r="A233" t="s">
        <v>601</v>
      </c>
      <c r="B233" t="s">
        <v>404</v>
      </c>
      <c r="C233" t="s">
        <v>255</v>
      </c>
      <c r="D233" t="s">
        <v>234</v>
      </c>
      <c r="E233" t="s">
        <v>20</v>
      </c>
      <c r="F233" t="s">
        <v>324</v>
      </c>
      <c r="G233" t="s">
        <v>269</v>
      </c>
      <c r="H233" t="s">
        <v>254</v>
      </c>
      <c r="I233" t="s">
        <v>242</v>
      </c>
      <c r="J233" t="s">
        <v>235</v>
      </c>
      <c r="K233" s="380">
        <v>36923</v>
      </c>
      <c r="L233" s="235">
        <v>14498.102560808087</v>
      </c>
      <c r="M233" s="380">
        <v>36921</v>
      </c>
      <c r="N233" t="s">
        <v>21</v>
      </c>
      <c r="O233">
        <v>0.15</v>
      </c>
      <c r="P233">
        <v>0</v>
      </c>
      <c r="Q233">
        <v>0</v>
      </c>
      <c r="R233">
        <v>0</v>
      </c>
      <c r="S233">
        <v>0</v>
      </c>
      <c r="T233" t="s">
        <v>253</v>
      </c>
      <c r="U233" t="s">
        <v>600</v>
      </c>
      <c r="V233" t="s">
        <v>253</v>
      </c>
      <c r="W233" t="s">
        <v>132</v>
      </c>
      <c r="X233" t="s">
        <v>253</v>
      </c>
      <c r="Y233" t="s">
        <v>235</v>
      </c>
      <c r="Z233" t="s">
        <v>236</v>
      </c>
      <c r="AA233" t="s">
        <v>253</v>
      </c>
      <c r="AB233" t="s">
        <v>121</v>
      </c>
      <c r="AC233" s="235">
        <v>280000</v>
      </c>
      <c r="AD233" s="235">
        <v>2988.6712248928816</v>
      </c>
      <c r="AE233">
        <v>0</v>
      </c>
      <c r="AF233">
        <v>0</v>
      </c>
      <c r="AG233">
        <v>0</v>
      </c>
      <c r="AH233" s="235">
        <v>143.43839749428844</v>
      </c>
      <c r="AI233">
        <v>226</v>
      </c>
      <c r="AJ233" t="s">
        <v>256</v>
      </c>
      <c r="AK233">
        <v>0</v>
      </c>
      <c r="AL233">
        <v>0</v>
      </c>
      <c r="AM233">
        <v>0</v>
      </c>
    </row>
    <row r="234" spans="1:39" x14ac:dyDescent="0.25">
      <c r="A234" t="s">
        <v>601</v>
      </c>
      <c r="B234" t="s">
        <v>404</v>
      </c>
      <c r="C234" t="s">
        <v>255</v>
      </c>
      <c r="D234" t="s">
        <v>234</v>
      </c>
      <c r="E234" t="s">
        <v>20</v>
      </c>
      <c r="F234" t="s">
        <v>324</v>
      </c>
      <c r="G234" t="s">
        <v>269</v>
      </c>
      <c r="H234" t="s">
        <v>254</v>
      </c>
      <c r="I234" t="s">
        <v>242</v>
      </c>
      <c r="J234" t="s">
        <v>235</v>
      </c>
      <c r="K234" s="380">
        <v>36892</v>
      </c>
      <c r="L234" s="235">
        <v>13795.943631902166</v>
      </c>
      <c r="M234" s="380">
        <v>36888</v>
      </c>
      <c r="N234" t="s">
        <v>21</v>
      </c>
      <c r="O234">
        <v>0.15</v>
      </c>
      <c r="P234">
        <v>0</v>
      </c>
      <c r="Q234">
        <v>0</v>
      </c>
      <c r="R234">
        <v>0</v>
      </c>
      <c r="S234">
        <v>0</v>
      </c>
      <c r="T234" t="s">
        <v>253</v>
      </c>
      <c r="U234" t="s">
        <v>600</v>
      </c>
      <c r="V234" t="s">
        <v>253</v>
      </c>
      <c r="W234" t="s">
        <v>132</v>
      </c>
      <c r="X234" t="s">
        <v>253</v>
      </c>
      <c r="Y234" t="s">
        <v>235</v>
      </c>
      <c r="Z234" t="s">
        <v>236</v>
      </c>
      <c r="AA234" t="s">
        <v>253</v>
      </c>
      <c r="AB234" t="s">
        <v>121</v>
      </c>
      <c r="AC234" s="235">
        <v>310000</v>
      </c>
      <c r="AD234" s="235">
        <v>3011.4536636004632</v>
      </c>
      <c r="AE234">
        <v>0</v>
      </c>
      <c r="AF234">
        <v>0</v>
      </c>
      <c r="AG234">
        <v>0</v>
      </c>
      <c r="AH234" s="235">
        <v>144.9409741889267</v>
      </c>
      <c r="AI234">
        <v>226</v>
      </c>
      <c r="AJ234" t="s">
        <v>256</v>
      </c>
      <c r="AK234">
        <v>0</v>
      </c>
      <c r="AL234">
        <v>0</v>
      </c>
      <c r="AM234">
        <v>0</v>
      </c>
    </row>
    <row r="235" spans="1:39" x14ac:dyDescent="0.25">
      <c r="A235" t="s">
        <v>601</v>
      </c>
      <c r="B235" t="s">
        <v>404</v>
      </c>
      <c r="C235" t="s">
        <v>255</v>
      </c>
      <c r="D235" t="s">
        <v>234</v>
      </c>
      <c r="E235" t="s">
        <v>20</v>
      </c>
      <c r="F235" t="s">
        <v>324</v>
      </c>
      <c r="G235" t="s">
        <v>269</v>
      </c>
      <c r="H235" t="s">
        <v>254</v>
      </c>
      <c r="I235" t="s">
        <v>242</v>
      </c>
      <c r="J235" t="s">
        <v>235</v>
      </c>
      <c r="K235" s="380">
        <v>36861</v>
      </c>
      <c r="L235" s="235">
        <v>8475.9519561765992</v>
      </c>
      <c r="M235" s="380">
        <v>36859</v>
      </c>
      <c r="N235" t="s">
        <v>21</v>
      </c>
      <c r="O235">
        <v>0.15</v>
      </c>
      <c r="P235">
        <v>0</v>
      </c>
      <c r="Q235">
        <v>0</v>
      </c>
      <c r="R235">
        <v>0</v>
      </c>
      <c r="S235">
        <v>0</v>
      </c>
      <c r="T235" t="s">
        <v>253</v>
      </c>
      <c r="U235" t="s">
        <v>600</v>
      </c>
      <c r="V235" t="s">
        <v>253</v>
      </c>
      <c r="W235" t="s">
        <v>132</v>
      </c>
      <c r="X235" t="s">
        <v>253</v>
      </c>
      <c r="Y235" t="s">
        <v>235</v>
      </c>
      <c r="Z235" t="s">
        <v>236</v>
      </c>
      <c r="AA235" t="s">
        <v>253</v>
      </c>
      <c r="AB235" t="s">
        <v>121</v>
      </c>
      <c r="AC235" s="235">
        <v>310000</v>
      </c>
      <c r="AD235" s="235">
        <v>2456.5757758719556</v>
      </c>
      <c r="AE235">
        <v>0</v>
      </c>
      <c r="AF235">
        <v>0</v>
      </c>
      <c r="AG235">
        <v>0</v>
      </c>
      <c r="AH235" s="235">
        <v>123.68154086010327</v>
      </c>
      <c r="AI235">
        <v>226</v>
      </c>
      <c r="AJ235" t="s">
        <v>256</v>
      </c>
      <c r="AK235">
        <v>0</v>
      </c>
      <c r="AL235">
        <v>0</v>
      </c>
      <c r="AM235">
        <v>0</v>
      </c>
    </row>
    <row r="236" spans="1:39" x14ac:dyDescent="0.25">
      <c r="A236" t="s">
        <v>601</v>
      </c>
      <c r="B236" t="s">
        <v>404</v>
      </c>
      <c r="C236" t="s">
        <v>255</v>
      </c>
      <c r="D236" t="s">
        <v>234</v>
      </c>
      <c r="E236" t="s">
        <v>20</v>
      </c>
      <c r="F236" t="s">
        <v>324</v>
      </c>
      <c r="G236" t="s">
        <v>269</v>
      </c>
      <c r="H236" t="s">
        <v>254</v>
      </c>
      <c r="I236" t="s">
        <v>242</v>
      </c>
      <c r="J236" t="s">
        <v>235</v>
      </c>
      <c r="K236" s="380">
        <v>36831</v>
      </c>
      <c r="L236" s="235">
        <v>4650.1575587453335</v>
      </c>
      <c r="M236" s="380">
        <v>36829</v>
      </c>
      <c r="N236" t="s">
        <v>21</v>
      </c>
      <c r="O236">
        <v>0.15</v>
      </c>
      <c r="P236">
        <v>0</v>
      </c>
      <c r="Q236">
        <v>0</v>
      </c>
      <c r="R236">
        <v>0</v>
      </c>
      <c r="S236">
        <v>0</v>
      </c>
      <c r="T236" t="s">
        <v>253</v>
      </c>
      <c r="U236" t="s">
        <v>600</v>
      </c>
      <c r="V236" t="s">
        <v>253</v>
      </c>
      <c r="W236" t="s">
        <v>132</v>
      </c>
      <c r="X236" t="s">
        <v>253</v>
      </c>
      <c r="Y236" t="s">
        <v>235</v>
      </c>
      <c r="Z236" t="s">
        <v>236</v>
      </c>
      <c r="AA236" t="s">
        <v>253</v>
      </c>
      <c r="AB236" t="s">
        <v>121</v>
      </c>
      <c r="AC236" s="235">
        <v>300000</v>
      </c>
      <c r="AD236" s="235">
        <v>1734.9822694649774</v>
      </c>
      <c r="AE236">
        <v>0</v>
      </c>
      <c r="AF236">
        <v>0</v>
      </c>
      <c r="AG236">
        <v>0</v>
      </c>
      <c r="AH236" s="235">
        <v>93.596215675597705</v>
      </c>
      <c r="AI236">
        <v>226</v>
      </c>
      <c r="AJ236" t="s">
        <v>256</v>
      </c>
      <c r="AK236">
        <v>0</v>
      </c>
      <c r="AL236">
        <v>0</v>
      </c>
      <c r="AM236">
        <v>0</v>
      </c>
    </row>
    <row r="237" spans="1:39" x14ac:dyDescent="0.25">
      <c r="A237" t="s">
        <v>601</v>
      </c>
      <c r="B237" t="s">
        <v>405</v>
      </c>
      <c r="C237" t="s">
        <v>255</v>
      </c>
      <c r="D237" t="s">
        <v>234</v>
      </c>
      <c r="E237" t="s">
        <v>20</v>
      </c>
      <c r="F237" t="s">
        <v>320</v>
      </c>
      <c r="G237" t="s">
        <v>269</v>
      </c>
      <c r="H237" t="s">
        <v>254</v>
      </c>
      <c r="I237" t="s">
        <v>242</v>
      </c>
      <c r="J237" t="s">
        <v>235</v>
      </c>
      <c r="K237" s="380">
        <v>36951</v>
      </c>
      <c r="L237" s="235">
        <v>342154.89694425382</v>
      </c>
      <c r="M237" s="380">
        <v>36949</v>
      </c>
      <c r="N237" t="s">
        <v>1</v>
      </c>
      <c r="O237">
        <v>0.75</v>
      </c>
      <c r="P237">
        <v>0</v>
      </c>
      <c r="Q237">
        <v>0</v>
      </c>
      <c r="R237">
        <v>0</v>
      </c>
      <c r="S237">
        <v>0</v>
      </c>
      <c r="T237" t="s">
        <v>253</v>
      </c>
      <c r="U237" t="s">
        <v>7</v>
      </c>
      <c r="V237" t="s">
        <v>253</v>
      </c>
      <c r="W237" t="s">
        <v>132</v>
      </c>
      <c r="X237" t="s">
        <v>253</v>
      </c>
      <c r="Y237" t="s">
        <v>235</v>
      </c>
      <c r="Z237" t="s">
        <v>236</v>
      </c>
      <c r="AA237" t="s">
        <v>253</v>
      </c>
      <c r="AB237" t="s">
        <v>121</v>
      </c>
      <c r="AC237" s="235">
        <v>1000000</v>
      </c>
      <c r="AD237" s="235">
        <v>87420.302947144199</v>
      </c>
      <c r="AE237">
        <v>0</v>
      </c>
      <c r="AF237">
        <v>0</v>
      </c>
      <c r="AG237">
        <v>0</v>
      </c>
      <c r="AH237" s="235">
        <v>-16337.219424809038</v>
      </c>
      <c r="AI237">
        <v>226</v>
      </c>
      <c r="AJ237" t="s">
        <v>256</v>
      </c>
      <c r="AK237">
        <v>0</v>
      </c>
      <c r="AL237">
        <v>0</v>
      </c>
      <c r="AM237">
        <v>0</v>
      </c>
    </row>
    <row r="238" spans="1:39" x14ac:dyDescent="0.25">
      <c r="A238" t="s">
        <v>601</v>
      </c>
      <c r="B238" t="s">
        <v>405</v>
      </c>
      <c r="C238" t="s">
        <v>255</v>
      </c>
      <c r="D238" t="s">
        <v>234</v>
      </c>
      <c r="E238" t="s">
        <v>20</v>
      </c>
      <c r="F238" t="s">
        <v>320</v>
      </c>
      <c r="G238" t="s">
        <v>269</v>
      </c>
      <c r="H238" t="s">
        <v>254</v>
      </c>
      <c r="I238" t="s">
        <v>242</v>
      </c>
      <c r="J238" t="s">
        <v>235</v>
      </c>
      <c r="K238" s="380">
        <v>36923</v>
      </c>
      <c r="L238" s="235">
        <v>140248.49922231707</v>
      </c>
      <c r="M238" s="380">
        <v>36921</v>
      </c>
      <c r="N238" t="s">
        <v>1</v>
      </c>
      <c r="O238">
        <v>0.75</v>
      </c>
      <c r="P238">
        <v>0</v>
      </c>
      <c r="Q238">
        <v>0</v>
      </c>
      <c r="R238">
        <v>0</v>
      </c>
      <c r="S238">
        <v>0</v>
      </c>
      <c r="T238" t="s">
        <v>253</v>
      </c>
      <c r="U238" t="s">
        <v>7</v>
      </c>
      <c r="V238" t="s">
        <v>253</v>
      </c>
      <c r="W238" t="s">
        <v>132</v>
      </c>
      <c r="X238" t="s">
        <v>253</v>
      </c>
      <c r="Y238" t="s">
        <v>235</v>
      </c>
      <c r="Z238" t="s">
        <v>236</v>
      </c>
      <c r="AA238" t="s">
        <v>253</v>
      </c>
      <c r="AB238" t="s">
        <v>121</v>
      </c>
      <c r="AC238" s="235">
        <v>1000000</v>
      </c>
      <c r="AD238" s="235">
        <v>61469.571592473018</v>
      </c>
      <c r="AE238">
        <v>0</v>
      </c>
      <c r="AF238">
        <v>0</v>
      </c>
      <c r="AG238">
        <v>0</v>
      </c>
      <c r="AH238" s="235">
        <v>-7506.7021280555055</v>
      </c>
      <c r="AI238">
        <v>226</v>
      </c>
      <c r="AJ238" t="s">
        <v>256</v>
      </c>
      <c r="AK238">
        <v>0</v>
      </c>
      <c r="AL238">
        <v>0</v>
      </c>
      <c r="AM238">
        <v>0</v>
      </c>
    </row>
    <row r="239" spans="1:39" x14ac:dyDescent="0.25">
      <c r="A239" t="s">
        <v>601</v>
      </c>
      <c r="B239" t="s">
        <v>405</v>
      </c>
      <c r="C239" t="s">
        <v>255</v>
      </c>
      <c r="D239" t="s">
        <v>234</v>
      </c>
      <c r="E239" t="s">
        <v>20</v>
      </c>
      <c r="F239" t="s">
        <v>320</v>
      </c>
      <c r="G239" t="s">
        <v>269</v>
      </c>
      <c r="H239" t="s">
        <v>254</v>
      </c>
      <c r="I239" t="s">
        <v>242</v>
      </c>
      <c r="J239" t="s">
        <v>235</v>
      </c>
      <c r="K239" s="380">
        <v>36892</v>
      </c>
      <c r="L239" s="235">
        <v>110739.68944962387</v>
      </c>
      <c r="M239" s="380">
        <v>36888</v>
      </c>
      <c r="N239" t="s">
        <v>1</v>
      </c>
      <c r="O239">
        <v>0.75</v>
      </c>
      <c r="P239">
        <v>0</v>
      </c>
      <c r="Q239">
        <v>0</v>
      </c>
      <c r="R239">
        <v>0</v>
      </c>
      <c r="S239">
        <v>0</v>
      </c>
      <c r="T239" t="s">
        <v>253</v>
      </c>
      <c r="U239" t="s">
        <v>7</v>
      </c>
      <c r="V239" t="s">
        <v>253</v>
      </c>
      <c r="W239" t="s">
        <v>132</v>
      </c>
      <c r="X239" t="s">
        <v>253</v>
      </c>
      <c r="Y239" t="s">
        <v>235</v>
      </c>
      <c r="Z239" t="s">
        <v>236</v>
      </c>
      <c r="AA239" t="s">
        <v>253</v>
      </c>
      <c r="AB239" t="s">
        <v>121</v>
      </c>
      <c r="AC239" s="235">
        <v>1000000</v>
      </c>
      <c r="AD239" s="235">
        <v>50977.743533845103</v>
      </c>
      <c r="AE239">
        <v>0</v>
      </c>
      <c r="AF239">
        <v>0</v>
      </c>
      <c r="AG239">
        <v>0</v>
      </c>
      <c r="AH239" s="235">
        <v>-5341.825194021163</v>
      </c>
      <c r="AI239">
        <v>226</v>
      </c>
      <c r="AJ239" t="s">
        <v>256</v>
      </c>
      <c r="AK239">
        <v>0</v>
      </c>
      <c r="AL239">
        <v>0</v>
      </c>
      <c r="AM239">
        <v>0</v>
      </c>
    </row>
    <row r="240" spans="1:39" x14ac:dyDescent="0.25">
      <c r="A240" t="s">
        <v>601</v>
      </c>
      <c r="B240" t="s">
        <v>405</v>
      </c>
      <c r="C240" t="s">
        <v>255</v>
      </c>
      <c r="D240" t="s">
        <v>234</v>
      </c>
      <c r="E240" t="s">
        <v>20</v>
      </c>
      <c r="F240" t="s">
        <v>320</v>
      </c>
      <c r="G240" t="s">
        <v>269</v>
      </c>
      <c r="H240" t="s">
        <v>254</v>
      </c>
      <c r="I240" t="s">
        <v>242</v>
      </c>
      <c r="J240" t="s">
        <v>235</v>
      </c>
      <c r="K240" s="380">
        <v>36861</v>
      </c>
      <c r="L240" s="235">
        <v>147916.98517127294</v>
      </c>
      <c r="M240" s="380">
        <v>36859</v>
      </c>
      <c r="N240" t="s">
        <v>1</v>
      </c>
      <c r="O240">
        <v>0.75</v>
      </c>
      <c r="P240">
        <v>0</v>
      </c>
      <c r="Q240">
        <v>0</v>
      </c>
      <c r="R240">
        <v>0</v>
      </c>
      <c r="S240">
        <v>0</v>
      </c>
      <c r="T240" t="s">
        <v>253</v>
      </c>
      <c r="U240" t="s">
        <v>7</v>
      </c>
      <c r="V240" t="s">
        <v>253</v>
      </c>
      <c r="W240" t="s">
        <v>132</v>
      </c>
      <c r="X240" t="s">
        <v>253</v>
      </c>
      <c r="Y240" t="s">
        <v>235</v>
      </c>
      <c r="Z240" t="s">
        <v>236</v>
      </c>
      <c r="AA240" t="s">
        <v>253</v>
      </c>
      <c r="AB240" t="s">
        <v>121</v>
      </c>
      <c r="AC240" s="235">
        <v>1000000</v>
      </c>
      <c r="AD240" s="235">
        <v>55583.080300081085</v>
      </c>
      <c r="AE240">
        <v>0</v>
      </c>
      <c r="AF240">
        <v>0</v>
      </c>
      <c r="AG240">
        <v>0</v>
      </c>
      <c r="AH240" s="235">
        <v>-6008.0752655960096</v>
      </c>
      <c r="AI240">
        <v>226</v>
      </c>
      <c r="AJ240" t="s">
        <v>256</v>
      </c>
      <c r="AK240">
        <v>0</v>
      </c>
      <c r="AL240">
        <v>0</v>
      </c>
      <c r="AM240">
        <v>0</v>
      </c>
    </row>
    <row r="241" spans="1:39" x14ac:dyDescent="0.25">
      <c r="A241" t="s">
        <v>601</v>
      </c>
      <c r="B241" t="s">
        <v>405</v>
      </c>
      <c r="C241" t="s">
        <v>255</v>
      </c>
      <c r="D241" t="s">
        <v>234</v>
      </c>
      <c r="E241" t="s">
        <v>20</v>
      </c>
      <c r="F241" t="s">
        <v>320</v>
      </c>
      <c r="G241" t="s">
        <v>269</v>
      </c>
      <c r="H241" t="s">
        <v>254</v>
      </c>
      <c r="I241" t="s">
        <v>242</v>
      </c>
      <c r="J241" t="s">
        <v>235</v>
      </c>
      <c r="K241" s="380">
        <v>36831</v>
      </c>
      <c r="L241" s="235">
        <v>249617.89258441157</v>
      </c>
      <c r="M241" s="380">
        <v>36829</v>
      </c>
      <c r="N241" t="s">
        <v>1</v>
      </c>
      <c r="O241">
        <v>0.75</v>
      </c>
      <c r="P241">
        <v>0</v>
      </c>
      <c r="Q241">
        <v>0</v>
      </c>
      <c r="R241">
        <v>0</v>
      </c>
      <c r="S241">
        <v>0</v>
      </c>
      <c r="T241" t="s">
        <v>253</v>
      </c>
      <c r="U241" t="s">
        <v>7</v>
      </c>
      <c r="V241" t="s">
        <v>253</v>
      </c>
      <c r="W241" t="s">
        <v>132</v>
      </c>
      <c r="X241" t="s">
        <v>253</v>
      </c>
      <c r="Y241" t="s">
        <v>235</v>
      </c>
      <c r="Z241" t="s">
        <v>236</v>
      </c>
      <c r="AA241" t="s">
        <v>253</v>
      </c>
      <c r="AB241" t="s">
        <v>121</v>
      </c>
      <c r="AC241" s="235">
        <v>1000000</v>
      </c>
      <c r="AD241" s="235">
        <v>45150.594683169853</v>
      </c>
      <c r="AE241">
        <v>0</v>
      </c>
      <c r="AF241">
        <v>0</v>
      </c>
      <c r="AG241">
        <v>0</v>
      </c>
      <c r="AH241" s="235">
        <v>-16358.353324163123</v>
      </c>
      <c r="AI241">
        <v>226</v>
      </c>
      <c r="AJ241" t="s">
        <v>256</v>
      </c>
      <c r="AK241">
        <v>0</v>
      </c>
      <c r="AL241">
        <v>0</v>
      </c>
      <c r="AM241">
        <v>0</v>
      </c>
    </row>
    <row r="242" spans="1:39" x14ac:dyDescent="0.25">
      <c r="A242" t="s">
        <v>601</v>
      </c>
      <c r="B242" t="s">
        <v>406</v>
      </c>
      <c r="C242" t="s">
        <v>255</v>
      </c>
      <c r="D242" t="s">
        <v>234</v>
      </c>
      <c r="E242" t="s">
        <v>20</v>
      </c>
      <c r="F242" t="s">
        <v>279</v>
      </c>
      <c r="G242" t="s">
        <v>269</v>
      </c>
      <c r="H242" t="s">
        <v>254</v>
      </c>
      <c r="I242" t="s">
        <v>242</v>
      </c>
      <c r="J242" t="s">
        <v>235</v>
      </c>
      <c r="K242" s="380">
        <v>36951</v>
      </c>
      <c r="L242" s="235">
        <v>-340450.93860039202</v>
      </c>
      <c r="M242" s="380">
        <v>36949</v>
      </c>
      <c r="N242" t="s">
        <v>1</v>
      </c>
      <c r="O242">
        <v>1.1499999999999999</v>
      </c>
      <c r="P242">
        <v>0</v>
      </c>
      <c r="Q242">
        <v>0</v>
      </c>
      <c r="R242">
        <v>0</v>
      </c>
      <c r="S242">
        <v>0</v>
      </c>
      <c r="T242" t="s">
        <v>253</v>
      </c>
      <c r="U242" t="s">
        <v>7</v>
      </c>
      <c r="V242" t="s">
        <v>253</v>
      </c>
      <c r="W242" t="s">
        <v>132</v>
      </c>
      <c r="X242" t="s">
        <v>253</v>
      </c>
      <c r="Y242" t="s">
        <v>235</v>
      </c>
      <c r="Z242" t="s">
        <v>236</v>
      </c>
      <c r="AA242" t="s">
        <v>253</v>
      </c>
      <c r="AB242" t="s">
        <v>121</v>
      </c>
      <c r="AC242" s="235">
        <v>-620000</v>
      </c>
      <c r="AD242" s="235">
        <v>-54705.009387443366</v>
      </c>
      <c r="AE242">
        <v>0</v>
      </c>
      <c r="AF242">
        <v>0</v>
      </c>
      <c r="AG242">
        <v>0</v>
      </c>
      <c r="AH242" s="235">
        <v>14474.92033826781</v>
      </c>
      <c r="AI242">
        <v>226</v>
      </c>
      <c r="AJ242" t="s">
        <v>256</v>
      </c>
      <c r="AK242">
        <v>0</v>
      </c>
      <c r="AL242">
        <v>0</v>
      </c>
      <c r="AM242">
        <v>0</v>
      </c>
    </row>
    <row r="243" spans="1:39" x14ac:dyDescent="0.25">
      <c r="A243" t="s">
        <v>601</v>
      </c>
      <c r="B243" t="s">
        <v>406</v>
      </c>
      <c r="C243" t="s">
        <v>255</v>
      </c>
      <c r="D243" t="s">
        <v>234</v>
      </c>
      <c r="E243" t="s">
        <v>20</v>
      </c>
      <c r="F243" t="s">
        <v>279</v>
      </c>
      <c r="G243" t="s">
        <v>269</v>
      </c>
      <c r="H243" t="s">
        <v>254</v>
      </c>
      <c r="I243" t="s">
        <v>242</v>
      </c>
      <c r="J243" t="s">
        <v>235</v>
      </c>
      <c r="K243" s="380">
        <v>36923</v>
      </c>
      <c r="L243" s="235">
        <v>-141199.12784374741</v>
      </c>
      <c r="M243" s="380">
        <v>36921</v>
      </c>
      <c r="N243" t="s">
        <v>1</v>
      </c>
      <c r="O243">
        <v>1.1499999999999999</v>
      </c>
      <c r="P243">
        <v>0</v>
      </c>
      <c r="Q243">
        <v>0</v>
      </c>
      <c r="R243">
        <v>0</v>
      </c>
      <c r="S243">
        <v>0</v>
      </c>
      <c r="T243" t="s">
        <v>253</v>
      </c>
      <c r="U243" t="s">
        <v>7</v>
      </c>
      <c r="V243" t="s">
        <v>253</v>
      </c>
      <c r="W243" t="s">
        <v>132</v>
      </c>
      <c r="X243" t="s">
        <v>253</v>
      </c>
      <c r="Y243" t="s">
        <v>235</v>
      </c>
      <c r="Z243" t="s">
        <v>236</v>
      </c>
      <c r="AA243" t="s">
        <v>253</v>
      </c>
      <c r="AB243" t="s">
        <v>121</v>
      </c>
      <c r="AC243" s="235">
        <v>-560000</v>
      </c>
      <c r="AD243" s="235">
        <v>-42105.951043527137</v>
      </c>
      <c r="AE243">
        <v>0</v>
      </c>
      <c r="AF243">
        <v>0</v>
      </c>
      <c r="AG243">
        <v>0</v>
      </c>
      <c r="AH243" s="235">
        <v>6981.384245638299</v>
      </c>
      <c r="AI243">
        <v>226</v>
      </c>
      <c r="AJ243" t="s">
        <v>256</v>
      </c>
      <c r="AK243">
        <v>0</v>
      </c>
      <c r="AL243">
        <v>0</v>
      </c>
      <c r="AM243">
        <v>0</v>
      </c>
    </row>
    <row r="244" spans="1:39" x14ac:dyDescent="0.25">
      <c r="A244" t="s">
        <v>601</v>
      </c>
      <c r="B244" t="s">
        <v>406</v>
      </c>
      <c r="C244" t="s">
        <v>255</v>
      </c>
      <c r="D244" t="s">
        <v>234</v>
      </c>
      <c r="E244" t="s">
        <v>20</v>
      </c>
      <c r="F244" t="s">
        <v>279</v>
      </c>
      <c r="G244" t="s">
        <v>269</v>
      </c>
      <c r="H244" t="s">
        <v>254</v>
      </c>
      <c r="I244" t="s">
        <v>242</v>
      </c>
      <c r="J244" t="s">
        <v>235</v>
      </c>
      <c r="K244" s="380">
        <v>36892</v>
      </c>
      <c r="L244" s="235">
        <v>-129255.24880335775</v>
      </c>
      <c r="M244" s="380">
        <v>36888</v>
      </c>
      <c r="N244" t="s">
        <v>1</v>
      </c>
      <c r="O244">
        <v>1.1499999999999999</v>
      </c>
      <c r="P244">
        <v>0</v>
      </c>
      <c r="Q244">
        <v>0</v>
      </c>
      <c r="R244">
        <v>0</v>
      </c>
      <c r="S244">
        <v>0</v>
      </c>
      <c r="T244" t="s">
        <v>253</v>
      </c>
      <c r="U244" t="s">
        <v>7</v>
      </c>
      <c r="V244" t="s">
        <v>253</v>
      </c>
      <c r="W244" t="s">
        <v>132</v>
      </c>
      <c r="X244" t="s">
        <v>253</v>
      </c>
      <c r="Y244" t="s">
        <v>235</v>
      </c>
      <c r="Z244" t="s">
        <v>236</v>
      </c>
      <c r="AA244" t="s">
        <v>253</v>
      </c>
      <c r="AB244" t="s">
        <v>121</v>
      </c>
      <c r="AC244" s="235">
        <v>-620000</v>
      </c>
      <c r="AD244" s="235">
        <v>-40420.317012756117</v>
      </c>
      <c r="AE244">
        <v>0</v>
      </c>
      <c r="AF244">
        <v>0</v>
      </c>
      <c r="AG244">
        <v>0</v>
      </c>
      <c r="AH244" s="235">
        <v>5828.5093545609416</v>
      </c>
      <c r="AI244">
        <v>226</v>
      </c>
      <c r="AJ244" t="s">
        <v>256</v>
      </c>
      <c r="AK244">
        <v>0</v>
      </c>
      <c r="AL244">
        <v>0</v>
      </c>
      <c r="AM244">
        <v>0</v>
      </c>
    </row>
    <row r="245" spans="1:39" x14ac:dyDescent="0.25">
      <c r="A245" t="s">
        <v>601</v>
      </c>
      <c r="B245" t="s">
        <v>406</v>
      </c>
      <c r="C245" t="s">
        <v>255</v>
      </c>
      <c r="D245" t="s">
        <v>234</v>
      </c>
      <c r="E245" t="s">
        <v>20</v>
      </c>
      <c r="F245" t="s">
        <v>279</v>
      </c>
      <c r="G245" t="s">
        <v>269</v>
      </c>
      <c r="H245" t="s">
        <v>254</v>
      </c>
      <c r="I245" t="s">
        <v>242</v>
      </c>
      <c r="J245" t="s">
        <v>235</v>
      </c>
      <c r="K245" s="380">
        <v>36861</v>
      </c>
      <c r="L245" s="235">
        <v>-173078.83767603306</v>
      </c>
      <c r="M245" s="380">
        <v>36859</v>
      </c>
      <c r="N245" t="s">
        <v>1</v>
      </c>
      <c r="O245">
        <v>1.1499999999999999</v>
      </c>
      <c r="P245">
        <v>0</v>
      </c>
      <c r="Q245">
        <v>0</v>
      </c>
      <c r="R245">
        <v>0</v>
      </c>
      <c r="S245">
        <v>0</v>
      </c>
      <c r="T245" t="s">
        <v>253</v>
      </c>
      <c r="U245" t="s">
        <v>7</v>
      </c>
      <c r="V245" t="s">
        <v>253</v>
      </c>
      <c r="W245" t="s">
        <v>132</v>
      </c>
      <c r="X245" t="s">
        <v>253</v>
      </c>
      <c r="Y245" t="s">
        <v>235</v>
      </c>
      <c r="Z245" t="s">
        <v>236</v>
      </c>
      <c r="AA245" t="s">
        <v>253</v>
      </c>
      <c r="AB245" t="s">
        <v>121</v>
      </c>
      <c r="AC245" s="235">
        <v>-620000</v>
      </c>
      <c r="AD245" s="235">
        <v>-41497.672079018346</v>
      </c>
      <c r="AE245">
        <v>0</v>
      </c>
      <c r="AF245">
        <v>0</v>
      </c>
      <c r="AG245">
        <v>0</v>
      </c>
      <c r="AH245" s="235">
        <v>6505.6443477401335</v>
      </c>
      <c r="AI245">
        <v>226</v>
      </c>
      <c r="AJ245" t="s">
        <v>256</v>
      </c>
      <c r="AK245">
        <v>0</v>
      </c>
      <c r="AL245">
        <v>0</v>
      </c>
      <c r="AM245">
        <v>0</v>
      </c>
    </row>
    <row r="246" spans="1:39" x14ac:dyDescent="0.25">
      <c r="A246" t="s">
        <v>601</v>
      </c>
      <c r="B246" t="s">
        <v>406</v>
      </c>
      <c r="C246" t="s">
        <v>255</v>
      </c>
      <c r="D246" t="s">
        <v>234</v>
      </c>
      <c r="E246" t="s">
        <v>20</v>
      </c>
      <c r="F246" t="s">
        <v>279</v>
      </c>
      <c r="G246" t="s">
        <v>269</v>
      </c>
      <c r="H246" t="s">
        <v>254</v>
      </c>
      <c r="I246" t="s">
        <v>242</v>
      </c>
      <c r="J246" t="s">
        <v>235</v>
      </c>
      <c r="K246" s="380">
        <v>36831</v>
      </c>
      <c r="L246" s="235">
        <v>-301615.39180087473</v>
      </c>
      <c r="M246" s="380">
        <v>36829</v>
      </c>
      <c r="N246" t="s">
        <v>1</v>
      </c>
      <c r="O246">
        <v>1.1499999999999999</v>
      </c>
      <c r="P246">
        <v>0</v>
      </c>
      <c r="Q246">
        <v>0</v>
      </c>
      <c r="R246">
        <v>0</v>
      </c>
      <c r="S246">
        <v>0</v>
      </c>
      <c r="T246" t="s">
        <v>253</v>
      </c>
      <c r="U246" t="s">
        <v>7</v>
      </c>
      <c r="V246" t="s">
        <v>253</v>
      </c>
      <c r="W246" t="s">
        <v>132</v>
      </c>
      <c r="X246" t="s">
        <v>253</v>
      </c>
      <c r="Y246" t="s">
        <v>235</v>
      </c>
      <c r="Z246" t="s">
        <v>236</v>
      </c>
      <c r="AA246" t="s">
        <v>253</v>
      </c>
      <c r="AB246" t="s">
        <v>121</v>
      </c>
      <c r="AC246" s="235">
        <v>-600000</v>
      </c>
      <c r="AD246" s="235">
        <v>-22643.21485774382</v>
      </c>
      <c r="AE246">
        <v>0</v>
      </c>
      <c r="AF246">
        <v>0</v>
      </c>
      <c r="AG246">
        <v>0</v>
      </c>
      <c r="AH246" s="235">
        <v>15213.108345087152</v>
      </c>
      <c r="AI246">
        <v>226</v>
      </c>
      <c r="AJ246" t="s">
        <v>256</v>
      </c>
      <c r="AK246">
        <v>0</v>
      </c>
      <c r="AL246">
        <v>0</v>
      </c>
      <c r="AM246">
        <v>0</v>
      </c>
    </row>
    <row r="247" spans="1:39" x14ac:dyDescent="0.25">
      <c r="A247" t="s">
        <v>601</v>
      </c>
      <c r="B247" t="s">
        <v>407</v>
      </c>
      <c r="C247" t="s">
        <v>255</v>
      </c>
      <c r="D247" t="s">
        <v>234</v>
      </c>
      <c r="E247" t="s">
        <v>20</v>
      </c>
      <c r="F247" t="s">
        <v>279</v>
      </c>
      <c r="G247" t="s">
        <v>269</v>
      </c>
      <c r="H247" t="s">
        <v>254</v>
      </c>
      <c r="I247" t="s">
        <v>242</v>
      </c>
      <c r="J247" t="s">
        <v>235</v>
      </c>
      <c r="K247" s="380">
        <v>36951</v>
      </c>
      <c r="L247" s="235">
        <v>-465509.91672981536</v>
      </c>
      <c r="M247" s="380">
        <v>36949</v>
      </c>
      <c r="N247" t="s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 t="s">
        <v>253</v>
      </c>
      <c r="U247" t="s">
        <v>7</v>
      </c>
      <c r="V247" t="s">
        <v>253</v>
      </c>
      <c r="W247" t="s">
        <v>132</v>
      </c>
      <c r="X247" t="s">
        <v>253</v>
      </c>
      <c r="Y247" t="s">
        <v>235</v>
      </c>
      <c r="Z247" t="s">
        <v>236</v>
      </c>
      <c r="AA247" t="s">
        <v>253</v>
      </c>
      <c r="AB247" t="s">
        <v>121</v>
      </c>
      <c r="AC247" s="235">
        <v>-1000000</v>
      </c>
      <c r="AD247" s="235">
        <v>-88936.820974534145</v>
      </c>
      <c r="AE247">
        <v>0</v>
      </c>
      <c r="AF247">
        <v>0</v>
      </c>
      <c r="AG247">
        <v>0</v>
      </c>
      <c r="AH247" s="235">
        <v>20719.012783803046</v>
      </c>
      <c r="AI247">
        <v>226</v>
      </c>
      <c r="AJ247" t="s">
        <v>256</v>
      </c>
      <c r="AK247">
        <v>0</v>
      </c>
      <c r="AL247">
        <v>0</v>
      </c>
      <c r="AM247">
        <v>0</v>
      </c>
    </row>
    <row r="248" spans="1:39" x14ac:dyDescent="0.25">
      <c r="A248" t="s">
        <v>601</v>
      </c>
      <c r="B248" t="s">
        <v>409</v>
      </c>
      <c r="C248" t="s">
        <v>255</v>
      </c>
      <c r="D248" t="s">
        <v>234</v>
      </c>
      <c r="E248" t="s">
        <v>20</v>
      </c>
      <c r="F248" t="s">
        <v>279</v>
      </c>
      <c r="G248" t="s">
        <v>269</v>
      </c>
      <c r="H248" t="s">
        <v>254</v>
      </c>
      <c r="I248" t="s">
        <v>242</v>
      </c>
      <c r="J248" t="s">
        <v>235</v>
      </c>
      <c r="K248" s="380">
        <v>36951</v>
      </c>
      <c r="L248" s="235">
        <v>342154.89694425382</v>
      </c>
      <c r="M248" s="380">
        <v>36949</v>
      </c>
      <c r="N248" t="s">
        <v>1</v>
      </c>
      <c r="O248">
        <v>0.75</v>
      </c>
      <c r="P248">
        <v>0</v>
      </c>
      <c r="Q248">
        <v>0</v>
      </c>
      <c r="R248">
        <v>0</v>
      </c>
      <c r="S248">
        <v>0</v>
      </c>
      <c r="T248" t="s">
        <v>253</v>
      </c>
      <c r="U248" t="s">
        <v>7</v>
      </c>
      <c r="V248" t="s">
        <v>253</v>
      </c>
      <c r="W248" t="s">
        <v>132</v>
      </c>
      <c r="X248" t="s">
        <v>253</v>
      </c>
      <c r="Y248" t="s">
        <v>235</v>
      </c>
      <c r="Z248" t="s">
        <v>236</v>
      </c>
      <c r="AA248" t="s">
        <v>253</v>
      </c>
      <c r="AB248" t="s">
        <v>121</v>
      </c>
      <c r="AC248" s="235">
        <v>1000000</v>
      </c>
      <c r="AD248" s="235">
        <v>87420.302947144199</v>
      </c>
      <c r="AE248">
        <v>0</v>
      </c>
      <c r="AF248">
        <v>0</v>
      </c>
      <c r="AG248">
        <v>0</v>
      </c>
      <c r="AH248" s="235">
        <v>-16337.219424809038</v>
      </c>
      <c r="AI248">
        <v>226</v>
      </c>
      <c r="AJ248" t="s">
        <v>256</v>
      </c>
      <c r="AK248">
        <v>0</v>
      </c>
      <c r="AL248">
        <v>0</v>
      </c>
      <c r="AM248">
        <v>0</v>
      </c>
    </row>
    <row r="249" spans="1:39" x14ac:dyDescent="0.25">
      <c r="A249" t="s">
        <v>601</v>
      </c>
      <c r="B249" t="s">
        <v>409</v>
      </c>
      <c r="C249" t="s">
        <v>255</v>
      </c>
      <c r="D249" t="s">
        <v>234</v>
      </c>
      <c r="E249" t="s">
        <v>20</v>
      </c>
      <c r="F249" t="s">
        <v>279</v>
      </c>
      <c r="G249" t="s">
        <v>269</v>
      </c>
      <c r="H249" t="s">
        <v>254</v>
      </c>
      <c r="I249" t="s">
        <v>242</v>
      </c>
      <c r="J249" t="s">
        <v>235</v>
      </c>
      <c r="K249" s="380">
        <v>36923</v>
      </c>
      <c r="L249" s="235">
        <v>140248.49922231707</v>
      </c>
      <c r="M249" s="380">
        <v>36921</v>
      </c>
      <c r="N249" t="s">
        <v>1</v>
      </c>
      <c r="O249">
        <v>0.75</v>
      </c>
      <c r="P249">
        <v>0</v>
      </c>
      <c r="Q249">
        <v>0</v>
      </c>
      <c r="R249">
        <v>0</v>
      </c>
      <c r="S249">
        <v>0</v>
      </c>
      <c r="T249" t="s">
        <v>253</v>
      </c>
      <c r="U249" t="s">
        <v>7</v>
      </c>
      <c r="V249" t="s">
        <v>253</v>
      </c>
      <c r="W249" t="s">
        <v>132</v>
      </c>
      <c r="X249" t="s">
        <v>253</v>
      </c>
      <c r="Y249" t="s">
        <v>235</v>
      </c>
      <c r="Z249" t="s">
        <v>236</v>
      </c>
      <c r="AA249" t="s">
        <v>253</v>
      </c>
      <c r="AB249" t="s">
        <v>121</v>
      </c>
      <c r="AC249" s="235">
        <v>1000000</v>
      </c>
      <c r="AD249" s="235">
        <v>61469.571592473018</v>
      </c>
      <c r="AE249">
        <v>0</v>
      </c>
      <c r="AF249">
        <v>0</v>
      </c>
      <c r="AG249">
        <v>0</v>
      </c>
      <c r="AH249" s="235">
        <v>-7506.7021280555055</v>
      </c>
      <c r="AI249">
        <v>226</v>
      </c>
      <c r="AJ249" t="s">
        <v>256</v>
      </c>
      <c r="AK249">
        <v>0</v>
      </c>
      <c r="AL249">
        <v>0</v>
      </c>
      <c r="AM249">
        <v>0</v>
      </c>
    </row>
    <row r="250" spans="1:39" x14ac:dyDescent="0.25">
      <c r="A250" t="s">
        <v>601</v>
      </c>
      <c r="B250" t="s">
        <v>409</v>
      </c>
      <c r="C250" t="s">
        <v>255</v>
      </c>
      <c r="D250" t="s">
        <v>234</v>
      </c>
      <c r="E250" t="s">
        <v>20</v>
      </c>
      <c r="F250" t="s">
        <v>279</v>
      </c>
      <c r="G250" t="s">
        <v>269</v>
      </c>
      <c r="H250" t="s">
        <v>254</v>
      </c>
      <c r="I250" t="s">
        <v>242</v>
      </c>
      <c r="J250" t="s">
        <v>235</v>
      </c>
      <c r="K250" s="380">
        <v>36892</v>
      </c>
      <c r="L250" s="235">
        <v>110739.68944962387</v>
      </c>
      <c r="M250" s="380">
        <v>36888</v>
      </c>
      <c r="N250" t="s">
        <v>1</v>
      </c>
      <c r="O250">
        <v>0.75</v>
      </c>
      <c r="P250">
        <v>0</v>
      </c>
      <c r="Q250">
        <v>0</v>
      </c>
      <c r="R250">
        <v>0</v>
      </c>
      <c r="S250">
        <v>0</v>
      </c>
      <c r="T250" t="s">
        <v>253</v>
      </c>
      <c r="U250" t="s">
        <v>7</v>
      </c>
      <c r="V250" t="s">
        <v>253</v>
      </c>
      <c r="W250" t="s">
        <v>132</v>
      </c>
      <c r="X250" t="s">
        <v>253</v>
      </c>
      <c r="Y250" t="s">
        <v>235</v>
      </c>
      <c r="Z250" t="s">
        <v>236</v>
      </c>
      <c r="AA250" t="s">
        <v>253</v>
      </c>
      <c r="AB250" t="s">
        <v>121</v>
      </c>
      <c r="AC250" s="235">
        <v>1000000</v>
      </c>
      <c r="AD250" s="235">
        <v>50977.743533845103</v>
      </c>
      <c r="AE250">
        <v>0</v>
      </c>
      <c r="AF250">
        <v>0</v>
      </c>
      <c r="AG250">
        <v>0</v>
      </c>
      <c r="AH250" s="235">
        <v>-5341.825194021163</v>
      </c>
      <c r="AI250">
        <v>226</v>
      </c>
      <c r="AJ250" t="s">
        <v>256</v>
      </c>
      <c r="AK250">
        <v>0</v>
      </c>
      <c r="AL250">
        <v>0</v>
      </c>
      <c r="AM250">
        <v>0</v>
      </c>
    </row>
    <row r="251" spans="1:39" x14ac:dyDescent="0.25">
      <c r="A251" t="s">
        <v>601</v>
      </c>
      <c r="B251" t="s">
        <v>409</v>
      </c>
      <c r="C251" t="s">
        <v>255</v>
      </c>
      <c r="D251" t="s">
        <v>234</v>
      </c>
      <c r="E251" t="s">
        <v>20</v>
      </c>
      <c r="F251" t="s">
        <v>279</v>
      </c>
      <c r="G251" t="s">
        <v>269</v>
      </c>
      <c r="H251" t="s">
        <v>254</v>
      </c>
      <c r="I251" t="s">
        <v>242</v>
      </c>
      <c r="J251" t="s">
        <v>235</v>
      </c>
      <c r="K251" s="380">
        <v>36861</v>
      </c>
      <c r="L251" s="235">
        <v>147916.98517127294</v>
      </c>
      <c r="M251" s="380">
        <v>36859</v>
      </c>
      <c r="N251" t="s">
        <v>1</v>
      </c>
      <c r="O251">
        <v>0.75</v>
      </c>
      <c r="P251">
        <v>0</v>
      </c>
      <c r="Q251">
        <v>0</v>
      </c>
      <c r="R251">
        <v>0</v>
      </c>
      <c r="S251">
        <v>0</v>
      </c>
      <c r="T251" t="s">
        <v>253</v>
      </c>
      <c r="U251" t="s">
        <v>7</v>
      </c>
      <c r="V251" t="s">
        <v>253</v>
      </c>
      <c r="W251" t="s">
        <v>132</v>
      </c>
      <c r="X251" t="s">
        <v>253</v>
      </c>
      <c r="Y251" t="s">
        <v>235</v>
      </c>
      <c r="Z251" t="s">
        <v>236</v>
      </c>
      <c r="AA251" t="s">
        <v>253</v>
      </c>
      <c r="AB251" t="s">
        <v>121</v>
      </c>
      <c r="AC251" s="235">
        <v>1000000</v>
      </c>
      <c r="AD251" s="235">
        <v>55583.080300081085</v>
      </c>
      <c r="AE251">
        <v>0</v>
      </c>
      <c r="AF251">
        <v>0</v>
      </c>
      <c r="AG251">
        <v>0</v>
      </c>
      <c r="AH251" s="235">
        <v>-6008.0752655960096</v>
      </c>
      <c r="AI251">
        <v>226</v>
      </c>
      <c r="AJ251" t="s">
        <v>256</v>
      </c>
      <c r="AK251">
        <v>0</v>
      </c>
      <c r="AL251">
        <v>0</v>
      </c>
      <c r="AM251">
        <v>0</v>
      </c>
    </row>
    <row r="252" spans="1:39" x14ac:dyDescent="0.25">
      <c r="A252" t="s">
        <v>601</v>
      </c>
      <c r="B252" t="s">
        <v>409</v>
      </c>
      <c r="C252" t="s">
        <v>255</v>
      </c>
      <c r="D252" t="s">
        <v>234</v>
      </c>
      <c r="E252" t="s">
        <v>20</v>
      </c>
      <c r="F252" t="s">
        <v>279</v>
      </c>
      <c r="G252" t="s">
        <v>269</v>
      </c>
      <c r="H252" t="s">
        <v>254</v>
      </c>
      <c r="I252" t="s">
        <v>242</v>
      </c>
      <c r="J252" t="s">
        <v>235</v>
      </c>
      <c r="K252" s="380">
        <v>36831</v>
      </c>
      <c r="L252" s="235">
        <v>249617.89258441157</v>
      </c>
      <c r="M252" s="380">
        <v>36829</v>
      </c>
      <c r="N252" t="s">
        <v>1</v>
      </c>
      <c r="O252">
        <v>0.75</v>
      </c>
      <c r="P252">
        <v>0</v>
      </c>
      <c r="Q252">
        <v>0</v>
      </c>
      <c r="R252">
        <v>0</v>
      </c>
      <c r="S252">
        <v>0</v>
      </c>
      <c r="T252" t="s">
        <v>253</v>
      </c>
      <c r="U252" t="s">
        <v>7</v>
      </c>
      <c r="V252" t="s">
        <v>253</v>
      </c>
      <c r="W252" t="s">
        <v>132</v>
      </c>
      <c r="X252" t="s">
        <v>253</v>
      </c>
      <c r="Y252" t="s">
        <v>235</v>
      </c>
      <c r="Z252" t="s">
        <v>236</v>
      </c>
      <c r="AA252" t="s">
        <v>253</v>
      </c>
      <c r="AB252" t="s">
        <v>121</v>
      </c>
      <c r="AC252" s="235">
        <v>1000000</v>
      </c>
      <c r="AD252" s="235">
        <v>45150.594683169853</v>
      </c>
      <c r="AE252">
        <v>0</v>
      </c>
      <c r="AF252">
        <v>0</v>
      </c>
      <c r="AG252">
        <v>0</v>
      </c>
      <c r="AH252" s="235">
        <v>-16358.353324163123</v>
      </c>
      <c r="AI252">
        <v>226</v>
      </c>
      <c r="AJ252" t="s">
        <v>256</v>
      </c>
      <c r="AK252">
        <v>0</v>
      </c>
      <c r="AL252">
        <v>0</v>
      </c>
      <c r="AM252">
        <v>0</v>
      </c>
    </row>
    <row r="253" spans="1:39" x14ac:dyDescent="0.25">
      <c r="A253" t="s">
        <v>601</v>
      </c>
      <c r="B253" t="s">
        <v>410</v>
      </c>
      <c r="C253" t="s">
        <v>255</v>
      </c>
      <c r="D253" t="s">
        <v>234</v>
      </c>
      <c r="E253" t="s">
        <v>20</v>
      </c>
      <c r="F253" t="s">
        <v>279</v>
      </c>
      <c r="G253" t="s">
        <v>269</v>
      </c>
      <c r="H253" t="s">
        <v>254</v>
      </c>
      <c r="I253" t="s">
        <v>242</v>
      </c>
      <c r="J253" t="s">
        <v>235</v>
      </c>
      <c r="K253" s="380">
        <v>36951</v>
      </c>
      <c r="L253" s="235">
        <v>-32635.407856256214</v>
      </c>
      <c r="M253" s="380">
        <v>36949</v>
      </c>
      <c r="N253" t="s">
        <v>21</v>
      </c>
      <c r="O253">
        <v>3</v>
      </c>
      <c r="P253">
        <v>0</v>
      </c>
      <c r="Q253">
        <v>0</v>
      </c>
      <c r="R253">
        <v>0</v>
      </c>
      <c r="S253">
        <v>0</v>
      </c>
      <c r="T253" t="s">
        <v>253</v>
      </c>
      <c r="U253" t="s">
        <v>7</v>
      </c>
      <c r="V253" t="s">
        <v>253</v>
      </c>
      <c r="W253" t="s">
        <v>132</v>
      </c>
      <c r="X253" t="s">
        <v>253</v>
      </c>
      <c r="Y253" t="s">
        <v>235</v>
      </c>
      <c r="Z253" t="s">
        <v>236</v>
      </c>
      <c r="AA253" t="s">
        <v>253</v>
      </c>
      <c r="AB253" t="s">
        <v>121</v>
      </c>
      <c r="AC253" s="235">
        <v>-310000</v>
      </c>
      <c r="AD253" s="235">
        <v>-13882.761927347208</v>
      </c>
      <c r="AE253">
        <v>0</v>
      </c>
      <c r="AF253">
        <v>0</v>
      </c>
      <c r="AG253">
        <v>0</v>
      </c>
      <c r="AH253" s="235">
        <v>-3518.4885686390589</v>
      </c>
      <c r="AI253">
        <v>226</v>
      </c>
      <c r="AJ253" t="s">
        <v>256</v>
      </c>
      <c r="AK253">
        <v>0</v>
      </c>
      <c r="AL253">
        <v>0</v>
      </c>
      <c r="AM253">
        <v>0</v>
      </c>
    </row>
    <row r="254" spans="1:39" x14ac:dyDescent="0.25">
      <c r="A254" t="s">
        <v>601</v>
      </c>
      <c r="B254" t="s">
        <v>410</v>
      </c>
      <c r="C254" t="s">
        <v>255</v>
      </c>
      <c r="D254" t="s">
        <v>234</v>
      </c>
      <c r="E254" t="s">
        <v>20</v>
      </c>
      <c r="F254" t="s">
        <v>279</v>
      </c>
      <c r="G254" t="s">
        <v>269</v>
      </c>
      <c r="H254" t="s">
        <v>254</v>
      </c>
      <c r="I254" t="s">
        <v>242</v>
      </c>
      <c r="J254" t="s">
        <v>235</v>
      </c>
      <c r="K254" s="380">
        <v>36923</v>
      </c>
      <c r="L254" s="235">
        <v>-111967.30506523105</v>
      </c>
      <c r="M254" s="380">
        <v>36921</v>
      </c>
      <c r="N254" t="s">
        <v>21</v>
      </c>
      <c r="O254">
        <v>3</v>
      </c>
      <c r="P254">
        <v>0</v>
      </c>
      <c r="Q254">
        <v>0</v>
      </c>
      <c r="R254">
        <v>0</v>
      </c>
      <c r="S254">
        <v>0</v>
      </c>
      <c r="T254" t="s">
        <v>253</v>
      </c>
      <c r="U254" t="s">
        <v>7</v>
      </c>
      <c r="V254" t="s">
        <v>253</v>
      </c>
      <c r="W254" t="s">
        <v>132</v>
      </c>
      <c r="X254" t="s">
        <v>253</v>
      </c>
      <c r="Y254" t="s">
        <v>235</v>
      </c>
      <c r="Z254" t="s">
        <v>236</v>
      </c>
      <c r="AA254" t="s">
        <v>253</v>
      </c>
      <c r="AB254" t="s">
        <v>121</v>
      </c>
      <c r="AC254" s="235">
        <v>-280000</v>
      </c>
      <c r="AD254" s="235">
        <v>-21157.79914874112</v>
      </c>
      <c r="AE254">
        <v>0</v>
      </c>
      <c r="AF254">
        <v>0</v>
      </c>
      <c r="AG254">
        <v>0</v>
      </c>
      <c r="AH254" s="235">
        <v>-8089.1241832561936</v>
      </c>
      <c r="AI254">
        <v>226</v>
      </c>
      <c r="AJ254" t="s">
        <v>256</v>
      </c>
      <c r="AK254">
        <v>0</v>
      </c>
      <c r="AL254">
        <v>0</v>
      </c>
      <c r="AM254">
        <v>0</v>
      </c>
    </row>
    <row r="255" spans="1:39" x14ac:dyDescent="0.25">
      <c r="A255" t="s">
        <v>601</v>
      </c>
      <c r="B255" t="s">
        <v>410</v>
      </c>
      <c r="C255" t="s">
        <v>255</v>
      </c>
      <c r="D255" t="s">
        <v>234</v>
      </c>
      <c r="E255" t="s">
        <v>20</v>
      </c>
      <c r="F255" t="s">
        <v>279</v>
      </c>
      <c r="G255" t="s">
        <v>269</v>
      </c>
      <c r="H255" t="s">
        <v>254</v>
      </c>
      <c r="I255" t="s">
        <v>242</v>
      </c>
      <c r="J255" t="s">
        <v>235</v>
      </c>
      <c r="K255" s="380">
        <v>36892</v>
      </c>
      <c r="L255" s="235">
        <v>-119727.30690205593</v>
      </c>
      <c r="M255" s="380">
        <v>36888</v>
      </c>
      <c r="N255" t="s">
        <v>21</v>
      </c>
      <c r="O255">
        <v>3</v>
      </c>
      <c r="P255">
        <v>0</v>
      </c>
      <c r="Q255">
        <v>0</v>
      </c>
      <c r="R255">
        <v>0</v>
      </c>
      <c r="S255">
        <v>0</v>
      </c>
      <c r="T255" t="s">
        <v>253</v>
      </c>
      <c r="U255" t="s">
        <v>7</v>
      </c>
      <c r="V255" t="s">
        <v>253</v>
      </c>
      <c r="W255" t="s">
        <v>132</v>
      </c>
      <c r="X255" t="s">
        <v>253</v>
      </c>
      <c r="Y255" t="s">
        <v>235</v>
      </c>
      <c r="Z255" t="s">
        <v>236</v>
      </c>
      <c r="AA255" t="s">
        <v>253</v>
      </c>
      <c r="AB255" t="s">
        <v>121</v>
      </c>
      <c r="AC255" s="235">
        <v>-310000</v>
      </c>
      <c r="AD255" s="235">
        <v>-21579.386175990119</v>
      </c>
      <c r="AE255">
        <v>0</v>
      </c>
      <c r="AF255">
        <v>0</v>
      </c>
      <c r="AG255">
        <v>0</v>
      </c>
      <c r="AH255" s="235">
        <v>-7790.5313785939652</v>
      </c>
      <c r="AI255">
        <v>226</v>
      </c>
      <c r="AJ255" t="s">
        <v>256</v>
      </c>
      <c r="AK255">
        <v>0</v>
      </c>
      <c r="AL255">
        <v>0</v>
      </c>
      <c r="AM255">
        <v>0</v>
      </c>
    </row>
    <row r="256" spans="1:39" x14ac:dyDescent="0.25">
      <c r="A256" t="s">
        <v>601</v>
      </c>
      <c r="B256" t="s">
        <v>410</v>
      </c>
      <c r="C256" t="s">
        <v>255</v>
      </c>
      <c r="D256" t="s">
        <v>234</v>
      </c>
      <c r="E256" t="s">
        <v>20</v>
      </c>
      <c r="F256" t="s">
        <v>279</v>
      </c>
      <c r="G256" t="s">
        <v>269</v>
      </c>
      <c r="H256" t="s">
        <v>254</v>
      </c>
      <c r="I256" t="s">
        <v>242</v>
      </c>
      <c r="J256" t="s">
        <v>235</v>
      </c>
      <c r="K256" s="380">
        <v>36861</v>
      </c>
      <c r="L256" s="235">
        <v>-49190.217423798822</v>
      </c>
      <c r="M256" s="380">
        <v>36859</v>
      </c>
      <c r="N256" t="s">
        <v>21</v>
      </c>
      <c r="O256">
        <v>3</v>
      </c>
      <c r="P256">
        <v>0</v>
      </c>
      <c r="Q256">
        <v>0</v>
      </c>
      <c r="R256">
        <v>0</v>
      </c>
      <c r="S256">
        <v>0</v>
      </c>
      <c r="T256" t="s">
        <v>253</v>
      </c>
      <c r="U256" t="s">
        <v>7</v>
      </c>
      <c r="V256" t="s">
        <v>253</v>
      </c>
      <c r="W256" t="s">
        <v>132</v>
      </c>
      <c r="X256" t="s">
        <v>253</v>
      </c>
      <c r="Y256" t="s">
        <v>235</v>
      </c>
      <c r="Z256" t="s">
        <v>236</v>
      </c>
      <c r="AA256" t="s">
        <v>253</v>
      </c>
      <c r="AB256" t="s">
        <v>121</v>
      </c>
      <c r="AC256" s="235">
        <v>-310000</v>
      </c>
      <c r="AD256" s="235">
        <v>-14429.378601460456</v>
      </c>
      <c r="AE256">
        <v>0</v>
      </c>
      <c r="AF256">
        <v>0</v>
      </c>
      <c r="AG256">
        <v>0</v>
      </c>
      <c r="AH256" s="235">
        <v>-3744.2885375921906</v>
      </c>
      <c r="AI256">
        <v>226</v>
      </c>
      <c r="AJ256" t="s">
        <v>256</v>
      </c>
      <c r="AK256">
        <v>0</v>
      </c>
      <c r="AL256">
        <v>0</v>
      </c>
      <c r="AM256">
        <v>0</v>
      </c>
    </row>
    <row r="257" spans="1:39" x14ac:dyDescent="0.25">
      <c r="A257" t="s">
        <v>601</v>
      </c>
      <c r="B257" t="s">
        <v>410</v>
      </c>
      <c r="C257" t="s">
        <v>255</v>
      </c>
      <c r="D257" t="s">
        <v>234</v>
      </c>
      <c r="E257" t="s">
        <v>20</v>
      </c>
      <c r="F257" t="s">
        <v>279</v>
      </c>
      <c r="G257" t="s">
        <v>269</v>
      </c>
      <c r="H257" t="s">
        <v>254</v>
      </c>
      <c r="I257" t="s">
        <v>242</v>
      </c>
      <c r="J257" t="s">
        <v>235</v>
      </c>
      <c r="K257" s="380">
        <v>36831</v>
      </c>
      <c r="L257" s="235">
        <v>-602.54032355859431</v>
      </c>
      <c r="M257" s="380">
        <v>36829</v>
      </c>
      <c r="N257" t="s">
        <v>21</v>
      </c>
      <c r="O257">
        <v>3</v>
      </c>
      <c r="P257">
        <v>0</v>
      </c>
      <c r="Q257">
        <v>0</v>
      </c>
      <c r="R257">
        <v>0</v>
      </c>
      <c r="S257">
        <v>0</v>
      </c>
      <c r="T257" t="s">
        <v>253</v>
      </c>
      <c r="U257" t="s">
        <v>7</v>
      </c>
      <c r="V257" t="s">
        <v>253</v>
      </c>
      <c r="W257" t="s">
        <v>132</v>
      </c>
      <c r="X257" t="s">
        <v>253</v>
      </c>
      <c r="Y257" t="s">
        <v>235</v>
      </c>
      <c r="Z257" t="s">
        <v>236</v>
      </c>
      <c r="AA257" t="s">
        <v>253</v>
      </c>
      <c r="AB257" t="s">
        <v>121</v>
      </c>
      <c r="AC257" s="235">
        <v>-300000</v>
      </c>
      <c r="AD257" s="235">
        <v>-601.41005566958916</v>
      </c>
      <c r="AE257">
        <v>0</v>
      </c>
      <c r="AF257">
        <v>0</v>
      </c>
      <c r="AG257">
        <v>0</v>
      </c>
      <c r="AH257" s="235">
        <v>-136.49685379598714</v>
      </c>
      <c r="AI257">
        <v>226</v>
      </c>
      <c r="AJ257" t="s">
        <v>256</v>
      </c>
      <c r="AK257">
        <v>0</v>
      </c>
      <c r="AL257">
        <v>0</v>
      </c>
      <c r="AM257">
        <v>0</v>
      </c>
    </row>
    <row r="258" spans="1:39" x14ac:dyDescent="0.25">
      <c r="A258" t="s">
        <v>601</v>
      </c>
      <c r="B258" t="s">
        <v>411</v>
      </c>
      <c r="C258" t="s">
        <v>255</v>
      </c>
      <c r="D258" t="s">
        <v>234</v>
      </c>
      <c r="E258" t="s">
        <v>20</v>
      </c>
      <c r="F258" t="s">
        <v>279</v>
      </c>
      <c r="G258" t="s">
        <v>269</v>
      </c>
      <c r="H258" t="s">
        <v>254</v>
      </c>
      <c r="I258" t="s">
        <v>242</v>
      </c>
      <c r="J258" t="s">
        <v>235</v>
      </c>
      <c r="K258" s="380">
        <v>36951</v>
      </c>
      <c r="L258" s="235">
        <v>171077.44847212691</v>
      </c>
      <c r="M258" s="380">
        <v>36949</v>
      </c>
      <c r="N258" t="s">
        <v>1</v>
      </c>
      <c r="O258">
        <v>0.75</v>
      </c>
      <c r="P258">
        <v>0</v>
      </c>
      <c r="Q258">
        <v>0</v>
      </c>
      <c r="R258">
        <v>0</v>
      </c>
      <c r="S258">
        <v>0</v>
      </c>
      <c r="T258" t="s">
        <v>253</v>
      </c>
      <c r="U258" t="s">
        <v>7</v>
      </c>
      <c r="V258" t="s">
        <v>253</v>
      </c>
      <c r="W258" t="s">
        <v>132</v>
      </c>
      <c r="X258" t="s">
        <v>253</v>
      </c>
      <c r="Y258" t="s">
        <v>235</v>
      </c>
      <c r="Z258" t="s">
        <v>236</v>
      </c>
      <c r="AA258" t="s">
        <v>253</v>
      </c>
      <c r="AB258" t="s">
        <v>121</v>
      </c>
      <c r="AC258" s="235">
        <v>500000</v>
      </c>
      <c r="AD258" s="235">
        <v>43710.151473572099</v>
      </c>
      <c r="AE258">
        <v>0</v>
      </c>
      <c r="AF258">
        <v>0</v>
      </c>
      <c r="AG258">
        <v>0</v>
      </c>
      <c r="AH258" s="235">
        <v>-8168.6097124045191</v>
      </c>
      <c r="AI258">
        <v>226</v>
      </c>
      <c r="AJ258" t="s">
        <v>256</v>
      </c>
      <c r="AK258">
        <v>0</v>
      </c>
      <c r="AL258">
        <v>0</v>
      </c>
      <c r="AM258">
        <v>0</v>
      </c>
    </row>
    <row r="259" spans="1:39" x14ac:dyDescent="0.25">
      <c r="A259" t="s">
        <v>601</v>
      </c>
      <c r="B259" t="s">
        <v>416</v>
      </c>
      <c r="C259" t="s">
        <v>255</v>
      </c>
      <c r="D259" t="s">
        <v>234</v>
      </c>
      <c r="E259" t="s">
        <v>20</v>
      </c>
      <c r="F259" t="s">
        <v>279</v>
      </c>
      <c r="G259" t="s">
        <v>269</v>
      </c>
      <c r="H259" t="s">
        <v>254</v>
      </c>
      <c r="I259" t="s">
        <v>242</v>
      </c>
      <c r="J259" t="s">
        <v>235</v>
      </c>
      <c r="K259" s="380">
        <v>36951</v>
      </c>
      <c r="L259" s="235">
        <v>-291693.5344319829</v>
      </c>
      <c r="M259" s="380">
        <v>36949</v>
      </c>
      <c r="N259" t="s">
        <v>21</v>
      </c>
      <c r="O259">
        <v>1.75</v>
      </c>
      <c r="P259">
        <v>0</v>
      </c>
      <c r="Q259">
        <v>0</v>
      </c>
      <c r="R259">
        <v>0</v>
      </c>
      <c r="S259">
        <v>0</v>
      </c>
      <c r="T259" t="s">
        <v>253</v>
      </c>
      <c r="U259" t="s">
        <v>7</v>
      </c>
      <c r="V259" t="s">
        <v>253</v>
      </c>
      <c r="W259" t="s">
        <v>132</v>
      </c>
      <c r="X259" t="s">
        <v>253</v>
      </c>
      <c r="Y259" t="s">
        <v>235</v>
      </c>
      <c r="Z259" t="s">
        <v>236</v>
      </c>
      <c r="AA259" t="s">
        <v>253</v>
      </c>
      <c r="AB259" t="s">
        <v>121</v>
      </c>
      <c r="AC259" s="235">
        <v>-1000000</v>
      </c>
      <c r="AD259" s="235">
        <v>-77433.670454429055</v>
      </c>
      <c r="AE259">
        <v>0</v>
      </c>
      <c r="AF259">
        <v>0</v>
      </c>
      <c r="AG259">
        <v>0</v>
      </c>
      <c r="AH259" s="235">
        <v>-24889.264244557009</v>
      </c>
      <c r="AI259">
        <v>226</v>
      </c>
      <c r="AJ259" t="s">
        <v>256</v>
      </c>
      <c r="AK259">
        <v>0</v>
      </c>
      <c r="AL259">
        <v>0</v>
      </c>
      <c r="AM259">
        <v>0</v>
      </c>
    </row>
    <row r="260" spans="1:39" x14ac:dyDescent="0.25">
      <c r="A260" t="s">
        <v>601</v>
      </c>
      <c r="B260" t="s">
        <v>416</v>
      </c>
      <c r="C260" t="s">
        <v>255</v>
      </c>
      <c r="D260" t="s">
        <v>234</v>
      </c>
      <c r="E260" t="s">
        <v>20</v>
      </c>
      <c r="F260" t="s">
        <v>279</v>
      </c>
      <c r="G260" t="s">
        <v>269</v>
      </c>
      <c r="H260" t="s">
        <v>254</v>
      </c>
      <c r="I260" t="s">
        <v>242</v>
      </c>
      <c r="J260" t="s">
        <v>235</v>
      </c>
      <c r="K260" s="380">
        <v>36923</v>
      </c>
      <c r="L260" s="235">
        <v>-831675.69846266182</v>
      </c>
      <c r="M260" s="380">
        <v>36921</v>
      </c>
      <c r="N260" t="s">
        <v>21</v>
      </c>
      <c r="O260">
        <v>1.75</v>
      </c>
      <c r="P260">
        <v>0</v>
      </c>
      <c r="Q260">
        <v>0</v>
      </c>
      <c r="R260">
        <v>0</v>
      </c>
      <c r="S260">
        <v>0</v>
      </c>
      <c r="T260" t="s">
        <v>253</v>
      </c>
      <c r="U260" t="s">
        <v>7</v>
      </c>
      <c r="V260" t="s">
        <v>253</v>
      </c>
      <c r="W260" t="s">
        <v>132</v>
      </c>
      <c r="X260" t="s">
        <v>253</v>
      </c>
      <c r="Y260" t="s">
        <v>235</v>
      </c>
      <c r="Z260" t="s">
        <v>236</v>
      </c>
      <c r="AA260" t="s">
        <v>253</v>
      </c>
      <c r="AB260" t="s">
        <v>121</v>
      </c>
      <c r="AC260" s="235">
        <v>-1000000</v>
      </c>
      <c r="AD260" s="235">
        <v>-85313.623718570219</v>
      </c>
      <c r="AE260">
        <v>0</v>
      </c>
      <c r="AF260">
        <v>0</v>
      </c>
      <c r="AG260">
        <v>0</v>
      </c>
      <c r="AH260" s="235">
        <v>-46642.186517634313</v>
      </c>
      <c r="AI260">
        <v>226</v>
      </c>
      <c r="AJ260" t="s">
        <v>256</v>
      </c>
      <c r="AK260">
        <v>0</v>
      </c>
      <c r="AL260">
        <v>0</v>
      </c>
      <c r="AM260">
        <v>0</v>
      </c>
    </row>
    <row r="261" spans="1:39" x14ac:dyDescent="0.25">
      <c r="A261" t="s">
        <v>601</v>
      </c>
      <c r="B261" t="s">
        <v>416</v>
      </c>
      <c r="C261" t="s">
        <v>255</v>
      </c>
      <c r="D261" t="s">
        <v>234</v>
      </c>
      <c r="E261" t="s">
        <v>20</v>
      </c>
      <c r="F261" t="s">
        <v>279</v>
      </c>
      <c r="G261" t="s">
        <v>269</v>
      </c>
      <c r="H261" t="s">
        <v>254</v>
      </c>
      <c r="I261" t="s">
        <v>242</v>
      </c>
      <c r="J261" t="s">
        <v>235</v>
      </c>
      <c r="K261" s="380">
        <v>36892</v>
      </c>
      <c r="L261" s="235">
        <v>-848053.5371320321</v>
      </c>
      <c r="M261" s="380">
        <v>36888</v>
      </c>
      <c r="N261" t="s">
        <v>21</v>
      </c>
      <c r="O261">
        <v>1.75</v>
      </c>
      <c r="P261">
        <v>0</v>
      </c>
      <c r="Q261">
        <v>0</v>
      </c>
      <c r="R261">
        <v>0</v>
      </c>
      <c r="S261">
        <v>0</v>
      </c>
      <c r="T261" t="s">
        <v>253</v>
      </c>
      <c r="U261" t="s">
        <v>7</v>
      </c>
      <c r="V261" t="s">
        <v>253</v>
      </c>
      <c r="W261" t="s">
        <v>132</v>
      </c>
      <c r="X261" t="s">
        <v>253</v>
      </c>
      <c r="Y261" t="s">
        <v>235</v>
      </c>
      <c r="Z261" t="s">
        <v>236</v>
      </c>
      <c r="AA261" t="s">
        <v>253</v>
      </c>
      <c r="AB261" t="s">
        <v>121</v>
      </c>
      <c r="AC261" s="235">
        <v>-1000000</v>
      </c>
      <c r="AD261" s="235">
        <v>-77169.985442042234</v>
      </c>
      <c r="AE261">
        <v>0</v>
      </c>
      <c r="AF261">
        <v>0</v>
      </c>
      <c r="AG261">
        <v>0</v>
      </c>
      <c r="AH261" s="235">
        <v>-41500.692328625242</v>
      </c>
      <c r="AI261">
        <v>226</v>
      </c>
      <c r="AJ261" t="s">
        <v>256</v>
      </c>
      <c r="AK261">
        <v>0</v>
      </c>
      <c r="AL261">
        <v>0</v>
      </c>
      <c r="AM261">
        <v>0</v>
      </c>
    </row>
    <row r="262" spans="1:39" x14ac:dyDescent="0.25">
      <c r="A262" t="s">
        <v>601</v>
      </c>
      <c r="B262" t="s">
        <v>416</v>
      </c>
      <c r="C262" t="s">
        <v>255</v>
      </c>
      <c r="D262" t="s">
        <v>234</v>
      </c>
      <c r="E262" t="s">
        <v>20</v>
      </c>
      <c r="F262" t="s">
        <v>279</v>
      </c>
      <c r="G262" t="s">
        <v>269</v>
      </c>
      <c r="H262" t="s">
        <v>254</v>
      </c>
      <c r="I262" t="s">
        <v>242</v>
      </c>
      <c r="J262" t="s">
        <v>235</v>
      </c>
      <c r="K262" s="380">
        <v>36861</v>
      </c>
      <c r="L262" s="235">
        <v>-472812.5861551339</v>
      </c>
      <c r="M262" s="380">
        <v>36859</v>
      </c>
      <c r="N262" t="s">
        <v>21</v>
      </c>
      <c r="O262">
        <v>1.75</v>
      </c>
      <c r="P262">
        <v>0</v>
      </c>
      <c r="Q262">
        <v>0</v>
      </c>
      <c r="R262">
        <v>0</v>
      </c>
      <c r="S262">
        <v>0</v>
      </c>
      <c r="T262" t="s">
        <v>253</v>
      </c>
      <c r="U262" t="s">
        <v>7</v>
      </c>
      <c r="V262" t="s">
        <v>253</v>
      </c>
      <c r="W262" t="s">
        <v>132</v>
      </c>
      <c r="X262" t="s">
        <v>253</v>
      </c>
      <c r="Y262" t="s">
        <v>235</v>
      </c>
      <c r="Z262" t="s">
        <v>236</v>
      </c>
      <c r="AA262" t="s">
        <v>253</v>
      </c>
      <c r="AB262" t="s">
        <v>121</v>
      </c>
      <c r="AC262" s="235">
        <v>-1000000</v>
      </c>
      <c r="AD262" s="235">
        <v>-70173.67017872323</v>
      </c>
      <c r="AE262">
        <v>0</v>
      </c>
      <c r="AF262">
        <v>0</v>
      </c>
      <c r="AG262">
        <v>0</v>
      </c>
      <c r="AH262" s="235">
        <v>-25854.311901853362</v>
      </c>
      <c r="AI262">
        <v>226</v>
      </c>
      <c r="AJ262" t="s">
        <v>256</v>
      </c>
      <c r="AK262">
        <v>0</v>
      </c>
      <c r="AL262">
        <v>0</v>
      </c>
      <c r="AM262">
        <v>0</v>
      </c>
    </row>
    <row r="263" spans="1:39" x14ac:dyDescent="0.25">
      <c r="A263" t="s">
        <v>601</v>
      </c>
      <c r="B263" t="s">
        <v>416</v>
      </c>
      <c r="C263" t="s">
        <v>255</v>
      </c>
      <c r="D263" t="s">
        <v>234</v>
      </c>
      <c r="E263" t="s">
        <v>20</v>
      </c>
      <c r="F263" t="s">
        <v>279</v>
      </c>
      <c r="G263" t="s">
        <v>269</v>
      </c>
      <c r="H263" t="s">
        <v>254</v>
      </c>
      <c r="I263" t="s">
        <v>242</v>
      </c>
      <c r="J263" t="s">
        <v>235</v>
      </c>
      <c r="K263" s="380">
        <v>36831</v>
      </c>
      <c r="L263" s="235">
        <v>-35639.805064446206</v>
      </c>
      <c r="M263" s="380">
        <v>36829</v>
      </c>
      <c r="N263" t="s">
        <v>21</v>
      </c>
      <c r="O263">
        <v>1.75</v>
      </c>
      <c r="P263">
        <v>0</v>
      </c>
      <c r="Q263">
        <v>0</v>
      </c>
      <c r="R263">
        <v>0</v>
      </c>
      <c r="S263">
        <v>0</v>
      </c>
      <c r="T263" t="s">
        <v>253</v>
      </c>
      <c r="U263" t="s">
        <v>7</v>
      </c>
      <c r="V263" t="s">
        <v>253</v>
      </c>
      <c r="W263" t="s">
        <v>132</v>
      </c>
      <c r="X263" t="s">
        <v>253</v>
      </c>
      <c r="Y263" t="s">
        <v>235</v>
      </c>
      <c r="Z263" t="s">
        <v>236</v>
      </c>
      <c r="AA263" t="s">
        <v>253</v>
      </c>
      <c r="AB263" t="s">
        <v>121</v>
      </c>
      <c r="AC263" s="235">
        <v>-1000000</v>
      </c>
      <c r="AD263" s="235">
        <v>-18615.975022111277</v>
      </c>
      <c r="AE263">
        <v>0</v>
      </c>
      <c r="AF263">
        <v>0</v>
      </c>
      <c r="AG263">
        <v>0</v>
      </c>
      <c r="AH263" s="235">
        <v>-5346.4016821535333</v>
      </c>
      <c r="AI263">
        <v>226</v>
      </c>
      <c r="AJ263" t="s">
        <v>256</v>
      </c>
      <c r="AK263">
        <v>0</v>
      </c>
      <c r="AL263">
        <v>0</v>
      </c>
      <c r="AM263">
        <v>0</v>
      </c>
    </row>
    <row r="264" spans="1:39" x14ac:dyDescent="0.25">
      <c r="A264" t="s">
        <v>601</v>
      </c>
      <c r="B264" t="s">
        <v>417</v>
      </c>
      <c r="C264" t="s">
        <v>255</v>
      </c>
      <c r="D264" t="s">
        <v>234</v>
      </c>
      <c r="E264" t="s">
        <v>20</v>
      </c>
      <c r="F264" t="s">
        <v>279</v>
      </c>
      <c r="G264" t="s">
        <v>269</v>
      </c>
      <c r="H264" t="s">
        <v>254</v>
      </c>
      <c r="I264" t="s">
        <v>242</v>
      </c>
      <c r="J264" t="s">
        <v>235</v>
      </c>
      <c r="K264" s="380">
        <v>36951</v>
      </c>
      <c r="L264" s="235">
        <v>157698.06655468969</v>
      </c>
      <c r="M264" s="380">
        <v>36949</v>
      </c>
      <c r="N264" t="s">
        <v>21</v>
      </c>
      <c r="O264">
        <v>2.5</v>
      </c>
      <c r="P264">
        <v>0</v>
      </c>
      <c r="Q264">
        <v>0</v>
      </c>
      <c r="R264">
        <v>0</v>
      </c>
      <c r="S264">
        <v>0</v>
      </c>
      <c r="T264" t="s">
        <v>253</v>
      </c>
      <c r="U264" t="s">
        <v>7</v>
      </c>
      <c r="V264" t="s">
        <v>253</v>
      </c>
      <c r="W264" t="s">
        <v>132</v>
      </c>
      <c r="X264" t="s">
        <v>253</v>
      </c>
      <c r="Y264" t="s">
        <v>235</v>
      </c>
      <c r="Z264" t="s">
        <v>236</v>
      </c>
      <c r="AA264" t="s">
        <v>253</v>
      </c>
      <c r="AB264" t="s">
        <v>121</v>
      </c>
      <c r="AC264" s="235">
        <v>1000000</v>
      </c>
      <c r="AD264" s="235">
        <v>57308.589381617843</v>
      </c>
      <c r="AE264">
        <v>0</v>
      </c>
      <c r="AF264">
        <v>0</v>
      </c>
      <c r="AG264">
        <v>0</v>
      </c>
      <c r="AH264" s="235">
        <v>15681.397873145906</v>
      </c>
      <c r="AI264">
        <v>226</v>
      </c>
      <c r="AJ264" t="s">
        <v>256</v>
      </c>
      <c r="AK264">
        <v>0</v>
      </c>
      <c r="AL264">
        <v>0</v>
      </c>
      <c r="AM264">
        <v>0</v>
      </c>
    </row>
    <row r="265" spans="1:39" x14ac:dyDescent="0.25">
      <c r="A265" t="s">
        <v>601</v>
      </c>
      <c r="B265" t="s">
        <v>417</v>
      </c>
      <c r="C265" t="s">
        <v>255</v>
      </c>
      <c r="D265" t="s">
        <v>234</v>
      </c>
      <c r="E265" t="s">
        <v>20</v>
      </c>
      <c r="F265" t="s">
        <v>279</v>
      </c>
      <c r="G265" t="s">
        <v>269</v>
      </c>
      <c r="H265" t="s">
        <v>254</v>
      </c>
      <c r="I265" t="s">
        <v>242</v>
      </c>
      <c r="J265" t="s">
        <v>235</v>
      </c>
      <c r="K265" s="380">
        <v>36923</v>
      </c>
      <c r="L265" s="235">
        <v>537096.25631967105</v>
      </c>
      <c r="M265" s="380">
        <v>36921</v>
      </c>
      <c r="N265" t="s">
        <v>21</v>
      </c>
      <c r="O265">
        <v>2.5</v>
      </c>
      <c r="P265">
        <v>0</v>
      </c>
      <c r="Q265">
        <v>0</v>
      </c>
      <c r="R265">
        <v>0</v>
      </c>
      <c r="S265">
        <v>0</v>
      </c>
      <c r="T265" t="s">
        <v>253</v>
      </c>
      <c r="U265" t="s">
        <v>7</v>
      </c>
      <c r="V265" t="s">
        <v>253</v>
      </c>
      <c r="W265" t="s">
        <v>132</v>
      </c>
      <c r="X265" t="s">
        <v>253</v>
      </c>
      <c r="Y265" t="s">
        <v>235</v>
      </c>
      <c r="Z265" t="s">
        <v>236</v>
      </c>
      <c r="AA265" t="s">
        <v>253</v>
      </c>
      <c r="AB265" t="s">
        <v>121</v>
      </c>
      <c r="AC265" s="235">
        <v>1000000</v>
      </c>
      <c r="AD265" s="235">
        <v>82769.602236199891</v>
      </c>
      <c r="AE265">
        <v>0</v>
      </c>
      <c r="AF265">
        <v>0</v>
      </c>
      <c r="AG265">
        <v>0</v>
      </c>
      <c r="AH265" s="235">
        <v>35480.636620919046</v>
      </c>
      <c r="AI265">
        <v>226</v>
      </c>
      <c r="AJ265" t="s">
        <v>256</v>
      </c>
      <c r="AK265">
        <v>0</v>
      </c>
      <c r="AL265">
        <v>0</v>
      </c>
      <c r="AM265">
        <v>0</v>
      </c>
    </row>
    <row r="266" spans="1:39" x14ac:dyDescent="0.25">
      <c r="A266" t="s">
        <v>601</v>
      </c>
      <c r="B266" t="s">
        <v>417</v>
      </c>
      <c r="C266" t="s">
        <v>255</v>
      </c>
      <c r="D266" t="s">
        <v>234</v>
      </c>
      <c r="E266" t="s">
        <v>20</v>
      </c>
      <c r="F266" t="s">
        <v>279</v>
      </c>
      <c r="G266" t="s">
        <v>269</v>
      </c>
      <c r="H266" t="s">
        <v>254</v>
      </c>
      <c r="I266" t="s">
        <v>242</v>
      </c>
      <c r="J266" t="s">
        <v>235</v>
      </c>
      <c r="K266" s="380">
        <v>36892</v>
      </c>
      <c r="L266" s="235">
        <v>531866.10397093277</v>
      </c>
      <c r="M266" s="380">
        <v>36888</v>
      </c>
      <c r="N266" t="s">
        <v>21</v>
      </c>
      <c r="O266">
        <v>2.5</v>
      </c>
      <c r="P266">
        <v>0</v>
      </c>
      <c r="Q266">
        <v>0</v>
      </c>
      <c r="R266">
        <v>0</v>
      </c>
      <c r="S266">
        <v>0</v>
      </c>
      <c r="T266" t="s">
        <v>253</v>
      </c>
      <c r="U266" t="s">
        <v>7</v>
      </c>
      <c r="V266" t="s">
        <v>253</v>
      </c>
      <c r="W266" t="s">
        <v>132</v>
      </c>
      <c r="X266" t="s">
        <v>253</v>
      </c>
      <c r="Y266" t="s">
        <v>235</v>
      </c>
      <c r="Z266" t="s">
        <v>236</v>
      </c>
      <c r="AA266" t="s">
        <v>253</v>
      </c>
      <c r="AB266" t="s">
        <v>121</v>
      </c>
      <c r="AC266" s="235">
        <v>1000000</v>
      </c>
      <c r="AD266" s="235">
        <v>76361.830798900919</v>
      </c>
      <c r="AE266">
        <v>0</v>
      </c>
      <c r="AF266">
        <v>0</v>
      </c>
      <c r="AG266">
        <v>0</v>
      </c>
      <c r="AH266" s="235">
        <v>31282.831871334114</v>
      </c>
      <c r="AI266">
        <v>226</v>
      </c>
      <c r="AJ266" t="s">
        <v>256</v>
      </c>
      <c r="AK266">
        <v>0</v>
      </c>
      <c r="AL266">
        <v>0</v>
      </c>
      <c r="AM266">
        <v>0</v>
      </c>
    </row>
    <row r="267" spans="1:39" x14ac:dyDescent="0.25">
      <c r="A267" t="s">
        <v>601</v>
      </c>
      <c r="B267" t="s">
        <v>417</v>
      </c>
      <c r="C267" t="s">
        <v>255</v>
      </c>
      <c r="D267" t="s">
        <v>234</v>
      </c>
      <c r="E267" t="s">
        <v>20</v>
      </c>
      <c r="F267" t="s">
        <v>279</v>
      </c>
      <c r="G267" t="s">
        <v>269</v>
      </c>
      <c r="H267" t="s">
        <v>254</v>
      </c>
      <c r="I267" t="s">
        <v>242</v>
      </c>
      <c r="J267" t="s">
        <v>235</v>
      </c>
      <c r="K267" s="380">
        <v>36861</v>
      </c>
      <c r="L267" s="235">
        <v>247737.51980055621</v>
      </c>
      <c r="M267" s="380">
        <v>36859</v>
      </c>
      <c r="N267" t="s">
        <v>21</v>
      </c>
      <c r="O267">
        <v>2.5</v>
      </c>
      <c r="P267">
        <v>0</v>
      </c>
      <c r="Q267">
        <v>0</v>
      </c>
      <c r="R267">
        <v>0</v>
      </c>
      <c r="S267">
        <v>0</v>
      </c>
      <c r="T267" t="s">
        <v>253</v>
      </c>
      <c r="U267" t="s">
        <v>7</v>
      </c>
      <c r="V267" t="s">
        <v>253</v>
      </c>
      <c r="W267" t="s">
        <v>132</v>
      </c>
      <c r="X267" t="s">
        <v>253</v>
      </c>
      <c r="Y267" t="s">
        <v>235</v>
      </c>
      <c r="Z267" t="s">
        <v>236</v>
      </c>
      <c r="AA267" t="s">
        <v>253</v>
      </c>
      <c r="AB267" t="s">
        <v>121</v>
      </c>
      <c r="AC267" s="235">
        <v>1000000</v>
      </c>
      <c r="AD267" s="235">
        <v>58026.826537211164</v>
      </c>
      <c r="AE267">
        <v>0</v>
      </c>
      <c r="AF267">
        <v>0</v>
      </c>
      <c r="AG267">
        <v>0</v>
      </c>
      <c r="AH267" s="235">
        <v>16791.507579922851</v>
      </c>
      <c r="AI267">
        <v>226</v>
      </c>
      <c r="AJ267" t="s">
        <v>256</v>
      </c>
      <c r="AK267">
        <v>0</v>
      </c>
      <c r="AL267">
        <v>0</v>
      </c>
      <c r="AM267">
        <v>0</v>
      </c>
    </row>
    <row r="268" spans="1:39" x14ac:dyDescent="0.25">
      <c r="A268" t="s">
        <v>601</v>
      </c>
      <c r="B268" t="s">
        <v>417</v>
      </c>
      <c r="C268" t="s">
        <v>255</v>
      </c>
      <c r="D268" t="s">
        <v>234</v>
      </c>
      <c r="E268" t="s">
        <v>20</v>
      </c>
      <c r="F268" t="s">
        <v>279</v>
      </c>
      <c r="G268" t="s">
        <v>269</v>
      </c>
      <c r="H268" t="s">
        <v>254</v>
      </c>
      <c r="I268" t="s">
        <v>242</v>
      </c>
      <c r="J268" t="s">
        <v>235</v>
      </c>
      <c r="K268" s="380">
        <v>36831</v>
      </c>
      <c r="L268" s="235">
        <v>6439.5475095290703</v>
      </c>
      <c r="M268" s="380">
        <v>36829</v>
      </c>
      <c r="N268" t="s">
        <v>21</v>
      </c>
      <c r="O268">
        <v>2.5</v>
      </c>
      <c r="P268">
        <v>0</v>
      </c>
      <c r="Q268">
        <v>0</v>
      </c>
      <c r="R268">
        <v>0</v>
      </c>
      <c r="S268">
        <v>0</v>
      </c>
      <c r="T268" t="s">
        <v>253</v>
      </c>
      <c r="U268" t="s">
        <v>7</v>
      </c>
      <c r="V268" t="s">
        <v>253</v>
      </c>
      <c r="W268" t="s">
        <v>132</v>
      </c>
      <c r="X268" t="s">
        <v>253</v>
      </c>
      <c r="Y268" t="s">
        <v>235</v>
      </c>
      <c r="Z268" t="s">
        <v>236</v>
      </c>
      <c r="AA268" t="s">
        <v>253</v>
      </c>
      <c r="AB268" t="s">
        <v>121</v>
      </c>
      <c r="AC268" s="235">
        <v>1000000</v>
      </c>
      <c r="AD268" s="235">
        <v>5231.9733423917023</v>
      </c>
      <c r="AE268">
        <v>0</v>
      </c>
      <c r="AF268">
        <v>0</v>
      </c>
      <c r="AG268">
        <v>0</v>
      </c>
      <c r="AH268" s="235">
        <v>1266.4611740150285</v>
      </c>
      <c r="AI268">
        <v>226</v>
      </c>
      <c r="AJ268" t="s">
        <v>256</v>
      </c>
      <c r="AK268">
        <v>0</v>
      </c>
      <c r="AL268">
        <v>0</v>
      </c>
      <c r="AM268">
        <v>0</v>
      </c>
    </row>
    <row r="269" spans="1:39" x14ac:dyDescent="0.25">
      <c r="A269" t="s">
        <v>601</v>
      </c>
      <c r="B269" t="s">
        <v>418</v>
      </c>
      <c r="C269" t="s">
        <v>255</v>
      </c>
      <c r="D269" t="s">
        <v>234</v>
      </c>
      <c r="E269" t="s">
        <v>20</v>
      </c>
      <c r="F269" t="s">
        <v>279</v>
      </c>
      <c r="G269" t="s">
        <v>269</v>
      </c>
      <c r="H269" t="s">
        <v>254</v>
      </c>
      <c r="I269" t="s">
        <v>242</v>
      </c>
      <c r="J269" t="s">
        <v>235</v>
      </c>
      <c r="K269" s="380">
        <v>36800</v>
      </c>
      <c r="L269" s="235">
        <v>-100935.67753937571</v>
      </c>
      <c r="M269" s="380">
        <v>36797</v>
      </c>
      <c r="N269" t="s">
        <v>1</v>
      </c>
      <c r="O269">
        <v>0.5</v>
      </c>
      <c r="P269">
        <v>0</v>
      </c>
      <c r="Q269">
        <v>0</v>
      </c>
      <c r="R269">
        <v>0</v>
      </c>
      <c r="S269">
        <v>0</v>
      </c>
      <c r="T269" t="s">
        <v>253</v>
      </c>
      <c r="U269" t="s">
        <v>7</v>
      </c>
      <c r="V269" t="s">
        <v>253</v>
      </c>
      <c r="W269" t="s">
        <v>132</v>
      </c>
      <c r="X269" t="s">
        <v>253</v>
      </c>
      <c r="Y269" t="s">
        <v>235</v>
      </c>
      <c r="Z269" t="s">
        <v>236</v>
      </c>
      <c r="AA269" t="s">
        <v>253</v>
      </c>
      <c r="AB269" t="s">
        <v>121</v>
      </c>
      <c r="AC269" s="235">
        <v>-1000000</v>
      </c>
      <c r="AD269" s="235">
        <v>-4839.6896786524449</v>
      </c>
      <c r="AE269">
        <v>0</v>
      </c>
      <c r="AF269">
        <v>0</v>
      </c>
      <c r="AG269">
        <v>0</v>
      </c>
      <c r="AH269" s="235">
        <v>-277.41837054140342</v>
      </c>
      <c r="AI269">
        <v>226</v>
      </c>
      <c r="AJ269" t="s">
        <v>256</v>
      </c>
      <c r="AK269">
        <v>0</v>
      </c>
      <c r="AL269">
        <v>0</v>
      </c>
      <c r="AM269">
        <v>0</v>
      </c>
    </row>
    <row r="270" spans="1:39" x14ac:dyDescent="0.25">
      <c r="A270" t="s">
        <v>601</v>
      </c>
      <c r="B270" t="s">
        <v>418</v>
      </c>
      <c r="C270" t="s">
        <v>255</v>
      </c>
      <c r="D270" t="s">
        <v>234</v>
      </c>
      <c r="E270" t="s">
        <v>20</v>
      </c>
      <c r="F270" t="s">
        <v>279</v>
      </c>
      <c r="G270" t="s">
        <v>269</v>
      </c>
      <c r="H270" t="s">
        <v>254</v>
      </c>
      <c r="I270" t="s">
        <v>242</v>
      </c>
      <c r="J270" t="s">
        <v>235</v>
      </c>
      <c r="K270" s="380">
        <v>36770</v>
      </c>
      <c r="L270" s="235">
        <v>-184931.92220017224</v>
      </c>
      <c r="M270" s="380">
        <v>36768</v>
      </c>
      <c r="N270" t="s">
        <v>1</v>
      </c>
      <c r="O270">
        <v>0.5</v>
      </c>
      <c r="P270">
        <v>0</v>
      </c>
      <c r="Q270">
        <v>0</v>
      </c>
      <c r="R270">
        <v>0</v>
      </c>
      <c r="S270">
        <v>0</v>
      </c>
      <c r="T270" t="s">
        <v>253</v>
      </c>
      <c r="U270" t="s">
        <v>7</v>
      </c>
      <c r="V270" t="s">
        <v>253</v>
      </c>
      <c r="W270" t="s">
        <v>132</v>
      </c>
      <c r="X270" t="s">
        <v>253</v>
      </c>
      <c r="Y270" t="s">
        <v>235</v>
      </c>
      <c r="Z270" t="s">
        <v>236</v>
      </c>
      <c r="AA270" t="s">
        <v>253</v>
      </c>
      <c r="AB270" t="s">
        <v>121</v>
      </c>
      <c r="AC270" s="235">
        <v>-1000000</v>
      </c>
      <c r="AD270" s="235">
        <v>0</v>
      </c>
      <c r="AE270">
        <v>0</v>
      </c>
      <c r="AF270">
        <v>0</v>
      </c>
      <c r="AG270">
        <v>0</v>
      </c>
      <c r="AH270" s="235">
        <v>-8.3708275633398443E-3</v>
      </c>
      <c r="AI270">
        <v>226</v>
      </c>
      <c r="AJ270" t="s">
        <v>256</v>
      </c>
      <c r="AK270">
        <v>0</v>
      </c>
      <c r="AL270">
        <v>0</v>
      </c>
      <c r="AM270">
        <v>0</v>
      </c>
    </row>
    <row r="271" spans="1:39" x14ac:dyDescent="0.25">
      <c r="A271" t="s">
        <v>601</v>
      </c>
      <c r="B271" t="s">
        <v>419</v>
      </c>
      <c r="C271" t="s">
        <v>255</v>
      </c>
      <c r="D271" t="s">
        <v>234</v>
      </c>
      <c r="E271" t="s">
        <v>20</v>
      </c>
      <c r="F271" t="s">
        <v>279</v>
      </c>
      <c r="G271" t="s">
        <v>269</v>
      </c>
      <c r="H271" t="s">
        <v>254</v>
      </c>
      <c r="I271" t="s">
        <v>242</v>
      </c>
      <c r="J271" t="s">
        <v>235</v>
      </c>
      <c r="K271" s="380">
        <v>36800</v>
      </c>
      <c r="L271" s="235">
        <v>7408.966165639019</v>
      </c>
      <c r="M271" s="380">
        <v>36797</v>
      </c>
      <c r="N271" t="s">
        <v>1</v>
      </c>
      <c r="O271">
        <v>0.3</v>
      </c>
      <c r="P271">
        <v>0</v>
      </c>
      <c r="Q271">
        <v>0</v>
      </c>
      <c r="R271">
        <v>0</v>
      </c>
      <c r="S271">
        <v>0</v>
      </c>
      <c r="T271" t="s">
        <v>253</v>
      </c>
      <c r="U271" t="s">
        <v>7</v>
      </c>
      <c r="V271" t="s">
        <v>253</v>
      </c>
      <c r="W271" t="s">
        <v>132</v>
      </c>
      <c r="X271" t="s">
        <v>253</v>
      </c>
      <c r="Y271" t="s">
        <v>235</v>
      </c>
      <c r="Z271" t="s">
        <v>236</v>
      </c>
      <c r="AA271" t="s">
        <v>253</v>
      </c>
      <c r="AB271" t="s">
        <v>121</v>
      </c>
      <c r="AC271" s="235">
        <v>1000000</v>
      </c>
      <c r="AD271" s="235">
        <v>3914.1238851314411</v>
      </c>
      <c r="AE271">
        <v>0</v>
      </c>
      <c r="AF271">
        <v>0</v>
      </c>
      <c r="AG271">
        <v>0</v>
      </c>
      <c r="AH271" s="235">
        <v>226.63136152001334</v>
      </c>
      <c r="AI271">
        <v>226</v>
      </c>
      <c r="AJ271" t="s">
        <v>256</v>
      </c>
      <c r="AK271">
        <v>0</v>
      </c>
      <c r="AL271">
        <v>0</v>
      </c>
      <c r="AM271">
        <v>0</v>
      </c>
    </row>
    <row r="272" spans="1:39" x14ac:dyDescent="0.25">
      <c r="A272" t="s">
        <v>601</v>
      </c>
      <c r="B272" t="s">
        <v>419</v>
      </c>
      <c r="C272" t="s">
        <v>255</v>
      </c>
      <c r="D272" t="s">
        <v>234</v>
      </c>
      <c r="E272" t="s">
        <v>20</v>
      </c>
      <c r="F272" t="s">
        <v>279</v>
      </c>
      <c r="G272" t="s">
        <v>269</v>
      </c>
      <c r="H272" t="s">
        <v>254</v>
      </c>
      <c r="I272" t="s">
        <v>242</v>
      </c>
      <c r="J272" t="s">
        <v>235</v>
      </c>
      <c r="K272" s="380">
        <v>36770</v>
      </c>
      <c r="L272" s="235">
        <v>2141.9777501948679</v>
      </c>
      <c r="M272" s="380">
        <v>36768</v>
      </c>
      <c r="N272" t="s">
        <v>1</v>
      </c>
      <c r="O272">
        <v>0.3</v>
      </c>
      <c r="P272">
        <v>0</v>
      </c>
      <c r="Q272">
        <v>0</v>
      </c>
      <c r="R272">
        <v>0</v>
      </c>
      <c r="S272">
        <v>0</v>
      </c>
      <c r="T272" t="s">
        <v>253</v>
      </c>
      <c r="U272" t="s">
        <v>7</v>
      </c>
      <c r="V272" t="s">
        <v>253</v>
      </c>
      <c r="W272" t="s">
        <v>132</v>
      </c>
      <c r="X272" t="s">
        <v>253</v>
      </c>
      <c r="Y272" t="s">
        <v>235</v>
      </c>
      <c r="Z272" t="s">
        <v>236</v>
      </c>
      <c r="AA272" t="s">
        <v>253</v>
      </c>
      <c r="AB272" t="s">
        <v>121</v>
      </c>
      <c r="AC272" s="235">
        <v>1000000</v>
      </c>
      <c r="AD272" s="235">
        <v>913.88103278100607</v>
      </c>
      <c r="AE272">
        <v>0</v>
      </c>
      <c r="AF272">
        <v>0</v>
      </c>
      <c r="AG272">
        <v>0</v>
      </c>
      <c r="AH272" s="235">
        <v>137.73911594672245</v>
      </c>
      <c r="AI272">
        <v>226</v>
      </c>
      <c r="AJ272" t="s">
        <v>256</v>
      </c>
      <c r="AK272">
        <v>0</v>
      </c>
      <c r="AL272">
        <v>0</v>
      </c>
      <c r="AM272">
        <v>0</v>
      </c>
    </row>
    <row r="273" spans="1:39" x14ac:dyDescent="0.25">
      <c r="A273" t="s">
        <v>601</v>
      </c>
      <c r="B273" t="s">
        <v>420</v>
      </c>
      <c r="C273" t="s">
        <v>255</v>
      </c>
      <c r="D273" t="s">
        <v>234</v>
      </c>
      <c r="E273" t="s">
        <v>20</v>
      </c>
      <c r="F273" t="s">
        <v>279</v>
      </c>
      <c r="G273" t="s">
        <v>269</v>
      </c>
      <c r="H273" t="s">
        <v>254</v>
      </c>
      <c r="I273" t="s">
        <v>242</v>
      </c>
      <c r="J273" t="s">
        <v>235</v>
      </c>
      <c r="K273" s="380">
        <v>36951</v>
      </c>
      <c r="L273" s="235">
        <v>-105275.50921372972</v>
      </c>
      <c r="M273" s="380">
        <v>36949</v>
      </c>
      <c r="N273" t="s">
        <v>21</v>
      </c>
      <c r="O273">
        <v>3</v>
      </c>
      <c r="P273">
        <v>0</v>
      </c>
      <c r="Q273">
        <v>0</v>
      </c>
      <c r="R273">
        <v>0</v>
      </c>
      <c r="S273">
        <v>0</v>
      </c>
      <c r="T273" t="s">
        <v>253</v>
      </c>
      <c r="U273" t="s">
        <v>7</v>
      </c>
      <c r="V273" t="s">
        <v>253</v>
      </c>
      <c r="W273" t="s">
        <v>132</v>
      </c>
      <c r="X273" t="s">
        <v>253</v>
      </c>
      <c r="Y273" t="s">
        <v>235</v>
      </c>
      <c r="Z273" t="s">
        <v>236</v>
      </c>
      <c r="AA273" t="s">
        <v>253</v>
      </c>
      <c r="AB273" t="s">
        <v>121</v>
      </c>
      <c r="AC273" s="235">
        <v>-1000000</v>
      </c>
      <c r="AD273" s="235">
        <v>-44783.102991442618</v>
      </c>
      <c r="AE273">
        <v>0</v>
      </c>
      <c r="AF273">
        <v>0</v>
      </c>
      <c r="AG273">
        <v>0</v>
      </c>
      <c r="AH273" s="235">
        <v>-11349.96312464212</v>
      </c>
      <c r="AI273">
        <v>226</v>
      </c>
      <c r="AJ273" t="s">
        <v>256</v>
      </c>
      <c r="AK273">
        <v>0</v>
      </c>
      <c r="AL273">
        <v>0</v>
      </c>
      <c r="AM273">
        <v>0</v>
      </c>
    </row>
    <row r="274" spans="1:39" x14ac:dyDescent="0.25">
      <c r="A274" t="s">
        <v>601</v>
      </c>
      <c r="B274" t="s">
        <v>420</v>
      </c>
      <c r="C274" t="s">
        <v>255</v>
      </c>
      <c r="D274" t="s">
        <v>234</v>
      </c>
      <c r="E274" t="s">
        <v>20</v>
      </c>
      <c r="F274" t="s">
        <v>279</v>
      </c>
      <c r="G274" t="s">
        <v>269</v>
      </c>
      <c r="H274" t="s">
        <v>254</v>
      </c>
      <c r="I274" t="s">
        <v>242</v>
      </c>
      <c r="J274" t="s">
        <v>235</v>
      </c>
      <c r="K274" s="380">
        <v>36923</v>
      </c>
      <c r="L274" s="235">
        <v>-399883.23237582517</v>
      </c>
      <c r="M274" s="380">
        <v>36921</v>
      </c>
      <c r="N274" t="s">
        <v>21</v>
      </c>
      <c r="O274">
        <v>3</v>
      </c>
      <c r="P274">
        <v>0</v>
      </c>
      <c r="Q274">
        <v>0</v>
      </c>
      <c r="R274">
        <v>0</v>
      </c>
      <c r="S274">
        <v>0</v>
      </c>
      <c r="T274" t="s">
        <v>253</v>
      </c>
      <c r="U274" t="s">
        <v>7</v>
      </c>
      <c r="V274" t="s">
        <v>253</v>
      </c>
      <c r="W274" t="s">
        <v>132</v>
      </c>
      <c r="X274" t="s">
        <v>253</v>
      </c>
      <c r="Y274" t="s">
        <v>235</v>
      </c>
      <c r="Z274" t="s">
        <v>236</v>
      </c>
      <c r="AA274" t="s">
        <v>253</v>
      </c>
      <c r="AB274" t="s">
        <v>121</v>
      </c>
      <c r="AC274" s="235">
        <v>-1000000</v>
      </c>
      <c r="AD274" s="235">
        <v>-75563.568388361135</v>
      </c>
      <c r="AE274">
        <v>0</v>
      </c>
      <c r="AF274">
        <v>0</v>
      </c>
      <c r="AG274">
        <v>0</v>
      </c>
      <c r="AH274" s="235">
        <v>-28889.729225914984</v>
      </c>
      <c r="AI274">
        <v>226</v>
      </c>
      <c r="AJ274" t="s">
        <v>256</v>
      </c>
      <c r="AK274">
        <v>0</v>
      </c>
      <c r="AL274">
        <v>0</v>
      </c>
      <c r="AM274">
        <v>0</v>
      </c>
    </row>
    <row r="275" spans="1:39" x14ac:dyDescent="0.25">
      <c r="A275" t="s">
        <v>601</v>
      </c>
      <c r="B275" t="s">
        <v>420</v>
      </c>
      <c r="C275" t="s">
        <v>255</v>
      </c>
      <c r="D275" t="s">
        <v>234</v>
      </c>
      <c r="E275" t="s">
        <v>20</v>
      </c>
      <c r="F275" t="s">
        <v>279</v>
      </c>
      <c r="G275" t="s">
        <v>269</v>
      </c>
      <c r="H275" t="s">
        <v>254</v>
      </c>
      <c r="I275" t="s">
        <v>242</v>
      </c>
      <c r="J275" t="s">
        <v>235</v>
      </c>
      <c r="K275" s="380">
        <v>36892</v>
      </c>
      <c r="L275" s="235">
        <v>-386217.11903889012</v>
      </c>
      <c r="M275" s="380">
        <v>36888</v>
      </c>
      <c r="N275" t="s">
        <v>21</v>
      </c>
      <c r="O275">
        <v>3</v>
      </c>
      <c r="P275">
        <v>0</v>
      </c>
      <c r="Q275">
        <v>0</v>
      </c>
      <c r="R275">
        <v>0</v>
      </c>
      <c r="S275">
        <v>0</v>
      </c>
      <c r="T275" t="s">
        <v>253</v>
      </c>
      <c r="U275" t="s">
        <v>7</v>
      </c>
      <c r="V275" t="s">
        <v>253</v>
      </c>
      <c r="W275" t="s">
        <v>132</v>
      </c>
      <c r="X275" t="s">
        <v>253</v>
      </c>
      <c r="Y275" t="s">
        <v>235</v>
      </c>
      <c r="Z275" t="s">
        <v>236</v>
      </c>
      <c r="AA275" t="s">
        <v>253</v>
      </c>
      <c r="AB275" t="s">
        <v>121</v>
      </c>
      <c r="AC275" s="235">
        <v>-1000000</v>
      </c>
      <c r="AD275" s="235">
        <v>-69610.923148355214</v>
      </c>
      <c r="AE275">
        <v>0</v>
      </c>
      <c r="AF275">
        <v>0</v>
      </c>
      <c r="AG275">
        <v>0</v>
      </c>
      <c r="AH275" s="235">
        <v>-25130.746382561163</v>
      </c>
      <c r="AI275">
        <v>226</v>
      </c>
      <c r="AJ275" t="s">
        <v>256</v>
      </c>
      <c r="AK275">
        <v>0</v>
      </c>
      <c r="AL275">
        <v>0</v>
      </c>
      <c r="AM275">
        <v>0</v>
      </c>
    </row>
    <row r="276" spans="1:39" x14ac:dyDescent="0.25">
      <c r="A276" t="s">
        <v>601</v>
      </c>
      <c r="B276" t="s">
        <v>420</v>
      </c>
      <c r="C276" t="s">
        <v>255</v>
      </c>
      <c r="D276" t="s">
        <v>234</v>
      </c>
      <c r="E276" t="s">
        <v>20</v>
      </c>
      <c r="F276" t="s">
        <v>279</v>
      </c>
      <c r="G276" t="s">
        <v>269</v>
      </c>
      <c r="H276" t="s">
        <v>254</v>
      </c>
      <c r="I276" t="s">
        <v>242</v>
      </c>
      <c r="J276" t="s">
        <v>235</v>
      </c>
      <c r="K276" s="380">
        <v>36861</v>
      </c>
      <c r="L276" s="235">
        <v>-158678.12072193169</v>
      </c>
      <c r="M276" s="380">
        <v>36859</v>
      </c>
      <c r="N276" t="s">
        <v>21</v>
      </c>
      <c r="O276">
        <v>3</v>
      </c>
      <c r="P276">
        <v>0</v>
      </c>
      <c r="Q276">
        <v>0</v>
      </c>
      <c r="R276">
        <v>0</v>
      </c>
      <c r="S276">
        <v>0</v>
      </c>
      <c r="T276" t="s">
        <v>253</v>
      </c>
      <c r="U276" t="s">
        <v>7</v>
      </c>
      <c r="V276" t="s">
        <v>253</v>
      </c>
      <c r="W276" t="s">
        <v>132</v>
      </c>
      <c r="X276" t="s">
        <v>253</v>
      </c>
      <c r="Y276" t="s">
        <v>235</v>
      </c>
      <c r="Z276" t="s">
        <v>236</v>
      </c>
      <c r="AA276" t="s">
        <v>253</v>
      </c>
      <c r="AB276" t="s">
        <v>121</v>
      </c>
      <c r="AC276" s="235">
        <v>-1000000</v>
      </c>
      <c r="AD276" s="235">
        <v>-46546.382585356332</v>
      </c>
      <c r="AE276">
        <v>0</v>
      </c>
      <c r="AF276">
        <v>0</v>
      </c>
      <c r="AG276">
        <v>0</v>
      </c>
      <c r="AH276" s="235">
        <v>-12078.350121265161</v>
      </c>
      <c r="AI276">
        <v>226</v>
      </c>
      <c r="AJ276" t="s">
        <v>256</v>
      </c>
      <c r="AK276">
        <v>0</v>
      </c>
      <c r="AL276">
        <v>0</v>
      </c>
      <c r="AM276">
        <v>0</v>
      </c>
    </row>
    <row r="277" spans="1:39" x14ac:dyDescent="0.25">
      <c r="A277" t="s">
        <v>601</v>
      </c>
      <c r="B277" t="s">
        <v>420</v>
      </c>
      <c r="C277" t="s">
        <v>255</v>
      </c>
      <c r="D277" t="s">
        <v>234</v>
      </c>
      <c r="E277" t="s">
        <v>20</v>
      </c>
      <c r="F277" t="s">
        <v>279</v>
      </c>
      <c r="G277" t="s">
        <v>269</v>
      </c>
      <c r="H277" t="s">
        <v>254</v>
      </c>
      <c r="I277" t="s">
        <v>242</v>
      </c>
      <c r="J277" t="s">
        <v>235</v>
      </c>
      <c r="K277" s="380">
        <v>36831</v>
      </c>
      <c r="L277" s="235">
        <v>-2008.4677451953141</v>
      </c>
      <c r="M277" s="380">
        <v>36829</v>
      </c>
      <c r="N277" t="s">
        <v>21</v>
      </c>
      <c r="O277">
        <v>3</v>
      </c>
      <c r="P277">
        <v>0</v>
      </c>
      <c r="Q277">
        <v>0</v>
      </c>
      <c r="R277">
        <v>0</v>
      </c>
      <c r="S277">
        <v>0</v>
      </c>
      <c r="T277" t="s">
        <v>253</v>
      </c>
      <c r="U277" t="s">
        <v>7</v>
      </c>
      <c r="V277" t="s">
        <v>253</v>
      </c>
      <c r="W277" t="s">
        <v>132</v>
      </c>
      <c r="X277" t="s">
        <v>253</v>
      </c>
      <c r="Y277" t="s">
        <v>235</v>
      </c>
      <c r="Z277" t="s">
        <v>236</v>
      </c>
      <c r="AA277" t="s">
        <v>253</v>
      </c>
      <c r="AB277" t="s">
        <v>121</v>
      </c>
      <c r="AC277" s="235">
        <v>-1000000</v>
      </c>
      <c r="AD277" s="235">
        <v>-2004.7001855652961</v>
      </c>
      <c r="AE277">
        <v>0</v>
      </c>
      <c r="AF277">
        <v>0</v>
      </c>
      <c r="AG277">
        <v>0</v>
      </c>
      <c r="AH277" s="235">
        <v>-454.98951265329083</v>
      </c>
      <c r="AI277">
        <v>226</v>
      </c>
      <c r="AJ277" t="s">
        <v>256</v>
      </c>
      <c r="AK277">
        <v>0</v>
      </c>
      <c r="AL277">
        <v>0</v>
      </c>
      <c r="AM277">
        <v>0</v>
      </c>
    </row>
    <row r="278" spans="1:39" x14ac:dyDescent="0.25">
      <c r="A278" t="s">
        <v>601</v>
      </c>
      <c r="B278" t="s">
        <v>421</v>
      </c>
      <c r="C278" t="s">
        <v>255</v>
      </c>
      <c r="D278" t="s">
        <v>234</v>
      </c>
      <c r="E278" t="s">
        <v>20</v>
      </c>
      <c r="F278" t="s">
        <v>281</v>
      </c>
      <c r="G278" t="s">
        <v>269</v>
      </c>
      <c r="H278" t="s">
        <v>254</v>
      </c>
      <c r="I278" t="s">
        <v>242</v>
      </c>
      <c r="J278" t="s">
        <v>235</v>
      </c>
      <c r="K278" s="380">
        <v>36951</v>
      </c>
      <c r="L278" s="235">
        <v>120184.92641255091</v>
      </c>
      <c r="M278" s="380">
        <v>36949</v>
      </c>
      <c r="N278" t="s">
        <v>1</v>
      </c>
      <c r="O278">
        <v>0.5</v>
      </c>
      <c r="P278">
        <v>0</v>
      </c>
      <c r="Q278">
        <v>0</v>
      </c>
      <c r="R278">
        <v>0</v>
      </c>
      <c r="S278">
        <v>0</v>
      </c>
      <c r="T278" t="s">
        <v>253</v>
      </c>
      <c r="U278" t="s">
        <v>7</v>
      </c>
      <c r="V278" t="s">
        <v>253</v>
      </c>
      <c r="W278" t="s">
        <v>132</v>
      </c>
      <c r="X278" t="s">
        <v>253</v>
      </c>
      <c r="Y278" t="s">
        <v>235</v>
      </c>
      <c r="Z278" t="s">
        <v>236</v>
      </c>
      <c r="AA278" t="s">
        <v>253</v>
      </c>
      <c r="AB278" t="s">
        <v>121</v>
      </c>
      <c r="AC278" s="235">
        <v>500000</v>
      </c>
      <c r="AD278" s="235">
        <v>40998.02499858386</v>
      </c>
      <c r="AE278">
        <v>0</v>
      </c>
      <c r="AF278">
        <v>0</v>
      </c>
      <c r="AG278">
        <v>0</v>
      </c>
      <c r="AH278" s="235">
        <v>-6083.1606245246367</v>
      </c>
      <c r="AI278">
        <v>226</v>
      </c>
      <c r="AJ278" t="s">
        <v>256</v>
      </c>
      <c r="AK278">
        <v>0</v>
      </c>
      <c r="AL278">
        <v>0</v>
      </c>
      <c r="AM278">
        <v>0</v>
      </c>
    </row>
    <row r="279" spans="1:39" x14ac:dyDescent="0.25">
      <c r="A279" t="s">
        <v>601</v>
      </c>
      <c r="B279" t="s">
        <v>422</v>
      </c>
      <c r="C279" t="s">
        <v>255</v>
      </c>
      <c r="D279" t="s">
        <v>234</v>
      </c>
      <c r="E279" t="s">
        <v>20</v>
      </c>
      <c r="F279" t="s">
        <v>281</v>
      </c>
      <c r="G279" t="s">
        <v>269</v>
      </c>
      <c r="H279" t="s">
        <v>254</v>
      </c>
      <c r="I279" t="s">
        <v>242</v>
      </c>
      <c r="J279" t="s">
        <v>235</v>
      </c>
      <c r="K279" s="380">
        <v>36951</v>
      </c>
      <c r="L279" s="235">
        <v>169110.8360793184</v>
      </c>
      <c r="M279" s="380">
        <v>36949</v>
      </c>
      <c r="N279" t="s">
        <v>21</v>
      </c>
      <c r="O279">
        <v>1.57</v>
      </c>
      <c r="P279">
        <v>0</v>
      </c>
      <c r="Q279">
        <v>0</v>
      </c>
      <c r="R279">
        <v>0</v>
      </c>
      <c r="S279">
        <v>0</v>
      </c>
      <c r="T279" t="s">
        <v>253</v>
      </c>
      <c r="U279" t="s">
        <v>7</v>
      </c>
      <c r="V279" t="s">
        <v>253</v>
      </c>
      <c r="W279" t="s">
        <v>132</v>
      </c>
      <c r="X279" t="s">
        <v>253</v>
      </c>
      <c r="Y279" t="s">
        <v>235</v>
      </c>
      <c r="Z279" t="s">
        <v>236</v>
      </c>
      <c r="AA279" t="s">
        <v>253</v>
      </c>
      <c r="AB279" t="s">
        <v>121</v>
      </c>
      <c r="AC279" s="235">
        <v>500000</v>
      </c>
      <c r="AD279" s="235">
        <v>40815.890813372098</v>
      </c>
      <c r="AE279">
        <v>0</v>
      </c>
      <c r="AF279">
        <v>0</v>
      </c>
      <c r="AG279">
        <v>0</v>
      </c>
      <c r="AH279" s="235">
        <v>13805.693861937471</v>
      </c>
      <c r="AI279">
        <v>226</v>
      </c>
      <c r="AJ279" t="s">
        <v>256</v>
      </c>
      <c r="AK279">
        <v>0</v>
      </c>
      <c r="AL279">
        <v>0</v>
      </c>
      <c r="AM279">
        <v>0</v>
      </c>
    </row>
    <row r="280" spans="1:39" x14ac:dyDescent="0.25">
      <c r="A280" t="s">
        <v>601</v>
      </c>
      <c r="B280" t="s">
        <v>422</v>
      </c>
      <c r="C280" t="s">
        <v>255</v>
      </c>
      <c r="D280" t="s">
        <v>234</v>
      </c>
      <c r="E280" t="s">
        <v>20</v>
      </c>
      <c r="F280" t="s">
        <v>281</v>
      </c>
      <c r="G280" t="s">
        <v>269</v>
      </c>
      <c r="H280" t="s">
        <v>254</v>
      </c>
      <c r="I280" t="s">
        <v>242</v>
      </c>
      <c r="J280" t="s">
        <v>235</v>
      </c>
      <c r="K280" s="380">
        <v>36923</v>
      </c>
      <c r="L280" s="235">
        <v>460867.77246676991</v>
      </c>
      <c r="M280" s="380">
        <v>36921</v>
      </c>
      <c r="N280" t="s">
        <v>21</v>
      </c>
      <c r="O280">
        <v>1.57</v>
      </c>
      <c r="P280">
        <v>0</v>
      </c>
      <c r="Q280">
        <v>0</v>
      </c>
      <c r="R280">
        <v>0</v>
      </c>
      <c r="S280">
        <v>0</v>
      </c>
      <c r="T280" t="s">
        <v>253</v>
      </c>
      <c r="U280" t="s">
        <v>7</v>
      </c>
      <c r="V280" t="s">
        <v>253</v>
      </c>
      <c r="W280" t="s">
        <v>132</v>
      </c>
      <c r="X280" t="s">
        <v>253</v>
      </c>
      <c r="Y280" t="s">
        <v>235</v>
      </c>
      <c r="Z280" t="s">
        <v>236</v>
      </c>
      <c r="AA280" t="s">
        <v>253</v>
      </c>
      <c r="AB280" t="s">
        <v>121</v>
      </c>
      <c r="AC280" s="235">
        <v>500000</v>
      </c>
      <c r="AD280" s="235">
        <v>41804.469528194051</v>
      </c>
      <c r="AE280">
        <v>0</v>
      </c>
      <c r="AF280">
        <v>0</v>
      </c>
      <c r="AG280">
        <v>0</v>
      </c>
      <c r="AH280" s="235">
        <v>24691.972599181987</v>
      </c>
      <c r="AI280">
        <v>226</v>
      </c>
      <c r="AJ280" t="s">
        <v>256</v>
      </c>
      <c r="AK280">
        <v>0</v>
      </c>
      <c r="AL280">
        <v>0</v>
      </c>
      <c r="AM280">
        <v>0</v>
      </c>
    </row>
    <row r="281" spans="1:39" x14ac:dyDescent="0.25">
      <c r="A281" t="s">
        <v>601</v>
      </c>
      <c r="B281" t="s">
        <v>422</v>
      </c>
      <c r="C281" t="s">
        <v>255</v>
      </c>
      <c r="D281" t="s">
        <v>234</v>
      </c>
      <c r="E281" t="s">
        <v>20</v>
      </c>
      <c r="F281" t="s">
        <v>281</v>
      </c>
      <c r="G281" t="s">
        <v>269</v>
      </c>
      <c r="H281" t="s">
        <v>254</v>
      </c>
      <c r="I281" t="s">
        <v>242</v>
      </c>
      <c r="J281" t="s">
        <v>235</v>
      </c>
      <c r="K281" s="380">
        <v>36892</v>
      </c>
      <c r="L281" s="235">
        <v>472421.46868013986</v>
      </c>
      <c r="M281" s="380">
        <v>36888</v>
      </c>
      <c r="N281" t="s">
        <v>21</v>
      </c>
      <c r="O281">
        <v>1.57</v>
      </c>
      <c r="P281">
        <v>0</v>
      </c>
      <c r="Q281">
        <v>0</v>
      </c>
      <c r="R281">
        <v>0</v>
      </c>
      <c r="S281">
        <v>0</v>
      </c>
      <c r="T281" t="s">
        <v>253</v>
      </c>
      <c r="U281" t="s">
        <v>7</v>
      </c>
      <c r="V281" t="s">
        <v>253</v>
      </c>
      <c r="W281" t="s">
        <v>132</v>
      </c>
      <c r="X281" t="s">
        <v>253</v>
      </c>
      <c r="Y281" t="s">
        <v>235</v>
      </c>
      <c r="Z281" t="s">
        <v>236</v>
      </c>
      <c r="AA281" t="s">
        <v>253</v>
      </c>
      <c r="AB281" t="s">
        <v>121</v>
      </c>
      <c r="AC281" s="235">
        <v>500000</v>
      </c>
      <c r="AD281" s="235">
        <v>37443.709238903422</v>
      </c>
      <c r="AE281">
        <v>0</v>
      </c>
      <c r="AF281">
        <v>0</v>
      </c>
      <c r="AG281">
        <v>0</v>
      </c>
      <c r="AH281" s="235">
        <v>21969.974126686342</v>
      </c>
      <c r="AI281">
        <v>226</v>
      </c>
      <c r="AJ281" t="s">
        <v>256</v>
      </c>
      <c r="AK281">
        <v>0</v>
      </c>
      <c r="AL281">
        <v>0</v>
      </c>
      <c r="AM281">
        <v>0</v>
      </c>
    </row>
    <row r="282" spans="1:39" x14ac:dyDescent="0.25">
      <c r="A282" t="s">
        <v>601</v>
      </c>
      <c r="B282" t="s">
        <v>422</v>
      </c>
      <c r="C282" t="s">
        <v>255</v>
      </c>
      <c r="D282" t="s">
        <v>234</v>
      </c>
      <c r="E282" t="s">
        <v>20</v>
      </c>
      <c r="F282" t="s">
        <v>281</v>
      </c>
      <c r="G282" t="s">
        <v>269</v>
      </c>
      <c r="H282" t="s">
        <v>254</v>
      </c>
      <c r="I282" t="s">
        <v>242</v>
      </c>
      <c r="J282" t="s">
        <v>235</v>
      </c>
      <c r="K282" s="380">
        <v>36861</v>
      </c>
      <c r="L282" s="235">
        <v>274331.68111540278</v>
      </c>
      <c r="M282" s="380">
        <v>36859</v>
      </c>
      <c r="N282" t="s">
        <v>21</v>
      </c>
      <c r="O282">
        <v>1.57</v>
      </c>
      <c r="P282">
        <v>0</v>
      </c>
      <c r="Q282">
        <v>0</v>
      </c>
      <c r="R282">
        <v>0</v>
      </c>
      <c r="S282">
        <v>0</v>
      </c>
      <c r="T282" t="s">
        <v>253</v>
      </c>
      <c r="U282" t="s">
        <v>7</v>
      </c>
      <c r="V282" t="s">
        <v>253</v>
      </c>
      <c r="W282" t="s">
        <v>132</v>
      </c>
      <c r="X282" t="s">
        <v>253</v>
      </c>
      <c r="Y282" t="s">
        <v>235</v>
      </c>
      <c r="Z282" t="s">
        <v>236</v>
      </c>
      <c r="AA282" t="s">
        <v>253</v>
      </c>
      <c r="AB282" t="s">
        <v>121</v>
      </c>
      <c r="AC282" s="235">
        <v>500000</v>
      </c>
      <c r="AD282" s="235">
        <v>35412.088256948919</v>
      </c>
      <c r="AE282">
        <v>0</v>
      </c>
      <c r="AF282">
        <v>0</v>
      </c>
      <c r="AG282">
        <v>0</v>
      </c>
      <c r="AH282" s="235">
        <v>14121.552010119194</v>
      </c>
      <c r="AI282">
        <v>226</v>
      </c>
      <c r="AJ282" t="s">
        <v>256</v>
      </c>
      <c r="AK282">
        <v>0</v>
      </c>
      <c r="AL282">
        <v>0</v>
      </c>
      <c r="AM282">
        <v>0</v>
      </c>
    </row>
    <row r="283" spans="1:39" x14ac:dyDescent="0.25">
      <c r="A283" t="s">
        <v>601</v>
      </c>
      <c r="B283" t="s">
        <v>422</v>
      </c>
      <c r="C283" t="s">
        <v>255</v>
      </c>
      <c r="D283" t="s">
        <v>234</v>
      </c>
      <c r="E283" t="s">
        <v>20</v>
      </c>
      <c r="F283" t="s">
        <v>281</v>
      </c>
      <c r="G283" t="s">
        <v>269</v>
      </c>
      <c r="H283" t="s">
        <v>254</v>
      </c>
      <c r="I283" t="s">
        <v>242</v>
      </c>
      <c r="J283" t="s">
        <v>235</v>
      </c>
      <c r="K283" s="380">
        <v>36831</v>
      </c>
      <c r="L283" s="235">
        <v>26445.502569993929</v>
      </c>
      <c r="M283" s="380">
        <v>36829</v>
      </c>
      <c r="N283" t="s">
        <v>21</v>
      </c>
      <c r="O283">
        <v>1.57</v>
      </c>
      <c r="P283">
        <v>0</v>
      </c>
      <c r="Q283">
        <v>0</v>
      </c>
      <c r="R283">
        <v>0</v>
      </c>
      <c r="S283">
        <v>0</v>
      </c>
      <c r="T283" t="s">
        <v>253</v>
      </c>
      <c r="U283" t="s">
        <v>7</v>
      </c>
      <c r="V283" t="s">
        <v>253</v>
      </c>
      <c r="W283" t="s">
        <v>132</v>
      </c>
      <c r="X283" t="s">
        <v>253</v>
      </c>
      <c r="Y283" t="s">
        <v>235</v>
      </c>
      <c r="Z283" t="s">
        <v>236</v>
      </c>
      <c r="AA283" t="s">
        <v>253</v>
      </c>
      <c r="AB283" t="s">
        <v>121</v>
      </c>
      <c r="AC283" s="235">
        <v>500000</v>
      </c>
      <c r="AD283" s="235">
        <v>11973.40819131129</v>
      </c>
      <c r="AE283">
        <v>0</v>
      </c>
      <c r="AF283">
        <v>0</v>
      </c>
      <c r="AG283">
        <v>0</v>
      </c>
      <c r="AH283" s="235">
        <v>3662.4046271934858</v>
      </c>
      <c r="AI283">
        <v>226</v>
      </c>
      <c r="AJ283" t="s">
        <v>256</v>
      </c>
      <c r="AK283">
        <v>0</v>
      </c>
      <c r="AL283">
        <v>0</v>
      </c>
      <c r="AM283">
        <v>0</v>
      </c>
    </row>
    <row r="284" spans="1:39" x14ac:dyDescent="0.25">
      <c r="A284" t="s">
        <v>601</v>
      </c>
      <c r="B284" t="s">
        <v>423</v>
      </c>
      <c r="C284" t="s">
        <v>255</v>
      </c>
      <c r="D284" t="s">
        <v>234</v>
      </c>
      <c r="E284" t="s">
        <v>20</v>
      </c>
      <c r="F284" t="s">
        <v>281</v>
      </c>
      <c r="G284" t="s">
        <v>269</v>
      </c>
      <c r="H284" t="s">
        <v>254</v>
      </c>
      <c r="I284" t="s">
        <v>242</v>
      </c>
      <c r="J284" t="s">
        <v>235</v>
      </c>
      <c r="K284" s="380">
        <v>36951</v>
      </c>
      <c r="L284" s="235">
        <v>408215.15942233399</v>
      </c>
      <c r="M284" s="380">
        <v>36949</v>
      </c>
      <c r="N284" t="s">
        <v>1</v>
      </c>
      <c r="O284">
        <v>1.57</v>
      </c>
      <c r="P284">
        <v>0</v>
      </c>
      <c r="Q284">
        <v>0</v>
      </c>
      <c r="R284">
        <v>0</v>
      </c>
      <c r="S284">
        <v>0</v>
      </c>
      <c r="T284" t="s">
        <v>253</v>
      </c>
      <c r="U284" t="s">
        <v>7</v>
      </c>
      <c r="V284" t="s">
        <v>253</v>
      </c>
      <c r="W284" t="s">
        <v>132</v>
      </c>
      <c r="X284" t="s">
        <v>253</v>
      </c>
      <c r="Y284" t="s">
        <v>235</v>
      </c>
      <c r="Z284" t="s">
        <v>236</v>
      </c>
      <c r="AA284" t="s">
        <v>253</v>
      </c>
      <c r="AB284" t="s">
        <v>121</v>
      </c>
      <c r="AC284" s="235">
        <v>500000</v>
      </c>
      <c r="AD284" s="235">
        <v>40815.89081337204</v>
      </c>
      <c r="AE284">
        <v>0</v>
      </c>
      <c r="AF284">
        <v>0</v>
      </c>
      <c r="AG284">
        <v>0</v>
      </c>
      <c r="AH284" s="235">
        <v>-15162.373091836635</v>
      </c>
      <c r="AI284">
        <v>226</v>
      </c>
      <c r="AJ284" t="s">
        <v>256</v>
      </c>
      <c r="AK284">
        <v>0</v>
      </c>
      <c r="AL284">
        <v>0</v>
      </c>
      <c r="AM284">
        <v>0</v>
      </c>
    </row>
    <row r="285" spans="1:39" x14ac:dyDescent="0.25">
      <c r="A285" t="s">
        <v>601</v>
      </c>
      <c r="B285" t="s">
        <v>423</v>
      </c>
      <c r="C285" t="s">
        <v>255</v>
      </c>
      <c r="D285" t="s">
        <v>234</v>
      </c>
      <c r="E285" t="s">
        <v>20</v>
      </c>
      <c r="F285" t="s">
        <v>281</v>
      </c>
      <c r="G285" t="s">
        <v>269</v>
      </c>
      <c r="H285" t="s">
        <v>254</v>
      </c>
      <c r="I285" t="s">
        <v>242</v>
      </c>
      <c r="J285" t="s">
        <v>235</v>
      </c>
      <c r="K285" s="380">
        <v>36923</v>
      </c>
      <c r="L285" s="235">
        <v>208331.97259428271</v>
      </c>
      <c r="M285" s="380">
        <v>36921</v>
      </c>
      <c r="N285" t="s">
        <v>1</v>
      </c>
      <c r="O285">
        <v>1.57</v>
      </c>
      <c r="P285">
        <v>0</v>
      </c>
      <c r="Q285">
        <v>0</v>
      </c>
      <c r="R285">
        <v>0</v>
      </c>
      <c r="S285">
        <v>0</v>
      </c>
      <c r="T285" t="s">
        <v>253</v>
      </c>
      <c r="U285" t="s">
        <v>7</v>
      </c>
      <c r="V285" t="s">
        <v>253</v>
      </c>
      <c r="W285" t="s">
        <v>132</v>
      </c>
      <c r="X285" t="s">
        <v>253</v>
      </c>
      <c r="Y285" t="s">
        <v>235</v>
      </c>
      <c r="Z285" t="s">
        <v>236</v>
      </c>
      <c r="AA285" t="s">
        <v>253</v>
      </c>
      <c r="AB285" t="s">
        <v>121</v>
      </c>
      <c r="AC285" s="235">
        <v>500000</v>
      </c>
      <c r="AD285" s="235">
        <v>41804.469528194051</v>
      </c>
      <c r="AE285">
        <v>0</v>
      </c>
      <c r="AF285">
        <v>0</v>
      </c>
      <c r="AG285">
        <v>0</v>
      </c>
      <c r="AH285" s="235">
        <v>-9285.755710594327</v>
      </c>
      <c r="AI285">
        <v>226</v>
      </c>
      <c r="AJ285" t="s">
        <v>256</v>
      </c>
      <c r="AK285">
        <v>0</v>
      </c>
      <c r="AL285">
        <v>0</v>
      </c>
      <c r="AM285">
        <v>0</v>
      </c>
    </row>
    <row r="286" spans="1:39" x14ac:dyDescent="0.25">
      <c r="A286" t="s">
        <v>601</v>
      </c>
      <c r="B286" t="s">
        <v>423</v>
      </c>
      <c r="C286" t="s">
        <v>255</v>
      </c>
      <c r="D286" t="s">
        <v>234</v>
      </c>
      <c r="E286" t="s">
        <v>20</v>
      </c>
      <c r="F286" t="s">
        <v>281</v>
      </c>
      <c r="G286" t="s">
        <v>269</v>
      </c>
      <c r="H286" t="s">
        <v>254</v>
      </c>
      <c r="I286" t="s">
        <v>242</v>
      </c>
      <c r="J286" t="s">
        <v>235</v>
      </c>
      <c r="K286" s="380">
        <v>36892</v>
      </c>
      <c r="L286" s="235">
        <v>179195.34508538869</v>
      </c>
      <c r="M286" s="380">
        <v>36888</v>
      </c>
      <c r="N286" t="s">
        <v>1</v>
      </c>
      <c r="O286">
        <v>1.57</v>
      </c>
      <c r="P286">
        <v>0</v>
      </c>
      <c r="Q286">
        <v>0</v>
      </c>
      <c r="R286">
        <v>0</v>
      </c>
      <c r="S286">
        <v>0</v>
      </c>
      <c r="T286" t="s">
        <v>253</v>
      </c>
      <c r="U286" t="s">
        <v>7</v>
      </c>
      <c r="V286" t="s">
        <v>253</v>
      </c>
      <c r="W286" t="s">
        <v>132</v>
      </c>
      <c r="X286" t="s">
        <v>253</v>
      </c>
      <c r="Y286" t="s">
        <v>235</v>
      </c>
      <c r="Z286" t="s">
        <v>236</v>
      </c>
      <c r="AA286" t="s">
        <v>253</v>
      </c>
      <c r="AB286" t="s">
        <v>121</v>
      </c>
      <c r="AC286" s="235">
        <v>500000</v>
      </c>
      <c r="AD286" s="235">
        <v>37443.709238903393</v>
      </c>
      <c r="AE286">
        <v>0</v>
      </c>
      <c r="AF286">
        <v>0</v>
      </c>
      <c r="AG286">
        <v>0</v>
      </c>
      <c r="AH286" s="235">
        <v>-7337.0044982818945</v>
      </c>
      <c r="AI286">
        <v>226</v>
      </c>
      <c r="AJ286" t="s">
        <v>256</v>
      </c>
      <c r="AK286">
        <v>0</v>
      </c>
      <c r="AL286">
        <v>0</v>
      </c>
      <c r="AM286">
        <v>0</v>
      </c>
    </row>
    <row r="287" spans="1:39" x14ac:dyDescent="0.25">
      <c r="A287" t="s">
        <v>601</v>
      </c>
      <c r="B287" t="s">
        <v>423</v>
      </c>
      <c r="C287" t="s">
        <v>255</v>
      </c>
      <c r="D287" t="s">
        <v>234</v>
      </c>
      <c r="E287" t="s">
        <v>20</v>
      </c>
      <c r="F287" t="s">
        <v>281</v>
      </c>
      <c r="G287" t="s">
        <v>269</v>
      </c>
      <c r="H287" t="s">
        <v>254</v>
      </c>
      <c r="I287" t="s">
        <v>242</v>
      </c>
      <c r="J287" t="s">
        <v>235</v>
      </c>
      <c r="K287" s="380">
        <v>36861</v>
      </c>
      <c r="L287" s="235">
        <v>237478.32068013985</v>
      </c>
      <c r="M287" s="380">
        <v>36859</v>
      </c>
      <c r="N287" t="s">
        <v>1</v>
      </c>
      <c r="O287">
        <v>1.57</v>
      </c>
      <c r="P287">
        <v>0</v>
      </c>
      <c r="Q287">
        <v>0</v>
      </c>
      <c r="R287">
        <v>0</v>
      </c>
      <c r="S287">
        <v>0</v>
      </c>
      <c r="T287" t="s">
        <v>253</v>
      </c>
      <c r="U287" t="s">
        <v>7</v>
      </c>
      <c r="V287" t="s">
        <v>253</v>
      </c>
      <c r="W287" t="s">
        <v>132</v>
      </c>
      <c r="X287" t="s">
        <v>253</v>
      </c>
      <c r="Y287" t="s">
        <v>235</v>
      </c>
      <c r="Z287" t="s">
        <v>236</v>
      </c>
      <c r="AA287" t="s">
        <v>253</v>
      </c>
      <c r="AB287" t="s">
        <v>121</v>
      </c>
      <c r="AC287" s="235">
        <v>500000</v>
      </c>
      <c r="AD287" s="235">
        <v>35412.088256948919</v>
      </c>
      <c r="AE287">
        <v>0</v>
      </c>
      <c r="AF287">
        <v>0</v>
      </c>
      <c r="AG287">
        <v>0</v>
      </c>
      <c r="AH287" s="235">
        <v>-7978.3008645994996</v>
      </c>
      <c r="AI287">
        <v>226</v>
      </c>
      <c r="AJ287" t="s">
        <v>256</v>
      </c>
      <c r="AK287">
        <v>0</v>
      </c>
      <c r="AL287">
        <v>0</v>
      </c>
      <c r="AM287">
        <v>0</v>
      </c>
    </row>
    <row r="288" spans="1:39" x14ac:dyDescent="0.25">
      <c r="A288" t="s">
        <v>601</v>
      </c>
      <c r="B288" t="s">
        <v>423</v>
      </c>
      <c r="C288" t="s">
        <v>255</v>
      </c>
      <c r="D288" t="s">
        <v>234</v>
      </c>
      <c r="E288" t="s">
        <v>20</v>
      </c>
      <c r="F288" t="s">
        <v>281</v>
      </c>
      <c r="G288" t="s">
        <v>269</v>
      </c>
      <c r="H288" t="s">
        <v>254</v>
      </c>
      <c r="I288" t="s">
        <v>242</v>
      </c>
      <c r="J288" t="s">
        <v>235</v>
      </c>
      <c r="K288" s="380">
        <v>36831</v>
      </c>
      <c r="L288" s="235">
        <v>421774.04805761407</v>
      </c>
      <c r="M288" s="380">
        <v>36829</v>
      </c>
      <c r="N288" t="s">
        <v>1</v>
      </c>
      <c r="O288">
        <v>1.57</v>
      </c>
      <c r="P288">
        <v>0</v>
      </c>
      <c r="Q288">
        <v>0</v>
      </c>
      <c r="R288">
        <v>0</v>
      </c>
      <c r="S288">
        <v>0</v>
      </c>
      <c r="T288" t="s">
        <v>253</v>
      </c>
      <c r="U288" t="s">
        <v>7</v>
      </c>
      <c r="V288" t="s">
        <v>253</v>
      </c>
      <c r="W288" t="s">
        <v>132</v>
      </c>
      <c r="X288" t="s">
        <v>253</v>
      </c>
      <c r="Y288" t="s">
        <v>235</v>
      </c>
      <c r="Z288" t="s">
        <v>236</v>
      </c>
      <c r="AA288" t="s">
        <v>253</v>
      </c>
      <c r="AB288" t="s">
        <v>121</v>
      </c>
      <c r="AC288" s="235">
        <v>500000</v>
      </c>
      <c r="AD288" s="235">
        <v>11973.40819131129</v>
      </c>
      <c r="AE288">
        <v>0</v>
      </c>
      <c r="AF288">
        <v>0</v>
      </c>
      <c r="AG288">
        <v>0</v>
      </c>
      <c r="AH288" s="235">
        <v>-16093.139079091023</v>
      </c>
      <c r="AI288">
        <v>226</v>
      </c>
      <c r="AJ288" t="s">
        <v>256</v>
      </c>
      <c r="AK288">
        <v>0</v>
      </c>
      <c r="AL288">
        <v>0</v>
      </c>
      <c r="AM288">
        <v>0</v>
      </c>
    </row>
    <row r="289" spans="1:39" x14ac:dyDescent="0.25">
      <c r="A289" t="s">
        <v>601</v>
      </c>
      <c r="B289" t="s">
        <v>424</v>
      </c>
      <c r="C289" t="s">
        <v>255</v>
      </c>
      <c r="D289" t="s">
        <v>234</v>
      </c>
      <c r="E289" t="s">
        <v>20</v>
      </c>
      <c r="F289" t="s">
        <v>279</v>
      </c>
      <c r="G289" t="s">
        <v>269</v>
      </c>
      <c r="H289" t="s">
        <v>254</v>
      </c>
      <c r="I289" t="s">
        <v>242</v>
      </c>
      <c r="J289" t="s">
        <v>235</v>
      </c>
      <c r="K289" s="380">
        <v>36831</v>
      </c>
      <c r="L289" s="235">
        <v>-123011.94651094585</v>
      </c>
      <c r="M289" s="380">
        <v>36829</v>
      </c>
      <c r="N289" t="s">
        <v>21</v>
      </c>
      <c r="O289">
        <v>1.5</v>
      </c>
      <c r="P289">
        <v>0</v>
      </c>
      <c r="Q289">
        <v>0</v>
      </c>
      <c r="R289">
        <v>0</v>
      </c>
      <c r="S289">
        <v>0</v>
      </c>
      <c r="T289" t="s">
        <v>253</v>
      </c>
      <c r="U289" t="s">
        <v>7</v>
      </c>
      <c r="V289" t="s">
        <v>253</v>
      </c>
      <c r="W289" t="s">
        <v>132</v>
      </c>
      <c r="X289" t="s">
        <v>253</v>
      </c>
      <c r="Y289" t="s">
        <v>235</v>
      </c>
      <c r="Z289" t="s">
        <v>236</v>
      </c>
      <c r="AA289" t="s">
        <v>253</v>
      </c>
      <c r="AB289" t="s">
        <v>121</v>
      </c>
      <c r="AC289" s="235">
        <v>-2000000</v>
      </c>
      <c r="AD289" s="235">
        <v>-52401.455177520926</v>
      </c>
      <c r="AE289">
        <v>0</v>
      </c>
      <c r="AF289">
        <v>0</v>
      </c>
      <c r="AG289">
        <v>0</v>
      </c>
      <c r="AH289" s="235">
        <v>-16481.337315591547</v>
      </c>
      <c r="AI289">
        <v>226</v>
      </c>
      <c r="AJ289" t="s">
        <v>256</v>
      </c>
      <c r="AK289">
        <v>0</v>
      </c>
      <c r="AL289">
        <v>0</v>
      </c>
      <c r="AM289">
        <v>0</v>
      </c>
    </row>
    <row r="290" spans="1:39" x14ac:dyDescent="0.25">
      <c r="A290" t="s">
        <v>601</v>
      </c>
      <c r="B290" t="s">
        <v>425</v>
      </c>
      <c r="C290" t="s">
        <v>255</v>
      </c>
      <c r="D290" t="s">
        <v>234</v>
      </c>
      <c r="E290" t="s">
        <v>20</v>
      </c>
      <c r="F290" t="s">
        <v>290</v>
      </c>
      <c r="G290" t="s">
        <v>269</v>
      </c>
      <c r="H290" t="s">
        <v>254</v>
      </c>
      <c r="I290" t="s">
        <v>242</v>
      </c>
      <c r="J290" t="s">
        <v>235</v>
      </c>
      <c r="K290" s="380">
        <v>36831</v>
      </c>
      <c r="L290" s="235">
        <v>61505.973255472927</v>
      </c>
      <c r="M290" s="380">
        <v>36829</v>
      </c>
      <c r="N290" t="s">
        <v>21</v>
      </c>
      <c r="O290">
        <v>1.5</v>
      </c>
      <c r="P290">
        <v>0</v>
      </c>
      <c r="Q290">
        <v>0</v>
      </c>
      <c r="R290">
        <v>0</v>
      </c>
      <c r="S290">
        <v>0</v>
      </c>
      <c r="T290" t="s">
        <v>253</v>
      </c>
      <c r="U290" t="s">
        <v>7</v>
      </c>
      <c r="V290" t="s">
        <v>253</v>
      </c>
      <c r="W290" t="s">
        <v>132</v>
      </c>
      <c r="X290" t="s">
        <v>253</v>
      </c>
      <c r="Y290" t="s">
        <v>235</v>
      </c>
      <c r="Z290" t="s">
        <v>236</v>
      </c>
      <c r="AA290" t="s">
        <v>253</v>
      </c>
      <c r="AB290" t="s">
        <v>121</v>
      </c>
      <c r="AC290" s="235">
        <v>1000000</v>
      </c>
      <c r="AD290" s="235">
        <v>26200.727588760463</v>
      </c>
      <c r="AE290">
        <v>0</v>
      </c>
      <c r="AF290">
        <v>0</v>
      </c>
      <c r="AG290">
        <v>0</v>
      </c>
      <c r="AH290" s="235">
        <v>8240.6686577957735</v>
      </c>
      <c r="AI290">
        <v>226</v>
      </c>
      <c r="AJ290" t="s">
        <v>256</v>
      </c>
      <c r="AK290">
        <v>0</v>
      </c>
      <c r="AL290">
        <v>0</v>
      </c>
      <c r="AM290">
        <v>0</v>
      </c>
    </row>
    <row r="291" spans="1:39" x14ac:dyDescent="0.25">
      <c r="A291" t="s">
        <v>601</v>
      </c>
      <c r="B291" t="s">
        <v>426</v>
      </c>
      <c r="C291" t="s">
        <v>255</v>
      </c>
      <c r="D291" t="s">
        <v>234</v>
      </c>
      <c r="E291" t="s">
        <v>20</v>
      </c>
      <c r="F291" t="s">
        <v>279</v>
      </c>
      <c r="G291" t="s">
        <v>269</v>
      </c>
      <c r="H291" t="s">
        <v>254</v>
      </c>
      <c r="I291" t="s">
        <v>242</v>
      </c>
      <c r="J291" t="s">
        <v>235</v>
      </c>
      <c r="K291" s="380">
        <v>36982</v>
      </c>
      <c r="L291" s="235">
        <v>-74548.084161956373</v>
      </c>
      <c r="M291" s="380">
        <v>36979</v>
      </c>
      <c r="N291" t="s">
        <v>21</v>
      </c>
      <c r="O291">
        <v>0.7</v>
      </c>
      <c r="P291">
        <v>0</v>
      </c>
      <c r="Q291">
        <v>0</v>
      </c>
      <c r="R291">
        <v>0</v>
      </c>
      <c r="S291">
        <v>0</v>
      </c>
      <c r="T291" t="s">
        <v>253</v>
      </c>
      <c r="U291" t="s">
        <v>7</v>
      </c>
      <c r="V291" t="s">
        <v>253</v>
      </c>
      <c r="W291" t="s">
        <v>132</v>
      </c>
      <c r="X291" t="s">
        <v>253</v>
      </c>
      <c r="Y291" t="s">
        <v>235</v>
      </c>
      <c r="Z291" t="s">
        <v>236</v>
      </c>
      <c r="AA291" t="s">
        <v>253</v>
      </c>
      <c r="AB291" t="s">
        <v>121</v>
      </c>
      <c r="AC291" s="235">
        <v>-1000000</v>
      </c>
      <c r="AD291" s="235">
        <v>-21902.485096309392</v>
      </c>
      <c r="AE291">
        <v>0</v>
      </c>
      <c r="AF291">
        <v>0</v>
      </c>
      <c r="AG291">
        <v>0</v>
      </c>
      <c r="AH291" s="235">
        <v>-1042.2490870821493</v>
      </c>
      <c r="AI291">
        <v>226</v>
      </c>
      <c r="AJ291" t="s">
        <v>256</v>
      </c>
      <c r="AK291">
        <v>0</v>
      </c>
      <c r="AL291">
        <v>0</v>
      </c>
      <c r="AM291">
        <v>0</v>
      </c>
    </row>
    <row r="292" spans="1:39" x14ac:dyDescent="0.25">
      <c r="A292" t="s">
        <v>601</v>
      </c>
      <c r="B292" t="s">
        <v>427</v>
      </c>
      <c r="C292" t="s">
        <v>255</v>
      </c>
      <c r="D292" t="s">
        <v>234</v>
      </c>
      <c r="E292" t="s">
        <v>20</v>
      </c>
      <c r="F292" t="s">
        <v>363</v>
      </c>
      <c r="G292" t="s">
        <v>269</v>
      </c>
      <c r="H292" t="s">
        <v>254</v>
      </c>
      <c r="I292" t="s">
        <v>242</v>
      </c>
      <c r="J292" t="s">
        <v>235</v>
      </c>
      <c r="K292" s="380">
        <v>36982</v>
      </c>
      <c r="L292" s="235">
        <v>-156550.97674010837</v>
      </c>
      <c r="M292" s="380">
        <v>36979</v>
      </c>
      <c r="N292" t="s">
        <v>21</v>
      </c>
      <c r="O292">
        <v>0.7</v>
      </c>
      <c r="P292">
        <v>0</v>
      </c>
      <c r="Q292">
        <v>0</v>
      </c>
      <c r="R292">
        <v>0</v>
      </c>
      <c r="S292">
        <v>0</v>
      </c>
      <c r="T292" t="s">
        <v>253</v>
      </c>
      <c r="U292" t="s">
        <v>7</v>
      </c>
      <c r="V292" t="s">
        <v>253</v>
      </c>
      <c r="W292" t="s">
        <v>132</v>
      </c>
      <c r="X292" t="s">
        <v>253</v>
      </c>
      <c r="Y292" t="s">
        <v>235</v>
      </c>
      <c r="Z292" t="s">
        <v>236</v>
      </c>
      <c r="AA292" t="s">
        <v>253</v>
      </c>
      <c r="AB292" t="s">
        <v>121</v>
      </c>
      <c r="AC292" s="235">
        <v>-2100000</v>
      </c>
      <c r="AD292" s="235">
        <v>-45995.218702249695</v>
      </c>
      <c r="AE292">
        <v>0</v>
      </c>
      <c r="AF292">
        <v>0</v>
      </c>
      <c r="AG292">
        <v>0</v>
      </c>
      <c r="AH292" s="235">
        <v>-2188.7230828725151</v>
      </c>
      <c r="AI292">
        <v>226</v>
      </c>
      <c r="AJ292" t="s">
        <v>256</v>
      </c>
      <c r="AK292">
        <v>0</v>
      </c>
      <c r="AL292">
        <v>0</v>
      </c>
      <c r="AM292">
        <v>0</v>
      </c>
    </row>
    <row r="293" spans="1:39" x14ac:dyDescent="0.25">
      <c r="A293" t="s">
        <v>601</v>
      </c>
      <c r="B293" t="s">
        <v>428</v>
      </c>
      <c r="C293" t="s">
        <v>255</v>
      </c>
      <c r="D293" t="s">
        <v>234</v>
      </c>
      <c r="E293" t="s">
        <v>20</v>
      </c>
      <c r="F293" t="s">
        <v>284</v>
      </c>
      <c r="G293" t="s">
        <v>269</v>
      </c>
      <c r="H293" t="s">
        <v>254</v>
      </c>
      <c r="I293" t="s">
        <v>242</v>
      </c>
      <c r="J293" t="s">
        <v>235</v>
      </c>
      <c r="K293" s="380">
        <v>36951</v>
      </c>
      <c r="L293" s="235">
        <v>318204.05415815604</v>
      </c>
      <c r="M293" s="380">
        <v>36949</v>
      </c>
      <c r="N293" t="s">
        <v>1</v>
      </c>
      <c r="O293">
        <v>0.75</v>
      </c>
      <c r="P293">
        <v>0</v>
      </c>
      <c r="Q293">
        <v>0</v>
      </c>
      <c r="R293">
        <v>0</v>
      </c>
      <c r="S293">
        <v>0</v>
      </c>
      <c r="T293" t="s">
        <v>253</v>
      </c>
      <c r="U293" t="s">
        <v>7</v>
      </c>
      <c r="V293" t="s">
        <v>253</v>
      </c>
      <c r="W293" t="s">
        <v>132</v>
      </c>
      <c r="X293" t="s">
        <v>253</v>
      </c>
      <c r="Y293" t="s">
        <v>235</v>
      </c>
      <c r="Z293" t="s">
        <v>236</v>
      </c>
      <c r="AA293" t="s">
        <v>253</v>
      </c>
      <c r="AB293" t="s">
        <v>121</v>
      </c>
      <c r="AC293" s="235">
        <v>930000</v>
      </c>
      <c r="AD293" s="235">
        <v>81300.88174084411</v>
      </c>
      <c r="AE293">
        <v>0</v>
      </c>
      <c r="AF293">
        <v>0</v>
      </c>
      <c r="AG293">
        <v>0</v>
      </c>
      <c r="AH293" s="235">
        <v>-15193.614065072383</v>
      </c>
      <c r="AI293">
        <v>226</v>
      </c>
      <c r="AJ293" t="s">
        <v>256</v>
      </c>
      <c r="AK293">
        <v>0</v>
      </c>
      <c r="AL293">
        <v>0</v>
      </c>
      <c r="AM293">
        <v>0</v>
      </c>
    </row>
    <row r="294" spans="1:39" x14ac:dyDescent="0.25">
      <c r="A294" t="s">
        <v>601</v>
      </c>
      <c r="B294" t="s">
        <v>428</v>
      </c>
      <c r="C294" t="s">
        <v>255</v>
      </c>
      <c r="D294" t="s">
        <v>234</v>
      </c>
      <c r="E294" t="s">
        <v>20</v>
      </c>
      <c r="F294" t="s">
        <v>284</v>
      </c>
      <c r="G294" t="s">
        <v>269</v>
      </c>
      <c r="H294" t="s">
        <v>254</v>
      </c>
      <c r="I294" t="s">
        <v>242</v>
      </c>
      <c r="J294" t="s">
        <v>235</v>
      </c>
      <c r="K294" s="380">
        <v>36923</v>
      </c>
      <c r="L294" s="235">
        <v>117808.73934674634</v>
      </c>
      <c r="M294" s="380">
        <v>36921</v>
      </c>
      <c r="N294" t="s">
        <v>1</v>
      </c>
      <c r="O294">
        <v>0.75</v>
      </c>
      <c r="P294">
        <v>0</v>
      </c>
      <c r="Q294">
        <v>0</v>
      </c>
      <c r="R294">
        <v>0</v>
      </c>
      <c r="S294">
        <v>0</v>
      </c>
      <c r="T294" t="s">
        <v>253</v>
      </c>
      <c r="U294" t="s">
        <v>7</v>
      </c>
      <c r="V294" t="s">
        <v>253</v>
      </c>
      <c r="W294" t="s">
        <v>132</v>
      </c>
      <c r="X294" t="s">
        <v>253</v>
      </c>
      <c r="Y294" t="s">
        <v>235</v>
      </c>
      <c r="Z294" t="s">
        <v>236</v>
      </c>
      <c r="AA294" t="s">
        <v>253</v>
      </c>
      <c r="AB294" t="s">
        <v>121</v>
      </c>
      <c r="AC294" s="235">
        <v>840000</v>
      </c>
      <c r="AD294" s="235">
        <v>51634.440137677346</v>
      </c>
      <c r="AE294">
        <v>0</v>
      </c>
      <c r="AF294">
        <v>0</v>
      </c>
      <c r="AG294">
        <v>0</v>
      </c>
      <c r="AH294" s="235">
        <v>-6305.629787566606</v>
      </c>
      <c r="AI294">
        <v>226</v>
      </c>
      <c r="AJ294" t="s">
        <v>256</v>
      </c>
      <c r="AK294">
        <v>0</v>
      </c>
      <c r="AL294">
        <v>0</v>
      </c>
      <c r="AM294">
        <v>0</v>
      </c>
    </row>
    <row r="295" spans="1:39" x14ac:dyDescent="0.25">
      <c r="A295" t="s">
        <v>601</v>
      </c>
      <c r="B295" t="s">
        <v>428</v>
      </c>
      <c r="C295" t="s">
        <v>255</v>
      </c>
      <c r="D295" t="s">
        <v>234</v>
      </c>
      <c r="E295" t="s">
        <v>20</v>
      </c>
      <c r="F295" t="s">
        <v>284</v>
      </c>
      <c r="G295" t="s">
        <v>269</v>
      </c>
      <c r="H295" t="s">
        <v>254</v>
      </c>
      <c r="I295" t="s">
        <v>242</v>
      </c>
      <c r="J295" t="s">
        <v>235</v>
      </c>
      <c r="K295" s="380">
        <v>36892</v>
      </c>
      <c r="L295" s="235">
        <v>102987.9111881502</v>
      </c>
      <c r="M295" s="380">
        <v>36888</v>
      </c>
      <c r="N295" t="s">
        <v>1</v>
      </c>
      <c r="O295">
        <v>0.75</v>
      </c>
      <c r="P295">
        <v>0</v>
      </c>
      <c r="Q295">
        <v>0</v>
      </c>
      <c r="R295">
        <v>0</v>
      </c>
      <c r="S295">
        <v>0</v>
      </c>
      <c r="T295" t="s">
        <v>253</v>
      </c>
      <c r="U295" t="s">
        <v>7</v>
      </c>
      <c r="V295" t="s">
        <v>253</v>
      </c>
      <c r="W295" t="s">
        <v>132</v>
      </c>
      <c r="X295" t="s">
        <v>253</v>
      </c>
      <c r="Y295" t="s">
        <v>235</v>
      </c>
      <c r="Z295" t="s">
        <v>236</v>
      </c>
      <c r="AA295" t="s">
        <v>253</v>
      </c>
      <c r="AB295" t="s">
        <v>121</v>
      </c>
      <c r="AC295" s="235">
        <v>930000</v>
      </c>
      <c r="AD295" s="235">
        <v>47409.301486475946</v>
      </c>
      <c r="AE295">
        <v>0</v>
      </c>
      <c r="AF295">
        <v>0</v>
      </c>
      <c r="AG295">
        <v>0</v>
      </c>
      <c r="AH295" s="235">
        <v>-4967.8974304396688</v>
      </c>
      <c r="AI295">
        <v>226</v>
      </c>
      <c r="AJ295" t="s">
        <v>256</v>
      </c>
      <c r="AK295">
        <v>0</v>
      </c>
      <c r="AL295">
        <v>0</v>
      </c>
      <c r="AM295">
        <v>0</v>
      </c>
    </row>
    <row r="296" spans="1:39" x14ac:dyDescent="0.25">
      <c r="A296" t="s">
        <v>601</v>
      </c>
      <c r="B296" t="s">
        <v>428</v>
      </c>
      <c r="C296" t="s">
        <v>255</v>
      </c>
      <c r="D296" t="s">
        <v>234</v>
      </c>
      <c r="E296" t="s">
        <v>20</v>
      </c>
      <c r="F296" t="s">
        <v>284</v>
      </c>
      <c r="G296" t="s">
        <v>269</v>
      </c>
      <c r="H296" t="s">
        <v>254</v>
      </c>
      <c r="I296" t="s">
        <v>242</v>
      </c>
      <c r="J296" t="s">
        <v>235</v>
      </c>
      <c r="K296" s="380">
        <v>36861</v>
      </c>
      <c r="L296" s="235">
        <v>137562.79620928384</v>
      </c>
      <c r="M296" s="380">
        <v>36859</v>
      </c>
      <c r="N296" t="s">
        <v>1</v>
      </c>
      <c r="O296">
        <v>0.75</v>
      </c>
      <c r="P296">
        <v>0</v>
      </c>
      <c r="Q296">
        <v>0</v>
      </c>
      <c r="R296">
        <v>0</v>
      </c>
      <c r="S296">
        <v>0</v>
      </c>
      <c r="T296" t="s">
        <v>253</v>
      </c>
      <c r="U296" t="s">
        <v>7</v>
      </c>
      <c r="V296" t="s">
        <v>253</v>
      </c>
      <c r="W296" t="s">
        <v>132</v>
      </c>
      <c r="X296" t="s">
        <v>253</v>
      </c>
      <c r="Y296" t="s">
        <v>235</v>
      </c>
      <c r="Z296" t="s">
        <v>236</v>
      </c>
      <c r="AA296" t="s">
        <v>253</v>
      </c>
      <c r="AB296" t="s">
        <v>121</v>
      </c>
      <c r="AC296" s="235">
        <v>930000</v>
      </c>
      <c r="AD296" s="235">
        <v>51692.264679075393</v>
      </c>
      <c r="AE296">
        <v>0</v>
      </c>
      <c r="AF296">
        <v>0</v>
      </c>
      <c r="AG296">
        <v>0</v>
      </c>
      <c r="AH296" s="235">
        <v>-5587.5099970042647</v>
      </c>
      <c r="AI296">
        <v>226</v>
      </c>
      <c r="AJ296" t="s">
        <v>256</v>
      </c>
      <c r="AK296">
        <v>0</v>
      </c>
      <c r="AL296">
        <v>0</v>
      </c>
      <c r="AM296">
        <v>0</v>
      </c>
    </row>
    <row r="297" spans="1:39" x14ac:dyDescent="0.25">
      <c r="A297" t="s">
        <v>601</v>
      </c>
      <c r="B297" t="s">
        <v>428</v>
      </c>
      <c r="C297" t="s">
        <v>255</v>
      </c>
      <c r="D297" t="s">
        <v>234</v>
      </c>
      <c r="E297" t="s">
        <v>20</v>
      </c>
      <c r="F297" t="s">
        <v>284</v>
      </c>
      <c r="G297" t="s">
        <v>269</v>
      </c>
      <c r="H297" t="s">
        <v>254</v>
      </c>
      <c r="I297" t="s">
        <v>242</v>
      </c>
      <c r="J297" t="s">
        <v>235</v>
      </c>
      <c r="K297" s="380">
        <v>36831</v>
      </c>
      <c r="L297" s="235">
        <v>224656.10332597041</v>
      </c>
      <c r="M297" s="380">
        <v>36829</v>
      </c>
      <c r="N297" t="s">
        <v>1</v>
      </c>
      <c r="O297">
        <v>0.75</v>
      </c>
      <c r="P297">
        <v>0</v>
      </c>
      <c r="Q297">
        <v>0</v>
      </c>
      <c r="R297">
        <v>0</v>
      </c>
      <c r="S297">
        <v>0</v>
      </c>
      <c r="T297" t="s">
        <v>253</v>
      </c>
      <c r="U297" t="s">
        <v>7</v>
      </c>
      <c r="V297" t="s">
        <v>253</v>
      </c>
      <c r="W297" t="s">
        <v>132</v>
      </c>
      <c r="X297" t="s">
        <v>253</v>
      </c>
      <c r="Y297" t="s">
        <v>235</v>
      </c>
      <c r="Z297" t="s">
        <v>236</v>
      </c>
      <c r="AA297" t="s">
        <v>253</v>
      </c>
      <c r="AB297" t="s">
        <v>121</v>
      </c>
      <c r="AC297" s="235">
        <v>900000</v>
      </c>
      <c r="AD297" s="235">
        <v>40635.535214852891</v>
      </c>
      <c r="AE297">
        <v>0</v>
      </c>
      <c r="AF297">
        <v>0</v>
      </c>
      <c r="AG297">
        <v>0</v>
      </c>
      <c r="AH297" s="235">
        <v>-14722.517991746805</v>
      </c>
      <c r="AI297">
        <v>226</v>
      </c>
      <c r="AJ297" t="s">
        <v>256</v>
      </c>
      <c r="AK297">
        <v>0</v>
      </c>
      <c r="AL297">
        <v>0</v>
      </c>
      <c r="AM297">
        <v>0</v>
      </c>
    </row>
    <row r="298" spans="1:39" x14ac:dyDescent="0.25">
      <c r="A298" t="s">
        <v>601</v>
      </c>
      <c r="B298" t="s">
        <v>429</v>
      </c>
      <c r="C298" t="s">
        <v>255</v>
      </c>
      <c r="D298" t="s">
        <v>234</v>
      </c>
      <c r="E298" t="s">
        <v>20</v>
      </c>
      <c r="F298" t="s">
        <v>279</v>
      </c>
      <c r="G298" t="s">
        <v>269</v>
      </c>
      <c r="H298" t="s">
        <v>254</v>
      </c>
      <c r="I298" t="s">
        <v>242</v>
      </c>
      <c r="J298" t="s">
        <v>235</v>
      </c>
      <c r="K298" s="380">
        <v>36800</v>
      </c>
      <c r="L298" s="235">
        <v>-758.92388018139434</v>
      </c>
      <c r="M298" s="380">
        <v>36797</v>
      </c>
      <c r="N298" t="s">
        <v>21</v>
      </c>
      <c r="O298">
        <v>0.7</v>
      </c>
      <c r="P298">
        <v>0</v>
      </c>
      <c r="Q298">
        <v>0</v>
      </c>
      <c r="R298">
        <v>0</v>
      </c>
      <c r="S298">
        <v>0</v>
      </c>
      <c r="T298" t="s">
        <v>253</v>
      </c>
      <c r="U298" t="s">
        <v>7</v>
      </c>
      <c r="V298" t="s">
        <v>253</v>
      </c>
      <c r="W298" t="s">
        <v>132</v>
      </c>
      <c r="X298" t="s">
        <v>253</v>
      </c>
      <c r="Y298" t="s">
        <v>235</v>
      </c>
      <c r="Z298" t="s">
        <v>236</v>
      </c>
      <c r="AA298" t="s">
        <v>253</v>
      </c>
      <c r="AB298" t="s">
        <v>121</v>
      </c>
      <c r="AC298" s="235">
        <v>-1000000</v>
      </c>
      <c r="AD298" s="235">
        <v>-593.53102555814257</v>
      </c>
      <c r="AE298">
        <v>0</v>
      </c>
      <c r="AF298">
        <v>0</v>
      </c>
      <c r="AG298">
        <v>0</v>
      </c>
      <c r="AH298" s="235">
        <v>-36.033143783603578</v>
      </c>
      <c r="AI298">
        <v>226</v>
      </c>
      <c r="AJ298" t="s">
        <v>256</v>
      </c>
      <c r="AK298">
        <v>0</v>
      </c>
      <c r="AL298">
        <v>0</v>
      </c>
      <c r="AM298">
        <v>0</v>
      </c>
    </row>
    <row r="299" spans="1:39" x14ac:dyDescent="0.25">
      <c r="A299" t="s">
        <v>601</v>
      </c>
      <c r="B299" t="s">
        <v>430</v>
      </c>
      <c r="C299" t="s">
        <v>255</v>
      </c>
      <c r="D299" t="s">
        <v>234</v>
      </c>
      <c r="E299" t="s">
        <v>20</v>
      </c>
      <c r="F299" t="s">
        <v>279</v>
      </c>
      <c r="G299" t="s">
        <v>269</v>
      </c>
      <c r="H299" t="s">
        <v>254</v>
      </c>
      <c r="I299" t="s">
        <v>242</v>
      </c>
      <c r="J299" t="s">
        <v>235</v>
      </c>
      <c r="K299" s="380">
        <v>36800</v>
      </c>
      <c r="L299" s="235">
        <v>-758.92388018139434</v>
      </c>
      <c r="M299" s="380">
        <v>36797</v>
      </c>
      <c r="N299" t="s">
        <v>21</v>
      </c>
      <c r="O299">
        <v>0.7</v>
      </c>
      <c r="P299">
        <v>0</v>
      </c>
      <c r="Q299">
        <v>0</v>
      </c>
      <c r="R299">
        <v>0</v>
      </c>
      <c r="S299">
        <v>0</v>
      </c>
      <c r="T299" t="s">
        <v>253</v>
      </c>
      <c r="U299" t="s">
        <v>7</v>
      </c>
      <c r="V299" t="s">
        <v>253</v>
      </c>
      <c r="W299" t="s">
        <v>132</v>
      </c>
      <c r="X299" t="s">
        <v>253</v>
      </c>
      <c r="Y299" t="s">
        <v>235</v>
      </c>
      <c r="Z299" t="s">
        <v>236</v>
      </c>
      <c r="AA299" t="s">
        <v>253</v>
      </c>
      <c r="AB299" t="s">
        <v>121</v>
      </c>
      <c r="AC299" s="235">
        <v>-1000000</v>
      </c>
      <c r="AD299" s="235">
        <v>-593.53102555814257</v>
      </c>
      <c r="AE299">
        <v>0</v>
      </c>
      <c r="AF299">
        <v>0</v>
      </c>
      <c r="AG299">
        <v>0</v>
      </c>
      <c r="AH299" s="235">
        <v>-36.033143783603578</v>
      </c>
      <c r="AI299">
        <v>226</v>
      </c>
      <c r="AJ299" t="s">
        <v>256</v>
      </c>
      <c r="AK299">
        <v>0</v>
      </c>
      <c r="AL299">
        <v>0</v>
      </c>
      <c r="AM299">
        <v>0</v>
      </c>
    </row>
    <row r="300" spans="1:39" x14ac:dyDescent="0.25">
      <c r="A300" t="s">
        <v>601</v>
      </c>
      <c r="B300" t="s">
        <v>431</v>
      </c>
      <c r="C300" t="s">
        <v>255</v>
      </c>
      <c r="D300" t="s">
        <v>234</v>
      </c>
      <c r="E300" t="s">
        <v>20</v>
      </c>
      <c r="F300" t="s">
        <v>279</v>
      </c>
      <c r="G300" t="s">
        <v>269</v>
      </c>
      <c r="H300" t="s">
        <v>254</v>
      </c>
      <c r="I300" t="s">
        <v>242</v>
      </c>
      <c r="J300" t="s">
        <v>235</v>
      </c>
      <c r="K300" s="380">
        <v>36800</v>
      </c>
      <c r="L300" s="235">
        <v>-758.92388018139434</v>
      </c>
      <c r="M300" s="380">
        <v>36797</v>
      </c>
      <c r="N300" t="s">
        <v>21</v>
      </c>
      <c r="O300">
        <v>0.7</v>
      </c>
      <c r="P300">
        <v>0</v>
      </c>
      <c r="Q300">
        <v>0</v>
      </c>
      <c r="R300">
        <v>0</v>
      </c>
      <c r="S300">
        <v>0</v>
      </c>
      <c r="T300" t="s">
        <v>253</v>
      </c>
      <c r="U300" t="s">
        <v>7</v>
      </c>
      <c r="V300" t="s">
        <v>253</v>
      </c>
      <c r="W300" t="s">
        <v>132</v>
      </c>
      <c r="X300" t="s">
        <v>253</v>
      </c>
      <c r="Y300" t="s">
        <v>235</v>
      </c>
      <c r="Z300" t="s">
        <v>236</v>
      </c>
      <c r="AA300" t="s">
        <v>253</v>
      </c>
      <c r="AB300" t="s">
        <v>121</v>
      </c>
      <c r="AC300" s="235">
        <v>-1000000</v>
      </c>
      <c r="AD300" s="235">
        <v>-593.53102555814257</v>
      </c>
      <c r="AE300">
        <v>0</v>
      </c>
      <c r="AF300">
        <v>0</v>
      </c>
      <c r="AG300">
        <v>0</v>
      </c>
      <c r="AH300" s="235">
        <v>-36.033143783603578</v>
      </c>
      <c r="AI300">
        <v>226</v>
      </c>
      <c r="AJ300" t="s">
        <v>256</v>
      </c>
      <c r="AK300">
        <v>0</v>
      </c>
      <c r="AL300">
        <v>0</v>
      </c>
      <c r="AM300">
        <v>0</v>
      </c>
    </row>
    <row r="301" spans="1:39" x14ac:dyDescent="0.25">
      <c r="A301" t="s">
        <v>601</v>
      </c>
      <c r="B301" t="s">
        <v>432</v>
      </c>
      <c r="C301" t="s">
        <v>255</v>
      </c>
      <c r="D301" t="s">
        <v>234</v>
      </c>
      <c r="E301" t="s">
        <v>20</v>
      </c>
      <c r="F301" t="s">
        <v>286</v>
      </c>
      <c r="G301" t="s">
        <v>269</v>
      </c>
      <c r="H301" t="s">
        <v>254</v>
      </c>
      <c r="I301" t="s">
        <v>242</v>
      </c>
      <c r="J301" t="s">
        <v>235</v>
      </c>
      <c r="K301" s="380">
        <v>36951</v>
      </c>
      <c r="L301" s="235">
        <v>-90424.995673914702</v>
      </c>
      <c r="M301" s="380">
        <v>36949</v>
      </c>
      <c r="N301" t="s">
        <v>21</v>
      </c>
      <c r="O301">
        <v>1.75</v>
      </c>
      <c r="P301">
        <v>0</v>
      </c>
      <c r="Q301">
        <v>0</v>
      </c>
      <c r="R301">
        <v>0</v>
      </c>
      <c r="S301">
        <v>0</v>
      </c>
      <c r="T301" t="s">
        <v>253</v>
      </c>
      <c r="U301" t="s">
        <v>7</v>
      </c>
      <c r="V301" t="s">
        <v>253</v>
      </c>
      <c r="W301" t="s">
        <v>132</v>
      </c>
      <c r="X301" t="s">
        <v>253</v>
      </c>
      <c r="Y301" t="s">
        <v>235</v>
      </c>
      <c r="Z301" t="s">
        <v>236</v>
      </c>
      <c r="AA301" t="s">
        <v>253</v>
      </c>
      <c r="AB301" t="s">
        <v>121</v>
      </c>
      <c r="AC301" s="235">
        <v>-310000</v>
      </c>
      <c r="AD301" s="235">
        <v>-24004.437840872997</v>
      </c>
      <c r="AE301">
        <v>0</v>
      </c>
      <c r="AF301">
        <v>0</v>
      </c>
      <c r="AG301">
        <v>0</v>
      </c>
      <c r="AH301" s="235">
        <v>-7715.6719158126798</v>
      </c>
      <c r="AI301">
        <v>226</v>
      </c>
      <c r="AJ301" t="s">
        <v>256</v>
      </c>
      <c r="AK301">
        <v>0</v>
      </c>
      <c r="AL301">
        <v>0</v>
      </c>
      <c r="AM301">
        <v>0</v>
      </c>
    </row>
    <row r="302" spans="1:39" x14ac:dyDescent="0.25">
      <c r="A302" t="s">
        <v>601</v>
      </c>
      <c r="B302" t="s">
        <v>432</v>
      </c>
      <c r="C302" t="s">
        <v>255</v>
      </c>
      <c r="D302" t="s">
        <v>234</v>
      </c>
      <c r="E302" t="s">
        <v>20</v>
      </c>
      <c r="F302" t="s">
        <v>286</v>
      </c>
      <c r="G302" t="s">
        <v>269</v>
      </c>
      <c r="H302" t="s">
        <v>254</v>
      </c>
      <c r="I302" t="s">
        <v>242</v>
      </c>
      <c r="J302" t="s">
        <v>235</v>
      </c>
      <c r="K302" s="380">
        <v>36923</v>
      </c>
      <c r="L302" s="235">
        <v>-232869.19556954532</v>
      </c>
      <c r="M302" s="380">
        <v>36921</v>
      </c>
      <c r="N302" t="s">
        <v>21</v>
      </c>
      <c r="O302">
        <v>1.75</v>
      </c>
      <c r="P302">
        <v>0</v>
      </c>
      <c r="Q302">
        <v>0</v>
      </c>
      <c r="R302">
        <v>0</v>
      </c>
      <c r="S302">
        <v>0</v>
      </c>
      <c r="T302" t="s">
        <v>253</v>
      </c>
      <c r="U302" t="s">
        <v>7</v>
      </c>
      <c r="V302" t="s">
        <v>253</v>
      </c>
      <c r="W302" t="s">
        <v>132</v>
      </c>
      <c r="X302" t="s">
        <v>253</v>
      </c>
      <c r="Y302" t="s">
        <v>235</v>
      </c>
      <c r="Z302" t="s">
        <v>236</v>
      </c>
      <c r="AA302" t="s">
        <v>253</v>
      </c>
      <c r="AB302" t="s">
        <v>121</v>
      </c>
      <c r="AC302" s="235">
        <v>-280000</v>
      </c>
      <c r="AD302" s="235">
        <v>-23887.814641199657</v>
      </c>
      <c r="AE302">
        <v>0</v>
      </c>
      <c r="AF302">
        <v>0</v>
      </c>
      <c r="AG302">
        <v>0</v>
      </c>
      <c r="AH302" s="235">
        <v>-13059.812224937632</v>
      </c>
      <c r="AI302">
        <v>226</v>
      </c>
      <c r="AJ302" t="s">
        <v>256</v>
      </c>
      <c r="AK302">
        <v>0</v>
      </c>
      <c r="AL302">
        <v>0</v>
      </c>
      <c r="AM302">
        <v>0</v>
      </c>
    </row>
    <row r="303" spans="1:39" x14ac:dyDescent="0.25">
      <c r="A303" t="s">
        <v>601</v>
      </c>
      <c r="B303" t="s">
        <v>432</v>
      </c>
      <c r="C303" t="s">
        <v>255</v>
      </c>
      <c r="D303" t="s">
        <v>234</v>
      </c>
      <c r="E303" t="s">
        <v>20</v>
      </c>
      <c r="F303" t="s">
        <v>286</v>
      </c>
      <c r="G303" t="s">
        <v>269</v>
      </c>
      <c r="H303" t="s">
        <v>254</v>
      </c>
      <c r="I303" t="s">
        <v>242</v>
      </c>
      <c r="J303" t="s">
        <v>235</v>
      </c>
      <c r="K303" s="380">
        <v>36892</v>
      </c>
      <c r="L303" s="235">
        <v>-262896.59651092999</v>
      </c>
      <c r="M303" s="380">
        <v>36888</v>
      </c>
      <c r="N303" t="s">
        <v>21</v>
      </c>
      <c r="O303">
        <v>1.75</v>
      </c>
      <c r="P303">
        <v>0</v>
      </c>
      <c r="Q303">
        <v>0</v>
      </c>
      <c r="R303">
        <v>0</v>
      </c>
      <c r="S303">
        <v>0</v>
      </c>
      <c r="T303" t="s">
        <v>253</v>
      </c>
      <c r="U303" t="s">
        <v>7</v>
      </c>
      <c r="V303" t="s">
        <v>253</v>
      </c>
      <c r="W303" t="s">
        <v>132</v>
      </c>
      <c r="X303" t="s">
        <v>253</v>
      </c>
      <c r="Y303" t="s">
        <v>235</v>
      </c>
      <c r="Z303" t="s">
        <v>236</v>
      </c>
      <c r="AA303" t="s">
        <v>253</v>
      </c>
      <c r="AB303" t="s">
        <v>121</v>
      </c>
      <c r="AC303" s="235">
        <v>-310000</v>
      </c>
      <c r="AD303" s="235">
        <v>-23922.69548703311</v>
      </c>
      <c r="AE303">
        <v>0</v>
      </c>
      <c r="AF303">
        <v>0</v>
      </c>
      <c r="AG303">
        <v>0</v>
      </c>
      <c r="AH303" s="235">
        <v>-12865.214621873834</v>
      </c>
      <c r="AI303">
        <v>226</v>
      </c>
      <c r="AJ303" t="s">
        <v>256</v>
      </c>
      <c r="AK303">
        <v>0</v>
      </c>
      <c r="AL303">
        <v>0</v>
      </c>
      <c r="AM303">
        <v>0</v>
      </c>
    </row>
    <row r="304" spans="1:39" x14ac:dyDescent="0.25">
      <c r="A304" t="s">
        <v>601</v>
      </c>
      <c r="B304" t="s">
        <v>432</v>
      </c>
      <c r="C304" t="s">
        <v>255</v>
      </c>
      <c r="D304" t="s">
        <v>234</v>
      </c>
      <c r="E304" t="s">
        <v>20</v>
      </c>
      <c r="F304" t="s">
        <v>286</v>
      </c>
      <c r="G304" t="s">
        <v>269</v>
      </c>
      <c r="H304" t="s">
        <v>254</v>
      </c>
      <c r="I304" t="s">
        <v>242</v>
      </c>
      <c r="J304" t="s">
        <v>235</v>
      </c>
      <c r="K304" s="380">
        <v>36861</v>
      </c>
      <c r="L304" s="235">
        <v>-146571.90170809149</v>
      </c>
      <c r="M304" s="380">
        <v>36859</v>
      </c>
      <c r="N304" t="s">
        <v>21</v>
      </c>
      <c r="O304">
        <v>1.75</v>
      </c>
      <c r="P304">
        <v>0</v>
      </c>
      <c r="Q304">
        <v>0</v>
      </c>
      <c r="R304">
        <v>0</v>
      </c>
      <c r="S304">
        <v>0</v>
      </c>
      <c r="T304" t="s">
        <v>253</v>
      </c>
      <c r="U304" t="s">
        <v>7</v>
      </c>
      <c r="V304" t="s">
        <v>253</v>
      </c>
      <c r="W304" t="s">
        <v>132</v>
      </c>
      <c r="X304" t="s">
        <v>253</v>
      </c>
      <c r="Y304" t="s">
        <v>235</v>
      </c>
      <c r="Z304" t="s">
        <v>236</v>
      </c>
      <c r="AA304" t="s">
        <v>253</v>
      </c>
      <c r="AB304" t="s">
        <v>121</v>
      </c>
      <c r="AC304" s="235">
        <v>-310000</v>
      </c>
      <c r="AD304" s="235">
        <v>-21753.83775540418</v>
      </c>
      <c r="AE304">
        <v>0</v>
      </c>
      <c r="AF304">
        <v>0</v>
      </c>
      <c r="AG304">
        <v>0</v>
      </c>
      <c r="AH304" s="235">
        <v>-8014.8366895745276</v>
      </c>
      <c r="AI304">
        <v>226</v>
      </c>
      <c r="AJ304" t="s">
        <v>256</v>
      </c>
      <c r="AK304">
        <v>0</v>
      </c>
      <c r="AL304">
        <v>0</v>
      </c>
      <c r="AM304">
        <v>0</v>
      </c>
    </row>
    <row r="305" spans="1:39" x14ac:dyDescent="0.25">
      <c r="A305" t="s">
        <v>601</v>
      </c>
      <c r="B305" t="s">
        <v>432</v>
      </c>
      <c r="C305" t="s">
        <v>255</v>
      </c>
      <c r="D305" t="s">
        <v>234</v>
      </c>
      <c r="E305" t="s">
        <v>20</v>
      </c>
      <c r="F305" t="s">
        <v>286</v>
      </c>
      <c r="G305" t="s">
        <v>269</v>
      </c>
      <c r="H305" t="s">
        <v>254</v>
      </c>
      <c r="I305" t="s">
        <v>242</v>
      </c>
      <c r="J305" t="s">
        <v>235</v>
      </c>
      <c r="K305" s="380">
        <v>36831</v>
      </c>
      <c r="L305" s="235">
        <v>-10691.941519333863</v>
      </c>
      <c r="M305" s="380">
        <v>36829</v>
      </c>
      <c r="N305" t="s">
        <v>21</v>
      </c>
      <c r="O305">
        <v>1.75</v>
      </c>
      <c r="P305">
        <v>0</v>
      </c>
      <c r="Q305">
        <v>0</v>
      </c>
      <c r="R305">
        <v>0</v>
      </c>
      <c r="S305">
        <v>0</v>
      </c>
      <c r="T305" t="s">
        <v>253</v>
      </c>
      <c r="U305" t="s">
        <v>7</v>
      </c>
      <c r="V305" t="s">
        <v>253</v>
      </c>
      <c r="W305" t="s">
        <v>132</v>
      </c>
      <c r="X305" t="s">
        <v>253</v>
      </c>
      <c r="Y305" t="s">
        <v>235</v>
      </c>
      <c r="Z305" t="s">
        <v>236</v>
      </c>
      <c r="AA305" t="s">
        <v>253</v>
      </c>
      <c r="AB305" t="s">
        <v>121</v>
      </c>
      <c r="AC305" s="235">
        <v>-300000</v>
      </c>
      <c r="AD305" s="235">
        <v>-5584.7925066333846</v>
      </c>
      <c r="AE305">
        <v>0</v>
      </c>
      <c r="AF305">
        <v>0</v>
      </c>
      <c r="AG305">
        <v>0</v>
      </c>
      <c r="AH305" s="235">
        <v>-1603.9205046460593</v>
      </c>
      <c r="AI305">
        <v>226</v>
      </c>
      <c r="AJ305" t="s">
        <v>256</v>
      </c>
      <c r="AK305">
        <v>0</v>
      </c>
      <c r="AL305">
        <v>0</v>
      </c>
      <c r="AM305">
        <v>0</v>
      </c>
    </row>
    <row r="306" spans="1:39" x14ac:dyDescent="0.25">
      <c r="A306" t="s">
        <v>601</v>
      </c>
      <c r="B306" t="s">
        <v>433</v>
      </c>
      <c r="C306" t="s">
        <v>255</v>
      </c>
      <c r="D306" t="s">
        <v>234</v>
      </c>
      <c r="E306" t="s">
        <v>20</v>
      </c>
      <c r="F306" t="s">
        <v>286</v>
      </c>
      <c r="G306" t="s">
        <v>269</v>
      </c>
      <c r="H306" t="s">
        <v>254</v>
      </c>
      <c r="I306" t="s">
        <v>242</v>
      </c>
      <c r="J306" t="s">
        <v>235</v>
      </c>
      <c r="K306" s="380">
        <v>36951</v>
      </c>
      <c r="L306" s="235">
        <v>48886.400631953802</v>
      </c>
      <c r="M306" s="380">
        <v>36949</v>
      </c>
      <c r="N306" t="s">
        <v>21</v>
      </c>
      <c r="O306">
        <v>2.5</v>
      </c>
      <c r="P306">
        <v>0</v>
      </c>
      <c r="Q306">
        <v>0</v>
      </c>
      <c r="R306">
        <v>0</v>
      </c>
      <c r="S306">
        <v>0</v>
      </c>
      <c r="T306" t="s">
        <v>253</v>
      </c>
      <c r="U306" t="s">
        <v>7</v>
      </c>
      <c r="V306" t="s">
        <v>253</v>
      </c>
      <c r="W306" t="s">
        <v>132</v>
      </c>
      <c r="X306" t="s">
        <v>253</v>
      </c>
      <c r="Y306" t="s">
        <v>235</v>
      </c>
      <c r="Z306" t="s">
        <v>236</v>
      </c>
      <c r="AA306" t="s">
        <v>253</v>
      </c>
      <c r="AB306" t="s">
        <v>121</v>
      </c>
      <c r="AC306" s="235">
        <v>310000</v>
      </c>
      <c r="AD306" s="235">
        <v>17765.662708301541</v>
      </c>
      <c r="AE306">
        <v>0</v>
      </c>
      <c r="AF306">
        <v>0</v>
      </c>
      <c r="AG306">
        <v>0</v>
      </c>
      <c r="AH306" s="235">
        <v>4861.2333406752296</v>
      </c>
      <c r="AI306">
        <v>226</v>
      </c>
      <c r="AJ306" t="s">
        <v>256</v>
      </c>
      <c r="AK306">
        <v>0</v>
      </c>
      <c r="AL306">
        <v>0</v>
      </c>
      <c r="AM306">
        <v>0</v>
      </c>
    </row>
    <row r="307" spans="1:39" x14ac:dyDescent="0.25">
      <c r="A307" t="s">
        <v>601</v>
      </c>
      <c r="B307" t="s">
        <v>433</v>
      </c>
      <c r="C307" t="s">
        <v>255</v>
      </c>
      <c r="D307" t="s">
        <v>234</v>
      </c>
      <c r="E307" t="s">
        <v>20</v>
      </c>
      <c r="F307" t="s">
        <v>286</v>
      </c>
      <c r="G307" t="s">
        <v>269</v>
      </c>
      <c r="H307" t="s">
        <v>254</v>
      </c>
      <c r="I307" t="s">
        <v>242</v>
      </c>
      <c r="J307" t="s">
        <v>235</v>
      </c>
      <c r="K307" s="380">
        <v>36923</v>
      </c>
      <c r="L307" s="235">
        <v>150386.9517695079</v>
      </c>
      <c r="M307" s="380">
        <v>36921</v>
      </c>
      <c r="N307" t="s">
        <v>21</v>
      </c>
      <c r="O307">
        <v>2.5</v>
      </c>
      <c r="P307">
        <v>0</v>
      </c>
      <c r="Q307">
        <v>0</v>
      </c>
      <c r="R307">
        <v>0</v>
      </c>
      <c r="S307">
        <v>0</v>
      </c>
      <c r="T307" t="s">
        <v>253</v>
      </c>
      <c r="U307" t="s">
        <v>7</v>
      </c>
      <c r="V307" t="s">
        <v>253</v>
      </c>
      <c r="W307" t="s">
        <v>132</v>
      </c>
      <c r="X307" t="s">
        <v>253</v>
      </c>
      <c r="Y307" t="s">
        <v>235</v>
      </c>
      <c r="Z307" t="s">
        <v>236</v>
      </c>
      <c r="AA307" t="s">
        <v>253</v>
      </c>
      <c r="AB307" t="s">
        <v>121</v>
      </c>
      <c r="AC307" s="235">
        <v>280000</v>
      </c>
      <c r="AD307" s="235">
        <v>23175.488626135979</v>
      </c>
      <c r="AE307">
        <v>0</v>
      </c>
      <c r="AF307">
        <v>0</v>
      </c>
      <c r="AG307">
        <v>0</v>
      </c>
      <c r="AH307" s="235">
        <v>9934.5782538573258</v>
      </c>
      <c r="AI307">
        <v>226</v>
      </c>
      <c r="AJ307" t="s">
        <v>256</v>
      </c>
      <c r="AK307">
        <v>0</v>
      </c>
      <c r="AL307">
        <v>0</v>
      </c>
      <c r="AM307">
        <v>0</v>
      </c>
    </row>
    <row r="308" spans="1:39" x14ac:dyDescent="0.25">
      <c r="A308" t="s">
        <v>601</v>
      </c>
      <c r="B308" t="s">
        <v>433</v>
      </c>
      <c r="C308" t="s">
        <v>255</v>
      </c>
      <c r="D308" t="s">
        <v>234</v>
      </c>
      <c r="E308" t="s">
        <v>20</v>
      </c>
      <c r="F308" t="s">
        <v>286</v>
      </c>
      <c r="G308" t="s">
        <v>269</v>
      </c>
      <c r="H308" t="s">
        <v>254</v>
      </c>
      <c r="I308" t="s">
        <v>242</v>
      </c>
      <c r="J308" t="s">
        <v>235</v>
      </c>
      <c r="K308" s="380">
        <v>36892</v>
      </c>
      <c r="L308" s="235">
        <v>164878.49223098918</v>
      </c>
      <c r="M308" s="380">
        <v>36888</v>
      </c>
      <c r="N308" t="s">
        <v>21</v>
      </c>
      <c r="O308">
        <v>2.5</v>
      </c>
      <c r="P308">
        <v>0</v>
      </c>
      <c r="Q308">
        <v>0</v>
      </c>
      <c r="R308">
        <v>0</v>
      </c>
      <c r="S308">
        <v>0</v>
      </c>
      <c r="T308" t="s">
        <v>253</v>
      </c>
      <c r="U308" t="s">
        <v>7</v>
      </c>
      <c r="V308" t="s">
        <v>253</v>
      </c>
      <c r="W308" t="s">
        <v>132</v>
      </c>
      <c r="X308" t="s">
        <v>253</v>
      </c>
      <c r="Y308" t="s">
        <v>235</v>
      </c>
      <c r="Z308" t="s">
        <v>236</v>
      </c>
      <c r="AA308" t="s">
        <v>253</v>
      </c>
      <c r="AB308" t="s">
        <v>121</v>
      </c>
      <c r="AC308" s="235">
        <v>310000</v>
      </c>
      <c r="AD308" s="235">
        <v>23672.167547659279</v>
      </c>
      <c r="AE308">
        <v>0</v>
      </c>
      <c r="AF308">
        <v>0</v>
      </c>
      <c r="AG308">
        <v>0</v>
      </c>
      <c r="AH308" s="235">
        <v>9697.6778801135952</v>
      </c>
      <c r="AI308">
        <v>226</v>
      </c>
      <c r="AJ308" t="s">
        <v>256</v>
      </c>
      <c r="AK308">
        <v>0</v>
      </c>
      <c r="AL308">
        <v>0</v>
      </c>
      <c r="AM308">
        <v>0</v>
      </c>
    </row>
    <row r="309" spans="1:39" x14ac:dyDescent="0.25">
      <c r="A309" t="s">
        <v>601</v>
      </c>
      <c r="B309" t="s">
        <v>433</v>
      </c>
      <c r="C309" t="s">
        <v>255</v>
      </c>
      <c r="D309" t="s">
        <v>234</v>
      </c>
      <c r="E309" t="s">
        <v>20</v>
      </c>
      <c r="F309" t="s">
        <v>286</v>
      </c>
      <c r="G309" t="s">
        <v>269</v>
      </c>
      <c r="H309" t="s">
        <v>254</v>
      </c>
      <c r="I309" t="s">
        <v>242</v>
      </c>
      <c r="J309" t="s">
        <v>235</v>
      </c>
      <c r="K309" s="380">
        <v>36861</v>
      </c>
      <c r="L309" s="235">
        <v>76798.631138172423</v>
      </c>
      <c r="M309" s="380">
        <v>36859</v>
      </c>
      <c r="N309" t="s">
        <v>21</v>
      </c>
      <c r="O309">
        <v>2.5</v>
      </c>
      <c r="P309">
        <v>0</v>
      </c>
      <c r="Q309">
        <v>0</v>
      </c>
      <c r="R309">
        <v>0</v>
      </c>
      <c r="S309">
        <v>0</v>
      </c>
      <c r="T309" t="s">
        <v>253</v>
      </c>
      <c r="U309" t="s">
        <v>7</v>
      </c>
      <c r="V309" t="s">
        <v>253</v>
      </c>
      <c r="W309" t="s">
        <v>132</v>
      </c>
      <c r="X309" t="s">
        <v>253</v>
      </c>
      <c r="Y309" t="s">
        <v>235</v>
      </c>
      <c r="Z309" t="s">
        <v>236</v>
      </c>
      <c r="AA309" t="s">
        <v>253</v>
      </c>
      <c r="AB309" t="s">
        <v>121</v>
      </c>
      <c r="AC309" s="235">
        <v>310000</v>
      </c>
      <c r="AD309" s="235">
        <v>17988.316226535462</v>
      </c>
      <c r="AE309">
        <v>0</v>
      </c>
      <c r="AF309">
        <v>0</v>
      </c>
      <c r="AG309">
        <v>0</v>
      </c>
      <c r="AH309" s="235">
        <v>5205.3673497760756</v>
      </c>
      <c r="AI309">
        <v>226</v>
      </c>
      <c r="AJ309" t="s">
        <v>256</v>
      </c>
      <c r="AK309">
        <v>0</v>
      </c>
      <c r="AL309">
        <v>0</v>
      </c>
      <c r="AM309">
        <v>0</v>
      </c>
    </row>
    <row r="310" spans="1:39" x14ac:dyDescent="0.25">
      <c r="A310" t="s">
        <v>601</v>
      </c>
      <c r="B310" t="s">
        <v>433</v>
      </c>
      <c r="C310" t="s">
        <v>255</v>
      </c>
      <c r="D310" t="s">
        <v>234</v>
      </c>
      <c r="E310" t="s">
        <v>20</v>
      </c>
      <c r="F310" t="s">
        <v>286</v>
      </c>
      <c r="G310" t="s">
        <v>269</v>
      </c>
      <c r="H310" t="s">
        <v>254</v>
      </c>
      <c r="I310" t="s">
        <v>242</v>
      </c>
      <c r="J310" t="s">
        <v>235</v>
      </c>
      <c r="K310" s="380">
        <v>36831</v>
      </c>
      <c r="L310" s="235">
        <v>1931.8642528587211</v>
      </c>
      <c r="M310" s="380">
        <v>36829</v>
      </c>
      <c r="N310" t="s">
        <v>21</v>
      </c>
      <c r="O310">
        <v>2.5</v>
      </c>
      <c r="P310">
        <v>0</v>
      </c>
      <c r="Q310">
        <v>0</v>
      </c>
      <c r="R310">
        <v>0</v>
      </c>
      <c r="S310">
        <v>0</v>
      </c>
      <c r="T310" t="s">
        <v>253</v>
      </c>
      <c r="U310" t="s">
        <v>7</v>
      </c>
      <c r="V310" t="s">
        <v>253</v>
      </c>
      <c r="W310" t="s">
        <v>132</v>
      </c>
      <c r="X310" t="s">
        <v>253</v>
      </c>
      <c r="Y310" t="s">
        <v>235</v>
      </c>
      <c r="Z310" t="s">
        <v>236</v>
      </c>
      <c r="AA310" t="s">
        <v>253</v>
      </c>
      <c r="AB310" t="s">
        <v>121</v>
      </c>
      <c r="AC310" s="235">
        <v>300000</v>
      </c>
      <c r="AD310" s="235">
        <v>1569.5920027175107</v>
      </c>
      <c r="AE310">
        <v>0</v>
      </c>
      <c r="AF310">
        <v>0</v>
      </c>
      <c r="AG310">
        <v>0</v>
      </c>
      <c r="AH310" s="235">
        <v>379.93835220450842</v>
      </c>
      <c r="AI310">
        <v>226</v>
      </c>
      <c r="AJ310" t="s">
        <v>256</v>
      </c>
      <c r="AK310">
        <v>0</v>
      </c>
      <c r="AL310">
        <v>0</v>
      </c>
      <c r="AM310">
        <v>0</v>
      </c>
    </row>
    <row r="311" spans="1:39" x14ac:dyDescent="0.25">
      <c r="A311" t="s">
        <v>601</v>
      </c>
      <c r="B311" t="s">
        <v>435</v>
      </c>
      <c r="C311" t="s">
        <v>255</v>
      </c>
      <c r="D311" t="s">
        <v>234</v>
      </c>
      <c r="E311" t="s">
        <v>20</v>
      </c>
      <c r="F311" t="s">
        <v>434</v>
      </c>
      <c r="G311" t="s">
        <v>269</v>
      </c>
      <c r="H311" t="s">
        <v>254</v>
      </c>
      <c r="I311" t="s">
        <v>242</v>
      </c>
      <c r="J311" t="s">
        <v>235</v>
      </c>
      <c r="K311" s="380">
        <v>36951</v>
      </c>
      <c r="L311" s="235">
        <v>102961.73793626361</v>
      </c>
      <c r="M311" s="380">
        <v>36949</v>
      </c>
      <c r="N311" t="s">
        <v>1</v>
      </c>
      <c r="O311">
        <v>0.4</v>
      </c>
      <c r="P311">
        <v>0</v>
      </c>
      <c r="Q311">
        <v>0</v>
      </c>
      <c r="R311">
        <v>0</v>
      </c>
      <c r="S311">
        <v>0</v>
      </c>
      <c r="T311" t="s">
        <v>253</v>
      </c>
      <c r="U311" t="s">
        <v>7</v>
      </c>
      <c r="V311" t="s">
        <v>253</v>
      </c>
      <c r="W311" t="s">
        <v>132</v>
      </c>
      <c r="X311" t="s">
        <v>253</v>
      </c>
      <c r="Y311" t="s">
        <v>235</v>
      </c>
      <c r="Z311" t="s">
        <v>236</v>
      </c>
      <c r="AA311" t="s">
        <v>253</v>
      </c>
      <c r="AB311" t="s">
        <v>121</v>
      </c>
      <c r="AC311" s="235">
        <v>500000</v>
      </c>
      <c r="AD311" s="235">
        <v>39342.688523933146</v>
      </c>
      <c r="AE311">
        <v>0</v>
      </c>
      <c r="AF311">
        <v>0</v>
      </c>
      <c r="AG311">
        <v>0</v>
      </c>
      <c r="AH311" s="235">
        <v>-5309.3776694685948</v>
      </c>
      <c r="AI311">
        <v>226</v>
      </c>
      <c r="AJ311" t="s">
        <v>256</v>
      </c>
      <c r="AK311">
        <v>0</v>
      </c>
      <c r="AL311">
        <v>0</v>
      </c>
      <c r="AM311">
        <v>0</v>
      </c>
    </row>
    <row r="312" spans="1:39" x14ac:dyDescent="0.25">
      <c r="A312" t="s">
        <v>601</v>
      </c>
      <c r="B312" t="s">
        <v>435</v>
      </c>
      <c r="C312" t="s">
        <v>255</v>
      </c>
      <c r="D312" t="s">
        <v>234</v>
      </c>
      <c r="E312" t="s">
        <v>20</v>
      </c>
      <c r="F312" t="s">
        <v>434</v>
      </c>
      <c r="G312" t="s">
        <v>269</v>
      </c>
      <c r="H312" t="s">
        <v>254</v>
      </c>
      <c r="I312" t="s">
        <v>242</v>
      </c>
      <c r="J312" t="s">
        <v>235</v>
      </c>
      <c r="K312" s="380">
        <v>36923</v>
      </c>
      <c r="L312" s="235">
        <v>38128.1494972453</v>
      </c>
      <c r="M312" s="380">
        <v>36921</v>
      </c>
      <c r="N312" t="s">
        <v>1</v>
      </c>
      <c r="O312">
        <v>0.4</v>
      </c>
      <c r="P312">
        <v>0</v>
      </c>
      <c r="Q312">
        <v>0</v>
      </c>
      <c r="R312">
        <v>0</v>
      </c>
      <c r="S312">
        <v>0</v>
      </c>
      <c r="T312" t="s">
        <v>253</v>
      </c>
      <c r="U312" t="s">
        <v>7</v>
      </c>
      <c r="V312" t="s">
        <v>253</v>
      </c>
      <c r="W312" t="s">
        <v>132</v>
      </c>
      <c r="X312" t="s">
        <v>253</v>
      </c>
      <c r="Y312" t="s">
        <v>235</v>
      </c>
      <c r="Z312" t="s">
        <v>236</v>
      </c>
      <c r="AA312" t="s">
        <v>253</v>
      </c>
      <c r="AB312" t="s">
        <v>121</v>
      </c>
      <c r="AC312" s="235">
        <v>500000</v>
      </c>
      <c r="AD312" s="235">
        <v>23201.025979912913</v>
      </c>
      <c r="AE312">
        <v>0</v>
      </c>
      <c r="AF312">
        <v>0</v>
      </c>
      <c r="AG312">
        <v>0</v>
      </c>
      <c r="AH312" s="235">
        <v>-2123.6823982575515</v>
      </c>
      <c r="AI312">
        <v>226</v>
      </c>
      <c r="AJ312" t="s">
        <v>256</v>
      </c>
      <c r="AK312">
        <v>0</v>
      </c>
      <c r="AL312">
        <v>0</v>
      </c>
      <c r="AM312">
        <v>0</v>
      </c>
    </row>
    <row r="313" spans="1:39" x14ac:dyDescent="0.25">
      <c r="A313" t="s">
        <v>601</v>
      </c>
      <c r="B313" t="s">
        <v>435</v>
      </c>
      <c r="C313" t="s">
        <v>255</v>
      </c>
      <c r="D313" t="s">
        <v>234</v>
      </c>
      <c r="E313" t="s">
        <v>20</v>
      </c>
      <c r="F313" t="s">
        <v>434</v>
      </c>
      <c r="G313" t="s">
        <v>269</v>
      </c>
      <c r="H313" t="s">
        <v>254</v>
      </c>
      <c r="I313" t="s">
        <v>242</v>
      </c>
      <c r="J313" t="s">
        <v>235</v>
      </c>
      <c r="K313" s="380">
        <v>36892</v>
      </c>
      <c r="L313" s="235">
        <v>28714.113736807794</v>
      </c>
      <c r="M313" s="380">
        <v>36888</v>
      </c>
      <c r="N313" t="s">
        <v>1</v>
      </c>
      <c r="O313">
        <v>0.4</v>
      </c>
      <c r="P313">
        <v>0</v>
      </c>
      <c r="Q313">
        <v>0</v>
      </c>
      <c r="R313">
        <v>0</v>
      </c>
      <c r="S313">
        <v>0</v>
      </c>
      <c r="T313" t="s">
        <v>253</v>
      </c>
      <c r="U313" t="s">
        <v>7</v>
      </c>
      <c r="V313" t="s">
        <v>253</v>
      </c>
      <c r="W313" t="s">
        <v>132</v>
      </c>
      <c r="X313" t="s">
        <v>253</v>
      </c>
      <c r="Y313" t="s">
        <v>235</v>
      </c>
      <c r="Z313" t="s">
        <v>236</v>
      </c>
      <c r="AA313" t="s">
        <v>253</v>
      </c>
      <c r="AB313" t="s">
        <v>121</v>
      </c>
      <c r="AC313" s="235">
        <v>500000</v>
      </c>
      <c r="AD313" s="235">
        <v>18311.635757673583</v>
      </c>
      <c r="AE313">
        <v>0</v>
      </c>
      <c r="AF313">
        <v>0</v>
      </c>
      <c r="AG313">
        <v>0</v>
      </c>
      <c r="AH313" s="235">
        <v>-1420.436403499094</v>
      </c>
      <c r="AI313">
        <v>226</v>
      </c>
      <c r="AJ313" t="s">
        <v>256</v>
      </c>
      <c r="AK313">
        <v>0</v>
      </c>
      <c r="AL313">
        <v>0</v>
      </c>
      <c r="AM313">
        <v>0</v>
      </c>
    </row>
    <row r="314" spans="1:39" x14ac:dyDescent="0.25">
      <c r="A314" t="s">
        <v>601</v>
      </c>
      <c r="B314" t="s">
        <v>435</v>
      </c>
      <c r="C314" t="s">
        <v>255</v>
      </c>
      <c r="D314" t="s">
        <v>234</v>
      </c>
      <c r="E314" t="s">
        <v>20</v>
      </c>
      <c r="F314" t="s">
        <v>434</v>
      </c>
      <c r="G314" t="s">
        <v>269</v>
      </c>
      <c r="H314" t="s">
        <v>254</v>
      </c>
      <c r="I314" t="s">
        <v>242</v>
      </c>
      <c r="J314" t="s">
        <v>235</v>
      </c>
      <c r="K314" s="380">
        <v>36861</v>
      </c>
      <c r="L314" s="235">
        <v>37579.792555404165</v>
      </c>
      <c r="M314" s="380">
        <v>36859</v>
      </c>
      <c r="N314" t="s">
        <v>1</v>
      </c>
      <c r="O314">
        <v>0.4</v>
      </c>
      <c r="P314">
        <v>0</v>
      </c>
      <c r="Q314">
        <v>0</v>
      </c>
      <c r="R314">
        <v>0</v>
      </c>
      <c r="S314">
        <v>0</v>
      </c>
      <c r="T314" t="s">
        <v>253</v>
      </c>
      <c r="U314" t="s">
        <v>7</v>
      </c>
      <c r="V314" t="s">
        <v>253</v>
      </c>
      <c r="W314" t="s">
        <v>132</v>
      </c>
      <c r="X314" t="s">
        <v>253</v>
      </c>
      <c r="Y314" t="s">
        <v>235</v>
      </c>
      <c r="Z314" t="s">
        <v>236</v>
      </c>
      <c r="AA314" t="s">
        <v>253</v>
      </c>
      <c r="AB314" t="s">
        <v>121</v>
      </c>
      <c r="AC314" s="235">
        <v>500000</v>
      </c>
      <c r="AD314" s="235">
        <v>20590.959756902725</v>
      </c>
      <c r="AE314">
        <v>0</v>
      </c>
      <c r="AF314">
        <v>0</v>
      </c>
      <c r="AG314">
        <v>0</v>
      </c>
      <c r="AH314" s="235">
        <v>-1567.2312831909221</v>
      </c>
      <c r="AI314">
        <v>226</v>
      </c>
      <c r="AJ314" t="s">
        <v>256</v>
      </c>
      <c r="AK314">
        <v>0</v>
      </c>
      <c r="AL314">
        <v>0</v>
      </c>
      <c r="AM314">
        <v>0</v>
      </c>
    </row>
    <row r="315" spans="1:39" x14ac:dyDescent="0.25">
      <c r="A315" t="s">
        <v>601</v>
      </c>
      <c r="B315" t="s">
        <v>435</v>
      </c>
      <c r="C315" t="s">
        <v>255</v>
      </c>
      <c r="D315" t="s">
        <v>234</v>
      </c>
      <c r="E315" t="s">
        <v>20</v>
      </c>
      <c r="F315" t="s">
        <v>434</v>
      </c>
      <c r="G315" t="s">
        <v>269</v>
      </c>
      <c r="H315" t="s">
        <v>254</v>
      </c>
      <c r="I315" t="s">
        <v>242</v>
      </c>
      <c r="J315" t="s">
        <v>235</v>
      </c>
      <c r="K315" s="380">
        <v>36831</v>
      </c>
      <c r="L315" s="235">
        <v>53535.934044078196</v>
      </c>
      <c r="M315" s="380">
        <v>36829</v>
      </c>
      <c r="N315" t="s">
        <v>1</v>
      </c>
      <c r="O315">
        <v>0.4</v>
      </c>
      <c r="P315">
        <v>0</v>
      </c>
      <c r="Q315">
        <v>0</v>
      </c>
      <c r="R315">
        <v>0</v>
      </c>
      <c r="S315">
        <v>0</v>
      </c>
      <c r="T315" t="s">
        <v>253</v>
      </c>
      <c r="U315" t="s">
        <v>7</v>
      </c>
      <c r="V315" t="s">
        <v>253</v>
      </c>
      <c r="W315" t="s">
        <v>132</v>
      </c>
      <c r="X315" t="s">
        <v>253</v>
      </c>
      <c r="Y315" t="s">
        <v>235</v>
      </c>
      <c r="Z315" t="s">
        <v>236</v>
      </c>
      <c r="AA315" t="s">
        <v>253</v>
      </c>
      <c r="AB315" t="s">
        <v>121</v>
      </c>
      <c r="AC315" s="235">
        <v>500000</v>
      </c>
      <c r="AD315" s="235">
        <v>19539.20859338349</v>
      </c>
      <c r="AE315">
        <v>0</v>
      </c>
      <c r="AF315">
        <v>0</v>
      </c>
      <c r="AG315">
        <v>0</v>
      </c>
      <c r="AH315" s="235">
        <v>-4273.7047159380236</v>
      </c>
      <c r="AI315">
        <v>226</v>
      </c>
      <c r="AJ315" t="s">
        <v>256</v>
      </c>
      <c r="AK315">
        <v>0</v>
      </c>
      <c r="AL315">
        <v>0</v>
      </c>
      <c r="AM315">
        <v>0</v>
      </c>
    </row>
    <row r="316" spans="1:39" x14ac:dyDescent="0.25">
      <c r="A316" t="s">
        <v>601</v>
      </c>
      <c r="B316" t="s">
        <v>436</v>
      </c>
      <c r="C316" t="s">
        <v>255</v>
      </c>
      <c r="D316" t="s">
        <v>234</v>
      </c>
      <c r="E316" t="s">
        <v>20</v>
      </c>
      <c r="F316" t="s">
        <v>279</v>
      </c>
      <c r="G316" t="s">
        <v>269</v>
      </c>
      <c r="H316" t="s">
        <v>254</v>
      </c>
      <c r="I316" t="s">
        <v>242</v>
      </c>
      <c r="J316" t="s">
        <v>235</v>
      </c>
      <c r="K316" s="380">
        <v>36951</v>
      </c>
      <c r="L316" s="235">
        <v>-151970.79248580229</v>
      </c>
      <c r="M316" s="380">
        <v>36949</v>
      </c>
      <c r="N316" t="s">
        <v>21</v>
      </c>
      <c r="O316">
        <v>1.7</v>
      </c>
      <c r="P316">
        <v>0</v>
      </c>
      <c r="Q316">
        <v>0</v>
      </c>
      <c r="R316">
        <v>0</v>
      </c>
      <c r="S316">
        <v>0</v>
      </c>
      <c r="T316" t="s">
        <v>253</v>
      </c>
      <c r="U316" t="s">
        <v>7</v>
      </c>
      <c r="V316" t="s">
        <v>253</v>
      </c>
      <c r="W316" t="s">
        <v>132</v>
      </c>
      <c r="X316" t="s">
        <v>253</v>
      </c>
      <c r="Y316" t="s">
        <v>235</v>
      </c>
      <c r="Z316" t="s">
        <v>236</v>
      </c>
      <c r="AA316" t="s">
        <v>253</v>
      </c>
      <c r="AB316" t="s">
        <v>121</v>
      </c>
      <c r="AC316" s="235">
        <v>-500000</v>
      </c>
      <c r="AD316" s="235">
        <v>-39326.809170663706</v>
      </c>
      <c r="AE316">
        <v>0</v>
      </c>
      <c r="AF316">
        <v>0</v>
      </c>
      <c r="AG316">
        <v>0</v>
      </c>
      <c r="AH316" s="235">
        <v>-12813.247177281999</v>
      </c>
      <c r="AI316">
        <v>226</v>
      </c>
      <c r="AJ316" t="s">
        <v>256</v>
      </c>
      <c r="AK316">
        <v>0</v>
      </c>
      <c r="AL316">
        <v>0</v>
      </c>
      <c r="AM316">
        <v>0</v>
      </c>
    </row>
    <row r="317" spans="1:39" x14ac:dyDescent="0.25">
      <c r="A317" t="s">
        <v>601</v>
      </c>
      <c r="B317" t="s">
        <v>437</v>
      </c>
      <c r="C317" t="s">
        <v>255</v>
      </c>
      <c r="D317" t="s">
        <v>234</v>
      </c>
      <c r="E317" t="s">
        <v>20</v>
      </c>
      <c r="F317" t="s">
        <v>279</v>
      </c>
      <c r="G317" t="s">
        <v>269</v>
      </c>
      <c r="H317" t="s">
        <v>254</v>
      </c>
      <c r="I317" t="s">
        <v>242</v>
      </c>
      <c r="J317" t="s">
        <v>235</v>
      </c>
      <c r="K317" s="380">
        <v>36951</v>
      </c>
      <c r="L317" s="235">
        <v>157698.06655468969</v>
      </c>
      <c r="M317" s="380">
        <v>36949</v>
      </c>
      <c r="N317" t="s">
        <v>21</v>
      </c>
      <c r="O317">
        <v>2.5</v>
      </c>
      <c r="P317">
        <v>0</v>
      </c>
      <c r="Q317">
        <v>0</v>
      </c>
      <c r="R317">
        <v>0</v>
      </c>
      <c r="S317">
        <v>0</v>
      </c>
      <c r="T317" t="s">
        <v>253</v>
      </c>
      <c r="U317" t="s">
        <v>7</v>
      </c>
      <c r="V317" t="s">
        <v>253</v>
      </c>
      <c r="W317" t="s">
        <v>132</v>
      </c>
      <c r="X317" t="s">
        <v>253</v>
      </c>
      <c r="Y317" t="s">
        <v>235</v>
      </c>
      <c r="Z317" t="s">
        <v>236</v>
      </c>
      <c r="AA317" t="s">
        <v>253</v>
      </c>
      <c r="AB317" t="s">
        <v>121</v>
      </c>
      <c r="AC317" s="235">
        <v>1000000</v>
      </c>
      <c r="AD317" s="235">
        <v>57308.589381617843</v>
      </c>
      <c r="AE317">
        <v>0</v>
      </c>
      <c r="AF317">
        <v>0</v>
      </c>
      <c r="AG317">
        <v>0</v>
      </c>
      <c r="AH317" s="235">
        <v>15681.397873145906</v>
      </c>
      <c r="AI317">
        <v>226</v>
      </c>
      <c r="AJ317" t="s">
        <v>256</v>
      </c>
      <c r="AK317">
        <v>0</v>
      </c>
      <c r="AL317">
        <v>0</v>
      </c>
      <c r="AM317">
        <v>0</v>
      </c>
    </row>
    <row r="318" spans="1:39" x14ac:dyDescent="0.25">
      <c r="A318" t="s">
        <v>601</v>
      </c>
      <c r="B318" t="s">
        <v>438</v>
      </c>
      <c r="C318" t="s">
        <v>255</v>
      </c>
      <c r="D318" t="s">
        <v>234</v>
      </c>
      <c r="E318" t="s">
        <v>20</v>
      </c>
      <c r="F318" t="s">
        <v>279</v>
      </c>
      <c r="G318" t="s">
        <v>269</v>
      </c>
      <c r="H318" t="s">
        <v>254</v>
      </c>
      <c r="I318" t="s">
        <v>242</v>
      </c>
      <c r="J318" t="s">
        <v>235</v>
      </c>
      <c r="K318" s="380">
        <v>36951</v>
      </c>
      <c r="L318" s="235">
        <v>-907740.38129235059</v>
      </c>
      <c r="M318" s="380">
        <v>36949</v>
      </c>
      <c r="N318" t="s">
        <v>1</v>
      </c>
      <c r="O318">
        <v>1.7</v>
      </c>
      <c r="P318">
        <v>0</v>
      </c>
      <c r="Q318">
        <v>0</v>
      </c>
      <c r="R318">
        <v>0</v>
      </c>
      <c r="S318">
        <v>0</v>
      </c>
      <c r="T318" t="s">
        <v>253</v>
      </c>
      <c r="U318" t="s">
        <v>7</v>
      </c>
      <c r="V318" t="s">
        <v>253</v>
      </c>
      <c r="W318" t="s">
        <v>132</v>
      </c>
      <c r="X318" t="s">
        <v>253</v>
      </c>
      <c r="Y318" t="s">
        <v>235</v>
      </c>
      <c r="Z318" t="s">
        <v>236</v>
      </c>
      <c r="AA318" t="s">
        <v>253</v>
      </c>
      <c r="AB318" t="s">
        <v>121</v>
      </c>
      <c r="AC318" s="235">
        <v>-1000000</v>
      </c>
      <c r="AD318" s="235">
        <v>-78653.618341327296</v>
      </c>
      <c r="AE318">
        <v>0</v>
      </c>
      <c r="AF318">
        <v>0</v>
      </c>
      <c r="AG318">
        <v>0</v>
      </c>
      <c r="AH318" s="235">
        <v>32309.639552984503</v>
      </c>
      <c r="AI318">
        <v>226</v>
      </c>
      <c r="AJ318" t="s">
        <v>256</v>
      </c>
      <c r="AK318">
        <v>0</v>
      </c>
      <c r="AL318">
        <v>0</v>
      </c>
      <c r="AM318">
        <v>0</v>
      </c>
    </row>
    <row r="319" spans="1:39" x14ac:dyDescent="0.25">
      <c r="A319" t="s">
        <v>601</v>
      </c>
      <c r="B319" t="s">
        <v>438</v>
      </c>
      <c r="C319" t="s">
        <v>255</v>
      </c>
      <c r="D319" t="s">
        <v>234</v>
      </c>
      <c r="E319" t="s">
        <v>20</v>
      </c>
      <c r="F319" t="s">
        <v>279</v>
      </c>
      <c r="G319" t="s">
        <v>269</v>
      </c>
      <c r="H319" t="s">
        <v>254</v>
      </c>
      <c r="I319" t="s">
        <v>242</v>
      </c>
      <c r="J319" t="s">
        <v>235</v>
      </c>
      <c r="K319" s="380">
        <v>36923</v>
      </c>
      <c r="L319" s="235">
        <v>-477065.63290775719</v>
      </c>
      <c r="M319" s="380">
        <v>36921</v>
      </c>
      <c r="N319" t="s">
        <v>1</v>
      </c>
      <c r="O319">
        <v>1.7</v>
      </c>
      <c r="P319">
        <v>0</v>
      </c>
      <c r="Q319">
        <v>0</v>
      </c>
      <c r="R319">
        <v>0</v>
      </c>
      <c r="S319">
        <v>0</v>
      </c>
      <c r="T319" t="s">
        <v>253</v>
      </c>
      <c r="U319" t="s">
        <v>7</v>
      </c>
      <c r="V319" t="s">
        <v>253</v>
      </c>
      <c r="W319" t="s">
        <v>132</v>
      </c>
      <c r="X319" t="s">
        <v>253</v>
      </c>
      <c r="Y319" t="s">
        <v>235</v>
      </c>
      <c r="Z319" t="s">
        <v>236</v>
      </c>
      <c r="AA319" t="s">
        <v>253</v>
      </c>
      <c r="AB319" t="s">
        <v>121</v>
      </c>
      <c r="AC319" s="235">
        <v>-1000000</v>
      </c>
      <c r="AD319" s="235">
        <v>-84947.491666822694</v>
      </c>
      <c r="AE319">
        <v>0</v>
      </c>
      <c r="AF319">
        <v>0</v>
      </c>
      <c r="AG319">
        <v>0</v>
      </c>
      <c r="AH319" s="235">
        <v>20548.85943637701</v>
      </c>
      <c r="AI319">
        <v>226</v>
      </c>
      <c r="AJ319" t="s">
        <v>256</v>
      </c>
      <c r="AK319">
        <v>0</v>
      </c>
      <c r="AL319">
        <v>0</v>
      </c>
      <c r="AM319">
        <v>0</v>
      </c>
    </row>
    <row r="320" spans="1:39" x14ac:dyDescent="0.25">
      <c r="A320" t="s">
        <v>601</v>
      </c>
      <c r="B320" t="s">
        <v>438</v>
      </c>
      <c r="C320" t="s">
        <v>255</v>
      </c>
      <c r="D320" t="s">
        <v>234</v>
      </c>
      <c r="E320" t="s">
        <v>20</v>
      </c>
      <c r="F320" t="s">
        <v>279</v>
      </c>
      <c r="G320" t="s">
        <v>269</v>
      </c>
      <c r="H320" t="s">
        <v>254</v>
      </c>
      <c r="I320" t="s">
        <v>242</v>
      </c>
      <c r="J320" t="s">
        <v>235</v>
      </c>
      <c r="K320" s="380">
        <v>36892</v>
      </c>
      <c r="L320" s="235">
        <v>-414677.50155694818</v>
      </c>
      <c r="M320" s="380">
        <v>36888</v>
      </c>
      <c r="N320" t="s">
        <v>1</v>
      </c>
      <c r="O320">
        <v>1.7</v>
      </c>
      <c r="P320">
        <v>0</v>
      </c>
      <c r="Q320">
        <v>0</v>
      </c>
      <c r="R320">
        <v>0</v>
      </c>
      <c r="S320">
        <v>0</v>
      </c>
      <c r="T320" t="s">
        <v>253</v>
      </c>
      <c r="U320" t="s">
        <v>7</v>
      </c>
      <c r="V320" t="s">
        <v>253</v>
      </c>
      <c r="W320" t="s">
        <v>132</v>
      </c>
      <c r="X320" t="s">
        <v>253</v>
      </c>
      <c r="Y320" t="s">
        <v>235</v>
      </c>
      <c r="Z320" t="s">
        <v>236</v>
      </c>
      <c r="AA320" t="s">
        <v>253</v>
      </c>
      <c r="AB320" t="s">
        <v>121</v>
      </c>
      <c r="AC320" s="235">
        <v>-1000000</v>
      </c>
      <c r="AD320" s="235">
        <v>-76646.411582765635</v>
      </c>
      <c r="AE320">
        <v>0</v>
      </c>
      <c r="AF320">
        <v>0</v>
      </c>
      <c r="AG320">
        <v>0</v>
      </c>
      <c r="AH320" s="235">
        <v>16429.548247581173</v>
      </c>
      <c r="AI320">
        <v>226</v>
      </c>
      <c r="AJ320" t="s">
        <v>256</v>
      </c>
      <c r="AK320">
        <v>0</v>
      </c>
      <c r="AL320">
        <v>0</v>
      </c>
      <c r="AM320">
        <v>0</v>
      </c>
    </row>
    <row r="321" spans="1:39" x14ac:dyDescent="0.25">
      <c r="A321" t="s">
        <v>601</v>
      </c>
      <c r="B321" t="s">
        <v>439</v>
      </c>
      <c r="C321" t="s">
        <v>255</v>
      </c>
      <c r="D321" t="s">
        <v>234</v>
      </c>
      <c r="E321" t="s">
        <v>20</v>
      </c>
      <c r="F321" t="s">
        <v>279</v>
      </c>
      <c r="G321" t="s">
        <v>269</v>
      </c>
      <c r="H321" t="s">
        <v>254</v>
      </c>
      <c r="I321" t="s">
        <v>242</v>
      </c>
      <c r="J321" t="s">
        <v>235</v>
      </c>
      <c r="K321" s="380">
        <v>36951</v>
      </c>
      <c r="L321" s="235">
        <v>465509.91672981536</v>
      </c>
      <c r="M321" s="380">
        <v>36949</v>
      </c>
      <c r="N321" t="s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 t="s">
        <v>253</v>
      </c>
      <c r="U321" t="s">
        <v>7</v>
      </c>
      <c r="V321" t="s">
        <v>253</v>
      </c>
      <c r="W321" t="s">
        <v>132</v>
      </c>
      <c r="X321" t="s">
        <v>253</v>
      </c>
      <c r="Y321" t="s">
        <v>235</v>
      </c>
      <c r="Z321" t="s">
        <v>236</v>
      </c>
      <c r="AA321" t="s">
        <v>253</v>
      </c>
      <c r="AB321" t="s">
        <v>121</v>
      </c>
      <c r="AC321" s="235">
        <v>1000000</v>
      </c>
      <c r="AD321" s="235">
        <v>88936.820974534145</v>
      </c>
      <c r="AE321">
        <v>0</v>
      </c>
      <c r="AF321">
        <v>0</v>
      </c>
      <c r="AG321">
        <v>0</v>
      </c>
      <c r="AH321" s="235">
        <v>-20719.012783803046</v>
      </c>
      <c r="AI321">
        <v>226</v>
      </c>
      <c r="AJ321" t="s">
        <v>256</v>
      </c>
      <c r="AK321">
        <v>0</v>
      </c>
      <c r="AL321">
        <v>0</v>
      </c>
      <c r="AM321">
        <v>0</v>
      </c>
    </row>
    <row r="322" spans="1:39" x14ac:dyDescent="0.25">
      <c r="A322" t="s">
        <v>601</v>
      </c>
      <c r="B322" t="s">
        <v>439</v>
      </c>
      <c r="C322" t="s">
        <v>255</v>
      </c>
      <c r="D322" t="s">
        <v>234</v>
      </c>
      <c r="E322" t="s">
        <v>20</v>
      </c>
      <c r="F322" t="s">
        <v>279</v>
      </c>
      <c r="G322" t="s">
        <v>269</v>
      </c>
      <c r="H322" t="s">
        <v>254</v>
      </c>
      <c r="I322" t="s">
        <v>242</v>
      </c>
      <c r="J322" t="s">
        <v>235</v>
      </c>
      <c r="K322" s="380">
        <v>36923</v>
      </c>
      <c r="L322" s="235">
        <v>205076.00737213183</v>
      </c>
      <c r="M322" s="380">
        <v>36921</v>
      </c>
      <c r="N322" t="s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 t="s">
        <v>253</v>
      </c>
      <c r="U322" t="s">
        <v>7</v>
      </c>
      <c r="V322" t="s">
        <v>253</v>
      </c>
      <c r="W322" t="s">
        <v>132</v>
      </c>
      <c r="X322" t="s">
        <v>253</v>
      </c>
      <c r="Y322" t="s">
        <v>235</v>
      </c>
      <c r="Z322" t="s">
        <v>236</v>
      </c>
      <c r="AA322" t="s">
        <v>253</v>
      </c>
      <c r="AB322" t="s">
        <v>121</v>
      </c>
      <c r="AC322" s="235">
        <v>1000000</v>
      </c>
      <c r="AD322" s="235">
        <v>70642.50841014451</v>
      </c>
      <c r="AE322">
        <v>0</v>
      </c>
      <c r="AF322">
        <v>0</v>
      </c>
      <c r="AG322">
        <v>0</v>
      </c>
      <c r="AH322" s="235">
        <v>-10477.970219786133</v>
      </c>
      <c r="AI322">
        <v>226</v>
      </c>
      <c r="AJ322" t="s">
        <v>256</v>
      </c>
      <c r="AK322">
        <v>0</v>
      </c>
      <c r="AL322">
        <v>0</v>
      </c>
      <c r="AM322">
        <v>0</v>
      </c>
    </row>
    <row r="323" spans="1:39" x14ac:dyDescent="0.25">
      <c r="A323" t="s">
        <v>601</v>
      </c>
      <c r="B323" t="s">
        <v>439</v>
      </c>
      <c r="C323" t="s">
        <v>255</v>
      </c>
      <c r="D323" t="s">
        <v>234</v>
      </c>
      <c r="E323" t="s">
        <v>20</v>
      </c>
      <c r="F323" t="s">
        <v>279</v>
      </c>
      <c r="G323" t="s">
        <v>269</v>
      </c>
      <c r="H323" t="s">
        <v>254</v>
      </c>
      <c r="I323" t="s">
        <v>242</v>
      </c>
      <c r="J323" t="s">
        <v>235</v>
      </c>
      <c r="K323" s="380">
        <v>36892</v>
      </c>
      <c r="L323" s="235">
        <v>166821.60872180108</v>
      </c>
      <c r="M323" s="380">
        <v>36888</v>
      </c>
      <c r="N323" t="s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 t="s">
        <v>253</v>
      </c>
      <c r="U323" t="s">
        <v>7</v>
      </c>
      <c r="V323" t="s">
        <v>253</v>
      </c>
      <c r="W323" t="s">
        <v>132</v>
      </c>
      <c r="X323" t="s">
        <v>253</v>
      </c>
      <c r="Y323" t="s">
        <v>235</v>
      </c>
      <c r="Z323" t="s">
        <v>236</v>
      </c>
      <c r="AA323" t="s">
        <v>253</v>
      </c>
      <c r="AB323" t="s">
        <v>121</v>
      </c>
      <c r="AC323" s="235">
        <v>1000000</v>
      </c>
      <c r="AD323" s="235">
        <v>60333.663085058826</v>
      </c>
      <c r="AE323">
        <v>0</v>
      </c>
      <c r="AF323">
        <v>0</v>
      </c>
      <c r="AG323">
        <v>0</v>
      </c>
      <c r="AH323" s="235">
        <v>-7743.6614807977458</v>
      </c>
      <c r="AI323">
        <v>226</v>
      </c>
      <c r="AJ323" t="s">
        <v>256</v>
      </c>
      <c r="AK323">
        <v>0</v>
      </c>
      <c r="AL323">
        <v>0</v>
      </c>
      <c r="AM323">
        <v>0</v>
      </c>
    </row>
    <row r="324" spans="1:39" x14ac:dyDescent="0.25">
      <c r="A324" t="s">
        <v>601</v>
      </c>
      <c r="B324" t="s">
        <v>440</v>
      </c>
      <c r="C324" t="s">
        <v>255</v>
      </c>
      <c r="D324" t="s">
        <v>234</v>
      </c>
      <c r="E324" t="s">
        <v>20</v>
      </c>
      <c r="F324" t="s">
        <v>279</v>
      </c>
      <c r="G324" t="s">
        <v>269</v>
      </c>
      <c r="H324" t="s">
        <v>254</v>
      </c>
      <c r="I324" t="s">
        <v>242</v>
      </c>
      <c r="J324" t="s">
        <v>235</v>
      </c>
      <c r="K324" s="380">
        <v>36800</v>
      </c>
      <c r="L324" s="235">
        <v>-758.92388018139434</v>
      </c>
      <c r="M324" s="380">
        <v>36797</v>
      </c>
      <c r="N324" t="s">
        <v>21</v>
      </c>
      <c r="O324">
        <v>0.7</v>
      </c>
      <c r="P324">
        <v>0</v>
      </c>
      <c r="Q324">
        <v>0</v>
      </c>
      <c r="R324">
        <v>0</v>
      </c>
      <c r="S324">
        <v>0</v>
      </c>
      <c r="T324" t="s">
        <v>253</v>
      </c>
      <c r="U324" t="s">
        <v>7</v>
      </c>
      <c r="V324" t="s">
        <v>253</v>
      </c>
      <c r="W324" t="s">
        <v>132</v>
      </c>
      <c r="X324" t="s">
        <v>253</v>
      </c>
      <c r="Y324" t="s">
        <v>235</v>
      </c>
      <c r="Z324" t="s">
        <v>236</v>
      </c>
      <c r="AA324" t="s">
        <v>253</v>
      </c>
      <c r="AB324" t="s">
        <v>121</v>
      </c>
      <c r="AC324" s="235">
        <v>-1000000</v>
      </c>
      <c r="AD324" s="235">
        <v>-593.53102555814257</v>
      </c>
      <c r="AE324">
        <v>0</v>
      </c>
      <c r="AF324">
        <v>0</v>
      </c>
      <c r="AG324">
        <v>0</v>
      </c>
      <c r="AH324" s="235">
        <v>-36.033143783603578</v>
      </c>
      <c r="AI324">
        <v>226</v>
      </c>
      <c r="AJ324" t="s">
        <v>256</v>
      </c>
      <c r="AK324">
        <v>0</v>
      </c>
      <c r="AL324">
        <v>0</v>
      </c>
      <c r="AM324">
        <v>0</v>
      </c>
    </row>
    <row r="325" spans="1:39" x14ac:dyDescent="0.25">
      <c r="A325" t="s">
        <v>601</v>
      </c>
      <c r="B325" t="s">
        <v>441</v>
      </c>
      <c r="C325" t="s">
        <v>255</v>
      </c>
      <c r="D325" t="s">
        <v>234</v>
      </c>
      <c r="E325" t="s">
        <v>20</v>
      </c>
      <c r="F325" t="s">
        <v>279</v>
      </c>
      <c r="G325" t="s">
        <v>269</v>
      </c>
      <c r="H325" t="s">
        <v>254</v>
      </c>
      <c r="I325" t="s">
        <v>242</v>
      </c>
      <c r="J325" t="s">
        <v>235</v>
      </c>
      <c r="K325" s="380">
        <v>36800</v>
      </c>
      <c r="L325" s="235">
        <v>-758.92388018139434</v>
      </c>
      <c r="M325" s="380">
        <v>36797</v>
      </c>
      <c r="N325" t="s">
        <v>21</v>
      </c>
      <c r="O325">
        <v>0.7</v>
      </c>
      <c r="P325">
        <v>0</v>
      </c>
      <c r="Q325">
        <v>0</v>
      </c>
      <c r="R325">
        <v>0</v>
      </c>
      <c r="S325">
        <v>0</v>
      </c>
      <c r="T325" t="s">
        <v>253</v>
      </c>
      <c r="U325" t="s">
        <v>7</v>
      </c>
      <c r="V325" t="s">
        <v>253</v>
      </c>
      <c r="W325" t="s">
        <v>132</v>
      </c>
      <c r="X325" t="s">
        <v>253</v>
      </c>
      <c r="Y325" t="s">
        <v>235</v>
      </c>
      <c r="Z325" t="s">
        <v>236</v>
      </c>
      <c r="AA325" t="s">
        <v>253</v>
      </c>
      <c r="AB325" t="s">
        <v>121</v>
      </c>
      <c r="AC325" s="235">
        <v>-1000000</v>
      </c>
      <c r="AD325" s="235">
        <v>-593.53102555814257</v>
      </c>
      <c r="AE325">
        <v>0</v>
      </c>
      <c r="AF325">
        <v>0</v>
      </c>
      <c r="AG325">
        <v>0</v>
      </c>
      <c r="AH325" s="235">
        <v>-36.033143783603578</v>
      </c>
      <c r="AI325">
        <v>226</v>
      </c>
      <c r="AJ325" t="s">
        <v>256</v>
      </c>
      <c r="AK325">
        <v>0</v>
      </c>
      <c r="AL325">
        <v>0</v>
      </c>
      <c r="AM325">
        <v>0</v>
      </c>
    </row>
    <row r="326" spans="1:39" x14ac:dyDescent="0.25">
      <c r="A326" t="s">
        <v>601</v>
      </c>
      <c r="B326" t="s">
        <v>442</v>
      </c>
      <c r="C326" t="s">
        <v>255</v>
      </c>
      <c r="D326" t="s">
        <v>234</v>
      </c>
      <c r="E326" t="s">
        <v>20</v>
      </c>
      <c r="F326" t="s">
        <v>284</v>
      </c>
      <c r="G326" t="s">
        <v>269</v>
      </c>
      <c r="H326" t="s">
        <v>254</v>
      </c>
      <c r="I326" t="s">
        <v>242</v>
      </c>
      <c r="J326" t="s">
        <v>235</v>
      </c>
      <c r="K326" s="380">
        <v>36800</v>
      </c>
      <c r="L326" s="235">
        <v>115742.62395522294</v>
      </c>
      <c r="M326" s="380">
        <v>36797</v>
      </c>
      <c r="N326" t="s">
        <v>1</v>
      </c>
      <c r="O326">
        <v>0.4</v>
      </c>
      <c r="P326">
        <v>0</v>
      </c>
      <c r="Q326">
        <v>0</v>
      </c>
      <c r="R326">
        <v>0</v>
      </c>
      <c r="S326">
        <v>0</v>
      </c>
      <c r="T326" t="s">
        <v>253</v>
      </c>
      <c r="U326" t="s">
        <v>7</v>
      </c>
      <c r="V326" t="s">
        <v>253</v>
      </c>
      <c r="W326" t="s">
        <v>132</v>
      </c>
      <c r="X326" t="s">
        <v>253</v>
      </c>
      <c r="Y326" t="s">
        <v>235</v>
      </c>
      <c r="Z326" t="s">
        <v>236</v>
      </c>
      <c r="AA326" t="s">
        <v>253</v>
      </c>
      <c r="AB326" t="s">
        <v>121</v>
      </c>
      <c r="AC326" s="235">
        <v>3100000</v>
      </c>
      <c r="AD326" s="235">
        <v>20232.855105049442</v>
      </c>
      <c r="AE326">
        <v>0</v>
      </c>
      <c r="AF326">
        <v>0</v>
      </c>
      <c r="AG326">
        <v>0</v>
      </c>
      <c r="AH326" s="235">
        <v>1152.555475575311</v>
      </c>
      <c r="AI326">
        <v>226</v>
      </c>
      <c r="AJ326" t="s">
        <v>256</v>
      </c>
      <c r="AK326">
        <v>0</v>
      </c>
      <c r="AL326">
        <v>0</v>
      </c>
      <c r="AM326">
        <v>0</v>
      </c>
    </row>
    <row r="327" spans="1:39" x14ac:dyDescent="0.25">
      <c r="A327" t="s">
        <v>601</v>
      </c>
      <c r="B327" t="s">
        <v>443</v>
      </c>
      <c r="C327" t="s">
        <v>255</v>
      </c>
      <c r="D327" t="s">
        <v>234</v>
      </c>
      <c r="E327" t="s">
        <v>20</v>
      </c>
      <c r="F327" t="s">
        <v>279</v>
      </c>
      <c r="G327" t="s">
        <v>269</v>
      </c>
      <c r="H327" t="s">
        <v>254</v>
      </c>
      <c r="I327" t="s">
        <v>242</v>
      </c>
      <c r="J327" t="s">
        <v>235</v>
      </c>
      <c r="K327" s="380">
        <v>36831</v>
      </c>
      <c r="L327" s="235">
        <v>-53535.934044078196</v>
      </c>
      <c r="M327" s="380">
        <v>36829</v>
      </c>
      <c r="N327" t="s">
        <v>1</v>
      </c>
      <c r="O327">
        <v>0.4</v>
      </c>
      <c r="P327">
        <v>0</v>
      </c>
      <c r="Q327">
        <v>0</v>
      </c>
      <c r="R327">
        <v>0</v>
      </c>
      <c r="S327">
        <v>0</v>
      </c>
      <c r="T327" t="s">
        <v>253</v>
      </c>
      <c r="U327" t="s">
        <v>7</v>
      </c>
      <c r="V327" t="s">
        <v>253</v>
      </c>
      <c r="W327" t="s">
        <v>132</v>
      </c>
      <c r="X327" t="s">
        <v>253</v>
      </c>
      <c r="Y327" t="s">
        <v>235</v>
      </c>
      <c r="Z327" t="s">
        <v>236</v>
      </c>
      <c r="AA327" t="s">
        <v>253</v>
      </c>
      <c r="AB327" t="s">
        <v>121</v>
      </c>
      <c r="AC327" s="235">
        <v>-500000</v>
      </c>
      <c r="AD327" s="235">
        <v>-19539.20859338349</v>
      </c>
      <c r="AE327">
        <v>0</v>
      </c>
      <c r="AF327">
        <v>0</v>
      </c>
      <c r="AG327">
        <v>0</v>
      </c>
      <c r="AH327" s="235">
        <v>4273.7047159380236</v>
      </c>
      <c r="AI327">
        <v>226</v>
      </c>
      <c r="AJ327" t="s">
        <v>256</v>
      </c>
      <c r="AK327">
        <v>0</v>
      </c>
      <c r="AL327">
        <v>0</v>
      </c>
      <c r="AM327">
        <v>0</v>
      </c>
    </row>
    <row r="328" spans="1:39" x14ac:dyDescent="0.25">
      <c r="A328" t="s">
        <v>601</v>
      </c>
      <c r="B328" t="s">
        <v>444</v>
      </c>
      <c r="C328" t="s">
        <v>255</v>
      </c>
      <c r="D328" t="s">
        <v>234</v>
      </c>
      <c r="E328" t="s">
        <v>20</v>
      </c>
      <c r="F328" t="s">
        <v>434</v>
      </c>
      <c r="G328" t="s">
        <v>269</v>
      </c>
      <c r="H328" t="s">
        <v>254</v>
      </c>
      <c r="I328" t="s">
        <v>242</v>
      </c>
      <c r="J328" t="s">
        <v>235</v>
      </c>
      <c r="K328" s="380">
        <v>36831</v>
      </c>
      <c r="L328" s="235">
        <v>53535.934044078196</v>
      </c>
      <c r="M328" s="380">
        <v>36829</v>
      </c>
      <c r="N328" t="s">
        <v>1</v>
      </c>
      <c r="O328">
        <v>0.4</v>
      </c>
      <c r="P328">
        <v>0</v>
      </c>
      <c r="Q328">
        <v>0</v>
      </c>
      <c r="R328">
        <v>0</v>
      </c>
      <c r="S328">
        <v>0</v>
      </c>
      <c r="T328" t="s">
        <v>253</v>
      </c>
      <c r="U328" t="s">
        <v>7</v>
      </c>
      <c r="V328" t="s">
        <v>253</v>
      </c>
      <c r="W328" t="s">
        <v>132</v>
      </c>
      <c r="X328" t="s">
        <v>253</v>
      </c>
      <c r="Y328" t="s">
        <v>235</v>
      </c>
      <c r="Z328" t="s">
        <v>236</v>
      </c>
      <c r="AA328" t="s">
        <v>253</v>
      </c>
      <c r="AB328" t="s">
        <v>121</v>
      </c>
      <c r="AC328" s="235">
        <v>500000</v>
      </c>
      <c r="AD328" s="235">
        <v>19539.20859338349</v>
      </c>
      <c r="AE328">
        <v>0</v>
      </c>
      <c r="AF328">
        <v>0</v>
      </c>
      <c r="AG328">
        <v>0</v>
      </c>
      <c r="AH328" s="235">
        <v>-4273.7047159380236</v>
      </c>
      <c r="AI328">
        <v>226</v>
      </c>
      <c r="AJ328" t="s">
        <v>256</v>
      </c>
      <c r="AK328">
        <v>0</v>
      </c>
      <c r="AL328">
        <v>0</v>
      </c>
      <c r="AM328">
        <v>0</v>
      </c>
    </row>
    <row r="329" spans="1:39" x14ac:dyDescent="0.25">
      <c r="A329" t="s">
        <v>601</v>
      </c>
      <c r="B329" t="s">
        <v>445</v>
      </c>
      <c r="C329" t="s">
        <v>255</v>
      </c>
      <c r="D329" t="s">
        <v>234</v>
      </c>
      <c r="E329" t="s">
        <v>20</v>
      </c>
      <c r="F329" t="s">
        <v>279</v>
      </c>
      <c r="G329" t="s">
        <v>269</v>
      </c>
      <c r="H329" t="s">
        <v>254</v>
      </c>
      <c r="I329" t="s">
        <v>242</v>
      </c>
      <c r="J329" t="s">
        <v>235</v>
      </c>
      <c r="K329" s="380">
        <v>36800</v>
      </c>
      <c r="L329" s="235">
        <v>-470.53280571246449</v>
      </c>
      <c r="M329" s="380">
        <v>36797</v>
      </c>
      <c r="N329" t="s">
        <v>21</v>
      </c>
      <c r="O329">
        <v>0.7</v>
      </c>
      <c r="P329">
        <v>0</v>
      </c>
      <c r="Q329">
        <v>0</v>
      </c>
      <c r="R329">
        <v>0</v>
      </c>
      <c r="S329">
        <v>0</v>
      </c>
      <c r="T329" t="s">
        <v>253</v>
      </c>
      <c r="U329" t="s">
        <v>7</v>
      </c>
      <c r="V329" t="s">
        <v>253</v>
      </c>
      <c r="W329" t="s">
        <v>132</v>
      </c>
      <c r="X329" t="s">
        <v>253</v>
      </c>
      <c r="Y329" t="s">
        <v>235</v>
      </c>
      <c r="Z329" t="s">
        <v>236</v>
      </c>
      <c r="AA329" t="s">
        <v>253</v>
      </c>
      <c r="AB329" t="s">
        <v>121</v>
      </c>
      <c r="AC329" s="235">
        <v>-620000</v>
      </c>
      <c r="AD329" s="235">
        <v>-367.98923584604745</v>
      </c>
      <c r="AE329">
        <v>0</v>
      </c>
      <c r="AF329">
        <v>0</v>
      </c>
      <c r="AG329">
        <v>0</v>
      </c>
      <c r="AH329" s="235">
        <v>-22.340549145834245</v>
      </c>
      <c r="AI329">
        <v>226</v>
      </c>
      <c r="AJ329" t="s">
        <v>256</v>
      </c>
      <c r="AK329">
        <v>0</v>
      </c>
      <c r="AL329">
        <v>0</v>
      </c>
      <c r="AM329">
        <v>0</v>
      </c>
    </row>
    <row r="330" spans="1:39" x14ac:dyDescent="0.25">
      <c r="A330" t="s">
        <v>601</v>
      </c>
      <c r="B330" t="s">
        <v>447</v>
      </c>
      <c r="C330" t="s">
        <v>255</v>
      </c>
      <c r="D330" t="s">
        <v>234</v>
      </c>
      <c r="E330" t="s">
        <v>20</v>
      </c>
      <c r="F330" t="s">
        <v>279</v>
      </c>
      <c r="G330" t="s">
        <v>269</v>
      </c>
      <c r="H330" t="s">
        <v>254</v>
      </c>
      <c r="I330" t="s">
        <v>242</v>
      </c>
      <c r="J330" t="s">
        <v>235</v>
      </c>
      <c r="K330" s="380">
        <v>36951</v>
      </c>
      <c r="L330" s="235">
        <v>-11320.757719679927</v>
      </c>
      <c r="M330" s="380">
        <v>36949</v>
      </c>
      <c r="N330" t="s">
        <v>21</v>
      </c>
      <c r="O330">
        <v>5</v>
      </c>
      <c r="P330">
        <v>0</v>
      </c>
      <c r="Q330">
        <v>0</v>
      </c>
      <c r="R330">
        <v>0</v>
      </c>
      <c r="S330">
        <v>0</v>
      </c>
      <c r="T330" t="s">
        <v>253</v>
      </c>
      <c r="U330" t="s">
        <v>7</v>
      </c>
      <c r="V330" t="s">
        <v>253</v>
      </c>
      <c r="W330" t="s">
        <v>132</v>
      </c>
      <c r="X330" t="s">
        <v>253</v>
      </c>
      <c r="Y330" t="s">
        <v>235</v>
      </c>
      <c r="Z330" t="s">
        <v>236</v>
      </c>
      <c r="AA330" t="s">
        <v>253</v>
      </c>
      <c r="AB330" t="s">
        <v>121</v>
      </c>
      <c r="AC330" s="235">
        <v>-500000</v>
      </c>
      <c r="AD330" s="235">
        <v>-7288.8633343796882</v>
      </c>
      <c r="AE330">
        <v>0</v>
      </c>
      <c r="AF330">
        <v>0</v>
      </c>
      <c r="AG330">
        <v>0</v>
      </c>
      <c r="AH330" s="235">
        <v>-1528.4775433065497</v>
      </c>
      <c r="AI330">
        <v>226</v>
      </c>
      <c r="AJ330" t="s">
        <v>256</v>
      </c>
      <c r="AK330">
        <v>0</v>
      </c>
      <c r="AL330">
        <v>0</v>
      </c>
      <c r="AM330">
        <v>0</v>
      </c>
    </row>
    <row r="331" spans="1:39" x14ac:dyDescent="0.25">
      <c r="A331" t="s">
        <v>601</v>
      </c>
      <c r="B331" t="s">
        <v>447</v>
      </c>
      <c r="C331" t="s">
        <v>255</v>
      </c>
      <c r="D331" t="s">
        <v>234</v>
      </c>
      <c r="E331" t="s">
        <v>20</v>
      </c>
      <c r="F331" t="s">
        <v>279</v>
      </c>
      <c r="G331" t="s">
        <v>269</v>
      </c>
      <c r="H331" t="s">
        <v>254</v>
      </c>
      <c r="I331" t="s">
        <v>242</v>
      </c>
      <c r="J331" t="s">
        <v>235</v>
      </c>
      <c r="K331" s="380">
        <v>36923</v>
      </c>
      <c r="L331" s="235">
        <v>-62428.719616335351</v>
      </c>
      <c r="M331" s="380">
        <v>36921</v>
      </c>
      <c r="N331" t="s">
        <v>21</v>
      </c>
      <c r="O331">
        <v>5</v>
      </c>
      <c r="P331">
        <v>0</v>
      </c>
      <c r="Q331">
        <v>0</v>
      </c>
      <c r="R331">
        <v>0</v>
      </c>
      <c r="S331">
        <v>0</v>
      </c>
      <c r="T331" t="s">
        <v>253</v>
      </c>
      <c r="U331" t="s">
        <v>7</v>
      </c>
      <c r="V331" t="s">
        <v>253</v>
      </c>
      <c r="W331" t="s">
        <v>132</v>
      </c>
      <c r="X331" t="s">
        <v>253</v>
      </c>
      <c r="Y331" t="s">
        <v>235</v>
      </c>
      <c r="Z331" t="s">
        <v>236</v>
      </c>
      <c r="AA331" t="s">
        <v>253</v>
      </c>
      <c r="AB331" t="s">
        <v>121</v>
      </c>
      <c r="AC331" s="235">
        <v>-500000</v>
      </c>
      <c r="AD331" s="235">
        <v>-20082.862480974472</v>
      </c>
      <c r="AE331">
        <v>0</v>
      </c>
      <c r="AF331">
        <v>0</v>
      </c>
      <c r="AG331">
        <v>0</v>
      </c>
      <c r="AH331" s="235">
        <v>-5834.9899983476716</v>
      </c>
      <c r="AI331">
        <v>226</v>
      </c>
      <c r="AJ331" t="s">
        <v>256</v>
      </c>
      <c r="AK331">
        <v>0</v>
      </c>
      <c r="AL331">
        <v>0</v>
      </c>
      <c r="AM331">
        <v>0</v>
      </c>
    </row>
    <row r="332" spans="1:39" x14ac:dyDescent="0.25">
      <c r="A332" t="s">
        <v>601</v>
      </c>
      <c r="B332" t="s">
        <v>447</v>
      </c>
      <c r="C332" t="s">
        <v>255</v>
      </c>
      <c r="D332" t="s">
        <v>234</v>
      </c>
      <c r="E332" t="s">
        <v>20</v>
      </c>
      <c r="F332" t="s">
        <v>279</v>
      </c>
      <c r="G332" t="s">
        <v>269</v>
      </c>
      <c r="H332" t="s">
        <v>254</v>
      </c>
      <c r="I332" t="s">
        <v>242</v>
      </c>
      <c r="J332" t="s">
        <v>235</v>
      </c>
      <c r="K332" s="380">
        <v>36892</v>
      </c>
      <c r="L332" s="235">
        <v>-53134.954922553625</v>
      </c>
      <c r="M332" s="380">
        <v>36888</v>
      </c>
      <c r="N332" t="s">
        <v>21</v>
      </c>
      <c r="O332">
        <v>5</v>
      </c>
      <c r="P332">
        <v>0</v>
      </c>
      <c r="Q332">
        <v>0</v>
      </c>
      <c r="R332">
        <v>0</v>
      </c>
      <c r="S332">
        <v>0</v>
      </c>
      <c r="T332" t="s">
        <v>253</v>
      </c>
      <c r="U332" t="s">
        <v>7</v>
      </c>
      <c r="V332" t="s">
        <v>253</v>
      </c>
      <c r="W332" t="s">
        <v>132</v>
      </c>
      <c r="X332" t="s">
        <v>253</v>
      </c>
      <c r="Y332" t="s">
        <v>235</v>
      </c>
      <c r="Z332" t="s">
        <v>236</v>
      </c>
      <c r="AA332" t="s">
        <v>253</v>
      </c>
      <c r="AB332" t="s">
        <v>121</v>
      </c>
      <c r="AC332" s="235">
        <v>-500000</v>
      </c>
      <c r="AD332" s="235">
        <v>-17238.7530669763</v>
      </c>
      <c r="AE332">
        <v>0</v>
      </c>
      <c r="AF332">
        <v>0</v>
      </c>
      <c r="AG332">
        <v>0</v>
      </c>
      <c r="AH332" s="235">
        <v>-4623.9531420780986</v>
      </c>
      <c r="AI332">
        <v>226</v>
      </c>
      <c r="AJ332" t="s">
        <v>256</v>
      </c>
      <c r="AK332">
        <v>0</v>
      </c>
      <c r="AL332">
        <v>0</v>
      </c>
      <c r="AM332">
        <v>0</v>
      </c>
    </row>
    <row r="333" spans="1:39" x14ac:dyDescent="0.25">
      <c r="A333" t="s">
        <v>601</v>
      </c>
      <c r="B333" t="s">
        <v>447</v>
      </c>
      <c r="C333" t="s">
        <v>255</v>
      </c>
      <c r="D333" t="s">
        <v>234</v>
      </c>
      <c r="E333" t="s">
        <v>20</v>
      </c>
      <c r="F333" t="s">
        <v>279</v>
      </c>
      <c r="G333" t="s">
        <v>269</v>
      </c>
      <c r="H333" t="s">
        <v>254</v>
      </c>
      <c r="I333" t="s">
        <v>242</v>
      </c>
      <c r="J333" t="s">
        <v>235</v>
      </c>
      <c r="K333" s="380">
        <v>36861</v>
      </c>
      <c r="L333" s="235">
        <v>-13094.265073635415</v>
      </c>
      <c r="M333" s="380">
        <v>36859</v>
      </c>
      <c r="N333" t="s">
        <v>21</v>
      </c>
      <c r="O333">
        <v>5</v>
      </c>
      <c r="P333">
        <v>0</v>
      </c>
      <c r="Q333">
        <v>0</v>
      </c>
      <c r="R333">
        <v>0</v>
      </c>
      <c r="S333">
        <v>0</v>
      </c>
      <c r="T333" t="s">
        <v>253</v>
      </c>
      <c r="U333" t="s">
        <v>7</v>
      </c>
      <c r="V333" t="s">
        <v>253</v>
      </c>
      <c r="W333" t="s">
        <v>132</v>
      </c>
      <c r="X333" t="s">
        <v>253</v>
      </c>
      <c r="Y333" t="s">
        <v>235</v>
      </c>
      <c r="Z333" t="s">
        <v>236</v>
      </c>
      <c r="AA333" t="s">
        <v>253</v>
      </c>
      <c r="AB333" t="s">
        <v>121</v>
      </c>
      <c r="AC333" s="235">
        <v>-500000</v>
      </c>
      <c r="AD333" s="235">
        <v>-6824.5710552756937</v>
      </c>
      <c r="AE333">
        <v>0</v>
      </c>
      <c r="AF333">
        <v>0</v>
      </c>
      <c r="AG333">
        <v>0</v>
      </c>
      <c r="AH333" s="235">
        <v>-1385.4097567419158</v>
      </c>
      <c r="AI333">
        <v>226</v>
      </c>
      <c r="AJ333" t="s">
        <v>256</v>
      </c>
      <c r="AK333">
        <v>0</v>
      </c>
      <c r="AL333">
        <v>0</v>
      </c>
      <c r="AM333">
        <v>0</v>
      </c>
    </row>
    <row r="334" spans="1:39" x14ac:dyDescent="0.25">
      <c r="A334" t="s">
        <v>601</v>
      </c>
      <c r="B334" t="s">
        <v>447</v>
      </c>
      <c r="C334" t="s">
        <v>255</v>
      </c>
      <c r="D334" t="s">
        <v>234</v>
      </c>
      <c r="E334" t="s">
        <v>20</v>
      </c>
      <c r="F334" t="s">
        <v>279</v>
      </c>
      <c r="G334" t="s">
        <v>269</v>
      </c>
      <c r="H334" t="s">
        <v>254</v>
      </c>
      <c r="I334" t="s">
        <v>242</v>
      </c>
      <c r="J334" t="s">
        <v>235</v>
      </c>
      <c r="K334" s="380">
        <v>36831</v>
      </c>
      <c r="L334" s="235">
        <v>-10.474166573813836</v>
      </c>
      <c r="M334" s="380">
        <v>36829</v>
      </c>
      <c r="N334" t="s">
        <v>21</v>
      </c>
      <c r="O334">
        <v>5</v>
      </c>
      <c r="P334">
        <v>0</v>
      </c>
      <c r="Q334">
        <v>0</v>
      </c>
      <c r="R334">
        <v>0</v>
      </c>
      <c r="S334">
        <v>0</v>
      </c>
      <c r="T334" t="s">
        <v>253</v>
      </c>
      <c r="U334" t="s">
        <v>7</v>
      </c>
      <c r="V334" t="s">
        <v>253</v>
      </c>
      <c r="W334" t="s">
        <v>132</v>
      </c>
      <c r="X334" t="s">
        <v>253</v>
      </c>
      <c r="Y334" t="s">
        <v>235</v>
      </c>
      <c r="Z334" t="s">
        <v>236</v>
      </c>
      <c r="AA334" t="s">
        <v>253</v>
      </c>
      <c r="AB334" t="s">
        <v>121</v>
      </c>
      <c r="AC334" s="235">
        <v>-500000</v>
      </c>
      <c r="AD334" s="235">
        <v>-17.236830873004898</v>
      </c>
      <c r="AE334">
        <v>0</v>
      </c>
      <c r="AF334">
        <v>0</v>
      </c>
      <c r="AG334">
        <v>0</v>
      </c>
      <c r="AH334" s="235">
        <v>-3.5544635121116759</v>
      </c>
      <c r="AI334">
        <v>226</v>
      </c>
      <c r="AJ334" t="s">
        <v>256</v>
      </c>
      <c r="AK334">
        <v>0</v>
      </c>
      <c r="AL334">
        <v>0</v>
      </c>
      <c r="AM334">
        <v>0</v>
      </c>
    </row>
    <row r="335" spans="1:39" x14ac:dyDescent="0.25">
      <c r="A335" t="s">
        <v>601</v>
      </c>
      <c r="B335" t="s">
        <v>448</v>
      </c>
      <c r="C335" t="s">
        <v>255</v>
      </c>
      <c r="D335" t="s">
        <v>234</v>
      </c>
      <c r="E335" t="s">
        <v>20</v>
      </c>
      <c r="F335" t="s">
        <v>279</v>
      </c>
      <c r="G335" t="s">
        <v>269</v>
      </c>
      <c r="H335" t="s">
        <v>254</v>
      </c>
      <c r="I335" t="s">
        <v>242</v>
      </c>
      <c r="J335" t="s">
        <v>235</v>
      </c>
      <c r="K335" s="380">
        <v>36982</v>
      </c>
      <c r="L335" s="235">
        <v>-80776.232848360611</v>
      </c>
      <c r="M335" s="380">
        <v>36979</v>
      </c>
      <c r="N335" t="s">
        <v>1</v>
      </c>
      <c r="O335">
        <v>0.4</v>
      </c>
      <c r="P335">
        <v>0</v>
      </c>
      <c r="Q335">
        <v>0</v>
      </c>
      <c r="R335">
        <v>0</v>
      </c>
      <c r="S335">
        <v>0</v>
      </c>
      <c r="T335" t="s">
        <v>253</v>
      </c>
      <c r="U335" t="s">
        <v>7</v>
      </c>
      <c r="V335" t="s">
        <v>253</v>
      </c>
      <c r="W335" t="s">
        <v>132</v>
      </c>
      <c r="X335" t="s">
        <v>253</v>
      </c>
      <c r="Y335" t="s">
        <v>235</v>
      </c>
      <c r="Z335" t="s">
        <v>236</v>
      </c>
      <c r="AA335" t="s">
        <v>253</v>
      </c>
      <c r="AB335" t="s">
        <v>121</v>
      </c>
      <c r="AC335" s="235">
        <v>-1000000</v>
      </c>
      <c r="AD335" s="235">
        <v>-25230.051973363035</v>
      </c>
      <c r="AE335">
        <v>0</v>
      </c>
      <c r="AF335">
        <v>0</v>
      </c>
      <c r="AG335">
        <v>0</v>
      </c>
      <c r="AH335" s="235">
        <v>-1202.3541719008499</v>
      </c>
      <c r="AI335">
        <v>226</v>
      </c>
      <c r="AJ335" t="s">
        <v>256</v>
      </c>
      <c r="AK335">
        <v>0</v>
      </c>
      <c r="AL335">
        <v>0</v>
      </c>
      <c r="AM335">
        <v>0</v>
      </c>
    </row>
    <row r="336" spans="1:39" x14ac:dyDescent="0.25">
      <c r="A336" t="s">
        <v>601</v>
      </c>
      <c r="B336" t="s">
        <v>449</v>
      </c>
      <c r="C336" t="s">
        <v>255</v>
      </c>
      <c r="D336" t="s">
        <v>234</v>
      </c>
      <c r="E336" t="s">
        <v>20</v>
      </c>
      <c r="F336" t="s">
        <v>279</v>
      </c>
      <c r="G336" t="s">
        <v>269</v>
      </c>
      <c r="H336" t="s">
        <v>254</v>
      </c>
      <c r="I336" t="s">
        <v>242</v>
      </c>
      <c r="J336" t="s">
        <v>235</v>
      </c>
      <c r="K336" s="380">
        <v>36982</v>
      </c>
      <c r="L336" s="235">
        <v>-74548.084161956373</v>
      </c>
      <c r="M336" s="380">
        <v>36979</v>
      </c>
      <c r="N336" t="s">
        <v>21</v>
      </c>
      <c r="O336">
        <v>0.7</v>
      </c>
      <c r="P336">
        <v>0</v>
      </c>
      <c r="Q336">
        <v>0</v>
      </c>
      <c r="R336">
        <v>0</v>
      </c>
      <c r="S336">
        <v>0</v>
      </c>
      <c r="T336" t="s">
        <v>253</v>
      </c>
      <c r="U336" t="s">
        <v>7</v>
      </c>
      <c r="V336" t="s">
        <v>253</v>
      </c>
      <c r="W336" t="s">
        <v>132</v>
      </c>
      <c r="X336" t="s">
        <v>253</v>
      </c>
      <c r="Y336" t="s">
        <v>235</v>
      </c>
      <c r="Z336" t="s">
        <v>236</v>
      </c>
      <c r="AA336" t="s">
        <v>253</v>
      </c>
      <c r="AB336" t="s">
        <v>121</v>
      </c>
      <c r="AC336" s="235">
        <v>-1000000</v>
      </c>
      <c r="AD336" s="235">
        <v>-21902.485096309392</v>
      </c>
      <c r="AE336">
        <v>0</v>
      </c>
      <c r="AF336">
        <v>0</v>
      </c>
      <c r="AG336">
        <v>0</v>
      </c>
      <c r="AH336" s="235">
        <v>-1042.2490870821493</v>
      </c>
      <c r="AI336">
        <v>226</v>
      </c>
      <c r="AJ336" t="s">
        <v>256</v>
      </c>
      <c r="AK336">
        <v>0</v>
      </c>
      <c r="AL336">
        <v>0</v>
      </c>
      <c r="AM336">
        <v>0</v>
      </c>
    </row>
    <row r="337" spans="1:39" x14ac:dyDescent="0.25">
      <c r="A337" t="s">
        <v>601</v>
      </c>
      <c r="B337" t="s">
        <v>450</v>
      </c>
      <c r="C337" t="s">
        <v>255</v>
      </c>
      <c r="D337" t="s">
        <v>234</v>
      </c>
      <c r="E337" t="s">
        <v>20</v>
      </c>
      <c r="F337" t="s">
        <v>279</v>
      </c>
      <c r="G337" t="s">
        <v>269</v>
      </c>
      <c r="H337" t="s">
        <v>254</v>
      </c>
      <c r="I337" t="s">
        <v>242</v>
      </c>
      <c r="J337" t="s">
        <v>235</v>
      </c>
      <c r="K337" s="380">
        <v>36951</v>
      </c>
      <c r="L337" s="235">
        <v>-164993.61861655075</v>
      </c>
      <c r="M337" s="380">
        <v>36949</v>
      </c>
      <c r="N337" t="s">
        <v>21</v>
      </c>
      <c r="O337">
        <v>1.6</v>
      </c>
      <c r="P337">
        <v>0</v>
      </c>
      <c r="Q337">
        <v>0</v>
      </c>
      <c r="R337">
        <v>0</v>
      </c>
      <c r="S337">
        <v>0</v>
      </c>
      <c r="T337" t="s">
        <v>253</v>
      </c>
      <c r="U337" t="s">
        <v>7</v>
      </c>
      <c r="V337" t="s">
        <v>253</v>
      </c>
      <c r="W337" t="s">
        <v>132</v>
      </c>
      <c r="X337" t="s">
        <v>253</v>
      </c>
      <c r="Y337" t="s">
        <v>235</v>
      </c>
      <c r="Z337" t="s">
        <v>236</v>
      </c>
      <c r="AA337" t="s">
        <v>253</v>
      </c>
      <c r="AB337" t="s">
        <v>121</v>
      </c>
      <c r="AC337" s="235">
        <v>-500000</v>
      </c>
      <c r="AD337" s="235">
        <v>-40486.301902801148</v>
      </c>
      <c r="AE337">
        <v>0</v>
      </c>
      <c r="AF337">
        <v>0</v>
      </c>
      <c r="AG337">
        <v>0</v>
      </c>
      <c r="AH337" s="235">
        <v>-13572.421626797965</v>
      </c>
      <c r="AI337">
        <v>226</v>
      </c>
      <c r="AJ337" t="s">
        <v>256</v>
      </c>
      <c r="AK337">
        <v>0</v>
      </c>
      <c r="AL337">
        <v>0</v>
      </c>
      <c r="AM337">
        <v>0</v>
      </c>
    </row>
    <row r="338" spans="1:39" x14ac:dyDescent="0.25">
      <c r="A338" t="s">
        <v>601</v>
      </c>
      <c r="B338" t="s">
        <v>450</v>
      </c>
      <c r="C338" t="s">
        <v>255</v>
      </c>
      <c r="D338" t="s">
        <v>234</v>
      </c>
      <c r="E338" t="s">
        <v>20</v>
      </c>
      <c r="F338" t="s">
        <v>279</v>
      </c>
      <c r="G338" t="s">
        <v>269</v>
      </c>
      <c r="H338" t="s">
        <v>254</v>
      </c>
      <c r="I338" t="s">
        <v>242</v>
      </c>
      <c r="J338" t="s">
        <v>235</v>
      </c>
      <c r="K338" s="380">
        <v>36923</v>
      </c>
      <c r="L338" s="235">
        <v>-453075.2502088857</v>
      </c>
      <c r="M338" s="380">
        <v>36921</v>
      </c>
      <c r="N338" t="s">
        <v>21</v>
      </c>
      <c r="O338">
        <v>1.6</v>
      </c>
      <c r="P338">
        <v>0</v>
      </c>
      <c r="Q338">
        <v>0</v>
      </c>
      <c r="R338">
        <v>0</v>
      </c>
      <c r="S338">
        <v>0</v>
      </c>
      <c r="T338" t="s">
        <v>253</v>
      </c>
      <c r="U338" t="s">
        <v>7</v>
      </c>
      <c r="V338" t="s">
        <v>253</v>
      </c>
      <c r="W338" t="s">
        <v>132</v>
      </c>
      <c r="X338" t="s">
        <v>253</v>
      </c>
      <c r="Y338" t="s">
        <v>235</v>
      </c>
      <c r="Z338" t="s">
        <v>236</v>
      </c>
      <c r="AA338" t="s">
        <v>253</v>
      </c>
      <c r="AB338" t="s">
        <v>121</v>
      </c>
      <c r="AC338" s="235">
        <v>-500000</v>
      </c>
      <c r="AD338" s="235">
        <v>-41984.319025358185</v>
      </c>
      <c r="AE338">
        <v>0</v>
      </c>
      <c r="AF338">
        <v>0</v>
      </c>
      <c r="AG338">
        <v>0</v>
      </c>
      <c r="AH338" s="235">
        <v>-24464.730833474314</v>
      </c>
      <c r="AI338">
        <v>226</v>
      </c>
      <c r="AJ338" t="s">
        <v>256</v>
      </c>
      <c r="AK338">
        <v>0</v>
      </c>
      <c r="AL338">
        <v>0</v>
      </c>
      <c r="AM338">
        <v>0</v>
      </c>
    </row>
    <row r="339" spans="1:39" x14ac:dyDescent="0.25">
      <c r="A339" t="s">
        <v>601</v>
      </c>
      <c r="B339" t="s">
        <v>450</v>
      </c>
      <c r="C339" t="s">
        <v>255</v>
      </c>
      <c r="D339" t="s">
        <v>234</v>
      </c>
      <c r="E339" t="s">
        <v>20</v>
      </c>
      <c r="F339" t="s">
        <v>279</v>
      </c>
      <c r="G339" t="s">
        <v>269</v>
      </c>
      <c r="H339" t="s">
        <v>254</v>
      </c>
      <c r="I339" t="s">
        <v>242</v>
      </c>
      <c r="J339" t="s">
        <v>235</v>
      </c>
      <c r="K339" s="380">
        <v>36892</v>
      </c>
      <c r="L339" s="235">
        <v>-464051.02821278502</v>
      </c>
      <c r="M339" s="380">
        <v>36888</v>
      </c>
      <c r="N339" t="s">
        <v>21</v>
      </c>
      <c r="O339">
        <v>1.6</v>
      </c>
      <c r="P339">
        <v>0</v>
      </c>
      <c r="Q339">
        <v>0</v>
      </c>
      <c r="R339">
        <v>0</v>
      </c>
      <c r="S339">
        <v>0</v>
      </c>
      <c r="T339" t="s">
        <v>253</v>
      </c>
      <c r="U339" t="s">
        <v>7</v>
      </c>
      <c r="V339" t="s">
        <v>253</v>
      </c>
      <c r="W339" t="s">
        <v>132</v>
      </c>
      <c r="X339" t="s">
        <v>253</v>
      </c>
      <c r="Y339" t="s">
        <v>235</v>
      </c>
      <c r="Z339" t="s">
        <v>236</v>
      </c>
      <c r="AA339" t="s">
        <v>253</v>
      </c>
      <c r="AB339" t="s">
        <v>121</v>
      </c>
      <c r="AC339" s="235">
        <v>-500000</v>
      </c>
      <c r="AD339" s="235">
        <v>-37672.529627170414</v>
      </c>
      <c r="AE339">
        <v>0</v>
      </c>
      <c r="AF339">
        <v>0</v>
      </c>
      <c r="AG339">
        <v>0</v>
      </c>
      <c r="AH339" s="235">
        <v>-21769.108398798446</v>
      </c>
      <c r="AI339">
        <v>226</v>
      </c>
      <c r="AJ339" t="s">
        <v>256</v>
      </c>
      <c r="AK339">
        <v>0</v>
      </c>
      <c r="AL339">
        <v>0</v>
      </c>
      <c r="AM339">
        <v>0</v>
      </c>
    </row>
    <row r="340" spans="1:39" x14ac:dyDescent="0.25">
      <c r="A340" t="s">
        <v>601</v>
      </c>
      <c r="B340" t="s">
        <v>450</v>
      </c>
      <c r="C340" t="s">
        <v>255</v>
      </c>
      <c r="D340" t="s">
        <v>234</v>
      </c>
      <c r="E340" t="s">
        <v>20</v>
      </c>
      <c r="F340" t="s">
        <v>279</v>
      </c>
      <c r="G340" t="s">
        <v>269</v>
      </c>
      <c r="H340" t="s">
        <v>254</v>
      </c>
      <c r="I340" t="s">
        <v>242</v>
      </c>
      <c r="J340" t="s">
        <v>235</v>
      </c>
      <c r="K340" s="380">
        <v>36861</v>
      </c>
      <c r="L340" s="235">
        <v>-267671.47544712661</v>
      </c>
      <c r="M340" s="380">
        <v>36859</v>
      </c>
      <c r="N340" t="s">
        <v>21</v>
      </c>
      <c r="O340">
        <v>1.6</v>
      </c>
      <c r="P340">
        <v>0</v>
      </c>
      <c r="Q340">
        <v>0</v>
      </c>
      <c r="R340">
        <v>0</v>
      </c>
      <c r="S340">
        <v>0</v>
      </c>
      <c r="T340" t="s">
        <v>253</v>
      </c>
      <c r="U340" t="s">
        <v>7</v>
      </c>
      <c r="V340" t="s">
        <v>253</v>
      </c>
      <c r="W340" t="s">
        <v>132</v>
      </c>
      <c r="X340" t="s">
        <v>253</v>
      </c>
      <c r="Y340" t="s">
        <v>235</v>
      </c>
      <c r="Z340" t="s">
        <v>236</v>
      </c>
      <c r="AA340" t="s">
        <v>253</v>
      </c>
      <c r="AB340" t="s">
        <v>121</v>
      </c>
      <c r="AC340" s="235">
        <v>-500000</v>
      </c>
      <c r="AD340" s="235">
        <v>-35401.201423718681</v>
      </c>
      <c r="AE340">
        <v>0</v>
      </c>
      <c r="AF340">
        <v>0</v>
      </c>
      <c r="AG340">
        <v>0</v>
      </c>
      <c r="AH340" s="235">
        <v>-13921.851269582665</v>
      </c>
      <c r="AI340">
        <v>226</v>
      </c>
      <c r="AJ340" t="s">
        <v>256</v>
      </c>
      <c r="AK340">
        <v>0</v>
      </c>
      <c r="AL340">
        <v>0</v>
      </c>
      <c r="AM340">
        <v>0</v>
      </c>
    </row>
    <row r="341" spans="1:39" x14ac:dyDescent="0.25">
      <c r="A341" t="s">
        <v>601</v>
      </c>
      <c r="B341" t="s">
        <v>450</v>
      </c>
      <c r="C341" t="s">
        <v>255</v>
      </c>
      <c r="D341" t="s">
        <v>234</v>
      </c>
      <c r="E341" t="s">
        <v>20</v>
      </c>
      <c r="F341" t="s">
        <v>279</v>
      </c>
      <c r="G341" t="s">
        <v>269</v>
      </c>
      <c r="H341" t="s">
        <v>254</v>
      </c>
      <c r="I341" t="s">
        <v>242</v>
      </c>
      <c r="J341" t="s">
        <v>235</v>
      </c>
      <c r="K341" s="380">
        <v>36831</v>
      </c>
      <c r="L341" s="235">
        <v>-24777.477296877751</v>
      </c>
      <c r="M341" s="380">
        <v>36829</v>
      </c>
      <c r="N341" t="s">
        <v>21</v>
      </c>
      <c r="O341">
        <v>1.6</v>
      </c>
      <c r="P341">
        <v>0</v>
      </c>
      <c r="Q341">
        <v>0</v>
      </c>
      <c r="R341">
        <v>0</v>
      </c>
      <c r="S341">
        <v>0</v>
      </c>
      <c r="T341" t="s">
        <v>253</v>
      </c>
      <c r="U341" t="s">
        <v>7</v>
      </c>
      <c r="V341" t="s">
        <v>253</v>
      </c>
      <c r="W341" t="s">
        <v>132</v>
      </c>
      <c r="X341" t="s">
        <v>253</v>
      </c>
      <c r="Y341" t="s">
        <v>235</v>
      </c>
      <c r="Z341" t="s">
        <v>236</v>
      </c>
      <c r="AA341" t="s">
        <v>253</v>
      </c>
      <c r="AB341" t="s">
        <v>121</v>
      </c>
      <c r="AC341" s="235">
        <v>-500000</v>
      </c>
      <c r="AD341" s="235">
        <v>-11503.944274113608</v>
      </c>
      <c r="AE341">
        <v>0</v>
      </c>
      <c r="AF341">
        <v>0</v>
      </c>
      <c r="AG341">
        <v>0</v>
      </c>
      <c r="AH341" s="235">
        <v>-3479.1637170615977</v>
      </c>
      <c r="AI341">
        <v>226</v>
      </c>
      <c r="AJ341" t="s">
        <v>256</v>
      </c>
      <c r="AK341">
        <v>0</v>
      </c>
      <c r="AL341">
        <v>0</v>
      </c>
      <c r="AM341">
        <v>0</v>
      </c>
    </row>
    <row r="342" spans="1:39" x14ac:dyDescent="0.25">
      <c r="A342" t="s">
        <v>601</v>
      </c>
      <c r="B342" t="s">
        <v>451</v>
      </c>
      <c r="C342" t="s">
        <v>255</v>
      </c>
      <c r="D342" t="s">
        <v>234</v>
      </c>
      <c r="E342" t="s">
        <v>20</v>
      </c>
      <c r="F342" t="s">
        <v>279</v>
      </c>
      <c r="G342" t="s">
        <v>269</v>
      </c>
      <c r="H342" t="s">
        <v>254</v>
      </c>
      <c r="I342" t="s">
        <v>242</v>
      </c>
      <c r="J342" t="s">
        <v>235</v>
      </c>
      <c r="K342" s="380">
        <v>36951</v>
      </c>
      <c r="L342" s="235">
        <v>-418589.11307126423</v>
      </c>
      <c r="M342" s="380">
        <v>36949</v>
      </c>
      <c r="N342" t="s">
        <v>1</v>
      </c>
      <c r="O342">
        <v>1.6</v>
      </c>
      <c r="P342">
        <v>0</v>
      </c>
      <c r="Q342">
        <v>0</v>
      </c>
      <c r="R342">
        <v>0</v>
      </c>
      <c r="S342">
        <v>0</v>
      </c>
      <c r="T342" t="s">
        <v>253</v>
      </c>
      <c r="U342" t="s">
        <v>7</v>
      </c>
      <c r="V342" t="s">
        <v>253</v>
      </c>
      <c r="W342" t="s">
        <v>132</v>
      </c>
      <c r="X342" t="s">
        <v>253</v>
      </c>
      <c r="Y342" t="s">
        <v>235</v>
      </c>
      <c r="Z342" t="s">
        <v>236</v>
      </c>
      <c r="AA342" t="s">
        <v>253</v>
      </c>
      <c r="AB342" t="s">
        <v>121</v>
      </c>
      <c r="AC342" s="235">
        <v>-500000</v>
      </c>
      <c r="AD342" s="235">
        <v>-40486.301902801148</v>
      </c>
      <c r="AE342">
        <v>0</v>
      </c>
      <c r="AF342">
        <v>0</v>
      </c>
      <c r="AG342">
        <v>0</v>
      </c>
      <c r="AH342" s="235">
        <v>15395.645326976548</v>
      </c>
      <c r="AI342">
        <v>226</v>
      </c>
      <c r="AJ342" t="s">
        <v>256</v>
      </c>
      <c r="AK342">
        <v>0</v>
      </c>
      <c r="AL342">
        <v>0</v>
      </c>
      <c r="AM342">
        <v>0</v>
      </c>
    </row>
    <row r="343" spans="1:39" x14ac:dyDescent="0.25">
      <c r="A343" t="s">
        <v>601</v>
      </c>
      <c r="B343" t="s">
        <v>451</v>
      </c>
      <c r="C343" t="s">
        <v>255</v>
      </c>
      <c r="D343" t="s">
        <v>234</v>
      </c>
      <c r="E343" t="s">
        <v>20</v>
      </c>
      <c r="F343" t="s">
        <v>279</v>
      </c>
      <c r="G343" t="s">
        <v>269</v>
      </c>
      <c r="H343" t="s">
        <v>254</v>
      </c>
      <c r="I343" t="s">
        <v>242</v>
      </c>
      <c r="J343" t="s">
        <v>235</v>
      </c>
      <c r="K343" s="380">
        <v>36923</v>
      </c>
      <c r="L343" s="235">
        <v>-215108.82340596506</v>
      </c>
      <c r="M343" s="380">
        <v>36921</v>
      </c>
      <c r="N343" t="s">
        <v>1</v>
      </c>
      <c r="O343">
        <v>1.6</v>
      </c>
      <c r="P343">
        <v>0</v>
      </c>
      <c r="Q343">
        <v>0</v>
      </c>
      <c r="R343">
        <v>0</v>
      </c>
      <c r="S343">
        <v>0</v>
      </c>
      <c r="T343" t="s">
        <v>253</v>
      </c>
      <c r="U343" t="s">
        <v>7</v>
      </c>
      <c r="V343" t="s">
        <v>253</v>
      </c>
      <c r="W343" t="s">
        <v>132</v>
      </c>
      <c r="X343" t="s">
        <v>253</v>
      </c>
      <c r="Y343" t="s">
        <v>235</v>
      </c>
      <c r="Z343" t="s">
        <v>236</v>
      </c>
      <c r="AA343" t="s">
        <v>253</v>
      </c>
      <c r="AB343" t="s">
        <v>121</v>
      </c>
      <c r="AC343" s="235">
        <v>-500000</v>
      </c>
      <c r="AD343" s="235">
        <v>-41984.319025358214</v>
      </c>
      <c r="AE343">
        <v>0</v>
      </c>
      <c r="AF343">
        <v>0</v>
      </c>
      <c r="AG343">
        <v>0</v>
      </c>
      <c r="AH343" s="235">
        <v>9512.9974763019709</v>
      </c>
      <c r="AI343">
        <v>226</v>
      </c>
      <c r="AJ343" t="s">
        <v>256</v>
      </c>
      <c r="AK343">
        <v>0</v>
      </c>
      <c r="AL343">
        <v>0</v>
      </c>
      <c r="AM343">
        <v>0</v>
      </c>
    </row>
    <row r="344" spans="1:39" x14ac:dyDescent="0.25">
      <c r="A344" t="s">
        <v>601</v>
      </c>
      <c r="B344" t="s">
        <v>451</v>
      </c>
      <c r="C344" t="s">
        <v>255</v>
      </c>
      <c r="D344" t="s">
        <v>234</v>
      </c>
      <c r="E344" t="s">
        <v>20</v>
      </c>
      <c r="F344" t="s">
        <v>279</v>
      </c>
      <c r="G344" t="s">
        <v>269</v>
      </c>
      <c r="H344" t="s">
        <v>254</v>
      </c>
      <c r="I344" t="s">
        <v>242</v>
      </c>
      <c r="J344" t="s">
        <v>235</v>
      </c>
      <c r="K344" s="380">
        <v>36892</v>
      </c>
      <c r="L344" s="235">
        <v>-185486.21079777137</v>
      </c>
      <c r="M344" s="380">
        <v>36888</v>
      </c>
      <c r="N344" t="s">
        <v>1</v>
      </c>
      <c r="O344">
        <v>1.6</v>
      </c>
      <c r="P344">
        <v>0</v>
      </c>
      <c r="Q344">
        <v>0</v>
      </c>
      <c r="R344">
        <v>0</v>
      </c>
      <c r="S344">
        <v>0</v>
      </c>
      <c r="T344" t="s">
        <v>253</v>
      </c>
      <c r="U344" t="s">
        <v>7</v>
      </c>
      <c r="V344" t="s">
        <v>253</v>
      </c>
      <c r="W344" t="s">
        <v>132</v>
      </c>
      <c r="X344" t="s">
        <v>253</v>
      </c>
      <c r="Y344" t="s">
        <v>235</v>
      </c>
      <c r="Z344" t="s">
        <v>236</v>
      </c>
      <c r="AA344" t="s">
        <v>253</v>
      </c>
      <c r="AB344" t="s">
        <v>121</v>
      </c>
      <c r="AC344" s="235">
        <v>-500000</v>
      </c>
      <c r="AD344" s="235">
        <v>-37672.529627170385</v>
      </c>
      <c r="AE344">
        <v>0</v>
      </c>
      <c r="AF344">
        <v>0</v>
      </c>
      <c r="AG344">
        <v>0</v>
      </c>
      <c r="AH344" s="235">
        <v>7537.8702261694707</v>
      </c>
      <c r="AI344">
        <v>226</v>
      </c>
      <c r="AJ344" t="s">
        <v>256</v>
      </c>
      <c r="AK344">
        <v>0</v>
      </c>
      <c r="AL344">
        <v>0</v>
      </c>
      <c r="AM344">
        <v>0</v>
      </c>
    </row>
    <row r="345" spans="1:39" x14ac:dyDescent="0.25">
      <c r="A345" t="s">
        <v>601</v>
      </c>
      <c r="B345" t="s">
        <v>451</v>
      </c>
      <c r="C345" t="s">
        <v>255</v>
      </c>
      <c r="D345" t="s">
        <v>234</v>
      </c>
      <c r="E345" t="s">
        <v>20</v>
      </c>
      <c r="F345" t="s">
        <v>279</v>
      </c>
      <c r="G345" t="s">
        <v>269</v>
      </c>
      <c r="H345" t="s">
        <v>254</v>
      </c>
      <c r="I345" t="s">
        <v>242</v>
      </c>
      <c r="J345" t="s">
        <v>235</v>
      </c>
      <c r="K345" s="380">
        <v>36861</v>
      </c>
      <c r="L345" s="235">
        <v>-245559.45918596868</v>
      </c>
      <c r="M345" s="380">
        <v>36859</v>
      </c>
      <c r="N345" t="s">
        <v>1</v>
      </c>
      <c r="O345">
        <v>1.6</v>
      </c>
      <c r="P345">
        <v>0</v>
      </c>
      <c r="Q345">
        <v>0</v>
      </c>
      <c r="R345">
        <v>0</v>
      </c>
      <c r="S345">
        <v>0</v>
      </c>
      <c r="T345" t="s">
        <v>253</v>
      </c>
      <c r="U345" t="s">
        <v>7</v>
      </c>
      <c r="V345" t="s">
        <v>253</v>
      </c>
      <c r="W345" t="s">
        <v>132</v>
      </c>
      <c r="X345" t="s">
        <v>253</v>
      </c>
      <c r="Y345" t="s">
        <v>235</v>
      </c>
      <c r="Z345" t="s">
        <v>236</v>
      </c>
      <c r="AA345" t="s">
        <v>253</v>
      </c>
      <c r="AB345" t="s">
        <v>121</v>
      </c>
      <c r="AC345" s="235">
        <v>-500000</v>
      </c>
      <c r="AD345" s="235">
        <v>-35401.20142371871</v>
      </c>
      <c r="AE345">
        <v>0</v>
      </c>
      <c r="AF345">
        <v>0</v>
      </c>
      <c r="AG345">
        <v>0</v>
      </c>
      <c r="AH345" s="235">
        <v>8178.001605136029</v>
      </c>
      <c r="AI345">
        <v>226</v>
      </c>
      <c r="AJ345" t="s">
        <v>256</v>
      </c>
      <c r="AK345">
        <v>0</v>
      </c>
      <c r="AL345">
        <v>0</v>
      </c>
      <c r="AM345">
        <v>0</v>
      </c>
    </row>
    <row r="346" spans="1:39" x14ac:dyDescent="0.25">
      <c r="A346" t="s">
        <v>601</v>
      </c>
      <c r="B346" t="s">
        <v>451</v>
      </c>
      <c r="C346" t="s">
        <v>255</v>
      </c>
      <c r="D346" t="s">
        <v>234</v>
      </c>
      <c r="E346" t="s">
        <v>20</v>
      </c>
      <c r="F346" t="s">
        <v>279</v>
      </c>
      <c r="G346" t="s">
        <v>269</v>
      </c>
      <c r="H346" t="s">
        <v>254</v>
      </c>
      <c r="I346" t="s">
        <v>242</v>
      </c>
      <c r="J346" t="s">
        <v>235</v>
      </c>
      <c r="K346" s="380">
        <v>36831</v>
      </c>
      <c r="L346" s="235">
        <v>-434930.84324028384</v>
      </c>
      <c r="M346" s="380">
        <v>36829</v>
      </c>
      <c r="N346" t="s">
        <v>1</v>
      </c>
      <c r="O346">
        <v>1.6</v>
      </c>
      <c r="P346">
        <v>0</v>
      </c>
      <c r="Q346">
        <v>0</v>
      </c>
      <c r="R346">
        <v>0</v>
      </c>
      <c r="S346">
        <v>0</v>
      </c>
      <c r="T346" t="s">
        <v>253</v>
      </c>
      <c r="U346" t="s">
        <v>7</v>
      </c>
      <c r="V346" t="s">
        <v>253</v>
      </c>
      <c r="W346" t="s">
        <v>132</v>
      </c>
      <c r="X346" t="s">
        <v>253</v>
      </c>
      <c r="Y346" t="s">
        <v>235</v>
      </c>
      <c r="Z346" t="s">
        <v>236</v>
      </c>
      <c r="AA346" t="s">
        <v>253</v>
      </c>
      <c r="AB346" t="s">
        <v>121</v>
      </c>
      <c r="AC346" s="235">
        <v>-500000</v>
      </c>
      <c r="AD346" s="235">
        <v>-11503.94427411363</v>
      </c>
      <c r="AE346">
        <v>0</v>
      </c>
      <c r="AF346">
        <v>0</v>
      </c>
      <c r="AG346">
        <v>0</v>
      </c>
      <c r="AH346" s="235">
        <v>16276.379989223147</v>
      </c>
      <c r="AI346">
        <v>226</v>
      </c>
      <c r="AJ346" t="s">
        <v>256</v>
      </c>
      <c r="AK346">
        <v>0</v>
      </c>
      <c r="AL346">
        <v>0</v>
      </c>
      <c r="AM346">
        <v>0</v>
      </c>
    </row>
    <row r="347" spans="1:39" x14ac:dyDescent="0.25">
      <c r="A347" t="s">
        <v>601</v>
      </c>
      <c r="B347" t="s">
        <v>452</v>
      </c>
      <c r="C347" t="s">
        <v>255</v>
      </c>
      <c r="D347" t="s">
        <v>234</v>
      </c>
      <c r="E347" t="s">
        <v>20</v>
      </c>
      <c r="F347" t="s">
        <v>279</v>
      </c>
      <c r="G347" t="s">
        <v>269</v>
      </c>
      <c r="H347" t="s">
        <v>254</v>
      </c>
      <c r="I347" t="s">
        <v>242</v>
      </c>
      <c r="J347" t="s">
        <v>235</v>
      </c>
      <c r="K347" s="380">
        <v>36923</v>
      </c>
      <c r="L347" s="235">
        <v>-268548.12815983553</v>
      </c>
      <c r="M347" s="380">
        <v>36921</v>
      </c>
      <c r="N347" t="s">
        <v>21</v>
      </c>
      <c r="O347">
        <v>2.5</v>
      </c>
      <c r="P347">
        <v>0</v>
      </c>
      <c r="Q347">
        <v>0</v>
      </c>
      <c r="R347">
        <v>0</v>
      </c>
      <c r="S347">
        <v>0</v>
      </c>
      <c r="T347" t="s">
        <v>253</v>
      </c>
      <c r="U347" t="s">
        <v>7</v>
      </c>
      <c r="V347" t="s">
        <v>253</v>
      </c>
      <c r="W347" t="s">
        <v>132</v>
      </c>
      <c r="X347" t="s">
        <v>253</v>
      </c>
      <c r="Y347" t="s">
        <v>235</v>
      </c>
      <c r="Z347" t="s">
        <v>236</v>
      </c>
      <c r="AA347" t="s">
        <v>253</v>
      </c>
      <c r="AB347" t="s">
        <v>121</v>
      </c>
      <c r="AC347" s="235">
        <v>-500000</v>
      </c>
      <c r="AD347" s="235">
        <v>-41384.801118099946</v>
      </c>
      <c r="AE347">
        <v>0</v>
      </c>
      <c r="AF347">
        <v>0</v>
      </c>
      <c r="AG347">
        <v>0</v>
      </c>
      <c r="AH347" s="235">
        <v>-17740.318310459523</v>
      </c>
      <c r="AI347">
        <v>226</v>
      </c>
      <c r="AJ347" t="s">
        <v>256</v>
      </c>
      <c r="AK347">
        <v>0</v>
      </c>
      <c r="AL347">
        <v>0</v>
      </c>
      <c r="AM347">
        <v>0</v>
      </c>
    </row>
    <row r="348" spans="1:39" x14ac:dyDescent="0.25">
      <c r="A348" t="s">
        <v>601</v>
      </c>
      <c r="B348" t="s">
        <v>452</v>
      </c>
      <c r="C348" t="s">
        <v>255</v>
      </c>
      <c r="D348" t="s">
        <v>234</v>
      </c>
      <c r="E348" t="s">
        <v>20</v>
      </c>
      <c r="F348" t="s">
        <v>279</v>
      </c>
      <c r="G348" t="s">
        <v>269</v>
      </c>
      <c r="H348" t="s">
        <v>254</v>
      </c>
      <c r="I348" t="s">
        <v>242</v>
      </c>
      <c r="J348" t="s">
        <v>235</v>
      </c>
      <c r="K348" s="380">
        <v>36892</v>
      </c>
      <c r="L348" s="235">
        <v>-265933.05198546639</v>
      </c>
      <c r="M348" s="380">
        <v>36888</v>
      </c>
      <c r="N348" t="s">
        <v>21</v>
      </c>
      <c r="O348">
        <v>2.5</v>
      </c>
      <c r="P348">
        <v>0</v>
      </c>
      <c r="Q348">
        <v>0</v>
      </c>
      <c r="R348">
        <v>0</v>
      </c>
      <c r="S348">
        <v>0</v>
      </c>
      <c r="T348" t="s">
        <v>253</v>
      </c>
      <c r="U348" t="s">
        <v>7</v>
      </c>
      <c r="V348" t="s">
        <v>253</v>
      </c>
      <c r="W348" t="s">
        <v>132</v>
      </c>
      <c r="X348" t="s">
        <v>253</v>
      </c>
      <c r="Y348" t="s">
        <v>235</v>
      </c>
      <c r="Z348" t="s">
        <v>236</v>
      </c>
      <c r="AA348" t="s">
        <v>253</v>
      </c>
      <c r="AB348" t="s">
        <v>121</v>
      </c>
      <c r="AC348" s="235">
        <v>-500000</v>
      </c>
      <c r="AD348" s="235">
        <v>-38180.91539945046</v>
      </c>
      <c r="AE348">
        <v>0</v>
      </c>
      <c r="AF348">
        <v>0</v>
      </c>
      <c r="AG348">
        <v>0</v>
      </c>
      <c r="AH348" s="235">
        <v>-15641.415935667057</v>
      </c>
      <c r="AI348">
        <v>226</v>
      </c>
      <c r="AJ348" t="s">
        <v>256</v>
      </c>
      <c r="AK348">
        <v>0</v>
      </c>
      <c r="AL348">
        <v>0</v>
      </c>
      <c r="AM348">
        <v>0</v>
      </c>
    </row>
    <row r="349" spans="1:39" x14ac:dyDescent="0.25">
      <c r="A349" t="s">
        <v>601</v>
      </c>
      <c r="B349" t="s">
        <v>452</v>
      </c>
      <c r="C349" t="s">
        <v>255</v>
      </c>
      <c r="D349" t="s">
        <v>234</v>
      </c>
      <c r="E349" t="s">
        <v>20</v>
      </c>
      <c r="F349" t="s">
        <v>279</v>
      </c>
      <c r="G349" t="s">
        <v>269</v>
      </c>
      <c r="H349" t="s">
        <v>254</v>
      </c>
      <c r="I349" t="s">
        <v>242</v>
      </c>
      <c r="J349" t="s">
        <v>235</v>
      </c>
      <c r="K349" s="380">
        <v>36861</v>
      </c>
      <c r="L349" s="235">
        <v>-123868.75990027811</v>
      </c>
      <c r="M349" s="380">
        <v>36859</v>
      </c>
      <c r="N349" t="s">
        <v>21</v>
      </c>
      <c r="O349">
        <v>2.5</v>
      </c>
      <c r="P349">
        <v>0</v>
      </c>
      <c r="Q349">
        <v>0</v>
      </c>
      <c r="R349">
        <v>0</v>
      </c>
      <c r="S349">
        <v>0</v>
      </c>
      <c r="T349" t="s">
        <v>253</v>
      </c>
      <c r="U349" t="s">
        <v>7</v>
      </c>
      <c r="V349" t="s">
        <v>253</v>
      </c>
      <c r="W349" t="s">
        <v>132</v>
      </c>
      <c r="X349" t="s">
        <v>253</v>
      </c>
      <c r="Y349" t="s">
        <v>235</v>
      </c>
      <c r="Z349" t="s">
        <v>236</v>
      </c>
      <c r="AA349" t="s">
        <v>253</v>
      </c>
      <c r="AB349" t="s">
        <v>121</v>
      </c>
      <c r="AC349" s="235">
        <v>-500000</v>
      </c>
      <c r="AD349" s="235">
        <v>-29013.413268605582</v>
      </c>
      <c r="AE349">
        <v>0</v>
      </c>
      <c r="AF349">
        <v>0</v>
      </c>
      <c r="AG349">
        <v>0</v>
      </c>
      <c r="AH349" s="235">
        <v>-8395.7537899614254</v>
      </c>
      <c r="AI349">
        <v>226</v>
      </c>
      <c r="AJ349" t="s">
        <v>256</v>
      </c>
      <c r="AK349">
        <v>0</v>
      </c>
      <c r="AL349">
        <v>0</v>
      </c>
      <c r="AM349">
        <v>0</v>
      </c>
    </row>
    <row r="350" spans="1:39" x14ac:dyDescent="0.25">
      <c r="A350" t="s">
        <v>601</v>
      </c>
      <c r="B350" t="s">
        <v>453</v>
      </c>
      <c r="C350" t="s">
        <v>255</v>
      </c>
      <c r="D350" t="s">
        <v>234</v>
      </c>
      <c r="E350" t="s">
        <v>20</v>
      </c>
      <c r="F350" t="s">
        <v>279</v>
      </c>
      <c r="G350" t="s">
        <v>269</v>
      </c>
      <c r="H350" t="s">
        <v>254</v>
      </c>
      <c r="I350" t="s">
        <v>242</v>
      </c>
      <c r="J350" t="s">
        <v>235</v>
      </c>
      <c r="K350" s="380">
        <v>36951</v>
      </c>
      <c r="L350" s="235">
        <v>171077.44847212691</v>
      </c>
      <c r="M350" s="380">
        <v>36949</v>
      </c>
      <c r="N350" t="s">
        <v>1</v>
      </c>
      <c r="O350">
        <v>0.75</v>
      </c>
      <c r="P350">
        <v>0</v>
      </c>
      <c r="Q350">
        <v>0</v>
      </c>
      <c r="R350">
        <v>0</v>
      </c>
      <c r="S350">
        <v>0</v>
      </c>
      <c r="T350" t="s">
        <v>253</v>
      </c>
      <c r="U350" t="s">
        <v>7</v>
      </c>
      <c r="V350" t="s">
        <v>253</v>
      </c>
      <c r="W350" t="s">
        <v>132</v>
      </c>
      <c r="X350" t="s">
        <v>253</v>
      </c>
      <c r="Y350" t="s">
        <v>235</v>
      </c>
      <c r="Z350" t="s">
        <v>236</v>
      </c>
      <c r="AA350" t="s">
        <v>253</v>
      </c>
      <c r="AB350" t="s">
        <v>121</v>
      </c>
      <c r="AC350" s="235">
        <v>500000</v>
      </c>
      <c r="AD350" s="235">
        <v>43710.151473572099</v>
      </c>
      <c r="AE350">
        <v>0</v>
      </c>
      <c r="AF350">
        <v>0</v>
      </c>
      <c r="AG350">
        <v>0</v>
      </c>
      <c r="AH350" s="235">
        <v>-8168.6097124045191</v>
      </c>
      <c r="AI350">
        <v>226</v>
      </c>
      <c r="AJ350" t="s">
        <v>256</v>
      </c>
      <c r="AK350">
        <v>0</v>
      </c>
      <c r="AL350">
        <v>0</v>
      </c>
      <c r="AM350">
        <v>0</v>
      </c>
    </row>
    <row r="351" spans="1:39" x14ac:dyDescent="0.25">
      <c r="A351" t="s">
        <v>601</v>
      </c>
      <c r="B351" t="s">
        <v>453</v>
      </c>
      <c r="C351" t="s">
        <v>255</v>
      </c>
      <c r="D351" t="s">
        <v>234</v>
      </c>
      <c r="E351" t="s">
        <v>20</v>
      </c>
      <c r="F351" t="s">
        <v>279</v>
      </c>
      <c r="G351" t="s">
        <v>269</v>
      </c>
      <c r="H351" t="s">
        <v>254</v>
      </c>
      <c r="I351" t="s">
        <v>242</v>
      </c>
      <c r="J351" t="s">
        <v>235</v>
      </c>
      <c r="K351" s="380">
        <v>36923</v>
      </c>
      <c r="L351" s="235">
        <v>70124.249611158535</v>
      </c>
      <c r="M351" s="380">
        <v>36921</v>
      </c>
      <c r="N351" t="s">
        <v>1</v>
      </c>
      <c r="O351">
        <v>0.75</v>
      </c>
      <c r="P351">
        <v>0</v>
      </c>
      <c r="Q351">
        <v>0</v>
      </c>
      <c r="R351">
        <v>0</v>
      </c>
      <c r="S351">
        <v>0</v>
      </c>
      <c r="T351" t="s">
        <v>253</v>
      </c>
      <c r="U351" t="s">
        <v>7</v>
      </c>
      <c r="V351" t="s">
        <v>253</v>
      </c>
      <c r="W351" t="s">
        <v>132</v>
      </c>
      <c r="X351" t="s">
        <v>253</v>
      </c>
      <c r="Y351" t="s">
        <v>235</v>
      </c>
      <c r="Z351" t="s">
        <v>236</v>
      </c>
      <c r="AA351" t="s">
        <v>253</v>
      </c>
      <c r="AB351" t="s">
        <v>121</v>
      </c>
      <c r="AC351" s="235">
        <v>500000</v>
      </c>
      <c r="AD351" s="235">
        <v>30734.785796236509</v>
      </c>
      <c r="AE351">
        <v>0</v>
      </c>
      <c r="AF351">
        <v>0</v>
      </c>
      <c r="AG351">
        <v>0</v>
      </c>
      <c r="AH351" s="235">
        <v>-3753.3510640277527</v>
      </c>
      <c r="AI351">
        <v>226</v>
      </c>
      <c r="AJ351" t="s">
        <v>256</v>
      </c>
      <c r="AK351">
        <v>0</v>
      </c>
      <c r="AL351">
        <v>0</v>
      </c>
      <c r="AM351">
        <v>0</v>
      </c>
    </row>
    <row r="352" spans="1:39" x14ac:dyDescent="0.25">
      <c r="A352" t="s">
        <v>601</v>
      </c>
      <c r="B352" t="s">
        <v>453</v>
      </c>
      <c r="C352" t="s">
        <v>255</v>
      </c>
      <c r="D352" t="s">
        <v>234</v>
      </c>
      <c r="E352" t="s">
        <v>20</v>
      </c>
      <c r="F352" t="s">
        <v>279</v>
      </c>
      <c r="G352" t="s">
        <v>269</v>
      </c>
      <c r="H352" t="s">
        <v>254</v>
      </c>
      <c r="I352" t="s">
        <v>242</v>
      </c>
      <c r="J352" t="s">
        <v>235</v>
      </c>
      <c r="K352" s="380">
        <v>36892</v>
      </c>
      <c r="L352" s="235">
        <v>55369.844724811934</v>
      </c>
      <c r="M352" s="380">
        <v>36888</v>
      </c>
      <c r="N352" t="s">
        <v>1</v>
      </c>
      <c r="O352">
        <v>0.75</v>
      </c>
      <c r="P352">
        <v>0</v>
      </c>
      <c r="Q352">
        <v>0</v>
      </c>
      <c r="R352">
        <v>0</v>
      </c>
      <c r="S352">
        <v>0</v>
      </c>
      <c r="T352" t="s">
        <v>253</v>
      </c>
      <c r="U352" t="s">
        <v>7</v>
      </c>
      <c r="V352" t="s">
        <v>253</v>
      </c>
      <c r="W352" t="s">
        <v>132</v>
      </c>
      <c r="X352" t="s">
        <v>253</v>
      </c>
      <c r="Y352" t="s">
        <v>235</v>
      </c>
      <c r="Z352" t="s">
        <v>236</v>
      </c>
      <c r="AA352" t="s">
        <v>253</v>
      </c>
      <c r="AB352" t="s">
        <v>121</v>
      </c>
      <c r="AC352" s="235">
        <v>500000</v>
      </c>
      <c r="AD352" s="235">
        <v>25488.871766922552</v>
      </c>
      <c r="AE352">
        <v>0</v>
      </c>
      <c r="AF352">
        <v>0</v>
      </c>
      <c r="AG352">
        <v>0</v>
      </c>
      <c r="AH352" s="235">
        <v>-2670.9125970105815</v>
      </c>
      <c r="AI352">
        <v>226</v>
      </c>
      <c r="AJ352" t="s">
        <v>256</v>
      </c>
      <c r="AK352">
        <v>0</v>
      </c>
      <c r="AL352">
        <v>0</v>
      </c>
      <c r="AM352">
        <v>0</v>
      </c>
    </row>
    <row r="353" spans="1:39" x14ac:dyDescent="0.25">
      <c r="A353" t="s">
        <v>601</v>
      </c>
      <c r="B353" t="s">
        <v>453</v>
      </c>
      <c r="C353" t="s">
        <v>255</v>
      </c>
      <c r="D353" t="s">
        <v>234</v>
      </c>
      <c r="E353" t="s">
        <v>20</v>
      </c>
      <c r="F353" t="s">
        <v>279</v>
      </c>
      <c r="G353" t="s">
        <v>269</v>
      </c>
      <c r="H353" t="s">
        <v>254</v>
      </c>
      <c r="I353" t="s">
        <v>242</v>
      </c>
      <c r="J353" t="s">
        <v>235</v>
      </c>
      <c r="K353" s="380">
        <v>36861</v>
      </c>
      <c r="L353" s="235">
        <v>73958.492585636472</v>
      </c>
      <c r="M353" s="380">
        <v>36859</v>
      </c>
      <c r="N353" t="s">
        <v>1</v>
      </c>
      <c r="O353">
        <v>0.75</v>
      </c>
      <c r="P353">
        <v>0</v>
      </c>
      <c r="Q353">
        <v>0</v>
      </c>
      <c r="R353">
        <v>0</v>
      </c>
      <c r="S353">
        <v>0</v>
      </c>
      <c r="T353" t="s">
        <v>253</v>
      </c>
      <c r="U353" t="s">
        <v>7</v>
      </c>
      <c r="V353" t="s">
        <v>253</v>
      </c>
      <c r="W353" t="s">
        <v>132</v>
      </c>
      <c r="X353" t="s">
        <v>253</v>
      </c>
      <c r="Y353" t="s">
        <v>235</v>
      </c>
      <c r="Z353" t="s">
        <v>236</v>
      </c>
      <c r="AA353" t="s">
        <v>253</v>
      </c>
      <c r="AB353" t="s">
        <v>121</v>
      </c>
      <c r="AC353" s="235">
        <v>500000</v>
      </c>
      <c r="AD353" s="235">
        <v>27791.540150040542</v>
      </c>
      <c r="AE353">
        <v>0</v>
      </c>
      <c r="AF353">
        <v>0</v>
      </c>
      <c r="AG353">
        <v>0</v>
      </c>
      <c r="AH353" s="235">
        <v>-3004.0376327980048</v>
      </c>
      <c r="AI353">
        <v>226</v>
      </c>
      <c r="AJ353" t="s">
        <v>256</v>
      </c>
      <c r="AK353">
        <v>0</v>
      </c>
      <c r="AL353">
        <v>0</v>
      </c>
      <c r="AM353">
        <v>0</v>
      </c>
    </row>
    <row r="354" spans="1:39" x14ac:dyDescent="0.25">
      <c r="A354" t="s">
        <v>601</v>
      </c>
      <c r="B354" t="s">
        <v>453</v>
      </c>
      <c r="C354" t="s">
        <v>255</v>
      </c>
      <c r="D354" t="s">
        <v>234</v>
      </c>
      <c r="E354" t="s">
        <v>20</v>
      </c>
      <c r="F354" t="s">
        <v>279</v>
      </c>
      <c r="G354" t="s">
        <v>269</v>
      </c>
      <c r="H354" t="s">
        <v>254</v>
      </c>
      <c r="I354" t="s">
        <v>242</v>
      </c>
      <c r="J354" t="s">
        <v>235</v>
      </c>
      <c r="K354" s="380">
        <v>36831</v>
      </c>
      <c r="L354" s="235">
        <v>124808.94629220579</v>
      </c>
      <c r="M354" s="380">
        <v>36829</v>
      </c>
      <c r="N354" t="s">
        <v>1</v>
      </c>
      <c r="O354">
        <v>0.75</v>
      </c>
      <c r="P354">
        <v>0</v>
      </c>
      <c r="Q354">
        <v>0</v>
      </c>
      <c r="R354">
        <v>0</v>
      </c>
      <c r="S354">
        <v>0</v>
      </c>
      <c r="T354" t="s">
        <v>253</v>
      </c>
      <c r="U354" t="s">
        <v>7</v>
      </c>
      <c r="V354" t="s">
        <v>253</v>
      </c>
      <c r="W354" t="s">
        <v>132</v>
      </c>
      <c r="X354" t="s">
        <v>253</v>
      </c>
      <c r="Y354" t="s">
        <v>235</v>
      </c>
      <c r="Z354" t="s">
        <v>236</v>
      </c>
      <c r="AA354" t="s">
        <v>253</v>
      </c>
      <c r="AB354" t="s">
        <v>121</v>
      </c>
      <c r="AC354" s="235">
        <v>500000</v>
      </c>
      <c r="AD354" s="235">
        <v>22575.297341584926</v>
      </c>
      <c r="AE354">
        <v>0</v>
      </c>
      <c r="AF354">
        <v>0</v>
      </c>
      <c r="AG354">
        <v>0</v>
      </c>
      <c r="AH354" s="235">
        <v>-8179.1766620815615</v>
      </c>
      <c r="AI354">
        <v>226</v>
      </c>
      <c r="AJ354" t="s">
        <v>256</v>
      </c>
      <c r="AK354">
        <v>0</v>
      </c>
      <c r="AL354">
        <v>0</v>
      </c>
      <c r="AM354">
        <v>0</v>
      </c>
    </row>
    <row r="355" spans="1:39" x14ac:dyDescent="0.25">
      <c r="A355" t="s">
        <v>601</v>
      </c>
      <c r="B355" t="s">
        <v>454</v>
      </c>
      <c r="C355" t="s">
        <v>255</v>
      </c>
      <c r="D355" t="s">
        <v>234</v>
      </c>
      <c r="E355" t="s">
        <v>20</v>
      </c>
      <c r="F355" t="s">
        <v>279</v>
      </c>
      <c r="G355" t="s">
        <v>269</v>
      </c>
      <c r="H355" t="s">
        <v>254</v>
      </c>
      <c r="I355" t="s">
        <v>242</v>
      </c>
      <c r="J355" t="s">
        <v>235</v>
      </c>
      <c r="K355" s="380">
        <v>37316</v>
      </c>
      <c r="L355" s="235">
        <v>109370.95040437147</v>
      </c>
      <c r="M355" s="380">
        <v>37314</v>
      </c>
      <c r="N355" t="s">
        <v>21</v>
      </c>
      <c r="O355">
        <v>1.33</v>
      </c>
      <c r="P355">
        <v>0</v>
      </c>
      <c r="Q355">
        <v>0</v>
      </c>
      <c r="R355">
        <v>0</v>
      </c>
      <c r="S355">
        <v>0</v>
      </c>
      <c r="T355" t="s">
        <v>253</v>
      </c>
      <c r="U355" t="s">
        <v>7</v>
      </c>
      <c r="V355" t="s">
        <v>253</v>
      </c>
      <c r="W355" t="s">
        <v>132</v>
      </c>
      <c r="X355" t="s">
        <v>253</v>
      </c>
      <c r="Y355" t="s">
        <v>235</v>
      </c>
      <c r="Z355" t="s">
        <v>236</v>
      </c>
      <c r="AA355" t="s">
        <v>253</v>
      </c>
      <c r="AB355" t="s">
        <v>121</v>
      </c>
      <c r="AC355" s="235">
        <v>500000</v>
      </c>
      <c r="AD355" s="235">
        <v>22787.965428216587</v>
      </c>
      <c r="AE355">
        <v>0</v>
      </c>
      <c r="AF355">
        <v>0</v>
      </c>
      <c r="AG355">
        <v>0</v>
      </c>
      <c r="AH355" s="235">
        <v>6500.7035407847143</v>
      </c>
      <c r="AI355">
        <v>226</v>
      </c>
      <c r="AJ355" t="s">
        <v>256</v>
      </c>
      <c r="AK355">
        <v>0</v>
      </c>
      <c r="AL355">
        <v>0</v>
      </c>
      <c r="AM355">
        <v>0</v>
      </c>
    </row>
    <row r="356" spans="1:39" x14ac:dyDescent="0.25">
      <c r="A356" t="s">
        <v>601</v>
      </c>
      <c r="B356" t="s">
        <v>454</v>
      </c>
      <c r="C356" t="s">
        <v>255</v>
      </c>
      <c r="D356" t="s">
        <v>234</v>
      </c>
      <c r="E356" t="s">
        <v>20</v>
      </c>
      <c r="F356" t="s">
        <v>279</v>
      </c>
      <c r="G356" t="s">
        <v>269</v>
      </c>
      <c r="H356" t="s">
        <v>254</v>
      </c>
      <c r="I356" t="s">
        <v>242</v>
      </c>
      <c r="J356" t="s">
        <v>235</v>
      </c>
      <c r="K356" s="380">
        <v>37288</v>
      </c>
      <c r="L356" s="235">
        <v>261739.46160556443</v>
      </c>
      <c r="M356" s="380">
        <v>37286</v>
      </c>
      <c r="N356" t="s">
        <v>21</v>
      </c>
      <c r="O356">
        <v>1.33</v>
      </c>
      <c r="P356">
        <v>0</v>
      </c>
      <c r="Q356">
        <v>0</v>
      </c>
      <c r="R356">
        <v>0</v>
      </c>
      <c r="S356">
        <v>0</v>
      </c>
      <c r="T356" t="s">
        <v>253</v>
      </c>
      <c r="U356" t="s">
        <v>7</v>
      </c>
      <c r="V356" t="s">
        <v>253</v>
      </c>
      <c r="W356" t="s">
        <v>132</v>
      </c>
      <c r="X356" t="s">
        <v>253</v>
      </c>
      <c r="Y356" t="s">
        <v>235</v>
      </c>
      <c r="Z356" t="s">
        <v>236</v>
      </c>
      <c r="AA356" t="s">
        <v>253</v>
      </c>
      <c r="AB356" t="s">
        <v>121</v>
      </c>
      <c r="AC356" s="235">
        <v>500000</v>
      </c>
      <c r="AD356" s="235">
        <v>23535.213376363041</v>
      </c>
      <c r="AE356">
        <v>0</v>
      </c>
      <c r="AF356">
        <v>0</v>
      </c>
      <c r="AG356">
        <v>0</v>
      </c>
      <c r="AH356" s="235">
        <v>9611.3979890488554</v>
      </c>
      <c r="AI356">
        <v>226</v>
      </c>
      <c r="AJ356" t="s">
        <v>256</v>
      </c>
      <c r="AK356">
        <v>0</v>
      </c>
      <c r="AL356">
        <v>0</v>
      </c>
      <c r="AM356">
        <v>0</v>
      </c>
    </row>
    <row r="357" spans="1:39" x14ac:dyDescent="0.25">
      <c r="A357" t="s">
        <v>601</v>
      </c>
      <c r="B357" t="s">
        <v>454</v>
      </c>
      <c r="C357" t="s">
        <v>255</v>
      </c>
      <c r="D357" t="s">
        <v>234</v>
      </c>
      <c r="E357" t="s">
        <v>20</v>
      </c>
      <c r="F357" t="s">
        <v>279</v>
      </c>
      <c r="G357" t="s">
        <v>269</v>
      </c>
      <c r="H357" t="s">
        <v>254</v>
      </c>
      <c r="I357" t="s">
        <v>242</v>
      </c>
      <c r="J357" t="s">
        <v>235</v>
      </c>
      <c r="K357" s="380">
        <v>37257</v>
      </c>
      <c r="L357" s="235">
        <v>269378.57561911532</v>
      </c>
      <c r="M357" s="380">
        <v>37253</v>
      </c>
      <c r="N357" t="s">
        <v>21</v>
      </c>
      <c r="O357">
        <v>1.33</v>
      </c>
      <c r="P357">
        <v>0</v>
      </c>
      <c r="Q357">
        <v>0</v>
      </c>
      <c r="R357">
        <v>0</v>
      </c>
      <c r="S357">
        <v>0</v>
      </c>
      <c r="T357" t="s">
        <v>253</v>
      </c>
      <c r="U357" t="s">
        <v>7</v>
      </c>
      <c r="V357" t="s">
        <v>253</v>
      </c>
      <c r="W357" t="s">
        <v>132</v>
      </c>
      <c r="X357" t="s">
        <v>253</v>
      </c>
      <c r="Y357" t="s">
        <v>235</v>
      </c>
      <c r="Z357" t="s">
        <v>236</v>
      </c>
      <c r="AA357" t="s">
        <v>253</v>
      </c>
      <c r="AB357" t="s">
        <v>121</v>
      </c>
      <c r="AC357" s="235">
        <v>500000</v>
      </c>
      <c r="AD357" s="235">
        <v>24192.439529632567</v>
      </c>
      <c r="AE357">
        <v>0</v>
      </c>
      <c r="AF357">
        <v>0</v>
      </c>
      <c r="AG357">
        <v>0</v>
      </c>
      <c r="AH357" s="235">
        <v>9730.0949617408914</v>
      </c>
      <c r="AI357">
        <v>226</v>
      </c>
      <c r="AJ357" t="s">
        <v>256</v>
      </c>
      <c r="AK357">
        <v>0</v>
      </c>
      <c r="AL357">
        <v>0</v>
      </c>
      <c r="AM357">
        <v>0</v>
      </c>
    </row>
    <row r="358" spans="1:39" x14ac:dyDescent="0.25">
      <c r="A358" t="s">
        <v>601</v>
      </c>
      <c r="B358" t="s">
        <v>454</v>
      </c>
      <c r="C358" t="s">
        <v>255</v>
      </c>
      <c r="D358" t="s">
        <v>234</v>
      </c>
      <c r="E358" t="s">
        <v>20</v>
      </c>
      <c r="F358" t="s">
        <v>279</v>
      </c>
      <c r="G358" t="s">
        <v>269</v>
      </c>
      <c r="H358" t="s">
        <v>254</v>
      </c>
      <c r="I358" t="s">
        <v>242</v>
      </c>
      <c r="J358" t="s">
        <v>235</v>
      </c>
      <c r="K358" s="380">
        <v>37226</v>
      </c>
      <c r="L358" s="235">
        <v>194330.31877854111</v>
      </c>
      <c r="M358" s="380">
        <v>37224</v>
      </c>
      <c r="N358" t="s">
        <v>21</v>
      </c>
      <c r="O358">
        <v>1.33</v>
      </c>
      <c r="P358">
        <v>0</v>
      </c>
      <c r="Q358">
        <v>0</v>
      </c>
      <c r="R358">
        <v>0</v>
      </c>
      <c r="S358">
        <v>0</v>
      </c>
      <c r="T358" t="s">
        <v>253</v>
      </c>
      <c r="U358" t="s">
        <v>7</v>
      </c>
      <c r="V358" t="s">
        <v>253</v>
      </c>
      <c r="W358" t="s">
        <v>132</v>
      </c>
      <c r="X358" t="s">
        <v>253</v>
      </c>
      <c r="Y358" t="s">
        <v>235</v>
      </c>
      <c r="Z358" t="s">
        <v>236</v>
      </c>
      <c r="AA358" t="s">
        <v>253</v>
      </c>
      <c r="AB358" t="s">
        <v>121</v>
      </c>
      <c r="AC358" s="235">
        <v>500000</v>
      </c>
      <c r="AD358" s="235">
        <v>24440.593708304106</v>
      </c>
      <c r="AE358">
        <v>0</v>
      </c>
      <c r="AF358">
        <v>0</v>
      </c>
      <c r="AG358">
        <v>0</v>
      </c>
      <c r="AH358" s="235">
        <v>8654.2372288765037</v>
      </c>
      <c r="AI358">
        <v>226</v>
      </c>
      <c r="AJ358" t="s">
        <v>256</v>
      </c>
      <c r="AK358">
        <v>0</v>
      </c>
      <c r="AL358">
        <v>0</v>
      </c>
      <c r="AM358">
        <v>0</v>
      </c>
    </row>
    <row r="359" spans="1:39" x14ac:dyDescent="0.25">
      <c r="A359" t="s">
        <v>601</v>
      </c>
      <c r="B359" t="s">
        <v>454</v>
      </c>
      <c r="C359" t="s">
        <v>255</v>
      </c>
      <c r="D359" t="s">
        <v>234</v>
      </c>
      <c r="E359" t="s">
        <v>20</v>
      </c>
      <c r="F359" t="s">
        <v>279</v>
      </c>
      <c r="G359" t="s">
        <v>269</v>
      </c>
      <c r="H359" t="s">
        <v>254</v>
      </c>
      <c r="I359" t="s">
        <v>242</v>
      </c>
      <c r="J359" t="s">
        <v>235</v>
      </c>
      <c r="K359" s="380">
        <v>37196</v>
      </c>
      <c r="L359" s="235">
        <v>95420.99629297317</v>
      </c>
      <c r="M359" s="380">
        <v>37194</v>
      </c>
      <c r="N359" t="s">
        <v>21</v>
      </c>
      <c r="O359">
        <v>1.33</v>
      </c>
      <c r="P359">
        <v>0</v>
      </c>
      <c r="Q359">
        <v>0</v>
      </c>
      <c r="R359">
        <v>0</v>
      </c>
      <c r="S359">
        <v>0</v>
      </c>
      <c r="T359" t="s">
        <v>253</v>
      </c>
      <c r="U359" t="s">
        <v>7</v>
      </c>
      <c r="V359" t="s">
        <v>253</v>
      </c>
      <c r="W359" t="s">
        <v>132</v>
      </c>
      <c r="X359" t="s">
        <v>253</v>
      </c>
      <c r="Y359" t="s">
        <v>235</v>
      </c>
      <c r="Z359" t="s">
        <v>236</v>
      </c>
      <c r="AA359" t="s">
        <v>253</v>
      </c>
      <c r="AB359" t="s">
        <v>121</v>
      </c>
      <c r="AC359" s="235">
        <v>500000</v>
      </c>
      <c r="AD359" s="235">
        <v>22239.85498203215</v>
      </c>
      <c r="AE359">
        <v>0</v>
      </c>
      <c r="AF359">
        <v>0</v>
      </c>
      <c r="AG359">
        <v>0</v>
      </c>
      <c r="AH359" s="235">
        <v>6160.7231891622359</v>
      </c>
      <c r="AI359">
        <v>226</v>
      </c>
      <c r="AJ359" t="s">
        <v>256</v>
      </c>
      <c r="AK359">
        <v>0</v>
      </c>
      <c r="AL359">
        <v>0</v>
      </c>
      <c r="AM359">
        <v>0</v>
      </c>
    </row>
    <row r="360" spans="1:39" x14ac:dyDescent="0.25">
      <c r="A360" t="s">
        <v>601</v>
      </c>
      <c r="B360" t="s">
        <v>455</v>
      </c>
      <c r="C360" t="s">
        <v>255</v>
      </c>
      <c r="D360" t="s">
        <v>234</v>
      </c>
      <c r="E360" t="s">
        <v>20</v>
      </c>
      <c r="F360" t="s">
        <v>279</v>
      </c>
      <c r="G360" t="s">
        <v>269</v>
      </c>
      <c r="H360" t="s">
        <v>254</v>
      </c>
      <c r="I360" t="s">
        <v>242</v>
      </c>
      <c r="J360" t="s">
        <v>235</v>
      </c>
      <c r="K360" s="380">
        <v>37316</v>
      </c>
      <c r="L360" s="235">
        <v>262537.34188406973</v>
      </c>
      <c r="M360" s="380">
        <v>37314</v>
      </c>
      <c r="N360" t="s">
        <v>1</v>
      </c>
      <c r="O360">
        <v>1.33</v>
      </c>
      <c r="P360">
        <v>0</v>
      </c>
      <c r="Q360">
        <v>0</v>
      </c>
      <c r="R360">
        <v>0</v>
      </c>
      <c r="S360">
        <v>0</v>
      </c>
      <c r="T360" t="s">
        <v>253</v>
      </c>
      <c r="U360" t="s">
        <v>7</v>
      </c>
      <c r="V360" t="s">
        <v>253</v>
      </c>
      <c r="W360" t="s">
        <v>132</v>
      </c>
      <c r="X360" t="s">
        <v>253</v>
      </c>
      <c r="Y360" t="s">
        <v>235</v>
      </c>
      <c r="Z360" t="s">
        <v>236</v>
      </c>
      <c r="AA360" t="s">
        <v>253</v>
      </c>
      <c r="AB360" t="s">
        <v>121</v>
      </c>
      <c r="AC360" s="235">
        <v>500000</v>
      </c>
      <c r="AD360" s="235">
        <v>22787.965428216587</v>
      </c>
      <c r="AE360">
        <v>0</v>
      </c>
      <c r="AF360">
        <v>0</v>
      </c>
      <c r="AG360">
        <v>0</v>
      </c>
      <c r="AH360" s="235">
        <v>-7014.2538837323082</v>
      </c>
      <c r="AI360">
        <v>226</v>
      </c>
      <c r="AJ360" t="s">
        <v>256</v>
      </c>
      <c r="AK360">
        <v>0</v>
      </c>
      <c r="AL360">
        <v>0</v>
      </c>
      <c r="AM360">
        <v>0</v>
      </c>
    </row>
    <row r="361" spans="1:39" x14ac:dyDescent="0.25">
      <c r="A361" t="s">
        <v>601</v>
      </c>
      <c r="B361" t="s">
        <v>455</v>
      </c>
      <c r="C361" t="s">
        <v>255</v>
      </c>
      <c r="D361" t="s">
        <v>234</v>
      </c>
      <c r="E361" t="s">
        <v>20</v>
      </c>
      <c r="F361" t="s">
        <v>279</v>
      </c>
      <c r="G361" t="s">
        <v>269</v>
      </c>
      <c r="H361" t="s">
        <v>254</v>
      </c>
      <c r="I361" t="s">
        <v>242</v>
      </c>
      <c r="J361" t="s">
        <v>235</v>
      </c>
      <c r="K361" s="380">
        <v>37288</v>
      </c>
      <c r="L361" s="235">
        <v>157566.54963788597</v>
      </c>
      <c r="M361" s="380">
        <v>37286</v>
      </c>
      <c r="N361" t="s">
        <v>1</v>
      </c>
      <c r="O361">
        <v>1.33</v>
      </c>
      <c r="P361">
        <v>0</v>
      </c>
      <c r="Q361">
        <v>0</v>
      </c>
      <c r="R361">
        <v>0</v>
      </c>
      <c r="S361">
        <v>0</v>
      </c>
      <c r="T361" t="s">
        <v>253</v>
      </c>
      <c r="U361" t="s">
        <v>7</v>
      </c>
      <c r="V361" t="s">
        <v>253</v>
      </c>
      <c r="W361" t="s">
        <v>132</v>
      </c>
      <c r="X361" t="s">
        <v>253</v>
      </c>
      <c r="Y361" t="s">
        <v>235</v>
      </c>
      <c r="Z361" t="s">
        <v>236</v>
      </c>
      <c r="AA361" t="s">
        <v>253</v>
      </c>
      <c r="AB361" t="s">
        <v>121</v>
      </c>
      <c r="AC361" s="235">
        <v>500000</v>
      </c>
      <c r="AD361" s="235">
        <v>23535.21337636307</v>
      </c>
      <c r="AE361">
        <v>0</v>
      </c>
      <c r="AF361">
        <v>0</v>
      </c>
      <c r="AG361">
        <v>0</v>
      </c>
      <c r="AH361" s="235">
        <v>-3976.0499767125293</v>
      </c>
      <c r="AI361">
        <v>226</v>
      </c>
      <c r="AJ361" t="s">
        <v>256</v>
      </c>
      <c r="AK361">
        <v>0</v>
      </c>
      <c r="AL361">
        <v>0</v>
      </c>
      <c r="AM361">
        <v>0</v>
      </c>
    </row>
    <row r="362" spans="1:39" x14ac:dyDescent="0.25">
      <c r="A362" t="s">
        <v>601</v>
      </c>
      <c r="B362" t="s">
        <v>455</v>
      </c>
      <c r="C362" t="s">
        <v>255</v>
      </c>
      <c r="D362" t="s">
        <v>234</v>
      </c>
      <c r="E362" t="s">
        <v>20</v>
      </c>
      <c r="F362" t="s">
        <v>279</v>
      </c>
      <c r="G362" t="s">
        <v>269</v>
      </c>
      <c r="H362" t="s">
        <v>254</v>
      </c>
      <c r="I362" t="s">
        <v>242</v>
      </c>
      <c r="J362" t="s">
        <v>235</v>
      </c>
      <c r="K362" s="380">
        <v>37257</v>
      </c>
      <c r="L362" s="235">
        <v>164542.76966693226</v>
      </c>
      <c r="M362" s="380">
        <v>37253</v>
      </c>
      <c r="N362" t="s">
        <v>1</v>
      </c>
      <c r="O362">
        <v>1.33</v>
      </c>
      <c r="P362">
        <v>0</v>
      </c>
      <c r="Q362">
        <v>0</v>
      </c>
      <c r="R362">
        <v>0</v>
      </c>
      <c r="S362">
        <v>0</v>
      </c>
      <c r="T362" t="s">
        <v>253</v>
      </c>
      <c r="U362" t="s">
        <v>7</v>
      </c>
      <c r="V362" t="s">
        <v>253</v>
      </c>
      <c r="W362" t="s">
        <v>132</v>
      </c>
      <c r="X362" t="s">
        <v>253</v>
      </c>
      <c r="Y362" t="s">
        <v>235</v>
      </c>
      <c r="Z362" t="s">
        <v>236</v>
      </c>
      <c r="AA362" t="s">
        <v>253</v>
      </c>
      <c r="AB362" t="s">
        <v>121</v>
      </c>
      <c r="AC362" s="235">
        <v>500000</v>
      </c>
      <c r="AD362" s="235">
        <v>24192.439529632567</v>
      </c>
      <c r="AE362">
        <v>0</v>
      </c>
      <c r="AF362">
        <v>0</v>
      </c>
      <c r="AG362">
        <v>0</v>
      </c>
      <c r="AH362" s="235">
        <v>-3943.1434326648887</v>
      </c>
      <c r="AI362">
        <v>226</v>
      </c>
      <c r="AJ362" t="s">
        <v>256</v>
      </c>
      <c r="AK362">
        <v>0</v>
      </c>
      <c r="AL362">
        <v>0</v>
      </c>
      <c r="AM362">
        <v>0</v>
      </c>
    </row>
    <row r="363" spans="1:39" x14ac:dyDescent="0.25">
      <c r="A363" t="s">
        <v>601</v>
      </c>
      <c r="B363" t="s">
        <v>455</v>
      </c>
      <c r="C363" t="s">
        <v>255</v>
      </c>
      <c r="D363" t="s">
        <v>234</v>
      </c>
      <c r="E363" t="s">
        <v>20</v>
      </c>
      <c r="F363" t="s">
        <v>279</v>
      </c>
      <c r="G363" t="s">
        <v>269</v>
      </c>
      <c r="H363" t="s">
        <v>254</v>
      </c>
      <c r="I363" t="s">
        <v>242</v>
      </c>
      <c r="J363" t="s">
        <v>235</v>
      </c>
      <c r="K363" s="380">
        <v>37226</v>
      </c>
      <c r="L363" s="235">
        <v>203497.30459350502</v>
      </c>
      <c r="M363" s="380">
        <v>37224</v>
      </c>
      <c r="N363" t="s">
        <v>1</v>
      </c>
      <c r="O363">
        <v>1.33</v>
      </c>
      <c r="P363">
        <v>0</v>
      </c>
      <c r="Q363">
        <v>0</v>
      </c>
      <c r="R363">
        <v>0</v>
      </c>
      <c r="S363">
        <v>0</v>
      </c>
      <c r="T363" t="s">
        <v>253</v>
      </c>
      <c r="U363" t="s">
        <v>7</v>
      </c>
      <c r="V363" t="s">
        <v>253</v>
      </c>
      <c r="W363" t="s">
        <v>132</v>
      </c>
      <c r="X363" t="s">
        <v>253</v>
      </c>
      <c r="Y363" t="s">
        <v>235</v>
      </c>
      <c r="Z363" t="s">
        <v>236</v>
      </c>
      <c r="AA363" t="s">
        <v>253</v>
      </c>
      <c r="AB363" t="s">
        <v>121</v>
      </c>
      <c r="AC363" s="235">
        <v>500000</v>
      </c>
      <c r="AD363" s="235">
        <v>24440.593708304106</v>
      </c>
      <c r="AE363">
        <v>0</v>
      </c>
      <c r="AF363">
        <v>0</v>
      </c>
      <c r="AG363">
        <v>0</v>
      </c>
      <c r="AH363" s="235">
        <v>-5094.5933683501498</v>
      </c>
      <c r="AI363">
        <v>226</v>
      </c>
      <c r="AJ363" t="s">
        <v>256</v>
      </c>
      <c r="AK363">
        <v>0</v>
      </c>
      <c r="AL363">
        <v>0</v>
      </c>
      <c r="AM363">
        <v>0</v>
      </c>
    </row>
    <row r="364" spans="1:39" x14ac:dyDescent="0.25">
      <c r="A364" t="s">
        <v>601</v>
      </c>
      <c r="B364" t="s">
        <v>455</v>
      </c>
      <c r="C364" t="s">
        <v>255</v>
      </c>
      <c r="D364" t="s">
        <v>234</v>
      </c>
      <c r="E364" t="s">
        <v>20</v>
      </c>
      <c r="F364" t="s">
        <v>279</v>
      </c>
      <c r="G364" t="s">
        <v>269</v>
      </c>
      <c r="H364" t="s">
        <v>254</v>
      </c>
      <c r="I364" t="s">
        <v>242</v>
      </c>
      <c r="J364" t="s">
        <v>235</v>
      </c>
      <c r="K364" s="380">
        <v>37196</v>
      </c>
      <c r="L364" s="235">
        <v>298254.16662930237</v>
      </c>
      <c r="M364" s="380">
        <v>37194</v>
      </c>
      <c r="N364" t="s">
        <v>1</v>
      </c>
      <c r="O364">
        <v>1.33</v>
      </c>
      <c r="P364">
        <v>0</v>
      </c>
      <c r="Q364">
        <v>0</v>
      </c>
      <c r="R364">
        <v>0</v>
      </c>
      <c r="S364">
        <v>0</v>
      </c>
      <c r="T364" t="s">
        <v>253</v>
      </c>
      <c r="U364" t="s">
        <v>7</v>
      </c>
      <c r="V364" t="s">
        <v>253</v>
      </c>
      <c r="W364" t="s">
        <v>132</v>
      </c>
      <c r="X364" t="s">
        <v>253</v>
      </c>
      <c r="Y364" t="s">
        <v>235</v>
      </c>
      <c r="Z364" t="s">
        <v>236</v>
      </c>
      <c r="AA364" t="s">
        <v>253</v>
      </c>
      <c r="AB364" t="s">
        <v>121</v>
      </c>
      <c r="AC364" s="235">
        <v>500000</v>
      </c>
      <c r="AD364" s="235">
        <v>22239.85498203215</v>
      </c>
      <c r="AE364">
        <v>0</v>
      </c>
      <c r="AF364">
        <v>0</v>
      </c>
      <c r="AG364">
        <v>0</v>
      </c>
      <c r="AH364" s="235">
        <v>-7666.4957902661408</v>
      </c>
      <c r="AI364">
        <v>226</v>
      </c>
      <c r="AJ364" t="s">
        <v>256</v>
      </c>
      <c r="AK364">
        <v>0</v>
      </c>
      <c r="AL364">
        <v>0</v>
      </c>
      <c r="AM364">
        <v>0</v>
      </c>
    </row>
    <row r="365" spans="1:39" x14ac:dyDescent="0.25">
      <c r="A365" t="s">
        <v>601</v>
      </c>
      <c r="B365" t="s">
        <v>456</v>
      </c>
      <c r="C365" t="s">
        <v>255</v>
      </c>
      <c r="D365" t="s">
        <v>234</v>
      </c>
      <c r="E365" t="s">
        <v>20</v>
      </c>
      <c r="F365" t="s">
        <v>279</v>
      </c>
      <c r="G365" t="s">
        <v>269</v>
      </c>
      <c r="H365" t="s">
        <v>254</v>
      </c>
      <c r="I365" t="s">
        <v>242</v>
      </c>
      <c r="J365" t="s">
        <v>235</v>
      </c>
      <c r="K365" s="380">
        <v>36951</v>
      </c>
      <c r="L365" s="235">
        <v>-78849.033277344846</v>
      </c>
      <c r="M365" s="380">
        <v>36949</v>
      </c>
      <c r="N365" t="s">
        <v>21</v>
      </c>
      <c r="O365">
        <v>2.5</v>
      </c>
      <c r="P365">
        <v>0</v>
      </c>
      <c r="Q365">
        <v>0</v>
      </c>
      <c r="R365">
        <v>0</v>
      </c>
      <c r="S365">
        <v>0</v>
      </c>
      <c r="T365" t="s">
        <v>253</v>
      </c>
      <c r="U365" t="s">
        <v>7</v>
      </c>
      <c r="V365" t="s">
        <v>253</v>
      </c>
      <c r="W365" t="s">
        <v>132</v>
      </c>
      <c r="X365" t="s">
        <v>253</v>
      </c>
      <c r="Y365" t="s">
        <v>235</v>
      </c>
      <c r="Z365" t="s">
        <v>236</v>
      </c>
      <c r="AA365" t="s">
        <v>253</v>
      </c>
      <c r="AB365" t="s">
        <v>121</v>
      </c>
      <c r="AC365" s="235">
        <v>-500000</v>
      </c>
      <c r="AD365" s="235">
        <v>-28654.294690808922</v>
      </c>
      <c r="AE365">
        <v>0</v>
      </c>
      <c r="AF365">
        <v>0</v>
      </c>
      <c r="AG365">
        <v>0</v>
      </c>
      <c r="AH365" s="235">
        <v>-7840.6989365729532</v>
      </c>
      <c r="AI365">
        <v>226</v>
      </c>
      <c r="AJ365" t="s">
        <v>256</v>
      </c>
      <c r="AK365">
        <v>0</v>
      </c>
      <c r="AL365">
        <v>0</v>
      </c>
      <c r="AM365">
        <v>0</v>
      </c>
    </row>
    <row r="366" spans="1:39" x14ac:dyDescent="0.25">
      <c r="A366" t="s">
        <v>601</v>
      </c>
      <c r="B366" t="s">
        <v>456</v>
      </c>
      <c r="C366" t="s">
        <v>255</v>
      </c>
      <c r="D366" t="s">
        <v>234</v>
      </c>
      <c r="E366" t="s">
        <v>20</v>
      </c>
      <c r="F366" t="s">
        <v>279</v>
      </c>
      <c r="G366" t="s">
        <v>269</v>
      </c>
      <c r="H366" t="s">
        <v>254</v>
      </c>
      <c r="I366" t="s">
        <v>242</v>
      </c>
      <c r="J366" t="s">
        <v>235</v>
      </c>
      <c r="K366" s="380">
        <v>36923</v>
      </c>
      <c r="L366" s="235">
        <v>-268548.12815983553</v>
      </c>
      <c r="M366" s="380">
        <v>36921</v>
      </c>
      <c r="N366" t="s">
        <v>21</v>
      </c>
      <c r="O366">
        <v>2.5</v>
      </c>
      <c r="P366">
        <v>0</v>
      </c>
      <c r="Q366">
        <v>0</v>
      </c>
      <c r="R366">
        <v>0</v>
      </c>
      <c r="S366">
        <v>0</v>
      </c>
      <c r="T366" t="s">
        <v>253</v>
      </c>
      <c r="U366" t="s">
        <v>7</v>
      </c>
      <c r="V366" t="s">
        <v>253</v>
      </c>
      <c r="W366" t="s">
        <v>132</v>
      </c>
      <c r="X366" t="s">
        <v>253</v>
      </c>
      <c r="Y366" t="s">
        <v>235</v>
      </c>
      <c r="Z366" t="s">
        <v>236</v>
      </c>
      <c r="AA366" t="s">
        <v>253</v>
      </c>
      <c r="AB366" t="s">
        <v>121</v>
      </c>
      <c r="AC366" s="235">
        <v>-500000</v>
      </c>
      <c r="AD366" s="235">
        <v>-41384.801118099946</v>
      </c>
      <c r="AE366">
        <v>0</v>
      </c>
      <c r="AF366">
        <v>0</v>
      </c>
      <c r="AG366">
        <v>0</v>
      </c>
      <c r="AH366" s="235">
        <v>-17740.318310459523</v>
      </c>
      <c r="AI366">
        <v>226</v>
      </c>
      <c r="AJ366" t="s">
        <v>256</v>
      </c>
      <c r="AK366">
        <v>0</v>
      </c>
      <c r="AL366">
        <v>0</v>
      </c>
      <c r="AM366">
        <v>0</v>
      </c>
    </row>
    <row r="367" spans="1:39" x14ac:dyDescent="0.25">
      <c r="A367" t="s">
        <v>601</v>
      </c>
      <c r="B367" t="s">
        <v>456</v>
      </c>
      <c r="C367" t="s">
        <v>255</v>
      </c>
      <c r="D367" t="s">
        <v>234</v>
      </c>
      <c r="E367" t="s">
        <v>20</v>
      </c>
      <c r="F367" t="s">
        <v>279</v>
      </c>
      <c r="G367" t="s">
        <v>269</v>
      </c>
      <c r="H367" t="s">
        <v>254</v>
      </c>
      <c r="I367" t="s">
        <v>242</v>
      </c>
      <c r="J367" t="s">
        <v>235</v>
      </c>
      <c r="K367" s="380">
        <v>36892</v>
      </c>
      <c r="L367" s="235">
        <v>-265933.05198546639</v>
      </c>
      <c r="M367" s="380">
        <v>36888</v>
      </c>
      <c r="N367" t="s">
        <v>21</v>
      </c>
      <c r="O367">
        <v>2.5</v>
      </c>
      <c r="P367">
        <v>0</v>
      </c>
      <c r="Q367">
        <v>0</v>
      </c>
      <c r="R367">
        <v>0</v>
      </c>
      <c r="S367">
        <v>0</v>
      </c>
      <c r="T367" t="s">
        <v>253</v>
      </c>
      <c r="U367" t="s">
        <v>7</v>
      </c>
      <c r="V367" t="s">
        <v>253</v>
      </c>
      <c r="W367" t="s">
        <v>132</v>
      </c>
      <c r="X367" t="s">
        <v>253</v>
      </c>
      <c r="Y367" t="s">
        <v>235</v>
      </c>
      <c r="Z367" t="s">
        <v>236</v>
      </c>
      <c r="AA367" t="s">
        <v>253</v>
      </c>
      <c r="AB367" t="s">
        <v>121</v>
      </c>
      <c r="AC367" s="235">
        <v>-500000</v>
      </c>
      <c r="AD367" s="235">
        <v>-38180.91539945046</v>
      </c>
      <c r="AE367">
        <v>0</v>
      </c>
      <c r="AF367">
        <v>0</v>
      </c>
      <c r="AG367">
        <v>0</v>
      </c>
      <c r="AH367" s="235">
        <v>-15641.415935667057</v>
      </c>
      <c r="AI367">
        <v>226</v>
      </c>
      <c r="AJ367" t="s">
        <v>256</v>
      </c>
      <c r="AK367">
        <v>0</v>
      </c>
      <c r="AL367">
        <v>0</v>
      </c>
      <c r="AM367">
        <v>0</v>
      </c>
    </row>
    <row r="368" spans="1:39" x14ac:dyDescent="0.25">
      <c r="A368" t="s">
        <v>601</v>
      </c>
      <c r="B368" t="s">
        <v>456</v>
      </c>
      <c r="C368" t="s">
        <v>255</v>
      </c>
      <c r="D368" t="s">
        <v>234</v>
      </c>
      <c r="E368" t="s">
        <v>20</v>
      </c>
      <c r="F368" t="s">
        <v>279</v>
      </c>
      <c r="G368" t="s">
        <v>269</v>
      </c>
      <c r="H368" t="s">
        <v>254</v>
      </c>
      <c r="I368" t="s">
        <v>242</v>
      </c>
      <c r="J368" t="s">
        <v>235</v>
      </c>
      <c r="K368" s="380">
        <v>36861</v>
      </c>
      <c r="L368" s="235">
        <v>-123868.75990027811</v>
      </c>
      <c r="M368" s="380">
        <v>36859</v>
      </c>
      <c r="N368" t="s">
        <v>21</v>
      </c>
      <c r="O368">
        <v>2.5</v>
      </c>
      <c r="P368">
        <v>0</v>
      </c>
      <c r="Q368">
        <v>0</v>
      </c>
      <c r="R368">
        <v>0</v>
      </c>
      <c r="S368">
        <v>0</v>
      </c>
      <c r="T368" t="s">
        <v>253</v>
      </c>
      <c r="U368" t="s">
        <v>7</v>
      </c>
      <c r="V368" t="s">
        <v>253</v>
      </c>
      <c r="W368" t="s">
        <v>132</v>
      </c>
      <c r="X368" t="s">
        <v>253</v>
      </c>
      <c r="Y368" t="s">
        <v>235</v>
      </c>
      <c r="Z368" t="s">
        <v>236</v>
      </c>
      <c r="AA368" t="s">
        <v>253</v>
      </c>
      <c r="AB368" t="s">
        <v>121</v>
      </c>
      <c r="AC368" s="235">
        <v>-500000</v>
      </c>
      <c r="AD368" s="235">
        <v>-29013.413268605582</v>
      </c>
      <c r="AE368">
        <v>0</v>
      </c>
      <c r="AF368">
        <v>0</v>
      </c>
      <c r="AG368">
        <v>0</v>
      </c>
      <c r="AH368" s="235">
        <v>-8395.7537899614254</v>
      </c>
      <c r="AI368">
        <v>226</v>
      </c>
      <c r="AJ368" t="s">
        <v>256</v>
      </c>
      <c r="AK368">
        <v>0</v>
      </c>
      <c r="AL368">
        <v>0</v>
      </c>
      <c r="AM368">
        <v>0</v>
      </c>
    </row>
    <row r="369" spans="1:39" x14ac:dyDescent="0.25">
      <c r="A369" t="s">
        <v>601</v>
      </c>
      <c r="B369" t="s">
        <v>456</v>
      </c>
      <c r="C369" t="s">
        <v>255</v>
      </c>
      <c r="D369" t="s">
        <v>234</v>
      </c>
      <c r="E369" t="s">
        <v>20</v>
      </c>
      <c r="F369" t="s">
        <v>279</v>
      </c>
      <c r="G369" t="s">
        <v>269</v>
      </c>
      <c r="H369" t="s">
        <v>254</v>
      </c>
      <c r="I369" t="s">
        <v>242</v>
      </c>
      <c r="J369" t="s">
        <v>235</v>
      </c>
      <c r="K369" s="380">
        <v>36831</v>
      </c>
      <c r="L369" s="235">
        <v>-3219.7737547645352</v>
      </c>
      <c r="M369" s="380">
        <v>36829</v>
      </c>
      <c r="N369" t="s">
        <v>21</v>
      </c>
      <c r="O369">
        <v>2.5</v>
      </c>
      <c r="P369">
        <v>0</v>
      </c>
      <c r="Q369">
        <v>0</v>
      </c>
      <c r="R369">
        <v>0</v>
      </c>
      <c r="S369">
        <v>0</v>
      </c>
      <c r="T369" t="s">
        <v>253</v>
      </c>
      <c r="U369" t="s">
        <v>7</v>
      </c>
      <c r="V369" t="s">
        <v>253</v>
      </c>
      <c r="W369" t="s">
        <v>132</v>
      </c>
      <c r="X369" t="s">
        <v>253</v>
      </c>
      <c r="Y369" t="s">
        <v>235</v>
      </c>
      <c r="Z369" t="s">
        <v>236</v>
      </c>
      <c r="AA369" t="s">
        <v>253</v>
      </c>
      <c r="AB369" t="s">
        <v>121</v>
      </c>
      <c r="AC369" s="235">
        <v>-500000</v>
      </c>
      <c r="AD369" s="235">
        <v>-2615.9866711958512</v>
      </c>
      <c r="AE369">
        <v>0</v>
      </c>
      <c r="AF369">
        <v>0</v>
      </c>
      <c r="AG369">
        <v>0</v>
      </c>
      <c r="AH369" s="235">
        <v>-633.23058700751426</v>
      </c>
      <c r="AI369">
        <v>226</v>
      </c>
      <c r="AJ369" t="s">
        <v>256</v>
      </c>
      <c r="AK369">
        <v>0</v>
      </c>
      <c r="AL369">
        <v>0</v>
      </c>
      <c r="AM369">
        <v>0</v>
      </c>
    </row>
    <row r="370" spans="1:39" x14ac:dyDescent="0.25">
      <c r="A370" t="s">
        <v>601</v>
      </c>
      <c r="B370" t="s">
        <v>457</v>
      </c>
      <c r="C370" t="s">
        <v>255</v>
      </c>
      <c r="D370" t="s">
        <v>234</v>
      </c>
      <c r="E370" t="s">
        <v>20</v>
      </c>
      <c r="F370" t="s">
        <v>294</v>
      </c>
      <c r="G370" t="s">
        <v>269</v>
      </c>
      <c r="H370" t="s">
        <v>254</v>
      </c>
      <c r="I370" t="s">
        <v>242</v>
      </c>
      <c r="J370" t="s">
        <v>235</v>
      </c>
      <c r="K370" s="380">
        <v>36951</v>
      </c>
      <c r="L370" s="235">
        <v>160013.49465428333</v>
      </c>
      <c r="M370" s="380">
        <v>36949</v>
      </c>
      <c r="N370" t="s">
        <v>1</v>
      </c>
      <c r="O370">
        <v>0.7</v>
      </c>
      <c r="P370">
        <v>0</v>
      </c>
      <c r="Q370">
        <v>0</v>
      </c>
      <c r="R370">
        <v>0</v>
      </c>
      <c r="S370">
        <v>0</v>
      </c>
      <c r="T370" t="s">
        <v>253</v>
      </c>
      <c r="U370" t="s">
        <v>7</v>
      </c>
      <c r="V370" t="s">
        <v>253</v>
      </c>
      <c r="W370" t="s">
        <v>132</v>
      </c>
      <c r="X370" t="s">
        <v>253</v>
      </c>
      <c r="Y370" t="s">
        <v>235</v>
      </c>
      <c r="Z370" t="s">
        <v>236</v>
      </c>
      <c r="AA370" t="s">
        <v>253</v>
      </c>
      <c r="AB370" t="s">
        <v>121</v>
      </c>
      <c r="AC370" s="235">
        <v>500000</v>
      </c>
      <c r="AD370" s="235">
        <v>43330.870709748735</v>
      </c>
      <c r="AE370">
        <v>0</v>
      </c>
      <c r="AF370">
        <v>0</v>
      </c>
      <c r="AG370">
        <v>0</v>
      </c>
      <c r="AH370" s="235">
        <v>-7738.7699128053209</v>
      </c>
      <c r="AI370">
        <v>226</v>
      </c>
      <c r="AJ370" t="s">
        <v>256</v>
      </c>
      <c r="AK370">
        <v>0</v>
      </c>
      <c r="AL370">
        <v>0</v>
      </c>
      <c r="AM370">
        <v>0</v>
      </c>
    </row>
    <row r="371" spans="1:39" x14ac:dyDescent="0.25">
      <c r="A371" t="s">
        <v>601</v>
      </c>
      <c r="B371" t="s">
        <v>457</v>
      </c>
      <c r="C371" t="s">
        <v>255</v>
      </c>
      <c r="D371" t="s">
        <v>234</v>
      </c>
      <c r="E371" t="s">
        <v>20</v>
      </c>
      <c r="F371" t="s">
        <v>294</v>
      </c>
      <c r="G371" t="s">
        <v>269</v>
      </c>
      <c r="H371" t="s">
        <v>254</v>
      </c>
      <c r="I371" t="s">
        <v>242</v>
      </c>
      <c r="J371" t="s">
        <v>235</v>
      </c>
      <c r="K371" s="380">
        <v>36923</v>
      </c>
      <c r="L371" s="235">
        <v>64633.941476257009</v>
      </c>
      <c r="M371" s="380">
        <v>36921</v>
      </c>
      <c r="N371" t="s">
        <v>1</v>
      </c>
      <c r="O371">
        <v>0.7</v>
      </c>
      <c r="P371">
        <v>0</v>
      </c>
      <c r="Q371">
        <v>0</v>
      </c>
      <c r="R371">
        <v>0</v>
      </c>
      <c r="S371">
        <v>0</v>
      </c>
      <c r="T371" t="s">
        <v>253</v>
      </c>
      <c r="U371" t="s">
        <v>7</v>
      </c>
      <c r="V371" t="s">
        <v>253</v>
      </c>
      <c r="W371" t="s">
        <v>132</v>
      </c>
      <c r="X371" t="s">
        <v>253</v>
      </c>
      <c r="Y371" t="s">
        <v>235</v>
      </c>
      <c r="Z371" t="s">
        <v>236</v>
      </c>
      <c r="AA371" t="s">
        <v>253</v>
      </c>
      <c r="AB371" t="s">
        <v>121</v>
      </c>
      <c r="AC371" s="235">
        <v>500000</v>
      </c>
      <c r="AD371" s="235">
        <v>29717.687451287886</v>
      </c>
      <c r="AE371">
        <v>0</v>
      </c>
      <c r="AF371">
        <v>0</v>
      </c>
      <c r="AG371">
        <v>0</v>
      </c>
      <c r="AH371" s="235">
        <v>-3486.3314122071097</v>
      </c>
      <c r="AI371">
        <v>226</v>
      </c>
      <c r="AJ371" t="s">
        <v>256</v>
      </c>
      <c r="AK371">
        <v>0</v>
      </c>
      <c r="AL371">
        <v>0</v>
      </c>
      <c r="AM371">
        <v>0</v>
      </c>
    </row>
    <row r="372" spans="1:39" x14ac:dyDescent="0.25">
      <c r="A372" t="s">
        <v>601</v>
      </c>
      <c r="B372" t="s">
        <v>457</v>
      </c>
      <c r="C372" t="s">
        <v>255</v>
      </c>
      <c r="D372" t="s">
        <v>234</v>
      </c>
      <c r="E372" t="s">
        <v>20</v>
      </c>
      <c r="F372" t="s">
        <v>294</v>
      </c>
      <c r="G372" t="s">
        <v>269</v>
      </c>
      <c r="H372" t="s">
        <v>254</v>
      </c>
      <c r="I372" t="s">
        <v>242</v>
      </c>
      <c r="J372" t="s">
        <v>235</v>
      </c>
      <c r="K372" s="380">
        <v>36892</v>
      </c>
      <c r="L372" s="235">
        <v>50711.576374094235</v>
      </c>
      <c r="M372" s="380">
        <v>36888</v>
      </c>
      <c r="N372" t="s">
        <v>1</v>
      </c>
      <c r="O372">
        <v>0.7</v>
      </c>
      <c r="P372">
        <v>0</v>
      </c>
      <c r="Q372">
        <v>0</v>
      </c>
      <c r="R372">
        <v>0</v>
      </c>
      <c r="S372">
        <v>0</v>
      </c>
      <c r="T372" t="s">
        <v>253</v>
      </c>
      <c r="U372" t="s">
        <v>7</v>
      </c>
      <c r="V372" t="s">
        <v>253</v>
      </c>
      <c r="W372" t="s">
        <v>132</v>
      </c>
      <c r="X372" t="s">
        <v>253</v>
      </c>
      <c r="Y372" t="s">
        <v>235</v>
      </c>
      <c r="Z372" t="s">
        <v>236</v>
      </c>
      <c r="AA372" t="s">
        <v>253</v>
      </c>
      <c r="AB372" t="s">
        <v>121</v>
      </c>
      <c r="AC372" s="235">
        <v>500000</v>
      </c>
      <c r="AD372" s="235">
        <v>24485.577755361082</v>
      </c>
      <c r="AE372">
        <v>0</v>
      </c>
      <c r="AF372">
        <v>0</v>
      </c>
      <c r="AG372">
        <v>0</v>
      </c>
      <c r="AH372" s="235">
        <v>-2460.6123207733253</v>
      </c>
      <c r="AI372">
        <v>226</v>
      </c>
      <c r="AJ372" t="s">
        <v>256</v>
      </c>
      <c r="AK372">
        <v>0</v>
      </c>
      <c r="AL372">
        <v>0</v>
      </c>
      <c r="AM372">
        <v>0</v>
      </c>
    </row>
    <row r="373" spans="1:39" x14ac:dyDescent="0.25">
      <c r="A373" t="s">
        <v>601</v>
      </c>
      <c r="B373" t="s">
        <v>457</v>
      </c>
      <c r="C373" t="s">
        <v>255</v>
      </c>
      <c r="D373" t="s">
        <v>234</v>
      </c>
      <c r="E373" t="s">
        <v>20</v>
      </c>
      <c r="F373" t="s">
        <v>294</v>
      </c>
      <c r="G373" t="s">
        <v>269</v>
      </c>
      <c r="H373" t="s">
        <v>254</v>
      </c>
      <c r="I373" t="s">
        <v>242</v>
      </c>
      <c r="J373" t="s">
        <v>235</v>
      </c>
      <c r="K373" s="380">
        <v>36861</v>
      </c>
      <c r="L373" s="235">
        <v>67625.326271583297</v>
      </c>
      <c r="M373" s="380">
        <v>36859</v>
      </c>
      <c r="N373" t="s">
        <v>1</v>
      </c>
      <c r="O373">
        <v>0.7</v>
      </c>
      <c r="P373">
        <v>0</v>
      </c>
      <c r="Q373">
        <v>0</v>
      </c>
      <c r="R373">
        <v>0</v>
      </c>
      <c r="S373">
        <v>0</v>
      </c>
      <c r="T373" t="s">
        <v>253</v>
      </c>
      <c r="U373" t="s">
        <v>7</v>
      </c>
      <c r="V373" t="s">
        <v>253</v>
      </c>
      <c r="W373" t="s">
        <v>132</v>
      </c>
      <c r="X373" t="s">
        <v>253</v>
      </c>
      <c r="Y373" t="s">
        <v>235</v>
      </c>
      <c r="Z373" t="s">
        <v>236</v>
      </c>
      <c r="AA373" t="s">
        <v>253</v>
      </c>
      <c r="AB373" t="s">
        <v>121</v>
      </c>
      <c r="AC373" s="235">
        <v>500000</v>
      </c>
      <c r="AD373" s="235">
        <v>26854.262618988651</v>
      </c>
      <c r="AE373">
        <v>0</v>
      </c>
      <c r="AF373">
        <v>0</v>
      </c>
      <c r="AG373">
        <v>0</v>
      </c>
      <c r="AH373" s="235">
        <v>-2764.9832762479637</v>
      </c>
      <c r="AI373">
        <v>226</v>
      </c>
      <c r="AJ373" t="s">
        <v>256</v>
      </c>
      <c r="AK373">
        <v>0</v>
      </c>
      <c r="AL373">
        <v>0</v>
      </c>
      <c r="AM373">
        <v>0</v>
      </c>
    </row>
    <row r="374" spans="1:39" x14ac:dyDescent="0.25">
      <c r="A374" t="s">
        <v>601</v>
      </c>
      <c r="B374" t="s">
        <v>457</v>
      </c>
      <c r="C374" t="s">
        <v>255</v>
      </c>
      <c r="D374" t="s">
        <v>234</v>
      </c>
      <c r="E374" t="s">
        <v>20</v>
      </c>
      <c r="F374" t="s">
        <v>294</v>
      </c>
      <c r="G374" t="s">
        <v>269</v>
      </c>
      <c r="H374" t="s">
        <v>254</v>
      </c>
      <c r="I374" t="s">
        <v>242</v>
      </c>
      <c r="J374" t="s">
        <v>235</v>
      </c>
      <c r="K374" s="380">
        <v>36831</v>
      </c>
      <c r="L374" s="235">
        <v>112243.68419881586</v>
      </c>
      <c r="M374" s="380">
        <v>36829</v>
      </c>
      <c r="N374" t="s">
        <v>1</v>
      </c>
      <c r="O374">
        <v>0.7</v>
      </c>
      <c r="P374">
        <v>0</v>
      </c>
      <c r="Q374">
        <v>0</v>
      </c>
      <c r="R374">
        <v>0</v>
      </c>
      <c r="S374">
        <v>0</v>
      </c>
      <c r="T374" t="s">
        <v>253</v>
      </c>
      <c r="U374" t="s">
        <v>7</v>
      </c>
      <c r="V374" t="s">
        <v>253</v>
      </c>
      <c r="W374" t="s">
        <v>132</v>
      </c>
      <c r="X374" t="s">
        <v>253</v>
      </c>
      <c r="Y374" t="s">
        <v>235</v>
      </c>
      <c r="Z374" t="s">
        <v>236</v>
      </c>
      <c r="AA374" t="s">
        <v>253</v>
      </c>
      <c r="AB374" t="s">
        <v>121</v>
      </c>
      <c r="AC374" s="235">
        <v>500000</v>
      </c>
      <c r="AD374" s="235">
        <v>22551.217129870056</v>
      </c>
      <c r="AE374">
        <v>0</v>
      </c>
      <c r="AF374">
        <v>0</v>
      </c>
      <c r="AG374">
        <v>0</v>
      </c>
      <c r="AH374" s="235">
        <v>-7585.6548787238717</v>
      </c>
      <c r="AI374">
        <v>226</v>
      </c>
      <c r="AJ374" t="s">
        <v>256</v>
      </c>
      <c r="AK374">
        <v>0</v>
      </c>
      <c r="AL374">
        <v>0</v>
      </c>
      <c r="AM374">
        <v>0</v>
      </c>
    </row>
    <row r="375" spans="1:39" x14ac:dyDescent="0.25">
      <c r="A375" t="s">
        <v>601</v>
      </c>
      <c r="B375" t="s">
        <v>458</v>
      </c>
      <c r="C375" t="s">
        <v>255</v>
      </c>
      <c r="D375" t="s">
        <v>234</v>
      </c>
      <c r="E375" t="s">
        <v>20</v>
      </c>
      <c r="F375" t="s">
        <v>284</v>
      </c>
      <c r="G375" t="s">
        <v>269</v>
      </c>
      <c r="H375" t="s">
        <v>254</v>
      </c>
      <c r="I375" t="s">
        <v>242</v>
      </c>
      <c r="J375" t="s">
        <v>235</v>
      </c>
      <c r="K375" s="380">
        <v>36951</v>
      </c>
      <c r="L375" s="235">
        <v>513232.34541638073</v>
      </c>
      <c r="M375" s="380">
        <v>36949</v>
      </c>
      <c r="N375" t="s">
        <v>1</v>
      </c>
      <c r="O375">
        <v>0.75</v>
      </c>
      <c r="P375">
        <v>0</v>
      </c>
      <c r="Q375">
        <v>0</v>
      </c>
      <c r="R375">
        <v>0</v>
      </c>
      <c r="S375">
        <v>0</v>
      </c>
      <c r="T375" t="s">
        <v>253</v>
      </c>
      <c r="U375" t="s">
        <v>7</v>
      </c>
      <c r="V375" t="s">
        <v>253</v>
      </c>
      <c r="W375" t="s">
        <v>132</v>
      </c>
      <c r="X375" t="s">
        <v>253</v>
      </c>
      <c r="Y375" t="s">
        <v>235</v>
      </c>
      <c r="Z375" t="s">
        <v>236</v>
      </c>
      <c r="AA375" t="s">
        <v>253</v>
      </c>
      <c r="AB375" t="s">
        <v>121</v>
      </c>
      <c r="AC375" s="235">
        <v>1500000</v>
      </c>
      <c r="AD375" s="235">
        <v>131130.45442071627</v>
      </c>
      <c r="AE375">
        <v>0</v>
      </c>
      <c r="AF375">
        <v>0</v>
      </c>
      <c r="AG375">
        <v>0</v>
      </c>
      <c r="AH375" s="235">
        <v>-24505.829137213586</v>
      </c>
      <c r="AI375">
        <v>226</v>
      </c>
      <c r="AJ375" t="s">
        <v>256</v>
      </c>
      <c r="AK375">
        <v>0</v>
      </c>
      <c r="AL375">
        <v>0</v>
      </c>
      <c r="AM375">
        <v>0</v>
      </c>
    </row>
    <row r="376" spans="1:39" x14ac:dyDescent="0.25">
      <c r="A376" t="s">
        <v>601</v>
      </c>
      <c r="B376" t="s">
        <v>458</v>
      </c>
      <c r="C376" t="s">
        <v>255</v>
      </c>
      <c r="D376" t="s">
        <v>234</v>
      </c>
      <c r="E376" t="s">
        <v>20</v>
      </c>
      <c r="F376" t="s">
        <v>284</v>
      </c>
      <c r="G376" t="s">
        <v>269</v>
      </c>
      <c r="H376" t="s">
        <v>254</v>
      </c>
      <c r="I376" t="s">
        <v>242</v>
      </c>
      <c r="J376" t="s">
        <v>235</v>
      </c>
      <c r="K376" s="380">
        <v>36923</v>
      </c>
      <c r="L376" s="235">
        <v>210372.74883347563</v>
      </c>
      <c r="M376" s="380">
        <v>36921</v>
      </c>
      <c r="N376" t="s">
        <v>1</v>
      </c>
      <c r="O376">
        <v>0.75</v>
      </c>
      <c r="P376">
        <v>0</v>
      </c>
      <c r="Q376">
        <v>0</v>
      </c>
      <c r="R376">
        <v>0</v>
      </c>
      <c r="S376">
        <v>0</v>
      </c>
      <c r="T376" t="s">
        <v>253</v>
      </c>
      <c r="U376" t="s">
        <v>7</v>
      </c>
      <c r="V376" t="s">
        <v>253</v>
      </c>
      <c r="W376" t="s">
        <v>132</v>
      </c>
      <c r="X376" t="s">
        <v>253</v>
      </c>
      <c r="Y376" t="s">
        <v>235</v>
      </c>
      <c r="Z376" t="s">
        <v>236</v>
      </c>
      <c r="AA376" t="s">
        <v>253</v>
      </c>
      <c r="AB376" t="s">
        <v>121</v>
      </c>
      <c r="AC376" s="235">
        <v>1500000</v>
      </c>
      <c r="AD376" s="235">
        <v>92204.357388709526</v>
      </c>
      <c r="AE376">
        <v>0</v>
      </c>
      <c r="AF376">
        <v>0</v>
      </c>
      <c r="AG376">
        <v>0</v>
      </c>
      <c r="AH376" s="235">
        <v>-11260.053192083229</v>
      </c>
      <c r="AI376">
        <v>226</v>
      </c>
      <c r="AJ376" t="s">
        <v>256</v>
      </c>
      <c r="AK376">
        <v>0</v>
      </c>
      <c r="AL376">
        <v>0</v>
      </c>
      <c r="AM376">
        <v>0</v>
      </c>
    </row>
    <row r="377" spans="1:39" x14ac:dyDescent="0.25">
      <c r="A377" t="s">
        <v>601</v>
      </c>
      <c r="B377" t="s">
        <v>458</v>
      </c>
      <c r="C377" t="s">
        <v>255</v>
      </c>
      <c r="D377" t="s">
        <v>234</v>
      </c>
      <c r="E377" t="s">
        <v>20</v>
      </c>
      <c r="F377" t="s">
        <v>284</v>
      </c>
      <c r="G377" t="s">
        <v>269</v>
      </c>
      <c r="H377" t="s">
        <v>254</v>
      </c>
      <c r="I377" t="s">
        <v>242</v>
      </c>
      <c r="J377" t="s">
        <v>235</v>
      </c>
      <c r="K377" s="380">
        <v>36892</v>
      </c>
      <c r="L377" s="235">
        <v>166109.5341744358</v>
      </c>
      <c r="M377" s="380">
        <v>36888</v>
      </c>
      <c r="N377" t="s">
        <v>1</v>
      </c>
      <c r="O377">
        <v>0.75</v>
      </c>
      <c r="P377">
        <v>0</v>
      </c>
      <c r="Q377">
        <v>0</v>
      </c>
      <c r="R377">
        <v>0</v>
      </c>
      <c r="S377">
        <v>0</v>
      </c>
      <c r="T377" t="s">
        <v>253</v>
      </c>
      <c r="U377" t="s">
        <v>7</v>
      </c>
      <c r="V377" t="s">
        <v>253</v>
      </c>
      <c r="W377" t="s">
        <v>132</v>
      </c>
      <c r="X377" t="s">
        <v>253</v>
      </c>
      <c r="Y377" t="s">
        <v>235</v>
      </c>
      <c r="Z377" t="s">
        <v>236</v>
      </c>
      <c r="AA377" t="s">
        <v>253</v>
      </c>
      <c r="AB377" t="s">
        <v>121</v>
      </c>
      <c r="AC377" s="235">
        <v>1500000</v>
      </c>
      <c r="AD377" s="235">
        <v>76466.615300767618</v>
      </c>
      <c r="AE377">
        <v>0</v>
      </c>
      <c r="AF377">
        <v>0</v>
      </c>
      <c r="AG377">
        <v>0</v>
      </c>
      <c r="AH377" s="235">
        <v>-8012.7377910317446</v>
      </c>
      <c r="AI377">
        <v>226</v>
      </c>
      <c r="AJ377" t="s">
        <v>256</v>
      </c>
      <c r="AK377">
        <v>0</v>
      </c>
      <c r="AL377">
        <v>0</v>
      </c>
      <c r="AM377">
        <v>0</v>
      </c>
    </row>
    <row r="378" spans="1:39" x14ac:dyDescent="0.25">
      <c r="A378" t="s">
        <v>601</v>
      </c>
      <c r="B378" t="s">
        <v>458</v>
      </c>
      <c r="C378" t="s">
        <v>255</v>
      </c>
      <c r="D378" t="s">
        <v>234</v>
      </c>
      <c r="E378" t="s">
        <v>20</v>
      </c>
      <c r="F378" t="s">
        <v>284</v>
      </c>
      <c r="G378" t="s">
        <v>269</v>
      </c>
      <c r="H378" t="s">
        <v>254</v>
      </c>
      <c r="I378" t="s">
        <v>242</v>
      </c>
      <c r="J378" t="s">
        <v>235</v>
      </c>
      <c r="K378" s="380">
        <v>36861</v>
      </c>
      <c r="L378" s="235">
        <v>221875.47775690941</v>
      </c>
      <c r="M378" s="380">
        <v>36859</v>
      </c>
      <c r="N378" t="s">
        <v>1</v>
      </c>
      <c r="O378">
        <v>0.75</v>
      </c>
      <c r="P378">
        <v>0</v>
      </c>
      <c r="Q378">
        <v>0</v>
      </c>
      <c r="R378">
        <v>0</v>
      </c>
      <c r="S378">
        <v>0</v>
      </c>
      <c r="T378" t="s">
        <v>253</v>
      </c>
      <c r="U378" t="s">
        <v>7</v>
      </c>
      <c r="V378" t="s">
        <v>253</v>
      </c>
      <c r="W378" t="s">
        <v>132</v>
      </c>
      <c r="X378" t="s">
        <v>253</v>
      </c>
      <c r="Y378" t="s">
        <v>235</v>
      </c>
      <c r="Z378" t="s">
        <v>236</v>
      </c>
      <c r="AA378" t="s">
        <v>253</v>
      </c>
      <c r="AB378" t="s">
        <v>121</v>
      </c>
      <c r="AC378" s="235">
        <v>1500000</v>
      </c>
      <c r="AD378" s="235">
        <v>83374.620450121583</v>
      </c>
      <c r="AE378">
        <v>0</v>
      </c>
      <c r="AF378">
        <v>0</v>
      </c>
      <c r="AG378">
        <v>0</v>
      </c>
      <c r="AH378" s="235">
        <v>-9012.1128983939998</v>
      </c>
      <c r="AI378">
        <v>226</v>
      </c>
      <c r="AJ378" t="s">
        <v>256</v>
      </c>
      <c r="AK378">
        <v>0</v>
      </c>
      <c r="AL378">
        <v>0</v>
      </c>
      <c r="AM378">
        <v>0</v>
      </c>
    </row>
    <row r="379" spans="1:39" x14ac:dyDescent="0.25">
      <c r="A379" t="s">
        <v>601</v>
      </c>
      <c r="B379" t="s">
        <v>458</v>
      </c>
      <c r="C379" t="s">
        <v>255</v>
      </c>
      <c r="D379" t="s">
        <v>234</v>
      </c>
      <c r="E379" t="s">
        <v>20</v>
      </c>
      <c r="F379" t="s">
        <v>284</v>
      </c>
      <c r="G379" t="s">
        <v>269</v>
      </c>
      <c r="H379" t="s">
        <v>254</v>
      </c>
      <c r="I379" t="s">
        <v>242</v>
      </c>
      <c r="J379" t="s">
        <v>235</v>
      </c>
      <c r="K379" s="380">
        <v>36831</v>
      </c>
      <c r="L379" s="235">
        <v>374426.83887661737</v>
      </c>
      <c r="M379" s="380">
        <v>36829</v>
      </c>
      <c r="N379" t="s">
        <v>1</v>
      </c>
      <c r="O379">
        <v>0.75</v>
      </c>
      <c r="P379">
        <v>0</v>
      </c>
      <c r="Q379">
        <v>0</v>
      </c>
      <c r="R379">
        <v>0</v>
      </c>
      <c r="S379">
        <v>0</v>
      </c>
      <c r="T379" t="s">
        <v>253</v>
      </c>
      <c r="U379" t="s">
        <v>7</v>
      </c>
      <c r="V379" t="s">
        <v>253</v>
      </c>
      <c r="W379" t="s">
        <v>132</v>
      </c>
      <c r="X379" t="s">
        <v>253</v>
      </c>
      <c r="Y379" t="s">
        <v>235</v>
      </c>
      <c r="Z379" t="s">
        <v>236</v>
      </c>
      <c r="AA379" t="s">
        <v>253</v>
      </c>
      <c r="AB379" t="s">
        <v>121</v>
      </c>
      <c r="AC379" s="235">
        <v>1500000</v>
      </c>
      <c r="AD379" s="235">
        <v>67725.892024754779</v>
      </c>
      <c r="AE379">
        <v>0</v>
      </c>
      <c r="AF379">
        <v>0</v>
      </c>
      <c r="AG379">
        <v>0</v>
      </c>
      <c r="AH379" s="235">
        <v>-24537.529986244685</v>
      </c>
      <c r="AI379">
        <v>226</v>
      </c>
      <c r="AJ379" t="s">
        <v>256</v>
      </c>
      <c r="AK379">
        <v>0</v>
      </c>
      <c r="AL379">
        <v>0</v>
      </c>
      <c r="AM379">
        <v>0</v>
      </c>
    </row>
    <row r="380" spans="1:39" x14ac:dyDescent="0.25">
      <c r="A380" t="s">
        <v>601</v>
      </c>
      <c r="B380" t="s">
        <v>459</v>
      </c>
      <c r="C380" t="s">
        <v>255</v>
      </c>
      <c r="D380" t="s">
        <v>234</v>
      </c>
      <c r="E380" t="s">
        <v>20</v>
      </c>
      <c r="F380" t="s">
        <v>279</v>
      </c>
      <c r="G380" t="s">
        <v>269</v>
      </c>
      <c r="H380" t="s">
        <v>254</v>
      </c>
      <c r="I380" t="s">
        <v>242</v>
      </c>
      <c r="J380" t="s">
        <v>235</v>
      </c>
      <c r="K380" s="380">
        <v>36800</v>
      </c>
      <c r="L380" s="235">
        <v>-117705.96112182246</v>
      </c>
      <c r="M380" s="380">
        <v>36797</v>
      </c>
      <c r="N380" t="s">
        <v>1</v>
      </c>
      <c r="O380">
        <v>0.65</v>
      </c>
      <c r="P380">
        <v>0</v>
      </c>
      <c r="Q380">
        <v>0</v>
      </c>
      <c r="R380">
        <v>0</v>
      </c>
      <c r="S380">
        <v>0</v>
      </c>
      <c r="T380" t="s">
        <v>253</v>
      </c>
      <c r="U380" t="s">
        <v>7</v>
      </c>
      <c r="V380" t="s">
        <v>253</v>
      </c>
      <c r="W380" t="s">
        <v>132</v>
      </c>
      <c r="X380" t="s">
        <v>253</v>
      </c>
      <c r="Y380" t="s">
        <v>235</v>
      </c>
      <c r="Z380" t="s">
        <v>236</v>
      </c>
      <c r="AA380" t="s">
        <v>253</v>
      </c>
      <c r="AB380" t="s">
        <v>121</v>
      </c>
      <c r="AC380" s="235">
        <v>-500000</v>
      </c>
      <c r="AD380" s="235">
        <v>-573.01266068941914</v>
      </c>
      <c r="AE380">
        <v>0</v>
      </c>
      <c r="AF380">
        <v>0</v>
      </c>
      <c r="AG380">
        <v>0</v>
      </c>
      <c r="AH380" s="235">
        <v>-34.148304720365559</v>
      </c>
      <c r="AI380">
        <v>226</v>
      </c>
      <c r="AJ380" t="s">
        <v>256</v>
      </c>
      <c r="AK380">
        <v>0</v>
      </c>
      <c r="AL380">
        <v>0</v>
      </c>
      <c r="AM380">
        <v>0</v>
      </c>
    </row>
    <row r="381" spans="1:39" x14ac:dyDescent="0.25">
      <c r="A381" t="s">
        <v>601</v>
      </c>
      <c r="B381" t="s">
        <v>460</v>
      </c>
      <c r="C381" t="s">
        <v>255</v>
      </c>
      <c r="D381" t="s">
        <v>234</v>
      </c>
      <c r="E381" t="s">
        <v>20</v>
      </c>
      <c r="F381" t="s">
        <v>279</v>
      </c>
      <c r="G381" t="s">
        <v>269</v>
      </c>
      <c r="H381" t="s">
        <v>254</v>
      </c>
      <c r="I381" t="s">
        <v>242</v>
      </c>
      <c r="J381" t="s">
        <v>235</v>
      </c>
      <c r="K381" s="380">
        <v>36800</v>
      </c>
      <c r="L381" s="235">
        <v>9150.582659960548</v>
      </c>
      <c r="M381" s="380">
        <v>36797</v>
      </c>
      <c r="N381" t="s">
        <v>1</v>
      </c>
      <c r="O381">
        <v>0.35</v>
      </c>
      <c r="P381">
        <v>0</v>
      </c>
      <c r="Q381">
        <v>0</v>
      </c>
      <c r="R381">
        <v>0</v>
      </c>
      <c r="S381">
        <v>0</v>
      </c>
      <c r="T381" t="s">
        <v>253</v>
      </c>
      <c r="U381" t="s">
        <v>7</v>
      </c>
      <c r="V381" t="s">
        <v>253</v>
      </c>
      <c r="W381" t="s">
        <v>132</v>
      </c>
      <c r="X381" t="s">
        <v>253</v>
      </c>
      <c r="Y381" t="s">
        <v>235</v>
      </c>
      <c r="Z381" t="s">
        <v>236</v>
      </c>
      <c r="AA381" t="s">
        <v>253</v>
      </c>
      <c r="AB381" t="s">
        <v>121</v>
      </c>
      <c r="AC381" s="235">
        <v>500000</v>
      </c>
      <c r="AD381" s="235">
        <v>2846.5589652403432</v>
      </c>
      <c r="AE381">
        <v>0</v>
      </c>
      <c r="AF381">
        <v>0</v>
      </c>
      <c r="AG381">
        <v>0</v>
      </c>
      <c r="AH381" s="235">
        <v>162.95589057335746</v>
      </c>
      <c r="AI381">
        <v>226</v>
      </c>
      <c r="AJ381" t="s">
        <v>256</v>
      </c>
      <c r="AK381">
        <v>0</v>
      </c>
      <c r="AL381">
        <v>0</v>
      </c>
      <c r="AM381">
        <v>0</v>
      </c>
    </row>
    <row r="382" spans="1:39" x14ac:dyDescent="0.25">
      <c r="A382" t="s">
        <v>601</v>
      </c>
      <c r="B382" t="s">
        <v>461</v>
      </c>
      <c r="C382" t="s">
        <v>255</v>
      </c>
      <c r="D382" t="s">
        <v>234</v>
      </c>
      <c r="E382" t="s">
        <v>20</v>
      </c>
      <c r="F382" t="s">
        <v>279</v>
      </c>
      <c r="G382" t="s">
        <v>269</v>
      </c>
      <c r="H382" t="s">
        <v>254</v>
      </c>
      <c r="I382" t="s">
        <v>242</v>
      </c>
      <c r="J382" t="s">
        <v>235</v>
      </c>
      <c r="K382" s="380">
        <v>36951</v>
      </c>
      <c r="L382" s="235">
        <v>465509.91672981536</v>
      </c>
      <c r="M382" s="380">
        <v>36949</v>
      </c>
      <c r="N382" t="s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 t="s">
        <v>253</v>
      </c>
      <c r="U382" t="s">
        <v>7</v>
      </c>
      <c r="V382" t="s">
        <v>253</v>
      </c>
      <c r="W382" t="s">
        <v>132</v>
      </c>
      <c r="X382" t="s">
        <v>253</v>
      </c>
      <c r="Y382" t="s">
        <v>235</v>
      </c>
      <c r="Z382" t="s">
        <v>236</v>
      </c>
      <c r="AA382" t="s">
        <v>253</v>
      </c>
      <c r="AB382" t="s">
        <v>121</v>
      </c>
      <c r="AC382" s="235">
        <v>1000000</v>
      </c>
      <c r="AD382" s="235">
        <v>88936.820974534145</v>
      </c>
      <c r="AE382">
        <v>0</v>
      </c>
      <c r="AF382">
        <v>0</v>
      </c>
      <c r="AG382">
        <v>0</v>
      </c>
      <c r="AH382" s="235">
        <v>-20719.012783803046</v>
      </c>
      <c r="AI382">
        <v>226</v>
      </c>
      <c r="AJ382" t="s">
        <v>256</v>
      </c>
      <c r="AK382">
        <v>0</v>
      </c>
      <c r="AL382">
        <v>0</v>
      </c>
      <c r="AM382">
        <v>0</v>
      </c>
    </row>
    <row r="383" spans="1:39" x14ac:dyDescent="0.25">
      <c r="A383" t="s">
        <v>601</v>
      </c>
      <c r="B383" t="s">
        <v>462</v>
      </c>
      <c r="C383" t="s">
        <v>255</v>
      </c>
      <c r="D383" t="s">
        <v>234</v>
      </c>
      <c r="E383" t="s">
        <v>20</v>
      </c>
      <c r="F383" t="s">
        <v>279</v>
      </c>
      <c r="G383" t="s">
        <v>269</v>
      </c>
      <c r="H383" t="s">
        <v>254</v>
      </c>
      <c r="I383" t="s">
        <v>242</v>
      </c>
      <c r="J383" t="s">
        <v>235</v>
      </c>
      <c r="K383" s="380">
        <v>36951</v>
      </c>
      <c r="L383" s="235">
        <v>549114.41709740646</v>
      </c>
      <c r="M383" s="380">
        <v>36949</v>
      </c>
      <c r="N383" t="s">
        <v>1</v>
      </c>
      <c r="O383">
        <v>1.1499999999999999</v>
      </c>
      <c r="P383">
        <v>0</v>
      </c>
      <c r="Q383">
        <v>0</v>
      </c>
      <c r="R383">
        <v>0</v>
      </c>
      <c r="S383">
        <v>0</v>
      </c>
      <c r="T383" t="s">
        <v>253</v>
      </c>
      <c r="U383" t="s">
        <v>7</v>
      </c>
      <c r="V383" t="s">
        <v>253</v>
      </c>
      <c r="W383" t="s">
        <v>132</v>
      </c>
      <c r="X383" t="s">
        <v>253</v>
      </c>
      <c r="Y383" t="s">
        <v>235</v>
      </c>
      <c r="Z383" t="s">
        <v>236</v>
      </c>
      <c r="AA383" t="s">
        <v>253</v>
      </c>
      <c r="AB383" t="s">
        <v>121</v>
      </c>
      <c r="AC383" s="235">
        <v>1000000</v>
      </c>
      <c r="AD383" s="235">
        <v>88233.886108779523</v>
      </c>
      <c r="AE383">
        <v>0</v>
      </c>
      <c r="AF383">
        <v>0</v>
      </c>
      <c r="AG383">
        <v>0</v>
      </c>
      <c r="AH383" s="235">
        <v>-23346.645706883632</v>
      </c>
      <c r="AI383">
        <v>226</v>
      </c>
      <c r="AJ383" t="s">
        <v>256</v>
      </c>
      <c r="AK383">
        <v>0</v>
      </c>
      <c r="AL383">
        <v>0</v>
      </c>
      <c r="AM383">
        <v>0</v>
      </c>
    </row>
    <row r="384" spans="1:39" x14ac:dyDescent="0.25">
      <c r="A384" t="s">
        <v>601</v>
      </c>
      <c r="B384" t="s">
        <v>463</v>
      </c>
      <c r="C384" t="s">
        <v>255</v>
      </c>
      <c r="D384" t="s">
        <v>234</v>
      </c>
      <c r="E384" t="s">
        <v>20</v>
      </c>
      <c r="F384" t="s">
        <v>279</v>
      </c>
      <c r="G384" t="s">
        <v>269</v>
      </c>
      <c r="H384" t="s">
        <v>254</v>
      </c>
      <c r="I384" t="s">
        <v>242</v>
      </c>
      <c r="J384" t="s">
        <v>235</v>
      </c>
      <c r="K384" s="380">
        <v>36800</v>
      </c>
      <c r="L384" s="235">
        <v>-758.92388018139434</v>
      </c>
      <c r="M384" s="380">
        <v>36797</v>
      </c>
      <c r="N384" t="s">
        <v>21</v>
      </c>
      <c r="O384">
        <v>0.7</v>
      </c>
      <c r="P384">
        <v>0</v>
      </c>
      <c r="Q384">
        <v>0</v>
      </c>
      <c r="R384">
        <v>0</v>
      </c>
      <c r="S384">
        <v>0</v>
      </c>
      <c r="T384" t="s">
        <v>253</v>
      </c>
      <c r="U384" t="s">
        <v>7</v>
      </c>
      <c r="V384" t="s">
        <v>253</v>
      </c>
      <c r="W384" t="s">
        <v>132</v>
      </c>
      <c r="X384" t="s">
        <v>253</v>
      </c>
      <c r="Y384" t="s">
        <v>235</v>
      </c>
      <c r="Z384" t="s">
        <v>236</v>
      </c>
      <c r="AA384" t="s">
        <v>253</v>
      </c>
      <c r="AB384" t="s">
        <v>121</v>
      </c>
      <c r="AC384" s="235">
        <v>-1000000</v>
      </c>
      <c r="AD384" s="235">
        <v>-593.53102555814257</v>
      </c>
      <c r="AE384">
        <v>0</v>
      </c>
      <c r="AF384">
        <v>0</v>
      </c>
      <c r="AG384">
        <v>0</v>
      </c>
      <c r="AH384" s="235">
        <v>-36.033143783603578</v>
      </c>
      <c r="AI384">
        <v>226</v>
      </c>
      <c r="AJ384" t="s">
        <v>256</v>
      </c>
      <c r="AK384">
        <v>0</v>
      </c>
      <c r="AL384">
        <v>0</v>
      </c>
      <c r="AM384">
        <v>0</v>
      </c>
    </row>
    <row r="385" spans="1:39" x14ac:dyDescent="0.25">
      <c r="A385" t="s">
        <v>601</v>
      </c>
      <c r="B385" t="s">
        <v>464</v>
      </c>
      <c r="C385" t="s">
        <v>255</v>
      </c>
      <c r="D385" t="s">
        <v>234</v>
      </c>
      <c r="E385" t="s">
        <v>20</v>
      </c>
      <c r="F385" t="s">
        <v>279</v>
      </c>
      <c r="G385" t="s">
        <v>269</v>
      </c>
      <c r="H385" t="s">
        <v>254</v>
      </c>
      <c r="I385" t="s">
        <v>242</v>
      </c>
      <c r="J385" t="s">
        <v>235</v>
      </c>
      <c r="K385" s="380">
        <v>36831</v>
      </c>
      <c r="L385" s="235">
        <v>-170435.56386117105</v>
      </c>
      <c r="M385" s="380">
        <v>36829</v>
      </c>
      <c r="N385" t="s">
        <v>21</v>
      </c>
      <c r="O385">
        <v>1</v>
      </c>
      <c r="P385">
        <v>0</v>
      </c>
      <c r="Q385">
        <v>0</v>
      </c>
      <c r="R385">
        <v>0</v>
      </c>
      <c r="S385">
        <v>0</v>
      </c>
      <c r="T385" t="s">
        <v>253</v>
      </c>
      <c r="U385" t="s">
        <v>7</v>
      </c>
      <c r="V385" t="s">
        <v>253</v>
      </c>
      <c r="W385" t="s">
        <v>132</v>
      </c>
      <c r="X385" t="s">
        <v>253</v>
      </c>
      <c r="Y385" t="s">
        <v>235</v>
      </c>
      <c r="Z385" t="s">
        <v>236</v>
      </c>
      <c r="AA385" t="s">
        <v>253</v>
      </c>
      <c r="AB385" t="s">
        <v>121</v>
      </c>
      <c r="AC385" s="235">
        <v>-1000000</v>
      </c>
      <c r="AD385" s="235">
        <v>-41813.909343745385</v>
      </c>
      <c r="AE385">
        <v>0</v>
      </c>
      <c r="AF385">
        <v>0</v>
      </c>
      <c r="AG385">
        <v>0</v>
      </c>
      <c r="AH385" s="235">
        <v>-17333.073396592925</v>
      </c>
      <c r="AI385">
        <v>226</v>
      </c>
      <c r="AJ385" t="s">
        <v>256</v>
      </c>
      <c r="AK385">
        <v>0</v>
      </c>
      <c r="AL385">
        <v>0</v>
      </c>
      <c r="AM385">
        <v>0</v>
      </c>
    </row>
    <row r="386" spans="1:39" x14ac:dyDescent="0.25">
      <c r="A386" t="s">
        <v>601</v>
      </c>
      <c r="B386" t="s">
        <v>466</v>
      </c>
      <c r="C386" t="s">
        <v>255</v>
      </c>
      <c r="D386" t="s">
        <v>234</v>
      </c>
      <c r="E386" t="s">
        <v>20</v>
      </c>
      <c r="F386" t="s">
        <v>279</v>
      </c>
      <c r="G386" t="s">
        <v>269</v>
      </c>
      <c r="H386" t="s">
        <v>254</v>
      </c>
      <c r="I386" t="s">
        <v>242</v>
      </c>
      <c r="J386" t="s">
        <v>235</v>
      </c>
      <c r="K386" s="380">
        <v>36951</v>
      </c>
      <c r="L386" s="235">
        <v>-16003.797316996426</v>
      </c>
      <c r="M386" s="380">
        <v>36949</v>
      </c>
      <c r="N386" t="s">
        <v>21</v>
      </c>
      <c r="O386">
        <v>0.3</v>
      </c>
      <c r="P386">
        <v>0</v>
      </c>
      <c r="Q386">
        <v>0</v>
      </c>
      <c r="R386">
        <v>0</v>
      </c>
      <c r="S386">
        <v>0</v>
      </c>
      <c r="T386" t="s">
        <v>253</v>
      </c>
      <c r="U386" t="s">
        <v>600</v>
      </c>
      <c r="V386" t="s">
        <v>253</v>
      </c>
      <c r="W386" t="s">
        <v>132</v>
      </c>
      <c r="X386" t="s">
        <v>253</v>
      </c>
      <c r="Y386" t="s">
        <v>235</v>
      </c>
      <c r="Z386" t="s">
        <v>236</v>
      </c>
      <c r="AA386" t="s">
        <v>253</v>
      </c>
      <c r="AB386" t="s">
        <v>121</v>
      </c>
      <c r="AC386" s="235">
        <v>-1500000</v>
      </c>
      <c r="AD386" s="235">
        <v>-7929.6354398529511</v>
      </c>
      <c r="AE386">
        <v>0</v>
      </c>
      <c r="AF386">
        <v>0</v>
      </c>
      <c r="AG386">
        <v>0</v>
      </c>
      <c r="AH386" s="235">
        <v>-400.80187796015343</v>
      </c>
      <c r="AI386">
        <v>226</v>
      </c>
      <c r="AJ386" t="s">
        <v>256</v>
      </c>
      <c r="AK386">
        <v>0</v>
      </c>
      <c r="AL386">
        <v>0</v>
      </c>
      <c r="AM386">
        <v>0</v>
      </c>
    </row>
    <row r="387" spans="1:39" x14ac:dyDescent="0.25">
      <c r="A387" t="s">
        <v>601</v>
      </c>
      <c r="B387" t="s">
        <v>466</v>
      </c>
      <c r="C387" t="s">
        <v>255</v>
      </c>
      <c r="D387" t="s">
        <v>234</v>
      </c>
      <c r="E387" t="s">
        <v>20</v>
      </c>
      <c r="F387" t="s">
        <v>279</v>
      </c>
      <c r="G387" t="s">
        <v>269</v>
      </c>
      <c r="H387" t="s">
        <v>254</v>
      </c>
      <c r="I387" t="s">
        <v>242</v>
      </c>
      <c r="J387" t="s">
        <v>235</v>
      </c>
      <c r="K387" s="380">
        <v>36923</v>
      </c>
      <c r="L387" s="235">
        <v>-23423.356807657157</v>
      </c>
      <c r="M387" s="380">
        <v>36921</v>
      </c>
      <c r="N387" t="s">
        <v>21</v>
      </c>
      <c r="O387">
        <v>0.3</v>
      </c>
      <c r="P387">
        <v>0</v>
      </c>
      <c r="Q387">
        <v>0</v>
      </c>
      <c r="R387">
        <v>0</v>
      </c>
      <c r="S387">
        <v>0</v>
      </c>
      <c r="T387" t="s">
        <v>253</v>
      </c>
      <c r="U387" t="s">
        <v>600</v>
      </c>
      <c r="V387" t="s">
        <v>253</v>
      </c>
      <c r="W387" t="s">
        <v>132</v>
      </c>
      <c r="X387" t="s">
        <v>253</v>
      </c>
      <c r="Y387" t="s">
        <v>235</v>
      </c>
      <c r="Z387" t="s">
        <v>236</v>
      </c>
      <c r="AA387" t="s">
        <v>253</v>
      </c>
      <c r="AB387" t="s">
        <v>121</v>
      </c>
      <c r="AC387" s="235">
        <v>-1500000</v>
      </c>
      <c r="AD387" s="235">
        <v>-9620.1372378016531</v>
      </c>
      <c r="AE387">
        <v>0</v>
      </c>
      <c r="AF387">
        <v>0</v>
      </c>
      <c r="AG387">
        <v>0</v>
      </c>
      <c r="AH387" s="235">
        <v>-460.70776517028935</v>
      </c>
      <c r="AI387">
        <v>226</v>
      </c>
      <c r="AJ387" t="s">
        <v>256</v>
      </c>
      <c r="AK387">
        <v>0</v>
      </c>
      <c r="AL387">
        <v>0</v>
      </c>
      <c r="AM387">
        <v>0</v>
      </c>
    </row>
    <row r="388" spans="1:39" x14ac:dyDescent="0.25">
      <c r="A388" t="s">
        <v>601</v>
      </c>
      <c r="B388" t="s">
        <v>466</v>
      </c>
      <c r="C388" t="s">
        <v>255</v>
      </c>
      <c r="D388" t="s">
        <v>234</v>
      </c>
      <c r="E388" t="s">
        <v>20</v>
      </c>
      <c r="F388" t="s">
        <v>279</v>
      </c>
      <c r="G388" t="s">
        <v>269</v>
      </c>
      <c r="H388" t="s">
        <v>254</v>
      </c>
      <c r="I388" t="s">
        <v>242</v>
      </c>
      <c r="J388" t="s">
        <v>235</v>
      </c>
      <c r="K388" s="380">
        <v>36892</v>
      </c>
      <c r="L388" s="235">
        <v>-17218.741363153407</v>
      </c>
      <c r="M388" s="380">
        <v>36888</v>
      </c>
      <c r="N388" t="s">
        <v>21</v>
      </c>
      <c r="O388">
        <v>0.3</v>
      </c>
      <c r="P388">
        <v>0</v>
      </c>
      <c r="Q388">
        <v>0</v>
      </c>
      <c r="R388">
        <v>0</v>
      </c>
      <c r="S388">
        <v>0</v>
      </c>
      <c r="T388" t="s">
        <v>253</v>
      </c>
      <c r="U388" t="s">
        <v>600</v>
      </c>
      <c r="V388" t="s">
        <v>253</v>
      </c>
      <c r="W388" t="s">
        <v>132</v>
      </c>
      <c r="X388" t="s">
        <v>253</v>
      </c>
      <c r="Y388" t="s">
        <v>235</v>
      </c>
      <c r="Z388" t="s">
        <v>236</v>
      </c>
      <c r="AA388" t="s">
        <v>253</v>
      </c>
      <c r="AB388" t="s">
        <v>121</v>
      </c>
      <c r="AC388" s="235">
        <v>-1500000</v>
      </c>
      <c r="AD388" s="235">
        <v>-7767.6696147457988</v>
      </c>
      <c r="AE388">
        <v>0</v>
      </c>
      <c r="AF388">
        <v>0</v>
      </c>
      <c r="AG388">
        <v>0</v>
      </c>
      <c r="AH388" s="235">
        <v>-373.99203236425092</v>
      </c>
      <c r="AI388">
        <v>226</v>
      </c>
      <c r="AJ388" t="s">
        <v>256</v>
      </c>
      <c r="AK388">
        <v>0</v>
      </c>
      <c r="AL388">
        <v>0</v>
      </c>
      <c r="AM388">
        <v>0</v>
      </c>
    </row>
    <row r="389" spans="1:39" x14ac:dyDescent="0.25">
      <c r="A389" t="s">
        <v>601</v>
      </c>
      <c r="B389" t="s">
        <v>466</v>
      </c>
      <c r="C389" t="s">
        <v>255</v>
      </c>
      <c r="D389" t="s">
        <v>234</v>
      </c>
      <c r="E389" t="s">
        <v>20</v>
      </c>
      <c r="F389" t="s">
        <v>279</v>
      </c>
      <c r="G389" t="s">
        <v>269</v>
      </c>
      <c r="H389" t="s">
        <v>254</v>
      </c>
      <c r="I389" t="s">
        <v>242</v>
      </c>
      <c r="J389" t="s">
        <v>235</v>
      </c>
      <c r="K389" s="380">
        <v>36861</v>
      </c>
      <c r="L389" s="235">
        <v>-7040.6449975623518</v>
      </c>
      <c r="M389" s="380">
        <v>36859</v>
      </c>
      <c r="N389" t="s">
        <v>21</v>
      </c>
      <c r="O389">
        <v>0.3</v>
      </c>
      <c r="P389">
        <v>0</v>
      </c>
      <c r="Q389">
        <v>0</v>
      </c>
      <c r="R389">
        <v>0</v>
      </c>
      <c r="S389">
        <v>0</v>
      </c>
      <c r="T389" t="s">
        <v>253</v>
      </c>
      <c r="U389" t="s">
        <v>600</v>
      </c>
      <c r="V389" t="s">
        <v>253</v>
      </c>
      <c r="W389" t="s">
        <v>132</v>
      </c>
      <c r="X389" t="s">
        <v>253</v>
      </c>
      <c r="Y389" t="s">
        <v>235</v>
      </c>
      <c r="Z389" t="s">
        <v>236</v>
      </c>
      <c r="AA389" t="s">
        <v>253</v>
      </c>
      <c r="AB389" t="s">
        <v>121</v>
      </c>
      <c r="AC389" s="235">
        <v>-1500000</v>
      </c>
      <c r="AD389" s="235">
        <v>-4349.4448637289752</v>
      </c>
      <c r="AE389">
        <v>0</v>
      </c>
      <c r="AF389">
        <v>0</v>
      </c>
      <c r="AG389">
        <v>0</v>
      </c>
      <c r="AH389" s="235">
        <v>-220.59277454913172</v>
      </c>
      <c r="AI389">
        <v>226</v>
      </c>
      <c r="AJ389" t="s">
        <v>256</v>
      </c>
      <c r="AK389">
        <v>0</v>
      </c>
      <c r="AL389">
        <v>0</v>
      </c>
      <c r="AM389">
        <v>0</v>
      </c>
    </row>
    <row r="390" spans="1:39" x14ac:dyDescent="0.25">
      <c r="A390" t="s">
        <v>601</v>
      </c>
      <c r="B390" t="s">
        <v>466</v>
      </c>
      <c r="C390" t="s">
        <v>255</v>
      </c>
      <c r="D390" t="s">
        <v>234</v>
      </c>
      <c r="E390" t="s">
        <v>20</v>
      </c>
      <c r="F390" t="s">
        <v>279</v>
      </c>
      <c r="G390" t="s">
        <v>269</v>
      </c>
      <c r="H390" t="s">
        <v>254</v>
      </c>
      <c r="I390" t="s">
        <v>242</v>
      </c>
      <c r="J390" t="s">
        <v>235</v>
      </c>
      <c r="K390" s="380">
        <v>36831</v>
      </c>
      <c r="L390" s="235">
        <v>-1899.0872288581404</v>
      </c>
      <c r="M390" s="380">
        <v>36829</v>
      </c>
      <c r="N390" t="s">
        <v>21</v>
      </c>
      <c r="O390">
        <v>0.3</v>
      </c>
      <c r="P390">
        <v>0</v>
      </c>
      <c r="Q390">
        <v>0</v>
      </c>
      <c r="R390">
        <v>0</v>
      </c>
      <c r="S390">
        <v>0</v>
      </c>
      <c r="T390" t="s">
        <v>253</v>
      </c>
      <c r="U390" t="s">
        <v>600</v>
      </c>
      <c r="V390" t="s">
        <v>253</v>
      </c>
      <c r="W390" t="s">
        <v>132</v>
      </c>
      <c r="X390" t="s">
        <v>253</v>
      </c>
      <c r="Y390" t="s">
        <v>235</v>
      </c>
      <c r="Z390" t="s">
        <v>236</v>
      </c>
      <c r="AA390" t="s">
        <v>253</v>
      </c>
      <c r="AB390" t="s">
        <v>121</v>
      </c>
      <c r="AC390" s="235">
        <v>-1500000</v>
      </c>
      <c r="AD390" s="235">
        <v>-1675.3229169522747</v>
      </c>
      <c r="AE390">
        <v>0</v>
      </c>
      <c r="AF390">
        <v>0</v>
      </c>
      <c r="AG390">
        <v>0</v>
      </c>
      <c r="AH390" s="235">
        <v>-93.545102025030928</v>
      </c>
      <c r="AI390">
        <v>226</v>
      </c>
      <c r="AJ390" t="s">
        <v>256</v>
      </c>
      <c r="AK390">
        <v>0</v>
      </c>
      <c r="AL390">
        <v>0</v>
      </c>
      <c r="AM390">
        <v>0</v>
      </c>
    </row>
    <row r="391" spans="1:39" x14ac:dyDescent="0.25">
      <c r="A391" t="s">
        <v>601</v>
      </c>
      <c r="B391" t="s">
        <v>467</v>
      </c>
      <c r="C391" t="s">
        <v>255</v>
      </c>
      <c r="D391" t="s">
        <v>234</v>
      </c>
      <c r="E391" t="s">
        <v>20</v>
      </c>
      <c r="F391" t="s">
        <v>284</v>
      </c>
      <c r="G391" t="s">
        <v>269</v>
      </c>
      <c r="H391" t="s">
        <v>254</v>
      </c>
      <c r="I391" t="s">
        <v>242</v>
      </c>
      <c r="J391" t="s">
        <v>235</v>
      </c>
      <c r="K391" s="380">
        <v>36800</v>
      </c>
      <c r="L391" s="235">
        <v>66262.807087272653</v>
      </c>
      <c r="M391" s="380">
        <v>36797</v>
      </c>
      <c r="N391" t="s">
        <v>1</v>
      </c>
      <c r="O391">
        <v>0.55000000000000004</v>
      </c>
      <c r="P391">
        <v>0</v>
      </c>
      <c r="Q391">
        <v>0</v>
      </c>
      <c r="R391">
        <v>0</v>
      </c>
      <c r="S391">
        <v>0</v>
      </c>
      <c r="T391" t="s">
        <v>253</v>
      </c>
      <c r="U391" t="s">
        <v>7</v>
      </c>
      <c r="V391" t="s">
        <v>253</v>
      </c>
      <c r="W391" t="s">
        <v>132</v>
      </c>
      <c r="X391" t="s">
        <v>253</v>
      </c>
      <c r="Y391" t="s">
        <v>235</v>
      </c>
      <c r="Z391" t="s">
        <v>236</v>
      </c>
      <c r="AA391" t="s">
        <v>253</v>
      </c>
      <c r="AB391" t="s">
        <v>121</v>
      </c>
      <c r="AC391" s="235">
        <v>465000</v>
      </c>
      <c r="AD391" s="235">
        <v>1550.2919336439809</v>
      </c>
      <c r="AE391">
        <v>0</v>
      </c>
      <c r="AF391">
        <v>0</v>
      </c>
      <c r="AG391">
        <v>0</v>
      </c>
      <c r="AH391" s="235">
        <v>89.728145014625625</v>
      </c>
      <c r="AI391">
        <v>226</v>
      </c>
      <c r="AJ391" t="s">
        <v>256</v>
      </c>
      <c r="AK391">
        <v>0</v>
      </c>
      <c r="AL391">
        <v>0</v>
      </c>
      <c r="AM391">
        <v>0</v>
      </c>
    </row>
    <row r="392" spans="1:39" x14ac:dyDescent="0.25">
      <c r="A392" t="s">
        <v>601</v>
      </c>
      <c r="B392" t="s">
        <v>468</v>
      </c>
      <c r="C392" t="s">
        <v>255</v>
      </c>
      <c r="D392" t="s">
        <v>234</v>
      </c>
      <c r="E392" t="s">
        <v>20</v>
      </c>
      <c r="F392" t="s">
        <v>279</v>
      </c>
      <c r="G392" t="s">
        <v>269</v>
      </c>
      <c r="H392" t="s">
        <v>254</v>
      </c>
      <c r="I392" t="s">
        <v>242</v>
      </c>
      <c r="J392" t="s">
        <v>235</v>
      </c>
      <c r="K392" s="380">
        <v>36831</v>
      </c>
      <c r="L392" s="235">
        <v>-85217.781930585523</v>
      </c>
      <c r="M392" s="380">
        <v>36829</v>
      </c>
      <c r="N392" t="s">
        <v>21</v>
      </c>
      <c r="O392">
        <v>1</v>
      </c>
      <c r="P392">
        <v>0</v>
      </c>
      <c r="Q392">
        <v>0</v>
      </c>
      <c r="R392">
        <v>0</v>
      </c>
      <c r="S392">
        <v>0</v>
      </c>
      <c r="T392" t="s">
        <v>253</v>
      </c>
      <c r="U392" t="s">
        <v>7</v>
      </c>
      <c r="V392" t="s">
        <v>253</v>
      </c>
      <c r="W392" t="s">
        <v>132</v>
      </c>
      <c r="X392" t="s">
        <v>253</v>
      </c>
      <c r="Y392" t="s">
        <v>235</v>
      </c>
      <c r="Z392" t="s">
        <v>236</v>
      </c>
      <c r="AA392" t="s">
        <v>253</v>
      </c>
      <c r="AB392" t="s">
        <v>121</v>
      </c>
      <c r="AC392" s="235">
        <v>-500000</v>
      </c>
      <c r="AD392" s="235">
        <v>-20906.954671872692</v>
      </c>
      <c r="AE392">
        <v>0</v>
      </c>
      <c r="AF392">
        <v>0</v>
      </c>
      <c r="AG392">
        <v>0</v>
      </c>
      <c r="AH392" s="235">
        <v>-8666.5366982964624</v>
      </c>
      <c r="AI392">
        <v>226</v>
      </c>
      <c r="AJ392" t="s">
        <v>256</v>
      </c>
      <c r="AK392">
        <v>0</v>
      </c>
      <c r="AL392">
        <v>0</v>
      </c>
      <c r="AM392">
        <v>0</v>
      </c>
    </row>
    <row r="393" spans="1:39" x14ac:dyDescent="0.25">
      <c r="A393" t="s">
        <v>601</v>
      </c>
      <c r="B393" t="s">
        <v>469</v>
      </c>
      <c r="C393" t="s">
        <v>255</v>
      </c>
      <c r="D393" t="s">
        <v>234</v>
      </c>
      <c r="E393" t="s">
        <v>20</v>
      </c>
      <c r="F393" t="s">
        <v>284</v>
      </c>
      <c r="G393" t="s">
        <v>269</v>
      </c>
      <c r="H393" t="s">
        <v>254</v>
      </c>
      <c r="I393" t="s">
        <v>242</v>
      </c>
      <c r="J393" t="s">
        <v>235</v>
      </c>
      <c r="K393" s="380">
        <v>36923</v>
      </c>
      <c r="L393" s="235">
        <v>117808.73934674634</v>
      </c>
      <c r="M393" s="380">
        <v>36921</v>
      </c>
      <c r="N393" t="s">
        <v>1</v>
      </c>
      <c r="O393">
        <v>0.75</v>
      </c>
      <c r="P393">
        <v>0</v>
      </c>
      <c r="Q393">
        <v>0</v>
      </c>
      <c r="R393">
        <v>0</v>
      </c>
      <c r="S393">
        <v>0</v>
      </c>
      <c r="T393" t="s">
        <v>253</v>
      </c>
      <c r="U393" t="s">
        <v>7</v>
      </c>
      <c r="V393" t="s">
        <v>253</v>
      </c>
      <c r="W393" t="s">
        <v>132</v>
      </c>
      <c r="X393" t="s">
        <v>253</v>
      </c>
      <c r="Y393" t="s">
        <v>235</v>
      </c>
      <c r="Z393" t="s">
        <v>236</v>
      </c>
      <c r="AA393" t="s">
        <v>253</v>
      </c>
      <c r="AB393" t="s">
        <v>121</v>
      </c>
      <c r="AC393" s="235">
        <v>840000</v>
      </c>
      <c r="AD393" s="235">
        <v>51634.440137677346</v>
      </c>
      <c r="AE393">
        <v>0</v>
      </c>
      <c r="AF393">
        <v>0</v>
      </c>
      <c r="AG393">
        <v>0</v>
      </c>
      <c r="AH393" s="235">
        <v>-6305.629787566606</v>
      </c>
      <c r="AI393">
        <v>226</v>
      </c>
      <c r="AJ393" t="s">
        <v>256</v>
      </c>
      <c r="AK393">
        <v>0</v>
      </c>
      <c r="AL393">
        <v>0</v>
      </c>
      <c r="AM393">
        <v>0</v>
      </c>
    </row>
    <row r="394" spans="1:39" x14ac:dyDescent="0.25">
      <c r="A394" t="s">
        <v>601</v>
      </c>
      <c r="B394" t="s">
        <v>469</v>
      </c>
      <c r="C394" t="s">
        <v>255</v>
      </c>
      <c r="D394" t="s">
        <v>234</v>
      </c>
      <c r="E394" t="s">
        <v>20</v>
      </c>
      <c r="F394" t="s">
        <v>284</v>
      </c>
      <c r="G394" t="s">
        <v>269</v>
      </c>
      <c r="H394" t="s">
        <v>254</v>
      </c>
      <c r="I394" t="s">
        <v>242</v>
      </c>
      <c r="J394" t="s">
        <v>235</v>
      </c>
      <c r="K394" s="380">
        <v>36892</v>
      </c>
      <c r="L394" s="235">
        <v>102987.9111881502</v>
      </c>
      <c r="M394" s="380">
        <v>36888</v>
      </c>
      <c r="N394" t="s">
        <v>1</v>
      </c>
      <c r="O394">
        <v>0.75</v>
      </c>
      <c r="P394">
        <v>0</v>
      </c>
      <c r="Q394">
        <v>0</v>
      </c>
      <c r="R394">
        <v>0</v>
      </c>
      <c r="S394">
        <v>0</v>
      </c>
      <c r="T394" t="s">
        <v>253</v>
      </c>
      <c r="U394" t="s">
        <v>7</v>
      </c>
      <c r="V394" t="s">
        <v>253</v>
      </c>
      <c r="W394" t="s">
        <v>132</v>
      </c>
      <c r="X394" t="s">
        <v>253</v>
      </c>
      <c r="Y394" t="s">
        <v>235</v>
      </c>
      <c r="Z394" t="s">
        <v>236</v>
      </c>
      <c r="AA394" t="s">
        <v>253</v>
      </c>
      <c r="AB394" t="s">
        <v>121</v>
      </c>
      <c r="AC394" s="235">
        <v>930000</v>
      </c>
      <c r="AD394" s="235">
        <v>47409.301486475946</v>
      </c>
      <c r="AE394">
        <v>0</v>
      </c>
      <c r="AF394">
        <v>0</v>
      </c>
      <c r="AG394">
        <v>0</v>
      </c>
      <c r="AH394" s="235">
        <v>-4967.8974304396688</v>
      </c>
      <c r="AI394">
        <v>226</v>
      </c>
      <c r="AJ394" t="s">
        <v>256</v>
      </c>
      <c r="AK394">
        <v>0</v>
      </c>
      <c r="AL394">
        <v>0</v>
      </c>
      <c r="AM394">
        <v>0</v>
      </c>
    </row>
    <row r="395" spans="1:39" x14ac:dyDescent="0.25">
      <c r="A395" t="s">
        <v>601</v>
      </c>
      <c r="B395" t="s">
        <v>469</v>
      </c>
      <c r="C395" t="s">
        <v>255</v>
      </c>
      <c r="D395" t="s">
        <v>234</v>
      </c>
      <c r="E395" t="s">
        <v>20</v>
      </c>
      <c r="F395" t="s">
        <v>284</v>
      </c>
      <c r="G395" t="s">
        <v>269</v>
      </c>
      <c r="H395" t="s">
        <v>254</v>
      </c>
      <c r="I395" t="s">
        <v>242</v>
      </c>
      <c r="J395" t="s">
        <v>235</v>
      </c>
      <c r="K395" s="380">
        <v>36861</v>
      </c>
      <c r="L395" s="235">
        <v>137562.79620928384</v>
      </c>
      <c r="M395" s="380">
        <v>36859</v>
      </c>
      <c r="N395" t="s">
        <v>1</v>
      </c>
      <c r="O395">
        <v>0.75</v>
      </c>
      <c r="P395">
        <v>0</v>
      </c>
      <c r="Q395">
        <v>0</v>
      </c>
      <c r="R395">
        <v>0</v>
      </c>
      <c r="S395">
        <v>0</v>
      </c>
      <c r="T395" t="s">
        <v>253</v>
      </c>
      <c r="U395" t="s">
        <v>7</v>
      </c>
      <c r="V395" t="s">
        <v>253</v>
      </c>
      <c r="W395" t="s">
        <v>132</v>
      </c>
      <c r="X395" t="s">
        <v>253</v>
      </c>
      <c r="Y395" t="s">
        <v>235</v>
      </c>
      <c r="Z395" t="s">
        <v>236</v>
      </c>
      <c r="AA395" t="s">
        <v>253</v>
      </c>
      <c r="AB395" t="s">
        <v>121</v>
      </c>
      <c r="AC395" s="235">
        <v>930000</v>
      </c>
      <c r="AD395" s="235">
        <v>51692.264679075393</v>
      </c>
      <c r="AE395">
        <v>0</v>
      </c>
      <c r="AF395">
        <v>0</v>
      </c>
      <c r="AG395">
        <v>0</v>
      </c>
      <c r="AH395" s="235">
        <v>-5587.5099970042647</v>
      </c>
      <c r="AI395">
        <v>226</v>
      </c>
      <c r="AJ395" t="s">
        <v>256</v>
      </c>
      <c r="AK395">
        <v>0</v>
      </c>
      <c r="AL395">
        <v>0</v>
      </c>
      <c r="AM395">
        <v>0</v>
      </c>
    </row>
    <row r="396" spans="1:39" x14ac:dyDescent="0.25">
      <c r="A396" t="s">
        <v>601</v>
      </c>
      <c r="B396" t="s">
        <v>470</v>
      </c>
      <c r="C396" t="s">
        <v>255</v>
      </c>
      <c r="D396" t="s">
        <v>234</v>
      </c>
      <c r="E396" t="s">
        <v>20</v>
      </c>
      <c r="F396" t="s">
        <v>279</v>
      </c>
      <c r="G396" t="s">
        <v>269</v>
      </c>
      <c r="H396" t="s">
        <v>254</v>
      </c>
      <c r="I396" t="s">
        <v>242</v>
      </c>
      <c r="J396" t="s">
        <v>235</v>
      </c>
      <c r="K396" s="380">
        <v>36951</v>
      </c>
      <c r="L396" s="235">
        <v>-164993.61861655075</v>
      </c>
      <c r="M396" s="380">
        <v>36949</v>
      </c>
      <c r="N396" t="s">
        <v>21</v>
      </c>
      <c r="O396">
        <v>1.6</v>
      </c>
      <c r="P396">
        <v>0</v>
      </c>
      <c r="Q396">
        <v>0</v>
      </c>
      <c r="R396">
        <v>0</v>
      </c>
      <c r="S396">
        <v>0</v>
      </c>
      <c r="T396" t="s">
        <v>253</v>
      </c>
      <c r="U396" t="s">
        <v>7</v>
      </c>
      <c r="V396" t="s">
        <v>253</v>
      </c>
      <c r="W396" t="s">
        <v>132</v>
      </c>
      <c r="X396" t="s">
        <v>253</v>
      </c>
      <c r="Y396" t="s">
        <v>235</v>
      </c>
      <c r="Z396" t="s">
        <v>236</v>
      </c>
      <c r="AA396" t="s">
        <v>253</v>
      </c>
      <c r="AB396" t="s">
        <v>121</v>
      </c>
      <c r="AC396" s="235">
        <v>-500000</v>
      </c>
      <c r="AD396" s="235">
        <v>-40486.301902801148</v>
      </c>
      <c r="AE396">
        <v>0</v>
      </c>
      <c r="AF396">
        <v>0</v>
      </c>
      <c r="AG396">
        <v>0</v>
      </c>
      <c r="AH396" s="235">
        <v>-13572.421626797965</v>
      </c>
      <c r="AI396">
        <v>226</v>
      </c>
      <c r="AJ396" t="s">
        <v>256</v>
      </c>
      <c r="AK396">
        <v>0</v>
      </c>
      <c r="AL396">
        <v>0</v>
      </c>
      <c r="AM396">
        <v>0</v>
      </c>
    </row>
    <row r="397" spans="1:39" x14ac:dyDescent="0.25">
      <c r="A397" t="s">
        <v>601</v>
      </c>
      <c r="B397" t="s">
        <v>470</v>
      </c>
      <c r="C397" t="s">
        <v>255</v>
      </c>
      <c r="D397" t="s">
        <v>234</v>
      </c>
      <c r="E397" t="s">
        <v>20</v>
      </c>
      <c r="F397" t="s">
        <v>279</v>
      </c>
      <c r="G397" t="s">
        <v>269</v>
      </c>
      <c r="H397" t="s">
        <v>254</v>
      </c>
      <c r="I397" t="s">
        <v>242</v>
      </c>
      <c r="J397" t="s">
        <v>235</v>
      </c>
      <c r="K397" s="380">
        <v>36923</v>
      </c>
      <c r="L397" s="235">
        <v>-453075.2502088857</v>
      </c>
      <c r="M397" s="380">
        <v>36921</v>
      </c>
      <c r="N397" t="s">
        <v>21</v>
      </c>
      <c r="O397">
        <v>1.6</v>
      </c>
      <c r="P397">
        <v>0</v>
      </c>
      <c r="Q397">
        <v>0</v>
      </c>
      <c r="R397">
        <v>0</v>
      </c>
      <c r="S397">
        <v>0</v>
      </c>
      <c r="T397" t="s">
        <v>253</v>
      </c>
      <c r="U397" t="s">
        <v>7</v>
      </c>
      <c r="V397" t="s">
        <v>253</v>
      </c>
      <c r="W397" t="s">
        <v>132</v>
      </c>
      <c r="X397" t="s">
        <v>253</v>
      </c>
      <c r="Y397" t="s">
        <v>235</v>
      </c>
      <c r="Z397" t="s">
        <v>236</v>
      </c>
      <c r="AA397" t="s">
        <v>253</v>
      </c>
      <c r="AB397" t="s">
        <v>121</v>
      </c>
      <c r="AC397" s="235">
        <v>-500000</v>
      </c>
      <c r="AD397" s="235">
        <v>-41984.319025358185</v>
      </c>
      <c r="AE397">
        <v>0</v>
      </c>
      <c r="AF397">
        <v>0</v>
      </c>
      <c r="AG397">
        <v>0</v>
      </c>
      <c r="AH397" s="235">
        <v>-24464.730833474314</v>
      </c>
      <c r="AI397">
        <v>226</v>
      </c>
      <c r="AJ397" t="s">
        <v>256</v>
      </c>
      <c r="AK397">
        <v>0</v>
      </c>
      <c r="AL397">
        <v>0</v>
      </c>
      <c r="AM397">
        <v>0</v>
      </c>
    </row>
    <row r="398" spans="1:39" x14ac:dyDescent="0.25">
      <c r="A398" t="s">
        <v>601</v>
      </c>
      <c r="B398" t="s">
        <v>470</v>
      </c>
      <c r="C398" t="s">
        <v>255</v>
      </c>
      <c r="D398" t="s">
        <v>234</v>
      </c>
      <c r="E398" t="s">
        <v>20</v>
      </c>
      <c r="F398" t="s">
        <v>279</v>
      </c>
      <c r="G398" t="s">
        <v>269</v>
      </c>
      <c r="H398" t="s">
        <v>254</v>
      </c>
      <c r="I398" t="s">
        <v>242</v>
      </c>
      <c r="J398" t="s">
        <v>235</v>
      </c>
      <c r="K398" s="380">
        <v>36892</v>
      </c>
      <c r="L398" s="235">
        <v>-464051.02821278502</v>
      </c>
      <c r="M398" s="380">
        <v>36888</v>
      </c>
      <c r="N398" t="s">
        <v>21</v>
      </c>
      <c r="O398">
        <v>1.6</v>
      </c>
      <c r="P398">
        <v>0</v>
      </c>
      <c r="Q398">
        <v>0</v>
      </c>
      <c r="R398">
        <v>0</v>
      </c>
      <c r="S398">
        <v>0</v>
      </c>
      <c r="T398" t="s">
        <v>253</v>
      </c>
      <c r="U398" t="s">
        <v>7</v>
      </c>
      <c r="V398" t="s">
        <v>253</v>
      </c>
      <c r="W398" t="s">
        <v>132</v>
      </c>
      <c r="X398" t="s">
        <v>253</v>
      </c>
      <c r="Y398" t="s">
        <v>235</v>
      </c>
      <c r="Z398" t="s">
        <v>236</v>
      </c>
      <c r="AA398" t="s">
        <v>253</v>
      </c>
      <c r="AB398" t="s">
        <v>121</v>
      </c>
      <c r="AC398" s="235">
        <v>-500000</v>
      </c>
      <c r="AD398" s="235">
        <v>-37672.529627170414</v>
      </c>
      <c r="AE398">
        <v>0</v>
      </c>
      <c r="AF398">
        <v>0</v>
      </c>
      <c r="AG398">
        <v>0</v>
      </c>
      <c r="AH398" s="235">
        <v>-21769.108398798446</v>
      </c>
      <c r="AI398">
        <v>226</v>
      </c>
      <c r="AJ398" t="s">
        <v>256</v>
      </c>
      <c r="AK398">
        <v>0</v>
      </c>
      <c r="AL398">
        <v>0</v>
      </c>
      <c r="AM398">
        <v>0</v>
      </c>
    </row>
    <row r="399" spans="1:39" x14ac:dyDescent="0.25">
      <c r="A399" t="s">
        <v>601</v>
      </c>
      <c r="B399" t="s">
        <v>470</v>
      </c>
      <c r="C399" t="s">
        <v>255</v>
      </c>
      <c r="D399" t="s">
        <v>234</v>
      </c>
      <c r="E399" t="s">
        <v>20</v>
      </c>
      <c r="F399" t="s">
        <v>279</v>
      </c>
      <c r="G399" t="s">
        <v>269</v>
      </c>
      <c r="H399" t="s">
        <v>254</v>
      </c>
      <c r="I399" t="s">
        <v>242</v>
      </c>
      <c r="J399" t="s">
        <v>235</v>
      </c>
      <c r="K399" s="380">
        <v>36861</v>
      </c>
      <c r="L399" s="235">
        <v>-267671.47544712661</v>
      </c>
      <c r="M399" s="380">
        <v>36859</v>
      </c>
      <c r="N399" t="s">
        <v>21</v>
      </c>
      <c r="O399">
        <v>1.6</v>
      </c>
      <c r="P399">
        <v>0</v>
      </c>
      <c r="Q399">
        <v>0</v>
      </c>
      <c r="R399">
        <v>0</v>
      </c>
      <c r="S399">
        <v>0</v>
      </c>
      <c r="T399" t="s">
        <v>253</v>
      </c>
      <c r="U399" t="s">
        <v>7</v>
      </c>
      <c r="V399" t="s">
        <v>253</v>
      </c>
      <c r="W399" t="s">
        <v>132</v>
      </c>
      <c r="X399" t="s">
        <v>253</v>
      </c>
      <c r="Y399" t="s">
        <v>235</v>
      </c>
      <c r="Z399" t="s">
        <v>236</v>
      </c>
      <c r="AA399" t="s">
        <v>253</v>
      </c>
      <c r="AB399" t="s">
        <v>121</v>
      </c>
      <c r="AC399" s="235">
        <v>-500000</v>
      </c>
      <c r="AD399" s="235">
        <v>-35401.201423718681</v>
      </c>
      <c r="AE399">
        <v>0</v>
      </c>
      <c r="AF399">
        <v>0</v>
      </c>
      <c r="AG399">
        <v>0</v>
      </c>
      <c r="AH399" s="235">
        <v>-13921.851269582665</v>
      </c>
      <c r="AI399">
        <v>226</v>
      </c>
      <c r="AJ399" t="s">
        <v>256</v>
      </c>
      <c r="AK399">
        <v>0</v>
      </c>
      <c r="AL399">
        <v>0</v>
      </c>
      <c r="AM399">
        <v>0</v>
      </c>
    </row>
    <row r="400" spans="1:39" x14ac:dyDescent="0.25">
      <c r="A400" t="s">
        <v>601</v>
      </c>
      <c r="B400" t="s">
        <v>470</v>
      </c>
      <c r="C400" t="s">
        <v>255</v>
      </c>
      <c r="D400" t="s">
        <v>234</v>
      </c>
      <c r="E400" t="s">
        <v>20</v>
      </c>
      <c r="F400" t="s">
        <v>279</v>
      </c>
      <c r="G400" t="s">
        <v>269</v>
      </c>
      <c r="H400" t="s">
        <v>254</v>
      </c>
      <c r="I400" t="s">
        <v>242</v>
      </c>
      <c r="J400" t="s">
        <v>235</v>
      </c>
      <c r="K400" s="380">
        <v>36831</v>
      </c>
      <c r="L400" s="235">
        <v>-24777.477296877751</v>
      </c>
      <c r="M400" s="380">
        <v>36829</v>
      </c>
      <c r="N400" t="s">
        <v>21</v>
      </c>
      <c r="O400">
        <v>1.6</v>
      </c>
      <c r="P400">
        <v>0</v>
      </c>
      <c r="Q400">
        <v>0</v>
      </c>
      <c r="R400">
        <v>0</v>
      </c>
      <c r="S400">
        <v>0</v>
      </c>
      <c r="T400" t="s">
        <v>253</v>
      </c>
      <c r="U400" t="s">
        <v>7</v>
      </c>
      <c r="V400" t="s">
        <v>253</v>
      </c>
      <c r="W400" t="s">
        <v>132</v>
      </c>
      <c r="X400" t="s">
        <v>253</v>
      </c>
      <c r="Y400" t="s">
        <v>235</v>
      </c>
      <c r="Z400" t="s">
        <v>236</v>
      </c>
      <c r="AA400" t="s">
        <v>253</v>
      </c>
      <c r="AB400" t="s">
        <v>121</v>
      </c>
      <c r="AC400" s="235">
        <v>-500000</v>
      </c>
      <c r="AD400" s="235">
        <v>-11503.944274113608</v>
      </c>
      <c r="AE400">
        <v>0</v>
      </c>
      <c r="AF400">
        <v>0</v>
      </c>
      <c r="AG400">
        <v>0</v>
      </c>
      <c r="AH400" s="235">
        <v>-3479.1637170615977</v>
      </c>
      <c r="AI400">
        <v>226</v>
      </c>
      <c r="AJ400" t="s">
        <v>256</v>
      </c>
      <c r="AK400">
        <v>0</v>
      </c>
      <c r="AL400">
        <v>0</v>
      </c>
      <c r="AM400">
        <v>0</v>
      </c>
    </row>
    <row r="401" spans="1:39" x14ac:dyDescent="0.25">
      <c r="A401" t="s">
        <v>601</v>
      </c>
      <c r="B401" t="s">
        <v>471</v>
      </c>
      <c r="C401" t="s">
        <v>255</v>
      </c>
      <c r="D401" t="s">
        <v>234</v>
      </c>
      <c r="E401" t="s">
        <v>20</v>
      </c>
      <c r="F401" t="s">
        <v>279</v>
      </c>
      <c r="G401" t="s">
        <v>269</v>
      </c>
      <c r="H401" t="s">
        <v>254</v>
      </c>
      <c r="I401" t="s">
        <v>242</v>
      </c>
      <c r="J401" t="s">
        <v>235</v>
      </c>
      <c r="K401" s="380">
        <v>36951</v>
      </c>
      <c r="L401" s="235">
        <v>-418589.11307126423</v>
      </c>
      <c r="M401" s="380">
        <v>36949</v>
      </c>
      <c r="N401" t="s">
        <v>1</v>
      </c>
      <c r="O401">
        <v>1.6</v>
      </c>
      <c r="P401">
        <v>0</v>
      </c>
      <c r="Q401">
        <v>0</v>
      </c>
      <c r="R401">
        <v>0</v>
      </c>
      <c r="S401">
        <v>0</v>
      </c>
      <c r="T401" t="s">
        <v>253</v>
      </c>
      <c r="U401" t="s">
        <v>7</v>
      </c>
      <c r="V401" t="s">
        <v>253</v>
      </c>
      <c r="W401" t="s">
        <v>132</v>
      </c>
      <c r="X401" t="s">
        <v>253</v>
      </c>
      <c r="Y401" t="s">
        <v>235</v>
      </c>
      <c r="Z401" t="s">
        <v>236</v>
      </c>
      <c r="AA401" t="s">
        <v>253</v>
      </c>
      <c r="AB401" t="s">
        <v>121</v>
      </c>
      <c r="AC401" s="235">
        <v>-500000</v>
      </c>
      <c r="AD401" s="235">
        <v>-40486.301902801148</v>
      </c>
      <c r="AE401">
        <v>0</v>
      </c>
      <c r="AF401">
        <v>0</v>
      </c>
      <c r="AG401">
        <v>0</v>
      </c>
      <c r="AH401" s="235">
        <v>15395.645326976548</v>
      </c>
      <c r="AI401">
        <v>226</v>
      </c>
      <c r="AJ401" t="s">
        <v>256</v>
      </c>
      <c r="AK401">
        <v>0</v>
      </c>
      <c r="AL401">
        <v>0</v>
      </c>
      <c r="AM401">
        <v>0</v>
      </c>
    </row>
    <row r="402" spans="1:39" x14ac:dyDescent="0.25">
      <c r="A402" t="s">
        <v>601</v>
      </c>
      <c r="B402" t="s">
        <v>471</v>
      </c>
      <c r="C402" t="s">
        <v>255</v>
      </c>
      <c r="D402" t="s">
        <v>234</v>
      </c>
      <c r="E402" t="s">
        <v>20</v>
      </c>
      <c r="F402" t="s">
        <v>279</v>
      </c>
      <c r="G402" t="s">
        <v>269</v>
      </c>
      <c r="H402" t="s">
        <v>254</v>
      </c>
      <c r="I402" t="s">
        <v>242</v>
      </c>
      <c r="J402" t="s">
        <v>235</v>
      </c>
      <c r="K402" s="380">
        <v>36923</v>
      </c>
      <c r="L402" s="235">
        <v>-215108.82340596506</v>
      </c>
      <c r="M402" s="380">
        <v>36921</v>
      </c>
      <c r="N402" t="s">
        <v>1</v>
      </c>
      <c r="O402">
        <v>1.6</v>
      </c>
      <c r="P402">
        <v>0</v>
      </c>
      <c r="Q402">
        <v>0</v>
      </c>
      <c r="R402">
        <v>0</v>
      </c>
      <c r="S402">
        <v>0</v>
      </c>
      <c r="T402" t="s">
        <v>253</v>
      </c>
      <c r="U402" t="s">
        <v>7</v>
      </c>
      <c r="V402" t="s">
        <v>253</v>
      </c>
      <c r="W402" t="s">
        <v>132</v>
      </c>
      <c r="X402" t="s">
        <v>253</v>
      </c>
      <c r="Y402" t="s">
        <v>235</v>
      </c>
      <c r="Z402" t="s">
        <v>236</v>
      </c>
      <c r="AA402" t="s">
        <v>253</v>
      </c>
      <c r="AB402" t="s">
        <v>121</v>
      </c>
      <c r="AC402" s="235">
        <v>-500000</v>
      </c>
      <c r="AD402" s="235">
        <v>-41984.319025358214</v>
      </c>
      <c r="AE402">
        <v>0</v>
      </c>
      <c r="AF402">
        <v>0</v>
      </c>
      <c r="AG402">
        <v>0</v>
      </c>
      <c r="AH402" s="235">
        <v>9512.9974763019709</v>
      </c>
      <c r="AI402">
        <v>226</v>
      </c>
      <c r="AJ402" t="s">
        <v>256</v>
      </c>
      <c r="AK402">
        <v>0</v>
      </c>
      <c r="AL402">
        <v>0</v>
      </c>
      <c r="AM402">
        <v>0</v>
      </c>
    </row>
    <row r="403" spans="1:39" x14ac:dyDescent="0.25">
      <c r="A403" t="s">
        <v>601</v>
      </c>
      <c r="B403" t="s">
        <v>471</v>
      </c>
      <c r="C403" t="s">
        <v>255</v>
      </c>
      <c r="D403" t="s">
        <v>234</v>
      </c>
      <c r="E403" t="s">
        <v>20</v>
      </c>
      <c r="F403" t="s">
        <v>279</v>
      </c>
      <c r="G403" t="s">
        <v>269</v>
      </c>
      <c r="H403" t="s">
        <v>254</v>
      </c>
      <c r="I403" t="s">
        <v>242</v>
      </c>
      <c r="J403" t="s">
        <v>235</v>
      </c>
      <c r="K403" s="380">
        <v>36892</v>
      </c>
      <c r="L403" s="235">
        <v>-185486.21079777137</v>
      </c>
      <c r="M403" s="380">
        <v>36888</v>
      </c>
      <c r="N403" t="s">
        <v>1</v>
      </c>
      <c r="O403">
        <v>1.6</v>
      </c>
      <c r="P403">
        <v>0</v>
      </c>
      <c r="Q403">
        <v>0</v>
      </c>
      <c r="R403">
        <v>0</v>
      </c>
      <c r="S403">
        <v>0</v>
      </c>
      <c r="T403" t="s">
        <v>253</v>
      </c>
      <c r="U403" t="s">
        <v>7</v>
      </c>
      <c r="V403" t="s">
        <v>253</v>
      </c>
      <c r="W403" t="s">
        <v>132</v>
      </c>
      <c r="X403" t="s">
        <v>253</v>
      </c>
      <c r="Y403" t="s">
        <v>235</v>
      </c>
      <c r="Z403" t="s">
        <v>236</v>
      </c>
      <c r="AA403" t="s">
        <v>253</v>
      </c>
      <c r="AB403" t="s">
        <v>121</v>
      </c>
      <c r="AC403" s="235">
        <v>-500000</v>
      </c>
      <c r="AD403" s="235">
        <v>-37672.529627170385</v>
      </c>
      <c r="AE403">
        <v>0</v>
      </c>
      <c r="AF403">
        <v>0</v>
      </c>
      <c r="AG403">
        <v>0</v>
      </c>
      <c r="AH403" s="235">
        <v>7537.8702261694707</v>
      </c>
      <c r="AI403">
        <v>226</v>
      </c>
      <c r="AJ403" t="s">
        <v>256</v>
      </c>
      <c r="AK403">
        <v>0</v>
      </c>
      <c r="AL403">
        <v>0</v>
      </c>
      <c r="AM403">
        <v>0</v>
      </c>
    </row>
    <row r="404" spans="1:39" x14ac:dyDescent="0.25">
      <c r="A404" t="s">
        <v>601</v>
      </c>
      <c r="B404" t="s">
        <v>471</v>
      </c>
      <c r="C404" t="s">
        <v>255</v>
      </c>
      <c r="D404" t="s">
        <v>234</v>
      </c>
      <c r="E404" t="s">
        <v>20</v>
      </c>
      <c r="F404" t="s">
        <v>279</v>
      </c>
      <c r="G404" t="s">
        <v>269</v>
      </c>
      <c r="H404" t="s">
        <v>254</v>
      </c>
      <c r="I404" t="s">
        <v>242</v>
      </c>
      <c r="J404" t="s">
        <v>235</v>
      </c>
      <c r="K404" s="380">
        <v>36861</v>
      </c>
      <c r="L404" s="235">
        <v>-245559.45918596868</v>
      </c>
      <c r="M404" s="380">
        <v>36859</v>
      </c>
      <c r="N404" t="s">
        <v>1</v>
      </c>
      <c r="O404">
        <v>1.6</v>
      </c>
      <c r="P404">
        <v>0</v>
      </c>
      <c r="Q404">
        <v>0</v>
      </c>
      <c r="R404">
        <v>0</v>
      </c>
      <c r="S404">
        <v>0</v>
      </c>
      <c r="T404" t="s">
        <v>253</v>
      </c>
      <c r="U404" t="s">
        <v>7</v>
      </c>
      <c r="V404" t="s">
        <v>253</v>
      </c>
      <c r="W404" t="s">
        <v>132</v>
      </c>
      <c r="X404" t="s">
        <v>253</v>
      </c>
      <c r="Y404" t="s">
        <v>235</v>
      </c>
      <c r="Z404" t="s">
        <v>236</v>
      </c>
      <c r="AA404" t="s">
        <v>253</v>
      </c>
      <c r="AB404" t="s">
        <v>121</v>
      </c>
      <c r="AC404" s="235">
        <v>-500000</v>
      </c>
      <c r="AD404" s="235">
        <v>-35401.20142371871</v>
      </c>
      <c r="AE404">
        <v>0</v>
      </c>
      <c r="AF404">
        <v>0</v>
      </c>
      <c r="AG404">
        <v>0</v>
      </c>
      <c r="AH404" s="235">
        <v>8178.001605136029</v>
      </c>
      <c r="AI404">
        <v>226</v>
      </c>
      <c r="AJ404" t="s">
        <v>256</v>
      </c>
      <c r="AK404">
        <v>0</v>
      </c>
      <c r="AL404">
        <v>0</v>
      </c>
      <c r="AM404">
        <v>0</v>
      </c>
    </row>
    <row r="405" spans="1:39" x14ac:dyDescent="0.25">
      <c r="A405" t="s">
        <v>601</v>
      </c>
      <c r="B405" t="s">
        <v>471</v>
      </c>
      <c r="C405" t="s">
        <v>255</v>
      </c>
      <c r="D405" t="s">
        <v>234</v>
      </c>
      <c r="E405" t="s">
        <v>20</v>
      </c>
      <c r="F405" t="s">
        <v>279</v>
      </c>
      <c r="G405" t="s">
        <v>269</v>
      </c>
      <c r="H405" t="s">
        <v>254</v>
      </c>
      <c r="I405" t="s">
        <v>242</v>
      </c>
      <c r="J405" t="s">
        <v>235</v>
      </c>
      <c r="K405" s="380">
        <v>36831</v>
      </c>
      <c r="L405" s="235">
        <v>-434930.84324028384</v>
      </c>
      <c r="M405" s="380">
        <v>36829</v>
      </c>
      <c r="N405" t="s">
        <v>1</v>
      </c>
      <c r="O405">
        <v>1.6</v>
      </c>
      <c r="P405">
        <v>0</v>
      </c>
      <c r="Q405">
        <v>0</v>
      </c>
      <c r="R405">
        <v>0</v>
      </c>
      <c r="S405">
        <v>0</v>
      </c>
      <c r="T405" t="s">
        <v>253</v>
      </c>
      <c r="U405" t="s">
        <v>7</v>
      </c>
      <c r="V405" t="s">
        <v>253</v>
      </c>
      <c r="W405" t="s">
        <v>132</v>
      </c>
      <c r="X405" t="s">
        <v>253</v>
      </c>
      <c r="Y405" t="s">
        <v>235</v>
      </c>
      <c r="Z405" t="s">
        <v>236</v>
      </c>
      <c r="AA405" t="s">
        <v>253</v>
      </c>
      <c r="AB405" t="s">
        <v>121</v>
      </c>
      <c r="AC405" s="235">
        <v>-500000</v>
      </c>
      <c r="AD405" s="235">
        <v>-11503.94427411363</v>
      </c>
      <c r="AE405">
        <v>0</v>
      </c>
      <c r="AF405">
        <v>0</v>
      </c>
      <c r="AG405">
        <v>0</v>
      </c>
      <c r="AH405" s="235">
        <v>16276.379989223147</v>
      </c>
      <c r="AI405">
        <v>226</v>
      </c>
      <c r="AJ405" t="s">
        <v>256</v>
      </c>
      <c r="AK405">
        <v>0</v>
      </c>
      <c r="AL405">
        <v>0</v>
      </c>
      <c r="AM405">
        <v>0</v>
      </c>
    </row>
    <row r="406" spans="1:39" x14ac:dyDescent="0.25">
      <c r="A406" t="s">
        <v>601</v>
      </c>
      <c r="B406" t="s">
        <v>481</v>
      </c>
      <c r="C406" t="s">
        <v>255</v>
      </c>
      <c r="D406" t="s">
        <v>234</v>
      </c>
      <c r="E406" t="s">
        <v>20</v>
      </c>
      <c r="F406" t="s">
        <v>480</v>
      </c>
      <c r="G406" t="s">
        <v>269</v>
      </c>
      <c r="H406" t="s">
        <v>254</v>
      </c>
      <c r="I406" t="s">
        <v>242</v>
      </c>
      <c r="J406" t="s">
        <v>235</v>
      </c>
      <c r="K406" s="380">
        <v>36800</v>
      </c>
      <c r="L406" s="235">
        <v>-309226.43307393906</v>
      </c>
      <c r="M406" s="380">
        <v>36797</v>
      </c>
      <c r="N406" t="s">
        <v>1</v>
      </c>
      <c r="O406">
        <v>0.55000000000000004</v>
      </c>
      <c r="P406">
        <v>0</v>
      </c>
      <c r="Q406">
        <v>0</v>
      </c>
      <c r="R406">
        <v>0</v>
      </c>
      <c r="S406">
        <v>0</v>
      </c>
      <c r="T406" t="s">
        <v>253</v>
      </c>
      <c r="U406" t="s">
        <v>7</v>
      </c>
      <c r="V406" t="s">
        <v>253</v>
      </c>
      <c r="W406" t="s">
        <v>132</v>
      </c>
      <c r="X406" t="s">
        <v>253</v>
      </c>
      <c r="Y406" t="s">
        <v>235</v>
      </c>
      <c r="Z406" t="s">
        <v>236</v>
      </c>
      <c r="AA406" t="s">
        <v>253</v>
      </c>
      <c r="AB406" t="s">
        <v>121</v>
      </c>
      <c r="AC406" s="235">
        <v>-2170000</v>
      </c>
      <c r="AD406" s="235">
        <v>-7234.6956903387327</v>
      </c>
      <c r="AE406">
        <v>0</v>
      </c>
      <c r="AF406">
        <v>0</v>
      </c>
      <c r="AG406">
        <v>0</v>
      </c>
      <c r="AH406" s="235">
        <v>-418.73134340153774</v>
      </c>
      <c r="AI406">
        <v>226</v>
      </c>
      <c r="AJ406" t="s">
        <v>256</v>
      </c>
      <c r="AK406">
        <v>0</v>
      </c>
      <c r="AL406">
        <v>0</v>
      </c>
      <c r="AM406">
        <v>0</v>
      </c>
    </row>
    <row r="407" spans="1:39" x14ac:dyDescent="0.25">
      <c r="A407" t="s">
        <v>601</v>
      </c>
      <c r="B407" t="s">
        <v>482</v>
      </c>
      <c r="C407" t="s">
        <v>255</v>
      </c>
      <c r="D407" t="s">
        <v>234</v>
      </c>
      <c r="E407" t="s">
        <v>20</v>
      </c>
      <c r="F407" t="s">
        <v>480</v>
      </c>
      <c r="G407" t="s">
        <v>269</v>
      </c>
      <c r="H407" t="s">
        <v>254</v>
      </c>
      <c r="I407" t="s">
        <v>242</v>
      </c>
      <c r="J407" t="s">
        <v>235</v>
      </c>
      <c r="K407" s="380">
        <v>36800</v>
      </c>
      <c r="L407" s="235">
        <v>-132525.61417454531</v>
      </c>
      <c r="M407" s="380">
        <v>36797</v>
      </c>
      <c r="N407" t="s">
        <v>1</v>
      </c>
      <c r="O407">
        <v>0.55000000000000004</v>
      </c>
      <c r="P407">
        <v>0</v>
      </c>
      <c r="Q407">
        <v>0</v>
      </c>
      <c r="R407">
        <v>0</v>
      </c>
      <c r="S407">
        <v>0</v>
      </c>
      <c r="T407" t="s">
        <v>253</v>
      </c>
      <c r="U407" t="s">
        <v>7</v>
      </c>
      <c r="V407" t="s">
        <v>253</v>
      </c>
      <c r="W407" t="s">
        <v>132</v>
      </c>
      <c r="X407" t="s">
        <v>253</v>
      </c>
      <c r="Y407" t="s">
        <v>235</v>
      </c>
      <c r="Z407" t="s">
        <v>236</v>
      </c>
      <c r="AA407" t="s">
        <v>253</v>
      </c>
      <c r="AB407" t="s">
        <v>121</v>
      </c>
      <c r="AC407" s="235">
        <v>-930000</v>
      </c>
      <c r="AD407" s="235">
        <v>-3100.5838672879618</v>
      </c>
      <c r="AE407">
        <v>0</v>
      </c>
      <c r="AF407">
        <v>0</v>
      </c>
      <c r="AG407">
        <v>0</v>
      </c>
      <c r="AH407" s="235">
        <v>-179.45629002925125</v>
      </c>
      <c r="AI407">
        <v>226</v>
      </c>
      <c r="AJ407" t="s">
        <v>256</v>
      </c>
      <c r="AK407">
        <v>0</v>
      </c>
      <c r="AL407">
        <v>0</v>
      </c>
      <c r="AM407">
        <v>0</v>
      </c>
    </row>
    <row r="408" spans="1:39" x14ac:dyDescent="0.25">
      <c r="A408" t="s">
        <v>601</v>
      </c>
      <c r="B408" t="s">
        <v>479</v>
      </c>
      <c r="C408" t="s">
        <v>255</v>
      </c>
      <c r="D408" t="s">
        <v>234</v>
      </c>
      <c r="E408" t="s">
        <v>20</v>
      </c>
      <c r="F408" t="s">
        <v>284</v>
      </c>
      <c r="G408" t="s">
        <v>269</v>
      </c>
      <c r="H408" t="s">
        <v>254</v>
      </c>
      <c r="I408" t="s">
        <v>242</v>
      </c>
      <c r="J408" t="s">
        <v>235</v>
      </c>
      <c r="K408" s="380">
        <v>36951</v>
      </c>
      <c r="L408" s="235">
        <v>-11963.250037789774</v>
      </c>
      <c r="M408" s="380">
        <v>36949</v>
      </c>
      <c r="N408" t="s">
        <v>1</v>
      </c>
      <c r="O408">
        <v>-0.3</v>
      </c>
      <c r="P408">
        <v>0</v>
      </c>
      <c r="Q408">
        <v>0</v>
      </c>
      <c r="R408">
        <v>0</v>
      </c>
      <c r="S408">
        <v>0</v>
      </c>
      <c r="T408" t="s">
        <v>253</v>
      </c>
      <c r="U408" t="s">
        <v>6</v>
      </c>
      <c r="V408" t="s">
        <v>253</v>
      </c>
      <c r="W408" t="s">
        <v>132</v>
      </c>
      <c r="X408" t="s">
        <v>253</v>
      </c>
      <c r="Y408" t="s">
        <v>235</v>
      </c>
      <c r="Z408" t="s">
        <v>236</v>
      </c>
      <c r="AA408" t="s">
        <v>253</v>
      </c>
      <c r="AB408" t="s">
        <v>121</v>
      </c>
      <c r="AC408" s="235">
        <v>-620000</v>
      </c>
      <c r="AD408" s="235">
        <v>-5428.5716140500444</v>
      </c>
      <c r="AE408">
        <v>0</v>
      </c>
      <c r="AF408">
        <v>0</v>
      </c>
      <c r="AG408">
        <v>0</v>
      </c>
      <c r="AH408" s="235">
        <v>-561.9176977213483</v>
      </c>
      <c r="AI408">
        <v>226</v>
      </c>
      <c r="AJ408" t="s">
        <v>256</v>
      </c>
      <c r="AK408">
        <v>0</v>
      </c>
      <c r="AL408">
        <v>0</v>
      </c>
      <c r="AM408">
        <v>0</v>
      </c>
    </row>
    <row r="409" spans="1:39" x14ac:dyDescent="0.25">
      <c r="A409" t="s">
        <v>601</v>
      </c>
      <c r="B409" t="s">
        <v>479</v>
      </c>
      <c r="C409" t="s">
        <v>255</v>
      </c>
      <c r="D409" t="s">
        <v>234</v>
      </c>
      <c r="E409" t="s">
        <v>20</v>
      </c>
      <c r="F409" t="s">
        <v>284</v>
      </c>
      <c r="G409" t="s">
        <v>269</v>
      </c>
      <c r="H409" t="s">
        <v>254</v>
      </c>
      <c r="I409" t="s">
        <v>242</v>
      </c>
      <c r="J409" t="s">
        <v>235</v>
      </c>
      <c r="K409" s="380">
        <v>36923</v>
      </c>
      <c r="L409" s="235">
        <v>-13843.434033955133</v>
      </c>
      <c r="M409" s="380">
        <v>36921</v>
      </c>
      <c r="N409" t="s">
        <v>1</v>
      </c>
      <c r="O409">
        <v>-0.3</v>
      </c>
      <c r="P409">
        <v>0</v>
      </c>
      <c r="Q409">
        <v>0</v>
      </c>
      <c r="R409">
        <v>0</v>
      </c>
      <c r="S409">
        <v>0</v>
      </c>
      <c r="T409" t="s">
        <v>253</v>
      </c>
      <c r="U409" t="s">
        <v>6</v>
      </c>
      <c r="V409" t="s">
        <v>253</v>
      </c>
      <c r="W409" t="s">
        <v>132</v>
      </c>
      <c r="X409" t="s">
        <v>253</v>
      </c>
      <c r="Y409" t="s">
        <v>235</v>
      </c>
      <c r="Z409" t="s">
        <v>236</v>
      </c>
      <c r="AA409" t="s">
        <v>253</v>
      </c>
      <c r="AB409" t="s">
        <v>121</v>
      </c>
      <c r="AC409" s="235">
        <v>-560000</v>
      </c>
      <c r="AD409" s="235">
        <v>-5500.4881472570269</v>
      </c>
      <c r="AE409">
        <v>0</v>
      </c>
      <c r="AF409">
        <v>0</v>
      </c>
      <c r="AG409">
        <v>0</v>
      </c>
      <c r="AH409" s="235">
        <v>-562.14117917848307</v>
      </c>
      <c r="AI409">
        <v>226</v>
      </c>
      <c r="AJ409" t="s">
        <v>256</v>
      </c>
      <c r="AK409">
        <v>0</v>
      </c>
      <c r="AL409">
        <v>0</v>
      </c>
      <c r="AM409">
        <v>0</v>
      </c>
    </row>
    <row r="410" spans="1:39" x14ac:dyDescent="0.25">
      <c r="A410" t="s">
        <v>601</v>
      </c>
      <c r="B410" t="s">
        <v>479</v>
      </c>
      <c r="C410" t="s">
        <v>255</v>
      </c>
      <c r="D410" t="s">
        <v>234</v>
      </c>
      <c r="E410" t="s">
        <v>20</v>
      </c>
      <c r="F410" t="s">
        <v>284</v>
      </c>
      <c r="G410" t="s">
        <v>269</v>
      </c>
      <c r="H410" t="s">
        <v>254</v>
      </c>
      <c r="I410" t="s">
        <v>242</v>
      </c>
      <c r="J410" t="s">
        <v>235</v>
      </c>
      <c r="K410" s="380">
        <v>36892</v>
      </c>
      <c r="L410" s="235">
        <v>-15624.156848540784</v>
      </c>
      <c r="M410" s="380">
        <v>36888</v>
      </c>
      <c r="N410" t="s">
        <v>1</v>
      </c>
      <c r="O410">
        <v>-0.3</v>
      </c>
      <c r="P410">
        <v>0</v>
      </c>
      <c r="Q410">
        <v>0</v>
      </c>
      <c r="R410">
        <v>0</v>
      </c>
      <c r="S410">
        <v>0</v>
      </c>
      <c r="T410" t="s">
        <v>253</v>
      </c>
      <c r="U410" t="s">
        <v>6</v>
      </c>
      <c r="V410" t="s">
        <v>253</v>
      </c>
      <c r="W410" t="s">
        <v>132</v>
      </c>
      <c r="X410" t="s">
        <v>253</v>
      </c>
      <c r="Y410" t="s">
        <v>235</v>
      </c>
      <c r="Z410" t="s">
        <v>236</v>
      </c>
      <c r="AA410" t="s">
        <v>253</v>
      </c>
      <c r="AB410" t="s">
        <v>121</v>
      </c>
      <c r="AC410" s="235">
        <v>-620000</v>
      </c>
      <c r="AD410" s="235">
        <v>-5733.9346014269977</v>
      </c>
      <c r="AE410">
        <v>0</v>
      </c>
      <c r="AF410">
        <v>0</v>
      </c>
      <c r="AG410">
        <v>0</v>
      </c>
      <c r="AH410" s="235">
        <v>-625.59976085546805</v>
      </c>
      <c r="AI410">
        <v>226</v>
      </c>
      <c r="AJ410" t="s">
        <v>256</v>
      </c>
      <c r="AK410">
        <v>0</v>
      </c>
      <c r="AL410">
        <v>0</v>
      </c>
      <c r="AM410">
        <v>0</v>
      </c>
    </row>
    <row r="411" spans="1:39" x14ac:dyDescent="0.25">
      <c r="A411" t="s">
        <v>601</v>
      </c>
      <c r="B411" t="s">
        <v>479</v>
      </c>
      <c r="C411" t="s">
        <v>255</v>
      </c>
      <c r="D411" t="s">
        <v>234</v>
      </c>
      <c r="E411" t="s">
        <v>20</v>
      </c>
      <c r="F411" t="s">
        <v>284</v>
      </c>
      <c r="G411" t="s">
        <v>269</v>
      </c>
      <c r="H411" t="s">
        <v>254</v>
      </c>
      <c r="I411" t="s">
        <v>242</v>
      </c>
      <c r="J411" t="s">
        <v>235</v>
      </c>
      <c r="K411" s="380">
        <v>36861</v>
      </c>
      <c r="L411" s="235">
        <v>-10486.964395709669</v>
      </c>
      <c r="M411" s="380">
        <v>36859</v>
      </c>
      <c r="N411" t="s">
        <v>1</v>
      </c>
      <c r="O411">
        <v>-0.3</v>
      </c>
      <c r="P411">
        <v>0</v>
      </c>
      <c r="Q411">
        <v>0</v>
      </c>
      <c r="R411">
        <v>0</v>
      </c>
      <c r="S411">
        <v>0</v>
      </c>
      <c r="T411" t="s">
        <v>253</v>
      </c>
      <c r="U411" t="s">
        <v>6</v>
      </c>
      <c r="V411" t="s">
        <v>253</v>
      </c>
      <c r="W411" t="s">
        <v>132</v>
      </c>
      <c r="X411" t="s">
        <v>253</v>
      </c>
      <c r="Y411" t="s">
        <v>235</v>
      </c>
      <c r="Z411" t="s">
        <v>236</v>
      </c>
      <c r="AA411" t="s">
        <v>253</v>
      </c>
      <c r="AB411" t="s">
        <v>121</v>
      </c>
      <c r="AC411" s="235">
        <v>-620000</v>
      </c>
      <c r="AD411" s="235">
        <v>-4428.8893360375369</v>
      </c>
      <c r="AE411">
        <v>0</v>
      </c>
      <c r="AF411">
        <v>0</v>
      </c>
      <c r="AG411">
        <v>0</v>
      </c>
      <c r="AH411" s="235">
        <v>-508.68290016792525</v>
      </c>
      <c r="AI411">
        <v>226</v>
      </c>
      <c r="AJ411" t="s">
        <v>256</v>
      </c>
      <c r="AK411">
        <v>0</v>
      </c>
      <c r="AL411">
        <v>0</v>
      </c>
      <c r="AM411">
        <v>0</v>
      </c>
    </row>
    <row r="412" spans="1:39" x14ac:dyDescent="0.25">
      <c r="A412" t="s">
        <v>601</v>
      </c>
      <c r="B412" t="s">
        <v>479</v>
      </c>
      <c r="C412" t="s">
        <v>255</v>
      </c>
      <c r="D412" t="s">
        <v>234</v>
      </c>
      <c r="E412" t="s">
        <v>20</v>
      </c>
      <c r="F412" t="s">
        <v>284</v>
      </c>
      <c r="G412" t="s">
        <v>269</v>
      </c>
      <c r="H412" t="s">
        <v>254</v>
      </c>
      <c r="I412" t="s">
        <v>242</v>
      </c>
      <c r="J412" t="s">
        <v>235</v>
      </c>
      <c r="K412" s="380">
        <v>36831</v>
      </c>
      <c r="L412" s="235">
        <v>-4748.9960857041133</v>
      </c>
      <c r="M412" s="380">
        <v>36829</v>
      </c>
      <c r="N412" t="s">
        <v>1</v>
      </c>
      <c r="O412">
        <v>-0.3</v>
      </c>
      <c r="P412">
        <v>0</v>
      </c>
      <c r="Q412">
        <v>0</v>
      </c>
      <c r="R412">
        <v>0</v>
      </c>
      <c r="S412">
        <v>0</v>
      </c>
      <c r="T412" t="s">
        <v>253</v>
      </c>
      <c r="U412" t="s">
        <v>6</v>
      </c>
      <c r="V412" t="s">
        <v>253</v>
      </c>
      <c r="W412" t="s">
        <v>132</v>
      </c>
      <c r="X412" t="s">
        <v>253</v>
      </c>
      <c r="Y412" t="s">
        <v>235</v>
      </c>
      <c r="Z412" t="s">
        <v>236</v>
      </c>
      <c r="AA412" t="s">
        <v>253</v>
      </c>
      <c r="AB412" t="s">
        <v>121</v>
      </c>
      <c r="AC412" s="235">
        <v>-600000</v>
      </c>
      <c r="AD412" s="235">
        <v>-2622.05052156077</v>
      </c>
      <c r="AE412">
        <v>0</v>
      </c>
      <c r="AF412">
        <v>0</v>
      </c>
      <c r="AG412">
        <v>0</v>
      </c>
      <c r="AH412" s="235">
        <v>-322.5996950624949</v>
      </c>
      <c r="AI412">
        <v>226</v>
      </c>
      <c r="AJ412" t="s">
        <v>256</v>
      </c>
      <c r="AK412">
        <v>0</v>
      </c>
      <c r="AL412">
        <v>0</v>
      </c>
      <c r="AM412">
        <v>0</v>
      </c>
    </row>
    <row r="413" spans="1:39" x14ac:dyDescent="0.25">
      <c r="A413" t="s">
        <v>601</v>
      </c>
      <c r="B413" t="s">
        <v>483</v>
      </c>
      <c r="C413" t="s">
        <v>255</v>
      </c>
      <c r="D413" t="s">
        <v>234</v>
      </c>
      <c r="E413" t="s">
        <v>20</v>
      </c>
      <c r="F413" t="s">
        <v>268</v>
      </c>
      <c r="G413" t="s">
        <v>269</v>
      </c>
      <c r="H413" t="s">
        <v>254</v>
      </c>
      <c r="I413" t="s">
        <v>242</v>
      </c>
      <c r="J413" t="s">
        <v>235</v>
      </c>
      <c r="K413" s="380">
        <v>36951</v>
      </c>
      <c r="L413" s="235">
        <v>-5981.625018894887</v>
      </c>
      <c r="M413" s="380">
        <v>36949</v>
      </c>
      <c r="N413" t="s">
        <v>1</v>
      </c>
      <c r="O413">
        <v>-0.3</v>
      </c>
      <c r="P413">
        <v>0</v>
      </c>
      <c r="Q413">
        <v>0</v>
      </c>
      <c r="R413">
        <v>0</v>
      </c>
      <c r="S413">
        <v>0</v>
      </c>
      <c r="T413" t="s">
        <v>253</v>
      </c>
      <c r="U413" t="s">
        <v>6</v>
      </c>
      <c r="V413" t="s">
        <v>253</v>
      </c>
      <c r="W413" t="s">
        <v>132</v>
      </c>
      <c r="X413" t="s">
        <v>253</v>
      </c>
      <c r="Y413" t="s">
        <v>235</v>
      </c>
      <c r="Z413" t="s">
        <v>236</v>
      </c>
      <c r="AA413" t="s">
        <v>253</v>
      </c>
      <c r="AB413" t="s">
        <v>121</v>
      </c>
      <c r="AC413" s="235">
        <v>-310000</v>
      </c>
      <c r="AD413" s="235">
        <v>-2714.2858070250222</v>
      </c>
      <c r="AE413">
        <v>0</v>
      </c>
      <c r="AF413">
        <v>0</v>
      </c>
      <c r="AG413">
        <v>0</v>
      </c>
      <c r="AH413" s="235">
        <v>-280.95884886067415</v>
      </c>
      <c r="AI413">
        <v>226</v>
      </c>
      <c r="AJ413" t="s">
        <v>256</v>
      </c>
      <c r="AK413">
        <v>0</v>
      </c>
      <c r="AL413">
        <v>0</v>
      </c>
      <c r="AM413">
        <v>0</v>
      </c>
    </row>
    <row r="414" spans="1:39" x14ac:dyDescent="0.25">
      <c r="A414" t="s">
        <v>601</v>
      </c>
      <c r="B414" t="s">
        <v>483</v>
      </c>
      <c r="C414" t="s">
        <v>255</v>
      </c>
      <c r="D414" t="s">
        <v>234</v>
      </c>
      <c r="E414" t="s">
        <v>20</v>
      </c>
      <c r="F414" t="s">
        <v>268</v>
      </c>
      <c r="G414" t="s">
        <v>269</v>
      </c>
      <c r="H414" t="s">
        <v>254</v>
      </c>
      <c r="I414" t="s">
        <v>242</v>
      </c>
      <c r="J414" t="s">
        <v>235</v>
      </c>
      <c r="K414" s="380">
        <v>36923</v>
      </c>
      <c r="L414" s="235">
        <v>-6921.7170169775663</v>
      </c>
      <c r="M414" s="380">
        <v>36921</v>
      </c>
      <c r="N414" t="s">
        <v>1</v>
      </c>
      <c r="O414">
        <v>-0.3</v>
      </c>
      <c r="P414">
        <v>0</v>
      </c>
      <c r="Q414">
        <v>0</v>
      </c>
      <c r="R414">
        <v>0</v>
      </c>
      <c r="S414">
        <v>0</v>
      </c>
      <c r="T414" t="s">
        <v>253</v>
      </c>
      <c r="U414" t="s">
        <v>6</v>
      </c>
      <c r="V414" t="s">
        <v>253</v>
      </c>
      <c r="W414" t="s">
        <v>132</v>
      </c>
      <c r="X414" t="s">
        <v>253</v>
      </c>
      <c r="Y414" t="s">
        <v>235</v>
      </c>
      <c r="Z414" t="s">
        <v>236</v>
      </c>
      <c r="AA414" t="s">
        <v>253</v>
      </c>
      <c r="AB414" t="s">
        <v>121</v>
      </c>
      <c r="AC414" s="235">
        <v>-280000</v>
      </c>
      <c r="AD414" s="235">
        <v>-2750.2440736285134</v>
      </c>
      <c r="AE414">
        <v>0</v>
      </c>
      <c r="AF414">
        <v>0</v>
      </c>
      <c r="AG414">
        <v>0</v>
      </c>
      <c r="AH414" s="235">
        <v>-281.07058958924154</v>
      </c>
      <c r="AI414">
        <v>226</v>
      </c>
      <c r="AJ414" t="s">
        <v>256</v>
      </c>
      <c r="AK414">
        <v>0</v>
      </c>
      <c r="AL414">
        <v>0</v>
      </c>
      <c r="AM414">
        <v>0</v>
      </c>
    </row>
    <row r="415" spans="1:39" x14ac:dyDescent="0.25">
      <c r="A415" t="s">
        <v>601</v>
      </c>
      <c r="B415" t="s">
        <v>483</v>
      </c>
      <c r="C415" t="s">
        <v>255</v>
      </c>
      <c r="D415" t="s">
        <v>234</v>
      </c>
      <c r="E415" t="s">
        <v>20</v>
      </c>
      <c r="F415" t="s">
        <v>268</v>
      </c>
      <c r="G415" t="s">
        <v>269</v>
      </c>
      <c r="H415" t="s">
        <v>254</v>
      </c>
      <c r="I415" t="s">
        <v>242</v>
      </c>
      <c r="J415" t="s">
        <v>235</v>
      </c>
      <c r="K415" s="380">
        <v>36892</v>
      </c>
      <c r="L415" s="235">
        <v>-7812.0784242703921</v>
      </c>
      <c r="M415" s="380">
        <v>36888</v>
      </c>
      <c r="N415" t="s">
        <v>1</v>
      </c>
      <c r="O415">
        <v>-0.3</v>
      </c>
      <c r="P415">
        <v>0</v>
      </c>
      <c r="Q415">
        <v>0</v>
      </c>
      <c r="R415">
        <v>0</v>
      </c>
      <c r="S415">
        <v>0</v>
      </c>
      <c r="T415" t="s">
        <v>253</v>
      </c>
      <c r="U415" t="s">
        <v>6</v>
      </c>
      <c r="V415" t="s">
        <v>253</v>
      </c>
      <c r="W415" t="s">
        <v>132</v>
      </c>
      <c r="X415" t="s">
        <v>253</v>
      </c>
      <c r="Y415" t="s">
        <v>235</v>
      </c>
      <c r="Z415" t="s">
        <v>236</v>
      </c>
      <c r="AA415" t="s">
        <v>253</v>
      </c>
      <c r="AB415" t="s">
        <v>121</v>
      </c>
      <c r="AC415" s="235">
        <v>-310000</v>
      </c>
      <c r="AD415" s="235">
        <v>-2866.9673007134988</v>
      </c>
      <c r="AE415">
        <v>0</v>
      </c>
      <c r="AF415">
        <v>0</v>
      </c>
      <c r="AG415">
        <v>0</v>
      </c>
      <c r="AH415" s="235">
        <v>-312.79988042773402</v>
      </c>
      <c r="AI415">
        <v>226</v>
      </c>
      <c r="AJ415" t="s">
        <v>256</v>
      </c>
      <c r="AK415">
        <v>0</v>
      </c>
      <c r="AL415">
        <v>0</v>
      </c>
      <c r="AM415">
        <v>0</v>
      </c>
    </row>
    <row r="416" spans="1:39" x14ac:dyDescent="0.25">
      <c r="A416" t="s">
        <v>601</v>
      </c>
      <c r="B416" t="s">
        <v>483</v>
      </c>
      <c r="C416" t="s">
        <v>255</v>
      </c>
      <c r="D416" t="s">
        <v>234</v>
      </c>
      <c r="E416" t="s">
        <v>20</v>
      </c>
      <c r="F416" t="s">
        <v>268</v>
      </c>
      <c r="G416" t="s">
        <v>269</v>
      </c>
      <c r="H416" t="s">
        <v>254</v>
      </c>
      <c r="I416" t="s">
        <v>242</v>
      </c>
      <c r="J416" t="s">
        <v>235</v>
      </c>
      <c r="K416" s="380">
        <v>36861</v>
      </c>
      <c r="L416" s="235">
        <v>-5243.4821978548343</v>
      </c>
      <c r="M416" s="380">
        <v>36859</v>
      </c>
      <c r="N416" t="s">
        <v>1</v>
      </c>
      <c r="O416">
        <v>-0.3</v>
      </c>
      <c r="P416">
        <v>0</v>
      </c>
      <c r="Q416">
        <v>0</v>
      </c>
      <c r="R416">
        <v>0</v>
      </c>
      <c r="S416">
        <v>0</v>
      </c>
      <c r="T416" t="s">
        <v>253</v>
      </c>
      <c r="U416" t="s">
        <v>6</v>
      </c>
      <c r="V416" t="s">
        <v>253</v>
      </c>
      <c r="W416" t="s">
        <v>132</v>
      </c>
      <c r="X416" t="s">
        <v>253</v>
      </c>
      <c r="Y416" t="s">
        <v>235</v>
      </c>
      <c r="Z416" t="s">
        <v>236</v>
      </c>
      <c r="AA416" t="s">
        <v>253</v>
      </c>
      <c r="AB416" t="s">
        <v>121</v>
      </c>
      <c r="AC416" s="235">
        <v>-310000</v>
      </c>
      <c r="AD416" s="235">
        <v>-2214.4446680187684</v>
      </c>
      <c r="AE416">
        <v>0</v>
      </c>
      <c r="AF416">
        <v>0</v>
      </c>
      <c r="AG416">
        <v>0</v>
      </c>
      <c r="AH416" s="235">
        <v>-254.34145008396263</v>
      </c>
      <c r="AI416">
        <v>226</v>
      </c>
      <c r="AJ416" t="s">
        <v>256</v>
      </c>
      <c r="AK416">
        <v>0</v>
      </c>
      <c r="AL416">
        <v>0</v>
      </c>
      <c r="AM416">
        <v>0</v>
      </c>
    </row>
    <row r="417" spans="1:39" x14ac:dyDescent="0.25">
      <c r="A417" t="s">
        <v>601</v>
      </c>
      <c r="B417" t="s">
        <v>483</v>
      </c>
      <c r="C417" t="s">
        <v>255</v>
      </c>
      <c r="D417" t="s">
        <v>234</v>
      </c>
      <c r="E417" t="s">
        <v>20</v>
      </c>
      <c r="F417" t="s">
        <v>268</v>
      </c>
      <c r="G417" t="s">
        <v>269</v>
      </c>
      <c r="H417" t="s">
        <v>254</v>
      </c>
      <c r="I417" t="s">
        <v>242</v>
      </c>
      <c r="J417" t="s">
        <v>235</v>
      </c>
      <c r="K417" s="380">
        <v>36831</v>
      </c>
      <c r="L417" s="235">
        <v>-2374.4980428520566</v>
      </c>
      <c r="M417" s="380">
        <v>36829</v>
      </c>
      <c r="N417" t="s">
        <v>1</v>
      </c>
      <c r="O417">
        <v>-0.3</v>
      </c>
      <c r="P417">
        <v>0</v>
      </c>
      <c r="Q417">
        <v>0</v>
      </c>
      <c r="R417">
        <v>0</v>
      </c>
      <c r="S417">
        <v>0</v>
      </c>
      <c r="T417" t="s">
        <v>253</v>
      </c>
      <c r="U417" t="s">
        <v>6</v>
      </c>
      <c r="V417" t="s">
        <v>253</v>
      </c>
      <c r="W417" t="s">
        <v>132</v>
      </c>
      <c r="X417" t="s">
        <v>253</v>
      </c>
      <c r="Y417" t="s">
        <v>235</v>
      </c>
      <c r="Z417" t="s">
        <v>236</v>
      </c>
      <c r="AA417" t="s">
        <v>253</v>
      </c>
      <c r="AB417" t="s">
        <v>121</v>
      </c>
      <c r="AC417" s="235">
        <v>-300000</v>
      </c>
      <c r="AD417" s="235">
        <v>-1311.025260780385</v>
      </c>
      <c r="AE417">
        <v>0</v>
      </c>
      <c r="AF417">
        <v>0</v>
      </c>
      <c r="AG417">
        <v>0</v>
      </c>
      <c r="AH417" s="235">
        <v>-161.29984753124745</v>
      </c>
      <c r="AI417">
        <v>226</v>
      </c>
      <c r="AJ417" t="s">
        <v>256</v>
      </c>
      <c r="AK417">
        <v>0</v>
      </c>
      <c r="AL417">
        <v>0</v>
      </c>
      <c r="AM417">
        <v>0</v>
      </c>
    </row>
    <row r="418" spans="1:39" x14ac:dyDescent="0.25">
      <c r="A418" t="s">
        <v>601</v>
      </c>
      <c r="B418" t="s">
        <v>484</v>
      </c>
      <c r="C418" t="s">
        <v>255</v>
      </c>
      <c r="D418" t="s">
        <v>234</v>
      </c>
      <c r="E418" t="s">
        <v>20</v>
      </c>
      <c r="F418" t="s">
        <v>480</v>
      </c>
      <c r="G418" t="s">
        <v>269</v>
      </c>
      <c r="H418" t="s">
        <v>254</v>
      </c>
      <c r="I418" t="s">
        <v>242</v>
      </c>
      <c r="J418" t="s">
        <v>235</v>
      </c>
      <c r="K418" s="380">
        <v>36800</v>
      </c>
      <c r="L418" s="235">
        <v>-220876.0236242422</v>
      </c>
      <c r="M418" s="380">
        <v>36797</v>
      </c>
      <c r="N418" t="s">
        <v>1</v>
      </c>
      <c r="O418">
        <v>0.55000000000000004</v>
      </c>
      <c r="P418">
        <v>0</v>
      </c>
      <c r="Q418">
        <v>0</v>
      </c>
      <c r="R418">
        <v>0</v>
      </c>
      <c r="S418">
        <v>0</v>
      </c>
      <c r="T418" t="s">
        <v>253</v>
      </c>
      <c r="U418" t="s">
        <v>7</v>
      </c>
      <c r="V418" t="s">
        <v>253</v>
      </c>
      <c r="W418" t="s">
        <v>132</v>
      </c>
      <c r="X418" t="s">
        <v>253</v>
      </c>
      <c r="Y418" t="s">
        <v>235</v>
      </c>
      <c r="Z418" t="s">
        <v>236</v>
      </c>
      <c r="AA418" t="s">
        <v>253</v>
      </c>
      <c r="AB418" t="s">
        <v>121</v>
      </c>
      <c r="AC418" s="235">
        <v>-1550000</v>
      </c>
      <c r="AD418" s="235">
        <v>-5167.6397788133472</v>
      </c>
      <c r="AE418">
        <v>0</v>
      </c>
      <c r="AF418">
        <v>0</v>
      </c>
      <c r="AG418">
        <v>0</v>
      </c>
      <c r="AH418" s="235">
        <v>-299.09381671537994</v>
      </c>
      <c r="AI418">
        <v>226</v>
      </c>
      <c r="AJ418" t="s">
        <v>256</v>
      </c>
      <c r="AK418">
        <v>0</v>
      </c>
      <c r="AL418">
        <v>0</v>
      </c>
      <c r="AM418">
        <v>0</v>
      </c>
    </row>
    <row r="419" spans="1:39" x14ac:dyDescent="0.25">
      <c r="A419" t="s">
        <v>601</v>
      </c>
      <c r="B419" t="s">
        <v>485</v>
      </c>
      <c r="C419" t="s">
        <v>255</v>
      </c>
      <c r="D419" t="s">
        <v>234</v>
      </c>
      <c r="E419" t="s">
        <v>20</v>
      </c>
      <c r="F419" t="s">
        <v>279</v>
      </c>
      <c r="G419" t="s">
        <v>269</v>
      </c>
      <c r="H419" t="s">
        <v>254</v>
      </c>
      <c r="I419" t="s">
        <v>242</v>
      </c>
      <c r="J419" t="s">
        <v>235</v>
      </c>
      <c r="K419" s="380">
        <v>36951</v>
      </c>
      <c r="L419" s="235">
        <v>92833.265753445434</v>
      </c>
      <c r="M419" s="380">
        <v>36949</v>
      </c>
      <c r="N419" t="s">
        <v>21</v>
      </c>
      <c r="O419">
        <v>2.2999999999999998</v>
      </c>
      <c r="P419">
        <v>0</v>
      </c>
      <c r="Q419">
        <v>0</v>
      </c>
      <c r="R419">
        <v>0</v>
      </c>
      <c r="S419">
        <v>0</v>
      </c>
      <c r="T419" t="s">
        <v>253</v>
      </c>
      <c r="U419" t="s">
        <v>7</v>
      </c>
      <c r="V419" t="s">
        <v>253</v>
      </c>
      <c r="W419" t="s">
        <v>132</v>
      </c>
      <c r="X419" t="s">
        <v>253</v>
      </c>
      <c r="Y419" t="s">
        <v>235</v>
      </c>
      <c r="Z419" t="s">
        <v>236</v>
      </c>
      <c r="AA419" t="s">
        <v>253</v>
      </c>
      <c r="AB419" t="s">
        <v>121</v>
      </c>
      <c r="AC419" s="235">
        <v>500000</v>
      </c>
      <c r="AD419" s="235">
        <v>31360.018317975511</v>
      </c>
      <c r="AE419">
        <v>0</v>
      </c>
      <c r="AF419">
        <v>0</v>
      </c>
      <c r="AG419">
        <v>0</v>
      </c>
      <c r="AH419" s="235">
        <v>8899.7221304267587</v>
      </c>
      <c r="AI419">
        <v>226</v>
      </c>
      <c r="AJ419" t="s">
        <v>256</v>
      </c>
      <c r="AK419">
        <v>0</v>
      </c>
      <c r="AL419">
        <v>0</v>
      </c>
      <c r="AM419">
        <v>0</v>
      </c>
    </row>
    <row r="420" spans="1:39" x14ac:dyDescent="0.25">
      <c r="A420" t="s">
        <v>601</v>
      </c>
      <c r="B420" t="s">
        <v>485</v>
      </c>
      <c r="C420" t="s">
        <v>255</v>
      </c>
      <c r="D420" t="s">
        <v>234</v>
      </c>
      <c r="E420" t="s">
        <v>20</v>
      </c>
      <c r="F420" t="s">
        <v>279</v>
      </c>
      <c r="G420" t="s">
        <v>269</v>
      </c>
      <c r="H420" t="s">
        <v>254</v>
      </c>
      <c r="I420" t="s">
        <v>242</v>
      </c>
      <c r="J420" t="s">
        <v>235</v>
      </c>
      <c r="K420" s="380">
        <v>36923</v>
      </c>
      <c r="L420" s="235">
        <v>302046.49862419901</v>
      </c>
      <c r="M420" s="380">
        <v>36921</v>
      </c>
      <c r="N420" t="s">
        <v>21</v>
      </c>
      <c r="O420">
        <v>2.2999999999999998</v>
      </c>
      <c r="P420">
        <v>0</v>
      </c>
      <c r="Q420">
        <v>0</v>
      </c>
      <c r="R420">
        <v>0</v>
      </c>
      <c r="S420">
        <v>0</v>
      </c>
      <c r="T420" t="s">
        <v>253</v>
      </c>
      <c r="U420" t="s">
        <v>7</v>
      </c>
      <c r="V420" t="s">
        <v>253</v>
      </c>
      <c r="W420" t="s">
        <v>132</v>
      </c>
      <c r="X420" t="s">
        <v>253</v>
      </c>
      <c r="Y420" t="s">
        <v>235</v>
      </c>
      <c r="Z420" t="s">
        <v>236</v>
      </c>
      <c r="AA420" t="s">
        <v>253</v>
      </c>
      <c r="AB420" t="s">
        <v>121</v>
      </c>
      <c r="AC420" s="235">
        <v>500000</v>
      </c>
      <c r="AD420" s="235">
        <v>42341.408086504001</v>
      </c>
      <c r="AE420">
        <v>0</v>
      </c>
      <c r="AF420">
        <v>0</v>
      </c>
      <c r="AG420">
        <v>0</v>
      </c>
      <c r="AH420" s="235">
        <v>19173.634903517261</v>
      </c>
      <c r="AI420">
        <v>226</v>
      </c>
      <c r="AJ420" t="s">
        <v>256</v>
      </c>
      <c r="AK420">
        <v>0</v>
      </c>
      <c r="AL420">
        <v>0</v>
      </c>
      <c r="AM420">
        <v>0</v>
      </c>
    </row>
    <row r="421" spans="1:39" x14ac:dyDescent="0.25">
      <c r="A421" t="s">
        <v>601</v>
      </c>
      <c r="B421" t="s">
        <v>485</v>
      </c>
      <c r="C421" t="s">
        <v>255</v>
      </c>
      <c r="D421" t="s">
        <v>234</v>
      </c>
      <c r="E421" t="s">
        <v>20</v>
      </c>
      <c r="F421" t="s">
        <v>279</v>
      </c>
      <c r="G421" t="s">
        <v>269</v>
      </c>
      <c r="H421" t="s">
        <v>254</v>
      </c>
      <c r="I421" t="s">
        <v>242</v>
      </c>
      <c r="J421" t="s">
        <v>235</v>
      </c>
      <c r="K421" s="380">
        <v>36892</v>
      </c>
      <c r="L421" s="235">
        <v>301770.06432981259</v>
      </c>
      <c r="M421" s="380">
        <v>36888</v>
      </c>
      <c r="N421" t="s">
        <v>21</v>
      </c>
      <c r="O421">
        <v>2.2999999999999998</v>
      </c>
      <c r="P421">
        <v>0</v>
      </c>
      <c r="Q421">
        <v>0</v>
      </c>
      <c r="R421">
        <v>0</v>
      </c>
      <c r="S421">
        <v>0</v>
      </c>
      <c r="T421" t="s">
        <v>253</v>
      </c>
      <c r="U421" t="s">
        <v>7</v>
      </c>
      <c r="V421" t="s">
        <v>253</v>
      </c>
      <c r="W421" t="s">
        <v>132</v>
      </c>
      <c r="X421" t="s">
        <v>253</v>
      </c>
      <c r="Y421" t="s">
        <v>235</v>
      </c>
      <c r="Z421" t="s">
        <v>236</v>
      </c>
      <c r="AA421" t="s">
        <v>253</v>
      </c>
      <c r="AB421" t="s">
        <v>121</v>
      </c>
      <c r="AC421" s="235">
        <v>500000</v>
      </c>
      <c r="AD421" s="235">
        <v>38972.259944287012</v>
      </c>
      <c r="AE421">
        <v>0</v>
      </c>
      <c r="AF421">
        <v>0</v>
      </c>
      <c r="AG421">
        <v>0</v>
      </c>
      <c r="AH421" s="235">
        <v>16969.909430017811</v>
      </c>
      <c r="AI421">
        <v>226</v>
      </c>
      <c r="AJ421" t="s">
        <v>256</v>
      </c>
      <c r="AK421">
        <v>0</v>
      </c>
      <c r="AL421">
        <v>0</v>
      </c>
      <c r="AM421">
        <v>0</v>
      </c>
    </row>
    <row r="422" spans="1:39" x14ac:dyDescent="0.25">
      <c r="A422" t="s">
        <v>601</v>
      </c>
      <c r="B422" t="s">
        <v>485</v>
      </c>
      <c r="C422" t="s">
        <v>255</v>
      </c>
      <c r="D422" t="s">
        <v>234</v>
      </c>
      <c r="E422" t="s">
        <v>20</v>
      </c>
      <c r="F422" t="s">
        <v>279</v>
      </c>
      <c r="G422" t="s">
        <v>269</v>
      </c>
      <c r="H422" t="s">
        <v>254</v>
      </c>
      <c r="I422" t="s">
        <v>242</v>
      </c>
      <c r="J422" t="s">
        <v>235</v>
      </c>
      <c r="K422" s="380">
        <v>36861</v>
      </c>
      <c r="L422" s="235">
        <v>147649.37486149947</v>
      </c>
      <c r="M422" s="380">
        <v>36859</v>
      </c>
      <c r="N422" t="s">
        <v>21</v>
      </c>
      <c r="O422">
        <v>2.2999999999999998</v>
      </c>
      <c r="P422">
        <v>0</v>
      </c>
      <c r="Q422">
        <v>0</v>
      </c>
      <c r="R422">
        <v>0</v>
      </c>
      <c r="S422">
        <v>0</v>
      </c>
      <c r="T422" t="s">
        <v>253</v>
      </c>
      <c r="U422" t="s">
        <v>7</v>
      </c>
      <c r="V422" t="s">
        <v>253</v>
      </c>
      <c r="W422" t="s">
        <v>132</v>
      </c>
      <c r="X422" t="s">
        <v>253</v>
      </c>
      <c r="Y422" t="s">
        <v>235</v>
      </c>
      <c r="Z422" t="s">
        <v>236</v>
      </c>
      <c r="AA422" t="s">
        <v>253</v>
      </c>
      <c r="AB422" t="s">
        <v>121</v>
      </c>
      <c r="AC422" s="235">
        <v>500000</v>
      </c>
      <c r="AD422" s="235">
        <v>31125.488100466726</v>
      </c>
      <c r="AE422">
        <v>0</v>
      </c>
      <c r="AF422">
        <v>0</v>
      </c>
      <c r="AG422">
        <v>0</v>
      </c>
      <c r="AH422" s="235">
        <v>9500.6963118032727</v>
      </c>
      <c r="AI422">
        <v>226</v>
      </c>
      <c r="AJ422" t="s">
        <v>256</v>
      </c>
      <c r="AK422">
        <v>0</v>
      </c>
      <c r="AL422">
        <v>0</v>
      </c>
      <c r="AM422">
        <v>0</v>
      </c>
    </row>
    <row r="423" spans="1:39" x14ac:dyDescent="0.25">
      <c r="A423" t="s">
        <v>601</v>
      </c>
      <c r="B423" t="s">
        <v>485</v>
      </c>
      <c r="C423" t="s">
        <v>255</v>
      </c>
      <c r="D423" t="s">
        <v>234</v>
      </c>
      <c r="E423" t="s">
        <v>20</v>
      </c>
      <c r="F423" t="s">
        <v>279</v>
      </c>
      <c r="G423" t="s">
        <v>269</v>
      </c>
      <c r="H423" t="s">
        <v>254</v>
      </c>
      <c r="I423" t="s">
        <v>242</v>
      </c>
      <c r="J423" t="s">
        <v>235</v>
      </c>
      <c r="K423" s="380">
        <v>36831</v>
      </c>
      <c r="L423" s="235">
        <v>5115.8934047592784</v>
      </c>
      <c r="M423" s="380">
        <v>36829</v>
      </c>
      <c r="N423" t="s">
        <v>21</v>
      </c>
      <c r="O423">
        <v>2.2999999999999998</v>
      </c>
      <c r="P423">
        <v>0</v>
      </c>
      <c r="Q423">
        <v>0</v>
      </c>
      <c r="R423">
        <v>0</v>
      </c>
      <c r="S423">
        <v>0</v>
      </c>
      <c r="T423" t="s">
        <v>253</v>
      </c>
      <c r="U423" t="s">
        <v>7</v>
      </c>
      <c r="V423" t="s">
        <v>253</v>
      </c>
      <c r="W423" t="s">
        <v>132</v>
      </c>
      <c r="X423" t="s">
        <v>253</v>
      </c>
      <c r="Y423" t="s">
        <v>235</v>
      </c>
      <c r="Z423" t="s">
        <v>236</v>
      </c>
      <c r="AA423" t="s">
        <v>253</v>
      </c>
      <c r="AB423" t="s">
        <v>121</v>
      </c>
      <c r="AC423" s="235">
        <v>500000</v>
      </c>
      <c r="AD423" s="235">
        <v>3765.2887384887126</v>
      </c>
      <c r="AE423">
        <v>0</v>
      </c>
      <c r="AF423">
        <v>0</v>
      </c>
      <c r="AG423">
        <v>0</v>
      </c>
      <c r="AH423" s="235">
        <v>943.64713809198292</v>
      </c>
      <c r="AI423">
        <v>226</v>
      </c>
      <c r="AJ423" t="s">
        <v>256</v>
      </c>
      <c r="AK423">
        <v>0</v>
      </c>
      <c r="AL423">
        <v>0</v>
      </c>
      <c r="AM423">
        <v>0</v>
      </c>
    </row>
    <row r="424" spans="1:39" x14ac:dyDescent="0.25">
      <c r="A424" t="s">
        <v>601</v>
      </c>
      <c r="B424" t="s">
        <v>486</v>
      </c>
      <c r="C424" t="s">
        <v>255</v>
      </c>
      <c r="D424" t="s">
        <v>234</v>
      </c>
      <c r="E424" t="s">
        <v>20</v>
      </c>
      <c r="F424" t="s">
        <v>320</v>
      </c>
      <c r="G424" t="s">
        <v>269</v>
      </c>
      <c r="H424" t="s">
        <v>254</v>
      </c>
      <c r="I424" t="s">
        <v>242</v>
      </c>
      <c r="J424" t="s">
        <v>235</v>
      </c>
      <c r="K424" s="380">
        <v>36951</v>
      </c>
      <c r="L424" s="235">
        <v>439193.57484196319</v>
      </c>
      <c r="M424" s="380">
        <v>36949</v>
      </c>
      <c r="N424" t="s">
        <v>1</v>
      </c>
      <c r="O424">
        <v>0.95</v>
      </c>
      <c r="P424">
        <v>0</v>
      </c>
      <c r="Q424">
        <v>0</v>
      </c>
      <c r="R424">
        <v>0</v>
      </c>
      <c r="S424">
        <v>0</v>
      </c>
      <c r="T424" t="s">
        <v>253</v>
      </c>
      <c r="U424" t="s">
        <v>7</v>
      </c>
      <c r="V424" t="s">
        <v>253</v>
      </c>
      <c r="W424" t="s">
        <v>132</v>
      </c>
      <c r="X424" t="s">
        <v>253</v>
      </c>
      <c r="Y424" t="s">
        <v>235</v>
      </c>
      <c r="Z424" t="s">
        <v>236</v>
      </c>
      <c r="AA424" t="s">
        <v>253</v>
      </c>
      <c r="AB424" t="s">
        <v>121</v>
      </c>
      <c r="AC424" s="235">
        <v>1000000</v>
      </c>
      <c r="AD424" s="235">
        <v>88919.377864861221</v>
      </c>
      <c r="AE424">
        <v>0</v>
      </c>
      <c r="AF424">
        <v>0</v>
      </c>
      <c r="AG424">
        <v>0</v>
      </c>
      <c r="AH424" s="235">
        <v>-19838.183083816606</v>
      </c>
      <c r="AI424">
        <v>226</v>
      </c>
      <c r="AJ424" t="s">
        <v>256</v>
      </c>
      <c r="AK424">
        <v>0</v>
      </c>
      <c r="AL424">
        <v>0</v>
      </c>
      <c r="AM424">
        <v>0</v>
      </c>
    </row>
    <row r="425" spans="1:39" x14ac:dyDescent="0.25">
      <c r="A425" t="s">
        <v>601</v>
      </c>
      <c r="B425" t="s">
        <v>486</v>
      </c>
      <c r="C425" t="s">
        <v>255</v>
      </c>
      <c r="D425" t="s">
        <v>234</v>
      </c>
      <c r="E425" t="s">
        <v>20</v>
      </c>
      <c r="F425" t="s">
        <v>320</v>
      </c>
      <c r="G425" t="s">
        <v>269</v>
      </c>
      <c r="H425" t="s">
        <v>254</v>
      </c>
      <c r="I425" t="s">
        <v>242</v>
      </c>
      <c r="J425" t="s">
        <v>235</v>
      </c>
      <c r="K425" s="380">
        <v>36923</v>
      </c>
      <c r="L425" s="235">
        <v>190761.07387737962</v>
      </c>
      <c r="M425" s="380">
        <v>36921</v>
      </c>
      <c r="N425" t="s">
        <v>1</v>
      </c>
      <c r="O425">
        <v>0.95</v>
      </c>
      <c r="P425">
        <v>0</v>
      </c>
      <c r="Q425">
        <v>0</v>
      </c>
      <c r="R425">
        <v>0</v>
      </c>
      <c r="S425">
        <v>0</v>
      </c>
      <c r="T425" t="s">
        <v>253</v>
      </c>
      <c r="U425" t="s">
        <v>7</v>
      </c>
      <c r="V425" t="s">
        <v>253</v>
      </c>
      <c r="W425" t="s">
        <v>132</v>
      </c>
      <c r="X425" t="s">
        <v>253</v>
      </c>
      <c r="Y425" t="s">
        <v>235</v>
      </c>
      <c r="Z425" t="s">
        <v>236</v>
      </c>
      <c r="AA425" t="s">
        <v>253</v>
      </c>
      <c r="AB425" t="s">
        <v>121</v>
      </c>
      <c r="AC425" s="235">
        <v>1000000</v>
      </c>
      <c r="AD425" s="235">
        <v>68957.811988938804</v>
      </c>
      <c r="AE425">
        <v>0</v>
      </c>
      <c r="AF425">
        <v>0</v>
      </c>
      <c r="AG425">
        <v>0</v>
      </c>
      <c r="AH425" s="235">
        <v>-9846.6261578735721</v>
      </c>
      <c r="AI425">
        <v>226</v>
      </c>
      <c r="AJ425" t="s">
        <v>256</v>
      </c>
      <c r="AK425">
        <v>0</v>
      </c>
      <c r="AL425">
        <v>0</v>
      </c>
      <c r="AM425">
        <v>0</v>
      </c>
    </row>
    <row r="426" spans="1:39" x14ac:dyDescent="0.25">
      <c r="A426" t="s">
        <v>601</v>
      </c>
      <c r="B426" t="s">
        <v>486</v>
      </c>
      <c r="C426" t="s">
        <v>255</v>
      </c>
      <c r="D426" t="s">
        <v>234</v>
      </c>
      <c r="E426" t="s">
        <v>20</v>
      </c>
      <c r="F426" t="s">
        <v>320</v>
      </c>
      <c r="G426" t="s">
        <v>269</v>
      </c>
      <c r="H426" t="s">
        <v>254</v>
      </c>
      <c r="I426" t="s">
        <v>242</v>
      </c>
      <c r="J426" t="s">
        <v>235</v>
      </c>
      <c r="K426" s="380">
        <v>36892</v>
      </c>
      <c r="L426" s="235">
        <v>154296.15312093103</v>
      </c>
      <c r="M426" s="380">
        <v>36888</v>
      </c>
      <c r="N426" t="s">
        <v>1</v>
      </c>
      <c r="O426">
        <v>0.95</v>
      </c>
      <c r="P426">
        <v>0</v>
      </c>
      <c r="Q426">
        <v>0</v>
      </c>
      <c r="R426">
        <v>0</v>
      </c>
      <c r="S426">
        <v>0</v>
      </c>
      <c r="T426" t="s">
        <v>253</v>
      </c>
      <c r="U426" t="s">
        <v>7</v>
      </c>
      <c r="V426" t="s">
        <v>253</v>
      </c>
      <c r="W426" t="s">
        <v>132</v>
      </c>
      <c r="X426" t="s">
        <v>253</v>
      </c>
      <c r="Y426" t="s">
        <v>235</v>
      </c>
      <c r="Z426" t="s">
        <v>236</v>
      </c>
      <c r="AA426" t="s">
        <v>253</v>
      </c>
      <c r="AB426" t="s">
        <v>121</v>
      </c>
      <c r="AC426" s="235">
        <v>1000000</v>
      </c>
      <c r="AD426" s="235">
        <v>58574.150650883355</v>
      </c>
      <c r="AE426">
        <v>0</v>
      </c>
      <c r="AF426">
        <v>0</v>
      </c>
      <c r="AG426">
        <v>0</v>
      </c>
      <c r="AH426" s="235">
        <v>-7225.3304749372473</v>
      </c>
      <c r="AI426">
        <v>226</v>
      </c>
      <c r="AJ426" t="s">
        <v>256</v>
      </c>
      <c r="AK426">
        <v>0</v>
      </c>
      <c r="AL426">
        <v>0</v>
      </c>
      <c r="AM426">
        <v>0</v>
      </c>
    </row>
    <row r="427" spans="1:39" x14ac:dyDescent="0.25">
      <c r="A427" t="s">
        <v>601</v>
      </c>
      <c r="B427" t="s">
        <v>486</v>
      </c>
      <c r="C427" t="s">
        <v>255</v>
      </c>
      <c r="D427" t="s">
        <v>234</v>
      </c>
      <c r="E427" t="s">
        <v>20</v>
      </c>
      <c r="F427" t="s">
        <v>320</v>
      </c>
      <c r="G427" t="s">
        <v>269</v>
      </c>
      <c r="H427" t="s">
        <v>254</v>
      </c>
      <c r="I427" t="s">
        <v>242</v>
      </c>
      <c r="J427" t="s">
        <v>235</v>
      </c>
      <c r="K427" s="380">
        <v>36861</v>
      </c>
      <c r="L427" s="235">
        <v>206779.59023365367</v>
      </c>
      <c r="M427" s="380">
        <v>36859</v>
      </c>
      <c r="N427" t="s">
        <v>1</v>
      </c>
      <c r="O427">
        <v>0.95</v>
      </c>
      <c r="P427">
        <v>0</v>
      </c>
      <c r="Q427">
        <v>0</v>
      </c>
      <c r="R427">
        <v>0</v>
      </c>
      <c r="S427">
        <v>0</v>
      </c>
      <c r="T427" t="s">
        <v>253</v>
      </c>
      <c r="U427" t="s">
        <v>7</v>
      </c>
      <c r="V427" t="s">
        <v>253</v>
      </c>
      <c r="W427" t="s">
        <v>132</v>
      </c>
      <c r="X427" t="s">
        <v>253</v>
      </c>
      <c r="Y427" t="s">
        <v>235</v>
      </c>
      <c r="Z427" t="s">
        <v>236</v>
      </c>
      <c r="AA427" t="s">
        <v>253</v>
      </c>
      <c r="AB427" t="s">
        <v>121</v>
      </c>
      <c r="AC427" s="235">
        <v>1000000</v>
      </c>
      <c r="AD427" s="235">
        <v>62140.966342002706</v>
      </c>
      <c r="AE427">
        <v>0</v>
      </c>
      <c r="AF427">
        <v>0</v>
      </c>
      <c r="AG427">
        <v>0</v>
      </c>
      <c r="AH427" s="235">
        <v>-8118.973104463279</v>
      </c>
      <c r="AI427">
        <v>226</v>
      </c>
      <c r="AJ427" t="s">
        <v>256</v>
      </c>
      <c r="AK427">
        <v>0</v>
      </c>
      <c r="AL427">
        <v>0</v>
      </c>
      <c r="AM427">
        <v>0</v>
      </c>
    </row>
    <row r="428" spans="1:39" x14ac:dyDescent="0.25">
      <c r="A428" t="s">
        <v>601</v>
      </c>
      <c r="B428" t="s">
        <v>486</v>
      </c>
      <c r="C428" t="s">
        <v>255</v>
      </c>
      <c r="D428" t="s">
        <v>234</v>
      </c>
      <c r="E428" t="s">
        <v>20</v>
      </c>
      <c r="F428" t="s">
        <v>320</v>
      </c>
      <c r="G428" t="s">
        <v>269</v>
      </c>
      <c r="H428" t="s">
        <v>254</v>
      </c>
      <c r="I428" t="s">
        <v>242</v>
      </c>
      <c r="J428" t="s">
        <v>235</v>
      </c>
      <c r="K428" s="380">
        <v>36831</v>
      </c>
      <c r="L428" s="235">
        <v>365285.37794140994</v>
      </c>
      <c r="M428" s="380">
        <v>36829</v>
      </c>
      <c r="N428" t="s">
        <v>1</v>
      </c>
      <c r="O428">
        <v>0.95</v>
      </c>
      <c r="P428">
        <v>0</v>
      </c>
      <c r="Q428">
        <v>0</v>
      </c>
      <c r="R428">
        <v>0</v>
      </c>
      <c r="S428">
        <v>0</v>
      </c>
      <c r="T428" t="s">
        <v>253</v>
      </c>
      <c r="U428" t="s">
        <v>7</v>
      </c>
      <c r="V428" t="s">
        <v>253</v>
      </c>
      <c r="W428" t="s">
        <v>132</v>
      </c>
      <c r="X428" t="s">
        <v>253</v>
      </c>
      <c r="Y428" t="s">
        <v>235</v>
      </c>
      <c r="Z428" t="s">
        <v>236</v>
      </c>
      <c r="AA428" t="s">
        <v>253</v>
      </c>
      <c r="AB428" t="s">
        <v>121</v>
      </c>
      <c r="AC428" s="235">
        <v>1000000</v>
      </c>
      <c r="AD428" s="235">
        <v>42890.904280145071</v>
      </c>
      <c r="AE428">
        <v>0</v>
      </c>
      <c r="AF428">
        <v>0</v>
      </c>
      <c r="AG428">
        <v>0</v>
      </c>
      <c r="AH428" s="235">
        <v>-21052.313090910611</v>
      </c>
      <c r="AI428">
        <v>226</v>
      </c>
      <c r="AJ428" t="s">
        <v>256</v>
      </c>
      <c r="AK428">
        <v>0</v>
      </c>
      <c r="AL428">
        <v>0</v>
      </c>
      <c r="AM428">
        <v>0</v>
      </c>
    </row>
    <row r="429" spans="1:39" x14ac:dyDescent="0.25">
      <c r="A429" t="s">
        <v>601</v>
      </c>
      <c r="B429" t="s">
        <v>488</v>
      </c>
      <c r="C429" t="s">
        <v>255</v>
      </c>
      <c r="D429" t="s">
        <v>234</v>
      </c>
      <c r="E429" t="s">
        <v>20</v>
      </c>
      <c r="F429" t="s">
        <v>324</v>
      </c>
      <c r="G429" t="s">
        <v>269</v>
      </c>
      <c r="H429" t="s">
        <v>254</v>
      </c>
      <c r="I429" t="s">
        <v>242</v>
      </c>
      <c r="J429" t="s">
        <v>235</v>
      </c>
      <c r="K429" s="380">
        <v>36951</v>
      </c>
      <c r="L429" s="235">
        <v>-16936.137096525676</v>
      </c>
      <c r="M429" s="380">
        <v>36949</v>
      </c>
      <c r="N429" t="s">
        <v>21</v>
      </c>
      <c r="O429">
        <v>0.35</v>
      </c>
      <c r="P429">
        <v>0</v>
      </c>
      <c r="Q429">
        <v>0</v>
      </c>
      <c r="R429">
        <v>0</v>
      </c>
      <c r="S429">
        <v>0</v>
      </c>
      <c r="T429" t="s">
        <v>253</v>
      </c>
      <c r="U429" t="s">
        <v>487</v>
      </c>
      <c r="V429" t="s">
        <v>253</v>
      </c>
      <c r="W429" t="s">
        <v>132</v>
      </c>
      <c r="X429" t="s">
        <v>253</v>
      </c>
      <c r="Y429" t="s">
        <v>235</v>
      </c>
      <c r="Z429" t="s">
        <v>236</v>
      </c>
      <c r="AA429" t="s">
        <v>253</v>
      </c>
      <c r="AB429" t="s">
        <v>121</v>
      </c>
      <c r="AC429" s="235">
        <v>-500000</v>
      </c>
      <c r="AD429" s="235">
        <v>-5136.0745037405286</v>
      </c>
      <c r="AE429">
        <v>0</v>
      </c>
      <c r="AF429">
        <v>0</v>
      </c>
      <c r="AG429">
        <v>0</v>
      </c>
      <c r="AH429" s="235">
        <v>-956.10264254461617</v>
      </c>
      <c r="AI429">
        <v>226</v>
      </c>
      <c r="AJ429" t="s">
        <v>256</v>
      </c>
      <c r="AK429">
        <v>0</v>
      </c>
      <c r="AL429">
        <v>0</v>
      </c>
      <c r="AM429">
        <v>0</v>
      </c>
    </row>
    <row r="430" spans="1:39" x14ac:dyDescent="0.25">
      <c r="A430" t="s">
        <v>601</v>
      </c>
      <c r="B430" t="s">
        <v>488</v>
      </c>
      <c r="C430" t="s">
        <v>255</v>
      </c>
      <c r="D430" t="s">
        <v>234</v>
      </c>
      <c r="E430" t="s">
        <v>20</v>
      </c>
      <c r="F430" t="s">
        <v>324</v>
      </c>
      <c r="G430" t="s">
        <v>269</v>
      </c>
      <c r="H430" t="s">
        <v>254</v>
      </c>
      <c r="I430" t="s">
        <v>242</v>
      </c>
      <c r="J430" t="s">
        <v>235</v>
      </c>
      <c r="K430" s="380">
        <v>36923</v>
      </c>
      <c r="L430" s="235">
        <v>-21185.90963960662</v>
      </c>
      <c r="M430" s="380">
        <v>36921</v>
      </c>
      <c r="N430" t="s">
        <v>21</v>
      </c>
      <c r="O430">
        <v>0.35</v>
      </c>
      <c r="P430">
        <v>0</v>
      </c>
      <c r="Q430">
        <v>0</v>
      </c>
      <c r="R430">
        <v>0</v>
      </c>
      <c r="S430">
        <v>0</v>
      </c>
      <c r="T430" t="s">
        <v>253</v>
      </c>
      <c r="U430" t="s">
        <v>487</v>
      </c>
      <c r="V430" t="s">
        <v>253</v>
      </c>
      <c r="W430" t="s">
        <v>132</v>
      </c>
      <c r="X430" t="s">
        <v>253</v>
      </c>
      <c r="Y430" t="s">
        <v>235</v>
      </c>
      <c r="Z430" t="s">
        <v>236</v>
      </c>
      <c r="AA430" t="s">
        <v>253</v>
      </c>
      <c r="AB430" t="s">
        <v>121</v>
      </c>
      <c r="AC430" s="235">
        <v>-500000</v>
      </c>
      <c r="AD430" s="235">
        <v>-5612.1108790035069</v>
      </c>
      <c r="AE430">
        <v>0</v>
      </c>
      <c r="AF430">
        <v>0</v>
      </c>
      <c r="AG430">
        <v>0</v>
      </c>
      <c r="AH430" s="235">
        <v>-1050.7645271084657</v>
      </c>
      <c r="AI430">
        <v>226</v>
      </c>
      <c r="AJ430" t="s">
        <v>256</v>
      </c>
      <c r="AK430">
        <v>0</v>
      </c>
      <c r="AL430">
        <v>0</v>
      </c>
      <c r="AM430">
        <v>0</v>
      </c>
    </row>
    <row r="431" spans="1:39" x14ac:dyDescent="0.25">
      <c r="A431" t="s">
        <v>601</v>
      </c>
      <c r="B431" t="s">
        <v>488</v>
      </c>
      <c r="C431" t="s">
        <v>255</v>
      </c>
      <c r="D431" t="s">
        <v>234</v>
      </c>
      <c r="E431" t="s">
        <v>20</v>
      </c>
      <c r="F431" t="s">
        <v>324</v>
      </c>
      <c r="G431" t="s">
        <v>269</v>
      </c>
      <c r="H431" t="s">
        <v>254</v>
      </c>
      <c r="I431" t="s">
        <v>242</v>
      </c>
      <c r="J431" t="s">
        <v>235</v>
      </c>
      <c r="K431" s="380">
        <v>36892</v>
      </c>
      <c r="L431" s="235">
        <v>-16079.445464357987</v>
      </c>
      <c r="M431" s="380">
        <v>36888</v>
      </c>
      <c r="N431" t="s">
        <v>21</v>
      </c>
      <c r="O431">
        <v>0.35</v>
      </c>
      <c r="P431">
        <v>0</v>
      </c>
      <c r="Q431">
        <v>0</v>
      </c>
      <c r="R431">
        <v>0</v>
      </c>
      <c r="S431">
        <v>0</v>
      </c>
      <c r="T431" t="s">
        <v>253</v>
      </c>
      <c r="U431" t="s">
        <v>487</v>
      </c>
      <c r="V431" t="s">
        <v>253</v>
      </c>
      <c r="W431" t="s">
        <v>132</v>
      </c>
      <c r="X431" t="s">
        <v>253</v>
      </c>
      <c r="Y431" t="s">
        <v>235</v>
      </c>
      <c r="Z431" t="s">
        <v>236</v>
      </c>
      <c r="AA431" t="s">
        <v>253</v>
      </c>
      <c r="AB431" t="s">
        <v>121</v>
      </c>
      <c r="AC431" s="235">
        <v>-500000</v>
      </c>
      <c r="AD431" s="235">
        <v>-4814.422326226646</v>
      </c>
      <c r="AE431">
        <v>0</v>
      </c>
      <c r="AF431">
        <v>0</v>
      </c>
      <c r="AG431">
        <v>0</v>
      </c>
      <c r="AH431" s="235">
        <v>-898.73467357575464</v>
      </c>
      <c r="AI431">
        <v>226</v>
      </c>
      <c r="AJ431" t="s">
        <v>256</v>
      </c>
      <c r="AK431">
        <v>0</v>
      </c>
      <c r="AL431">
        <v>0</v>
      </c>
      <c r="AM431">
        <v>0</v>
      </c>
    </row>
    <row r="432" spans="1:39" x14ac:dyDescent="0.25">
      <c r="A432" t="s">
        <v>601</v>
      </c>
      <c r="B432" t="s">
        <v>488</v>
      </c>
      <c r="C432" t="s">
        <v>255</v>
      </c>
      <c r="D432" t="s">
        <v>234</v>
      </c>
      <c r="E432" t="s">
        <v>20</v>
      </c>
      <c r="F432" t="s">
        <v>324</v>
      </c>
      <c r="G432" t="s">
        <v>269</v>
      </c>
      <c r="H432" t="s">
        <v>254</v>
      </c>
      <c r="I432" t="s">
        <v>242</v>
      </c>
      <c r="J432" t="s">
        <v>235</v>
      </c>
      <c r="K432" s="380">
        <v>36861</v>
      </c>
      <c r="L432" s="235">
        <v>-9082.0410223918298</v>
      </c>
      <c r="M432" s="380">
        <v>36859</v>
      </c>
      <c r="N432" t="s">
        <v>21</v>
      </c>
      <c r="O432">
        <v>0.35</v>
      </c>
      <c r="P432">
        <v>0</v>
      </c>
      <c r="Q432">
        <v>0</v>
      </c>
      <c r="R432">
        <v>0</v>
      </c>
      <c r="S432">
        <v>0</v>
      </c>
      <c r="T432" t="s">
        <v>253</v>
      </c>
      <c r="U432" t="s">
        <v>487</v>
      </c>
      <c r="V432" t="s">
        <v>253</v>
      </c>
      <c r="W432" t="s">
        <v>132</v>
      </c>
      <c r="X432" t="s">
        <v>253</v>
      </c>
      <c r="Y432" t="s">
        <v>235</v>
      </c>
      <c r="Z432" t="s">
        <v>236</v>
      </c>
      <c r="AA432" t="s">
        <v>253</v>
      </c>
      <c r="AB432" t="s">
        <v>121</v>
      </c>
      <c r="AC432" s="235">
        <v>-500000</v>
      </c>
      <c r="AD432" s="235">
        <v>-3499.0985136981326</v>
      </c>
      <c r="AE432">
        <v>0</v>
      </c>
      <c r="AF432">
        <v>0</v>
      </c>
      <c r="AG432">
        <v>0</v>
      </c>
      <c r="AH432" s="235">
        <v>-654.55703628300216</v>
      </c>
      <c r="AI432">
        <v>226</v>
      </c>
      <c r="AJ432" t="s">
        <v>256</v>
      </c>
      <c r="AK432">
        <v>0</v>
      </c>
      <c r="AL432">
        <v>0</v>
      </c>
      <c r="AM432">
        <v>0</v>
      </c>
    </row>
    <row r="433" spans="1:39" x14ac:dyDescent="0.25">
      <c r="A433" t="s">
        <v>601</v>
      </c>
      <c r="B433" t="s">
        <v>488</v>
      </c>
      <c r="C433" t="s">
        <v>255</v>
      </c>
      <c r="D433" t="s">
        <v>234</v>
      </c>
      <c r="E433" t="s">
        <v>20</v>
      </c>
      <c r="F433" t="s">
        <v>324</v>
      </c>
      <c r="G433" t="s">
        <v>269</v>
      </c>
      <c r="H433" t="s">
        <v>254</v>
      </c>
      <c r="I433" t="s">
        <v>242</v>
      </c>
      <c r="J433" t="s">
        <v>235</v>
      </c>
      <c r="K433" s="380">
        <v>36831</v>
      </c>
      <c r="L433" s="235">
        <v>-3550.6094644983277</v>
      </c>
      <c r="M433" s="380">
        <v>36829</v>
      </c>
      <c r="N433" t="s">
        <v>21</v>
      </c>
      <c r="O433">
        <v>0.35</v>
      </c>
      <c r="P433">
        <v>0</v>
      </c>
      <c r="Q433">
        <v>0</v>
      </c>
      <c r="R433">
        <v>0</v>
      </c>
      <c r="S433">
        <v>0</v>
      </c>
      <c r="T433" t="s">
        <v>253</v>
      </c>
      <c r="U433" t="s">
        <v>487</v>
      </c>
      <c r="V433" t="s">
        <v>253</v>
      </c>
      <c r="W433" t="s">
        <v>132</v>
      </c>
      <c r="X433" t="s">
        <v>253</v>
      </c>
      <c r="Y433" t="s">
        <v>235</v>
      </c>
      <c r="Z433" t="s">
        <v>236</v>
      </c>
      <c r="AA433" t="s">
        <v>253</v>
      </c>
      <c r="AB433" t="s">
        <v>121</v>
      </c>
      <c r="AC433" s="235">
        <v>-500000</v>
      </c>
      <c r="AD433" s="235">
        <v>-1936.9121984125086</v>
      </c>
      <c r="AE433">
        <v>0</v>
      </c>
      <c r="AF433">
        <v>0</v>
      </c>
      <c r="AG433">
        <v>0</v>
      </c>
      <c r="AH433" s="235">
        <v>-373.88152103667016</v>
      </c>
      <c r="AI433">
        <v>226</v>
      </c>
      <c r="AJ433" t="s">
        <v>256</v>
      </c>
      <c r="AK433">
        <v>0</v>
      </c>
      <c r="AL433">
        <v>0</v>
      </c>
      <c r="AM433">
        <v>0</v>
      </c>
    </row>
    <row r="434" spans="1:39" x14ac:dyDescent="0.25">
      <c r="A434" t="s">
        <v>601</v>
      </c>
      <c r="B434" t="s">
        <v>489</v>
      </c>
      <c r="C434" t="s">
        <v>255</v>
      </c>
      <c r="D434" t="s">
        <v>234</v>
      </c>
      <c r="E434" t="s">
        <v>20</v>
      </c>
      <c r="F434" t="s">
        <v>268</v>
      </c>
      <c r="G434" t="s">
        <v>269</v>
      </c>
      <c r="H434" t="s">
        <v>254</v>
      </c>
      <c r="I434" t="s">
        <v>242</v>
      </c>
      <c r="J434" t="s">
        <v>235</v>
      </c>
      <c r="K434" s="380">
        <v>36951</v>
      </c>
      <c r="L434" s="235">
        <v>-70390.60130209304</v>
      </c>
      <c r="M434" s="380">
        <v>36949</v>
      </c>
      <c r="N434" t="s">
        <v>1</v>
      </c>
      <c r="O434">
        <v>-0.4</v>
      </c>
      <c r="P434">
        <v>0</v>
      </c>
      <c r="Q434">
        <v>0</v>
      </c>
      <c r="R434">
        <v>0</v>
      </c>
      <c r="S434">
        <v>0</v>
      </c>
      <c r="T434" t="s">
        <v>253</v>
      </c>
      <c r="U434" t="s">
        <v>9</v>
      </c>
      <c r="V434" t="s">
        <v>253</v>
      </c>
      <c r="W434" t="s">
        <v>132</v>
      </c>
      <c r="X434" t="s">
        <v>253</v>
      </c>
      <c r="Y434" t="s">
        <v>235</v>
      </c>
      <c r="Z434" t="s">
        <v>236</v>
      </c>
      <c r="AA434" t="s">
        <v>253</v>
      </c>
      <c r="AB434" t="s">
        <v>121</v>
      </c>
      <c r="AC434" s="235">
        <v>-310000</v>
      </c>
      <c r="AD434" s="235">
        <v>-16085.712986745319</v>
      </c>
      <c r="AE434">
        <v>0</v>
      </c>
      <c r="AF434">
        <v>0</v>
      </c>
      <c r="AG434">
        <v>0</v>
      </c>
      <c r="AH434" s="235">
        <v>-6322.4040895628495</v>
      </c>
      <c r="AI434">
        <v>226</v>
      </c>
      <c r="AJ434" t="s">
        <v>256</v>
      </c>
      <c r="AK434">
        <v>0</v>
      </c>
      <c r="AL434">
        <v>0</v>
      </c>
      <c r="AM434">
        <v>0</v>
      </c>
    </row>
    <row r="435" spans="1:39" x14ac:dyDescent="0.25">
      <c r="A435" t="s">
        <v>601</v>
      </c>
      <c r="B435" t="s">
        <v>489</v>
      </c>
      <c r="C435" t="s">
        <v>255</v>
      </c>
      <c r="D435" t="s">
        <v>234</v>
      </c>
      <c r="E435" t="s">
        <v>20</v>
      </c>
      <c r="F435" t="s">
        <v>268</v>
      </c>
      <c r="G435" t="s">
        <v>269</v>
      </c>
      <c r="H435" t="s">
        <v>254</v>
      </c>
      <c r="I435" t="s">
        <v>242</v>
      </c>
      <c r="J435" t="s">
        <v>235</v>
      </c>
      <c r="K435" s="380">
        <v>36923</v>
      </c>
      <c r="L435" s="235">
        <v>-68174.180278968022</v>
      </c>
      <c r="M435" s="380">
        <v>36921</v>
      </c>
      <c r="N435" t="s">
        <v>1</v>
      </c>
      <c r="O435">
        <v>-0.4</v>
      </c>
      <c r="P435">
        <v>0</v>
      </c>
      <c r="Q435">
        <v>0</v>
      </c>
      <c r="R435">
        <v>0</v>
      </c>
      <c r="S435">
        <v>0</v>
      </c>
      <c r="T435" t="s">
        <v>253</v>
      </c>
      <c r="U435" t="s">
        <v>9</v>
      </c>
      <c r="V435" t="s">
        <v>253</v>
      </c>
      <c r="W435" t="s">
        <v>132</v>
      </c>
      <c r="X435" t="s">
        <v>253</v>
      </c>
      <c r="Y435" t="s">
        <v>235</v>
      </c>
      <c r="Z435" t="s">
        <v>236</v>
      </c>
      <c r="AA435" t="s">
        <v>253</v>
      </c>
      <c r="AB435" t="s">
        <v>121</v>
      </c>
      <c r="AC435" s="235">
        <v>-280000</v>
      </c>
      <c r="AD435" s="235">
        <v>-15011.246787384152</v>
      </c>
      <c r="AE435">
        <v>0</v>
      </c>
      <c r="AF435">
        <v>0</v>
      </c>
      <c r="AG435">
        <v>0</v>
      </c>
      <c r="AH435" s="235">
        <v>-5653.5223466890093</v>
      </c>
      <c r="AI435">
        <v>226</v>
      </c>
      <c r="AJ435" t="s">
        <v>256</v>
      </c>
      <c r="AK435">
        <v>0</v>
      </c>
      <c r="AL435">
        <v>0</v>
      </c>
      <c r="AM435">
        <v>0</v>
      </c>
    </row>
    <row r="436" spans="1:39" x14ac:dyDescent="0.25">
      <c r="A436" t="s">
        <v>601</v>
      </c>
      <c r="B436" t="s">
        <v>489</v>
      </c>
      <c r="C436" t="s">
        <v>255</v>
      </c>
      <c r="D436" t="s">
        <v>234</v>
      </c>
      <c r="E436" t="s">
        <v>20</v>
      </c>
      <c r="F436" t="s">
        <v>268</v>
      </c>
      <c r="G436" t="s">
        <v>269</v>
      </c>
      <c r="H436" t="s">
        <v>254</v>
      </c>
      <c r="I436" t="s">
        <v>242</v>
      </c>
      <c r="J436" t="s">
        <v>235</v>
      </c>
      <c r="K436" s="380">
        <v>36892</v>
      </c>
      <c r="L436" s="235">
        <v>-69836.127345507324</v>
      </c>
      <c r="M436" s="380">
        <v>36888</v>
      </c>
      <c r="N436" t="s">
        <v>1</v>
      </c>
      <c r="O436">
        <v>-0.4</v>
      </c>
      <c r="P436">
        <v>0</v>
      </c>
      <c r="Q436">
        <v>0</v>
      </c>
      <c r="R436">
        <v>0</v>
      </c>
      <c r="S436">
        <v>0</v>
      </c>
      <c r="T436" t="s">
        <v>253</v>
      </c>
      <c r="U436" t="s">
        <v>9</v>
      </c>
      <c r="V436" t="s">
        <v>253</v>
      </c>
      <c r="W436" t="s">
        <v>132</v>
      </c>
      <c r="X436" t="s">
        <v>253</v>
      </c>
      <c r="Y436" t="s">
        <v>235</v>
      </c>
      <c r="Z436" t="s">
        <v>236</v>
      </c>
      <c r="AA436" t="s">
        <v>253</v>
      </c>
      <c r="AB436" t="s">
        <v>121</v>
      </c>
      <c r="AC436" s="235">
        <v>-310000</v>
      </c>
      <c r="AD436" s="235">
        <v>-15184.846736838692</v>
      </c>
      <c r="AE436">
        <v>0</v>
      </c>
      <c r="AF436">
        <v>0</v>
      </c>
      <c r="AG436">
        <v>0</v>
      </c>
      <c r="AH436" s="235">
        <v>-6086.6135570694605</v>
      </c>
      <c r="AI436">
        <v>226</v>
      </c>
      <c r="AJ436" t="s">
        <v>256</v>
      </c>
      <c r="AK436">
        <v>0</v>
      </c>
      <c r="AL436">
        <v>0</v>
      </c>
      <c r="AM436">
        <v>0</v>
      </c>
    </row>
    <row r="437" spans="1:39" x14ac:dyDescent="0.25">
      <c r="A437" t="s">
        <v>601</v>
      </c>
      <c r="B437" t="s">
        <v>489</v>
      </c>
      <c r="C437" t="s">
        <v>255</v>
      </c>
      <c r="D437" t="s">
        <v>234</v>
      </c>
      <c r="E437" t="s">
        <v>20</v>
      </c>
      <c r="F437" t="s">
        <v>268</v>
      </c>
      <c r="G437" t="s">
        <v>269</v>
      </c>
      <c r="H437" t="s">
        <v>254</v>
      </c>
      <c r="I437" t="s">
        <v>242</v>
      </c>
      <c r="J437" t="s">
        <v>235</v>
      </c>
      <c r="K437" s="380">
        <v>36861</v>
      </c>
      <c r="L437" s="235">
        <v>-59532.253905652695</v>
      </c>
      <c r="M437" s="380">
        <v>36859</v>
      </c>
      <c r="N437" t="s">
        <v>1</v>
      </c>
      <c r="O437">
        <v>-0.4</v>
      </c>
      <c r="P437">
        <v>0</v>
      </c>
      <c r="Q437">
        <v>0</v>
      </c>
      <c r="R437">
        <v>0</v>
      </c>
      <c r="S437">
        <v>0</v>
      </c>
      <c r="T437" t="s">
        <v>253</v>
      </c>
      <c r="U437" t="s">
        <v>9</v>
      </c>
      <c r="V437" t="s">
        <v>253</v>
      </c>
      <c r="W437" t="s">
        <v>132</v>
      </c>
      <c r="X437" t="s">
        <v>253</v>
      </c>
      <c r="Y437" t="s">
        <v>235</v>
      </c>
      <c r="Z437" t="s">
        <v>236</v>
      </c>
      <c r="AA437" t="s">
        <v>253</v>
      </c>
      <c r="AB437" t="s">
        <v>121</v>
      </c>
      <c r="AC437" s="235">
        <v>-310000</v>
      </c>
      <c r="AD437" s="235">
        <v>-13209.966992948117</v>
      </c>
      <c r="AE437">
        <v>0</v>
      </c>
      <c r="AF437">
        <v>0</v>
      </c>
      <c r="AG437">
        <v>0</v>
      </c>
      <c r="AH437" s="235">
        <v>-5942.1145726394025</v>
      </c>
      <c r="AI437">
        <v>226</v>
      </c>
      <c r="AJ437" t="s">
        <v>256</v>
      </c>
      <c r="AK437">
        <v>0</v>
      </c>
      <c r="AL437">
        <v>0</v>
      </c>
      <c r="AM437">
        <v>0</v>
      </c>
    </row>
    <row r="438" spans="1:39" x14ac:dyDescent="0.25">
      <c r="A438" t="s">
        <v>601</v>
      </c>
      <c r="B438" t="s">
        <v>489</v>
      </c>
      <c r="C438" t="s">
        <v>255</v>
      </c>
      <c r="D438" t="s">
        <v>234</v>
      </c>
      <c r="E438" t="s">
        <v>20</v>
      </c>
      <c r="F438" t="s">
        <v>268</v>
      </c>
      <c r="G438" t="s">
        <v>269</v>
      </c>
      <c r="H438" t="s">
        <v>254</v>
      </c>
      <c r="I438" t="s">
        <v>242</v>
      </c>
      <c r="J438" t="s">
        <v>235</v>
      </c>
      <c r="K438" s="380">
        <v>36831</v>
      </c>
      <c r="L438" s="235">
        <v>-61675.110086339264</v>
      </c>
      <c r="M438" s="380">
        <v>36829</v>
      </c>
      <c r="N438" t="s">
        <v>1</v>
      </c>
      <c r="O438">
        <v>-0.4</v>
      </c>
      <c r="P438">
        <v>0</v>
      </c>
      <c r="Q438">
        <v>0</v>
      </c>
      <c r="R438">
        <v>0</v>
      </c>
      <c r="S438">
        <v>0</v>
      </c>
      <c r="T438" t="s">
        <v>253</v>
      </c>
      <c r="U438" t="s">
        <v>9</v>
      </c>
      <c r="V438" t="s">
        <v>253</v>
      </c>
      <c r="W438" t="s">
        <v>132</v>
      </c>
      <c r="X438" t="s">
        <v>253</v>
      </c>
      <c r="Y438" t="s">
        <v>235</v>
      </c>
      <c r="Z438" t="s">
        <v>236</v>
      </c>
      <c r="AA438" t="s">
        <v>253</v>
      </c>
      <c r="AB438" t="s">
        <v>121</v>
      </c>
      <c r="AC438" s="235">
        <v>-300000</v>
      </c>
      <c r="AD438" s="235">
        <v>-10372.883515720343</v>
      </c>
      <c r="AE438">
        <v>0</v>
      </c>
      <c r="AF438">
        <v>0</v>
      </c>
      <c r="AG438">
        <v>0</v>
      </c>
      <c r="AH438" s="235">
        <v>-6798.1049875639437</v>
      </c>
      <c r="AI438">
        <v>226</v>
      </c>
      <c r="AJ438" t="s">
        <v>256</v>
      </c>
      <c r="AK438">
        <v>0</v>
      </c>
      <c r="AL438">
        <v>0</v>
      </c>
      <c r="AM438">
        <v>0</v>
      </c>
    </row>
    <row r="439" spans="1:39" x14ac:dyDescent="0.25">
      <c r="A439" t="s">
        <v>601</v>
      </c>
      <c r="B439" t="s">
        <v>490</v>
      </c>
      <c r="C439" t="s">
        <v>255</v>
      </c>
      <c r="D439" t="s">
        <v>234</v>
      </c>
      <c r="E439" t="s">
        <v>20</v>
      </c>
      <c r="F439" t="s">
        <v>268</v>
      </c>
      <c r="G439" t="s">
        <v>269</v>
      </c>
      <c r="H439" t="s">
        <v>254</v>
      </c>
      <c r="I439" t="s">
        <v>242</v>
      </c>
      <c r="J439" t="s">
        <v>235</v>
      </c>
      <c r="K439" s="380">
        <v>36951</v>
      </c>
      <c r="L439" s="235">
        <v>31843.865956113681</v>
      </c>
      <c r="M439" s="380">
        <v>36949</v>
      </c>
      <c r="N439" t="s">
        <v>21</v>
      </c>
      <c r="O439">
        <v>-0.1</v>
      </c>
      <c r="P439">
        <v>0</v>
      </c>
      <c r="Q439">
        <v>0</v>
      </c>
      <c r="R439">
        <v>0</v>
      </c>
      <c r="S439">
        <v>0</v>
      </c>
      <c r="T439" t="s">
        <v>253</v>
      </c>
      <c r="U439" t="s">
        <v>9</v>
      </c>
      <c r="V439" t="s">
        <v>253</v>
      </c>
      <c r="W439" t="s">
        <v>132</v>
      </c>
      <c r="X439" t="s">
        <v>253</v>
      </c>
      <c r="Y439" t="s">
        <v>235</v>
      </c>
      <c r="Z439" t="s">
        <v>236</v>
      </c>
      <c r="AA439" t="s">
        <v>253</v>
      </c>
      <c r="AB439" t="s">
        <v>121</v>
      </c>
      <c r="AC439" s="235">
        <v>310000</v>
      </c>
      <c r="AD439" s="235">
        <v>14400.09207235786</v>
      </c>
      <c r="AE439">
        <v>0</v>
      </c>
      <c r="AF439">
        <v>0</v>
      </c>
      <c r="AG439">
        <v>0</v>
      </c>
      <c r="AH439" s="235">
        <v>-3266.1067842981429</v>
      </c>
      <c r="AI439">
        <v>226</v>
      </c>
      <c r="AJ439" t="s">
        <v>256</v>
      </c>
      <c r="AK439">
        <v>0</v>
      </c>
      <c r="AL439">
        <v>0</v>
      </c>
      <c r="AM439">
        <v>0</v>
      </c>
    </row>
    <row r="440" spans="1:39" x14ac:dyDescent="0.25">
      <c r="A440" t="s">
        <v>601</v>
      </c>
      <c r="B440" t="s">
        <v>490</v>
      </c>
      <c r="C440" t="s">
        <v>255</v>
      </c>
      <c r="D440" t="s">
        <v>234</v>
      </c>
      <c r="E440" t="s">
        <v>20</v>
      </c>
      <c r="F440" t="s">
        <v>268</v>
      </c>
      <c r="G440" t="s">
        <v>269</v>
      </c>
      <c r="H440" t="s">
        <v>254</v>
      </c>
      <c r="I440" t="s">
        <v>242</v>
      </c>
      <c r="J440" t="s">
        <v>235</v>
      </c>
      <c r="K440" s="380">
        <v>36923</v>
      </c>
      <c r="L440" s="235">
        <v>34757.855223994709</v>
      </c>
      <c r="M440" s="380">
        <v>36921</v>
      </c>
      <c r="N440" t="s">
        <v>21</v>
      </c>
      <c r="O440">
        <v>-0.1</v>
      </c>
      <c r="P440">
        <v>0</v>
      </c>
      <c r="Q440">
        <v>0</v>
      </c>
      <c r="R440">
        <v>0</v>
      </c>
      <c r="S440">
        <v>0</v>
      </c>
      <c r="T440" t="s">
        <v>253</v>
      </c>
      <c r="U440" t="s">
        <v>9</v>
      </c>
      <c r="V440" t="s">
        <v>253</v>
      </c>
      <c r="W440" t="s">
        <v>132</v>
      </c>
      <c r="X440" t="s">
        <v>253</v>
      </c>
      <c r="Y440" t="s">
        <v>235</v>
      </c>
      <c r="Z440" t="s">
        <v>236</v>
      </c>
      <c r="AA440" t="s">
        <v>253</v>
      </c>
      <c r="AB440" t="s">
        <v>121</v>
      </c>
      <c r="AC440" s="235">
        <v>280000</v>
      </c>
      <c r="AD440" s="235">
        <v>13809.804302716235</v>
      </c>
      <c r="AE440">
        <v>0</v>
      </c>
      <c r="AF440">
        <v>0</v>
      </c>
      <c r="AG440">
        <v>0</v>
      </c>
      <c r="AH440" s="235">
        <v>-3217.0205586756492</v>
      </c>
      <c r="AI440">
        <v>226</v>
      </c>
      <c r="AJ440" t="s">
        <v>256</v>
      </c>
      <c r="AK440">
        <v>0</v>
      </c>
      <c r="AL440">
        <v>0</v>
      </c>
      <c r="AM440">
        <v>0</v>
      </c>
    </row>
    <row r="441" spans="1:39" x14ac:dyDescent="0.25">
      <c r="A441" t="s">
        <v>601</v>
      </c>
      <c r="B441" t="s">
        <v>490</v>
      </c>
      <c r="C441" t="s">
        <v>255</v>
      </c>
      <c r="D441" t="s">
        <v>234</v>
      </c>
      <c r="E441" t="s">
        <v>20</v>
      </c>
      <c r="F441" t="s">
        <v>268</v>
      </c>
      <c r="G441" t="s">
        <v>269</v>
      </c>
      <c r="H441" t="s">
        <v>254</v>
      </c>
      <c r="I441" t="s">
        <v>242</v>
      </c>
      <c r="J441" t="s">
        <v>235</v>
      </c>
      <c r="K441" s="380">
        <v>36892</v>
      </c>
      <c r="L441" s="235">
        <v>38235.852934590694</v>
      </c>
      <c r="M441" s="380">
        <v>36888</v>
      </c>
      <c r="N441" t="s">
        <v>21</v>
      </c>
      <c r="O441">
        <v>-0.1</v>
      </c>
      <c r="P441">
        <v>0</v>
      </c>
      <c r="Q441">
        <v>0</v>
      </c>
      <c r="R441">
        <v>0</v>
      </c>
      <c r="S441">
        <v>0</v>
      </c>
      <c r="T441" t="s">
        <v>253</v>
      </c>
      <c r="U441" t="s">
        <v>9</v>
      </c>
      <c r="V441" t="s">
        <v>253</v>
      </c>
      <c r="W441" t="s">
        <v>132</v>
      </c>
      <c r="X441" t="s">
        <v>253</v>
      </c>
      <c r="Y441" t="s">
        <v>235</v>
      </c>
      <c r="Z441" t="s">
        <v>236</v>
      </c>
      <c r="AA441" t="s">
        <v>253</v>
      </c>
      <c r="AB441" t="s">
        <v>121</v>
      </c>
      <c r="AC441" s="235">
        <v>310000</v>
      </c>
      <c r="AD441" s="235">
        <v>14045.868223763377</v>
      </c>
      <c r="AE441">
        <v>0</v>
      </c>
      <c r="AF441">
        <v>0</v>
      </c>
      <c r="AG441">
        <v>0</v>
      </c>
      <c r="AH441" s="235">
        <v>-3701.2508574862732</v>
      </c>
      <c r="AI441">
        <v>226</v>
      </c>
      <c r="AJ441" t="s">
        <v>256</v>
      </c>
      <c r="AK441">
        <v>0</v>
      </c>
      <c r="AL441">
        <v>0</v>
      </c>
      <c r="AM441">
        <v>0</v>
      </c>
    </row>
    <row r="442" spans="1:39" x14ac:dyDescent="0.25">
      <c r="A442" t="s">
        <v>601</v>
      </c>
      <c r="B442" t="s">
        <v>490</v>
      </c>
      <c r="C442" t="s">
        <v>255</v>
      </c>
      <c r="D442" t="s">
        <v>234</v>
      </c>
      <c r="E442" t="s">
        <v>20</v>
      </c>
      <c r="F442" t="s">
        <v>268</v>
      </c>
      <c r="G442" t="s">
        <v>269</v>
      </c>
      <c r="H442" t="s">
        <v>254</v>
      </c>
      <c r="I442" t="s">
        <v>242</v>
      </c>
      <c r="J442" t="s">
        <v>235</v>
      </c>
      <c r="K442" s="380">
        <v>36861</v>
      </c>
      <c r="L442" s="235">
        <v>31529.259589177436</v>
      </c>
      <c r="M442" s="380">
        <v>36859</v>
      </c>
      <c r="N442" t="s">
        <v>21</v>
      </c>
      <c r="O442">
        <v>-0.1</v>
      </c>
      <c r="P442">
        <v>0</v>
      </c>
      <c r="Q442">
        <v>0</v>
      </c>
      <c r="R442">
        <v>0</v>
      </c>
      <c r="S442">
        <v>0</v>
      </c>
      <c r="T442" t="s">
        <v>253</v>
      </c>
      <c r="U442" t="s">
        <v>9</v>
      </c>
      <c r="V442" t="s">
        <v>253</v>
      </c>
      <c r="W442" t="s">
        <v>132</v>
      </c>
      <c r="X442" t="s">
        <v>253</v>
      </c>
      <c r="Y442" t="s">
        <v>235</v>
      </c>
      <c r="Z442" t="s">
        <v>236</v>
      </c>
      <c r="AA442" t="s">
        <v>253</v>
      </c>
      <c r="AB442" t="s">
        <v>121</v>
      </c>
      <c r="AC442" s="235">
        <v>310000</v>
      </c>
      <c r="AD442" s="235">
        <v>11978.961517887481</v>
      </c>
      <c r="AE442">
        <v>0</v>
      </c>
      <c r="AF442">
        <v>0</v>
      </c>
      <c r="AG442">
        <v>0</v>
      </c>
      <c r="AH442" s="235">
        <v>-3588.6885991316522</v>
      </c>
      <c r="AI442">
        <v>226</v>
      </c>
      <c r="AJ442" t="s">
        <v>256</v>
      </c>
      <c r="AK442">
        <v>0</v>
      </c>
      <c r="AL442">
        <v>0</v>
      </c>
      <c r="AM442">
        <v>0</v>
      </c>
    </row>
    <row r="443" spans="1:39" x14ac:dyDescent="0.25">
      <c r="A443" t="s">
        <v>601</v>
      </c>
      <c r="B443" t="s">
        <v>490</v>
      </c>
      <c r="C443" t="s">
        <v>255</v>
      </c>
      <c r="D443" t="s">
        <v>234</v>
      </c>
      <c r="E443" t="s">
        <v>20</v>
      </c>
      <c r="F443" t="s">
        <v>268</v>
      </c>
      <c r="G443" t="s">
        <v>269</v>
      </c>
      <c r="H443" t="s">
        <v>254</v>
      </c>
      <c r="I443" t="s">
        <v>242</v>
      </c>
      <c r="J443" t="s">
        <v>235</v>
      </c>
      <c r="K443" s="380">
        <v>36831</v>
      </c>
      <c r="L443" s="235">
        <v>12546.234127663647</v>
      </c>
      <c r="M443" s="380">
        <v>36829</v>
      </c>
      <c r="N443" t="s">
        <v>21</v>
      </c>
      <c r="O443">
        <v>-0.1</v>
      </c>
      <c r="P443">
        <v>0</v>
      </c>
      <c r="Q443">
        <v>0</v>
      </c>
      <c r="R443">
        <v>0</v>
      </c>
      <c r="S443">
        <v>0</v>
      </c>
      <c r="T443" t="s">
        <v>253</v>
      </c>
      <c r="U443" t="s">
        <v>9</v>
      </c>
      <c r="V443" t="s">
        <v>253</v>
      </c>
      <c r="W443" t="s">
        <v>132</v>
      </c>
      <c r="X443" t="s">
        <v>253</v>
      </c>
      <c r="Y443" t="s">
        <v>235</v>
      </c>
      <c r="Z443" t="s">
        <v>236</v>
      </c>
      <c r="AA443" t="s">
        <v>253</v>
      </c>
      <c r="AB443" t="s">
        <v>121</v>
      </c>
      <c r="AC443" s="235">
        <v>300000</v>
      </c>
      <c r="AD443" s="235">
        <v>7246.3915321659588</v>
      </c>
      <c r="AE443">
        <v>0</v>
      </c>
      <c r="AF443">
        <v>0</v>
      </c>
      <c r="AG443">
        <v>0</v>
      </c>
      <c r="AH443" s="235">
        <v>-2154.4713919627866</v>
      </c>
      <c r="AI443">
        <v>226</v>
      </c>
      <c r="AJ443" t="s">
        <v>256</v>
      </c>
      <c r="AK443">
        <v>0</v>
      </c>
      <c r="AL443">
        <v>0</v>
      </c>
      <c r="AM443">
        <v>0</v>
      </c>
    </row>
    <row r="444" spans="1:39" x14ac:dyDescent="0.25">
      <c r="A444" t="s">
        <v>601</v>
      </c>
      <c r="B444" t="s">
        <v>491</v>
      </c>
      <c r="C444" t="s">
        <v>255</v>
      </c>
      <c r="D444" t="s">
        <v>234</v>
      </c>
      <c r="E444" t="s">
        <v>20</v>
      </c>
      <c r="F444" t="s">
        <v>284</v>
      </c>
      <c r="G444" t="s">
        <v>269</v>
      </c>
      <c r="H444" t="s">
        <v>254</v>
      </c>
      <c r="I444" t="s">
        <v>242</v>
      </c>
      <c r="J444" t="s">
        <v>235</v>
      </c>
      <c r="K444" s="380">
        <v>36951</v>
      </c>
      <c r="L444" s="235">
        <v>89526.233242260263</v>
      </c>
      <c r="M444" s="380">
        <v>36949</v>
      </c>
      <c r="N444" t="s">
        <v>21</v>
      </c>
      <c r="O444">
        <v>0.2</v>
      </c>
      <c r="P444">
        <v>0</v>
      </c>
      <c r="Q444">
        <v>0</v>
      </c>
      <c r="R444">
        <v>0</v>
      </c>
      <c r="S444">
        <v>0</v>
      </c>
      <c r="T444" t="s">
        <v>253</v>
      </c>
      <c r="U444" t="s">
        <v>190</v>
      </c>
      <c r="V444" t="s">
        <v>253</v>
      </c>
      <c r="W444" t="s">
        <v>132</v>
      </c>
      <c r="X444" t="s">
        <v>253</v>
      </c>
      <c r="Y444" t="s">
        <v>235</v>
      </c>
      <c r="Z444" t="s">
        <v>236</v>
      </c>
      <c r="AA444" t="s">
        <v>253</v>
      </c>
      <c r="AB444" t="s">
        <v>121</v>
      </c>
      <c r="AC444" s="235">
        <v>155000</v>
      </c>
      <c r="AD444" s="235">
        <v>11031.907549092619</v>
      </c>
      <c r="AE444">
        <v>0</v>
      </c>
      <c r="AF444">
        <v>0</v>
      </c>
      <c r="AG444">
        <v>0</v>
      </c>
      <c r="AH444" s="235">
        <v>-5325.3038595029502</v>
      </c>
      <c r="AI444">
        <v>226</v>
      </c>
      <c r="AJ444" t="s">
        <v>256</v>
      </c>
      <c r="AK444">
        <v>0</v>
      </c>
      <c r="AL444">
        <v>0</v>
      </c>
      <c r="AM444">
        <v>0</v>
      </c>
    </row>
    <row r="445" spans="1:39" x14ac:dyDescent="0.25">
      <c r="A445" t="s">
        <v>601</v>
      </c>
      <c r="B445" t="s">
        <v>491</v>
      </c>
      <c r="C445" t="s">
        <v>255</v>
      </c>
      <c r="D445" t="s">
        <v>234</v>
      </c>
      <c r="E445" t="s">
        <v>20</v>
      </c>
      <c r="F445" t="s">
        <v>284</v>
      </c>
      <c r="G445" t="s">
        <v>269</v>
      </c>
      <c r="H445" t="s">
        <v>254</v>
      </c>
      <c r="I445" t="s">
        <v>242</v>
      </c>
      <c r="J445" t="s">
        <v>235</v>
      </c>
      <c r="K445" s="380">
        <v>36923</v>
      </c>
      <c r="L445" s="235">
        <v>87028.844574350282</v>
      </c>
      <c r="M445" s="380">
        <v>36921</v>
      </c>
      <c r="N445" t="s">
        <v>21</v>
      </c>
      <c r="O445">
        <v>0.2</v>
      </c>
      <c r="P445">
        <v>0</v>
      </c>
      <c r="Q445">
        <v>0</v>
      </c>
      <c r="R445">
        <v>0</v>
      </c>
      <c r="S445">
        <v>0</v>
      </c>
      <c r="T445" t="s">
        <v>253</v>
      </c>
      <c r="U445" t="s">
        <v>190</v>
      </c>
      <c r="V445" t="s">
        <v>253</v>
      </c>
      <c r="W445" t="s">
        <v>132</v>
      </c>
      <c r="X445" t="s">
        <v>253</v>
      </c>
      <c r="Y445" t="s">
        <v>235</v>
      </c>
      <c r="Z445" t="s">
        <v>236</v>
      </c>
      <c r="AA445" t="s">
        <v>253</v>
      </c>
      <c r="AB445" t="s">
        <v>121</v>
      </c>
      <c r="AC445" s="235">
        <v>140000</v>
      </c>
      <c r="AD445" s="235">
        <v>10322.862032031306</v>
      </c>
      <c r="AE445">
        <v>0</v>
      </c>
      <c r="AF445">
        <v>0</v>
      </c>
      <c r="AG445">
        <v>0</v>
      </c>
      <c r="AH445" s="235">
        <v>-4809.2452544559783</v>
      </c>
      <c r="AI445">
        <v>226</v>
      </c>
      <c r="AJ445" t="s">
        <v>256</v>
      </c>
      <c r="AK445">
        <v>0</v>
      </c>
      <c r="AL445">
        <v>0</v>
      </c>
      <c r="AM445">
        <v>0</v>
      </c>
    </row>
    <row r="446" spans="1:39" x14ac:dyDescent="0.25">
      <c r="A446" t="s">
        <v>601</v>
      </c>
      <c r="B446" t="s">
        <v>491</v>
      </c>
      <c r="C446" t="s">
        <v>255</v>
      </c>
      <c r="D446" t="s">
        <v>234</v>
      </c>
      <c r="E446" t="s">
        <v>20</v>
      </c>
      <c r="F446" t="s">
        <v>284</v>
      </c>
      <c r="G446" t="s">
        <v>269</v>
      </c>
      <c r="H446" t="s">
        <v>254</v>
      </c>
      <c r="I446" t="s">
        <v>242</v>
      </c>
      <c r="J446" t="s">
        <v>235</v>
      </c>
      <c r="K446" s="380">
        <v>36892</v>
      </c>
      <c r="L446" s="235">
        <v>111089.57813821928</v>
      </c>
      <c r="M446" s="380">
        <v>36888</v>
      </c>
      <c r="N446" t="s">
        <v>21</v>
      </c>
      <c r="O446">
        <v>0.2</v>
      </c>
      <c r="P446">
        <v>0</v>
      </c>
      <c r="Q446">
        <v>0</v>
      </c>
      <c r="R446">
        <v>0</v>
      </c>
      <c r="S446">
        <v>0</v>
      </c>
      <c r="T446" t="s">
        <v>253</v>
      </c>
      <c r="U446" t="s">
        <v>190</v>
      </c>
      <c r="V446" t="s">
        <v>253</v>
      </c>
      <c r="W446" t="s">
        <v>132</v>
      </c>
      <c r="X446" t="s">
        <v>253</v>
      </c>
      <c r="Y446" t="s">
        <v>235</v>
      </c>
      <c r="Z446" t="s">
        <v>236</v>
      </c>
      <c r="AA446" t="s">
        <v>253</v>
      </c>
      <c r="AB446" t="s">
        <v>121</v>
      </c>
      <c r="AC446" s="235">
        <v>155000</v>
      </c>
      <c r="AD446" s="235">
        <v>9580.2810911470588</v>
      </c>
      <c r="AE446">
        <v>0</v>
      </c>
      <c r="AF446">
        <v>0</v>
      </c>
      <c r="AG446">
        <v>0</v>
      </c>
      <c r="AH446" s="235">
        <v>-5881.5651064470148</v>
      </c>
      <c r="AI446">
        <v>226</v>
      </c>
      <c r="AJ446" t="s">
        <v>256</v>
      </c>
      <c r="AK446">
        <v>0</v>
      </c>
      <c r="AL446">
        <v>0</v>
      </c>
      <c r="AM446">
        <v>0</v>
      </c>
    </row>
    <row r="447" spans="1:39" x14ac:dyDescent="0.25">
      <c r="A447" t="s">
        <v>601</v>
      </c>
      <c r="B447" t="s">
        <v>491</v>
      </c>
      <c r="C447" t="s">
        <v>255</v>
      </c>
      <c r="D447" t="s">
        <v>234</v>
      </c>
      <c r="E447" t="s">
        <v>20</v>
      </c>
      <c r="F447" t="s">
        <v>284</v>
      </c>
      <c r="G447" t="s">
        <v>269</v>
      </c>
      <c r="H447" t="s">
        <v>254</v>
      </c>
      <c r="I447" t="s">
        <v>242</v>
      </c>
      <c r="J447" t="s">
        <v>235</v>
      </c>
      <c r="K447" s="380">
        <v>36861</v>
      </c>
      <c r="L447" s="235">
        <v>135042.31693039581</v>
      </c>
      <c r="M447" s="380">
        <v>36859</v>
      </c>
      <c r="N447" t="s">
        <v>21</v>
      </c>
      <c r="O447">
        <v>0.2</v>
      </c>
      <c r="P447">
        <v>0</v>
      </c>
      <c r="Q447">
        <v>0</v>
      </c>
      <c r="R447">
        <v>0</v>
      </c>
      <c r="S447">
        <v>0</v>
      </c>
      <c r="T447" t="s">
        <v>253</v>
      </c>
      <c r="U447" t="s">
        <v>190</v>
      </c>
      <c r="V447" t="s">
        <v>253</v>
      </c>
      <c r="W447" t="s">
        <v>132</v>
      </c>
      <c r="X447" t="s">
        <v>253</v>
      </c>
      <c r="Y447" t="s">
        <v>235</v>
      </c>
      <c r="Z447" t="s">
        <v>236</v>
      </c>
      <c r="AA447" t="s">
        <v>253</v>
      </c>
      <c r="AB447" t="s">
        <v>121</v>
      </c>
      <c r="AC447" s="235">
        <v>155000</v>
      </c>
      <c r="AD447" s="235">
        <v>6427.1205758263532</v>
      </c>
      <c r="AE447">
        <v>0</v>
      </c>
      <c r="AF447">
        <v>0</v>
      </c>
      <c r="AG447">
        <v>0</v>
      </c>
      <c r="AH447" s="235">
        <v>18542.890547836359</v>
      </c>
      <c r="AI447">
        <v>226</v>
      </c>
      <c r="AJ447" t="s">
        <v>256</v>
      </c>
      <c r="AK447">
        <v>0</v>
      </c>
      <c r="AL447">
        <v>0</v>
      </c>
      <c r="AM447">
        <v>0</v>
      </c>
    </row>
    <row r="448" spans="1:39" x14ac:dyDescent="0.25">
      <c r="A448" t="s">
        <v>601</v>
      </c>
      <c r="B448" t="s">
        <v>491</v>
      </c>
      <c r="C448" t="s">
        <v>255</v>
      </c>
      <c r="D448" t="s">
        <v>234</v>
      </c>
      <c r="E448" t="s">
        <v>20</v>
      </c>
      <c r="F448" t="s">
        <v>284</v>
      </c>
      <c r="G448" t="s">
        <v>269</v>
      </c>
      <c r="H448" t="s">
        <v>254</v>
      </c>
      <c r="I448" t="s">
        <v>242</v>
      </c>
      <c r="J448" t="s">
        <v>235</v>
      </c>
      <c r="K448" s="380">
        <v>36831</v>
      </c>
      <c r="L448" s="235">
        <v>200771.92606290156</v>
      </c>
      <c r="M448" s="380">
        <v>36829</v>
      </c>
      <c r="N448" t="s">
        <v>21</v>
      </c>
      <c r="O448">
        <v>0.2</v>
      </c>
      <c r="P448">
        <v>0</v>
      </c>
      <c r="Q448">
        <v>0</v>
      </c>
      <c r="R448">
        <v>0</v>
      </c>
      <c r="S448">
        <v>0</v>
      </c>
      <c r="T448" t="s">
        <v>253</v>
      </c>
      <c r="U448" t="s">
        <v>190</v>
      </c>
      <c r="V448" t="s">
        <v>253</v>
      </c>
      <c r="W448" t="s">
        <v>132</v>
      </c>
      <c r="X448" t="s">
        <v>253</v>
      </c>
      <c r="Y448" t="s">
        <v>235</v>
      </c>
      <c r="Z448" t="s">
        <v>236</v>
      </c>
      <c r="AA448" t="s">
        <v>253</v>
      </c>
      <c r="AB448" t="s">
        <v>121</v>
      </c>
      <c r="AC448" s="235">
        <v>150000</v>
      </c>
      <c r="AD448" s="235">
        <v>1445.1082341901492</v>
      </c>
      <c r="AE448">
        <v>0</v>
      </c>
      <c r="AF448">
        <v>0</v>
      </c>
      <c r="AG448">
        <v>0</v>
      </c>
      <c r="AH448" s="235">
        <v>29996.042094219039</v>
      </c>
      <c r="AI448">
        <v>226</v>
      </c>
      <c r="AJ448" t="s">
        <v>256</v>
      </c>
      <c r="AK448">
        <v>0</v>
      </c>
      <c r="AL448">
        <v>0</v>
      </c>
      <c r="AM448">
        <v>0</v>
      </c>
    </row>
    <row r="449" spans="1:39" x14ac:dyDescent="0.25">
      <c r="A449" t="s">
        <v>601</v>
      </c>
      <c r="B449" t="s">
        <v>502</v>
      </c>
      <c r="C449" t="s">
        <v>255</v>
      </c>
      <c r="D449" t="s">
        <v>234</v>
      </c>
      <c r="E449" t="s">
        <v>20</v>
      </c>
      <c r="F449" t="s">
        <v>320</v>
      </c>
      <c r="G449" t="s">
        <v>269</v>
      </c>
      <c r="H449" t="s">
        <v>254</v>
      </c>
      <c r="I449" t="s">
        <v>242</v>
      </c>
      <c r="J449" t="s">
        <v>235</v>
      </c>
      <c r="K449" s="380">
        <v>36951</v>
      </c>
      <c r="L449" s="235">
        <v>219596.78742098159</v>
      </c>
      <c r="M449" s="380">
        <v>36949</v>
      </c>
      <c r="N449" t="s">
        <v>1</v>
      </c>
      <c r="O449">
        <v>0.95</v>
      </c>
      <c r="P449">
        <v>0</v>
      </c>
      <c r="Q449">
        <v>0</v>
      </c>
      <c r="R449">
        <v>0</v>
      </c>
      <c r="S449">
        <v>0</v>
      </c>
      <c r="T449" t="s">
        <v>253</v>
      </c>
      <c r="U449" t="s">
        <v>7</v>
      </c>
      <c r="V449" t="s">
        <v>253</v>
      </c>
      <c r="W449" t="s">
        <v>132</v>
      </c>
      <c r="X449" t="s">
        <v>253</v>
      </c>
      <c r="Y449" t="s">
        <v>235</v>
      </c>
      <c r="Z449" t="s">
        <v>236</v>
      </c>
      <c r="AA449" t="s">
        <v>253</v>
      </c>
      <c r="AB449" t="s">
        <v>121</v>
      </c>
      <c r="AC449" s="235">
        <v>500000</v>
      </c>
      <c r="AD449" s="235">
        <v>44459.68893243061</v>
      </c>
      <c r="AE449">
        <v>0</v>
      </c>
      <c r="AF449">
        <v>0</v>
      </c>
      <c r="AG449">
        <v>0</v>
      </c>
      <c r="AH449" s="235">
        <v>-9919.091541908303</v>
      </c>
      <c r="AI449">
        <v>226</v>
      </c>
      <c r="AJ449" t="s">
        <v>256</v>
      </c>
      <c r="AK449">
        <v>0</v>
      </c>
      <c r="AL449">
        <v>0</v>
      </c>
      <c r="AM449">
        <v>0</v>
      </c>
    </row>
    <row r="450" spans="1:39" x14ac:dyDescent="0.25">
      <c r="A450" t="s">
        <v>601</v>
      </c>
      <c r="B450" t="s">
        <v>502</v>
      </c>
      <c r="C450" t="s">
        <v>255</v>
      </c>
      <c r="D450" t="s">
        <v>234</v>
      </c>
      <c r="E450" t="s">
        <v>20</v>
      </c>
      <c r="F450" t="s">
        <v>320</v>
      </c>
      <c r="G450" t="s">
        <v>269</v>
      </c>
      <c r="H450" t="s">
        <v>254</v>
      </c>
      <c r="I450" t="s">
        <v>242</v>
      </c>
      <c r="J450" t="s">
        <v>235</v>
      </c>
      <c r="K450" s="380">
        <v>36923</v>
      </c>
      <c r="L450" s="235">
        <v>95380.536938689809</v>
      </c>
      <c r="M450" s="380">
        <v>36921</v>
      </c>
      <c r="N450" t="s">
        <v>1</v>
      </c>
      <c r="O450">
        <v>0.95</v>
      </c>
      <c r="P450">
        <v>0</v>
      </c>
      <c r="Q450">
        <v>0</v>
      </c>
      <c r="R450">
        <v>0</v>
      </c>
      <c r="S450">
        <v>0</v>
      </c>
      <c r="T450" t="s">
        <v>253</v>
      </c>
      <c r="U450" t="s">
        <v>7</v>
      </c>
      <c r="V450" t="s">
        <v>253</v>
      </c>
      <c r="W450" t="s">
        <v>132</v>
      </c>
      <c r="X450" t="s">
        <v>253</v>
      </c>
      <c r="Y450" t="s">
        <v>235</v>
      </c>
      <c r="Z450" t="s">
        <v>236</v>
      </c>
      <c r="AA450" t="s">
        <v>253</v>
      </c>
      <c r="AB450" t="s">
        <v>121</v>
      </c>
      <c r="AC450" s="235">
        <v>500000</v>
      </c>
      <c r="AD450" s="235">
        <v>34478.905994469402</v>
      </c>
      <c r="AE450">
        <v>0</v>
      </c>
      <c r="AF450">
        <v>0</v>
      </c>
      <c r="AG450">
        <v>0</v>
      </c>
      <c r="AH450" s="235">
        <v>-4923.313078936786</v>
      </c>
      <c r="AI450">
        <v>226</v>
      </c>
      <c r="AJ450" t="s">
        <v>256</v>
      </c>
      <c r="AK450">
        <v>0</v>
      </c>
      <c r="AL450">
        <v>0</v>
      </c>
      <c r="AM450">
        <v>0</v>
      </c>
    </row>
    <row r="451" spans="1:39" x14ac:dyDescent="0.25">
      <c r="A451" t="s">
        <v>601</v>
      </c>
      <c r="B451" t="s">
        <v>502</v>
      </c>
      <c r="C451" t="s">
        <v>255</v>
      </c>
      <c r="D451" t="s">
        <v>234</v>
      </c>
      <c r="E451" t="s">
        <v>20</v>
      </c>
      <c r="F451" t="s">
        <v>320</v>
      </c>
      <c r="G451" t="s">
        <v>269</v>
      </c>
      <c r="H451" t="s">
        <v>254</v>
      </c>
      <c r="I451" t="s">
        <v>242</v>
      </c>
      <c r="J451" t="s">
        <v>235</v>
      </c>
      <c r="K451" s="380">
        <v>36892</v>
      </c>
      <c r="L451" s="235">
        <v>77148.076560465517</v>
      </c>
      <c r="M451" s="380">
        <v>36888</v>
      </c>
      <c r="N451" t="s">
        <v>1</v>
      </c>
      <c r="O451">
        <v>0.95</v>
      </c>
      <c r="P451">
        <v>0</v>
      </c>
      <c r="Q451">
        <v>0</v>
      </c>
      <c r="R451">
        <v>0</v>
      </c>
      <c r="S451">
        <v>0</v>
      </c>
      <c r="T451" t="s">
        <v>253</v>
      </c>
      <c r="U451" t="s">
        <v>7</v>
      </c>
      <c r="V451" t="s">
        <v>253</v>
      </c>
      <c r="W451" t="s">
        <v>132</v>
      </c>
      <c r="X451" t="s">
        <v>253</v>
      </c>
      <c r="Y451" t="s">
        <v>235</v>
      </c>
      <c r="Z451" t="s">
        <v>236</v>
      </c>
      <c r="AA451" t="s">
        <v>253</v>
      </c>
      <c r="AB451" t="s">
        <v>121</v>
      </c>
      <c r="AC451" s="235">
        <v>500000</v>
      </c>
      <c r="AD451" s="235">
        <v>29287.075325441678</v>
      </c>
      <c r="AE451">
        <v>0</v>
      </c>
      <c r="AF451">
        <v>0</v>
      </c>
      <c r="AG451">
        <v>0</v>
      </c>
      <c r="AH451" s="235">
        <v>-3612.6652374686237</v>
      </c>
      <c r="AI451">
        <v>226</v>
      </c>
      <c r="AJ451" t="s">
        <v>256</v>
      </c>
      <c r="AK451">
        <v>0</v>
      </c>
      <c r="AL451">
        <v>0</v>
      </c>
      <c r="AM451">
        <v>0</v>
      </c>
    </row>
    <row r="452" spans="1:39" x14ac:dyDescent="0.25">
      <c r="A452" t="s">
        <v>601</v>
      </c>
      <c r="B452" t="s">
        <v>502</v>
      </c>
      <c r="C452" t="s">
        <v>255</v>
      </c>
      <c r="D452" t="s">
        <v>234</v>
      </c>
      <c r="E452" t="s">
        <v>20</v>
      </c>
      <c r="F452" t="s">
        <v>320</v>
      </c>
      <c r="G452" t="s">
        <v>269</v>
      </c>
      <c r="H452" t="s">
        <v>254</v>
      </c>
      <c r="I452" t="s">
        <v>242</v>
      </c>
      <c r="J452" t="s">
        <v>235</v>
      </c>
      <c r="K452" s="380">
        <v>36861</v>
      </c>
      <c r="L452" s="235">
        <v>103389.79511682683</v>
      </c>
      <c r="M452" s="380">
        <v>36859</v>
      </c>
      <c r="N452" t="s">
        <v>1</v>
      </c>
      <c r="O452">
        <v>0.95</v>
      </c>
      <c r="P452">
        <v>0</v>
      </c>
      <c r="Q452">
        <v>0</v>
      </c>
      <c r="R452">
        <v>0</v>
      </c>
      <c r="S452">
        <v>0</v>
      </c>
      <c r="T452" t="s">
        <v>253</v>
      </c>
      <c r="U452" t="s">
        <v>7</v>
      </c>
      <c r="V452" t="s">
        <v>253</v>
      </c>
      <c r="W452" t="s">
        <v>132</v>
      </c>
      <c r="X452" t="s">
        <v>253</v>
      </c>
      <c r="Y452" t="s">
        <v>235</v>
      </c>
      <c r="Z452" t="s">
        <v>236</v>
      </c>
      <c r="AA452" t="s">
        <v>253</v>
      </c>
      <c r="AB452" t="s">
        <v>121</v>
      </c>
      <c r="AC452" s="235">
        <v>500000</v>
      </c>
      <c r="AD452" s="235">
        <v>31070.483171001353</v>
      </c>
      <c r="AE452">
        <v>0</v>
      </c>
      <c r="AF452">
        <v>0</v>
      </c>
      <c r="AG452">
        <v>0</v>
      </c>
      <c r="AH452" s="235">
        <v>-4059.4865522316395</v>
      </c>
      <c r="AI452">
        <v>226</v>
      </c>
      <c r="AJ452" t="s">
        <v>256</v>
      </c>
      <c r="AK452">
        <v>0</v>
      </c>
      <c r="AL452">
        <v>0</v>
      </c>
      <c r="AM452">
        <v>0</v>
      </c>
    </row>
    <row r="453" spans="1:39" x14ac:dyDescent="0.25">
      <c r="A453" t="s">
        <v>601</v>
      </c>
      <c r="B453" t="s">
        <v>502</v>
      </c>
      <c r="C453" t="s">
        <v>255</v>
      </c>
      <c r="D453" t="s">
        <v>234</v>
      </c>
      <c r="E453" t="s">
        <v>20</v>
      </c>
      <c r="F453" t="s">
        <v>320</v>
      </c>
      <c r="G453" t="s">
        <v>269</v>
      </c>
      <c r="H453" t="s">
        <v>254</v>
      </c>
      <c r="I453" t="s">
        <v>242</v>
      </c>
      <c r="J453" t="s">
        <v>235</v>
      </c>
      <c r="K453" s="380">
        <v>36831</v>
      </c>
      <c r="L453" s="235">
        <v>182642.68897070497</v>
      </c>
      <c r="M453" s="380">
        <v>36829</v>
      </c>
      <c r="N453" t="s">
        <v>1</v>
      </c>
      <c r="O453">
        <v>0.95</v>
      </c>
      <c r="P453">
        <v>0</v>
      </c>
      <c r="Q453">
        <v>0</v>
      </c>
      <c r="R453">
        <v>0</v>
      </c>
      <c r="S453">
        <v>0</v>
      </c>
      <c r="T453" t="s">
        <v>253</v>
      </c>
      <c r="U453" t="s">
        <v>7</v>
      </c>
      <c r="V453" t="s">
        <v>253</v>
      </c>
      <c r="W453" t="s">
        <v>132</v>
      </c>
      <c r="X453" t="s">
        <v>253</v>
      </c>
      <c r="Y453" t="s">
        <v>235</v>
      </c>
      <c r="Z453" t="s">
        <v>236</v>
      </c>
      <c r="AA453" t="s">
        <v>253</v>
      </c>
      <c r="AB453" t="s">
        <v>121</v>
      </c>
      <c r="AC453" s="235">
        <v>500000</v>
      </c>
      <c r="AD453" s="235">
        <v>21445.452140072535</v>
      </c>
      <c r="AE453">
        <v>0</v>
      </c>
      <c r="AF453">
        <v>0</v>
      </c>
      <c r="AG453">
        <v>0</v>
      </c>
      <c r="AH453" s="235">
        <v>-10526.156545455306</v>
      </c>
      <c r="AI453">
        <v>226</v>
      </c>
      <c r="AJ453" t="s">
        <v>256</v>
      </c>
      <c r="AK453">
        <v>0</v>
      </c>
      <c r="AL453">
        <v>0</v>
      </c>
      <c r="AM453">
        <v>0</v>
      </c>
    </row>
    <row r="454" spans="1:39" x14ac:dyDescent="0.25">
      <c r="A454" t="s">
        <v>601</v>
      </c>
      <c r="B454" t="s">
        <v>503</v>
      </c>
      <c r="C454" t="s">
        <v>255</v>
      </c>
      <c r="D454" t="s">
        <v>234</v>
      </c>
      <c r="E454" t="s">
        <v>20</v>
      </c>
      <c r="F454" t="s">
        <v>348</v>
      </c>
      <c r="G454" t="s">
        <v>269</v>
      </c>
      <c r="H454" t="s">
        <v>254</v>
      </c>
      <c r="I454" t="s">
        <v>242</v>
      </c>
      <c r="J454" t="s">
        <v>235</v>
      </c>
      <c r="K454" s="380">
        <v>37316</v>
      </c>
      <c r="L454" s="235">
        <v>-296642.24798001756</v>
      </c>
      <c r="M454" s="380">
        <v>37314</v>
      </c>
      <c r="N454" t="s">
        <v>1</v>
      </c>
      <c r="O454">
        <v>0.95</v>
      </c>
      <c r="P454">
        <v>0</v>
      </c>
      <c r="Q454">
        <v>0</v>
      </c>
      <c r="R454">
        <v>0</v>
      </c>
      <c r="S454">
        <v>0</v>
      </c>
      <c r="T454" t="s">
        <v>253</v>
      </c>
      <c r="U454" t="s">
        <v>7</v>
      </c>
      <c r="V454" t="s">
        <v>253</v>
      </c>
      <c r="W454" t="s">
        <v>132</v>
      </c>
      <c r="X454" t="s">
        <v>253</v>
      </c>
      <c r="Y454" t="s">
        <v>235</v>
      </c>
      <c r="Z454" t="s">
        <v>236</v>
      </c>
      <c r="AA454" t="s">
        <v>253</v>
      </c>
      <c r="AB454" t="s">
        <v>121</v>
      </c>
      <c r="AC454" s="235">
        <v>-1000000</v>
      </c>
      <c r="AD454" s="235">
        <v>-48929.713968046883</v>
      </c>
      <c r="AE454">
        <v>0</v>
      </c>
      <c r="AF454">
        <v>0</v>
      </c>
      <c r="AG454">
        <v>0</v>
      </c>
      <c r="AH454" s="235">
        <v>9838.8582352066878</v>
      </c>
      <c r="AI454">
        <v>226</v>
      </c>
      <c r="AJ454" t="s">
        <v>256</v>
      </c>
      <c r="AK454">
        <v>0</v>
      </c>
      <c r="AL454">
        <v>0</v>
      </c>
      <c r="AM454">
        <v>0</v>
      </c>
    </row>
    <row r="455" spans="1:39" x14ac:dyDescent="0.25">
      <c r="A455" t="s">
        <v>601</v>
      </c>
      <c r="B455" t="s">
        <v>503</v>
      </c>
      <c r="C455" t="s">
        <v>255</v>
      </c>
      <c r="D455" t="s">
        <v>234</v>
      </c>
      <c r="E455" t="s">
        <v>20</v>
      </c>
      <c r="F455" t="s">
        <v>348</v>
      </c>
      <c r="G455" t="s">
        <v>269</v>
      </c>
      <c r="H455" t="s">
        <v>254</v>
      </c>
      <c r="I455" t="s">
        <v>242</v>
      </c>
      <c r="J455" t="s">
        <v>235</v>
      </c>
      <c r="K455" s="380">
        <v>37288</v>
      </c>
      <c r="L455" s="235">
        <v>-156044.61802290758</v>
      </c>
      <c r="M455" s="380">
        <v>37286</v>
      </c>
      <c r="N455" t="s">
        <v>1</v>
      </c>
      <c r="O455">
        <v>0.95</v>
      </c>
      <c r="P455">
        <v>0</v>
      </c>
      <c r="Q455">
        <v>0</v>
      </c>
      <c r="R455">
        <v>0</v>
      </c>
      <c r="S455">
        <v>0</v>
      </c>
      <c r="T455" t="s">
        <v>253</v>
      </c>
      <c r="U455" t="s">
        <v>7</v>
      </c>
      <c r="V455" t="s">
        <v>253</v>
      </c>
      <c r="W455" t="s">
        <v>132</v>
      </c>
      <c r="X455" t="s">
        <v>253</v>
      </c>
      <c r="Y455" t="s">
        <v>235</v>
      </c>
      <c r="Z455" t="s">
        <v>236</v>
      </c>
      <c r="AA455" t="s">
        <v>253</v>
      </c>
      <c r="AB455" t="s">
        <v>121</v>
      </c>
      <c r="AC455" s="235">
        <v>-1000000</v>
      </c>
      <c r="AD455" s="235">
        <v>-41105.325179778389</v>
      </c>
      <c r="AE455">
        <v>0</v>
      </c>
      <c r="AF455">
        <v>0</v>
      </c>
      <c r="AG455">
        <v>0</v>
      </c>
      <c r="AH455" s="235">
        <v>4650.6762641729147</v>
      </c>
      <c r="AI455">
        <v>226</v>
      </c>
      <c r="AJ455" t="s">
        <v>256</v>
      </c>
      <c r="AK455">
        <v>0</v>
      </c>
      <c r="AL455">
        <v>0</v>
      </c>
      <c r="AM455">
        <v>0</v>
      </c>
    </row>
    <row r="456" spans="1:39" x14ac:dyDescent="0.25">
      <c r="A456" t="s">
        <v>601</v>
      </c>
      <c r="B456" t="s">
        <v>503</v>
      </c>
      <c r="C456" t="s">
        <v>255</v>
      </c>
      <c r="D456" t="s">
        <v>234</v>
      </c>
      <c r="E456" t="s">
        <v>20</v>
      </c>
      <c r="F456" t="s">
        <v>348</v>
      </c>
      <c r="G456" t="s">
        <v>269</v>
      </c>
      <c r="H456" t="s">
        <v>254</v>
      </c>
      <c r="I456" t="s">
        <v>242</v>
      </c>
      <c r="J456" t="s">
        <v>235</v>
      </c>
      <c r="K456" s="380">
        <v>37257</v>
      </c>
      <c r="L456" s="235">
        <v>-167122.47076381414</v>
      </c>
      <c r="M456" s="380">
        <v>37253</v>
      </c>
      <c r="N456" t="s">
        <v>1</v>
      </c>
      <c r="O456">
        <v>0.95</v>
      </c>
      <c r="P456">
        <v>0</v>
      </c>
      <c r="Q456">
        <v>0</v>
      </c>
      <c r="R456">
        <v>0</v>
      </c>
      <c r="S456">
        <v>0</v>
      </c>
      <c r="T456" t="s">
        <v>253</v>
      </c>
      <c r="U456" t="s">
        <v>7</v>
      </c>
      <c r="V456" t="s">
        <v>253</v>
      </c>
      <c r="W456" t="s">
        <v>132</v>
      </c>
      <c r="X456" t="s">
        <v>253</v>
      </c>
      <c r="Y456" t="s">
        <v>235</v>
      </c>
      <c r="Z456" t="s">
        <v>236</v>
      </c>
      <c r="AA456" t="s">
        <v>253</v>
      </c>
      <c r="AB456" t="s">
        <v>121</v>
      </c>
      <c r="AC456" s="235">
        <v>-1000000</v>
      </c>
      <c r="AD456" s="235">
        <v>-42724.833151095634</v>
      </c>
      <c r="AE456">
        <v>0</v>
      </c>
      <c r="AF456">
        <v>0</v>
      </c>
      <c r="AG456">
        <v>0</v>
      </c>
      <c r="AH456" s="235">
        <v>4663.465553938353</v>
      </c>
      <c r="AI456">
        <v>226</v>
      </c>
      <c r="AJ456" t="s">
        <v>256</v>
      </c>
      <c r="AK456">
        <v>0</v>
      </c>
      <c r="AL456">
        <v>0</v>
      </c>
      <c r="AM456">
        <v>0</v>
      </c>
    </row>
    <row r="457" spans="1:39" x14ac:dyDescent="0.25">
      <c r="A457" t="s">
        <v>601</v>
      </c>
      <c r="B457" t="s">
        <v>503</v>
      </c>
      <c r="C457" t="s">
        <v>255</v>
      </c>
      <c r="D457" t="s">
        <v>234</v>
      </c>
      <c r="E457" t="s">
        <v>20</v>
      </c>
      <c r="F457" t="s">
        <v>348</v>
      </c>
      <c r="G457" t="s">
        <v>269</v>
      </c>
      <c r="H457" t="s">
        <v>254</v>
      </c>
      <c r="I457" t="s">
        <v>242</v>
      </c>
      <c r="J457" t="s">
        <v>235</v>
      </c>
      <c r="K457" s="380">
        <v>37226</v>
      </c>
      <c r="L457" s="235">
        <v>-216931.41367417402</v>
      </c>
      <c r="M457" s="380">
        <v>37224</v>
      </c>
      <c r="N457" t="s">
        <v>1</v>
      </c>
      <c r="O457">
        <v>0.95</v>
      </c>
      <c r="P457">
        <v>0</v>
      </c>
      <c r="Q457">
        <v>0</v>
      </c>
      <c r="R457">
        <v>0</v>
      </c>
      <c r="S457">
        <v>0</v>
      </c>
      <c r="T457" t="s">
        <v>253</v>
      </c>
      <c r="U457" t="s">
        <v>7</v>
      </c>
      <c r="V457" t="s">
        <v>253</v>
      </c>
      <c r="W457" t="s">
        <v>132</v>
      </c>
      <c r="X457" t="s">
        <v>253</v>
      </c>
      <c r="Y457" t="s">
        <v>235</v>
      </c>
      <c r="Z457" t="s">
        <v>236</v>
      </c>
      <c r="AA457" t="s">
        <v>253</v>
      </c>
      <c r="AB457" t="s">
        <v>121</v>
      </c>
      <c r="AC457" s="235">
        <v>-1000000</v>
      </c>
      <c r="AD457" s="235">
        <v>-46630.586230566667</v>
      </c>
      <c r="AE457">
        <v>0</v>
      </c>
      <c r="AF457">
        <v>0</v>
      </c>
      <c r="AG457">
        <v>0</v>
      </c>
      <c r="AH457" s="235">
        <v>6430.2386085062462</v>
      </c>
      <c r="AI457">
        <v>226</v>
      </c>
      <c r="AJ457" t="s">
        <v>256</v>
      </c>
      <c r="AK457">
        <v>0</v>
      </c>
      <c r="AL457">
        <v>0</v>
      </c>
      <c r="AM457">
        <v>0</v>
      </c>
    </row>
    <row r="458" spans="1:39" x14ac:dyDescent="0.25">
      <c r="A458" t="s">
        <v>601</v>
      </c>
      <c r="B458" t="s">
        <v>503</v>
      </c>
      <c r="C458" t="s">
        <v>255</v>
      </c>
      <c r="D458" t="s">
        <v>234</v>
      </c>
      <c r="E458" t="s">
        <v>20</v>
      </c>
      <c r="F458" t="s">
        <v>348</v>
      </c>
      <c r="G458" t="s">
        <v>269</v>
      </c>
      <c r="H458" t="s">
        <v>254</v>
      </c>
      <c r="I458" t="s">
        <v>242</v>
      </c>
      <c r="J458" t="s">
        <v>235</v>
      </c>
      <c r="K458" s="380">
        <v>37196</v>
      </c>
      <c r="L458" s="235">
        <v>-350551.48087833845</v>
      </c>
      <c r="M458" s="380">
        <v>37194</v>
      </c>
      <c r="N458" t="s">
        <v>1</v>
      </c>
      <c r="O458">
        <v>0.95</v>
      </c>
      <c r="P458">
        <v>0</v>
      </c>
      <c r="Q458">
        <v>0</v>
      </c>
      <c r="R458">
        <v>0</v>
      </c>
      <c r="S458">
        <v>0</v>
      </c>
      <c r="T458" t="s">
        <v>253</v>
      </c>
      <c r="U458" t="s">
        <v>7</v>
      </c>
      <c r="V458" t="s">
        <v>253</v>
      </c>
      <c r="W458" t="s">
        <v>132</v>
      </c>
      <c r="X458" t="s">
        <v>253</v>
      </c>
      <c r="Y458" t="s">
        <v>235</v>
      </c>
      <c r="Z458" t="s">
        <v>236</v>
      </c>
      <c r="AA458" t="s">
        <v>253</v>
      </c>
      <c r="AB458" t="s">
        <v>121</v>
      </c>
      <c r="AC458" s="235">
        <v>-1000000</v>
      </c>
      <c r="AD458" s="235">
        <v>-49712.263461544411</v>
      </c>
      <c r="AE458">
        <v>0</v>
      </c>
      <c r="AF458">
        <v>0</v>
      </c>
      <c r="AG458">
        <v>0</v>
      </c>
      <c r="AH458" s="235">
        <v>11080.125084124156</v>
      </c>
      <c r="AI458">
        <v>226</v>
      </c>
      <c r="AJ458" t="s">
        <v>256</v>
      </c>
      <c r="AK458">
        <v>0</v>
      </c>
      <c r="AL458">
        <v>0</v>
      </c>
      <c r="AM458">
        <v>0</v>
      </c>
    </row>
    <row r="459" spans="1:39" x14ac:dyDescent="0.25">
      <c r="A459" t="s">
        <v>601</v>
      </c>
      <c r="B459" t="s">
        <v>504</v>
      </c>
      <c r="C459" t="s">
        <v>255</v>
      </c>
      <c r="D459" t="s">
        <v>234</v>
      </c>
      <c r="E459" t="s">
        <v>20</v>
      </c>
      <c r="F459" t="s">
        <v>279</v>
      </c>
      <c r="G459" t="s">
        <v>269</v>
      </c>
      <c r="H459" t="s">
        <v>254</v>
      </c>
      <c r="I459" t="s">
        <v>242</v>
      </c>
      <c r="J459" t="s">
        <v>235</v>
      </c>
      <c r="K459" s="380">
        <v>36951</v>
      </c>
      <c r="L459" s="235">
        <v>-303941.58497160458</v>
      </c>
      <c r="M459" s="380">
        <v>36949</v>
      </c>
      <c r="N459" t="s">
        <v>21</v>
      </c>
      <c r="O459">
        <v>1.7</v>
      </c>
      <c r="P459">
        <v>0</v>
      </c>
      <c r="Q459">
        <v>0</v>
      </c>
      <c r="R459">
        <v>0</v>
      </c>
      <c r="S459">
        <v>0</v>
      </c>
      <c r="T459" t="s">
        <v>253</v>
      </c>
      <c r="U459" t="s">
        <v>7</v>
      </c>
      <c r="V459" t="s">
        <v>253</v>
      </c>
      <c r="W459" t="s">
        <v>132</v>
      </c>
      <c r="X459" t="s">
        <v>253</v>
      </c>
      <c r="Y459" t="s">
        <v>235</v>
      </c>
      <c r="Z459" t="s">
        <v>236</v>
      </c>
      <c r="AA459" t="s">
        <v>253</v>
      </c>
      <c r="AB459" t="s">
        <v>121</v>
      </c>
      <c r="AC459" s="235">
        <v>-1000000</v>
      </c>
      <c r="AD459" s="235">
        <v>-78653.618341327412</v>
      </c>
      <c r="AE459">
        <v>0</v>
      </c>
      <c r="AF459">
        <v>0</v>
      </c>
      <c r="AG459">
        <v>0</v>
      </c>
      <c r="AH459" s="235">
        <v>-25626.494354563998</v>
      </c>
      <c r="AI459">
        <v>226</v>
      </c>
      <c r="AJ459" t="s">
        <v>256</v>
      </c>
      <c r="AK459">
        <v>0</v>
      </c>
      <c r="AL459">
        <v>0</v>
      </c>
      <c r="AM459">
        <v>0</v>
      </c>
    </row>
    <row r="460" spans="1:39" x14ac:dyDescent="0.25">
      <c r="A460" t="s">
        <v>601</v>
      </c>
      <c r="B460" t="s">
        <v>504</v>
      </c>
      <c r="C460" t="s">
        <v>255</v>
      </c>
      <c r="D460" t="s">
        <v>234</v>
      </c>
      <c r="E460" t="s">
        <v>20</v>
      </c>
      <c r="F460" t="s">
        <v>279</v>
      </c>
      <c r="G460" t="s">
        <v>269</v>
      </c>
      <c r="H460" t="s">
        <v>254</v>
      </c>
      <c r="I460" t="s">
        <v>242</v>
      </c>
      <c r="J460" t="s">
        <v>235</v>
      </c>
      <c r="K460" s="380">
        <v>36923</v>
      </c>
      <c r="L460" s="235">
        <v>-855869.33271648863</v>
      </c>
      <c r="M460" s="380">
        <v>36921</v>
      </c>
      <c r="N460" t="s">
        <v>21</v>
      </c>
      <c r="O460">
        <v>1.7</v>
      </c>
      <c r="P460">
        <v>0</v>
      </c>
      <c r="Q460">
        <v>0</v>
      </c>
      <c r="R460">
        <v>0</v>
      </c>
      <c r="S460">
        <v>0</v>
      </c>
      <c r="T460" t="s">
        <v>253</v>
      </c>
      <c r="U460" t="s">
        <v>7</v>
      </c>
      <c r="V460" t="s">
        <v>253</v>
      </c>
      <c r="W460" t="s">
        <v>132</v>
      </c>
      <c r="X460" t="s">
        <v>253</v>
      </c>
      <c r="Y460" t="s">
        <v>235</v>
      </c>
      <c r="Z460" t="s">
        <v>236</v>
      </c>
      <c r="AA460" t="s">
        <v>253</v>
      </c>
      <c r="AB460" t="s">
        <v>121</v>
      </c>
      <c r="AC460" s="235">
        <v>-1000000</v>
      </c>
      <c r="AD460" s="235">
        <v>-84947.491666822694</v>
      </c>
      <c r="AE460">
        <v>0</v>
      </c>
      <c r="AF460">
        <v>0</v>
      </c>
      <c r="AG460">
        <v>0</v>
      </c>
      <c r="AH460" s="235">
        <v>-47406.597183175851</v>
      </c>
      <c r="AI460">
        <v>226</v>
      </c>
      <c r="AJ460" t="s">
        <v>256</v>
      </c>
      <c r="AK460">
        <v>0</v>
      </c>
      <c r="AL460">
        <v>0</v>
      </c>
      <c r="AM460">
        <v>0</v>
      </c>
    </row>
    <row r="461" spans="1:39" x14ac:dyDescent="0.25">
      <c r="A461" t="s">
        <v>601</v>
      </c>
      <c r="B461" t="s">
        <v>504</v>
      </c>
      <c r="C461" t="s">
        <v>255</v>
      </c>
      <c r="D461" t="s">
        <v>234</v>
      </c>
      <c r="E461" t="s">
        <v>20</v>
      </c>
      <c r="F461" t="s">
        <v>279</v>
      </c>
      <c r="G461" t="s">
        <v>269</v>
      </c>
      <c r="H461" t="s">
        <v>254</v>
      </c>
      <c r="I461" t="s">
        <v>242</v>
      </c>
      <c r="J461" t="s">
        <v>235</v>
      </c>
      <c r="K461" s="380">
        <v>36892</v>
      </c>
      <c r="L461" s="235">
        <v>-874065.09518872504</v>
      </c>
      <c r="M461" s="380">
        <v>36888</v>
      </c>
      <c r="N461" t="s">
        <v>21</v>
      </c>
      <c r="O461">
        <v>1.7</v>
      </c>
      <c r="P461">
        <v>0</v>
      </c>
      <c r="Q461">
        <v>0</v>
      </c>
      <c r="R461">
        <v>0</v>
      </c>
      <c r="S461">
        <v>0</v>
      </c>
      <c r="T461" t="s">
        <v>253</v>
      </c>
      <c r="U461" t="s">
        <v>7</v>
      </c>
      <c r="V461" t="s">
        <v>253</v>
      </c>
      <c r="W461" t="s">
        <v>132</v>
      </c>
      <c r="X461" t="s">
        <v>253</v>
      </c>
      <c r="Y461" t="s">
        <v>235</v>
      </c>
      <c r="Z461" t="s">
        <v>236</v>
      </c>
      <c r="AA461" t="s">
        <v>253</v>
      </c>
      <c r="AB461" t="s">
        <v>121</v>
      </c>
      <c r="AC461" s="235">
        <v>-1000000</v>
      </c>
      <c r="AD461" s="235">
        <v>-76646.411582765635</v>
      </c>
      <c r="AE461">
        <v>0</v>
      </c>
      <c r="AF461">
        <v>0</v>
      </c>
      <c r="AG461">
        <v>0</v>
      </c>
      <c r="AH461" s="235">
        <v>-42184.409002355882</v>
      </c>
      <c r="AI461">
        <v>226</v>
      </c>
      <c r="AJ461" t="s">
        <v>256</v>
      </c>
      <c r="AK461">
        <v>0</v>
      </c>
      <c r="AL461">
        <v>0</v>
      </c>
      <c r="AM461">
        <v>0</v>
      </c>
    </row>
    <row r="462" spans="1:39" x14ac:dyDescent="0.25">
      <c r="A462" t="s">
        <v>601</v>
      </c>
      <c r="B462" t="s">
        <v>504</v>
      </c>
      <c r="C462" t="s">
        <v>255</v>
      </c>
      <c r="D462" t="s">
        <v>234</v>
      </c>
      <c r="E462" t="s">
        <v>20</v>
      </c>
      <c r="F462" t="s">
        <v>279</v>
      </c>
      <c r="G462" t="s">
        <v>269</v>
      </c>
      <c r="H462" t="s">
        <v>254</v>
      </c>
      <c r="I462" t="s">
        <v>242</v>
      </c>
      <c r="J462" t="s">
        <v>235</v>
      </c>
      <c r="K462" s="380">
        <v>36861</v>
      </c>
      <c r="L462" s="235">
        <v>-492915.4674693307</v>
      </c>
      <c r="M462" s="380">
        <v>36859</v>
      </c>
      <c r="N462" t="s">
        <v>21</v>
      </c>
      <c r="O462">
        <v>1.7</v>
      </c>
      <c r="P462">
        <v>0</v>
      </c>
      <c r="Q462">
        <v>0</v>
      </c>
      <c r="R462">
        <v>0</v>
      </c>
      <c r="S462">
        <v>0</v>
      </c>
      <c r="T462" t="s">
        <v>253</v>
      </c>
      <c r="U462" t="s">
        <v>7</v>
      </c>
      <c r="V462" t="s">
        <v>253</v>
      </c>
      <c r="W462" t="s">
        <v>132</v>
      </c>
      <c r="X462" t="s">
        <v>253</v>
      </c>
      <c r="Y462" t="s">
        <v>235</v>
      </c>
      <c r="Z462" t="s">
        <v>236</v>
      </c>
      <c r="AA462" t="s">
        <v>253</v>
      </c>
      <c r="AB462" t="s">
        <v>121</v>
      </c>
      <c r="AC462" s="235">
        <v>-1000000</v>
      </c>
      <c r="AD462" s="235">
        <v>-70475.584619658941</v>
      </c>
      <c r="AE462">
        <v>0</v>
      </c>
      <c r="AF462">
        <v>0</v>
      </c>
      <c r="AG462">
        <v>0</v>
      </c>
      <c r="AH462" s="235">
        <v>-26515.108532782178</v>
      </c>
      <c r="AI462">
        <v>226</v>
      </c>
      <c r="AJ462" t="s">
        <v>256</v>
      </c>
      <c r="AK462">
        <v>0</v>
      </c>
      <c r="AL462">
        <v>0</v>
      </c>
      <c r="AM462">
        <v>0</v>
      </c>
    </row>
    <row r="463" spans="1:39" x14ac:dyDescent="0.25">
      <c r="A463" t="s">
        <v>601</v>
      </c>
      <c r="B463" t="s">
        <v>504</v>
      </c>
      <c r="C463" t="s">
        <v>255</v>
      </c>
      <c r="D463" t="s">
        <v>234</v>
      </c>
      <c r="E463" t="s">
        <v>20</v>
      </c>
      <c r="F463" t="s">
        <v>279</v>
      </c>
      <c r="G463" t="s">
        <v>269</v>
      </c>
      <c r="H463" t="s">
        <v>254</v>
      </c>
      <c r="I463" t="s">
        <v>242</v>
      </c>
      <c r="J463" t="s">
        <v>235</v>
      </c>
      <c r="K463" s="380">
        <v>36831</v>
      </c>
      <c r="L463" s="235">
        <v>-39805.707090587144</v>
      </c>
      <c r="M463" s="380">
        <v>36829</v>
      </c>
      <c r="N463" t="s">
        <v>21</v>
      </c>
      <c r="O463">
        <v>1.7</v>
      </c>
      <c r="P463">
        <v>0</v>
      </c>
      <c r="Q463">
        <v>0</v>
      </c>
      <c r="R463">
        <v>0</v>
      </c>
      <c r="S463">
        <v>0</v>
      </c>
      <c r="T463" t="s">
        <v>253</v>
      </c>
      <c r="U463" t="s">
        <v>7</v>
      </c>
      <c r="V463" t="s">
        <v>253</v>
      </c>
      <c r="W463" t="s">
        <v>132</v>
      </c>
      <c r="X463" t="s">
        <v>253</v>
      </c>
      <c r="Y463" t="s">
        <v>235</v>
      </c>
      <c r="Z463" t="s">
        <v>236</v>
      </c>
      <c r="AA463" t="s">
        <v>253</v>
      </c>
      <c r="AB463" t="s">
        <v>121</v>
      </c>
      <c r="AC463" s="235">
        <v>-1000000</v>
      </c>
      <c r="AD463" s="235">
        <v>-20019.492537577316</v>
      </c>
      <c r="AE463">
        <v>0</v>
      </c>
      <c r="AF463">
        <v>0</v>
      </c>
      <c r="AG463">
        <v>0</v>
      </c>
      <c r="AH463" s="235">
        <v>-5844.3496080161203</v>
      </c>
      <c r="AI463">
        <v>226</v>
      </c>
      <c r="AJ463" t="s">
        <v>256</v>
      </c>
      <c r="AK463">
        <v>0</v>
      </c>
      <c r="AL463">
        <v>0</v>
      </c>
      <c r="AM463">
        <v>0</v>
      </c>
    </row>
    <row r="464" spans="1:39" x14ac:dyDescent="0.25">
      <c r="A464" t="s">
        <v>601</v>
      </c>
      <c r="B464" t="s">
        <v>505</v>
      </c>
      <c r="C464" t="s">
        <v>255</v>
      </c>
      <c r="D464" t="s">
        <v>234</v>
      </c>
      <c r="E464" t="s">
        <v>20</v>
      </c>
      <c r="F464" t="s">
        <v>279</v>
      </c>
      <c r="G464" t="s">
        <v>269</v>
      </c>
      <c r="H464" t="s">
        <v>254</v>
      </c>
      <c r="I464" t="s">
        <v>242</v>
      </c>
      <c r="J464" t="s">
        <v>235</v>
      </c>
      <c r="K464" s="380">
        <v>36951</v>
      </c>
      <c r="L464" s="235">
        <v>-907740.38129235059</v>
      </c>
      <c r="M464" s="380">
        <v>36949</v>
      </c>
      <c r="N464" t="s">
        <v>1</v>
      </c>
      <c r="O464">
        <v>1.7</v>
      </c>
      <c r="P464">
        <v>0</v>
      </c>
      <c r="Q464">
        <v>0</v>
      </c>
      <c r="R464">
        <v>0</v>
      </c>
      <c r="S464">
        <v>0</v>
      </c>
      <c r="T464" t="s">
        <v>253</v>
      </c>
      <c r="U464" t="s">
        <v>7</v>
      </c>
      <c r="V464" t="s">
        <v>253</v>
      </c>
      <c r="W464" t="s">
        <v>132</v>
      </c>
      <c r="X464" t="s">
        <v>253</v>
      </c>
      <c r="Y464" t="s">
        <v>235</v>
      </c>
      <c r="Z464" t="s">
        <v>236</v>
      </c>
      <c r="AA464" t="s">
        <v>253</v>
      </c>
      <c r="AB464" t="s">
        <v>121</v>
      </c>
      <c r="AC464" s="235">
        <v>-1000000</v>
      </c>
      <c r="AD464" s="235">
        <v>-78653.618341327296</v>
      </c>
      <c r="AE464">
        <v>0</v>
      </c>
      <c r="AF464">
        <v>0</v>
      </c>
      <c r="AG464">
        <v>0</v>
      </c>
      <c r="AH464" s="235">
        <v>32309.639552984503</v>
      </c>
      <c r="AI464">
        <v>226</v>
      </c>
      <c r="AJ464" t="s">
        <v>256</v>
      </c>
      <c r="AK464">
        <v>0</v>
      </c>
      <c r="AL464">
        <v>0</v>
      </c>
      <c r="AM464">
        <v>0</v>
      </c>
    </row>
    <row r="465" spans="1:39" x14ac:dyDescent="0.25">
      <c r="A465" t="s">
        <v>601</v>
      </c>
      <c r="B465" t="s">
        <v>505</v>
      </c>
      <c r="C465" t="s">
        <v>255</v>
      </c>
      <c r="D465" t="s">
        <v>234</v>
      </c>
      <c r="E465" t="s">
        <v>20</v>
      </c>
      <c r="F465" t="s">
        <v>279</v>
      </c>
      <c r="G465" t="s">
        <v>269</v>
      </c>
      <c r="H465" t="s">
        <v>254</v>
      </c>
      <c r="I465" t="s">
        <v>242</v>
      </c>
      <c r="J465" t="s">
        <v>235</v>
      </c>
      <c r="K465" s="380">
        <v>36923</v>
      </c>
      <c r="L465" s="235">
        <v>-477065.63290775719</v>
      </c>
      <c r="M465" s="380">
        <v>36921</v>
      </c>
      <c r="N465" t="s">
        <v>1</v>
      </c>
      <c r="O465">
        <v>1.7</v>
      </c>
      <c r="P465">
        <v>0</v>
      </c>
      <c r="Q465">
        <v>0</v>
      </c>
      <c r="R465">
        <v>0</v>
      </c>
      <c r="S465">
        <v>0</v>
      </c>
      <c r="T465" t="s">
        <v>253</v>
      </c>
      <c r="U465" t="s">
        <v>7</v>
      </c>
      <c r="V465" t="s">
        <v>253</v>
      </c>
      <c r="W465" t="s">
        <v>132</v>
      </c>
      <c r="X465" t="s">
        <v>253</v>
      </c>
      <c r="Y465" t="s">
        <v>235</v>
      </c>
      <c r="Z465" t="s">
        <v>236</v>
      </c>
      <c r="AA465" t="s">
        <v>253</v>
      </c>
      <c r="AB465" t="s">
        <v>121</v>
      </c>
      <c r="AC465" s="235">
        <v>-1000000</v>
      </c>
      <c r="AD465" s="235">
        <v>-84947.491666822694</v>
      </c>
      <c r="AE465">
        <v>0</v>
      </c>
      <c r="AF465">
        <v>0</v>
      </c>
      <c r="AG465">
        <v>0</v>
      </c>
      <c r="AH465" s="235">
        <v>20548.85943637701</v>
      </c>
      <c r="AI465">
        <v>226</v>
      </c>
      <c r="AJ465" t="s">
        <v>256</v>
      </c>
      <c r="AK465">
        <v>0</v>
      </c>
      <c r="AL465">
        <v>0</v>
      </c>
      <c r="AM465">
        <v>0</v>
      </c>
    </row>
    <row r="466" spans="1:39" x14ac:dyDescent="0.25">
      <c r="A466" t="s">
        <v>601</v>
      </c>
      <c r="B466" t="s">
        <v>505</v>
      </c>
      <c r="C466" t="s">
        <v>255</v>
      </c>
      <c r="D466" t="s">
        <v>234</v>
      </c>
      <c r="E466" t="s">
        <v>20</v>
      </c>
      <c r="F466" t="s">
        <v>279</v>
      </c>
      <c r="G466" t="s">
        <v>269</v>
      </c>
      <c r="H466" t="s">
        <v>254</v>
      </c>
      <c r="I466" t="s">
        <v>242</v>
      </c>
      <c r="J466" t="s">
        <v>235</v>
      </c>
      <c r="K466" s="380">
        <v>36892</v>
      </c>
      <c r="L466" s="235">
        <v>-414677.50155694818</v>
      </c>
      <c r="M466" s="380">
        <v>36888</v>
      </c>
      <c r="N466" t="s">
        <v>1</v>
      </c>
      <c r="O466">
        <v>1.7</v>
      </c>
      <c r="P466">
        <v>0</v>
      </c>
      <c r="Q466">
        <v>0</v>
      </c>
      <c r="R466">
        <v>0</v>
      </c>
      <c r="S466">
        <v>0</v>
      </c>
      <c r="T466" t="s">
        <v>253</v>
      </c>
      <c r="U466" t="s">
        <v>7</v>
      </c>
      <c r="V466" t="s">
        <v>253</v>
      </c>
      <c r="W466" t="s">
        <v>132</v>
      </c>
      <c r="X466" t="s">
        <v>253</v>
      </c>
      <c r="Y466" t="s">
        <v>235</v>
      </c>
      <c r="Z466" t="s">
        <v>236</v>
      </c>
      <c r="AA466" t="s">
        <v>253</v>
      </c>
      <c r="AB466" t="s">
        <v>121</v>
      </c>
      <c r="AC466" s="235">
        <v>-1000000</v>
      </c>
      <c r="AD466" s="235">
        <v>-76646.411582765635</v>
      </c>
      <c r="AE466">
        <v>0</v>
      </c>
      <c r="AF466">
        <v>0</v>
      </c>
      <c r="AG466">
        <v>0</v>
      </c>
      <c r="AH466" s="235">
        <v>16429.548247581173</v>
      </c>
      <c r="AI466">
        <v>226</v>
      </c>
      <c r="AJ466" t="s">
        <v>256</v>
      </c>
      <c r="AK466">
        <v>0</v>
      </c>
      <c r="AL466">
        <v>0</v>
      </c>
      <c r="AM466">
        <v>0</v>
      </c>
    </row>
    <row r="467" spans="1:39" x14ac:dyDescent="0.25">
      <c r="A467" t="s">
        <v>601</v>
      </c>
      <c r="B467" t="s">
        <v>505</v>
      </c>
      <c r="C467" t="s">
        <v>255</v>
      </c>
      <c r="D467" t="s">
        <v>234</v>
      </c>
      <c r="E467" t="s">
        <v>20</v>
      </c>
      <c r="F467" t="s">
        <v>279</v>
      </c>
      <c r="G467" t="s">
        <v>269</v>
      </c>
      <c r="H467" t="s">
        <v>254</v>
      </c>
      <c r="I467" t="s">
        <v>242</v>
      </c>
      <c r="J467" t="s">
        <v>235</v>
      </c>
      <c r="K467" s="380">
        <v>36861</v>
      </c>
      <c r="L467" s="235">
        <v>-546967.0627743823</v>
      </c>
      <c r="M467" s="380">
        <v>36859</v>
      </c>
      <c r="N467" t="s">
        <v>1</v>
      </c>
      <c r="O467">
        <v>1.7</v>
      </c>
      <c r="P467">
        <v>0</v>
      </c>
      <c r="Q467">
        <v>0</v>
      </c>
      <c r="R467">
        <v>0</v>
      </c>
      <c r="S467">
        <v>0</v>
      </c>
      <c r="T467" t="s">
        <v>253</v>
      </c>
      <c r="U467" t="s">
        <v>7</v>
      </c>
      <c r="V467" t="s">
        <v>253</v>
      </c>
      <c r="W467" t="s">
        <v>132</v>
      </c>
      <c r="X467" t="s">
        <v>253</v>
      </c>
      <c r="Y467" t="s">
        <v>235</v>
      </c>
      <c r="Z467" t="s">
        <v>236</v>
      </c>
      <c r="AA467" t="s">
        <v>253</v>
      </c>
      <c r="AB467" t="s">
        <v>121</v>
      </c>
      <c r="AC467" s="235">
        <v>-1000000</v>
      </c>
      <c r="AD467" s="235">
        <v>-70475.584619658999</v>
      </c>
      <c r="AE467">
        <v>0</v>
      </c>
      <c r="AF467">
        <v>0</v>
      </c>
      <c r="AG467">
        <v>0</v>
      </c>
      <c r="AH467" s="235">
        <v>17684.597216655733</v>
      </c>
      <c r="AI467">
        <v>226</v>
      </c>
      <c r="AJ467" t="s">
        <v>256</v>
      </c>
      <c r="AK467">
        <v>0</v>
      </c>
      <c r="AL467">
        <v>0</v>
      </c>
      <c r="AM467">
        <v>0</v>
      </c>
    </row>
    <row r="468" spans="1:39" x14ac:dyDescent="0.25">
      <c r="A468" t="s">
        <v>601</v>
      </c>
      <c r="B468" t="s">
        <v>505</v>
      </c>
      <c r="C468" t="s">
        <v>255</v>
      </c>
      <c r="D468" t="s">
        <v>234</v>
      </c>
      <c r="E468" t="s">
        <v>20</v>
      </c>
      <c r="F468" t="s">
        <v>279</v>
      </c>
      <c r="G468" t="s">
        <v>269</v>
      </c>
      <c r="H468" t="s">
        <v>254</v>
      </c>
      <c r="I468" t="s">
        <v>242</v>
      </c>
      <c r="J468" t="s">
        <v>235</v>
      </c>
      <c r="K468" s="380">
        <v>36831</v>
      </c>
      <c r="L468" s="235">
        <v>-958944.57534930424</v>
      </c>
      <c r="M468" s="380">
        <v>36829</v>
      </c>
      <c r="N468" t="s">
        <v>1</v>
      </c>
      <c r="O468">
        <v>1.7</v>
      </c>
      <c r="P468">
        <v>0</v>
      </c>
      <c r="Q468">
        <v>0</v>
      </c>
      <c r="R468">
        <v>0</v>
      </c>
      <c r="S468">
        <v>0</v>
      </c>
      <c r="T468" t="s">
        <v>253</v>
      </c>
      <c r="U468" t="s">
        <v>7</v>
      </c>
      <c r="V468" t="s">
        <v>253</v>
      </c>
      <c r="W468" t="s">
        <v>132</v>
      </c>
      <c r="X468" t="s">
        <v>253</v>
      </c>
      <c r="Y468" t="s">
        <v>235</v>
      </c>
      <c r="Z468" t="s">
        <v>236</v>
      </c>
      <c r="AA468" t="s">
        <v>253</v>
      </c>
      <c r="AB468" t="s">
        <v>121</v>
      </c>
      <c r="AC468" s="235">
        <v>-1000000</v>
      </c>
      <c r="AD468" s="235">
        <v>-20019.492537577287</v>
      </c>
      <c r="AE468">
        <v>0</v>
      </c>
      <c r="AF468">
        <v>0</v>
      </c>
      <c r="AG468">
        <v>0</v>
      </c>
      <c r="AH468" s="235">
        <v>33666.737804553588</v>
      </c>
      <c r="AI468">
        <v>226</v>
      </c>
      <c r="AJ468" t="s">
        <v>256</v>
      </c>
      <c r="AK468">
        <v>0</v>
      </c>
      <c r="AL468">
        <v>0</v>
      </c>
      <c r="AM468">
        <v>0</v>
      </c>
    </row>
    <row r="469" spans="1:39" x14ac:dyDescent="0.25">
      <c r="A469" t="s">
        <v>601</v>
      </c>
      <c r="B469" t="s">
        <v>506</v>
      </c>
      <c r="C469" t="s">
        <v>255</v>
      </c>
      <c r="D469" t="s">
        <v>234</v>
      </c>
      <c r="E469" t="s">
        <v>20</v>
      </c>
      <c r="F469" t="s">
        <v>480</v>
      </c>
      <c r="G469" t="s">
        <v>269</v>
      </c>
      <c r="H469" t="s">
        <v>254</v>
      </c>
      <c r="I469" t="s">
        <v>242</v>
      </c>
      <c r="J469" t="s">
        <v>235</v>
      </c>
      <c r="K469" s="380">
        <v>36951</v>
      </c>
      <c r="L469" s="235">
        <v>-6333.0737802828908</v>
      </c>
      <c r="M469" s="380">
        <v>36949</v>
      </c>
      <c r="N469" t="s">
        <v>21</v>
      </c>
      <c r="O469">
        <v>0.15</v>
      </c>
      <c r="P469">
        <v>0</v>
      </c>
      <c r="Q469">
        <v>0</v>
      </c>
      <c r="R469">
        <v>0</v>
      </c>
      <c r="S469">
        <v>0</v>
      </c>
      <c r="T469" t="s">
        <v>253</v>
      </c>
      <c r="U469" t="s">
        <v>600</v>
      </c>
      <c r="V469" t="s">
        <v>253</v>
      </c>
      <c r="W469" t="s">
        <v>132</v>
      </c>
      <c r="X469" t="s">
        <v>253</v>
      </c>
      <c r="Y469" t="s">
        <v>235</v>
      </c>
      <c r="Z469" t="s">
        <v>236</v>
      </c>
      <c r="AA469" t="s">
        <v>253</v>
      </c>
      <c r="AB469" t="s">
        <v>121</v>
      </c>
      <c r="AC469" s="235">
        <v>-155000</v>
      </c>
      <c r="AD469" s="235">
        <v>-1573.5896138254684</v>
      </c>
      <c r="AE469">
        <v>0</v>
      </c>
      <c r="AF469">
        <v>0</v>
      </c>
      <c r="AG469">
        <v>0</v>
      </c>
      <c r="AH469" s="235">
        <v>-80.025168464565468</v>
      </c>
      <c r="AI469">
        <v>226</v>
      </c>
      <c r="AJ469" t="s">
        <v>256</v>
      </c>
      <c r="AK469">
        <v>0</v>
      </c>
      <c r="AL469">
        <v>0</v>
      </c>
      <c r="AM469">
        <v>0</v>
      </c>
    </row>
    <row r="470" spans="1:39" x14ac:dyDescent="0.25">
      <c r="A470" t="s">
        <v>601</v>
      </c>
      <c r="B470" t="s">
        <v>506</v>
      </c>
      <c r="C470" t="s">
        <v>255</v>
      </c>
      <c r="D470" t="s">
        <v>234</v>
      </c>
      <c r="E470" t="s">
        <v>20</v>
      </c>
      <c r="F470" t="s">
        <v>480</v>
      </c>
      <c r="G470" t="s">
        <v>269</v>
      </c>
      <c r="H470" t="s">
        <v>254</v>
      </c>
      <c r="I470" t="s">
        <v>242</v>
      </c>
      <c r="J470" t="s">
        <v>235</v>
      </c>
      <c r="K470" s="380">
        <v>36923</v>
      </c>
      <c r="L470" s="235">
        <v>-7249.0512804040436</v>
      </c>
      <c r="M470" s="380">
        <v>36921</v>
      </c>
      <c r="N470" t="s">
        <v>21</v>
      </c>
      <c r="O470">
        <v>0.15</v>
      </c>
      <c r="P470">
        <v>0</v>
      </c>
      <c r="Q470">
        <v>0</v>
      </c>
      <c r="R470">
        <v>0</v>
      </c>
      <c r="S470">
        <v>0</v>
      </c>
      <c r="T470" t="s">
        <v>253</v>
      </c>
      <c r="U470" t="s">
        <v>600</v>
      </c>
      <c r="V470" t="s">
        <v>253</v>
      </c>
      <c r="W470" t="s">
        <v>132</v>
      </c>
      <c r="X470" t="s">
        <v>253</v>
      </c>
      <c r="Y470" t="s">
        <v>235</v>
      </c>
      <c r="Z470" t="s">
        <v>236</v>
      </c>
      <c r="AA470" t="s">
        <v>253</v>
      </c>
      <c r="AB470" t="s">
        <v>121</v>
      </c>
      <c r="AC470" s="235">
        <v>-140000</v>
      </c>
      <c r="AD470" s="235">
        <v>-1494.3356124464408</v>
      </c>
      <c r="AE470">
        <v>0</v>
      </c>
      <c r="AF470">
        <v>0</v>
      </c>
      <c r="AG470">
        <v>0</v>
      </c>
      <c r="AH470" s="235">
        <v>-71.719198747144219</v>
      </c>
      <c r="AI470">
        <v>226</v>
      </c>
      <c r="AJ470" t="s">
        <v>256</v>
      </c>
      <c r="AK470">
        <v>0</v>
      </c>
      <c r="AL470">
        <v>0</v>
      </c>
      <c r="AM470">
        <v>0</v>
      </c>
    </row>
    <row r="471" spans="1:39" x14ac:dyDescent="0.25">
      <c r="A471" t="s">
        <v>601</v>
      </c>
      <c r="B471" t="s">
        <v>506</v>
      </c>
      <c r="C471" t="s">
        <v>255</v>
      </c>
      <c r="D471" t="s">
        <v>234</v>
      </c>
      <c r="E471" t="s">
        <v>20</v>
      </c>
      <c r="F471" t="s">
        <v>480</v>
      </c>
      <c r="G471" t="s">
        <v>269</v>
      </c>
      <c r="H471" t="s">
        <v>254</v>
      </c>
      <c r="I471" t="s">
        <v>242</v>
      </c>
      <c r="J471" t="s">
        <v>235</v>
      </c>
      <c r="K471" s="380">
        <v>36892</v>
      </c>
      <c r="L471" s="235">
        <v>-6897.971815951083</v>
      </c>
      <c r="M471" s="380">
        <v>36888</v>
      </c>
      <c r="N471" t="s">
        <v>21</v>
      </c>
      <c r="O471">
        <v>0.15</v>
      </c>
      <c r="P471">
        <v>0</v>
      </c>
      <c r="Q471">
        <v>0</v>
      </c>
      <c r="R471">
        <v>0</v>
      </c>
      <c r="S471">
        <v>0</v>
      </c>
      <c r="T471" t="s">
        <v>253</v>
      </c>
      <c r="U471" t="s">
        <v>600</v>
      </c>
      <c r="V471" t="s">
        <v>253</v>
      </c>
      <c r="W471" t="s">
        <v>132</v>
      </c>
      <c r="X471" t="s">
        <v>253</v>
      </c>
      <c r="Y471" t="s">
        <v>235</v>
      </c>
      <c r="Z471" t="s">
        <v>236</v>
      </c>
      <c r="AA471" t="s">
        <v>253</v>
      </c>
      <c r="AB471" t="s">
        <v>121</v>
      </c>
      <c r="AC471" s="235">
        <v>-155000</v>
      </c>
      <c r="AD471" s="235">
        <v>-1505.7268318002316</v>
      </c>
      <c r="AE471">
        <v>0</v>
      </c>
      <c r="AF471">
        <v>0</v>
      </c>
      <c r="AG471">
        <v>0</v>
      </c>
      <c r="AH471" s="235">
        <v>-72.470487094463351</v>
      </c>
      <c r="AI471">
        <v>226</v>
      </c>
      <c r="AJ471" t="s">
        <v>256</v>
      </c>
      <c r="AK471">
        <v>0</v>
      </c>
      <c r="AL471">
        <v>0</v>
      </c>
      <c r="AM471">
        <v>0</v>
      </c>
    </row>
    <row r="472" spans="1:39" x14ac:dyDescent="0.25">
      <c r="A472" t="s">
        <v>601</v>
      </c>
      <c r="B472" t="s">
        <v>506</v>
      </c>
      <c r="C472" t="s">
        <v>255</v>
      </c>
      <c r="D472" t="s">
        <v>234</v>
      </c>
      <c r="E472" t="s">
        <v>20</v>
      </c>
      <c r="F472" t="s">
        <v>480</v>
      </c>
      <c r="G472" t="s">
        <v>269</v>
      </c>
      <c r="H472" t="s">
        <v>254</v>
      </c>
      <c r="I472" t="s">
        <v>242</v>
      </c>
      <c r="J472" t="s">
        <v>235</v>
      </c>
      <c r="K472" s="380">
        <v>36861</v>
      </c>
      <c r="L472" s="235">
        <v>-4237.9759780882996</v>
      </c>
      <c r="M472" s="380">
        <v>36859</v>
      </c>
      <c r="N472" t="s">
        <v>21</v>
      </c>
      <c r="O472">
        <v>0.15</v>
      </c>
      <c r="P472">
        <v>0</v>
      </c>
      <c r="Q472">
        <v>0</v>
      </c>
      <c r="R472">
        <v>0</v>
      </c>
      <c r="S472">
        <v>0</v>
      </c>
      <c r="T472" t="s">
        <v>253</v>
      </c>
      <c r="U472" t="s">
        <v>600</v>
      </c>
      <c r="V472" t="s">
        <v>253</v>
      </c>
      <c r="W472" t="s">
        <v>132</v>
      </c>
      <c r="X472" t="s">
        <v>253</v>
      </c>
      <c r="Y472" t="s">
        <v>235</v>
      </c>
      <c r="Z472" t="s">
        <v>236</v>
      </c>
      <c r="AA472" t="s">
        <v>253</v>
      </c>
      <c r="AB472" t="s">
        <v>121</v>
      </c>
      <c r="AC472" s="235">
        <v>-155000</v>
      </c>
      <c r="AD472" s="235">
        <v>-1228.2878879359778</v>
      </c>
      <c r="AE472">
        <v>0</v>
      </c>
      <c r="AF472">
        <v>0</v>
      </c>
      <c r="AG472">
        <v>0</v>
      </c>
      <c r="AH472" s="235">
        <v>-61.840770430051634</v>
      </c>
      <c r="AI472">
        <v>226</v>
      </c>
      <c r="AJ472" t="s">
        <v>256</v>
      </c>
      <c r="AK472">
        <v>0</v>
      </c>
      <c r="AL472">
        <v>0</v>
      </c>
      <c r="AM472">
        <v>0</v>
      </c>
    </row>
    <row r="473" spans="1:39" x14ac:dyDescent="0.25">
      <c r="A473" t="s">
        <v>601</v>
      </c>
      <c r="B473" t="s">
        <v>506</v>
      </c>
      <c r="C473" t="s">
        <v>255</v>
      </c>
      <c r="D473" t="s">
        <v>234</v>
      </c>
      <c r="E473" t="s">
        <v>20</v>
      </c>
      <c r="F473" t="s">
        <v>480</v>
      </c>
      <c r="G473" t="s">
        <v>269</v>
      </c>
      <c r="H473" t="s">
        <v>254</v>
      </c>
      <c r="I473" t="s">
        <v>242</v>
      </c>
      <c r="J473" t="s">
        <v>235</v>
      </c>
      <c r="K473" s="380">
        <v>36831</v>
      </c>
      <c r="L473" s="235">
        <v>-2325.0787793726668</v>
      </c>
      <c r="M473" s="380">
        <v>36829</v>
      </c>
      <c r="N473" t="s">
        <v>21</v>
      </c>
      <c r="O473">
        <v>0.15</v>
      </c>
      <c r="P473">
        <v>0</v>
      </c>
      <c r="Q473">
        <v>0</v>
      </c>
      <c r="R473">
        <v>0</v>
      </c>
      <c r="S473">
        <v>0</v>
      </c>
      <c r="T473" t="s">
        <v>253</v>
      </c>
      <c r="U473" t="s">
        <v>600</v>
      </c>
      <c r="V473" t="s">
        <v>253</v>
      </c>
      <c r="W473" t="s">
        <v>132</v>
      </c>
      <c r="X473" t="s">
        <v>253</v>
      </c>
      <c r="Y473" t="s">
        <v>235</v>
      </c>
      <c r="Z473" t="s">
        <v>236</v>
      </c>
      <c r="AA473" t="s">
        <v>253</v>
      </c>
      <c r="AB473" t="s">
        <v>121</v>
      </c>
      <c r="AC473" s="235">
        <v>-150000</v>
      </c>
      <c r="AD473" s="235">
        <v>-867.49113473248872</v>
      </c>
      <c r="AE473">
        <v>0</v>
      </c>
      <c r="AF473">
        <v>0</v>
      </c>
      <c r="AG473">
        <v>0</v>
      </c>
      <c r="AH473" s="235">
        <v>-46.798107837798852</v>
      </c>
      <c r="AI473">
        <v>226</v>
      </c>
      <c r="AJ473" t="s">
        <v>256</v>
      </c>
      <c r="AK473">
        <v>0</v>
      </c>
      <c r="AL473">
        <v>0</v>
      </c>
      <c r="AM473">
        <v>0</v>
      </c>
    </row>
    <row r="474" spans="1:39" x14ac:dyDescent="0.25">
      <c r="A474" t="s">
        <v>601</v>
      </c>
      <c r="B474" t="s">
        <v>507</v>
      </c>
      <c r="C474" t="s">
        <v>255</v>
      </c>
      <c r="D474" t="s">
        <v>234</v>
      </c>
      <c r="E474" t="s">
        <v>20</v>
      </c>
      <c r="F474" t="s">
        <v>279</v>
      </c>
      <c r="G474" t="s">
        <v>269</v>
      </c>
      <c r="H474" t="s">
        <v>254</v>
      </c>
      <c r="I474" t="s">
        <v>242</v>
      </c>
      <c r="J474" t="s">
        <v>235</v>
      </c>
      <c r="K474" s="380">
        <v>36951</v>
      </c>
      <c r="L474" s="235">
        <v>515721.10794585233</v>
      </c>
      <c r="M474" s="380">
        <v>36949</v>
      </c>
      <c r="N474" t="s">
        <v>21</v>
      </c>
      <c r="O474">
        <v>0.3</v>
      </c>
      <c r="P474">
        <v>0</v>
      </c>
      <c r="Q474">
        <v>0</v>
      </c>
      <c r="R474">
        <v>0</v>
      </c>
      <c r="S474">
        <v>0</v>
      </c>
      <c r="T474" t="s">
        <v>253</v>
      </c>
      <c r="U474" t="s">
        <v>190</v>
      </c>
      <c r="V474" t="s">
        <v>253</v>
      </c>
      <c r="W474" t="s">
        <v>132</v>
      </c>
      <c r="X474" t="s">
        <v>253</v>
      </c>
      <c r="Y474" t="s">
        <v>235</v>
      </c>
      <c r="Z474" t="s">
        <v>236</v>
      </c>
      <c r="AA474" t="s">
        <v>253</v>
      </c>
      <c r="AB474" t="s">
        <v>121</v>
      </c>
      <c r="AC474" s="235">
        <v>1000000</v>
      </c>
      <c r="AD474" s="235">
        <v>73876.796543772449</v>
      </c>
      <c r="AE474">
        <v>0</v>
      </c>
      <c r="AF474">
        <v>0</v>
      </c>
      <c r="AG474">
        <v>0</v>
      </c>
      <c r="AH474" s="235">
        <v>-32141.357324876473</v>
      </c>
      <c r="AI474">
        <v>226</v>
      </c>
      <c r="AJ474" t="s">
        <v>256</v>
      </c>
      <c r="AK474">
        <v>0</v>
      </c>
      <c r="AL474">
        <v>0</v>
      </c>
      <c r="AM474">
        <v>0</v>
      </c>
    </row>
    <row r="475" spans="1:39" x14ac:dyDescent="0.25">
      <c r="A475" t="s">
        <v>601</v>
      </c>
      <c r="B475" t="s">
        <v>507</v>
      </c>
      <c r="C475" t="s">
        <v>255</v>
      </c>
      <c r="D475" t="s">
        <v>234</v>
      </c>
      <c r="E475" t="s">
        <v>20</v>
      </c>
      <c r="F475" t="s">
        <v>279</v>
      </c>
      <c r="G475" t="s">
        <v>269</v>
      </c>
      <c r="H475" t="s">
        <v>254</v>
      </c>
      <c r="I475" t="s">
        <v>242</v>
      </c>
      <c r="J475" t="s">
        <v>235</v>
      </c>
      <c r="K475" s="380">
        <v>36923</v>
      </c>
      <c r="L475" s="235">
        <v>559723.10335023084</v>
      </c>
      <c r="M475" s="380">
        <v>36921</v>
      </c>
      <c r="N475" t="s">
        <v>21</v>
      </c>
      <c r="O475">
        <v>0.3</v>
      </c>
      <c r="P475">
        <v>0</v>
      </c>
      <c r="Q475">
        <v>0</v>
      </c>
      <c r="R475">
        <v>0</v>
      </c>
      <c r="S475">
        <v>0</v>
      </c>
      <c r="T475" t="s">
        <v>253</v>
      </c>
      <c r="U475" t="s">
        <v>190</v>
      </c>
      <c r="V475" t="s">
        <v>253</v>
      </c>
      <c r="W475" t="s">
        <v>132</v>
      </c>
      <c r="X475" t="s">
        <v>253</v>
      </c>
      <c r="Y475" t="s">
        <v>235</v>
      </c>
      <c r="Z475" t="s">
        <v>236</v>
      </c>
      <c r="AA475" t="s">
        <v>253</v>
      </c>
      <c r="AB475" t="s">
        <v>121</v>
      </c>
      <c r="AC475" s="235">
        <v>1000000</v>
      </c>
      <c r="AD475" s="235">
        <v>76239.023155613104</v>
      </c>
      <c r="AE475">
        <v>0</v>
      </c>
      <c r="AF475">
        <v>0</v>
      </c>
      <c r="AG475">
        <v>0</v>
      </c>
      <c r="AH475" s="235">
        <v>-32306.471100873896</v>
      </c>
      <c r="AI475">
        <v>226</v>
      </c>
      <c r="AJ475" t="s">
        <v>256</v>
      </c>
      <c r="AK475">
        <v>0</v>
      </c>
      <c r="AL475">
        <v>0</v>
      </c>
      <c r="AM475">
        <v>0</v>
      </c>
    </row>
    <row r="476" spans="1:39" x14ac:dyDescent="0.25">
      <c r="A476" t="s">
        <v>601</v>
      </c>
      <c r="B476" t="s">
        <v>507</v>
      </c>
      <c r="C476" t="s">
        <v>255</v>
      </c>
      <c r="D476" t="s">
        <v>234</v>
      </c>
      <c r="E476" t="s">
        <v>20</v>
      </c>
      <c r="F476" t="s">
        <v>279</v>
      </c>
      <c r="G476" t="s">
        <v>269</v>
      </c>
      <c r="H476" t="s">
        <v>254</v>
      </c>
      <c r="I476" t="s">
        <v>242</v>
      </c>
      <c r="J476" t="s">
        <v>235</v>
      </c>
      <c r="K476" s="380">
        <v>36892</v>
      </c>
      <c r="L476" s="235">
        <v>648345.9042887683</v>
      </c>
      <c r="M476" s="380">
        <v>36888</v>
      </c>
      <c r="N476" t="s">
        <v>21</v>
      </c>
      <c r="O476">
        <v>0.3</v>
      </c>
      <c r="P476">
        <v>0</v>
      </c>
      <c r="Q476">
        <v>0</v>
      </c>
      <c r="R476">
        <v>0</v>
      </c>
      <c r="S476">
        <v>0</v>
      </c>
      <c r="T476" t="s">
        <v>253</v>
      </c>
      <c r="U476" t="s">
        <v>190</v>
      </c>
      <c r="V476" t="s">
        <v>253</v>
      </c>
      <c r="W476" t="s">
        <v>132</v>
      </c>
      <c r="X476" t="s">
        <v>253</v>
      </c>
      <c r="Y476" t="s">
        <v>235</v>
      </c>
      <c r="Z476" t="s">
        <v>236</v>
      </c>
      <c r="AA476" t="s">
        <v>253</v>
      </c>
      <c r="AB476" t="s">
        <v>121</v>
      </c>
      <c r="AC476" s="235">
        <v>1000000</v>
      </c>
      <c r="AD476" s="235">
        <v>65141.070935926167</v>
      </c>
      <c r="AE476">
        <v>0</v>
      </c>
      <c r="AF476">
        <v>0</v>
      </c>
      <c r="AG476">
        <v>0</v>
      </c>
      <c r="AH476" s="235">
        <v>-35968.992676337017</v>
      </c>
      <c r="AI476">
        <v>226</v>
      </c>
      <c r="AJ476" t="s">
        <v>256</v>
      </c>
      <c r="AK476">
        <v>0</v>
      </c>
      <c r="AL476">
        <v>0</v>
      </c>
      <c r="AM476">
        <v>0</v>
      </c>
    </row>
    <row r="477" spans="1:39" x14ac:dyDescent="0.25">
      <c r="A477" t="s">
        <v>601</v>
      </c>
      <c r="B477" t="s">
        <v>507</v>
      </c>
      <c r="C477" t="s">
        <v>255</v>
      </c>
      <c r="D477" t="s">
        <v>234</v>
      </c>
      <c r="E477" t="s">
        <v>20</v>
      </c>
      <c r="F477" t="s">
        <v>279</v>
      </c>
      <c r="G477" t="s">
        <v>269</v>
      </c>
      <c r="H477" t="s">
        <v>254</v>
      </c>
      <c r="I477" t="s">
        <v>242</v>
      </c>
      <c r="J477" t="s">
        <v>235</v>
      </c>
      <c r="K477" s="380">
        <v>36861</v>
      </c>
      <c r="L477" s="235">
        <v>792021.25840164442</v>
      </c>
      <c r="M477" s="380">
        <v>36859</v>
      </c>
      <c r="N477" t="s">
        <v>21</v>
      </c>
      <c r="O477">
        <v>0.3</v>
      </c>
      <c r="P477">
        <v>0</v>
      </c>
      <c r="Q477">
        <v>0</v>
      </c>
      <c r="R477">
        <v>0</v>
      </c>
      <c r="S477">
        <v>0</v>
      </c>
      <c r="T477" t="s">
        <v>253</v>
      </c>
      <c r="U477" t="s">
        <v>190</v>
      </c>
      <c r="V477" t="s">
        <v>253</v>
      </c>
      <c r="W477" t="s">
        <v>132</v>
      </c>
      <c r="X477" t="s">
        <v>253</v>
      </c>
      <c r="Y477" t="s">
        <v>235</v>
      </c>
      <c r="Z477" t="s">
        <v>236</v>
      </c>
      <c r="AA477" t="s">
        <v>253</v>
      </c>
      <c r="AB477" t="s">
        <v>121</v>
      </c>
      <c r="AC477" s="235">
        <v>1000000</v>
      </c>
      <c r="AD477" s="235">
        <v>45779.465751448297</v>
      </c>
      <c r="AE477">
        <v>0</v>
      </c>
      <c r="AF477">
        <v>0</v>
      </c>
      <c r="AG477">
        <v>0</v>
      </c>
      <c r="AH477" s="235">
        <v>115274.51830893499</v>
      </c>
      <c r="AI477">
        <v>226</v>
      </c>
      <c r="AJ477" t="s">
        <v>256</v>
      </c>
      <c r="AK477">
        <v>0</v>
      </c>
      <c r="AL477">
        <v>0</v>
      </c>
      <c r="AM477">
        <v>0</v>
      </c>
    </row>
    <row r="478" spans="1:39" x14ac:dyDescent="0.25">
      <c r="A478" t="s">
        <v>601</v>
      </c>
      <c r="B478" t="s">
        <v>507</v>
      </c>
      <c r="C478" t="s">
        <v>255</v>
      </c>
      <c r="D478" t="s">
        <v>234</v>
      </c>
      <c r="E478" t="s">
        <v>20</v>
      </c>
      <c r="F478" t="s">
        <v>279</v>
      </c>
      <c r="G478" t="s">
        <v>269</v>
      </c>
      <c r="H478" t="s">
        <v>254</v>
      </c>
      <c r="I478" t="s">
        <v>242</v>
      </c>
      <c r="J478" t="s">
        <v>235</v>
      </c>
      <c r="K478" s="380">
        <v>36831</v>
      </c>
      <c r="L478" s="235">
        <v>1243475.2381691644</v>
      </c>
      <c r="M478" s="380">
        <v>36829</v>
      </c>
      <c r="N478" t="s">
        <v>21</v>
      </c>
      <c r="O478">
        <v>0.3</v>
      </c>
      <c r="P478">
        <v>0</v>
      </c>
      <c r="Q478">
        <v>0</v>
      </c>
      <c r="R478">
        <v>0</v>
      </c>
      <c r="S478">
        <v>0</v>
      </c>
      <c r="T478" t="s">
        <v>253</v>
      </c>
      <c r="U478" t="s">
        <v>190</v>
      </c>
      <c r="V478" t="s">
        <v>253</v>
      </c>
      <c r="W478" t="s">
        <v>132</v>
      </c>
      <c r="X478" t="s">
        <v>253</v>
      </c>
      <c r="Y478" t="s">
        <v>235</v>
      </c>
      <c r="Z478" t="s">
        <v>236</v>
      </c>
      <c r="AA478" t="s">
        <v>253</v>
      </c>
      <c r="AB478" t="s">
        <v>121</v>
      </c>
      <c r="AC478" s="235">
        <v>1000000</v>
      </c>
      <c r="AD478" s="235">
        <v>12291.895847539185</v>
      </c>
      <c r="AE478">
        <v>0</v>
      </c>
      <c r="AF478">
        <v>0</v>
      </c>
      <c r="AG478">
        <v>0</v>
      </c>
      <c r="AH478" s="235">
        <v>197381.69265320513</v>
      </c>
      <c r="AI478">
        <v>226</v>
      </c>
      <c r="AJ478" t="s">
        <v>256</v>
      </c>
      <c r="AK478">
        <v>0</v>
      </c>
      <c r="AL478">
        <v>0</v>
      </c>
      <c r="AM478">
        <v>0</v>
      </c>
    </row>
    <row r="479" spans="1:39" x14ac:dyDescent="0.25">
      <c r="A479" t="s">
        <v>601</v>
      </c>
      <c r="B479" t="s">
        <v>508</v>
      </c>
      <c r="C479" t="s">
        <v>255</v>
      </c>
      <c r="D479" t="s">
        <v>234</v>
      </c>
      <c r="E479" t="s">
        <v>20</v>
      </c>
      <c r="F479" t="s">
        <v>509</v>
      </c>
      <c r="G479" t="s">
        <v>269</v>
      </c>
      <c r="H479" t="s">
        <v>254</v>
      </c>
      <c r="I479" t="s">
        <v>242</v>
      </c>
      <c r="J479" t="s">
        <v>235</v>
      </c>
      <c r="K479" s="380">
        <v>36951</v>
      </c>
      <c r="L479" s="235">
        <v>257860.55397292617</v>
      </c>
      <c r="M479" s="380">
        <v>36949</v>
      </c>
      <c r="N479" t="s">
        <v>21</v>
      </c>
      <c r="O479">
        <v>0.3</v>
      </c>
      <c r="P479">
        <v>0</v>
      </c>
      <c r="Q479">
        <v>0</v>
      </c>
      <c r="R479">
        <v>0</v>
      </c>
      <c r="S479">
        <v>0</v>
      </c>
      <c r="T479" t="s">
        <v>253</v>
      </c>
      <c r="U479" t="s">
        <v>190</v>
      </c>
      <c r="V479" t="s">
        <v>253</v>
      </c>
      <c r="W479" t="s">
        <v>132</v>
      </c>
      <c r="X479" t="s">
        <v>253</v>
      </c>
      <c r="Y479" t="s">
        <v>235</v>
      </c>
      <c r="Z479" t="s">
        <v>236</v>
      </c>
      <c r="AA479" t="s">
        <v>253</v>
      </c>
      <c r="AB479" t="s">
        <v>121</v>
      </c>
      <c r="AC479" s="235">
        <v>500000</v>
      </c>
      <c r="AD479" s="235">
        <v>36938.398271886224</v>
      </c>
      <c r="AE479">
        <v>0</v>
      </c>
      <c r="AF479">
        <v>0</v>
      </c>
      <c r="AG479">
        <v>0</v>
      </c>
      <c r="AH479" s="235">
        <v>-16070.678662438237</v>
      </c>
      <c r="AI479">
        <v>226</v>
      </c>
      <c r="AJ479" t="s">
        <v>256</v>
      </c>
      <c r="AK479">
        <v>0</v>
      </c>
      <c r="AL479">
        <v>0</v>
      </c>
      <c r="AM479">
        <v>0</v>
      </c>
    </row>
    <row r="480" spans="1:39" x14ac:dyDescent="0.25">
      <c r="A480" t="s">
        <v>601</v>
      </c>
      <c r="B480" t="s">
        <v>508</v>
      </c>
      <c r="C480" t="s">
        <v>255</v>
      </c>
      <c r="D480" t="s">
        <v>234</v>
      </c>
      <c r="E480" t="s">
        <v>20</v>
      </c>
      <c r="F480" t="s">
        <v>509</v>
      </c>
      <c r="G480" t="s">
        <v>269</v>
      </c>
      <c r="H480" t="s">
        <v>254</v>
      </c>
      <c r="I480" t="s">
        <v>242</v>
      </c>
      <c r="J480" t="s">
        <v>235</v>
      </c>
      <c r="K480" s="380">
        <v>36923</v>
      </c>
      <c r="L480" s="235">
        <v>279861.55167511542</v>
      </c>
      <c r="M480" s="380">
        <v>36921</v>
      </c>
      <c r="N480" t="s">
        <v>21</v>
      </c>
      <c r="O480">
        <v>0.3</v>
      </c>
      <c r="P480">
        <v>0</v>
      </c>
      <c r="Q480">
        <v>0</v>
      </c>
      <c r="R480">
        <v>0</v>
      </c>
      <c r="S480">
        <v>0</v>
      </c>
      <c r="T480" t="s">
        <v>253</v>
      </c>
      <c r="U480" t="s">
        <v>190</v>
      </c>
      <c r="V480" t="s">
        <v>253</v>
      </c>
      <c r="W480" t="s">
        <v>132</v>
      </c>
      <c r="X480" t="s">
        <v>253</v>
      </c>
      <c r="Y480" t="s">
        <v>235</v>
      </c>
      <c r="Z480" t="s">
        <v>236</v>
      </c>
      <c r="AA480" t="s">
        <v>253</v>
      </c>
      <c r="AB480" t="s">
        <v>121</v>
      </c>
      <c r="AC480" s="235">
        <v>500000</v>
      </c>
      <c r="AD480" s="235">
        <v>38119.511577806552</v>
      </c>
      <c r="AE480">
        <v>0</v>
      </c>
      <c r="AF480">
        <v>0</v>
      </c>
      <c r="AG480">
        <v>0</v>
      </c>
      <c r="AH480" s="235">
        <v>-16153.235550436948</v>
      </c>
      <c r="AI480">
        <v>226</v>
      </c>
      <c r="AJ480" t="s">
        <v>256</v>
      </c>
      <c r="AK480">
        <v>0</v>
      </c>
      <c r="AL480">
        <v>0</v>
      </c>
      <c r="AM480">
        <v>0</v>
      </c>
    </row>
    <row r="481" spans="1:39" x14ac:dyDescent="0.25">
      <c r="A481" t="s">
        <v>601</v>
      </c>
      <c r="B481" t="s">
        <v>508</v>
      </c>
      <c r="C481" t="s">
        <v>255</v>
      </c>
      <c r="D481" t="s">
        <v>234</v>
      </c>
      <c r="E481" t="s">
        <v>20</v>
      </c>
      <c r="F481" t="s">
        <v>509</v>
      </c>
      <c r="G481" t="s">
        <v>269</v>
      </c>
      <c r="H481" t="s">
        <v>254</v>
      </c>
      <c r="I481" t="s">
        <v>242</v>
      </c>
      <c r="J481" t="s">
        <v>235</v>
      </c>
      <c r="K481" s="380">
        <v>36892</v>
      </c>
      <c r="L481" s="235">
        <v>324172.95214438415</v>
      </c>
      <c r="M481" s="380">
        <v>36888</v>
      </c>
      <c r="N481" t="s">
        <v>21</v>
      </c>
      <c r="O481">
        <v>0.3</v>
      </c>
      <c r="P481">
        <v>0</v>
      </c>
      <c r="Q481">
        <v>0</v>
      </c>
      <c r="R481">
        <v>0</v>
      </c>
      <c r="S481">
        <v>0</v>
      </c>
      <c r="T481" t="s">
        <v>253</v>
      </c>
      <c r="U481" t="s">
        <v>190</v>
      </c>
      <c r="V481" t="s">
        <v>253</v>
      </c>
      <c r="W481" t="s">
        <v>132</v>
      </c>
      <c r="X481" t="s">
        <v>253</v>
      </c>
      <c r="Y481" t="s">
        <v>235</v>
      </c>
      <c r="Z481" t="s">
        <v>236</v>
      </c>
      <c r="AA481" t="s">
        <v>253</v>
      </c>
      <c r="AB481" t="s">
        <v>121</v>
      </c>
      <c r="AC481" s="235">
        <v>500000</v>
      </c>
      <c r="AD481" s="235">
        <v>32570.535467963084</v>
      </c>
      <c r="AE481">
        <v>0</v>
      </c>
      <c r="AF481">
        <v>0</v>
      </c>
      <c r="AG481">
        <v>0</v>
      </c>
      <c r="AH481" s="235">
        <v>-17984.496338168508</v>
      </c>
      <c r="AI481">
        <v>226</v>
      </c>
      <c r="AJ481" t="s">
        <v>256</v>
      </c>
      <c r="AK481">
        <v>0</v>
      </c>
      <c r="AL481">
        <v>0</v>
      </c>
      <c r="AM481">
        <v>0</v>
      </c>
    </row>
    <row r="482" spans="1:39" x14ac:dyDescent="0.25">
      <c r="A482" t="s">
        <v>601</v>
      </c>
      <c r="B482" t="s">
        <v>508</v>
      </c>
      <c r="C482" t="s">
        <v>255</v>
      </c>
      <c r="D482" t="s">
        <v>234</v>
      </c>
      <c r="E482" t="s">
        <v>20</v>
      </c>
      <c r="F482" t="s">
        <v>509</v>
      </c>
      <c r="G482" t="s">
        <v>269</v>
      </c>
      <c r="H482" t="s">
        <v>254</v>
      </c>
      <c r="I482" t="s">
        <v>242</v>
      </c>
      <c r="J482" t="s">
        <v>235</v>
      </c>
      <c r="K482" s="380">
        <v>36861</v>
      </c>
      <c r="L482" s="235">
        <v>396010.62920082221</v>
      </c>
      <c r="M482" s="380">
        <v>36859</v>
      </c>
      <c r="N482" t="s">
        <v>21</v>
      </c>
      <c r="O482">
        <v>0.3</v>
      </c>
      <c r="P482">
        <v>0</v>
      </c>
      <c r="Q482">
        <v>0</v>
      </c>
      <c r="R482">
        <v>0</v>
      </c>
      <c r="S482">
        <v>0</v>
      </c>
      <c r="T482" t="s">
        <v>253</v>
      </c>
      <c r="U482" t="s">
        <v>190</v>
      </c>
      <c r="V482" t="s">
        <v>253</v>
      </c>
      <c r="W482" t="s">
        <v>132</v>
      </c>
      <c r="X482" t="s">
        <v>253</v>
      </c>
      <c r="Y482" t="s">
        <v>235</v>
      </c>
      <c r="Z482" t="s">
        <v>236</v>
      </c>
      <c r="AA482" t="s">
        <v>253</v>
      </c>
      <c r="AB482" t="s">
        <v>121</v>
      </c>
      <c r="AC482" s="235">
        <v>500000</v>
      </c>
      <c r="AD482" s="235">
        <v>22889.732875724148</v>
      </c>
      <c r="AE482">
        <v>0</v>
      </c>
      <c r="AF482">
        <v>0</v>
      </c>
      <c r="AG482">
        <v>0</v>
      </c>
      <c r="AH482" s="235">
        <v>57637.259154467494</v>
      </c>
      <c r="AI482">
        <v>226</v>
      </c>
      <c r="AJ482" t="s">
        <v>256</v>
      </c>
      <c r="AK482">
        <v>0</v>
      </c>
      <c r="AL482">
        <v>0</v>
      </c>
      <c r="AM482">
        <v>0</v>
      </c>
    </row>
    <row r="483" spans="1:39" x14ac:dyDescent="0.25">
      <c r="A483" t="s">
        <v>601</v>
      </c>
      <c r="B483" t="s">
        <v>508</v>
      </c>
      <c r="C483" t="s">
        <v>255</v>
      </c>
      <c r="D483" t="s">
        <v>234</v>
      </c>
      <c r="E483" t="s">
        <v>20</v>
      </c>
      <c r="F483" t="s">
        <v>509</v>
      </c>
      <c r="G483" t="s">
        <v>269</v>
      </c>
      <c r="H483" t="s">
        <v>254</v>
      </c>
      <c r="I483" t="s">
        <v>242</v>
      </c>
      <c r="J483" t="s">
        <v>235</v>
      </c>
      <c r="K483" s="380">
        <v>36831</v>
      </c>
      <c r="L483" s="235">
        <v>621737.6190845822</v>
      </c>
      <c r="M483" s="380">
        <v>36829</v>
      </c>
      <c r="N483" t="s">
        <v>21</v>
      </c>
      <c r="O483">
        <v>0.3</v>
      </c>
      <c r="P483">
        <v>0</v>
      </c>
      <c r="Q483">
        <v>0</v>
      </c>
      <c r="R483">
        <v>0</v>
      </c>
      <c r="S483">
        <v>0</v>
      </c>
      <c r="T483" t="s">
        <v>253</v>
      </c>
      <c r="U483" t="s">
        <v>190</v>
      </c>
      <c r="V483" t="s">
        <v>253</v>
      </c>
      <c r="W483" t="s">
        <v>132</v>
      </c>
      <c r="X483" t="s">
        <v>253</v>
      </c>
      <c r="Y483" t="s">
        <v>235</v>
      </c>
      <c r="Z483" t="s">
        <v>236</v>
      </c>
      <c r="AA483" t="s">
        <v>253</v>
      </c>
      <c r="AB483" t="s">
        <v>121</v>
      </c>
      <c r="AC483" s="235">
        <v>500000</v>
      </c>
      <c r="AD483" s="235">
        <v>6145.9479237695923</v>
      </c>
      <c r="AE483">
        <v>0</v>
      </c>
      <c r="AF483">
        <v>0</v>
      </c>
      <c r="AG483">
        <v>0</v>
      </c>
      <c r="AH483" s="235">
        <v>98690.846326602565</v>
      </c>
      <c r="AI483">
        <v>226</v>
      </c>
      <c r="AJ483" t="s">
        <v>256</v>
      </c>
      <c r="AK483">
        <v>0</v>
      </c>
      <c r="AL483">
        <v>0</v>
      </c>
      <c r="AM483">
        <v>0</v>
      </c>
    </row>
    <row r="484" spans="1:39" x14ac:dyDescent="0.25">
      <c r="A484" t="s">
        <v>601</v>
      </c>
      <c r="B484" t="s">
        <v>510</v>
      </c>
      <c r="C484" t="s">
        <v>255</v>
      </c>
      <c r="D484" t="s">
        <v>234</v>
      </c>
      <c r="E484" t="s">
        <v>20</v>
      </c>
      <c r="F484" t="s">
        <v>281</v>
      </c>
      <c r="G484" t="s">
        <v>269</v>
      </c>
      <c r="H484" t="s">
        <v>254</v>
      </c>
      <c r="I484" t="s">
        <v>242</v>
      </c>
      <c r="J484" t="s">
        <v>235</v>
      </c>
      <c r="K484" s="380">
        <v>37165</v>
      </c>
      <c r="L484" s="235">
        <v>42514.193973980531</v>
      </c>
      <c r="M484" s="380">
        <v>37161</v>
      </c>
      <c r="N484" t="s">
        <v>21</v>
      </c>
      <c r="O484">
        <v>0.5</v>
      </c>
      <c r="P484">
        <v>0</v>
      </c>
      <c r="Q484">
        <v>0</v>
      </c>
      <c r="R484">
        <v>0</v>
      </c>
      <c r="S484">
        <v>0</v>
      </c>
      <c r="T484" t="s">
        <v>253</v>
      </c>
      <c r="U484" t="s">
        <v>7</v>
      </c>
      <c r="V484" t="s">
        <v>253</v>
      </c>
      <c r="W484" t="s">
        <v>132</v>
      </c>
      <c r="X484" t="s">
        <v>253</v>
      </c>
      <c r="Y484" t="s">
        <v>235</v>
      </c>
      <c r="Z484" t="s">
        <v>236</v>
      </c>
      <c r="AA484" t="s">
        <v>253</v>
      </c>
      <c r="AB484" t="s">
        <v>121</v>
      </c>
      <c r="AC484" s="235">
        <v>310000</v>
      </c>
      <c r="AD484" s="235">
        <v>9544.4022697767068</v>
      </c>
      <c r="AE484">
        <v>0</v>
      </c>
      <c r="AF484">
        <v>0</v>
      </c>
      <c r="AG484">
        <v>0</v>
      </c>
      <c r="AH484" s="235">
        <v>454.0415570322948</v>
      </c>
      <c r="AI484">
        <v>226</v>
      </c>
      <c r="AJ484" t="s">
        <v>256</v>
      </c>
      <c r="AK484">
        <v>0</v>
      </c>
      <c r="AL484">
        <v>0</v>
      </c>
      <c r="AM484">
        <v>0</v>
      </c>
    </row>
    <row r="485" spans="1:39" x14ac:dyDescent="0.25">
      <c r="A485" t="s">
        <v>601</v>
      </c>
      <c r="B485" t="s">
        <v>510</v>
      </c>
      <c r="C485" t="s">
        <v>255</v>
      </c>
      <c r="D485" t="s">
        <v>234</v>
      </c>
      <c r="E485" t="s">
        <v>20</v>
      </c>
      <c r="F485" t="s">
        <v>281</v>
      </c>
      <c r="G485" t="s">
        <v>269</v>
      </c>
      <c r="H485" t="s">
        <v>254</v>
      </c>
      <c r="I485" t="s">
        <v>242</v>
      </c>
      <c r="J485" t="s">
        <v>235</v>
      </c>
      <c r="K485" s="380">
        <v>37135</v>
      </c>
      <c r="L485" s="235">
        <v>31308.780753975094</v>
      </c>
      <c r="M485" s="380">
        <v>37133</v>
      </c>
      <c r="N485" t="s">
        <v>21</v>
      </c>
      <c r="O485">
        <v>0.5</v>
      </c>
      <c r="P485">
        <v>0</v>
      </c>
      <c r="Q485">
        <v>0</v>
      </c>
      <c r="R485">
        <v>0</v>
      </c>
      <c r="S485">
        <v>0</v>
      </c>
      <c r="T485" t="s">
        <v>253</v>
      </c>
      <c r="U485" t="s">
        <v>7</v>
      </c>
      <c r="V485" t="s">
        <v>253</v>
      </c>
      <c r="W485" t="s">
        <v>132</v>
      </c>
      <c r="X485" t="s">
        <v>253</v>
      </c>
      <c r="Y485" t="s">
        <v>235</v>
      </c>
      <c r="Z485" t="s">
        <v>236</v>
      </c>
      <c r="AA485" t="s">
        <v>253</v>
      </c>
      <c r="AB485" t="s">
        <v>121</v>
      </c>
      <c r="AC485" s="235">
        <v>300000</v>
      </c>
      <c r="AD485" s="235">
        <v>8697.0570721938711</v>
      </c>
      <c r="AE485">
        <v>0</v>
      </c>
      <c r="AF485">
        <v>0</v>
      </c>
      <c r="AG485">
        <v>0</v>
      </c>
      <c r="AH485" s="235">
        <v>412.83874257255229</v>
      </c>
      <c r="AI485">
        <v>226</v>
      </c>
      <c r="AJ485" t="s">
        <v>256</v>
      </c>
      <c r="AK485">
        <v>0</v>
      </c>
      <c r="AL485">
        <v>0</v>
      </c>
      <c r="AM485">
        <v>0</v>
      </c>
    </row>
    <row r="486" spans="1:39" x14ac:dyDescent="0.25">
      <c r="A486" t="s">
        <v>601</v>
      </c>
      <c r="B486" t="s">
        <v>510</v>
      </c>
      <c r="C486" t="s">
        <v>255</v>
      </c>
      <c r="D486" t="s">
        <v>234</v>
      </c>
      <c r="E486" t="s">
        <v>20</v>
      </c>
      <c r="F486" t="s">
        <v>281</v>
      </c>
      <c r="G486" t="s">
        <v>269</v>
      </c>
      <c r="H486" t="s">
        <v>254</v>
      </c>
      <c r="I486" t="s">
        <v>242</v>
      </c>
      <c r="J486" t="s">
        <v>235</v>
      </c>
      <c r="K486" s="380">
        <v>37104</v>
      </c>
      <c r="L486" s="235">
        <v>39209.438299146583</v>
      </c>
      <c r="M486" s="380">
        <v>37102</v>
      </c>
      <c r="N486" t="s">
        <v>21</v>
      </c>
      <c r="O486">
        <v>0.5</v>
      </c>
      <c r="P486">
        <v>0</v>
      </c>
      <c r="Q486">
        <v>0</v>
      </c>
      <c r="R486">
        <v>0</v>
      </c>
      <c r="S486">
        <v>0</v>
      </c>
      <c r="T486" t="s">
        <v>253</v>
      </c>
      <c r="U486" t="s">
        <v>7</v>
      </c>
      <c r="V486" t="s">
        <v>253</v>
      </c>
      <c r="W486" t="s">
        <v>132</v>
      </c>
      <c r="X486" t="s">
        <v>253</v>
      </c>
      <c r="Y486" t="s">
        <v>235</v>
      </c>
      <c r="Z486" t="s">
        <v>236</v>
      </c>
      <c r="AA486" t="s">
        <v>253</v>
      </c>
      <c r="AB486" t="s">
        <v>121</v>
      </c>
      <c r="AC486" s="235">
        <v>310000</v>
      </c>
      <c r="AD486" s="235">
        <v>8857.4663349359616</v>
      </c>
      <c r="AE486">
        <v>0</v>
      </c>
      <c r="AF486">
        <v>0</v>
      </c>
      <c r="AG486">
        <v>0</v>
      </c>
      <c r="AH486" s="235">
        <v>420.89722410338436</v>
      </c>
      <c r="AI486">
        <v>226</v>
      </c>
      <c r="AJ486" t="s">
        <v>256</v>
      </c>
      <c r="AK486">
        <v>0</v>
      </c>
      <c r="AL486">
        <v>0</v>
      </c>
      <c r="AM486">
        <v>0</v>
      </c>
    </row>
    <row r="487" spans="1:39" x14ac:dyDescent="0.25">
      <c r="A487" t="s">
        <v>601</v>
      </c>
      <c r="B487" t="s">
        <v>510</v>
      </c>
      <c r="C487" t="s">
        <v>255</v>
      </c>
      <c r="D487" t="s">
        <v>234</v>
      </c>
      <c r="E487" t="s">
        <v>20</v>
      </c>
      <c r="F487" t="s">
        <v>281</v>
      </c>
      <c r="G487" t="s">
        <v>269</v>
      </c>
      <c r="H487" t="s">
        <v>254</v>
      </c>
      <c r="I487" t="s">
        <v>242</v>
      </c>
      <c r="J487" t="s">
        <v>235</v>
      </c>
      <c r="K487" s="380">
        <v>37073</v>
      </c>
      <c r="L487" s="235">
        <v>37202.103521258075</v>
      </c>
      <c r="M487" s="380">
        <v>37070</v>
      </c>
      <c r="N487" t="s">
        <v>21</v>
      </c>
      <c r="O487">
        <v>0.5</v>
      </c>
      <c r="P487">
        <v>0</v>
      </c>
      <c r="Q487">
        <v>0</v>
      </c>
      <c r="R487">
        <v>0</v>
      </c>
      <c r="S487">
        <v>0</v>
      </c>
      <c r="T487" t="s">
        <v>253</v>
      </c>
      <c r="U487" t="s">
        <v>7</v>
      </c>
      <c r="V487" t="s">
        <v>253</v>
      </c>
      <c r="W487" t="s">
        <v>132</v>
      </c>
      <c r="X487" t="s">
        <v>253</v>
      </c>
      <c r="Y487" t="s">
        <v>235</v>
      </c>
      <c r="Z487" t="s">
        <v>236</v>
      </c>
      <c r="AA487" t="s">
        <v>253</v>
      </c>
      <c r="AB487" t="s">
        <v>121</v>
      </c>
      <c r="AC487" s="235">
        <v>310000</v>
      </c>
      <c r="AD487" s="235">
        <v>8467.5301370125817</v>
      </c>
      <c r="AE487">
        <v>0</v>
      </c>
      <c r="AF487">
        <v>0</v>
      </c>
      <c r="AG487">
        <v>0</v>
      </c>
      <c r="AH487" s="235">
        <v>402.53011981803138</v>
      </c>
      <c r="AI487">
        <v>226</v>
      </c>
      <c r="AJ487" t="s">
        <v>256</v>
      </c>
      <c r="AK487">
        <v>0</v>
      </c>
      <c r="AL487">
        <v>0</v>
      </c>
      <c r="AM487">
        <v>0</v>
      </c>
    </row>
    <row r="488" spans="1:39" x14ac:dyDescent="0.25">
      <c r="A488" t="s">
        <v>601</v>
      </c>
      <c r="B488" t="s">
        <v>510</v>
      </c>
      <c r="C488" t="s">
        <v>255</v>
      </c>
      <c r="D488" t="s">
        <v>234</v>
      </c>
      <c r="E488" t="s">
        <v>20</v>
      </c>
      <c r="F488" t="s">
        <v>281</v>
      </c>
      <c r="G488" t="s">
        <v>269</v>
      </c>
      <c r="H488" t="s">
        <v>254</v>
      </c>
      <c r="I488" t="s">
        <v>242</v>
      </c>
      <c r="J488" t="s">
        <v>235</v>
      </c>
      <c r="K488" s="380">
        <v>37043</v>
      </c>
      <c r="L488" s="235">
        <v>26205.061243205684</v>
      </c>
      <c r="M488" s="380">
        <v>37041</v>
      </c>
      <c r="N488" t="s">
        <v>21</v>
      </c>
      <c r="O488">
        <v>0.5</v>
      </c>
      <c r="P488">
        <v>0</v>
      </c>
      <c r="Q488">
        <v>0</v>
      </c>
      <c r="R488">
        <v>0</v>
      </c>
      <c r="S488">
        <v>0</v>
      </c>
      <c r="T488" t="s">
        <v>253</v>
      </c>
      <c r="U488" t="s">
        <v>7</v>
      </c>
      <c r="V488" t="s">
        <v>253</v>
      </c>
      <c r="W488" t="s">
        <v>132</v>
      </c>
      <c r="X488" t="s">
        <v>253</v>
      </c>
      <c r="Y488" t="s">
        <v>235</v>
      </c>
      <c r="Z488" t="s">
        <v>236</v>
      </c>
      <c r="AA488" t="s">
        <v>253</v>
      </c>
      <c r="AB488" t="s">
        <v>121</v>
      </c>
      <c r="AC488" s="235">
        <v>300000</v>
      </c>
      <c r="AD488" s="235">
        <v>7582.5911470300343</v>
      </c>
      <c r="AE488">
        <v>0</v>
      </c>
      <c r="AF488">
        <v>0</v>
      </c>
      <c r="AG488">
        <v>0</v>
      </c>
      <c r="AH488" s="235">
        <v>360.31602393173671</v>
      </c>
      <c r="AI488">
        <v>226</v>
      </c>
      <c r="AJ488" t="s">
        <v>256</v>
      </c>
      <c r="AK488">
        <v>0</v>
      </c>
      <c r="AL488">
        <v>0</v>
      </c>
      <c r="AM488">
        <v>0</v>
      </c>
    </row>
    <row r="489" spans="1:39" x14ac:dyDescent="0.25">
      <c r="A489" t="s">
        <v>601</v>
      </c>
      <c r="B489" t="s">
        <v>510</v>
      </c>
      <c r="C489" t="s">
        <v>255</v>
      </c>
      <c r="D489" t="s">
        <v>234</v>
      </c>
      <c r="E489" t="s">
        <v>20</v>
      </c>
      <c r="F489" t="s">
        <v>281</v>
      </c>
      <c r="G489" t="s">
        <v>269</v>
      </c>
      <c r="H489" t="s">
        <v>254</v>
      </c>
      <c r="I489" t="s">
        <v>242</v>
      </c>
      <c r="J489" t="s">
        <v>235</v>
      </c>
      <c r="K489" s="380">
        <v>37012</v>
      </c>
      <c r="L489" s="235">
        <v>26626.879046535698</v>
      </c>
      <c r="M489" s="380">
        <v>37008</v>
      </c>
      <c r="N489" t="s">
        <v>21</v>
      </c>
      <c r="O489">
        <v>0.5</v>
      </c>
      <c r="P489">
        <v>0</v>
      </c>
      <c r="Q489">
        <v>0</v>
      </c>
      <c r="R489">
        <v>0</v>
      </c>
      <c r="S489">
        <v>0</v>
      </c>
      <c r="T489" t="s">
        <v>253</v>
      </c>
      <c r="U489" t="s">
        <v>7</v>
      </c>
      <c r="V489" t="s">
        <v>253</v>
      </c>
      <c r="W489" t="s">
        <v>132</v>
      </c>
      <c r="X489" t="s">
        <v>253</v>
      </c>
      <c r="Y489" t="s">
        <v>235</v>
      </c>
      <c r="Z489" t="s">
        <v>236</v>
      </c>
      <c r="AA489" t="s">
        <v>253</v>
      </c>
      <c r="AB489" t="s">
        <v>121</v>
      </c>
      <c r="AC489" s="235">
        <v>310000</v>
      </c>
      <c r="AD489" s="235">
        <v>7524.2599324173498</v>
      </c>
      <c r="AE489">
        <v>0</v>
      </c>
      <c r="AF489">
        <v>0</v>
      </c>
      <c r="AG489">
        <v>0</v>
      </c>
      <c r="AH489" s="235">
        <v>357.92191821892993</v>
      </c>
      <c r="AI489">
        <v>226</v>
      </c>
      <c r="AJ489" t="s">
        <v>256</v>
      </c>
      <c r="AK489">
        <v>0</v>
      </c>
      <c r="AL489">
        <v>0</v>
      </c>
      <c r="AM489">
        <v>0</v>
      </c>
    </row>
    <row r="490" spans="1:39" x14ac:dyDescent="0.25">
      <c r="A490" t="s">
        <v>601</v>
      </c>
      <c r="B490" t="s">
        <v>510</v>
      </c>
      <c r="C490" t="s">
        <v>255</v>
      </c>
      <c r="D490" t="s">
        <v>234</v>
      </c>
      <c r="E490" t="s">
        <v>20</v>
      </c>
      <c r="F490" t="s">
        <v>281</v>
      </c>
      <c r="G490" t="s">
        <v>269</v>
      </c>
      <c r="H490" t="s">
        <v>254</v>
      </c>
      <c r="I490" t="s">
        <v>242</v>
      </c>
      <c r="J490" t="s">
        <v>235</v>
      </c>
      <c r="K490" s="380">
        <v>36982</v>
      </c>
      <c r="L490" s="235">
        <v>43385.02027621404</v>
      </c>
      <c r="M490" s="380">
        <v>36979</v>
      </c>
      <c r="N490" t="s">
        <v>21</v>
      </c>
      <c r="O490">
        <v>0.5</v>
      </c>
      <c r="P490">
        <v>0</v>
      </c>
      <c r="Q490">
        <v>0</v>
      </c>
      <c r="R490">
        <v>0</v>
      </c>
      <c r="S490">
        <v>0</v>
      </c>
      <c r="T490" t="s">
        <v>253</v>
      </c>
      <c r="U490" t="s">
        <v>7</v>
      </c>
      <c r="V490" t="s">
        <v>253</v>
      </c>
      <c r="W490" t="s">
        <v>132</v>
      </c>
      <c r="X490" t="s">
        <v>253</v>
      </c>
      <c r="Y490" t="s">
        <v>235</v>
      </c>
      <c r="Z490" t="s">
        <v>236</v>
      </c>
      <c r="AA490" t="s">
        <v>253</v>
      </c>
      <c r="AB490" t="s">
        <v>121</v>
      </c>
      <c r="AC490" s="235">
        <v>300000</v>
      </c>
      <c r="AD490" s="235">
        <v>7765.6804487470654</v>
      </c>
      <c r="AE490">
        <v>0</v>
      </c>
      <c r="AF490">
        <v>0</v>
      </c>
      <c r="AG490">
        <v>0</v>
      </c>
      <c r="AH490" s="235">
        <v>370.40350627029693</v>
      </c>
      <c r="AI490">
        <v>226</v>
      </c>
      <c r="AJ490" t="s">
        <v>256</v>
      </c>
      <c r="AK490">
        <v>0</v>
      </c>
      <c r="AL490">
        <v>0</v>
      </c>
      <c r="AM490">
        <v>0</v>
      </c>
    </row>
    <row r="491" spans="1:39" x14ac:dyDescent="0.25">
      <c r="A491" t="s">
        <v>601</v>
      </c>
      <c r="B491" t="s">
        <v>511</v>
      </c>
      <c r="C491" t="s">
        <v>255</v>
      </c>
      <c r="D491" t="s">
        <v>234</v>
      </c>
      <c r="E491" t="s">
        <v>20</v>
      </c>
      <c r="F491" t="s">
        <v>279</v>
      </c>
      <c r="G491" t="s">
        <v>269</v>
      </c>
      <c r="H491" t="s">
        <v>254</v>
      </c>
      <c r="I491" t="s">
        <v>242</v>
      </c>
      <c r="J491" t="s">
        <v>235</v>
      </c>
      <c r="K491" s="380">
        <v>36951</v>
      </c>
      <c r="L491" s="235">
        <v>257860.55397292617</v>
      </c>
      <c r="M491" s="380">
        <v>36949</v>
      </c>
      <c r="N491" t="s">
        <v>21</v>
      </c>
      <c r="O491">
        <v>0.3</v>
      </c>
      <c r="P491">
        <v>0</v>
      </c>
      <c r="Q491">
        <v>0</v>
      </c>
      <c r="R491">
        <v>0</v>
      </c>
      <c r="S491">
        <v>0</v>
      </c>
      <c r="T491" t="s">
        <v>253</v>
      </c>
      <c r="U491" t="s">
        <v>190</v>
      </c>
      <c r="V491" t="s">
        <v>253</v>
      </c>
      <c r="W491" t="s">
        <v>132</v>
      </c>
      <c r="X491" t="s">
        <v>253</v>
      </c>
      <c r="Y491" t="s">
        <v>235</v>
      </c>
      <c r="Z491" t="s">
        <v>236</v>
      </c>
      <c r="AA491" t="s">
        <v>253</v>
      </c>
      <c r="AB491" t="s">
        <v>121</v>
      </c>
      <c r="AC491" s="235">
        <v>500000</v>
      </c>
      <c r="AD491" s="235">
        <v>36938.398271886224</v>
      </c>
      <c r="AE491">
        <v>0</v>
      </c>
      <c r="AF491">
        <v>0</v>
      </c>
      <c r="AG491">
        <v>0</v>
      </c>
      <c r="AH491" s="235">
        <v>-16070.678662438237</v>
      </c>
      <c r="AI491">
        <v>226</v>
      </c>
      <c r="AJ491" t="s">
        <v>256</v>
      </c>
      <c r="AK491">
        <v>0</v>
      </c>
      <c r="AL491">
        <v>0</v>
      </c>
      <c r="AM491">
        <v>0</v>
      </c>
    </row>
    <row r="492" spans="1:39" x14ac:dyDescent="0.25">
      <c r="A492" t="s">
        <v>601</v>
      </c>
      <c r="B492" t="s">
        <v>511</v>
      </c>
      <c r="C492" t="s">
        <v>255</v>
      </c>
      <c r="D492" t="s">
        <v>234</v>
      </c>
      <c r="E492" t="s">
        <v>20</v>
      </c>
      <c r="F492" t="s">
        <v>279</v>
      </c>
      <c r="G492" t="s">
        <v>269</v>
      </c>
      <c r="H492" t="s">
        <v>254</v>
      </c>
      <c r="I492" t="s">
        <v>242</v>
      </c>
      <c r="J492" t="s">
        <v>235</v>
      </c>
      <c r="K492" s="380">
        <v>36923</v>
      </c>
      <c r="L492" s="235">
        <v>279861.55167511542</v>
      </c>
      <c r="M492" s="380">
        <v>36921</v>
      </c>
      <c r="N492" t="s">
        <v>21</v>
      </c>
      <c r="O492">
        <v>0.3</v>
      </c>
      <c r="P492">
        <v>0</v>
      </c>
      <c r="Q492">
        <v>0</v>
      </c>
      <c r="R492">
        <v>0</v>
      </c>
      <c r="S492">
        <v>0</v>
      </c>
      <c r="T492" t="s">
        <v>253</v>
      </c>
      <c r="U492" t="s">
        <v>190</v>
      </c>
      <c r="V492" t="s">
        <v>253</v>
      </c>
      <c r="W492" t="s">
        <v>132</v>
      </c>
      <c r="X492" t="s">
        <v>253</v>
      </c>
      <c r="Y492" t="s">
        <v>235</v>
      </c>
      <c r="Z492" t="s">
        <v>236</v>
      </c>
      <c r="AA492" t="s">
        <v>253</v>
      </c>
      <c r="AB492" t="s">
        <v>121</v>
      </c>
      <c r="AC492" s="235">
        <v>500000</v>
      </c>
      <c r="AD492" s="235">
        <v>38119.511577806552</v>
      </c>
      <c r="AE492">
        <v>0</v>
      </c>
      <c r="AF492">
        <v>0</v>
      </c>
      <c r="AG492">
        <v>0</v>
      </c>
      <c r="AH492" s="235">
        <v>-16153.235550436948</v>
      </c>
      <c r="AI492">
        <v>226</v>
      </c>
      <c r="AJ492" t="s">
        <v>256</v>
      </c>
      <c r="AK492">
        <v>0</v>
      </c>
      <c r="AL492">
        <v>0</v>
      </c>
      <c r="AM492">
        <v>0</v>
      </c>
    </row>
    <row r="493" spans="1:39" x14ac:dyDescent="0.25">
      <c r="A493" t="s">
        <v>601</v>
      </c>
      <c r="B493" t="s">
        <v>511</v>
      </c>
      <c r="C493" t="s">
        <v>255</v>
      </c>
      <c r="D493" t="s">
        <v>234</v>
      </c>
      <c r="E493" t="s">
        <v>20</v>
      </c>
      <c r="F493" t="s">
        <v>279</v>
      </c>
      <c r="G493" t="s">
        <v>269</v>
      </c>
      <c r="H493" t="s">
        <v>254</v>
      </c>
      <c r="I493" t="s">
        <v>242</v>
      </c>
      <c r="J493" t="s">
        <v>235</v>
      </c>
      <c r="K493" s="380">
        <v>36892</v>
      </c>
      <c r="L493" s="235">
        <v>324172.95214438415</v>
      </c>
      <c r="M493" s="380">
        <v>36888</v>
      </c>
      <c r="N493" t="s">
        <v>21</v>
      </c>
      <c r="O493">
        <v>0.3</v>
      </c>
      <c r="P493">
        <v>0</v>
      </c>
      <c r="Q493">
        <v>0</v>
      </c>
      <c r="R493">
        <v>0</v>
      </c>
      <c r="S493">
        <v>0</v>
      </c>
      <c r="T493" t="s">
        <v>253</v>
      </c>
      <c r="U493" t="s">
        <v>190</v>
      </c>
      <c r="V493" t="s">
        <v>253</v>
      </c>
      <c r="W493" t="s">
        <v>132</v>
      </c>
      <c r="X493" t="s">
        <v>253</v>
      </c>
      <c r="Y493" t="s">
        <v>235</v>
      </c>
      <c r="Z493" t="s">
        <v>236</v>
      </c>
      <c r="AA493" t="s">
        <v>253</v>
      </c>
      <c r="AB493" t="s">
        <v>121</v>
      </c>
      <c r="AC493" s="235">
        <v>500000</v>
      </c>
      <c r="AD493" s="235">
        <v>32570.535467963084</v>
      </c>
      <c r="AE493">
        <v>0</v>
      </c>
      <c r="AF493">
        <v>0</v>
      </c>
      <c r="AG493">
        <v>0</v>
      </c>
      <c r="AH493" s="235">
        <v>-17984.496338168508</v>
      </c>
      <c r="AI493">
        <v>226</v>
      </c>
      <c r="AJ493" t="s">
        <v>256</v>
      </c>
      <c r="AK493">
        <v>0</v>
      </c>
      <c r="AL493">
        <v>0</v>
      </c>
      <c r="AM493">
        <v>0</v>
      </c>
    </row>
    <row r="494" spans="1:39" x14ac:dyDescent="0.25">
      <c r="A494" t="s">
        <v>601</v>
      </c>
      <c r="B494" t="s">
        <v>511</v>
      </c>
      <c r="C494" t="s">
        <v>255</v>
      </c>
      <c r="D494" t="s">
        <v>234</v>
      </c>
      <c r="E494" t="s">
        <v>20</v>
      </c>
      <c r="F494" t="s">
        <v>279</v>
      </c>
      <c r="G494" t="s">
        <v>269</v>
      </c>
      <c r="H494" t="s">
        <v>254</v>
      </c>
      <c r="I494" t="s">
        <v>242</v>
      </c>
      <c r="J494" t="s">
        <v>235</v>
      </c>
      <c r="K494" s="380">
        <v>36861</v>
      </c>
      <c r="L494" s="235">
        <v>396010.62920082221</v>
      </c>
      <c r="M494" s="380">
        <v>36859</v>
      </c>
      <c r="N494" t="s">
        <v>21</v>
      </c>
      <c r="O494">
        <v>0.3</v>
      </c>
      <c r="P494">
        <v>0</v>
      </c>
      <c r="Q494">
        <v>0</v>
      </c>
      <c r="R494">
        <v>0</v>
      </c>
      <c r="S494">
        <v>0</v>
      </c>
      <c r="T494" t="s">
        <v>253</v>
      </c>
      <c r="U494" t="s">
        <v>190</v>
      </c>
      <c r="V494" t="s">
        <v>253</v>
      </c>
      <c r="W494" t="s">
        <v>132</v>
      </c>
      <c r="X494" t="s">
        <v>253</v>
      </c>
      <c r="Y494" t="s">
        <v>235</v>
      </c>
      <c r="Z494" t="s">
        <v>236</v>
      </c>
      <c r="AA494" t="s">
        <v>253</v>
      </c>
      <c r="AB494" t="s">
        <v>121</v>
      </c>
      <c r="AC494" s="235">
        <v>500000</v>
      </c>
      <c r="AD494" s="235">
        <v>22889.732875724148</v>
      </c>
      <c r="AE494">
        <v>0</v>
      </c>
      <c r="AF494">
        <v>0</v>
      </c>
      <c r="AG494">
        <v>0</v>
      </c>
      <c r="AH494" s="235">
        <v>57637.259154467494</v>
      </c>
      <c r="AI494">
        <v>226</v>
      </c>
      <c r="AJ494" t="s">
        <v>256</v>
      </c>
      <c r="AK494">
        <v>0</v>
      </c>
      <c r="AL494">
        <v>0</v>
      </c>
      <c r="AM494">
        <v>0</v>
      </c>
    </row>
    <row r="495" spans="1:39" x14ac:dyDescent="0.25">
      <c r="A495" t="s">
        <v>601</v>
      </c>
      <c r="B495" t="s">
        <v>511</v>
      </c>
      <c r="C495" t="s">
        <v>255</v>
      </c>
      <c r="D495" t="s">
        <v>234</v>
      </c>
      <c r="E495" t="s">
        <v>20</v>
      </c>
      <c r="F495" t="s">
        <v>279</v>
      </c>
      <c r="G495" t="s">
        <v>269</v>
      </c>
      <c r="H495" t="s">
        <v>254</v>
      </c>
      <c r="I495" t="s">
        <v>242</v>
      </c>
      <c r="J495" t="s">
        <v>235</v>
      </c>
      <c r="K495" s="380">
        <v>36831</v>
      </c>
      <c r="L495" s="235">
        <v>621737.6190845822</v>
      </c>
      <c r="M495" s="380">
        <v>36829</v>
      </c>
      <c r="N495" t="s">
        <v>21</v>
      </c>
      <c r="O495">
        <v>0.3</v>
      </c>
      <c r="P495">
        <v>0</v>
      </c>
      <c r="Q495">
        <v>0</v>
      </c>
      <c r="R495">
        <v>0</v>
      </c>
      <c r="S495">
        <v>0</v>
      </c>
      <c r="T495" t="s">
        <v>253</v>
      </c>
      <c r="U495" t="s">
        <v>190</v>
      </c>
      <c r="V495" t="s">
        <v>253</v>
      </c>
      <c r="W495" t="s">
        <v>132</v>
      </c>
      <c r="X495" t="s">
        <v>253</v>
      </c>
      <c r="Y495" t="s">
        <v>235</v>
      </c>
      <c r="Z495" t="s">
        <v>236</v>
      </c>
      <c r="AA495" t="s">
        <v>253</v>
      </c>
      <c r="AB495" t="s">
        <v>121</v>
      </c>
      <c r="AC495" s="235">
        <v>500000</v>
      </c>
      <c r="AD495" s="235">
        <v>6145.9479237695923</v>
      </c>
      <c r="AE495">
        <v>0</v>
      </c>
      <c r="AF495">
        <v>0</v>
      </c>
      <c r="AG495">
        <v>0</v>
      </c>
      <c r="AH495" s="235">
        <v>98690.846326602565</v>
      </c>
      <c r="AI495">
        <v>226</v>
      </c>
      <c r="AJ495" t="s">
        <v>256</v>
      </c>
      <c r="AK495">
        <v>0</v>
      </c>
      <c r="AL495">
        <v>0</v>
      </c>
      <c r="AM495">
        <v>0</v>
      </c>
    </row>
    <row r="496" spans="1:39" x14ac:dyDescent="0.25">
      <c r="A496" t="s">
        <v>601</v>
      </c>
      <c r="B496" t="s">
        <v>512</v>
      </c>
      <c r="C496" t="s">
        <v>255</v>
      </c>
      <c r="D496" t="s">
        <v>234</v>
      </c>
      <c r="E496" t="s">
        <v>20</v>
      </c>
      <c r="F496" t="s">
        <v>509</v>
      </c>
      <c r="G496" t="s">
        <v>269</v>
      </c>
      <c r="H496" t="s">
        <v>254</v>
      </c>
      <c r="I496" t="s">
        <v>242</v>
      </c>
      <c r="J496" t="s">
        <v>235</v>
      </c>
      <c r="K496" s="380">
        <v>36831</v>
      </c>
      <c r="L496" s="235">
        <v>246653.87075196672</v>
      </c>
      <c r="M496" s="380">
        <v>36829</v>
      </c>
      <c r="N496" t="s">
        <v>21</v>
      </c>
      <c r="O496">
        <v>0.8</v>
      </c>
      <c r="P496">
        <v>0</v>
      </c>
      <c r="Q496">
        <v>0</v>
      </c>
      <c r="R496">
        <v>0</v>
      </c>
      <c r="S496">
        <v>0</v>
      </c>
      <c r="T496" t="s">
        <v>253</v>
      </c>
      <c r="U496" t="s">
        <v>7</v>
      </c>
      <c r="V496" t="s">
        <v>253</v>
      </c>
      <c r="W496" t="s">
        <v>132</v>
      </c>
      <c r="X496" t="s">
        <v>253</v>
      </c>
      <c r="Y496" t="s">
        <v>235</v>
      </c>
      <c r="Z496" t="s">
        <v>236</v>
      </c>
      <c r="AA496" t="s">
        <v>253</v>
      </c>
      <c r="AB496" t="s">
        <v>121</v>
      </c>
      <c r="AC496" s="235">
        <v>1000000</v>
      </c>
      <c r="AD496" s="235">
        <v>44936.243273364729</v>
      </c>
      <c r="AE496">
        <v>0</v>
      </c>
      <c r="AF496">
        <v>0</v>
      </c>
      <c r="AG496">
        <v>0</v>
      </c>
      <c r="AH496" s="235">
        <v>21963.698683692724</v>
      </c>
      <c r="AI496">
        <v>226</v>
      </c>
      <c r="AJ496" t="s">
        <v>256</v>
      </c>
      <c r="AK496">
        <v>0</v>
      </c>
      <c r="AL496">
        <v>0</v>
      </c>
      <c r="AM496">
        <v>0</v>
      </c>
    </row>
    <row r="497" spans="1:39" x14ac:dyDescent="0.25">
      <c r="A497" t="s">
        <v>601</v>
      </c>
      <c r="B497" t="s">
        <v>514</v>
      </c>
      <c r="C497" t="s">
        <v>255</v>
      </c>
      <c r="D497" t="s">
        <v>234</v>
      </c>
      <c r="E497" t="s">
        <v>20</v>
      </c>
      <c r="F497" t="s">
        <v>509</v>
      </c>
      <c r="G497" t="s">
        <v>269</v>
      </c>
      <c r="H497" t="s">
        <v>254</v>
      </c>
      <c r="I497" t="s">
        <v>242</v>
      </c>
      <c r="J497" t="s">
        <v>235</v>
      </c>
      <c r="K497" s="380">
        <v>36800</v>
      </c>
      <c r="L497" s="235">
        <v>235.26640285623225</v>
      </c>
      <c r="M497" s="380">
        <v>36797</v>
      </c>
      <c r="N497" t="s">
        <v>21</v>
      </c>
      <c r="O497">
        <v>0.7</v>
      </c>
      <c r="P497">
        <v>0</v>
      </c>
      <c r="Q497">
        <v>0</v>
      </c>
      <c r="R497">
        <v>0</v>
      </c>
      <c r="S497">
        <v>0</v>
      </c>
      <c r="T497" t="s">
        <v>253</v>
      </c>
      <c r="U497" t="s">
        <v>7</v>
      </c>
      <c r="V497" t="s">
        <v>253</v>
      </c>
      <c r="W497" t="s">
        <v>132</v>
      </c>
      <c r="X497" t="s">
        <v>253</v>
      </c>
      <c r="Y497" t="s">
        <v>235</v>
      </c>
      <c r="Z497" t="s">
        <v>236</v>
      </c>
      <c r="AA497" t="s">
        <v>253</v>
      </c>
      <c r="AB497" t="s">
        <v>121</v>
      </c>
      <c r="AC497" s="235">
        <v>310000</v>
      </c>
      <c r="AD497" s="235">
        <v>183.99461792302372</v>
      </c>
      <c r="AE497">
        <v>0</v>
      </c>
      <c r="AF497">
        <v>0</v>
      </c>
      <c r="AG497">
        <v>0</v>
      </c>
      <c r="AH497" s="235">
        <v>11.170274572917123</v>
      </c>
      <c r="AI497">
        <v>226</v>
      </c>
      <c r="AJ497" t="s">
        <v>256</v>
      </c>
      <c r="AK497">
        <v>0</v>
      </c>
      <c r="AL497">
        <v>0</v>
      </c>
      <c r="AM497">
        <v>0</v>
      </c>
    </row>
    <row r="498" spans="1:39" x14ac:dyDescent="0.25">
      <c r="A498" t="s">
        <v>601</v>
      </c>
      <c r="B498" t="s">
        <v>513</v>
      </c>
      <c r="C498" t="s">
        <v>255</v>
      </c>
      <c r="D498" t="s">
        <v>234</v>
      </c>
      <c r="E498" t="s">
        <v>20</v>
      </c>
      <c r="F498" t="s">
        <v>324</v>
      </c>
      <c r="G498" t="s">
        <v>269</v>
      </c>
      <c r="H498" t="s">
        <v>254</v>
      </c>
      <c r="I498" t="s">
        <v>242</v>
      </c>
      <c r="J498" t="s">
        <v>235</v>
      </c>
      <c r="K498" s="380">
        <v>36951</v>
      </c>
      <c r="L498" s="235">
        <v>48886.400631953802</v>
      </c>
      <c r="M498" s="380">
        <v>36949</v>
      </c>
      <c r="N498" t="s">
        <v>21</v>
      </c>
      <c r="O498">
        <v>2.5</v>
      </c>
      <c r="P498">
        <v>0</v>
      </c>
      <c r="Q498">
        <v>0</v>
      </c>
      <c r="R498">
        <v>0</v>
      </c>
      <c r="S498">
        <v>0</v>
      </c>
      <c r="T498" t="s">
        <v>253</v>
      </c>
      <c r="U498" t="s">
        <v>7</v>
      </c>
      <c r="V498" t="s">
        <v>253</v>
      </c>
      <c r="W498" t="s">
        <v>132</v>
      </c>
      <c r="X498" t="s">
        <v>253</v>
      </c>
      <c r="Y498" t="s">
        <v>235</v>
      </c>
      <c r="Z498" t="s">
        <v>236</v>
      </c>
      <c r="AA498" t="s">
        <v>253</v>
      </c>
      <c r="AB498" t="s">
        <v>121</v>
      </c>
      <c r="AC498" s="235">
        <v>310000</v>
      </c>
      <c r="AD498" s="235">
        <v>17765.662708301541</v>
      </c>
      <c r="AE498">
        <v>0</v>
      </c>
      <c r="AF498">
        <v>0</v>
      </c>
      <c r="AG498">
        <v>0</v>
      </c>
      <c r="AH498" s="235">
        <v>4861.2333406752296</v>
      </c>
      <c r="AI498">
        <v>226</v>
      </c>
      <c r="AJ498" t="s">
        <v>256</v>
      </c>
      <c r="AK498">
        <v>0</v>
      </c>
      <c r="AL498">
        <v>0</v>
      </c>
      <c r="AM498">
        <v>0</v>
      </c>
    </row>
    <row r="499" spans="1:39" x14ac:dyDescent="0.25">
      <c r="A499" t="s">
        <v>601</v>
      </c>
      <c r="B499" t="s">
        <v>513</v>
      </c>
      <c r="C499" t="s">
        <v>255</v>
      </c>
      <c r="D499" t="s">
        <v>234</v>
      </c>
      <c r="E499" t="s">
        <v>20</v>
      </c>
      <c r="F499" t="s">
        <v>324</v>
      </c>
      <c r="G499" t="s">
        <v>269</v>
      </c>
      <c r="H499" t="s">
        <v>254</v>
      </c>
      <c r="I499" t="s">
        <v>242</v>
      </c>
      <c r="J499" t="s">
        <v>235</v>
      </c>
      <c r="K499" s="380">
        <v>36923</v>
      </c>
      <c r="L499" s="235">
        <v>150386.9517695079</v>
      </c>
      <c r="M499" s="380">
        <v>36921</v>
      </c>
      <c r="N499" t="s">
        <v>21</v>
      </c>
      <c r="O499">
        <v>2.5</v>
      </c>
      <c r="P499">
        <v>0</v>
      </c>
      <c r="Q499">
        <v>0</v>
      </c>
      <c r="R499">
        <v>0</v>
      </c>
      <c r="S499">
        <v>0</v>
      </c>
      <c r="T499" t="s">
        <v>253</v>
      </c>
      <c r="U499" t="s">
        <v>7</v>
      </c>
      <c r="V499" t="s">
        <v>253</v>
      </c>
      <c r="W499" t="s">
        <v>132</v>
      </c>
      <c r="X499" t="s">
        <v>253</v>
      </c>
      <c r="Y499" t="s">
        <v>235</v>
      </c>
      <c r="Z499" t="s">
        <v>236</v>
      </c>
      <c r="AA499" t="s">
        <v>253</v>
      </c>
      <c r="AB499" t="s">
        <v>121</v>
      </c>
      <c r="AC499" s="235">
        <v>280000</v>
      </c>
      <c r="AD499" s="235">
        <v>23175.488626135979</v>
      </c>
      <c r="AE499">
        <v>0</v>
      </c>
      <c r="AF499">
        <v>0</v>
      </c>
      <c r="AG499">
        <v>0</v>
      </c>
      <c r="AH499" s="235">
        <v>9934.5782538573258</v>
      </c>
      <c r="AI499">
        <v>226</v>
      </c>
      <c r="AJ499" t="s">
        <v>256</v>
      </c>
      <c r="AK499">
        <v>0</v>
      </c>
      <c r="AL499">
        <v>0</v>
      </c>
      <c r="AM499">
        <v>0</v>
      </c>
    </row>
    <row r="500" spans="1:39" x14ac:dyDescent="0.25">
      <c r="A500" t="s">
        <v>601</v>
      </c>
      <c r="B500" t="s">
        <v>513</v>
      </c>
      <c r="C500" t="s">
        <v>255</v>
      </c>
      <c r="D500" t="s">
        <v>234</v>
      </c>
      <c r="E500" t="s">
        <v>20</v>
      </c>
      <c r="F500" t="s">
        <v>324</v>
      </c>
      <c r="G500" t="s">
        <v>269</v>
      </c>
      <c r="H500" t="s">
        <v>254</v>
      </c>
      <c r="I500" t="s">
        <v>242</v>
      </c>
      <c r="J500" t="s">
        <v>235</v>
      </c>
      <c r="K500" s="380">
        <v>36892</v>
      </c>
      <c r="L500" s="235">
        <v>164878.49223098918</v>
      </c>
      <c r="M500" s="380">
        <v>36888</v>
      </c>
      <c r="N500" t="s">
        <v>21</v>
      </c>
      <c r="O500">
        <v>2.5</v>
      </c>
      <c r="P500">
        <v>0</v>
      </c>
      <c r="Q500">
        <v>0</v>
      </c>
      <c r="R500">
        <v>0</v>
      </c>
      <c r="S500">
        <v>0</v>
      </c>
      <c r="T500" t="s">
        <v>253</v>
      </c>
      <c r="U500" t="s">
        <v>7</v>
      </c>
      <c r="V500" t="s">
        <v>253</v>
      </c>
      <c r="W500" t="s">
        <v>132</v>
      </c>
      <c r="X500" t="s">
        <v>253</v>
      </c>
      <c r="Y500" t="s">
        <v>235</v>
      </c>
      <c r="Z500" t="s">
        <v>236</v>
      </c>
      <c r="AA500" t="s">
        <v>253</v>
      </c>
      <c r="AB500" t="s">
        <v>121</v>
      </c>
      <c r="AC500" s="235">
        <v>310000</v>
      </c>
      <c r="AD500" s="235">
        <v>23672.167547659279</v>
      </c>
      <c r="AE500">
        <v>0</v>
      </c>
      <c r="AF500">
        <v>0</v>
      </c>
      <c r="AG500">
        <v>0</v>
      </c>
      <c r="AH500" s="235">
        <v>9697.6778801135952</v>
      </c>
      <c r="AI500">
        <v>226</v>
      </c>
      <c r="AJ500" t="s">
        <v>256</v>
      </c>
      <c r="AK500">
        <v>0</v>
      </c>
      <c r="AL500">
        <v>0</v>
      </c>
      <c r="AM500">
        <v>0</v>
      </c>
    </row>
    <row r="501" spans="1:39" x14ac:dyDescent="0.25">
      <c r="A501" t="s">
        <v>601</v>
      </c>
      <c r="B501" t="s">
        <v>513</v>
      </c>
      <c r="C501" t="s">
        <v>255</v>
      </c>
      <c r="D501" t="s">
        <v>234</v>
      </c>
      <c r="E501" t="s">
        <v>20</v>
      </c>
      <c r="F501" t="s">
        <v>324</v>
      </c>
      <c r="G501" t="s">
        <v>269</v>
      </c>
      <c r="H501" t="s">
        <v>254</v>
      </c>
      <c r="I501" t="s">
        <v>242</v>
      </c>
      <c r="J501" t="s">
        <v>235</v>
      </c>
      <c r="K501" s="380">
        <v>36861</v>
      </c>
      <c r="L501" s="235">
        <v>76798.631138172423</v>
      </c>
      <c r="M501" s="380">
        <v>36859</v>
      </c>
      <c r="N501" t="s">
        <v>21</v>
      </c>
      <c r="O501">
        <v>2.5</v>
      </c>
      <c r="P501">
        <v>0</v>
      </c>
      <c r="Q501">
        <v>0</v>
      </c>
      <c r="R501">
        <v>0</v>
      </c>
      <c r="S501">
        <v>0</v>
      </c>
      <c r="T501" t="s">
        <v>253</v>
      </c>
      <c r="U501" t="s">
        <v>7</v>
      </c>
      <c r="V501" t="s">
        <v>253</v>
      </c>
      <c r="W501" t="s">
        <v>132</v>
      </c>
      <c r="X501" t="s">
        <v>253</v>
      </c>
      <c r="Y501" t="s">
        <v>235</v>
      </c>
      <c r="Z501" t="s">
        <v>236</v>
      </c>
      <c r="AA501" t="s">
        <v>253</v>
      </c>
      <c r="AB501" t="s">
        <v>121</v>
      </c>
      <c r="AC501" s="235">
        <v>310000</v>
      </c>
      <c r="AD501" s="235">
        <v>17988.316226535462</v>
      </c>
      <c r="AE501">
        <v>0</v>
      </c>
      <c r="AF501">
        <v>0</v>
      </c>
      <c r="AG501">
        <v>0</v>
      </c>
      <c r="AH501" s="235">
        <v>5205.3673497760756</v>
      </c>
      <c r="AI501">
        <v>226</v>
      </c>
      <c r="AJ501" t="s">
        <v>256</v>
      </c>
      <c r="AK501">
        <v>0</v>
      </c>
      <c r="AL501">
        <v>0</v>
      </c>
      <c r="AM501">
        <v>0</v>
      </c>
    </row>
    <row r="502" spans="1:39" x14ac:dyDescent="0.25">
      <c r="A502" t="s">
        <v>601</v>
      </c>
      <c r="B502" t="s">
        <v>513</v>
      </c>
      <c r="C502" t="s">
        <v>255</v>
      </c>
      <c r="D502" t="s">
        <v>234</v>
      </c>
      <c r="E502" t="s">
        <v>20</v>
      </c>
      <c r="F502" t="s">
        <v>324</v>
      </c>
      <c r="G502" t="s">
        <v>269</v>
      </c>
      <c r="H502" t="s">
        <v>254</v>
      </c>
      <c r="I502" t="s">
        <v>242</v>
      </c>
      <c r="J502" t="s">
        <v>235</v>
      </c>
      <c r="K502" s="380">
        <v>36831</v>
      </c>
      <c r="L502" s="235">
        <v>1931.8642528587211</v>
      </c>
      <c r="M502" s="380">
        <v>36829</v>
      </c>
      <c r="N502" t="s">
        <v>21</v>
      </c>
      <c r="O502">
        <v>2.5</v>
      </c>
      <c r="P502">
        <v>0</v>
      </c>
      <c r="Q502">
        <v>0</v>
      </c>
      <c r="R502">
        <v>0</v>
      </c>
      <c r="S502">
        <v>0</v>
      </c>
      <c r="T502" t="s">
        <v>253</v>
      </c>
      <c r="U502" t="s">
        <v>7</v>
      </c>
      <c r="V502" t="s">
        <v>253</v>
      </c>
      <c r="W502" t="s">
        <v>132</v>
      </c>
      <c r="X502" t="s">
        <v>253</v>
      </c>
      <c r="Y502" t="s">
        <v>235</v>
      </c>
      <c r="Z502" t="s">
        <v>236</v>
      </c>
      <c r="AA502" t="s">
        <v>253</v>
      </c>
      <c r="AB502" t="s">
        <v>121</v>
      </c>
      <c r="AC502" s="235">
        <v>300000</v>
      </c>
      <c r="AD502" s="235">
        <v>1569.5920027175107</v>
      </c>
      <c r="AE502">
        <v>0</v>
      </c>
      <c r="AF502">
        <v>0</v>
      </c>
      <c r="AG502">
        <v>0</v>
      </c>
      <c r="AH502" s="235">
        <v>379.93835220450842</v>
      </c>
      <c r="AI502">
        <v>226</v>
      </c>
      <c r="AJ502" t="s">
        <v>256</v>
      </c>
      <c r="AK502">
        <v>0</v>
      </c>
      <c r="AL502">
        <v>0</v>
      </c>
      <c r="AM502">
        <v>0</v>
      </c>
    </row>
    <row r="503" spans="1:39" x14ac:dyDescent="0.25">
      <c r="A503" t="s">
        <v>601</v>
      </c>
      <c r="B503" t="s">
        <v>516</v>
      </c>
      <c r="C503" t="s">
        <v>255</v>
      </c>
      <c r="D503" t="s">
        <v>234</v>
      </c>
      <c r="E503" t="s">
        <v>20</v>
      </c>
      <c r="F503" t="s">
        <v>324</v>
      </c>
      <c r="G503" t="s">
        <v>269</v>
      </c>
      <c r="H503" t="s">
        <v>254</v>
      </c>
      <c r="I503" t="s">
        <v>242</v>
      </c>
      <c r="J503" t="s">
        <v>235</v>
      </c>
      <c r="K503" s="380">
        <v>36800</v>
      </c>
      <c r="L503" s="235">
        <v>-32394.965599654479</v>
      </c>
      <c r="M503" s="380">
        <v>36797</v>
      </c>
      <c r="N503" t="s">
        <v>21</v>
      </c>
      <c r="O503">
        <v>0.4</v>
      </c>
      <c r="P503">
        <v>0</v>
      </c>
      <c r="Q503">
        <v>0</v>
      </c>
      <c r="R503">
        <v>0</v>
      </c>
      <c r="S503">
        <v>0</v>
      </c>
      <c r="T503" t="s">
        <v>253</v>
      </c>
      <c r="U503" t="s">
        <v>7</v>
      </c>
      <c r="V503" t="s">
        <v>253</v>
      </c>
      <c r="W503" t="s">
        <v>132</v>
      </c>
      <c r="X503" t="s">
        <v>253</v>
      </c>
      <c r="Y503" t="s">
        <v>235</v>
      </c>
      <c r="Z503" t="s">
        <v>236</v>
      </c>
      <c r="AA503" t="s">
        <v>253</v>
      </c>
      <c r="AB503" t="s">
        <v>121</v>
      </c>
      <c r="AC503" s="235">
        <v>-620000</v>
      </c>
      <c r="AD503" s="235">
        <v>-4046.5710210098769</v>
      </c>
      <c r="AE503">
        <v>0</v>
      </c>
      <c r="AF503">
        <v>0</v>
      </c>
      <c r="AG503">
        <v>0</v>
      </c>
      <c r="AH503" s="235">
        <v>-230.51109511461618</v>
      </c>
      <c r="AI503">
        <v>226</v>
      </c>
      <c r="AJ503" t="s">
        <v>256</v>
      </c>
      <c r="AK503">
        <v>0</v>
      </c>
      <c r="AL503">
        <v>0</v>
      </c>
      <c r="AM503">
        <v>0</v>
      </c>
    </row>
    <row r="504" spans="1:39" x14ac:dyDescent="0.25">
      <c r="A504" t="s">
        <v>601</v>
      </c>
      <c r="B504" t="s">
        <v>515</v>
      </c>
      <c r="C504" t="s">
        <v>255</v>
      </c>
      <c r="D504" t="s">
        <v>234</v>
      </c>
      <c r="E504" t="s">
        <v>20</v>
      </c>
      <c r="F504" t="s">
        <v>324</v>
      </c>
      <c r="G504" t="s">
        <v>269</v>
      </c>
      <c r="H504" t="s">
        <v>254</v>
      </c>
      <c r="I504" t="s">
        <v>242</v>
      </c>
      <c r="J504" t="s">
        <v>235</v>
      </c>
      <c r="K504" s="380">
        <v>36951</v>
      </c>
      <c r="L504" s="235">
        <v>-12666.147560565782</v>
      </c>
      <c r="M504" s="380">
        <v>36949</v>
      </c>
      <c r="N504" t="s">
        <v>21</v>
      </c>
      <c r="O504">
        <v>0.15</v>
      </c>
      <c r="P504">
        <v>0</v>
      </c>
      <c r="Q504">
        <v>0</v>
      </c>
      <c r="R504">
        <v>0</v>
      </c>
      <c r="S504">
        <v>0</v>
      </c>
      <c r="T504" t="s">
        <v>253</v>
      </c>
      <c r="U504" t="s">
        <v>600</v>
      </c>
      <c r="V504" t="s">
        <v>253</v>
      </c>
      <c r="W504" t="s">
        <v>132</v>
      </c>
      <c r="X504" t="s">
        <v>253</v>
      </c>
      <c r="Y504" t="s">
        <v>235</v>
      </c>
      <c r="Z504" t="s">
        <v>236</v>
      </c>
      <c r="AA504" t="s">
        <v>253</v>
      </c>
      <c r="AB504" t="s">
        <v>121</v>
      </c>
      <c r="AC504" s="235">
        <v>-310000</v>
      </c>
      <c r="AD504" s="235">
        <v>-3147.1792276509368</v>
      </c>
      <c r="AE504">
        <v>0</v>
      </c>
      <c r="AF504">
        <v>0</v>
      </c>
      <c r="AG504">
        <v>0</v>
      </c>
      <c r="AH504" s="235">
        <v>-160.05033692913094</v>
      </c>
      <c r="AI504">
        <v>226</v>
      </c>
      <c r="AJ504" t="s">
        <v>256</v>
      </c>
      <c r="AK504">
        <v>0</v>
      </c>
      <c r="AL504">
        <v>0</v>
      </c>
      <c r="AM504">
        <v>0</v>
      </c>
    </row>
    <row r="505" spans="1:39" x14ac:dyDescent="0.25">
      <c r="A505" t="s">
        <v>601</v>
      </c>
      <c r="B505" t="s">
        <v>515</v>
      </c>
      <c r="C505" t="s">
        <v>255</v>
      </c>
      <c r="D505" t="s">
        <v>234</v>
      </c>
      <c r="E505" t="s">
        <v>20</v>
      </c>
      <c r="F505" t="s">
        <v>324</v>
      </c>
      <c r="G505" t="s">
        <v>269</v>
      </c>
      <c r="H505" t="s">
        <v>254</v>
      </c>
      <c r="I505" t="s">
        <v>242</v>
      </c>
      <c r="J505" t="s">
        <v>235</v>
      </c>
      <c r="K505" s="380">
        <v>36923</v>
      </c>
      <c r="L505" s="235">
        <v>-14498.102560808087</v>
      </c>
      <c r="M505" s="380">
        <v>36921</v>
      </c>
      <c r="N505" t="s">
        <v>21</v>
      </c>
      <c r="O505">
        <v>0.15</v>
      </c>
      <c r="P505">
        <v>0</v>
      </c>
      <c r="Q505">
        <v>0</v>
      </c>
      <c r="R505">
        <v>0</v>
      </c>
      <c r="S505">
        <v>0</v>
      </c>
      <c r="T505" t="s">
        <v>253</v>
      </c>
      <c r="U505" t="s">
        <v>600</v>
      </c>
      <c r="V505" t="s">
        <v>253</v>
      </c>
      <c r="W505" t="s">
        <v>132</v>
      </c>
      <c r="X505" t="s">
        <v>253</v>
      </c>
      <c r="Y505" t="s">
        <v>235</v>
      </c>
      <c r="Z505" t="s">
        <v>236</v>
      </c>
      <c r="AA505" t="s">
        <v>253</v>
      </c>
      <c r="AB505" t="s">
        <v>121</v>
      </c>
      <c r="AC505" s="235">
        <v>-280000</v>
      </c>
      <c r="AD505" s="235">
        <v>-2988.6712248928816</v>
      </c>
      <c r="AE505">
        <v>0</v>
      </c>
      <c r="AF505">
        <v>0</v>
      </c>
      <c r="AG505">
        <v>0</v>
      </c>
      <c r="AH505" s="235">
        <v>-143.43839749428844</v>
      </c>
      <c r="AI505">
        <v>226</v>
      </c>
      <c r="AJ505" t="s">
        <v>256</v>
      </c>
      <c r="AK505">
        <v>0</v>
      </c>
      <c r="AL505">
        <v>0</v>
      </c>
      <c r="AM505">
        <v>0</v>
      </c>
    </row>
    <row r="506" spans="1:39" x14ac:dyDescent="0.25">
      <c r="A506" t="s">
        <v>601</v>
      </c>
      <c r="B506" t="s">
        <v>515</v>
      </c>
      <c r="C506" t="s">
        <v>255</v>
      </c>
      <c r="D506" t="s">
        <v>234</v>
      </c>
      <c r="E506" t="s">
        <v>20</v>
      </c>
      <c r="F506" t="s">
        <v>324</v>
      </c>
      <c r="G506" t="s">
        <v>269</v>
      </c>
      <c r="H506" t="s">
        <v>254</v>
      </c>
      <c r="I506" t="s">
        <v>242</v>
      </c>
      <c r="J506" t="s">
        <v>235</v>
      </c>
      <c r="K506" s="380">
        <v>36892</v>
      </c>
      <c r="L506" s="235">
        <v>-13795.943631902166</v>
      </c>
      <c r="M506" s="380">
        <v>36888</v>
      </c>
      <c r="N506" t="s">
        <v>21</v>
      </c>
      <c r="O506">
        <v>0.15</v>
      </c>
      <c r="P506">
        <v>0</v>
      </c>
      <c r="Q506">
        <v>0</v>
      </c>
      <c r="R506">
        <v>0</v>
      </c>
      <c r="S506">
        <v>0</v>
      </c>
      <c r="T506" t="s">
        <v>253</v>
      </c>
      <c r="U506" t="s">
        <v>600</v>
      </c>
      <c r="V506" t="s">
        <v>253</v>
      </c>
      <c r="W506" t="s">
        <v>132</v>
      </c>
      <c r="X506" t="s">
        <v>253</v>
      </c>
      <c r="Y506" t="s">
        <v>235</v>
      </c>
      <c r="Z506" t="s">
        <v>236</v>
      </c>
      <c r="AA506" t="s">
        <v>253</v>
      </c>
      <c r="AB506" t="s">
        <v>121</v>
      </c>
      <c r="AC506" s="235">
        <v>-310000</v>
      </c>
      <c r="AD506" s="235">
        <v>-3011.4536636004632</v>
      </c>
      <c r="AE506">
        <v>0</v>
      </c>
      <c r="AF506">
        <v>0</v>
      </c>
      <c r="AG506">
        <v>0</v>
      </c>
      <c r="AH506" s="235">
        <v>-144.9409741889267</v>
      </c>
      <c r="AI506">
        <v>226</v>
      </c>
      <c r="AJ506" t="s">
        <v>256</v>
      </c>
      <c r="AK506">
        <v>0</v>
      </c>
      <c r="AL506">
        <v>0</v>
      </c>
      <c r="AM506">
        <v>0</v>
      </c>
    </row>
    <row r="507" spans="1:39" x14ac:dyDescent="0.25">
      <c r="A507" t="s">
        <v>601</v>
      </c>
      <c r="B507" t="s">
        <v>515</v>
      </c>
      <c r="C507" t="s">
        <v>255</v>
      </c>
      <c r="D507" t="s">
        <v>234</v>
      </c>
      <c r="E507" t="s">
        <v>20</v>
      </c>
      <c r="F507" t="s">
        <v>324</v>
      </c>
      <c r="G507" t="s">
        <v>269</v>
      </c>
      <c r="H507" t="s">
        <v>254</v>
      </c>
      <c r="I507" t="s">
        <v>242</v>
      </c>
      <c r="J507" t="s">
        <v>235</v>
      </c>
      <c r="K507" s="380">
        <v>36861</v>
      </c>
      <c r="L507" s="235">
        <v>-8475.9519561765992</v>
      </c>
      <c r="M507" s="380">
        <v>36859</v>
      </c>
      <c r="N507" t="s">
        <v>21</v>
      </c>
      <c r="O507">
        <v>0.15</v>
      </c>
      <c r="P507">
        <v>0</v>
      </c>
      <c r="Q507">
        <v>0</v>
      </c>
      <c r="R507">
        <v>0</v>
      </c>
      <c r="S507">
        <v>0</v>
      </c>
      <c r="T507" t="s">
        <v>253</v>
      </c>
      <c r="U507" t="s">
        <v>600</v>
      </c>
      <c r="V507" t="s">
        <v>253</v>
      </c>
      <c r="W507" t="s">
        <v>132</v>
      </c>
      <c r="X507" t="s">
        <v>253</v>
      </c>
      <c r="Y507" t="s">
        <v>235</v>
      </c>
      <c r="Z507" t="s">
        <v>236</v>
      </c>
      <c r="AA507" t="s">
        <v>253</v>
      </c>
      <c r="AB507" t="s">
        <v>121</v>
      </c>
      <c r="AC507" s="235">
        <v>-310000</v>
      </c>
      <c r="AD507" s="235">
        <v>-2456.5757758719556</v>
      </c>
      <c r="AE507">
        <v>0</v>
      </c>
      <c r="AF507">
        <v>0</v>
      </c>
      <c r="AG507">
        <v>0</v>
      </c>
      <c r="AH507" s="235">
        <v>-123.68154086010327</v>
      </c>
      <c r="AI507">
        <v>226</v>
      </c>
      <c r="AJ507" t="s">
        <v>256</v>
      </c>
      <c r="AK507">
        <v>0</v>
      </c>
      <c r="AL507">
        <v>0</v>
      </c>
      <c r="AM507">
        <v>0</v>
      </c>
    </row>
    <row r="508" spans="1:39" x14ac:dyDescent="0.25">
      <c r="A508" t="s">
        <v>601</v>
      </c>
      <c r="B508" t="s">
        <v>515</v>
      </c>
      <c r="C508" t="s">
        <v>255</v>
      </c>
      <c r="D508" t="s">
        <v>234</v>
      </c>
      <c r="E508" t="s">
        <v>20</v>
      </c>
      <c r="F508" t="s">
        <v>324</v>
      </c>
      <c r="G508" t="s">
        <v>269</v>
      </c>
      <c r="H508" t="s">
        <v>254</v>
      </c>
      <c r="I508" t="s">
        <v>242</v>
      </c>
      <c r="J508" t="s">
        <v>235</v>
      </c>
      <c r="K508" s="380">
        <v>36831</v>
      </c>
      <c r="L508" s="235">
        <v>-4650.1575587453335</v>
      </c>
      <c r="M508" s="380">
        <v>36829</v>
      </c>
      <c r="N508" t="s">
        <v>21</v>
      </c>
      <c r="O508">
        <v>0.15</v>
      </c>
      <c r="P508">
        <v>0</v>
      </c>
      <c r="Q508">
        <v>0</v>
      </c>
      <c r="R508">
        <v>0</v>
      </c>
      <c r="S508">
        <v>0</v>
      </c>
      <c r="T508" t="s">
        <v>253</v>
      </c>
      <c r="U508" t="s">
        <v>600</v>
      </c>
      <c r="V508" t="s">
        <v>253</v>
      </c>
      <c r="W508" t="s">
        <v>132</v>
      </c>
      <c r="X508" t="s">
        <v>253</v>
      </c>
      <c r="Y508" t="s">
        <v>235</v>
      </c>
      <c r="Z508" t="s">
        <v>236</v>
      </c>
      <c r="AA508" t="s">
        <v>253</v>
      </c>
      <c r="AB508" t="s">
        <v>121</v>
      </c>
      <c r="AC508" s="235">
        <v>-300000</v>
      </c>
      <c r="AD508" s="235">
        <v>-1734.9822694649774</v>
      </c>
      <c r="AE508">
        <v>0</v>
      </c>
      <c r="AF508">
        <v>0</v>
      </c>
      <c r="AG508">
        <v>0</v>
      </c>
      <c r="AH508" s="235">
        <v>-93.596215675597705</v>
      </c>
      <c r="AI508">
        <v>226</v>
      </c>
      <c r="AJ508" t="s">
        <v>256</v>
      </c>
      <c r="AK508">
        <v>0</v>
      </c>
      <c r="AL508">
        <v>0</v>
      </c>
      <c r="AM508">
        <v>0</v>
      </c>
    </row>
    <row r="509" spans="1:39" x14ac:dyDescent="0.25">
      <c r="A509" t="s">
        <v>601</v>
      </c>
      <c r="B509" t="s">
        <v>517</v>
      </c>
      <c r="C509" t="s">
        <v>255</v>
      </c>
      <c r="D509" t="s">
        <v>234</v>
      </c>
      <c r="E509" t="s">
        <v>20</v>
      </c>
      <c r="F509" t="s">
        <v>480</v>
      </c>
      <c r="G509" t="s">
        <v>269</v>
      </c>
      <c r="H509" t="s">
        <v>254</v>
      </c>
      <c r="I509" t="s">
        <v>242</v>
      </c>
      <c r="J509" t="s">
        <v>235</v>
      </c>
      <c r="K509" s="380">
        <v>36800</v>
      </c>
      <c r="L509" s="235">
        <v>-23148.524791044591</v>
      </c>
      <c r="M509" s="380">
        <v>36797</v>
      </c>
      <c r="N509" t="s">
        <v>1</v>
      </c>
      <c r="O509">
        <v>0.4</v>
      </c>
      <c r="P509">
        <v>0</v>
      </c>
      <c r="Q509">
        <v>0</v>
      </c>
      <c r="R509">
        <v>0</v>
      </c>
      <c r="S509">
        <v>0</v>
      </c>
      <c r="T509" t="s">
        <v>253</v>
      </c>
      <c r="U509" t="s">
        <v>7</v>
      </c>
      <c r="V509" t="s">
        <v>253</v>
      </c>
      <c r="W509" t="s">
        <v>132</v>
      </c>
      <c r="X509" t="s">
        <v>253</v>
      </c>
      <c r="Y509" t="s">
        <v>235</v>
      </c>
      <c r="Z509" t="s">
        <v>236</v>
      </c>
      <c r="AA509" t="s">
        <v>253</v>
      </c>
      <c r="AB509" t="s">
        <v>121</v>
      </c>
      <c r="AC509" s="235">
        <v>-620000</v>
      </c>
      <c r="AD509" s="235">
        <v>-4046.5710210099351</v>
      </c>
      <c r="AE509">
        <v>0</v>
      </c>
      <c r="AF509">
        <v>0</v>
      </c>
      <c r="AG509">
        <v>0</v>
      </c>
      <c r="AH509" s="235">
        <v>-230.51109511506365</v>
      </c>
      <c r="AI509">
        <v>226</v>
      </c>
      <c r="AJ509" t="s">
        <v>256</v>
      </c>
      <c r="AK509">
        <v>0</v>
      </c>
      <c r="AL509">
        <v>0</v>
      </c>
      <c r="AM509">
        <v>0</v>
      </c>
    </row>
    <row r="510" spans="1:39" x14ac:dyDescent="0.25">
      <c r="A510" t="s">
        <v>601</v>
      </c>
      <c r="B510" t="s">
        <v>520</v>
      </c>
      <c r="C510" t="s">
        <v>255</v>
      </c>
      <c r="D510" t="s">
        <v>234</v>
      </c>
      <c r="E510" t="s">
        <v>20</v>
      </c>
      <c r="F510" t="s">
        <v>509</v>
      </c>
      <c r="G510" t="s">
        <v>269</v>
      </c>
      <c r="H510" t="s">
        <v>254</v>
      </c>
      <c r="I510" t="s">
        <v>242</v>
      </c>
      <c r="J510" t="s">
        <v>235</v>
      </c>
      <c r="K510" s="380">
        <v>36800</v>
      </c>
      <c r="L510" s="235">
        <v>55.34223437081431</v>
      </c>
      <c r="M510" s="380">
        <v>36797</v>
      </c>
      <c r="N510" t="s">
        <v>1</v>
      </c>
      <c r="O510">
        <v>0.3</v>
      </c>
      <c r="P510">
        <v>0</v>
      </c>
      <c r="Q510">
        <v>0</v>
      </c>
      <c r="R510">
        <v>0</v>
      </c>
      <c r="S510">
        <v>0</v>
      </c>
      <c r="T510" t="s">
        <v>253</v>
      </c>
      <c r="U510" t="s">
        <v>190</v>
      </c>
      <c r="V510" t="s">
        <v>253</v>
      </c>
      <c r="W510" t="s">
        <v>132</v>
      </c>
      <c r="X510" t="s">
        <v>253</v>
      </c>
      <c r="Y510" t="s">
        <v>235</v>
      </c>
      <c r="Z510" t="s">
        <v>236</v>
      </c>
      <c r="AA510" t="s">
        <v>253</v>
      </c>
      <c r="AB510" t="s">
        <v>121</v>
      </c>
      <c r="AC510" s="235">
        <v>500000</v>
      </c>
      <c r="AD510" s="235">
        <v>125.59262887051892</v>
      </c>
      <c r="AE510">
        <v>0</v>
      </c>
      <c r="AF510">
        <v>0</v>
      </c>
      <c r="AG510">
        <v>0</v>
      </c>
      <c r="AH510" s="235">
        <v>21.035643559486061</v>
      </c>
      <c r="AI510">
        <v>226</v>
      </c>
      <c r="AJ510" t="s">
        <v>256</v>
      </c>
      <c r="AK510">
        <v>0</v>
      </c>
      <c r="AL510">
        <v>0</v>
      </c>
      <c r="AM510">
        <v>0</v>
      </c>
    </row>
    <row r="511" spans="1:39" x14ac:dyDescent="0.25">
      <c r="A511" t="s">
        <v>601</v>
      </c>
      <c r="B511" t="s">
        <v>521</v>
      </c>
      <c r="C511" t="s">
        <v>255</v>
      </c>
      <c r="D511" t="s">
        <v>234</v>
      </c>
      <c r="E511" t="s">
        <v>20</v>
      </c>
      <c r="F511" t="s">
        <v>279</v>
      </c>
      <c r="G511" t="s">
        <v>269</v>
      </c>
      <c r="H511" t="s">
        <v>254</v>
      </c>
      <c r="I511" t="s">
        <v>242</v>
      </c>
      <c r="J511" t="s">
        <v>235</v>
      </c>
      <c r="K511" s="380">
        <v>36951</v>
      </c>
      <c r="L511" s="235">
        <v>257860.55397292617</v>
      </c>
      <c r="M511" s="380">
        <v>36949</v>
      </c>
      <c r="N511" t="s">
        <v>21</v>
      </c>
      <c r="O511">
        <v>0.3</v>
      </c>
      <c r="P511">
        <v>0</v>
      </c>
      <c r="Q511">
        <v>0</v>
      </c>
      <c r="R511">
        <v>0</v>
      </c>
      <c r="S511">
        <v>0</v>
      </c>
      <c r="T511" t="s">
        <v>253</v>
      </c>
      <c r="U511" t="s">
        <v>190</v>
      </c>
      <c r="V511" t="s">
        <v>253</v>
      </c>
      <c r="W511" t="s">
        <v>132</v>
      </c>
      <c r="X511" t="s">
        <v>253</v>
      </c>
      <c r="Y511" t="s">
        <v>235</v>
      </c>
      <c r="Z511" t="s">
        <v>236</v>
      </c>
      <c r="AA511" t="s">
        <v>253</v>
      </c>
      <c r="AB511" t="s">
        <v>121</v>
      </c>
      <c r="AC511" s="235">
        <v>500000</v>
      </c>
      <c r="AD511" s="235">
        <v>36938.398271886224</v>
      </c>
      <c r="AE511">
        <v>0</v>
      </c>
      <c r="AF511">
        <v>0</v>
      </c>
      <c r="AG511">
        <v>0</v>
      </c>
      <c r="AH511" s="235">
        <v>-16070.678662438237</v>
      </c>
      <c r="AI511">
        <v>226</v>
      </c>
      <c r="AJ511" t="s">
        <v>256</v>
      </c>
      <c r="AK511">
        <v>0</v>
      </c>
      <c r="AL511">
        <v>0</v>
      </c>
      <c r="AM511">
        <v>0</v>
      </c>
    </row>
    <row r="512" spans="1:39" x14ac:dyDescent="0.25">
      <c r="A512" t="s">
        <v>601</v>
      </c>
      <c r="B512" t="s">
        <v>521</v>
      </c>
      <c r="C512" t="s">
        <v>255</v>
      </c>
      <c r="D512" t="s">
        <v>234</v>
      </c>
      <c r="E512" t="s">
        <v>20</v>
      </c>
      <c r="F512" t="s">
        <v>279</v>
      </c>
      <c r="G512" t="s">
        <v>269</v>
      </c>
      <c r="H512" t="s">
        <v>254</v>
      </c>
      <c r="I512" t="s">
        <v>242</v>
      </c>
      <c r="J512" t="s">
        <v>235</v>
      </c>
      <c r="K512" s="380">
        <v>36923</v>
      </c>
      <c r="L512" s="235">
        <v>279861.55167511542</v>
      </c>
      <c r="M512" s="380">
        <v>36921</v>
      </c>
      <c r="N512" t="s">
        <v>21</v>
      </c>
      <c r="O512">
        <v>0.3</v>
      </c>
      <c r="P512">
        <v>0</v>
      </c>
      <c r="Q512">
        <v>0</v>
      </c>
      <c r="R512">
        <v>0</v>
      </c>
      <c r="S512">
        <v>0</v>
      </c>
      <c r="T512" t="s">
        <v>253</v>
      </c>
      <c r="U512" t="s">
        <v>190</v>
      </c>
      <c r="V512" t="s">
        <v>253</v>
      </c>
      <c r="W512" t="s">
        <v>132</v>
      </c>
      <c r="X512" t="s">
        <v>253</v>
      </c>
      <c r="Y512" t="s">
        <v>235</v>
      </c>
      <c r="Z512" t="s">
        <v>236</v>
      </c>
      <c r="AA512" t="s">
        <v>253</v>
      </c>
      <c r="AB512" t="s">
        <v>121</v>
      </c>
      <c r="AC512" s="235">
        <v>500000</v>
      </c>
      <c r="AD512" s="235">
        <v>38119.511577806552</v>
      </c>
      <c r="AE512">
        <v>0</v>
      </c>
      <c r="AF512">
        <v>0</v>
      </c>
      <c r="AG512">
        <v>0</v>
      </c>
      <c r="AH512" s="235">
        <v>-16153.235550436948</v>
      </c>
      <c r="AI512">
        <v>226</v>
      </c>
      <c r="AJ512" t="s">
        <v>256</v>
      </c>
      <c r="AK512">
        <v>0</v>
      </c>
      <c r="AL512">
        <v>0</v>
      </c>
      <c r="AM512">
        <v>0</v>
      </c>
    </row>
    <row r="513" spans="1:39" x14ac:dyDescent="0.25">
      <c r="A513" t="s">
        <v>601</v>
      </c>
      <c r="B513" t="s">
        <v>521</v>
      </c>
      <c r="C513" t="s">
        <v>255</v>
      </c>
      <c r="D513" t="s">
        <v>234</v>
      </c>
      <c r="E513" t="s">
        <v>20</v>
      </c>
      <c r="F513" t="s">
        <v>279</v>
      </c>
      <c r="G513" t="s">
        <v>269</v>
      </c>
      <c r="H513" t="s">
        <v>254</v>
      </c>
      <c r="I513" t="s">
        <v>242</v>
      </c>
      <c r="J513" t="s">
        <v>235</v>
      </c>
      <c r="K513" s="380">
        <v>36892</v>
      </c>
      <c r="L513" s="235">
        <v>324172.95214438415</v>
      </c>
      <c r="M513" s="380">
        <v>36888</v>
      </c>
      <c r="N513" t="s">
        <v>21</v>
      </c>
      <c r="O513">
        <v>0.3</v>
      </c>
      <c r="P513">
        <v>0</v>
      </c>
      <c r="Q513">
        <v>0</v>
      </c>
      <c r="R513">
        <v>0</v>
      </c>
      <c r="S513">
        <v>0</v>
      </c>
      <c r="T513" t="s">
        <v>253</v>
      </c>
      <c r="U513" t="s">
        <v>190</v>
      </c>
      <c r="V513" t="s">
        <v>253</v>
      </c>
      <c r="W513" t="s">
        <v>132</v>
      </c>
      <c r="X513" t="s">
        <v>253</v>
      </c>
      <c r="Y513" t="s">
        <v>235</v>
      </c>
      <c r="Z513" t="s">
        <v>236</v>
      </c>
      <c r="AA513" t="s">
        <v>253</v>
      </c>
      <c r="AB513" t="s">
        <v>121</v>
      </c>
      <c r="AC513" s="235">
        <v>500000</v>
      </c>
      <c r="AD513" s="235">
        <v>32570.535467963084</v>
      </c>
      <c r="AE513">
        <v>0</v>
      </c>
      <c r="AF513">
        <v>0</v>
      </c>
      <c r="AG513">
        <v>0</v>
      </c>
      <c r="AH513" s="235">
        <v>-17984.496338168508</v>
      </c>
      <c r="AI513">
        <v>226</v>
      </c>
      <c r="AJ513" t="s">
        <v>256</v>
      </c>
      <c r="AK513">
        <v>0</v>
      </c>
      <c r="AL513">
        <v>0</v>
      </c>
      <c r="AM513">
        <v>0</v>
      </c>
    </row>
    <row r="514" spans="1:39" x14ac:dyDescent="0.25">
      <c r="A514" t="s">
        <v>601</v>
      </c>
      <c r="B514" t="s">
        <v>521</v>
      </c>
      <c r="C514" t="s">
        <v>255</v>
      </c>
      <c r="D514" t="s">
        <v>234</v>
      </c>
      <c r="E514" t="s">
        <v>20</v>
      </c>
      <c r="F514" t="s">
        <v>279</v>
      </c>
      <c r="G514" t="s">
        <v>269</v>
      </c>
      <c r="H514" t="s">
        <v>254</v>
      </c>
      <c r="I514" t="s">
        <v>242</v>
      </c>
      <c r="J514" t="s">
        <v>235</v>
      </c>
      <c r="K514" s="380">
        <v>36861</v>
      </c>
      <c r="L514" s="235">
        <v>396010.62920082221</v>
      </c>
      <c r="M514" s="380">
        <v>36859</v>
      </c>
      <c r="N514" t="s">
        <v>21</v>
      </c>
      <c r="O514">
        <v>0.3</v>
      </c>
      <c r="P514">
        <v>0</v>
      </c>
      <c r="Q514">
        <v>0</v>
      </c>
      <c r="R514">
        <v>0</v>
      </c>
      <c r="S514">
        <v>0</v>
      </c>
      <c r="T514" t="s">
        <v>253</v>
      </c>
      <c r="U514" t="s">
        <v>190</v>
      </c>
      <c r="V514" t="s">
        <v>253</v>
      </c>
      <c r="W514" t="s">
        <v>132</v>
      </c>
      <c r="X514" t="s">
        <v>253</v>
      </c>
      <c r="Y514" t="s">
        <v>235</v>
      </c>
      <c r="Z514" t="s">
        <v>236</v>
      </c>
      <c r="AA514" t="s">
        <v>253</v>
      </c>
      <c r="AB514" t="s">
        <v>121</v>
      </c>
      <c r="AC514" s="235">
        <v>500000</v>
      </c>
      <c r="AD514" s="235">
        <v>22889.732875724148</v>
      </c>
      <c r="AE514">
        <v>0</v>
      </c>
      <c r="AF514">
        <v>0</v>
      </c>
      <c r="AG514">
        <v>0</v>
      </c>
      <c r="AH514" s="235">
        <v>57637.259154467494</v>
      </c>
      <c r="AI514">
        <v>226</v>
      </c>
      <c r="AJ514" t="s">
        <v>256</v>
      </c>
      <c r="AK514">
        <v>0</v>
      </c>
      <c r="AL514">
        <v>0</v>
      </c>
      <c r="AM514">
        <v>0</v>
      </c>
    </row>
    <row r="515" spans="1:39" x14ac:dyDescent="0.25">
      <c r="A515" t="s">
        <v>601</v>
      </c>
      <c r="B515" t="s">
        <v>521</v>
      </c>
      <c r="C515" t="s">
        <v>255</v>
      </c>
      <c r="D515" t="s">
        <v>234</v>
      </c>
      <c r="E515" t="s">
        <v>20</v>
      </c>
      <c r="F515" t="s">
        <v>279</v>
      </c>
      <c r="G515" t="s">
        <v>269</v>
      </c>
      <c r="H515" t="s">
        <v>254</v>
      </c>
      <c r="I515" t="s">
        <v>242</v>
      </c>
      <c r="J515" t="s">
        <v>235</v>
      </c>
      <c r="K515" s="380">
        <v>36831</v>
      </c>
      <c r="L515" s="235">
        <v>621737.6190845822</v>
      </c>
      <c r="M515" s="380">
        <v>36829</v>
      </c>
      <c r="N515" t="s">
        <v>21</v>
      </c>
      <c r="O515">
        <v>0.3</v>
      </c>
      <c r="P515">
        <v>0</v>
      </c>
      <c r="Q515">
        <v>0</v>
      </c>
      <c r="R515">
        <v>0</v>
      </c>
      <c r="S515">
        <v>0</v>
      </c>
      <c r="T515" t="s">
        <v>253</v>
      </c>
      <c r="U515" t="s">
        <v>190</v>
      </c>
      <c r="V515" t="s">
        <v>253</v>
      </c>
      <c r="W515" t="s">
        <v>132</v>
      </c>
      <c r="X515" t="s">
        <v>253</v>
      </c>
      <c r="Y515" t="s">
        <v>235</v>
      </c>
      <c r="Z515" t="s">
        <v>236</v>
      </c>
      <c r="AA515" t="s">
        <v>253</v>
      </c>
      <c r="AB515" t="s">
        <v>121</v>
      </c>
      <c r="AC515" s="235">
        <v>500000</v>
      </c>
      <c r="AD515" s="235">
        <v>6145.9479237695923</v>
      </c>
      <c r="AE515">
        <v>0</v>
      </c>
      <c r="AF515">
        <v>0</v>
      </c>
      <c r="AG515">
        <v>0</v>
      </c>
      <c r="AH515" s="235">
        <v>98690.846326602565</v>
      </c>
      <c r="AI515">
        <v>226</v>
      </c>
      <c r="AJ515" t="s">
        <v>256</v>
      </c>
      <c r="AK515">
        <v>0</v>
      </c>
      <c r="AL515">
        <v>0</v>
      </c>
      <c r="AM515">
        <v>0</v>
      </c>
    </row>
    <row r="516" spans="1:39" x14ac:dyDescent="0.25">
      <c r="A516" t="s">
        <v>601</v>
      </c>
      <c r="B516" t="s">
        <v>522</v>
      </c>
      <c r="C516" t="s">
        <v>255</v>
      </c>
      <c r="D516" t="s">
        <v>234</v>
      </c>
      <c r="E516" t="s">
        <v>20</v>
      </c>
      <c r="F516" t="s">
        <v>279</v>
      </c>
      <c r="G516" t="s">
        <v>269</v>
      </c>
      <c r="H516" t="s">
        <v>254</v>
      </c>
      <c r="I516" t="s">
        <v>242</v>
      </c>
      <c r="J516" t="s">
        <v>235</v>
      </c>
      <c r="K516" s="380">
        <v>36951</v>
      </c>
      <c r="L516" s="235">
        <v>-639293.02771516447</v>
      </c>
      <c r="M516" s="380">
        <v>36949</v>
      </c>
      <c r="N516" t="s">
        <v>1</v>
      </c>
      <c r="O516">
        <v>1.3</v>
      </c>
      <c r="P516">
        <v>0</v>
      </c>
      <c r="Q516">
        <v>0</v>
      </c>
      <c r="R516">
        <v>0</v>
      </c>
      <c r="S516">
        <v>0</v>
      </c>
      <c r="T516" t="s">
        <v>253</v>
      </c>
      <c r="U516" t="s">
        <v>7</v>
      </c>
      <c r="V516" t="s">
        <v>253</v>
      </c>
      <c r="W516" t="s">
        <v>132</v>
      </c>
      <c r="X516" t="s">
        <v>253</v>
      </c>
      <c r="Y516" t="s">
        <v>235</v>
      </c>
      <c r="Z516" t="s">
        <v>236</v>
      </c>
      <c r="AA516" t="s">
        <v>253</v>
      </c>
      <c r="AB516" t="s">
        <v>121</v>
      </c>
      <c r="AC516" s="235">
        <v>-1000000</v>
      </c>
      <c r="AD516" s="235">
        <v>-86546.081170041405</v>
      </c>
      <c r="AE516">
        <v>0</v>
      </c>
      <c r="AF516">
        <v>0</v>
      </c>
      <c r="AG516">
        <v>0</v>
      </c>
      <c r="AH516" s="235">
        <v>25921.221282452228</v>
      </c>
      <c r="AI516">
        <v>226</v>
      </c>
      <c r="AJ516" t="s">
        <v>256</v>
      </c>
      <c r="AK516">
        <v>0</v>
      </c>
      <c r="AL516">
        <v>0</v>
      </c>
      <c r="AM516">
        <v>0</v>
      </c>
    </row>
    <row r="517" spans="1:39" x14ac:dyDescent="0.25">
      <c r="A517" t="s">
        <v>601</v>
      </c>
      <c r="B517" t="s">
        <v>522</v>
      </c>
      <c r="C517" t="s">
        <v>255</v>
      </c>
      <c r="D517" t="s">
        <v>234</v>
      </c>
      <c r="E517" t="s">
        <v>20</v>
      </c>
      <c r="F517" t="s">
        <v>279</v>
      </c>
      <c r="G517" t="s">
        <v>269</v>
      </c>
      <c r="H517" t="s">
        <v>254</v>
      </c>
      <c r="I517" t="s">
        <v>242</v>
      </c>
      <c r="J517" t="s">
        <v>235</v>
      </c>
      <c r="K517" s="380">
        <v>36923</v>
      </c>
      <c r="L517" s="235">
        <v>-305404.16005784034</v>
      </c>
      <c r="M517" s="380">
        <v>36921</v>
      </c>
      <c r="N517" t="s">
        <v>1</v>
      </c>
      <c r="O517">
        <v>1.3</v>
      </c>
      <c r="P517">
        <v>0</v>
      </c>
      <c r="Q517">
        <v>0</v>
      </c>
      <c r="R517">
        <v>0</v>
      </c>
      <c r="S517">
        <v>0</v>
      </c>
      <c r="T517" t="s">
        <v>253</v>
      </c>
      <c r="U517" t="s">
        <v>7</v>
      </c>
      <c r="V517" t="s">
        <v>253</v>
      </c>
      <c r="W517" t="s">
        <v>132</v>
      </c>
      <c r="X517" t="s">
        <v>253</v>
      </c>
      <c r="Y517" t="s">
        <v>235</v>
      </c>
      <c r="Z517" t="s">
        <v>236</v>
      </c>
      <c r="AA517" t="s">
        <v>253</v>
      </c>
      <c r="AB517" t="s">
        <v>121</v>
      </c>
      <c r="AC517" s="235">
        <v>-1000000</v>
      </c>
      <c r="AD517" s="235">
        <v>-78933.135425842775</v>
      </c>
      <c r="AE517">
        <v>0</v>
      </c>
      <c r="AF517">
        <v>0</v>
      </c>
      <c r="AG517">
        <v>0</v>
      </c>
      <c r="AH517" s="235">
        <v>14574.398174056085</v>
      </c>
      <c r="AI517">
        <v>226</v>
      </c>
      <c r="AJ517" t="s">
        <v>256</v>
      </c>
      <c r="AK517">
        <v>0</v>
      </c>
      <c r="AL517">
        <v>0</v>
      </c>
      <c r="AM517">
        <v>0</v>
      </c>
    </row>
    <row r="518" spans="1:39" x14ac:dyDescent="0.25">
      <c r="A518" t="s">
        <v>601</v>
      </c>
      <c r="B518" t="s">
        <v>522</v>
      </c>
      <c r="C518" t="s">
        <v>255</v>
      </c>
      <c r="D518" t="s">
        <v>234</v>
      </c>
      <c r="E518" t="s">
        <v>20</v>
      </c>
      <c r="F518" t="s">
        <v>279</v>
      </c>
      <c r="G518" t="s">
        <v>269</v>
      </c>
      <c r="H518" t="s">
        <v>254</v>
      </c>
      <c r="I518" t="s">
        <v>242</v>
      </c>
      <c r="J518" t="s">
        <v>235</v>
      </c>
      <c r="K518" s="380">
        <v>36892</v>
      </c>
      <c r="L518" s="235">
        <v>-256363.39276386311</v>
      </c>
      <c r="M518" s="380">
        <v>36888</v>
      </c>
      <c r="N518" t="s">
        <v>1</v>
      </c>
      <c r="O518">
        <v>1.3</v>
      </c>
      <c r="P518">
        <v>0</v>
      </c>
      <c r="Q518">
        <v>0</v>
      </c>
      <c r="R518">
        <v>0</v>
      </c>
      <c r="S518">
        <v>0</v>
      </c>
      <c r="T518" t="s">
        <v>253</v>
      </c>
      <c r="U518" t="s">
        <v>7</v>
      </c>
      <c r="V518" t="s">
        <v>253</v>
      </c>
      <c r="W518" t="s">
        <v>132</v>
      </c>
      <c r="X518" t="s">
        <v>253</v>
      </c>
      <c r="Y518" t="s">
        <v>235</v>
      </c>
      <c r="Z518" t="s">
        <v>236</v>
      </c>
      <c r="AA518" t="s">
        <v>253</v>
      </c>
      <c r="AB518" t="s">
        <v>121</v>
      </c>
      <c r="AC518" s="235">
        <v>-1000000</v>
      </c>
      <c r="AD518" s="235">
        <v>-69350.770418858359</v>
      </c>
      <c r="AE518">
        <v>0</v>
      </c>
      <c r="AF518">
        <v>0</v>
      </c>
      <c r="AG518">
        <v>0</v>
      </c>
      <c r="AH518" s="235">
        <v>11192.703146449814</v>
      </c>
      <c r="AI518">
        <v>226</v>
      </c>
      <c r="AJ518" t="s">
        <v>256</v>
      </c>
      <c r="AK518">
        <v>0</v>
      </c>
      <c r="AL518">
        <v>0</v>
      </c>
      <c r="AM518">
        <v>0</v>
      </c>
    </row>
    <row r="519" spans="1:39" x14ac:dyDescent="0.25">
      <c r="A519" t="s">
        <v>601</v>
      </c>
      <c r="B519" t="s">
        <v>522</v>
      </c>
      <c r="C519" t="s">
        <v>255</v>
      </c>
      <c r="D519" t="s">
        <v>234</v>
      </c>
      <c r="E519" t="s">
        <v>20</v>
      </c>
      <c r="F519" t="s">
        <v>279</v>
      </c>
      <c r="G519" t="s">
        <v>269</v>
      </c>
      <c r="H519" t="s">
        <v>254</v>
      </c>
      <c r="I519" t="s">
        <v>242</v>
      </c>
      <c r="J519" t="s">
        <v>235</v>
      </c>
      <c r="K519" s="380">
        <v>36861</v>
      </c>
      <c r="L519" s="235">
        <v>-342384.88338830875</v>
      </c>
      <c r="M519" s="380">
        <v>36859</v>
      </c>
      <c r="N519" t="s">
        <v>1</v>
      </c>
      <c r="O519">
        <v>1.3</v>
      </c>
      <c r="P519">
        <v>0</v>
      </c>
      <c r="Q519">
        <v>0</v>
      </c>
      <c r="R519">
        <v>0</v>
      </c>
      <c r="S519">
        <v>0</v>
      </c>
      <c r="T519" t="s">
        <v>253</v>
      </c>
      <c r="U519" t="s">
        <v>7</v>
      </c>
      <c r="V519" t="s">
        <v>253</v>
      </c>
      <c r="W519" t="s">
        <v>132</v>
      </c>
      <c r="X519" t="s">
        <v>253</v>
      </c>
      <c r="Y519" t="s">
        <v>235</v>
      </c>
      <c r="Z519" t="s">
        <v>236</v>
      </c>
      <c r="AA519" t="s">
        <v>253</v>
      </c>
      <c r="AB519" t="s">
        <v>121</v>
      </c>
      <c r="AC519" s="235">
        <v>-1000000</v>
      </c>
      <c r="AD519" s="235">
        <v>-69266.32151105738</v>
      </c>
      <c r="AE519">
        <v>0</v>
      </c>
      <c r="AF519">
        <v>0</v>
      </c>
      <c r="AG519">
        <v>0</v>
      </c>
      <c r="AH519" s="235">
        <v>12395.741835053544</v>
      </c>
      <c r="AI519">
        <v>226</v>
      </c>
      <c r="AJ519" t="s">
        <v>256</v>
      </c>
      <c r="AK519">
        <v>0</v>
      </c>
      <c r="AL519">
        <v>0</v>
      </c>
      <c r="AM519">
        <v>0</v>
      </c>
    </row>
    <row r="520" spans="1:39" x14ac:dyDescent="0.25">
      <c r="A520" t="s">
        <v>601</v>
      </c>
      <c r="B520" t="s">
        <v>522</v>
      </c>
      <c r="C520" t="s">
        <v>255</v>
      </c>
      <c r="D520" t="s">
        <v>234</v>
      </c>
      <c r="E520" t="s">
        <v>20</v>
      </c>
      <c r="F520" t="s">
        <v>279</v>
      </c>
      <c r="G520" t="s">
        <v>269</v>
      </c>
      <c r="H520" t="s">
        <v>254</v>
      </c>
      <c r="I520" t="s">
        <v>242</v>
      </c>
      <c r="J520" t="s">
        <v>235</v>
      </c>
      <c r="K520" s="380">
        <v>36831</v>
      </c>
      <c r="L520" s="235">
        <v>-617545.73814537795</v>
      </c>
      <c r="M520" s="380">
        <v>36829</v>
      </c>
      <c r="N520" t="s">
        <v>1</v>
      </c>
      <c r="O520">
        <v>1.3</v>
      </c>
      <c r="P520">
        <v>0</v>
      </c>
      <c r="Q520">
        <v>0</v>
      </c>
      <c r="R520">
        <v>0</v>
      </c>
      <c r="S520">
        <v>0</v>
      </c>
      <c r="T520" t="s">
        <v>253</v>
      </c>
      <c r="U520" t="s">
        <v>7</v>
      </c>
      <c r="V520" t="s">
        <v>253</v>
      </c>
      <c r="W520" t="s">
        <v>132</v>
      </c>
      <c r="X520" t="s">
        <v>253</v>
      </c>
      <c r="Y520" t="s">
        <v>235</v>
      </c>
      <c r="Z520" t="s">
        <v>236</v>
      </c>
      <c r="AA520" t="s">
        <v>253</v>
      </c>
      <c r="AB520" t="s">
        <v>121</v>
      </c>
      <c r="AC520" s="235">
        <v>-1000000</v>
      </c>
      <c r="AD520" s="235">
        <v>-32899.814411372878</v>
      </c>
      <c r="AE520">
        <v>0</v>
      </c>
      <c r="AF520">
        <v>0</v>
      </c>
      <c r="AG520">
        <v>0</v>
      </c>
      <c r="AH520" s="235">
        <v>28164.070993857342</v>
      </c>
      <c r="AI520">
        <v>226</v>
      </c>
      <c r="AJ520" t="s">
        <v>256</v>
      </c>
      <c r="AK520">
        <v>0</v>
      </c>
      <c r="AL520">
        <v>0</v>
      </c>
      <c r="AM520">
        <v>0</v>
      </c>
    </row>
    <row r="521" spans="1:39" x14ac:dyDescent="0.25">
      <c r="A521" t="s">
        <v>601</v>
      </c>
      <c r="B521" t="s">
        <v>523</v>
      </c>
      <c r="C521" t="s">
        <v>255</v>
      </c>
      <c r="D521" t="s">
        <v>234</v>
      </c>
      <c r="E521" t="s">
        <v>20</v>
      </c>
      <c r="F521" t="s">
        <v>320</v>
      </c>
      <c r="G521" t="s">
        <v>269</v>
      </c>
      <c r="H521" t="s">
        <v>254</v>
      </c>
      <c r="I521" t="s">
        <v>242</v>
      </c>
      <c r="J521" t="s">
        <v>235</v>
      </c>
      <c r="K521" s="380">
        <v>36831</v>
      </c>
      <c r="L521" s="235">
        <v>123326.93537598336</v>
      </c>
      <c r="M521" s="380">
        <v>36829</v>
      </c>
      <c r="N521" t="s">
        <v>21</v>
      </c>
      <c r="O521">
        <v>0.8</v>
      </c>
      <c r="P521">
        <v>0</v>
      </c>
      <c r="Q521">
        <v>0</v>
      </c>
      <c r="R521">
        <v>0</v>
      </c>
      <c r="S521">
        <v>0</v>
      </c>
      <c r="T521" t="s">
        <v>253</v>
      </c>
      <c r="U521" t="s">
        <v>7</v>
      </c>
      <c r="V521" t="s">
        <v>253</v>
      </c>
      <c r="W521" t="s">
        <v>132</v>
      </c>
      <c r="X521" t="s">
        <v>253</v>
      </c>
      <c r="Y521" t="s">
        <v>235</v>
      </c>
      <c r="Z521" t="s">
        <v>236</v>
      </c>
      <c r="AA521" t="s">
        <v>253</v>
      </c>
      <c r="AB521" t="s">
        <v>121</v>
      </c>
      <c r="AC521" s="235">
        <v>500000</v>
      </c>
      <c r="AD521" s="235">
        <v>22468.121636682365</v>
      </c>
      <c r="AE521">
        <v>0</v>
      </c>
      <c r="AF521">
        <v>0</v>
      </c>
      <c r="AG521">
        <v>0</v>
      </c>
      <c r="AH521" s="235">
        <v>10981.849341846362</v>
      </c>
      <c r="AI521">
        <v>226</v>
      </c>
      <c r="AJ521" t="s">
        <v>256</v>
      </c>
      <c r="AK521">
        <v>0</v>
      </c>
      <c r="AL521">
        <v>0</v>
      </c>
      <c r="AM521">
        <v>0</v>
      </c>
    </row>
    <row r="522" spans="1:39" x14ac:dyDescent="0.25">
      <c r="A522" t="s">
        <v>601</v>
      </c>
      <c r="B522" t="s">
        <v>524</v>
      </c>
      <c r="C522" t="s">
        <v>255</v>
      </c>
      <c r="D522" t="s">
        <v>234</v>
      </c>
      <c r="E522" t="s">
        <v>20</v>
      </c>
      <c r="F522" t="s">
        <v>281</v>
      </c>
      <c r="G522" t="s">
        <v>269</v>
      </c>
      <c r="H522" t="s">
        <v>254</v>
      </c>
      <c r="I522" t="s">
        <v>242</v>
      </c>
      <c r="J522" t="s">
        <v>235</v>
      </c>
      <c r="K522" s="380">
        <v>36951</v>
      </c>
      <c r="L522" s="235">
        <v>65398.446461152831</v>
      </c>
      <c r="M522" s="380">
        <v>36949</v>
      </c>
      <c r="N522" t="s">
        <v>21</v>
      </c>
      <c r="O522">
        <v>1.3</v>
      </c>
      <c r="P522">
        <v>0</v>
      </c>
      <c r="Q522">
        <v>0</v>
      </c>
      <c r="R522">
        <v>0</v>
      </c>
      <c r="S522">
        <v>0</v>
      </c>
      <c r="T522" t="s">
        <v>253</v>
      </c>
      <c r="U522" t="s">
        <v>7</v>
      </c>
      <c r="V522" t="s">
        <v>253</v>
      </c>
      <c r="W522" t="s">
        <v>132</v>
      </c>
      <c r="X522" t="s">
        <v>253</v>
      </c>
      <c r="Y522" t="s">
        <v>235</v>
      </c>
      <c r="Z522" t="s">
        <v>236</v>
      </c>
      <c r="AA522" t="s">
        <v>253</v>
      </c>
      <c r="AB522" t="s">
        <v>121</v>
      </c>
      <c r="AC522" s="235">
        <v>155000</v>
      </c>
      <c r="AD522" s="235">
        <v>13414.642581356406</v>
      </c>
      <c r="AE522">
        <v>0</v>
      </c>
      <c r="AF522">
        <v>0</v>
      </c>
      <c r="AG522">
        <v>0</v>
      </c>
      <c r="AH522" s="235">
        <v>4962.3114568898745</v>
      </c>
      <c r="AI522">
        <v>226</v>
      </c>
      <c r="AJ522" t="s">
        <v>256</v>
      </c>
      <c r="AK522">
        <v>0</v>
      </c>
      <c r="AL522">
        <v>0</v>
      </c>
      <c r="AM522">
        <v>0</v>
      </c>
    </row>
    <row r="523" spans="1:39" x14ac:dyDescent="0.25">
      <c r="A523" t="s">
        <v>601</v>
      </c>
      <c r="B523" t="s">
        <v>524</v>
      </c>
      <c r="C523" t="s">
        <v>255</v>
      </c>
      <c r="D523" t="s">
        <v>234</v>
      </c>
      <c r="E523" t="s">
        <v>20</v>
      </c>
      <c r="F523" t="s">
        <v>281</v>
      </c>
      <c r="G523" t="s">
        <v>269</v>
      </c>
      <c r="H523" t="s">
        <v>254</v>
      </c>
      <c r="I523" t="s">
        <v>242</v>
      </c>
      <c r="J523" t="s">
        <v>235</v>
      </c>
      <c r="K523" s="380">
        <v>36923</v>
      </c>
      <c r="L523" s="235">
        <v>150181.42650770181</v>
      </c>
      <c r="M523" s="380">
        <v>36921</v>
      </c>
      <c r="N523" t="s">
        <v>21</v>
      </c>
      <c r="O523">
        <v>1.3</v>
      </c>
      <c r="P523">
        <v>0</v>
      </c>
      <c r="Q523">
        <v>0</v>
      </c>
      <c r="R523">
        <v>0</v>
      </c>
      <c r="S523">
        <v>0</v>
      </c>
      <c r="T523" t="s">
        <v>253</v>
      </c>
      <c r="U523" t="s">
        <v>7</v>
      </c>
      <c r="V523" t="s">
        <v>253</v>
      </c>
      <c r="W523" t="s">
        <v>132</v>
      </c>
      <c r="X523" t="s">
        <v>253</v>
      </c>
      <c r="Y523" t="s">
        <v>235</v>
      </c>
      <c r="Z523" t="s">
        <v>236</v>
      </c>
      <c r="AA523" t="s">
        <v>253</v>
      </c>
      <c r="AB523" t="s">
        <v>121</v>
      </c>
      <c r="AC523" s="235">
        <v>140000</v>
      </c>
      <c r="AD523" s="235">
        <v>11050.638959617994</v>
      </c>
      <c r="AE523">
        <v>0</v>
      </c>
      <c r="AF523">
        <v>0</v>
      </c>
      <c r="AG523">
        <v>0</v>
      </c>
      <c r="AH523" s="235">
        <v>7473.3481823696056</v>
      </c>
      <c r="AI523">
        <v>226</v>
      </c>
      <c r="AJ523" t="s">
        <v>256</v>
      </c>
      <c r="AK523">
        <v>0</v>
      </c>
      <c r="AL523">
        <v>0</v>
      </c>
      <c r="AM523">
        <v>0</v>
      </c>
    </row>
    <row r="524" spans="1:39" x14ac:dyDescent="0.25">
      <c r="A524" t="s">
        <v>601</v>
      </c>
      <c r="B524" t="s">
        <v>524</v>
      </c>
      <c r="C524" t="s">
        <v>255</v>
      </c>
      <c r="D524" t="s">
        <v>234</v>
      </c>
      <c r="E524" t="s">
        <v>20</v>
      </c>
      <c r="F524" t="s">
        <v>281</v>
      </c>
      <c r="G524" t="s">
        <v>269</v>
      </c>
      <c r="H524" t="s">
        <v>254</v>
      </c>
      <c r="I524" t="s">
        <v>242</v>
      </c>
      <c r="J524" t="s">
        <v>235</v>
      </c>
      <c r="K524" s="380">
        <v>36892</v>
      </c>
      <c r="L524" s="235">
        <v>171541.46843423939</v>
      </c>
      <c r="M524" s="380">
        <v>36888</v>
      </c>
      <c r="N524" t="s">
        <v>21</v>
      </c>
      <c r="O524">
        <v>1.3</v>
      </c>
      <c r="P524">
        <v>0</v>
      </c>
      <c r="Q524">
        <v>0</v>
      </c>
      <c r="R524">
        <v>0</v>
      </c>
      <c r="S524">
        <v>0</v>
      </c>
      <c r="T524" t="s">
        <v>253</v>
      </c>
      <c r="U524" t="s">
        <v>7</v>
      </c>
      <c r="V524" t="s">
        <v>253</v>
      </c>
      <c r="W524" t="s">
        <v>132</v>
      </c>
      <c r="X524" t="s">
        <v>253</v>
      </c>
      <c r="Y524" t="s">
        <v>235</v>
      </c>
      <c r="Z524" t="s">
        <v>236</v>
      </c>
      <c r="AA524" t="s">
        <v>253</v>
      </c>
      <c r="AB524" t="s">
        <v>121</v>
      </c>
      <c r="AC524" s="235">
        <v>155000</v>
      </c>
      <c r="AD524" s="235">
        <v>10749.369414923043</v>
      </c>
      <c r="AE524">
        <v>0</v>
      </c>
      <c r="AF524">
        <v>0</v>
      </c>
      <c r="AG524">
        <v>0</v>
      </c>
      <c r="AH524" s="235">
        <v>7350.2943860404484</v>
      </c>
      <c r="AI524">
        <v>226</v>
      </c>
      <c r="AJ524" t="s">
        <v>256</v>
      </c>
      <c r="AK524">
        <v>0</v>
      </c>
      <c r="AL524">
        <v>0</v>
      </c>
      <c r="AM524">
        <v>0</v>
      </c>
    </row>
    <row r="525" spans="1:39" x14ac:dyDescent="0.25">
      <c r="A525" t="s">
        <v>601</v>
      </c>
      <c r="B525" t="s">
        <v>524</v>
      </c>
      <c r="C525" t="s">
        <v>255</v>
      </c>
      <c r="D525" t="s">
        <v>234</v>
      </c>
      <c r="E525" t="s">
        <v>20</v>
      </c>
      <c r="F525" t="s">
        <v>281</v>
      </c>
      <c r="G525" t="s">
        <v>269</v>
      </c>
      <c r="H525" t="s">
        <v>254</v>
      </c>
      <c r="I525" t="s">
        <v>242</v>
      </c>
      <c r="J525" t="s">
        <v>235</v>
      </c>
      <c r="K525" s="380">
        <v>36861</v>
      </c>
      <c r="L525" s="235">
        <v>105622.5489058727</v>
      </c>
      <c r="M525" s="380">
        <v>36859</v>
      </c>
      <c r="N525" t="s">
        <v>21</v>
      </c>
      <c r="O525">
        <v>1.3</v>
      </c>
      <c r="P525">
        <v>0</v>
      </c>
      <c r="Q525">
        <v>0</v>
      </c>
      <c r="R525">
        <v>0</v>
      </c>
      <c r="S525">
        <v>0</v>
      </c>
      <c r="T525" t="s">
        <v>253</v>
      </c>
      <c r="U525" t="s">
        <v>7</v>
      </c>
      <c r="V525" t="s">
        <v>253</v>
      </c>
      <c r="W525" t="s">
        <v>132</v>
      </c>
      <c r="X525" t="s">
        <v>253</v>
      </c>
      <c r="Y525" t="s">
        <v>235</v>
      </c>
      <c r="Z525" t="s">
        <v>236</v>
      </c>
      <c r="AA525" t="s">
        <v>253</v>
      </c>
      <c r="AB525" t="s">
        <v>121</v>
      </c>
      <c r="AC525" s="235">
        <v>155000</v>
      </c>
      <c r="AD525" s="235">
        <v>10736.279834213885</v>
      </c>
      <c r="AE525">
        <v>0</v>
      </c>
      <c r="AF525">
        <v>0</v>
      </c>
      <c r="AG525">
        <v>0</v>
      </c>
      <c r="AH525" s="235">
        <v>4929.6144067295536</v>
      </c>
      <c r="AI525">
        <v>226</v>
      </c>
      <c r="AJ525" t="s">
        <v>256</v>
      </c>
      <c r="AK525">
        <v>0</v>
      </c>
      <c r="AL525">
        <v>0</v>
      </c>
      <c r="AM525">
        <v>0</v>
      </c>
    </row>
    <row r="526" spans="1:39" x14ac:dyDescent="0.25">
      <c r="A526" t="s">
        <v>601</v>
      </c>
      <c r="B526" t="s">
        <v>524</v>
      </c>
      <c r="C526" t="s">
        <v>255</v>
      </c>
      <c r="D526" t="s">
        <v>234</v>
      </c>
      <c r="E526" t="s">
        <v>20</v>
      </c>
      <c r="F526" t="s">
        <v>281</v>
      </c>
      <c r="G526" t="s">
        <v>269</v>
      </c>
      <c r="H526" t="s">
        <v>254</v>
      </c>
      <c r="I526" t="s">
        <v>242</v>
      </c>
      <c r="J526" t="s">
        <v>235</v>
      </c>
      <c r="K526" s="380">
        <v>36831</v>
      </c>
      <c r="L526" s="235">
        <v>14060.312306142168</v>
      </c>
      <c r="M526" s="380">
        <v>36829</v>
      </c>
      <c r="N526" t="s">
        <v>21</v>
      </c>
      <c r="O526">
        <v>1.3</v>
      </c>
      <c r="P526">
        <v>0</v>
      </c>
      <c r="Q526">
        <v>0</v>
      </c>
      <c r="R526">
        <v>0</v>
      </c>
      <c r="S526">
        <v>0</v>
      </c>
      <c r="T526" t="s">
        <v>253</v>
      </c>
      <c r="U526" t="s">
        <v>7</v>
      </c>
      <c r="V526" t="s">
        <v>253</v>
      </c>
      <c r="W526" t="s">
        <v>132</v>
      </c>
      <c r="X526" t="s">
        <v>253</v>
      </c>
      <c r="Y526" t="s">
        <v>235</v>
      </c>
      <c r="Z526" t="s">
        <v>236</v>
      </c>
      <c r="AA526" t="s">
        <v>253</v>
      </c>
      <c r="AB526" t="s">
        <v>121</v>
      </c>
      <c r="AC526" s="235">
        <v>150000</v>
      </c>
      <c r="AD526" s="235">
        <v>4934.9721617059295</v>
      </c>
      <c r="AE526">
        <v>0</v>
      </c>
      <c r="AF526">
        <v>0</v>
      </c>
      <c r="AG526">
        <v>0</v>
      </c>
      <c r="AH526" s="235">
        <v>1702.0524628067997</v>
      </c>
      <c r="AI526">
        <v>226</v>
      </c>
      <c r="AJ526" t="s">
        <v>256</v>
      </c>
      <c r="AK526">
        <v>0</v>
      </c>
      <c r="AL526">
        <v>0</v>
      </c>
      <c r="AM526">
        <v>0</v>
      </c>
    </row>
    <row r="527" spans="1:39" x14ac:dyDescent="0.25">
      <c r="A527" t="s">
        <v>601</v>
      </c>
      <c r="B527" t="s">
        <v>525</v>
      </c>
      <c r="C527" t="s">
        <v>255</v>
      </c>
      <c r="D527" t="s">
        <v>234</v>
      </c>
      <c r="E527" t="s">
        <v>20</v>
      </c>
      <c r="F527" t="s">
        <v>281</v>
      </c>
      <c r="G527" t="s">
        <v>269</v>
      </c>
      <c r="H527" t="s">
        <v>254</v>
      </c>
      <c r="I527" t="s">
        <v>242</v>
      </c>
      <c r="J527" t="s">
        <v>235</v>
      </c>
      <c r="K527" s="380">
        <v>36951</v>
      </c>
      <c r="L527" s="235">
        <v>99090.419295850501</v>
      </c>
      <c r="M527" s="380">
        <v>36949</v>
      </c>
      <c r="N527" t="s">
        <v>1</v>
      </c>
      <c r="O527">
        <v>1.3</v>
      </c>
      <c r="P527">
        <v>0</v>
      </c>
      <c r="Q527">
        <v>0</v>
      </c>
      <c r="R527">
        <v>0</v>
      </c>
      <c r="S527">
        <v>0</v>
      </c>
      <c r="T527" t="s">
        <v>253</v>
      </c>
      <c r="U527" t="s">
        <v>7</v>
      </c>
      <c r="V527" t="s">
        <v>253</v>
      </c>
      <c r="W527" t="s">
        <v>132</v>
      </c>
      <c r="X527" t="s">
        <v>253</v>
      </c>
      <c r="Y527" t="s">
        <v>235</v>
      </c>
      <c r="Z527" t="s">
        <v>236</v>
      </c>
      <c r="AA527" t="s">
        <v>253</v>
      </c>
      <c r="AB527" t="s">
        <v>121</v>
      </c>
      <c r="AC527" s="235">
        <v>155000</v>
      </c>
      <c r="AD527" s="235">
        <v>13414.642581356413</v>
      </c>
      <c r="AE527">
        <v>0</v>
      </c>
      <c r="AF527">
        <v>0</v>
      </c>
      <c r="AG527">
        <v>0</v>
      </c>
      <c r="AH527" s="235">
        <v>-4017.7892987801024</v>
      </c>
      <c r="AI527">
        <v>226</v>
      </c>
      <c r="AJ527" t="s">
        <v>256</v>
      </c>
      <c r="AK527">
        <v>0</v>
      </c>
      <c r="AL527">
        <v>0</v>
      </c>
      <c r="AM527">
        <v>0</v>
      </c>
    </row>
    <row r="528" spans="1:39" x14ac:dyDescent="0.25">
      <c r="A528" t="s">
        <v>601</v>
      </c>
      <c r="B528" t="s">
        <v>525</v>
      </c>
      <c r="C528" t="s">
        <v>255</v>
      </c>
      <c r="D528" t="s">
        <v>234</v>
      </c>
      <c r="E528" t="s">
        <v>20</v>
      </c>
      <c r="F528" t="s">
        <v>281</v>
      </c>
      <c r="G528" t="s">
        <v>269</v>
      </c>
      <c r="H528" t="s">
        <v>254</v>
      </c>
      <c r="I528" t="s">
        <v>242</v>
      </c>
      <c r="J528" t="s">
        <v>235</v>
      </c>
      <c r="K528" s="380">
        <v>36923</v>
      </c>
      <c r="L528" s="235">
        <v>42756.582408097645</v>
      </c>
      <c r="M528" s="380">
        <v>36921</v>
      </c>
      <c r="N528" t="s">
        <v>1</v>
      </c>
      <c r="O528">
        <v>1.3</v>
      </c>
      <c r="P528">
        <v>0</v>
      </c>
      <c r="Q528">
        <v>0</v>
      </c>
      <c r="R528">
        <v>0</v>
      </c>
      <c r="S528">
        <v>0</v>
      </c>
      <c r="T528" t="s">
        <v>253</v>
      </c>
      <c r="U528" t="s">
        <v>7</v>
      </c>
      <c r="V528" t="s">
        <v>253</v>
      </c>
      <c r="W528" t="s">
        <v>132</v>
      </c>
      <c r="X528" t="s">
        <v>253</v>
      </c>
      <c r="Y528" t="s">
        <v>235</v>
      </c>
      <c r="Z528" t="s">
        <v>236</v>
      </c>
      <c r="AA528" t="s">
        <v>253</v>
      </c>
      <c r="AB528" t="s">
        <v>121</v>
      </c>
      <c r="AC528" s="235">
        <v>140000</v>
      </c>
      <c r="AD528" s="235">
        <v>11050.638959617994</v>
      </c>
      <c r="AE528">
        <v>0</v>
      </c>
      <c r="AF528">
        <v>0</v>
      </c>
      <c r="AG528">
        <v>0</v>
      </c>
      <c r="AH528" s="235">
        <v>-2040.4157443678414</v>
      </c>
      <c r="AI528">
        <v>226</v>
      </c>
      <c r="AJ528" t="s">
        <v>256</v>
      </c>
      <c r="AK528">
        <v>0</v>
      </c>
      <c r="AL528">
        <v>0</v>
      </c>
      <c r="AM528">
        <v>0</v>
      </c>
    </row>
    <row r="529" spans="1:39" x14ac:dyDescent="0.25">
      <c r="A529" t="s">
        <v>601</v>
      </c>
      <c r="B529" t="s">
        <v>525</v>
      </c>
      <c r="C529" t="s">
        <v>255</v>
      </c>
      <c r="D529" t="s">
        <v>234</v>
      </c>
      <c r="E529" t="s">
        <v>20</v>
      </c>
      <c r="F529" t="s">
        <v>281</v>
      </c>
      <c r="G529" t="s">
        <v>269</v>
      </c>
      <c r="H529" t="s">
        <v>254</v>
      </c>
      <c r="I529" t="s">
        <v>242</v>
      </c>
      <c r="J529" t="s">
        <v>235</v>
      </c>
      <c r="K529" s="380">
        <v>36892</v>
      </c>
      <c r="L529" s="235">
        <v>39736.325878398784</v>
      </c>
      <c r="M529" s="380">
        <v>36888</v>
      </c>
      <c r="N529" t="s">
        <v>1</v>
      </c>
      <c r="O529">
        <v>1.3</v>
      </c>
      <c r="P529">
        <v>0</v>
      </c>
      <c r="Q529">
        <v>0</v>
      </c>
      <c r="R529">
        <v>0</v>
      </c>
      <c r="S529">
        <v>0</v>
      </c>
      <c r="T529" t="s">
        <v>253</v>
      </c>
      <c r="U529" t="s">
        <v>7</v>
      </c>
      <c r="V529" t="s">
        <v>253</v>
      </c>
      <c r="W529" t="s">
        <v>132</v>
      </c>
      <c r="X529" t="s">
        <v>253</v>
      </c>
      <c r="Y529" t="s">
        <v>235</v>
      </c>
      <c r="Z529" t="s">
        <v>236</v>
      </c>
      <c r="AA529" t="s">
        <v>253</v>
      </c>
      <c r="AB529" t="s">
        <v>121</v>
      </c>
      <c r="AC529" s="235">
        <v>155000</v>
      </c>
      <c r="AD529" s="235">
        <v>10749.36941492305</v>
      </c>
      <c r="AE529">
        <v>0</v>
      </c>
      <c r="AF529">
        <v>0</v>
      </c>
      <c r="AG529">
        <v>0</v>
      </c>
      <c r="AH529" s="235">
        <v>-1734.8689876997232</v>
      </c>
      <c r="AI529">
        <v>226</v>
      </c>
      <c r="AJ529" t="s">
        <v>256</v>
      </c>
      <c r="AK529">
        <v>0</v>
      </c>
      <c r="AL529">
        <v>0</v>
      </c>
      <c r="AM529">
        <v>0</v>
      </c>
    </row>
    <row r="530" spans="1:39" x14ac:dyDescent="0.25">
      <c r="A530" t="s">
        <v>601</v>
      </c>
      <c r="B530" t="s">
        <v>525</v>
      </c>
      <c r="C530" t="s">
        <v>255</v>
      </c>
      <c r="D530" t="s">
        <v>234</v>
      </c>
      <c r="E530" t="s">
        <v>20</v>
      </c>
      <c r="F530" t="s">
        <v>281</v>
      </c>
      <c r="G530" t="s">
        <v>269</v>
      </c>
      <c r="H530" t="s">
        <v>254</v>
      </c>
      <c r="I530" t="s">
        <v>242</v>
      </c>
      <c r="J530" t="s">
        <v>235</v>
      </c>
      <c r="K530" s="380">
        <v>36861</v>
      </c>
      <c r="L530" s="235">
        <v>53069.656925187854</v>
      </c>
      <c r="M530" s="380">
        <v>36859</v>
      </c>
      <c r="N530" t="s">
        <v>1</v>
      </c>
      <c r="O530">
        <v>1.3</v>
      </c>
      <c r="P530">
        <v>0</v>
      </c>
      <c r="Q530">
        <v>0</v>
      </c>
      <c r="R530">
        <v>0</v>
      </c>
      <c r="S530">
        <v>0</v>
      </c>
      <c r="T530" t="s">
        <v>253</v>
      </c>
      <c r="U530" t="s">
        <v>7</v>
      </c>
      <c r="V530" t="s">
        <v>253</v>
      </c>
      <c r="W530" t="s">
        <v>132</v>
      </c>
      <c r="X530" t="s">
        <v>253</v>
      </c>
      <c r="Y530" t="s">
        <v>235</v>
      </c>
      <c r="Z530" t="s">
        <v>236</v>
      </c>
      <c r="AA530" t="s">
        <v>253</v>
      </c>
      <c r="AB530" t="s">
        <v>121</v>
      </c>
      <c r="AC530" s="235">
        <v>155000</v>
      </c>
      <c r="AD530" s="235">
        <v>10736.279834213892</v>
      </c>
      <c r="AE530">
        <v>0</v>
      </c>
      <c r="AF530">
        <v>0</v>
      </c>
      <c r="AG530">
        <v>0</v>
      </c>
      <c r="AH530" s="235">
        <v>-1921.3399844332962</v>
      </c>
      <c r="AI530">
        <v>226</v>
      </c>
      <c r="AJ530" t="s">
        <v>256</v>
      </c>
      <c r="AK530">
        <v>0</v>
      </c>
      <c r="AL530">
        <v>0</v>
      </c>
      <c r="AM530">
        <v>0</v>
      </c>
    </row>
    <row r="531" spans="1:39" x14ac:dyDescent="0.25">
      <c r="A531" t="s">
        <v>601</v>
      </c>
      <c r="B531" t="s">
        <v>525</v>
      </c>
      <c r="C531" t="s">
        <v>255</v>
      </c>
      <c r="D531" t="s">
        <v>234</v>
      </c>
      <c r="E531" t="s">
        <v>20</v>
      </c>
      <c r="F531" t="s">
        <v>281</v>
      </c>
      <c r="G531" t="s">
        <v>269</v>
      </c>
      <c r="H531" t="s">
        <v>254</v>
      </c>
      <c r="I531" t="s">
        <v>242</v>
      </c>
      <c r="J531" t="s">
        <v>235</v>
      </c>
      <c r="K531" s="380">
        <v>36831</v>
      </c>
      <c r="L531" s="235">
        <v>92631.86072180669</v>
      </c>
      <c r="M531" s="380">
        <v>36829</v>
      </c>
      <c r="N531" t="s">
        <v>1</v>
      </c>
      <c r="O531">
        <v>1.3</v>
      </c>
      <c r="P531">
        <v>0</v>
      </c>
      <c r="Q531">
        <v>0</v>
      </c>
      <c r="R531">
        <v>0</v>
      </c>
      <c r="S531">
        <v>0</v>
      </c>
      <c r="T531" t="s">
        <v>253</v>
      </c>
      <c r="U531" t="s">
        <v>7</v>
      </c>
      <c r="V531" t="s">
        <v>253</v>
      </c>
      <c r="W531" t="s">
        <v>132</v>
      </c>
      <c r="X531" t="s">
        <v>253</v>
      </c>
      <c r="Y531" t="s">
        <v>235</v>
      </c>
      <c r="Z531" t="s">
        <v>236</v>
      </c>
      <c r="AA531" t="s">
        <v>253</v>
      </c>
      <c r="AB531" t="s">
        <v>121</v>
      </c>
      <c r="AC531" s="235">
        <v>150000</v>
      </c>
      <c r="AD531" s="235">
        <v>4934.9721617059404</v>
      </c>
      <c r="AE531">
        <v>0</v>
      </c>
      <c r="AF531">
        <v>0</v>
      </c>
      <c r="AG531">
        <v>0</v>
      </c>
      <c r="AH531" s="235">
        <v>-4224.6106490786042</v>
      </c>
      <c r="AI531">
        <v>226</v>
      </c>
      <c r="AJ531" t="s">
        <v>256</v>
      </c>
      <c r="AK531">
        <v>0</v>
      </c>
      <c r="AL531">
        <v>0</v>
      </c>
      <c r="AM531">
        <v>0</v>
      </c>
    </row>
    <row r="532" spans="1:39" x14ac:dyDescent="0.25">
      <c r="A532" t="s">
        <v>601</v>
      </c>
      <c r="B532" t="s">
        <v>527</v>
      </c>
      <c r="C532" t="s">
        <v>255</v>
      </c>
      <c r="D532" t="s">
        <v>234</v>
      </c>
      <c r="E532" t="s">
        <v>20</v>
      </c>
      <c r="F532" t="s">
        <v>480</v>
      </c>
      <c r="G532" t="s">
        <v>269</v>
      </c>
      <c r="H532" t="s">
        <v>254</v>
      </c>
      <c r="I532" t="s">
        <v>242</v>
      </c>
      <c r="J532" t="s">
        <v>235</v>
      </c>
      <c r="K532" s="380">
        <v>36800</v>
      </c>
      <c r="L532" s="235">
        <v>-46297.049582089181</v>
      </c>
      <c r="M532" s="380">
        <v>36797</v>
      </c>
      <c r="N532" t="s">
        <v>1</v>
      </c>
      <c r="O532">
        <v>0.4</v>
      </c>
      <c r="P532">
        <v>0</v>
      </c>
      <c r="Q532">
        <v>0</v>
      </c>
      <c r="R532">
        <v>0</v>
      </c>
      <c r="S532">
        <v>0</v>
      </c>
      <c r="T532" t="s">
        <v>253</v>
      </c>
      <c r="U532" t="s">
        <v>7</v>
      </c>
      <c r="V532" t="s">
        <v>253</v>
      </c>
      <c r="W532" t="s">
        <v>132</v>
      </c>
      <c r="X532" t="s">
        <v>253</v>
      </c>
      <c r="Y532" t="s">
        <v>235</v>
      </c>
      <c r="Z532" t="s">
        <v>236</v>
      </c>
      <c r="AA532" t="s">
        <v>253</v>
      </c>
      <c r="AB532" t="s">
        <v>121</v>
      </c>
      <c r="AC532" s="235">
        <v>-1240000</v>
      </c>
      <c r="AD532" s="235">
        <v>-8093.1420420198701</v>
      </c>
      <c r="AE532">
        <v>0</v>
      </c>
      <c r="AF532">
        <v>0</v>
      </c>
      <c r="AG532">
        <v>0</v>
      </c>
      <c r="AH532" s="235">
        <v>-461.02219023012731</v>
      </c>
      <c r="AI532">
        <v>226</v>
      </c>
      <c r="AJ532" t="s">
        <v>256</v>
      </c>
      <c r="AK532">
        <v>0</v>
      </c>
      <c r="AL532">
        <v>0</v>
      </c>
      <c r="AM532">
        <v>0</v>
      </c>
    </row>
    <row r="533" spans="1:39" x14ac:dyDescent="0.25">
      <c r="A533" t="s">
        <v>601</v>
      </c>
      <c r="B533" t="s">
        <v>528</v>
      </c>
      <c r="C533" t="s">
        <v>255</v>
      </c>
      <c r="D533" t="s">
        <v>234</v>
      </c>
      <c r="E533" t="s">
        <v>20</v>
      </c>
      <c r="F533" t="s">
        <v>480</v>
      </c>
      <c r="G533" t="s">
        <v>269</v>
      </c>
      <c r="H533" t="s">
        <v>254</v>
      </c>
      <c r="I533" t="s">
        <v>242</v>
      </c>
      <c r="J533" t="s">
        <v>235</v>
      </c>
      <c r="K533" s="380">
        <v>36951</v>
      </c>
      <c r="L533" s="235">
        <v>-16938.378156985178</v>
      </c>
      <c r="M533" s="380">
        <v>36949</v>
      </c>
      <c r="N533" t="s">
        <v>21</v>
      </c>
      <c r="O533">
        <v>0.4</v>
      </c>
      <c r="P533">
        <v>0</v>
      </c>
      <c r="Q533">
        <v>0</v>
      </c>
      <c r="R533">
        <v>0</v>
      </c>
      <c r="S533">
        <v>0</v>
      </c>
      <c r="T533" t="s">
        <v>253</v>
      </c>
      <c r="U533" t="s">
        <v>10</v>
      </c>
      <c r="V533" t="s">
        <v>253</v>
      </c>
      <c r="W533" t="s">
        <v>132</v>
      </c>
      <c r="X533" t="s">
        <v>253</v>
      </c>
      <c r="Y533" t="s">
        <v>235</v>
      </c>
      <c r="Z533" t="s">
        <v>236</v>
      </c>
      <c r="AA533" t="s">
        <v>253</v>
      </c>
      <c r="AB533" t="s">
        <v>121</v>
      </c>
      <c r="AC533" s="235">
        <v>-310000</v>
      </c>
      <c r="AD533" s="235">
        <v>-4991.5461850508727</v>
      </c>
      <c r="AE533">
        <v>0</v>
      </c>
      <c r="AF533">
        <v>0</v>
      </c>
      <c r="AG533">
        <v>0</v>
      </c>
      <c r="AH533" s="235">
        <v>-253.52482749227056</v>
      </c>
      <c r="AI533">
        <v>226</v>
      </c>
      <c r="AJ533" t="s">
        <v>256</v>
      </c>
      <c r="AK533">
        <v>0</v>
      </c>
      <c r="AL533">
        <v>0</v>
      </c>
      <c r="AM533">
        <v>0</v>
      </c>
    </row>
    <row r="534" spans="1:39" x14ac:dyDescent="0.25">
      <c r="A534" t="s">
        <v>601</v>
      </c>
      <c r="B534" t="s">
        <v>528</v>
      </c>
      <c r="C534" t="s">
        <v>255</v>
      </c>
      <c r="D534" t="s">
        <v>234</v>
      </c>
      <c r="E534" t="s">
        <v>20</v>
      </c>
      <c r="F534" t="s">
        <v>480</v>
      </c>
      <c r="G534" t="s">
        <v>269</v>
      </c>
      <c r="H534" t="s">
        <v>254</v>
      </c>
      <c r="I534" t="s">
        <v>242</v>
      </c>
      <c r="J534" t="s">
        <v>235</v>
      </c>
      <c r="K534" s="380">
        <v>36923</v>
      </c>
      <c r="L534" s="235">
        <v>-19741.876989106982</v>
      </c>
      <c r="M534" s="380">
        <v>36921</v>
      </c>
      <c r="N534" t="s">
        <v>21</v>
      </c>
      <c r="O534">
        <v>0.4</v>
      </c>
      <c r="P534">
        <v>0</v>
      </c>
      <c r="Q534">
        <v>0</v>
      </c>
      <c r="R534">
        <v>0</v>
      </c>
      <c r="S534">
        <v>0</v>
      </c>
      <c r="T534" t="s">
        <v>253</v>
      </c>
      <c r="U534" t="s">
        <v>10</v>
      </c>
      <c r="V534" t="s">
        <v>253</v>
      </c>
      <c r="W534" t="s">
        <v>132</v>
      </c>
      <c r="X534" t="s">
        <v>253</v>
      </c>
      <c r="Y534" t="s">
        <v>235</v>
      </c>
      <c r="Z534" t="s">
        <v>236</v>
      </c>
      <c r="AA534" t="s">
        <v>253</v>
      </c>
      <c r="AB534" t="s">
        <v>121</v>
      </c>
      <c r="AC534" s="235">
        <v>-280000</v>
      </c>
      <c r="AD534" s="235">
        <v>-4900.9819686976698</v>
      </c>
      <c r="AE534">
        <v>0</v>
      </c>
      <c r="AF534">
        <v>0</v>
      </c>
      <c r="AG534">
        <v>0</v>
      </c>
      <c r="AH534" s="235">
        <v>-235.0889822088393</v>
      </c>
      <c r="AI534">
        <v>226</v>
      </c>
      <c r="AJ534" t="s">
        <v>256</v>
      </c>
      <c r="AK534">
        <v>0</v>
      </c>
      <c r="AL534">
        <v>0</v>
      </c>
      <c r="AM534">
        <v>0</v>
      </c>
    </row>
    <row r="535" spans="1:39" x14ac:dyDescent="0.25">
      <c r="A535" t="s">
        <v>601</v>
      </c>
      <c r="B535" t="s">
        <v>528</v>
      </c>
      <c r="C535" t="s">
        <v>255</v>
      </c>
      <c r="D535" t="s">
        <v>234</v>
      </c>
      <c r="E535" t="s">
        <v>20</v>
      </c>
      <c r="F535" t="s">
        <v>480</v>
      </c>
      <c r="G535" t="s">
        <v>269</v>
      </c>
      <c r="H535" t="s">
        <v>254</v>
      </c>
      <c r="I535" t="s">
        <v>242</v>
      </c>
      <c r="J535" t="s">
        <v>235</v>
      </c>
      <c r="K535" s="380">
        <v>36892</v>
      </c>
      <c r="L535" s="235">
        <v>-20618.916467714673</v>
      </c>
      <c r="M535" s="380">
        <v>36888</v>
      </c>
      <c r="N535" t="s">
        <v>21</v>
      </c>
      <c r="O535">
        <v>0.4</v>
      </c>
      <c r="P535">
        <v>0</v>
      </c>
      <c r="Q535">
        <v>0</v>
      </c>
      <c r="R535">
        <v>0</v>
      </c>
      <c r="S535">
        <v>0</v>
      </c>
      <c r="T535" t="s">
        <v>253</v>
      </c>
      <c r="U535" t="s">
        <v>10</v>
      </c>
      <c r="V535" t="s">
        <v>253</v>
      </c>
      <c r="W535" t="s">
        <v>132</v>
      </c>
      <c r="X535" t="s">
        <v>253</v>
      </c>
      <c r="Y535" t="s">
        <v>235</v>
      </c>
      <c r="Z535" t="s">
        <v>236</v>
      </c>
      <c r="AA535" t="s">
        <v>253</v>
      </c>
      <c r="AB535" t="s">
        <v>121</v>
      </c>
      <c r="AC535" s="235">
        <v>-310000</v>
      </c>
      <c r="AD535" s="235">
        <v>-4973.7028637230251</v>
      </c>
      <c r="AE535">
        <v>0</v>
      </c>
      <c r="AF535">
        <v>0</v>
      </c>
      <c r="AG535">
        <v>0</v>
      </c>
      <c r="AH535" s="235">
        <v>-239.33119049751622</v>
      </c>
      <c r="AI535">
        <v>226</v>
      </c>
      <c r="AJ535" t="s">
        <v>256</v>
      </c>
      <c r="AK535">
        <v>0</v>
      </c>
      <c r="AL535">
        <v>0</v>
      </c>
      <c r="AM535">
        <v>0</v>
      </c>
    </row>
    <row r="536" spans="1:39" x14ac:dyDescent="0.25">
      <c r="A536" t="s">
        <v>601</v>
      </c>
      <c r="B536" t="s">
        <v>528</v>
      </c>
      <c r="C536" t="s">
        <v>255</v>
      </c>
      <c r="D536" t="s">
        <v>234</v>
      </c>
      <c r="E536" t="s">
        <v>20</v>
      </c>
      <c r="F536" t="s">
        <v>480</v>
      </c>
      <c r="G536" t="s">
        <v>269</v>
      </c>
      <c r="H536" t="s">
        <v>254</v>
      </c>
      <c r="I536" t="s">
        <v>242</v>
      </c>
      <c r="J536" t="s">
        <v>235</v>
      </c>
      <c r="K536" s="380">
        <v>36861</v>
      </c>
      <c r="L536" s="235">
        <v>-16210.647991667753</v>
      </c>
      <c r="M536" s="380">
        <v>36859</v>
      </c>
      <c r="N536" t="s">
        <v>21</v>
      </c>
      <c r="O536">
        <v>0.4</v>
      </c>
      <c r="P536">
        <v>0</v>
      </c>
      <c r="Q536">
        <v>0</v>
      </c>
      <c r="R536">
        <v>0</v>
      </c>
      <c r="S536">
        <v>0</v>
      </c>
      <c r="T536" t="s">
        <v>253</v>
      </c>
      <c r="U536" t="s">
        <v>10</v>
      </c>
      <c r="V536" t="s">
        <v>253</v>
      </c>
      <c r="W536" t="s">
        <v>132</v>
      </c>
      <c r="X536" t="s">
        <v>253</v>
      </c>
      <c r="Y536" t="s">
        <v>235</v>
      </c>
      <c r="Z536" t="s">
        <v>236</v>
      </c>
      <c r="AA536" t="s">
        <v>253</v>
      </c>
      <c r="AB536" t="s">
        <v>121</v>
      </c>
      <c r="AC536" s="235">
        <v>-310000</v>
      </c>
      <c r="AD536" s="235">
        <v>-4214.9615178596723</v>
      </c>
      <c r="AE536">
        <v>0</v>
      </c>
      <c r="AF536">
        <v>0</v>
      </c>
      <c r="AG536">
        <v>0</v>
      </c>
      <c r="AH536" s="235">
        <v>-212.18202741733512</v>
      </c>
      <c r="AI536">
        <v>226</v>
      </c>
      <c r="AJ536" t="s">
        <v>256</v>
      </c>
      <c r="AK536">
        <v>0</v>
      </c>
      <c r="AL536">
        <v>0</v>
      </c>
      <c r="AM536">
        <v>0</v>
      </c>
    </row>
    <row r="537" spans="1:39" x14ac:dyDescent="0.25">
      <c r="A537" t="s">
        <v>601</v>
      </c>
      <c r="B537" t="s">
        <v>528</v>
      </c>
      <c r="C537" t="s">
        <v>255</v>
      </c>
      <c r="D537" t="s">
        <v>234</v>
      </c>
      <c r="E537" t="s">
        <v>20</v>
      </c>
      <c r="F537" t="s">
        <v>480</v>
      </c>
      <c r="G537" t="s">
        <v>269</v>
      </c>
      <c r="H537" t="s">
        <v>254</v>
      </c>
      <c r="I537" t="s">
        <v>242</v>
      </c>
      <c r="J537" t="s">
        <v>235</v>
      </c>
      <c r="K537" s="380">
        <v>36831</v>
      </c>
      <c r="L537" s="235">
        <v>-8370.2418436816424</v>
      </c>
      <c r="M537" s="380">
        <v>36829</v>
      </c>
      <c r="N537" t="s">
        <v>21</v>
      </c>
      <c r="O537">
        <v>0.4</v>
      </c>
      <c r="P537">
        <v>0</v>
      </c>
      <c r="Q537">
        <v>0</v>
      </c>
      <c r="R537">
        <v>0</v>
      </c>
      <c r="S537">
        <v>0</v>
      </c>
      <c r="T537" t="s">
        <v>253</v>
      </c>
      <c r="U537" t="s">
        <v>10</v>
      </c>
      <c r="V537" t="s">
        <v>253</v>
      </c>
      <c r="W537" t="s">
        <v>132</v>
      </c>
      <c r="X537" t="s">
        <v>253</v>
      </c>
      <c r="Y537" t="s">
        <v>235</v>
      </c>
      <c r="Z537" t="s">
        <v>236</v>
      </c>
      <c r="AA537" t="s">
        <v>253</v>
      </c>
      <c r="AB537" t="s">
        <v>121</v>
      </c>
      <c r="AC537" s="235">
        <v>-300000</v>
      </c>
      <c r="AD537" s="235">
        <v>-2899.1506542483112</v>
      </c>
      <c r="AE537">
        <v>0</v>
      </c>
      <c r="AF537">
        <v>0</v>
      </c>
      <c r="AG537">
        <v>0</v>
      </c>
      <c r="AH537" s="235">
        <v>-156.51634913405178</v>
      </c>
      <c r="AI537">
        <v>226</v>
      </c>
      <c r="AJ537" t="s">
        <v>256</v>
      </c>
      <c r="AK537">
        <v>0</v>
      </c>
      <c r="AL537">
        <v>0</v>
      </c>
      <c r="AM537">
        <v>0</v>
      </c>
    </row>
    <row r="538" spans="1:39" x14ac:dyDescent="0.25">
      <c r="A538" t="s">
        <v>601</v>
      </c>
      <c r="B538" t="s">
        <v>529</v>
      </c>
      <c r="C538" t="s">
        <v>255</v>
      </c>
      <c r="D538" t="s">
        <v>234</v>
      </c>
      <c r="E538" t="s">
        <v>20</v>
      </c>
      <c r="F538" t="s">
        <v>480</v>
      </c>
      <c r="G538" t="s">
        <v>269</v>
      </c>
      <c r="H538" t="s">
        <v>254</v>
      </c>
      <c r="I538" t="s">
        <v>242</v>
      </c>
      <c r="J538" t="s">
        <v>235</v>
      </c>
      <c r="K538" s="380">
        <v>36951</v>
      </c>
      <c r="L538" s="235">
        <v>-12634.503839957904</v>
      </c>
      <c r="M538" s="380">
        <v>36949</v>
      </c>
      <c r="N538" t="s">
        <v>21</v>
      </c>
      <c r="O538">
        <v>0.5</v>
      </c>
      <c r="P538">
        <v>0</v>
      </c>
      <c r="Q538">
        <v>0</v>
      </c>
      <c r="R538">
        <v>0</v>
      </c>
      <c r="S538">
        <v>0</v>
      </c>
      <c r="T538" t="s">
        <v>253</v>
      </c>
      <c r="U538" t="s">
        <v>526</v>
      </c>
      <c r="V538" t="s">
        <v>253</v>
      </c>
      <c r="W538" t="s">
        <v>132</v>
      </c>
      <c r="X538" t="s">
        <v>253</v>
      </c>
      <c r="Y538" t="s">
        <v>235</v>
      </c>
      <c r="Z538" t="s">
        <v>236</v>
      </c>
      <c r="AA538" t="s">
        <v>253</v>
      </c>
      <c r="AB538" t="s">
        <v>121</v>
      </c>
      <c r="AC538" s="235">
        <v>-310000</v>
      </c>
      <c r="AD538" s="235">
        <v>-2890.0107320401585</v>
      </c>
      <c r="AE538">
        <v>0</v>
      </c>
      <c r="AF538">
        <v>0</v>
      </c>
      <c r="AG538">
        <v>0</v>
      </c>
      <c r="AH538" s="235">
        <v>-146.63778615794581</v>
      </c>
      <c r="AI538">
        <v>226</v>
      </c>
      <c r="AJ538" t="s">
        <v>256</v>
      </c>
      <c r="AK538">
        <v>0</v>
      </c>
      <c r="AL538">
        <v>0</v>
      </c>
      <c r="AM538">
        <v>0</v>
      </c>
    </row>
    <row r="539" spans="1:39" x14ac:dyDescent="0.25">
      <c r="A539" t="s">
        <v>601</v>
      </c>
      <c r="B539" t="s">
        <v>529</v>
      </c>
      <c r="C539" t="s">
        <v>255</v>
      </c>
      <c r="D539" t="s">
        <v>234</v>
      </c>
      <c r="E539" t="s">
        <v>20</v>
      </c>
      <c r="F539" t="s">
        <v>480</v>
      </c>
      <c r="G539" t="s">
        <v>269</v>
      </c>
      <c r="H539" t="s">
        <v>254</v>
      </c>
      <c r="I539" t="s">
        <v>242</v>
      </c>
      <c r="J539" t="s">
        <v>235</v>
      </c>
      <c r="K539" s="380">
        <v>36923</v>
      </c>
      <c r="L539" s="235">
        <v>-18113.261271961474</v>
      </c>
      <c r="M539" s="380">
        <v>36921</v>
      </c>
      <c r="N539" t="s">
        <v>21</v>
      </c>
      <c r="O539">
        <v>0.5</v>
      </c>
      <c r="P539">
        <v>0</v>
      </c>
      <c r="Q539">
        <v>0</v>
      </c>
      <c r="R539">
        <v>0</v>
      </c>
      <c r="S539">
        <v>0</v>
      </c>
      <c r="T539" t="s">
        <v>253</v>
      </c>
      <c r="U539" t="s">
        <v>526</v>
      </c>
      <c r="V539" t="s">
        <v>253</v>
      </c>
      <c r="W539" t="s">
        <v>132</v>
      </c>
      <c r="X539" t="s">
        <v>253</v>
      </c>
      <c r="Y539" t="s">
        <v>235</v>
      </c>
      <c r="Z539" t="s">
        <v>236</v>
      </c>
      <c r="AA539" t="s">
        <v>253</v>
      </c>
      <c r="AB539" t="s">
        <v>121</v>
      </c>
      <c r="AC539" s="235">
        <v>-280000</v>
      </c>
      <c r="AD539" s="235">
        <v>-2967.1134607327404</v>
      </c>
      <c r="AE539">
        <v>0</v>
      </c>
      <c r="AF539">
        <v>0</v>
      </c>
      <c r="AG539">
        <v>0</v>
      </c>
      <c r="AH539" s="235">
        <v>-142.21717479139625</v>
      </c>
      <c r="AI539">
        <v>226</v>
      </c>
      <c r="AJ539" t="s">
        <v>256</v>
      </c>
      <c r="AK539">
        <v>0</v>
      </c>
      <c r="AL539">
        <v>0</v>
      </c>
      <c r="AM539">
        <v>0</v>
      </c>
    </row>
    <row r="540" spans="1:39" x14ac:dyDescent="0.25">
      <c r="A540" t="s">
        <v>601</v>
      </c>
      <c r="B540" t="s">
        <v>529</v>
      </c>
      <c r="C540" t="s">
        <v>255</v>
      </c>
      <c r="D540" t="s">
        <v>234</v>
      </c>
      <c r="E540" t="s">
        <v>20</v>
      </c>
      <c r="F540" t="s">
        <v>480</v>
      </c>
      <c r="G540" t="s">
        <v>269</v>
      </c>
      <c r="H540" t="s">
        <v>254</v>
      </c>
      <c r="I540" t="s">
        <v>242</v>
      </c>
      <c r="J540" t="s">
        <v>235</v>
      </c>
      <c r="K540" s="380">
        <v>36892</v>
      </c>
      <c r="L540" s="235">
        <v>-23161.381559321268</v>
      </c>
      <c r="M540" s="380">
        <v>36888</v>
      </c>
      <c r="N540" t="s">
        <v>21</v>
      </c>
      <c r="O540">
        <v>0.5</v>
      </c>
      <c r="P540">
        <v>0</v>
      </c>
      <c r="Q540">
        <v>0</v>
      </c>
      <c r="R540">
        <v>0</v>
      </c>
      <c r="S540">
        <v>0</v>
      </c>
      <c r="T540" t="s">
        <v>253</v>
      </c>
      <c r="U540" t="s">
        <v>526</v>
      </c>
      <c r="V540" t="s">
        <v>253</v>
      </c>
      <c r="W540" t="s">
        <v>132</v>
      </c>
      <c r="X540" t="s">
        <v>253</v>
      </c>
      <c r="Y540" t="s">
        <v>235</v>
      </c>
      <c r="Z540" t="s">
        <v>236</v>
      </c>
      <c r="AA540" t="s">
        <v>253</v>
      </c>
      <c r="AB540" t="s">
        <v>121</v>
      </c>
      <c r="AC540" s="235">
        <v>-310000</v>
      </c>
      <c r="AD540" s="235">
        <v>-3073.3968272223719</v>
      </c>
      <c r="AE540">
        <v>0</v>
      </c>
      <c r="AF540">
        <v>0</v>
      </c>
      <c r="AG540">
        <v>0</v>
      </c>
      <c r="AH540" s="235">
        <v>-147.73565943870562</v>
      </c>
      <c r="AI540">
        <v>226</v>
      </c>
      <c r="AJ540" t="s">
        <v>256</v>
      </c>
      <c r="AK540">
        <v>0</v>
      </c>
      <c r="AL540">
        <v>0</v>
      </c>
      <c r="AM540">
        <v>0</v>
      </c>
    </row>
    <row r="541" spans="1:39" x14ac:dyDescent="0.25">
      <c r="A541" t="s">
        <v>601</v>
      </c>
      <c r="B541" t="s">
        <v>529</v>
      </c>
      <c r="C541" t="s">
        <v>255</v>
      </c>
      <c r="D541" t="s">
        <v>234</v>
      </c>
      <c r="E541" t="s">
        <v>20</v>
      </c>
      <c r="F541" t="s">
        <v>480</v>
      </c>
      <c r="G541" t="s">
        <v>269</v>
      </c>
      <c r="H541" t="s">
        <v>254</v>
      </c>
      <c r="I541" t="s">
        <v>242</v>
      </c>
      <c r="J541" t="s">
        <v>235</v>
      </c>
      <c r="K541" s="380">
        <v>36861</v>
      </c>
      <c r="L541" s="235">
        <v>-10638.913298704892</v>
      </c>
      <c r="M541" s="380">
        <v>36859</v>
      </c>
      <c r="N541" t="s">
        <v>21</v>
      </c>
      <c r="O541">
        <v>0.5</v>
      </c>
      <c r="P541">
        <v>0</v>
      </c>
      <c r="Q541">
        <v>0</v>
      </c>
      <c r="R541">
        <v>0</v>
      </c>
      <c r="S541">
        <v>0</v>
      </c>
      <c r="T541" t="s">
        <v>253</v>
      </c>
      <c r="U541" t="s">
        <v>526</v>
      </c>
      <c r="V541" t="s">
        <v>253</v>
      </c>
      <c r="W541" t="s">
        <v>132</v>
      </c>
      <c r="X541" t="s">
        <v>253</v>
      </c>
      <c r="Y541" t="s">
        <v>235</v>
      </c>
      <c r="Z541" t="s">
        <v>236</v>
      </c>
      <c r="AA541" t="s">
        <v>253</v>
      </c>
      <c r="AB541" t="s">
        <v>121</v>
      </c>
      <c r="AC541" s="235">
        <v>-310000</v>
      </c>
      <c r="AD541" s="235">
        <v>-2381.3608883244451</v>
      </c>
      <c r="AE541">
        <v>0</v>
      </c>
      <c r="AF541">
        <v>0</v>
      </c>
      <c r="AG541">
        <v>0</v>
      </c>
      <c r="AH541" s="235">
        <v>-119.92605823938538</v>
      </c>
      <c r="AI541">
        <v>226</v>
      </c>
      <c r="AJ541" t="s">
        <v>256</v>
      </c>
      <c r="AK541">
        <v>0</v>
      </c>
      <c r="AL541">
        <v>0</v>
      </c>
      <c r="AM541">
        <v>0</v>
      </c>
    </row>
    <row r="542" spans="1:39" x14ac:dyDescent="0.25">
      <c r="A542" t="s">
        <v>601</v>
      </c>
      <c r="B542" t="s">
        <v>529</v>
      </c>
      <c r="C542" t="s">
        <v>255</v>
      </c>
      <c r="D542" t="s">
        <v>234</v>
      </c>
      <c r="E542" t="s">
        <v>20</v>
      </c>
      <c r="F542" t="s">
        <v>480</v>
      </c>
      <c r="G542" t="s">
        <v>269</v>
      </c>
      <c r="H542" t="s">
        <v>254</v>
      </c>
      <c r="I542" t="s">
        <v>242</v>
      </c>
      <c r="J542" t="s">
        <v>235</v>
      </c>
      <c r="K542" s="380">
        <v>36831</v>
      </c>
      <c r="L542" s="235">
        <v>-3528.8878291903416</v>
      </c>
      <c r="M542" s="380">
        <v>36829</v>
      </c>
      <c r="N542" t="s">
        <v>21</v>
      </c>
      <c r="O542">
        <v>0.5</v>
      </c>
      <c r="P542">
        <v>0</v>
      </c>
      <c r="Q542">
        <v>0</v>
      </c>
      <c r="R542">
        <v>0</v>
      </c>
      <c r="S542">
        <v>0</v>
      </c>
      <c r="T542" t="s">
        <v>253</v>
      </c>
      <c r="U542" t="s">
        <v>526</v>
      </c>
      <c r="V542" t="s">
        <v>253</v>
      </c>
      <c r="W542" t="s">
        <v>132</v>
      </c>
      <c r="X542" t="s">
        <v>253</v>
      </c>
      <c r="Y542" t="s">
        <v>235</v>
      </c>
      <c r="Z542" t="s">
        <v>236</v>
      </c>
      <c r="AA542" t="s">
        <v>253</v>
      </c>
      <c r="AB542" t="s">
        <v>121</v>
      </c>
      <c r="AC542" s="235">
        <v>-300000</v>
      </c>
      <c r="AD542" s="235">
        <v>-1297.6978068588433</v>
      </c>
      <c r="AE542">
        <v>0</v>
      </c>
      <c r="AF542">
        <v>0</v>
      </c>
      <c r="AG542">
        <v>0</v>
      </c>
      <c r="AH542" s="235">
        <v>-70.618936883650804</v>
      </c>
      <c r="AI542">
        <v>226</v>
      </c>
      <c r="AJ542" t="s">
        <v>256</v>
      </c>
      <c r="AK542">
        <v>0</v>
      </c>
      <c r="AL542">
        <v>0</v>
      </c>
      <c r="AM542">
        <v>0</v>
      </c>
    </row>
    <row r="543" spans="1:39" x14ac:dyDescent="0.25">
      <c r="A543" t="s">
        <v>601</v>
      </c>
      <c r="B543" t="s">
        <v>530</v>
      </c>
      <c r="C543" t="s">
        <v>255</v>
      </c>
      <c r="D543" t="s">
        <v>234</v>
      </c>
      <c r="E543" t="s">
        <v>20</v>
      </c>
      <c r="F543" t="s">
        <v>268</v>
      </c>
      <c r="G543" t="s">
        <v>269</v>
      </c>
      <c r="H543" t="s">
        <v>254</v>
      </c>
      <c r="I543" t="s">
        <v>242</v>
      </c>
      <c r="J543" t="s">
        <v>235</v>
      </c>
      <c r="K543" s="380">
        <v>36951</v>
      </c>
      <c r="L543" s="235">
        <v>-8705.2704580547907</v>
      </c>
      <c r="M543" s="380">
        <v>36949</v>
      </c>
      <c r="N543" t="s">
        <v>1</v>
      </c>
      <c r="O543">
        <v>-0.25</v>
      </c>
      <c r="P543">
        <v>0</v>
      </c>
      <c r="Q543">
        <v>0</v>
      </c>
      <c r="R543">
        <v>0</v>
      </c>
      <c r="S543">
        <v>0</v>
      </c>
      <c r="T543" t="s">
        <v>253</v>
      </c>
      <c r="U543" t="s">
        <v>6</v>
      </c>
      <c r="V543" t="s">
        <v>253</v>
      </c>
      <c r="W543" t="s">
        <v>132</v>
      </c>
      <c r="X543" t="s">
        <v>253</v>
      </c>
      <c r="Y543" t="s">
        <v>235</v>
      </c>
      <c r="Z543" t="s">
        <v>236</v>
      </c>
      <c r="AA543" t="s">
        <v>253</v>
      </c>
      <c r="AB543" t="s">
        <v>121</v>
      </c>
      <c r="AC543" s="235">
        <v>-310000</v>
      </c>
      <c r="AD543" s="235">
        <v>-3310.4014221324906</v>
      </c>
      <c r="AE543">
        <v>0</v>
      </c>
      <c r="AF543">
        <v>0</v>
      </c>
      <c r="AG543">
        <v>0</v>
      </c>
      <c r="AH543" s="235">
        <v>-364.48438700271436</v>
      </c>
      <c r="AI543">
        <v>226</v>
      </c>
      <c r="AJ543" t="s">
        <v>256</v>
      </c>
      <c r="AK543">
        <v>0</v>
      </c>
      <c r="AL543">
        <v>0</v>
      </c>
      <c r="AM543">
        <v>0</v>
      </c>
    </row>
    <row r="544" spans="1:39" x14ac:dyDescent="0.25">
      <c r="A544" t="s">
        <v>601</v>
      </c>
      <c r="B544" t="s">
        <v>530</v>
      </c>
      <c r="C544" t="s">
        <v>255</v>
      </c>
      <c r="D544" t="s">
        <v>234</v>
      </c>
      <c r="E544" t="s">
        <v>20</v>
      </c>
      <c r="F544" t="s">
        <v>268</v>
      </c>
      <c r="G544" t="s">
        <v>269</v>
      </c>
      <c r="H544" t="s">
        <v>254</v>
      </c>
      <c r="I544" t="s">
        <v>242</v>
      </c>
      <c r="J544" t="s">
        <v>235</v>
      </c>
      <c r="K544" s="380">
        <v>36923</v>
      </c>
      <c r="L544" s="235">
        <v>-9727.8518881643286</v>
      </c>
      <c r="M544" s="380">
        <v>36921</v>
      </c>
      <c r="N544" t="s">
        <v>1</v>
      </c>
      <c r="O544">
        <v>-0.25</v>
      </c>
      <c r="P544">
        <v>0</v>
      </c>
      <c r="Q544">
        <v>0</v>
      </c>
      <c r="R544">
        <v>0</v>
      </c>
      <c r="S544">
        <v>0</v>
      </c>
      <c r="T544" t="s">
        <v>253</v>
      </c>
      <c r="U544" t="s">
        <v>6</v>
      </c>
      <c r="V544" t="s">
        <v>253</v>
      </c>
      <c r="W544" t="s">
        <v>132</v>
      </c>
      <c r="X544" t="s">
        <v>253</v>
      </c>
      <c r="Y544" t="s">
        <v>235</v>
      </c>
      <c r="Z544" t="s">
        <v>236</v>
      </c>
      <c r="AA544" t="s">
        <v>253</v>
      </c>
      <c r="AB544" t="s">
        <v>121</v>
      </c>
      <c r="AC544" s="235">
        <v>-280000</v>
      </c>
      <c r="AD544" s="235">
        <v>-3254.1991418662947</v>
      </c>
      <c r="AE544">
        <v>0</v>
      </c>
      <c r="AF544">
        <v>0</v>
      </c>
      <c r="AG544">
        <v>0</v>
      </c>
      <c r="AH544" s="235">
        <v>-353.59477465985583</v>
      </c>
      <c r="AI544">
        <v>226</v>
      </c>
      <c r="AJ544" t="s">
        <v>256</v>
      </c>
      <c r="AK544">
        <v>0</v>
      </c>
      <c r="AL544">
        <v>0</v>
      </c>
      <c r="AM544">
        <v>0</v>
      </c>
    </row>
    <row r="545" spans="1:39" x14ac:dyDescent="0.25">
      <c r="A545" t="s">
        <v>601</v>
      </c>
      <c r="B545" t="s">
        <v>530</v>
      </c>
      <c r="C545" t="s">
        <v>255</v>
      </c>
      <c r="D545" t="s">
        <v>234</v>
      </c>
      <c r="E545" t="s">
        <v>20</v>
      </c>
      <c r="F545" t="s">
        <v>268</v>
      </c>
      <c r="G545" t="s">
        <v>269</v>
      </c>
      <c r="H545" t="s">
        <v>254</v>
      </c>
      <c r="I545" t="s">
        <v>242</v>
      </c>
      <c r="J545" t="s">
        <v>235</v>
      </c>
      <c r="K545" s="380">
        <v>36892</v>
      </c>
      <c r="L545" s="235">
        <v>-11214.32649378801</v>
      </c>
      <c r="M545" s="380">
        <v>36888</v>
      </c>
      <c r="N545" t="s">
        <v>1</v>
      </c>
      <c r="O545">
        <v>-0.25</v>
      </c>
      <c r="P545">
        <v>0</v>
      </c>
      <c r="Q545">
        <v>0</v>
      </c>
      <c r="R545">
        <v>0</v>
      </c>
      <c r="S545">
        <v>0</v>
      </c>
      <c r="T545" t="s">
        <v>253</v>
      </c>
      <c r="U545" t="s">
        <v>6</v>
      </c>
      <c r="V545" t="s">
        <v>253</v>
      </c>
      <c r="W545" t="s">
        <v>132</v>
      </c>
      <c r="X545" t="s">
        <v>253</v>
      </c>
      <c r="Y545" t="s">
        <v>235</v>
      </c>
      <c r="Z545" t="s">
        <v>236</v>
      </c>
      <c r="AA545" t="s">
        <v>253</v>
      </c>
      <c r="AB545" t="s">
        <v>121</v>
      </c>
      <c r="AC545" s="235">
        <v>-310000</v>
      </c>
      <c r="AD545" s="235">
        <v>-3392.4474736282573</v>
      </c>
      <c r="AE545">
        <v>0</v>
      </c>
      <c r="AF545">
        <v>0</v>
      </c>
      <c r="AG545">
        <v>0</v>
      </c>
      <c r="AH545" s="235">
        <v>-397.49746343233164</v>
      </c>
      <c r="AI545">
        <v>226</v>
      </c>
      <c r="AJ545" t="s">
        <v>256</v>
      </c>
      <c r="AK545">
        <v>0</v>
      </c>
      <c r="AL545">
        <v>0</v>
      </c>
      <c r="AM545">
        <v>0</v>
      </c>
    </row>
    <row r="546" spans="1:39" x14ac:dyDescent="0.25">
      <c r="A546" t="s">
        <v>601</v>
      </c>
      <c r="B546" t="s">
        <v>530</v>
      </c>
      <c r="C546" t="s">
        <v>255</v>
      </c>
      <c r="D546" t="s">
        <v>234</v>
      </c>
      <c r="E546" t="s">
        <v>20</v>
      </c>
      <c r="F546" t="s">
        <v>268</v>
      </c>
      <c r="G546" t="s">
        <v>269</v>
      </c>
      <c r="H546" t="s">
        <v>254</v>
      </c>
      <c r="I546" t="s">
        <v>242</v>
      </c>
      <c r="J546" t="s">
        <v>235</v>
      </c>
      <c r="K546" s="380">
        <v>36861</v>
      </c>
      <c r="L546" s="235">
        <v>-8171.7303468647997</v>
      </c>
      <c r="M546" s="380">
        <v>36859</v>
      </c>
      <c r="N546" t="s">
        <v>1</v>
      </c>
      <c r="O546">
        <v>-0.25</v>
      </c>
      <c r="P546">
        <v>0</v>
      </c>
      <c r="Q546">
        <v>0</v>
      </c>
      <c r="R546">
        <v>0</v>
      </c>
      <c r="S546">
        <v>0</v>
      </c>
      <c r="T546" t="s">
        <v>253</v>
      </c>
      <c r="U546" t="s">
        <v>6</v>
      </c>
      <c r="V546" t="s">
        <v>253</v>
      </c>
      <c r="W546" t="s">
        <v>132</v>
      </c>
      <c r="X546" t="s">
        <v>253</v>
      </c>
      <c r="Y546" t="s">
        <v>235</v>
      </c>
      <c r="Z546" t="s">
        <v>236</v>
      </c>
      <c r="AA546" t="s">
        <v>253</v>
      </c>
      <c r="AB546" t="s">
        <v>121</v>
      </c>
      <c r="AC546" s="235">
        <v>-310000</v>
      </c>
      <c r="AD546" s="235">
        <v>-2777.5509606114792</v>
      </c>
      <c r="AE546">
        <v>0</v>
      </c>
      <c r="AF546">
        <v>0</v>
      </c>
      <c r="AG546">
        <v>0</v>
      </c>
      <c r="AH546" s="235">
        <v>-344.86295834648172</v>
      </c>
      <c r="AI546">
        <v>226</v>
      </c>
      <c r="AJ546" t="s">
        <v>256</v>
      </c>
      <c r="AK546">
        <v>0</v>
      </c>
      <c r="AL546">
        <v>0</v>
      </c>
      <c r="AM546">
        <v>0</v>
      </c>
    </row>
    <row r="547" spans="1:39" x14ac:dyDescent="0.25">
      <c r="A547" t="s">
        <v>601</v>
      </c>
      <c r="B547" t="s">
        <v>530</v>
      </c>
      <c r="C547" t="s">
        <v>255</v>
      </c>
      <c r="D547" t="s">
        <v>234</v>
      </c>
      <c r="E547" t="s">
        <v>20</v>
      </c>
      <c r="F547" t="s">
        <v>268</v>
      </c>
      <c r="G547" t="s">
        <v>269</v>
      </c>
      <c r="H547" t="s">
        <v>254</v>
      </c>
      <c r="I547" t="s">
        <v>242</v>
      </c>
      <c r="J547" t="s">
        <v>235</v>
      </c>
      <c r="K547" s="380">
        <v>36831</v>
      </c>
      <c r="L547" s="235">
        <v>-4389.7567031271101</v>
      </c>
      <c r="M547" s="380">
        <v>36829</v>
      </c>
      <c r="N547" t="s">
        <v>1</v>
      </c>
      <c r="O547">
        <v>-0.25</v>
      </c>
      <c r="P547">
        <v>0</v>
      </c>
      <c r="Q547">
        <v>0</v>
      </c>
      <c r="R547">
        <v>0</v>
      </c>
      <c r="S547">
        <v>0</v>
      </c>
      <c r="T547" t="s">
        <v>253</v>
      </c>
      <c r="U547" t="s">
        <v>6</v>
      </c>
      <c r="V547" t="s">
        <v>253</v>
      </c>
      <c r="W547" t="s">
        <v>132</v>
      </c>
      <c r="X547" t="s">
        <v>253</v>
      </c>
      <c r="Y547" t="s">
        <v>235</v>
      </c>
      <c r="Z547" t="s">
        <v>236</v>
      </c>
      <c r="AA547" t="s">
        <v>253</v>
      </c>
      <c r="AB547" t="s">
        <v>121</v>
      </c>
      <c r="AC547" s="235">
        <v>-300000</v>
      </c>
      <c r="AD547" s="235">
        <v>-1880.5786549754266</v>
      </c>
      <c r="AE547">
        <v>0</v>
      </c>
      <c r="AF547">
        <v>0</v>
      </c>
      <c r="AG547">
        <v>0</v>
      </c>
      <c r="AH547" s="235">
        <v>-251.49610176066835</v>
      </c>
      <c r="AI547">
        <v>226</v>
      </c>
      <c r="AJ547" t="s">
        <v>256</v>
      </c>
      <c r="AK547">
        <v>0</v>
      </c>
      <c r="AL547">
        <v>0</v>
      </c>
      <c r="AM547">
        <v>0</v>
      </c>
    </row>
    <row r="548" spans="1:39" x14ac:dyDescent="0.25">
      <c r="A548" t="s">
        <v>601</v>
      </c>
      <c r="B548" t="s">
        <v>531</v>
      </c>
      <c r="C548" t="s">
        <v>255</v>
      </c>
      <c r="D548" t="s">
        <v>234</v>
      </c>
      <c r="E548" t="s">
        <v>20</v>
      </c>
      <c r="F548" t="s">
        <v>284</v>
      </c>
      <c r="G548" t="s">
        <v>269</v>
      </c>
      <c r="H548" t="s">
        <v>254</v>
      </c>
      <c r="I548" t="s">
        <v>242</v>
      </c>
      <c r="J548" t="s">
        <v>235</v>
      </c>
      <c r="K548" s="380">
        <v>37681</v>
      </c>
      <c r="L548" s="235">
        <v>18360.191871967952</v>
      </c>
      <c r="M548" s="380">
        <v>37679</v>
      </c>
      <c r="N548" t="s">
        <v>21</v>
      </c>
      <c r="O548">
        <v>0.2</v>
      </c>
      <c r="P548">
        <v>0</v>
      </c>
      <c r="Q548">
        <v>0</v>
      </c>
      <c r="R548">
        <v>0</v>
      </c>
      <c r="S548">
        <v>0</v>
      </c>
      <c r="T548" t="s">
        <v>253</v>
      </c>
      <c r="U548" t="s">
        <v>600</v>
      </c>
      <c r="V548" t="s">
        <v>253</v>
      </c>
      <c r="W548" t="s">
        <v>132</v>
      </c>
      <c r="X548" t="s">
        <v>253</v>
      </c>
      <c r="Y548" t="s">
        <v>235</v>
      </c>
      <c r="Z548" t="s">
        <v>236</v>
      </c>
      <c r="AA548" t="s">
        <v>253</v>
      </c>
      <c r="AB548" t="s">
        <v>121</v>
      </c>
      <c r="AC548" s="235">
        <v>310000</v>
      </c>
      <c r="AD548" s="235">
        <v>7263.6318745350582</v>
      </c>
      <c r="AE548">
        <v>0</v>
      </c>
      <c r="AF548">
        <v>0</v>
      </c>
      <c r="AG548">
        <v>0</v>
      </c>
      <c r="AH548" s="235">
        <v>261.87480990168478</v>
      </c>
      <c r="AI548">
        <v>226</v>
      </c>
      <c r="AJ548" t="s">
        <v>256</v>
      </c>
      <c r="AK548">
        <v>0</v>
      </c>
      <c r="AL548">
        <v>0</v>
      </c>
      <c r="AM548">
        <v>0</v>
      </c>
    </row>
    <row r="549" spans="1:39" x14ac:dyDescent="0.25">
      <c r="A549" t="s">
        <v>601</v>
      </c>
      <c r="B549" t="s">
        <v>531</v>
      </c>
      <c r="C549" t="s">
        <v>255</v>
      </c>
      <c r="D549" t="s">
        <v>234</v>
      </c>
      <c r="E549" t="s">
        <v>20</v>
      </c>
      <c r="F549" t="s">
        <v>284</v>
      </c>
      <c r="G549" t="s">
        <v>269</v>
      </c>
      <c r="H549" t="s">
        <v>254</v>
      </c>
      <c r="I549" t="s">
        <v>242</v>
      </c>
      <c r="J549" t="s">
        <v>235</v>
      </c>
      <c r="K549" s="380">
        <v>37653</v>
      </c>
      <c r="L549" s="235">
        <v>18558.275410452661</v>
      </c>
      <c r="M549" s="380">
        <v>37651</v>
      </c>
      <c r="N549" t="s">
        <v>21</v>
      </c>
      <c r="O549">
        <v>0.2</v>
      </c>
      <c r="P549">
        <v>0</v>
      </c>
      <c r="Q549">
        <v>0</v>
      </c>
      <c r="R549">
        <v>0</v>
      </c>
      <c r="S549">
        <v>0</v>
      </c>
      <c r="T549" t="s">
        <v>253</v>
      </c>
      <c r="U549" t="s">
        <v>600</v>
      </c>
      <c r="V549" t="s">
        <v>253</v>
      </c>
      <c r="W549" t="s">
        <v>132</v>
      </c>
      <c r="X549" t="s">
        <v>253</v>
      </c>
      <c r="Y549" t="s">
        <v>235</v>
      </c>
      <c r="Z549" t="s">
        <v>236</v>
      </c>
      <c r="AA549" t="s">
        <v>253</v>
      </c>
      <c r="AB549" t="s">
        <v>121</v>
      </c>
      <c r="AC549" s="235">
        <v>280000</v>
      </c>
      <c r="AD549" s="235">
        <v>6812.5421181795682</v>
      </c>
      <c r="AE549">
        <v>0</v>
      </c>
      <c r="AF549">
        <v>0</v>
      </c>
      <c r="AG549">
        <v>0</v>
      </c>
      <c r="AH549" s="235">
        <v>238.82593789368184</v>
      </c>
      <c r="AI549">
        <v>226</v>
      </c>
      <c r="AJ549" t="s">
        <v>256</v>
      </c>
      <c r="AK549">
        <v>0</v>
      </c>
      <c r="AL549">
        <v>0</v>
      </c>
      <c r="AM549">
        <v>0</v>
      </c>
    </row>
    <row r="550" spans="1:39" x14ac:dyDescent="0.25">
      <c r="A550" t="s">
        <v>601</v>
      </c>
      <c r="B550" t="s">
        <v>531</v>
      </c>
      <c r="C550" t="s">
        <v>255</v>
      </c>
      <c r="D550" t="s">
        <v>234</v>
      </c>
      <c r="E550" t="s">
        <v>20</v>
      </c>
      <c r="F550" t="s">
        <v>284</v>
      </c>
      <c r="G550" t="s">
        <v>269</v>
      </c>
      <c r="H550" t="s">
        <v>254</v>
      </c>
      <c r="I550" t="s">
        <v>242</v>
      </c>
      <c r="J550" t="s">
        <v>235</v>
      </c>
      <c r="K550" s="380">
        <v>37622</v>
      </c>
      <c r="L550" s="235">
        <v>23745.856471562383</v>
      </c>
      <c r="M550" s="380">
        <v>37620</v>
      </c>
      <c r="N550" t="s">
        <v>21</v>
      </c>
      <c r="O550">
        <v>0.2</v>
      </c>
      <c r="P550">
        <v>0</v>
      </c>
      <c r="Q550">
        <v>0</v>
      </c>
      <c r="R550">
        <v>0</v>
      </c>
      <c r="S550">
        <v>0</v>
      </c>
      <c r="T550" t="s">
        <v>253</v>
      </c>
      <c r="U550" t="s">
        <v>600</v>
      </c>
      <c r="V550" t="s">
        <v>253</v>
      </c>
      <c r="W550" t="s">
        <v>132</v>
      </c>
      <c r="X550" t="s">
        <v>253</v>
      </c>
      <c r="Y550" t="s">
        <v>235</v>
      </c>
      <c r="Z550" t="s">
        <v>236</v>
      </c>
      <c r="AA550" t="s">
        <v>253</v>
      </c>
      <c r="AB550" t="s">
        <v>121</v>
      </c>
      <c r="AC550" s="235">
        <v>310000</v>
      </c>
      <c r="AD550" s="235">
        <v>7613.696270848508</v>
      </c>
      <c r="AE550">
        <v>0</v>
      </c>
      <c r="AF550">
        <v>0</v>
      </c>
      <c r="AG550">
        <v>0</v>
      </c>
      <c r="AH550" s="235">
        <v>266.95418374443398</v>
      </c>
      <c r="AI550">
        <v>226</v>
      </c>
      <c r="AJ550" t="s">
        <v>256</v>
      </c>
      <c r="AK550">
        <v>0</v>
      </c>
      <c r="AL550">
        <v>0</v>
      </c>
      <c r="AM550">
        <v>0</v>
      </c>
    </row>
    <row r="551" spans="1:39" x14ac:dyDescent="0.25">
      <c r="A551" t="s">
        <v>601</v>
      </c>
      <c r="B551" t="s">
        <v>531</v>
      </c>
      <c r="C551" t="s">
        <v>255</v>
      </c>
      <c r="D551" t="s">
        <v>234</v>
      </c>
      <c r="E551" t="s">
        <v>20</v>
      </c>
      <c r="F551" t="s">
        <v>284</v>
      </c>
      <c r="G551" t="s">
        <v>269</v>
      </c>
      <c r="H551" t="s">
        <v>254</v>
      </c>
      <c r="I551" t="s">
        <v>242</v>
      </c>
      <c r="J551" t="s">
        <v>235</v>
      </c>
      <c r="K551" s="380">
        <v>37591</v>
      </c>
      <c r="L551" s="235">
        <v>23133.474405313107</v>
      </c>
      <c r="M551" s="380">
        <v>37588</v>
      </c>
      <c r="N551" t="s">
        <v>21</v>
      </c>
      <c r="O551">
        <v>0.2</v>
      </c>
      <c r="P551">
        <v>0</v>
      </c>
      <c r="Q551">
        <v>0</v>
      </c>
      <c r="R551">
        <v>0</v>
      </c>
      <c r="S551">
        <v>0</v>
      </c>
      <c r="T551" t="s">
        <v>253</v>
      </c>
      <c r="U551" t="s">
        <v>600</v>
      </c>
      <c r="V551" t="s">
        <v>253</v>
      </c>
      <c r="W551" t="s">
        <v>132</v>
      </c>
      <c r="X551" t="s">
        <v>253</v>
      </c>
      <c r="Y551" t="s">
        <v>235</v>
      </c>
      <c r="Z551" t="s">
        <v>236</v>
      </c>
      <c r="AA551" t="s">
        <v>253</v>
      </c>
      <c r="AB551" t="s">
        <v>121</v>
      </c>
      <c r="AC551" s="235">
        <v>310000</v>
      </c>
      <c r="AD551" s="235">
        <v>7779.6470654402801</v>
      </c>
      <c r="AE551">
        <v>0</v>
      </c>
      <c r="AF551">
        <v>0</v>
      </c>
      <c r="AG551">
        <v>0</v>
      </c>
      <c r="AH551" s="235">
        <v>272.76853514030881</v>
      </c>
      <c r="AI551">
        <v>226</v>
      </c>
      <c r="AJ551" t="s">
        <v>256</v>
      </c>
      <c r="AK551">
        <v>0</v>
      </c>
      <c r="AL551">
        <v>0</v>
      </c>
      <c r="AM551">
        <v>0</v>
      </c>
    </row>
    <row r="552" spans="1:39" x14ac:dyDescent="0.25">
      <c r="A552" t="s">
        <v>601</v>
      </c>
      <c r="B552" t="s">
        <v>531</v>
      </c>
      <c r="C552" t="s">
        <v>255</v>
      </c>
      <c r="D552" t="s">
        <v>234</v>
      </c>
      <c r="E552" t="s">
        <v>20</v>
      </c>
      <c r="F552" t="s">
        <v>284</v>
      </c>
      <c r="G552" t="s">
        <v>269</v>
      </c>
      <c r="H552" t="s">
        <v>254</v>
      </c>
      <c r="I552" t="s">
        <v>242</v>
      </c>
      <c r="J552" t="s">
        <v>235</v>
      </c>
      <c r="K552" s="380">
        <v>37561</v>
      </c>
      <c r="L552" s="235">
        <v>17129.223639480788</v>
      </c>
      <c r="M552" s="380">
        <v>37559</v>
      </c>
      <c r="N552" t="s">
        <v>21</v>
      </c>
      <c r="O552">
        <v>0.2</v>
      </c>
      <c r="P552">
        <v>0</v>
      </c>
      <c r="Q552">
        <v>0</v>
      </c>
      <c r="R552">
        <v>0</v>
      </c>
      <c r="S552">
        <v>0</v>
      </c>
      <c r="T552" t="s">
        <v>253</v>
      </c>
      <c r="U552" t="s">
        <v>600</v>
      </c>
      <c r="V552" t="s">
        <v>253</v>
      </c>
      <c r="W552" t="s">
        <v>132</v>
      </c>
      <c r="X552" t="s">
        <v>253</v>
      </c>
      <c r="Y552" t="s">
        <v>235</v>
      </c>
      <c r="Z552" t="s">
        <v>236</v>
      </c>
      <c r="AA552" t="s">
        <v>253</v>
      </c>
      <c r="AB552" t="s">
        <v>121</v>
      </c>
      <c r="AC552" s="235">
        <v>300000</v>
      </c>
      <c r="AD552" s="235">
        <v>7043.9436361558182</v>
      </c>
      <c r="AE552">
        <v>0</v>
      </c>
      <c r="AF552">
        <v>0</v>
      </c>
      <c r="AG552">
        <v>0</v>
      </c>
      <c r="AH552" s="235">
        <v>246.91972742149301</v>
      </c>
      <c r="AI552">
        <v>226</v>
      </c>
      <c r="AJ552" t="s">
        <v>256</v>
      </c>
      <c r="AK552">
        <v>0</v>
      </c>
      <c r="AL552">
        <v>0</v>
      </c>
      <c r="AM552">
        <v>0</v>
      </c>
    </row>
    <row r="553" spans="1:39" x14ac:dyDescent="0.25">
      <c r="A553" t="s">
        <v>601</v>
      </c>
      <c r="B553" t="s">
        <v>532</v>
      </c>
      <c r="C553" t="s">
        <v>255</v>
      </c>
      <c r="D553" t="s">
        <v>234</v>
      </c>
      <c r="E553" t="s">
        <v>20</v>
      </c>
      <c r="F553" t="s">
        <v>279</v>
      </c>
      <c r="G553" t="s">
        <v>269</v>
      </c>
      <c r="H553" t="s">
        <v>254</v>
      </c>
      <c r="I553" t="s">
        <v>242</v>
      </c>
      <c r="J553" t="s">
        <v>235</v>
      </c>
      <c r="K553" s="380">
        <v>36951</v>
      </c>
      <c r="L553" s="235">
        <v>79936.771731607121</v>
      </c>
      <c r="M553" s="380">
        <v>36949</v>
      </c>
      <c r="N553" t="s">
        <v>21</v>
      </c>
      <c r="O553">
        <v>0.3</v>
      </c>
      <c r="P553">
        <v>0</v>
      </c>
      <c r="Q553">
        <v>0</v>
      </c>
      <c r="R553">
        <v>0</v>
      </c>
      <c r="S553">
        <v>0</v>
      </c>
      <c r="T553" t="s">
        <v>253</v>
      </c>
      <c r="U553" t="s">
        <v>190</v>
      </c>
      <c r="V553" t="s">
        <v>253</v>
      </c>
      <c r="W553" t="s">
        <v>132</v>
      </c>
      <c r="X553" t="s">
        <v>253</v>
      </c>
      <c r="Y553" t="s">
        <v>235</v>
      </c>
      <c r="Z553" t="s">
        <v>236</v>
      </c>
      <c r="AA553" t="s">
        <v>253</v>
      </c>
      <c r="AB553" t="s">
        <v>121</v>
      </c>
      <c r="AC553" s="235">
        <v>155000</v>
      </c>
      <c r="AD553" s="235">
        <v>11450.903464284725</v>
      </c>
      <c r="AE553">
        <v>0</v>
      </c>
      <c r="AF553">
        <v>0</v>
      </c>
      <c r="AG553">
        <v>0</v>
      </c>
      <c r="AH553" s="235">
        <v>-4981.9103853558481</v>
      </c>
      <c r="AI553">
        <v>226</v>
      </c>
      <c r="AJ553" t="s">
        <v>256</v>
      </c>
      <c r="AK553">
        <v>0</v>
      </c>
      <c r="AL553">
        <v>0</v>
      </c>
      <c r="AM553">
        <v>0</v>
      </c>
    </row>
    <row r="554" spans="1:39" x14ac:dyDescent="0.25">
      <c r="A554" t="s">
        <v>601</v>
      </c>
      <c r="B554" t="s">
        <v>532</v>
      </c>
      <c r="C554" t="s">
        <v>255</v>
      </c>
      <c r="D554" t="s">
        <v>234</v>
      </c>
      <c r="E554" t="s">
        <v>20</v>
      </c>
      <c r="F554" t="s">
        <v>279</v>
      </c>
      <c r="G554" t="s">
        <v>269</v>
      </c>
      <c r="H554" t="s">
        <v>254</v>
      </c>
      <c r="I554" t="s">
        <v>242</v>
      </c>
      <c r="J554" t="s">
        <v>235</v>
      </c>
      <c r="K554" s="380">
        <v>36923</v>
      </c>
      <c r="L554" s="235">
        <v>78361.234469032323</v>
      </c>
      <c r="M554" s="380">
        <v>36921</v>
      </c>
      <c r="N554" t="s">
        <v>21</v>
      </c>
      <c r="O554">
        <v>0.3</v>
      </c>
      <c r="P554">
        <v>0</v>
      </c>
      <c r="Q554">
        <v>0</v>
      </c>
      <c r="R554">
        <v>0</v>
      </c>
      <c r="S554">
        <v>0</v>
      </c>
      <c r="T554" t="s">
        <v>253</v>
      </c>
      <c r="U554" t="s">
        <v>190</v>
      </c>
      <c r="V554" t="s">
        <v>253</v>
      </c>
      <c r="W554" t="s">
        <v>132</v>
      </c>
      <c r="X554" t="s">
        <v>253</v>
      </c>
      <c r="Y554" t="s">
        <v>235</v>
      </c>
      <c r="Z554" t="s">
        <v>236</v>
      </c>
      <c r="AA554" t="s">
        <v>253</v>
      </c>
      <c r="AB554" t="s">
        <v>121</v>
      </c>
      <c r="AC554" s="235">
        <v>140000</v>
      </c>
      <c r="AD554" s="235">
        <v>10673.463241785837</v>
      </c>
      <c r="AE554">
        <v>0</v>
      </c>
      <c r="AF554">
        <v>0</v>
      </c>
      <c r="AG554">
        <v>0</v>
      </c>
      <c r="AH554" s="235">
        <v>-4522.9059541223542</v>
      </c>
      <c r="AI554">
        <v>226</v>
      </c>
      <c r="AJ554" t="s">
        <v>256</v>
      </c>
      <c r="AK554">
        <v>0</v>
      </c>
      <c r="AL554">
        <v>0</v>
      </c>
      <c r="AM554">
        <v>0</v>
      </c>
    </row>
    <row r="555" spans="1:39" x14ac:dyDescent="0.25">
      <c r="A555" t="s">
        <v>601</v>
      </c>
      <c r="B555" t="s">
        <v>532</v>
      </c>
      <c r="C555" t="s">
        <v>255</v>
      </c>
      <c r="D555" t="s">
        <v>234</v>
      </c>
      <c r="E555" t="s">
        <v>20</v>
      </c>
      <c r="F555" t="s">
        <v>279</v>
      </c>
      <c r="G555" t="s">
        <v>269</v>
      </c>
      <c r="H555" t="s">
        <v>254</v>
      </c>
      <c r="I555" t="s">
        <v>242</v>
      </c>
      <c r="J555" t="s">
        <v>235</v>
      </c>
      <c r="K555" s="380">
        <v>36892</v>
      </c>
      <c r="L555" s="235">
        <v>100493.61516475907</v>
      </c>
      <c r="M555" s="380">
        <v>36888</v>
      </c>
      <c r="N555" t="s">
        <v>21</v>
      </c>
      <c r="O555">
        <v>0.3</v>
      </c>
      <c r="P555">
        <v>0</v>
      </c>
      <c r="Q555">
        <v>0</v>
      </c>
      <c r="R555">
        <v>0</v>
      </c>
      <c r="S555">
        <v>0</v>
      </c>
      <c r="T555" t="s">
        <v>253</v>
      </c>
      <c r="U555" t="s">
        <v>190</v>
      </c>
      <c r="V555" t="s">
        <v>253</v>
      </c>
      <c r="W555" t="s">
        <v>132</v>
      </c>
      <c r="X555" t="s">
        <v>253</v>
      </c>
      <c r="Y555" t="s">
        <v>235</v>
      </c>
      <c r="Z555" t="s">
        <v>236</v>
      </c>
      <c r="AA555" t="s">
        <v>253</v>
      </c>
      <c r="AB555" t="s">
        <v>121</v>
      </c>
      <c r="AC555" s="235">
        <v>155000</v>
      </c>
      <c r="AD555" s="235">
        <v>10096.865995068554</v>
      </c>
      <c r="AE555">
        <v>0</v>
      </c>
      <c r="AF555">
        <v>0</v>
      </c>
      <c r="AG555">
        <v>0</v>
      </c>
      <c r="AH555" s="235">
        <v>-5575.1938648322393</v>
      </c>
      <c r="AI555">
        <v>226</v>
      </c>
      <c r="AJ555" t="s">
        <v>256</v>
      </c>
      <c r="AK555">
        <v>0</v>
      </c>
      <c r="AL555">
        <v>0</v>
      </c>
      <c r="AM555">
        <v>0</v>
      </c>
    </row>
    <row r="556" spans="1:39" x14ac:dyDescent="0.25">
      <c r="A556" t="s">
        <v>601</v>
      </c>
      <c r="B556" t="s">
        <v>532</v>
      </c>
      <c r="C556" t="s">
        <v>255</v>
      </c>
      <c r="D556" t="s">
        <v>234</v>
      </c>
      <c r="E556" t="s">
        <v>20</v>
      </c>
      <c r="F556" t="s">
        <v>279</v>
      </c>
      <c r="G556" t="s">
        <v>269</v>
      </c>
      <c r="H556" t="s">
        <v>254</v>
      </c>
      <c r="I556" t="s">
        <v>242</v>
      </c>
      <c r="J556" t="s">
        <v>235</v>
      </c>
      <c r="K556" s="380">
        <v>36861</v>
      </c>
      <c r="L556" s="235">
        <v>122763.29505225488</v>
      </c>
      <c r="M556" s="380">
        <v>36859</v>
      </c>
      <c r="N556" t="s">
        <v>21</v>
      </c>
      <c r="O556">
        <v>0.3</v>
      </c>
      <c r="P556">
        <v>0</v>
      </c>
      <c r="Q556">
        <v>0</v>
      </c>
      <c r="R556">
        <v>0</v>
      </c>
      <c r="S556">
        <v>0</v>
      </c>
      <c r="T556" t="s">
        <v>253</v>
      </c>
      <c r="U556" t="s">
        <v>190</v>
      </c>
      <c r="V556" t="s">
        <v>253</v>
      </c>
      <c r="W556" t="s">
        <v>132</v>
      </c>
      <c r="X556" t="s">
        <v>253</v>
      </c>
      <c r="Y556" t="s">
        <v>235</v>
      </c>
      <c r="Z556" t="s">
        <v>236</v>
      </c>
      <c r="AA556" t="s">
        <v>253</v>
      </c>
      <c r="AB556" t="s">
        <v>121</v>
      </c>
      <c r="AC556" s="235">
        <v>155000</v>
      </c>
      <c r="AD556" s="235">
        <v>7095.8171914744889</v>
      </c>
      <c r="AE556">
        <v>0</v>
      </c>
      <c r="AF556">
        <v>0</v>
      </c>
      <c r="AG556">
        <v>0</v>
      </c>
      <c r="AH556" s="235">
        <v>17867.55033788491</v>
      </c>
      <c r="AI556">
        <v>226</v>
      </c>
      <c r="AJ556" t="s">
        <v>256</v>
      </c>
      <c r="AK556">
        <v>0</v>
      </c>
      <c r="AL556">
        <v>0</v>
      </c>
      <c r="AM556">
        <v>0</v>
      </c>
    </row>
    <row r="557" spans="1:39" x14ac:dyDescent="0.25">
      <c r="A557" t="s">
        <v>601</v>
      </c>
      <c r="B557" t="s">
        <v>532</v>
      </c>
      <c r="C557" t="s">
        <v>255</v>
      </c>
      <c r="D557" t="s">
        <v>234</v>
      </c>
      <c r="E557" t="s">
        <v>20</v>
      </c>
      <c r="F557" t="s">
        <v>279</v>
      </c>
      <c r="G557" t="s">
        <v>269</v>
      </c>
      <c r="H557" t="s">
        <v>254</v>
      </c>
      <c r="I557" t="s">
        <v>242</v>
      </c>
      <c r="J557" t="s">
        <v>235</v>
      </c>
      <c r="K557" s="380">
        <v>36831</v>
      </c>
      <c r="L557" s="235">
        <v>186521.28572537468</v>
      </c>
      <c r="M557" s="380">
        <v>36829</v>
      </c>
      <c r="N557" t="s">
        <v>21</v>
      </c>
      <c r="O557">
        <v>0.3</v>
      </c>
      <c r="P557">
        <v>0</v>
      </c>
      <c r="Q557">
        <v>0</v>
      </c>
      <c r="R557">
        <v>0</v>
      </c>
      <c r="S557">
        <v>0</v>
      </c>
      <c r="T557" t="s">
        <v>253</v>
      </c>
      <c r="U557" t="s">
        <v>190</v>
      </c>
      <c r="V557" t="s">
        <v>253</v>
      </c>
      <c r="W557" t="s">
        <v>132</v>
      </c>
      <c r="X557" t="s">
        <v>253</v>
      </c>
      <c r="Y557" t="s">
        <v>235</v>
      </c>
      <c r="Z557" t="s">
        <v>236</v>
      </c>
      <c r="AA557" t="s">
        <v>253</v>
      </c>
      <c r="AB557" t="s">
        <v>121</v>
      </c>
      <c r="AC557" s="235">
        <v>150000</v>
      </c>
      <c r="AD557" s="235">
        <v>1843.7843771308835</v>
      </c>
      <c r="AE557">
        <v>0</v>
      </c>
      <c r="AF557">
        <v>0</v>
      </c>
      <c r="AG557">
        <v>0</v>
      </c>
      <c r="AH557" s="235">
        <v>29607.253897980787</v>
      </c>
      <c r="AI557">
        <v>226</v>
      </c>
      <c r="AJ557" t="s">
        <v>256</v>
      </c>
      <c r="AK557">
        <v>0</v>
      </c>
      <c r="AL557">
        <v>0</v>
      </c>
      <c r="AM557">
        <v>0</v>
      </c>
    </row>
    <row r="558" spans="1:39" x14ac:dyDescent="0.25">
      <c r="A558" t="s">
        <v>601</v>
      </c>
      <c r="B558" t="s">
        <v>533</v>
      </c>
      <c r="C558" t="s">
        <v>255</v>
      </c>
      <c r="D558" t="s">
        <v>234</v>
      </c>
      <c r="E558" t="s">
        <v>20</v>
      </c>
      <c r="F558" t="s">
        <v>383</v>
      </c>
      <c r="G558" t="s">
        <v>269</v>
      </c>
      <c r="H558" t="s">
        <v>254</v>
      </c>
      <c r="I558" t="s">
        <v>242</v>
      </c>
      <c r="J558" t="s">
        <v>235</v>
      </c>
      <c r="K558" s="380">
        <v>36800</v>
      </c>
      <c r="L558" s="235">
        <v>704826.68814687664</v>
      </c>
      <c r="M558" s="380">
        <v>36797</v>
      </c>
      <c r="N558" t="s">
        <v>21</v>
      </c>
      <c r="O558">
        <v>0.85</v>
      </c>
      <c r="P558">
        <v>0</v>
      </c>
      <c r="Q558">
        <v>0</v>
      </c>
      <c r="R558">
        <v>0</v>
      </c>
      <c r="S558">
        <v>0</v>
      </c>
      <c r="T558" t="s">
        <v>253</v>
      </c>
      <c r="U558" t="s">
        <v>190</v>
      </c>
      <c r="V558" t="s">
        <v>253</v>
      </c>
      <c r="W558" t="s">
        <v>132</v>
      </c>
      <c r="X558" t="s">
        <v>253</v>
      </c>
      <c r="Y558" t="s">
        <v>235</v>
      </c>
      <c r="Z558" t="s">
        <v>236</v>
      </c>
      <c r="AA558" t="s">
        <v>253</v>
      </c>
      <c r="AB558" t="s">
        <v>121</v>
      </c>
      <c r="AC558" s="235">
        <v>620000</v>
      </c>
      <c r="AD558" s="235">
        <v>2457.7646641560132</v>
      </c>
      <c r="AE558">
        <v>0</v>
      </c>
      <c r="AF558">
        <v>0</v>
      </c>
      <c r="AG558">
        <v>0</v>
      </c>
      <c r="AH558" s="235">
        <v>-24124.082175710006</v>
      </c>
      <c r="AI558">
        <v>226</v>
      </c>
      <c r="AJ558" t="s">
        <v>256</v>
      </c>
      <c r="AK558">
        <v>0</v>
      </c>
      <c r="AL558">
        <v>0</v>
      </c>
      <c r="AM558">
        <v>0</v>
      </c>
    </row>
    <row r="559" spans="1:39" x14ac:dyDescent="0.25">
      <c r="A559" t="s">
        <v>601</v>
      </c>
      <c r="B559" t="s">
        <v>533</v>
      </c>
      <c r="C559" t="s">
        <v>255</v>
      </c>
      <c r="D559" t="s">
        <v>234</v>
      </c>
      <c r="E559" t="s">
        <v>20</v>
      </c>
      <c r="F559" t="s">
        <v>383</v>
      </c>
      <c r="G559" t="s">
        <v>269</v>
      </c>
      <c r="H559" t="s">
        <v>254</v>
      </c>
      <c r="I559" t="s">
        <v>242</v>
      </c>
      <c r="J559" t="s">
        <v>235</v>
      </c>
      <c r="K559" s="380">
        <v>36770</v>
      </c>
      <c r="L559" s="235">
        <v>989635.82155485393</v>
      </c>
      <c r="M559" s="380">
        <v>36768</v>
      </c>
      <c r="N559" t="s">
        <v>21</v>
      </c>
      <c r="O559">
        <v>0.85</v>
      </c>
      <c r="P559">
        <v>0</v>
      </c>
      <c r="Q559">
        <v>0</v>
      </c>
      <c r="R559">
        <v>0</v>
      </c>
      <c r="S559">
        <v>0</v>
      </c>
      <c r="T559" t="s">
        <v>253</v>
      </c>
      <c r="U559" t="s">
        <v>190</v>
      </c>
      <c r="V559" t="s">
        <v>253</v>
      </c>
      <c r="W559" t="s">
        <v>132</v>
      </c>
      <c r="X559" t="s">
        <v>253</v>
      </c>
      <c r="Y559" t="s">
        <v>235</v>
      </c>
      <c r="Z559" t="s">
        <v>236</v>
      </c>
      <c r="AA559" t="s">
        <v>253</v>
      </c>
      <c r="AB559" t="s">
        <v>121</v>
      </c>
      <c r="AC559" s="235">
        <v>600000</v>
      </c>
      <c r="AD559" s="235">
        <v>-2.3941714782267809E-2</v>
      </c>
      <c r="AE559">
        <v>0</v>
      </c>
      <c r="AF559">
        <v>0</v>
      </c>
      <c r="AG559">
        <v>0</v>
      </c>
      <c r="AH559" s="235">
        <v>158853.89428187686</v>
      </c>
      <c r="AI559">
        <v>226</v>
      </c>
      <c r="AJ559" t="s">
        <v>256</v>
      </c>
      <c r="AK559">
        <v>0</v>
      </c>
      <c r="AL559">
        <v>0</v>
      </c>
      <c r="AM559">
        <v>0</v>
      </c>
    </row>
    <row r="560" spans="1:39" x14ac:dyDescent="0.25">
      <c r="A560" t="s">
        <v>601</v>
      </c>
      <c r="B560" t="s">
        <v>534</v>
      </c>
      <c r="C560" t="s">
        <v>255</v>
      </c>
      <c r="D560" t="s">
        <v>234</v>
      </c>
      <c r="E560" t="s">
        <v>20</v>
      </c>
      <c r="F560" t="s">
        <v>383</v>
      </c>
      <c r="G560" t="s">
        <v>269</v>
      </c>
      <c r="H560" t="s">
        <v>254</v>
      </c>
      <c r="I560" t="s">
        <v>242</v>
      </c>
      <c r="J560" t="s">
        <v>235</v>
      </c>
      <c r="K560" s="380">
        <v>36800</v>
      </c>
      <c r="L560" s="235">
        <v>-259.64811802429375</v>
      </c>
      <c r="M560" s="380">
        <v>36797</v>
      </c>
      <c r="N560" t="s">
        <v>1</v>
      </c>
      <c r="O560">
        <v>0.5</v>
      </c>
      <c r="P560">
        <v>0</v>
      </c>
      <c r="Q560">
        <v>0</v>
      </c>
      <c r="R560">
        <v>0</v>
      </c>
      <c r="S560">
        <v>0</v>
      </c>
      <c r="T560" t="s">
        <v>253</v>
      </c>
      <c r="U560" t="s">
        <v>190</v>
      </c>
      <c r="V560" t="s">
        <v>253</v>
      </c>
      <c r="W560" t="s">
        <v>132</v>
      </c>
      <c r="X560" t="s">
        <v>253</v>
      </c>
      <c r="Y560" t="s">
        <v>235</v>
      </c>
      <c r="Z560" t="s">
        <v>236</v>
      </c>
      <c r="AA560" t="s">
        <v>253</v>
      </c>
      <c r="AB560" t="s">
        <v>121</v>
      </c>
      <c r="AC560" s="235">
        <v>-620000</v>
      </c>
      <c r="AD560" s="235">
        <v>-477.20914112335572</v>
      </c>
      <c r="AE560">
        <v>0</v>
      </c>
      <c r="AF560">
        <v>0</v>
      </c>
      <c r="AG560">
        <v>0</v>
      </c>
      <c r="AH560" s="235">
        <v>-85.296631149986951</v>
      </c>
      <c r="AI560">
        <v>226</v>
      </c>
      <c r="AJ560" t="s">
        <v>256</v>
      </c>
      <c r="AK560">
        <v>0</v>
      </c>
      <c r="AL560">
        <v>0</v>
      </c>
      <c r="AM560">
        <v>0</v>
      </c>
    </row>
    <row r="561" spans="1:39" x14ac:dyDescent="0.25">
      <c r="A561" t="s">
        <v>601</v>
      </c>
      <c r="B561" t="s">
        <v>534</v>
      </c>
      <c r="C561" t="s">
        <v>255</v>
      </c>
      <c r="D561" t="s">
        <v>234</v>
      </c>
      <c r="E561" t="s">
        <v>20</v>
      </c>
      <c r="F561" t="s">
        <v>383</v>
      </c>
      <c r="G561" t="s">
        <v>269</v>
      </c>
      <c r="H561" t="s">
        <v>254</v>
      </c>
      <c r="I561" t="s">
        <v>242</v>
      </c>
      <c r="J561" t="s">
        <v>235</v>
      </c>
      <c r="K561" s="380">
        <v>36770</v>
      </c>
      <c r="L561" s="235">
        <v>-0.15730672567881854</v>
      </c>
      <c r="M561" s="380">
        <v>36768</v>
      </c>
      <c r="N561" t="s">
        <v>1</v>
      </c>
      <c r="O561">
        <v>0.5</v>
      </c>
      <c r="P561">
        <v>0</v>
      </c>
      <c r="Q561">
        <v>0</v>
      </c>
      <c r="R561">
        <v>0</v>
      </c>
      <c r="S561">
        <v>0</v>
      </c>
      <c r="T561" t="s">
        <v>253</v>
      </c>
      <c r="U561" t="s">
        <v>190</v>
      </c>
      <c r="V561" t="s">
        <v>253</v>
      </c>
      <c r="W561" t="s">
        <v>132</v>
      </c>
      <c r="X561" t="s">
        <v>253</v>
      </c>
      <c r="Y561" t="s">
        <v>235</v>
      </c>
      <c r="Z561" t="s">
        <v>236</v>
      </c>
      <c r="AA561" t="s">
        <v>253</v>
      </c>
      <c r="AB561" t="s">
        <v>121</v>
      </c>
      <c r="AC561" s="235">
        <v>-600000</v>
      </c>
      <c r="AD561" s="235">
        <v>2.3941714943909176E-2</v>
      </c>
      <c r="AE561">
        <v>0</v>
      </c>
      <c r="AF561">
        <v>0</v>
      </c>
      <c r="AG561">
        <v>0</v>
      </c>
      <c r="AH561" s="235">
        <v>-2.079806726840161E-2</v>
      </c>
      <c r="AI561">
        <v>226</v>
      </c>
      <c r="AJ561" t="s">
        <v>256</v>
      </c>
      <c r="AK561">
        <v>0</v>
      </c>
      <c r="AL561">
        <v>0</v>
      </c>
      <c r="AM561">
        <v>0</v>
      </c>
    </row>
    <row r="562" spans="1:39" x14ac:dyDescent="0.25">
      <c r="A562" t="s">
        <v>601</v>
      </c>
      <c r="B562" t="s">
        <v>535</v>
      </c>
      <c r="C562" t="s">
        <v>255</v>
      </c>
      <c r="D562" t="s">
        <v>234</v>
      </c>
      <c r="E562" t="s">
        <v>20</v>
      </c>
      <c r="F562" t="s">
        <v>383</v>
      </c>
      <c r="G562" t="s">
        <v>269</v>
      </c>
      <c r="H562" t="s">
        <v>254</v>
      </c>
      <c r="I562" t="s">
        <v>242</v>
      </c>
      <c r="J562" t="s">
        <v>235</v>
      </c>
      <c r="K562" s="380">
        <v>36800</v>
      </c>
      <c r="L562" s="235">
        <v>-64.912029506073438</v>
      </c>
      <c r="M562" s="380">
        <v>36797</v>
      </c>
      <c r="N562" t="s">
        <v>1</v>
      </c>
      <c r="O562">
        <v>0.5</v>
      </c>
      <c r="P562">
        <v>0</v>
      </c>
      <c r="Q562">
        <v>0</v>
      </c>
      <c r="R562">
        <v>0</v>
      </c>
      <c r="S562">
        <v>0</v>
      </c>
      <c r="T562" t="s">
        <v>253</v>
      </c>
      <c r="U562" t="s">
        <v>190</v>
      </c>
      <c r="V562" t="s">
        <v>253</v>
      </c>
      <c r="W562" t="s">
        <v>132</v>
      </c>
      <c r="X562" t="s">
        <v>253</v>
      </c>
      <c r="Y562" t="s">
        <v>235</v>
      </c>
      <c r="Z562" t="s">
        <v>236</v>
      </c>
      <c r="AA562" t="s">
        <v>253</v>
      </c>
      <c r="AB562" t="s">
        <v>121</v>
      </c>
      <c r="AC562" s="235">
        <v>-155000</v>
      </c>
      <c r="AD562" s="235">
        <v>-119.30228528083893</v>
      </c>
      <c r="AE562">
        <v>0</v>
      </c>
      <c r="AF562">
        <v>0</v>
      </c>
      <c r="AG562">
        <v>0</v>
      </c>
      <c r="AH562" s="235">
        <v>-21.324157787496738</v>
      </c>
      <c r="AI562">
        <v>226</v>
      </c>
      <c r="AJ562" t="s">
        <v>256</v>
      </c>
      <c r="AK562">
        <v>0</v>
      </c>
      <c r="AL562">
        <v>0</v>
      </c>
      <c r="AM562">
        <v>0</v>
      </c>
    </row>
    <row r="563" spans="1:39" x14ac:dyDescent="0.25">
      <c r="A563" t="s">
        <v>601</v>
      </c>
      <c r="B563" t="s">
        <v>535</v>
      </c>
      <c r="C563" t="s">
        <v>255</v>
      </c>
      <c r="D563" t="s">
        <v>234</v>
      </c>
      <c r="E563" t="s">
        <v>20</v>
      </c>
      <c r="F563" t="s">
        <v>383</v>
      </c>
      <c r="G563" t="s">
        <v>269</v>
      </c>
      <c r="H563" t="s">
        <v>254</v>
      </c>
      <c r="I563" t="s">
        <v>242</v>
      </c>
      <c r="J563" t="s">
        <v>235</v>
      </c>
      <c r="K563" s="380">
        <v>36770</v>
      </c>
      <c r="L563" s="235">
        <v>-3.9326681419704634E-2</v>
      </c>
      <c r="M563" s="380">
        <v>36768</v>
      </c>
      <c r="N563" t="s">
        <v>1</v>
      </c>
      <c r="O563">
        <v>0.5</v>
      </c>
      <c r="P563">
        <v>0</v>
      </c>
      <c r="Q563">
        <v>0</v>
      </c>
      <c r="R563">
        <v>0</v>
      </c>
      <c r="S563">
        <v>0</v>
      </c>
      <c r="T563" t="s">
        <v>253</v>
      </c>
      <c r="U563" t="s">
        <v>190</v>
      </c>
      <c r="V563" t="s">
        <v>253</v>
      </c>
      <c r="W563" t="s">
        <v>132</v>
      </c>
      <c r="X563" t="s">
        <v>253</v>
      </c>
      <c r="Y563" t="s">
        <v>235</v>
      </c>
      <c r="Z563" t="s">
        <v>236</v>
      </c>
      <c r="AA563" t="s">
        <v>253</v>
      </c>
      <c r="AB563" t="s">
        <v>121</v>
      </c>
      <c r="AC563" s="235">
        <v>-150000</v>
      </c>
      <c r="AD563" s="235">
        <v>5.985428735977294E-3</v>
      </c>
      <c r="AE563">
        <v>0</v>
      </c>
      <c r="AF563">
        <v>0</v>
      </c>
      <c r="AG563">
        <v>0</v>
      </c>
      <c r="AH563" s="235">
        <v>-5.1995168171004025E-3</v>
      </c>
      <c r="AI563">
        <v>226</v>
      </c>
      <c r="AJ563" t="s">
        <v>256</v>
      </c>
      <c r="AK563">
        <v>0</v>
      </c>
      <c r="AL563">
        <v>0</v>
      </c>
      <c r="AM563">
        <v>0</v>
      </c>
    </row>
    <row r="564" spans="1:39" x14ac:dyDescent="0.25">
      <c r="A564" t="s">
        <v>601</v>
      </c>
      <c r="B564" t="s">
        <v>536</v>
      </c>
      <c r="C564" t="s">
        <v>255</v>
      </c>
      <c r="D564" t="s">
        <v>234</v>
      </c>
      <c r="E564" t="s">
        <v>20</v>
      </c>
      <c r="F564" t="s">
        <v>286</v>
      </c>
      <c r="G564" t="s">
        <v>269</v>
      </c>
      <c r="H564" t="s">
        <v>254</v>
      </c>
      <c r="I564" t="s">
        <v>242</v>
      </c>
      <c r="J564" t="s">
        <v>235</v>
      </c>
      <c r="K564" s="380">
        <v>36800</v>
      </c>
      <c r="L564" s="235">
        <v>64.912029506073438</v>
      </c>
      <c r="M564" s="380">
        <v>36797</v>
      </c>
      <c r="N564" t="s">
        <v>1</v>
      </c>
      <c r="O564">
        <v>0.5</v>
      </c>
      <c r="P564">
        <v>0</v>
      </c>
      <c r="Q564">
        <v>0</v>
      </c>
      <c r="R564">
        <v>0</v>
      </c>
      <c r="S564">
        <v>0</v>
      </c>
      <c r="T564" t="s">
        <v>253</v>
      </c>
      <c r="U564" t="s">
        <v>190</v>
      </c>
      <c r="V564" t="s">
        <v>253</v>
      </c>
      <c r="W564" t="s">
        <v>132</v>
      </c>
      <c r="X564" t="s">
        <v>253</v>
      </c>
      <c r="Y564" t="s">
        <v>235</v>
      </c>
      <c r="Z564" t="s">
        <v>236</v>
      </c>
      <c r="AA564" t="s">
        <v>253</v>
      </c>
      <c r="AB564" t="s">
        <v>121</v>
      </c>
      <c r="AC564" s="235">
        <v>155000</v>
      </c>
      <c r="AD564" s="235">
        <v>119.30228528083893</v>
      </c>
      <c r="AE564">
        <v>0</v>
      </c>
      <c r="AF564">
        <v>0</v>
      </c>
      <c r="AG564">
        <v>0</v>
      </c>
      <c r="AH564" s="235">
        <v>21.324157787496738</v>
      </c>
      <c r="AI564">
        <v>226</v>
      </c>
      <c r="AJ564" t="s">
        <v>256</v>
      </c>
      <c r="AK564">
        <v>0</v>
      </c>
      <c r="AL564">
        <v>0</v>
      </c>
      <c r="AM564">
        <v>0</v>
      </c>
    </row>
    <row r="565" spans="1:39" x14ac:dyDescent="0.25">
      <c r="A565" t="s">
        <v>601</v>
      </c>
      <c r="B565" t="s">
        <v>536</v>
      </c>
      <c r="C565" t="s">
        <v>255</v>
      </c>
      <c r="D565" t="s">
        <v>234</v>
      </c>
      <c r="E565" t="s">
        <v>20</v>
      </c>
      <c r="F565" t="s">
        <v>286</v>
      </c>
      <c r="G565" t="s">
        <v>269</v>
      </c>
      <c r="H565" t="s">
        <v>254</v>
      </c>
      <c r="I565" t="s">
        <v>242</v>
      </c>
      <c r="J565" t="s">
        <v>235</v>
      </c>
      <c r="K565" s="380">
        <v>36770</v>
      </c>
      <c r="L565" s="235">
        <v>3.9326681419704634E-2</v>
      </c>
      <c r="M565" s="380">
        <v>36768</v>
      </c>
      <c r="N565" t="s">
        <v>1</v>
      </c>
      <c r="O565">
        <v>0.5</v>
      </c>
      <c r="P565">
        <v>0</v>
      </c>
      <c r="Q565">
        <v>0</v>
      </c>
      <c r="R565">
        <v>0</v>
      </c>
      <c r="S565">
        <v>0</v>
      </c>
      <c r="T565" t="s">
        <v>253</v>
      </c>
      <c r="U565" t="s">
        <v>190</v>
      </c>
      <c r="V565" t="s">
        <v>253</v>
      </c>
      <c r="W565" t="s">
        <v>132</v>
      </c>
      <c r="X565" t="s">
        <v>253</v>
      </c>
      <c r="Y565" t="s">
        <v>235</v>
      </c>
      <c r="Z565" t="s">
        <v>236</v>
      </c>
      <c r="AA565" t="s">
        <v>253</v>
      </c>
      <c r="AB565" t="s">
        <v>121</v>
      </c>
      <c r="AC565" s="235">
        <v>150000</v>
      </c>
      <c r="AD565" s="235">
        <v>-5.985428735977294E-3</v>
      </c>
      <c r="AE565">
        <v>0</v>
      </c>
      <c r="AF565">
        <v>0</v>
      </c>
      <c r="AG565">
        <v>0</v>
      </c>
      <c r="AH565" s="235">
        <v>5.1995168171004025E-3</v>
      </c>
      <c r="AI565">
        <v>226</v>
      </c>
      <c r="AJ565" t="s">
        <v>256</v>
      </c>
      <c r="AK565">
        <v>0</v>
      </c>
      <c r="AL565">
        <v>0</v>
      </c>
      <c r="AM565">
        <v>0</v>
      </c>
    </row>
    <row r="566" spans="1:39" x14ac:dyDescent="0.25">
      <c r="A566" t="s">
        <v>601</v>
      </c>
      <c r="B566" t="s">
        <v>537</v>
      </c>
      <c r="C566" t="s">
        <v>255</v>
      </c>
      <c r="D566" t="s">
        <v>234</v>
      </c>
      <c r="E566" t="s">
        <v>20</v>
      </c>
      <c r="F566" t="s">
        <v>279</v>
      </c>
      <c r="G566" t="s">
        <v>269</v>
      </c>
      <c r="H566" t="s">
        <v>254</v>
      </c>
      <c r="I566" t="s">
        <v>242</v>
      </c>
      <c r="J566" t="s">
        <v>235</v>
      </c>
      <c r="K566" s="380">
        <v>36951</v>
      </c>
      <c r="L566" s="235">
        <v>79936.771731607121</v>
      </c>
      <c r="M566" s="380">
        <v>36949</v>
      </c>
      <c r="N566" t="s">
        <v>21</v>
      </c>
      <c r="O566">
        <v>0.3</v>
      </c>
      <c r="P566">
        <v>0</v>
      </c>
      <c r="Q566">
        <v>0</v>
      </c>
      <c r="R566">
        <v>0</v>
      </c>
      <c r="S566">
        <v>0</v>
      </c>
      <c r="T566" t="s">
        <v>253</v>
      </c>
      <c r="U566" t="s">
        <v>190</v>
      </c>
      <c r="V566" t="s">
        <v>253</v>
      </c>
      <c r="W566" t="s">
        <v>132</v>
      </c>
      <c r="X566" t="s">
        <v>253</v>
      </c>
      <c r="Y566" t="s">
        <v>235</v>
      </c>
      <c r="Z566" t="s">
        <v>236</v>
      </c>
      <c r="AA566" t="s">
        <v>253</v>
      </c>
      <c r="AB566" t="s">
        <v>121</v>
      </c>
      <c r="AC566" s="235">
        <v>155000</v>
      </c>
      <c r="AD566" s="235">
        <v>11450.903464284725</v>
      </c>
      <c r="AE566">
        <v>0</v>
      </c>
      <c r="AF566">
        <v>0</v>
      </c>
      <c r="AG566">
        <v>0</v>
      </c>
      <c r="AH566" s="235">
        <v>-4981.9103853558481</v>
      </c>
      <c r="AI566">
        <v>226</v>
      </c>
      <c r="AJ566" t="s">
        <v>256</v>
      </c>
      <c r="AK566">
        <v>0</v>
      </c>
      <c r="AL566">
        <v>0</v>
      </c>
      <c r="AM566">
        <v>0</v>
      </c>
    </row>
    <row r="567" spans="1:39" x14ac:dyDescent="0.25">
      <c r="A567" t="s">
        <v>601</v>
      </c>
      <c r="B567" t="s">
        <v>537</v>
      </c>
      <c r="C567" t="s">
        <v>255</v>
      </c>
      <c r="D567" t="s">
        <v>234</v>
      </c>
      <c r="E567" t="s">
        <v>20</v>
      </c>
      <c r="F567" t="s">
        <v>279</v>
      </c>
      <c r="G567" t="s">
        <v>269</v>
      </c>
      <c r="H567" t="s">
        <v>254</v>
      </c>
      <c r="I567" t="s">
        <v>242</v>
      </c>
      <c r="J567" t="s">
        <v>235</v>
      </c>
      <c r="K567" s="380">
        <v>36923</v>
      </c>
      <c r="L567" s="235">
        <v>78361.234469032323</v>
      </c>
      <c r="M567" s="380">
        <v>36921</v>
      </c>
      <c r="N567" t="s">
        <v>21</v>
      </c>
      <c r="O567">
        <v>0.3</v>
      </c>
      <c r="P567">
        <v>0</v>
      </c>
      <c r="Q567">
        <v>0</v>
      </c>
      <c r="R567">
        <v>0</v>
      </c>
      <c r="S567">
        <v>0</v>
      </c>
      <c r="T567" t="s">
        <v>253</v>
      </c>
      <c r="U567" t="s">
        <v>190</v>
      </c>
      <c r="V567" t="s">
        <v>253</v>
      </c>
      <c r="W567" t="s">
        <v>132</v>
      </c>
      <c r="X567" t="s">
        <v>253</v>
      </c>
      <c r="Y567" t="s">
        <v>235</v>
      </c>
      <c r="Z567" t="s">
        <v>236</v>
      </c>
      <c r="AA567" t="s">
        <v>253</v>
      </c>
      <c r="AB567" t="s">
        <v>121</v>
      </c>
      <c r="AC567" s="235">
        <v>140000</v>
      </c>
      <c r="AD567" s="235">
        <v>10673.463241785837</v>
      </c>
      <c r="AE567">
        <v>0</v>
      </c>
      <c r="AF567">
        <v>0</v>
      </c>
      <c r="AG567">
        <v>0</v>
      </c>
      <c r="AH567" s="235">
        <v>-4522.9059541223542</v>
      </c>
      <c r="AI567">
        <v>226</v>
      </c>
      <c r="AJ567" t="s">
        <v>256</v>
      </c>
      <c r="AK567">
        <v>0</v>
      </c>
      <c r="AL567">
        <v>0</v>
      </c>
      <c r="AM567">
        <v>0</v>
      </c>
    </row>
    <row r="568" spans="1:39" x14ac:dyDescent="0.25">
      <c r="A568" t="s">
        <v>601</v>
      </c>
      <c r="B568" t="s">
        <v>537</v>
      </c>
      <c r="C568" t="s">
        <v>255</v>
      </c>
      <c r="D568" t="s">
        <v>234</v>
      </c>
      <c r="E568" t="s">
        <v>20</v>
      </c>
      <c r="F568" t="s">
        <v>279</v>
      </c>
      <c r="G568" t="s">
        <v>269</v>
      </c>
      <c r="H568" t="s">
        <v>254</v>
      </c>
      <c r="I568" t="s">
        <v>242</v>
      </c>
      <c r="J568" t="s">
        <v>235</v>
      </c>
      <c r="K568" s="380">
        <v>36892</v>
      </c>
      <c r="L568" s="235">
        <v>100493.61516475907</v>
      </c>
      <c r="M568" s="380">
        <v>36888</v>
      </c>
      <c r="N568" t="s">
        <v>21</v>
      </c>
      <c r="O568">
        <v>0.3</v>
      </c>
      <c r="P568">
        <v>0</v>
      </c>
      <c r="Q568">
        <v>0</v>
      </c>
      <c r="R568">
        <v>0</v>
      </c>
      <c r="S568">
        <v>0</v>
      </c>
      <c r="T568" t="s">
        <v>253</v>
      </c>
      <c r="U568" t="s">
        <v>190</v>
      </c>
      <c r="V568" t="s">
        <v>253</v>
      </c>
      <c r="W568" t="s">
        <v>132</v>
      </c>
      <c r="X568" t="s">
        <v>253</v>
      </c>
      <c r="Y568" t="s">
        <v>235</v>
      </c>
      <c r="Z568" t="s">
        <v>236</v>
      </c>
      <c r="AA568" t="s">
        <v>253</v>
      </c>
      <c r="AB568" t="s">
        <v>121</v>
      </c>
      <c r="AC568" s="235">
        <v>155000</v>
      </c>
      <c r="AD568" s="235">
        <v>10096.865995068554</v>
      </c>
      <c r="AE568">
        <v>0</v>
      </c>
      <c r="AF568">
        <v>0</v>
      </c>
      <c r="AG568">
        <v>0</v>
      </c>
      <c r="AH568" s="235">
        <v>-5575.1938648322393</v>
      </c>
      <c r="AI568">
        <v>226</v>
      </c>
      <c r="AJ568" t="s">
        <v>256</v>
      </c>
      <c r="AK568">
        <v>0</v>
      </c>
      <c r="AL568">
        <v>0</v>
      </c>
      <c r="AM568">
        <v>0</v>
      </c>
    </row>
    <row r="569" spans="1:39" x14ac:dyDescent="0.25">
      <c r="A569" t="s">
        <v>601</v>
      </c>
      <c r="B569" t="s">
        <v>537</v>
      </c>
      <c r="C569" t="s">
        <v>255</v>
      </c>
      <c r="D569" t="s">
        <v>234</v>
      </c>
      <c r="E569" t="s">
        <v>20</v>
      </c>
      <c r="F569" t="s">
        <v>279</v>
      </c>
      <c r="G569" t="s">
        <v>269</v>
      </c>
      <c r="H569" t="s">
        <v>254</v>
      </c>
      <c r="I569" t="s">
        <v>242</v>
      </c>
      <c r="J569" t="s">
        <v>235</v>
      </c>
      <c r="K569" s="380">
        <v>36861</v>
      </c>
      <c r="L569" s="235">
        <v>122763.29505225488</v>
      </c>
      <c r="M569" s="380">
        <v>36859</v>
      </c>
      <c r="N569" t="s">
        <v>21</v>
      </c>
      <c r="O569">
        <v>0.3</v>
      </c>
      <c r="P569">
        <v>0</v>
      </c>
      <c r="Q569">
        <v>0</v>
      </c>
      <c r="R569">
        <v>0</v>
      </c>
      <c r="S569">
        <v>0</v>
      </c>
      <c r="T569" t="s">
        <v>253</v>
      </c>
      <c r="U569" t="s">
        <v>190</v>
      </c>
      <c r="V569" t="s">
        <v>253</v>
      </c>
      <c r="W569" t="s">
        <v>132</v>
      </c>
      <c r="X569" t="s">
        <v>253</v>
      </c>
      <c r="Y569" t="s">
        <v>235</v>
      </c>
      <c r="Z569" t="s">
        <v>236</v>
      </c>
      <c r="AA569" t="s">
        <v>253</v>
      </c>
      <c r="AB569" t="s">
        <v>121</v>
      </c>
      <c r="AC569" s="235">
        <v>155000</v>
      </c>
      <c r="AD569" s="235">
        <v>7095.8171914744889</v>
      </c>
      <c r="AE569">
        <v>0</v>
      </c>
      <c r="AF569">
        <v>0</v>
      </c>
      <c r="AG569">
        <v>0</v>
      </c>
      <c r="AH569" s="235">
        <v>17867.55033788491</v>
      </c>
      <c r="AI569">
        <v>226</v>
      </c>
      <c r="AJ569" t="s">
        <v>256</v>
      </c>
      <c r="AK569">
        <v>0</v>
      </c>
      <c r="AL569">
        <v>0</v>
      </c>
      <c r="AM569">
        <v>0</v>
      </c>
    </row>
    <row r="570" spans="1:39" x14ac:dyDescent="0.25">
      <c r="A570" t="s">
        <v>601</v>
      </c>
      <c r="B570" t="s">
        <v>537</v>
      </c>
      <c r="C570" t="s">
        <v>255</v>
      </c>
      <c r="D570" t="s">
        <v>234</v>
      </c>
      <c r="E570" t="s">
        <v>20</v>
      </c>
      <c r="F570" t="s">
        <v>279</v>
      </c>
      <c r="G570" t="s">
        <v>269</v>
      </c>
      <c r="H570" t="s">
        <v>254</v>
      </c>
      <c r="I570" t="s">
        <v>242</v>
      </c>
      <c r="J570" t="s">
        <v>235</v>
      </c>
      <c r="K570" s="380">
        <v>36831</v>
      </c>
      <c r="L570" s="235">
        <v>186521.28572537468</v>
      </c>
      <c r="M570" s="380">
        <v>36829</v>
      </c>
      <c r="N570" t="s">
        <v>21</v>
      </c>
      <c r="O570">
        <v>0.3</v>
      </c>
      <c r="P570">
        <v>0</v>
      </c>
      <c r="Q570">
        <v>0</v>
      </c>
      <c r="R570">
        <v>0</v>
      </c>
      <c r="S570">
        <v>0</v>
      </c>
      <c r="T570" t="s">
        <v>253</v>
      </c>
      <c r="U570" t="s">
        <v>190</v>
      </c>
      <c r="V570" t="s">
        <v>253</v>
      </c>
      <c r="W570" t="s">
        <v>132</v>
      </c>
      <c r="X570" t="s">
        <v>253</v>
      </c>
      <c r="Y570" t="s">
        <v>235</v>
      </c>
      <c r="Z570" t="s">
        <v>236</v>
      </c>
      <c r="AA570" t="s">
        <v>253</v>
      </c>
      <c r="AB570" t="s">
        <v>121</v>
      </c>
      <c r="AC570" s="235">
        <v>150000</v>
      </c>
      <c r="AD570" s="235">
        <v>1843.7843771308835</v>
      </c>
      <c r="AE570">
        <v>0</v>
      </c>
      <c r="AF570">
        <v>0</v>
      </c>
      <c r="AG570">
        <v>0</v>
      </c>
      <c r="AH570" s="235">
        <v>29607.253897980787</v>
      </c>
      <c r="AI570">
        <v>226</v>
      </c>
      <c r="AJ570" t="s">
        <v>256</v>
      </c>
      <c r="AK570">
        <v>0</v>
      </c>
      <c r="AL570">
        <v>0</v>
      </c>
      <c r="AM570">
        <v>0</v>
      </c>
    </row>
    <row r="571" spans="1:39" x14ac:dyDescent="0.25">
      <c r="A571" t="s">
        <v>601</v>
      </c>
      <c r="B571" t="s">
        <v>538</v>
      </c>
      <c r="C571" t="s">
        <v>255</v>
      </c>
      <c r="D571" t="s">
        <v>234</v>
      </c>
      <c r="E571" t="s">
        <v>20</v>
      </c>
      <c r="F571" t="s">
        <v>281</v>
      </c>
      <c r="G571" t="s">
        <v>269</v>
      </c>
      <c r="H571" t="s">
        <v>254</v>
      </c>
      <c r="I571" t="s">
        <v>242</v>
      </c>
      <c r="J571" t="s">
        <v>235</v>
      </c>
      <c r="K571" s="380">
        <v>36800</v>
      </c>
      <c r="L571" s="235">
        <v>-18892.863722379498</v>
      </c>
      <c r="M571" s="380">
        <v>36797</v>
      </c>
      <c r="N571" t="s">
        <v>1</v>
      </c>
      <c r="O571">
        <v>0.3</v>
      </c>
      <c r="P571">
        <v>0</v>
      </c>
      <c r="Q571">
        <v>0</v>
      </c>
      <c r="R571">
        <v>0</v>
      </c>
      <c r="S571">
        <v>0</v>
      </c>
      <c r="T571" t="s">
        <v>253</v>
      </c>
      <c r="U571" t="s">
        <v>7</v>
      </c>
      <c r="V571" t="s">
        <v>253</v>
      </c>
      <c r="W571" t="s">
        <v>132</v>
      </c>
      <c r="X571" t="s">
        <v>253</v>
      </c>
      <c r="Y571" t="s">
        <v>235</v>
      </c>
      <c r="Z571" t="s">
        <v>236</v>
      </c>
      <c r="AA571" t="s">
        <v>253</v>
      </c>
      <c r="AB571" t="s">
        <v>121</v>
      </c>
      <c r="AC571" s="235">
        <v>-2550000</v>
      </c>
      <c r="AD571" s="235">
        <v>-9981.0159070852678</v>
      </c>
      <c r="AE571">
        <v>0</v>
      </c>
      <c r="AF571">
        <v>0</v>
      </c>
      <c r="AG571">
        <v>0</v>
      </c>
      <c r="AH571" s="235">
        <v>-577.90997187603352</v>
      </c>
      <c r="AI571">
        <v>226</v>
      </c>
      <c r="AJ571" t="s">
        <v>256</v>
      </c>
      <c r="AK571">
        <v>0</v>
      </c>
      <c r="AL571">
        <v>0</v>
      </c>
      <c r="AM571">
        <v>0</v>
      </c>
    </row>
    <row r="572" spans="1:39" x14ac:dyDescent="0.25">
      <c r="A572" t="s">
        <v>601</v>
      </c>
      <c r="B572" t="s">
        <v>539</v>
      </c>
      <c r="C572" t="s">
        <v>255</v>
      </c>
      <c r="D572" t="s">
        <v>234</v>
      </c>
      <c r="E572" t="s">
        <v>20</v>
      </c>
      <c r="F572" t="s">
        <v>279</v>
      </c>
      <c r="G572" t="s">
        <v>269</v>
      </c>
      <c r="H572" t="s">
        <v>254</v>
      </c>
      <c r="I572" t="s">
        <v>242</v>
      </c>
      <c r="J572" t="s">
        <v>235</v>
      </c>
      <c r="K572" s="380">
        <v>36800</v>
      </c>
      <c r="L572" s="235">
        <v>1284011.8782300358</v>
      </c>
      <c r="M572" s="380">
        <v>36797</v>
      </c>
      <c r="N572" t="s">
        <v>21</v>
      </c>
      <c r="O572">
        <v>0.7</v>
      </c>
      <c r="P572">
        <v>0</v>
      </c>
      <c r="Q572">
        <v>0</v>
      </c>
      <c r="R572">
        <v>0</v>
      </c>
      <c r="S572">
        <v>0</v>
      </c>
      <c r="T572" t="s">
        <v>253</v>
      </c>
      <c r="U572" t="s">
        <v>190</v>
      </c>
      <c r="V572" t="s">
        <v>253</v>
      </c>
      <c r="W572" t="s">
        <v>132</v>
      </c>
      <c r="X572" t="s">
        <v>253</v>
      </c>
      <c r="Y572" t="s">
        <v>235</v>
      </c>
      <c r="Z572" t="s">
        <v>236</v>
      </c>
      <c r="AA572" t="s">
        <v>253</v>
      </c>
      <c r="AB572" t="s">
        <v>121</v>
      </c>
      <c r="AC572" s="235">
        <v>1000000</v>
      </c>
      <c r="AD572" s="235">
        <v>2074.1200928376056</v>
      </c>
      <c r="AE572">
        <v>0</v>
      </c>
      <c r="AF572">
        <v>0</v>
      </c>
      <c r="AG572">
        <v>0</v>
      </c>
      <c r="AH572" s="235">
        <v>-39343.318791308207</v>
      </c>
      <c r="AI572">
        <v>226</v>
      </c>
      <c r="AJ572" t="s">
        <v>256</v>
      </c>
      <c r="AK572">
        <v>0</v>
      </c>
      <c r="AL572">
        <v>0</v>
      </c>
      <c r="AM572">
        <v>0</v>
      </c>
    </row>
    <row r="573" spans="1:39" x14ac:dyDescent="0.25">
      <c r="A573" t="s">
        <v>601</v>
      </c>
      <c r="B573" t="s">
        <v>539</v>
      </c>
      <c r="C573" t="s">
        <v>255</v>
      </c>
      <c r="D573" t="s">
        <v>234</v>
      </c>
      <c r="E573" t="s">
        <v>20</v>
      </c>
      <c r="F573" t="s">
        <v>279</v>
      </c>
      <c r="G573" t="s">
        <v>269</v>
      </c>
      <c r="H573" t="s">
        <v>254</v>
      </c>
      <c r="I573" t="s">
        <v>242</v>
      </c>
      <c r="J573" t="s">
        <v>235</v>
      </c>
      <c r="K573" s="380">
        <v>36770</v>
      </c>
      <c r="L573" s="235">
        <v>1799337.8573699414</v>
      </c>
      <c r="M573" s="380">
        <v>36768</v>
      </c>
      <c r="N573" t="s">
        <v>21</v>
      </c>
      <c r="O573">
        <v>0.7</v>
      </c>
      <c r="P573">
        <v>0</v>
      </c>
      <c r="Q573">
        <v>0</v>
      </c>
      <c r="R573">
        <v>0</v>
      </c>
      <c r="S573">
        <v>0</v>
      </c>
      <c r="T573" t="s">
        <v>253</v>
      </c>
      <c r="U573" t="s">
        <v>190</v>
      </c>
      <c r="V573" t="s">
        <v>253</v>
      </c>
      <c r="W573" t="s">
        <v>132</v>
      </c>
      <c r="X573" t="s">
        <v>253</v>
      </c>
      <c r="Y573" t="s">
        <v>235</v>
      </c>
      <c r="Z573" t="s">
        <v>236</v>
      </c>
      <c r="AA573" t="s">
        <v>253</v>
      </c>
      <c r="AB573" t="s">
        <v>121</v>
      </c>
      <c r="AC573" s="235">
        <v>1000000</v>
      </c>
      <c r="AD573" s="235">
        <v>-3.9902859949506819E-2</v>
      </c>
      <c r="AE573">
        <v>0</v>
      </c>
      <c r="AF573">
        <v>0</v>
      </c>
      <c r="AG573">
        <v>0</v>
      </c>
      <c r="AH573" s="235">
        <v>264756.49046982755</v>
      </c>
      <c r="AI573">
        <v>226</v>
      </c>
      <c r="AJ573" t="s">
        <v>256</v>
      </c>
      <c r="AK573">
        <v>0</v>
      </c>
      <c r="AL573">
        <v>0</v>
      </c>
      <c r="AM573">
        <v>0</v>
      </c>
    </row>
    <row r="574" spans="1:39" x14ac:dyDescent="0.25">
      <c r="A574" t="s">
        <v>601</v>
      </c>
      <c r="B574" t="s">
        <v>540</v>
      </c>
      <c r="C574" t="s">
        <v>255</v>
      </c>
      <c r="D574" t="s">
        <v>234</v>
      </c>
      <c r="E574" t="s">
        <v>20</v>
      </c>
      <c r="F574" t="s">
        <v>286</v>
      </c>
      <c r="G574" t="s">
        <v>269</v>
      </c>
      <c r="H574" t="s">
        <v>254</v>
      </c>
      <c r="I574" t="s">
        <v>242</v>
      </c>
      <c r="J574" t="s">
        <v>235</v>
      </c>
      <c r="K574" s="380">
        <v>36800</v>
      </c>
      <c r="L574" s="235">
        <v>-64.912029506073438</v>
      </c>
      <c r="M574" s="380">
        <v>36797</v>
      </c>
      <c r="N574" t="s">
        <v>1</v>
      </c>
      <c r="O574">
        <v>0.5</v>
      </c>
      <c r="P574">
        <v>0</v>
      </c>
      <c r="Q574">
        <v>0</v>
      </c>
      <c r="R574">
        <v>0</v>
      </c>
      <c r="S574">
        <v>0</v>
      </c>
      <c r="T574" t="s">
        <v>253</v>
      </c>
      <c r="U574" t="s">
        <v>190</v>
      </c>
      <c r="V574" t="s">
        <v>253</v>
      </c>
      <c r="W574" t="s">
        <v>132</v>
      </c>
      <c r="X574" t="s">
        <v>253</v>
      </c>
      <c r="Y574" t="s">
        <v>235</v>
      </c>
      <c r="Z574" t="s">
        <v>236</v>
      </c>
      <c r="AA574" t="s">
        <v>253</v>
      </c>
      <c r="AB574" t="s">
        <v>121</v>
      </c>
      <c r="AC574" s="235">
        <v>-155000</v>
      </c>
      <c r="AD574" s="235">
        <v>-119.30228528083893</v>
      </c>
      <c r="AE574">
        <v>0</v>
      </c>
      <c r="AF574">
        <v>0</v>
      </c>
      <c r="AG574">
        <v>0</v>
      </c>
      <c r="AH574" s="235">
        <v>-21.324157787496738</v>
      </c>
      <c r="AI574">
        <v>226</v>
      </c>
      <c r="AJ574" t="s">
        <v>256</v>
      </c>
      <c r="AK574">
        <v>0</v>
      </c>
      <c r="AL574">
        <v>0</v>
      </c>
      <c r="AM574">
        <v>0</v>
      </c>
    </row>
    <row r="575" spans="1:39" x14ac:dyDescent="0.25">
      <c r="A575" t="s">
        <v>601</v>
      </c>
      <c r="B575" t="s">
        <v>540</v>
      </c>
      <c r="C575" t="s">
        <v>255</v>
      </c>
      <c r="D575" t="s">
        <v>234</v>
      </c>
      <c r="E575" t="s">
        <v>20</v>
      </c>
      <c r="F575" t="s">
        <v>286</v>
      </c>
      <c r="G575" t="s">
        <v>269</v>
      </c>
      <c r="H575" t="s">
        <v>254</v>
      </c>
      <c r="I575" t="s">
        <v>242</v>
      </c>
      <c r="J575" t="s">
        <v>235</v>
      </c>
      <c r="K575" s="380">
        <v>36770</v>
      </c>
      <c r="L575" s="235">
        <v>-3.9326681419704634E-2</v>
      </c>
      <c r="M575" s="380">
        <v>36768</v>
      </c>
      <c r="N575" t="s">
        <v>1</v>
      </c>
      <c r="O575">
        <v>0.5</v>
      </c>
      <c r="P575">
        <v>0</v>
      </c>
      <c r="Q575">
        <v>0</v>
      </c>
      <c r="R575">
        <v>0</v>
      </c>
      <c r="S575">
        <v>0</v>
      </c>
      <c r="T575" t="s">
        <v>253</v>
      </c>
      <c r="U575" t="s">
        <v>190</v>
      </c>
      <c r="V575" t="s">
        <v>253</v>
      </c>
      <c r="W575" t="s">
        <v>132</v>
      </c>
      <c r="X575" t="s">
        <v>253</v>
      </c>
      <c r="Y575" t="s">
        <v>235</v>
      </c>
      <c r="Z575" t="s">
        <v>236</v>
      </c>
      <c r="AA575" t="s">
        <v>253</v>
      </c>
      <c r="AB575" t="s">
        <v>121</v>
      </c>
      <c r="AC575" s="235">
        <v>-150000</v>
      </c>
      <c r="AD575" s="235">
        <v>5.985428735977294E-3</v>
      </c>
      <c r="AE575">
        <v>0</v>
      </c>
      <c r="AF575">
        <v>0</v>
      </c>
      <c r="AG575">
        <v>0</v>
      </c>
      <c r="AH575" s="235">
        <v>-5.1995168171004025E-3</v>
      </c>
      <c r="AI575">
        <v>226</v>
      </c>
      <c r="AJ575" t="s">
        <v>256</v>
      </c>
      <c r="AK575">
        <v>0</v>
      </c>
      <c r="AL575">
        <v>0</v>
      </c>
      <c r="AM575">
        <v>0</v>
      </c>
    </row>
    <row r="576" spans="1:39" x14ac:dyDescent="0.25">
      <c r="A576" t="s">
        <v>601</v>
      </c>
      <c r="B576" t="s">
        <v>541</v>
      </c>
      <c r="C576" t="s">
        <v>255</v>
      </c>
      <c r="D576" t="s">
        <v>234</v>
      </c>
      <c r="E576" t="s">
        <v>20</v>
      </c>
      <c r="F576" t="s">
        <v>480</v>
      </c>
      <c r="G576" t="s">
        <v>269</v>
      </c>
      <c r="H576" t="s">
        <v>254</v>
      </c>
      <c r="I576" t="s">
        <v>242</v>
      </c>
      <c r="J576" t="s">
        <v>235</v>
      </c>
      <c r="K576" s="380">
        <v>36831</v>
      </c>
      <c r="L576" s="235">
        <v>-2325.0787793726668</v>
      </c>
      <c r="M576" s="380">
        <v>36829</v>
      </c>
      <c r="N576" t="s">
        <v>21</v>
      </c>
      <c r="O576">
        <v>0.15</v>
      </c>
      <c r="P576">
        <v>0</v>
      </c>
      <c r="Q576">
        <v>0</v>
      </c>
      <c r="R576">
        <v>0</v>
      </c>
      <c r="S576">
        <v>0</v>
      </c>
      <c r="T576" t="s">
        <v>253</v>
      </c>
      <c r="U576" t="s">
        <v>600</v>
      </c>
      <c r="V576" t="s">
        <v>253</v>
      </c>
      <c r="W576" t="s">
        <v>132</v>
      </c>
      <c r="X576" t="s">
        <v>253</v>
      </c>
      <c r="Y576" t="s">
        <v>235</v>
      </c>
      <c r="Z576" t="s">
        <v>236</v>
      </c>
      <c r="AA576" t="s">
        <v>253</v>
      </c>
      <c r="AB576" t="s">
        <v>121</v>
      </c>
      <c r="AC576" s="235">
        <v>-150000</v>
      </c>
      <c r="AD576" s="235">
        <v>-867.49113473248872</v>
      </c>
      <c r="AE576">
        <v>0</v>
      </c>
      <c r="AF576">
        <v>0</v>
      </c>
      <c r="AG576">
        <v>0</v>
      </c>
      <c r="AH576" s="235">
        <v>-46.798107837798852</v>
      </c>
      <c r="AI576">
        <v>226</v>
      </c>
      <c r="AJ576" t="s">
        <v>256</v>
      </c>
      <c r="AK576">
        <v>0</v>
      </c>
      <c r="AL576">
        <v>0</v>
      </c>
      <c r="AM576">
        <v>0</v>
      </c>
    </row>
    <row r="577" spans="1:39" x14ac:dyDescent="0.25">
      <c r="A577" t="s">
        <v>601</v>
      </c>
      <c r="B577" t="s">
        <v>541</v>
      </c>
      <c r="C577" t="s">
        <v>255</v>
      </c>
      <c r="D577" t="s">
        <v>234</v>
      </c>
      <c r="E577" t="s">
        <v>20</v>
      </c>
      <c r="F577" t="s">
        <v>480</v>
      </c>
      <c r="G577" t="s">
        <v>269</v>
      </c>
      <c r="H577" t="s">
        <v>254</v>
      </c>
      <c r="I577" t="s">
        <v>242</v>
      </c>
      <c r="J577" t="s">
        <v>235</v>
      </c>
      <c r="K577" s="380">
        <v>36861</v>
      </c>
      <c r="L577" s="235">
        <v>-4237.9759780882996</v>
      </c>
      <c r="M577" s="380">
        <v>36859</v>
      </c>
      <c r="N577" t="s">
        <v>21</v>
      </c>
      <c r="O577">
        <v>0.15</v>
      </c>
      <c r="P577">
        <v>0</v>
      </c>
      <c r="Q577">
        <v>0</v>
      </c>
      <c r="R577">
        <v>0</v>
      </c>
      <c r="S577">
        <v>0</v>
      </c>
      <c r="T577" t="s">
        <v>253</v>
      </c>
      <c r="U577" t="s">
        <v>600</v>
      </c>
      <c r="V577" t="s">
        <v>253</v>
      </c>
      <c r="W577" t="s">
        <v>132</v>
      </c>
      <c r="X577" t="s">
        <v>253</v>
      </c>
      <c r="Y577" t="s">
        <v>235</v>
      </c>
      <c r="Z577" t="s">
        <v>236</v>
      </c>
      <c r="AA577" t="s">
        <v>253</v>
      </c>
      <c r="AB577" t="s">
        <v>121</v>
      </c>
      <c r="AC577" s="235">
        <v>-155000</v>
      </c>
      <c r="AD577" s="235">
        <v>-1228.2878879359778</v>
      </c>
      <c r="AE577">
        <v>0</v>
      </c>
      <c r="AF577">
        <v>0</v>
      </c>
      <c r="AG577">
        <v>0</v>
      </c>
      <c r="AH577" s="235">
        <v>-61.840770430051634</v>
      </c>
      <c r="AI577">
        <v>226</v>
      </c>
      <c r="AJ577" t="s">
        <v>256</v>
      </c>
      <c r="AK577">
        <v>0</v>
      </c>
      <c r="AL577">
        <v>0</v>
      </c>
      <c r="AM577">
        <v>0</v>
      </c>
    </row>
    <row r="578" spans="1:39" x14ac:dyDescent="0.25">
      <c r="A578" t="s">
        <v>601</v>
      </c>
      <c r="B578" t="s">
        <v>541</v>
      </c>
      <c r="C578" t="s">
        <v>255</v>
      </c>
      <c r="D578" t="s">
        <v>234</v>
      </c>
      <c r="E578" t="s">
        <v>20</v>
      </c>
      <c r="F578" t="s">
        <v>480</v>
      </c>
      <c r="G578" t="s">
        <v>269</v>
      </c>
      <c r="H578" t="s">
        <v>254</v>
      </c>
      <c r="I578" t="s">
        <v>242</v>
      </c>
      <c r="J578" t="s">
        <v>235</v>
      </c>
      <c r="K578" s="380">
        <v>36892</v>
      </c>
      <c r="L578" s="235">
        <v>-6897.971815951083</v>
      </c>
      <c r="M578" s="380">
        <v>36888</v>
      </c>
      <c r="N578" t="s">
        <v>21</v>
      </c>
      <c r="O578">
        <v>0.15</v>
      </c>
      <c r="P578">
        <v>0</v>
      </c>
      <c r="Q578">
        <v>0</v>
      </c>
      <c r="R578">
        <v>0</v>
      </c>
      <c r="S578">
        <v>0</v>
      </c>
      <c r="T578" t="s">
        <v>253</v>
      </c>
      <c r="U578" t="s">
        <v>600</v>
      </c>
      <c r="V578" t="s">
        <v>253</v>
      </c>
      <c r="W578" t="s">
        <v>132</v>
      </c>
      <c r="X578" t="s">
        <v>253</v>
      </c>
      <c r="Y578" t="s">
        <v>235</v>
      </c>
      <c r="Z578" t="s">
        <v>236</v>
      </c>
      <c r="AA578" t="s">
        <v>253</v>
      </c>
      <c r="AB578" t="s">
        <v>121</v>
      </c>
      <c r="AC578" s="235">
        <v>-155000</v>
      </c>
      <c r="AD578" s="235">
        <v>-1505.7268318002316</v>
      </c>
      <c r="AE578">
        <v>0</v>
      </c>
      <c r="AF578">
        <v>0</v>
      </c>
      <c r="AG578">
        <v>0</v>
      </c>
      <c r="AH578" s="235">
        <v>-72.470487094463351</v>
      </c>
      <c r="AI578">
        <v>226</v>
      </c>
      <c r="AJ578" t="s">
        <v>256</v>
      </c>
      <c r="AK578">
        <v>0</v>
      </c>
      <c r="AL578">
        <v>0</v>
      </c>
      <c r="AM578">
        <v>0</v>
      </c>
    </row>
    <row r="579" spans="1:39" x14ac:dyDescent="0.25">
      <c r="A579" t="s">
        <v>601</v>
      </c>
      <c r="B579" t="s">
        <v>541</v>
      </c>
      <c r="C579" t="s">
        <v>255</v>
      </c>
      <c r="D579" t="s">
        <v>234</v>
      </c>
      <c r="E579" t="s">
        <v>20</v>
      </c>
      <c r="F579" t="s">
        <v>480</v>
      </c>
      <c r="G579" t="s">
        <v>269</v>
      </c>
      <c r="H579" t="s">
        <v>254</v>
      </c>
      <c r="I579" t="s">
        <v>242</v>
      </c>
      <c r="J579" t="s">
        <v>235</v>
      </c>
      <c r="K579" s="380">
        <v>36923</v>
      </c>
      <c r="L579" s="235">
        <v>-7249.0512804040436</v>
      </c>
      <c r="M579" s="380">
        <v>36921</v>
      </c>
      <c r="N579" t="s">
        <v>21</v>
      </c>
      <c r="O579">
        <v>0.15</v>
      </c>
      <c r="P579">
        <v>0</v>
      </c>
      <c r="Q579">
        <v>0</v>
      </c>
      <c r="R579">
        <v>0</v>
      </c>
      <c r="S579">
        <v>0</v>
      </c>
      <c r="T579" t="s">
        <v>253</v>
      </c>
      <c r="U579" t="s">
        <v>600</v>
      </c>
      <c r="V579" t="s">
        <v>253</v>
      </c>
      <c r="W579" t="s">
        <v>132</v>
      </c>
      <c r="X579" t="s">
        <v>253</v>
      </c>
      <c r="Y579" t="s">
        <v>235</v>
      </c>
      <c r="Z579" t="s">
        <v>236</v>
      </c>
      <c r="AA579" t="s">
        <v>253</v>
      </c>
      <c r="AB579" t="s">
        <v>121</v>
      </c>
      <c r="AC579" s="235">
        <v>-140000</v>
      </c>
      <c r="AD579" s="235">
        <v>-1494.3356124464408</v>
      </c>
      <c r="AE579">
        <v>0</v>
      </c>
      <c r="AF579">
        <v>0</v>
      </c>
      <c r="AG579">
        <v>0</v>
      </c>
      <c r="AH579" s="235">
        <v>-71.719198747144219</v>
      </c>
      <c r="AI579">
        <v>226</v>
      </c>
      <c r="AJ579" t="s">
        <v>256</v>
      </c>
      <c r="AK579">
        <v>0</v>
      </c>
      <c r="AL579">
        <v>0</v>
      </c>
      <c r="AM579">
        <v>0</v>
      </c>
    </row>
    <row r="580" spans="1:39" x14ac:dyDescent="0.25">
      <c r="A580" t="s">
        <v>601</v>
      </c>
      <c r="B580" t="s">
        <v>541</v>
      </c>
      <c r="C580" t="s">
        <v>255</v>
      </c>
      <c r="D580" t="s">
        <v>234</v>
      </c>
      <c r="E580" t="s">
        <v>20</v>
      </c>
      <c r="F580" t="s">
        <v>480</v>
      </c>
      <c r="G580" t="s">
        <v>269</v>
      </c>
      <c r="H580" t="s">
        <v>254</v>
      </c>
      <c r="I580" t="s">
        <v>242</v>
      </c>
      <c r="J580" t="s">
        <v>235</v>
      </c>
      <c r="K580" s="380">
        <v>36951</v>
      </c>
      <c r="L580" s="235">
        <v>-6333.0737802828908</v>
      </c>
      <c r="M580" s="380">
        <v>36949</v>
      </c>
      <c r="N580" t="s">
        <v>21</v>
      </c>
      <c r="O580">
        <v>0.15</v>
      </c>
      <c r="P580">
        <v>0</v>
      </c>
      <c r="Q580">
        <v>0</v>
      </c>
      <c r="R580">
        <v>0</v>
      </c>
      <c r="S580">
        <v>0</v>
      </c>
      <c r="T580" t="s">
        <v>253</v>
      </c>
      <c r="U580" t="s">
        <v>600</v>
      </c>
      <c r="V580" t="s">
        <v>253</v>
      </c>
      <c r="W580" t="s">
        <v>132</v>
      </c>
      <c r="X580" t="s">
        <v>253</v>
      </c>
      <c r="Y580" t="s">
        <v>235</v>
      </c>
      <c r="Z580" t="s">
        <v>236</v>
      </c>
      <c r="AA580" t="s">
        <v>253</v>
      </c>
      <c r="AB580" t="s">
        <v>121</v>
      </c>
      <c r="AC580" s="235">
        <v>-155000</v>
      </c>
      <c r="AD580" s="235">
        <v>-1573.5896138254684</v>
      </c>
      <c r="AE580">
        <v>0</v>
      </c>
      <c r="AF580">
        <v>0</v>
      </c>
      <c r="AG580">
        <v>0</v>
      </c>
      <c r="AH580" s="235">
        <v>-80.025168464565468</v>
      </c>
      <c r="AI580">
        <v>226</v>
      </c>
      <c r="AJ580" t="s">
        <v>256</v>
      </c>
      <c r="AK580">
        <v>0</v>
      </c>
      <c r="AL580">
        <v>0</v>
      </c>
      <c r="AM580">
        <v>0</v>
      </c>
    </row>
    <row r="581" spans="1:39" x14ac:dyDescent="0.25">
      <c r="A581" t="s">
        <v>601</v>
      </c>
      <c r="B581" t="s">
        <v>542</v>
      </c>
      <c r="C581" t="s">
        <v>255</v>
      </c>
      <c r="D581" t="s">
        <v>234</v>
      </c>
      <c r="E581" t="s">
        <v>20</v>
      </c>
      <c r="F581" t="s">
        <v>268</v>
      </c>
      <c r="G581" t="s">
        <v>269</v>
      </c>
      <c r="H581" t="s">
        <v>254</v>
      </c>
      <c r="I581" t="s">
        <v>242</v>
      </c>
      <c r="J581" t="s">
        <v>235</v>
      </c>
      <c r="K581" s="380">
        <v>36831</v>
      </c>
      <c r="L581" s="235">
        <v>-15472.032358583445</v>
      </c>
      <c r="M581" s="380">
        <v>36829</v>
      </c>
      <c r="N581" t="s">
        <v>21</v>
      </c>
      <c r="O581">
        <v>-0.15</v>
      </c>
      <c r="P581">
        <v>0</v>
      </c>
      <c r="Q581">
        <v>0</v>
      </c>
      <c r="R581">
        <v>0</v>
      </c>
      <c r="S581">
        <v>0</v>
      </c>
      <c r="T581" t="s">
        <v>253</v>
      </c>
      <c r="U581" t="s">
        <v>6</v>
      </c>
      <c r="V581" t="s">
        <v>253</v>
      </c>
      <c r="W581" t="s">
        <v>132</v>
      </c>
      <c r="X581" t="s">
        <v>253</v>
      </c>
      <c r="Y581" t="s">
        <v>235</v>
      </c>
      <c r="Z581" t="s">
        <v>236</v>
      </c>
      <c r="AA581" t="s">
        <v>253</v>
      </c>
      <c r="AB581" t="s">
        <v>121</v>
      </c>
      <c r="AC581" s="235">
        <v>-300000</v>
      </c>
      <c r="AD581" s="235">
        <v>-2778.2610331360193</v>
      </c>
      <c r="AE581">
        <v>0</v>
      </c>
      <c r="AF581">
        <v>0</v>
      </c>
      <c r="AG581">
        <v>0</v>
      </c>
      <c r="AH581" s="235">
        <v>244.76982637145011</v>
      </c>
      <c r="AI581">
        <v>226</v>
      </c>
      <c r="AJ581" t="s">
        <v>256</v>
      </c>
      <c r="AK581">
        <v>0</v>
      </c>
      <c r="AL581">
        <v>0</v>
      </c>
      <c r="AM581">
        <v>0</v>
      </c>
    </row>
    <row r="582" spans="1:39" x14ac:dyDescent="0.25">
      <c r="A582" t="s">
        <v>601</v>
      </c>
      <c r="B582" t="s">
        <v>542</v>
      </c>
      <c r="C582" t="s">
        <v>255</v>
      </c>
      <c r="D582" t="s">
        <v>234</v>
      </c>
      <c r="E582" t="s">
        <v>20</v>
      </c>
      <c r="F582" t="s">
        <v>268</v>
      </c>
      <c r="G582" t="s">
        <v>269</v>
      </c>
      <c r="H582" t="s">
        <v>254</v>
      </c>
      <c r="I582" t="s">
        <v>242</v>
      </c>
      <c r="J582" t="s">
        <v>235</v>
      </c>
      <c r="K582" s="380">
        <v>36861</v>
      </c>
      <c r="L582" s="235">
        <v>-17886.749890787269</v>
      </c>
      <c r="M582" s="380">
        <v>36859</v>
      </c>
      <c r="N582" t="s">
        <v>21</v>
      </c>
      <c r="O582">
        <v>-0.15</v>
      </c>
      <c r="P582">
        <v>0</v>
      </c>
      <c r="Q582">
        <v>0</v>
      </c>
      <c r="R582">
        <v>0</v>
      </c>
      <c r="S582">
        <v>0</v>
      </c>
      <c r="T582" t="s">
        <v>253</v>
      </c>
      <c r="U582" t="s">
        <v>6</v>
      </c>
      <c r="V582" t="s">
        <v>253</v>
      </c>
      <c r="W582" t="s">
        <v>132</v>
      </c>
      <c r="X582" t="s">
        <v>253</v>
      </c>
      <c r="Y582" t="s">
        <v>235</v>
      </c>
      <c r="Z582" t="s">
        <v>236</v>
      </c>
      <c r="AA582" t="s">
        <v>253</v>
      </c>
      <c r="AB582" t="s">
        <v>121</v>
      </c>
      <c r="AC582" s="235">
        <v>-310000</v>
      </c>
      <c r="AD582" s="235">
        <v>-3504.0933946185105</v>
      </c>
      <c r="AE582">
        <v>0</v>
      </c>
      <c r="AF582">
        <v>0</v>
      </c>
      <c r="AG582">
        <v>0</v>
      </c>
      <c r="AH582" s="235">
        <v>204.76711357450404</v>
      </c>
      <c r="AI582">
        <v>226</v>
      </c>
      <c r="AJ582" t="s">
        <v>256</v>
      </c>
      <c r="AK582">
        <v>0</v>
      </c>
      <c r="AL582">
        <v>0</v>
      </c>
      <c r="AM582">
        <v>0</v>
      </c>
    </row>
    <row r="583" spans="1:39" x14ac:dyDescent="0.25">
      <c r="A583" t="s">
        <v>601</v>
      </c>
      <c r="B583" t="s">
        <v>542</v>
      </c>
      <c r="C583" t="s">
        <v>255</v>
      </c>
      <c r="D583" t="s">
        <v>234</v>
      </c>
      <c r="E583" t="s">
        <v>20</v>
      </c>
      <c r="F583" t="s">
        <v>268</v>
      </c>
      <c r="G583" t="s">
        <v>269</v>
      </c>
      <c r="H583" t="s">
        <v>254</v>
      </c>
      <c r="I583" t="s">
        <v>242</v>
      </c>
      <c r="J583" t="s">
        <v>235</v>
      </c>
      <c r="K583" s="380">
        <v>36892</v>
      </c>
      <c r="L583" s="235">
        <v>-19275.139662017253</v>
      </c>
      <c r="M583" s="380">
        <v>36888</v>
      </c>
      <c r="N583" t="s">
        <v>21</v>
      </c>
      <c r="O583">
        <v>-0.15</v>
      </c>
      <c r="P583">
        <v>0</v>
      </c>
      <c r="Q583">
        <v>0</v>
      </c>
      <c r="R583">
        <v>0</v>
      </c>
      <c r="S583">
        <v>0</v>
      </c>
      <c r="T583" t="s">
        <v>253</v>
      </c>
      <c r="U583" t="s">
        <v>6</v>
      </c>
      <c r="V583" t="s">
        <v>253</v>
      </c>
      <c r="W583" t="s">
        <v>132</v>
      </c>
      <c r="X583" t="s">
        <v>253</v>
      </c>
      <c r="Y583" t="s">
        <v>235</v>
      </c>
      <c r="Z583" t="s">
        <v>236</v>
      </c>
      <c r="AA583" t="s">
        <v>253</v>
      </c>
      <c r="AB583" t="s">
        <v>121</v>
      </c>
      <c r="AC583" s="235">
        <v>-310000</v>
      </c>
      <c r="AD583" s="235">
        <v>-4010.4928775268199</v>
      </c>
      <c r="AE583">
        <v>0</v>
      </c>
      <c r="AF583">
        <v>0</v>
      </c>
      <c r="AG583">
        <v>0</v>
      </c>
      <c r="AH583" s="235">
        <v>173.38633505591861</v>
      </c>
      <c r="AI583">
        <v>226</v>
      </c>
      <c r="AJ583" t="s">
        <v>256</v>
      </c>
      <c r="AK583">
        <v>0</v>
      </c>
      <c r="AL583">
        <v>0</v>
      </c>
      <c r="AM583">
        <v>0</v>
      </c>
    </row>
    <row r="584" spans="1:39" x14ac:dyDescent="0.25">
      <c r="A584" t="s">
        <v>601</v>
      </c>
      <c r="B584" t="s">
        <v>542</v>
      </c>
      <c r="C584" t="s">
        <v>255</v>
      </c>
      <c r="D584" t="s">
        <v>234</v>
      </c>
      <c r="E584" t="s">
        <v>20</v>
      </c>
      <c r="F584" t="s">
        <v>268</v>
      </c>
      <c r="G584" t="s">
        <v>269</v>
      </c>
      <c r="H584" t="s">
        <v>254</v>
      </c>
      <c r="I584" t="s">
        <v>242</v>
      </c>
      <c r="J584" t="s">
        <v>235</v>
      </c>
      <c r="K584" s="380">
        <v>36923</v>
      </c>
      <c r="L584" s="235">
        <v>-20191.238005208488</v>
      </c>
      <c r="M584" s="380">
        <v>36921</v>
      </c>
      <c r="N584" t="s">
        <v>21</v>
      </c>
      <c r="O584">
        <v>-0.15</v>
      </c>
      <c r="P584">
        <v>0</v>
      </c>
      <c r="Q584">
        <v>0</v>
      </c>
      <c r="R584">
        <v>0</v>
      </c>
      <c r="S584">
        <v>0</v>
      </c>
      <c r="T584" t="s">
        <v>253</v>
      </c>
      <c r="U584" t="s">
        <v>6</v>
      </c>
      <c r="V584" t="s">
        <v>253</v>
      </c>
      <c r="W584" t="s">
        <v>132</v>
      </c>
      <c r="X584" t="s">
        <v>253</v>
      </c>
      <c r="Y584" t="s">
        <v>235</v>
      </c>
      <c r="Z584" t="s">
        <v>236</v>
      </c>
      <c r="AA584" t="s">
        <v>253</v>
      </c>
      <c r="AB584" t="s">
        <v>121</v>
      </c>
      <c r="AC584" s="235">
        <v>-280000</v>
      </c>
      <c r="AD584" s="235">
        <v>-3962.986921349715</v>
      </c>
      <c r="AE584">
        <v>0</v>
      </c>
      <c r="AF584">
        <v>0</v>
      </c>
      <c r="AG584">
        <v>0</v>
      </c>
      <c r="AH584" s="235">
        <v>162.15663969589514</v>
      </c>
      <c r="AI584">
        <v>226</v>
      </c>
      <c r="AJ584" t="s">
        <v>256</v>
      </c>
      <c r="AK584">
        <v>0</v>
      </c>
      <c r="AL584">
        <v>0</v>
      </c>
      <c r="AM584">
        <v>0</v>
      </c>
    </row>
    <row r="585" spans="1:39" x14ac:dyDescent="0.25">
      <c r="A585" t="s">
        <v>601</v>
      </c>
      <c r="B585" t="s">
        <v>542</v>
      </c>
      <c r="C585" t="s">
        <v>255</v>
      </c>
      <c r="D585" t="s">
        <v>234</v>
      </c>
      <c r="E585" t="s">
        <v>20</v>
      </c>
      <c r="F585" t="s">
        <v>268</v>
      </c>
      <c r="G585" t="s">
        <v>269</v>
      </c>
      <c r="H585" t="s">
        <v>254</v>
      </c>
      <c r="I585" t="s">
        <v>242</v>
      </c>
      <c r="J585" t="s">
        <v>235</v>
      </c>
      <c r="K585" s="380">
        <v>36951</v>
      </c>
      <c r="L585" s="235">
        <v>-21768.742178494114</v>
      </c>
      <c r="M585" s="380">
        <v>36949</v>
      </c>
      <c r="N585" t="s">
        <v>21</v>
      </c>
      <c r="O585">
        <v>-0.15</v>
      </c>
      <c r="P585">
        <v>0</v>
      </c>
      <c r="Q585">
        <v>0</v>
      </c>
      <c r="R585">
        <v>0</v>
      </c>
      <c r="S585">
        <v>0</v>
      </c>
      <c r="T585" t="s">
        <v>253</v>
      </c>
      <c r="U585" t="s">
        <v>6</v>
      </c>
      <c r="V585" t="s">
        <v>253</v>
      </c>
      <c r="W585" t="s">
        <v>132</v>
      </c>
      <c r="X585" t="s">
        <v>253</v>
      </c>
      <c r="Y585" t="s">
        <v>235</v>
      </c>
      <c r="Z585" t="s">
        <v>236</v>
      </c>
      <c r="AA585" t="s">
        <v>253</v>
      </c>
      <c r="AB585" t="s">
        <v>121</v>
      </c>
      <c r="AC585" s="235">
        <v>-310000</v>
      </c>
      <c r="AD585" s="235">
        <v>-4228.2440711008094</v>
      </c>
      <c r="AE585">
        <v>0</v>
      </c>
      <c r="AF585">
        <v>0</v>
      </c>
      <c r="AG585">
        <v>0</v>
      </c>
      <c r="AH585" s="235">
        <v>187.05531626224547</v>
      </c>
      <c r="AI585">
        <v>226</v>
      </c>
      <c r="AJ585" t="s">
        <v>256</v>
      </c>
      <c r="AK585">
        <v>0</v>
      </c>
      <c r="AL585">
        <v>0</v>
      </c>
      <c r="AM585">
        <v>0</v>
      </c>
    </row>
    <row r="586" spans="1:39" x14ac:dyDescent="0.25">
      <c r="A586" t="s">
        <v>601</v>
      </c>
      <c r="B586" t="s">
        <v>550</v>
      </c>
      <c r="C586" t="s">
        <v>255</v>
      </c>
      <c r="D586" t="s">
        <v>234</v>
      </c>
      <c r="E586" t="s">
        <v>20</v>
      </c>
      <c r="F586" t="s">
        <v>279</v>
      </c>
      <c r="G586" t="s">
        <v>269</v>
      </c>
      <c r="H586" t="s">
        <v>254</v>
      </c>
      <c r="I586" t="s">
        <v>242</v>
      </c>
      <c r="J586" t="s">
        <v>235</v>
      </c>
      <c r="K586" s="380">
        <v>36831</v>
      </c>
      <c r="L586" s="235">
        <v>198874.73875827627</v>
      </c>
      <c r="M586" s="380">
        <v>36829</v>
      </c>
      <c r="N586" t="s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 t="s">
        <v>253</v>
      </c>
      <c r="U586" t="s">
        <v>7</v>
      </c>
      <c r="V586" t="s">
        <v>253</v>
      </c>
      <c r="W586" t="s">
        <v>132</v>
      </c>
      <c r="X586" t="s">
        <v>253</v>
      </c>
      <c r="Y586" t="s">
        <v>235</v>
      </c>
      <c r="Z586" t="s">
        <v>236</v>
      </c>
      <c r="AA586" t="s">
        <v>253</v>
      </c>
      <c r="AB586" t="s">
        <v>121</v>
      </c>
      <c r="AC586" s="235">
        <v>500000</v>
      </c>
      <c r="AD586" s="235">
        <v>20906.954671872663</v>
      </c>
      <c r="AE586">
        <v>0</v>
      </c>
      <c r="AF586">
        <v>0</v>
      </c>
      <c r="AG586">
        <v>0</v>
      </c>
      <c r="AH586" s="235">
        <v>-11089.007007988112</v>
      </c>
      <c r="AI586">
        <v>226</v>
      </c>
      <c r="AJ586" t="s">
        <v>256</v>
      </c>
      <c r="AK586">
        <v>0</v>
      </c>
      <c r="AL586">
        <v>0</v>
      </c>
      <c r="AM586">
        <v>0</v>
      </c>
    </row>
    <row r="587" spans="1:39" x14ac:dyDescent="0.25">
      <c r="A587" t="s">
        <v>601</v>
      </c>
      <c r="B587" t="s">
        <v>550</v>
      </c>
      <c r="C587" t="s">
        <v>255</v>
      </c>
      <c r="D587" t="s">
        <v>234</v>
      </c>
      <c r="E587" t="s">
        <v>20</v>
      </c>
      <c r="F587" t="s">
        <v>279</v>
      </c>
      <c r="G587" t="s">
        <v>269</v>
      </c>
      <c r="H587" t="s">
        <v>254</v>
      </c>
      <c r="I587" t="s">
        <v>242</v>
      </c>
      <c r="J587" t="s">
        <v>235</v>
      </c>
      <c r="K587" s="380">
        <v>36861</v>
      </c>
      <c r="L587" s="235">
        <v>111797.4485597843</v>
      </c>
      <c r="M587" s="380">
        <v>36859</v>
      </c>
      <c r="N587" t="s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 t="s">
        <v>253</v>
      </c>
      <c r="U587" t="s">
        <v>7</v>
      </c>
      <c r="V587" t="s">
        <v>253</v>
      </c>
      <c r="W587" t="s">
        <v>132</v>
      </c>
      <c r="X587" t="s">
        <v>253</v>
      </c>
      <c r="Y587" t="s">
        <v>235</v>
      </c>
      <c r="Z587" t="s">
        <v>236</v>
      </c>
      <c r="AA587" t="s">
        <v>253</v>
      </c>
      <c r="AB587" t="s">
        <v>121</v>
      </c>
      <c r="AC587" s="235">
        <v>500000</v>
      </c>
      <c r="AD587" s="235">
        <v>31757.126713017336</v>
      </c>
      <c r="AE587">
        <v>0</v>
      </c>
      <c r="AF587">
        <v>0</v>
      </c>
      <c r="AG587">
        <v>0</v>
      </c>
      <c r="AH587" s="235">
        <v>-4345.4608277247025</v>
      </c>
      <c r="AI587">
        <v>226</v>
      </c>
      <c r="AJ587" t="s">
        <v>256</v>
      </c>
      <c r="AK587">
        <v>0</v>
      </c>
      <c r="AL587">
        <v>0</v>
      </c>
      <c r="AM587">
        <v>0</v>
      </c>
    </row>
    <row r="588" spans="1:39" x14ac:dyDescent="0.25">
      <c r="A588" t="s">
        <v>601</v>
      </c>
      <c r="B588" t="s">
        <v>550</v>
      </c>
      <c r="C588" t="s">
        <v>255</v>
      </c>
      <c r="D588" t="s">
        <v>234</v>
      </c>
      <c r="E588" t="s">
        <v>20</v>
      </c>
      <c r="F588" t="s">
        <v>279</v>
      </c>
      <c r="G588" t="s">
        <v>269</v>
      </c>
      <c r="H588" t="s">
        <v>254</v>
      </c>
      <c r="I588" t="s">
        <v>242</v>
      </c>
      <c r="J588" t="s">
        <v>235</v>
      </c>
      <c r="K588" s="380">
        <v>36892</v>
      </c>
      <c r="L588" s="235">
        <v>83410.80436090054</v>
      </c>
      <c r="M588" s="380">
        <v>36888</v>
      </c>
      <c r="N588" t="s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 t="s">
        <v>253</v>
      </c>
      <c r="U588" t="s">
        <v>7</v>
      </c>
      <c r="V588" t="s">
        <v>253</v>
      </c>
      <c r="W588" t="s">
        <v>132</v>
      </c>
      <c r="X588" t="s">
        <v>253</v>
      </c>
      <c r="Y588" t="s">
        <v>235</v>
      </c>
      <c r="Z588" t="s">
        <v>236</v>
      </c>
      <c r="AA588" t="s">
        <v>253</v>
      </c>
      <c r="AB588" t="s">
        <v>121</v>
      </c>
      <c r="AC588" s="235">
        <v>500000</v>
      </c>
      <c r="AD588" s="235">
        <v>30166.831542529413</v>
      </c>
      <c r="AE588">
        <v>0</v>
      </c>
      <c r="AF588">
        <v>0</v>
      </c>
      <c r="AG588">
        <v>0</v>
      </c>
      <c r="AH588" s="235">
        <v>-3871.8307403988729</v>
      </c>
      <c r="AI588">
        <v>226</v>
      </c>
      <c r="AJ588" t="s">
        <v>256</v>
      </c>
      <c r="AK588">
        <v>0</v>
      </c>
      <c r="AL588">
        <v>0</v>
      </c>
      <c r="AM588">
        <v>0</v>
      </c>
    </row>
    <row r="589" spans="1:39" x14ac:dyDescent="0.25">
      <c r="A589" t="s">
        <v>601</v>
      </c>
      <c r="B589" t="s">
        <v>550</v>
      </c>
      <c r="C589" t="s">
        <v>255</v>
      </c>
      <c r="D589" t="s">
        <v>234</v>
      </c>
      <c r="E589" t="s">
        <v>20</v>
      </c>
      <c r="F589" t="s">
        <v>279</v>
      </c>
      <c r="G589" t="s">
        <v>269</v>
      </c>
      <c r="H589" t="s">
        <v>254</v>
      </c>
      <c r="I589" t="s">
        <v>242</v>
      </c>
      <c r="J589" t="s">
        <v>235</v>
      </c>
      <c r="K589" s="380">
        <v>36923</v>
      </c>
      <c r="L589" s="235">
        <v>102538.00368606592</v>
      </c>
      <c r="M589" s="380">
        <v>36921</v>
      </c>
      <c r="N589" t="s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 t="s">
        <v>253</v>
      </c>
      <c r="U589" t="s">
        <v>7</v>
      </c>
      <c r="V589" t="s">
        <v>253</v>
      </c>
      <c r="W589" t="s">
        <v>132</v>
      </c>
      <c r="X589" t="s">
        <v>253</v>
      </c>
      <c r="Y589" t="s">
        <v>235</v>
      </c>
      <c r="Z589" t="s">
        <v>236</v>
      </c>
      <c r="AA589" t="s">
        <v>253</v>
      </c>
      <c r="AB589" t="s">
        <v>121</v>
      </c>
      <c r="AC589" s="235">
        <v>500000</v>
      </c>
      <c r="AD589" s="235">
        <v>35321.254205072255</v>
      </c>
      <c r="AE589">
        <v>0</v>
      </c>
      <c r="AF589">
        <v>0</v>
      </c>
      <c r="AG589">
        <v>0</v>
      </c>
      <c r="AH589" s="235">
        <v>-5238.9851098930667</v>
      </c>
      <c r="AI589">
        <v>226</v>
      </c>
      <c r="AJ589" t="s">
        <v>256</v>
      </c>
      <c r="AK589">
        <v>0</v>
      </c>
      <c r="AL589">
        <v>0</v>
      </c>
      <c r="AM589">
        <v>0</v>
      </c>
    </row>
    <row r="590" spans="1:39" x14ac:dyDescent="0.25">
      <c r="A590" t="s">
        <v>601</v>
      </c>
      <c r="B590" t="s">
        <v>550</v>
      </c>
      <c r="C590" t="s">
        <v>255</v>
      </c>
      <c r="D590" t="s">
        <v>234</v>
      </c>
      <c r="E590" t="s">
        <v>20</v>
      </c>
      <c r="F590" t="s">
        <v>279</v>
      </c>
      <c r="G590" t="s">
        <v>269</v>
      </c>
      <c r="H590" t="s">
        <v>254</v>
      </c>
      <c r="I590" t="s">
        <v>242</v>
      </c>
      <c r="J590" t="s">
        <v>235</v>
      </c>
      <c r="K590" s="380">
        <v>36951</v>
      </c>
      <c r="L590" s="235">
        <v>232754.95836490768</v>
      </c>
      <c r="M590" s="380">
        <v>36949</v>
      </c>
      <c r="N590" t="s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 t="s">
        <v>253</v>
      </c>
      <c r="U590" t="s">
        <v>7</v>
      </c>
      <c r="V590" t="s">
        <v>253</v>
      </c>
      <c r="W590" t="s">
        <v>132</v>
      </c>
      <c r="X590" t="s">
        <v>253</v>
      </c>
      <c r="Y590" t="s">
        <v>235</v>
      </c>
      <c r="Z590" t="s">
        <v>236</v>
      </c>
      <c r="AA590" t="s">
        <v>253</v>
      </c>
      <c r="AB590" t="s">
        <v>121</v>
      </c>
      <c r="AC590" s="235">
        <v>500000</v>
      </c>
      <c r="AD590" s="235">
        <v>44468.410487267072</v>
      </c>
      <c r="AE590">
        <v>0</v>
      </c>
      <c r="AF590">
        <v>0</v>
      </c>
      <c r="AG590">
        <v>0</v>
      </c>
      <c r="AH590" s="235">
        <v>-10359.506391901523</v>
      </c>
      <c r="AI590">
        <v>226</v>
      </c>
      <c r="AJ590" t="s">
        <v>256</v>
      </c>
      <c r="AK590">
        <v>0</v>
      </c>
      <c r="AL590">
        <v>0</v>
      </c>
      <c r="AM590">
        <v>0</v>
      </c>
    </row>
    <row r="591" spans="1:39" x14ac:dyDescent="0.25">
      <c r="A591" t="s">
        <v>601</v>
      </c>
      <c r="B591" t="s">
        <v>551</v>
      </c>
      <c r="C591" t="s">
        <v>255</v>
      </c>
      <c r="D591" t="s">
        <v>234</v>
      </c>
      <c r="E591" t="s">
        <v>20</v>
      </c>
      <c r="F591" t="s">
        <v>279</v>
      </c>
      <c r="G591" t="s">
        <v>269</v>
      </c>
      <c r="H591" t="s">
        <v>254</v>
      </c>
      <c r="I591" t="s">
        <v>242</v>
      </c>
      <c r="J591" t="s">
        <v>235</v>
      </c>
      <c r="K591" s="380">
        <v>36831</v>
      </c>
      <c r="L591" s="235">
        <v>-1931.8642528587211</v>
      </c>
      <c r="M591" s="380">
        <v>36829</v>
      </c>
      <c r="N591" t="s">
        <v>21</v>
      </c>
      <c r="O591">
        <v>2.5</v>
      </c>
      <c r="P591">
        <v>0</v>
      </c>
      <c r="Q591">
        <v>0</v>
      </c>
      <c r="R591">
        <v>0</v>
      </c>
      <c r="S591">
        <v>0</v>
      </c>
      <c r="T591" t="s">
        <v>253</v>
      </c>
      <c r="U591" t="s">
        <v>7</v>
      </c>
      <c r="V591" t="s">
        <v>253</v>
      </c>
      <c r="W591" t="s">
        <v>132</v>
      </c>
      <c r="X591" t="s">
        <v>253</v>
      </c>
      <c r="Y591" t="s">
        <v>235</v>
      </c>
      <c r="Z591" t="s">
        <v>236</v>
      </c>
      <c r="AA591" t="s">
        <v>253</v>
      </c>
      <c r="AB591" t="s">
        <v>121</v>
      </c>
      <c r="AC591" s="235">
        <v>-300000</v>
      </c>
      <c r="AD591" s="235">
        <v>-1569.5920027175107</v>
      </c>
      <c r="AE591">
        <v>0</v>
      </c>
      <c r="AF591">
        <v>0</v>
      </c>
      <c r="AG591">
        <v>0</v>
      </c>
      <c r="AH591" s="235">
        <v>-379.93835220450842</v>
      </c>
      <c r="AI591">
        <v>226</v>
      </c>
      <c r="AJ591" t="s">
        <v>256</v>
      </c>
      <c r="AK591">
        <v>0</v>
      </c>
      <c r="AL591">
        <v>0</v>
      </c>
      <c r="AM591">
        <v>0</v>
      </c>
    </row>
    <row r="592" spans="1:39" x14ac:dyDescent="0.25">
      <c r="A592" t="s">
        <v>601</v>
      </c>
      <c r="B592" t="s">
        <v>551</v>
      </c>
      <c r="C592" t="s">
        <v>255</v>
      </c>
      <c r="D592" t="s">
        <v>234</v>
      </c>
      <c r="E592" t="s">
        <v>20</v>
      </c>
      <c r="F592" t="s">
        <v>279</v>
      </c>
      <c r="G592" t="s">
        <v>269</v>
      </c>
      <c r="H592" t="s">
        <v>254</v>
      </c>
      <c r="I592" t="s">
        <v>242</v>
      </c>
      <c r="J592" t="s">
        <v>235</v>
      </c>
      <c r="K592" s="380">
        <v>36861</v>
      </c>
      <c r="L592" s="235">
        <v>-76798.631138172423</v>
      </c>
      <c r="M592" s="380">
        <v>36859</v>
      </c>
      <c r="N592" t="s">
        <v>21</v>
      </c>
      <c r="O592">
        <v>2.5</v>
      </c>
      <c r="P592">
        <v>0</v>
      </c>
      <c r="Q592">
        <v>0</v>
      </c>
      <c r="R592">
        <v>0</v>
      </c>
      <c r="S592">
        <v>0</v>
      </c>
      <c r="T592" t="s">
        <v>253</v>
      </c>
      <c r="U592" t="s">
        <v>7</v>
      </c>
      <c r="V592" t="s">
        <v>253</v>
      </c>
      <c r="W592" t="s">
        <v>132</v>
      </c>
      <c r="X592" t="s">
        <v>253</v>
      </c>
      <c r="Y592" t="s">
        <v>235</v>
      </c>
      <c r="Z592" t="s">
        <v>236</v>
      </c>
      <c r="AA592" t="s">
        <v>253</v>
      </c>
      <c r="AB592" t="s">
        <v>121</v>
      </c>
      <c r="AC592" s="235">
        <v>-310000</v>
      </c>
      <c r="AD592" s="235">
        <v>-17988.316226535462</v>
      </c>
      <c r="AE592">
        <v>0</v>
      </c>
      <c r="AF592">
        <v>0</v>
      </c>
      <c r="AG592">
        <v>0</v>
      </c>
      <c r="AH592" s="235">
        <v>-5205.3673497760756</v>
      </c>
      <c r="AI592">
        <v>226</v>
      </c>
      <c r="AJ592" t="s">
        <v>256</v>
      </c>
      <c r="AK592">
        <v>0</v>
      </c>
      <c r="AL592">
        <v>0</v>
      </c>
      <c r="AM592">
        <v>0</v>
      </c>
    </row>
    <row r="593" spans="1:39" x14ac:dyDescent="0.25">
      <c r="A593" t="s">
        <v>601</v>
      </c>
      <c r="B593" t="s">
        <v>551</v>
      </c>
      <c r="C593" t="s">
        <v>255</v>
      </c>
      <c r="D593" t="s">
        <v>234</v>
      </c>
      <c r="E593" t="s">
        <v>20</v>
      </c>
      <c r="F593" t="s">
        <v>279</v>
      </c>
      <c r="G593" t="s">
        <v>269</v>
      </c>
      <c r="H593" t="s">
        <v>254</v>
      </c>
      <c r="I593" t="s">
        <v>242</v>
      </c>
      <c r="J593" t="s">
        <v>235</v>
      </c>
      <c r="K593" s="380">
        <v>36892</v>
      </c>
      <c r="L593" s="235">
        <v>-164878.49223098918</v>
      </c>
      <c r="M593" s="380">
        <v>36888</v>
      </c>
      <c r="N593" t="s">
        <v>21</v>
      </c>
      <c r="O593">
        <v>2.5</v>
      </c>
      <c r="P593">
        <v>0</v>
      </c>
      <c r="Q593">
        <v>0</v>
      </c>
      <c r="R593">
        <v>0</v>
      </c>
      <c r="S593">
        <v>0</v>
      </c>
      <c r="T593" t="s">
        <v>253</v>
      </c>
      <c r="U593" t="s">
        <v>7</v>
      </c>
      <c r="V593" t="s">
        <v>253</v>
      </c>
      <c r="W593" t="s">
        <v>132</v>
      </c>
      <c r="X593" t="s">
        <v>253</v>
      </c>
      <c r="Y593" t="s">
        <v>235</v>
      </c>
      <c r="Z593" t="s">
        <v>236</v>
      </c>
      <c r="AA593" t="s">
        <v>253</v>
      </c>
      <c r="AB593" t="s">
        <v>121</v>
      </c>
      <c r="AC593" s="235">
        <v>-310000</v>
      </c>
      <c r="AD593" s="235">
        <v>-23672.167547659279</v>
      </c>
      <c r="AE593">
        <v>0</v>
      </c>
      <c r="AF593">
        <v>0</v>
      </c>
      <c r="AG593">
        <v>0</v>
      </c>
      <c r="AH593" s="235">
        <v>-9697.6778801135952</v>
      </c>
      <c r="AI593">
        <v>226</v>
      </c>
      <c r="AJ593" t="s">
        <v>256</v>
      </c>
      <c r="AK593">
        <v>0</v>
      </c>
      <c r="AL593">
        <v>0</v>
      </c>
      <c r="AM593">
        <v>0</v>
      </c>
    </row>
    <row r="594" spans="1:39" x14ac:dyDescent="0.25">
      <c r="A594" t="s">
        <v>601</v>
      </c>
      <c r="B594" t="s">
        <v>551</v>
      </c>
      <c r="C594" t="s">
        <v>255</v>
      </c>
      <c r="D594" t="s">
        <v>234</v>
      </c>
      <c r="E594" t="s">
        <v>20</v>
      </c>
      <c r="F594" t="s">
        <v>279</v>
      </c>
      <c r="G594" t="s">
        <v>269</v>
      </c>
      <c r="H594" t="s">
        <v>254</v>
      </c>
      <c r="I594" t="s">
        <v>242</v>
      </c>
      <c r="J594" t="s">
        <v>235</v>
      </c>
      <c r="K594" s="380">
        <v>36923</v>
      </c>
      <c r="L594" s="235">
        <v>-150386.9517695079</v>
      </c>
      <c r="M594" s="380">
        <v>36921</v>
      </c>
      <c r="N594" t="s">
        <v>21</v>
      </c>
      <c r="O594">
        <v>2.5</v>
      </c>
      <c r="P594">
        <v>0</v>
      </c>
      <c r="Q594">
        <v>0</v>
      </c>
      <c r="R594">
        <v>0</v>
      </c>
      <c r="S594">
        <v>0</v>
      </c>
      <c r="T594" t="s">
        <v>253</v>
      </c>
      <c r="U594" t="s">
        <v>7</v>
      </c>
      <c r="V594" t="s">
        <v>253</v>
      </c>
      <c r="W594" t="s">
        <v>132</v>
      </c>
      <c r="X594" t="s">
        <v>253</v>
      </c>
      <c r="Y594" t="s">
        <v>235</v>
      </c>
      <c r="Z594" t="s">
        <v>236</v>
      </c>
      <c r="AA594" t="s">
        <v>253</v>
      </c>
      <c r="AB594" t="s">
        <v>121</v>
      </c>
      <c r="AC594" s="235">
        <v>-280000</v>
      </c>
      <c r="AD594" s="235">
        <v>-23175.488626135979</v>
      </c>
      <c r="AE594">
        <v>0</v>
      </c>
      <c r="AF594">
        <v>0</v>
      </c>
      <c r="AG594">
        <v>0</v>
      </c>
      <c r="AH594" s="235">
        <v>-9934.5782538573258</v>
      </c>
      <c r="AI594">
        <v>226</v>
      </c>
      <c r="AJ594" t="s">
        <v>256</v>
      </c>
      <c r="AK594">
        <v>0</v>
      </c>
      <c r="AL594">
        <v>0</v>
      </c>
      <c r="AM594">
        <v>0</v>
      </c>
    </row>
    <row r="595" spans="1:39" x14ac:dyDescent="0.25">
      <c r="A595" t="s">
        <v>601</v>
      </c>
      <c r="B595" t="s">
        <v>551</v>
      </c>
      <c r="C595" t="s">
        <v>255</v>
      </c>
      <c r="D595" t="s">
        <v>234</v>
      </c>
      <c r="E595" t="s">
        <v>20</v>
      </c>
      <c r="F595" t="s">
        <v>279</v>
      </c>
      <c r="G595" t="s">
        <v>269</v>
      </c>
      <c r="H595" t="s">
        <v>254</v>
      </c>
      <c r="I595" t="s">
        <v>242</v>
      </c>
      <c r="J595" t="s">
        <v>235</v>
      </c>
      <c r="K595" s="380">
        <v>36951</v>
      </c>
      <c r="L595" s="235">
        <v>-48886.400631953802</v>
      </c>
      <c r="M595" s="380">
        <v>36949</v>
      </c>
      <c r="N595" t="s">
        <v>21</v>
      </c>
      <c r="O595">
        <v>2.5</v>
      </c>
      <c r="P595">
        <v>0</v>
      </c>
      <c r="Q595">
        <v>0</v>
      </c>
      <c r="R595">
        <v>0</v>
      </c>
      <c r="S595">
        <v>0</v>
      </c>
      <c r="T595" t="s">
        <v>253</v>
      </c>
      <c r="U595" t="s">
        <v>7</v>
      </c>
      <c r="V595" t="s">
        <v>253</v>
      </c>
      <c r="W595" t="s">
        <v>132</v>
      </c>
      <c r="X595" t="s">
        <v>253</v>
      </c>
      <c r="Y595" t="s">
        <v>235</v>
      </c>
      <c r="Z595" t="s">
        <v>236</v>
      </c>
      <c r="AA595" t="s">
        <v>253</v>
      </c>
      <c r="AB595" t="s">
        <v>121</v>
      </c>
      <c r="AC595" s="235">
        <v>-310000</v>
      </c>
      <c r="AD595" s="235">
        <v>-17765.662708301541</v>
      </c>
      <c r="AE595">
        <v>0</v>
      </c>
      <c r="AF595">
        <v>0</v>
      </c>
      <c r="AG595">
        <v>0</v>
      </c>
      <c r="AH595" s="235">
        <v>-4861.2333406752296</v>
      </c>
      <c r="AI595">
        <v>226</v>
      </c>
      <c r="AJ595" t="s">
        <v>256</v>
      </c>
      <c r="AK595">
        <v>0</v>
      </c>
      <c r="AL595">
        <v>0</v>
      </c>
      <c r="AM595">
        <v>0</v>
      </c>
    </row>
    <row r="596" spans="1:39" x14ac:dyDescent="0.25">
      <c r="A596" t="s">
        <v>601</v>
      </c>
      <c r="B596" t="s">
        <v>552</v>
      </c>
      <c r="C596" t="s">
        <v>255</v>
      </c>
      <c r="D596" t="s">
        <v>234</v>
      </c>
      <c r="E596" t="s">
        <v>20</v>
      </c>
      <c r="F596" t="s">
        <v>279</v>
      </c>
      <c r="G596" t="s">
        <v>269</v>
      </c>
      <c r="H596" t="s">
        <v>254</v>
      </c>
      <c r="I596" t="s">
        <v>242</v>
      </c>
      <c r="J596" t="s">
        <v>235</v>
      </c>
      <c r="K596" s="380">
        <v>36831</v>
      </c>
      <c r="L596" s="235">
        <v>-29460.130599732118</v>
      </c>
      <c r="M596" s="380">
        <v>36829</v>
      </c>
      <c r="N596" t="s">
        <v>21</v>
      </c>
      <c r="O596">
        <v>1.52</v>
      </c>
      <c r="P596">
        <v>0</v>
      </c>
      <c r="Q596">
        <v>0</v>
      </c>
      <c r="R596">
        <v>0</v>
      </c>
      <c r="S596">
        <v>0</v>
      </c>
      <c r="T596" t="s">
        <v>253</v>
      </c>
      <c r="U596" t="s">
        <v>7</v>
      </c>
      <c r="V596" t="s">
        <v>253</v>
      </c>
      <c r="W596" t="s">
        <v>132</v>
      </c>
      <c r="X596" t="s">
        <v>253</v>
      </c>
      <c r="Y596" t="s">
        <v>235</v>
      </c>
      <c r="Z596" t="s">
        <v>236</v>
      </c>
      <c r="AA596" t="s">
        <v>253</v>
      </c>
      <c r="AB596" t="s">
        <v>121</v>
      </c>
      <c r="AC596" s="235">
        <v>-500000</v>
      </c>
      <c r="AD596" s="235">
        <v>-12774.323248091969</v>
      </c>
      <c r="AE596">
        <v>0</v>
      </c>
      <c r="AF596">
        <v>0</v>
      </c>
      <c r="AG596">
        <v>0</v>
      </c>
      <c r="AH596" s="235">
        <v>-3985.0895960611233</v>
      </c>
      <c r="AI596">
        <v>226</v>
      </c>
      <c r="AJ596" t="s">
        <v>256</v>
      </c>
      <c r="AK596">
        <v>0</v>
      </c>
      <c r="AL596">
        <v>0</v>
      </c>
      <c r="AM596">
        <v>0</v>
      </c>
    </row>
    <row r="597" spans="1:39" x14ac:dyDescent="0.25">
      <c r="A597" t="s">
        <v>601</v>
      </c>
      <c r="B597" t="s">
        <v>552</v>
      </c>
      <c r="C597" t="s">
        <v>255</v>
      </c>
      <c r="D597" t="s">
        <v>234</v>
      </c>
      <c r="E597" t="s">
        <v>20</v>
      </c>
      <c r="F597" t="s">
        <v>279</v>
      </c>
      <c r="G597" t="s">
        <v>269</v>
      </c>
      <c r="H597" t="s">
        <v>254</v>
      </c>
      <c r="I597" t="s">
        <v>242</v>
      </c>
      <c r="J597" t="s">
        <v>235</v>
      </c>
      <c r="K597" s="380">
        <v>36861</v>
      </c>
      <c r="L597" s="235">
        <v>-285742.74941666378</v>
      </c>
      <c r="M597" s="380">
        <v>36859</v>
      </c>
      <c r="N597" t="s">
        <v>21</v>
      </c>
      <c r="O597">
        <v>1.52</v>
      </c>
      <c r="P597">
        <v>0</v>
      </c>
      <c r="Q597">
        <v>0</v>
      </c>
      <c r="R597">
        <v>0</v>
      </c>
      <c r="S597">
        <v>0</v>
      </c>
      <c r="T597" t="s">
        <v>253</v>
      </c>
      <c r="U597" t="s">
        <v>7</v>
      </c>
      <c r="V597" t="s">
        <v>253</v>
      </c>
      <c r="W597" t="s">
        <v>132</v>
      </c>
      <c r="X597" t="s">
        <v>253</v>
      </c>
      <c r="Y597" t="s">
        <v>235</v>
      </c>
      <c r="Z597" t="s">
        <v>236</v>
      </c>
      <c r="AA597" t="s">
        <v>253</v>
      </c>
      <c r="AB597" t="s">
        <v>121</v>
      </c>
      <c r="AC597" s="235">
        <v>-500000</v>
      </c>
      <c r="AD597" s="235">
        <v>-35389.060523039603</v>
      </c>
      <c r="AE597">
        <v>0</v>
      </c>
      <c r="AF597">
        <v>0</v>
      </c>
      <c r="AG597">
        <v>0</v>
      </c>
      <c r="AH597" s="235">
        <v>-14454.283244274266</v>
      </c>
      <c r="AI597">
        <v>226</v>
      </c>
      <c r="AJ597" t="s">
        <v>256</v>
      </c>
      <c r="AK597">
        <v>0</v>
      </c>
      <c r="AL597">
        <v>0</v>
      </c>
      <c r="AM597">
        <v>0</v>
      </c>
    </row>
    <row r="598" spans="1:39" x14ac:dyDescent="0.25">
      <c r="A598" t="s">
        <v>601</v>
      </c>
      <c r="B598" t="s">
        <v>552</v>
      </c>
      <c r="C598" t="s">
        <v>255</v>
      </c>
      <c r="D598" t="s">
        <v>234</v>
      </c>
      <c r="E598" t="s">
        <v>20</v>
      </c>
      <c r="F598" t="s">
        <v>279</v>
      </c>
      <c r="G598" t="s">
        <v>269</v>
      </c>
      <c r="H598" t="s">
        <v>254</v>
      </c>
      <c r="I598" t="s">
        <v>242</v>
      </c>
      <c r="J598" t="s">
        <v>235</v>
      </c>
      <c r="K598" s="380">
        <v>36892</v>
      </c>
      <c r="L598" s="235">
        <v>-486646.63094853674</v>
      </c>
      <c r="M598" s="380">
        <v>36888</v>
      </c>
      <c r="N598" t="s">
        <v>21</v>
      </c>
      <c r="O598">
        <v>1.52</v>
      </c>
      <c r="P598">
        <v>0</v>
      </c>
      <c r="Q598">
        <v>0</v>
      </c>
      <c r="R598">
        <v>0</v>
      </c>
      <c r="S598">
        <v>0</v>
      </c>
      <c r="T598" t="s">
        <v>253</v>
      </c>
      <c r="U598" t="s">
        <v>7</v>
      </c>
      <c r="V598" t="s">
        <v>253</v>
      </c>
      <c r="W598" t="s">
        <v>132</v>
      </c>
      <c r="X598" t="s">
        <v>253</v>
      </c>
      <c r="Y598" t="s">
        <v>235</v>
      </c>
      <c r="Z598" t="s">
        <v>236</v>
      </c>
      <c r="AA598" t="s">
        <v>253</v>
      </c>
      <c r="AB598" t="s">
        <v>121</v>
      </c>
      <c r="AC598" s="235">
        <v>-500000</v>
      </c>
      <c r="AD598" s="235">
        <v>-37027.442359069886</v>
      </c>
      <c r="AE598">
        <v>0</v>
      </c>
      <c r="AF598">
        <v>0</v>
      </c>
      <c r="AG598">
        <v>0</v>
      </c>
      <c r="AH598" s="235">
        <v>-22302.009631905181</v>
      </c>
      <c r="AI598">
        <v>226</v>
      </c>
      <c r="AJ598" t="s">
        <v>256</v>
      </c>
      <c r="AK598">
        <v>0</v>
      </c>
      <c r="AL598">
        <v>0</v>
      </c>
      <c r="AM598">
        <v>0</v>
      </c>
    </row>
    <row r="599" spans="1:39" x14ac:dyDescent="0.25">
      <c r="A599" t="s">
        <v>601</v>
      </c>
      <c r="B599" t="s">
        <v>552</v>
      </c>
      <c r="C599" t="s">
        <v>255</v>
      </c>
      <c r="D599" t="s">
        <v>234</v>
      </c>
      <c r="E599" t="s">
        <v>20</v>
      </c>
      <c r="F599" t="s">
        <v>279</v>
      </c>
      <c r="G599" t="s">
        <v>269</v>
      </c>
      <c r="H599" t="s">
        <v>254</v>
      </c>
      <c r="I599" t="s">
        <v>242</v>
      </c>
      <c r="J599" t="s">
        <v>235</v>
      </c>
      <c r="K599" s="380">
        <v>36923</v>
      </c>
      <c r="L599" s="235">
        <v>-474116.003803264</v>
      </c>
      <c r="M599" s="380">
        <v>36921</v>
      </c>
      <c r="N599" t="s">
        <v>21</v>
      </c>
      <c r="O599">
        <v>1.52</v>
      </c>
      <c r="P599">
        <v>0</v>
      </c>
      <c r="Q599">
        <v>0</v>
      </c>
      <c r="R599">
        <v>0</v>
      </c>
      <c r="S599">
        <v>0</v>
      </c>
      <c r="T599" t="s">
        <v>253</v>
      </c>
      <c r="U599" t="s">
        <v>7</v>
      </c>
      <c r="V599" t="s">
        <v>253</v>
      </c>
      <c r="W599" t="s">
        <v>132</v>
      </c>
      <c r="X599" t="s">
        <v>253</v>
      </c>
      <c r="Y599" t="s">
        <v>235</v>
      </c>
      <c r="Z599" t="s">
        <v>236</v>
      </c>
      <c r="AA599" t="s">
        <v>253</v>
      </c>
      <c r="AB599" t="s">
        <v>121</v>
      </c>
      <c r="AC599" s="235">
        <v>-500000</v>
      </c>
      <c r="AD599" s="235">
        <v>-41469.982550916669</v>
      </c>
      <c r="AE599">
        <v>0</v>
      </c>
      <c r="AF599">
        <v>0</v>
      </c>
      <c r="AG599">
        <v>0</v>
      </c>
      <c r="AH599" s="235">
        <v>-25068.992895722156</v>
      </c>
      <c r="AI599">
        <v>226</v>
      </c>
      <c r="AJ599" t="s">
        <v>256</v>
      </c>
      <c r="AK599">
        <v>0</v>
      </c>
      <c r="AL599">
        <v>0</v>
      </c>
      <c r="AM599">
        <v>0</v>
      </c>
    </row>
    <row r="600" spans="1:39" x14ac:dyDescent="0.25">
      <c r="A600" t="s">
        <v>601</v>
      </c>
      <c r="B600" t="s">
        <v>552</v>
      </c>
      <c r="C600" t="s">
        <v>255</v>
      </c>
      <c r="D600" t="s">
        <v>234</v>
      </c>
      <c r="E600" t="s">
        <v>20</v>
      </c>
      <c r="F600" t="s">
        <v>279</v>
      </c>
      <c r="G600" t="s">
        <v>269</v>
      </c>
      <c r="H600" t="s">
        <v>254</v>
      </c>
      <c r="I600" t="s">
        <v>242</v>
      </c>
      <c r="J600" t="s">
        <v>235</v>
      </c>
      <c r="K600" s="380">
        <v>36951</v>
      </c>
      <c r="L600" s="235">
        <v>-176197.9837861571</v>
      </c>
      <c r="M600" s="380">
        <v>36949</v>
      </c>
      <c r="N600" t="s">
        <v>21</v>
      </c>
      <c r="O600">
        <v>1.52</v>
      </c>
      <c r="P600">
        <v>0</v>
      </c>
      <c r="Q600">
        <v>0</v>
      </c>
      <c r="R600">
        <v>0</v>
      </c>
      <c r="S600">
        <v>0</v>
      </c>
      <c r="T600" t="s">
        <v>253</v>
      </c>
      <c r="U600" t="s">
        <v>7</v>
      </c>
      <c r="V600" t="s">
        <v>253</v>
      </c>
      <c r="W600" t="s">
        <v>132</v>
      </c>
      <c r="X600" t="s">
        <v>253</v>
      </c>
      <c r="Y600" t="s">
        <v>235</v>
      </c>
      <c r="Z600" t="s">
        <v>236</v>
      </c>
      <c r="AA600" t="s">
        <v>253</v>
      </c>
      <c r="AB600" t="s">
        <v>121</v>
      </c>
      <c r="AC600" s="235">
        <v>-500000</v>
      </c>
      <c r="AD600" s="235">
        <v>-41343.724180626945</v>
      </c>
      <c r="AE600">
        <v>0</v>
      </c>
      <c r="AF600">
        <v>0</v>
      </c>
      <c r="AG600">
        <v>0</v>
      </c>
      <c r="AH600" s="235">
        <v>-14199.91423530475</v>
      </c>
      <c r="AI600">
        <v>226</v>
      </c>
      <c r="AJ600" t="s">
        <v>256</v>
      </c>
      <c r="AK600">
        <v>0</v>
      </c>
      <c r="AL600">
        <v>0</v>
      </c>
      <c r="AM600">
        <v>0</v>
      </c>
    </row>
    <row r="601" spans="1:39" x14ac:dyDescent="0.25">
      <c r="A601" t="s">
        <v>601</v>
      </c>
      <c r="B601" t="s">
        <v>553</v>
      </c>
      <c r="C601" t="s">
        <v>255</v>
      </c>
      <c r="D601" t="s">
        <v>234</v>
      </c>
      <c r="E601" t="s">
        <v>20</v>
      </c>
      <c r="F601" t="s">
        <v>279</v>
      </c>
      <c r="G601" t="s">
        <v>269</v>
      </c>
      <c r="H601" t="s">
        <v>254</v>
      </c>
      <c r="I601" t="s">
        <v>242</v>
      </c>
      <c r="J601" t="s">
        <v>235</v>
      </c>
      <c r="K601" s="380">
        <v>36831</v>
      </c>
      <c r="L601" s="235">
        <v>-400080.64199437608</v>
      </c>
      <c r="M601" s="380">
        <v>36829</v>
      </c>
      <c r="N601" t="s">
        <v>1</v>
      </c>
      <c r="O601">
        <v>1.52</v>
      </c>
      <c r="P601">
        <v>0</v>
      </c>
      <c r="Q601">
        <v>0</v>
      </c>
      <c r="R601">
        <v>0</v>
      </c>
      <c r="S601">
        <v>0</v>
      </c>
      <c r="T601" t="s">
        <v>253</v>
      </c>
      <c r="U601" t="s">
        <v>7</v>
      </c>
      <c r="V601" t="s">
        <v>253</v>
      </c>
      <c r="W601" t="s">
        <v>132</v>
      </c>
      <c r="X601" t="s">
        <v>253</v>
      </c>
      <c r="Y601" t="s">
        <v>235</v>
      </c>
      <c r="Z601" t="s">
        <v>236</v>
      </c>
      <c r="AA601" t="s">
        <v>253</v>
      </c>
      <c r="AB601" t="s">
        <v>121</v>
      </c>
      <c r="AC601" s="235">
        <v>-500000</v>
      </c>
      <c r="AD601" s="235">
        <v>-12774.323248091969</v>
      </c>
      <c r="AE601">
        <v>0</v>
      </c>
      <c r="AF601">
        <v>0</v>
      </c>
      <c r="AG601">
        <v>0</v>
      </c>
      <c r="AH601" s="235">
        <v>15770.454110223451</v>
      </c>
      <c r="AI601">
        <v>226</v>
      </c>
      <c r="AJ601" t="s">
        <v>256</v>
      </c>
      <c r="AK601">
        <v>0</v>
      </c>
      <c r="AL601">
        <v>0</v>
      </c>
      <c r="AM601">
        <v>0</v>
      </c>
    </row>
    <row r="602" spans="1:39" x14ac:dyDescent="0.25">
      <c r="A602" t="s">
        <v>601</v>
      </c>
      <c r="B602" t="s">
        <v>553</v>
      </c>
      <c r="C602" t="s">
        <v>255</v>
      </c>
      <c r="D602" t="s">
        <v>234</v>
      </c>
      <c r="E602" t="s">
        <v>20</v>
      </c>
      <c r="F602" t="s">
        <v>279</v>
      </c>
      <c r="G602" t="s">
        <v>269</v>
      </c>
      <c r="H602" t="s">
        <v>254</v>
      </c>
      <c r="I602" t="s">
        <v>242</v>
      </c>
      <c r="J602" t="s">
        <v>235</v>
      </c>
      <c r="K602" s="380">
        <v>36861</v>
      </c>
      <c r="L602" s="235">
        <v>-224320.48202455891</v>
      </c>
      <c r="M602" s="380">
        <v>36859</v>
      </c>
      <c r="N602" t="s">
        <v>1</v>
      </c>
      <c r="O602">
        <v>1.52</v>
      </c>
      <c r="P602">
        <v>0</v>
      </c>
      <c r="Q602">
        <v>0</v>
      </c>
      <c r="R602">
        <v>0</v>
      </c>
      <c r="S602">
        <v>0</v>
      </c>
      <c r="T602" t="s">
        <v>253</v>
      </c>
      <c r="U602" t="s">
        <v>7</v>
      </c>
      <c r="V602" t="s">
        <v>253</v>
      </c>
      <c r="W602" t="s">
        <v>132</v>
      </c>
      <c r="X602" t="s">
        <v>253</v>
      </c>
      <c r="Y602" t="s">
        <v>235</v>
      </c>
      <c r="Z602" t="s">
        <v>236</v>
      </c>
      <c r="AA602" t="s">
        <v>253</v>
      </c>
      <c r="AB602" t="s">
        <v>121</v>
      </c>
      <c r="AC602" s="235">
        <v>-500000</v>
      </c>
      <c r="AD602" s="235">
        <v>-35389.060523039603</v>
      </c>
      <c r="AE602">
        <v>0</v>
      </c>
      <c r="AF602">
        <v>0</v>
      </c>
      <c r="AG602">
        <v>0</v>
      </c>
      <c r="AH602" s="235">
        <v>7645.5696304446901</v>
      </c>
      <c r="AI602">
        <v>226</v>
      </c>
      <c r="AJ602" t="s">
        <v>256</v>
      </c>
      <c r="AK602">
        <v>0</v>
      </c>
      <c r="AL602">
        <v>0</v>
      </c>
      <c r="AM602">
        <v>0</v>
      </c>
    </row>
    <row r="603" spans="1:39" x14ac:dyDescent="0.25">
      <c r="A603" t="s">
        <v>601</v>
      </c>
      <c r="B603" t="s">
        <v>553</v>
      </c>
      <c r="C603" t="s">
        <v>255</v>
      </c>
      <c r="D603" t="s">
        <v>234</v>
      </c>
      <c r="E603" t="s">
        <v>20</v>
      </c>
      <c r="F603" t="s">
        <v>279</v>
      </c>
      <c r="G603" t="s">
        <v>269</v>
      </c>
      <c r="H603" t="s">
        <v>254</v>
      </c>
      <c r="I603" t="s">
        <v>242</v>
      </c>
      <c r="J603" t="s">
        <v>235</v>
      </c>
      <c r="K603" s="380">
        <v>36892</v>
      </c>
      <c r="L603" s="235">
        <v>-168984.99705422309</v>
      </c>
      <c r="M603" s="380">
        <v>36888</v>
      </c>
      <c r="N603" t="s">
        <v>1</v>
      </c>
      <c r="O603">
        <v>1.52</v>
      </c>
      <c r="P603">
        <v>0</v>
      </c>
      <c r="Q603">
        <v>0</v>
      </c>
      <c r="R603">
        <v>0</v>
      </c>
      <c r="S603">
        <v>0</v>
      </c>
      <c r="T603" t="s">
        <v>253</v>
      </c>
      <c r="U603" t="s">
        <v>7</v>
      </c>
      <c r="V603" t="s">
        <v>253</v>
      </c>
      <c r="W603" t="s">
        <v>132</v>
      </c>
      <c r="X603" t="s">
        <v>253</v>
      </c>
      <c r="Y603" t="s">
        <v>235</v>
      </c>
      <c r="Z603" t="s">
        <v>236</v>
      </c>
      <c r="AA603" t="s">
        <v>253</v>
      </c>
      <c r="AB603" t="s">
        <v>121</v>
      </c>
      <c r="AC603" s="235">
        <v>-500000</v>
      </c>
      <c r="AD603" s="235">
        <v>-37027.442359069915</v>
      </c>
      <c r="AE603">
        <v>0</v>
      </c>
      <c r="AF603">
        <v>0</v>
      </c>
      <c r="AG603">
        <v>0</v>
      </c>
      <c r="AH603" s="235">
        <v>7004.9689930633758</v>
      </c>
      <c r="AI603">
        <v>226</v>
      </c>
      <c r="AJ603" t="s">
        <v>256</v>
      </c>
      <c r="AK603">
        <v>0</v>
      </c>
      <c r="AL603">
        <v>0</v>
      </c>
      <c r="AM603">
        <v>0</v>
      </c>
    </row>
    <row r="604" spans="1:39" x14ac:dyDescent="0.25">
      <c r="A604" t="s">
        <v>601</v>
      </c>
      <c r="B604" t="s">
        <v>553</v>
      </c>
      <c r="C604" t="s">
        <v>255</v>
      </c>
      <c r="D604" t="s">
        <v>234</v>
      </c>
      <c r="E604" t="s">
        <v>20</v>
      </c>
      <c r="F604" t="s">
        <v>279</v>
      </c>
      <c r="G604" t="s">
        <v>269</v>
      </c>
      <c r="H604" t="s">
        <v>254</v>
      </c>
      <c r="I604" t="s">
        <v>242</v>
      </c>
      <c r="J604" t="s">
        <v>235</v>
      </c>
      <c r="K604" s="380">
        <v>36923</v>
      </c>
      <c r="L604" s="235">
        <v>-197297.91548149899</v>
      </c>
      <c r="M604" s="380">
        <v>36921</v>
      </c>
      <c r="N604" t="s">
        <v>1</v>
      </c>
      <c r="O604">
        <v>1.52</v>
      </c>
      <c r="P604">
        <v>0</v>
      </c>
      <c r="Q604">
        <v>0</v>
      </c>
      <c r="R604">
        <v>0</v>
      </c>
      <c r="S604">
        <v>0</v>
      </c>
      <c r="T604" t="s">
        <v>253</v>
      </c>
      <c r="U604" t="s">
        <v>7</v>
      </c>
      <c r="V604" t="s">
        <v>253</v>
      </c>
      <c r="W604" t="s">
        <v>132</v>
      </c>
      <c r="X604" t="s">
        <v>253</v>
      </c>
      <c r="Y604" t="s">
        <v>235</v>
      </c>
      <c r="Z604" t="s">
        <v>236</v>
      </c>
      <c r="AA604" t="s">
        <v>253</v>
      </c>
      <c r="AB604" t="s">
        <v>121</v>
      </c>
      <c r="AC604" s="235">
        <v>-500000</v>
      </c>
      <c r="AD604" s="235">
        <v>-41469.98255091664</v>
      </c>
      <c r="AE604">
        <v>0</v>
      </c>
      <c r="AF604">
        <v>0</v>
      </c>
      <c r="AG604">
        <v>0</v>
      </c>
      <c r="AH604" s="235">
        <v>8908.7354140544485</v>
      </c>
      <c r="AI604">
        <v>226</v>
      </c>
      <c r="AJ604" t="s">
        <v>256</v>
      </c>
      <c r="AK604">
        <v>0</v>
      </c>
      <c r="AL604">
        <v>0</v>
      </c>
      <c r="AM604">
        <v>0</v>
      </c>
    </row>
    <row r="605" spans="1:39" x14ac:dyDescent="0.25">
      <c r="A605" t="s">
        <v>601</v>
      </c>
      <c r="B605" t="s">
        <v>553</v>
      </c>
      <c r="C605" t="s">
        <v>255</v>
      </c>
      <c r="D605" t="s">
        <v>234</v>
      </c>
      <c r="E605" t="s">
        <v>20</v>
      </c>
      <c r="F605" t="s">
        <v>279</v>
      </c>
      <c r="G605" t="s">
        <v>269</v>
      </c>
      <c r="H605" t="s">
        <v>254</v>
      </c>
      <c r="I605" t="s">
        <v>242</v>
      </c>
      <c r="J605" t="s">
        <v>235</v>
      </c>
      <c r="K605" s="380">
        <v>36951</v>
      </c>
      <c r="L605" s="235">
        <v>-391150.35527634266</v>
      </c>
      <c r="M605" s="380">
        <v>36949</v>
      </c>
      <c r="N605" t="s">
        <v>1</v>
      </c>
      <c r="O605">
        <v>1.52</v>
      </c>
      <c r="P605">
        <v>0</v>
      </c>
      <c r="Q605">
        <v>0</v>
      </c>
      <c r="R605">
        <v>0</v>
      </c>
      <c r="S605">
        <v>0</v>
      </c>
      <c r="T605" t="s">
        <v>253</v>
      </c>
      <c r="U605" t="s">
        <v>7</v>
      </c>
      <c r="V605" t="s">
        <v>253</v>
      </c>
      <c r="W605" t="s">
        <v>132</v>
      </c>
      <c r="X605" t="s">
        <v>253</v>
      </c>
      <c r="Y605" t="s">
        <v>235</v>
      </c>
      <c r="Z605" t="s">
        <v>236</v>
      </c>
      <c r="AA605" t="s">
        <v>253</v>
      </c>
      <c r="AB605" t="s">
        <v>121</v>
      </c>
      <c r="AC605" s="235">
        <v>-500000</v>
      </c>
      <c r="AD605" s="235">
        <v>-41343.724180626916</v>
      </c>
      <c r="AE605">
        <v>0</v>
      </c>
      <c r="AF605">
        <v>0</v>
      </c>
      <c r="AG605">
        <v>0</v>
      </c>
      <c r="AH605" s="235">
        <v>14768.152718469501</v>
      </c>
      <c r="AI605">
        <v>226</v>
      </c>
      <c r="AJ605" t="s">
        <v>256</v>
      </c>
      <c r="AK605">
        <v>0</v>
      </c>
      <c r="AL605">
        <v>0</v>
      </c>
      <c r="AM605">
        <v>0</v>
      </c>
    </row>
    <row r="606" spans="1:39" x14ac:dyDescent="0.25">
      <c r="A606" t="s">
        <v>601</v>
      </c>
      <c r="B606" t="s">
        <v>554</v>
      </c>
      <c r="C606" t="s">
        <v>255</v>
      </c>
      <c r="D606" t="s">
        <v>234</v>
      </c>
      <c r="E606" t="s">
        <v>20</v>
      </c>
      <c r="F606" t="s">
        <v>320</v>
      </c>
      <c r="G606" t="s">
        <v>269</v>
      </c>
      <c r="H606" t="s">
        <v>254</v>
      </c>
      <c r="I606" t="s">
        <v>242</v>
      </c>
      <c r="J606" t="s">
        <v>235</v>
      </c>
      <c r="K606" s="380">
        <v>36831</v>
      </c>
      <c r="L606" s="235">
        <v>85217.781930585523</v>
      </c>
      <c r="M606" s="380">
        <v>36829</v>
      </c>
      <c r="N606" t="s">
        <v>21</v>
      </c>
      <c r="O606">
        <v>1</v>
      </c>
      <c r="P606">
        <v>0</v>
      </c>
      <c r="Q606">
        <v>0</v>
      </c>
      <c r="R606">
        <v>0</v>
      </c>
      <c r="S606">
        <v>0</v>
      </c>
      <c r="T606" t="s">
        <v>253</v>
      </c>
      <c r="U606" t="s">
        <v>7</v>
      </c>
      <c r="V606" t="s">
        <v>253</v>
      </c>
      <c r="W606" t="s">
        <v>132</v>
      </c>
      <c r="X606" t="s">
        <v>253</v>
      </c>
      <c r="Y606" t="s">
        <v>235</v>
      </c>
      <c r="Z606" t="s">
        <v>236</v>
      </c>
      <c r="AA606" t="s">
        <v>253</v>
      </c>
      <c r="AB606" t="s">
        <v>121</v>
      </c>
      <c r="AC606" s="235">
        <v>500000</v>
      </c>
      <c r="AD606" s="235">
        <v>20906.954671872692</v>
      </c>
      <c r="AE606">
        <v>0</v>
      </c>
      <c r="AF606">
        <v>0</v>
      </c>
      <c r="AG606">
        <v>0</v>
      </c>
      <c r="AH606" s="235">
        <v>8666.5366982964624</v>
      </c>
      <c r="AI606">
        <v>226</v>
      </c>
      <c r="AJ606" t="s">
        <v>256</v>
      </c>
      <c r="AK606">
        <v>0</v>
      </c>
      <c r="AL606">
        <v>0</v>
      </c>
      <c r="AM606">
        <v>0</v>
      </c>
    </row>
    <row r="607" spans="1:39" x14ac:dyDescent="0.25">
      <c r="A607" t="s">
        <v>601</v>
      </c>
      <c r="B607" t="s">
        <v>555</v>
      </c>
      <c r="C607" t="s">
        <v>255</v>
      </c>
      <c r="D607" t="s">
        <v>234</v>
      </c>
      <c r="E607" t="s">
        <v>20</v>
      </c>
      <c r="F607" t="s">
        <v>320</v>
      </c>
      <c r="G607" t="s">
        <v>269</v>
      </c>
      <c r="H607" t="s">
        <v>254</v>
      </c>
      <c r="I607" t="s">
        <v>242</v>
      </c>
      <c r="J607" t="s">
        <v>235</v>
      </c>
      <c r="K607" s="380">
        <v>36831</v>
      </c>
      <c r="L607" s="235">
        <v>-30752.986627736464</v>
      </c>
      <c r="M607" s="380">
        <v>36829</v>
      </c>
      <c r="N607" t="s">
        <v>21</v>
      </c>
      <c r="O607">
        <v>1.5</v>
      </c>
      <c r="P607">
        <v>0</v>
      </c>
      <c r="Q607">
        <v>0</v>
      </c>
      <c r="R607">
        <v>0</v>
      </c>
      <c r="S607">
        <v>0</v>
      </c>
      <c r="T607" t="s">
        <v>253</v>
      </c>
      <c r="U607" t="s">
        <v>7</v>
      </c>
      <c r="V607" t="s">
        <v>253</v>
      </c>
      <c r="W607" t="s">
        <v>132</v>
      </c>
      <c r="X607" t="s">
        <v>253</v>
      </c>
      <c r="Y607" t="s">
        <v>235</v>
      </c>
      <c r="Z607" t="s">
        <v>236</v>
      </c>
      <c r="AA607" t="s">
        <v>253</v>
      </c>
      <c r="AB607" t="s">
        <v>121</v>
      </c>
      <c r="AC607" s="235">
        <v>-500000</v>
      </c>
      <c r="AD607" s="235">
        <v>-13100.363794380231</v>
      </c>
      <c r="AE607">
        <v>0</v>
      </c>
      <c r="AF607">
        <v>0</v>
      </c>
      <c r="AG607">
        <v>0</v>
      </c>
      <c r="AH607" s="235">
        <v>-4120.3343288978867</v>
      </c>
      <c r="AI607">
        <v>226</v>
      </c>
      <c r="AJ607" t="s">
        <v>256</v>
      </c>
      <c r="AK607">
        <v>0</v>
      </c>
      <c r="AL607">
        <v>0</v>
      </c>
      <c r="AM607">
        <v>0</v>
      </c>
    </row>
    <row r="608" spans="1:39" x14ac:dyDescent="0.25">
      <c r="A608" t="s">
        <v>601</v>
      </c>
      <c r="B608" t="s">
        <v>556</v>
      </c>
      <c r="C608" t="s">
        <v>255</v>
      </c>
      <c r="D608" t="s">
        <v>234</v>
      </c>
      <c r="E608" t="s">
        <v>20</v>
      </c>
      <c r="F608" t="s">
        <v>509</v>
      </c>
      <c r="G608" t="s">
        <v>269</v>
      </c>
      <c r="H608" t="s">
        <v>254</v>
      </c>
      <c r="I608" t="s">
        <v>242</v>
      </c>
      <c r="J608" t="s">
        <v>235</v>
      </c>
      <c r="K608" s="380">
        <v>36831</v>
      </c>
      <c r="L608" s="235">
        <v>170435.56386117105</v>
      </c>
      <c r="M608" s="380">
        <v>36829</v>
      </c>
      <c r="N608" t="s">
        <v>21</v>
      </c>
      <c r="O608">
        <v>1</v>
      </c>
      <c r="P608">
        <v>0</v>
      </c>
      <c r="Q608">
        <v>0</v>
      </c>
      <c r="R608">
        <v>0</v>
      </c>
      <c r="S608">
        <v>0</v>
      </c>
      <c r="T608" t="s">
        <v>253</v>
      </c>
      <c r="U608" t="s">
        <v>7</v>
      </c>
      <c r="V608" t="s">
        <v>253</v>
      </c>
      <c r="W608" t="s">
        <v>132</v>
      </c>
      <c r="X608" t="s">
        <v>253</v>
      </c>
      <c r="Y608" t="s">
        <v>235</v>
      </c>
      <c r="Z608" t="s">
        <v>236</v>
      </c>
      <c r="AA608" t="s">
        <v>253</v>
      </c>
      <c r="AB608" t="s">
        <v>121</v>
      </c>
      <c r="AC608" s="235">
        <v>1000000</v>
      </c>
      <c r="AD608" s="235">
        <v>41813.909343745385</v>
      </c>
      <c r="AE608">
        <v>0</v>
      </c>
      <c r="AF608">
        <v>0</v>
      </c>
      <c r="AG608">
        <v>0</v>
      </c>
      <c r="AH608" s="235">
        <v>17333.073396592925</v>
      </c>
      <c r="AI608">
        <v>226</v>
      </c>
      <c r="AJ608" t="s">
        <v>256</v>
      </c>
      <c r="AK608">
        <v>0</v>
      </c>
      <c r="AL608">
        <v>0</v>
      </c>
      <c r="AM608">
        <v>0</v>
      </c>
    </row>
    <row r="609" spans="1:39" x14ac:dyDescent="0.25">
      <c r="A609" t="s">
        <v>601</v>
      </c>
      <c r="B609" t="s">
        <v>557</v>
      </c>
      <c r="C609" t="s">
        <v>255</v>
      </c>
      <c r="D609" t="s">
        <v>234</v>
      </c>
      <c r="E609" t="s">
        <v>20</v>
      </c>
      <c r="F609" t="s">
        <v>383</v>
      </c>
      <c r="G609" t="s">
        <v>269</v>
      </c>
      <c r="H609" t="s">
        <v>254</v>
      </c>
      <c r="I609" t="s">
        <v>242</v>
      </c>
      <c r="J609" t="s">
        <v>235</v>
      </c>
      <c r="K609" s="380">
        <v>36831</v>
      </c>
      <c r="L609" s="235">
        <v>1205.0806471171886</v>
      </c>
      <c r="M609" s="380">
        <v>36829</v>
      </c>
      <c r="N609" t="s">
        <v>21</v>
      </c>
      <c r="O609">
        <v>3</v>
      </c>
      <c r="P609">
        <v>0</v>
      </c>
      <c r="Q609">
        <v>0</v>
      </c>
      <c r="R609">
        <v>0</v>
      </c>
      <c r="S609">
        <v>0</v>
      </c>
      <c r="T609" t="s">
        <v>253</v>
      </c>
      <c r="U609" t="s">
        <v>7</v>
      </c>
      <c r="V609" t="s">
        <v>253</v>
      </c>
      <c r="W609" t="s">
        <v>132</v>
      </c>
      <c r="X609" t="s">
        <v>253</v>
      </c>
      <c r="Y609" t="s">
        <v>235</v>
      </c>
      <c r="Z609" t="s">
        <v>236</v>
      </c>
      <c r="AA609" t="s">
        <v>253</v>
      </c>
      <c r="AB609" t="s">
        <v>121</v>
      </c>
      <c r="AC609" s="235">
        <v>600000</v>
      </c>
      <c r="AD609" s="235">
        <v>1202.8201113391783</v>
      </c>
      <c r="AE609">
        <v>0</v>
      </c>
      <c r="AF609">
        <v>0</v>
      </c>
      <c r="AG609">
        <v>0</v>
      </c>
      <c r="AH609" s="235">
        <v>272.99370759197427</v>
      </c>
      <c r="AI609">
        <v>226</v>
      </c>
      <c r="AJ609" t="s">
        <v>256</v>
      </c>
      <c r="AK609">
        <v>0</v>
      </c>
      <c r="AL609">
        <v>0</v>
      </c>
      <c r="AM609">
        <v>0</v>
      </c>
    </row>
    <row r="610" spans="1:39" x14ac:dyDescent="0.25">
      <c r="A610" t="s">
        <v>601</v>
      </c>
      <c r="B610" t="s">
        <v>557</v>
      </c>
      <c r="C610" t="s">
        <v>255</v>
      </c>
      <c r="D610" t="s">
        <v>234</v>
      </c>
      <c r="E610" t="s">
        <v>20</v>
      </c>
      <c r="F610" t="s">
        <v>383</v>
      </c>
      <c r="G610" t="s">
        <v>269</v>
      </c>
      <c r="H610" t="s">
        <v>254</v>
      </c>
      <c r="I610" t="s">
        <v>242</v>
      </c>
      <c r="J610" t="s">
        <v>235</v>
      </c>
      <c r="K610" s="380">
        <v>36861</v>
      </c>
      <c r="L610" s="235">
        <v>98380.434847597644</v>
      </c>
      <c r="M610" s="380">
        <v>36859</v>
      </c>
      <c r="N610" t="s">
        <v>21</v>
      </c>
      <c r="O610">
        <v>3</v>
      </c>
      <c r="P610">
        <v>0</v>
      </c>
      <c r="Q610">
        <v>0</v>
      </c>
      <c r="R610">
        <v>0</v>
      </c>
      <c r="S610">
        <v>0</v>
      </c>
      <c r="T610" t="s">
        <v>253</v>
      </c>
      <c r="U610" t="s">
        <v>7</v>
      </c>
      <c r="V610" t="s">
        <v>253</v>
      </c>
      <c r="W610" t="s">
        <v>132</v>
      </c>
      <c r="X610" t="s">
        <v>253</v>
      </c>
      <c r="Y610" t="s">
        <v>235</v>
      </c>
      <c r="Z610" t="s">
        <v>236</v>
      </c>
      <c r="AA610" t="s">
        <v>253</v>
      </c>
      <c r="AB610" t="s">
        <v>121</v>
      </c>
      <c r="AC610" s="235">
        <v>620000</v>
      </c>
      <c r="AD610" s="235">
        <v>28858.757202920911</v>
      </c>
      <c r="AE610">
        <v>0</v>
      </c>
      <c r="AF610">
        <v>0</v>
      </c>
      <c r="AG610">
        <v>0</v>
      </c>
      <c r="AH610" s="235">
        <v>7488.5770751843811</v>
      </c>
      <c r="AI610">
        <v>226</v>
      </c>
      <c r="AJ610" t="s">
        <v>256</v>
      </c>
      <c r="AK610">
        <v>0</v>
      </c>
      <c r="AL610">
        <v>0</v>
      </c>
      <c r="AM610">
        <v>0</v>
      </c>
    </row>
    <row r="611" spans="1:39" x14ac:dyDescent="0.25">
      <c r="A611" t="s">
        <v>601</v>
      </c>
      <c r="B611" t="s">
        <v>557</v>
      </c>
      <c r="C611" t="s">
        <v>255</v>
      </c>
      <c r="D611" t="s">
        <v>234</v>
      </c>
      <c r="E611" t="s">
        <v>20</v>
      </c>
      <c r="F611" t="s">
        <v>383</v>
      </c>
      <c r="G611" t="s">
        <v>269</v>
      </c>
      <c r="H611" t="s">
        <v>254</v>
      </c>
      <c r="I611" t="s">
        <v>242</v>
      </c>
      <c r="J611" t="s">
        <v>235</v>
      </c>
      <c r="K611" s="380">
        <v>36892</v>
      </c>
      <c r="L611" s="235">
        <v>239454.61380411187</v>
      </c>
      <c r="M611" s="380">
        <v>36888</v>
      </c>
      <c r="N611" t="s">
        <v>21</v>
      </c>
      <c r="O611">
        <v>3</v>
      </c>
      <c r="P611">
        <v>0</v>
      </c>
      <c r="Q611">
        <v>0</v>
      </c>
      <c r="R611">
        <v>0</v>
      </c>
      <c r="S611">
        <v>0</v>
      </c>
      <c r="T611" t="s">
        <v>253</v>
      </c>
      <c r="U611" t="s">
        <v>7</v>
      </c>
      <c r="V611" t="s">
        <v>253</v>
      </c>
      <c r="W611" t="s">
        <v>132</v>
      </c>
      <c r="X611" t="s">
        <v>253</v>
      </c>
      <c r="Y611" t="s">
        <v>235</v>
      </c>
      <c r="Z611" t="s">
        <v>236</v>
      </c>
      <c r="AA611" t="s">
        <v>253</v>
      </c>
      <c r="AB611" t="s">
        <v>121</v>
      </c>
      <c r="AC611" s="235">
        <v>620000</v>
      </c>
      <c r="AD611" s="235">
        <v>43158.772351980238</v>
      </c>
      <c r="AE611">
        <v>0</v>
      </c>
      <c r="AF611">
        <v>0</v>
      </c>
      <c r="AG611">
        <v>0</v>
      </c>
      <c r="AH611" s="235">
        <v>15581.06275718793</v>
      </c>
      <c r="AI611">
        <v>226</v>
      </c>
      <c r="AJ611" t="s">
        <v>256</v>
      </c>
      <c r="AK611">
        <v>0</v>
      </c>
      <c r="AL611">
        <v>0</v>
      </c>
      <c r="AM611">
        <v>0</v>
      </c>
    </row>
    <row r="612" spans="1:39" x14ac:dyDescent="0.25">
      <c r="A612" t="s">
        <v>601</v>
      </c>
      <c r="B612" t="s">
        <v>557</v>
      </c>
      <c r="C612" t="s">
        <v>255</v>
      </c>
      <c r="D612" t="s">
        <v>234</v>
      </c>
      <c r="E612" t="s">
        <v>20</v>
      </c>
      <c r="F612" t="s">
        <v>383</v>
      </c>
      <c r="G612" t="s">
        <v>269</v>
      </c>
      <c r="H612" t="s">
        <v>254</v>
      </c>
      <c r="I612" t="s">
        <v>242</v>
      </c>
      <c r="J612" t="s">
        <v>235</v>
      </c>
      <c r="K612" s="380">
        <v>36923</v>
      </c>
      <c r="L612" s="235">
        <v>223934.6101304621</v>
      </c>
      <c r="M612" s="380">
        <v>36921</v>
      </c>
      <c r="N612" t="s">
        <v>21</v>
      </c>
      <c r="O612">
        <v>3</v>
      </c>
      <c r="P612">
        <v>0</v>
      </c>
      <c r="Q612">
        <v>0</v>
      </c>
      <c r="R612">
        <v>0</v>
      </c>
      <c r="S612">
        <v>0</v>
      </c>
      <c r="T612" t="s">
        <v>253</v>
      </c>
      <c r="U612" t="s">
        <v>7</v>
      </c>
      <c r="V612" t="s">
        <v>253</v>
      </c>
      <c r="W612" t="s">
        <v>132</v>
      </c>
      <c r="X612" t="s">
        <v>253</v>
      </c>
      <c r="Y612" t="s">
        <v>235</v>
      </c>
      <c r="Z612" t="s">
        <v>236</v>
      </c>
      <c r="AA612" t="s">
        <v>253</v>
      </c>
      <c r="AB612" t="s">
        <v>121</v>
      </c>
      <c r="AC612" s="235">
        <v>560000</v>
      </c>
      <c r="AD612" s="235">
        <v>42315.59829748224</v>
      </c>
      <c r="AE612">
        <v>0</v>
      </c>
      <c r="AF612">
        <v>0</v>
      </c>
      <c r="AG612">
        <v>0</v>
      </c>
      <c r="AH612" s="235">
        <v>16178.248366512387</v>
      </c>
      <c r="AI612">
        <v>226</v>
      </c>
      <c r="AJ612" t="s">
        <v>256</v>
      </c>
      <c r="AK612">
        <v>0</v>
      </c>
      <c r="AL612">
        <v>0</v>
      </c>
      <c r="AM612">
        <v>0</v>
      </c>
    </row>
    <row r="613" spans="1:39" x14ac:dyDescent="0.25">
      <c r="A613" t="s">
        <v>601</v>
      </c>
      <c r="B613" t="s">
        <v>557</v>
      </c>
      <c r="C613" t="s">
        <v>255</v>
      </c>
      <c r="D613" t="s">
        <v>234</v>
      </c>
      <c r="E613" t="s">
        <v>20</v>
      </c>
      <c r="F613" t="s">
        <v>383</v>
      </c>
      <c r="G613" t="s">
        <v>269</v>
      </c>
      <c r="H613" t="s">
        <v>254</v>
      </c>
      <c r="I613" t="s">
        <v>242</v>
      </c>
      <c r="J613" t="s">
        <v>235</v>
      </c>
      <c r="K613" s="380">
        <v>36951</v>
      </c>
      <c r="L613" s="235">
        <v>65270.815712512427</v>
      </c>
      <c r="M613" s="380">
        <v>36949</v>
      </c>
      <c r="N613" t="s">
        <v>21</v>
      </c>
      <c r="O613">
        <v>3</v>
      </c>
      <c r="P613">
        <v>0</v>
      </c>
      <c r="Q613">
        <v>0</v>
      </c>
      <c r="R613">
        <v>0</v>
      </c>
      <c r="S613">
        <v>0</v>
      </c>
      <c r="T613" t="s">
        <v>253</v>
      </c>
      <c r="U613" t="s">
        <v>7</v>
      </c>
      <c r="V613" t="s">
        <v>253</v>
      </c>
      <c r="W613" t="s">
        <v>132</v>
      </c>
      <c r="X613" t="s">
        <v>253</v>
      </c>
      <c r="Y613" t="s">
        <v>235</v>
      </c>
      <c r="Z613" t="s">
        <v>236</v>
      </c>
      <c r="AA613" t="s">
        <v>253</v>
      </c>
      <c r="AB613" t="s">
        <v>121</v>
      </c>
      <c r="AC613" s="235">
        <v>620000</v>
      </c>
      <c r="AD613" s="235">
        <v>27765.523854694417</v>
      </c>
      <c r="AE613">
        <v>0</v>
      </c>
      <c r="AF613">
        <v>0</v>
      </c>
      <c r="AG613">
        <v>0</v>
      </c>
      <c r="AH613" s="235">
        <v>7036.9771372781179</v>
      </c>
      <c r="AI613">
        <v>226</v>
      </c>
      <c r="AJ613" t="s">
        <v>256</v>
      </c>
      <c r="AK613">
        <v>0</v>
      </c>
      <c r="AL613">
        <v>0</v>
      </c>
      <c r="AM613">
        <v>0</v>
      </c>
    </row>
    <row r="614" spans="1:39" x14ac:dyDescent="0.25">
      <c r="A614" t="s">
        <v>601</v>
      </c>
      <c r="B614" t="s">
        <v>558</v>
      </c>
      <c r="C614" t="s">
        <v>255</v>
      </c>
      <c r="D614" t="s">
        <v>234</v>
      </c>
      <c r="E614" t="s">
        <v>20</v>
      </c>
      <c r="F614" t="s">
        <v>383</v>
      </c>
      <c r="G614" t="s">
        <v>269</v>
      </c>
      <c r="H614" t="s">
        <v>254</v>
      </c>
      <c r="I614" t="s">
        <v>242</v>
      </c>
      <c r="J614" t="s">
        <v>235</v>
      </c>
      <c r="K614" s="380">
        <v>36831</v>
      </c>
      <c r="L614" s="235">
        <v>-376.48296695295551</v>
      </c>
      <c r="M614" s="380">
        <v>36829</v>
      </c>
      <c r="N614" t="s">
        <v>21</v>
      </c>
      <c r="O614">
        <v>3.5</v>
      </c>
      <c r="P614">
        <v>0</v>
      </c>
      <c r="Q614">
        <v>0</v>
      </c>
      <c r="R614">
        <v>0</v>
      </c>
      <c r="S614">
        <v>0</v>
      </c>
      <c r="T614" t="s">
        <v>253</v>
      </c>
      <c r="U614" t="s">
        <v>7</v>
      </c>
      <c r="V614" t="s">
        <v>253</v>
      </c>
      <c r="W614" t="s">
        <v>132</v>
      </c>
      <c r="X614" t="s">
        <v>253</v>
      </c>
      <c r="Y614" t="s">
        <v>235</v>
      </c>
      <c r="Z614" t="s">
        <v>236</v>
      </c>
      <c r="AA614" t="s">
        <v>253</v>
      </c>
      <c r="AB614" t="s">
        <v>121</v>
      </c>
      <c r="AC614" s="235">
        <v>-600000</v>
      </c>
      <c r="AD614" s="235">
        <v>-442.14085008445227</v>
      </c>
      <c r="AE614">
        <v>0</v>
      </c>
      <c r="AF614">
        <v>0</v>
      </c>
      <c r="AG614">
        <v>0</v>
      </c>
      <c r="AH614" s="235">
        <v>-96.22004406551855</v>
      </c>
      <c r="AI614">
        <v>226</v>
      </c>
      <c r="AJ614" t="s">
        <v>256</v>
      </c>
      <c r="AK614">
        <v>0</v>
      </c>
      <c r="AL614">
        <v>0</v>
      </c>
      <c r="AM614">
        <v>0</v>
      </c>
    </row>
    <row r="615" spans="1:39" x14ac:dyDescent="0.25">
      <c r="A615" t="s">
        <v>601</v>
      </c>
      <c r="B615" t="s">
        <v>558</v>
      </c>
      <c r="C615" t="s">
        <v>255</v>
      </c>
      <c r="D615" t="s">
        <v>234</v>
      </c>
      <c r="E615" t="s">
        <v>20</v>
      </c>
      <c r="F615" t="s">
        <v>383</v>
      </c>
      <c r="G615" t="s">
        <v>269</v>
      </c>
      <c r="H615" t="s">
        <v>254</v>
      </c>
      <c r="I615" t="s">
        <v>242</v>
      </c>
      <c r="J615" t="s">
        <v>235</v>
      </c>
      <c r="K615" s="380">
        <v>36861</v>
      </c>
      <c r="L615" s="235">
        <v>-62687.997355839769</v>
      </c>
      <c r="M615" s="380">
        <v>36859</v>
      </c>
      <c r="N615" t="s">
        <v>21</v>
      </c>
      <c r="O615">
        <v>3.5</v>
      </c>
      <c r="P615">
        <v>0</v>
      </c>
      <c r="Q615">
        <v>0</v>
      </c>
      <c r="R615">
        <v>0</v>
      </c>
      <c r="S615">
        <v>0</v>
      </c>
      <c r="T615" t="s">
        <v>253</v>
      </c>
      <c r="U615" t="s">
        <v>7</v>
      </c>
      <c r="V615" t="s">
        <v>253</v>
      </c>
      <c r="W615" t="s">
        <v>132</v>
      </c>
      <c r="X615" t="s">
        <v>253</v>
      </c>
      <c r="Y615" t="s">
        <v>235</v>
      </c>
      <c r="Z615" t="s">
        <v>236</v>
      </c>
      <c r="AA615" t="s">
        <v>253</v>
      </c>
      <c r="AB615" t="s">
        <v>121</v>
      </c>
      <c r="AC615" s="235">
        <v>-620000</v>
      </c>
      <c r="AD615" s="235">
        <v>-22080.794746038315</v>
      </c>
      <c r="AE615">
        <v>0</v>
      </c>
      <c r="AF615">
        <v>0</v>
      </c>
      <c r="AG615">
        <v>0</v>
      </c>
      <c r="AH615" s="235">
        <v>-5271.0294460554142</v>
      </c>
      <c r="AI615">
        <v>226</v>
      </c>
      <c r="AJ615" t="s">
        <v>256</v>
      </c>
      <c r="AK615">
        <v>0</v>
      </c>
      <c r="AL615">
        <v>0</v>
      </c>
      <c r="AM615">
        <v>0</v>
      </c>
    </row>
    <row r="616" spans="1:39" x14ac:dyDescent="0.25">
      <c r="A616" t="s">
        <v>601</v>
      </c>
      <c r="B616" t="s">
        <v>558</v>
      </c>
      <c r="C616" t="s">
        <v>255</v>
      </c>
      <c r="D616" t="s">
        <v>234</v>
      </c>
      <c r="E616" t="s">
        <v>20</v>
      </c>
      <c r="F616" t="s">
        <v>383</v>
      </c>
      <c r="G616" t="s">
        <v>269</v>
      </c>
      <c r="H616" t="s">
        <v>254</v>
      </c>
      <c r="I616" t="s">
        <v>242</v>
      </c>
      <c r="J616" t="s">
        <v>235</v>
      </c>
      <c r="K616" s="380">
        <v>36892</v>
      </c>
      <c r="L616" s="235">
        <v>-173343.28879764219</v>
      </c>
      <c r="M616" s="380">
        <v>36888</v>
      </c>
      <c r="N616" t="s">
        <v>21</v>
      </c>
      <c r="O616">
        <v>3.5</v>
      </c>
      <c r="P616">
        <v>0</v>
      </c>
      <c r="Q616">
        <v>0</v>
      </c>
      <c r="R616">
        <v>0</v>
      </c>
      <c r="S616">
        <v>0</v>
      </c>
      <c r="T616" t="s">
        <v>253</v>
      </c>
      <c r="U616" t="s">
        <v>7</v>
      </c>
      <c r="V616" t="s">
        <v>253</v>
      </c>
      <c r="W616" t="s">
        <v>132</v>
      </c>
      <c r="X616" t="s">
        <v>253</v>
      </c>
      <c r="Y616" t="s">
        <v>235</v>
      </c>
      <c r="Z616" t="s">
        <v>236</v>
      </c>
      <c r="AA616" t="s">
        <v>253</v>
      </c>
      <c r="AB616" t="s">
        <v>121</v>
      </c>
      <c r="AC616" s="235">
        <v>-620000</v>
      </c>
      <c r="AD616" s="235">
        <v>-37632.922740107722</v>
      </c>
      <c r="AE616">
        <v>0</v>
      </c>
      <c r="AF616">
        <v>0</v>
      </c>
      <c r="AG616">
        <v>0</v>
      </c>
      <c r="AH616" s="235">
        <v>-12309.091345694498</v>
      </c>
      <c r="AI616">
        <v>226</v>
      </c>
      <c r="AJ616" t="s">
        <v>256</v>
      </c>
      <c r="AK616">
        <v>0</v>
      </c>
      <c r="AL616">
        <v>0</v>
      </c>
      <c r="AM616">
        <v>0</v>
      </c>
    </row>
    <row r="617" spans="1:39" x14ac:dyDescent="0.25">
      <c r="A617" t="s">
        <v>601</v>
      </c>
      <c r="B617" t="s">
        <v>558</v>
      </c>
      <c r="C617" t="s">
        <v>255</v>
      </c>
      <c r="D617" t="s">
        <v>234</v>
      </c>
      <c r="E617" t="s">
        <v>20</v>
      </c>
      <c r="F617" t="s">
        <v>383</v>
      </c>
      <c r="G617" t="s">
        <v>269</v>
      </c>
      <c r="H617" t="s">
        <v>254</v>
      </c>
      <c r="I617" t="s">
        <v>242</v>
      </c>
      <c r="J617" t="s">
        <v>235</v>
      </c>
      <c r="K617" s="380">
        <v>36923</v>
      </c>
      <c r="L617" s="235">
        <v>-166763.06623589597</v>
      </c>
      <c r="M617" s="380">
        <v>36921</v>
      </c>
      <c r="N617" t="s">
        <v>21</v>
      </c>
      <c r="O617">
        <v>3.5</v>
      </c>
      <c r="P617">
        <v>0</v>
      </c>
      <c r="Q617">
        <v>0</v>
      </c>
      <c r="R617">
        <v>0</v>
      </c>
      <c r="S617">
        <v>0</v>
      </c>
      <c r="T617" t="s">
        <v>253</v>
      </c>
      <c r="U617" t="s">
        <v>7</v>
      </c>
      <c r="V617" t="s">
        <v>253</v>
      </c>
      <c r="W617" t="s">
        <v>132</v>
      </c>
      <c r="X617" t="s">
        <v>253</v>
      </c>
      <c r="Y617" t="s">
        <v>235</v>
      </c>
      <c r="Z617" t="s">
        <v>236</v>
      </c>
      <c r="AA617" t="s">
        <v>253</v>
      </c>
      <c r="AB617" t="s">
        <v>121</v>
      </c>
      <c r="AC617" s="235">
        <v>-560000</v>
      </c>
      <c r="AD617" s="235">
        <v>-37260.176558340827</v>
      </c>
      <c r="AE617">
        <v>0</v>
      </c>
      <c r="AF617">
        <v>0</v>
      </c>
      <c r="AG617">
        <v>0</v>
      </c>
      <c r="AH617" s="235">
        <v>-13016.670418473892</v>
      </c>
      <c r="AI617">
        <v>226</v>
      </c>
      <c r="AJ617" t="s">
        <v>256</v>
      </c>
      <c r="AK617">
        <v>0</v>
      </c>
      <c r="AL617">
        <v>0</v>
      </c>
      <c r="AM617">
        <v>0</v>
      </c>
    </row>
    <row r="618" spans="1:39" x14ac:dyDescent="0.25">
      <c r="A618" t="s">
        <v>601</v>
      </c>
      <c r="B618" t="s">
        <v>558</v>
      </c>
      <c r="C618" t="s">
        <v>255</v>
      </c>
      <c r="D618" t="s">
        <v>234</v>
      </c>
      <c r="E618" t="s">
        <v>20</v>
      </c>
      <c r="F618" t="s">
        <v>383</v>
      </c>
      <c r="G618" t="s">
        <v>269</v>
      </c>
      <c r="H618" t="s">
        <v>254</v>
      </c>
      <c r="I618" t="s">
        <v>242</v>
      </c>
      <c r="J618" t="s">
        <v>235</v>
      </c>
      <c r="K618" s="380">
        <v>36951</v>
      </c>
      <c r="L618" s="235">
        <v>-43888.798559444032</v>
      </c>
      <c r="M618" s="380">
        <v>36949</v>
      </c>
      <c r="N618" t="s">
        <v>21</v>
      </c>
      <c r="O618">
        <v>3.5</v>
      </c>
      <c r="P618">
        <v>0</v>
      </c>
      <c r="Q618">
        <v>0</v>
      </c>
      <c r="R618">
        <v>0</v>
      </c>
      <c r="S618">
        <v>0</v>
      </c>
      <c r="T618" t="s">
        <v>253</v>
      </c>
      <c r="U618" t="s">
        <v>7</v>
      </c>
      <c r="V618" t="s">
        <v>253</v>
      </c>
      <c r="W618" t="s">
        <v>132</v>
      </c>
      <c r="X618" t="s">
        <v>253</v>
      </c>
      <c r="Y618" t="s">
        <v>235</v>
      </c>
      <c r="Z618" t="s">
        <v>236</v>
      </c>
      <c r="AA618" t="s">
        <v>253</v>
      </c>
      <c r="AB618" t="s">
        <v>121</v>
      </c>
      <c r="AC618" s="235">
        <v>-620000</v>
      </c>
      <c r="AD618" s="235">
        <v>-21257.678188480451</v>
      </c>
      <c r="AE618">
        <v>0</v>
      </c>
      <c r="AF618">
        <v>0</v>
      </c>
      <c r="AG618">
        <v>0</v>
      </c>
      <c r="AH618" s="235">
        <v>-5067.7939089654537</v>
      </c>
      <c r="AI618">
        <v>226</v>
      </c>
      <c r="AJ618" t="s">
        <v>256</v>
      </c>
      <c r="AK618">
        <v>0</v>
      </c>
      <c r="AL618">
        <v>0</v>
      </c>
      <c r="AM618">
        <v>0</v>
      </c>
    </row>
    <row r="619" spans="1:39" x14ac:dyDescent="0.25">
      <c r="A619" t="s">
        <v>601</v>
      </c>
      <c r="B619" t="s">
        <v>559</v>
      </c>
      <c r="C619" t="s">
        <v>255</v>
      </c>
      <c r="D619" t="s">
        <v>234</v>
      </c>
      <c r="E619" t="s">
        <v>20</v>
      </c>
      <c r="F619" t="s">
        <v>279</v>
      </c>
      <c r="G619" t="s">
        <v>269</v>
      </c>
      <c r="H619" t="s">
        <v>254</v>
      </c>
      <c r="I619" t="s">
        <v>242</v>
      </c>
      <c r="J619" t="s">
        <v>235</v>
      </c>
      <c r="K619" s="380">
        <v>36861</v>
      </c>
      <c r="L619" s="235">
        <v>-79339.060360965843</v>
      </c>
      <c r="M619" s="380">
        <v>36859</v>
      </c>
      <c r="N619" t="s">
        <v>21</v>
      </c>
      <c r="O619">
        <v>3</v>
      </c>
      <c r="P619">
        <v>0</v>
      </c>
      <c r="Q619">
        <v>0</v>
      </c>
      <c r="R619">
        <v>0</v>
      </c>
      <c r="S619">
        <v>0</v>
      </c>
      <c r="T619" t="s">
        <v>253</v>
      </c>
      <c r="U619" t="s">
        <v>7</v>
      </c>
      <c r="V619" t="s">
        <v>253</v>
      </c>
      <c r="W619" t="s">
        <v>132</v>
      </c>
      <c r="X619" t="s">
        <v>253</v>
      </c>
      <c r="Y619" t="s">
        <v>235</v>
      </c>
      <c r="Z619" t="s">
        <v>236</v>
      </c>
      <c r="AA619" t="s">
        <v>253</v>
      </c>
      <c r="AB619" t="s">
        <v>121</v>
      </c>
      <c r="AC619" s="235">
        <v>-500000</v>
      </c>
      <c r="AD619" s="235">
        <v>-23273.191292678166</v>
      </c>
      <c r="AE619">
        <v>0</v>
      </c>
      <c r="AF619">
        <v>0</v>
      </c>
      <c r="AG619">
        <v>0</v>
      </c>
      <c r="AH619" s="235">
        <v>-6039.1750606325804</v>
      </c>
      <c r="AI619">
        <v>226</v>
      </c>
      <c r="AJ619" t="s">
        <v>256</v>
      </c>
      <c r="AK619">
        <v>0</v>
      </c>
      <c r="AL619">
        <v>0</v>
      </c>
      <c r="AM619">
        <v>0</v>
      </c>
    </row>
    <row r="620" spans="1:39" x14ac:dyDescent="0.25">
      <c r="A620" t="s">
        <v>601</v>
      </c>
      <c r="B620" t="s">
        <v>559</v>
      </c>
      <c r="C620" t="s">
        <v>255</v>
      </c>
      <c r="D620" t="s">
        <v>234</v>
      </c>
      <c r="E620" t="s">
        <v>20</v>
      </c>
      <c r="F620" t="s">
        <v>279</v>
      </c>
      <c r="G620" t="s">
        <v>269</v>
      </c>
      <c r="H620" t="s">
        <v>254</v>
      </c>
      <c r="I620" t="s">
        <v>242</v>
      </c>
      <c r="J620" t="s">
        <v>235</v>
      </c>
      <c r="K620" s="380">
        <v>36892</v>
      </c>
      <c r="L620" s="235">
        <v>-193108.55951944506</v>
      </c>
      <c r="M620" s="380">
        <v>36888</v>
      </c>
      <c r="N620" t="s">
        <v>21</v>
      </c>
      <c r="O620">
        <v>3</v>
      </c>
      <c r="P620">
        <v>0</v>
      </c>
      <c r="Q620">
        <v>0</v>
      </c>
      <c r="R620">
        <v>0</v>
      </c>
      <c r="S620">
        <v>0</v>
      </c>
      <c r="T620" t="s">
        <v>253</v>
      </c>
      <c r="U620" t="s">
        <v>7</v>
      </c>
      <c r="V620" t="s">
        <v>253</v>
      </c>
      <c r="W620" t="s">
        <v>132</v>
      </c>
      <c r="X620" t="s">
        <v>253</v>
      </c>
      <c r="Y620" t="s">
        <v>235</v>
      </c>
      <c r="Z620" t="s">
        <v>236</v>
      </c>
      <c r="AA620" t="s">
        <v>253</v>
      </c>
      <c r="AB620" t="s">
        <v>121</v>
      </c>
      <c r="AC620" s="235">
        <v>-500000</v>
      </c>
      <c r="AD620" s="235">
        <v>-34805.461574177607</v>
      </c>
      <c r="AE620">
        <v>0</v>
      </c>
      <c r="AF620">
        <v>0</v>
      </c>
      <c r="AG620">
        <v>0</v>
      </c>
      <c r="AH620" s="235">
        <v>-12565.373191280582</v>
      </c>
      <c r="AI620">
        <v>226</v>
      </c>
      <c r="AJ620" t="s">
        <v>256</v>
      </c>
      <c r="AK620">
        <v>0</v>
      </c>
      <c r="AL620">
        <v>0</v>
      </c>
      <c r="AM620">
        <v>0</v>
      </c>
    </row>
    <row r="621" spans="1:39" x14ac:dyDescent="0.25">
      <c r="A621" t="s">
        <v>601</v>
      </c>
      <c r="B621" t="s">
        <v>559</v>
      </c>
      <c r="C621" t="s">
        <v>255</v>
      </c>
      <c r="D621" t="s">
        <v>234</v>
      </c>
      <c r="E621" t="s">
        <v>20</v>
      </c>
      <c r="F621" t="s">
        <v>279</v>
      </c>
      <c r="G621" t="s">
        <v>269</v>
      </c>
      <c r="H621" t="s">
        <v>254</v>
      </c>
      <c r="I621" t="s">
        <v>242</v>
      </c>
      <c r="J621" t="s">
        <v>235</v>
      </c>
      <c r="K621" s="380">
        <v>36923</v>
      </c>
      <c r="L621" s="235">
        <v>-199941.61618791259</v>
      </c>
      <c r="M621" s="380">
        <v>36921</v>
      </c>
      <c r="N621" t="s">
        <v>21</v>
      </c>
      <c r="O621">
        <v>3</v>
      </c>
      <c r="P621">
        <v>0</v>
      </c>
      <c r="Q621">
        <v>0</v>
      </c>
      <c r="R621">
        <v>0</v>
      </c>
      <c r="S621">
        <v>0</v>
      </c>
      <c r="T621" t="s">
        <v>253</v>
      </c>
      <c r="U621" t="s">
        <v>7</v>
      </c>
      <c r="V621" t="s">
        <v>253</v>
      </c>
      <c r="W621" t="s">
        <v>132</v>
      </c>
      <c r="X621" t="s">
        <v>253</v>
      </c>
      <c r="Y621" t="s">
        <v>235</v>
      </c>
      <c r="Z621" t="s">
        <v>236</v>
      </c>
      <c r="AA621" t="s">
        <v>253</v>
      </c>
      <c r="AB621" t="s">
        <v>121</v>
      </c>
      <c r="AC621" s="235">
        <v>-500000</v>
      </c>
      <c r="AD621" s="235">
        <v>-37781.784194180567</v>
      </c>
      <c r="AE621">
        <v>0</v>
      </c>
      <c r="AF621">
        <v>0</v>
      </c>
      <c r="AG621">
        <v>0</v>
      </c>
      <c r="AH621" s="235">
        <v>-14444.864612957492</v>
      </c>
      <c r="AI621">
        <v>226</v>
      </c>
      <c r="AJ621" t="s">
        <v>256</v>
      </c>
      <c r="AK621">
        <v>0</v>
      </c>
      <c r="AL621">
        <v>0</v>
      </c>
      <c r="AM621">
        <v>0</v>
      </c>
    </row>
    <row r="622" spans="1:39" x14ac:dyDescent="0.25">
      <c r="A622" t="s">
        <v>601</v>
      </c>
      <c r="B622" t="s">
        <v>560</v>
      </c>
      <c r="C622" t="s">
        <v>255</v>
      </c>
      <c r="D622" t="s">
        <v>234</v>
      </c>
      <c r="E622" t="s">
        <v>20</v>
      </c>
      <c r="F622" t="s">
        <v>480</v>
      </c>
      <c r="G622" t="s">
        <v>269</v>
      </c>
      <c r="H622" t="s">
        <v>254</v>
      </c>
      <c r="I622" t="s">
        <v>242</v>
      </c>
      <c r="J622" t="s">
        <v>235</v>
      </c>
      <c r="K622" s="380">
        <v>36800</v>
      </c>
      <c r="L622" s="235">
        <v>-57871.311977611469</v>
      </c>
      <c r="M622" s="380">
        <v>36797</v>
      </c>
      <c r="N622" t="s">
        <v>1</v>
      </c>
      <c r="O622">
        <v>0.4</v>
      </c>
      <c r="P622">
        <v>0</v>
      </c>
      <c r="Q622">
        <v>0</v>
      </c>
      <c r="R622">
        <v>0</v>
      </c>
      <c r="S622">
        <v>0</v>
      </c>
      <c r="T622" t="s">
        <v>253</v>
      </c>
      <c r="U622" t="s">
        <v>7</v>
      </c>
      <c r="V622" t="s">
        <v>253</v>
      </c>
      <c r="W622" t="s">
        <v>132</v>
      </c>
      <c r="X622" t="s">
        <v>253</v>
      </c>
      <c r="Y622" t="s">
        <v>235</v>
      </c>
      <c r="Z622" t="s">
        <v>236</v>
      </c>
      <c r="AA622" t="s">
        <v>253</v>
      </c>
      <c r="AB622" t="s">
        <v>121</v>
      </c>
      <c r="AC622" s="235">
        <v>-1550000</v>
      </c>
      <c r="AD622" s="235">
        <v>-10116.427552524721</v>
      </c>
      <c r="AE622">
        <v>0</v>
      </c>
      <c r="AF622">
        <v>0</v>
      </c>
      <c r="AG622">
        <v>0</v>
      </c>
      <c r="AH622" s="235">
        <v>-576.2777377876555</v>
      </c>
      <c r="AI622">
        <v>226</v>
      </c>
      <c r="AJ622" t="s">
        <v>256</v>
      </c>
      <c r="AK622">
        <v>0</v>
      </c>
      <c r="AL622">
        <v>0</v>
      </c>
      <c r="AM622">
        <v>0</v>
      </c>
    </row>
    <row r="623" spans="1:39" x14ac:dyDescent="0.25">
      <c r="A623" t="s">
        <v>601</v>
      </c>
      <c r="B623" t="s">
        <v>561</v>
      </c>
      <c r="C623" t="s">
        <v>255</v>
      </c>
      <c r="D623" t="s">
        <v>234</v>
      </c>
      <c r="E623" t="s">
        <v>20</v>
      </c>
      <c r="F623" t="s">
        <v>320</v>
      </c>
      <c r="G623" t="s">
        <v>269</v>
      </c>
      <c r="H623" t="s">
        <v>254</v>
      </c>
      <c r="I623" t="s">
        <v>242</v>
      </c>
      <c r="J623" t="s">
        <v>235</v>
      </c>
      <c r="K623" s="380">
        <v>36770</v>
      </c>
      <c r="L623" s="235">
        <v>599779.28578905668</v>
      </c>
      <c r="M623" s="380">
        <v>36768</v>
      </c>
      <c r="N623" t="s">
        <v>21</v>
      </c>
      <c r="O623">
        <v>0.5</v>
      </c>
      <c r="P623">
        <v>0</v>
      </c>
      <c r="Q623">
        <v>0</v>
      </c>
      <c r="R623">
        <v>0</v>
      </c>
      <c r="S623">
        <v>0</v>
      </c>
      <c r="T623" t="s">
        <v>253</v>
      </c>
      <c r="U623" t="s">
        <v>190</v>
      </c>
      <c r="V623" t="s">
        <v>253</v>
      </c>
      <c r="W623" t="s">
        <v>132</v>
      </c>
      <c r="X623" t="s">
        <v>253</v>
      </c>
      <c r="Y623" t="s">
        <v>235</v>
      </c>
      <c r="Z623" t="s">
        <v>236</v>
      </c>
      <c r="AA623" t="s">
        <v>253</v>
      </c>
      <c r="AB623" t="s">
        <v>121</v>
      </c>
      <c r="AC623" s="235">
        <v>300000</v>
      </c>
      <c r="AD623" s="235">
        <v>-1.1970857449341565E-2</v>
      </c>
      <c r="AE623">
        <v>0</v>
      </c>
      <c r="AF623">
        <v>0</v>
      </c>
      <c r="AG623">
        <v>0</v>
      </c>
      <c r="AH623" s="235">
        <v>79426.947140948323</v>
      </c>
      <c r="AI623">
        <v>226</v>
      </c>
      <c r="AJ623" t="s">
        <v>256</v>
      </c>
      <c r="AK623">
        <v>0</v>
      </c>
      <c r="AL623">
        <v>0</v>
      </c>
      <c r="AM623">
        <v>0</v>
      </c>
    </row>
    <row r="624" spans="1:39" x14ac:dyDescent="0.25">
      <c r="A624" t="s">
        <v>601</v>
      </c>
      <c r="B624" t="s">
        <v>562</v>
      </c>
      <c r="C624" t="s">
        <v>255</v>
      </c>
      <c r="D624" t="s">
        <v>234</v>
      </c>
      <c r="E624" t="s">
        <v>20</v>
      </c>
      <c r="F624" t="s">
        <v>363</v>
      </c>
      <c r="G624" t="s">
        <v>269</v>
      </c>
      <c r="H624" t="s">
        <v>254</v>
      </c>
      <c r="I624" t="s">
        <v>242</v>
      </c>
      <c r="J624" t="s">
        <v>235</v>
      </c>
      <c r="K624" s="380">
        <v>36982</v>
      </c>
      <c r="L624" s="235">
        <v>-89457.700994347644</v>
      </c>
      <c r="M624" s="380">
        <v>36979</v>
      </c>
      <c r="N624" t="s">
        <v>21</v>
      </c>
      <c r="O624">
        <v>0.7</v>
      </c>
      <c r="P624">
        <v>0</v>
      </c>
      <c r="Q624">
        <v>0</v>
      </c>
      <c r="R624">
        <v>0</v>
      </c>
      <c r="S624">
        <v>0</v>
      </c>
      <c r="T624" t="s">
        <v>253</v>
      </c>
      <c r="U624" t="s">
        <v>7</v>
      </c>
      <c r="V624" t="s">
        <v>253</v>
      </c>
      <c r="W624" t="s">
        <v>132</v>
      </c>
      <c r="X624" t="s">
        <v>253</v>
      </c>
      <c r="Y624" t="s">
        <v>235</v>
      </c>
      <c r="Z624" t="s">
        <v>236</v>
      </c>
      <c r="AA624" t="s">
        <v>253</v>
      </c>
      <c r="AB624" t="s">
        <v>121</v>
      </c>
      <c r="AC624" s="235">
        <v>-1200000</v>
      </c>
      <c r="AD624" s="235">
        <v>-26282.982115571212</v>
      </c>
      <c r="AE624">
        <v>0</v>
      </c>
      <c r="AF624">
        <v>0</v>
      </c>
      <c r="AG624">
        <v>0</v>
      </c>
      <c r="AH624" s="235">
        <v>-1250.6989044985821</v>
      </c>
      <c r="AI624">
        <v>226</v>
      </c>
      <c r="AJ624" t="s">
        <v>256</v>
      </c>
      <c r="AK624">
        <v>0</v>
      </c>
      <c r="AL624">
        <v>0</v>
      </c>
      <c r="AM624">
        <v>0</v>
      </c>
    </row>
    <row r="625" spans="1:39" x14ac:dyDescent="0.25">
      <c r="A625" t="s">
        <v>601</v>
      </c>
      <c r="B625" t="s">
        <v>564</v>
      </c>
      <c r="C625" t="s">
        <v>255</v>
      </c>
      <c r="D625" t="s">
        <v>234</v>
      </c>
      <c r="E625" t="s">
        <v>20</v>
      </c>
      <c r="F625" t="s">
        <v>276</v>
      </c>
      <c r="G625" t="s">
        <v>269</v>
      </c>
      <c r="H625" t="s">
        <v>254</v>
      </c>
      <c r="I625" t="s">
        <v>242</v>
      </c>
      <c r="J625" t="s">
        <v>235</v>
      </c>
      <c r="K625" s="380">
        <v>36831</v>
      </c>
      <c r="L625" s="235">
        <v>365285.37794140994</v>
      </c>
      <c r="M625" s="380">
        <v>36829</v>
      </c>
      <c r="N625" t="s">
        <v>1</v>
      </c>
      <c r="O625">
        <v>0.95</v>
      </c>
      <c r="P625">
        <v>0</v>
      </c>
      <c r="Q625">
        <v>0</v>
      </c>
      <c r="R625">
        <v>0</v>
      </c>
      <c r="S625">
        <v>0</v>
      </c>
      <c r="T625" t="s">
        <v>253</v>
      </c>
      <c r="U625" t="s">
        <v>7</v>
      </c>
      <c r="V625" t="s">
        <v>253</v>
      </c>
      <c r="W625" t="s">
        <v>132</v>
      </c>
      <c r="X625" t="s">
        <v>253</v>
      </c>
      <c r="Y625" t="s">
        <v>235</v>
      </c>
      <c r="Z625" t="s">
        <v>236</v>
      </c>
      <c r="AA625" t="s">
        <v>253</v>
      </c>
      <c r="AB625" t="s">
        <v>121</v>
      </c>
      <c r="AC625" s="235">
        <v>1000000</v>
      </c>
      <c r="AD625" s="235">
        <v>42890.904280145071</v>
      </c>
      <c r="AE625">
        <v>0</v>
      </c>
      <c r="AF625">
        <v>0</v>
      </c>
      <c r="AG625">
        <v>0</v>
      </c>
      <c r="AH625" s="235">
        <v>-21052.313090910611</v>
      </c>
      <c r="AI625">
        <v>226</v>
      </c>
      <c r="AJ625" t="s">
        <v>256</v>
      </c>
      <c r="AK625">
        <v>0</v>
      </c>
      <c r="AL625">
        <v>0</v>
      </c>
      <c r="AM625">
        <v>0</v>
      </c>
    </row>
    <row r="626" spans="1:39" x14ac:dyDescent="0.25">
      <c r="A626" t="s">
        <v>601</v>
      </c>
      <c r="B626" t="s">
        <v>564</v>
      </c>
      <c r="C626" t="s">
        <v>255</v>
      </c>
      <c r="D626" t="s">
        <v>234</v>
      </c>
      <c r="E626" t="s">
        <v>20</v>
      </c>
      <c r="F626" t="s">
        <v>276</v>
      </c>
      <c r="G626" t="s">
        <v>269</v>
      </c>
      <c r="H626" t="s">
        <v>254</v>
      </c>
      <c r="I626" t="s">
        <v>242</v>
      </c>
      <c r="J626" t="s">
        <v>235</v>
      </c>
      <c r="K626" s="380">
        <v>36861</v>
      </c>
      <c r="L626" s="235">
        <v>206779.59023365367</v>
      </c>
      <c r="M626" s="380">
        <v>36859</v>
      </c>
      <c r="N626" t="s">
        <v>1</v>
      </c>
      <c r="O626">
        <v>0.95</v>
      </c>
      <c r="P626">
        <v>0</v>
      </c>
      <c r="Q626">
        <v>0</v>
      </c>
      <c r="R626">
        <v>0</v>
      </c>
      <c r="S626">
        <v>0</v>
      </c>
      <c r="T626" t="s">
        <v>253</v>
      </c>
      <c r="U626" t="s">
        <v>7</v>
      </c>
      <c r="V626" t="s">
        <v>253</v>
      </c>
      <c r="W626" t="s">
        <v>132</v>
      </c>
      <c r="X626" t="s">
        <v>253</v>
      </c>
      <c r="Y626" t="s">
        <v>235</v>
      </c>
      <c r="Z626" t="s">
        <v>236</v>
      </c>
      <c r="AA626" t="s">
        <v>253</v>
      </c>
      <c r="AB626" t="s">
        <v>121</v>
      </c>
      <c r="AC626" s="235">
        <v>1000000</v>
      </c>
      <c r="AD626" s="235">
        <v>62140.966342002706</v>
      </c>
      <c r="AE626">
        <v>0</v>
      </c>
      <c r="AF626">
        <v>0</v>
      </c>
      <c r="AG626">
        <v>0</v>
      </c>
      <c r="AH626" s="235">
        <v>-8118.973104463279</v>
      </c>
      <c r="AI626">
        <v>226</v>
      </c>
      <c r="AJ626" t="s">
        <v>256</v>
      </c>
      <c r="AK626">
        <v>0</v>
      </c>
      <c r="AL626">
        <v>0</v>
      </c>
      <c r="AM626">
        <v>0</v>
      </c>
    </row>
    <row r="627" spans="1:39" x14ac:dyDescent="0.25">
      <c r="A627" t="s">
        <v>601</v>
      </c>
      <c r="B627" t="s">
        <v>564</v>
      </c>
      <c r="C627" t="s">
        <v>255</v>
      </c>
      <c r="D627" t="s">
        <v>234</v>
      </c>
      <c r="E627" t="s">
        <v>20</v>
      </c>
      <c r="F627" t="s">
        <v>276</v>
      </c>
      <c r="G627" t="s">
        <v>269</v>
      </c>
      <c r="H627" t="s">
        <v>254</v>
      </c>
      <c r="I627" t="s">
        <v>242</v>
      </c>
      <c r="J627" t="s">
        <v>235</v>
      </c>
      <c r="K627" s="380">
        <v>36892</v>
      </c>
      <c r="L627" s="235">
        <v>154296.15312093103</v>
      </c>
      <c r="M627" s="380">
        <v>36888</v>
      </c>
      <c r="N627" t="s">
        <v>1</v>
      </c>
      <c r="O627">
        <v>0.95</v>
      </c>
      <c r="P627">
        <v>0</v>
      </c>
      <c r="Q627">
        <v>0</v>
      </c>
      <c r="R627">
        <v>0</v>
      </c>
      <c r="S627">
        <v>0</v>
      </c>
      <c r="T627" t="s">
        <v>253</v>
      </c>
      <c r="U627" t="s">
        <v>7</v>
      </c>
      <c r="V627" t="s">
        <v>253</v>
      </c>
      <c r="W627" t="s">
        <v>132</v>
      </c>
      <c r="X627" t="s">
        <v>253</v>
      </c>
      <c r="Y627" t="s">
        <v>235</v>
      </c>
      <c r="Z627" t="s">
        <v>236</v>
      </c>
      <c r="AA627" t="s">
        <v>253</v>
      </c>
      <c r="AB627" t="s">
        <v>121</v>
      </c>
      <c r="AC627" s="235">
        <v>1000000</v>
      </c>
      <c r="AD627" s="235">
        <v>58574.150650883355</v>
      </c>
      <c r="AE627">
        <v>0</v>
      </c>
      <c r="AF627">
        <v>0</v>
      </c>
      <c r="AG627">
        <v>0</v>
      </c>
      <c r="AH627" s="235">
        <v>-7225.3304749372473</v>
      </c>
      <c r="AI627">
        <v>226</v>
      </c>
      <c r="AJ627" t="s">
        <v>256</v>
      </c>
      <c r="AK627">
        <v>0</v>
      </c>
      <c r="AL627">
        <v>0</v>
      </c>
      <c r="AM627">
        <v>0</v>
      </c>
    </row>
    <row r="628" spans="1:39" x14ac:dyDescent="0.25">
      <c r="A628" t="s">
        <v>601</v>
      </c>
      <c r="B628" t="s">
        <v>564</v>
      </c>
      <c r="C628" t="s">
        <v>255</v>
      </c>
      <c r="D628" t="s">
        <v>234</v>
      </c>
      <c r="E628" t="s">
        <v>20</v>
      </c>
      <c r="F628" t="s">
        <v>276</v>
      </c>
      <c r="G628" t="s">
        <v>269</v>
      </c>
      <c r="H628" t="s">
        <v>254</v>
      </c>
      <c r="I628" t="s">
        <v>242</v>
      </c>
      <c r="J628" t="s">
        <v>235</v>
      </c>
      <c r="K628" s="380">
        <v>36923</v>
      </c>
      <c r="L628" s="235">
        <v>190761.07387737962</v>
      </c>
      <c r="M628" s="380">
        <v>36921</v>
      </c>
      <c r="N628" t="s">
        <v>1</v>
      </c>
      <c r="O628">
        <v>0.95</v>
      </c>
      <c r="P628">
        <v>0</v>
      </c>
      <c r="Q628">
        <v>0</v>
      </c>
      <c r="R628">
        <v>0</v>
      </c>
      <c r="S628">
        <v>0</v>
      </c>
      <c r="T628" t="s">
        <v>253</v>
      </c>
      <c r="U628" t="s">
        <v>7</v>
      </c>
      <c r="V628" t="s">
        <v>253</v>
      </c>
      <c r="W628" t="s">
        <v>132</v>
      </c>
      <c r="X628" t="s">
        <v>253</v>
      </c>
      <c r="Y628" t="s">
        <v>235</v>
      </c>
      <c r="Z628" t="s">
        <v>236</v>
      </c>
      <c r="AA628" t="s">
        <v>253</v>
      </c>
      <c r="AB628" t="s">
        <v>121</v>
      </c>
      <c r="AC628" s="235">
        <v>1000000</v>
      </c>
      <c r="AD628" s="235">
        <v>68957.811988938804</v>
      </c>
      <c r="AE628">
        <v>0</v>
      </c>
      <c r="AF628">
        <v>0</v>
      </c>
      <c r="AG628">
        <v>0</v>
      </c>
      <c r="AH628" s="235">
        <v>-9846.6261578735721</v>
      </c>
      <c r="AI628">
        <v>226</v>
      </c>
      <c r="AJ628" t="s">
        <v>256</v>
      </c>
      <c r="AK628">
        <v>0</v>
      </c>
      <c r="AL628">
        <v>0</v>
      </c>
      <c r="AM628">
        <v>0</v>
      </c>
    </row>
    <row r="629" spans="1:39" x14ac:dyDescent="0.25">
      <c r="A629" t="s">
        <v>601</v>
      </c>
      <c r="B629" t="s">
        <v>564</v>
      </c>
      <c r="C629" t="s">
        <v>255</v>
      </c>
      <c r="D629" t="s">
        <v>234</v>
      </c>
      <c r="E629" t="s">
        <v>20</v>
      </c>
      <c r="F629" t="s">
        <v>276</v>
      </c>
      <c r="G629" t="s">
        <v>269</v>
      </c>
      <c r="H629" t="s">
        <v>254</v>
      </c>
      <c r="I629" t="s">
        <v>242</v>
      </c>
      <c r="J629" t="s">
        <v>235</v>
      </c>
      <c r="K629" s="380">
        <v>36951</v>
      </c>
      <c r="L629" s="235">
        <v>439193.57484196319</v>
      </c>
      <c r="M629" s="380">
        <v>36949</v>
      </c>
      <c r="N629" t="s">
        <v>1</v>
      </c>
      <c r="O629">
        <v>0.95</v>
      </c>
      <c r="P629">
        <v>0</v>
      </c>
      <c r="Q629">
        <v>0</v>
      </c>
      <c r="R629">
        <v>0</v>
      </c>
      <c r="S629">
        <v>0</v>
      </c>
      <c r="T629" t="s">
        <v>253</v>
      </c>
      <c r="U629" t="s">
        <v>7</v>
      </c>
      <c r="V629" t="s">
        <v>253</v>
      </c>
      <c r="W629" t="s">
        <v>132</v>
      </c>
      <c r="X629" t="s">
        <v>253</v>
      </c>
      <c r="Y629" t="s">
        <v>235</v>
      </c>
      <c r="Z629" t="s">
        <v>236</v>
      </c>
      <c r="AA629" t="s">
        <v>253</v>
      </c>
      <c r="AB629" t="s">
        <v>121</v>
      </c>
      <c r="AC629" s="235">
        <v>1000000</v>
      </c>
      <c r="AD629" s="235">
        <v>88919.377864861221</v>
      </c>
      <c r="AE629">
        <v>0</v>
      </c>
      <c r="AF629">
        <v>0</v>
      </c>
      <c r="AG629">
        <v>0</v>
      </c>
      <c r="AH629" s="235">
        <v>-19838.183083816606</v>
      </c>
      <c r="AI629">
        <v>226</v>
      </c>
      <c r="AJ629" t="s">
        <v>256</v>
      </c>
      <c r="AK629">
        <v>0</v>
      </c>
      <c r="AL629">
        <v>0</v>
      </c>
      <c r="AM629">
        <v>0</v>
      </c>
    </row>
    <row r="630" spans="1:39" x14ac:dyDescent="0.25">
      <c r="A630" t="s">
        <v>601</v>
      </c>
      <c r="B630" t="s">
        <v>563</v>
      </c>
      <c r="C630" t="s">
        <v>255</v>
      </c>
      <c r="D630" t="s">
        <v>234</v>
      </c>
      <c r="E630" t="s">
        <v>20</v>
      </c>
      <c r="F630" t="s">
        <v>320</v>
      </c>
      <c r="G630" t="s">
        <v>269</v>
      </c>
      <c r="H630" t="s">
        <v>254</v>
      </c>
      <c r="I630" t="s">
        <v>242</v>
      </c>
      <c r="J630" t="s">
        <v>235</v>
      </c>
      <c r="K630" s="380">
        <v>36831</v>
      </c>
      <c r="L630" s="235">
        <v>-59.498348947134886</v>
      </c>
      <c r="M630" s="380">
        <v>36829</v>
      </c>
      <c r="N630" t="s">
        <v>21</v>
      </c>
      <c r="O630">
        <v>4</v>
      </c>
      <c r="P630">
        <v>0</v>
      </c>
      <c r="Q630">
        <v>0</v>
      </c>
      <c r="R630">
        <v>0</v>
      </c>
      <c r="S630">
        <v>0</v>
      </c>
      <c r="T630" t="s">
        <v>253</v>
      </c>
      <c r="U630" t="s">
        <v>7</v>
      </c>
      <c r="V630" t="s">
        <v>253</v>
      </c>
      <c r="W630" t="s">
        <v>132</v>
      </c>
      <c r="X630" t="s">
        <v>253</v>
      </c>
      <c r="Y630" t="s">
        <v>235</v>
      </c>
      <c r="Z630" t="s">
        <v>236</v>
      </c>
      <c r="AA630" t="s">
        <v>253</v>
      </c>
      <c r="AB630" t="s">
        <v>121</v>
      </c>
      <c r="AC630" s="235">
        <v>-300000</v>
      </c>
      <c r="AD630" s="235">
        <v>-79.776731157143757</v>
      </c>
      <c r="AE630">
        <v>0</v>
      </c>
      <c r="AF630">
        <v>0</v>
      </c>
      <c r="AG630">
        <v>0</v>
      </c>
      <c r="AH630" s="235">
        <v>-16.895316348470793</v>
      </c>
      <c r="AI630">
        <v>226</v>
      </c>
      <c r="AJ630" t="s">
        <v>256</v>
      </c>
      <c r="AK630">
        <v>0</v>
      </c>
      <c r="AL630">
        <v>0</v>
      </c>
      <c r="AM630">
        <v>0</v>
      </c>
    </row>
    <row r="631" spans="1:39" x14ac:dyDescent="0.25">
      <c r="A631" t="s">
        <v>601</v>
      </c>
      <c r="B631" t="s">
        <v>563</v>
      </c>
      <c r="C631" t="s">
        <v>255</v>
      </c>
      <c r="D631" t="s">
        <v>234</v>
      </c>
      <c r="E631" t="s">
        <v>20</v>
      </c>
      <c r="F631" t="s">
        <v>320</v>
      </c>
      <c r="G631" t="s">
        <v>269</v>
      </c>
      <c r="H631" t="s">
        <v>254</v>
      </c>
      <c r="I631" t="s">
        <v>242</v>
      </c>
      <c r="J631" t="s">
        <v>235</v>
      </c>
      <c r="K631" s="380">
        <v>36861</v>
      </c>
      <c r="L631" s="235">
        <v>-19943.981514904564</v>
      </c>
      <c r="M631" s="380">
        <v>36859</v>
      </c>
      <c r="N631" t="s">
        <v>21</v>
      </c>
      <c r="O631">
        <v>4</v>
      </c>
      <c r="P631">
        <v>0</v>
      </c>
      <c r="Q631">
        <v>0</v>
      </c>
      <c r="R631">
        <v>0</v>
      </c>
      <c r="S631">
        <v>0</v>
      </c>
      <c r="T631" t="s">
        <v>253</v>
      </c>
      <c r="U631" t="s">
        <v>7</v>
      </c>
      <c r="V631" t="s">
        <v>253</v>
      </c>
      <c r="W631" t="s">
        <v>132</v>
      </c>
      <c r="X631" t="s">
        <v>253</v>
      </c>
      <c r="Y631" t="s">
        <v>235</v>
      </c>
      <c r="Z631" t="s">
        <v>236</v>
      </c>
      <c r="AA631" t="s">
        <v>253</v>
      </c>
      <c r="AB631" t="s">
        <v>121</v>
      </c>
      <c r="AC631" s="235">
        <v>-310000</v>
      </c>
      <c r="AD631" s="235">
        <v>-8179.0662620229996</v>
      </c>
      <c r="AE631">
        <v>0</v>
      </c>
      <c r="AF631">
        <v>0</v>
      </c>
      <c r="AG631">
        <v>0</v>
      </c>
      <c r="AH631" s="235">
        <v>-1828.3246932622606</v>
      </c>
      <c r="AI631">
        <v>226</v>
      </c>
      <c r="AJ631" t="s">
        <v>256</v>
      </c>
      <c r="AK631">
        <v>0</v>
      </c>
      <c r="AL631">
        <v>0</v>
      </c>
      <c r="AM631">
        <v>0</v>
      </c>
    </row>
    <row r="632" spans="1:39" x14ac:dyDescent="0.25">
      <c r="A632" t="s">
        <v>601</v>
      </c>
      <c r="B632" t="s">
        <v>563</v>
      </c>
      <c r="C632" t="s">
        <v>255</v>
      </c>
      <c r="D632" t="s">
        <v>234</v>
      </c>
      <c r="E632" t="s">
        <v>20</v>
      </c>
      <c r="F632" t="s">
        <v>320</v>
      </c>
      <c r="G632" t="s">
        <v>269</v>
      </c>
      <c r="H632" t="s">
        <v>254</v>
      </c>
      <c r="I632" t="s">
        <v>242</v>
      </c>
      <c r="J632" t="s">
        <v>235</v>
      </c>
      <c r="K632" s="380">
        <v>36892</v>
      </c>
      <c r="L632" s="235">
        <v>-62697.544494374335</v>
      </c>
      <c r="M632" s="380">
        <v>36888</v>
      </c>
      <c r="N632" t="s">
        <v>21</v>
      </c>
      <c r="O632">
        <v>4</v>
      </c>
      <c r="P632">
        <v>0</v>
      </c>
      <c r="Q632">
        <v>0</v>
      </c>
      <c r="R632">
        <v>0</v>
      </c>
      <c r="S632">
        <v>0</v>
      </c>
      <c r="T632" t="s">
        <v>253</v>
      </c>
      <c r="U632" t="s">
        <v>7</v>
      </c>
      <c r="V632" t="s">
        <v>253</v>
      </c>
      <c r="W632" t="s">
        <v>132</v>
      </c>
      <c r="X632" t="s">
        <v>253</v>
      </c>
      <c r="Y632" t="s">
        <v>235</v>
      </c>
      <c r="Z632" t="s">
        <v>236</v>
      </c>
      <c r="AA632" t="s">
        <v>253</v>
      </c>
      <c r="AB632" t="s">
        <v>121</v>
      </c>
      <c r="AC632" s="235">
        <v>-310000</v>
      </c>
      <c r="AD632" s="235">
        <v>-15901.086477684577</v>
      </c>
      <c r="AE632">
        <v>0</v>
      </c>
      <c r="AF632">
        <v>0</v>
      </c>
      <c r="AG632">
        <v>0</v>
      </c>
      <c r="AH632" s="235">
        <v>-4805.0969631950938</v>
      </c>
      <c r="AI632">
        <v>226</v>
      </c>
      <c r="AJ632" t="s">
        <v>256</v>
      </c>
      <c r="AK632">
        <v>0</v>
      </c>
      <c r="AL632">
        <v>0</v>
      </c>
      <c r="AM632">
        <v>0</v>
      </c>
    </row>
    <row r="633" spans="1:39" x14ac:dyDescent="0.25">
      <c r="A633" t="s">
        <v>601</v>
      </c>
      <c r="B633" t="s">
        <v>563</v>
      </c>
      <c r="C633" t="s">
        <v>255</v>
      </c>
      <c r="D633" t="s">
        <v>234</v>
      </c>
      <c r="E633" t="s">
        <v>20</v>
      </c>
      <c r="F633" t="s">
        <v>320</v>
      </c>
      <c r="G633" t="s">
        <v>269</v>
      </c>
      <c r="H633" t="s">
        <v>254</v>
      </c>
      <c r="I633" t="s">
        <v>242</v>
      </c>
      <c r="J633" t="s">
        <v>235</v>
      </c>
      <c r="K633" s="380">
        <v>36923</v>
      </c>
      <c r="L633" s="235">
        <v>-62209.603922995353</v>
      </c>
      <c r="M633" s="380">
        <v>36921</v>
      </c>
      <c r="N633" t="s">
        <v>21</v>
      </c>
      <c r="O633">
        <v>4</v>
      </c>
      <c r="P633">
        <v>0</v>
      </c>
      <c r="Q633">
        <v>0</v>
      </c>
      <c r="R633">
        <v>0</v>
      </c>
      <c r="S633">
        <v>0</v>
      </c>
      <c r="T633" t="s">
        <v>253</v>
      </c>
      <c r="U633" t="s">
        <v>7</v>
      </c>
      <c r="V633" t="s">
        <v>253</v>
      </c>
      <c r="W633" t="s">
        <v>132</v>
      </c>
      <c r="X633" t="s">
        <v>253</v>
      </c>
      <c r="Y633" t="s">
        <v>235</v>
      </c>
      <c r="Z633" t="s">
        <v>236</v>
      </c>
      <c r="AA633" t="s">
        <v>253</v>
      </c>
      <c r="AB633" t="s">
        <v>121</v>
      </c>
      <c r="AC633" s="235">
        <v>-280000</v>
      </c>
      <c r="AD633" s="235">
        <v>-15997.340039302646</v>
      </c>
      <c r="AE633">
        <v>0</v>
      </c>
      <c r="AF633">
        <v>0</v>
      </c>
      <c r="AG633">
        <v>0</v>
      </c>
      <c r="AH633" s="235">
        <v>-5195.0910475186975</v>
      </c>
      <c r="AI633">
        <v>226</v>
      </c>
      <c r="AJ633" t="s">
        <v>256</v>
      </c>
      <c r="AK633">
        <v>0</v>
      </c>
      <c r="AL633">
        <v>0</v>
      </c>
      <c r="AM633">
        <v>0</v>
      </c>
    </row>
    <row r="634" spans="1:39" x14ac:dyDescent="0.25">
      <c r="A634" t="s">
        <v>601</v>
      </c>
      <c r="B634" t="s">
        <v>563</v>
      </c>
      <c r="C634" t="s">
        <v>255</v>
      </c>
      <c r="D634" t="s">
        <v>234</v>
      </c>
      <c r="E634" t="s">
        <v>20</v>
      </c>
      <c r="F634" t="s">
        <v>320</v>
      </c>
      <c r="G634" t="s">
        <v>269</v>
      </c>
      <c r="H634" t="s">
        <v>254</v>
      </c>
      <c r="I634" t="s">
        <v>242</v>
      </c>
      <c r="J634" t="s">
        <v>235</v>
      </c>
      <c r="K634" s="380">
        <v>36951</v>
      </c>
      <c r="L634" s="235">
        <v>-14877.405953026444</v>
      </c>
      <c r="M634" s="380">
        <v>36949</v>
      </c>
      <c r="N634" t="s">
        <v>21</v>
      </c>
      <c r="O634">
        <v>4</v>
      </c>
      <c r="P634">
        <v>0</v>
      </c>
      <c r="Q634">
        <v>0</v>
      </c>
      <c r="R634">
        <v>0</v>
      </c>
      <c r="S634">
        <v>0</v>
      </c>
      <c r="T634" t="s">
        <v>253</v>
      </c>
      <c r="U634" t="s">
        <v>7</v>
      </c>
      <c r="V634" t="s">
        <v>253</v>
      </c>
      <c r="W634" t="s">
        <v>132</v>
      </c>
      <c r="X634" t="s">
        <v>253</v>
      </c>
      <c r="Y634" t="s">
        <v>235</v>
      </c>
      <c r="Z634" t="s">
        <v>236</v>
      </c>
      <c r="AA634" t="s">
        <v>253</v>
      </c>
      <c r="AB634" t="s">
        <v>121</v>
      </c>
      <c r="AC634" s="235">
        <v>-310000</v>
      </c>
      <c r="AD634" s="235">
        <v>-8038.5137146718516</v>
      </c>
      <c r="AE634">
        <v>0</v>
      </c>
      <c r="AF634">
        <v>0</v>
      </c>
      <c r="AG634">
        <v>0</v>
      </c>
      <c r="AH634" s="235">
        <v>-1822.5267953233433</v>
      </c>
      <c r="AI634">
        <v>226</v>
      </c>
      <c r="AJ634" t="s">
        <v>256</v>
      </c>
      <c r="AK634">
        <v>0</v>
      </c>
      <c r="AL634">
        <v>0</v>
      </c>
      <c r="AM634">
        <v>0</v>
      </c>
    </row>
    <row r="635" spans="1:39" x14ac:dyDescent="0.25">
      <c r="A635" t="s">
        <v>601</v>
      </c>
      <c r="B635" t="s">
        <v>565</v>
      </c>
      <c r="C635" t="s">
        <v>255</v>
      </c>
      <c r="D635" t="s">
        <v>234</v>
      </c>
      <c r="E635" t="s">
        <v>20</v>
      </c>
      <c r="F635" t="s">
        <v>279</v>
      </c>
      <c r="G635" t="s">
        <v>269</v>
      </c>
      <c r="H635" t="s">
        <v>254</v>
      </c>
      <c r="I635" t="s">
        <v>242</v>
      </c>
      <c r="J635" t="s">
        <v>235</v>
      </c>
      <c r="K635" s="380">
        <v>36770</v>
      </c>
      <c r="L635" s="235">
        <v>2.5162921679644512E-2</v>
      </c>
      <c r="M635" s="380">
        <v>36768</v>
      </c>
      <c r="N635" t="s">
        <v>21</v>
      </c>
      <c r="O635">
        <v>-0.6</v>
      </c>
      <c r="P635">
        <v>0</v>
      </c>
      <c r="Q635">
        <v>0</v>
      </c>
      <c r="R635">
        <v>0</v>
      </c>
      <c r="S635">
        <v>0</v>
      </c>
      <c r="T635" t="s">
        <v>253</v>
      </c>
      <c r="U635" t="s">
        <v>9</v>
      </c>
      <c r="V635" t="s">
        <v>253</v>
      </c>
      <c r="W635" t="s">
        <v>132</v>
      </c>
      <c r="X635" t="s">
        <v>253</v>
      </c>
      <c r="Y635" t="s">
        <v>235</v>
      </c>
      <c r="Z635" t="s">
        <v>236</v>
      </c>
      <c r="AA635" t="s">
        <v>253</v>
      </c>
      <c r="AB635" t="s">
        <v>121</v>
      </c>
      <c r="AC635" s="235">
        <v>300000</v>
      </c>
      <c r="AD635" s="235">
        <v>-1.1573564040467943E-2</v>
      </c>
      <c r="AE635">
        <v>0</v>
      </c>
      <c r="AF635">
        <v>0</v>
      </c>
      <c r="AG635">
        <v>0</v>
      </c>
      <c r="AH635" s="235">
        <v>-0.20056203577922815</v>
      </c>
      <c r="AI635">
        <v>226</v>
      </c>
      <c r="AJ635" t="s">
        <v>256</v>
      </c>
      <c r="AK635">
        <v>0</v>
      </c>
      <c r="AL635">
        <v>0</v>
      </c>
      <c r="AM635">
        <v>0</v>
      </c>
    </row>
    <row r="636" spans="1:39" x14ac:dyDescent="0.25">
      <c r="A636" t="s">
        <v>601</v>
      </c>
      <c r="B636" t="s">
        <v>565</v>
      </c>
      <c r="C636" t="s">
        <v>255</v>
      </c>
      <c r="D636" t="s">
        <v>234</v>
      </c>
      <c r="E636" t="s">
        <v>20</v>
      </c>
      <c r="F636" t="s">
        <v>279</v>
      </c>
      <c r="G636" t="s">
        <v>269</v>
      </c>
      <c r="H636" t="s">
        <v>254</v>
      </c>
      <c r="I636" t="s">
        <v>242</v>
      </c>
      <c r="J636" t="s">
        <v>235</v>
      </c>
      <c r="K636" s="380">
        <v>36800</v>
      </c>
      <c r="L636" s="235">
        <v>25767.075701504607</v>
      </c>
      <c r="M636" s="380">
        <v>36797</v>
      </c>
      <c r="N636" t="s">
        <v>21</v>
      </c>
      <c r="O636">
        <v>-0.6</v>
      </c>
      <c r="P636">
        <v>0</v>
      </c>
      <c r="Q636">
        <v>0</v>
      </c>
      <c r="R636">
        <v>0</v>
      </c>
      <c r="S636">
        <v>0</v>
      </c>
      <c r="T636" t="s">
        <v>253</v>
      </c>
      <c r="U636" t="s">
        <v>9</v>
      </c>
      <c r="V636" t="s">
        <v>253</v>
      </c>
      <c r="W636" t="s">
        <v>132</v>
      </c>
      <c r="X636" t="s">
        <v>253</v>
      </c>
      <c r="Y636" t="s">
        <v>235</v>
      </c>
      <c r="Z636" t="s">
        <v>236</v>
      </c>
      <c r="AA636" t="s">
        <v>253</v>
      </c>
      <c r="AB636" t="s">
        <v>121</v>
      </c>
      <c r="AC636" s="235">
        <v>310000</v>
      </c>
      <c r="AD636" s="235">
        <v>9864.3687057633506</v>
      </c>
      <c r="AE636">
        <v>0</v>
      </c>
      <c r="AF636">
        <v>0</v>
      </c>
      <c r="AG636">
        <v>0</v>
      </c>
      <c r="AH636" s="235">
        <v>-6612.2193369350243</v>
      </c>
      <c r="AI636">
        <v>226</v>
      </c>
      <c r="AJ636" t="s">
        <v>256</v>
      </c>
      <c r="AK636">
        <v>0</v>
      </c>
      <c r="AL636">
        <v>0</v>
      </c>
      <c r="AM636">
        <v>0</v>
      </c>
    </row>
    <row r="637" spans="1:39" x14ac:dyDescent="0.25">
      <c r="A637" t="s">
        <v>601</v>
      </c>
      <c r="B637" t="s">
        <v>566</v>
      </c>
      <c r="C637" t="s">
        <v>255</v>
      </c>
      <c r="D637" t="s">
        <v>234</v>
      </c>
      <c r="E637" t="s">
        <v>20</v>
      </c>
      <c r="F637" t="s">
        <v>279</v>
      </c>
      <c r="G637" t="s">
        <v>269</v>
      </c>
      <c r="H637" t="s">
        <v>254</v>
      </c>
      <c r="I637" t="s">
        <v>242</v>
      </c>
      <c r="J637" t="s">
        <v>235</v>
      </c>
      <c r="K637" s="380">
        <v>36770</v>
      </c>
      <c r="L637" s="235">
        <v>-2.1230669422500625E-2</v>
      </c>
      <c r="M637" s="380">
        <v>36768</v>
      </c>
      <c r="N637" t="s">
        <v>21</v>
      </c>
      <c r="O637">
        <v>-0.7</v>
      </c>
      <c r="P637">
        <v>0</v>
      </c>
      <c r="Q637">
        <v>0</v>
      </c>
      <c r="R637">
        <v>0</v>
      </c>
      <c r="S637">
        <v>0</v>
      </c>
      <c r="T637" t="s">
        <v>253</v>
      </c>
      <c r="U637" t="s">
        <v>9</v>
      </c>
      <c r="V637" t="s">
        <v>253</v>
      </c>
      <c r="W637" t="s">
        <v>132</v>
      </c>
      <c r="X637" t="s">
        <v>253</v>
      </c>
      <c r="Y637" t="s">
        <v>235</v>
      </c>
      <c r="Z637" t="s">
        <v>236</v>
      </c>
      <c r="AA637" t="s">
        <v>253</v>
      </c>
      <c r="AB637" t="s">
        <v>121</v>
      </c>
      <c r="AC637" s="235">
        <v>-300000</v>
      </c>
      <c r="AD637" s="235">
        <v>1.1573563341027437E-2</v>
      </c>
      <c r="AE637">
        <v>0</v>
      </c>
      <c r="AF637">
        <v>0</v>
      </c>
      <c r="AG637">
        <v>0</v>
      </c>
      <c r="AH637" s="235">
        <v>4.2531666463396789</v>
      </c>
      <c r="AI637">
        <v>226</v>
      </c>
      <c r="AJ637" t="s">
        <v>256</v>
      </c>
      <c r="AK637">
        <v>0</v>
      </c>
      <c r="AL637">
        <v>0</v>
      </c>
      <c r="AM637">
        <v>0</v>
      </c>
    </row>
    <row r="638" spans="1:39" x14ac:dyDescent="0.25">
      <c r="A638" t="s">
        <v>601</v>
      </c>
      <c r="B638" t="s">
        <v>566</v>
      </c>
      <c r="C638" t="s">
        <v>255</v>
      </c>
      <c r="D638" t="s">
        <v>234</v>
      </c>
      <c r="E638" t="s">
        <v>20</v>
      </c>
      <c r="F638" t="s">
        <v>279</v>
      </c>
      <c r="G638" t="s">
        <v>269</v>
      </c>
      <c r="H638" t="s">
        <v>254</v>
      </c>
      <c r="I638" t="s">
        <v>242</v>
      </c>
      <c r="J638" t="s">
        <v>235</v>
      </c>
      <c r="K638" s="380">
        <v>36800</v>
      </c>
      <c r="L638" s="235">
        <v>-37326.691352101516</v>
      </c>
      <c r="M638" s="380">
        <v>36797</v>
      </c>
      <c r="N638" t="s">
        <v>21</v>
      </c>
      <c r="O638">
        <v>-0.7</v>
      </c>
      <c r="P638">
        <v>0</v>
      </c>
      <c r="Q638">
        <v>0</v>
      </c>
      <c r="R638">
        <v>0</v>
      </c>
      <c r="S638">
        <v>0</v>
      </c>
      <c r="T638" t="s">
        <v>253</v>
      </c>
      <c r="U638" t="s">
        <v>9</v>
      </c>
      <c r="V638" t="s">
        <v>253</v>
      </c>
      <c r="W638" t="s">
        <v>132</v>
      </c>
      <c r="X638" t="s">
        <v>253</v>
      </c>
      <c r="Y638" t="s">
        <v>235</v>
      </c>
      <c r="Z638" t="s">
        <v>236</v>
      </c>
      <c r="AA638" t="s">
        <v>253</v>
      </c>
      <c r="AB638" t="s">
        <v>121</v>
      </c>
      <c r="AC638" s="235">
        <v>-310000</v>
      </c>
      <c r="AD638" s="235">
        <v>-10697.688108749731</v>
      </c>
      <c r="AE638">
        <v>0</v>
      </c>
      <c r="AF638">
        <v>0</v>
      </c>
      <c r="AG638">
        <v>0</v>
      </c>
      <c r="AH638" s="235">
        <v>8407.2803834916631</v>
      </c>
      <c r="AI638">
        <v>226</v>
      </c>
      <c r="AJ638" t="s">
        <v>256</v>
      </c>
      <c r="AK638">
        <v>0</v>
      </c>
      <c r="AL638">
        <v>0</v>
      </c>
      <c r="AM638">
        <v>0</v>
      </c>
    </row>
    <row r="639" spans="1:39" x14ac:dyDescent="0.25">
      <c r="A639" t="s">
        <v>601</v>
      </c>
      <c r="B639" t="s">
        <v>567</v>
      </c>
      <c r="C639" t="s">
        <v>255</v>
      </c>
      <c r="D639" t="s">
        <v>234</v>
      </c>
      <c r="E639" t="s">
        <v>20</v>
      </c>
      <c r="F639" t="s">
        <v>279</v>
      </c>
      <c r="G639" t="s">
        <v>269</v>
      </c>
      <c r="H639" t="s">
        <v>254</v>
      </c>
      <c r="I639" t="s">
        <v>242</v>
      </c>
      <c r="J639" t="s">
        <v>235</v>
      </c>
      <c r="K639" s="380">
        <v>36951</v>
      </c>
      <c r="L639" s="235">
        <v>474947.1136479837</v>
      </c>
      <c r="M639" s="380">
        <v>36949</v>
      </c>
      <c r="N639" t="s">
        <v>21</v>
      </c>
      <c r="O639">
        <v>2</v>
      </c>
      <c r="P639">
        <v>0</v>
      </c>
      <c r="Q639">
        <v>0</v>
      </c>
      <c r="R639">
        <v>0</v>
      </c>
      <c r="S639">
        <v>0</v>
      </c>
      <c r="T639" t="s">
        <v>253</v>
      </c>
      <c r="U639" t="s">
        <v>7</v>
      </c>
      <c r="V639" t="s">
        <v>253</v>
      </c>
      <c r="W639" t="s">
        <v>132</v>
      </c>
      <c r="X639" t="s">
        <v>253</v>
      </c>
      <c r="Y639" t="s">
        <v>235</v>
      </c>
      <c r="Z639" t="s">
        <v>236</v>
      </c>
      <c r="AA639" t="s">
        <v>253</v>
      </c>
      <c r="AB639" t="s">
        <v>121</v>
      </c>
      <c r="AC639" s="235">
        <v>2000000</v>
      </c>
      <c r="AD639" s="235">
        <v>141845.55087281181</v>
      </c>
      <c r="AE639">
        <v>0</v>
      </c>
      <c r="AF639">
        <v>0</v>
      </c>
      <c r="AG639">
        <v>0</v>
      </c>
      <c r="AH639" s="235">
        <v>42865.35395349015</v>
      </c>
      <c r="AI639">
        <v>226</v>
      </c>
      <c r="AJ639" t="s">
        <v>256</v>
      </c>
      <c r="AK639">
        <v>0</v>
      </c>
      <c r="AL639">
        <v>0</v>
      </c>
      <c r="AM639">
        <v>0</v>
      </c>
    </row>
    <row r="640" spans="1:39" x14ac:dyDescent="0.25">
      <c r="A640" t="s">
        <v>601</v>
      </c>
      <c r="B640" t="s">
        <v>568</v>
      </c>
      <c r="C640" t="s">
        <v>255</v>
      </c>
      <c r="D640" t="s">
        <v>234</v>
      </c>
      <c r="E640" t="s">
        <v>20</v>
      </c>
      <c r="F640" t="s">
        <v>383</v>
      </c>
      <c r="G640" t="s">
        <v>269</v>
      </c>
      <c r="H640" t="s">
        <v>254</v>
      </c>
      <c r="I640" t="s">
        <v>242</v>
      </c>
      <c r="J640" t="s">
        <v>235</v>
      </c>
      <c r="K640" s="380">
        <v>36770</v>
      </c>
      <c r="L640" s="235">
        <v>899668.92868358502</v>
      </c>
      <c r="M640" s="380">
        <v>36768</v>
      </c>
      <c r="N640" t="s">
        <v>21</v>
      </c>
      <c r="O640">
        <v>0.5</v>
      </c>
      <c r="P640">
        <v>0</v>
      </c>
      <c r="Q640">
        <v>0</v>
      </c>
      <c r="R640">
        <v>0</v>
      </c>
      <c r="S640">
        <v>0</v>
      </c>
      <c r="T640" t="s">
        <v>253</v>
      </c>
      <c r="U640" t="s">
        <v>190</v>
      </c>
      <c r="V640" t="s">
        <v>253</v>
      </c>
      <c r="W640" t="s">
        <v>132</v>
      </c>
      <c r="X640" t="s">
        <v>253</v>
      </c>
      <c r="Y640" t="s">
        <v>235</v>
      </c>
      <c r="Z640" t="s">
        <v>236</v>
      </c>
      <c r="AA640" t="s">
        <v>253</v>
      </c>
      <c r="AB640" t="s">
        <v>121</v>
      </c>
      <c r="AC640" s="235">
        <v>450000</v>
      </c>
      <c r="AD640" s="235">
        <v>-1.7956286203116179E-2</v>
      </c>
      <c r="AE640">
        <v>0</v>
      </c>
      <c r="AF640">
        <v>0</v>
      </c>
      <c r="AG640">
        <v>0</v>
      </c>
      <c r="AH640" s="235">
        <v>119140.42071142246</v>
      </c>
      <c r="AI640">
        <v>226</v>
      </c>
      <c r="AJ640" t="s">
        <v>256</v>
      </c>
      <c r="AK640">
        <v>0</v>
      </c>
      <c r="AL640">
        <v>0</v>
      </c>
      <c r="AM640">
        <v>0</v>
      </c>
    </row>
    <row r="641" spans="1:39" x14ac:dyDescent="0.25">
      <c r="A641" t="s">
        <v>601</v>
      </c>
      <c r="B641" t="s">
        <v>568</v>
      </c>
      <c r="C641" t="s">
        <v>255</v>
      </c>
      <c r="D641" t="s">
        <v>234</v>
      </c>
      <c r="E641" t="s">
        <v>20</v>
      </c>
      <c r="F641" t="s">
        <v>383</v>
      </c>
      <c r="G641" t="s">
        <v>269</v>
      </c>
      <c r="H641" t="s">
        <v>254</v>
      </c>
      <c r="I641" t="s">
        <v>242</v>
      </c>
      <c r="J641" t="s">
        <v>235</v>
      </c>
      <c r="K641" s="380">
        <v>36800</v>
      </c>
      <c r="L641" s="235">
        <v>689054.57632996398</v>
      </c>
      <c r="M641" s="380">
        <v>36797</v>
      </c>
      <c r="N641" t="s">
        <v>21</v>
      </c>
      <c r="O641">
        <v>0.5</v>
      </c>
      <c r="P641">
        <v>0</v>
      </c>
      <c r="Q641">
        <v>0</v>
      </c>
      <c r="R641">
        <v>0</v>
      </c>
      <c r="S641">
        <v>0</v>
      </c>
      <c r="T641" t="s">
        <v>253</v>
      </c>
      <c r="U641" t="s">
        <v>190</v>
      </c>
      <c r="V641" t="s">
        <v>253</v>
      </c>
      <c r="W641" t="s">
        <v>132</v>
      </c>
      <c r="X641" t="s">
        <v>253</v>
      </c>
      <c r="Y641" t="s">
        <v>235</v>
      </c>
      <c r="Z641" t="s">
        <v>236</v>
      </c>
      <c r="AA641" t="s">
        <v>253</v>
      </c>
      <c r="AB641" t="s">
        <v>121</v>
      </c>
      <c r="AC641" s="235">
        <v>465000</v>
      </c>
      <c r="AD641" s="235">
        <v>357.90685584250605</v>
      </c>
      <c r="AE641">
        <v>0</v>
      </c>
      <c r="AF641">
        <v>0</v>
      </c>
      <c r="AG641">
        <v>0</v>
      </c>
      <c r="AH641" s="235">
        <v>-18418.721638809075</v>
      </c>
      <c r="AI641">
        <v>226</v>
      </c>
      <c r="AJ641" t="s">
        <v>256</v>
      </c>
      <c r="AK641">
        <v>0</v>
      </c>
      <c r="AL641">
        <v>0</v>
      </c>
      <c r="AM641">
        <v>0</v>
      </c>
    </row>
    <row r="642" spans="1:39" x14ac:dyDescent="0.25">
      <c r="A642" t="s">
        <v>601</v>
      </c>
      <c r="B642" t="s">
        <v>569</v>
      </c>
      <c r="C642" t="s">
        <v>255</v>
      </c>
      <c r="D642" t="s">
        <v>234</v>
      </c>
      <c r="E642" t="s">
        <v>20</v>
      </c>
      <c r="F642" t="s">
        <v>284</v>
      </c>
      <c r="G642" t="s">
        <v>269</v>
      </c>
      <c r="H642" t="s">
        <v>254</v>
      </c>
      <c r="I642" t="s">
        <v>242</v>
      </c>
      <c r="J642" t="s">
        <v>235</v>
      </c>
      <c r="K642" s="380">
        <v>36982</v>
      </c>
      <c r="L642" s="235">
        <v>14439.246698356095</v>
      </c>
      <c r="M642" s="380">
        <v>36979</v>
      </c>
      <c r="N642" t="s">
        <v>1</v>
      </c>
      <c r="O642">
        <v>0.3</v>
      </c>
      <c r="P642">
        <v>0</v>
      </c>
      <c r="Q642">
        <v>0</v>
      </c>
      <c r="R642">
        <v>0</v>
      </c>
      <c r="S642">
        <v>0</v>
      </c>
      <c r="T642" t="s">
        <v>253</v>
      </c>
      <c r="U642" t="s">
        <v>7</v>
      </c>
      <c r="V642" t="s">
        <v>253</v>
      </c>
      <c r="W642" t="s">
        <v>132</v>
      </c>
      <c r="X642" t="s">
        <v>253</v>
      </c>
      <c r="Y642" t="s">
        <v>235</v>
      </c>
      <c r="Z642" t="s">
        <v>236</v>
      </c>
      <c r="AA642" t="s">
        <v>253</v>
      </c>
      <c r="AB642" t="s">
        <v>121</v>
      </c>
      <c r="AC642" s="235">
        <v>300000</v>
      </c>
      <c r="AD642" s="235">
        <v>6695.3724396815815</v>
      </c>
      <c r="AE642">
        <v>0</v>
      </c>
      <c r="AF642">
        <v>0</v>
      </c>
      <c r="AG642">
        <v>0</v>
      </c>
      <c r="AH642" s="235">
        <v>318.17011122798795</v>
      </c>
      <c r="AI642">
        <v>226</v>
      </c>
      <c r="AJ642" t="s">
        <v>256</v>
      </c>
      <c r="AK642">
        <v>0</v>
      </c>
      <c r="AL642">
        <v>0</v>
      </c>
      <c r="AM642">
        <v>0</v>
      </c>
    </row>
    <row r="643" spans="1:39" x14ac:dyDescent="0.25">
      <c r="A643" t="s">
        <v>601</v>
      </c>
      <c r="B643" t="s">
        <v>569</v>
      </c>
      <c r="C643" t="s">
        <v>255</v>
      </c>
      <c r="D643" t="s">
        <v>234</v>
      </c>
      <c r="E643" t="s">
        <v>20</v>
      </c>
      <c r="F643" t="s">
        <v>284</v>
      </c>
      <c r="G643" t="s">
        <v>269</v>
      </c>
      <c r="H643" t="s">
        <v>254</v>
      </c>
      <c r="I643" t="s">
        <v>242</v>
      </c>
      <c r="J643" t="s">
        <v>235</v>
      </c>
      <c r="K643" s="380">
        <v>37012</v>
      </c>
      <c r="L643" s="235">
        <v>23262.539295956638</v>
      </c>
      <c r="M643" s="380">
        <v>37008</v>
      </c>
      <c r="N643" t="s">
        <v>1</v>
      </c>
      <c r="O643">
        <v>0.3</v>
      </c>
      <c r="P643">
        <v>0</v>
      </c>
      <c r="Q643">
        <v>0</v>
      </c>
      <c r="R643">
        <v>0</v>
      </c>
      <c r="S643">
        <v>0</v>
      </c>
      <c r="T643" t="s">
        <v>253</v>
      </c>
      <c r="U643" t="s">
        <v>7</v>
      </c>
      <c r="V643" t="s">
        <v>253</v>
      </c>
      <c r="W643" t="s">
        <v>132</v>
      </c>
      <c r="X643" t="s">
        <v>253</v>
      </c>
      <c r="Y643" t="s">
        <v>235</v>
      </c>
      <c r="Z643" t="s">
        <v>236</v>
      </c>
      <c r="AA643" t="s">
        <v>253</v>
      </c>
      <c r="AB643" t="s">
        <v>121</v>
      </c>
      <c r="AC643" s="235">
        <v>310000</v>
      </c>
      <c r="AD643" s="235">
        <v>7908.4799094720947</v>
      </c>
      <c r="AE643">
        <v>0</v>
      </c>
      <c r="AF643">
        <v>0</v>
      </c>
      <c r="AG643">
        <v>0</v>
      </c>
      <c r="AH643" s="235">
        <v>376.27377667006658</v>
      </c>
      <c r="AI643">
        <v>226</v>
      </c>
      <c r="AJ643" t="s">
        <v>256</v>
      </c>
      <c r="AK643">
        <v>0</v>
      </c>
      <c r="AL643">
        <v>0</v>
      </c>
      <c r="AM643">
        <v>0</v>
      </c>
    </row>
    <row r="644" spans="1:39" x14ac:dyDescent="0.25">
      <c r="A644" t="s">
        <v>601</v>
      </c>
      <c r="B644" t="s">
        <v>569</v>
      </c>
      <c r="C644" t="s">
        <v>255</v>
      </c>
      <c r="D644" t="s">
        <v>234</v>
      </c>
      <c r="E644" t="s">
        <v>20</v>
      </c>
      <c r="F644" t="s">
        <v>284</v>
      </c>
      <c r="G644" t="s">
        <v>269</v>
      </c>
      <c r="H644" t="s">
        <v>254</v>
      </c>
      <c r="I644" t="s">
        <v>242</v>
      </c>
      <c r="J644" t="s">
        <v>235</v>
      </c>
      <c r="K644" s="380">
        <v>37043</v>
      </c>
      <c r="L644" s="235">
        <v>25010.971774808633</v>
      </c>
      <c r="M644" s="380">
        <v>37041</v>
      </c>
      <c r="N644" t="s">
        <v>1</v>
      </c>
      <c r="O644">
        <v>0.3</v>
      </c>
      <c r="P644">
        <v>0</v>
      </c>
      <c r="Q644">
        <v>0</v>
      </c>
      <c r="R644">
        <v>0</v>
      </c>
      <c r="S644">
        <v>0</v>
      </c>
      <c r="T644" t="s">
        <v>253</v>
      </c>
      <c r="U644" t="s">
        <v>7</v>
      </c>
      <c r="V644" t="s">
        <v>253</v>
      </c>
      <c r="W644" t="s">
        <v>132</v>
      </c>
      <c r="X644" t="s">
        <v>253</v>
      </c>
      <c r="Y644" t="s">
        <v>235</v>
      </c>
      <c r="Z644" t="s">
        <v>236</v>
      </c>
      <c r="AA644" t="s">
        <v>253</v>
      </c>
      <c r="AB644" t="s">
        <v>121</v>
      </c>
      <c r="AC644" s="235">
        <v>300000</v>
      </c>
      <c r="AD644" s="235">
        <v>8119.236306514882</v>
      </c>
      <c r="AE644">
        <v>0</v>
      </c>
      <c r="AF644">
        <v>0</v>
      </c>
      <c r="AG644">
        <v>0</v>
      </c>
      <c r="AH644" s="235">
        <v>386.07615328301108</v>
      </c>
      <c r="AI644">
        <v>226</v>
      </c>
      <c r="AJ644" t="s">
        <v>256</v>
      </c>
      <c r="AK644">
        <v>0</v>
      </c>
      <c r="AL644">
        <v>0</v>
      </c>
      <c r="AM644">
        <v>0</v>
      </c>
    </row>
    <row r="645" spans="1:39" x14ac:dyDescent="0.25">
      <c r="A645" t="s">
        <v>601</v>
      </c>
      <c r="B645" t="s">
        <v>569</v>
      </c>
      <c r="C645" t="s">
        <v>255</v>
      </c>
      <c r="D645" t="s">
        <v>234</v>
      </c>
      <c r="E645" t="s">
        <v>20</v>
      </c>
      <c r="F645" t="s">
        <v>284</v>
      </c>
      <c r="G645" t="s">
        <v>269</v>
      </c>
      <c r="H645" t="s">
        <v>254</v>
      </c>
      <c r="I645" t="s">
        <v>242</v>
      </c>
      <c r="J645" t="s">
        <v>235</v>
      </c>
      <c r="K645" s="380">
        <v>37073</v>
      </c>
      <c r="L645" s="235">
        <v>20998.381837995716</v>
      </c>
      <c r="M645" s="380">
        <v>37070</v>
      </c>
      <c r="N645" t="s">
        <v>1</v>
      </c>
      <c r="O645">
        <v>0.3</v>
      </c>
      <c r="P645">
        <v>0</v>
      </c>
      <c r="Q645">
        <v>0</v>
      </c>
      <c r="R645">
        <v>0</v>
      </c>
      <c r="S645">
        <v>0</v>
      </c>
      <c r="T645" t="s">
        <v>253</v>
      </c>
      <c r="U645" t="s">
        <v>7</v>
      </c>
      <c r="V645" t="s">
        <v>253</v>
      </c>
      <c r="W645" t="s">
        <v>132</v>
      </c>
      <c r="X645" t="s">
        <v>253</v>
      </c>
      <c r="Y645" t="s">
        <v>235</v>
      </c>
      <c r="Z645" t="s">
        <v>236</v>
      </c>
      <c r="AA645" t="s">
        <v>253</v>
      </c>
      <c r="AB645" t="s">
        <v>121</v>
      </c>
      <c r="AC645" s="235">
        <v>310000</v>
      </c>
      <c r="AD645" s="235">
        <v>8196.2536531108344</v>
      </c>
      <c r="AE645">
        <v>0</v>
      </c>
      <c r="AF645">
        <v>0</v>
      </c>
      <c r="AG645">
        <v>0</v>
      </c>
      <c r="AH645" s="235">
        <v>388.81835716635396</v>
      </c>
      <c r="AI645">
        <v>226</v>
      </c>
      <c r="AJ645" t="s">
        <v>256</v>
      </c>
      <c r="AK645">
        <v>0</v>
      </c>
      <c r="AL645">
        <v>0</v>
      </c>
      <c r="AM645">
        <v>0</v>
      </c>
    </row>
    <row r="646" spans="1:39" x14ac:dyDescent="0.25">
      <c r="A646" t="s">
        <v>601</v>
      </c>
      <c r="B646" t="s">
        <v>569</v>
      </c>
      <c r="C646" t="s">
        <v>255</v>
      </c>
      <c r="D646" t="s">
        <v>234</v>
      </c>
      <c r="E646" t="s">
        <v>20</v>
      </c>
      <c r="F646" t="s">
        <v>284</v>
      </c>
      <c r="G646" t="s">
        <v>269</v>
      </c>
      <c r="H646" t="s">
        <v>254</v>
      </c>
      <c r="I646" t="s">
        <v>242</v>
      </c>
      <c r="J646" t="s">
        <v>235</v>
      </c>
      <c r="K646" s="380">
        <v>37104</v>
      </c>
      <c r="L646" s="235">
        <v>22771.906791057285</v>
      </c>
      <c r="M646" s="380">
        <v>37102</v>
      </c>
      <c r="N646" t="s">
        <v>1</v>
      </c>
      <c r="O646">
        <v>0.3</v>
      </c>
      <c r="P646">
        <v>0</v>
      </c>
      <c r="Q646">
        <v>0</v>
      </c>
      <c r="R646">
        <v>0</v>
      </c>
      <c r="S646">
        <v>0</v>
      </c>
      <c r="T646" t="s">
        <v>253</v>
      </c>
      <c r="U646" t="s">
        <v>7</v>
      </c>
      <c r="V646" t="s">
        <v>253</v>
      </c>
      <c r="W646" t="s">
        <v>132</v>
      </c>
      <c r="X646" t="s">
        <v>253</v>
      </c>
      <c r="Y646" t="s">
        <v>235</v>
      </c>
      <c r="Z646" t="s">
        <v>236</v>
      </c>
      <c r="AA646" t="s">
        <v>253</v>
      </c>
      <c r="AB646" t="s">
        <v>121</v>
      </c>
      <c r="AC646" s="235">
        <v>310000</v>
      </c>
      <c r="AD646" s="235">
        <v>8655.1968170600594</v>
      </c>
      <c r="AE646">
        <v>0</v>
      </c>
      <c r="AF646">
        <v>0</v>
      </c>
      <c r="AG646">
        <v>0</v>
      </c>
      <c r="AH646" s="235">
        <v>410.5015759041853</v>
      </c>
      <c r="AI646">
        <v>226</v>
      </c>
      <c r="AJ646" t="s">
        <v>256</v>
      </c>
      <c r="AK646">
        <v>0</v>
      </c>
      <c r="AL646">
        <v>0</v>
      </c>
      <c r="AM646">
        <v>0</v>
      </c>
    </row>
    <row r="647" spans="1:39" x14ac:dyDescent="0.25">
      <c r="A647" t="s">
        <v>601</v>
      </c>
      <c r="B647" t="s">
        <v>569</v>
      </c>
      <c r="C647" t="s">
        <v>255</v>
      </c>
      <c r="D647" t="s">
        <v>234</v>
      </c>
      <c r="E647" t="s">
        <v>20</v>
      </c>
      <c r="F647" t="s">
        <v>284</v>
      </c>
      <c r="G647" t="s">
        <v>269</v>
      </c>
      <c r="H647" t="s">
        <v>254</v>
      </c>
      <c r="I647" t="s">
        <v>242</v>
      </c>
      <c r="J647" t="s">
        <v>235</v>
      </c>
      <c r="K647" s="380">
        <v>37135</v>
      </c>
      <c r="L647" s="235">
        <v>29764.94613151488</v>
      </c>
      <c r="M647" s="380">
        <v>37133</v>
      </c>
      <c r="N647" t="s">
        <v>1</v>
      </c>
      <c r="O647">
        <v>0.3</v>
      </c>
      <c r="P647">
        <v>0</v>
      </c>
      <c r="Q647">
        <v>0</v>
      </c>
      <c r="R647">
        <v>0</v>
      </c>
      <c r="S647">
        <v>0</v>
      </c>
      <c r="T647" t="s">
        <v>253</v>
      </c>
      <c r="U647" t="s">
        <v>7</v>
      </c>
      <c r="V647" t="s">
        <v>253</v>
      </c>
      <c r="W647" t="s">
        <v>132</v>
      </c>
      <c r="X647" t="s">
        <v>253</v>
      </c>
      <c r="Y647" t="s">
        <v>235</v>
      </c>
      <c r="Z647" t="s">
        <v>236</v>
      </c>
      <c r="AA647" t="s">
        <v>253</v>
      </c>
      <c r="AB647" t="s">
        <v>121</v>
      </c>
      <c r="AC647" s="235">
        <v>300000</v>
      </c>
      <c r="AD647" s="235">
        <v>9298.8111037538911</v>
      </c>
      <c r="AE647">
        <v>0</v>
      </c>
      <c r="AF647">
        <v>0</v>
      </c>
      <c r="AG647">
        <v>0</v>
      </c>
      <c r="AH647" s="235">
        <v>441.70348140015631</v>
      </c>
      <c r="AI647">
        <v>226</v>
      </c>
      <c r="AJ647" t="s">
        <v>256</v>
      </c>
      <c r="AK647">
        <v>0</v>
      </c>
      <c r="AL647">
        <v>0</v>
      </c>
      <c r="AM647">
        <v>0</v>
      </c>
    </row>
    <row r="648" spans="1:39" x14ac:dyDescent="0.25">
      <c r="A648" t="s">
        <v>601</v>
      </c>
      <c r="B648" t="s">
        <v>569</v>
      </c>
      <c r="C648" t="s">
        <v>255</v>
      </c>
      <c r="D648" t="s">
        <v>234</v>
      </c>
      <c r="E648" t="s">
        <v>20</v>
      </c>
      <c r="F648" t="s">
        <v>284</v>
      </c>
      <c r="G648" t="s">
        <v>269</v>
      </c>
      <c r="H648" t="s">
        <v>254</v>
      </c>
      <c r="I648" t="s">
        <v>242</v>
      </c>
      <c r="J648" t="s">
        <v>235</v>
      </c>
      <c r="K648" s="380">
        <v>37165</v>
      </c>
      <c r="L648" s="235">
        <v>25502.211331797884</v>
      </c>
      <c r="M648" s="380">
        <v>37161</v>
      </c>
      <c r="N648" t="s">
        <v>1</v>
      </c>
      <c r="O648">
        <v>0.3</v>
      </c>
      <c r="P648">
        <v>0</v>
      </c>
      <c r="Q648">
        <v>0</v>
      </c>
      <c r="R648">
        <v>0</v>
      </c>
      <c r="S648">
        <v>0</v>
      </c>
      <c r="T648" t="s">
        <v>253</v>
      </c>
      <c r="U648" t="s">
        <v>7</v>
      </c>
      <c r="V648" t="s">
        <v>253</v>
      </c>
      <c r="W648" t="s">
        <v>132</v>
      </c>
      <c r="X648" t="s">
        <v>253</v>
      </c>
      <c r="Y648" t="s">
        <v>235</v>
      </c>
      <c r="Z648" t="s">
        <v>236</v>
      </c>
      <c r="AA648" t="s">
        <v>253</v>
      </c>
      <c r="AB648" t="s">
        <v>121</v>
      </c>
      <c r="AC648" s="235">
        <v>310000</v>
      </c>
      <c r="AD648" s="235">
        <v>9444.5949747469567</v>
      </c>
      <c r="AE648">
        <v>0</v>
      </c>
      <c r="AF648">
        <v>0</v>
      </c>
      <c r="AG648">
        <v>0</v>
      </c>
      <c r="AH648" s="235">
        <v>448.28093034559424</v>
      </c>
      <c r="AI648">
        <v>226</v>
      </c>
      <c r="AJ648" t="s">
        <v>256</v>
      </c>
      <c r="AK648">
        <v>0</v>
      </c>
      <c r="AL648">
        <v>0</v>
      </c>
      <c r="AM648">
        <v>0</v>
      </c>
    </row>
    <row r="649" spans="1:39" x14ac:dyDescent="0.25">
      <c r="A649" t="s">
        <v>601</v>
      </c>
      <c r="B649" t="s">
        <v>570</v>
      </c>
      <c r="C649" t="s">
        <v>255</v>
      </c>
      <c r="D649" t="s">
        <v>234</v>
      </c>
      <c r="E649" t="s">
        <v>20</v>
      </c>
      <c r="F649" t="s">
        <v>281</v>
      </c>
      <c r="G649" t="s">
        <v>269</v>
      </c>
      <c r="H649" t="s">
        <v>254</v>
      </c>
      <c r="I649" t="s">
        <v>242</v>
      </c>
      <c r="J649" t="s">
        <v>235</v>
      </c>
      <c r="K649" s="380">
        <v>36982</v>
      </c>
      <c r="L649" s="235">
        <v>37274.042080978186</v>
      </c>
      <c r="M649" s="380">
        <v>36979</v>
      </c>
      <c r="N649" t="s">
        <v>21</v>
      </c>
      <c r="O649">
        <v>0.7</v>
      </c>
      <c r="P649">
        <v>0</v>
      </c>
      <c r="Q649">
        <v>0</v>
      </c>
      <c r="R649">
        <v>0</v>
      </c>
      <c r="S649">
        <v>0</v>
      </c>
      <c r="T649" t="s">
        <v>253</v>
      </c>
      <c r="U649" t="s">
        <v>7</v>
      </c>
      <c r="V649" t="s">
        <v>253</v>
      </c>
      <c r="W649" t="s">
        <v>132</v>
      </c>
      <c r="X649" t="s">
        <v>253</v>
      </c>
      <c r="Y649" t="s">
        <v>235</v>
      </c>
      <c r="Z649" t="s">
        <v>236</v>
      </c>
      <c r="AA649" t="s">
        <v>253</v>
      </c>
      <c r="AB649" t="s">
        <v>121</v>
      </c>
      <c r="AC649" s="235">
        <v>500000</v>
      </c>
      <c r="AD649" s="235">
        <v>10951.242548154696</v>
      </c>
      <c r="AE649">
        <v>0</v>
      </c>
      <c r="AF649">
        <v>0</v>
      </c>
      <c r="AG649">
        <v>0</v>
      </c>
      <c r="AH649" s="235">
        <v>521.12454354107467</v>
      </c>
      <c r="AI649">
        <v>226</v>
      </c>
      <c r="AJ649" t="s">
        <v>256</v>
      </c>
      <c r="AK649">
        <v>0</v>
      </c>
      <c r="AL649">
        <v>0</v>
      </c>
      <c r="AM649">
        <v>0</v>
      </c>
    </row>
    <row r="650" spans="1:39" x14ac:dyDescent="0.25">
      <c r="A650" t="s">
        <v>601</v>
      </c>
      <c r="B650" t="s">
        <v>572</v>
      </c>
      <c r="C650" t="s">
        <v>255</v>
      </c>
      <c r="D650" t="s">
        <v>234</v>
      </c>
      <c r="E650" t="s">
        <v>20</v>
      </c>
      <c r="F650" t="s">
        <v>571</v>
      </c>
      <c r="G650" t="s">
        <v>269</v>
      </c>
      <c r="H650" t="s">
        <v>254</v>
      </c>
      <c r="I650" t="s">
        <v>242</v>
      </c>
      <c r="J650" t="s">
        <v>235</v>
      </c>
      <c r="K650" s="380">
        <v>36831</v>
      </c>
      <c r="L650" s="235">
        <v>-35995.772215852703</v>
      </c>
      <c r="M650" s="380">
        <v>36829</v>
      </c>
      <c r="N650" t="s">
        <v>21</v>
      </c>
      <c r="O650">
        <v>0.12</v>
      </c>
      <c r="P650">
        <v>0</v>
      </c>
      <c r="Q650">
        <v>0</v>
      </c>
      <c r="R650">
        <v>0</v>
      </c>
      <c r="S650">
        <v>0</v>
      </c>
      <c r="T650" t="s">
        <v>253</v>
      </c>
      <c r="U650" t="s">
        <v>600</v>
      </c>
      <c r="V650" t="s">
        <v>253</v>
      </c>
      <c r="W650" t="s">
        <v>132</v>
      </c>
      <c r="X650" t="s">
        <v>253</v>
      </c>
      <c r="Y650" t="s">
        <v>235</v>
      </c>
      <c r="Z650" t="s">
        <v>236</v>
      </c>
      <c r="AA650" t="s">
        <v>253</v>
      </c>
      <c r="AB650" t="s">
        <v>121</v>
      </c>
      <c r="AC650" s="235">
        <v>-1500000</v>
      </c>
      <c r="AD650" s="235">
        <v>-10203.860617517377</v>
      </c>
      <c r="AE650">
        <v>0</v>
      </c>
      <c r="AF650">
        <v>0</v>
      </c>
      <c r="AG650">
        <v>0</v>
      </c>
      <c r="AH650" s="235">
        <v>-548.93047794404993</v>
      </c>
      <c r="AI650">
        <v>226</v>
      </c>
      <c r="AJ650" t="s">
        <v>256</v>
      </c>
      <c r="AK650">
        <v>0</v>
      </c>
      <c r="AL650">
        <v>0</v>
      </c>
      <c r="AM650">
        <v>0</v>
      </c>
    </row>
    <row r="651" spans="1:39" x14ac:dyDescent="0.25">
      <c r="A651" t="s">
        <v>601</v>
      </c>
      <c r="B651" t="s">
        <v>572</v>
      </c>
      <c r="C651" t="s">
        <v>255</v>
      </c>
      <c r="D651" t="s">
        <v>234</v>
      </c>
      <c r="E651" t="s">
        <v>20</v>
      </c>
      <c r="F651" t="s">
        <v>571</v>
      </c>
      <c r="G651" t="s">
        <v>269</v>
      </c>
      <c r="H651" t="s">
        <v>254</v>
      </c>
      <c r="I651" t="s">
        <v>242</v>
      </c>
      <c r="J651" t="s">
        <v>235</v>
      </c>
      <c r="K651" s="380">
        <v>36861</v>
      </c>
      <c r="L651" s="235">
        <v>-58398.766006541584</v>
      </c>
      <c r="M651" s="380">
        <v>36859</v>
      </c>
      <c r="N651" t="s">
        <v>21</v>
      </c>
      <c r="O651">
        <v>0.12</v>
      </c>
      <c r="P651">
        <v>0</v>
      </c>
      <c r="Q651">
        <v>0</v>
      </c>
      <c r="R651">
        <v>0</v>
      </c>
      <c r="S651">
        <v>0</v>
      </c>
      <c r="T651" t="s">
        <v>253</v>
      </c>
      <c r="U651" t="s">
        <v>600</v>
      </c>
      <c r="V651" t="s">
        <v>253</v>
      </c>
      <c r="W651" t="s">
        <v>132</v>
      </c>
      <c r="X651" t="s">
        <v>253</v>
      </c>
      <c r="Y651" t="s">
        <v>235</v>
      </c>
      <c r="Z651" t="s">
        <v>236</v>
      </c>
      <c r="AA651" t="s">
        <v>253</v>
      </c>
      <c r="AB651" t="s">
        <v>121</v>
      </c>
      <c r="AC651" s="235">
        <v>-1550000</v>
      </c>
      <c r="AD651" s="235">
        <v>-13408.41257337865</v>
      </c>
      <c r="AE651">
        <v>0</v>
      </c>
      <c r="AF651">
        <v>0</v>
      </c>
      <c r="AG651">
        <v>0</v>
      </c>
      <c r="AH651" s="235">
        <v>-674.85633817880444</v>
      </c>
      <c r="AI651">
        <v>226</v>
      </c>
      <c r="AJ651" t="s">
        <v>256</v>
      </c>
      <c r="AK651">
        <v>0</v>
      </c>
      <c r="AL651">
        <v>0</v>
      </c>
      <c r="AM651">
        <v>0</v>
      </c>
    </row>
    <row r="652" spans="1:39" x14ac:dyDescent="0.25">
      <c r="A652" t="s">
        <v>601</v>
      </c>
      <c r="B652" t="s">
        <v>572</v>
      </c>
      <c r="C652" t="s">
        <v>255</v>
      </c>
      <c r="D652" t="s">
        <v>234</v>
      </c>
      <c r="E652" t="s">
        <v>20</v>
      </c>
      <c r="F652" t="s">
        <v>571</v>
      </c>
      <c r="G652" t="s">
        <v>269</v>
      </c>
      <c r="H652" t="s">
        <v>254</v>
      </c>
      <c r="I652" t="s">
        <v>242</v>
      </c>
      <c r="J652" t="s">
        <v>235</v>
      </c>
      <c r="K652" s="380">
        <v>36892</v>
      </c>
      <c r="L652" s="235">
        <v>-88686.000216742337</v>
      </c>
      <c r="M652" s="380">
        <v>36888</v>
      </c>
      <c r="N652" t="s">
        <v>21</v>
      </c>
      <c r="O652">
        <v>0.12</v>
      </c>
      <c r="P652">
        <v>0</v>
      </c>
      <c r="Q652">
        <v>0</v>
      </c>
      <c r="R652">
        <v>0</v>
      </c>
      <c r="S652">
        <v>0</v>
      </c>
      <c r="T652" t="s">
        <v>253</v>
      </c>
      <c r="U652" t="s">
        <v>600</v>
      </c>
      <c r="V652" t="s">
        <v>253</v>
      </c>
      <c r="W652" t="s">
        <v>132</v>
      </c>
      <c r="X652" t="s">
        <v>253</v>
      </c>
      <c r="Y652" t="s">
        <v>235</v>
      </c>
      <c r="Z652" t="s">
        <v>236</v>
      </c>
      <c r="AA652" t="s">
        <v>253</v>
      </c>
      <c r="AB652" t="s">
        <v>121</v>
      </c>
      <c r="AC652" s="235">
        <v>-1550000</v>
      </c>
      <c r="AD652" s="235">
        <v>-15533.32323494181</v>
      </c>
      <c r="AE652">
        <v>0</v>
      </c>
      <c r="AF652">
        <v>0</v>
      </c>
      <c r="AG652">
        <v>0</v>
      </c>
      <c r="AH652" s="235">
        <v>-747.71109007314953</v>
      </c>
      <c r="AI652">
        <v>226</v>
      </c>
      <c r="AJ652" t="s">
        <v>256</v>
      </c>
      <c r="AK652">
        <v>0</v>
      </c>
      <c r="AL652">
        <v>0</v>
      </c>
      <c r="AM652">
        <v>0</v>
      </c>
    </row>
    <row r="653" spans="1:39" x14ac:dyDescent="0.25">
      <c r="A653" t="s">
        <v>601</v>
      </c>
      <c r="B653" t="s">
        <v>572</v>
      </c>
      <c r="C653" t="s">
        <v>255</v>
      </c>
      <c r="D653" t="s">
        <v>234</v>
      </c>
      <c r="E653" t="s">
        <v>20</v>
      </c>
      <c r="F653" t="s">
        <v>571</v>
      </c>
      <c r="G653" t="s">
        <v>269</v>
      </c>
      <c r="H653" t="s">
        <v>254</v>
      </c>
      <c r="I653" t="s">
        <v>242</v>
      </c>
      <c r="J653" t="s">
        <v>235</v>
      </c>
      <c r="K653" s="380">
        <v>36923</v>
      </c>
      <c r="L653" s="235">
        <v>-90978.668032625021</v>
      </c>
      <c r="M653" s="380">
        <v>36921</v>
      </c>
      <c r="N653" t="s">
        <v>21</v>
      </c>
      <c r="O653">
        <v>0.12</v>
      </c>
      <c r="P653">
        <v>0</v>
      </c>
      <c r="Q653">
        <v>0</v>
      </c>
      <c r="R653">
        <v>0</v>
      </c>
      <c r="S653">
        <v>0</v>
      </c>
      <c r="T653" t="s">
        <v>253</v>
      </c>
      <c r="U653" t="s">
        <v>600</v>
      </c>
      <c r="V653" t="s">
        <v>253</v>
      </c>
      <c r="W653" t="s">
        <v>132</v>
      </c>
      <c r="X653" t="s">
        <v>253</v>
      </c>
      <c r="Y653" t="s">
        <v>235</v>
      </c>
      <c r="Z653" t="s">
        <v>236</v>
      </c>
      <c r="AA653" t="s">
        <v>253</v>
      </c>
      <c r="AB653" t="s">
        <v>121</v>
      </c>
      <c r="AC653" s="235">
        <v>-1400000</v>
      </c>
      <c r="AD653" s="235">
        <v>-15206.985302662826</v>
      </c>
      <c r="AE653">
        <v>0</v>
      </c>
      <c r="AF653">
        <v>0</v>
      </c>
      <c r="AG653">
        <v>0</v>
      </c>
      <c r="AH653" s="235">
        <v>-729.91683609760366</v>
      </c>
      <c r="AI653">
        <v>226</v>
      </c>
      <c r="AJ653" t="s">
        <v>256</v>
      </c>
      <c r="AK653">
        <v>0</v>
      </c>
      <c r="AL653">
        <v>0</v>
      </c>
      <c r="AM653">
        <v>0</v>
      </c>
    </row>
    <row r="654" spans="1:39" x14ac:dyDescent="0.25">
      <c r="A654" t="s">
        <v>601</v>
      </c>
      <c r="B654" t="s">
        <v>572</v>
      </c>
      <c r="C654" t="s">
        <v>255</v>
      </c>
      <c r="D654" t="s">
        <v>234</v>
      </c>
      <c r="E654" t="s">
        <v>20</v>
      </c>
      <c r="F654" t="s">
        <v>571</v>
      </c>
      <c r="G654" t="s">
        <v>269</v>
      </c>
      <c r="H654" t="s">
        <v>254</v>
      </c>
      <c r="I654" t="s">
        <v>242</v>
      </c>
      <c r="J654" t="s">
        <v>235</v>
      </c>
      <c r="K654" s="380">
        <v>36951</v>
      </c>
      <c r="L654" s="235">
        <v>-81751.695957239033</v>
      </c>
      <c r="M654" s="380">
        <v>36949</v>
      </c>
      <c r="N654" t="s">
        <v>21</v>
      </c>
      <c r="O654">
        <v>0.12</v>
      </c>
      <c r="P654">
        <v>0</v>
      </c>
      <c r="Q654">
        <v>0</v>
      </c>
      <c r="R654">
        <v>0</v>
      </c>
      <c r="S654">
        <v>0</v>
      </c>
      <c r="T654" t="s">
        <v>253</v>
      </c>
      <c r="U654" t="s">
        <v>600</v>
      </c>
      <c r="V654" t="s">
        <v>253</v>
      </c>
      <c r="W654" t="s">
        <v>132</v>
      </c>
      <c r="X654" t="s">
        <v>253</v>
      </c>
      <c r="Y654" t="s">
        <v>235</v>
      </c>
      <c r="Z654" t="s">
        <v>236</v>
      </c>
      <c r="AA654" t="s">
        <v>253</v>
      </c>
      <c r="AB654" t="s">
        <v>121</v>
      </c>
      <c r="AC654" s="235">
        <v>-1550000</v>
      </c>
      <c r="AD654" s="235">
        <v>-16400.47771620343</v>
      </c>
      <c r="AE654">
        <v>0</v>
      </c>
      <c r="AF654">
        <v>0</v>
      </c>
      <c r="AG654">
        <v>0</v>
      </c>
      <c r="AH654" s="235">
        <v>-834.36930591576674</v>
      </c>
      <c r="AI654">
        <v>226</v>
      </c>
      <c r="AJ654" t="s">
        <v>256</v>
      </c>
      <c r="AK654">
        <v>0</v>
      </c>
      <c r="AL654">
        <v>0</v>
      </c>
      <c r="AM654">
        <v>0</v>
      </c>
    </row>
    <row r="655" spans="1:39" x14ac:dyDescent="0.25">
      <c r="A655" t="s">
        <v>601</v>
      </c>
      <c r="B655" t="s">
        <v>573</v>
      </c>
      <c r="C655" t="s">
        <v>255</v>
      </c>
      <c r="D655" t="s">
        <v>234</v>
      </c>
      <c r="E655" t="s">
        <v>20</v>
      </c>
      <c r="F655" t="s">
        <v>399</v>
      </c>
      <c r="G655" t="s">
        <v>269</v>
      </c>
      <c r="H655" t="s">
        <v>254</v>
      </c>
      <c r="I655" t="s">
        <v>242</v>
      </c>
      <c r="J655" t="s">
        <v>235</v>
      </c>
      <c r="K655" s="380">
        <v>36831</v>
      </c>
      <c r="L655" s="235">
        <v>-7199.1544431705406</v>
      </c>
      <c r="M655" s="380">
        <v>36829</v>
      </c>
      <c r="N655" t="s">
        <v>21</v>
      </c>
      <c r="O655">
        <v>0.12</v>
      </c>
      <c r="P655">
        <v>0</v>
      </c>
      <c r="Q655">
        <v>0</v>
      </c>
      <c r="R655">
        <v>0</v>
      </c>
      <c r="S655">
        <v>0</v>
      </c>
      <c r="T655" t="s">
        <v>253</v>
      </c>
      <c r="U655" t="s">
        <v>600</v>
      </c>
      <c r="V655" t="s">
        <v>253</v>
      </c>
      <c r="W655" t="s">
        <v>132</v>
      </c>
      <c r="X655" t="s">
        <v>253</v>
      </c>
      <c r="Y655" t="s">
        <v>235</v>
      </c>
      <c r="Z655" t="s">
        <v>236</v>
      </c>
      <c r="AA655" t="s">
        <v>253</v>
      </c>
      <c r="AB655" t="s">
        <v>121</v>
      </c>
      <c r="AC655" s="235">
        <v>-300000</v>
      </c>
      <c r="AD655" s="235">
        <v>-2040.7721235034842</v>
      </c>
      <c r="AE655">
        <v>0</v>
      </c>
      <c r="AF655">
        <v>0</v>
      </c>
      <c r="AG655">
        <v>0</v>
      </c>
      <c r="AH655" s="235">
        <v>-109.78609558880999</v>
      </c>
      <c r="AI655">
        <v>226</v>
      </c>
      <c r="AJ655" t="s">
        <v>256</v>
      </c>
      <c r="AK655">
        <v>0</v>
      </c>
      <c r="AL655">
        <v>0</v>
      </c>
      <c r="AM655">
        <v>0</v>
      </c>
    </row>
    <row r="656" spans="1:39" x14ac:dyDescent="0.25">
      <c r="A656" t="s">
        <v>601</v>
      </c>
      <c r="B656" t="s">
        <v>573</v>
      </c>
      <c r="C656" t="s">
        <v>255</v>
      </c>
      <c r="D656" t="s">
        <v>234</v>
      </c>
      <c r="E656" t="s">
        <v>20</v>
      </c>
      <c r="F656" t="s">
        <v>399</v>
      </c>
      <c r="G656" t="s">
        <v>269</v>
      </c>
      <c r="H656" t="s">
        <v>254</v>
      </c>
      <c r="I656" t="s">
        <v>242</v>
      </c>
      <c r="J656" t="s">
        <v>235</v>
      </c>
      <c r="K656" s="380">
        <v>36861</v>
      </c>
      <c r="L656" s="235">
        <v>-11679.753201308318</v>
      </c>
      <c r="M656" s="380">
        <v>36859</v>
      </c>
      <c r="N656" t="s">
        <v>21</v>
      </c>
      <c r="O656">
        <v>0.12</v>
      </c>
      <c r="P656">
        <v>0</v>
      </c>
      <c r="Q656">
        <v>0</v>
      </c>
      <c r="R656">
        <v>0</v>
      </c>
      <c r="S656">
        <v>0</v>
      </c>
      <c r="T656" t="s">
        <v>253</v>
      </c>
      <c r="U656" t="s">
        <v>600</v>
      </c>
      <c r="V656" t="s">
        <v>253</v>
      </c>
      <c r="W656" t="s">
        <v>132</v>
      </c>
      <c r="X656" t="s">
        <v>253</v>
      </c>
      <c r="Y656" t="s">
        <v>235</v>
      </c>
      <c r="Z656" t="s">
        <v>236</v>
      </c>
      <c r="AA656" t="s">
        <v>253</v>
      </c>
      <c r="AB656" t="s">
        <v>121</v>
      </c>
      <c r="AC656" s="235">
        <v>-310000</v>
      </c>
      <c r="AD656" s="235">
        <v>-2681.6825146757183</v>
      </c>
      <c r="AE656">
        <v>0</v>
      </c>
      <c r="AF656">
        <v>0</v>
      </c>
      <c r="AG656">
        <v>0</v>
      </c>
      <c r="AH656" s="235">
        <v>-134.97126763576125</v>
      </c>
      <c r="AI656">
        <v>226</v>
      </c>
      <c r="AJ656" t="s">
        <v>256</v>
      </c>
      <c r="AK656">
        <v>0</v>
      </c>
      <c r="AL656">
        <v>0</v>
      </c>
      <c r="AM656">
        <v>0</v>
      </c>
    </row>
    <row r="657" spans="1:39" x14ac:dyDescent="0.25">
      <c r="A657" t="s">
        <v>601</v>
      </c>
      <c r="B657" t="s">
        <v>573</v>
      </c>
      <c r="C657" t="s">
        <v>255</v>
      </c>
      <c r="D657" t="s">
        <v>234</v>
      </c>
      <c r="E657" t="s">
        <v>20</v>
      </c>
      <c r="F657" t="s">
        <v>399</v>
      </c>
      <c r="G657" t="s">
        <v>269</v>
      </c>
      <c r="H657" t="s">
        <v>254</v>
      </c>
      <c r="I657" t="s">
        <v>242</v>
      </c>
      <c r="J657" t="s">
        <v>235</v>
      </c>
      <c r="K657" s="380">
        <v>36892</v>
      </c>
      <c r="L657" s="235">
        <v>-17737.200043348468</v>
      </c>
      <c r="M657" s="380">
        <v>36888</v>
      </c>
      <c r="N657" t="s">
        <v>21</v>
      </c>
      <c r="O657">
        <v>0.12</v>
      </c>
      <c r="P657">
        <v>0</v>
      </c>
      <c r="Q657">
        <v>0</v>
      </c>
      <c r="R657">
        <v>0</v>
      </c>
      <c r="S657">
        <v>0</v>
      </c>
      <c r="T657" t="s">
        <v>253</v>
      </c>
      <c r="U657" t="s">
        <v>600</v>
      </c>
      <c r="V657" t="s">
        <v>253</v>
      </c>
      <c r="W657" t="s">
        <v>132</v>
      </c>
      <c r="X657" t="s">
        <v>253</v>
      </c>
      <c r="Y657" t="s">
        <v>235</v>
      </c>
      <c r="Z657" t="s">
        <v>236</v>
      </c>
      <c r="AA657" t="s">
        <v>253</v>
      </c>
      <c r="AB657" t="s">
        <v>121</v>
      </c>
      <c r="AC657" s="235">
        <v>-310000</v>
      </c>
      <c r="AD657" s="235">
        <v>-3106.6646469883854</v>
      </c>
      <c r="AE657">
        <v>0</v>
      </c>
      <c r="AF657">
        <v>0</v>
      </c>
      <c r="AG657">
        <v>0</v>
      </c>
      <c r="AH657" s="235">
        <v>-149.542218014627</v>
      </c>
      <c r="AI657">
        <v>226</v>
      </c>
      <c r="AJ657" t="s">
        <v>256</v>
      </c>
      <c r="AK657">
        <v>0</v>
      </c>
      <c r="AL657">
        <v>0</v>
      </c>
      <c r="AM657">
        <v>0</v>
      </c>
    </row>
    <row r="658" spans="1:39" x14ac:dyDescent="0.25">
      <c r="A658" t="s">
        <v>601</v>
      </c>
      <c r="B658" t="s">
        <v>573</v>
      </c>
      <c r="C658" t="s">
        <v>255</v>
      </c>
      <c r="D658" t="s">
        <v>234</v>
      </c>
      <c r="E658" t="s">
        <v>20</v>
      </c>
      <c r="F658" t="s">
        <v>399</v>
      </c>
      <c r="G658" t="s">
        <v>269</v>
      </c>
      <c r="H658" t="s">
        <v>254</v>
      </c>
      <c r="I658" t="s">
        <v>242</v>
      </c>
      <c r="J658" t="s">
        <v>235</v>
      </c>
      <c r="K658" s="380">
        <v>36923</v>
      </c>
      <c r="L658" s="235">
        <v>-18195.733606525002</v>
      </c>
      <c r="M658" s="380">
        <v>36921</v>
      </c>
      <c r="N658" t="s">
        <v>21</v>
      </c>
      <c r="O658">
        <v>0.12</v>
      </c>
      <c r="P658">
        <v>0</v>
      </c>
      <c r="Q658">
        <v>0</v>
      </c>
      <c r="R658">
        <v>0</v>
      </c>
      <c r="S658">
        <v>0</v>
      </c>
      <c r="T658" t="s">
        <v>253</v>
      </c>
      <c r="U658" t="s">
        <v>600</v>
      </c>
      <c r="V658" t="s">
        <v>253</v>
      </c>
      <c r="W658" t="s">
        <v>132</v>
      </c>
      <c r="X658" t="s">
        <v>253</v>
      </c>
      <c r="Y658" t="s">
        <v>235</v>
      </c>
      <c r="Z658" t="s">
        <v>236</v>
      </c>
      <c r="AA658" t="s">
        <v>253</v>
      </c>
      <c r="AB658" t="s">
        <v>121</v>
      </c>
      <c r="AC658" s="235">
        <v>-280000</v>
      </c>
      <c r="AD658" s="235">
        <v>-3041.3970605325594</v>
      </c>
      <c r="AE658">
        <v>0</v>
      </c>
      <c r="AF658">
        <v>0</v>
      </c>
      <c r="AG658">
        <v>0</v>
      </c>
      <c r="AH658" s="235">
        <v>-145.98336721952364</v>
      </c>
      <c r="AI658">
        <v>226</v>
      </c>
      <c r="AJ658" t="s">
        <v>256</v>
      </c>
      <c r="AK658">
        <v>0</v>
      </c>
      <c r="AL658">
        <v>0</v>
      </c>
      <c r="AM658">
        <v>0</v>
      </c>
    </row>
    <row r="659" spans="1:39" x14ac:dyDescent="0.25">
      <c r="A659" t="s">
        <v>601</v>
      </c>
      <c r="B659" t="s">
        <v>573</v>
      </c>
      <c r="C659" t="s">
        <v>255</v>
      </c>
      <c r="D659" t="s">
        <v>234</v>
      </c>
      <c r="E659" t="s">
        <v>20</v>
      </c>
      <c r="F659" t="s">
        <v>399</v>
      </c>
      <c r="G659" t="s">
        <v>269</v>
      </c>
      <c r="H659" t="s">
        <v>254</v>
      </c>
      <c r="I659" t="s">
        <v>242</v>
      </c>
      <c r="J659" t="s">
        <v>235</v>
      </c>
      <c r="K659" s="380">
        <v>36951</v>
      </c>
      <c r="L659" s="235">
        <v>-16350.339191447807</v>
      </c>
      <c r="M659" s="380">
        <v>36949</v>
      </c>
      <c r="N659" t="s">
        <v>21</v>
      </c>
      <c r="O659">
        <v>0.12</v>
      </c>
      <c r="P659">
        <v>0</v>
      </c>
      <c r="Q659">
        <v>0</v>
      </c>
      <c r="R659">
        <v>0</v>
      </c>
      <c r="S659">
        <v>0</v>
      </c>
      <c r="T659" t="s">
        <v>253</v>
      </c>
      <c r="U659" t="s">
        <v>600</v>
      </c>
      <c r="V659" t="s">
        <v>253</v>
      </c>
      <c r="W659" t="s">
        <v>132</v>
      </c>
      <c r="X659" t="s">
        <v>253</v>
      </c>
      <c r="Y659" t="s">
        <v>235</v>
      </c>
      <c r="Z659" t="s">
        <v>236</v>
      </c>
      <c r="AA659" t="s">
        <v>253</v>
      </c>
      <c r="AB659" t="s">
        <v>121</v>
      </c>
      <c r="AC659" s="235">
        <v>-310000</v>
      </c>
      <c r="AD659" s="235">
        <v>-3280.0955432406918</v>
      </c>
      <c r="AE659">
        <v>0</v>
      </c>
      <c r="AF659">
        <v>0</v>
      </c>
      <c r="AG659">
        <v>0</v>
      </c>
      <c r="AH659" s="235">
        <v>-166.87386118315408</v>
      </c>
      <c r="AI659">
        <v>226</v>
      </c>
      <c r="AJ659" t="s">
        <v>256</v>
      </c>
      <c r="AK659">
        <v>0</v>
      </c>
      <c r="AL659">
        <v>0</v>
      </c>
      <c r="AM659">
        <v>0</v>
      </c>
    </row>
    <row r="660" spans="1:39" x14ac:dyDescent="0.25">
      <c r="A660" t="s">
        <v>601</v>
      </c>
      <c r="B660" t="s">
        <v>574</v>
      </c>
      <c r="C660" t="s">
        <v>255</v>
      </c>
      <c r="D660" t="s">
        <v>234</v>
      </c>
      <c r="E660" t="s">
        <v>20</v>
      </c>
      <c r="F660" t="s">
        <v>509</v>
      </c>
      <c r="G660" t="s">
        <v>269</v>
      </c>
      <c r="H660" t="s">
        <v>254</v>
      </c>
      <c r="I660" t="s">
        <v>242</v>
      </c>
      <c r="J660" t="s">
        <v>235</v>
      </c>
      <c r="K660" s="380">
        <v>36800</v>
      </c>
      <c r="L660" s="235">
        <v>25459.055397389802</v>
      </c>
      <c r="M660" s="380">
        <v>36797</v>
      </c>
      <c r="N660" t="s">
        <v>21</v>
      </c>
      <c r="O660">
        <v>0.5</v>
      </c>
      <c r="P660">
        <v>0</v>
      </c>
      <c r="Q660">
        <v>0</v>
      </c>
      <c r="R660">
        <v>0</v>
      </c>
      <c r="S660">
        <v>0</v>
      </c>
      <c r="T660" t="s">
        <v>253</v>
      </c>
      <c r="U660" t="s">
        <v>7</v>
      </c>
      <c r="V660" t="s">
        <v>253</v>
      </c>
      <c r="W660" t="s">
        <v>132</v>
      </c>
      <c r="X660" t="s">
        <v>253</v>
      </c>
      <c r="Y660" t="s">
        <v>235</v>
      </c>
      <c r="Z660" t="s">
        <v>236</v>
      </c>
      <c r="AA660" t="s">
        <v>253</v>
      </c>
      <c r="AB660" t="s">
        <v>121</v>
      </c>
      <c r="AC660" s="235">
        <v>1550000</v>
      </c>
      <c r="AD660" s="235">
        <v>7501.5190019113361</v>
      </c>
      <c r="AE660">
        <v>0</v>
      </c>
      <c r="AF660">
        <v>0</v>
      </c>
      <c r="AG660">
        <v>0</v>
      </c>
      <c r="AH660" s="235">
        <v>429.99847433823015</v>
      </c>
      <c r="AI660">
        <v>226</v>
      </c>
      <c r="AJ660" t="s">
        <v>256</v>
      </c>
      <c r="AK660">
        <v>0</v>
      </c>
      <c r="AL660">
        <v>0</v>
      </c>
      <c r="AM660">
        <v>0</v>
      </c>
    </row>
    <row r="661" spans="1:39" x14ac:dyDescent="0.25">
      <c r="A661" t="s">
        <v>601</v>
      </c>
      <c r="B661" t="s">
        <v>575</v>
      </c>
      <c r="C661" t="s">
        <v>255</v>
      </c>
      <c r="D661" t="s">
        <v>234</v>
      </c>
      <c r="E661" t="s">
        <v>20</v>
      </c>
      <c r="F661" t="s">
        <v>268</v>
      </c>
      <c r="G661" t="s">
        <v>269</v>
      </c>
      <c r="H661" t="s">
        <v>254</v>
      </c>
      <c r="I661" t="s">
        <v>242</v>
      </c>
      <c r="J661" t="s">
        <v>235</v>
      </c>
      <c r="K661" s="380">
        <v>36831</v>
      </c>
      <c r="L661" s="235">
        <v>1931.8642528587211</v>
      </c>
      <c r="M661" s="380">
        <v>36829</v>
      </c>
      <c r="N661" t="s">
        <v>21</v>
      </c>
      <c r="O661">
        <v>2.5</v>
      </c>
      <c r="P661">
        <v>0</v>
      </c>
      <c r="Q661">
        <v>0</v>
      </c>
      <c r="R661">
        <v>0</v>
      </c>
      <c r="S661">
        <v>0</v>
      </c>
      <c r="T661" t="s">
        <v>253</v>
      </c>
      <c r="U661" t="s">
        <v>7</v>
      </c>
      <c r="V661" t="s">
        <v>253</v>
      </c>
      <c r="W661" t="s">
        <v>132</v>
      </c>
      <c r="X661" t="s">
        <v>253</v>
      </c>
      <c r="Y661" t="s">
        <v>235</v>
      </c>
      <c r="Z661" t="s">
        <v>236</v>
      </c>
      <c r="AA661" t="s">
        <v>253</v>
      </c>
      <c r="AB661" t="s">
        <v>121</v>
      </c>
      <c r="AC661" s="235">
        <v>300000</v>
      </c>
      <c r="AD661" s="235">
        <v>1569.5920027175107</v>
      </c>
      <c r="AE661">
        <v>0</v>
      </c>
      <c r="AF661">
        <v>0</v>
      </c>
      <c r="AG661">
        <v>0</v>
      </c>
      <c r="AH661" s="235">
        <v>379.93835220450842</v>
      </c>
      <c r="AI661">
        <v>226</v>
      </c>
      <c r="AJ661" t="s">
        <v>256</v>
      </c>
      <c r="AK661">
        <v>0</v>
      </c>
      <c r="AL661">
        <v>0</v>
      </c>
      <c r="AM661">
        <v>0</v>
      </c>
    </row>
    <row r="662" spans="1:39" x14ac:dyDescent="0.25">
      <c r="A662" t="s">
        <v>601</v>
      </c>
      <c r="B662" t="s">
        <v>575</v>
      </c>
      <c r="C662" t="s">
        <v>255</v>
      </c>
      <c r="D662" t="s">
        <v>234</v>
      </c>
      <c r="E662" t="s">
        <v>20</v>
      </c>
      <c r="F662" t="s">
        <v>268</v>
      </c>
      <c r="G662" t="s">
        <v>269</v>
      </c>
      <c r="H662" t="s">
        <v>254</v>
      </c>
      <c r="I662" t="s">
        <v>242</v>
      </c>
      <c r="J662" t="s">
        <v>235</v>
      </c>
      <c r="K662" s="380">
        <v>36861</v>
      </c>
      <c r="L662" s="235">
        <v>76798.631138172423</v>
      </c>
      <c r="M662" s="380">
        <v>36859</v>
      </c>
      <c r="N662" t="s">
        <v>21</v>
      </c>
      <c r="O662">
        <v>2.5</v>
      </c>
      <c r="P662">
        <v>0</v>
      </c>
      <c r="Q662">
        <v>0</v>
      </c>
      <c r="R662">
        <v>0</v>
      </c>
      <c r="S662">
        <v>0</v>
      </c>
      <c r="T662" t="s">
        <v>253</v>
      </c>
      <c r="U662" t="s">
        <v>7</v>
      </c>
      <c r="V662" t="s">
        <v>253</v>
      </c>
      <c r="W662" t="s">
        <v>132</v>
      </c>
      <c r="X662" t="s">
        <v>253</v>
      </c>
      <c r="Y662" t="s">
        <v>235</v>
      </c>
      <c r="Z662" t="s">
        <v>236</v>
      </c>
      <c r="AA662" t="s">
        <v>253</v>
      </c>
      <c r="AB662" t="s">
        <v>121</v>
      </c>
      <c r="AC662" s="235">
        <v>310000</v>
      </c>
      <c r="AD662" s="235">
        <v>17988.316226535462</v>
      </c>
      <c r="AE662">
        <v>0</v>
      </c>
      <c r="AF662">
        <v>0</v>
      </c>
      <c r="AG662">
        <v>0</v>
      </c>
      <c r="AH662" s="235">
        <v>5205.3673497760756</v>
      </c>
      <c r="AI662">
        <v>226</v>
      </c>
      <c r="AJ662" t="s">
        <v>256</v>
      </c>
      <c r="AK662">
        <v>0</v>
      </c>
      <c r="AL662">
        <v>0</v>
      </c>
      <c r="AM662">
        <v>0</v>
      </c>
    </row>
    <row r="663" spans="1:39" x14ac:dyDescent="0.25">
      <c r="A663" t="s">
        <v>601</v>
      </c>
      <c r="B663" t="s">
        <v>575</v>
      </c>
      <c r="C663" t="s">
        <v>255</v>
      </c>
      <c r="D663" t="s">
        <v>234</v>
      </c>
      <c r="E663" t="s">
        <v>20</v>
      </c>
      <c r="F663" t="s">
        <v>268</v>
      </c>
      <c r="G663" t="s">
        <v>269</v>
      </c>
      <c r="H663" t="s">
        <v>254</v>
      </c>
      <c r="I663" t="s">
        <v>242</v>
      </c>
      <c r="J663" t="s">
        <v>235</v>
      </c>
      <c r="K663" s="380">
        <v>36892</v>
      </c>
      <c r="L663" s="235">
        <v>164878.49223098918</v>
      </c>
      <c r="M663" s="380">
        <v>36888</v>
      </c>
      <c r="N663" t="s">
        <v>21</v>
      </c>
      <c r="O663">
        <v>2.5</v>
      </c>
      <c r="P663">
        <v>0</v>
      </c>
      <c r="Q663">
        <v>0</v>
      </c>
      <c r="R663">
        <v>0</v>
      </c>
      <c r="S663">
        <v>0</v>
      </c>
      <c r="T663" t="s">
        <v>253</v>
      </c>
      <c r="U663" t="s">
        <v>7</v>
      </c>
      <c r="V663" t="s">
        <v>253</v>
      </c>
      <c r="W663" t="s">
        <v>132</v>
      </c>
      <c r="X663" t="s">
        <v>253</v>
      </c>
      <c r="Y663" t="s">
        <v>235</v>
      </c>
      <c r="Z663" t="s">
        <v>236</v>
      </c>
      <c r="AA663" t="s">
        <v>253</v>
      </c>
      <c r="AB663" t="s">
        <v>121</v>
      </c>
      <c r="AC663" s="235">
        <v>310000</v>
      </c>
      <c r="AD663" s="235">
        <v>23672.167547659279</v>
      </c>
      <c r="AE663">
        <v>0</v>
      </c>
      <c r="AF663">
        <v>0</v>
      </c>
      <c r="AG663">
        <v>0</v>
      </c>
      <c r="AH663" s="235">
        <v>9697.6778801135952</v>
      </c>
      <c r="AI663">
        <v>226</v>
      </c>
      <c r="AJ663" t="s">
        <v>256</v>
      </c>
      <c r="AK663">
        <v>0</v>
      </c>
      <c r="AL663">
        <v>0</v>
      </c>
      <c r="AM663">
        <v>0</v>
      </c>
    </row>
    <row r="664" spans="1:39" x14ac:dyDescent="0.25">
      <c r="A664" t="s">
        <v>601</v>
      </c>
      <c r="B664" t="s">
        <v>575</v>
      </c>
      <c r="C664" t="s">
        <v>255</v>
      </c>
      <c r="D664" t="s">
        <v>234</v>
      </c>
      <c r="E664" t="s">
        <v>20</v>
      </c>
      <c r="F664" t="s">
        <v>268</v>
      </c>
      <c r="G664" t="s">
        <v>269</v>
      </c>
      <c r="H664" t="s">
        <v>254</v>
      </c>
      <c r="I664" t="s">
        <v>242</v>
      </c>
      <c r="J664" t="s">
        <v>235</v>
      </c>
      <c r="K664" s="380">
        <v>36923</v>
      </c>
      <c r="L664" s="235">
        <v>150386.9517695079</v>
      </c>
      <c r="M664" s="380">
        <v>36921</v>
      </c>
      <c r="N664" t="s">
        <v>21</v>
      </c>
      <c r="O664">
        <v>2.5</v>
      </c>
      <c r="P664">
        <v>0</v>
      </c>
      <c r="Q664">
        <v>0</v>
      </c>
      <c r="R664">
        <v>0</v>
      </c>
      <c r="S664">
        <v>0</v>
      </c>
      <c r="T664" t="s">
        <v>253</v>
      </c>
      <c r="U664" t="s">
        <v>7</v>
      </c>
      <c r="V664" t="s">
        <v>253</v>
      </c>
      <c r="W664" t="s">
        <v>132</v>
      </c>
      <c r="X664" t="s">
        <v>253</v>
      </c>
      <c r="Y664" t="s">
        <v>235</v>
      </c>
      <c r="Z664" t="s">
        <v>236</v>
      </c>
      <c r="AA664" t="s">
        <v>253</v>
      </c>
      <c r="AB664" t="s">
        <v>121</v>
      </c>
      <c r="AC664" s="235">
        <v>280000</v>
      </c>
      <c r="AD664" s="235">
        <v>23175.488626135979</v>
      </c>
      <c r="AE664">
        <v>0</v>
      </c>
      <c r="AF664">
        <v>0</v>
      </c>
      <c r="AG664">
        <v>0</v>
      </c>
      <c r="AH664" s="235">
        <v>9934.5782538573258</v>
      </c>
      <c r="AI664">
        <v>226</v>
      </c>
      <c r="AJ664" t="s">
        <v>256</v>
      </c>
      <c r="AK664">
        <v>0</v>
      </c>
      <c r="AL664">
        <v>0</v>
      </c>
      <c r="AM664">
        <v>0</v>
      </c>
    </row>
    <row r="665" spans="1:39" x14ac:dyDescent="0.25">
      <c r="A665" t="s">
        <v>601</v>
      </c>
      <c r="B665" t="s">
        <v>575</v>
      </c>
      <c r="C665" t="s">
        <v>255</v>
      </c>
      <c r="D665" t="s">
        <v>234</v>
      </c>
      <c r="E665" t="s">
        <v>20</v>
      </c>
      <c r="F665" t="s">
        <v>268</v>
      </c>
      <c r="G665" t="s">
        <v>269</v>
      </c>
      <c r="H665" t="s">
        <v>254</v>
      </c>
      <c r="I665" t="s">
        <v>242</v>
      </c>
      <c r="J665" t="s">
        <v>235</v>
      </c>
      <c r="K665" s="380">
        <v>36951</v>
      </c>
      <c r="L665" s="235">
        <v>48886.400631953802</v>
      </c>
      <c r="M665" s="380">
        <v>36949</v>
      </c>
      <c r="N665" t="s">
        <v>21</v>
      </c>
      <c r="O665">
        <v>2.5</v>
      </c>
      <c r="P665">
        <v>0</v>
      </c>
      <c r="Q665">
        <v>0</v>
      </c>
      <c r="R665">
        <v>0</v>
      </c>
      <c r="S665">
        <v>0</v>
      </c>
      <c r="T665" t="s">
        <v>253</v>
      </c>
      <c r="U665" t="s">
        <v>7</v>
      </c>
      <c r="V665" t="s">
        <v>253</v>
      </c>
      <c r="W665" t="s">
        <v>132</v>
      </c>
      <c r="X665" t="s">
        <v>253</v>
      </c>
      <c r="Y665" t="s">
        <v>235</v>
      </c>
      <c r="Z665" t="s">
        <v>236</v>
      </c>
      <c r="AA665" t="s">
        <v>253</v>
      </c>
      <c r="AB665" t="s">
        <v>121</v>
      </c>
      <c r="AC665" s="235">
        <v>310000</v>
      </c>
      <c r="AD665" s="235">
        <v>17765.662708301541</v>
      </c>
      <c r="AE665">
        <v>0</v>
      </c>
      <c r="AF665">
        <v>0</v>
      </c>
      <c r="AG665">
        <v>0</v>
      </c>
      <c r="AH665" s="235">
        <v>4861.2333406752296</v>
      </c>
      <c r="AI665">
        <v>226</v>
      </c>
      <c r="AJ665" t="s">
        <v>256</v>
      </c>
      <c r="AK665">
        <v>0</v>
      </c>
      <c r="AL665">
        <v>0</v>
      </c>
      <c r="AM665">
        <v>0</v>
      </c>
    </row>
    <row r="666" spans="1:39" x14ac:dyDescent="0.25">
      <c r="A666" t="s">
        <v>601</v>
      </c>
      <c r="B666" t="s">
        <v>576</v>
      </c>
      <c r="C666" t="s">
        <v>255</v>
      </c>
      <c r="D666" t="s">
        <v>234</v>
      </c>
      <c r="E666" t="s">
        <v>20</v>
      </c>
      <c r="F666" t="s">
        <v>286</v>
      </c>
      <c r="G666" t="s">
        <v>269</v>
      </c>
      <c r="H666" t="s">
        <v>254</v>
      </c>
      <c r="I666" t="s">
        <v>242</v>
      </c>
      <c r="J666" t="s">
        <v>235</v>
      </c>
      <c r="K666" s="380">
        <v>36982</v>
      </c>
      <c r="L666" s="235">
        <v>72308.367127023404</v>
      </c>
      <c r="M666" s="380">
        <v>36979</v>
      </c>
      <c r="N666" t="s">
        <v>21</v>
      </c>
      <c r="O666">
        <v>0.5</v>
      </c>
      <c r="P666">
        <v>0</v>
      </c>
      <c r="Q666">
        <v>0</v>
      </c>
      <c r="R666">
        <v>0</v>
      </c>
      <c r="S666">
        <v>0</v>
      </c>
      <c r="T666" t="s">
        <v>253</v>
      </c>
      <c r="U666" t="s">
        <v>7</v>
      </c>
      <c r="V666" t="s">
        <v>253</v>
      </c>
      <c r="W666" t="s">
        <v>132</v>
      </c>
      <c r="X666" t="s">
        <v>253</v>
      </c>
      <c r="Y666" t="s">
        <v>235</v>
      </c>
      <c r="Z666" t="s">
        <v>236</v>
      </c>
      <c r="AA666" t="s">
        <v>253</v>
      </c>
      <c r="AB666" t="s">
        <v>121</v>
      </c>
      <c r="AC666" s="235">
        <v>500000</v>
      </c>
      <c r="AD666" s="235">
        <v>12942.800747911766</v>
      </c>
      <c r="AE666">
        <v>0</v>
      </c>
      <c r="AF666">
        <v>0</v>
      </c>
      <c r="AG666">
        <v>0</v>
      </c>
      <c r="AH666" s="235">
        <v>617.33917711715912</v>
      </c>
      <c r="AI666">
        <v>226</v>
      </c>
      <c r="AJ666" t="s">
        <v>256</v>
      </c>
      <c r="AK666">
        <v>0</v>
      </c>
      <c r="AL666">
        <v>0</v>
      </c>
      <c r="AM666">
        <v>0</v>
      </c>
    </row>
    <row r="667" spans="1:39" x14ac:dyDescent="0.25">
      <c r="A667" t="s">
        <v>601</v>
      </c>
      <c r="B667" t="s">
        <v>576</v>
      </c>
      <c r="C667" t="s">
        <v>255</v>
      </c>
      <c r="D667" t="s">
        <v>234</v>
      </c>
      <c r="E667" t="s">
        <v>20</v>
      </c>
      <c r="F667" t="s">
        <v>286</v>
      </c>
      <c r="G667" t="s">
        <v>269</v>
      </c>
      <c r="H667" t="s">
        <v>254</v>
      </c>
      <c r="I667" t="s">
        <v>242</v>
      </c>
      <c r="J667" t="s">
        <v>235</v>
      </c>
      <c r="K667" s="380">
        <v>37012</v>
      </c>
      <c r="L667" s="235">
        <v>42946.579107315643</v>
      </c>
      <c r="M667" s="380">
        <v>37008</v>
      </c>
      <c r="N667" t="s">
        <v>21</v>
      </c>
      <c r="O667">
        <v>0.5</v>
      </c>
      <c r="P667">
        <v>0</v>
      </c>
      <c r="Q667">
        <v>0</v>
      </c>
      <c r="R667">
        <v>0</v>
      </c>
      <c r="S667">
        <v>0</v>
      </c>
      <c r="T667" t="s">
        <v>253</v>
      </c>
      <c r="U667" t="s">
        <v>7</v>
      </c>
      <c r="V667" t="s">
        <v>253</v>
      </c>
      <c r="W667" t="s">
        <v>132</v>
      </c>
      <c r="X667" t="s">
        <v>253</v>
      </c>
      <c r="Y667" t="s">
        <v>235</v>
      </c>
      <c r="Z667" t="s">
        <v>236</v>
      </c>
      <c r="AA667" t="s">
        <v>253</v>
      </c>
      <c r="AB667" t="s">
        <v>121</v>
      </c>
      <c r="AC667" s="235">
        <v>500000</v>
      </c>
      <c r="AD667" s="235">
        <v>12135.903116802132</v>
      </c>
      <c r="AE667">
        <v>0</v>
      </c>
      <c r="AF667">
        <v>0</v>
      </c>
      <c r="AG667">
        <v>0</v>
      </c>
      <c r="AH667" s="235">
        <v>577.29341648214177</v>
      </c>
      <c r="AI667">
        <v>226</v>
      </c>
      <c r="AJ667" t="s">
        <v>256</v>
      </c>
      <c r="AK667">
        <v>0</v>
      </c>
      <c r="AL667">
        <v>0</v>
      </c>
      <c r="AM667">
        <v>0</v>
      </c>
    </row>
    <row r="668" spans="1:39" x14ac:dyDescent="0.25">
      <c r="A668" t="s">
        <v>601</v>
      </c>
      <c r="B668" t="s">
        <v>576</v>
      </c>
      <c r="C668" t="s">
        <v>255</v>
      </c>
      <c r="D668" t="s">
        <v>234</v>
      </c>
      <c r="E668" t="s">
        <v>20</v>
      </c>
      <c r="F668" t="s">
        <v>286</v>
      </c>
      <c r="G668" t="s">
        <v>269</v>
      </c>
      <c r="H668" t="s">
        <v>254</v>
      </c>
      <c r="I668" t="s">
        <v>242</v>
      </c>
      <c r="J668" t="s">
        <v>235</v>
      </c>
      <c r="K668" s="380">
        <v>37043</v>
      </c>
      <c r="L668" s="235">
        <v>43675.102072009475</v>
      </c>
      <c r="M668" s="380">
        <v>37041</v>
      </c>
      <c r="N668" t="s">
        <v>21</v>
      </c>
      <c r="O668">
        <v>0.5</v>
      </c>
      <c r="P668">
        <v>0</v>
      </c>
      <c r="Q668">
        <v>0</v>
      </c>
      <c r="R668">
        <v>0</v>
      </c>
      <c r="S668">
        <v>0</v>
      </c>
      <c r="T668" t="s">
        <v>253</v>
      </c>
      <c r="U668" t="s">
        <v>7</v>
      </c>
      <c r="V668" t="s">
        <v>253</v>
      </c>
      <c r="W668" t="s">
        <v>132</v>
      </c>
      <c r="X668" t="s">
        <v>253</v>
      </c>
      <c r="Y668" t="s">
        <v>235</v>
      </c>
      <c r="Z668" t="s">
        <v>236</v>
      </c>
      <c r="AA668" t="s">
        <v>253</v>
      </c>
      <c r="AB668" t="s">
        <v>121</v>
      </c>
      <c r="AC668" s="235">
        <v>500000</v>
      </c>
      <c r="AD668" s="235">
        <v>12637.651911716734</v>
      </c>
      <c r="AE668">
        <v>0</v>
      </c>
      <c r="AF668">
        <v>0</v>
      </c>
      <c r="AG668">
        <v>0</v>
      </c>
      <c r="AH668" s="235">
        <v>600.52670655288966</v>
      </c>
      <c r="AI668">
        <v>226</v>
      </c>
      <c r="AJ668" t="s">
        <v>256</v>
      </c>
      <c r="AK668">
        <v>0</v>
      </c>
      <c r="AL668">
        <v>0</v>
      </c>
      <c r="AM668">
        <v>0</v>
      </c>
    </row>
    <row r="669" spans="1:39" x14ac:dyDescent="0.25">
      <c r="A669" t="s">
        <v>601</v>
      </c>
      <c r="B669" t="s">
        <v>576</v>
      </c>
      <c r="C669" t="s">
        <v>255</v>
      </c>
      <c r="D669" t="s">
        <v>234</v>
      </c>
      <c r="E669" t="s">
        <v>20</v>
      </c>
      <c r="F669" t="s">
        <v>286</v>
      </c>
      <c r="G669" t="s">
        <v>269</v>
      </c>
      <c r="H669" t="s">
        <v>254</v>
      </c>
      <c r="I669" t="s">
        <v>242</v>
      </c>
      <c r="J669" t="s">
        <v>235</v>
      </c>
      <c r="K669" s="380">
        <v>37073</v>
      </c>
      <c r="L669" s="235">
        <v>60003.392776222703</v>
      </c>
      <c r="M669" s="380">
        <v>37070</v>
      </c>
      <c r="N669" t="s">
        <v>21</v>
      </c>
      <c r="O669">
        <v>0.5</v>
      </c>
      <c r="P669">
        <v>0</v>
      </c>
      <c r="Q669">
        <v>0</v>
      </c>
      <c r="R669">
        <v>0</v>
      </c>
      <c r="S669">
        <v>0</v>
      </c>
      <c r="T669" t="s">
        <v>253</v>
      </c>
      <c r="U669" t="s">
        <v>7</v>
      </c>
      <c r="V669" t="s">
        <v>253</v>
      </c>
      <c r="W669" t="s">
        <v>132</v>
      </c>
      <c r="X669" t="s">
        <v>253</v>
      </c>
      <c r="Y669" t="s">
        <v>235</v>
      </c>
      <c r="Z669" t="s">
        <v>236</v>
      </c>
      <c r="AA669" t="s">
        <v>253</v>
      </c>
      <c r="AB669" t="s">
        <v>121</v>
      </c>
      <c r="AC669" s="235">
        <v>500000</v>
      </c>
      <c r="AD669" s="235">
        <v>13657.306672600913</v>
      </c>
      <c r="AE669">
        <v>0</v>
      </c>
      <c r="AF669">
        <v>0</v>
      </c>
      <c r="AG669">
        <v>0</v>
      </c>
      <c r="AH669" s="235">
        <v>649.24212873875513</v>
      </c>
      <c r="AI669">
        <v>226</v>
      </c>
      <c r="AJ669" t="s">
        <v>256</v>
      </c>
      <c r="AK669">
        <v>0</v>
      </c>
      <c r="AL669">
        <v>0</v>
      </c>
      <c r="AM669">
        <v>0</v>
      </c>
    </row>
    <row r="670" spans="1:39" x14ac:dyDescent="0.25">
      <c r="A670" t="s">
        <v>601</v>
      </c>
      <c r="B670" t="s">
        <v>576</v>
      </c>
      <c r="C670" t="s">
        <v>255</v>
      </c>
      <c r="D670" t="s">
        <v>234</v>
      </c>
      <c r="E670" t="s">
        <v>20</v>
      </c>
      <c r="F670" t="s">
        <v>286</v>
      </c>
      <c r="G670" t="s">
        <v>269</v>
      </c>
      <c r="H670" t="s">
        <v>254</v>
      </c>
      <c r="I670" t="s">
        <v>242</v>
      </c>
      <c r="J670" t="s">
        <v>235</v>
      </c>
      <c r="K670" s="380">
        <v>37104</v>
      </c>
      <c r="L670" s="235">
        <v>63241.029514752547</v>
      </c>
      <c r="M670" s="380">
        <v>37102</v>
      </c>
      <c r="N670" t="s">
        <v>21</v>
      </c>
      <c r="O670">
        <v>0.5</v>
      </c>
      <c r="P670">
        <v>0</v>
      </c>
      <c r="Q670">
        <v>0</v>
      </c>
      <c r="R670">
        <v>0</v>
      </c>
      <c r="S670">
        <v>0</v>
      </c>
      <c r="T670" t="s">
        <v>253</v>
      </c>
      <c r="U670" t="s">
        <v>7</v>
      </c>
      <c r="V670" t="s">
        <v>253</v>
      </c>
      <c r="W670" t="s">
        <v>132</v>
      </c>
      <c r="X670" t="s">
        <v>253</v>
      </c>
      <c r="Y670" t="s">
        <v>235</v>
      </c>
      <c r="Z670" t="s">
        <v>236</v>
      </c>
      <c r="AA670" t="s">
        <v>253</v>
      </c>
      <c r="AB670" t="s">
        <v>121</v>
      </c>
      <c r="AC670" s="235">
        <v>500000</v>
      </c>
      <c r="AD670" s="235">
        <v>14286.236024090264</v>
      </c>
      <c r="AE670">
        <v>0</v>
      </c>
      <c r="AF670">
        <v>0</v>
      </c>
      <c r="AG670">
        <v>0</v>
      </c>
      <c r="AH670" s="235">
        <v>678.86649048932304</v>
      </c>
      <c r="AI670">
        <v>226</v>
      </c>
      <c r="AJ670" t="s">
        <v>256</v>
      </c>
      <c r="AK670">
        <v>0</v>
      </c>
      <c r="AL670">
        <v>0</v>
      </c>
      <c r="AM670">
        <v>0</v>
      </c>
    </row>
    <row r="671" spans="1:39" x14ac:dyDescent="0.25">
      <c r="A671" t="s">
        <v>601</v>
      </c>
      <c r="B671" t="s">
        <v>576</v>
      </c>
      <c r="C671" t="s">
        <v>255</v>
      </c>
      <c r="D671" t="s">
        <v>234</v>
      </c>
      <c r="E671" t="s">
        <v>20</v>
      </c>
      <c r="F671" t="s">
        <v>286</v>
      </c>
      <c r="G671" t="s">
        <v>269</v>
      </c>
      <c r="H671" t="s">
        <v>254</v>
      </c>
      <c r="I671" t="s">
        <v>242</v>
      </c>
      <c r="J671" t="s">
        <v>235</v>
      </c>
      <c r="K671" s="380">
        <v>37135</v>
      </c>
      <c r="L671" s="235">
        <v>52181.301256625156</v>
      </c>
      <c r="M671" s="380">
        <v>37133</v>
      </c>
      <c r="N671" t="s">
        <v>21</v>
      </c>
      <c r="O671">
        <v>0.5</v>
      </c>
      <c r="P671">
        <v>0</v>
      </c>
      <c r="Q671">
        <v>0</v>
      </c>
      <c r="R671">
        <v>0</v>
      </c>
      <c r="S671">
        <v>0</v>
      </c>
      <c r="T671" t="s">
        <v>253</v>
      </c>
      <c r="U671" t="s">
        <v>7</v>
      </c>
      <c r="V671" t="s">
        <v>253</v>
      </c>
      <c r="W671" t="s">
        <v>132</v>
      </c>
      <c r="X671" t="s">
        <v>253</v>
      </c>
      <c r="Y671" t="s">
        <v>235</v>
      </c>
      <c r="Z671" t="s">
        <v>236</v>
      </c>
      <c r="AA671" t="s">
        <v>253</v>
      </c>
      <c r="AB671" t="s">
        <v>121</v>
      </c>
      <c r="AC671" s="235">
        <v>500000</v>
      </c>
      <c r="AD671" s="235">
        <v>14495.095120323123</v>
      </c>
      <c r="AE671">
        <v>0</v>
      </c>
      <c r="AF671">
        <v>0</v>
      </c>
      <c r="AG671">
        <v>0</v>
      </c>
      <c r="AH671" s="235">
        <v>688.06457095425139</v>
      </c>
      <c r="AI671">
        <v>226</v>
      </c>
      <c r="AJ671" t="s">
        <v>256</v>
      </c>
      <c r="AK671">
        <v>0</v>
      </c>
      <c r="AL671">
        <v>0</v>
      </c>
      <c r="AM671">
        <v>0</v>
      </c>
    </row>
    <row r="672" spans="1:39" x14ac:dyDescent="0.25">
      <c r="A672" t="s">
        <v>601</v>
      </c>
      <c r="B672" t="s">
        <v>576</v>
      </c>
      <c r="C672" t="s">
        <v>255</v>
      </c>
      <c r="D672" t="s">
        <v>234</v>
      </c>
      <c r="E672" t="s">
        <v>20</v>
      </c>
      <c r="F672" t="s">
        <v>286</v>
      </c>
      <c r="G672" t="s">
        <v>269</v>
      </c>
      <c r="H672" t="s">
        <v>254</v>
      </c>
      <c r="I672" t="s">
        <v>242</v>
      </c>
      <c r="J672" t="s">
        <v>235</v>
      </c>
      <c r="K672" s="380">
        <v>37165</v>
      </c>
      <c r="L672" s="235">
        <v>68571.280603194406</v>
      </c>
      <c r="M672" s="380">
        <v>37161</v>
      </c>
      <c r="N672" t="s">
        <v>21</v>
      </c>
      <c r="O672">
        <v>0.5</v>
      </c>
      <c r="P672">
        <v>0</v>
      </c>
      <c r="Q672">
        <v>0</v>
      </c>
      <c r="R672">
        <v>0</v>
      </c>
      <c r="S672">
        <v>0</v>
      </c>
      <c r="T672" t="s">
        <v>253</v>
      </c>
      <c r="U672" t="s">
        <v>7</v>
      </c>
      <c r="V672" t="s">
        <v>253</v>
      </c>
      <c r="W672" t="s">
        <v>132</v>
      </c>
      <c r="X672" t="s">
        <v>253</v>
      </c>
      <c r="Y672" t="s">
        <v>235</v>
      </c>
      <c r="Z672" t="s">
        <v>236</v>
      </c>
      <c r="AA672" t="s">
        <v>253</v>
      </c>
      <c r="AB672" t="s">
        <v>121</v>
      </c>
      <c r="AC672" s="235">
        <v>500000</v>
      </c>
      <c r="AD672" s="235">
        <v>15394.197209317266</v>
      </c>
      <c r="AE672">
        <v>0</v>
      </c>
      <c r="AF672">
        <v>0</v>
      </c>
      <c r="AG672">
        <v>0</v>
      </c>
      <c r="AH672" s="235">
        <v>732.3250919875718</v>
      </c>
      <c r="AI672">
        <v>226</v>
      </c>
      <c r="AJ672" t="s">
        <v>256</v>
      </c>
      <c r="AK672">
        <v>0</v>
      </c>
      <c r="AL672">
        <v>0</v>
      </c>
      <c r="AM672">
        <v>0</v>
      </c>
    </row>
    <row r="673" spans="1:39" x14ac:dyDescent="0.25">
      <c r="A673" t="s">
        <v>601</v>
      </c>
      <c r="B673" t="s">
        <v>577</v>
      </c>
      <c r="C673" t="s">
        <v>255</v>
      </c>
      <c r="D673" t="s">
        <v>234</v>
      </c>
      <c r="E673" t="s">
        <v>20</v>
      </c>
      <c r="F673" t="s">
        <v>286</v>
      </c>
      <c r="G673" t="s">
        <v>269</v>
      </c>
      <c r="H673" t="s">
        <v>254</v>
      </c>
      <c r="I673" t="s">
        <v>242</v>
      </c>
      <c r="J673" t="s">
        <v>235</v>
      </c>
      <c r="K673" s="380">
        <v>36982</v>
      </c>
      <c r="L673" s="235">
        <v>48130.822327853653</v>
      </c>
      <c r="M673" s="380">
        <v>36979</v>
      </c>
      <c r="N673" t="s">
        <v>1</v>
      </c>
      <c r="O673">
        <v>0.3</v>
      </c>
      <c r="P673">
        <v>0</v>
      </c>
      <c r="Q673">
        <v>0</v>
      </c>
      <c r="R673">
        <v>0</v>
      </c>
      <c r="S673">
        <v>0</v>
      </c>
      <c r="T673" t="s">
        <v>253</v>
      </c>
      <c r="U673" t="s">
        <v>7</v>
      </c>
      <c r="V673" t="s">
        <v>253</v>
      </c>
      <c r="W673" t="s">
        <v>132</v>
      </c>
      <c r="X673" t="s">
        <v>253</v>
      </c>
      <c r="Y673" t="s">
        <v>235</v>
      </c>
      <c r="Z673" t="s">
        <v>236</v>
      </c>
      <c r="AA673" t="s">
        <v>253</v>
      </c>
      <c r="AB673" t="s">
        <v>121</v>
      </c>
      <c r="AC673" s="235">
        <v>1000000</v>
      </c>
      <c r="AD673" s="235">
        <v>22317.908132271958</v>
      </c>
      <c r="AE673">
        <v>0</v>
      </c>
      <c r="AF673">
        <v>0</v>
      </c>
      <c r="AG673">
        <v>0</v>
      </c>
      <c r="AH673" s="235">
        <v>1060.5670374266265</v>
      </c>
      <c r="AI673">
        <v>226</v>
      </c>
      <c r="AJ673" t="s">
        <v>256</v>
      </c>
      <c r="AK673">
        <v>0</v>
      </c>
      <c r="AL673">
        <v>0</v>
      </c>
      <c r="AM673">
        <v>0</v>
      </c>
    </row>
    <row r="674" spans="1:39" x14ac:dyDescent="0.25">
      <c r="A674" t="s">
        <v>601</v>
      </c>
      <c r="B674" t="s">
        <v>577</v>
      </c>
      <c r="C674" t="s">
        <v>255</v>
      </c>
      <c r="D674" t="s">
        <v>234</v>
      </c>
      <c r="E674" t="s">
        <v>20</v>
      </c>
      <c r="F674" t="s">
        <v>286</v>
      </c>
      <c r="G674" t="s">
        <v>269</v>
      </c>
      <c r="H674" t="s">
        <v>254</v>
      </c>
      <c r="I674" t="s">
        <v>242</v>
      </c>
      <c r="J674" t="s">
        <v>235</v>
      </c>
      <c r="K674" s="380">
        <v>37012</v>
      </c>
      <c r="L674" s="235">
        <v>75040.449341795596</v>
      </c>
      <c r="M674" s="380">
        <v>37008</v>
      </c>
      <c r="N674" t="s">
        <v>1</v>
      </c>
      <c r="O674">
        <v>0.3</v>
      </c>
      <c r="P674">
        <v>0</v>
      </c>
      <c r="Q674">
        <v>0</v>
      </c>
      <c r="R674">
        <v>0</v>
      </c>
      <c r="S674">
        <v>0</v>
      </c>
      <c r="T674" t="s">
        <v>253</v>
      </c>
      <c r="U674" t="s">
        <v>7</v>
      </c>
      <c r="V674" t="s">
        <v>253</v>
      </c>
      <c r="W674" t="s">
        <v>132</v>
      </c>
      <c r="X674" t="s">
        <v>253</v>
      </c>
      <c r="Y674" t="s">
        <v>235</v>
      </c>
      <c r="Z674" t="s">
        <v>236</v>
      </c>
      <c r="AA674" t="s">
        <v>253</v>
      </c>
      <c r="AB674" t="s">
        <v>121</v>
      </c>
      <c r="AC674" s="235">
        <v>1000000</v>
      </c>
      <c r="AD674" s="235">
        <v>25511.225514426071</v>
      </c>
      <c r="AE674">
        <v>0</v>
      </c>
      <c r="AF674">
        <v>0</v>
      </c>
      <c r="AG674">
        <v>0</v>
      </c>
      <c r="AH674" s="235">
        <v>1213.7863763550413</v>
      </c>
      <c r="AI674">
        <v>226</v>
      </c>
      <c r="AJ674" t="s">
        <v>256</v>
      </c>
      <c r="AK674">
        <v>0</v>
      </c>
      <c r="AL674">
        <v>0</v>
      </c>
      <c r="AM674">
        <v>0</v>
      </c>
    </row>
    <row r="675" spans="1:39" x14ac:dyDescent="0.25">
      <c r="A675" t="s">
        <v>601</v>
      </c>
      <c r="B675" t="s">
        <v>577</v>
      </c>
      <c r="C675" t="s">
        <v>255</v>
      </c>
      <c r="D675" t="s">
        <v>234</v>
      </c>
      <c r="E675" t="s">
        <v>20</v>
      </c>
      <c r="F675" t="s">
        <v>286</v>
      </c>
      <c r="G675" t="s">
        <v>269</v>
      </c>
      <c r="H675" t="s">
        <v>254</v>
      </c>
      <c r="I675" t="s">
        <v>242</v>
      </c>
      <c r="J675" t="s">
        <v>235</v>
      </c>
      <c r="K675" s="380">
        <v>37043</v>
      </c>
      <c r="L675" s="235">
        <v>83369.905916028772</v>
      </c>
      <c r="M675" s="380">
        <v>37041</v>
      </c>
      <c r="N675" t="s">
        <v>1</v>
      </c>
      <c r="O675">
        <v>0.3</v>
      </c>
      <c r="P675">
        <v>0</v>
      </c>
      <c r="Q675">
        <v>0</v>
      </c>
      <c r="R675">
        <v>0</v>
      </c>
      <c r="S675">
        <v>0</v>
      </c>
      <c r="T675" t="s">
        <v>253</v>
      </c>
      <c r="U675" t="s">
        <v>7</v>
      </c>
      <c r="V675" t="s">
        <v>253</v>
      </c>
      <c r="W675" t="s">
        <v>132</v>
      </c>
      <c r="X675" t="s">
        <v>253</v>
      </c>
      <c r="Y675" t="s">
        <v>235</v>
      </c>
      <c r="Z675" t="s">
        <v>236</v>
      </c>
      <c r="AA675" t="s">
        <v>253</v>
      </c>
      <c r="AB675" t="s">
        <v>121</v>
      </c>
      <c r="AC675" s="235">
        <v>1000000</v>
      </c>
      <c r="AD675" s="235">
        <v>27064.121021716273</v>
      </c>
      <c r="AE675">
        <v>0</v>
      </c>
      <c r="AF675">
        <v>0</v>
      </c>
      <c r="AG675">
        <v>0</v>
      </c>
      <c r="AH675" s="235">
        <v>1286.9205109433678</v>
      </c>
      <c r="AI675">
        <v>226</v>
      </c>
      <c r="AJ675" t="s">
        <v>256</v>
      </c>
      <c r="AK675">
        <v>0</v>
      </c>
      <c r="AL675">
        <v>0</v>
      </c>
      <c r="AM675">
        <v>0</v>
      </c>
    </row>
    <row r="676" spans="1:39" x14ac:dyDescent="0.25">
      <c r="A676" t="s">
        <v>601</v>
      </c>
      <c r="B676" t="s">
        <v>577</v>
      </c>
      <c r="C676" t="s">
        <v>255</v>
      </c>
      <c r="D676" t="s">
        <v>234</v>
      </c>
      <c r="E676" t="s">
        <v>20</v>
      </c>
      <c r="F676" t="s">
        <v>286</v>
      </c>
      <c r="G676" t="s">
        <v>269</v>
      </c>
      <c r="H676" t="s">
        <v>254</v>
      </c>
      <c r="I676" t="s">
        <v>242</v>
      </c>
      <c r="J676" t="s">
        <v>235</v>
      </c>
      <c r="K676" s="380">
        <v>37073</v>
      </c>
      <c r="L676" s="235">
        <v>67736.715606437792</v>
      </c>
      <c r="M676" s="380">
        <v>37070</v>
      </c>
      <c r="N676" t="s">
        <v>1</v>
      </c>
      <c r="O676">
        <v>0.3</v>
      </c>
      <c r="P676">
        <v>0</v>
      </c>
      <c r="Q676">
        <v>0</v>
      </c>
      <c r="R676">
        <v>0</v>
      </c>
      <c r="S676">
        <v>0</v>
      </c>
      <c r="T676" t="s">
        <v>253</v>
      </c>
      <c r="U676" t="s">
        <v>7</v>
      </c>
      <c r="V676" t="s">
        <v>253</v>
      </c>
      <c r="W676" t="s">
        <v>132</v>
      </c>
      <c r="X676" t="s">
        <v>253</v>
      </c>
      <c r="Y676" t="s">
        <v>235</v>
      </c>
      <c r="Z676" t="s">
        <v>236</v>
      </c>
      <c r="AA676" t="s">
        <v>253</v>
      </c>
      <c r="AB676" t="s">
        <v>121</v>
      </c>
      <c r="AC676" s="235">
        <v>1000000</v>
      </c>
      <c r="AD676" s="235">
        <v>26439.527913260798</v>
      </c>
      <c r="AE676">
        <v>0</v>
      </c>
      <c r="AF676">
        <v>0</v>
      </c>
      <c r="AG676">
        <v>0</v>
      </c>
      <c r="AH676" s="235">
        <v>1254.2527650527481</v>
      </c>
      <c r="AI676">
        <v>226</v>
      </c>
      <c r="AJ676" t="s">
        <v>256</v>
      </c>
      <c r="AK676">
        <v>0</v>
      </c>
      <c r="AL676">
        <v>0</v>
      </c>
      <c r="AM676">
        <v>0</v>
      </c>
    </row>
    <row r="677" spans="1:39" x14ac:dyDescent="0.25">
      <c r="A677" t="s">
        <v>601</v>
      </c>
      <c r="B677" t="s">
        <v>577</v>
      </c>
      <c r="C677" t="s">
        <v>255</v>
      </c>
      <c r="D677" t="s">
        <v>234</v>
      </c>
      <c r="E677" t="s">
        <v>20</v>
      </c>
      <c r="F677" t="s">
        <v>286</v>
      </c>
      <c r="G677" t="s">
        <v>269</v>
      </c>
      <c r="H677" t="s">
        <v>254</v>
      </c>
      <c r="I677" t="s">
        <v>242</v>
      </c>
      <c r="J677" t="s">
        <v>235</v>
      </c>
      <c r="K677" s="380">
        <v>37104</v>
      </c>
      <c r="L677" s="235">
        <v>73457.763842120272</v>
      </c>
      <c r="M677" s="380">
        <v>37102</v>
      </c>
      <c r="N677" t="s">
        <v>1</v>
      </c>
      <c r="O677">
        <v>0.3</v>
      </c>
      <c r="P677">
        <v>0</v>
      </c>
      <c r="Q677">
        <v>0</v>
      </c>
      <c r="R677">
        <v>0</v>
      </c>
      <c r="S677">
        <v>0</v>
      </c>
      <c r="T677" t="s">
        <v>253</v>
      </c>
      <c r="U677" t="s">
        <v>7</v>
      </c>
      <c r="V677" t="s">
        <v>253</v>
      </c>
      <c r="W677" t="s">
        <v>132</v>
      </c>
      <c r="X677" t="s">
        <v>253</v>
      </c>
      <c r="Y677" t="s">
        <v>235</v>
      </c>
      <c r="Z677" t="s">
        <v>236</v>
      </c>
      <c r="AA677" t="s">
        <v>253</v>
      </c>
      <c r="AB677" t="s">
        <v>121</v>
      </c>
      <c r="AC677" s="235">
        <v>1000000</v>
      </c>
      <c r="AD677" s="235">
        <v>27919.989732451795</v>
      </c>
      <c r="AE677">
        <v>0</v>
      </c>
      <c r="AF677">
        <v>0</v>
      </c>
      <c r="AG677">
        <v>0</v>
      </c>
      <c r="AH677" s="235">
        <v>1324.1986319489952</v>
      </c>
      <c r="AI677">
        <v>226</v>
      </c>
      <c r="AJ677" t="s">
        <v>256</v>
      </c>
      <c r="AK677">
        <v>0</v>
      </c>
      <c r="AL677">
        <v>0</v>
      </c>
      <c r="AM677">
        <v>0</v>
      </c>
    </row>
    <row r="678" spans="1:39" x14ac:dyDescent="0.25">
      <c r="A678" t="s">
        <v>601</v>
      </c>
      <c r="B678" t="s">
        <v>577</v>
      </c>
      <c r="C678" t="s">
        <v>255</v>
      </c>
      <c r="D678" t="s">
        <v>234</v>
      </c>
      <c r="E678" t="s">
        <v>20</v>
      </c>
      <c r="F678" t="s">
        <v>286</v>
      </c>
      <c r="G678" t="s">
        <v>269</v>
      </c>
      <c r="H678" t="s">
        <v>254</v>
      </c>
      <c r="I678" t="s">
        <v>242</v>
      </c>
      <c r="J678" t="s">
        <v>235</v>
      </c>
      <c r="K678" s="380">
        <v>37135</v>
      </c>
      <c r="L678" s="235">
        <v>99216.4871050496</v>
      </c>
      <c r="M678" s="380">
        <v>37133</v>
      </c>
      <c r="N678" t="s">
        <v>1</v>
      </c>
      <c r="O678">
        <v>0.3</v>
      </c>
      <c r="P678">
        <v>0</v>
      </c>
      <c r="Q678">
        <v>0</v>
      </c>
      <c r="R678">
        <v>0</v>
      </c>
      <c r="S678">
        <v>0</v>
      </c>
      <c r="T678" t="s">
        <v>253</v>
      </c>
      <c r="U678" t="s">
        <v>7</v>
      </c>
      <c r="V678" t="s">
        <v>253</v>
      </c>
      <c r="W678" t="s">
        <v>132</v>
      </c>
      <c r="X678" t="s">
        <v>253</v>
      </c>
      <c r="Y678" t="s">
        <v>235</v>
      </c>
      <c r="Z678" t="s">
        <v>236</v>
      </c>
      <c r="AA678" t="s">
        <v>253</v>
      </c>
      <c r="AB678" t="s">
        <v>121</v>
      </c>
      <c r="AC678" s="235">
        <v>1000000</v>
      </c>
      <c r="AD678" s="235">
        <v>30996.03701251297</v>
      </c>
      <c r="AE678">
        <v>0</v>
      </c>
      <c r="AF678">
        <v>0</v>
      </c>
      <c r="AG678">
        <v>0</v>
      </c>
      <c r="AH678" s="235">
        <v>1472.3449380005186</v>
      </c>
      <c r="AI678">
        <v>226</v>
      </c>
      <c r="AJ678" t="s">
        <v>256</v>
      </c>
      <c r="AK678">
        <v>0</v>
      </c>
      <c r="AL678">
        <v>0</v>
      </c>
      <c r="AM678">
        <v>0</v>
      </c>
    </row>
    <row r="679" spans="1:39" x14ac:dyDescent="0.25">
      <c r="A679" t="s">
        <v>601</v>
      </c>
      <c r="B679" t="s">
        <v>577</v>
      </c>
      <c r="C679" t="s">
        <v>255</v>
      </c>
      <c r="D679" t="s">
        <v>234</v>
      </c>
      <c r="E679" t="s">
        <v>20</v>
      </c>
      <c r="F679" t="s">
        <v>286</v>
      </c>
      <c r="G679" t="s">
        <v>269</v>
      </c>
      <c r="H679" t="s">
        <v>254</v>
      </c>
      <c r="I679" t="s">
        <v>242</v>
      </c>
      <c r="J679" t="s">
        <v>235</v>
      </c>
      <c r="K679" s="380">
        <v>37165</v>
      </c>
      <c r="L679" s="235">
        <v>82265.197844509312</v>
      </c>
      <c r="M679" s="380">
        <v>37161</v>
      </c>
      <c r="N679" t="s">
        <v>1</v>
      </c>
      <c r="O679">
        <v>0.3</v>
      </c>
      <c r="P679">
        <v>0</v>
      </c>
      <c r="Q679">
        <v>0</v>
      </c>
      <c r="R679">
        <v>0</v>
      </c>
      <c r="S679">
        <v>0</v>
      </c>
      <c r="T679" t="s">
        <v>253</v>
      </c>
      <c r="U679" t="s">
        <v>7</v>
      </c>
      <c r="V679" t="s">
        <v>253</v>
      </c>
      <c r="W679" t="s">
        <v>132</v>
      </c>
      <c r="X679" t="s">
        <v>253</v>
      </c>
      <c r="Y679" t="s">
        <v>235</v>
      </c>
      <c r="Z679" t="s">
        <v>236</v>
      </c>
      <c r="AA679" t="s">
        <v>253</v>
      </c>
      <c r="AB679" t="s">
        <v>121</v>
      </c>
      <c r="AC679" s="235">
        <v>1000000</v>
      </c>
      <c r="AD679" s="235">
        <v>30466.435402409581</v>
      </c>
      <c r="AE679">
        <v>0</v>
      </c>
      <c r="AF679">
        <v>0</v>
      </c>
      <c r="AG679">
        <v>0</v>
      </c>
      <c r="AH679" s="235">
        <v>1446.0675172438641</v>
      </c>
      <c r="AI679">
        <v>226</v>
      </c>
      <c r="AJ679" t="s">
        <v>256</v>
      </c>
      <c r="AK679">
        <v>0</v>
      </c>
      <c r="AL679">
        <v>0</v>
      </c>
      <c r="AM679">
        <v>0</v>
      </c>
    </row>
    <row r="680" spans="1:39" x14ac:dyDescent="0.25">
      <c r="A680" t="s">
        <v>601</v>
      </c>
      <c r="B680" t="s">
        <v>578</v>
      </c>
      <c r="C680" t="s">
        <v>255</v>
      </c>
      <c r="D680" t="s">
        <v>234</v>
      </c>
      <c r="E680" t="s">
        <v>20</v>
      </c>
      <c r="F680" t="s">
        <v>279</v>
      </c>
      <c r="G680" t="s">
        <v>269</v>
      </c>
      <c r="H680" t="s">
        <v>254</v>
      </c>
      <c r="I680" t="s">
        <v>242</v>
      </c>
      <c r="J680" t="s">
        <v>235</v>
      </c>
      <c r="K680" s="380">
        <v>36770</v>
      </c>
      <c r="L680" s="235">
        <v>-7497.3930233310784</v>
      </c>
      <c r="M680" s="380">
        <v>36768</v>
      </c>
      <c r="N680" t="s">
        <v>21</v>
      </c>
      <c r="O680">
        <v>-1.17</v>
      </c>
      <c r="P680">
        <v>0</v>
      </c>
      <c r="Q680">
        <v>0</v>
      </c>
      <c r="R680">
        <v>0</v>
      </c>
      <c r="S680">
        <v>0</v>
      </c>
      <c r="T680" t="s">
        <v>253</v>
      </c>
      <c r="U680" t="s">
        <v>9</v>
      </c>
      <c r="V680" t="s">
        <v>253</v>
      </c>
      <c r="W680" t="s">
        <v>132</v>
      </c>
      <c r="X680" t="s">
        <v>253</v>
      </c>
      <c r="Y680" t="s">
        <v>235</v>
      </c>
      <c r="Z680" t="s">
        <v>236</v>
      </c>
      <c r="AA680" t="s">
        <v>253</v>
      </c>
      <c r="AB680" t="s">
        <v>121</v>
      </c>
      <c r="AC680" s="235">
        <v>-1000000</v>
      </c>
      <c r="AD680" s="235">
        <v>-3899.5084578369278</v>
      </c>
      <c r="AE680">
        <v>0</v>
      </c>
      <c r="AF680">
        <v>0</v>
      </c>
      <c r="AG680">
        <v>0</v>
      </c>
      <c r="AH680" s="235">
        <v>23620.141598869712</v>
      </c>
      <c r="AI680">
        <v>226</v>
      </c>
      <c r="AJ680" t="s">
        <v>256</v>
      </c>
      <c r="AK680">
        <v>0</v>
      </c>
      <c r="AL680">
        <v>0</v>
      </c>
      <c r="AM680">
        <v>0</v>
      </c>
    </row>
    <row r="681" spans="1:39" x14ac:dyDescent="0.25">
      <c r="A681" t="s">
        <v>601</v>
      </c>
      <c r="B681" t="s">
        <v>579</v>
      </c>
      <c r="C681" t="s">
        <v>255</v>
      </c>
      <c r="D681" t="s">
        <v>234</v>
      </c>
      <c r="E681" t="s">
        <v>20</v>
      </c>
      <c r="F681" t="s">
        <v>279</v>
      </c>
      <c r="G681" t="s">
        <v>269</v>
      </c>
      <c r="H681" t="s">
        <v>254</v>
      </c>
      <c r="I681" t="s">
        <v>242</v>
      </c>
      <c r="J681" t="s">
        <v>235</v>
      </c>
      <c r="K681" s="380">
        <v>36770</v>
      </c>
      <c r="L681" s="235">
        <v>-77471.633855829525</v>
      </c>
      <c r="M681" s="380">
        <v>36768</v>
      </c>
      <c r="N681" t="s">
        <v>1</v>
      </c>
      <c r="O681">
        <v>-1.17</v>
      </c>
      <c r="P681">
        <v>0</v>
      </c>
      <c r="Q681">
        <v>0</v>
      </c>
      <c r="R681">
        <v>0</v>
      </c>
      <c r="S681">
        <v>0</v>
      </c>
      <c r="T681" t="s">
        <v>253</v>
      </c>
      <c r="U681" t="s">
        <v>9</v>
      </c>
      <c r="V681" t="s">
        <v>253</v>
      </c>
      <c r="W681" t="s">
        <v>132</v>
      </c>
      <c r="X681" t="s">
        <v>253</v>
      </c>
      <c r="Y681" t="s">
        <v>235</v>
      </c>
      <c r="Z681" t="s">
        <v>236</v>
      </c>
      <c r="AA681" t="s">
        <v>253</v>
      </c>
      <c r="AB681" t="s">
        <v>121</v>
      </c>
      <c r="AC681" s="235">
        <v>-1000000</v>
      </c>
      <c r="AD681" s="235">
        <v>-3899.5084578369278</v>
      </c>
      <c r="AE681">
        <v>0</v>
      </c>
      <c r="AF681">
        <v>0</v>
      </c>
      <c r="AG681">
        <v>0</v>
      </c>
      <c r="AH681" s="235">
        <v>-36324.716319556814</v>
      </c>
      <c r="AI681">
        <v>226</v>
      </c>
      <c r="AJ681" t="s">
        <v>256</v>
      </c>
      <c r="AK681">
        <v>0</v>
      </c>
      <c r="AL681">
        <v>0</v>
      </c>
      <c r="AM681">
        <v>0</v>
      </c>
    </row>
    <row r="682" spans="1:39" x14ac:dyDescent="0.25">
      <c r="A682" t="s">
        <v>601</v>
      </c>
      <c r="B682" t="s">
        <v>580</v>
      </c>
      <c r="C682" t="s">
        <v>255</v>
      </c>
      <c r="D682" t="s">
        <v>234</v>
      </c>
      <c r="E682" t="s">
        <v>20</v>
      </c>
      <c r="F682" t="s">
        <v>279</v>
      </c>
      <c r="G682" t="s">
        <v>269</v>
      </c>
      <c r="H682" t="s">
        <v>254</v>
      </c>
      <c r="I682" t="s">
        <v>242</v>
      </c>
      <c r="J682" t="s">
        <v>235</v>
      </c>
      <c r="K682" s="380">
        <v>36770</v>
      </c>
      <c r="L682" s="235">
        <v>-3748.6965116655392</v>
      </c>
      <c r="M682" s="380">
        <v>36768</v>
      </c>
      <c r="N682" t="s">
        <v>21</v>
      </c>
      <c r="O682">
        <v>-1.17</v>
      </c>
      <c r="P682">
        <v>0</v>
      </c>
      <c r="Q682">
        <v>0</v>
      </c>
      <c r="R682">
        <v>0</v>
      </c>
      <c r="S682">
        <v>0</v>
      </c>
      <c r="T682" t="s">
        <v>253</v>
      </c>
      <c r="U682" t="s">
        <v>9</v>
      </c>
      <c r="V682" t="s">
        <v>253</v>
      </c>
      <c r="W682" t="s">
        <v>132</v>
      </c>
      <c r="X682" t="s">
        <v>253</v>
      </c>
      <c r="Y682" t="s">
        <v>235</v>
      </c>
      <c r="Z682" t="s">
        <v>236</v>
      </c>
      <c r="AA682" t="s">
        <v>253</v>
      </c>
      <c r="AB682" t="s">
        <v>121</v>
      </c>
      <c r="AC682" s="235">
        <v>-500000</v>
      </c>
      <c r="AD682" s="235">
        <v>-1949.7542289184639</v>
      </c>
      <c r="AE682">
        <v>0</v>
      </c>
      <c r="AF682">
        <v>0</v>
      </c>
      <c r="AG682">
        <v>0</v>
      </c>
      <c r="AH682" s="235">
        <v>11810.070799434856</v>
      </c>
      <c r="AI682">
        <v>226</v>
      </c>
      <c r="AJ682" t="s">
        <v>256</v>
      </c>
      <c r="AK682">
        <v>0</v>
      </c>
      <c r="AL682">
        <v>0</v>
      </c>
      <c r="AM682">
        <v>0</v>
      </c>
    </row>
    <row r="683" spans="1:39" x14ac:dyDescent="0.25">
      <c r="A683" t="s">
        <v>601</v>
      </c>
      <c r="B683" t="s">
        <v>581</v>
      </c>
      <c r="C683" t="s">
        <v>255</v>
      </c>
      <c r="D683" t="s">
        <v>234</v>
      </c>
      <c r="E683" t="s">
        <v>20</v>
      </c>
      <c r="F683" t="s">
        <v>279</v>
      </c>
      <c r="G683" t="s">
        <v>269</v>
      </c>
      <c r="H683" t="s">
        <v>254</v>
      </c>
      <c r="I683" t="s">
        <v>242</v>
      </c>
      <c r="J683" t="s">
        <v>235</v>
      </c>
      <c r="K683" s="380">
        <v>36770</v>
      </c>
      <c r="L683" s="235">
        <v>-38735.816927914762</v>
      </c>
      <c r="M683" s="380">
        <v>36768</v>
      </c>
      <c r="N683" t="s">
        <v>1</v>
      </c>
      <c r="O683">
        <v>-1.17</v>
      </c>
      <c r="P683">
        <v>0</v>
      </c>
      <c r="Q683">
        <v>0</v>
      </c>
      <c r="R683">
        <v>0</v>
      </c>
      <c r="S683">
        <v>0</v>
      </c>
      <c r="T683" t="s">
        <v>253</v>
      </c>
      <c r="U683" t="s">
        <v>9</v>
      </c>
      <c r="V683" t="s">
        <v>253</v>
      </c>
      <c r="W683" t="s">
        <v>132</v>
      </c>
      <c r="X683" t="s">
        <v>253</v>
      </c>
      <c r="Y683" t="s">
        <v>235</v>
      </c>
      <c r="Z683" t="s">
        <v>236</v>
      </c>
      <c r="AA683" t="s">
        <v>253</v>
      </c>
      <c r="AB683" t="s">
        <v>121</v>
      </c>
      <c r="AC683" s="235">
        <v>-500000</v>
      </c>
      <c r="AD683" s="235">
        <v>-1949.7542289184639</v>
      </c>
      <c r="AE683">
        <v>0</v>
      </c>
      <c r="AF683">
        <v>0</v>
      </c>
      <c r="AG683">
        <v>0</v>
      </c>
      <c r="AH683" s="235">
        <v>-18162.358159778407</v>
      </c>
      <c r="AI683">
        <v>226</v>
      </c>
      <c r="AJ683" t="s">
        <v>256</v>
      </c>
      <c r="AK683">
        <v>0</v>
      </c>
      <c r="AL683">
        <v>0</v>
      </c>
      <c r="AM683">
        <v>0</v>
      </c>
    </row>
    <row r="684" spans="1:39" x14ac:dyDescent="0.25">
      <c r="A684" t="s">
        <v>601</v>
      </c>
      <c r="B684" t="s">
        <v>582</v>
      </c>
      <c r="C684" t="s">
        <v>255</v>
      </c>
      <c r="D684" t="s">
        <v>234</v>
      </c>
      <c r="E684" t="s">
        <v>20</v>
      </c>
      <c r="F684" t="s">
        <v>284</v>
      </c>
      <c r="G684" t="s">
        <v>269</v>
      </c>
      <c r="H684" t="s">
        <v>254</v>
      </c>
      <c r="I684" t="s">
        <v>242</v>
      </c>
      <c r="J684" t="s">
        <v>235</v>
      </c>
      <c r="K684" s="380">
        <v>36800</v>
      </c>
      <c r="L684" s="235">
        <v>10059.351249437903</v>
      </c>
      <c r="M684" s="380">
        <v>36797</v>
      </c>
      <c r="N684" t="s">
        <v>21</v>
      </c>
      <c r="O684">
        <v>-0.15</v>
      </c>
      <c r="P684">
        <v>0</v>
      </c>
      <c r="Q684">
        <v>0</v>
      </c>
      <c r="R684">
        <v>0</v>
      </c>
      <c r="S684">
        <v>0</v>
      </c>
      <c r="T684" t="s">
        <v>253</v>
      </c>
      <c r="U684" t="s">
        <v>6</v>
      </c>
      <c r="V684" t="s">
        <v>253</v>
      </c>
      <c r="W684" t="s">
        <v>132</v>
      </c>
      <c r="X684" t="s">
        <v>253</v>
      </c>
      <c r="Y684" t="s">
        <v>235</v>
      </c>
      <c r="Z684" t="s">
        <v>236</v>
      </c>
      <c r="AA684" t="s">
        <v>253</v>
      </c>
      <c r="AB684" t="s">
        <v>121</v>
      </c>
      <c r="AC684" s="235">
        <v>300000</v>
      </c>
      <c r="AD684" s="235">
        <v>1895.1943930450652</v>
      </c>
      <c r="AE684">
        <v>0</v>
      </c>
      <c r="AF684">
        <v>0</v>
      </c>
      <c r="AG684">
        <v>0</v>
      </c>
      <c r="AH684" s="235">
        <v>108.12692167228124</v>
      </c>
      <c r="AI684">
        <v>226</v>
      </c>
      <c r="AJ684" t="s">
        <v>256</v>
      </c>
      <c r="AK684">
        <v>0</v>
      </c>
      <c r="AL684">
        <v>0</v>
      </c>
      <c r="AM684">
        <v>0</v>
      </c>
    </row>
    <row r="685" spans="1:39" x14ac:dyDescent="0.25">
      <c r="A685" t="s">
        <v>601</v>
      </c>
      <c r="B685" t="s">
        <v>582</v>
      </c>
      <c r="C685" t="s">
        <v>255</v>
      </c>
      <c r="D685" t="s">
        <v>234</v>
      </c>
      <c r="E685" t="s">
        <v>20</v>
      </c>
      <c r="F685" t="s">
        <v>284</v>
      </c>
      <c r="G685" t="s">
        <v>269</v>
      </c>
      <c r="H685" t="s">
        <v>254</v>
      </c>
      <c r="I685" t="s">
        <v>242</v>
      </c>
      <c r="J685" t="s">
        <v>235</v>
      </c>
      <c r="K685" s="380">
        <v>36831</v>
      </c>
      <c r="L685" s="235">
        <v>15987.766770536227</v>
      </c>
      <c r="M685" s="380">
        <v>36829</v>
      </c>
      <c r="N685" t="s">
        <v>21</v>
      </c>
      <c r="O685">
        <v>-0.15</v>
      </c>
      <c r="P685">
        <v>0</v>
      </c>
      <c r="Q685">
        <v>0</v>
      </c>
      <c r="R685">
        <v>0</v>
      </c>
      <c r="S685">
        <v>0</v>
      </c>
      <c r="T685" t="s">
        <v>253</v>
      </c>
      <c r="U685" t="s">
        <v>6</v>
      </c>
      <c r="V685" t="s">
        <v>253</v>
      </c>
      <c r="W685" t="s">
        <v>132</v>
      </c>
      <c r="X685" t="s">
        <v>253</v>
      </c>
      <c r="Y685" t="s">
        <v>235</v>
      </c>
      <c r="Z685" t="s">
        <v>236</v>
      </c>
      <c r="AA685" t="s">
        <v>253</v>
      </c>
      <c r="AB685" t="s">
        <v>121</v>
      </c>
      <c r="AC685" s="235">
        <v>310000</v>
      </c>
      <c r="AD685" s="235">
        <v>2870.8697342405503</v>
      </c>
      <c r="AE685">
        <v>0</v>
      </c>
      <c r="AF685">
        <v>0</v>
      </c>
      <c r="AG685">
        <v>0</v>
      </c>
      <c r="AH685" s="235">
        <v>-252.92882058383111</v>
      </c>
      <c r="AI685">
        <v>226</v>
      </c>
      <c r="AJ685" t="s">
        <v>256</v>
      </c>
      <c r="AK685">
        <v>0</v>
      </c>
      <c r="AL685">
        <v>0</v>
      </c>
      <c r="AM685">
        <v>0</v>
      </c>
    </row>
    <row r="686" spans="1:39" x14ac:dyDescent="0.25">
      <c r="A686" t="s">
        <v>601</v>
      </c>
      <c r="B686" t="s">
        <v>582</v>
      </c>
      <c r="C686" t="s">
        <v>255</v>
      </c>
      <c r="D686" t="s">
        <v>234</v>
      </c>
      <c r="E686" t="s">
        <v>20</v>
      </c>
      <c r="F686" t="s">
        <v>284</v>
      </c>
      <c r="G686" t="s">
        <v>269</v>
      </c>
      <c r="H686" t="s">
        <v>254</v>
      </c>
      <c r="I686" t="s">
        <v>242</v>
      </c>
      <c r="J686" t="s">
        <v>235</v>
      </c>
      <c r="K686" s="380">
        <v>36861</v>
      </c>
      <c r="L686" s="235">
        <v>17886.749890787269</v>
      </c>
      <c r="M686" s="380">
        <v>36859</v>
      </c>
      <c r="N686" t="s">
        <v>21</v>
      </c>
      <c r="O686">
        <v>-0.15</v>
      </c>
      <c r="P686">
        <v>0</v>
      </c>
      <c r="Q686">
        <v>0</v>
      </c>
      <c r="R686">
        <v>0</v>
      </c>
      <c r="S686">
        <v>0</v>
      </c>
      <c r="T686" t="s">
        <v>253</v>
      </c>
      <c r="U686" t="s">
        <v>6</v>
      </c>
      <c r="V686" t="s">
        <v>253</v>
      </c>
      <c r="W686" t="s">
        <v>132</v>
      </c>
      <c r="X686" t="s">
        <v>253</v>
      </c>
      <c r="Y686" t="s">
        <v>235</v>
      </c>
      <c r="Z686" t="s">
        <v>236</v>
      </c>
      <c r="AA686" t="s">
        <v>253</v>
      </c>
      <c r="AB686" t="s">
        <v>121</v>
      </c>
      <c r="AC686" s="235">
        <v>310000</v>
      </c>
      <c r="AD686" s="235">
        <v>3504.0933946185105</v>
      </c>
      <c r="AE686">
        <v>0</v>
      </c>
      <c r="AF686">
        <v>0</v>
      </c>
      <c r="AG686">
        <v>0</v>
      </c>
      <c r="AH686" s="235">
        <v>-204.76711357450404</v>
      </c>
      <c r="AI686">
        <v>226</v>
      </c>
      <c r="AJ686" t="s">
        <v>256</v>
      </c>
      <c r="AK686">
        <v>0</v>
      </c>
      <c r="AL686">
        <v>0</v>
      </c>
      <c r="AM686">
        <v>0</v>
      </c>
    </row>
    <row r="687" spans="1:39" x14ac:dyDescent="0.25">
      <c r="A687" t="s">
        <v>601</v>
      </c>
      <c r="B687" t="s">
        <v>582</v>
      </c>
      <c r="C687" t="s">
        <v>255</v>
      </c>
      <c r="D687" t="s">
        <v>234</v>
      </c>
      <c r="E687" t="s">
        <v>20</v>
      </c>
      <c r="F687" t="s">
        <v>284</v>
      </c>
      <c r="G687" t="s">
        <v>269</v>
      </c>
      <c r="H687" t="s">
        <v>254</v>
      </c>
      <c r="I687" t="s">
        <v>242</v>
      </c>
      <c r="J687" t="s">
        <v>235</v>
      </c>
      <c r="K687" s="380">
        <v>36892</v>
      </c>
      <c r="L687" s="235">
        <v>19275.139662017253</v>
      </c>
      <c r="M687" s="380">
        <v>36888</v>
      </c>
      <c r="N687" t="s">
        <v>21</v>
      </c>
      <c r="O687">
        <v>-0.15</v>
      </c>
      <c r="P687">
        <v>0</v>
      </c>
      <c r="Q687">
        <v>0</v>
      </c>
      <c r="R687">
        <v>0</v>
      </c>
      <c r="S687">
        <v>0</v>
      </c>
      <c r="T687" t="s">
        <v>253</v>
      </c>
      <c r="U687" t="s">
        <v>6</v>
      </c>
      <c r="V687" t="s">
        <v>253</v>
      </c>
      <c r="W687" t="s">
        <v>132</v>
      </c>
      <c r="X687" t="s">
        <v>253</v>
      </c>
      <c r="Y687" t="s">
        <v>235</v>
      </c>
      <c r="Z687" t="s">
        <v>236</v>
      </c>
      <c r="AA687" t="s">
        <v>253</v>
      </c>
      <c r="AB687" t="s">
        <v>121</v>
      </c>
      <c r="AC687" s="235">
        <v>310000</v>
      </c>
      <c r="AD687" s="235">
        <v>4010.4928775268199</v>
      </c>
      <c r="AE687">
        <v>0</v>
      </c>
      <c r="AF687">
        <v>0</v>
      </c>
      <c r="AG687">
        <v>0</v>
      </c>
      <c r="AH687" s="235">
        <v>-173.38633505591861</v>
      </c>
      <c r="AI687">
        <v>226</v>
      </c>
      <c r="AJ687" t="s">
        <v>256</v>
      </c>
      <c r="AK687">
        <v>0</v>
      </c>
      <c r="AL687">
        <v>0</v>
      </c>
      <c r="AM687">
        <v>0</v>
      </c>
    </row>
    <row r="688" spans="1:39" x14ac:dyDescent="0.25">
      <c r="A688" t="s">
        <v>601</v>
      </c>
      <c r="B688" t="s">
        <v>582</v>
      </c>
      <c r="C688" t="s">
        <v>255</v>
      </c>
      <c r="D688" t="s">
        <v>234</v>
      </c>
      <c r="E688" t="s">
        <v>20</v>
      </c>
      <c r="F688" t="s">
        <v>284</v>
      </c>
      <c r="G688" t="s">
        <v>269</v>
      </c>
      <c r="H688" t="s">
        <v>254</v>
      </c>
      <c r="I688" t="s">
        <v>242</v>
      </c>
      <c r="J688" t="s">
        <v>235</v>
      </c>
      <c r="K688" s="380">
        <v>36923</v>
      </c>
      <c r="L688" s="235">
        <v>20191.238005208488</v>
      </c>
      <c r="M688" s="380">
        <v>36921</v>
      </c>
      <c r="N688" t="s">
        <v>21</v>
      </c>
      <c r="O688">
        <v>-0.15</v>
      </c>
      <c r="P688">
        <v>0</v>
      </c>
      <c r="Q688">
        <v>0</v>
      </c>
      <c r="R688">
        <v>0</v>
      </c>
      <c r="S688">
        <v>0</v>
      </c>
      <c r="T688" t="s">
        <v>253</v>
      </c>
      <c r="U688" t="s">
        <v>6</v>
      </c>
      <c r="V688" t="s">
        <v>253</v>
      </c>
      <c r="W688" t="s">
        <v>132</v>
      </c>
      <c r="X688" t="s">
        <v>253</v>
      </c>
      <c r="Y688" t="s">
        <v>235</v>
      </c>
      <c r="Z688" t="s">
        <v>236</v>
      </c>
      <c r="AA688" t="s">
        <v>253</v>
      </c>
      <c r="AB688" t="s">
        <v>121</v>
      </c>
      <c r="AC688" s="235">
        <v>280000</v>
      </c>
      <c r="AD688" s="235">
        <v>3962.986921349715</v>
      </c>
      <c r="AE688">
        <v>0</v>
      </c>
      <c r="AF688">
        <v>0</v>
      </c>
      <c r="AG688">
        <v>0</v>
      </c>
      <c r="AH688" s="235">
        <v>-162.15663969589514</v>
      </c>
      <c r="AI688">
        <v>226</v>
      </c>
      <c r="AJ688" t="s">
        <v>256</v>
      </c>
      <c r="AK688">
        <v>0</v>
      </c>
      <c r="AL688">
        <v>0</v>
      </c>
      <c r="AM688">
        <v>0</v>
      </c>
    </row>
    <row r="689" spans="1:39" x14ac:dyDescent="0.25">
      <c r="A689" t="s">
        <v>601</v>
      </c>
      <c r="B689" t="s">
        <v>582</v>
      </c>
      <c r="C689" t="s">
        <v>255</v>
      </c>
      <c r="D689" t="s">
        <v>234</v>
      </c>
      <c r="E689" t="s">
        <v>20</v>
      </c>
      <c r="F689" t="s">
        <v>284</v>
      </c>
      <c r="G689" t="s">
        <v>269</v>
      </c>
      <c r="H689" t="s">
        <v>254</v>
      </c>
      <c r="I689" t="s">
        <v>242</v>
      </c>
      <c r="J689" t="s">
        <v>235</v>
      </c>
      <c r="K689" s="380">
        <v>36951</v>
      </c>
      <c r="L689" s="235">
        <v>21768.742178494114</v>
      </c>
      <c r="M689" s="380">
        <v>36949</v>
      </c>
      <c r="N689" t="s">
        <v>21</v>
      </c>
      <c r="O689">
        <v>-0.15</v>
      </c>
      <c r="P689">
        <v>0</v>
      </c>
      <c r="Q689">
        <v>0</v>
      </c>
      <c r="R689">
        <v>0</v>
      </c>
      <c r="S689">
        <v>0</v>
      </c>
      <c r="T689" t="s">
        <v>253</v>
      </c>
      <c r="U689" t="s">
        <v>6</v>
      </c>
      <c r="V689" t="s">
        <v>253</v>
      </c>
      <c r="W689" t="s">
        <v>132</v>
      </c>
      <c r="X689" t="s">
        <v>253</v>
      </c>
      <c r="Y689" t="s">
        <v>235</v>
      </c>
      <c r="Z689" t="s">
        <v>236</v>
      </c>
      <c r="AA689" t="s">
        <v>253</v>
      </c>
      <c r="AB689" t="s">
        <v>121</v>
      </c>
      <c r="AC689" s="235">
        <v>310000</v>
      </c>
      <c r="AD689" s="235">
        <v>4228.2440711008094</v>
      </c>
      <c r="AE689">
        <v>0</v>
      </c>
      <c r="AF689">
        <v>0</v>
      </c>
      <c r="AG689">
        <v>0</v>
      </c>
      <c r="AH689" s="235">
        <v>-187.05531626224547</v>
      </c>
      <c r="AI689">
        <v>226</v>
      </c>
      <c r="AJ689" t="s">
        <v>256</v>
      </c>
      <c r="AK689">
        <v>0</v>
      </c>
      <c r="AL689">
        <v>0</v>
      </c>
      <c r="AM689">
        <v>0</v>
      </c>
    </row>
    <row r="690" spans="1:39" x14ac:dyDescent="0.25">
      <c r="A690" t="s">
        <v>601</v>
      </c>
      <c r="B690" t="s">
        <v>584</v>
      </c>
      <c r="C690" t="s">
        <v>255</v>
      </c>
      <c r="D690" t="s">
        <v>234</v>
      </c>
      <c r="E690" t="s">
        <v>20</v>
      </c>
      <c r="F690" t="s">
        <v>320</v>
      </c>
      <c r="G690" t="s">
        <v>269</v>
      </c>
      <c r="H690" t="s">
        <v>254</v>
      </c>
      <c r="I690" t="s">
        <v>242</v>
      </c>
      <c r="J690" t="s">
        <v>235</v>
      </c>
      <c r="K690" s="380">
        <v>36831</v>
      </c>
      <c r="L690" s="235">
        <v>-34217.991954447563</v>
      </c>
      <c r="M690" s="380">
        <v>36829</v>
      </c>
      <c r="N690" t="s">
        <v>21</v>
      </c>
      <c r="O690">
        <v>1.45</v>
      </c>
      <c r="P690">
        <v>0</v>
      </c>
      <c r="Q690">
        <v>0</v>
      </c>
      <c r="R690">
        <v>0</v>
      </c>
      <c r="S690">
        <v>0</v>
      </c>
      <c r="T690" t="s">
        <v>253</v>
      </c>
      <c r="U690" t="s">
        <v>7</v>
      </c>
      <c r="V690" t="s">
        <v>253</v>
      </c>
      <c r="W690" t="s">
        <v>132</v>
      </c>
      <c r="X690" t="s">
        <v>253</v>
      </c>
      <c r="Y690" t="s">
        <v>235</v>
      </c>
      <c r="Z690" t="s">
        <v>236</v>
      </c>
      <c r="AA690" t="s">
        <v>253</v>
      </c>
      <c r="AB690" t="s">
        <v>121</v>
      </c>
      <c r="AC690" s="235">
        <v>-500000</v>
      </c>
      <c r="AD690" s="235">
        <v>-13926.899238068101</v>
      </c>
      <c r="AE690">
        <v>0</v>
      </c>
      <c r="AF690">
        <v>0</v>
      </c>
      <c r="AG690">
        <v>0</v>
      </c>
      <c r="AH690" s="235">
        <v>-4474.182681077662</v>
      </c>
      <c r="AI690">
        <v>226</v>
      </c>
      <c r="AJ690" t="s">
        <v>256</v>
      </c>
      <c r="AK690">
        <v>0</v>
      </c>
      <c r="AL690">
        <v>0</v>
      </c>
      <c r="AM690">
        <v>0</v>
      </c>
    </row>
    <row r="691" spans="1:39" x14ac:dyDescent="0.25">
      <c r="A691" t="s">
        <v>601</v>
      </c>
      <c r="B691" t="s">
        <v>584</v>
      </c>
      <c r="C691" t="s">
        <v>255</v>
      </c>
      <c r="D691" t="s">
        <v>234</v>
      </c>
      <c r="E691" t="s">
        <v>20</v>
      </c>
      <c r="F691" t="s">
        <v>320</v>
      </c>
      <c r="G691" t="s">
        <v>269</v>
      </c>
      <c r="H691" t="s">
        <v>254</v>
      </c>
      <c r="I691" t="s">
        <v>242</v>
      </c>
      <c r="J691" t="s">
        <v>235</v>
      </c>
      <c r="K691" s="380">
        <v>36861</v>
      </c>
      <c r="L691" s="235">
        <v>-302382.18068237882</v>
      </c>
      <c r="M691" s="380">
        <v>36859</v>
      </c>
      <c r="N691" t="s">
        <v>21</v>
      </c>
      <c r="O691">
        <v>1.45</v>
      </c>
      <c r="P691">
        <v>0</v>
      </c>
      <c r="Q691">
        <v>0</v>
      </c>
      <c r="R691">
        <v>0</v>
      </c>
      <c r="S691">
        <v>0</v>
      </c>
      <c r="T691" t="s">
        <v>253</v>
      </c>
      <c r="U691" t="s">
        <v>7</v>
      </c>
      <c r="V691" t="s">
        <v>253</v>
      </c>
      <c r="W691" t="s">
        <v>132</v>
      </c>
      <c r="X691" t="s">
        <v>253</v>
      </c>
      <c r="Y691" t="s">
        <v>235</v>
      </c>
      <c r="Z691" t="s">
        <v>236</v>
      </c>
      <c r="AA691" t="s">
        <v>253</v>
      </c>
      <c r="AB691" t="s">
        <v>121</v>
      </c>
      <c r="AC691" s="235">
        <v>-500000</v>
      </c>
      <c r="AD691" s="235">
        <v>-35267.067045295145</v>
      </c>
      <c r="AE691">
        <v>0</v>
      </c>
      <c r="AF691">
        <v>0</v>
      </c>
      <c r="AG691">
        <v>0</v>
      </c>
      <c r="AH691" s="235">
        <v>-14918.854107460415</v>
      </c>
      <c r="AI691">
        <v>226</v>
      </c>
      <c r="AJ691" t="s">
        <v>256</v>
      </c>
      <c r="AK691">
        <v>0</v>
      </c>
      <c r="AL691">
        <v>0</v>
      </c>
      <c r="AM691">
        <v>0</v>
      </c>
    </row>
    <row r="692" spans="1:39" x14ac:dyDescent="0.25">
      <c r="A692" t="s">
        <v>601</v>
      </c>
      <c r="B692" t="s">
        <v>584</v>
      </c>
      <c r="C692" t="s">
        <v>255</v>
      </c>
      <c r="D692" t="s">
        <v>234</v>
      </c>
      <c r="E692" t="s">
        <v>20</v>
      </c>
      <c r="F692" t="s">
        <v>320</v>
      </c>
      <c r="G692" t="s">
        <v>269</v>
      </c>
      <c r="H692" t="s">
        <v>254</v>
      </c>
      <c r="I692" t="s">
        <v>242</v>
      </c>
      <c r="J692" t="s">
        <v>235</v>
      </c>
      <c r="K692" s="380">
        <v>36892</v>
      </c>
      <c r="L692" s="235">
        <v>-507142.08899972937</v>
      </c>
      <c r="M692" s="380">
        <v>36888</v>
      </c>
      <c r="N692" t="s">
        <v>21</v>
      </c>
      <c r="O692">
        <v>1.45</v>
      </c>
      <c r="P692">
        <v>0</v>
      </c>
      <c r="Q692">
        <v>0</v>
      </c>
      <c r="R692">
        <v>0</v>
      </c>
      <c r="S692">
        <v>0</v>
      </c>
      <c r="T692" t="s">
        <v>253</v>
      </c>
      <c r="U692" t="s">
        <v>7</v>
      </c>
      <c r="V692" t="s">
        <v>253</v>
      </c>
      <c r="W692" t="s">
        <v>132</v>
      </c>
      <c r="X692" t="s">
        <v>253</v>
      </c>
      <c r="Y692" t="s">
        <v>235</v>
      </c>
      <c r="Z692" t="s">
        <v>236</v>
      </c>
      <c r="AA692" t="s">
        <v>253</v>
      </c>
      <c r="AB692" t="s">
        <v>121</v>
      </c>
      <c r="AC692" s="235">
        <v>-500000</v>
      </c>
      <c r="AD692" s="235">
        <v>-36370.980078329507</v>
      </c>
      <c r="AE692">
        <v>0</v>
      </c>
      <c r="AF692">
        <v>0</v>
      </c>
      <c r="AG692">
        <v>0</v>
      </c>
      <c r="AH692" s="235">
        <v>-22760.307725450431</v>
      </c>
      <c r="AI692">
        <v>226</v>
      </c>
      <c r="AJ692" t="s">
        <v>256</v>
      </c>
      <c r="AK692">
        <v>0</v>
      </c>
      <c r="AL692">
        <v>0</v>
      </c>
      <c r="AM692">
        <v>0</v>
      </c>
    </row>
    <row r="693" spans="1:39" x14ac:dyDescent="0.25">
      <c r="A693" t="s">
        <v>601</v>
      </c>
      <c r="B693" t="s">
        <v>584</v>
      </c>
      <c r="C693" t="s">
        <v>255</v>
      </c>
      <c r="D693" t="s">
        <v>234</v>
      </c>
      <c r="E693" t="s">
        <v>20</v>
      </c>
      <c r="F693" t="s">
        <v>320</v>
      </c>
      <c r="G693" t="s">
        <v>269</v>
      </c>
      <c r="H693" t="s">
        <v>254</v>
      </c>
      <c r="I693" t="s">
        <v>242</v>
      </c>
      <c r="J693" t="s">
        <v>235</v>
      </c>
      <c r="K693" s="380">
        <v>36923</v>
      </c>
      <c r="L693" s="235">
        <v>-493217.2966635818</v>
      </c>
      <c r="M693" s="380">
        <v>36921</v>
      </c>
      <c r="N693" t="s">
        <v>21</v>
      </c>
      <c r="O693">
        <v>1.45</v>
      </c>
      <c r="P693">
        <v>0</v>
      </c>
      <c r="Q693">
        <v>0</v>
      </c>
      <c r="R693">
        <v>0</v>
      </c>
      <c r="S693">
        <v>0</v>
      </c>
      <c r="T693" t="s">
        <v>253</v>
      </c>
      <c r="U693" t="s">
        <v>7</v>
      </c>
      <c r="V693" t="s">
        <v>253</v>
      </c>
      <c r="W693" t="s">
        <v>132</v>
      </c>
      <c r="X693" t="s">
        <v>253</v>
      </c>
      <c r="Y693" t="s">
        <v>235</v>
      </c>
      <c r="Z693" t="s">
        <v>236</v>
      </c>
      <c r="AA693" t="s">
        <v>253</v>
      </c>
      <c r="AB693" t="s">
        <v>121</v>
      </c>
      <c r="AC693" s="235">
        <v>-500000</v>
      </c>
      <c r="AD693" s="235">
        <v>-40927.446316120971</v>
      </c>
      <c r="AE693">
        <v>0</v>
      </c>
      <c r="AF693">
        <v>0</v>
      </c>
      <c r="AG693">
        <v>0</v>
      </c>
      <c r="AH693" s="235">
        <v>-25592.436281168368</v>
      </c>
      <c r="AI693">
        <v>226</v>
      </c>
      <c r="AJ693" t="s">
        <v>256</v>
      </c>
      <c r="AK693">
        <v>0</v>
      </c>
      <c r="AL693">
        <v>0</v>
      </c>
      <c r="AM693">
        <v>0</v>
      </c>
    </row>
    <row r="694" spans="1:39" x14ac:dyDescent="0.25">
      <c r="A694" t="s">
        <v>601</v>
      </c>
      <c r="B694" t="s">
        <v>584</v>
      </c>
      <c r="C694" t="s">
        <v>255</v>
      </c>
      <c r="D694" t="s">
        <v>234</v>
      </c>
      <c r="E694" t="s">
        <v>20</v>
      </c>
      <c r="F694" t="s">
        <v>320</v>
      </c>
      <c r="G694" t="s">
        <v>269</v>
      </c>
      <c r="H694" t="s">
        <v>254</v>
      </c>
      <c r="I694" t="s">
        <v>242</v>
      </c>
      <c r="J694" t="s">
        <v>235</v>
      </c>
      <c r="K694" s="380">
        <v>36951</v>
      </c>
      <c r="L694" s="235">
        <v>-186609.44103303374</v>
      </c>
      <c r="M694" s="380">
        <v>36949</v>
      </c>
      <c r="N694" t="s">
        <v>21</v>
      </c>
      <c r="O694">
        <v>1.45</v>
      </c>
      <c r="P694">
        <v>0</v>
      </c>
      <c r="Q694">
        <v>0</v>
      </c>
      <c r="R694">
        <v>0</v>
      </c>
      <c r="S694">
        <v>0</v>
      </c>
      <c r="T694" t="s">
        <v>253</v>
      </c>
      <c r="U694" t="s">
        <v>7</v>
      </c>
      <c r="V694" t="s">
        <v>253</v>
      </c>
      <c r="W694" t="s">
        <v>132</v>
      </c>
      <c r="X694" t="s">
        <v>253</v>
      </c>
      <c r="Y694" t="s">
        <v>235</v>
      </c>
      <c r="Z694" t="s">
        <v>236</v>
      </c>
      <c r="AA694" t="s">
        <v>253</v>
      </c>
      <c r="AB694" t="s">
        <v>121</v>
      </c>
      <c r="AC694" s="235">
        <v>-500000</v>
      </c>
      <c r="AD694" s="235">
        <v>-42032.484660374117</v>
      </c>
      <c r="AE694">
        <v>0</v>
      </c>
      <c r="AF694">
        <v>0</v>
      </c>
      <c r="AG694">
        <v>0</v>
      </c>
      <c r="AH694" s="235">
        <v>-14762.73901139095</v>
      </c>
      <c r="AI694">
        <v>226</v>
      </c>
      <c r="AJ694" t="s">
        <v>256</v>
      </c>
      <c r="AK694">
        <v>0</v>
      </c>
      <c r="AL694">
        <v>0</v>
      </c>
      <c r="AM694">
        <v>0</v>
      </c>
    </row>
    <row r="695" spans="1:39" x14ac:dyDescent="0.25">
      <c r="A695" t="s">
        <v>601</v>
      </c>
      <c r="B695" t="s">
        <v>583</v>
      </c>
      <c r="C695" t="s">
        <v>255</v>
      </c>
      <c r="D695" t="s">
        <v>234</v>
      </c>
      <c r="E695" t="s">
        <v>20</v>
      </c>
      <c r="F695" t="s">
        <v>320</v>
      </c>
      <c r="G695" t="s">
        <v>269</v>
      </c>
      <c r="H695" t="s">
        <v>254</v>
      </c>
      <c r="I695" t="s">
        <v>242</v>
      </c>
      <c r="J695" t="s">
        <v>235</v>
      </c>
      <c r="K695" s="380">
        <v>36831</v>
      </c>
      <c r="L695" s="235">
        <v>-370247.25561892445</v>
      </c>
      <c r="M695" s="380">
        <v>36829</v>
      </c>
      <c r="N695" t="s">
        <v>1</v>
      </c>
      <c r="O695">
        <v>1.45</v>
      </c>
      <c r="P695">
        <v>0</v>
      </c>
      <c r="Q695">
        <v>0</v>
      </c>
      <c r="R695">
        <v>0</v>
      </c>
      <c r="S695">
        <v>0</v>
      </c>
      <c r="T695" t="s">
        <v>253</v>
      </c>
      <c r="U695" t="s">
        <v>7</v>
      </c>
      <c r="V695" t="s">
        <v>253</v>
      </c>
      <c r="W695" t="s">
        <v>132</v>
      </c>
      <c r="X695" t="s">
        <v>253</v>
      </c>
      <c r="Y695" t="s">
        <v>235</v>
      </c>
      <c r="Z695" t="s">
        <v>236</v>
      </c>
      <c r="AA695" t="s">
        <v>253</v>
      </c>
      <c r="AB695" t="s">
        <v>121</v>
      </c>
      <c r="AC695" s="235">
        <v>-500000</v>
      </c>
      <c r="AD695" s="235">
        <v>-13926.899238068087</v>
      </c>
      <c r="AE695">
        <v>0</v>
      </c>
      <c r="AF695">
        <v>0</v>
      </c>
      <c r="AG695">
        <v>0</v>
      </c>
      <c r="AH695" s="235">
        <v>15281.361025207385</v>
      </c>
      <c r="AI695">
        <v>226</v>
      </c>
      <c r="AJ695" t="s">
        <v>256</v>
      </c>
      <c r="AK695">
        <v>0</v>
      </c>
      <c r="AL695">
        <v>0</v>
      </c>
      <c r="AM695">
        <v>0</v>
      </c>
    </row>
    <row r="696" spans="1:39" x14ac:dyDescent="0.25">
      <c r="A696" t="s">
        <v>601</v>
      </c>
      <c r="B696" t="s">
        <v>583</v>
      </c>
      <c r="C696" t="s">
        <v>255</v>
      </c>
      <c r="D696" t="s">
        <v>234</v>
      </c>
      <c r="E696" t="s">
        <v>20</v>
      </c>
      <c r="F696" t="s">
        <v>320</v>
      </c>
      <c r="G696" t="s">
        <v>269</v>
      </c>
      <c r="H696" t="s">
        <v>254</v>
      </c>
      <c r="I696" t="s">
        <v>242</v>
      </c>
      <c r="J696" t="s">
        <v>235</v>
      </c>
      <c r="K696" s="380">
        <v>36861</v>
      </c>
      <c r="L696" s="235">
        <v>-206563.44355069546</v>
      </c>
      <c r="M696" s="380">
        <v>36859</v>
      </c>
      <c r="N696" t="s">
        <v>1</v>
      </c>
      <c r="O696">
        <v>1.45</v>
      </c>
      <c r="P696">
        <v>0</v>
      </c>
      <c r="Q696">
        <v>0</v>
      </c>
      <c r="R696">
        <v>0</v>
      </c>
      <c r="S696">
        <v>0</v>
      </c>
      <c r="T696" t="s">
        <v>253</v>
      </c>
      <c r="U696" t="s">
        <v>7</v>
      </c>
      <c r="V696" t="s">
        <v>253</v>
      </c>
      <c r="W696" t="s">
        <v>132</v>
      </c>
      <c r="X696" t="s">
        <v>253</v>
      </c>
      <c r="Y696" t="s">
        <v>235</v>
      </c>
      <c r="Z696" t="s">
        <v>236</v>
      </c>
      <c r="AA696" t="s">
        <v>253</v>
      </c>
      <c r="AB696" t="s">
        <v>121</v>
      </c>
      <c r="AC696" s="235">
        <v>-500000</v>
      </c>
      <c r="AD696" s="235">
        <v>-35267.067045295145</v>
      </c>
      <c r="AE696">
        <v>0</v>
      </c>
      <c r="AF696">
        <v>0</v>
      </c>
      <c r="AG696">
        <v>0</v>
      </c>
      <c r="AH696" s="235">
        <v>7180.9987672581919</v>
      </c>
      <c r="AI696">
        <v>226</v>
      </c>
      <c r="AJ696" t="s">
        <v>256</v>
      </c>
      <c r="AK696">
        <v>0</v>
      </c>
      <c r="AL696">
        <v>0</v>
      </c>
      <c r="AM696">
        <v>0</v>
      </c>
    </row>
    <row r="697" spans="1:39" x14ac:dyDescent="0.25">
      <c r="A697" t="s">
        <v>601</v>
      </c>
      <c r="B697" t="s">
        <v>583</v>
      </c>
      <c r="C697" t="s">
        <v>255</v>
      </c>
      <c r="D697" t="s">
        <v>234</v>
      </c>
      <c r="E697" t="s">
        <v>20</v>
      </c>
      <c r="F697" t="s">
        <v>320</v>
      </c>
      <c r="G697" t="s">
        <v>269</v>
      </c>
      <c r="H697" t="s">
        <v>254</v>
      </c>
      <c r="I697" t="s">
        <v>242</v>
      </c>
      <c r="J697" t="s">
        <v>235</v>
      </c>
      <c r="K697" s="380">
        <v>36892</v>
      </c>
      <c r="L697" s="235">
        <v>-155270.74068602797</v>
      </c>
      <c r="M697" s="380">
        <v>36888</v>
      </c>
      <c r="N697" t="s">
        <v>1</v>
      </c>
      <c r="O697">
        <v>1.45</v>
      </c>
      <c r="P697">
        <v>0</v>
      </c>
      <c r="Q697">
        <v>0</v>
      </c>
      <c r="R697">
        <v>0</v>
      </c>
      <c r="S697">
        <v>0</v>
      </c>
      <c r="T697" t="s">
        <v>253</v>
      </c>
      <c r="U697" t="s">
        <v>7</v>
      </c>
      <c r="V697" t="s">
        <v>253</v>
      </c>
      <c r="W697" t="s">
        <v>132</v>
      </c>
      <c r="X697" t="s">
        <v>253</v>
      </c>
      <c r="Y697" t="s">
        <v>235</v>
      </c>
      <c r="Z697" t="s">
        <v>236</v>
      </c>
      <c r="AA697" t="s">
        <v>253</v>
      </c>
      <c r="AB697" t="s">
        <v>121</v>
      </c>
      <c r="AC697" s="235">
        <v>-500000</v>
      </c>
      <c r="AD697" s="235">
        <v>-36370.980078329507</v>
      </c>
      <c r="AE697">
        <v>0</v>
      </c>
      <c r="AF697">
        <v>0</v>
      </c>
      <c r="AG697">
        <v>0</v>
      </c>
      <c r="AH697" s="235">
        <v>6546.6708995178633</v>
      </c>
      <c r="AI697">
        <v>226</v>
      </c>
      <c r="AJ697" t="s">
        <v>256</v>
      </c>
      <c r="AK697">
        <v>0</v>
      </c>
      <c r="AL697">
        <v>0</v>
      </c>
      <c r="AM697">
        <v>0</v>
      </c>
    </row>
    <row r="698" spans="1:39" x14ac:dyDescent="0.25">
      <c r="A698" t="s">
        <v>601</v>
      </c>
      <c r="B698" t="s">
        <v>583</v>
      </c>
      <c r="C698" t="s">
        <v>255</v>
      </c>
      <c r="D698" t="s">
        <v>234</v>
      </c>
      <c r="E698" t="s">
        <v>20</v>
      </c>
      <c r="F698" t="s">
        <v>320</v>
      </c>
      <c r="G698" t="s">
        <v>269</v>
      </c>
      <c r="H698" t="s">
        <v>254</v>
      </c>
      <c r="I698" t="s">
        <v>242</v>
      </c>
      <c r="J698" t="s">
        <v>235</v>
      </c>
      <c r="K698" s="380">
        <v>36923</v>
      </c>
      <c r="L698" s="235">
        <v>-182404.00451282813</v>
      </c>
      <c r="M698" s="380">
        <v>36921</v>
      </c>
      <c r="N698" t="s">
        <v>1</v>
      </c>
      <c r="O698">
        <v>1.45</v>
      </c>
      <c r="P698">
        <v>0</v>
      </c>
      <c r="Q698">
        <v>0</v>
      </c>
      <c r="R698">
        <v>0</v>
      </c>
      <c r="S698">
        <v>0</v>
      </c>
      <c r="T698" t="s">
        <v>253</v>
      </c>
      <c r="U698" t="s">
        <v>7</v>
      </c>
      <c r="V698" t="s">
        <v>253</v>
      </c>
      <c r="W698" t="s">
        <v>132</v>
      </c>
      <c r="X698" t="s">
        <v>253</v>
      </c>
      <c r="Y698" t="s">
        <v>235</v>
      </c>
      <c r="Z698" t="s">
        <v>236</v>
      </c>
      <c r="AA698" t="s">
        <v>253</v>
      </c>
      <c r="AB698" t="s">
        <v>121</v>
      </c>
      <c r="AC698" s="235">
        <v>-500000</v>
      </c>
      <c r="AD698" s="235">
        <v>-40927.446316120971</v>
      </c>
      <c r="AE698">
        <v>0</v>
      </c>
      <c r="AF698">
        <v>0</v>
      </c>
      <c r="AG698">
        <v>0</v>
      </c>
      <c r="AH698" s="235">
        <v>8385.2920286080625</v>
      </c>
      <c r="AI698">
        <v>226</v>
      </c>
      <c r="AJ698" t="s">
        <v>256</v>
      </c>
      <c r="AK698">
        <v>0</v>
      </c>
      <c r="AL698">
        <v>0</v>
      </c>
      <c r="AM698">
        <v>0</v>
      </c>
    </row>
    <row r="699" spans="1:39" x14ac:dyDescent="0.25">
      <c r="A699" t="s">
        <v>601</v>
      </c>
      <c r="B699" t="s">
        <v>583</v>
      </c>
      <c r="C699" t="s">
        <v>255</v>
      </c>
      <c r="D699" t="s">
        <v>234</v>
      </c>
      <c r="E699" t="s">
        <v>20</v>
      </c>
      <c r="F699" t="s">
        <v>320</v>
      </c>
      <c r="G699" t="s">
        <v>269</v>
      </c>
      <c r="H699" t="s">
        <v>254</v>
      </c>
      <c r="I699" t="s">
        <v>242</v>
      </c>
      <c r="J699" t="s">
        <v>235</v>
      </c>
      <c r="K699" s="380">
        <v>36951</v>
      </c>
      <c r="L699" s="235">
        <v>-367749.07992925763</v>
      </c>
      <c r="M699" s="380">
        <v>36949</v>
      </c>
      <c r="N699" t="s">
        <v>1</v>
      </c>
      <c r="O699">
        <v>1.45</v>
      </c>
      <c r="P699">
        <v>0</v>
      </c>
      <c r="Q699">
        <v>0</v>
      </c>
      <c r="R699">
        <v>0</v>
      </c>
      <c r="S699">
        <v>0</v>
      </c>
      <c r="T699" t="s">
        <v>253</v>
      </c>
      <c r="U699" t="s">
        <v>7</v>
      </c>
      <c r="V699" t="s">
        <v>253</v>
      </c>
      <c r="W699" t="s">
        <v>132</v>
      </c>
      <c r="X699" t="s">
        <v>253</v>
      </c>
      <c r="Y699" t="s">
        <v>235</v>
      </c>
      <c r="Z699" t="s">
        <v>236</v>
      </c>
      <c r="AA699" t="s">
        <v>253</v>
      </c>
      <c r="AB699" t="s">
        <v>121</v>
      </c>
      <c r="AC699" s="235">
        <v>-500000</v>
      </c>
      <c r="AD699" s="235">
        <v>-42032.484660374117</v>
      </c>
      <c r="AE699">
        <v>0</v>
      </c>
      <c r="AF699">
        <v>0</v>
      </c>
      <c r="AG699">
        <v>0</v>
      </c>
      <c r="AH699" s="235">
        <v>14205.327942383534</v>
      </c>
      <c r="AI699">
        <v>226</v>
      </c>
      <c r="AJ699" t="s">
        <v>256</v>
      </c>
      <c r="AK699">
        <v>0</v>
      </c>
      <c r="AL699">
        <v>0</v>
      </c>
      <c r="AM699">
        <v>0</v>
      </c>
    </row>
    <row r="700" spans="1:39" x14ac:dyDescent="0.25">
      <c r="A700" t="s">
        <v>601</v>
      </c>
      <c r="B700" t="s">
        <v>585</v>
      </c>
      <c r="C700" t="s">
        <v>255</v>
      </c>
      <c r="D700" t="s">
        <v>234</v>
      </c>
      <c r="E700" t="s">
        <v>20</v>
      </c>
      <c r="F700" t="s">
        <v>320</v>
      </c>
      <c r="G700" t="s">
        <v>269</v>
      </c>
      <c r="H700" t="s">
        <v>254</v>
      </c>
      <c r="I700" t="s">
        <v>242</v>
      </c>
      <c r="J700" t="s">
        <v>235</v>
      </c>
      <c r="K700" s="380">
        <v>36831</v>
      </c>
      <c r="L700" s="235">
        <v>365285.37794140994</v>
      </c>
      <c r="M700" s="380">
        <v>36829</v>
      </c>
      <c r="N700" t="s">
        <v>1</v>
      </c>
      <c r="O700">
        <v>0.95</v>
      </c>
      <c r="P700">
        <v>0</v>
      </c>
      <c r="Q700">
        <v>0</v>
      </c>
      <c r="R700">
        <v>0</v>
      </c>
      <c r="S700">
        <v>0</v>
      </c>
      <c r="T700" t="s">
        <v>253</v>
      </c>
      <c r="U700" t="s">
        <v>7</v>
      </c>
      <c r="V700" t="s">
        <v>253</v>
      </c>
      <c r="W700" t="s">
        <v>132</v>
      </c>
      <c r="X700" t="s">
        <v>253</v>
      </c>
      <c r="Y700" t="s">
        <v>235</v>
      </c>
      <c r="Z700" t="s">
        <v>236</v>
      </c>
      <c r="AA700" t="s">
        <v>253</v>
      </c>
      <c r="AB700" t="s">
        <v>121</v>
      </c>
      <c r="AC700" s="235">
        <v>1000000</v>
      </c>
      <c r="AD700" s="235">
        <v>42890.904280145071</v>
      </c>
      <c r="AE700">
        <v>0</v>
      </c>
      <c r="AF700">
        <v>0</v>
      </c>
      <c r="AG700">
        <v>0</v>
      </c>
      <c r="AH700" s="235">
        <v>-21052.313090910611</v>
      </c>
      <c r="AI700">
        <v>226</v>
      </c>
      <c r="AJ700" t="s">
        <v>256</v>
      </c>
      <c r="AK700">
        <v>0</v>
      </c>
      <c r="AL700">
        <v>0</v>
      </c>
      <c r="AM700">
        <v>0</v>
      </c>
    </row>
    <row r="701" spans="1:39" x14ac:dyDescent="0.25">
      <c r="A701" t="s">
        <v>601</v>
      </c>
      <c r="B701" t="s">
        <v>585</v>
      </c>
      <c r="C701" t="s">
        <v>255</v>
      </c>
      <c r="D701" t="s">
        <v>234</v>
      </c>
      <c r="E701" t="s">
        <v>20</v>
      </c>
      <c r="F701" t="s">
        <v>320</v>
      </c>
      <c r="G701" t="s">
        <v>269</v>
      </c>
      <c r="H701" t="s">
        <v>254</v>
      </c>
      <c r="I701" t="s">
        <v>242</v>
      </c>
      <c r="J701" t="s">
        <v>235</v>
      </c>
      <c r="K701" s="380">
        <v>36861</v>
      </c>
      <c r="L701" s="235">
        <v>206779.59023365367</v>
      </c>
      <c r="M701" s="380">
        <v>36859</v>
      </c>
      <c r="N701" t="s">
        <v>1</v>
      </c>
      <c r="O701">
        <v>0.95</v>
      </c>
      <c r="P701">
        <v>0</v>
      </c>
      <c r="Q701">
        <v>0</v>
      </c>
      <c r="R701">
        <v>0</v>
      </c>
      <c r="S701">
        <v>0</v>
      </c>
      <c r="T701" t="s">
        <v>253</v>
      </c>
      <c r="U701" t="s">
        <v>7</v>
      </c>
      <c r="V701" t="s">
        <v>253</v>
      </c>
      <c r="W701" t="s">
        <v>132</v>
      </c>
      <c r="X701" t="s">
        <v>253</v>
      </c>
      <c r="Y701" t="s">
        <v>235</v>
      </c>
      <c r="Z701" t="s">
        <v>236</v>
      </c>
      <c r="AA701" t="s">
        <v>253</v>
      </c>
      <c r="AB701" t="s">
        <v>121</v>
      </c>
      <c r="AC701" s="235">
        <v>1000000</v>
      </c>
      <c r="AD701" s="235">
        <v>62140.966342002706</v>
      </c>
      <c r="AE701">
        <v>0</v>
      </c>
      <c r="AF701">
        <v>0</v>
      </c>
      <c r="AG701">
        <v>0</v>
      </c>
      <c r="AH701" s="235">
        <v>-8118.973104463279</v>
      </c>
      <c r="AI701">
        <v>226</v>
      </c>
      <c r="AJ701" t="s">
        <v>256</v>
      </c>
      <c r="AK701">
        <v>0</v>
      </c>
      <c r="AL701">
        <v>0</v>
      </c>
      <c r="AM701">
        <v>0</v>
      </c>
    </row>
    <row r="702" spans="1:39" x14ac:dyDescent="0.25">
      <c r="A702" t="s">
        <v>601</v>
      </c>
      <c r="B702" t="s">
        <v>585</v>
      </c>
      <c r="C702" t="s">
        <v>255</v>
      </c>
      <c r="D702" t="s">
        <v>234</v>
      </c>
      <c r="E702" t="s">
        <v>20</v>
      </c>
      <c r="F702" t="s">
        <v>320</v>
      </c>
      <c r="G702" t="s">
        <v>269</v>
      </c>
      <c r="H702" t="s">
        <v>254</v>
      </c>
      <c r="I702" t="s">
        <v>242</v>
      </c>
      <c r="J702" t="s">
        <v>235</v>
      </c>
      <c r="K702" s="380">
        <v>36892</v>
      </c>
      <c r="L702" s="235">
        <v>154296.15312093103</v>
      </c>
      <c r="M702" s="380">
        <v>36888</v>
      </c>
      <c r="N702" t="s">
        <v>1</v>
      </c>
      <c r="O702">
        <v>0.95</v>
      </c>
      <c r="P702">
        <v>0</v>
      </c>
      <c r="Q702">
        <v>0</v>
      </c>
      <c r="R702">
        <v>0</v>
      </c>
      <c r="S702">
        <v>0</v>
      </c>
      <c r="T702" t="s">
        <v>253</v>
      </c>
      <c r="U702" t="s">
        <v>7</v>
      </c>
      <c r="V702" t="s">
        <v>253</v>
      </c>
      <c r="W702" t="s">
        <v>132</v>
      </c>
      <c r="X702" t="s">
        <v>253</v>
      </c>
      <c r="Y702" t="s">
        <v>235</v>
      </c>
      <c r="Z702" t="s">
        <v>236</v>
      </c>
      <c r="AA702" t="s">
        <v>253</v>
      </c>
      <c r="AB702" t="s">
        <v>121</v>
      </c>
      <c r="AC702" s="235">
        <v>1000000</v>
      </c>
      <c r="AD702" s="235">
        <v>58574.150650883355</v>
      </c>
      <c r="AE702">
        <v>0</v>
      </c>
      <c r="AF702">
        <v>0</v>
      </c>
      <c r="AG702">
        <v>0</v>
      </c>
      <c r="AH702" s="235">
        <v>-7225.3304749372473</v>
      </c>
      <c r="AI702">
        <v>226</v>
      </c>
      <c r="AJ702" t="s">
        <v>256</v>
      </c>
      <c r="AK702">
        <v>0</v>
      </c>
      <c r="AL702">
        <v>0</v>
      </c>
      <c r="AM702">
        <v>0</v>
      </c>
    </row>
    <row r="703" spans="1:39" x14ac:dyDescent="0.25">
      <c r="A703" t="s">
        <v>601</v>
      </c>
      <c r="B703" t="s">
        <v>585</v>
      </c>
      <c r="C703" t="s">
        <v>255</v>
      </c>
      <c r="D703" t="s">
        <v>234</v>
      </c>
      <c r="E703" t="s">
        <v>20</v>
      </c>
      <c r="F703" t="s">
        <v>320</v>
      </c>
      <c r="G703" t="s">
        <v>269</v>
      </c>
      <c r="H703" t="s">
        <v>254</v>
      </c>
      <c r="I703" t="s">
        <v>242</v>
      </c>
      <c r="J703" t="s">
        <v>235</v>
      </c>
      <c r="K703" s="380">
        <v>36923</v>
      </c>
      <c r="L703" s="235">
        <v>190761.07387737962</v>
      </c>
      <c r="M703" s="380">
        <v>36921</v>
      </c>
      <c r="N703" t="s">
        <v>1</v>
      </c>
      <c r="O703">
        <v>0.95</v>
      </c>
      <c r="P703">
        <v>0</v>
      </c>
      <c r="Q703">
        <v>0</v>
      </c>
      <c r="R703">
        <v>0</v>
      </c>
      <c r="S703">
        <v>0</v>
      </c>
      <c r="T703" t="s">
        <v>253</v>
      </c>
      <c r="U703" t="s">
        <v>7</v>
      </c>
      <c r="V703" t="s">
        <v>253</v>
      </c>
      <c r="W703" t="s">
        <v>132</v>
      </c>
      <c r="X703" t="s">
        <v>253</v>
      </c>
      <c r="Y703" t="s">
        <v>235</v>
      </c>
      <c r="Z703" t="s">
        <v>236</v>
      </c>
      <c r="AA703" t="s">
        <v>253</v>
      </c>
      <c r="AB703" t="s">
        <v>121</v>
      </c>
      <c r="AC703" s="235">
        <v>1000000</v>
      </c>
      <c r="AD703" s="235">
        <v>68957.811988938804</v>
      </c>
      <c r="AE703">
        <v>0</v>
      </c>
      <c r="AF703">
        <v>0</v>
      </c>
      <c r="AG703">
        <v>0</v>
      </c>
      <c r="AH703" s="235">
        <v>-9846.6261578735721</v>
      </c>
      <c r="AI703">
        <v>226</v>
      </c>
      <c r="AJ703" t="s">
        <v>256</v>
      </c>
      <c r="AK703">
        <v>0</v>
      </c>
      <c r="AL703">
        <v>0</v>
      </c>
      <c r="AM703">
        <v>0</v>
      </c>
    </row>
    <row r="704" spans="1:39" x14ac:dyDescent="0.25">
      <c r="A704" t="s">
        <v>601</v>
      </c>
      <c r="B704" t="s">
        <v>585</v>
      </c>
      <c r="C704" t="s">
        <v>255</v>
      </c>
      <c r="D704" t="s">
        <v>234</v>
      </c>
      <c r="E704" t="s">
        <v>20</v>
      </c>
      <c r="F704" t="s">
        <v>320</v>
      </c>
      <c r="G704" t="s">
        <v>269</v>
      </c>
      <c r="H704" t="s">
        <v>254</v>
      </c>
      <c r="I704" t="s">
        <v>242</v>
      </c>
      <c r="J704" t="s">
        <v>235</v>
      </c>
      <c r="K704" s="380">
        <v>36951</v>
      </c>
      <c r="L704" s="235">
        <v>439193.57484196319</v>
      </c>
      <c r="M704" s="380">
        <v>36949</v>
      </c>
      <c r="N704" t="s">
        <v>1</v>
      </c>
      <c r="O704">
        <v>0.95</v>
      </c>
      <c r="P704">
        <v>0</v>
      </c>
      <c r="Q704">
        <v>0</v>
      </c>
      <c r="R704">
        <v>0</v>
      </c>
      <c r="S704">
        <v>0</v>
      </c>
      <c r="T704" t="s">
        <v>253</v>
      </c>
      <c r="U704" t="s">
        <v>7</v>
      </c>
      <c r="V704" t="s">
        <v>253</v>
      </c>
      <c r="W704" t="s">
        <v>132</v>
      </c>
      <c r="X704" t="s">
        <v>253</v>
      </c>
      <c r="Y704" t="s">
        <v>235</v>
      </c>
      <c r="Z704" t="s">
        <v>236</v>
      </c>
      <c r="AA704" t="s">
        <v>253</v>
      </c>
      <c r="AB704" t="s">
        <v>121</v>
      </c>
      <c r="AC704" s="235">
        <v>1000000</v>
      </c>
      <c r="AD704" s="235">
        <v>88919.377864861221</v>
      </c>
      <c r="AE704">
        <v>0</v>
      </c>
      <c r="AF704">
        <v>0</v>
      </c>
      <c r="AG704">
        <v>0</v>
      </c>
      <c r="AH704" s="235">
        <v>-19838.183083816606</v>
      </c>
      <c r="AI704">
        <v>226</v>
      </c>
      <c r="AJ704" t="s">
        <v>256</v>
      </c>
      <c r="AK704">
        <v>0</v>
      </c>
      <c r="AL704">
        <v>0</v>
      </c>
      <c r="AM704">
        <v>0</v>
      </c>
    </row>
    <row r="705" spans="1:39" x14ac:dyDescent="0.25">
      <c r="A705" t="s">
        <v>601</v>
      </c>
      <c r="B705" t="s">
        <v>586</v>
      </c>
      <c r="C705" t="s">
        <v>255</v>
      </c>
      <c r="D705" t="s">
        <v>234</v>
      </c>
      <c r="E705" t="s">
        <v>20</v>
      </c>
      <c r="F705" t="s">
        <v>279</v>
      </c>
      <c r="G705" t="s">
        <v>269</v>
      </c>
      <c r="H705" t="s">
        <v>254</v>
      </c>
      <c r="I705" t="s">
        <v>242</v>
      </c>
      <c r="J705" t="s">
        <v>235</v>
      </c>
      <c r="K705" s="380">
        <v>36800</v>
      </c>
      <c r="L705" s="235">
        <v>509416.19465448649</v>
      </c>
      <c r="M705" s="380">
        <v>36797</v>
      </c>
      <c r="N705" t="s">
        <v>1</v>
      </c>
      <c r="O705">
        <v>-0.65</v>
      </c>
      <c r="P705">
        <v>0</v>
      </c>
      <c r="Q705">
        <v>0</v>
      </c>
      <c r="R705">
        <v>0</v>
      </c>
      <c r="S705">
        <v>0</v>
      </c>
      <c r="T705" t="s">
        <v>253</v>
      </c>
      <c r="U705" t="s">
        <v>9</v>
      </c>
      <c r="V705" t="s">
        <v>253</v>
      </c>
      <c r="W705" t="s">
        <v>132</v>
      </c>
      <c r="X705" t="s">
        <v>253</v>
      </c>
      <c r="Y705" t="s">
        <v>235</v>
      </c>
      <c r="Z705" t="s">
        <v>236</v>
      </c>
      <c r="AA705" t="s">
        <v>253</v>
      </c>
      <c r="AB705" t="s">
        <v>121</v>
      </c>
      <c r="AC705" s="235">
        <v>2000000</v>
      </c>
      <c r="AD705" s="235">
        <v>66784.972172549693</v>
      </c>
      <c r="AE705">
        <v>0</v>
      </c>
      <c r="AF705">
        <v>0</v>
      </c>
      <c r="AG705">
        <v>0</v>
      </c>
      <c r="AH705" s="235">
        <v>80806.746004056418</v>
      </c>
      <c r="AI705">
        <v>226</v>
      </c>
      <c r="AJ705" t="s">
        <v>256</v>
      </c>
      <c r="AK705">
        <v>0</v>
      </c>
      <c r="AL705">
        <v>0</v>
      </c>
      <c r="AM705">
        <v>0</v>
      </c>
    </row>
    <row r="706" spans="1:39" x14ac:dyDescent="0.25">
      <c r="A706" t="s">
        <v>601</v>
      </c>
      <c r="B706" t="s">
        <v>587</v>
      </c>
      <c r="C706" t="s">
        <v>255</v>
      </c>
      <c r="D706" t="s">
        <v>234</v>
      </c>
      <c r="E706" t="s">
        <v>20</v>
      </c>
      <c r="F706" t="s">
        <v>279</v>
      </c>
      <c r="G706" t="s">
        <v>269</v>
      </c>
      <c r="H706" t="s">
        <v>254</v>
      </c>
      <c r="I706" t="s">
        <v>242</v>
      </c>
      <c r="J706" t="s">
        <v>235</v>
      </c>
      <c r="K706" s="380">
        <v>36800</v>
      </c>
      <c r="L706" s="235">
        <v>509416.19465448649</v>
      </c>
      <c r="M706" s="380">
        <v>36797</v>
      </c>
      <c r="N706" t="s">
        <v>1</v>
      </c>
      <c r="O706">
        <v>-0.65</v>
      </c>
      <c r="P706">
        <v>0</v>
      </c>
      <c r="Q706">
        <v>0</v>
      </c>
      <c r="R706">
        <v>0</v>
      </c>
      <c r="S706">
        <v>0</v>
      </c>
      <c r="T706" t="s">
        <v>253</v>
      </c>
      <c r="U706" t="s">
        <v>9</v>
      </c>
      <c r="V706" t="s">
        <v>253</v>
      </c>
      <c r="W706" t="s">
        <v>132</v>
      </c>
      <c r="X706" t="s">
        <v>253</v>
      </c>
      <c r="Y706" t="s">
        <v>235</v>
      </c>
      <c r="Z706" t="s">
        <v>236</v>
      </c>
      <c r="AA706" t="s">
        <v>253</v>
      </c>
      <c r="AB706" t="s">
        <v>121</v>
      </c>
      <c r="AC706" s="235">
        <v>2000000</v>
      </c>
      <c r="AD706" s="235">
        <v>66784.972172549693</v>
      </c>
      <c r="AE706">
        <v>0</v>
      </c>
      <c r="AF706">
        <v>0</v>
      </c>
      <c r="AG706">
        <v>0</v>
      </c>
      <c r="AH706" s="235">
        <v>80806.746004056418</v>
      </c>
      <c r="AI706">
        <v>226</v>
      </c>
      <c r="AJ706" t="s">
        <v>256</v>
      </c>
      <c r="AK706">
        <v>0</v>
      </c>
      <c r="AL706">
        <v>0</v>
      </c>
      <c r="AM706">
        <v>0</v>
      </c>
    </row>
    <row r="707" spans="1:39" x14ac:dyDescent="0.25">
      <c r="A707" t="s">
        <v>601</v>
      </c>
      <c r="B707" t="s">
        <v>588</v>
      </c>
      <c r="C707" t="s">
        <v>255</v>
      </c>
      <c r="D707" t="s">
        <v>234</v>
      </c>
      <c r="E707" t="s">
        <v>20</v>
      </c>
      <c r="F707" t="s">
        <v>281</v>
      </c>
      <c r="G707" t="s">
        <v>269</v>
      </c>
      <c r="H707" t="s">
        <v>254</v>
      </c>
      <c r="I707" t="s">
        <v>242</v>
      </c>
      <c r="J707" t="s">
        <v>235</v>
      </c>
      <c r="K707" s="380">
        <v>36982</v>
      </c>
      <c r="L707" s="235">
        <v>92397.701546993601</v>
      </c>
      <c r="M707" s="380">
        <v>36979</v>
      </c>
      <c r="N707" t="s">
        <v>21</v>
      </c>
      <c r="O707">
        <v>0.42</v>
      </c>
      <c r="P707">
        <v>0</v>
      </c>
      <c r="Q707">
        <v>0</v>
      </c>
      <c r="R707">
        <v>0</v>
      </c>
      <c r="S707">
        <v>0</v>
      </c>
      <c r="T707" t="s">
        <v>253</v>
      </c>
      <c r="U707" t="s">
        <v>7</v>
      </c>
      <c r="V707" t="s">
        <v>253</v>
      </c>
      <c r="W707" t="s">
        <v>132</v>
      </c>
      <c r="X707" t="s">
        <v>253</v>
      </c>
      <c r="Y707" t="s">
        <v>235</v>
      </c>
      <c r="Z707" t="s">
        <v>236</v>
      </c>
      <c r="AA707" t="s">
        <v>253</v>
      </c>
      <c r="AB707" t="s">
        <v>121</v>
      </c>
      <c r="AC707" s="235">
        <v>500000</v>
      </c>
      <c r="AD707" s="235">
        <v>12771.212169241335</v>
      </c>
      <c r="AE707">
        <v>0</v>
      </c>
      <c r="AF707">
        <v>0</v>
      </c>
      <c r="AG707">
        <v>0</v>
      </c>
      <c r="AH707" s="235">
        <v>608.81298425079149</v>
      </c>
      <c r="AI707">
        <v>226</v>
      </c>
      <c r="AJ707" t="s">
        <v>256</v>
      </c>
      <c r="AK707">
        <v>0</v>
      </c>
      <c r="AL707">
        <v>0</v>
      </c>
      <c r="AM707">
        <v>0</v>
      </c>
    </row>
    <row r="708" spans="1:39" x14ac:dyDescent="0.25">
      <c r="A708" t="s">
        <v>601</v>
      </c>
      <c r="B708" t="s">
        <v>588</v>
      </c>
      <c r="C708" t="s">
        <v>255</v>
      </c>
      <c r="D708" t="s">
        <v>234</v>
      </c>
      <c r="E708" t="s">
        <v>20</v>
      </c>
      <c r="F708" t="s">
        <v>281</v>
      </c>
      <c r="G708" t="s">
        <v>269</v>
      </c>
      <c r="H708" t="s">
        <v>254</v>
      </c>
      <c r="I708" t="s">
        <v>242</v>
      </c>
      <c r="J708" t="s">
        <v>235</v>
      </c>
      <c r="K708" s="380">
        <v>37012</v>
      </c>
      <c r="L708" s="235">
        <v>57853.329190414814</v>
      </c>
      <c r="M708" s="380">
        <v>37008</v>
      </c>
      <c r="N708" t="s">
        <v>21</v>
      </c>
      <c r="O708">
        <v>0.42</v>
      </c>
      <c r="P708">
        <v>0</v>
      </c>
      <c r="Q708">
        <v>0</v>
      </c>
      <c r="R708">
        <v>0</v>
      </c>
      <c r="S708">
        <v>0</v>
      </c>
      <c r="T708" t="s">
        <v>253</v>
      </c>
      <c r="U708" t="s">
        <v>7</v>
      </c>
      <c r="V708" t="s">
        <v>253</v>
      </c>
      <c r="W708" t="s">
        <v>132</v>
      </c>
      <c r="X708" t="s">
        <v>253</v>
      </c>
      <c r="Y708" t="s">
        <v>235</v>
      </c>
      <c r="Z708" t="s">
        <v>236</v>
      </c>
      <c r="AA708" t="s">
        <v>253</v>
      </c>
      <c r="AB708" t="s">
        <v>121</v>
      </c>
      <c r="AC708" s="235">
        <v>500000</v>
      </c>
      <c r="AD708" s="235">
        <v>12953.348912837828</v>
      </c>
      <c r="AE708">
        <v>0</v>
      </c>
      <c r="AF708">
        <v>0</v>
      </c>
      <c r="AG708">
        <v>0</v>
      </c>
      <c r="AH708" s="235">
        <v>616.89143310162035</v>
      </c>
      <c r="AI708">
        <v>226</v>
      </c>
      <c r="AJ708" t="s">
        <v>256</v>
      </c>
      <c r="AK708">
        <v>0</v>
      </c>
      <c r="AL708">
        <v>0</v>
      </c>
      <c r="AM708">
        <v>0</v>
      </c>
    </row>
    <row r="709" spans="1:39" x14ac:dyDescent="0.25">
      <c r="A709" t="s">
        <v>601</v>
      </c>
      <c r="B709" t="s">
        <v>588</v>
      </c>
      <c r="C709" t="s">
        <v>255</v>
      </c>
      <c r="D709" t="s">
        <v>234</v>
      </c>
      <c r="E709" t="s">
        <v>20</v>
      </c>
      <c r="F709" t="s">
        <v>281</v>
      </c>
      <c r="G709" t="s">
        <v>269</v>
      </c>
      <c r="H709" t="s">
        <v>254</v>
      </c>
      <c r="I709" t="s">
        <v>242</v>
      </c>
      <c r="J709" t="s">
        <v>235</v>
      </c>
      <c r="K709" s="380">
        <v>37043</v>
      </c>
      <c r="L709" s="235">
        <v>58086.061553279338</v>
      </c>
      <c r="M709" s="380">
        <v>37041</v>
      </c>
      <c r="N709" t="s">
        <v>21</v>
      </c>
      <c r="O709">
        <v>0.42</v>
      </c>
      <c r="P709">
        <v>0</v>
      </c>
      <c r="Q709">
        <v>0</v>
      </c>
      <c r="R709">
        <v>0</v>
      </c>
      <c r="S709">
        <v>0</v>
      </c>
      <c r="T709" t="s">
        <v>253</v>
      </c>
      <c r="U709" t="s">
        <v>7</v>
      </c>
      <c r="V709" t="s">
        <v>253</v>
      </c>
      <c r="W709" t="s">
        <v>132</v>
      </c>
      <c r="X709" t="s">
        <v>253</v>
      </c>
      <c r="Y709" t="s">
        <v>235</v>
      </c>
      <c r="Z709" t="s">
        <v>236</v>
      </c>
      <c r="AA709" t="s">
        <v>253</v>
      </c>
      <c r="AB709" t="s">
        <v>121</v>
      </c>
      <c r="AC709" s="235">
        <v>500000</v>
      </c>
      <c r="AD709" s="235">
        <v>13526.115762856847</v>
      </c>
      <c r="AE709">
        <v>0</v>
      </c>
      <c r="AF709">
        <v>0</v>
      </c>
      <c r="AG709">
        <v>0</v>
      </c>
      <c r="AH709" s="235">
        <v>643.58971707219462</v>
      </c>
      <c r="AI709">
        <v>226</v>
      </c>
      <c r="AJ709" t="s">
        <v>256</v>
      </c>
      <c r="AK709">
        <v>0</v>
      </c>
      <c r="AL709">
        <v>0</v>
      </c>
      <c r="AM709">
        <v>0</v>
      </c>
    </row>
    <row r="710" spans="1:39" x14ac:dyDescent="0.25">
      <c r="A710" t="s">
        <v>601</v>
      </c>
      <c r="B710" t="s">
        <v>588</v>
      </c>
      <c r="C710" t="s">
        <v>255</v>
      </c>
      <c r="D710" t="s">
        <v>234</v>
      </c>
      <c r="E710" t="s">
        <v>20</v>
      </c>
      <c r="F710" t="s">
        <v>281</v>
      </c>
      <c r="G710" t="s">
        <v>269</v>
      </c>
      <c r="H710" t="s">
        <v>254</v>
      </c>
      <c r="I710" t="s">
        <v>242</v>
      </c>
      <c r="J710" t="s">
        <v>235</v>
      </c>
      <c r="K710" s="380">
        <v>37073</v>
      </c>
      <c r="L710" s="235">
        <v>76999.325946283891</v>
      </c>
      <c r="M710" s="380">
        <v>37070</v>
      </c>
      <c r="N710" t="s">
        <v>21</v>
      </c>
      <c r="O710">
        <v>0.42</v>
      </c>
      <c r="P710">
        <v>0</v>
      </c>
      <c r="Q710">
        <v>0</v>
      </c>
      <c r="R710">
        <v>0</v>
      </c>
      <c r="S710">
        <v>0</v>
      </c>
      <c r="T710" t="s">
        <v>253</v>
      </c>
      <c r="U710" t="s">
        <v>7</v>
      </c>
      <c r="V710" t="s">
        <v>253</v>
      </c>
      <c r="W710" t="s">
        <v>132</v>
      </c>
      <c r="X710" t="s">
        <v>253</v>
      </c>
      <c r="Y710" t="s">
        <v>235</v>
      </c>
      <c r="Z710" t="s">
        <v>236</v>
      </c>
      <c r="AA710" t="s">
        <v>253</v>
      </c>
      <c r="AB710" t="s">
        <v>121</v>
      </c>
      <c r="AC710" s="235">
        <v>500000</v>
      </c>
      <c r="AD710" s="235">
        <v>14021.280238959385</v>
      </c>
      <c r="AE710">
        <v>0</v>
      </c>
      <c r="AF710">
        <v>0</v>
      </c>
      <c r="AG710">
        <v>0</v>
      </c>
      <c r="AH710" s="235">
        <v>666.69666707378929</v>
      </c>
      <c r="AI710">
        <v>226</v>
      </c>
      <c r="AJ710" t="s">
        <v>256</v>
      </c>
      <c r="AK710">
        <v>0</v>
      </c>
      <c r="AL710">
        <v>0</v>
      </c>
      <c r="AM710">
        <v>0</v>
      </c>
    </row>
    <row r="711" spans="1:39" x14ac:dyDescent="0.25">
      <c r="A711" t="s">
        <v>601</v>
      </c>
      <c r="B711" t="s">
        <v>588</v>
      </c>
      <c r="C711" t="s">
        <v>255</v>
      </c>
      <c r="D711" t="s">
        <v>234</v>
      </c>
      <c r="E711" t="s">
        <v>20</v>
      </c>
      <c r="F711" t="s">
        <v>281</v>
      </c>
      <c r="G711" t="s">
        <v>269</v>
      </c>
      <c r="H711" t="s">
        <v>254</v>
      </c>
      <c r="I711" t="s">
        <v>242</v>
      </c>
      <c r="J711" t="s">
        <v>235</v>
      </c>
      <c r="K711" s="380">
        <v>37104</v>
      </c>
      <c r="L711" s="235">
        <v>80035.622545812002</v>
      </c>
      <c r="M711" s="380">
        <v>37102</v>
      </c>
      <c r="N711" t="s">
        <v>21</v>
      </c>
      <c r="O711">
        <v>0.42</v>
      </c>
      <c r="P711">
        <v>0</v>
      </c>
      <c r="Q711">
        <v>0</v>
      </c>
      <c r="R711">
        <v>0</v>
      </c>
      <c r="S711">
        <v>0</v>
      </c>
      <c r="T711" t="s">
        <v>253</v>
      </c>
      <c r="U711" t="s">
        <v>7</v>
      </c>
      <c r="V711" t="s">
        <v>253</v>
      </c>
      <c r="W711" t="s">
        <v>132</v>
      </c>
      <c r="X711" t="s">
        <v>253</v>
      </c>
      <c r="Y711" t="s">
        <v>235</v>
      </c>
      <c r="Z711" t="s">
        <v>236</v>
      </c>
      <c r="AA711" t="s">
        <v>253</v>
      </c>
      <c r="AB711" t="s">
        <v>121</v>
      </c>
      <c r="AC711" s="235">
        <v>500000</v>
      </c>
      <c r="AD711" s="235">
        <v>14663.919171741931</v>
      </c>
      <c r="AE711">
        <v>0</v>
      </c>
      <c r="AF711">
        <v>0</v>
      </c>
      <c r="AG711">
        <v>0</v>
      </c>
      <c r="AH711" s="235">
        <v>696.97388294077246</v>
      </c>
      <c r="AI711">
        <v>226</v>
      </c>
      <c r="AJ711" t="s">
        <v>256</v>
      </c>
      <c r="AK711">
        <v>0</v>
      </c>
      <c r="AL711">
        <v>0</v>
      </c>
      <c r="AM711">
        <v>0</v>
      </c>
    </row>
    <row r="712" spans="1:39" x14ac:dyDescent="0.25">
      <c r="A712" t="s">
        <v>601</v>
      </c>
      <c r="B712" t="s">
        <v>588</v>
      </c>
      <c r="C712" t="s">
        <v>255</v>
      </c>
      <c r="D712" t="s">
        <v>234</v>
      </c>
      <c r="E712" t="s">
        <v>20</v>
      </c>
      <c r="F712" t="s">
        <v>281</v>
      </c>
      <c r="G712" t="s">
        <v>269</v>
      </c>
      <c r="H712" t="s">
        <v>254</v>
      </c>
      <c r="I712" t="s">
        <v>242</v>
      </c>
      <c r="J712" t="s">
        <v>235</v>
      </c>
      <c r="K712" s="380">
        <v>37135</v>
      </c>
      <c r="L712" s="235">
        <v>66409.469480575513</v>
      </c>
      <c r="M712" s="380">
        <v>37133</v>
      </c>
      <c r="N712" t="s">
        <v>21</v>
      </c>
      <c r="O712">
        <v>0.42</v>
      </c>
      <c r="P712">
        <v>0</v>
      </c>
      <c r="Q712">
        <v>0</v>
      </c>
      <c r="R712">
        <v>0</v>
      </c>
      <c r="S712">
        <v>0</v>
      </c>
      <c r="T712" t="s">
        <v>253</v>
      </c>
      <c r="U712" t="s">
        <v>7</v>
      </c>
      <c r="V712" t="s">
        <v>253</v>
      </c>
      <c r="W712" t="s">
        <v>132</v>
      </c>
      <c r="X712" t="s">
        <v>253</v>
      </c>
      <c r="Y712" t="s">
        <v>235</v>
      </c>
      <c r="Z712" t="s">
        <v>236</v>
      </c>
      <c r="AA712" t="s">
        <v>253</v>
      </c>
      <c r="AB712" t="s">
        <v>121</v>
      </c>
      <c r="AC712" s="235">
        <v>500000</v>
      </c>
      <c r="AD712" s="235">
        <v>15346.006446213782</v>
      </c>
      <c r="AE712">
        <v>0</v>
      </c>
      <c r="AF712">
        <v>0</v>
      </c>
      <c r="AG712">
        <v>0</v>
      </c>
      <c r="AH712" s="235">
        <v>729.28984706207848</v>
      </c>
      <c r="AI712">
        <v>226</v>
      </c>
      <c r="AJ712" t="s">
        <v>256</v>
      </c>
      <c r="AK712">
        <v>0</v>
      </c>
      <c r="AL712">
        <v>0</v>
      </c>
      <c r="AM712">
        <v>0</v>
      </c>
    </row>
    <row r="713" spans="1:39" x14ac:dyDescent="0.25">
      <c r="A713" t="s">
        <v>601</v>
      </c>
      <c r="B713" t="s">
        <v>588</v>
      </c>
      <c r="C713" t="s">
        <v>255</v>
      </c>
      <c r="D713" t="s">
        <v>234</v>
      </c>
      <c r="E713" t="s">
        <v>20</v>
      </c>
      <c r="F713" t="s">
        <v>281</v>
      </c>
      <c r="G713" t="s">
        <v>269</v>
      </c>
      <c r="H713" t="s">
        <v>254</v>
      </c>
      <c r="I713" t="s">
        <v>242</v>
      </c>
      <c r="J713" t="s">
        <v>235</v>
      </c>
      <c r="K713" s="380">
        <v>37165</v>
      </c>
      <c r="L713" s="235">
        <v>85034.083032909854</v>
      </c>
      <c r="M713" s="380">
        <v>37161</v>
      </c>
      <c r="N713" t="s">
        <v>21</v>
      </c>
      <c r="O713">
        <v>0.42</v>
      </c>
      <c r="P713">
        <v>0</v>
      </c>
      <c r="Q713">
        <v>0</v>
      </c>
      <c r="R713">
        <v>0</v>
      </c>
      <c r="S713">
        <v>0</v>
      </c>
      <c r="T713" t="s">
        <v>253</v>
      </c>
      <c r="U713" t="s">
        <v>7</v>
      </c>
      <c r="V713" t="s">
        <v>253</v>
      </c>
      <c r="W713" t="s">
        <v>132</v>
      </c>
      <c r="X713" t="s">
        <v>253</v>
      </c>
      <c r="Y713" t="s">
        <v>235</v>
      </c>
      <c r="Z713" t="s">
        <v>236</v>
      </c>
      <c r="AA713" t="s">
        <v>253</v>
      </c>
      <c r="AB713" t="s">
        <v>121</v>
      </c>
      <c r="AC713" s="235">
        <v>500000</v>
      </c>
      <c r="AD713" s="235">
        <v>15795.751927582314</v>
      </c>
      <c r="AE713">
        <v>0</v>
      </c>
      <c r="AF713">
        <v>0</v>
      </c>
      <c r="AG713">
        <v>0</v>
      </c>
      <c r="AH713" s="235">
        <v>751.17881241047871</v>
      </c>
      <c r="AI713">
        <v>226</v>
      </c>
      <c r="AJ713" t="s">
        <v>256</v>
      </c>
      <c r="AK713">
        <v>0</v>
      </c>
      <c r="AL713">
        <v>0</v>
      </c>
      <c r="AM713">
        <v>0</v>
      </c>
    </row>
    <row r="714" spans="1:39" x14ac:dyDescent="0.25">
      <c r="A714" t="s">
        <v>601</v>
      </c>
      <c r="B714" t="s">
        <v>589</v>
      </c>
      <c r="C714" t="s">
        <v>255</v>
      </c>
      <c r="D714" t="s">
        <v>234</v>
      </c>
      <c r="E714" t="s">
        <v>20</v>
      </c>
      <c r="F714" t="s">
        <v>281</v>
      </c>
      <c r="G714" t="s">
        <v>269</v>
      </c>
      <c r="H714" t="s">
        <v>254</v>
      </c>
      <c r="I714" t="s">
        <v>242</v>
      </c>
      <c r="J714" t="s">
        <v>235</v>
      </c>
      <c r="K714" s="380">
        <v>36982</v>
      </c>
      <c r="L714" s="235">
        <v>44371.399707584605</v>
      </c>
      <c r="M714" s="380">
        <v>36979</v>
      </c>
      <c r="N714" t="s">
        <v>1</v>
      </c>
      <c r="O714">
        <v>0.42</v>
      </c>
      <c r="P714">
        <v>0</v>
      </c>
      <c r="Q714">
        <v>0</v>
      </c>
      <c r="R714">
        <v>0</v>
      </c>
      <c r="S714">
        <v>0</v>
      </c>
      <c r="T714" t="s">
        <v>253</v>
      </c>
      <c r="U714" t="s">
        <v>7</v>
      </c>
      <c r="V714" t="s">
        <v>253</v>
      </c>
      <c r="W714" t="s">
        <v>132</v>
      </c>
      <c r="X714" t="s">
        <v>253</v>
      </c>
      <c r="Y714" t="s">
        <v>235</v>
      </c>
      <c r="Z714" t="s">
        <v>236</v>
      </c>
      <c r="AA714" t="s">
        <v>253</v>
      </c>
      <c r="AB714" t="s">
        <v>121</v>
      </c>
      <c r="AC714" s="235">
        <v>500000</v>
      </c>
      <c r="AD714" s="235">
        <v>12771.212169241335</v>
      </c>
      <c r="AE714">
        <v>0</v>
      </c>
      <c r="AF714">
        <v>0</v>
      </c>
      <c r="AG714">
        <v>0</v>
      </c>
      <c r="AH714" s="235">
        <v>608.81298425074783</v>
      </c>
      <c r="AI714">
        <v>226</v>
      </c>
      <c r="AJ714" t="s">
        <v>256</v>
      </c>
      <c r="AK714">
        <v>0</v>
      </c>
      <c r="AL714">
        <v>0</v>
      </c>
      <c r="AM714">
        <v>0</v>
      </c>
    </row>
    <row r="715" spans="1:39" x14ac:dyDescent="0.25">
      <c r="A715" t="s">
        <v>601</v>
      </c>
      <c r="B715" t="s">
        <v>589</v>
      </c>
      <c r="C715" t="s">
        <v>255</v>
      </c>
      <c r="D715" t="s">
        <v>234</v>
      </c>
      <c r="E715" t="s">
        <v>20</v>
      </c>
      <c r="F715" t="s">
        <v>281</v>
      </c>
      <c r="G715" t="s">
        <v>269</v>
      </c>
      <c r="H715" t="s">
        <v>254</v>
      </c>
      <c r="I715" t="s">
        <v>242</v>
      </c>
      <c r="J715" t="s">
        <v>235</v>
      </c>
      <c r="K715" s="380">
        <v>37012</v>
      </c>
      <c r="L715" s="235">
        <v>65017.693740973911</v>
      </c>
      <c r="M715" s="380">
        <v>37008</v>
      </c>
      <c r="N715" t="s">
        <v>1</v>
      </c>
      <c r="O715">
        <v>0.42</v>
      </c>
      <c r="P715">
        <v>0</v>
      </c>
      <c r="Q715">
        <v>0</v>
      </c>
      <c r="R715">
        <v>0</v>
      </c>
      <c r="S715">
        <v>0</v>
      </c>
      <c r="T715" t="s">
        <v>253</v>
      </c>
      <c r="U715" t="s">
        <v>7</v>
      </c>
      <c r="V715" t="s">
        <v>253</v>
      </c>
      <c r="W715" t="s">
        <v>132</v>
      </c>
      <c r="X715" t="s">
        <v>253</v>
      </c>
      <c r="Y715" t="s">
        <v>235</v>
      </c>
      <c r="Z715" t="s">
        <v>236</v>
      </c>
      <c r="AA715" t="s">
        <v>253</v>
      </c>
      <c r="AB715" t="s">
        <v>121</v>
      </c>
      <c r="AC715" s="235">
        <v>500000</v>
      </c>
      <c r="AD715" s="235">
        <v>12953.348912837799</v>
      </c>
      <c r="AE715">
        <v>0</v>
      </c>
      <c r="AF715">
        <v>0</v>
      </c>
      <c r="AG715">
        <v>0</v>
      </c>
      <c r="AH715" s="235">
        <v>616.89143310150394</v>
      </c>
      <c r="AI715">
        <v>226</v>
      </c>
      <c r="AJ715" t="s">
        <v>256</v>
      </c>
      <c r="AK715">
        <v>0</v>
      </c>
      <c r="AL715">
        <v>0</v>
      </c>
      <c r="AM715">
        <v>0</v>
      </c>
    </row>
    <row r="716" spans="1:39" x14ac:dyDescent="0.25">
      <c r="A716" t="s">
        <v>601</v>
      </c>
      <c r="B716" t="s">
        <v>589</v>
      </c>
      <c r="C716" t="s">
        <v>255</v>
      </c>
      <c r="D716" t="s">
        <v>234</v>
      </c>
      <c r="E716" t="s">
        <v>20</v>
      </c>
      <c r="F716" t="s">
        <v>281</v>
      </c>
      <c r="G716" t="s">
        <v>269</v>
      </c>
      <c r="H716" t="s">
        <v>254</v>
      </c>
      <c r="I716" t="s">
        <v>242</v>
      </c>
      <c r="J716" t="s">
        <v>235</v>
      </c>
      <c r="K716" s="380">
        <v>37043</v>
      </c>
      <c r="L716" s="235">
        <v>69951.989497125003</v>
      </c>
      <c r="M716" s="380">
        <v>37041</v>
      </c>
      <c r="N716" t="s">
        <v>1</v>
      </c>
      <c r="O716">
        <v>0.42</v>
      </c>
      <c r="P716">
        <v>0</v>
      </c>
      <c r="Q716">
        <v>0</v>
      </c>
      <c r="R716">
        <v>0</v>
      </c>
      <c r="S716">
        <v>0</v>
      </c>
      <c r="T716" t="s">
        <v>253</v>
      </c>
      <c r="U716" t="s">
        <v>7</v>
      </c>
      <c r="V716" t="s">
        <v>253</v>
      </c>
      <c r="W716" t="s">
        <v>132</v>
      </c>
      <c r="X716" t="s">
        <v>253</v>
      </c>
      <c r="Y716" t="s">
        <v>235</v>
      </c>
      <c r="Z716" t="s">
        <v>236</v>
      </c>
      <c r="AA716" t="s">
        <v>253</v>
      </c>
      <c r="AB716" t="s">
        <v>121</v>
      </c>
      <c r="AC716" s="235">
        <v>500000</v>
      </c>
      <c r="AD716" s="235">
        <v>13526.115762856876</v>
      </c>
      <c r="AE716">
        <v>0</v>
      </c>
      <c r="AF716">
        <v>0</v>
      </c>
      <c r="AG716">
        <v>0</v>
      </c>
      <c r="AH716" s="235">
        <v>643.589717072231</v>
      </c>
      <c r="AI716">
        <v>226</v>
      </c>
      <c r="AJ716" t="s">
        <v>256</v>
      </c>
      <c r="AK716">
        <v>0</v>
      </c>
      <c r="AL716">
        <v>0</v>
      </c>
      <c r="AM716">
        <v>0</v>
      </c>
    </row>
    <row r="717" spans="1:39" x14ac:dyDescent="0.25">
      <c r="A717" t="s">
        <v>601</v>
      </c>
      <c r="B717" t="s">
        <v>589</v>
      </c>
      <c r="C717" t="s">
        <v>255</v>
      </c>
      <c r="D717" t="s">
        <v>234</v>
      </c>
      <c r="E717" t="s">
        <v>20</v>
      </c>
      <c r="F717" t="s">
        <v>281</v>
      </c>
      <c r="G717" t="s">
        <v>269</v>
      </c>
      <c r="H717" t="s">
        <v>254</v>
      </c>
      <c r="I717" t="s">
        <v>242</v>
      </c>
      <c r="J717" t="s">
        <v>235</v>
      </c>
      <c r="K717" s="380">
        <v>37073</v>
      </c>
      <c r="L717" s="235">
        <v>58118.403980269126</v>
      </c>
      <c r="M717" s="380">
        <v>37070</v>
      </c>
      <c r="N717" t="s">
        <v>1</v>
      </c>
      <c r="O717">
        <v>0.42</v>
      </c>
      <c r="P717">
        <v>0</v>
      </c>
      <c r="Q717">
        <v>0</v>
      </c>
      <c r="R717">
        <v>0</v>
      </c>
      <c r="S717">
        <v>0</v>
      </c>
      <c r="T717" t="s">
        <v>253</v>
      </c>
      <c r="U717" t="s">
        <v>7</v>
      </c>
      <c r="V717" t="s">
        <v>253</v>
      </c>
      <c r="W717" t="s">
        <v>132</v>
      </c>
      <c r="X717" t="s">
        <v>253</v>
      </c>
      <c r="Y717" t="s">
        <v>235</v>
      </c>
      <c r="Z717" t="s">
        <v>236</v>
      </c>
      <c r="AA717" t="s">
        <v>253</v>
      </c>
      <c r="AB717" t="s">
        <v>121</v>
      </c>
      <c r="AC717" s="235">
        <v>500000</v>
      </c>
      <c r="AD717" s="235">
        <v>14021.280238959385</v>
      </c>
      <c r="AE717">
        <v>0</v>
      </c>
      <c r="AF717">
        <v>0</v>
      </c>
      <c r="AG717">
        <v>0</v>
      </c>
      <c r="AH717" s="235">
        <v>666.69666707408032</v>
      </c>
      <c r="AI717">
        <v>226</v>
      </c>
      <c r="AJ717" t="s">
        <v>256</v>
      </c>
      <c r="AK717">
        <v>0</v>
      </c>
      <c r="AL717">
        <v>0</v>
      </c>
      <c r="AM717">
        <v>0</v>
      </c>
    </row>
    <row r="718" spans="1:39" x14ac:dyDescent="0.25">
      <c r="A718" t="s">
        <v>601</v>
      </c>
      <c r="B718" t="s">
        <v>589</v>
      </c>
      <c r="C718" t="s">
        <v>255</v>
      </c>
      <c r="D718" t="s">
        <v>234</v>
      </c>
      <c r="E718" t="s">
        <v>20</v>
      </c>
      <c r="F718" t="s">
        <v>281</v>
      </c>
      <c r="G718" t="s">
        <v>269</v>
      </c>
      <c r="H718" t="s">
        <v>254</v>
      </c>
      <c r="I718" t="s">
        <v>242</v>
      </c>
      <c r="J718" t="s">
        <v>235</v>
      </c>
      <c r="K718" s="380">
        <v>37104</v>
      </c>
      <c r="L718" s="235">
        <v>61269.50954638316</v>
      </c>
      <c r="M718" s="380">
        <v>37102</v>
      </c>
      <c r="N718" t="s">
        <v>1</v>
      </c>
      <c r="O718">
        <v>0.42</v>
      </c>
      <c r="P718">
        <v>0</v>
      </c>
      <c r="Q718">
        <v>0</v>
      </c>
      <c r="R718">
        <v>0</v>
      </c>
      <c r="S718">
        <v>0</v>
      </c>
      <c r="T718" t="s">
        <v>253</v>
      </c>
      <c r="U718" t="s">
        <v>7</v>
      </c>
      <c r="V718" t="s">
        <v>253</v>
      </c>
      <c r="W718" t="s">
        <v>132</v>
      </c>
      <c r="X718" t="s">
        <v>253</v>
      </c>
      <c r="Y718" t="s">
        <v>235</v>
      </c>
      <c r="Z718" t="s">
        <v>236</v>
      </c>
      <c r="AA718" t="s">
        <v>253</v>
      </c>
      <c r="AB718" t="s">
        <v>121</v>
      </c>
      <c r="AC718" s="235">
        <v>500000</v>
      </c>
      <c r="AD718" s="235">
        <v>14663.919171741902</v>
      </c>
      <c r="AE718">
        <v>0</v>
      </c>
      <c r="AF718">
        <v>0</v>
      </c>
      <c r="AG718">
        <v>0</v>
      </c>
      <c r="AH718" s="235">
        <v>696.97388294098346</v>
      </c>
      <c r="AI718">
        <v>226</v>
      </c>
      <c r="AJ718" t="s">
        <v>256</v>
      </c>
      <c r="AK718">
        <v>0</v>
      </c>
      <c r="AL718">
        <v>0</v>
      </c>
      <c r="AM718">
        <v>0</v>
      </c>
    </row>
    <row r="719" spans="1:39" x14ac:dyDescent="0.25">
      <c r="A719" t="s">
        <v>601</v>
      </c>
      <c r="B719" t="s">
        <v>589</v>
      </c>
      <c r="C719" t="s">
        <v>255</v>
      </c>
      <c r="D719" t="s">
        <v>234</v>
      </c>
      <c r="E719" t="s">
        <v>20</v>
      </c>
      <c r="F719" t="s">
        <v>281</v>
      </c>
      <c r="G719" t="s">
        <v>269</v>
      </c>
      <c r="H719" t="s">
        <v>254</v>
      </c>
      <c r="I719" t="s">
        <v>242</v>
      </c>
      <c r="J719" t="s">
        <v>235</v>
      </c>
      <c r="K719" s="380">
        <v>37135</v>
      </c>
      <c r="L719" s="235">
        <v>78069.096951539206</v>
      </c>
      <c r="M719" s="380">
        <v>37133</v>
      </c>
      <c r="N719" t="s">
        <v>1</v>
      </c>
      <c r="O719">
        <v>0.42</v>
      </c>
      <c r="P719">
        <v>0</v>
      </c>
      <c r="Q719">
        <v>0</v>
      </c>
      <c r="R719">
        <v>0</v>
      </c>
      <c r="S719">
        <v>0</v>
      </c>
      <c r="T719" t="s">
        <v>253</v>
      </c>
      <c r="U719" t="s">
        <v>7</v>
      </c>
      <c r="V719" t="s">
        <v>253</v>
      </c>
      <c r="W719" t="s">
        <v>132</v>
      </c>
      <c r="X719" t="s">
        <v>253</v>
      </c>
      <c r="Y719" t="s">
        <v>235</v>
      </c>
      <c r="Z719" t="s">
        <v>236</v>
      </c>
      <c r="AA719" t="s">
        <v>253</v>
      </c>
      <c r="AB719" t="s">
        <v>121</v>
      </c>
      <c r="AC719" s="235">
        <v>500000</v>
      </c>
      <c r="AD719" s="235">
        <v>15346.006446213782</v>
      </c>
      <c r="AE719">
        <v>0</v>
      </c>
      <c r="AF719">
        <v>0</v>
      </c>
      <c r="AG719">
        <v>0</v>
      </c>
      <c r="AH719" s="235">
        <v>729.28984706210031</v>
      </c>
      <c r="AI719">
        <v>226</v>
      </c>
      <c r="AJ719" t="s">
        <v>256</v>
      </c>
      <c r="AK719">
        <v>0</v>
      </c>
      <c r="AL719">
        <v>0</v>
      </c>
      <c r="AM719">
        <v>0</v>
      </c>
    </row>
    <row r="720" spans="1:39" x14ac:dyDescent="0.25">
      <c r="A720" t="s">
        <v>601</v>
      </c>
      <c r="B720" t="s">
        <v>589</v>
      </c>
      <c r="C720" t="s">
        <v>255</v>
      </c>
      <c r="D720" t="s">
        <v>234</v>
      </c>
      <c r="E720" t="s">
        <v>20</v>
      </c>
      <c r="F720" t="s">
        <v>281</v>
      </c>
      <c r="G720" t="s">
        <v>269</v>
      </c>
      <c r="H720" t="s">
        <v>254</v>
      </c>
      <c r="I720" t="s">
        <v>242</v>
      </c>
      <c r="J720" t="s">
        <v>235</v>
      </c>
      <c r="K720" s="380">
        <v>37165</v>
      </c>
      <c r="L720" s="235">
        <v>66014.306534978867</v>
      </c>
      <c r="M720" s="380">
        <v>37161</v>
      </c>
      <c r="N720" t="s">
        <v>1</v>
      </c>
      <c r="O720">
        <v>0.42</v>
      </c>
      <c r="P720">
        <v>0</v>
      </c>
      <c r="Q720">
        <v>0</v>
      </c>
      <c r="R720">
        <v>0</v>
      </c>
      <c r="S720">
        <v>0</v>
      </c>
      <c r="T720" t="s">
        <v>253</v>
      </c>
      <c r="U720" t="s">
        <v>7</v>
      </c>
      <c r="V720" t="s">
        <v>253</v>
      </c>
      <c r="W720" t="s">
        <v>132</v>
      </c>
      <c r="X720" t="s">
        <v>253</v>
      </c>
      <c r="Y720" t="s">
        <v>235</v>
      </c>
      <c r="Z720" t="s">
        <v>236</v>
      </c>
      <c r="AA720" t="s">
        <v>253</v>
      </c>
      <c r="AB720" t="s">
        <v>121</v>
      </c>
      <c r="AC720" s="235">
        <v>500000</v>
      </c>
      <c r="AD720" s="235">
        <v>15795.751927582314</v>
      </c>
      <c r="AE720">
        <v>0</v>
      </c>
      <c r="AF720">
        <v>0</v>
      </c>
      <c r="AG720">
        <v>0</v>
      </c>
      <c r="AH720" s="235">
        <v>751.17881241059513</v>
      </c>
      <c r="AI720">
        <v>226</v>
      </c>
      <c r="AJ720" t="s">
        <v>256</v>
      </c>
      <c r="AK720">
        <v>0</v>
      </c>
      <c r="AL720">
        <v>0</v>
      </c>
      <c r="AM720">
        <v>0</v>
      </c>
    </row>
    <row r="721" spans="1:39" x14ac:dyDescent="0.25">
      <c r="A721" t="s">
        <v>601</v>
      </c>
      <c r="B721" t="s">
        <v>590</v>
      </c>
      <c r="C721" t="s">
        <v>255</v>
      </c>
      <c r="D721" t="s">
        <v>234</v>
      </c>
      <c r="E721" t="s">
        <v>20</v>
      </c>
      <c r="F721" t="s">
        <v>320</v>
      </c>
      <c r="G721" t="s">
        <v>269</v>
      </c>
      <c r="H721" t="s">
        <v>254</v>
      </c>
      <c r="I721" t="s">
        <v>242</v>
      </c>
      <c r="J721" t="s">
        <v>235</v>
      </c>
      <c r="K721" s="380">
        <v>36800</v>
      </c>
      <c r="L721" s="235">
        <v>765568.6577958978</v>
      </c>
      <c r="M721" s="380">
        <v>36797</v>
      </c>
      <c r="N721" t="s">
        <v>21</v>
      </c>
      <c r="O721">
        <v>0.75</v>
      </c>
      <c r="P721">
        <v>0</v>
      </c>
      <c r="Q721">
        <v>0</v>
      </c>
      <c r="R721">
        <v>0</v>
      </c>
      <c r="S721">
        <v>0</v>
      </c>
      <c r="T721" t="s">
        <v>253</v>
      </c>
      <c r="U721" t="s">
        <v>190</v>
      </c>
      <c r="V721" t="s">
        <v>253</v>
      </c>
      <c r="W721" t="s">
        <v>132</v>
      </c>
      <c r="X721" t="s">
        <v>253</v>
      </c>
      <c r="Y721" t="s">
        <v>235</v>
      </c>
      <c r="Z721" t="s">
        <v>236</v>
      </c>
      <c r="AA721" t="s">
        <v>253</v>
      </c>
      <c r="AB721" t="s">
        <v>121</v>
      </c>
      <c r="AC721" s="235">
        <v>620000</v>
      </c>
      <c r="AD721" s="235">
        <v>1611.1239178632386</v>
      </c>
      <c r="AE721">
        <v>0</v>
      </c>
      <c r="AF721">
        <v>0</v>
      </c>
      <c r="AG721">
        <v>0</v>
      </c>
      <c r="AH721" s="235">
        <v>-24321.375830787933</v>
      </c>
      <c r="AI721">
        <v>226</v>
      </c>
      <c r="AJ721" t="s">
        <v>256</v>
      </c>
      <c r="AK721">
        <v>0</v>
      </c>
      <c r="AL721">
        <v>0</v>
      </c>
      <c r="AM721">
        <v>0</v>
      </c>
    </row>
    <row r="722" spans="1:39" x14ac:dyDescent="0.25">
      <c r="A722" t="s">
        <v>601</v>
      </c>
      <c r="B722" t="s">
        <v>591</v>
      </c>
      <c r="C722" t="s">
        <v>255</v>
      </c>
      <c r="D722" t="s">
        <v>234</v>
      </c>
      <c r="E722" t="s">
        <v>20</v>
      </c>
      <c r="F722" t="s">
        <v>320</v>
      </c>
      <c r="G722" t="s">
        <v>269</v>
      </c>
      <c r="H722" t="s">
        <v>254</v>
      </c>
      <c r="I722" t="s">
        <v>242</v>
      </c>
      <c r="J722" t="s">
        <v>235</v>
      </c>
      <c r="K722" s="380">
        <v>36800</v>
      </c>
      <c r="L722" s="235">
        <v>-134.89229781100232</v>
      </c>
      <c r="M722" s="380">
        <v>36797</v>
      </c>
      <c r="N722" t="s">
        <v>1</v>
      </c>
      <c r="O722">
        <v>0.4</v>
      </c>
      <c r="P722">
        <v>0</v>
      </c>
      <c r="Q722">
        <v>0</v>
      </c>
      <c r="R722">
        <v>0</v>
      </c>
      <c r="S722">
        <v>0</v>
      </c>
      <c r="T722" t="s">
        <v>253</v>
      </c>
      <c r="U722" t="s">
        <v>190</v>
      </c>
      <c r="V722" t="s">
        <v>253</v>
      </c>
      <c r="W722" t="s">
        <v>132</v>
      </c>
      <c r="X722" t="s">
        <v>253</v>
      </c>
      <c r="Y722" t="s">
        <v>235</v>
      </c>
      <c r="Z722" t="s">
        <v>236</v>
      </c>
      <c r="AA722" t="s">
        <v>253</v>
      </c>
      <c r="AB722" t="s">
        <v>121</v>
      </c>
      <c r="AC722" s="235">
        <v>-620000</v>
      </c>
      <c r="AD722" s="235">
        <v>-276.64732702582285</v>
      </c>
      <c r="AE722">
        <v>0</v>
      </c>
      <c r="AF722">
        <v>0</v>
      </c>
      <c r="AG722">
        <v>0</v>
      </c>
      <c r="AH722" s="235">
        <v>-47.742357192461768</v>
      </c>
      <c r="AI722">
        <v>226</v>
      </c>
      <c r="AJ722" t="s">
        <v>256</v>
      </c>
      <c r="AK722">
        <v>0</v>
      </c>
      <c r="AL722">
        <v>0</v>
      </c>
      <c r="AM722">
        <v>0</v>
      </c>
    </row>
    <row r="723" spans="1:39" x14ac:dyDescent="0.25">
      <c r="A723" t="s">
        <v>601</v>
      </c>
      <c r="B723" t="s">
        <v>592</v>
      </c>
      <c r="C723" t="s">
        <v>255</v>
      </c>
      <c r="D723" t="s">
        <v>234</v>
      </c>
      <c r="E723" t="s">
        <v>20</v>
      </c>
      <c r="F723" t="s">
        <v>383</v>
      </c>
      <c r="G723" t="s">
        <v>269</v>
      </c>
      <c r="H723" t="s">
        <v>254</v>
      </c>
      <c r="I723" t="s">
        <v>242</v>
      </c>
      <c r="J723" t="s">
        <v>235</v>
      </c>
      <c r="K723" s="380">
        <v>36800</v>
      </c>
      <c r="L723" s="235">
        <v>765568.6577958978</v>
      </c>
      <c r="M723" s="380">
        <v>36797</v>
      </c>
      <c r="N723" t="s">
        <v>21</v>
      </c>
      <c r="O723">
        <v>0.75</v>
      </c>
      <c r="P723">
        <v>0</v>
      </c>
      <c r="Q723">
        <v>0</v>
      </c>
      <c r="R723">
        <v>0</v>
      </c>
      <c r="S723">
        <v>0</v>
      </c>
      <c r="T723" t="s">
        <v>253</v>
      </c>
      <c r="U723" t="s">
        <v>190</v>
      </c>
      <c r="V723" t="s">
        <v>253</v>
      </c>
      <c r="W723" t="s">
        <v>132</v>
      </c>
      <c r="X723" t="s">
        <v>253</v>
      </c>
      <c r="Y723" t="s">
        <v>235</v>
      </c>
      <c r="Z723" t="s">
        <v>236</v>
      </c>
      <c r="AA723" t="s">
        <v>253</v>
      </c>
      <c r="AB723" t="s">
        <v>121</v>
      </c>
      <c r="AC723" s="235">
        <v>620000</v>
      </c>
      <c r="AD723" s="235">
        <v>1611.1239178632386</v>
      </c>
      <c r="AE723">
        <v>0</v>
      </c>
      <c r="AF723">
        <v>0</v>
      </c>
      <c r="AG723">
        <v>0</v>
      </c>
      <c r="AH723" s="235">
        <v>-24321.375830787933</v>
      </c>
      <c r="AI723">
        <v>226</v>
      </c>
      <c r="AJ723" t="s">
        <v>256</v>
      </c>
      <c r="AK723">
        <v>0</v>
      </c>
      <c r="AL723">
        <v>0</v>
      </c>
      <c r="AM723">
        <v>0</v>
      </c>
    </row>
    <row r="724" spans="1:39" x14ac:dyDescent="0.25">
      <c r="A724" t="s">
        <v>601</v>
      </c>
      <c r="B724" t="s">
        <v>593</v>
      </c>
      <c r="C724" t="s">
        <v>255</v>
      </c>
      <c r="D724" t="s">
        <v>234</v>
      </c>
      <c r="E724" t="s">
        <v>20</v>
      </c>
      <c r="F724" t="s">
        <v>383</v>
      </c>
      <c r="G724" t="s">
        <v>269</v>
      </c>
      <c r="H724" t="s">
        <v>254</v>
      </c>
      <c r="I724" t="s">
        <v>242</v>
      </c>
      <c r="J724" t="s">
        <v>235</v>
      </c>
      <c r="K724" s="380">
        <v>36800</v>
      </c>
      <c r="L724" s="235">
        <v>-134.89229781100232</v>
      </c>
      <c r="M724" s="380">
        <v>36797</v>
      </c>
      <c r="N724" t="s">
        <v>1</v>
      </c>
      <c r="O724">
        <v>0.4</v>
      </c>
      <c r="P724">
        <v>0</v>
      </c>
      <c r="Q724">
        <v>0</v>
      </c>
      <c r="R724">
        <v>0</v>
      </c>
      <c r="S724">
        <v>0</v>
      </c>
      <c r="T724" t="s">
        <v>253</v>
      </c>
      <c r="U724" t="s">
        <v>190</v>
      </c>
      <c r="V724" t="s">
        <v>253</v>
      </c>
      <c r="W724" t="s">
        <v>132</v>
      </c>
      <c r="X724" t="s">
        <v>253</v>
      </c>
      <c r="Y724" t="s">
        <v>235</v>
      </c>
      <c r="Z724" t="s">
        <v>236</v>
      </c>
      <c r="AA724" t="s">
        <v>253</v>
      </c>
      <c r="AB724" t="s">
        <v>121</v>
      </c>
      <c r="AC724" s="235">
        <v>-620000</v>
      </c>
      <c r="AD724" s="235">
        <v>-276.64732702582285</v>
      </c>
      <c r="AE724">
        <v>0</v>
      </c>
      <c r="AF724">
        <v>0</v>
      </c>
      <c r="AG724">
        <v>0</v>
      </c>
      <c r="AH724" s="235">
        <v>-47.742357192461768</v>
      </c>
      <c r="AI724">
        <v>226</v>
      </c>
      <c r="AJ724" t="s">
        <v>256</v>
      </c>
      <c r="AK724">
        <v>0</v>
      </c>
      <c r="AL724">
        <v>0</v>
      </c>
      <c r="AM724">
        <v>0</v>
      </c>
    </row>
    <row r="725" spans="1:39" x14ac:dyDescent="0.25">
      <c r="A725" t="s">
        <v>601</v>
      </c>
      <c r="B725" t="s">
        <v>594</v>
      </c>
      <c r="C725" t="s">
        <v>255</v>
      </c>
      <c r="D725" t="s">
        <v>234</v>
      </c>
      <c r="E725" t="s">
        <v>20</v>
      </c>
      <c r="F725" t="s">
        <v>383</v>
      </c>
      <c r="G725" t="s">
        <v>269</v>
      </c>
      <c r="H725" t="s">
        <v>254</v>
      </c>
      <c r="I725" t="s">
        <v>242</v>
      </c>
      <c r="J725" t="s">
        <v>235</v>
      </c>
      <c r="K725" s="380">
        <v>36831</v>
      </c>
      <c r="L725" s="235">
        <v>76559.282119119787</v>
      </c>
      <c r="M725" s="380">
        <v>36829</v>
      </c>
      <c r="N725" t="s">
        <v>21</v>
      </c>
      <c r="O725">
        <v>-0.375</v>
      </c>
      <c r="P725">
        <v>0</v>
      </c>
      <c r="Q725">
        <v>0</v>
      </c>
      <c r="R725">
        <v>0</v>
      </c>
      <c r="S725">
        <v>0</v>
      </c>
      <c r="T725" t="s">
        <v>253</v>
      </c>
      <c r="U725" t="s">
        <v>9</v>
      </c>
      <c r="V725" t="s">
        <v>253</v>
      </c>
      <c r="W725" t="s">
        <v>132</v>
      </c>
      <c r="X725" t="s">
        <v>253</v>
      </c>
      <c r="Y725" t="s">
        <v>235</v>
      </c>
      <c r="Z725" t="s">
        <v>236</v>
      </c>
      <c r="AA725" t="s">
        <v>253</v>
      </c>
      <c r="AB725" t="s">
        <v>121</v>
      </c>
      <c r="AC725" s="235">
        <v>600000</v>
      </c>
      <c r="AD725" s="235">
        <v>20575.439282191131</v>
      </c>
      <c r="AE725">
        <v>0</v>
      </c>
      <c r="AF725">
        <v>0</v>
      </c>
      <c r="AG725">
        <v>0</v>
      </c>
      <c r="AH725" s="235">
        <v>-9574.7209555684094</v>
      </c>
      <c r="AI725">
        <v>226</v>
      </c>
      <c r="AJ725" t="s">
        <v>256</v>
      </c>
      <c r="AK725">
        <v>0</v>
      </c>
      <c r="AL725">
        <v>0</v>
      </c>
      <c r="AM725">
        <v>0</v>
      </c>
    </row>
    <row r="726" spans="1:39" x14ac:dyDescent="0.25">
      <c r="A726" t="s">
        <v>601</v>
      </c>
      <c r="B726" t="s">
        <v>594</v>
      </c>
      <c r="C726" t="s">
        <v>255</v>
      </c>
      <c r="D726" t="s">
        <v>234</v>
      </c>
      <c r="E726" t="s">
        <v>20</v>
      </c>
      <c r="F726" t="s">
        <v>383</v>
      </c>
      <c r="G726" t="s">
        <v>269</v>
      </c>
      <c r="H726" t="s">
        <v>254</v>
      </c>
      <c r="I726" t="s">
        <v>242</v>
      </c>
      <c r="J726" t="s">
        <v>235</v>
      </c>
      <c r="K726" s="380">
        <v>36861</v>
      </c>
      <c r="L726" s="235">
        <v>136457.48143999313</v>
      </c>
      <c r="M726" s="380">
        <v>36859</v>
      </c>
      <c r="N726" t="s">
        <v>21</v>
      </c>
      <c r="O726">
        <v>-0.375</v>
      </c>
      <c r="P726">
        <v>0</v>
      </c>
      <c r="Q726">
        <v>0</v>
      </c>
      <c r="R726">
        <v>0</v>
      </c>
      <c r="S726">
        <v>0</v>
      </c>
      <c r="T726" t="s">
        <v>253</v>
      </c>
      <c r="U726" t="s">
        <v>9</v>
      </c>
      <c r="V726" t="s">
        <v>253</v>
      </c>
      <c r="W726" t="s">
        <v>132</v>
      </c>
      <c r="X726" t="s">
        <v>253</v>
      </c>
      <c r="Y726" t="s">
        <v>235</v>
      </c>
      <c r="Z726" t="s">
        <v>236</v>
      </c>
      <c r="AA726" t="s">
        <v>253</v>
      </c>
      <c r="AB726" t="s">
        <v>121</v>
      </c>
      <c r="AC726" s="235">
        <v>620000</v>
      </c>
      <c r="AD726" s="235">
        <v>26550.627840216854</v>
      </c>
      <c r="AE726">
        <v>0</v>
      </c>
      <c r="AF726">
        <v>0</v>
      </c>
      <c r="AG726">
        <v>0</v>
      </c>
      <c r="AH726" s="235">
        <v>-12031.799118205468</v>
      </c>
      <c r="AI726">
        <v>226</v>
      </c>
      <c r="AJ726" t="s">
        <v>256</v>
      </c>
      <c r="AK726">
        <v>0</v>
      </c>
      <c r="AL726">
        <v>0</v>
      </c>
      <c r="AM726">
        <v>0</v>
      </c>
    </row>
    <row r="727" spans="1:39" x14ac:dyDescent="0.25">
      <c r="A727" t="s">
        <v>601</v>
      </c>
      <c r="B727" t="s">
        <v>594</v>
      </c>
      <c r="C727" t="s">
        <v>255</v>
      </c>
      <c r="D727" t="s">
        <v>234</v>
      </c>
      <c r="E727" t="s">
        <v>20</v>
      </c>
      <c r="F727" t="s">
        <v>383</v>
      </c>
      <c r="G727" t="s">
        <v>269</v>
      </c>
      <c r="H727" t="s">
        <v>254</v>
      </c>
      <c r="I727" t="s">
        <v>242</v>
      </c>
      <c r="J727" t="s">
        <v>235</v>
      </c>
      <c r="K727" s="380">
        <v>36892</v>
      </c>
      <c r="L727" s="235">
        <v>150957.54360134</v>
      </c>
      <c r="M727" s="380">
        <v>36888</v>
      </c>
      <c r="N727" t="s">
        <v>21</v>
      </c>
      <c r="O727">
        <v>-0.375</v>
      </c>
      <c r="P727">
        <v>0</v>
      </c>
      <c r="Q727">
        <v>0</v>
      </c>
      <c r="R727">
        <v>0</v>
      </c>
      <c r="S727">
        <v>0</v>
      </c>
      <c r="T727" t="s">
        <v>253</v>
      </c>
      <c r="U727" t="s">
        <v>9</v>
      </c>
      <c r="V727" t="s">
        <v>253</v>
      </c>
      <c r="W727" t="s">
        <v>132</v>
      </c>
      <c r="X727" t="s">
        <v>253</v>
      </c>
      <c r="Y727" t="s">
        <v>235</v>
      </c>
      <c r="Z727" t="s">
        <v>236</v>
      </c>
      <c r="AA727" t="s">
        <v>253</v>
      </c>
      <c r="AB727" t="s">
        <v>121</v>
      </c>
      <c r="AC727" s="235">
        <v>620000</v>
      </c>
      <c r="AD727" s="235">
        <v>30483.990860292979</v>
      </c>
      <c r="AE727">
        <v>0</v>
      </c>
      <c r="AF727">
        <v>0</v>
      </c>
      <c r="AG727">
        <v>0</v>
      </c>
      <c r="AH727" s="235">
        <v>-11666.511231513781</v>
      </c>
      <c r="AI727">
        <v>226</v>
      </c>
      <c r="AJ727" t="s">
        <v>256</v>
      </c>
      <c r="AK727">
        <v>0</v>
      </c>
      <c r="AL727">
        <v>0</v>
      </c>
      <c r="AM727">
        <v>0</v>
      </c>
    </row>
    <row r="728" spans="1:39" x14ac:dyDescent="0.25">
      <c r="A728" t="s">
        <v>601</v>
      </c>
      <c r="B728" t="s">
        <v>594</v>
      </c>
      <c r="C728" t="s">
        <v>255</v>
      </c>
      <c r="D728" t="s">
        <v>234</v>
      </c>
      <c r="E728" t="s">
        <v>20</v>
      </c>
      <c r="F728" t="s">
        <v>383</v>
      </c>
      <c r="G728" t="s">
        <v>269</v>
      </c>
      <c r="H728" t="s">
        <v>254</v>
      </c>
      <c r="I728" t="s">
        <v>242</v>
      </c>
      <c r="J728" t="s">
        <v>235</v>
      </c>
      <c r="K728" s="380">
        <v>36923</v>
      </c>
      <c r="L728" s="235">
        <v>135688.84662955711</v>
      </c>
      <c r="M728" s="380">
        <v>36921</v>
      </c>
      <c r="N728" t="s">
        <v>21</v>
      </c>
      <c r="O728">
        <v>-0.375</v>
      </c>
      <c r="P728">
        <v>0</v>
      </c>
      <c r="Q728">
        <v>0</v>
      </c>
      <c r="R728">
        <v>0</v>
      </c>
      <c r="S728">
        <v>0</v>
      </c>
      <c r="T728" t="s">
        <v>253</v>
      </c>
      <c r="U728" t="s">
        <v>9</v>
      </c>
      <c r="V728" t="s">
        <v>253</v>
      </c>
      <c r="W728" t="s">
        <v>132</v>
      </c>
      <c r="X728" t="s">
        <v>253</v>
      </c>
      <c r="Y728" t="s">
        <v>235</v>
      </c>
      <c r="Z728" t="s">
        <v>236</v>
      </c>
      <c r="AA728" t="s">
        <v>253</v>
      </c>
      <c r="AB728" t="s">
        <v>121</v>
      </c>
      <c r="AC728" s="235">
        <v>560000</v>
      </c>
      <c r="AD728" s="235">
        <v>30104.370261476637</v>
      </c>
      <c r="AE728">
        <v>0</v>
      </c>
      <c r="AF728">
        <v>0</v>
      </c>
      <c r="AG728">
        <v>0</v>
      </c>
      <c r="AH728" s="235">
        <v>-10104.34444577145</v>
      </c>
      <c r="AI728">
        <v>226</v>
      </c>
      <c r="AJ728" t="s">
        <v>256</v>
      </c>
      <c r="AK728">
        <v>0</v>
      </c>
      <c r="AL728">
        <v>0</v>
      </c>
      <c r="AM728">
        <v>0</v>
      </c>
    </row>
    <row r="729" spans="1:39" x14ac:dyDescent="0.25">
      <c r="A729" t="s">
        <v>601</v>
      </c>
      <c r="B729" t="s">
        <v>594</v>
      </c>
      <c r="C729" t="s">
        <v>255</v>
      </c>
      <c r="D729" t="s">
        <v>234</v>
      </c>
      <c r="E729" t="s">
        <v>20</v>
      </c>
      <c r="F729" t="s">
        <v>383</v>
      </c>
      <c r="G729" t="s">
        <v>269</v>
      </c>
      <c r="H729" t="s">
        <v>254</v>
      </c>
      <c r="I729" t="s">
        <v>242</v>
      </c>
      <c r="J729" t="s">
        <v>235</v>
      </c>
      <c r="K729" s="380">
        <v>36951</v>
      </c>
      <c r="L729" s="235">
        <v>134154.34671846297</v>
      </c>
      <c r="M729" s="380">
        <v>36949</v>
      </c>
      <c r="N729" t="s">
        <v>21</v>
      </c>
      <c r="O729">
        <v>-0.375</v>
      </c>
      <c r="P729">
        <v>0</v>
      </c>
      <c r="Q729">
        <v>0</v>
      </c>
      <c r="R729">
        <v>0</v>
      </c>
      <c r="S729">
        <v>0</v>
      </c>
      <c r="T729" t="s">
        <v>253</v>
      </c>
      <c r="U729" t="s">
        <v>9</v>
      </c>
      <c r="V729" t="s">
        <v>253</v>
      </c>
      <c r="W729" t="s">
        <v>132</v>
      </c>
      <c r="X729" t="s">
        <v>253</v>
      </c>
      <c r="Y729" t="s">
        <v>235</v>
      </c>
      <c r="Z729" t="s">
        <v>236</v>
      </c>
      <c r="AA729" t="s">
        <v>253</v>
      </c>
      <c r="AB729" t="s">
        <v>121</v>
      </c>
      <c r="AC729" s="235">
        <v>620000</v>
      </c>
      <c r="AD729" s="235">
        <v>32245.699284697708</v>
      </c>
      <c r="AE729">
        <v>0</v>
      </c>
      <c r="AF729">
        <v>0</v>
      </c>
      <c r="AG729">
        <v>0</v>
      </c>
      <c r="AH729" s="235">
        <v>-10900.153058680269</v>
      </c>
      <c r="AI729">
        <v>226</v>
      </c>
      <c r="AJ729" t="s">
        <v>256</v>
      </c>
      <c r="AK729">
        <v>0</v>
      </c>
      <c r="AL729">
        <v>0</v>
      </c>
      <c r="AM729">
        <v>0</v>
      </c>
    </row>
    <row r="730" spans="1:39" x14ac:dyDescent="0.25">
      <c r="A730" t="s">
        <v>601</v>
      </c>
      <c r="B730" t="s">
        <v>595</v>
      </c>
      <c r="C730" t="s">
        <v>255</v>
      </c>
      <c r="D730" t="s">
        <v>234</v>
      </c>
      <c r="E730" t="s">
        <v>20</v>
      </c>
      <c r="F730" t="s">
        <v>383</v>
      </c>
      <c r="G730" t="s">
        <v>269</v>
      </c>
      <c r="H730" t="s">
        <v>254</v>
      </c>
      <c r="I730" t="s">
        <v>242</v>
      </c>
      <c r="J730" t="s">
        <v>235</v>
      </c>
      <c r="K730" s="380">
        <v>36831</v>
      </c>
      <c r="L730" s="235">
        <v>131411.11780552714</v>
      </c>
      <c r="M730" s="380">
        <v>36829</v>
      </c>
      <c r="N730" t="s">
        <v>1</v>
      </c>
      <c r="O730">
        <v>-0.375</v>
      </c>
      <c r="P730">
        <v>0</v>
      </c>
      <c r="Q730">
        <v>0</v>
      </c>
      <c r="R730">
        <v>0</v>
      </c>
      <c r="S730">
        <v>0</v>
      </c>
      <c r="T730" t="s">
        <v>253</v>
      </c>
      <c r="U730" t="s">
        <v>9</v>
      </c>
      <c r="V730" t="s">
        <v>253</v>
      </c>
      <c r="W730" t="s">
        <v>132</v>
      </c>
      <c r="X730" t="s">
        <v>253</v>
      </c>
      <c r="Y730" t="s">
        <v>235</v>
      </c>
      <c r="Z730" t="s">
        <v>236</v>
      </c>
      <c r="AA730" t="s">
        <v>253</v>
      </c>
      <c r="AB730" t="s">
        <v>121</v>
      </c>
      <c r="AC730" s="235">
        <v>600000</v>
      </c>
      <c r="AD730" s="235">
        <v>20575.439282191102</v>
      </c>
      <c r="AE730">
        <v>0</v>
      </c>
      <c r="AF730">
        <v>0</v>
      </c>
      <c r="AG730">
        <v>0</v>
      </c>
      <c r="AH730" s="235">
        <v>14131.93149197282</v>
      </c>
      <c r="AI730">
        <v>226</v>
      </c>
      <c r="AJ730" t="s">
        <v>256</v>
      </c>
      <c r="AK730">
        <v>0</v>
      </c>
      <c r="AL730">
        <v>0</v>
      </c>
      <c r="AM730">
        <v>0</v>
      </c>
    </row>
    <row r="731" spans="1:39" x14ac:dyDescent="0.25">
      <c r="A731" t="s">
        <v>601</v>
      </c>
      <c r="B731" t="s">
        <v>595</v>
      </c>
      <c r="C731" t="s">
        <v>255</v>
      </c>
      <c r="D731" t="s">
        <v>234</v>
      </c>
      <c r="E731" t="s">
        <v>20</v>
      </c>
      <c r="F731" t="s">
        <v>383</v>
      </c>
      <c r="G731" t="s">
        <v>269</v>
      </c>
      <c r="H731" t="s">
        <v>254</v>
      </c>
      <c r="I731" t="s">
        <v>242</v>
      </c>
      <c r="J731" t="s">
        <v>235</v>
      </c>
      <c r="K731" s="380">
        <v>36861</v>
      </c>
      <c r="L731" s="235">
        <v>125794.5758207239</v>
      </c>
      <c r="M731" s="380">
        <v>36859</v>
      </c>
      <c r="N731" t="s">
        <v>1</v>
      </c>
      <c r="O731">
        <v>-0.375</v>
      </c>
      <c r="P731">
        <v>0</v>
      </c>
      <c r="Q731">
        <v>0</v>
      </c>
      <c r="R731">
        <v>0</v>
      </c>
      <c r="S731">
        <v>0</v>
      </c>
      <c r="T731" t="s">
        <v>253</v>
      </c>
      <c r="U731" t="s">
        <v>9</v>
      </c>
      <c r="V731" t="s">
        <v>253</v>
      </c>
      <c r="W731" t="s">
        <v>132</v>
      </c>
      <c r="X731" t="s">
        <v>253</v>
      </c>
      <c r="Y731" t="s">
        <v>235</v>
      </c>
      <c r="Z731" t="s">
        <v>236</v>
      </c>
      <c r="AA731" t="s">
        <v>253</v>
      </c>
      <c r="AB731" t="s">
        <v>121</v>
      </c>
      <c r="AC731" s="235">
        <v>620000</v>
      </c>
      <c r="AD731" s="235">
        <v>26550.627840216795</v>
      </c>
      <c r="AE731">
        <v>0</v>
      </c>
      <c r="AF731">
        <v>0</v>
      </c>
      <c r="AG731">
        <v>0</v>
      </c>
      <c r="AH731" s="235">
        <v>12327.149828150941</v>
      </c>
      <c r="AI731">
        <v>226</v>
      </c>
      <c r="AJ731" t="s">
        <v>256</v>
      </c>
      <c r="AK731">
        <v>0</v>
      </c>
      <c r="AL731">
        <v>0</v>
      </c>
      <c r="AM731">
        <v>0</v>
      </c>
    </row>
    <row r="732" spans="1:39" x14ac:dyDescent="0.25">
      <c r="A732" t="s">
        <v>601</v>
      </c>
      <c r="B732" t="s">
        <v>595</v>
      </c>
      <c r="C732" t="s">
        <v>255</v>
      </c>
      <c r="D732" t="s">
        <v>234</v>
      </c>
      <c r="E732" t="s">
        <v>20</v>
      </c>
      <c r="F732" t="s">
        <v>383</v>
      </c>
      <c r="G732" t="s">
        <v>269</v>
      </c>
      <c r="H732" t="s">
        <v>254</v>
      </c>
      <c r="I732" t="s">
        <v>242</v>
      </c>
      <c r="J732" t="s">
        <v>235</v>
      </c>
      <c r="K732" s="380">
        <v>36892</v>
      </c>
      <c r="L732" s="235">
        <v>146412.53868562085</v>
      </c>
      <c r="M732" s="380">
        <v>36888</v>
      </c>
      <c r="N732" t="s">
        <v>1</v>
      </c>
      <c r="O732">
        <v>-0.375</v>
      </c>
      <c r="P732">
        <v>0</v>
      </c>
      <c r="Q732">
        <v>0</v>
      </c>
      <c r="R732">
        <v>0</v>
      </c>
      <c r="S732">
        <v>0</v>
      </c>
      <c r="T732" t="s">
        <v>253</v>
      </c>
      <c r="U732" t="s">
        <v>9</v>
      </c>
      <c r="V732" t="s">
        <v>253</v>
      </c>
      <c r="W732" t="s">
        <v>132</v>
      </c>
      <c r="X732" t="s">
        <v>253</v>
      </c>
      <c r="Y732" t="s">
        <v>235</v>
      </c>
      <c r="Z732" t="s">
        <v>236</v>
      </c>
      <c r="AA732" t="s">
        <v>253</v>
      </c>
      <c r="AB732" t="s">
        <v>121</v>
      </c>
      <c r="AC732" s="235">
        <v>620000</v>
      </c>
      <c r="AD732" s="235">
        <v>30483.990860292979</v>
      </c>
      <c r="AE732">
        <v>0</v>
      </c>
      <c r="AF732">
        <v>0</v>
      </c>
      <c r="AG732">
        <v>0</v>
      </c>
      <c r="AH732" s="235">
        <v>12560.591098460747</v>
      </c>
      <c r="AI732">
        <v>226</v>
      </c>
      <c r="AJ732" t="s">
        <v>256</v>
      </c>
      <c r="AK732">
        <v>0</v>
      </c>
      <c r="AL732">
        <v>0</v>
      </c>
      <c r="AM732">
        <v>0</v>
      </c>
    </row>
    <row r="733" spans="1:39" x14ac:dyDescent="0.25">
      <c r="A733" t="s">
        <v>601</v>
      </c>
      <c r="B733" t="s">
        <v>595</v>
      </c>
      <c r="C733" t="s">
        <v>255</v>
      </c>
      <c r="D733" t="s">
        <v>234</v>
      </c>
      <c r="E733" t="s">
        <v>20</v>
      </c>
      <c r="F733" t="s">
        <v>383</v>
      </c>
      <c r="G733" t="s">
        <v>269</v>
      </c>
      <c r="H733" t="s">
        <v>254</v>
      </c>
      <c r="I733" t="s">
        <v>242</v>
      </c>
      <c r="J733" t="s">
        <v>235</v>
      </c>
      <c r="K733" s="380">
        <v>36923</v>
      </c>
      <c r="L733" s="235">
        <v>142487.88739535509</v>
      </c>
      <c r="M733" s="380">
        <v>36921</v>
      </c>
      <c r="N733" t="s">
        <v>1</v>
      </c>
      <c r="O733">
        <v>-0.375</v>
      </c>
      <c r="P733">
        <v>0</v>
      </c>
      <c r="Q733">
        <v>0</v>
      </c>
      <c r="R733">
        <v>0</v>
      </c>
      <c r="S733">
        <v>0</v>
      </c>
      <c r="T733" t="s">
        <v>253</v>
      </c>
      <c r="U733" t="s">
        <v>9</v>
      </c>
      <c r="V733" t="s">
        <v>253</v>
      </c>
      <c r="W733" t="s">
        <v>132</v>
      </c>
      <c r="X733" t="s">
        <v>253</v>
      </c>
      <c r="Y733" t="s">
        <v>235</v>
      </c>
      <c r="Z733" t="s">
        <v>236</v>
      </c>
      <c r="AA733" t="s">
        <v>253</v>
      </c>
      <c r="AB733" t="s">
        <v>121</v>
      </c>
      <c r="AC733" s="235">
        <v>560000</v>
      </c>
      <c r="AD733" s="235">
        <v>30104.370261476637</v>
      </c>
      <c r="AE733">
        <v>0</v>
      </c>
      <c r="AF733">
        <v>0</v>
      </c>
      <c r="AG733">
        <v>0</v>
      </c>
      <c r="AH733" s="235">
        <v>11641.401672484499</v>
      </c>
      <c r="AI733">
        <v>226</v>
      </c>
      <c r="AJ733" t="s">
        <v>256</v>
      </c>
      <c r="AK733">
        <v>0</v>
      </c>
      <c r="AL733">
        <v>0</v>
      </c>
      <c r="AM733">
        <v>0</v>
      </c>
    </row>
    <row r="734" spans="1:39" x14ac:dyDescent="0.25">
      <c r="A734" t="s">
        <v>601</v>
      </c>
      <c r="B734" t="s">
        <v>595</v>
      </c>
      <c r="C734" t="s">
        <v>255</v>
      </c>
      <c r="D734" t="s">
        <v>234</v>
      </c>
      <c r="E734" t="s">
        <v>20</v>
      </c>
      <c r="F734" t="s">
        <v>383</v>
      </c>
      <c r="G734" t="s">
        <v>269</v>
      </c>
      <c r="H734" t="s">
        <v>254</v>
      </c>
      <c r="I734" t="s">
        <v>242</v>
      </c>
      <c r="J734" t="s">
        <v>235</v>
      </c>
      <c r="K734" s="380">
        <v>36951</v>
      </c>
      <c r="L734" s="235">
        <v>147631.13585234192</v>
      </c>
      <c r="M734" s="380">
        <v>36949</v>
      </c>
      <c r="N734" t="s">
        <v>1</v>
      </c>
      <c r="O734">
        <v>-0.375</v>
      </c>
      <c r="P734">
        <v>0</v>
      </c>
      <c r="Q734">
        <v>0</v>
      </c>
      <c r="R734">
        <v>0</v>
      </c>
      <c r="S734">
        <v>0</v>
      </c>
      <c r="T734" t="s">
        <v>253</v>
      </c>
      <c r="U734" t="s">
        <v>9</v>
      </c>
      <c r="V734" t="s">
        <v>253</v>
      </c>
      <c r="W734" t="s">
        <v>132</v>
      </c>
      <c r="X734" t="s">
        <v>253</v>
      </c>
      <c r="Y734" t="s">
        <v>235</v>
      </c>
      <c r="Z734" t="s">
        <v>236</v>
      </c>
      <c r="AA734" t="s">
        <v>253</v>
      </c>
      <c r="AB734" t="s">
        <v>121</v>
      </c>
      <c r="AC734" s="235">
        <v>620000</v>
      </c>
      <c r="AD734" s="235">
        <v>32245.699284697766</v>
      </c>
      <c r="AE734">
        <v>0</v>
      </c>
      <c r="AF734">
        <v>0</v>
      </c>
      <c r="AG734">
        <v>0</v>
      </c>
      <c r="AH734" s="235">
        <v>13046.782289773051</v>
      </c>
      <c r="AI734">
        <v>226</v>
      </c>
      <c r="AJ734" t="s">
        <v>256</v>
      </c>
      <c r="AK734">
        <v>0</v>
      </c>
      <c r="AL734">
        <v>0</v>
      </c>
      <c r="AM734">
        <v>0</v>
      </c>
    </row>
    <row r="735" spans="1:39" x14ac:dyDescent="0.25">
      <c r="A735" t="s">
        <v>601</v>
      </c>
      <c r="B735" t="s">
        <v>596</v>
      </c>
      <c r="C735" t="s">
        <v>255</v>
      </c>
      <c r="D735" t="s">
        <v>234</v>
      </c>
      <c r="E735" t="s">
        <v>20</v>
      </c>
      <c r="F735" t="s">
        <v>348</v>
      </c>
      <c r="G735" t="s">
        <v>269</v>
      </c>
      <c r="H735" t="s">
        <v>254</v>
      </c>
      <c r="I735" t="s">
        <v>242</v>
      </c>
      <c r="J735" t="s">
        <v>235</v>
      </c>
      <c r="K735" s="380">
        <v>36892</v>
      </c>
      <c r="L735" s="235">
        <v>-28711.89871773521</v>
      </c>
      <c r="M735" s="380">
        <v>36888</v>
      </c>
      <c r="N735" t="s">
        <v>21</v>
      </c>
      <c r="O735">
        <v>0.2</v>
      </c>
      <c r="P735">
        <v>0</v>
      </c>
      <c r="Q735">
        <v>0</v>
      </c>
      <c r="R735">
        <v>0</v>
      </c>
      <c r="S735">
        <v>0</v>
      </c>
      <c r="T735" t="s">
        <v>253</v>
      </c>
      <c r="U735" t="s">
        <v>600</v>
      </c>
      <c r="V735" t="s">
        <v>253</v>
      </c>
      <c r="W735" t="s">
        <v>132</v>
      </c>
      <c r="X735" t="s">
        <v>253</v>
      </c>
      <c r="Y735" t="s">
        <v>235</v>
      </c>
      <c r="Z735" t="s">
        <v>236</v>
      </c>
      <c r="AA735" t="s">
        <v>253</v>
      </c>
      <c r="AB735" t="s">
        <v>121</v>
      </c>
      <c r="AC735" s="235">
        <v>-1000000</v>
      </c>
      <c r="AD735" s="235">
        <v>-8458.0881351326243</v>
      </c>
      <c r="AE735">
        <v>0</v>
      </c>
      <c r="AF735">
        <v>0</v>
      </c>
      <c r="AG735">
        <v>0</v>
      </c>
      <c r="AH735" s="235">
        <v>-407.03740583587569</v>
      </c>
      <c r="AI735">
        <v>226</v>
      </c>
      <c r="AJ735" t="s">
        <v>256</v>
      </c>
      <c r="AK735">
        <v>0</v>
      </c>
      <c r="AL735">
        <v>0</v>
      </c>
      <c r="AM735">
        <v>0</v>
      </c>
    </row>
    <row r="736" spans="1:39" x14ac:dyDescent="0.25">
      <c r="A736" t="s">
        <v>601</v>
      </c>
      <c r="B736" t="s">
        <v>596</v>
      </c>
      <c r="C736" t="s">
        <v>255</v>
      </c>
      <c r="D736" t="s">
        <v>234</v>
      </c>
      <c r="E736" t="s">
        <v>20</v>
      </c>
      <c r="F736" t="s">
        <v>348</v>
      </c>
      <c r="G736" t="s">
        <v>269</v>
      </c>
      <c r="H736" t="s">
        <v>254</v>
      </c>
      <c r="I736" t="s">
        <v>242</v>
      </c>
      <c r="J736" t="s">
        <v>235</v>
      </c>
      <c r="K736" s="380">
        <v>36923</v>
      </c>
      <c r="L736" s="235">
        <v>-34991.207679824947</v>
      </c>
      <c r="M736" s="380">
        <v>36921</v>
      </c>
      <c r="N736" t="s">
        <v>21</v>
      </c>
      <c r="O736">
        <v>0.2</v>
      </c>
      <c r="P736">
        <v>0</v>
      </c>
      <c r="Q736">
        <v>0</v>
      </c>
      <c r="R736">
        <v>0</v>
      </c>
      <c r="S736">
        <v>0</v>
      </c>
      <c r="T736" t="s">
        <v>253</v>
      </c>
      <c r="U736" t="s">
        <v>600</v>
      </c>
      <c r="V736" t="s">
        <v>253</v>
      </c>
      <c r="W736" t="s">
        <v>132</v>
      </c>
      <c r="X736" t="s">
        <v>253</v>
      </c>
      <c r="Y736" t="s">
        <v>235</v>
      </c>
      <c r="Z736" t="s">
        <v>236</v>
      </c>
      <c r="AA736" t="s">
        <v>253</v>
      </c>
      <c r="AB736" t="s">
        <v>121</v>
      </c>
      <c r="AC736" s="235">
        <v>-1000000</v>
      </c>
      <c r="AD736" s="235">
        <v>-9589.1184383253567</v>
      </c>
      <c r="AE736">
        <v>0</v>
      </c>
      <c r="AF736">
        <v>0</v>
      </c>
      <c r="AG736">
        <v>0</v>
      </c>
      <c r="AH736" s="235">
        <v>-459.96601340670168</v>
      </c>
      <c r="AI736">
        <v>226</v>
      </c>
      <c r="AJ736" t="s">
        <v>256</v>
      </c>
      <c r="AK736">
        <v>0</v>
      </c>
      <c r="AL736">
        <v>0</v>
      </c>
      <c r="AM736">
        <v>0</v>
      </c>
    </row>
    <row r="737" spans="1:39" x14ac:dyDescent="0.25">
      <c r="A737" t="s">
        <v>601</v>
      </c>
      <c r="B737" t="s">
        <v>596</v>
      </c>
      <c r="C737" t="s">
        <v>255</v>
      </c>
      <c r="D737" t="s">
        <v>234</v>
      </c>
      <c r="E737" t="s">
        <v>20</v>
      </c>
      <c r="F737" t="s">
        <v>348</v>
      </c>
      <c r="G737" t="s">
        <v>269</v>
      </c>
      <c r="H737" t="s">
        <v>254</v>
      </c>
      <c r="I737" t="s">
        <v>242</v>
      </c>
      <c r="J737" t="s">
        <v>235</v>
      </c>
      <c r="K737" s="380">
        <v>36951</v>
      </c>
      <c r="L737" s="235">
        <v>-26314.057292236681</v>
      </c>
      <c r="M737" s="380">
        <v>36949</v>
      </c>
      <c r="N737" t="s">
        <v>21</v>
      </c>
      <c r="O737">
        <v>0.2</v>
      </c>
      <c r="P737">
        <v>0</v>
      </c>
      <c r="Q737">
        <v>0</v>
      </c>
      <c r="R737">
        <v>0</v>
      </c>
      <c r="S737">
        <v>0</v>
      </c>
      <c r="T737" t="s">
        <v>253</v>
      </c>
      <c r="U737" t="s">
        <v>600</v>
      </c>
      <c r="V737" t="s">
        <v>253</v>
      </c>
      <c r="W737" t="s">
        <v>132</v>
      </c>
      <c r="X737" t="s">
        <v>253</v>
      </c>
      <c r="Y737" t="s">
        <v>235</v>
      </c>
      <c r="Z737" t="s">
        <v>236</v>
      </c>
      <c r="AA737" t="s">
        <v>253</v>
      </c>
      <c r="AB737" t="s">
        <v>121</v>
      </c>
      <c r="AC737" s="235">
        <v>-1000000</v>
      </c>
      <c r="AD737" s="235">
        <v>-8714.597532602842</v>
      </c>
      <c r="AE737">
        <v>0</v>
      </c>
      <c r="AF737">
        <v>0</v>
      </c>
      <c r="AG737">
        <v>0</v>
      </c>
      <c r="AH737" s="235">
        <v>-442.50962995838927</v>
      </c>
      <c r="AI737">
        <v>226</v>
      </c>
      <c r="AJ737" t="s">
        <v>256</v>
      </c>
      <c r="AK737">
        <v>0</v>
      </c>
      <c r="AL737">
        <v>0</v>
      </c>
      <c r="AM737">
        <v>0</v>
      </c>
    </row>
    <row r="738" spans="1:39" x14ac:dyDescent="0.25">
      <c r="A738" t="s">
        <v>601</v>
      </c>
      <c r="B738" t="s">
        <v>597</v>
      </c>
      <c r="C738" t="s">
        <v>255</v>
      </c>
      <c r="D738" t="s">
        <v>234</v>
      </c>
      <c r="E738" t="s">
        <v>20</v>
      </c>
      <c r="F738" t="s">
        <v>284</v>
      </c>
      <c r="G738" t="s">
        <v>269</v>
      </c>
      <c r="H738" t="s">
        <v>254</v>
      </c>
      <c r="I738" t="s">
        <v>242</v>
      </c>
      <c r="J738" t="s">
        <v>235</v>
      </c>
      <c r="K738" s="380">
        <v>36982</v>
      </c>
      <c r="L738" s="235">
        <v>41506.052834076712</v>
      </c>
      <c r="M738" s="380">
        <v>36979</v>
      </c>
      <c r="N738" t="s">
        <v>1</v>
      </c>
      <c r="O738">
        <v>0.28000000000000003</v>
      </c>
      <c r="P738">
        <v>0</v>
      </c>
      <c r="Q738">
        <v>0</v>
      </c>
      <c r="R738">
        <v>0</v>
      </c>
      <c r="S738">
        <v>0</v>
      </c>
      <c r="T738" t="s">
        <v>253</v>
      </c>
      <c r="U738" t="s">
        <v>384</v>
      </c>
      <c r="V738" t="s">
        <v>253</v>
      </c>
      <c r="W738" t="s">
        <v>132</v>
      </c>
      <c r="X738" t="s">
        <v>253</v>
      </c>
      <c r="Y738" t="s">
        <v>235</v>
      </c>
      <c r="Z738" t="s">
        <v>236</v>
      </c>
      <c r="AA738" t="s">
        <v>253</v>
      </c>
      <c r="AB738" t="s">
        <v>121</v>
      </c>
      <c r="AC738" s="235">
        <v>1000000</v>
      </c>
      <c r="AD738" s="235">
        <v>14412.932708593784</v>
      </c>
      <c r="AE738">
        <v>0</v>
      </c>
      <c r="AF738">
        <v>0</v>
      </c>
      <c r="AG738">
        <v>0</v>
      </c>
      <c r="AH738" s="235">
        <v>685.92836543279554</v>
      </c>
      <c r="AI738">
        <v>226</v>
      </c>
      <c r="AJ738" t="s">
        <v>256</v>
      </c>
      <c r="AK738">
        <v>0</v>
      </c>
      <c r="AL738">
        <v>0</v>
      </c>
      <c r="AM738">
        <v>0</v>
      </c>
    </row>
    <row r="739" spans="1:39" x14ac:dyDescent="0.25">
      <c r="A739" t="s">
        <v>601</v>
      </c>
      <c r="B739" t="s">
        <v>597</v>
      </c>
      <c r="C739" t="s">
        <v>255</v>
      </c>
      <c r="D739" t="s">
        <v>234</v>
      </c>
      <c r="E739" t="s">
        <v>20</v>
      </c>
      <c r="F739" t="s">
        <v>284</v>
      </c>
      <c r="G739" t="s">
        <v>269</v>
      </c>
      <c r="H739" t="s">
        <v>254</v>
      </c>
      <c r="I739" t="s">
        <v>242</v>
      </c>
      <c r="J739" t="s">
        <v>235</v>
      </c>
      <c r="K739" s="380">
        <v>37012</v>
      </c>
      <c r="L739" s="235">
        <v>59419.355948889199</v>
      </c>
      <c r="M739" s="380">
        <v>37008</v>
      </c>
      <c r="N739" t="s">
        <v>1</v>
      </c>
      <c r="O739">
        <v>0.28000000000000003</v>
      </c>
      <c r="P739">
        <v>0</v>
      </c>
      <c r="Q739">
        <v>0</v>
      </c>
      <c r="R739">
        <v>0</v>
      </c>
      <c r="S739">
        <v>0</v>
      </c>
      <c r="T739" t="s">
        <v>253</v>
      </c>
      <c r="U739" t="s">
        <v>384</v>
      </c>
      <c r="V739" t="s">
        <v>253</v>
      </c>
      <c r="W739" t="s">
        <v>132</v>
      </c>
      <c r="X739" t="s">
        <v>253</v>
      </c>
      <c r="Y739" t="s">
        <v>235</v>
      </c>
      <c r="Z739" t="s">
        <v>236</v>
      </c>
      <c r="AA739" t="s">
        <v>253</v>
      </c>
      <c r="AB739" t="s">
        <v>121</v>
      </c>
      <c r="AC739" s="235">
        <v>1000000</v>
      </c>
      <c r="AD739" s="235">
        <v>15417.858849595301</v>
      </c>
      <c r="AE739">
        <v>0</v>
      </c>
      <c r="AF739">
        <v>0</v>
      </c>
      <c r="AG739">
        <v>0</v>
      </c>
      <c r="AH739" s="235">
        <v>733.77431031352171</v>
      </c>
      <c r="AI739">
        <v>226</v>
      </c>
      <c r="AJ739" t="s">
        <v>256</v>
      </c>
      <c r="AK739">
        <v>0</v>
      </c>
      <c r="AL739">
        <v>0</v>
      </c>
      <c r="AM739">
        <v>0</v>
      </c>
    </row>
    <row r="740" spans="1:39" x14ac:dyDescent="0.25">
      <c r="A740" t="s">
        <v>601</v>
      </c>
      <c r="B740" t="s">
        <v>597</v>
      </c>
      <c r="C740" t="s">
        <v>255</v>
      </c>
      <c r="D740" t="s">
        <v>234</v>
      </c>
      <c r="E740" t="s">
        <v>20</v>
      </c>
      <c r="F740" t="s">
        <v>284</v>
      </c>
      <c r="G740" t="s">
        <v>269</v>
      </c>
      <c r="H740" t="s">
        <v>254</v>
      </c>
      <c r="I740" t="s">
        <v>242</v>
      </c>
      <c r="J740" t="s">
        <v>235</v>
      </c>
      <c r="K740" s="380">
        <v>37043</v>
      </c>
      <c r="L740" s="235">
        <v>62583.394225031676</v>
      </c>
      <c r="M740" s="380">
        <v>37041</v>
      </c>
      <c r="N740" t="s">
        <v>1</v>
      </c>
      <c r="O740">
        <v>0.28000000000000003</v>
      </c>
      <c r="P740">
        <v>0</v>
      </c>
      <c r="Q740">
        <v>0</v>
      </c>
      <c r="R740">
        <v>0</v>
      </c>
      <c r="S740">
        <v>0</v>
      </c>
      <c r="T740" t="s">
        <v>253</v>
      </c>
      <c r="U740" t="s">
        <v>384</v>
      </c>
      <c r="V740" t="s">
        <v>253</v>
      </c>
      <c r="W740" t="s">
        <v>132</v>
      </c>
      <c r="X740" t="s">
        <v>253</v>
      </c>
      <c r="Y740" t="s">
        <v>235</v>
      </c>
      <c r="Z740" t="s">
        <v>236</v>
      </c>
      <c r="AA740" t="s">
        <v>253</v>
      </c>
      <c r="AB740" t="s">
        <v>121</v>
      </c>
      <c r="AC740" s="235">
        <v>1000000</v>
      </c>
      <c r="AD740" s="235">
        <v>16135.871585139423</v>
      </c>
      <c r="AE740">
        <v>0</v>
      </c>
      <c r="AF740">
        <v>0</v>
      </c>
      <c r="AG740">
        <v>0</v>
      </c>
      <c r="AH740" s="235">
        <v>767.28303330053313</v>
      </c>
      <c r="AI740">
        <v>226</v>
      </c>
      <c r="AJ740" t="s">
        <v>256</v>
      </c>
      <c r="AK740">
        <v>0</v>
      </c>
      <c r="AL740">
        <v>0</v>
      </c>
      <c r="AM740">
        <v>0</v>
      </c>
    </row>
    <row r="741" spans="1:39" x14ac:dyDescent="0.25">
      <c r="A741" t="s">
        <v>601</v>
      </c>
      <c r="B741" t="s">
        <v>597</v>
      </c>
      <c r="C741" t="s">
        <v>255</v>
      </c>
      <c r="D741" t="s">
        <v>234</v>
      </c>
      <c r="E741" t="s">
        <v>20</v>
      </c>
      <c r="F741" t="s">
        <v>284</v>
      </c>
      <c r="G741" t="s">
        <v>269</v>
      </c>
      <c r="H741" t="s">
        <v>254</v>
      </c>
      <c r="I741" t="s">
        <v>242</v>
      </c>
      <c r="J741" t="s">
        <v>235</v>
      </c>
      <c r="K741" s="380">
        <v>37073</v>
      </c>
      <c r="L741" s="235">
        <v>61107.05164317842</v>
      </c>
      <c r="M741" s="380">
        <v>37070</v>
      </c>
      <c r="N741" t="s">
        <v>1</v>
      </c>
      <c r="O741">
        <v>0.28000000000000003</v>
      </c>
      <c r="P741">
        <v>0</v>
      </c>
      <c r="Q741">
        <v>0</v>
      </c>
      <c r="R741">
        <v>0</v>
      </c>
      <c r="S741">
        <v>0</v>
      </c>
      <c r="T741" t="s">
        <v>253</v>
      </c>
      <c r="U741" t="s">
        <v>384</v>
      </c>
      <c r="V741" t="s">
        <v>253</v>
      </c>
      <c r="W741" t="s">
        <v>132</v>
      </c>
      <c r="X741" t="s">
        <v>253</v>
      </c>
      <c r="Y741" t="s">
        <v>235</v>
      </c>
      <c r="Z741" t="s">
        <v>236</v>
      </c>
      <c r="AA741" t="s">
        <v>253</v>
      </c>
      <c r="AB741" t="s">
        <v>121</v>
      </c>
      <c r="AC741" s="235">
        <v>1000000</v>
      </c>
      <c r="AD741" s="235">
        <v>16662.036016044032</v>
      </c>
      <c r="AE741">
        <v>0</v>
      </c>
      <c r="AF741">
        <v>0</v>
      </c>
      <c r="AG741">
        <v>0</v>
      </c>
      <c r="AH741" s="235">
        <v>791.66019926013541</v>
      </c>
      <c r="AI741">
        <v>226</v>
      </c>
      <c r="AJ741" t="s">
        <v>256</v>
      </c>
      <c r="AK741">
        <v>0</v>
      </c>
      <c r="AL741">
        <v>0</v>
      </c>
      <c r="AM741">
        <v>0</v>
      </c>
    </row>
    <row r="742" spans="1:39" x14ac:dyDescent="0.25">
      <c r="A742" t="s">
        <v>601</v>
      </c>
      <c r="B742" t="s">
        <v>597</v>
      </c>
      <c r="C742" t="s">
        <v>255</v>
      </c>
      <c r="D742" t="s">
        <v>234</v>
      </c>
      <c r="E742" t="s">
        <v>20</v>
      </c>
      <c r="F742" t="s">
        <v>284</v>
      </c>
      <c r="G742" t="s">
        <v>269</v>
      </c>
      <c r="H742" t="s">
        <v>254</v>
      </c>
      <c r="I742" t="s">
        <v>242</v>
      </c>
      <c r="J742" t="s">
        <v>235</v>
      </c>
      <c r="K742" s="380">
        <v>37104</v>
      </c>
      <c r="L742" s="235">
        <v>64932.747612597763</v>
      </c>
      <c r="M742" s="380">
        <v>37102</v>
      </c>
      <c r="N742" t="s">
        <v>1</v>
      </c>
      <c r="O742">
        <v>0.28000000000000003</v>
      </c>
      <c r="P742">
        <v>0</v>
      </c>
      <c r="Q742">
        <v>0</v>
      </c>
      <c r="R742">
        <v>0</v>
      </c>
      <c r="S742">
        <v>0</v>
      </c>
      <c r="T742" t="s">
        <v>253</v>
      </c>
      <c r="U742" t="s">
        <v>384</v>
      </c>
      <c r="V742" t="s">
        <v>253</v>
      </c>
      <c r="W742" t="s">
        <v>132</v>
      </c>
      <c r="X742" t="s">
        <v>253</v>
      </c>
      <c r="Y742" t="s">
        <v>235</v>
      </c>
      <c r="Z742" t="s">
        <v>236</v>
      </c>
      <c r="AA742" t="s">
        <v>253</v>
      </c>
      <c r="AB742" t="s">
        <v>121</v>
      </c>
      <c r="AC742" s="235">
        <v>1000000</v>
      </c>
      <c r="AD742" s="235">
        <v>17458.732310521998</v>
      </c>
      <c r="AE742">
        <v>0</v>
      </c>
      <c r="AF742">
        <v>0</v>
      </c>
      <c r="AG742">
        <v>0</v>
      </c>
      <c r="AH742" s="235">
        <v>829.20874464820372</v>
      </c>
      <c r="AI742">
        <v>226</v>
      </c>
      <c r="AJ742" t="s">
        <v>256</v>
      </c>
      <c r="AK742">
        <v>0</v>
      </c>
      <c r="AL742">
        <v>0</v>
      </c>
      <c r="AM742">
        <v>0</v>
      </c>
    </row>
    <row r="743" spans="1:39" x14ac:dyDescent="0.25">
      <c r="A743" t="s">
        <v>601</v>
      </c>
      <c r="B743" t="s">
        <v>597</v>
      </c>
      <c r="C743" t="s">
        <v>255</v>
      </c>
      <c r="D743" t="s">
        <v>234</v>
      </c>
      <c r="E743" t="s">
        <v>20</v>
      </c>
      <c r="F743" t="s">
        <v>284</v>
      </c>
      <c r="G743" t="s">
        <v>269</v>
      </c>
      <c r="H743" t="s">
        <v>254</v>
      </c>
      <c r="I743" t="s">
        <v>242</v>
      </c>
      <c r="J743" t="s">
        <v>235</v>
      </c>
      <c r="K743" s="380">
        <v>37135</v>
      </c>
      <c r="L743" s="235">
        <v>71844.764511781235</v>
      </c>
      <c r="M743" s="380">
        <v>37133</v>
      </c>
      <c r="N743" t="s">
        <v>1</v>
      </c>
      <c r="O743">
        <v>0.28000000000000003</v>
      </c>
      <c r="P743">
        <v>0</v>
      </c>
      <c r="Q743">
        <v>0</v>
      </c>
      <c r="R743">
        <v>0</v>
      </c>
      <c r="S743">
        <v>0</v>
      </c>
      <c r="T743" t="s">
        <v>253</v>
      </c>
      <c r="U743" t="s">
        <v>384</v>
      </c>
      <c r="V743" t="s">
        <v>253</v>
      </c>
      <c r="W743" t="s">
        <v>132</v>
      </c>
      <c r="X743" t="s">
        <v>253</v>
      </c>
      <c r="Y743" t="s">
        <v>235</v>
      </c>
      <c r="Z743" t="s">
        <v>236</v>
      </c>
      <c r="AA743" t="s">
        <v>253</v>
      </c>
      <c r="AB743" t="s">
        <v>121</v>
      </c>
      <c r="AC743" s="235">
        <v>1000000</v>
      </c>
      <c r="AD743" s="235">
        <v>18315.184032383375</v>
      </c>
      <c r="AE743">
        <v>0</v>
      </c>
      <c r="AF743">
        <v>0</v>
      </c>
      <c r="AG743">
        <v>0</v>
      </c>
      <c r="AH743" s="235">
        <v>869.83222187563661</v>
      </c>
      <c r="AI743">
        <v>226</v>
      </c>
      <c r="AJ743" t="s">
        <v>256</v>
      </c>
      <c r="AK743">
        <v>0</v>
      </c>
      <c r="AL743">
        <v>0</v>
      </c>
      <c r="AM743">
        <v>0</v>
      </c>
    </row>
    <row r="744" spans="1:39" x14ac:dyDescent="0.25">
      <c r="A744" t="s">
        <v>601</v>
      </c>
      <c r="B744" t="s">
        <v>597</v>
      </c>
      <c r="C744" t="s">
        <v>255</v>
      </c>
      <c r="D744" t="s">
        <v>234</v>
      </c>
      <c r="E744" t="s">
        <v>20</v>
      </c>
      <c r="F744" t="s">
        <v>284</v>
      </c>
      <c r="G744" t="s">
        <v>269</v>
      </c>
      <c r="H744" t="s">
        <v>254</v>
      </c>
      <c r="I744" t="s">
        <v>242</v>
      </c>
      <c r="J744" t="s">
        <v>235</v>
      </c>
      <c r="K744" s="380">
        <v>37165</v>
      </c>
      <c r="L744" s="235">
        <v>69952.650358762359</v>
      </c>
      <c r="M744" s="380">
        <v>37161</v>
      </c>
      <c r="N744" t="s">
        <v>1</v>
      </c>
      <c r="O744">
        <v>0.28000000000000003</v>
      </c>
      <c r="P744">
        <v>0</v>
      </c>
      <c r="Q744">
        <v>0</v>
      </c>
      <c r="R744">
        <v>0</v>
      </c>
      <c r="S744">
        <v>0</v>
      </c>
      <c r="T744" t="s">
        <v>253</v>
      </c>
      <c r="U744" t="s">
        <v>384</v>
      </c>
      <c r="V744" t="s">
        <v>253</v>
      </c>
      <c r="W744" t="s">
        <v>132</v>
      </c>
      <c r="X744" t="s">
        <v>253</v>
      </c>
      <c r="Y744" t="s">
        <v>235</v>
      </c>
      <c r="Z744" t="s">
        <v>236</v>
      </c>
      <c r="AA744" t="s">
        <v>253</v>
      </c>
      <c r="AB744" t="s">
        <v>121</v>
      </c>
      <c r="AC744" s="235">
        <v>1000000</v>
      </c>
      <c r="AD744" s="235">
        <v>18813.479546190938</v>
      </c>
      <c r="AE744">
        <v>0</v>
      </c>
      <c r="AF744">
        <v>0</v>
      </c>
      <c r="AG744">
        <v>0</v>
      </c>
      <c r="AH744" s="235">
        <v>893.10606981252204</v>
      </c>
      <c r="AI744">
        <v>226</v>
      </c>
      <c r="AJ744" t="s">
        <v>256</v>
      </c>
      <c r="AK744">
        <v>0</v>
      </c>
      <c r="AL744">
        <v>0</v>
      </c>
      <c r="AM744">
        <v>0</v>
      </c>
    </row>
    <row r="745" spans="1:39" x14ac:dyDescent="0.25">
      <c r="A745" t="s">
        <v>601</v>
      </c>
      <c r="B745" t="s">
        <v>598</v>
      </c>
      <c r="C745" t="s">
        <v>255</v>
      </c>
      <c r="D745" t="s">
        <v>234</v>
      </c>
      <c r="E745" t="s">
        <v>20</v>
      </c>
      <c r="F745" t="s">
        <v>363</v>
      </c>
      <c r="G745" t="s">
        <v>269</v>
      </c>
      <c r="H745" t="s">
        <v>254</v>
      </c>
      <c r="I745" t="s">
        <v>242</v>
      </c>
      <c r="J745" t="s">
        <v>235</v>
      </c>
      <c r="K745" s="380">
        <v>36923</v>
      </c>
      <c r="L745" s="235">
        <v>-78967.507956427929</v>
      </c>
      <c r="M745" s="380">
        <v>36921</v>
      </c>
      <c r="N745" t="s">
        <v>21</v>
      </c>
      <c r="O745">
        <v>0.4</v>
      </c>
      <c r="P745">
        <v>0</v>
      </c>
      <c r="Q745">
        <v>0</v>
      </c>
      <c r="R745">
        <v>0</v>
      </c>
      <c r="S745">
        <v>0</v>
      </c>
      <c r="T745" t="s">
        <v>253</v>
      </c>
      <c r="U745" t="s">
        <v>10</v>
      </c>
      <c r="V745" t="s">
        <v>253</v>
      </c>
      <c r="W745" t="s">
        <v>132</v>
      </c>
      <c r="X745" t="s">
        <v>253</v>
      </c>
      <c r="Y745" t="s">
        <v>235</v>
      </c>
      <c r="Z745" t="s">
        <v>236</v>
      </c>
      <c r="AA745" t="s">
        <v>253</v>
      </c>
      <c r="AB745" t="s">
        <v>121</v>
      </c>
      <c r="AC745" s="235">
        <v>-1120000</v>
      </c>
      <c r="AD745" s="235">
        <v>-19603.927874790679</v>
      </c>
      <c r="AE745">
        <v>0</v>
      </c>
      <c r="AF745">
        <v>0</v>
      </c>
      <c r="AG745">
        <v>0</v>
      </c>
      <c r="AH745" s="235">
        <v>-940.35592883535719</v>
      </c>
      <c r="AI745">
        <v>226</v>
      </c>
      <c r="AJ745" t="s">
        <v>256</v>
      </c>
      <c r="AK745">
        <v>0</v>
      </c>
      <c r="AL745">
        <v>0</v>
      </c>
      <c r="AM745">
        <v>0</v>
      </c>
    </row>
    <row r="746" spans="1:39" x14ac:dyDescent="0.25">
      <c r="A746" t="s">
        <v>601</v>
      </c>
      <c r="B746" t="s">
        <v>599</v>
      </c>
      <c r="C746" t="s">
        <v>255</v>
      </c>
      <c r="D746" t="s">
        <v>234</v>
      </c>
      <c r="E746" t="s">
        <v>20</v>
      </c>
      <c r="F746" t="s">
        <v>286</v>
      </c>
      <c r="G746" t="s">
        <v>269</v>
      </c>
      <c r="H746" t="s">
        <v>254</v>
      </c>
      <c r="I746" t="s">
        <v>242</v>
      </c>
      <c r="J746" t="s">
        <v>235</v>
      </c>
      <c r="K746" s="380">
        <v>36831</v>
      </c>
      <c r="L746" s="235">
        <v>279777.50841943105</v>
      </c>
      <c r="M746" s="380">
        <v>36829</v>
      </c>
      <c r="N746" t="s">
        <v>1</v>
      </c>
      <c r="O746">
        <v>0.5</v>
      </c>
      <c r="P746">
        <v>0</v>
      </c>
      <c r="Q746">
        <v>0</v>
      </c>
      <c r="R746">
        <v>0</v>
      </c>
      <c r="S746">
        <v>0</v>
      </c>
      <c r="T746" t="s">
        <v>253</v>
      </c>
      <c r="U746" t="s">
        <v>7</v>
      </c>
      <c r="V746" t="s">
        <v>253</v>
      </c>
      <c r="W746" t="s">
        <v>132</v>
      </c>
      <c r="X746" t="s">
        <v>253</v>
      </c>
      <c r="Y746" t="s">
        <v>235</v>
      </c>
      <c r="Z746" t="s">
        <v>236</v>
      </c>
      <c r="AA746" t="s">
        <v>253</v>
      </c>
      <c r="AB746" t="s">
        <v>121</v>
      </c>
      <c r="AC746" s="235">
        <v>2000000</v>
      </c>
      <c r="AD746" s="235">
        <v>84288.696147370851</v>
      </c>
      <c r="AE746">
        <v>0</v>
      </c>
      <c r="AF746">
        <v>0</v>
      </c>
      <c r="AG746">
        <v>0</v>
      </c>
      <c r="AH746" s="235">
        <v>-21214.029853402055</v>
      </c>
      <c r="AI746">
        <v>226</v>
      </c>
      <c r="AJ746" t="s">
        <v>256</v>
      </c>
      <c r="AK746">
        <v>0</v>
      </c>
      <c r="AL746">
        <v>0</v>
      </c>
      <c r="AM746">
        <v>0</v>
      </c>
    </row>
    <row r="747" spans="1:39" x14ac:dyDescent="0.25">
      <c r="A747" t="s">
        <v>601</v>
      </c>
      <c r="B747" t="s">
        <v>602</v>
      </c>
      <c r="C747" t="s">
        <v>255</v>
      </c>
      <c r="D747" t="s">
        <v>234</v>
      </c>
      <c r="E747" t="s">
        <v>20</v>
      </c>
      <c r="F747" t="s">
        <v>480</v>
      </c>
      <c r="G747" t="s">
        <v>269</v>
      </c>
      <c r="H747" t="s">
        <v>254</v>
      </c>
      <c r="I747" t="s">
        <v>242</v>
      </c>
      <c r="J747" t="s">
        <v>235</v>
      </c>
      <c r="K747" s="380">
        <v>36892</v>
      </c>
      <c r="L747" s="235">
        <v>-28711.89871773521</v>
      </c>
      <c r="M747" s="380">
        <v>36888</v>
      </c>
      <c r="N747" t="s">
        <v>21</v>
      </c>
      <c r="O747">
        <v>0.2</v>
      </c>
      <c r="P747">
        <v>0</v>
      </c>
      <c r="Q747">
        <v>0</v>
      </c>
      <c r="R747">
        <v>0</v>
      </c>
      <c r="S747">
        <v>0</v>
      </c>
      <c r="T747" t="s">
        <v>253</v>
      </c>
      <c r="U747" t="s">
        <v>600</v>
      </c>
      <c r="V747" t="s">
        <v>253</v>
      </c>
      <c r="W747" t="s">
        <v>132</v>
      </c>
      <c r="X747" t="s">
        <v>253</v>
      </c>
      <c r="Y747" t="s">
        <v>235</v>
      </c>
      <c r="Z747" t="s">
        <v>236</v>
      </c>
      <c r="AA747" t="s">
        <v>253</v>
      </c>
      <c r="AB747" t="s">
        <v>121</v>
      </c>
      <c r="AC747" s="235">
        <v>-1000000</v>
      </c>
      <c r="AD747" s="235">
        <v>-8458.0881351326243</v>
      </c>
      <c r="AE747">
        <v>0</v>
      </c>
      <c r="AF747">
        <v>0</v>
      </c>
      <c r="AG747">
        <v>0</v>
      </c>
      <c r="AH747" s="235">
        <v>-407.03740583587569</v>
      </c>
      <c r="AI747">
        <v>226</v>
      </c>
      <c r="AJ747" t="s">
        <v>256</v>
      </c>
      <c r="AK747">
        <v>0</v>
      </c>
      <c r="AL747">
        <v>0</v>
      </c>
      <c r="AM747">
        <v>0</v>
      </c>
    </row>
    <row r="748" spans="1:39" x14ac:dyDescent="0.25">
      <c r="A748" t="s">
        <v>601</v>
      </c>
      <c r="B748" t="s">
        <v>602</v>
      </c>
      <c r="C748" t="s">
        <v>255</v>
      </c>
      <c r="D748" t="s">
        <v>234</v>
      </c>
      <c r="E748" t="s">
        <v>20</v>
      </c>
      <c r="F748" t="s">
        <v>480</v>
      </c>
      <c r="G748" t="s">
        <v>269</v>
      </c>
      <c r="H748" t="s">
        <v>254</v>
      </c>
      <c r="I748" t="s">
        <v>242</v>
      </c>
      <c r="J748" t="s">
        <v>235</v>
      </c>
      <c r="K748" s="380">
        <v>36923</v>
      </c>
      <c r="L748" s="235">
        <v>-34991.207679824947</v>
      </c>
      <c r="M748" s="380">
        <v>36921</v>
      </c>
      <c r="N748" t="s">
        <v>21</v>
      </c>
      <c r="O748">
        <v>0.2</v>
      </c>
      <c r="P748">
        <v>0</v>
      </c>
      <c r="Q748">
        <v>0</v>
      </c>
      <c r="R748">
        <v>0</v>
      </c>
      <c r="S748">
        <v>0</v>
      </c>
      <c r="T748" t="s">
        <v>253</v>
      </c>
      <c r="U748" t="s">
        <v>600</v>
      </c>
      <c r="V748" t="s">
        <v>253</v>
      </c>
      <c r="W748" t="s">
        <v>132</v>
      </c>
      <c r="X748" t="s">
        <v>253</v>
      </c>
      <c r="Y748" t="s">
        <v>235</v>
      </c>
      <c r="Z748" t="s">
        <v>236</v>
      </c>
      <c r="AA748" t="s">
        <v>253</v>
      </c>
      <c r="AB748" t="s">
        <v>121</v>
      </c>
      <c r="AC748" s="235">
        <v>-1000000</v>
      </c>
      <c r="AD748" s="235">
        <v>-9589.1184383253567</v>
      </c>
      <c r="AE748">
        <v>0</v>
      </c>
      <c r="AF748">
        <v>0</v>
      </c>
      <c r="AG748">
        <v>0</v>
      </c>
      <c r="AH748" s="235">
        <v>-459.96601340670168</v>
      </c>
      <c r="AI748">
        <v>226</v>
      </c>
      <c r="AJ748" t="s">
        <v>256</v>
      </c>
      <c r="AK748">
        <v>0</v>
      </c>
      <c r="AL748">
        <v>0</v>
      </c>
      <c r="AM748">
        <v>0</v>
      </c>
    </row>
    <row r="749" spans="1:39" x14ac:dyDescent="0.25">
      <c r="A749" t="s">
        <v>601</v>
      </c>
      <c r="B749" t="s">
        <v>602</v>
      </c>
      <c r="C749" t="s">
        <v>255</v>
      </c>
      <c r="D749" t="s">
        <v>234</v>
      </c>
      <c r="E749" t="s">
        <v>20</v>
      </c>
      <c r="F749" t="s">
        <v>480</v>
      </c>
      <c r="G749" t="s">
        <v>269</v>
      </c>
      <c r="H749" t="s">
        <v>254</v>
      </c>
      <c r="I749" t="s">
        <v>242</v>
      </c>
      <c r="J749" t="s">
        <v>235</v>
      </c>
      <c r="K749" s="380">
        <v>36951</v>
      </c>
      <c r="L749" s="235">
        <v>-26314.057292236681</v>
      </c>
      <c r="M749" s="380">
        <v>36949</v>
      </c>
      <c r="N749" t="s">
        <v>21</v>
      </c>
      <c r="O749">
        <v>0.2</v>
      </c>
      <c r="P749">
        <v>0</v>
      </c>
      <c r="Q749">
        <v>0</v>
      </c>
      <c r="R749">
        <v>0</v>
      </c>
      <c r="S749">
        <v>0</v>
      </c>
      <c r="T749" t="s">
        <v>253</v>
      </c>
      <c r="U749" t="s">
        <v>600</v>
      </c>
      <c r="V749" t="s">
        <v>253</v>
      </c>
      <c r="W749" t="s">
        <v>132</v>
      </c>
      <c r="X749" t="s">
        <v>253</v>
      </c>
      <c r="Y749" t="s">
        <v>235</v>
      </c>
      <c r="Z749" t="s">
        <v>236</v>
      </c>
      <c r="AA749" t="s">
        <v>253</v>
      </c>
      <c r="AB749" t="s">
        <v>121</v>
      </c>
      <c r="AC749" s="235">
        <v>-1000000</v>
      </c>
      <c r="AD749" s="235">
        <v>-8714.597532602842</v>
      </c>
      <c r="AE749">
        <v>0</v>
      </c>
      <c r="AF749">
        <v>0</v>
      </c>
      <c r="AG749">
        <v>0</v>
      </c>
      <c r="AH749" s="235">
        <v>-442.50962995838927</v>
      </c>
      <c r="AI749">
        <v>226</v>
      </c>
      <c r="AJ749" t="s">
        <v>256</v>
      </c>
      <c r="AK749">
        <v>0</v>
      </c>
      <c r="AL749">
        <v>0</v>
      </c>
      <c r="AM749">
        <v>0</v>
      </c>
    </row>
    <row r="750" spans="1:39" x14ac:dyDescent="0.25">
      <c r="A750" t="s">
        <v>601</v>
      </c>
      <c r="B750" t="s">
        <v>603</v>
      </c>
      <c r="C750" t="s">
        <v>255</v>
      </c>
      <c r="D750" t="s">
        <v>234</v>
      </c>
      <c r="E750" t="s">
        <v>20</v>
      </c>
      <c r="F750" t="s">
        <v>279</v>
      </c>
      <c r="G750" t="s">
        <v>269</v>
      </c>
      <c r="H750" t="s">
        <v>254</v>
      </c>
      <c r="I750" t="s">
        <v>242</v>
      </c>
      <c r="J750" t="s">
        <v>235</v>
      </c>
      <c r="K750" s="380">
        <v>36831</v>
      </c>
      <c r="L750" s="235">
        <v>-344960.70153282431</v>
      </c>
      <c r="M750" s="380">
        <v>36829</v>
      </c>
      <c r="N750" t="s">
        <v>21</v>
      </c>
      <c r="O750">
        <v>0.4</v>
      </c>
      <c r="P750">
        <v>0</v>
      </c>
      <c r="Q750">
        <v>0</v>
      </c>
      <c r="R750">
        <v>0</v>
      </c>
      <c r="S750">
        <v>0</v>
      </c>
      <c r="T750" t="s">
        <v>253</v>
      </c>
      <c r="U750" t="s">
        <v>190</v>
      </c>
      <c r="V750" t="s">
        <v>253</v>
      </c>
      <c r="W750" t="s">
        <v>132</v>
      </c>
      <c r="X750" t="s">
        <v>253</v>
      </c>
      <c r="Y750" t="s">
        <v>235</v>
      </c>
      <c r="Z750" t="s">
        <v>236</v>
      </c>
      <c r="AA750" t="s">
        <v>253</v>
      </c>
      <c r="AB750" t="s">
        <v>121</v>
      </c>
      <c r="AC750" s="235">
        <v>-300000</v>
      </c>
      <c r="AD750" s="235">
        <v>-4619.4188960208558</v>
      </c>
      <c r="AE750">
        <v>0</v>
      </c>
      <c r="AF750">
        <v>0</v>
      </c>
      <c r="AG750">
        <v>0</v>
      </c>
      <c r="AH750" s="235">
        <v>-58223.588623615389</v>
      </c>
      <c r="AI750">
        <v>226</v>
      </c>
      <c r="AJ750" t="s">
        <v>256</v>
      </c>
      <c r="AK750">
        <v>0</v>
      </c>
      <c r="AL750">
        <v>0</v>
      </c>
      <c r="AM750">
        <v>0</v>
      </c>
    </row>
    <row r="751" spans="1:39" x14ac:dyDescent="0.25">
      <c r="A751" t="s">
        <v>601</v>
      </c>
      <c r="B751" t="s">
        <v>603</v>
      </c>
      <c r="C751" t="s">
        <v>255</v>
      </c>
      <c r="D751" t="s">
        <v>234</v>
      </c>
      <c r="E751" t="s">
        <v>20</v>
      </c>
      <c r="F751" t="s">
        <v>279</v>
      </c>
      <c r="G751" t="s">
        <v>269</v>
      </c>
      <c r="H751" t="s">
        <v>254</v>
      </c>
      <c r="I751" t="s">
        <v>242</v>
      </c>
      <c r="J751" t="s">
        <v>235</v>
      </c>
      <c r="K751" s="380">
        <v>36861</v>
      </c>
      <c r="L751" s="235">
        <v>-222093.89969716649</v>
      </c>
      <c r="M751" s="380">
        <v>36859</v>
      </c>
      <c r="N751" t="s">
        <v>21</v>
      </c>
      <c r="O751">
        <v>0.4</v>
      </c>
      <c r="P751">
        <v>0</v>
      </c>
      <c r="Q751">
        <v>0</v>
      </c>
      <c r="R751">
        <v>0</v>
      </c>
      <c r="S751">
        <v>0</v>
      </c>
      <c r="T751" t="s">
        <v>253</v>
      </c>
      <c r="U751" t="s">
        <v>190</v>
      </c>
      <c r="V751" t="s">
        <v>253</v>
      </c>
      <c r="W751" t="s">
        <v>132</v>
      </c>
      <c r="X751" t="s">
        <v>253</v>
      </c>
      <c r="Y751" t="s">
        <v>235</v>
      </c>
      <c r="Z751" t="s">
        <v>236</v>
      </c>
      <c r="AA751" t="s">
        <v>253</v>
      </c>
      <c r="AB751" t="s">
        <v>121</v>
      </c>
      <c r="AC751" s="235">
        <v>-310000</v>
      </c>
      <c r="AD751" s="235">
        <v>-15441.484431075893</v>
      </c>
      <c r="AE751">
        <v>0</v>
      </c>
      <c r="AF751">
        <v>0</v>
      </c>
      <c r="AG751">
        <v>0</v>
      </c>
      <c r="AH751" s="235">
        <v>-34229.625285559334</v>
      </c>
      <c r="AI751">
        <v>226</v>
      </c>
      <c r="AJ751" t="s">
        <v>256</v>
      </c>
      <c r="AK751">
        <v>0</v>
      </c>
      <c r="AL751">
        <v>0</v>
      </c>
      <c r="AM751">
        <v>0</v>
      </c>
    </row>
    <row r="752" spans="1:39" x14ac:dyDescent="0.25">
      <c r="A752" t="s">
        <v>601</v>
      </c>
      <c r="B752" t="s">
        <v>603</v>
      </c>
      <c r="C752" t="s">
        <v>255</v>
      </c>
      <c r="D752" t="s">
        <v>234</v>
      </c>
      <c r="E752" t="s">
        <v>20</v>
      </c>
      <c r="F752" t="s">
        <v>279</v>
      </c>
      <c r="G752" t="s">
        <v>269</v>
      </c>
      <c r="H752" t="s">
        <v>254</v>
      </c>
      <c r="I752" t="s">
        <v>242</v>
      </c>
      <c r="J752" t="s">
        <v>235</v>
      </c>
      <c r="K752" s="380">
        <v>36892</v>
      </c>
      <c r="L752" s="235">
        <v>-181062.3776460558</v>
      </c>
      <c r="M752" s="380">
        <v>36888</v>
      </c>
      <c r="N752" t="s">
        <v>21</v>
      </c>
      <c r="O752">
        <v>0.4</v>
      </c>
      <c r="P752">
        <v>0</v>
      </c>
      <c r="Q752">
        <v>0</v>
      </c>
      <c r="R752">
        <v>0</v>
      </c>
      <c r="S752">
        <v>0</v>
      </c>
      <c r="T752" t="s">
        <v>253</v>
      </c>
      <c r="U752" t="s">
        <v>190</v>
      </c>
      <c r="V752" t="s">
        <v>253</v>
      </c>
      <c r="W752" t="s">
        <v>132</v>
      </c>
      <c r="X752" t="s">
        <v>253</v>
      </c>
      <c r="Y752" t="s">
        <v>235</v>
      </c>
      <c r="Z752" t="s">
        <v>236</v>
      </c>
      <c r="AA752" t="s">
        <v>253</v>
      </c>
      <c r="AB752" t="s">
        <v>121</v>
      </c>
      <c r="AC752" s="235">
        <v>-310000</v>
      </c>
      <c r="AD752" s="235">
        <v>-21025.976765003026</v>
      </c>
      <c r="AE752">
        <v>0</v>
      </c>
      <c r="AF752">
        <v>0</v>
      </c>
      <c r="AG752">
        <v>0</v>
      </c>
      <c r="AH752" s="235">
        <v>10508.825612127577</v>
      </c>
      <c r="AI752">
        <v>226</v>
      </c>
      <c r="AJ752" t="s">
        <v>256</v>
      </c>
      <c r="AK752">
        <v>0</v>
      </c>
      <c r="AL752">
        <v>0</v>
      </c>
      <c r="AM752">
        <v>0</v>
      </c>
    </row>
    <row r="753" spans="1:39" x14ac:dyDescent="0.25">
      <c r="A753" t="s">
        <v>601</v>
      </c>
      <c r="B753" t="s">
        <v>603</v>
      </c>
      <c r="C753" t="s">
        <v>255</v>
      </c>
      <c r="D753" t="s">
        <v>234</v>
      </c>
      <c r="E753" t="s">
        <v>20</v>
      </c>
      <c r="F753" t="s">
        <v>279</v>
      </c>
      <c r="G753" t="s">
        <v>269</v>
      </c>
      <c r="H753" t="s">
        <v>254</v>
      </c>
      <c r="I753" t="s">
        <v>242</v>
      </c>
      <c r="J753" t="s">
        <v>235</v>
      </c>
      <c r="K753" s="380">
        <v>36923</v>
      </c>
      <c r="L753" s="235">
        <v>-140588.44624291998</v>
      </c>
      <c r="M753" s="380">
        <v>36921</v>
      </c>
      <c r="N753" t="s">
        <v>21</v>
      </c>
      <c r="O753">
        <v>0.4</v>
      </c>
      <c r="P753">
        <v>0</v>
      </c>
      <c r="Q753">
        <v>0</v>
      </c>
      <c r="R753">
        <v>0</v>
      </c>
      <c r="S753">
        <v>0</v>
      </c>
      <c r="T753" t="s">
        <v>253</v>
      </c>
      <c r="U753" t="s">
        <v>190</v>
      </c>
      <c r="V753" t="s">
        <v>253</v>
      </c>
      <c r="W753" t="s">
        <v>132</v>
      </c>
      <c r="X753" t="s">
        <v>253</v>
      </c>
      <c r="Y753" t="s">
        <v>235</v>
      </c>
      <c r="Z753" t="s">
        <v>236</v>
      </c>
      <c r="AA753" t="s">
        <v>253</v>
      </c>
      <c r="AB753" t="s">
        <v>121</v>
      </c>
      <c r="AC753" s="235">
        <v>-280000</v>
      </c>
      <c r="AD753" s="235">
        <v>-21815.832700492494</v>
      </c>
      <c r="AE753">
        <v>0</v>
      </c>
      <c r="AF753">
        <v>0</v>
      </c>
      <c r="AG753">
        <v>0</v>
      </c>
      <c r="AH753" s="235">
        <v>8459.0163457312156</v>
      </c>
      <c r="AI753">
        <v>226</v>
      </c>
      <c r="AJ753" t="s">
        <v>256</v>
      </c>
      <c r="AK753">
        <v>0</v>
      </c>
      <c r="AL753">
        <v>0</v>
      </c>
      <c r="AM753">
        <v>0</v>
      </c>
    </row>
    <row r="754" spans="1:39" x14ac:dyDescent="0.25">
      <c r="A754" t="s">
        <v>601</v>
      </c>
      <c r="B754" t="s">
        <v>603</v>
      </c>
      <c r="C754" t="s">
        <v>255</v>
      </c>
      <c r="D754" t="s">
        <v>234</v>
      </c>
      <c r="E754" t="s">
        <v>20</v>
      </c>
      <c r="F754" t="s">
        <v>279</v>
      </c>
      <c r="G754" t="s">
        <v>269</v>
      </c>
      <c r="H754" t="s">
        <v>254</v>
      </c>
      <c r="I754" t="s">
        <v>242</v>
      </c>
      <c r="J754" t="s">
        <v>235</v>
      </c>
      <c r="K754" s="380">
        <v>36951</v>
      </c>
      <c r="L754" s="235">
        <v>-142120.97724208553</v>
      </c>
      <c r="M754" s="380">
        <v>36949</v>
      </c>
      <c r="N754" t="s">
        <v>21</v>
      </c>
      <c r="O754">
        <v>0.4</v>
      </c>
      <c r="P754">
        <v>0</v>
      </c>
      <c r="Q754">
        <v>0</v>
      </c>
      <c r="R754">
        <v>0</v>
      </c>
      <c r="S754">
        <v>0</v>
      </c>
      <c r="T754" t="s">
        <v>253</v>
      </c>
      <c r="U754" t="s">
        <v>190</v>
      </c>
      <c r="V754" t="s">
        <v>253</v>
      </c>
      <c r="W754" t="s">
        <v>132</v>
      </c>
      <c r="X754" t="s">
        <v>253</v>
      </c>
      <c r="Y754" t="s">
        <v>235</v>
      </c>
      <c r="Z754" t="s">
        <v>236</v>
      </c>
      <c r="AA754" t="s">
        <v>253</v>
      </c>
      <c r="AB754" t="s">
        <v>121</v>
      </c>
      <c r="AC754" s="235">
        <v>-310000</v>
      </c>
      <c r="AD754" s="235">
        <v>-23448.042554167099</v>
      </c>
      <c r="AE754">
        <v>0</v>
      </c>
      <c r="AF754">
        <v>0</v>
      </c>
      <c r="AG754">
        <v>0</v>
      </c>
      <c r="AH754" s="235">
        <v>9259.0175994993187</v>
      </c>
      <c r="AI754">
        <v>226</v>
      </c>
      <c r="AJ754" t="s">
        <v>256</v>
      </c>
      <c r="AK754">
        <v>0</v>
      </c>
      <c r="AL754">
        <v>0</v>
      </c>
      <c r="AM754">
        <v>0</v>
      </c>
    </row>
    <row r="755" spans="1:39" x14ac:dyDescent="0.25">
      <c r="A755" t="s">
        <v>601</v>
      </c>
      <c r="B755" t="s">
        <v>604</v>
      </c>
      <c r="C755" t="s">
        <v>255</v>
      </c>
      <c r="D755" t="s">
        <v>234</v>
      </c>
      <c r="E755" t="s">
        <v>20</v>
      </c>
      <c r="F755" t="s">
        <v>279</v>
      </c>
      <c r="G755" t="s">
        <v>269</v>
      </c>
      <c r="H755" t="s">
        <v>254</v>
      </c>
      <c r="I755" t="s">
        <v>242</v>
      </c>
      <c r="J755" t="s">
        <v>235</v>
      </c>
      <c r="K755" s="380">
        <v>36770</v>
      </c>
      <c r="L755" s="235">
        <v>-959646.85726581584</v>
      </c>
      <c r="M755" s="380">
        <v>36768</v>
      </c>
      <c r="N755" t="s">
        <v>21</v>
      </c>
      <c r="O755">
        <v>0.9</v>
      </c>
      <c r="P755">
        <v>0</v>
      </c>
      <c r="Q755">
        <v>0</v>
      </c>
      <c r="R755">
        <v>0</v>
      </c>
      <c r="S755">
        <v>0</v>
      </c>
      <c r="T755" t="s">
        <v>253</v>
      </c>
      <c r="U755" t="s">
        <v>190</v>
      </c>
      <c r="V755" t="s">
        <v>253</v>
      </c>
      <c r="W755" t="s">
        <v>132</v>
      </c>
      <c r="X755" t="s">
        <v>253</v>
      </c>
      <c r="Y755" t="s">
        <v>235</v>
      </c>
      <c r="Z755" t="s">
        <v>236</v>
      </c>
      <c r="AA755" t="s">
        <v>253</v>
      </c>
      <c r="AB755" t="s">
        <v>121</v>
      </c>
      <c r="AC755" s="235">
        <v>-600000</v>
      </c>
      <c r="AD755" s="235">
        <v>2.3941715713590384E-2</v>
      </c>
      <c r="AE755">
        <v>0</v>
      </c>
      <c r="AF755">
        <v>0</v>
      </c>
      <c r="AG755">
        <v>0</v>
      </c>
      <c r="AH755" s="235">
        <v>-158853.89428175963</v>
      </c>
      <c r="AI755">
        <v>226</v>
      </c>
      <c r="AJ755" t="s">
        <v>256</v>
      </c>
      <c r="AK755">
        <v>0</v>
      </c>
      <c r="AL755">
        <v>0</v>
      </c>
      <c r="AM755">
        <v>0</v>
      </c>
    </row>
    <row r="756" spans="1:39" x14ac:dyDescent="0.25">
      <c r="A756" t="s">
        <v>601</v>
      </c>
      <c r="B756" t="s">
        <v>605</v>
      </c>
      <c r="C756" t="s">
        <v>255</v>
      </c>
      <c r="D756" t="s">
        <v>234</v>
      </c>
      <c r="E756" t="s">
        <v>20</v>
      </c>
      <c r="F756" t="s">
        <v>399</v>
      </c>
      <c r="G756" t="s">
        <v>269</v>
      </c>
      <c r="H756" t="s">
        <v>254</v>
      </c>
      <c r="I756" t="s">
        <v>242</v>
      </c>
      <c r="J756" t="s">
        <v>235</v>
      </c>
      <c r="K756" s="380">
        <v>36800</v>
      </c>
      <c r="L756" s="235">
        <v>367570.41808997397</v>
      </c>
      <c r="M756" s="380">
        <v>36797</v>
      </c>
      <c r="N756" t="s">
        <v>21</v>
      </c>
      <c r="O756">
        <v>0.8</v>
      </c>
      <c r="P756">
        <v>0</v>
      </c>
      <c r="Q756">
        <v>0</v>
      </c>
      <c r="R756">
        <v>0</v>
      </c>
      <c r="S756">
        <v>0</v>
      </c>
      <c r="T756" t="s">
        <v>253</v>
      </c>
      <c r="U756" t="s">
        <v>190</v>
      </c>
      <c r="V756" t="s">
        <v>253</v>
      </c>
      <c r="W756" t="s">
        <v>132</v>
      </c>
      <c r="X756" t="s">
        <v>253</v>
      </c>
      <c r="Y756" t="s">
        <v>235</v>
      </c>
      <c r="Z756" t="s">
        <v>236</v>
      </c>
      <c r="AA756" t="s">
        <v>253</v>
      </c>
      <c r="AB756" t="s">
        <v>121</v>
      </c>
      <c r="AC756" s="235">
        <v>310000</v>
      </c>
      <c r="AD756" s="235">
        <v>999.76571109413635</v>
      </c>
      <c r="AE756">
        <v>0</v>
      </c>
      <c r="AF756">
        <v>0</v>
      </c>
      <c r="AG756">
        <v>0</v>
      </c>
      <c r="AH756" s="235">
        <v>-12116.395101550734</v>
      </c>
      <c r="AI756">
        <v>226</v>
      </c>
      <c r="AJ756" t="s">
        <v>256</v>
      </c>
      <c r="AK756">
        <v>0</v>
      </c>
      <c r="AL756">
        <v>0</v>
      </c>
      <c r="AM756">
        <v>0</v>
      </c>
    </row>
    <row r="757" spans="1:39" x14ac:dyDescent="0.25">
      <c r="A757" t="s">
        <v>601</v>
      </c>
      <c r="B757" t="s">
        <v>606</v>
      </c>
      <c r="C757" t="s">
        <v>255</v>
      </c>
      <c r="D757" t="s">
        <v>234</v>
      </c>
      <c r="E757" t="s">
        <v>20</v>
      </c>
      <c r="F757" t="s">
        <v>279</v>
      </c>
      <c r="G757" t="s">
        <v>269</v>
      </c>
      <c r="H757" t="s">
        <v>254</v>
      </c>
      <c r="I757" t="s">
        <v>242</v>
      </c>
      <c r="J757" t="s">
        <v>235</v>
      </c>
      <c r="K757" s="380">
        <v>36831</v>
      </c>
      <c r="L757" s="235">
        <v>3904.5421016836558</v>
      </c>
      <c r="M757" s="380">
        <v>36829</v>
      </c>
      <c r="N757" t="s">
        <v>1</v>
      </c>
      <c r="O757">
        <v>0.3</v>
      </c>
      <c r="P757">
        <v>0</v>
      </c>
      <c r="Q757">
        <v>0</v>
      </c>
      <c r="R757">
        <v>0</v>
      </c>
      <c r="S757">
        <v>0</v>
      </c>
      <c r="T757" t="s">
        <v>253</v>
      </c>
      <c r="U757" t="s">
        <v>190</v>
      </c>
      <c r="V757" t="s">
        <v>253</v>
      </c>
      <c r="W757" t="s">
        <v>132</v>
      </c>
      <c r="X757" t="s">
        <v>253</v>
      </c>
      <c r="Y757" t="s">
        <v>235</v>
      </c>
      <c r="Z757" t="s">
        <v>236</v>
      </c>
      <c r="AA757" t="s">
        <v>253</v>
      </c>
      <c r="AB757" t="s">
        <v>121</v>
      </c>
      <c r="AC757" s="235">
        <v>300000</v>
      </c>
      <c r="AD757" s="235">
        <v>3687.5687542617616</v>
      </c>
      <c r="AE757">
        <v>0</v>
      </c>
      <c r="AF757">
        <v>0</v>
      </c>
      <c r="AG757">
        <v>0</v>
      </c>
      <c r="AH757" s="235">
        <v>-3015.4548788345001</v>
      </c>
      <c r="AI757">
        <v>226</v>
      </c>
      <c r="AJ757" t="s">
        <v>256</v>
      </c>
      <c r="AK757">
        <v>0</v>
      </c>
      <c r="AL757">
        <v>0</v>
      </c>
      <c r="AM757">
        <v>0</v>
      </c>
    </row>
    <row r="758" spans="1:39" x14ac:dyDescent="0.25">
      <c r="A758" t="s">
        <v>601</v>
      </c>
      <c r="B758" t="s">
        <v>606</v>
      </c>
      <c r="C758" t="s">
        <v>255</v>
      </c>
      <c r="D758" t="s">
        <v>234</v>
      </c>
      <c r="E758" t="s">
        <v>20</v>
      </c>
      <c r="F758" t="s">
        <v>279</v>
      </c>
      <c r="G758" t="s">
        <v>269</v>
      </c>
      <c r="H758" t="s">
        <v>254</v>
      </c>
      <c r="I758" t="s">
        <v>242</v>
      </c>
      <c r="J758" t="s">
        <v>235</v>
      </c>
      <c r="K758" s="380">
        <v>36861</v>
      </c>
      <c r="L758" s="235">
        <v>30745.205487798255</v>
      </c>
      <c r="M758" s="380">
        <v>36859</v>
      </c>
      <c r="N758" t="s">
        <v>1</v>
      </c>
      <c r="O758">
        <v>0.3</v>
      </c>
      <c r="P758">
        <v>0</v>
      </c>
      <c r="Q758">
        <v>0</v>
      </c>
      <c r="R758">
        <v>0</v>
      </c>
      <c r="S758">
        <v>0</v>
      </c>
      <c r="T758" t="s">
        <v>253</v>
      </c>
      <c r="U758" t="s">
        <v>190</v>
      </c>
      <c r="V758" t="s">
        <v>253</v>
      </c>
      <c r="W758" t="s">
        <v>132</v>
      </c>
      <c r="X758" t="s">
        <v>253</v>
      </c>
      <c r="Y758" t="s">
        <v>235</v>
      </c>
      <c r="Z758" t="s">
        <v>236</v>
      </c>
      <c r="AA758" t="s">
        <v>253</v>
      </c>
      <c r="AB758" t="s">
        <v>121</v>
      </c>
      <c r="AC758" s="235">
        <v>310000</v>
      </c>
      <c r="AD758" s="235">
        <v>14191.634382948978</v>
      </c>
      <c r="AE758">
        <v>0</v>
      </c>
      <c r="AF758">
        <v>0</v>
      </c>
      <c r="AG758">
        <v>0</v>
      </c>
      <c r="AH758" s="235">
        <v>-8415.4942895005443</v>
      </c>
      <c r="AI758">
        <v>226</v>
      </c>
      <c r="AJ758" t="s">
        <v>256</v>
      </c>
      <c r="AK758">
        <v>0</v>
      </c>
      <c r="AL758">
        <v>0</v>
      </c>
      <c r="AM758">
        <v>0</v>
      </c>
    </row>
    <row r="759" spans="1:39" x14ac:dyDescent="0.25">
      <c r="A759" t="s">
        <v>601</v>
      </c>
      <c r="B759" t="s">
        <v>606</v>
      </c>
      <c r="C759" t="s">
        <v>255</v>
      </c>
      <c r="D759" t="s">
        <v>234</v>
      </c>
      <c r="E759" t="s">
        <v>20</v>
      </c>
      <c r="F759" t="s">
        <v>279</v>
      </c>
      <c r="G759" t="s">
        <v>269</v>
      </c>
      <c r="H759" t="s">
        <v>254</v>
      </c>
      <c r="I759" t="s">
        <v>242</v>
      </c>
      <c r="J759" t="s">
        <v>235</v>
      </c>
      <c r="K759" s="380">
        <v>36892</v>
      </c>
      <c r="L759" s="235">
        <v>59334.577122953677</v>
      </c>
      <c r="M759" s="380">
        <v>36888</v>
      </c>
      <c r="N759" t="s">
        <v>1</v>
      </c>
      <c r="O759">
        <v>0.3</v>
      </c>
      <c r="P759">
        <v>0</v>
      </c>
      <c r="Q759">
        <v>0</v>
      </c>
      <c r="R759">
        <v>0</v>
      </c>
      <c r="S759">
        <v>0</v>
      </c>
      <c r="T759" t="s">
        <v>253</v>
      </c>
      <c r="U759" t="s">
        <v>190</v>
      </c>
      <c r="V759" t="s">
        <v>253</v>
      </c>
      <c r="W759" t="s">
        <v>132</v>
      </c>
      <c r="X759" t="s">
        <v>253</v>
      </c>
      <c r="Y759" t="s">
        <v>235</v>
      </c>
      <c r="Z759" t="s">
        <v>236</v>
      </c>
      <c r="AA759" t="s">
        <v>253</v>
      </c>
      <c r="AB759" t="s">
        <v>121</v>
      </c>
      <c r="AC759" s="235">
        <v>310000</v>
      </c>
      <c r="AD759" s="235">
        <v>20193.731990137108</v>
      </c>
      <c r="AE759">
        <v>0</v>
      </c>
      <c r="AF759">
        <v>0</v>
      </c>
      <c r="AG759">
        <v>0</v>
      </c>
      <c r="AH759" s="235">
        <v>5505.7451221925512</v>
      </c>
      <c r="AI759">
        <v>226</v>
      </c>
      <c r="AJ759" t="s">
        <v>256</v>
      </c>
      <c r="AK759">
        <v>0</v>
      </c>
      <c r="AL759">
        <v>0</v>
      </c>
      <c r="AM759">
        <v>0</v>
      </c>
    </row>
    <row r="760" spans="1:39" x14ac:dyDescent="0.25">
      <c r="A760" t="s">
        <v>601</v>
      </c>
      <c r="B760" t="s">
        <v>606</v>
      </c>
      <c r="C760" t="s">
        <v>255</v>
      </c>
      <c r="D760" t="s">
        <v>234</v>
      </c>
      <c r="E760" t="s">
        <v>20</v>
      </c>
      <c r="F760" t="s">
        <v>279</v>
      </c>
      <c r="G760" t="s">
        <v>269</v>
      </c>
      <c r="H760" t="s">
        <v>254</v>
      </c>
      <c r="I760" t="s">
        <v>242</v>
      </c>
      <c r="J760" t="s">
        <v>235</v>
      </c>
      <c r="K760" s="380">
        <v>36923</v>
      </c>
      <c r="L760" s="235">
        <v>70374.651212433484</v>
      </c>
      <c r="M760" s="380">
        <v>36921</v>
      </c>
      <c r="N760" t="s">
        <v>1</v>
      </c>
      <c r="O760">
        <v>0.3</v>
      </c>
      <c r="P760">
        <v>0</v>
      </c>
      <c r="Q760">
        <v>0</v>
      </c>
      <c r="R760">
        <v>0</v>
      </c>
      <c r="S760">
        <v>0</v>
      </c>
      <c r="T760" t="s">
        <v>253</v>
      </c>
      <c r="U760" t="s">
        <v>190</v>
      </c>
      <c r="V760" t="s">
        <v>253</v>
      </c>
      <c r="W760" t="s">
        <v>132</v>
      </c>
      <c r="X760" t="s">
        <v>253</v>
      </c>
      <c r="Y760" t="s">
        <v>235</v>
      </c>
      <c r="Z760" t="s">
        <v>236</v>
      </c>
      <c r="AA760" t="s">
        <v>253</v>
      </c>
      <c r="AB760" t="s">
        <v>121</v>
      </c>
      <c r="AC760" s="235">
        <v>280000</v>
      </c>
      <c r="AD760" s="235">
        <v>21346.926483571675</v>
      </c>
      <c r="AE760">
        <v>0</v>
      </c>
      <c r="AF760">
        <v>0</v>
      </c>
      <c r="AG760">
        <v>0</v>
      </c>
      <c r="AH760" s="235">
        <v>5904.3885480566823</v>
      </c>
      <c r="AI760">
        <v>226</v>
      </c>
      <c r="AJ760" t="s">
        <v>256</v>
      </c>
      <c r="AK760">
        <v>0</v>
      </c>
      <c r="AL760">
        <v>0</v>
      </c>
      <c r="AM760">
        <v>0</v>
      </c>
    </row>
    <row r="761" spans="1:39" x14ac:dyDescent="0.25">
      <c r="A761" t="s">
        <v>601</v>
      </c>
      <c r="B761" t="s">
        <v>606</v>
      </c>
      <c r="C761" t="s">
        <v>255</v>
      </c>
      <c r="D761" t="s">
        <v>234</v>
      </c>
      <c r="E761" t="s">
        <v>20</v>
      </c>
      <c r="F761" t="s">
        <v>279</v>
      </c>
      <c r="G761" t="s">
        <v>269</v>
      </c>
      <c r="H761" t="s">
        <v>254</v>
      </c>
      <c r="I761" t="s">
        <v>242</v>
      </c>
      <c r="J761" t="s">
        <v>235</v>
      </c>
      <c r="K761" s="380">
        <v>36951</v>
      </c>
      <c r="L761" s="235">
        <v>70776.993078124957</v>
      </c>
      <c r="M761" s="380">
        <v>36949</v>
      </c>
      <c r="N761" t="s">
        <v>1</v>
      </c>
      <c r="O761">
        <v>0.3</v>
      </c>
      <c r="P761">
        <v>0</v>
      </c>
      <c r="Q761">
        <v>0</v>
      </c>
      <c r="R761">
        <v>0</v>
      </c>
      <c r="S761">
        <v>0</v>
      </c>
      <c r="T761" t="s">
        <v>253</v>
      </c>
      <c r="U761" t="s">
        <v>190</v>
      </c>
      <c r="V761" t="s">
        <v>253</v>
      </c>
      <c r="W761" t="s">
        <v>132</v>
      </c>
      <c r="X761" t="s">
        <v>253</v>
      </c>
      <c r="Y761" t="s">
        <v>235</v>
      </c>
      <c r="Z761" t="s">
        <v>236</v>
      </c>
      <c r="AA761" t="s">
        <v>253</v>
      </c>
      <c r="AB761" t="s">
        <v>121</v>
      </c>
      <c r="AC761" s="235">
        <v>310000</v>
      </c>
      <c r="AD761" s="235">
        <v>22901.806928569466</v>
      </c>
      <c r="AE761">
        <v>0</v>
      </c>
      <c r="AF761">
        <v>0</v>
      </c>
      <c r="AG761">
        <v>0</v>
      </c>
      <c r="AH761" s="235">
        <v>6499.6972813497632</v>
      </c>
      <c r="AI761">
        <v>226</v>
      </c>
      <c r="AJ761" t="s">
        <v>256</v>
      </c>
      <c r="AK761">
        <v>0</v>
      </c>
      <c r="AL761">
        <v>0</v>
      </c>
      <c r="AM761">
        <v>0</v>
      </c>
    </row>
    <row r="762" spans="1:39" x14ac:dyDescent="0.25">
      <c r="A762" t="s">
        <v>601</v>
      </c>
      <c r="B762" t="s">
        <v>607</v>
      </c>
      <c r="C762" t="s">
        <v>255</v>
      </c>
      <c r="D762" t="s">
        <v>234</v>
      </c>
      <c r="E762" t="s">
        <v>20</v>
      </c>
      <c r="F762" t="s">
        <v>279</v>
      </c>
      <c r="G762" t="s">
        <v>269</v>
      </c>
      <c r="H762" t="s">
        <v>254</v>
      </c>
      <c r="I762" t="s">
        <v>242</v>
      </c>
      <c r="J762" t="s">
        <v>235</v>
      </c>
      <c r="K762" s="380">
        <v>36831</v>
      </c>
      <c r="L762" s="235">
        <v>290543.69672641816</v>
      </c>
      <c r="M762" s="380">
        <v>36829</v>
      </c>
      <c r="N762" t="s">
        <v>21</v>
      </c>
      <c r="O762">
        <v>0.6</v>
      </c>
      <c r="P762">
        <v>0</v>
      </c>
      <c r="Q762">
        <v>0</v>
      </c>
      <c r="R762">
        <v>0</v>
      </c>
      <c r="S762">
        <v>0</v>
      </c>
      <c r="T762" t="s">
        <v>253</v>
      </c>
      <c r="U762" t="s">
        <v>190</v>
      </c>
      <c r="V762" t="s">
        <v>253</v>
      </c>
      <c r="W762" t="s">
        <v>132</v>
      </c>
      <c r="X762" t="s">
        <v>253</v>
      </c>
      <c r="Y762" t="s">
        <v>235</v>
      </c>
      <c r="Z762" t="s">
        <v>236</v>
      </c>
      <c r="AA762" t="s">
        <v>253</v>
      </c>
      <c r="AB762" t="s">
        <v>121</v>
      </c>
      <c r="AC762" s="235">
        <v>300000</v>
      </c>
      <c r="AD762" s="235">
        <v>6826.6146960596088</v>
      </c>
      <c r="AE762">
        <v>0</v>
      </c>
      <c r="AF762">
        <v>0</v>
      </c>
      <c r="AG762">
        <v>0</v>
      </c>
      <c r="AH762" s="235">
        <v>55483.608690332389</v>
      </c>
      <c r="AI762">
        <v>226</v>
      </c>
      <c r="AJ762" t="s">
        <v>256</v>
      </c>
      <c r="AK762">
        <v>0</v>
      </c>
      <c r="AL762">
        <v>0</v>
      </c>
      <c r="AM762">
        <v>0</v>
      </c>
    </row>
    <row r="763" spans="1:39" x14ac:dyDescent="0.25">
      <c r="A763" t="s">
        <v>601</v>
      </c>
      <c r="B763" t="s">
        <v>607</v>
      </c>
      <c r="C763" t="s">
        <v>255</v>
      </c>
      <c r="D763" t="s">
        <v>234</v>
      </c>
      <c r="E763" t="s">
        <v>20</v>
      </c>
      <c r="F763" t="s">
        <v>279</v>
      </c>
      <c r="G763" t="s">
        <v>269</v>
      </c>
      <c r="H763" t="s">
        <v>254</v>
      </c>
      <c r="I763" t="s">
        <v>242</v>
      </c>
      <c r="J763" t="s">
        <v>235</v>
      </c>
      <c r="K763" s="380">
        <v>36861</v>
      </c>
      <c r="L763" s="235">
        <v>179035.05252991899</v>
      </c>
      <c r="M763" s="380">
        <v>36859</v>
      </c>
      <c r="N763" t="s">
        <v>21</v>
      </c>
      <c r="O763">
        <v>0.6</v>
      </c>
      <c r="P763">
        <v>0</v>
      </c>
      <c r="Q763">
        <v>0</v>
      </c>
      <c r="R763">
        <v>0</v>
      </c>
      <c r="S763">
        <v>0</v>
      </c>
      <c r="T763" t="s">
        <v>253</v>
      </c>
      <c r="U763" t="s">
        <v>190</v>
      </c>
      <c r="V763" t="s">
        <v>253</v>
      </c>
      <c r="W763" t="s">
        <v>132</v>
      </c>
      <c r="X763" t="s">
        <v>253</v>
      </c>
      <c r="Y763" t="s">
        <v>235</v>
      </c>
      <c r="Z763" t="s">
        <v>236</v>
      </c>
      <c r="AA763" t="s">
        <v>253</v>
      </c>
      <c r="AB763" t="s">
        <v>121</v>
      </c>
      <c r="AC763" s="235">
        <v>310000</v>
      </c>
      <c r="AD763" s="235">
        <v>17477.161782776384</v>
      </c>
      <c r="AE763">
        <v>0</v>
      </c>
      <c r="AF763">
        <v>0</v>
      </c>
      <c r="AG763">
        <v>0</v>
      </c>
      <c r="AH763" s="235">
        <v>30811.668951182015</v>
      </c>
      <c r="AI763">
        <v>226</v>
      </c>
      <c r="AJ763" t="s">
        <v>256</v>
      </c>
      <c r="AK763">
        <v>0</v>
      </c>
      <c r="AL763">
        <v>0</v>
      </c>
      <c r="AM763">
        <v>0</v>
      </c>
    </row>
    <row r="764" spans="1:39" x14ac:dyDescent="0.25">
      <c r="A764" t="s">
        <v>601</v>
      </c>
      <c r="B764" t="s">
        <v>607</v>
      </c>
      <c r="C764" t="s">
        <v>255</v>
      </c>
      <c r="D764" t="s">
        <v>234</v>
      </c>
      <c r="E764" t="s">
        <v>20</v>
      </c>
      <c r="F764" t="s">
        <v>279</v>
      </c>
      <c r="G764" t="s">
        <v>269</v>
      </c>
      <c r="H764" t="s">
        <v>254</v>
      </c>
      <c r="I764" t="s">
        <v>242</v>
      </c>
      <c r="J764" t="s">
        <v>235</v>
      </c>
      <c r="K764" s="380">
        <v>36892</v>
      </c>
      <c r="L764" s="235">
        <v>145219.01023012589</v>
      </c>
      <c r="M764" s="380">
        <v>36888</v>
      </c>
      <c r="N764" t="s">
        <v>21</v>
      </c>
      <c r="O764">
        <v>0.6</v>
      </c>
      <c r="P764">
        <v>0</v>
      </c>
      <c r="Q764">
        <v>0</v>
      </c>
      <c r="R764">
        <v>0</v>
      </c>
      <c r="S764">
        <v>0</v>
      </c>
      <c r="T764" t="s">
        <v>253</v>
      </c>
      <c r="U764" t="s">
        <v>190</v>
      </c>
      <c r="V764" t="s">
        <v>253</v>
      </c>
      <c r="W764" t="s">
        <v>132</v>
      </c>
      <c r="X764" t="s">
        <v>253</v>
      </c>
      <c r="Y764" t="s">
        <v>235</v>
      </c>
      <c r="Z764" t="s">
        <v>236</v>
      </c>
      <c r="AA764" t="s">
        <v>253</v>
      </c>
      <c r="AB764" t="s">
        <v>121</v>
      </c>
      <c r="AC764" s="235">
        <v>310000</v>
      </c>
      <c r="AD764" s="235">
        <v>21980.81979596155</v>
      </c>
      <c r="AE764">
        <v>0</v>
      </c>
      <c r="AF764">
        <v>0</v>
      </c>
      <c r="AG764">
        <v>0</v>
      </c>
      <c r="AH764" s="235">
        <v>-9175.037125441886</v>
      </c>
      <c r="AI764">
        <v>226</v>
      </c>
      <c r="AJ764" t="s">
        <v>256</v>
      </c>
      <c r="AK764">
        <v>0</v>
      </c>
      <c r="AL764">
        <v>0</v>
      </c>
      <c r="AM764">
        <v>0</v>
      </c>
    </row>
    <row r="765" spans="1:39" x14ac:dyDescent="0.25">
      <c r="A765" t="s">
        <v>601</v>
      </c>
      <c r="B765" t="s">
        <v>607</v>
      </c>
      <c r="C765" t="s">
        <v>255</v>
      </c>
      <c r="D765" t="s">
        <v>234</v>
      </c>
      <c r="E765" t="s">
        <v>20</v>
      </c>
      <c r="F765" t="s">
        <v>279</v>
      </c>
      <c r="G765" t="s">
        <v>269</v>
      </c>
      <c r="H765" t="s">
        <v>254</v>
      </c>
      <c r="I765" t="s">
        <v>242</v>
      </c>
      <c r="J765" t="s">
        <v>235</v>
      </c>
      <c r="K765" s="380">
        <v>36923</v>
      </c>
      <c r="L765" s="235">
        <v>111996.56415330633</v>
      </c>
      <c r="M765" s="380">
        <v>36921</v>
      </c>
      <c r="N765" t="s">
        <v>21</v>
      </c>
      <c r="O765">
        <v>0.6</v>
      </c>
      <c r="P765">
        <v>0</v>
      </c>
      <c r="Q765">
        <v>0</v>
      </c>
      <c r="R765">
        <v>0</v>
      </c>
      <c r="S765">
        <v>0</v>
      </c>
      <c r="T765" t="s">
        <v>253</v>
      </c>
      <c r="U765" t="s">
        <v>190</v>
      </c>
      <c r="V765" t="s">
        <v>253</v>
      </c>
      <c r="W765" t="s">
        <v>132</v>
      </c>
      <c r="X765" t="s">
        <v>253</v>
      </c>
      <c r="Y765" t="s">
        <v>235</v>
      </c>
      <c r="Z765" t="s">
        <v>236</v>
      </c>
      <c r="AA765" t="s">
        <v>253</v>
      </c>
      <c r="AB765" t="s">
        <v>121</v>
      </c>
      <c r="AC765" s="235">
        <v>280000</v>
      </c>
      <c r="AD765" s="235">
        <v>22019.783394433762</v>
      </c>
      <c r="AE765">
        <v>0</v>
      </c>
      <c r="AF765">
        <v>0</v>
      </c>
      <c r="AG765">
        <v>0</v>
      </c>
      <c r="AH765" s="235">
        <v>-7277.562804295143</v>
      </c>
      <c r="AI765">
        <v>226</v>
      </c>
      <c r="AJ765" t="s">
        <v>256</v>
      </c>
      <c r="AK765">
        <v>0</v>
      </c>
      <c r="AL765">
        <v>0</v>
      </c>
      <c r="AM765">
        <v>0</v>
      </c>
    </row>
    <row r="766" spans="1:39" x14ac:dyDescent="0.25">
      <c r="A766" t="s">
        <v>601</v>
      </c>
      <c r="B766" t="s">
        <v>607</v>
      </c>
      <c r="C766" t="s">
        <v>255</v>
      </c>
      <c r="D766" t="s">
        <v>234</v>
      </c>
      <c r="E766" t="s">
        <v>20</v>
      </c>
      <c r="F766" t="s">
        <v>279</v>
      </c>
      <c r="G766" t="s">
        <v>269</v>
      </c>
      <c r="H766" t="s">
        <v>254</v>
      </c>
      <c r="I766" t="s">
        <v>242</v>
      </c>
      <c r="J766" t="s">
        <v>235</v>
      </c>
      <c r="K766" s="380">
        <v>36951</v>
      </c>
      <c r="L766" s="235">
        <v>110981.22367231153</v>
      </c>
      <c r="M766" s="380">
        <v>36949</v>
      </c>
      <c r="N766" t="s">
        <v>21</v>
      </c>
      <c r="O766">
        <v>0.6</v>
      </c>
      <c r="P766">
        <v>0</v>
      </c>
      <c r="Q766">
        <v>0</v>
      </c>
      <c r="R766">
        <v>0</v>
      </c>
      <c r="S766">
        <v>0</v>
      </c>
      <c r="T766" t="s">
        <v>253</v>
      </c>
      <c r="U766" t="s">
        <v>190</v>
      </c>
      <c r="V766" t="s">
        <v>253</v>
      </c>
      <c r="W766" t="s">
        <v>132</v>
      </c>
      <c r="X766" t="s">
        <v>253</v>
      </c>
      <c r="Y766" t="s">
        <v>235</v>
      </c>
      <c r="Z766" t="s">
        <v>236</v>
      </c>
      <c r="AA766" t="s">
        <v>253</v>
      </c>
      <c r="AB766" t="s">
        <v>121</v>
      </c>
      <c r="AC766" s="235">
        <v>310000</v>
      </c>
      <c r="AD766" s="235">
        <v>23618.676072671136</v>
      </c>
      <c r="AE766">
        <v>0</v>
      </c>
      <c r="AF766">
        <v>0</v>
      </c>
      <c r="AG766">
        <v>0</v>
      </c>
      <c r="AH766" s="235">
        <v>-7843.4059790487227</v>
      </c>
      <c r="AI766">
        <v>226</v>
      </c>
      <c r="AJ766" t="s">
        <v>256</v>
      </c>
      <c r="AK766">
        <v>0</v>
      </c>
      <c r="AL766">
        <v>0</v>
      </c>
      <c r="AM766">
        <v>0</v>
      </c>
    </row>
    <row r="767" spans="1:39" x14ac:dyDescent="0.25">
      <c r="A767" t="s">
        <v>601</v>
      </c>
      <c r="B767" t="s">
        <v>608</v>
      </c>
      <c r="C767" t="s">
        <v>255</v>
      </c>
      <c r="D767" t="s">
        <v>234</v>
      </c>
      <c r="E767" t="s">
        <v>20</v>
      </c>
      <c r="F767" t="s">
        <v>383</v>
      </c>
      <c r="G767" t="s">
        <v>269</v>
      </c>
      <c r="H767" t="s">
        <v>254</v>
      </c>
      <c r="I767" t="s">
        <v>242</v>
      </c>
      <c r="J767" t="s">
        <v>235</v>
      </c>
      <c r="K767" s="380">
        <v>36831</v>
      </c>
      <c r="L767" s="235">
        <v>-4650.1575587453335</v>
      </c>
      <c r="M767" s="380">
        <v>36829</v>
      </c>
      <c r="N767" t="s">
        <v>21</v>
      </c>
      <c r="O767">
        <v>0.15</v>
      </c>
      <c r="P767">
        <v>0</v>
      </c>
      <c r="Q767">
        <v>0</v>
      </c>
      <c r="R767">
        <v>0</v>
      </c>
      <c r="S767">
        <v>0</v>
      </c>
      <c r="T767" t="s">
        <v>253</v>
      </c>
      <c r="U767" t="s">
        <v>600</v>
      </c>
      <c r="V767" t="s">
        <v>253</v>
      </c>
      <c r="W767" t="s">
        <v>132</v>
      </c>
      <c r="X767" t="s">
        <v>253</v>
      </c>
      <c r="Y767" t="s">
        <v>235</v>
      </c>
      <c r="Z767" t="s">
        <v>236</v>
      </c>
      <c r="AA767" t="s">
        <v>253</v>
      </c>
      <c r="AB767" t="s">
        <v>121</v>
      </c>
      <c r="AC767" s="235">
        <v>-300000</v>
      </c>
      <c r="AD767" s="235">
        <v>-1734.9822694649774</v>
      </c>
      <c r="AE767">
        <v>0</v>
      </c>
      <c r="AF767">
        <v>0</v>
      </c>
      <c r="AG767">
        <v>0</v>
      </c>
      <c r="AH767" s="235">
        <v>-93.596215675597705</v>
      </c>
      <c r="AI767">
        <v>226</v>
      </c>
      <c r="AJ767" t="s">
        <v>256</v>
      </c>
      <c r="AK767">
        <v>0</v>
      </c>
      <c r="AL767">
        <v>0</v>
      </c>
      <c r="AM767">
        <v>0</v>
      </c>
    </row>
    <row r="768" spans="1:39" x14ac:dyDescent="0.25">
      <c r="A768" t="s">
        <v>601</v>
      </c>
      <c r="B768" t="s">
        <v>608</v>
      </c>
      <c r="C768" t="s">
        <v>255</v>
      </c>
      <c r="D768" t="s">
        <v>234</v>
      </c>
      <c r="E768" t="s">
        <v>20</v>
      </c>
      <c r="F768" t="s">
        <v>383</v>
      </c>
      <c r="G768" t="s">
        <v>269</v>
      </c>
      <c r="H768" t="s">
        <v>254</v>
      </c>
      <c r="I768" t="s">
        <v>242</v>
      </c>
      <c r="J768" t="s">
        <v>235</v>
      </c>
      <c r="K768" s="380">
        <v>36861</v>
      </c>
      <c r="L768" s="235">
        <v>-8475.9519561765992</v>
      </c>
      <c r="M768" s="380">
        <v>36859</v>
      </c>
      <c r="N768" t="s">
        <v>21</v>
      </c>
      <c r="O768">
        <v>0.15</v>
      </c>
      <c r="P768">
        <v>0</v>
      </c>
      <c r="Q768">
        <v>0</v>
      </c>
      <c r="R768">
        <v>0</v>
      </c>
      <c r="S768">
        <v>0</v>
      </c>
      <c r="T768" t="s">
        <v>253</v>
      </c>
      <c r="U768" t="s">
        <v>600</v>
      </c>
      <c r="V768" t="s">
        <v>253</v>
      </c>
      <c r="W768" t="s">
        <v>132</v>
      </c>
      <c r="X768" t="s">
        <v>253</v>
      </c>
      <c r="Y768" t="s">
        <v>235</v>
      </c>
      <c r="Z768" t="s">
        <v>236</v>
      </c>
      <c r="AA768" t="s">
        <v>253</v>
      </c>
      <c r="AB768" t="s">
        <v>121</v>
      </c>
      <c r="AC768" s="235">
        <v>-310000</v>
      </c>
      <c r="AD768" s="235">
        <v>-2456.5757758719556</v>
      </c>
      <c r="AE768">
        <v>0</v>
      </c>
      <c r="AF768">
        <v>0</v>
      </c>
      <c r="AG768">
        <v>0</v>
      </c>
      <c r="AH768" s="235">
        <v>-123.68154086010327</v>
      </c>
      <c r="AI768">
        <v>226</v>
      </c>
      <c r="AJ768" t="s">
        <v>256</v>
      </c>
      <c r="AK768">
        <v>0</v>
      </c>
      <c r="AL768">
        <v>0</v>
      </c>
      <c r="AM768">
        <v>0</v>
      </c>
    </row>
    <row r="769" spans="1:39" x14ac:dyDescent="0.25">
      <c r="A769" t="s">
        <v>601</v>
      </c>
      <c r="B769" t="s">
        <v>608</v>
      </c>
      <c r="C769" t="s">
        <v>255</v>
      </c>
      <c r="D769" t="s">
        <v>234</v>
      </c>
      <c r="E769" t="s">
        <v>20</v>
      </c>
      <c r="F769" t="s">
        <v>383</v>
      </c>
      <c r="G769" t="s">
        <v>269</v>
      </c>
      <c r="H769" t="s">
        <v>254</v>
      </c>
      <c r="I769" t="s">
        <v>242</v>
      </c>
      <c r="J769" t="s">
        <v>235</v>
      </c>
      <c r="K769" s="380">
        <v>36892</v>
      </c>
      <c r="L769" s="235">
        <v>-13795.943631902166</v>
      </c>
      <c r="M769" s="380">
        <v>36888</v>
      </c>
      <c r="N769" t="s">
        <v>21</v>
      </c>
      <c r="O769">
        <v>0.15</v>
      </c>
      <c r="P769">
        <v>0</v>
      </c>
      <c r="Q769">
        <v>0</v>
      </c>
      <c r="R769">
        <v>0</v>
      </c>
      <c r="S769">
        <v>0</v>
      </c>
      <c r="T769" t="s">
        <v>253</v>
      </c>
      <c r="U769" t="s">
        <v>600</v>
      </c>
      <c r="V769" t="s">
        <v>253</v>
      </c>
      <c r="W769" t="s">
        <v>132</v>
      </c>
      <c r="X769" t="s">
        <v>253</v>
      </c>
      <c r="Y769" t="s">
        <v>235</v>
      </c>
      <c r="Z769" t="s">
        <v>236</v>
      </c>
      <c r="AA769" t="s">
        <v>253</v>
      </c>
      <c r="AB769" t="s">
        <v>121</v>
      </c>
      <c r="AC769" s="235">
        <v>-310000</v>
      </c>
      <c r="AD769" s="235">
        <v>-3011.4536636004632</v>
      </c>
      <c r="AE769">
        <v>0</v>
      </c>
      <c r="AF769">
        <v>0</v>
      </c>
      <c r="AG769">
        <v>0</v>
      </c>
      <c r="AH769" s="235">
        <v>-144.9409741889267</v>
      </c>
      <c r="AI769">
        <v>226</v>
      </c>
      <c r="AJ769" t="s">
        <v>256</v>
      </c>
      <c r="AK769">
        <v>0</v>
      </c>
      <c r="AL769">
        <v>0</v>
      </c>
      <c r="AM769">
        <v>0</v>
      </c>
    </row>
    <row r="770" spans="1:39" x14ac:dyDescent="0.25">
      <c r="A770" t="s">
        <v>601</v>
      </c>
      <c r="B770" t="s">
        <v>608</v>
      </c>
      <c r="C770" t="s">
        <v>255</v>
      </c>
      <c r="D770" t="s">
        <v>234</v>
      </c>
      <c r="E770" t="s">
        <v>20</v>
      </c>
      <c r="F770" t="s">
        <v>383</v>
      </c>
      <c r="G770" t="s">
        <v>269</v>
      </c>
      <c r="H770" t="s">
        <v>254</v>
      </c>
      <c r="I770" t="s">
        <v>242</v>
      </c>
      <c r="J770" t="s">
        <v>235</v>
      </c>
      <c r="K770" s="380">
        <v>36923</v>
      </c>
      <c r="L770" s="235">
        <v>-14498.102560808087</v>
      </c>
      <c r="M770" s="380">
        <v>36921</v>
      </c>
      <c r="N770" t="s">
        <v>21</v>
      </c>
      <c r="O770">
        <v>0.15</v>
      </c>
      <c r="P770">
        <v>0</v>
      </c>
      <c r="Q770">
        <v>0</v>
      </c>
      <c r="R770">
        <v>0</v>
      </c>
      <c r="S770">
        <v>0</v>
      </c>
      <c r="T770" t="s">
        <v>253</v>
      </c>
      <c r="U770" t="s">
        <v>600</v>
      </c>
      <c r="V770" t="s">
        <v>253</v>
      </c>
      <c r="W770" t="s">
        <v>132</v>
      </c>
      <c r="X770" t="s">
        <v>253</v>
      </c>
      <c r="Y770" t="s">
        <v>235</v>
      </c>
      <c r="Z770" t="s">
        <v>236</v>
      </c>
      <c r="AA770" t="s">
        <v>253</v>
      </c>
      <c r="AB770" t="s">
        <v>121</v>
      </c>
      <c r="AC770" s="235">
        <v>-280000</v>
      </c>
      <c r="AD770" s="235">
        <v>-2988.6712248928816</v>
      </c>
      <c r="AE770">
        <v>0</v>
      </c>
      <c r="AF770">
        <v>0</v>
      </c>
      <c r="AG770">
        <v>0</v>
      </c>
      <c r="AH770" s="235">
        <v>-143.43839749428844</v>
      </c>
      <c r="AI770">
        <v>226</v>
      </c>
      <c r="AJ770" t="s">
        <v>256</v>
      </c>
      <c r="AK770">
        <v>0</v>
      </c>
      <c r="AL770">
        <v>0</v>
      </c>
      <c r="AM770">
        <v>0</v>
      </c>
    </row>
    <row r="771" spans="1:39" x14ac:dyDescent="0.25">
      <c r="A771" t="s">
        <v>601</v>
      </c>
      <c r="B771" t="s">
        <v>608</v>
      </c>
      <c r="C771" t="s">
        <v>255</v>
      </c>
      <c r="D771" t="s">
        <v>234</v>
      </c>
      <c r="E771" t="s">
        <v>20</v>
      </c>
      <c r="F771" t="s">
        <v>383</v>
      </c>
      <c r="G771" t="s">
        <v>269</v>
      </c>
      <c r="H771" t="s">
        <v>254</v>
      </c>
      <c r="I771" t="s">
        <v>242</v>
      </c>
      <c r="J771" t="s">
        <v>235</v>
      </c>
      <c r="K771" s="380">
        <v>36951</v>
      </c>
      <c r="L771" s="235">
        <v>-12666.147560565782</v>
      </c>
      <c r="M771" s="380">
        <v>36949</v>
      </c>
      <c r="N771" t="s">
        <v>21</v>
      </c>
      <c r="O771">
        <v>0.15</v>
      </c>
      <c r="P771">
        <v>0</v>
      </c>
      <c r="Q771">
        <v>0</v>
      </c>
      <c r="R771">
        <v>0</v>
      </c>
      <c r="S771">
        <v>0</v>
      </c>
      <c r="T771" t="s">
        <v>253</v>
      </c>
      <c r="U771" t="s">
        <v>600</v>
      </c>
      <c r="V771" t="s">
        <v>253</v>
      </c>
      <c r="W771" t="s">
        <v>132</v>
      </c>
      <c r="X771" t="s">
        <v>253</v>
      </c>
      <c r="Y771" t="s">
        <v>235</v>
      </c>
      <c r="Z771" t="s">
        <v>236</v>
      </c>
      <c r="AA771" t="s">
        <v>253</v>
      </c>
      <c r="AB771" t="s">
        <v>121</v>
      </c>
      <c r="AC771" s="235">
        <v>-310000</v>
      </c>
      <c r="AD771" s="235">
        <v>-3147.1792276509368</v>
      </c>
      <c r="AE771">
        <v>0</v>
      </c>
      <c r="AF771">
        <v>0</v>
      </c>
      <c r="AG771">
        <v>0</v>
      </c>
      <c r="AH771" s="235">
        <v>-160.05033692913094</v>
      </c>
      <c r="AI771">
        <v>226</v>
      </c>
      <c r="AJ771" t="s">
        <v>256</v>
      </c>
      <c r="AK771">
        <v>0</v>
      </c>
      <c r="AL771">
        <v>0</v>
      </c>
      <c r="AM771">
        <v>0</v>
      </c>
    </row>
    <row r="772" spans="1:39" x14ac:dyDescent="0.25">
      <c r="A772" t="s">
        <v>601</v>
      </c>
      <c r="B772" t="s">
        <v>609</v>
      </c>
      <c r="C772" t="s">
        <v>255</v>
      </c>
      <c r="D772" t="s">
        <v>234</v>
      </c>
      <c r="E772" t="s">
        <v>20</v>
      </c>
      <c r="F772" t="s">
        <v>348</v>
      </c>
      <c r="G772" t="s">
        <v>269</v>
      </c>
      <c r="H772" t="s">
        <v>254</v>
      </c>
      <c r="I772" t="s">
        <v>242</v>
      </c>
      <c r="J772" t="s">
        <v>235</v>
      </c>
      <c r="K772" s="380">
        <v>36831</v>
      </c>
      <c r="L772" s="235">
        <v>-4650.1575587453335</v>
      </c>
      <c r="M772" s="380">
        <v>36829</v>
      </c>
      <c r="N772" t="s">
        <v>21</v>
      </c>
      <c r="O772">
        <v>0.15</v>
      </c>
      <c r="P772">
        <v>0</v>
      </c>
      <c r="Q772">
        <v>0</v>
      </c>
      <c r="R772">
        <v>0</v>
      </c>
      <c r="S772">
        <v>0</v>
      </c>
      <c r="T772" t="s">
        <v>253</v>
      </c>
      <c r="U772" t="s">
        <v>600</v>
      </c>
      <c r="V772" t="s">
        <v>253</v>
      </c>
      <c r="W772" t="s">
        <v>132</v>
      </c>
      <c r="X772" t="s">
        <v>253</v>
      </c>
      <c r="Y772" t="s">
        <v>235</v>
      </c>
      <c r="Z772" t="s">
        <v>236</v>
      </c>
      <c r="AA772" t="s">
        <v>253</v>
      </c>
      <c r="AB772" t="s">
        <v>121</v>
      </c>
      <c r="AC772" s="235">
        <v>-300000</v>
      </c>
      <c r="AD772" s="235">
        <v>-1734.9822694649774</v>
      </c>
      <c r="AE772">
        <v>0</v>
      </c>
      <c r="AF772">
        <v>0</v>
      </c>
      <c r="AG772">
        <v>0</v>
      </c>
      <c r="AH772" s="235">
        <v>-93.596215675597705</v>
      </c>
      <c r="AI772">
        <v>226</v>
      </c>
      <c r="AJ772" t="s">
        <v>256</v>
      </c>
      <c r="AK772">
        <v>0</v>
      </c>
      <c r="AL772">
        <v>0</v>
      </c>
      <c r="AM772">
        <v>0</v>
      </c>
    </row>
    <row r="773" spans="1:39" x14ac:dyDescent="0.25">
      <c r="A773" t="s">
        <v>601</v>
      </c>
      <c r="B773" t="s">
        <v>609</v>
      </c>
      <c r="C773" t="s">
        <v>255</v>
      </c>
      <c r="D773" t="s">
        <v>234</v>
      </c>
      <c r="E773" t="s">
        <v>20</v>
      </c>
      <c r="F773" t="s">
        <v>348</v>
      </c>
      <c r="G773" t="s">
        <v>269</v>
      </c>
      <c r="H773" t="s">
        <v>254</v>
      </c>
      <c r="I773" t="s">
        <v>242</v>
      </c>
      <c r="J773" t="s">
        <v>235</v>
      </c>
      <c r="K773" s="380">
        <v>36861</v>
      </c>
      <c r="L773" s="235">
        <v>-8475.9519561765992</v>
      </c>
      <c r="M773" s="380">
        <v>36859</v>
      </c>
      <c r="N773" t="s">
        <v>21</v>
      </c>
      <c r="O773">
        <v>0.15</v>
      </c>
      <c r="P773">
        <v>0</v>
      </c>
      <c r="Q773">
        <v>0</v>
      </c>
      <c r="R773">
        <v>0</v>
      </c>
      <c r="S773">
        <v>0</v>
      </c>
      <c r="T773" t="s">
        <v>253</v>
      </c>
      <c r="U773" t="s">
        <v>600</v>
      </c>
      <c r="V773" t="s">
        <v>253</v>
      </c>
      <c r="W773" t="s">
        <v>132</v>
      </c>
      <c r="X773" t="s">
        <v>253</v>
      </c>
      <c r="Y773" t="s">
        <v>235</v>
      </c>
      <c r="Z773" t="s">
        <v>236</v>
      </c>
      <c r="AA773" t="s">
        <v>253</v>
      </c>
      <c r="AB773" t="s">
        <v>121</v>
      </c>
      <c r="AC773" s="235">
        <v>-310000</v>
      </c>
      <c r="AD773" s="235">
        <v>-2456.5757758719556</v>
      </c>
      <c r="AE773">
        <v>0</v>
      </c>
      <c r="AF773">
        <v>0</v>
      </c>
      <c r="AG773">
        <v>0</v>
      </c>
      <c r="AH773" s="235">
        <v>-123.68154086010327</v>
      </c>
      <c r="AI773">
        <v>226</v>
      </c>
      <c r="AJ773" t="s">
        <v>256</v>
      </c>
      <c r="AK773">
        <v>0</v>
      </c>
      <c r="AL773">
        <v>0</v>
      </c>
      <c r="AM773">
        <v>0</v>
      </c>
    </row>
    <row r="774" spans="1:39" x14ac:dyDescent="0.25">
      <c r="A774" t="s">
        <v>601</v>
      </c>
      <c r="B774" t="s">
        <v>609</v>
      </c>
      <c r="C774" t="s">
        <v>255</v>
      </c>
      <c r="D774" t="s">
        <v>234</v>
      </c>
      <c r="E774" t="s">
        <v>20</v>
      </c>
      <c r="F774" t="s">
        <v>348</v>
      </c>
      <c r="G774" t="s">
        <v>269</v>
      </c>
      <c r="H774" t="s">
        <v>254</v>
      </c>
      <c r="I774" t="s">
        <v>242</v>
      </c>
      <c r="J774" t="s">
        <v>235</v>
      </c>
      <c r="K774" s="380">
        <v>36892</v>
      </c>
      <c r="L774" s="235">
        <v>-13795.943631902166</v>
      </c>
      <c r="M774" s="380">
        <v>36888</v>
      </c>
      <c r="N774" t="s">
        <v>21</v>
      </c>
      <c r="O774">
        <v>0.15</v>
      </c>
      <c r="P774">
        <v>0</v>
      </c>
      <c r="Q774">
        <v>0</v>
      </c>
      <c r="R774">
        <v>0</v>
      </c>
      <c r="S774">
        <v>0</v>
      </c>
      <c r="T774" t="s">
        <v>253</v>
      </c>
      <c r="U774" t="s">
        <v>600</v>
      </c>
      <c r="V774" t="s">
        <v>253</v>
      </c>
      <c r="W774" t="s">
        <v>132</v>
      </c>
      <c r="X774" t="s">
        <v>253</v>
      </c>
      <c r="Y774" t="s">
        <v>235</v>
      </c>
      <c r="Z774" t="s">
        <v>236</v>
      </c>
      <c r="AA774" t="s">
        <v>253</v>
      </c>
      <c r="AB774" t="s">
        <v>121</v>
      </c>
      <c r="AC774" s="235">
        <v>-310000</v>
      </c>
      <c r="AD774" s="235">
        <v>-3011.4536636004632</v>
      </c>
      <c r="AE774">
        <v>0</v>
      </c>
      <c r="AF774">
        <v>0</v>
      </c>
      <c r="AG774">
        <v>0</v>
      </c>
      <c r="AH774" s="235">
        <v>-144.9409741889267</v>
      </c>
      <c r="AI774">
        <v>226</v>
      </c>
      <c r="AJ774" t="s">
        <v>256</v>
      </c>
      <c r="AK774">
        <v>0</v>
      </c>
      <c r="AL774">
        <v>0</v>
      </c>
      <c r="AM774">
        <v>0</v>
      </c>
    </row>
    <row r="775" spans="1:39" x14ac:dyDescent="0.25">
      <c r="A775" t="s">
        <v>601</v>
      </c>
      <c r="B775" t="s">
        <v>609</v>
      </c>
      <c r="C775" t="s">
        <v>255</v>
      </c>
      <c r="D775" t="s">
        <v>234</v>
      </c>
      <c r="E775" t="s">
        <v>20</v>
      </c>
      <c r="F775" t="s">
        <v>348</v>
      </c>
      <c r="G775" t="s">
        <v>269</v>
      </c>
      <c r="H775" t="s">
        <v>254</v>
      </c>
      <c r="I775" t="s">
        <v>242</v>
      </c>
      <c r="J775" t="s">
        <v>235</v>
      </c>
      <c r="K775" s="380">
        <v>36923</v>
      </c>
      <c r="L775" s="235">
        <v>-14498.102560808087</v>
      </c>
      <c r="M775" s="380">
        <v>36921</v>
      </c>
      <c r="N775" t="s">
        <v>21</v>
      </c>
      <c r="O775">
        <v>0.15</v>
      </c>
      <c r="P775">
        <v>0</v>
      </c>
      <c r="Q775">
        <v>0</v>
      </c>
      <c r="R775">
        <v>0</v>
      </c>
      <c r="S775">
        <v>0</v>
      </c>
      <c r="T775" t="s">
        <v>253</v>
      </c>
      <c r="U775" t="s">
        <v>600</v>
      </c>
      <c r="V775" t="s">
        <v>253</v>
      </c>
      <c r="W775" t="s">
        <v>132</v>
      </c>
      <c r="X775" t="s">
        <v>253</v>
      </c>
      <c r="Y775" t="s">
        <v>235</v>
      </c>
      <c r="Z775" t="s">
        <v>236</v>
      </c>
      <c r="AA775" t="s">
        <v>253</v>
      </c>
      <c r="AB775" t="s">
        <v>121</v>
      </c>
      <c r="AC775" s="235">
        <v>-280000</v>
      </c>
      <c r="AD775" s="235">
        <v>-2988.6712248928816</v>
      </c>
      <c r="AE775">
        <v>0</v>
      </c>
      <c r="AF775">
        <v>0</v>
      </c>
      <c r="AG775">
        <v>0</v>
      </c>
      <c r="AH775" s="235">
        <v>-143.43839749428844</v>
      </c>
      <c r="AI775">
        <v>226</v>
      </c>
      <c r="AJ775" t="s">
        <v>256</v>
      </c>
      <c r="AK775">
        <v>0</v>
      </c>
      <c r="AL775">
        <v>0</v>
      </c>
      <c r="AM775">
        <v>0</v>
      </c>
    </row>
    <row r="776" spans="1:39" x14ac:dyDescent="0.25">
      <c r="A776" t="s">
        <v>601</v>
      </c>
      <c r="B776" t="s">
        <v>609</v>
      </c>
      <c r="C776" t="s">
        <v>255</v>
      </c>
      <c r="D776" t="s">
        <v>234</v>
      </c>
      <c r="E776" t="s">
        <v>20</v>
      </c>
      <c r="F776" t="s">
        <v>348</v>
      </c>
      <c r="G776" t="s">
        <v>269</v>
      </c>
      <c r="H776" t="s">
        <v>254</v>
      </c>
      <c r="I776" t="s">
        <v>242</v>
      </c>
      <c r="J776" t="s">
        <v>235</v>
      </c>
      <c r="K776" s="380">
        <v>36951</v>
      </c>
      <c r="L776" s="235">
        <v>-12666.147560565782</v>
      </c>
      <c r="M776" s="380">
        <v>36949</v>
      </c>
      <c r="N776" t="s">
        <v>21</v>
      </c>
      <c r="O776">
        <v>0.15</v>
      </c>
      <c r="P776">
        <v>0</v>
      </c>
      <c r="Q776">
        <v>0</v>
      </c>
      <c r="R776">
        <v>0</v>
      </c>
      <c r="S776">
        <v>0</v>
      </c>
      <c r="T776" t="s">
        <v>253</v>
      </c>
      <c r="U776" t="s">
        <v>600</v>
      </c>
      <c r="V776" t="s">
        <v>253</v>
      </c>
      <c r="W776" t="s">
        <v>132</v>
      </c>
      <c r="X776" t="s">
        <v>253</v>
      </c>
      <c r="Y776" t="s">
        <v>235</v>
      </c>
      <c r="Z776" t="s">
        <v>236</v>
      </c>
      <c r="AA776" t="s">
        <v>253</v>
      </c>
      <c r="AB776" t="s">
        <v>121</v>
      </c>
      <c r="AC776" s="235">
        <v>-310000</v>
      </c>
      <c r="AD776" s="235">
        <v>-3147.1792276509368</v>
      </c>
      <c r="AE776">
        <v>0</v>
      </c>
      <c r="AF776">
        <v>0</v>
      </c>
      <c r="AG776">
        <v>0</v>
      </c>
      <c r="AH776" s="235">
        <v>-160.05033692913094</v>
      </c>
      <c r="AI776">
        <v>226</v>
      </c>
      <c r="AJ776" t="s">
        <v>256</v>
      </c>
      <c r="AK776">
        <v>0</v>
      </c>
      <c r="AL776">
        <v>0</v>
      </c>
      <c r="AM776">
        <v>0</v>
      </c>
    </row>
    <row r="777" spans="1:39" x14ac:dyDescent="0.25">
      <c r="A777" t="s">
        <v>601</v>
      </c>
      <c r="B777" t="s">
        <v>610</v>
      </c>
      <c r="C777" t="s">
        <v>255</v>
      </c>
      <c r="D777" t="s">
        <v>234</v>
      </c>
      <c r="E777" t="s">
        <v>20</v>
      </c>
      <c r="F777" t="s">
        <v>363</v>
      </c>
      <c r="G777" t="s">
        <v>269</v>
      </c>
      <c r="H777" t="s">
        <v>254</v>
      </c>
      <c r="I777" t="s">
        <v>242</v>
      </c>
      <c r="J777" t="s">
        <v>235</v>
      </c>
      <c r="K777" s="380">
        <v>36831</v>
      </c>
      <c r="L777" s="235">
        <v>-4650.1575587453335</v>
      </c>
      <c r="M777" s="380">
        <v>36829</v>
      </c>
      <c r="N777" t="s">
        <v>21</v>
      </c>
      <c r="O777">
        <v>0.15</v>
      </c>
      <c r="P777">
        <v>0</v>
      </c>
      <c r="Q777">
        <v>0</v>
      </c>
      <c r="R777">
        <v>0</v>
      </c>
      <c r="S777">
        <v>0</v>
      </c>
      <c r="T777" t="s">
        <v>253</v>
      </c>
      <c r="U777" t="s">
        <v>600</v>
      </c>
      <c r="V777" t="s">
        <v>253</v>
      </c>
      <c r="W777" t="s">
        <v>132</v>
      </c>
      <c r="X777" t="s">
        <v>253</v>
      </c>
      <c r="Y777" t="s">
        <v>235</v>
      </c>
      <c r="Z777" t="s">
        <v>236</v>
      </c>
      <c r="AA777" t="s">
        <v>253</v>
      </c>
      <c r="AB777" t="s">
        <v>121</v>
      </c>
      <c r="AC777" s="235">
        <v>-300000</v>
      </c>
      <c r="AD777" s="235">
        <v>-1734.9822694649774</v>
      </c>
      <c r="AE777">
        <v>0</v>
      </c>
      <c r="AF777">
        <v>0</v>
      </c>
      <c r="AG777">
        <v>0</v>
      </c>
      <c r="AH777" s="235">
        <v>-93.596215675597705</v>
      </c>
      <c r="AI777">
        <v>226</v>
      </c>
      <c r="AJ777" t="s">
        <v>256</v>
      </c>
      <c r="AK777">
        <v>0</v>
      </c>
      <c r="AL777">
        <v>0</v>
      </c>
      <c r="AM777">
        <v>0</v>
      </c>
    </row>
    <row r="778" spans="1:39" x14ac:dyDescent="0.25">
      <c r="A778" t="s">
        <v>601</v>
      </c>
      <c r="B778" t="s">
        <v>610</v>
      </c>
      <c r="C778" t="s">
        <v>255</v>
      </c>
      <c r="D778" t="s">
        <v>234</v>
      </c>
      <c r="E778" t="s">
        <v>20</v>
      </c>
      <c r="F778" t="s">
        <v>363</v>
      </c>
      <c r="G778" t="s">
        <v>269</v>
      </c>
      <c r="H778" t="s">
        <v>254</v>
      </c>
      <c r="I778" t="s">
        <v>242</v>
      </c>
      <c r="J778" t="s">
        <v>235</v>
      </c>
      <c r="K778" s="380">
        <v>36861</v>
      </c>
      <c r="L778" s="235">
        <v>-8475.9519561765992</v>
      </c>
      <c r="M778" s="380">
        <v>36859</v>
      </c>
      <c r="N778" t="s">
        <v>21</v>
      </c>
      <c r="O778">
        <v>0.15</v>
      </c>
      <c r="P778">
        <v>0</v>
      </c>
      <c r="Q778">
        <v>0</v>
      </c>
      <c r="R778">
        <v>0</v>
      </c>
      <c r="S778">
        <v>0</v>
      </c>
      <c r="T778" t="s">
        <v>253</v>
      </c>
      <c r="U778" t="s">
        <v>600</v>
      </c>
      <c r="V778" t="s">
        <v>253</v>
      </c>
      <c r="W778" t="s">
        <v>132</v>
      </c>
      <c r="X778" t="s">
        <v>253</v>
      </c>
      <c r="Y778" t="s">
        <v>235</v>
      </c>
      <c r="Z778" t="s">
        <v>236</v>
      </c>
      <c r="AA778" t="s">
        <v>253</v>
      </c>
      <c r="AB778" t="s">
        <v>121</v>
      </c>
      <c r="AC778" s="235">
        <v>-310000</v>
      </c>
      <c r="AD778" s="235">
        <v>-2456.5757758719556</v>
      </c>
      <c r="AE778">
        <v>0</v>
      </c>
      <c r="AF778">
        <v>0</v>
      </c>
      <c r="AG778">
        <v>0</v>
      </c>
      <c r="AH778" s="235">
        <v>-123.68154086010327</v>
      </c>
      <c r="AI778">
        <v>226</v>
      </c>
      <c r="AJ778" t="s">
        <v>256</v>
      </c>
      <c r="AK778">
        <v>0</v>
      </c>
      <c r="AL778">
        <v>0</v>
      </c>
      <c r="AM778">
        <v>0</v>
      </c>
    </row>
    <row r="779" spans="1:39" x14ac:dyDescent="0.25">
      <c r="A779" t="s">
        <v>601</v>
      </c>
      <c r="B779" t="s">
        <v>610</v>
      </c>
      <c r="C779" t="s">
        <v>255</v>
      </c>
      <c r="D779" t="s">
        <v>234</v>
      </c>
      <c r="E779" t="s">
        <v>20</v>
      </c>
      <c r="F779" t="s">
        <v>363</v>
      </c>
      <c r="G779" t="s">
        <v>269</v>
      </c>
      <c r="H779" t="s">
        <v>254</v>
      </c>
      <c r="I779" t="s">
        <v>242</v>
      </c>
      <c r="J779" t="s">
        <v>235</v>
      </c>
      <c r="K779" s="380">
        <v>36892</v>
      </c>
      <c r="L779" s="235">
        <v>-13795.943631902166</v>
      </c>
      <c r="M779" s="380">
        <v>36888</v>
      </c>
      <c r="N779" t="s">
        <v>21</v>
      </c>
      <c r="O779">
        <v>0.15</v>
      </c>
      <c r="P779">
        <v>0</v>
      </c>
      <c r="Q779">
        <v>0</v>
      </c>
      <c r="R779">
        <v>0</v>
      </c>
      <c r="S779">
        <v>0</v>
      </c>
      <c r="T779" t="s">
        <v>253</v>
      </c>
      <c r="U779" t="s">
        <v>600</v>
      </c>
      <c r="V779" t="s">
        <v>253</v>
      </c>
      <c r="W779" t="s">
        <v>132</v>
      </c>
      <c r="X779" t="s">
        <v>253</v>
      </c>
      <c r="Y779" t="s">
        <v>235</v>
      </c>
      <c r="Z779" t="s">
        <v>236</v>
      </c>
      <c r="AA779" t="s">
        <v>253</v>
      </c>
      <c r="AB779" t="s">
        <v>121</v>
      </c>
      <c r="AC779" s="235">
        <v>-310000</v>
      </c>
      <c r="AD779" s="235">
        <v>-3011.4536636004632</v>
      </c>
      <c r="AE779">
        <v>0</v>
      </c>
      <c r="AF779">
        <v>0</v>
      </c>
      <c r="AG779">
        <v>0</v>
      </c>
      <c r="AH779" s="235">
        <v>-144.9409741889267</v>
      </c>
      <c r="AI779">
        <v>226</v>
      </c>
      <c r="AJ779" t="s">
        <v>256</v>
      </c>
      <c r="AK779">
        <v>0</v>
      </c>
      <c r="AL779">
        <v>0</v>
      </c>
      <c r="AM779">
        <v>0</v>
      </c>
    </row>
    <row r="780" spans="1:39" x14ac:dyDescent="0.25">
      <c r="A780" t="s">
        <v>601</v>
      </c>
      <c r="B780" t="s">
        <v>610</v>
      </c>
      <c r="C780" t="s">
        <v>255</v>
      </c>
      <c r="D780" t="s">
        <v>234</v>
      </c>
      <c r="E780" t="s">
        <v>20</v>
      </c>
      <c r="F780" t="s">
        <v>363</v>
      </c>
      <c r="G780" t="s">
        <v>269</v>
      </c>
      <c r="H780" t="s">
        <v>254</v>
      </c>
      <c r="I780" t="s">
        <v>242</v>
      </c>
      <c r="J780" t="s">
        <v>235</v>
      </c>
      <c r="K780" s="380">
        <v>36923</v>
      </c>
      <c r="L780" s="235">
        <v>-14498.102560808087</v>
      </c>
      <c r="M780" s="380">
        <v>36921</v>
      </c>
      <c r="N780" t="s">
        <v>21</v>
      </c>
      <c r="O780">
        <v>0.15</v>
      </c>
      <c r="P780">
        <v>0</v>
      </c>
      <c r="Q780">
        <v>0</v>
      </c>
      <c r="R780">
        <v>0</v>
      </c>
      <c r="S780">
        <v>0</v>
      </c>
      <c r="T780" t="s">
        <v>253</v>
      </c>
      <c r="U780" t="s">
        <v>600</v>
      </c>
      <c r="V780" t="s">
        <v>253</v>
      </c>
      <c r="W780" t="s">
        <v>132</v>
      </c>
      <c r="X780" t="s">
        <v>253</v>
      </c>
      <c r="Y780" t="s">
        <v>235</v>
      </c>
      <c r="Z780" t="s">
        <v>236</v>
      </c>
      <c r="AA780" t="s">
        <v>253</v>
      </c>
      <c r="AB780" t="s">
        <v>121</v>
      </c>
      <c r="AC780" s="235">
        <v>-280000</v>
      </c>
      <c r="AD780" s="235">
        <v>-2988.6712248928816</v>
      </c>
      <c r="AE780">
        <v>0</v>
      </c>
      <c r="AF780">
        <v>0</v>
      </c>
      <c r="AG780">
        <v>0</v>
      </c>
      <c r="AH780" s="235">
        <v>-143.43839749428844</v>
      </c>
      <c r="AI780">
        <v>226</v>
      </c>
      <c r="AJ780" t="s">
        <v>256</v>
      </c>
      <c r="AK780">
        <v>0</v>
      </c>
      <c r="AL780">
        <v>0</v>
      </c>
      <c r="AM780">
        <v>0</v>
      </c>
    </row>
    <row r="781" spans="1:39" x14ac:dyDescent="0.25">
      <c r="A781" t="s">
        <v>601</v>
      </c>
      <c r="B781" t="s">
        <v>610</v>
      </c>
      <c r="C781" t="s">
        <v>255</v>
      </c>
      <c r="D781" t="s">
        <v>234</v>
      </c>
      <c r="E781" t="s">
        <v>20</v>
      </c>
      <c r="F781" t="s">
        <v>363</v>
      </c>
      <c r="G781" t="s">
        <v>269</v>
      </c>
      <c r="H781" t="s">
        <v>254</v>
      </c>
      <c r="I781" t="s">
        <v>242</v>
      </c>
      <c r="J781" t="s">
        <v>235</v>
      </c>
      <c r="K781" s="380">
        <v>36951</v>
      </c>
      <c r="L781" s="235">
        <v>-12666.147560565782</v>
      </c>
      <c r="M781" s="380">
        <v>36949</v>
      </c>
      <c r="N781" t="s">
        <v>21</v>
      </c>
      <c r="O781">
        <v>0.15</v>
      </c>
      <c r="P781">
        <v>0</v>
      </c>
      <c r="Q781">
        <v>0</v>
      </c>
      <c r="R781">
        <v>0</v>
      </c>
      <c r="S781">
        <v>0</v>
      </c>
      <c r="T781" t="s">
        <v>253</v>
      </c>
      <c r="U781" t="s">
        <v>600</v>
      </c>
      <c r="V781" t="s">
        <v>253</v>
      </c>
      <c r="W781" t="s">
        <v>132</v>
      </c>
      <c r="X781" t="s">
        <v>253</v>
      </c>
      <c r="Y781" t="s">
        <v>235</v>
      </c>
      <c r="Z781" t="s">
        <v>236</v>
      </c>
      <c r="AA781" t="s">
        <v>253</v>
      </c>
      <c r="AB781" t="s">
        <v>121</v>
      </c>
      <c r="AC781" s="235">
        <v>-310000</v>
      </c>
      <c r="AD781" s="235">
        <v>-3147.1792276509368</v>
      </c>
      <c r="AE781">
        <v>0</v>
      </c>
      <c r="AF781">
        <v>0</v>
      </c>
      <c r="AG781">
        <v>0</v>
      </c>
      <c r="AH781" s="235">
        <v>-160.05033692913094</v>
      </c>
      <c r="AI781">
        <v>226</v>
      </c>
      <c r="AJ781" t="s">
        <v>256</v>
      </c>
      <c r="AK781">
        <v>0</v>
      </c>
      <c r="AL781">
        <v>0</v>
      </c>
      <c r="AM781">
        <v>0</v>
      </c>
    </row>
    <row r="782" spans="1:39" x14ac:dyDescent="0.25">
      <c r="A782" t="s">
        <v>601</v>
      </c>
      <c r="B782" t="s">
        <v>611</v>
      </c>
      <c r="C782" t="s">
        <v>255</v>
      </c>
      <c r="D782" t="s">
        <v>234</v>
      </c>
      <c r="E782" t="s">
        <v>20</v>
      </c>
      <c r="F782" t="s">
        <v>279</v>
      </c>
      <c r="G782" t="s">
        <v>269</v>
      </c>
      <c r="H782" t="s">
        <v>254</v>
      </c>
      <c r="I782" t="s">
        <v>242</v>
      </c>
      <c r="J782" t="s">
        <v>235</v>
      </c>
      <c r="K782" s="380">
        <v>36831</v>
      </c>
      <c r="L782" s="235">
        <v>-642397.11919021886</v>
      </c>
      <c r="M782" s="380">
        <v>36829</v>
      </c>
      <c r="N782" t="s">
        <v>21</v>
      </c>
      <c r="O782">
        <v>1</v>
      </c>
      <c r="P782">
        <v>0</v>
      </c>
      <c r="Q782">
        <v>0</v>
      </c>
      <c r="R782">
        <v>0</v>
      </c>
      <c r="S782">
        <v>0</v>
      </c>
      <c r="T782" t="s">
        <v>253</v>
      </c>
      <c r="U782" t="s">
        <v>190</v>
      </c>
      <c r="V782" t="s">
        <v>253</v>
      </c>
      <c r="W782" t="s">
        <v>132</v>
      </c>
      <c r="X782" t="s">
        <v>253</v>
      </c>
      <c r="Y782" t="s">
        <v>235</v>
      </c>
      <c r="Z782" t="s">
        <v>236</v>
      </c>
      <c r="AA782" t="s">
        <v>253</v>
      </c>
      <c r="AB782" t="s">
        <v>121</v>
      </c>
      <c r="AC782" s="235">
        <v>-1000000</v>
      </c>
      <c r="AD782" s="235">
        <v>-38449.89632158936</v>
      </c>
      <c r="AE782">
        <v>0</v>
      </c>
      <c r="AF782">
        <v>0</v>
      </c>
      <c r="AG782">
        <v>0</v>
      </c>
      <c r="AH782" s="235">
        <v>-155576.5240811198</v>
      </c>
      <c r="AI782">
        <v>226</v>
      </c>
      <c r="AJ782" t="s">
        <v>256</v>
      </c>
      <c r="AK782">
        <v>0</v>
      </c>
      <c r="AL782">
        <v>0</v>
      </c>
      <c r="AM782">
        <v>0</v>
      </c>
    </row>
    <row r="783" spans="1:39" x14ac:dyDescent="0.25">
      <c r="A783" t="s">
        <v>601</v>
      </c>
      <c r="B783" t="s">
        <v>611</v>
      </c>
      <c r="C783" t="s">
        <v>255</v>
      </c>
      <c r="D783" t="s">
        <v>234</v>
      </c>
      <c r="E783" t="s">
        <v>20</v>
      </c>
      <c r="F783" t="s">
        <v>279</v>
      </c>
      <c r="G783" t="s">
        <v>269</v>
      </c>
      <c r="H783" t="s">
        <v>254</v>
      </c>
      <c r="I783" t="s">
        <v>242</v>
      </c>
      <c r="J783" t="s">
        <v>235</v>
      </c>
      <c r="K783" s="380">
        <v>36861</v>
      </c>
      <c r="L783" s="235">
        <v>-354685.27074912179</v>
      </c>
      <c r="M783" s="380">
        <v>36859</v>
      </c>
      <c r="N783" t="s">
        <v>21</v>
      </c>
      <c r="O783">
        <v>1</v>
      </c>
      <c r="P783">
        <v>0</v>
      </c>
      <c r="Q783">
        <v>0</v>
      </c>
      <c r="R783">
        <v>0</v>
      </c>
      <c r="S783">
        <v>0</v>
      </c>
      <c r="T783" t="s">
        <v>253</v>
      </c>
      <c r="U783" t="s">
        <v>190</v>
      </c>
      <c r="V783" t="s">
        <v>253</v>
      </c>
      <c r="W783" t="s">
        <v>132</v>
      </c>
      <c r="X783" t="s">
        <v>253</v>
      </c>
      <c r="Y783" t="s">
        <v>235</v>
      </c>
      <c r="Z783" t="s">
        <v>236</v>
      </c>
      <c r="AA783" t="s">
        <v>253</v>
      </c>
      <c r="AB783" t="s">
        <v>121</v>
      </c>
      <c r="AC783" s="235">
        <v>-1000000</v>
      </c>
      <c r="AD783" s="235">
        <v>-60658.578830151702</v>
      </c>
      <c r="AE783">
        <v>0</v>
      </c>
      <c r="AF783">
        <v>0</v>
      </c>
      <c r="AG783">
        <v>0</v>
      </c>
      <c r="AH783" s="235">
        <v>-74397.018434419122</v>
      </c>
      <c r="AI783">
        <v>226</v>
      </c>
      <c r="AJ783" t="s">
        <v>256</v>
      </c>
      <c r="AK783">
        <v>0</v>
      </c>
      <c r="AL783">
        <v>0</v>
      </c>
      <c r="AM783">
        <v>0</v>
      </c>
    </row>
    <row r="784" spans="1:39" x14ac:dyDescent="0.25">
      <c r="A784" t="s">
        <v>601</v>
      </c>
      <c r="B784" t="s">
        <v>611</v>
      </c>
      <c r="C784" t="s">
        <v>255</v>
      </c>
      <c r="D784" t="s">
        <v>234</v>
      </c>
      <c r="E784" t="s">
        <v>20</v>
      </c>
      <c r="F784" t="s">
        <v>279</v>
      </c>
      <c r="G784" t="s">
        <v>269</v>
      </c>
      <c r="H784" t="s">
        <v>254</v>
      </c>
      <c r="I784" t="s">
        <v>242</v>
      </c>
      <c r="J784" t="s">
        <v>235</v>
      </c>
      <c r="K784" s="380">
        <v>36892</v>
      </c>
      <c r="L784" s="235">
        <v>-289320.60439244373</v>
      </c>
      <c r="M784" s="380">
        <v>36888</v>
      </c>
      <c r="N784" t="s">
        <v>21</v>
      </c>
      <c r="O784">
        <v>1</v>
      </c>
      <c r="P784">
        <v>0</v>
      </c>
      <c r="Q784">
        <v>0</v>
      </c>
      <c r="R784">
        <v>0</v>
      </c>
      <c r="S784">
        <v>0</v>
      </c>
      <c r="T784" t="s">
        <v>253</v>
      </c>
      <c r="U784" t="s">
        <v>190</v>
      </c>
      <c r="V784" t="s">
        <v>253</v>
      </c>
      <c r="W784" t="s">
        <v>132</v>
      </c>
      <c r="X784" t="s">
        <v>253</v>
      </c>
      <c r="Y784" t="s">
        <v>235</v>
      </c>
      <c r="Z784" t="s">
        <v>236</v>
      </c>
      <c r="AA784" t="s">
        <v>253</v>
      </c>
      <c r="AB784" t="s">
        <v>121</v>
      </c>
      <c r="AC784" s="235">
        <v>-1000000</v>
      </c>
      <c r="AD784" s="235">
        <v>-67756.307215398469</v>
      </c>
      <c r="AE784">
        <v>0</v>
      </c>
      <c r="AF784">
        <v>0</v>
      </c>
      <c r="AG784">
        <v>0</v>
      </c>
      <c r="AH784" s="235">
        <v>21169.097736765631</v>
      </c>
      <c r="AI784">
        <v>226</v>
      </c>
      <c r="AJ784" t="s">
        <v>256</v>
      </c>
      <c r="AK784">
        <v>0</v>
      </c>
      <c r="AL784">
        <v>0</v>
      </c>
      <c r="AM784">
        <v>0</v>
      </c>
    </row>
    <row r="785" spans="1:39" x14ac:dyDescent="0.25">
      <c r="A785" t="s">
        <v>601</v>
      </c>
      <c r="B785" t="s">
        <v>611</v>
      </c>
      <c r="C785" t="s">
        <v>255</v>
      </c>
      <c r="D785" t="s">
        <v>234</v>
      </c>
      <c r="E785" t="s">
        <v>20</v>
      </c>
      <c r="F785" t="s">
        <v>279</v>
      </c>
      <c r="G785" t="s">
        <v>269</v>
      </c>
      <c r="H785" t="s">
        <v>254</v>
      </c>
      <c r="I785" t="s">
        <v>242</v>
      </c>
      <c r="J785" t="s">
        <v>235</v>
      </c>
      <c r="K785" s="380">
        <v>36923</v>
      </c>
      <c r="L785" s="235">
        <v>-245876.9917538728</v>
      </c>
      <c r="M785" s="380">
        <v>36921</v>
      </c>
      <c r="N785" t="s">
        <v>21</v>
      </c>
      <c r="O785">
        <v>1</v>
      </c>
      <c r="P785">
        <v>0</v>
      </c>
      <c r="Q785">
        <v>0</v>
      </c>
      <c r="R785">
        <v>0</v>
      </c>
      <c r="S785">
        <v>0</v>
      </c>
      <c r="T785" t="s">
        <v>253</v>
      </c>
      <c r="U785" t="s">
        <v>190</v>
      </c>
      <c r="V785" t="s">
        <v>253</v>
      </c>
      <c r="W785" t="s">
        <v>132</v>
      </c>
      <c r="X785" t="s">
        <v>253</v>
      </c>
      <c r="Y785" t="s">
        <v>235</v>
      </c>
      <c r="Z785" t="s">
        <v>236</v>
      </c>
      <c r="AA785" t="s">
        <v>253</v>
      </c>
      <c r="AB785" t="s">
        <v>121</v>
      </c>
      <c r="AC785" s="235">
        <v>-1000000</v>
      </c>
      <c r="AD785" s="235">
        <v>-71027.487221110146</v>
      </c>
      <c r="AE785">
        <v>0</v>
      </c>
      <c r="AF785">
        <v>0</v>
      </c>
      <c r="AG785">
        <v>0</v>
      </c>
      <c r="AH785" s="235">
        <v>18188.193087197113</v>
      </c>
      <c r="AI785">
        <v>226</v>
      </c>
      <c r="AJ785" t="s">
        <v>256</v>
      </c>
      <c r="AK785">
        <v>0</v>
      </c>
      <c r="AL785">
        <v>0</v>
      </c>
      <c r="AM785">
        <v>0</v>
      </c>
    </row>
    <row r="786" spans="1:39" x14ac:dyDescent="0.25">
      <c r="A786" t="s">
        <v>601</v>
      </c>
      <c r="B786" t="s">
        <v>611</v>
      </c>
      <c r="C786" t="s">
        <v>255</v>
      </c>
      <c r="D786" t="s">
        <v>234</v>
      </c>
      <c r="E786" t="s">
        <v>20</v>
      </c>
      <c r="F786" t="s">
        <v>279</v>
      </c>
      <c r="G786" t="s">
        <v>269</v>
      </c>
      <c r="H786" t="s">
        <v>254</v>
      </c>
      <c r="I786" t="s">
        <v>242</v>
      </c>
      <c r="J786" t="s">
        <v>235</v>
      </c>
      <c r="K786" s="380">
        <v>36951</v>
      </c>
      <c r="L786" s="235">
        <v>-210305.60438987846</v>
      </c>
      <c r="M786" s="380">
        <v>36949</v>
      </c>
      <c r="N786" t="s">
        <v>21</v>
      </c>
      <c r="O786">
        <v>1</v>
      </c>
      <c r="P786">
        <v>0</v>
      </c>
      <c r="Q786">
        <v>0</v>
      </c>
      <c r="R786">
        <v>0</v>
      </c>
      <c r="S786">
        <v>0</v>
      </c>
      <c r="T786" t="s">
        <v>253</v>
      </c>
      <c r="U786" t="s">
        <v>190</v>
      </c>
      <c r="V786" t="s">
        <v>253</v>
      </c>
      <c r="W786" t="s">
        <v>132</v>
      </c>
      <c r="X786" t="s">
        <v>253</v>
      </c>
      <c r="Y786" t="s">
        <v>235</v>
      </c>
      <c r="Z786" t="s">
        <v>236</v>
      </c>
      <c r="AA786" t="s">
        <v>253</v>
      </c>
      <c r="AB786" t="s">
        <v>121</v>
      </c>
      <c r="AC786" s="235">
        <v>-1000000</v>
      </c>
      <c r="AD786" s="235">
        <v>-67294.132125830045</v>
      </c>
      <c r="AE786">
        <v>0</v>
      </c>
      <c r="AF786">
        <v>0</v>
      </c>
      <c r="AG786">
        <v>0</v>
      </c>
      <c r="AH786" s="235">
        <v>17005.549483603856</v>
      </c>
      <c r="AI786">
        <v>226</v>
      </c>
      <c r="AJ786" t="s">
        <v>256</v>
      </c>
      <c r="AK786">
        <v>0</v>
      </c>
      <c r="AL786">
        <v>0</v>
      </c>
      <c r="AM786">
        <v>0</v>
      </c>
    </row>
    <row r="787" spans="1:39" x14ac:dyDescent="0.25">
      <c r="A787" t="s">
        <v>601</v>
      </c>
      <c r="B787" t="s">
        <v>612</v>
      </c>
      <c r="C787" t="s">
        <v>255</v>
      </c>
      <c r="D787" t="s">
        <v>234</v>
      </c>
      <c r="E787" t="s">
        <v>20</v>
      </c>
      <c r="F787" t="s">
        <v>383</v>
      </c>
      <c r="G787" t="s">
        <v>269</v>
      </c>
      <c r="H787" t="s">
        <v>254</v>
      </c>
      <c r="I787" t="s">
        <v>242</v>
      </c>
      <c r="J787" t="s">
        <v>235</v>
      </c>
      <c r="K787" s="380">
        <v>36831</v>
      </c>
      <c r="L787" s="235">
        <v>-39178.747694908721</v>
      </c>
      <c r="M787" s="380">
        <v>36829</v>
      </c>
      <c r="N787" t="s">
        <v>21</v>
      </c>
      <c r="O787">
        <v>-0.2</v>
      </c>
      <c r="P787">
        <v>0</v>
      </c>
      <c r="Q787">
        <v>0</v>
      </c>
      <c r="R787">
        <v>0</v>
      </c>
      <c r="S787">
        <v>0</v>
      </c>
      <c r="T787" t="s">
        <v>253</v>
      </c>
      <c r="U787" t="s">
        <v>9</v>
      </c>
      <c r="V787" t="s">
        <v>253</v>
      </c>
      <c r="W787" t="s">
        <v>132</v>
      </c>
      <c r="X787" t="s">
        <v>253</v>
      </c>
      <c r="Y787" t="s">
        <v>235</v>
      </c>
      <c r="Z787" t="s">
        <v>236</v>
      </c>
      <c r="AA787" t="s">
        <v>253</v>
      </c>
      <c r="AB787" t="s">
        <v>121</v>
      </c>
      <c r="AC787" s="235">
        <v>-600000</v>
      </c>
      <c r="AD787" s="235">
        <v>-17440.037627250043</v>
      </c>
      <c r="AE787">
        <v>0</v>
      </c>
      <c r="AF787">
        <v>0</v>
      </c>
      <c r="AG787">
        <v>0</v>
      </c>
      <c r="AH787" s="235">
        <v>6021.4629355124707</v>
      </c>
      <c r="AI787">
        <v>226</v>
      </c>
      <c r="AJ787" t="s">
        <v>256</v>
      </c>
      <c r="AK787">
        <v>0</v>
      </c>
      <c r="AL787">
        <v>0</v>
      </c>
      <c r="AM787">
        <v>0</v>
      </c>
    </row>
    <row r="788" spans="1:39" x14ac:dyDescent="0.25">
      <c r="A788" t="s">
        <v>601</v>
      </c>
      <c r="B788" t="s">
        <v>612</v>
      </c>
      <c r="C788" t="s">
        <v>255</v>
      </c>
      <c r="D788" t="s">
        <v>234</v>
      </c>
      <c r="E788" t="s">
        <v>20</v>
      </c>
      <c r="F788" t="s">
        <v>383</v>
      </c>
      <c r="G788" t="s">
        <v>269</v>
      </c>
      <c r="H788" t="s">
        <v>254</v>
      </c>
      <c r="I788" t="s">
        <v>242</v>
      </c>
      <c r="J788" t="s">
        <v>235</v>
      </c>
      <c r="K788" s="380">
        <v>36861</v>
      </c>
      <c r="L788" s="235">
        <v>-85439.226070136341</v>
      </c>
      <c r="M788" s="380">
        <v>36859</v>
      </c>
      <c r="N788" t="s">
        <v>21</v>
      </c>
      <c r="O788">
        <v>-0.2</v>
      </c>
      <c r="P788">
        <v>0</v>
      </c>
      <c r="Q788">
        <v>0</v>
      </c>
      <c r="R788">
        <v>0</v>
      </c>
      <c r="S788">
        <v>0</v>
      </c>
      <c r="T788" t="s">
        <v>253</v>
      </c>
      <c r="U788" t="s">
        <v>9</v>
      </c>
      <c r="V788" t="s">
        <v>253</v>
      </c>
      <c r="W788" t="s">
        <v>132</v>
      </c>
      <c r="X788" t="s">
        <v>253</v>
      </c>
      <c r="Y788" t="s">
        <v>235</v>
      </c>
      <c r="Z788" t="s">
        <v>236</v>
      </c>
      <c r="AA788" t="s">
        <v>253</v>
      </c>
      <c r="AB788" t="s">
        <v>121</v>
      </c>
      <c r="AC788" s="235">
        <v>-620000</v>
      </c>
      <c r="AD788" s="235">
        <v>-25765.330066787108</v>
      </c>
      <c r="AE788">
        <v>0</v>
      </c>
      <c r="AF788">
        <v>0</v>
      </c>
      <c r="AG788">
        <v>0</v>
      </c>
      <c r="AH788" s="235">
        <v>8892.7589105637599</v>
      </c>
      <c r="AI788">
        <v>226</v>
      </c>
      <c r="AJ788" t="s">
        <v>256</v>
      </c>
      <c r="AK788">
        <v>0</v>
      </c>
      <c r="AL788">
        <v>0</v>
      </c>
      <c r="AM788">
        <v>0</v>
      </c>
    </row>
    <row r="789" spans="1:39" x14ac:dyDescent="0.25">
      <c r="A789" t="s">
        <v>601</v>
      </c>
      <c r="B789" t="s">
        <v>612</v>
      </c>
      <c r="C789" t="s">
        <v>255</v>
      </c>
      <c r="D789" t="s">
        <v>234</v>
      </c>
      <c r="E789" t="s">
        <v>20</v>
      </c>
      <c r="F789" t="s">
        <v>383</v>
      </c>
      <c r="G789" t="s">
        <v>269</v>
      </c>
      <c r="H789" t="s">
        <v>254</v>
      </c>
      <c r="I789" t="s">
        <v>242</v>
      </c>
      <c r="J789" t="s">
        <v>235</v>
      </c>
      <c r="K789" s="380">
        <v>36892</v>
      </c>
      <c r="L789" s="235">
        <v>-99678.126618763621</v>
      </c>
      <c r="M789" s="380">
        <v>36888</v>
      </c>
      <c r="N789" t="s">
        <v>21</v>
      </c>
      <c r="O789">
        <v>-0.2</v>
      </c>
      <c r="P789">
        <v>0</v>
      </c>
      <c r="Q789">
        <v>0</v>
      </c>
      <c r="R789">
        <v>0</v>
      </c>
      <c r="S789">
        <v>0</v>
      </c>
      <c r="T789" t="s">
        <v>253</v>
      </c>
      <c r="U789" t="s">
        <v>9</v>
      </c>
      <c r="V789" t="s">
        <v>253</v>
      </c>
      <c r="W789" t="s">
        <v>132</v>
      </c>
      <c r="X789" t="s">
        <v>253</v>
      </c>
      <c r="Y789" t="s">
        <v>235</v>
      </c>
      <c r="Z789" t="s">
        <v>236</v>
      </c>
      <c r="AA789" t="s">
        <v>253</v>
      </c>
      <c r="AB789" t="s">
        <v>121</v>
      </c>
      <c r="AC789" s="235">
        <v>-620000</v>
      </c>
      <c r="AD789" s="235">
        <v>-29756.416609623673</v>
      </c>
      <c r="AE789">
        <v>0</v>
      </c>
      <c r="AF789">
        <v>0</v>
      </c>
      <c r="AG789">
        <v>0</v>
      </c>
      <c r="AH789" s="235">
        <v>8920.0963528382708</v>
      </c>
      <c r="AI789">
        <v>226</v>
      </c>
      <c r="AJ789" t="s">
        <v>256</v>
      </c>
      <c r="AK789">
        <v>0</v>
      </c>
      <c r="AL789">
        <v>0</v>
      </c>
      <c r="AM789">
        <v>0</v>
      </c>
    </row>
    <row r="790" spans="1:39" x14ac:dyDescent="0.25">
      <c r="A790" t="s">
        <v>601</v>
      </c>
      <c r="B790" t="s">
        <v>612</v>
      </c>
      <c r="C790" t="s">
        <v>255</v>
      </c>
      <c r="D790" t="s">
        <v>234</v>
      </c>
      <c r="E790" t="s">
        <v>20</v>
      </c>
      <c r="F790" t="s">
        <v>383</v>
      </c>
      <c r="G790" t="s">
        <v>269</v>
      </c>
      <c r="H790" t="s">
        <v>254</v>
      </c>
      <c r="I790" t="s">
        <v>242</v>
      </c>
      <c r="J790" t="s">
        <v>235</v>
      </c>
      <c r="K790" s="380">
        <v>36923</v>
      </c>
      <c r="L790" s="235">
        <v>-90154.114747089145</v>
      </c>
      <c r="M790" s="380">
        <v>36921</v>
      </c>
      <c r="N790" t="s">
        <v>21</v>
      </c>
      <c r="O790">
        <v>-0.2</v>
      </c>
      <c r="P790">
        <v>0</v>
      </c>
      <c r="Q790">
        <v>0</v>
      </c>
      <c r="R790">
        <v>0</v>
      </c>
      <c r="S790">
        <v>0</v>
      </c>
      <c r="T790" t="s">
        <v>253</v>
      </c>
      <c r="U790" t="s">
        <v>9</v>
      </c>
      <c r="V790" t="s">
        <v>253</v>
      </c>
      <c r="W790" t="s">
        <v>132</v>
      </c>
      <c r="X790" t="s">
        <v>253</v>
      </c>
      <c r="Y790" t="s">
        <v>235</v>
      </c>
      <c r="Z790" t="s">
        <v>236</v>
      </c>
      <c r="AA790" t="s">
        <v>253</v>
      </c>
      <c r="AB790" t="s">
        <v>121</v>
      </c>
      <c r="AC790" s="235">
        <v>-560000</v>
      </c>
      <c r="AD790" s="235">
        <v>-29263.686139704165</v>
      </c>
      <c r="AE790">
        <v>0</v>
      </c>
      <c r="AF790">
        <v>0</v>
      </c>
      <c r="AG790">
        <v>0</v>
      </c>
      <c r="AH790" s="235">
        <v>7738.5880888538377</v>
      </c>
      <c r="AI790">
        <v>226</v>
      </c>
      <c r="AJ790" t="s">
        <v>256</v>
      </c>
      <c r="AK790">
        <v>0</v>
      </c>
      <c r="AL790">
        <v>0</v>
      </c>
      <c r="AM790">
        <v>0</v>
      </c>
    </row>
    <row r="791" spans="1:39" x14ac:dyDescent="0.25">
      <c r="A791" t="s">
        <v>601</v>
      </c>
      <c r="B791" t="s">
        <v>612</v>
      </c>
      <c r="C791" t="s">
        <v>255</v>
      </c>
      <c r="D791" t="s">
        <v>234</v>
      </c>
      <c r="E791" t="s">
        <v>20</v>
      </c>
      <c r="F791" t="s">
        <v>383</v>
      </c>
      <c r="G791" t="s">
        <v>269</v>
      </c>
      <c r="H791" t="s">
        <v>254</v>
      </c>
      <c r="I791" t="s">
        <v>242</v>
      </c>
      <c r="J791" t="s">
        <v>235</v>
      </c>
      <c r="K791" s="380">
        <v>36951</v>
      </c>
      <c r="L791" s="235">
        <v>-85246.334760671714</v>
      </c>
      <c r="M791" s="380">
        <v>36949</v>
      </c>
      <c r="N791" t="s">
        <v>21</v>
      </c>
      <c r="O791">
        <v>-0.2</v>
      </c>
      <c r="P791">
        <v>0</v>
      </c>
      <c r="Q791">
        <v>0</v>
      </c>
      <c r="R791">
        <v>0</v>
      </c>
      <c r="S791">
        <v>0</v>
      </c>
      <c r="T791" t="s">
        <v>253</v>
      </c>
      <c r="U791" t="s">
        <v>9</v>
      </c>
      <c r="V791" t="s">
        <v>253</v>
      </c>
      <c r="W791" t="s">
        <v>132</v>
      </c>
      <c r="X791" t="s">
        <v>253</v>
      </c>
      <c r="Y791" t="s">
        <v>235</v>
      </c>
      <c r="Z791" t="s">
        <v>236</v>
      </c>
      <c r="AA791" t="s">
        <v>253</v>
      </c>
      <c r="AB791" t="s">
        <v>121</v>
      </c>
      <c r="AC791" s="235">
        <v>-620000</v>
      </c>
      <c r="AD791" s="235">
        <v>-30975.285164308676</v>
      </c>
      <c r="AE791">
        <v>0</v>
      </c>
      <c r="AF791">
        <v>0</v>
      </c>
      <c r="AG791">
        <v>0</v>
      </c>
      <c r="AH791" s="235">
        <v>8069.1181134598592</v>
      </c>
      <c r="AI791">
        <v>226</v>
      </c>
      <c r="AJ791" t="s">
        <v>256</v>
      </c>
      <c r="AK791">
        <v>0</v>
      </c>
      <c r="AL791">
        <v>0</v>
      </c>
      <c r="AM791">
        <v>0</v>
      </c>
    </row>
    <row r="792" spans="1:39" x14ac:dyDescent="0.25">
      <c r="A792" t="s">
        <v>601</v>
      </c>
      <c r="B792" t="s">
        <v>613</v>
      </c>
      <c r="C792" t="s">
        <v>255</v>
      </c>
      <c r="D792" t="s">
        <v>234</v>
      </c>
      <c r="E792" t="s">
        <v>20</v>
      </c>
      <c r="F792" t="s">
        <v>383</v>
      </c>
      <c r="G792" t="s">
        <v>269</v>
      </c>
      <c r="H792" t="s">
        <v>254</v>
      </c>
      <c r="I792" t="s">
        <v>242</v>
      </c>
      <c r="J792" t="s">
        <v>235</v>
      </c>
      <c r="K792" s="380">
        <v>36831</v>
      </c>
      <c r="L792" s="235">
        <v>-94672.038274831662</v>
      </c>
      <c r="M792" s="380">
        <v>36829</v>
      </c>
      <c r="N792" t="s">
        <v>1</v>
      </c>
      <c r="O792">
        <v>-0.5</v>
      </c>
      <c r="P792">
        <v>0</v>
      </c>
      <c r="Q792">
        <v>0</v>
      </c>
      <c r="R792">
        <v>0</v>
      </c>
      <c r="S792">
        <v>0</v>
      </c>
      <c r="T792" t="s">
        <v>253</v>
      </c>
      <c r="U792" t="s">
        <v>9</v>
      </c>
      <c r="V792" t="s">
        <v>253</v>
      </c>
      <c r="W792" t="s">
        <v>132</v>
      </c>
      <c r="X792" t="s">
        <v>253</v>
      </c>
      <c r="Y792" t="s">
        <v>235</v>
      </c>
      <c r="Z792" t="s">
        <v>236</v>
      </c>
      <c r="AA792" t="s">
        <v>253</v>
      </c>
      <c r="AB792" t="s">
        <v>121</v>
      </c>
      <c r="AC792" s="235">
        <v>-600000</v>
      </c>
      <c r="AD792" s="235">
        <v>-20711.295166389551</v>
      </c>
      <c r="AE792">
        <v>0</v>
      </c>
      <c r="AF792">
        <v>0</v>
      </c>
      <c r="AG792">
        <v>0</v>
      </c>
      <c r="AH792" s="235">
        <v>-11464.408317126072</v>
      </c>
      <c r="AI792">
        <v>226</v>
      </c>
      <c r="AJ792" t="s">
        <v>256</v>
      </c>
      <c r="AK792">
        <v>0</v>
      </c>
      <c r="AL792">
        <v>0</v>
      </c>
      <c r="AM792">
        <v>0</v>
      </c>
    </row>
    <row r="793" spans="1:39" x14ac:dyDescent="0.25">
      <c r="A793" t="s">
        <v>601</v>
      </c>
      <c r="B793" t="s">
        <v>613</v>
      </c>
      <c r="C793" t="s">
        <v>255</v>
      </c>
      <c r="D793" t="s">
        <v>234</v>
      </c>
      <c r="E793" t="s">
        <v>20</v>
      </c>
      <c r="F793" t="s">
        <v>383</v>
      </c>
      <c r="G793" t="s">
        <v>269</v>
      </c>
      <c r="H793" t="s">
        <v>254</v>
      </c>
      <c r="I793" t="s">
        <v>242</v>
      </c>
      <c r="J793" t="s">
        <v>235</v>
      </c>
      <c r="K793" s="380">
        <v>36861</v>
      </c>
      <c r="L793" s="235">
        <v>-94999.277059814282</v>
      </c>
      <c r="M793" s="380">
        <v>36859</v>
      </c>
      <c r="N793" t="s">
        <v>1</v>
      </c>
      <c r="O793">
        <v>-0.5</v>
      </c>
      <c r="P793">
        <v>0</v>
      </c>
      <c r="Q793">
        <v>0</v>
      </c>
      <c r="R793">
        <v>0</v>
      </c>
      <c r="S793">
        <v>0</v>
      </c>
      <c r="T793" t="s">
        <v>253</v>
      </c>
      <c r="U793" t="s">
        <v>9</v>
      </c>
      <c r="V793" t="s">
        <v>253</v>
      </c>
      <c r="W793" t="s">
        <v>132</v>
      </c>
      <c r="X793" t="s">
        <v>253</v>
      </c>
      <c r="Y793" t="s">
        <v>235</v>
      </c>
      <c r="Z793" t="s">
        <v>236</v>
      </c>
      <c r="AA793" t="s">
        <v>253</v>
      </c>
      <c r="AB793" t="s">
        <v>121</v>
      </c>
      <c r="AC793" s="235">
        <v>-620000</v>
      </c>
      <c r="AD793" s="235">
        <v>-25379.229181437753</v>
      </c>
      <c r="AE793">
        <v>0</v>
      </c>
      <c r="AF793">
        <v>0</v>
      </c>
      <c r="AG793">
        <v>0</v>
      </c>
      <c r="AH793" s="235">
        <v>-10168.330823965822</v>
      </c>
      <c r="AI793">
        <v>226</v>
      </c>
      <c r="AJ793" t="s">
        <v>256</v>
      </c>
      <c r="AK793">
        <v>0</v>
      </c>
      <c r="AL793">
        <v>0</v>
      </c>
      <c r="AM793">
        <v>0</v>
      </c>
    </row>
    <row r="794" spans="1:39" x14ac:dyDescent="0.25">
      <c r="A794" t="s">
        <v>601</v>
      </c>
      <c r="B794" t="s">
        <v>613</v>
      </c>
      <c r="C794" t="s">
        <v>255</v>
      </c>
      <c r="D794" t="s">
        <v>234</v>
      </c>
      <c r="E794" t="s">
        <v>20</v>
      </c>
      <c r="F794" t="s">
        <v>383</v>
      </c>
      <c r="G794" t="s">
        <v>269</v>
      </c>
      <c r="H794" t="s">
        <v>254</v>
      </c>
      <c r="I794" t="s">
        <v>242</v>
      </c>
      <c r="J794" t="s">
        <v>235</v>
      </c>
      <c r="K794" s="380">
        <v>36892</v>
      </c>
      <c r="L794" s="235">
        <v>-115258.37254906568</v>
      </c>
      <c r="M794" s="380">
        <v>36888</v>
      </c>
      <c r="N794" t="s">
        <v>1</v>
      </c>
      <c r="O794">
        <v>-0.5</v>
      </c>
      <c r="P794">
        <v>0</v>
      </c>
      <c r="Q794">
        <v>0</v>
      </c>
      <c r="R794">
        <v>0</v>
      </c>
      <c r="S794">
        <v>0</v>
      </c>
      <c r="T794" t="s">
        <v>253</v>
      </c>
      <c r="U794" t="s">
        <v>9</v>
      </c>
      <c r="V794" t="s">
        <v>253</v>
      </c>
      <c r="W794" t="s">
        <v>132</v>
      </c>
      <c r="X794" t="s">
        <v>253</v>
      </c>
      <c r="Y794" t="s">
        <v>235</v>
      </c>
      <c r="Z794" t="s">
        <v>236</v>
      </c>
      <c r="AA794" t="s">
        <v>253</v>
      </c>
      <c r="AB794" t="s">
        <v>121</v>
      </c>
      <c r="AC794" s="235">
        <v>-620000</v>
      </c>
      <c r="AD794" s="235">
        <v>-29446.558490434632</v>
      </c>
      <c r="AE794">
        <v>0</v>
      </c>
      <c r="AF794">
        <v>0</v>
      </c>
      <c r="AG794">
        <v>0</v>
      </c>
      <c r="AH794" s="235">
        <v>-10666.112270405312</v>
      </c>
      <c r="AI794">
        <v>226</v>
      </c>
      <c r="AJ794" t="s">
        <v>256</v>
      </c>
      <c r="AK794">
        <v>0</v>
      </c>
      <c r="AL794">
        <v>0</v>
      </c>
      <c r="AM794">
        <v>0</v>
      </c>
    </row>
    <row r="795" spans="1:39" x14ac:dyDescent="0.25">
      <c r="A795" t="s">
        <v>601</v>
      </c>
      <c r="B795" t="s">
        <v>613</v>
      </c>
      <c r="C795" t="s">
        <v>255</v>
      </c>
      <c r="D795" t="s">
        <v>234</v>
      </c>
      <c r="E795" t="s">
        <v>20</v>
      </c>
      <c r="F795" t="s">
        <v>383</v>
      </c>
      <c r="G795" t="s">
        <v>269</v>
      </c>
      <c r="H795" t="s">
        <v>254</v>
      </c>
      <c r="I795" t="s">
        <v>242</v>
      </c>
      <c r="J795" t="s">
        <v>235</v>
      </c>
      <c r="K795" s="380">
        <v>36923</v>
      </c>
      <c r="L795" s="235">
        <v>-114024.04049212708</v>
      </c>
      <c r="M795" s="380">
        <v>36921</v>
      </c>
      <c r="N795" t="s">
        <v>1</v>
      </c>
      <c r="O795">
        <v>-0.5</v>
      </c>
      <c r="P795">
        <v>0</v>
      </c>
      <c r="Q795">
        <v>0</v>
      </c>
      <c r="R795">
        <v>0</v>
      </c>
      <c r="S795">
        <v>0</v>
      </c>
      <c r="T795" t="s">
        <v>253</v>
      </c>
      <c r="U795" t="s">
        <v>9</v>
      </c>
      <c r="V795" t="s">
        <v>253</v>
      </c>
      <c r="W795" t="s">
        <v>132</v>
      </c>
      <c r="X795" t="s">
        <v>253</v>
      </c>
      <c r="Y795" t="s">
        <v>235</v>
      </c>
      <c r="Z795" t="s">
        <v>236</v>
      </c>
      <c r="AA795" t="s">
        <v>253</v>
      </c>
      <c r="AB795" t="s">
        <v>121</v>
      </c>
      <c r="AC795" s="235">
        <v>-560000</v>
      </c>
      <c r="AD795" s="235">
        <v>-29265.395425994851</v>
      </c>
      <c r="AE795">
        <v>0</v>
      </c>
      <c r="AF795">
        <v>0</v>
      </c>
      <c r="AG795">
        <v>0</v>
      </c>
      <c r="AH795" s="235">
        <v>-10003.742911653506</v>
      </c>
      <c r="AI795">
        <v>226</v>
      </c>
      <c r="AJ795" t="s">
        <v>256</v>
      </c>
      <c r="AK795">
        <v>0</v>
      </c>
      <c r="AL795">
        <v>0</v>
      </c>
      <c r="AM795">
        <v>0</v>
      </c>
    </row>
    <row r="796" spans="1:39" x14ac:dyDescent="0.25">
      <c r="A796" t="s">
        <v>601</v>
      </c>
      <c r="B796" t="s">
        <v>613</v>
      </c>
      <c r="C796" t="s">
        <v>255</v>
      </c>
      <c r="D796" t="s">
        <v>234</v>
      </c>
      <c r="E796" t="s">
        <v>20</v>
      </c>
      <c r="F796" t="s">
        <v>383</v>
      </c>
      <c r="G796" t="s">
        <v>269</v>
      </c>
      <c r="H796" t="s">
        <v>254</v>
      </c>
      <c r="I796" t="s">
        <v>242</v>
      </c>
      <c r="J796" t="s">
        <v>235</v>
      </c>
      <c r="K796" s="380">
        <v>36951</v>
      </c>
      <c r="L796" s="235">
        <v>-116041.74956694957</v>
      </c>
      <c r="M796" s="380">
        <v>36949</v>
      </c>
      <c r="N796" t="s">
        <v>1</v>
      </c>
      <c r="O796">
        <v>-0.5</v>
      </c>
      <c r="P796">
        <v>0</v>
      </c>
      <c r="Q796">
        <v>0</v>
      </c>
      <c r="R796">
        <v>0</v>
      </c>
      <c r="S796">
        <v>0</v>
      </c>
      <c r="T796" t="s">
        <v>253</v>
      </c>
      <c r="U796" t="s">
        <v>9</v>
      </c>
      <c r="V796" t="s">
        <v>253</v>
      </c>
      <c r="W796" t="s">
        <v>132</v>
      </c>
      <c r="X796" t="s">
        <v>253</v>
      </c>
      <c r="Y796" t="s">
        <v>235</v>
      </c>
      <c r="Z796" t="s">
        <v>236</v>
      </c>
      <c r="AA796" t="s">
        <v>253</v>
      </c>
      <c r="AB796" t="s">
        <v>121</v>
      </c>
      <c r="AC796" s="235">
        <v>-620000</v>
      </c>
      <c r="AD796" s="235">
        <v>-31331.164041905373</v>
      </c>
      <c r="AE796">
        <v>0</v>
      </c>
      <c r="AF796">
        <v>0</v>
      </c>
      <c r="AG796">
        <v>0</v>
      </c>
      <c r="AH796" s="235">
        <v>-11078.855033120708</v>
      </c>
      <c r="AI796">
        <v>226</v>
      </c>
      <c r="AJ796" t="s">
        <v>256</v>
      </c>
      <c r="AK796">
        <v>0</v>
      </c>
      <c r="AL796">
        <v>0</v>
      </c>
      <c r="AM796">
        <v>0</v>
      </c>
    </row>
    <row r="797" spans="1:39" x14ac:dyDescent="0.25">
      <c r="A797" t="s">
        <v>601</v>
      </c>
      <c r="B797" t="s">
        <v>614</v>
      </c>
      <c r="C797" t="s">
        <v>255</v>
      </c>
      <c r="D797" t="s">
        <v>234</v>
      </c>
      <c r="E797" t="s">
        <v>20</v>
      </c>
      <c r="F797" t="s">
        <v>348</v>
      </c>
      <c r="G797" t="s">
        <v>269</v>
      </c>
      <c r="H797" t="s">
        <v>254</v>
      </c>
      <c r="I797" t="s">
        <v>242</v>
      </c>
      <c r="J797" t="s">
        <v>235</v>
      </c>
      <c r="K797" s="380">
        <v>36831</v>
      </c>
      <c r="L797" s="235">
        <v>-7049.2455730318743</v>
      </c>
      <c r="M797" s="380">
        <v>36829</v>
      </c>
      <c r="N797" t="s">
        <v>21</v>
      </c>
      <c r="O797">
        <v>0.2</v>
      </c>
      <c r="P797">
        <v>0</v>
      </c>
      <c r="Q797">
        <v>0</v>
      </c>
      <c r="R797">
        <v>0</v>
      </c>
      <c r="S797">
        <v>0</v>
      </c>
      <c r="T797" t="s">
        <v>253</v>
      </c>
      <c r="U797" t="s">
        <v>600</v>
      </c>
      <c r="V797" t="s">
        <v>253</v>
      </c>
      <c r="W797" t="s">
        <v>132</v>
      </c>
      <c r="X797" t="s">
        <v>253</v>
      </c>
      <c r="Y797" t="s">
        <v>235</v>
      </c>
      <c r="Z797" t="s">
        <v>236</v>
      </c>
      <c r="AA797" t="s">
        <v>253</v>
      </c>
      <c r="AB797" t="s">
        <v>121</v>
      </c>
      <c r="AC797" s="235">
        <v>-1000000</v>
      </c>
      <c r="AD797" s="235">
        <v>-3784.4939019092417</v>
      </c>
      <c r="AE797">
        <v>0</v>
      </c>
      <c r="AF797">
        <v>0</v>
      </c>
      <c r="AG797">
        <v>0</v>
      </c>
      <c r="AH797" s="235">
        <v>-205.8422991265561</v>
      </c>
      <c r="AI797">
        <v>226</v>
      </c>
      <c r="AJ797" t="s">
        <v>256</v>
      </c>
      <c r="AK797">
        <v>0</v>
      </c>
      <c r="AL797">
        <v>0</v>
      </c>
      <c r="AM797">
        <v>0</v>
      </c>
    </row>
    <row r="798" spans="1:39" x14ac:dyDescent="0.25">
      <c r="A798" t="s">
        <v>601</v>
      </c>
      <c r="B798" t="s">
        <v>614</v>
      </c>
      <c r="C798" t="s">
        <v>255</v>
      </c>
      <c r="D798" t="s">
        <v>234</v>
      </c>
      <c r="E798" t="s">
        <v>20</v>
      </c>
      <c r="F798" t="s">
        <v>348</v>
      </c>
      <c r="G798" t="s">
        <v>269</v>
      </c>
      <c r="H798" t="s">
        <v>254</v>
      </c>
      <c r="I798" t="s">
        <v>242</v>
      </c>
      <c r="J798" t="s">
        <v>235</v>
      </c>
      <c r="K798" s="380">
        <v>36861</v>
      </c>
      <c r="L798" s="235">
        <v>-15540.517320006606</v>
      </c>
      <c r="M798" s="380">
        <v>36859</v>
      </c>
      <c r="N798" t="s">
        <v>21</v>
      </c>
      <c r="O798">
        <v>0.2</v>
      </c>
      <c r="P798">
        <v>0</v>
      </c>
      <c r="Q798">
        <v>0</v>
      </c>
      <c r="R798">
        <v>0</v>
      </c>
      <c r="S798">
        <v>0</v>
      </c>
      <c r="T798" t="s">
        <v>253</v>
      </c>
      <c r="U798" t="s">
        <v>600</v>
      </c>
      <c r="V798" t="s">
        <v>253</v>
      </c>
      <c r="W798" t="s">
        <v>132</v>
      </c>
      <c r="X798" t="s">
        <v>253</v>
      </c>
      <c r="Y798" t="s">
        <v>235</v>
      </c>
      <c r="Z798" t="s">
        <v>236</v>
      </c>
      <c r="AA798" t="s">
        <v>253</v>
      </c>
      <c r="AB798" t="s">
        <v>121</v>
      </c>
      <c r="AC798" s="235">
        <v>-1000000</v>
      </c>
      <c r="AD798" s="235">
        <v>-6169.7623906164954</v>
      </c>
      <c r="AE798">
        <v>0</v>
      </c>
      <c r="AF798">
        <v>0</v>
      </c>
      <c r="AG798">
        <v>0</v>
      </c>
      <c r="AH798" s="235">
        <v>-311.08383681910709</v>
      </c>
      <c r="AI798">
        <v>226</v>
      </c>
      <c r="AJ798" t="s">
        <v>256</v>
      </c>
      <c r="AK798">
        <v>0</v>
      </c>
      <c r="AL798">
        <v>0</v>
      </c>
      <c r="AM798">
        <v>0</v>
      </c>
    </row>
    <row r="799" spans="1:39" x14ac:dyDescent="0.25">
      <c r="A799" t="s">
        <v>601</v>
      </c>
      <c r="B799" t="s">
        <v>614</v>
      </c>
      <c r="C799" t="s">
        <v>255</v>
      </c>
      <c r="D799" t="s">
        <v>234</v>
      </c>
      <c r="E799" t="s">
        <v>20</v>
      </c>
      <c r="F799" t="s">
        <v>348</v>
      </c>
      <c r="G799" t="s">
        <v>269</v>
      </c>
      <c r="H799" t="s">
        <v>254</v>
      </c>
      <c r="I799" t="s">
        <v>242</v>
      </c>
      <c r="J799" t="s">
        <v>235</v>
      </c>
      <c r="K799" s="380">
        <v>36892</v>
      </c>
      <c r="L799" s="235">
        <v>-28711.89871773521</v>
      </c>
      <c r="M799" s="380">
        <v>36888</v>
      </c>
      <c r="N799" t="s">
        <v>21</v>
      </c>
      <c r="O799">
        <v>0.2</v>
      </c>
      <c r="P799">
        <v>0</v>
      </c>
      <c r="Q799">
        <v>0</v>
      </c>
      <c r="R799">
        <v>0</v>
      </c>
      <c r="S799">
        <v>0</v>
      </c>
      <c r="T799" t="s">
        <v>253</v>
      </c>
      <c r="U799" t="s">
        <v>600</v>
      </c>
      <c r="V799" t="s">
        <v>253</v>
      </c>
      <c r="W799" t="s">
        <v>132</v>
      </c>
      <c r="X799" t="s">
        <v>253</v>
      </c>
      <c r="Y799" t="s">
        <v>235</v>
      </c>
      <c r="Z799" t="s">
        <v>236</v>
      </c>
      <c r="AA799" t="s">
        <v>253</v>
      </c>
      <c r="AB799" t="s">
        <v>121</v>
      </c>
      <c r="AC799" s="235">
        <v>-1000000</v>
      </c>
      <c r="AD799" s="235">
        <v>-8458.0881351326243</v>
      </c>
      <c r="AE799">
        <v>0</v>
      </c>
      <c r="AF799">
        <v>0</v>
      </c>
      <c r="AG799">
        <v>0</v>
      </c>
      <c r="AH799" s="235">
        <v>-407.03740583587569</v>
      </c>
      <c r="AI799">
        <v>226</v>
      </c>
      <c r="AJ799" t="s">
        <v>256</v>
      </c>
      <c r="AK799">
        <v>0</v>
      </c>
      <c r="AL799">
        <v>0</v>
      </c>
      <c r="AM799">
        <v>0</v>
      </c>
    </row>
    <row r="800" spans="1:39" x14ac:dyDescent="0.25">
      <c r="A800" t="s">
        <v>601</v>
      </c>
      <c r="B800" t="s">
        <v>614</v>
      </c>
      <c r="C800" t="s">
        <v>255</v>
      </c>
      <c r="D800" t="s">
        <v>234</v>
      </c>
      <c r="E800" t="s">
        <v>20</v>
      </c>
      <c r="F800" t="s">
        <v>348</v>
      </c>
      <c r="G800" t="s">
        <v>269</v>
      </c>
      <c r="H800" t="s">
        <v>254</v>
      </c>
      <c r="I800" t="s">
        <v>242</v>
      </c>
      <c r="J800" t="s">
        <v>235</v>
      </c>
      <c r="K800" s="380">
        <v>36923</v>
      </c>
      <c r="L800" s="235">
        <v>-34991.207679824947</v>
      </c>
      <c r="M800" s="380">
        <v>36921</v>
      </c>
      <c r="N800" t="s">
        <v>21</v>
      </c>
      <c r="O800">
        <v>0.2</v>
      </c>
      <c r="P800">
        <v>0</v>
      </c>
      <c r="Q800">
        <v>0</v>
      </c>
      <c r="R800">
        <v>0</v>
      </c>
      <c r="S800">
        <v>0</v>
      </c>
      <c r="T800" t="s">
        <v>253</v>
      </c>
      <c r="U800" t="s">
        <v>600</v>
      </c>
      <c r="V800" t="s">
        <v>253</v>
      </c>
      <c r="W800" t="s">
        <v>132</v>
      </c>
      <c r="X800" t="s">
        <v>253</v>
      </c>
      <c r="Y800" t="s">
        <v>235</v>
      </c>
      <c r="Z800" t="s">
        <v>236</v>
      </c>
      <c r="AA800" t="s">
        <v>253</v>
      </c>
      <c r="AB800" t="s">
        <v>121</v>
      </c>
      <c r="AC800" s="235">
        <v>-1000000</v>
      </c>
      <c r="AD800" s="235">
        <v>-9589.1184383253567</v>
      </c>
      <c r="AE800">
        <v>0</v>
      </c>
      <c r="AF800">
        <v>0</v>
      </c>
      <c r="AG800">
        <v>0</v>
      </c>
      <c r="AH800" s="235">
        <v>-459.96601340670168</v>
      </c>
      <c r="AI800">
        <v>226</v>
      </c>
      <c r="AJ800" t="s">
        <v>256</v>
      </c>
      <c r="AK800">
        <v>0</v>
      </c>
      <c r="AL800">
        <v>0</v>
      </c>
      <c r="AM800">
        <v>0</v>
      </c>
    </row>
    <row r="801" spans="1:39" x14ac:dyDescent="0.25">
      <c r="A801" t="s">
        <v>601</v>
      </c>
      <c r="B801" t="s">
        <v>614</v>
      </c>
      <c r="C801" t="s">
        <v>255</v>
      </c>
      <c r="D801" t="s">
        <v>234</v>
      </c>
      <c r="E801" t="s">
        <v>20</v>
      </c>
      <c r="F801" t="s">
        <v>348</v>
      </c>
      <c r="G801" t="s">
        <v>269</v>
      </c>
      <c r="H801" t="s">
        <v>254</v>
      </c>
      <c r="I801" t="s">
        <v>242</v>
      </c>
      <c r="J801" t="s">
        <v>235</v>
      </c>
      <c r="K801" s="380">
        <v>36951</v>
      </c>
      <c r="L801" s="235">
        <v>-26314.057292236681</v>
      </c>
      <c r="M801" s="380">
        <v>36949</v>
      </c>
      <c r="N801" t="s">
        <v>21</v>
      </c>
      <c r="O801">
        <v>0.2</v>
      </c>
      <c r="P801">
        <v>0</v>
      </c>
      <c r="Q801">
        <v>0</v>
      </c>
      <c r="R801">
        <v>0</v>
      </c>
      <c r="S801">
        <v>0</v>
      </c>
      <c r="T801" t="s">
        <v>253</v>
      </c>
      <c r="U801" t="s">
        <v>600</v>
      </c>
      <c r="V801" t="s">
        <v>253</v>
      </c>
      <c r="W801" t="s">
        <v>132</v>
      </c>
      <c r="X801" t="s">
        <v>253</v>
      </c>
      <c r="Y801" t="s">
        <v>235</v>
      </c>
      <c r="Z801" t="s">
        <v>236</v>
      </c>
      <c r="AA801" t="s">
        <v>253</v>
      </c>
      <c r="AB801" t="s">
        <v>121</v>
      </c>
      <c r="AC801" s="235">
        <v>-1000000</v>
      </c>
      <c r="AD801" s="235">
        <v>-8714.597532602842</v>
      </c>
      <c r="AE801">
        <v>0</v>
      </c>
      <c r="AF801">
        <v>0</v>
      </c>
      <c r="AG801">
        <v>0</v>
      </c>
      <c r="AH801" s="235">
        <v>-442.50962995838927</v>
      </c>
      <c r="AI801">
        <v>226</v>
      </c>
      <c r="AJ801" t="s">
        <v>256</v>
      </c>
      <c r="AK801">
        <v>0</v>
      </c>
      <c r="AL801">
        <v>0</v>
      </c>
      <c r="AM801">
        <v>0</v>
      </c>
    </row>
    <row r="802" spans="1:39" x14ac:dyDescent="0.25">
      <c r="A802" t="s">
        <v>601</v>
      </c>
      <c r="B802" t="s">
        <v>615</v>
      </c>
      <c r="C802" t="s">
        <v>255</v>
      </c>
      <c r="D802" t="s">
        <v>234</v>
      </c>
      <c r="E802" t="s">
        <v>20</v>
      </c>
      <c r="F802" t="s">
        <v>399</v>
      </c>
      <c r="G802" t="s">
        <v>269</v>
      </c>
      <c r="H802" t="s">
        <v>254</v>
      </c>
      <c r="I802" t="s">
        <v>242</v>
      </c>
      <c r="J802" t="s">
        <v>235</v>
      </c>
      <c r="K802" s="380">
        <v>36831</v>
      </c>
      <c r="L802" s="235">
        <v>14939.686842902242</v>
      </c>
      <c r="M802" s="380">
        <v>36829</v>
      </c>
      <c r="N802" t="s">
        <v>1</v>
      </c>
      <c r="O802">
        <v>0.11</v>
      </c>
      <c r="P802">
        <v>0</v>
      </c>
      <c r="Q802">
        <v>0</v>
      </c>
      <c r="R802">
        <v>0</v>
      </c>
      <c r="S802">
        <v>0</v>
      </c>
      <c r="T802" t="s">
        <v>253</v>
      </c>
      <c r="U802" t="s">
        <v>600</v>
      </c>
      <c r="V802" t="s">
        <v>253</v>
      </c>
      <c r="W802" t="s">
        <v>132</v>
      </c>
      <c r="X802" t="s">
        <v>253</v>
      </c>
      <c r="Y802" t="s">
        <v>235</v>
      </c>
      <c r="Z802" t="s">
        <v>236</v>
      </c>
      <c r="AA802" t="s">
        <v>253</v>
      </c>
      <c r="AB802" t="s">
        <v>121</v>
      </c>
      <c r="AC802" s="235">
        <v>300000</v>
      </c>
      <c r="AD802" s="235">
        <v>2114.2458726876939</v>
      </c>
      <c r="AE802">
        <v>0</v>
      </c>
      <c r="AF802">
        <v>0</v>
      </c>
      <c r="AG802">
        <v>0</v>
      </c>
      <c r="AH802" s="235">
        <v>113.67841680227684</v>
      </c>
      <c r="AI802">
        <v>226</v>
      </c>
      <c r="AJ802" t="s">
        <v>256</v>
      </c>
      <c r="AK802">
        <v>0</v>
      </c>
      <c r="AL802">
        <v>0</v>
      </c>
      <c r="AM802">
        <v>0</v>
      </c>
    </row>
    <row r="803" spans="1:39" x14ac:dyDescent="0.25">
      <c r="A803" t="s">
        <v>601</v>
      </c>
      <c r="B803" t="s">
        <v>615</v>
      </c>
      <c r="C803" t="s">
        <v>255</v>
      </c>
      <c r="D803" t="s">
        <v>234</v>
      </c>
      <c r="E803" t="s">
        <v>20</v>
      </c>
      <c r="F803" t="s">
        <v>399</v>
      </c>
      <c r="G803" t="s">
        <v>269</v>
      </c>
      <c r="H803" t="s">
        <v>254</v>
      </c>
      <c r="I803" t="s">
        <v>242</v>
      </c>
      <c r="J803" t="s">
        <v>235</v>
      </c>
      <c r="K803" s="380">
        <v>36861</v>
      </c>
      <c r="L803" s="235">
        <v>15994.062654113444</v>
      </c>
      <c r="M803" s="380">
        <v>36859</v>
      </c>
      <c r="N803" t="s">
        <v>1</v>
      </c>
      <c r="O803">
        <v>0.11</v>
      </c>
      <c r="P803">
        <v>0</v>
      </c>
      <c r="Q803">
        <v>0</v>
      </c>
      <c r="R803">
        <v>0</v>
      </c>
      <c r="S803">
        <v>0</v>
      </c>
      <c r="T803" t="s">
        <v>253</v>
      </c>
      <c r="U803" t="s">
        <v>600</v>
      </c>
      <c r="V803" t="s">
        <v>253</v>
      </c>
      <c r="W803" t="s">
        <v>132</v>
      </c>
      <c r="X803" t="s">
        <v>253</v>
      </c>
      <c r="Y803" t="s">
        <v>235</v>
      </c>
      <c r="Z803" t="s">
        <v>236</v>
      </c>
      <c r="AA803" t="s">
        <v>253</v>
      </c>
      <c r="AB803" t="s">
        <v>121</v>
      </c>
      <c r="AC803" s="235">
        <v>310000</v>
      </c>
      <c r="AD803" s="235">
        <v>2726.4039375555876</v>
      </c>
      <c r="AE803">
        <v>0</v>
      </c>
      <c r="AF803">
        <v>0</v>
      </c>
      <c r="AG803">
        <v>0</v>
      </c>
      <c r="AH803" s="235">
        <v>137.21978191457856</v>
      </c>
      <c r="AI803">
        <v>226</v>
      </c>
      <c r="AJ803" t="s">
        <v>256</v>
      </c>
      <c r="AK803">
        <v>0</v>
      </c>
      <c r="AL803">
        <v>0</v>
      </c>
      <c r="AM803">
        <v>0</v>
      </c>
    </row>
    <row r="804" spans="1:39" x14ac:dyDescent="0.25">
      <c r="A804" t="s">
        <v>601</v>
      </c>
      <c r="B804" t="s">
        <v>615</v>
      </c>
      <c r="C804" t="s">
        <v>255</v>
      </c>
      <c r="D804" t="s">
        <v>234</v>
      </c>
      <c r="E804" t="s">
        <v>20</v>
      </c>
      <c r="F804" t="s">
        <v>399</v>
      </c>
      <c r="G804" t="s">
        <v>269</v>
      </c>
      <c r="H804" t="s">
        <v>254</v>
      </c>
      <c r="I804" t="s">
        <v>242</v>
      </c>
      <c r="J804" t="s">
        <v>235</v>
      </c>
      <c r="K804" s="380">
        <v>36892</v>
      </c>
      <c r="L804" s="235">
        <v>13936.513340406045</v>
      </c>
      <c r="M804" s="380">
        <v>36888</v>
      </c>
      <c r="N804" t="s">
        <v>1</v>
      </c>
      <c r="O804">
        <v>0.11</v>
      </c>
      <c r="P804">
        <v>0</v>
      </c>
      <c r="Q804">
        <v>0</v>
      </c>
      <c r="R804">
        <v>0</v>
      </c>
      <c r="S804">
        <v>0</v>
      </c>
      <c r="T804" t="s">
        <v>253</v>
      </c>
      <c r="U804" t="s">
        <v>600</v>
      </c>
      <c r="V804" t="s">
        <v>253</v>
      </c>
      <c r="W804" t="s">
        <v>132</v>
      </c>
      <c r="X804" t="s">
        <v>253</v>
      </c>
      <c r="Y804" t="s">
        <v>235</v>
      </c>
      <c r="Z804" t="s">
        <v>236</v>
      </c>
      <c r="AA804" t="s">
        <v>253</v>
      </c>
      <c r="AB804" t="s">
        <v>121</v>
      </c>
      <c r="AC804" s="235">
        <v>310000</v>
      </c>
      <c r="AD804" s="235">
        <v>3106.2800115790742</v>
      </c>
      <c r="AE804">
        <v>0</v>
      </c>
      <c r="AF804">
        <v>0</v>
      </c>
      <c r="AG804">
        <v>0</v>
      </c>
      <c r="AH804" s="235">
        <v>149.52930651286624</v>
      </c>
      <c r="AI804">
        <v>226</v>
      </c>
      <c r="AJ804" t="s">
        <v>256</v>
      </c>
      <c r="AK804">
        <v>0</v>
      </c>
      <c r="AL804">
        <v>0</v>
      </c>
      <c r="AM804">
        <v>0</v>
      </c>
    </row>
    <row r="805" spans="1:39" x14ac:dyDescent="0.25">
      <c r="A805" t="s">
        <v>601</v>
      </c>
      <c r="B805" t="s">
        <v>615</v>
      </c>
      <c r="C805" t="s">
        <v>255</v>
      </c>
      <c r="D805" t="s">
        <v>234</v>
      </c>
      <c r="E805" t="s">
        <v>20</v>
      </c>
      <c r="F805" t="s">
        <v>399</v>
      </c>
      <c r="G805" t="s">
        <v>269</v>
      </c>
      <c r="H805" t="s">
        <v>254</v>
      </c>
      <c r="I805" t="s">
        <v>242</v>
      </c>
      <c r="J805" t="s">
        <v>235</v>
      </c>
      <c r="K805" s="380">
        <v>36923</v>
      </c>
      <c r="L805" s="235">
        <v>12112.78486203005</v>
      </c>
      <c r="M805" s="380">
        <v>36921</v>
      </c>
      <c r="N805" t="s">
        <v>1</v>
      </c>
      <c r="O805">
        <v>0.11</v>
      </c>
      <c r="P805">
        <v>0</v>
      </c>
      <c r="Q805">
        <v>0</v>
      </c>
      <c r="R805">
        <v>0</v>
      </c>
      <c r="S805">
        <v>0</v>
      </c>
      <c r="T805" t="s">
        <v>253</v>
      </c>
      <c r="U805" t="s">
        <v>600</v>
      </c>
      <c r="V805" t="s">
        <v>253</v>
      </c>
      <c r="W805" t="s">
        <v>132</v>
      </c>
      <c r="X805" t="s">
        <v>253</v>
      </c>
      <c r="Y805" t="s">
        <v>235</v>
      </c>
      <c r="Z805" t="s">
        <v>236</v>
      </c>
      <c r="AA805" t="s">
        <v>253</v>
      </c>
      <c r="AB805" t="s">
        <v>121</v>
      </c>
      <c r="AC805" s="235">
        <v>280000</v>
      </c>
      <c r="AD805" s="235">
        <v>3029.9131092537718</v>
      </c>
      <c r="AE805">
        <v>0</v>
      </c>
      <c r="AF805">
        <v>0</v>
      </c>
      <c r="AG805">
        <v>0</v>
      </c>
      <c r="AH805" s="235">
        <v>145.42816326130742</v>
      </c>
      <c r="AI805">
        <v>226</v>
      </c>
      <c r="AJ805" t="s">
        <v>256</v>
      </c>
      <c r="AK805">
        <v>0</v>
      </c>
      <c r="AL805">
        <v>0</v>
      </c>
      <c r="AM805">
        <v>0</v>
      </c>
    </row>
    <row r="806" spans="1:39" x14ac:dyDescent="0.25">
      <c r="A806" t="s">
        <v>601</v>
      </c>
      <c r="B806" t="s">
        <v>615</v>
      </c>
      <c r="C806" t="s">
        <v>255</v>
      </c>
      <c r="D806" t="s">
        <v>234</v>
      </c>
      <c r="E806" t="s">
        <v>20</v>
      </c>
      <c r="F806" t="s">
        <v>399</v>
      </c>
      <c r="G806" t="s">
        <v>269</v>
      </c>
      <c r="H806" t="s">
        <v>254</v>
      </c>
      <c r="I806" t="s">
        <v>242</v>
      </c>
      <c r="J806" t="s">
        <v>235</v>
      </c>
      <c r="K806" s="380">
        <v>36951</v>
      </c>
      <c r="L806" s="235">
        <v>14023.127398223036</v>
      </c>
      <c r="M806" s="380">
        <v>36949</v>
      </c>
      <c r="N806" t="s">
        <v>1</v>
      </c>
      <c r="O806">
        <v>0.11</v>
      </c>
      <c r="P806">
        <v>0</v>
      </c>
      <c r="Q806">
        <v>0</v>
      </c>
      <c r="R806">
        <v>0</v>
      </c>
      <c r="S806">
        <v>0</v>
      </c>
      <c r="T806" t="s">
        <v>253</v>
      </c>
      <c r="U806" t="s">
        <v>600</v>
      </c>
      <c r="V806" t="s">
        <v>253</v>
      </c>
      <c r="W806" t="s">
        <v>132</v>
      </c>
      <c r="X806" t="s">
        <v>253</v>
      </c>
      <c r="Y806" t="s">
        <v>235</v>
      </c>
      <c r="Z806" t="s">
        <v>236</v>
      </c>
      <c r="AA806" t="s">
        <v>253</v>
      </c>
      <c r="AB806" t="s">
        <v>121</v>
      </c>
      <c r="AC806" s="235">
        <v>310000</v>
      </c>
      <c r="AD806" s="235">
        <v>3290.7735193136614</v>
      </c>
      <c r="AE806">
        <v>0</v>
      </c>
      <c r="AF806">
        <v>0</v>
      </c>
      <c r="AG806">
        <v>0</v>
      </c>
      <c r="AH806" s="235">
        <v>167.41746646313368</v>
      </c>
      <c r="AI806">
        <v>226</v>
      </c>
      <c r="AJ806" t="s">
        <v>256</v>
      </c>
      <c r="AK806">
        <v>0</v>
      </c>
      <c r="AL806">
        <v>0</v>
      </c>
      <c r="AM806">
        <v>0</v>
      </c>
    </row>
    <row r="807" spans="1:39" x14ac:dyDescent="0.25">
      <c r="A807" t="s">
        <v>601</v>
      </c>
      <c r="B807" t="s">
        <v>616</v>
      </c>
      <c r="C807" t="s">
        <v>255</v>
      </c>
      <c r="D807" t="s">
        <v>234</v>
      </c>
      <c r="E807" t="s">
        <v>20</v>
      </c>
      <c r="F807" t="s">
        <v>399</v>
      </c>
      <c r="G807" t="s">
        <v>269</v>
      </c>
      <c r="H807" t="s">
        <v>254</v>
      </c>
      <c r="I807" t="s">
        <v>242</v>
      </c>
      <c r="J807" t="s">
        <v>235</v>
      </c>
      <c r="K807" s="380">
        <v>36831</v>
      </c>
      <c r="L807" s="235">
        <v>14939.686842902242</v>
      </c>
      <c r="M807" s="380">
        <v>36829</v>
      </c>
      <c r="N807" t="s">
        <v>1</v>
      </c>
      <c r="O807">
        <v>0.11</v>
      </c>
      <c r="P807">
        <v>0</v>
      </c>
      <c r="Q807">
        <v>0</v>
      </c>
      <c r="R807">
        <v>0</v>
      </c>
      <c r="S807">
        <v>0</v>
      </c>
      <c r="T807" t="s">
        <v>253</v>
      </c>
      <c r="U807" t="s">
        <v>600</v>
      </c>
      <c r="V807" t="s">
        <v>253</v>
      </c>
      <c r="W807" t="s">
        <v>132</v>
      </c>
      <c r="X807" t="s">
        <v>253</v>
      </c>
      <c r="Y807" t="s">
        <v>235</v>
      </c>
      <c r="Z807" t="s">
        <v>236</v>
      </c>
      <c r="AA807" t="s">
        <v>253</v>
      </c>
      <c r="AB807" t="s">
        <v>121</v>
      </c>
      <c r="AC807" s="235">
        <v>300000</v>
      </c>
      <c r="AD807" s="235">
        <v>2114.2458726876939</v>
      </c>
      <c r="AE807">
        <v>0</v>
      </c>
      <c r="AF807">
        <v>0</v>
      </c>
      <c r="AG807">
        <v>0</v>
      </c>
      <c r="AH807" s="235">
        <v>113.67841680227684</v>
      </c>
      <c r="AI807">
        <v>226</v>
      </c>
      <c r="AJ807" t="s">
        <v>256</v>
      </c>
      <c r="AK807">
        <v>0</v>
      </c>
      <c r="AL807">
        <v>0</v>
      </c>
      <c r="AM807">
        <v>0</v>
      </c>
    </row>
    <row r="808" spans="1:39" x14ac:dyDescent="0.25">
      <c r="A808" t="s">
        <v>601</v>
      </c>
      <c r="B808" t="s">
        <v>616</v>
      </c>
      <c r="C808" t="s">
        <v>255</v>
      </c>
      <c r="D808" t="s">
        <v>234</v>
      </c>
      <c r="E808" t="s">
        <v>20</v>
      </c>
      <c r="F808" t="s">
        <v>399</v>
      </c>
      <c r="G808" t="s">
        <v>269</v>
      </c>
      <c r="H808" t="s">
        <v>254</v>
      </c>
      <c r="I808" t="s">
        <v>242</v>
      </c>
      <c r="J808" t="s">
        <v>235</v>
      </c>
      <c r="K808" s="380">
        <v>36861</v>
      </c>
      <c r="L808" s="235">
        <v>15994.062654113444</v>
      </c>
      <c r="M808" s="380">
        <v>36859</v>
      </c>
      <c r="N808" t="s">
        <v>1</v>
      </c>
      <c r="O808">
        <v>0.11</v>
      </c>
      <c r="P808">
        <v>0</v>
      </c>
      <c r="Q808">
        <v>0</v>
      </c>
      <c r="R808">
        <v>0</v>
      </c>
      <c r="S808">
        <v>0</v>
      </c>
      <c r="T808" t="s">
        <v>253</v>
      </c>
      <c r="U808" t="s">
        <v>600</v>
      </c>
      <c r="V808" t="s">
        <v>253</v>
      </c>
      <c r="W808" t="s">
        <v>132</v>
      </c>
      <c r="X808" t="s">
        <v>253</v>
      </c>
      <c r="Y808" t="s">
        <v>235</v>
      </c>
      <c r="Z808" t="s">
        <v>236</v>
      </c>
      <c r="AA808" t="s">
        <v>253</v>
      </c>
      <c r="AB808" t="s">
        <v>121</v>
      </c>
      <c r="AC808" s="235">
        <v>310000</v>
      </c>
      <c r="AD808" s="235">
        <v>2726.4039375555876</v>
      </c>
      <c r="AE808">
        <v>0</v>
      </c>
      <c r="AF808">
        <v>0</v>
      </c>
      <c r="AG808">
        <v>0</v>
      </c>
      <c r="AH808" s="235">
        <v>137.21978191457856</v>
      </c>
      <c r="AI808">
        <v>226</v>
      </c>
      <c r="AJ808" t="s">
        <v>256</v>
      </c>
      <c r="AK808">
        <v>0</v>
      </c>
      <c r="AL808">
        <v>0</v>
      </c>
      <c r="AM808">
        <v>0</v>
      </c>
    </row>
    <row r="809" spans="1:39" x14ac:dyDescent="0.25">
      <c r="A809" t="s">
        <v>601</v>
      </c>
      <c r="B809" t="s">
        <v>616</v>
      </c>
      <c r="C809" t="s">
        <v>255</v>
      </c>
      <c r="D809" t="s">
        <v>234</v>
      </c>
      <c r="E809" t="s">
        <v>20</v>
      </c>
      <c r="F809" t="s">
        <v>399</v>
      </c>
      <c r="G809" t="s">
        <v>269</v>
      </c>
      <c r="H809" t="s">
        <v>254</v>
      </c>
      <c r="I809" t="s">
        <v>242</v>
      </c>
      <c r="J809" t="s">
        <v>235</v>
      </c>
      <c r="K809" s="380">
        <v>36892</v>
      </c>
      <c r="L809" s="235">
        <v>13936.513340406045</v>
      </c>
      <c r="M809" s="380">
        <v>36888</v>
      </c>
      <c r="N809" t="s">
        <v>1</v>
      </c>
      <c r="O809">
        <v>0.11</v>
      </c>
      <c r="P809">
        <v>0</v>
      </c>
      <c r="Q809">
        <v>0</v>
      </c>
      <c r="R809">
        <v>0</v>
      </c>
      <c r="S809">
        <v>0</v>
      </c>
      <c r="T809" t="s">
        <v>253</v>
      </c>
      <c r="U809" t="s">
        <v>600</v>
      </c>
      <c r="V809" t="s">
        <v>253</v>
      </c>
      <c r="W809" t="s">
        <v>132</v>
      </c>
      <c r="X809" t="s">
        <v>253</v>
      </c>
      <c r="Y809" t="s">
        <v>235</v>
      </c>
      <c r="Z809" t="s">
        <v>236</v>
      </c>
      <c r="AA809" t="s">
        <v>253</v>
      </c>
      <c r="AB809" t="s">
        <v>121</v>
      </c>
      <c r="AC809" s="235">
        <v>310000</v>
      </c>
      <c r="AD809" s="235">
        <v>3106.2800115790742</v>
      </c>
      <c r="AE809">
        <v>0</v>
      </c>
      <c r="AF809">
        <v>0</v>
      </c>
      <c r="AG809">
        <v>0</v>
      </c>
      <c r="AH809" s="235">
        <v>149.52930651286624</v>
      </c>
      <c r="AI809">
        <v>226</v>
      </c>
      <c r="AJ809" t="s">
        <v>256</v>
      </c>
      <c r="AK809">
        <v>0</v>
      </c>
      <c r="AL809">
        <v>0</v>
      </c>
      <c r="AM809">
        <v>0</v>
      </c>
    </row>
    <row r="810" spans="1:39" x14ac:dyDescent="0.25">
      <c r="A810" t="s">
        <v>601</v>
      </c>
      <c r="B810" t="s">
        <v>616</v>
      </c>
      <c r="C810" t="s">
        <v>255</v>
      </c>
      <c r="D810" t="s">
        <v>234</v>
      </c>
      <c r="E810" t="s">
        <v>20</v>
      </c>
      <c r="F810" t="s">
        <v>399</v>
      </c>
      <c r="G810" t="s">
        <v>269</v>
      </c>
      <c r="H810" t="s">
        <v>254</v>
      </c>
      <c r="I810" t="s">
        <v>242</v>
      </c>
      <c r="J810" t="s">
        <v>235</v>
      </c>
      <c r="K810" s="380">
        <v>36923</v>
      </c>
      <c r="L810" s="235">
        <v>12112.78486203005</v>
      </c>
      <c r="M810" s="380">
        <v>36921</v>
      </c>
      <c r="N810" t="s">
        <v>1</v>
      </c>
      <c r="O810">
        <v>0.11</v>
      </c>
      <c r="P810">
        <v>0</v>
      </c>
      <c r="Q810">
        <v>0</v>
      </c>
      <c r="R810">
        <v>0</v>
      </c>
      <c r="S810">
        <v>0</v>
      </c>
      <c r="T810" t="s">
        <v>253</v>
      </c>
      <c r="U810" t="s">
        <v>600</v>
      </c>
      <c r="V810" t="s">
        <v>253</v>
      </c>
      <c r="W810" t="s">
        <v>132</v>
      </c>
      <c r="X810" t="s">
        <v>253</v>
      </c>
      <c r="Y810" t="s">
        <v>235</v>
      </c>
      <c r="Z810" t="s">
        <v>236</v>
      </c>
      <c r="AA810" t="s">
        <v>253</v>
      </c>
      <c r="AB810" t="s">
        <v>121</v>
      </c>
      <c r="AC810" s="235">
        <v>280000</v>
      </c>
      <c r="AD810" s="235">
        <v>3029.9131092537718</v>
      </c>
      <c r="AE810">
        <v>0</v>
      </c>
      <c r="AF810">
        <v>0</v>
      </c>
      <c r="AG810">
        <v>0</v>
      </c>
      <c r="AH810" s="235">
        <v>145.42816326130742</v>
      </c>
      <c r="AI810">
        <v>226</v>
      </c>
      <c r="AJ810" t="s">
        <v>256</v>
      </c>
      <c r="AK810">
        <v>0</v>
      </c>
      <c r="AL810">
        <v>0</v>
      </c>
      <c r="AM810">
        <v>0</v>
      </c>
    </row>
    <row r="811" spans="1:39" x14ac:dyDescent="0.25">
      <c r="A811" t="s">
        <v>601</v>
      </c>
      <c r="B811" t="s">
        <v>618</v>
      </c>
      <c r="C811" t="s">
        <v>255</v>
      </c>
      <c r="D811" t="s">
        <v>234</v>
      </c>
      <c r="E811" t="s">
        <v>20</v>
      </c>
      <c r="F811" t="s">
        <v>320</v>
      </c>
      <c r="G811" t="s">
        <v>269</v>
      </c>
      <c r="H811" t="s">
        <v>254</v>
      </c>
      <c r="I811" t="s">
        <v>242</v>
      </c>
      <c r="J811" t="s">
        <v>235</v>
      </c>
      <c r="K811" s="380">
        <v>36831</v>
      </c>
      <c r="L811" s="235">
        <v>85217.781930585523</v>
      </c>
      <c r="M811" s="380">
        <v>36829</v>
      </c>
      <c r="N811" t="s">
        <v>21</v>
      </c>
      <c r="O811">
        <v>1</v>
      </c>
      <c r="P811">
        <v>0</v>
      </c>
      <c r="Q811">
        <v>0</v>
      </c>
      <c r="R811">
        <v>0</v>
      </c>
      <c r="S811">
        <v>0</v>
      </c>
      <c r="T811" t="s">
        <v>253</v>
      </c>
      <c r="U811" t="s">
        <v>7</v>
      </c>
      <c r="V811" t="s">
        <v>253</v>
      </c>
      <c r="W811" t="s">
        <v>132</v>
      </c>
      <c r="X811" t="s">
        <v>253</v>
      </c>
      <c r="Y811" t="s">
        <v>235</v>
      </c>
      <c r="Z811" t="s">
        <v>236</v>
      </c>
      <c r="AA811" t="s">
        <v>253</v>
      </c>
      <c r="AB811" t="s">
        <v>121</v>
      </c>
      <c r="AC811" s="235">
        <v>500000</v>
      </c>
      <c r="AD811" s="235">
        <v>20906.954671872692</v>
      </c>
      <c r="AE811">
        <v>0</v>
      </c>
      <c r="AF811">
        <v>0</v>
      </c>
      <c r="AG811">
        <v>0</v>
      </c>
      <c r="AH811" s="235">
        <v>8666.5366982964624</v>
      </c>
      <c r="AI811">
        <v>226</v>
      </c>
      <c r="AJ811" t="s">
        <v>256</v>
      </c>
      <c r="AK811">
        <v>0</v>
      </c>
      <c r="AL811">
        <v>0</v>
      </c>
      <c r="AM811">
        <v>0</v>
      </c>
    </row>
    <row r="812" spans="1:39" x14ac:dyDescent="0.25">
      <c r="A812" t="s">
        <v>601</v>
      </c>
      <c r="B812" t="s">
        <v>619</v>
      </c>
      <c r="C812" t="s">
        <v>255</v>
      </c>
      <c r="D812" t="s">
        <v>234</v>
      </c>
      <c r="E812" t="s">
        <v>20</v>
      </c>
      <c r="F812" t="s">
        <v>509</v>
      </c>
      <c r="G812" t="s">
        <v>269</v>
      </c>
      <c r="H812" t="s">
        <v>254</v>
      </c>
      <c r="I812" t="s">
        <v>242</v>
      </c>
      <c r="J812" t="s">
        <v>235</v>
      </c>
      <c r="K812" s="380">
        <v>36831</v>
      </c>
      <c r="L812" s="235">
        <v>139888.75420971552</v>
      </c>
      <c r="M812" s="380">
        <v>36829</v>
      </c>
      <c r="N812" t="s">
        <v>1</v>
      </c>
      <c r="O812">
        <v>0.5</v>
      </c>
      <c r="P812">
        <v>0</v>
      </c>
      <c r="Q812">
        <v>0</v>
      </c>
      <c r="R812">
        <v>0</v>
      </c>
      <c r="S812">
        <v>0</v>
      </c>
      <c r="T812" t="s">
        <v>253</v>
      </c>
      <c r="U812" t="s">
        <v>7</v>
      </c>
      <c r="V812" t="s">
        <v>253</v>
      </c>
      <c r="W812" t="s">
        <v>132</v>
      </c>
      <c r="X812" t="s">
        <v>253</v>
      </c>
      <c r="Y812" t="s">
        <v>235</v>
      </c>
      <c r="Z812" t="s">
        <v>236</v>
      </c>
      <c r="AA812" t="s">
        <v>253</v>
      </c>
      <c r="AB812" t="s">
        <v>121</v>
      </c>
      <c r="AC812" s="235">
        <v>1000000</v>
      </c>
      <c r="AD812" s="235">
        <v>42144.348073685425</v>
      </c>
      <c r="AE812">
        <v>0</v>
      </c>
      <c r="AF812">
        <v>0</v>
      </c>
      <c r="AG812">
        <v>0</v>
      </c>
      <c r="AH812" s="235">
        <v>-10607.014926701027</v>
      </c>
      <c r="AI812">
        <v>226</v>
      </c>
      <c r="AJ812" t="s">
        <v>256</v>
      </c>
      <c r="AK812">
        <v>0</v>
      </c>
      <c r="AL812">
        <v>0</v>
      </c>
      <c r="AM812">
        <v>0</v>
      </c>
    </row>
    <row r="813" spans="1:39" x14ac:dyDescent="0.25">
      <c r="A813" t="s">
        <v>601</v>
      </c>
      <c r="B813" t="s">
        <v>621</v>
      </c>
      <c r="C813" t="s">
        <v>255</v>
      </c>
      <c r="D813" t="s">
        <v>234</v>
      </c>
      <c r="E813" t="s">
        <v>20</v>
      </c>
      <c r="F813" t="s">
        <v>620</v>
      </c>
      <c r="G813" t="s">
        <v>269</v>
      </c>
      <c r="H813" t="s">
        <v>254</v>
      </c>
      <c r="I813" t="s">
        <v>242</v>
      </c>
      <c r="J813" t="s">
        <v>235</v>
      </c>
      <c r="K813" s="380">
        <v>36831</v>
      </c>
      <c r="L813" s="235">
        <v>51130.669158351309</v>
      </c>
      <c r="M813" s="380">
        <v>36829</v>
      </c>
      <c r="N813" t="s">
        <v>21</v>
      </c>
      <c r="O813">
        <v>1</v>
      </c>
      <c r="P813">
        <v>0</v>
      </c>
      <c r="Q813">
        <v>0</v>
      </c>
      <c r="R813">
        <v>0</v>
      </c>
      <c r="S813">
        <v>0</v>
      </c>
      <c r="T813" t="s">
        <v>253</v>
      </c>
      <c r="U813" t="s">
        <v>7</v>
      </c>
      <c r="V813" t="s">
        <v>253</v>
      </c>
      <c r="W813" t="s">
        <v>132</v>
      </c>
      <c r="X813" t="s">
        <v>253</v>
      </c>
      <c r="Y813" t="s">
        <v>235</v>
      </c>
      <c r="Z813" t="s">
        <v>236</v>
      </c>
      <c r="AA813" t="s">
        <v>253</v>
      </c>
      <c r="AB813" t="s">
        <v>121</v>
      </c>
      <c r="AC813" s="235">
        <v>300000</v>
      </c>
      <c r="AD813" s="235">
        <v>12544.172803123627</v>
      </c>
      <c r="AE813">
        <v>0</v>
      </c>
      <c r="AF813">
        <v>0</v>
      </c>
      <c r="AG813">
        <v>0</v>
      </c>
      <c r="AH813" s="235">
        <v>5199.9220189778789</v>
      </c>
      <c r="AI813">
        <v>226</v>
      </c>
      <c r="AJ813" t="s">
        <v>256</v>
      </c>
      <c r="AK813">
        <v>0</v>
      </c>
      <c r="AL813">
        <v>0</v>
      </c>
      <c r="AM813">
        <v>0</v>
      </c>
    </row>
    <row r="814" spans="1:39" x14ac:dyDescent="0.25">
      <c r="A814" t="s">
        <v>601</v>
      </c>
      <c r="B814" t="s">
        <v>622</v>
      </c>
      <c r="C814" t="s">
        <v>255</v>
      </c>
      <c r="D814" t="s">
        <v>234</v>
      </c>
      <c r="E814" t="s">
        <v>20</v>
      </c>
      <c r="F814" t="s">
        <v>268</v>
      </c>
      <c r="G814" t="s">
        <v>269</v>
      </c>
      <c r="H814" t="s">
        <v>254</v>
      </c>
      <c r="I814" t="s">
        <v>242</v>
      </c>
      <c r="J814" t="s">
        <v>235</v>
      </c>
      <c r="K814" s="380">
        <v>36831</v>
      </c>
      <c r="L814" s="235">
        <v>-3788.7915819017207</v>
      </c>
      <c r="M814" s="380">
        <v>36829</v>
      </c>
      <c r="N814" t="s">
        <v>1</v>
      </c>
      <c r="O814">
        <v>0.5</v>
      </c>
      <c r="P814">
        <v>0</v>
      </c>
      <c r="Q814">
        <v>0</v>
      </c>
      <c r="R814">
        <v>0</v>
      </c>
      <c r="S814">
        <v>0</v>
      </c>
      <c r="T814" t="s">
        <v>253</v>
      </c>
      <c r="U814" t="s">
        <v>190</v>
      </c>
      <c r="V814" t="s">
        <v>253</v>
      </c>
      <c r="W814" t="s">
        <v>132</v>
      </c>
      <c r="X814" t="s">
        <v>253</v>
      </c>
      <c r="Y814" t="s">
        <v>235</v>
      </c>
      <c r="Z814" t="s">
        <v>236</v>
      </c>
      <c r="AA814" t="s">
        <v>253</v>
      </c>
      <c r="AB814" t="s">
        <v>121</v>
      </c>
      <c r="AC814" s="235">
        <v>-150000</v>
      </c>
      <c r="AD814" s="235">
        <v>-2837.0161956928041</v>
      </c>
      <c r="AE814">
        <v>0</v>
      </c>
      <c r="AF814">
        <v>0</v>
      </c>
      <c r="AG814">
        <v>0</v>
      </c>
      <c r="AH814" s="235">
        <v>2620.8624086692553</v>
      </c>
      <c r="AI814">
        <v>226</v>
      </c>
      <c r="AJ814" t="s">
        <v>256</v>
      </c>
      <c r="AK814">
        <v>0</v>
      </c>
      <c r="AL814">
        <v>0</v>
      </c>
      <c r="AM814">
        <v>0</v>
      </c>
    </row>
    <row r="815" spans="1:39" x14ac:dyDescent="0.25">
      <c r="A815" t="s">
        <v>601</v>
      </c>
      <c r="B815" t="s">
        <v>622</v>
      </c>
      <c r="C815" t="s">
        <v>255</v>
      </c>
      <c r="D815" t="s">
        <v>234</v>
      </c>
      <c r="E815" t="s">
        <v>20</v>
      </c>
      <c r="F815" t="s">
        <v>268</v>
      </c>
      <c r="G815" t="s">
        <v>269</v>
      </c>
      <c r="H815" t="s">
        <v>254</v>
      </c>
      <c r="I815" t="s">
        <v>242</v>
      </c>
      <c r="J815" t="s">
        <v>235</v>
      </c>
      <c r="K815" s="380">
        <v>36861</v>
      </c>
      <c r="L815" s="235">
        <v>-23023.994707139478</v>
      </c>
      <c r="M815" s="380">
        <v>36859</v>
      </c>
      <c r="N815" t="s">
        <v>1</v>
      </c>
      <c r="O815">
        <v>0.5</v>
      </c>
      <c r="P815">
        <v>0</v>
      </c>
      <c r="Q815">
        <v>0</v>
      </c>
      <c r="R815">
        <v>0</v>
      </c>
      <c r="S815">
        <v>0</v>
      </c>
      <c r="T815" t="s">
        <v>253</v>
      </c>
      <c r="U815" t="s">
        <v>190</v>
      </c>
      <c r="V815" t="s">
        <v>253</v>
      </c>
      <c r="W815" t="s">
        <v>132</v>
      </c>
      <c r="X815" t="s">
        <v>253</v>
      </c>
      <c r="Y815" t="s">
        <v>235</v>
      </c>
      <c r="Z815" t="s">
        <v>236</v>
      </c>
      <c r="AA815" t="s">
        <v>253</v>
      </c>
      <c r="AB815" t="s">
        <v>121</v>
      </c>
      <c r="AC815" s="235">
        <v>-155000</v>
      </c>
      <c r="AD815" s="235">
        <v>-8276.0001209417387</v>
      </c>
      <c r="AE815">
        <v>0</v>
      </c>
      <c r="AF815">
        <v>0</v>
      </c>
      <c r="AG815">
        <v>0</v>
      </c>
      <c r="AH815" s="235">
        <v>5784.32752648522</v>
      </c>
      <c r="AI815">
        <v>226</v>
      </c>
      <c r="AJ815" t="s">
        <v>256</v>
      </c>
      <c r="AK815">
        <v>0</v>
      </c>
      <c r="AL815">
        <v>0</v>
      </c>
      <c r="AM815">
        <v>0</v>
      </c>
    </row>
    <row r="816" spans="1:39" x14ac:dyDescent="0.25">
      <c r="A816" t="s">
        <v>601</v>
      </c>
      <c r="B816" t="s">
        <v>622</v>
      </c>
      <c r="C816" t="s">
        <v>255</v>
      </c>
      <c r="D816" t="s">
        <v>234</v>
      </c>
      <c r="E816" t="s">
        <v>20</v>
      </c>
      <c r="F816" t="s">
        <v>268</v>
      </c>
      <c r="G816" t="s">
        <v>269</v>
      </c>
      <c r="H816" t="s">
        <v>254</v>
      </c>
      <c r="I816" t="s">
        <v>242</v>
      </c>
      <c r="J816" t="s">
        <v>235</v>
      </c>
      <c r="K816" s="380">
        <v>36892</v>
      </c>
      <c r="L816" s="235">
        <v>-40704.549656835319</v>
      </c>
      <c r="M816" s="380">
        <v>36888</v>
      </c>
      <c r="N816" t="s">
        <v>1</v>
      </c>
      <c r="O816">
        <v>0.5</v>
      </c>
      <c r="P816">
        <v>0</v>
      </c>
      <c r="Q816">
        <v>0</v>
      </c>
      <c r="R816">
        <v>0</v>
      </c>
      <c r="S816">
        <v>0</v>
      </c>
      <c r="T816" t="s">
        <v>253</v>
      </c>
      <c r="U816" t="s">
        <v>190</v>
      </c>
      <c r="V816" t="s">
        <v>253</v>
      </c>
      <c r="W816" t="s">
        <v>132</v>
      </c>
      <c r="X816" t="s">
        <v>253</v>
      </c>
      <c r="Y816" t="s">
        <v>235</v>
      </c>
      <c r="Z816" t="s">
        <v>236</v>
      </c>
      <c r="AA816" t="s">
        <v>253</v>
      </c>
      <c r="AB816" t="s">
        <v>121</v>
      </c>
      <c r="AC816" s="235">
        <v>-155000</v>
      </c>
      <c r="AD816" s="235">
        <v>-10813.715766124718</v>
      </c>
      <c r="AE816">
        <v>0</v>
      </c>
      <c r="AF816">
        <v>0</v>
      </c>
      <c r="AG816">
        <v>0</v>
      </c>
      <c r="AH816" s="235">
        <v>-3404.4567434508208</v>
      </c>
      <c r="AI816">
        <v>226</v>
      </c>
      <c r="AJ816" t="s">
        <v>256</v>
      </c>
      <c r="AK816">
        <v>0</v>
      </c>
      <c r="AL816">
        <v>0</v>
      </c>
      <c r="AM816">
        <v>0</v>
      </c>
    </row>
    <row r="817" spans="1:39" x14ac:dyDescent="0.25">
      <c r="A817" t="s">
        <v>601</v>
      </c>
      <c r="B817" t="s">
        <v>622</v>
      </c>
      <c r="C817" t="s">
        <v>255</v>
      </c>
      <c r="D817" t="s">
        <v>234</v>
      </c>
      <c r="E817" t="s">
        <v>20</v>
      </c>
      <c r="F817" t="s">
        <v>268</v>
      </c>
      <c r="G817" t="s">
        <v>269</v>
      </c>
      <c r="H817" t="s">
        <v>254</v>
      </c>
      <c r="I817" t="s">
        <v>242</v>
      </c>
      <c r="J817" t="s">
        <v>235</v>
      </c>
      <c r="K817" s="380">
        <v>36923</v>
      </c>
      <c r="L817" s="235">
        <v>-46862.027995113764</v>
      </c>
      <c r="M817" s="380">
        <v>36921</v>
      </c>
      <c r="N817" t="s">
        <v>1</v>
      </c>
      <c r="O817">
        <v>0.5</v>
      </c>
      <c r="P817">
        <v>0</v>
      </c>
      <c r="Q817">
        <v>0</v>
      </c>
      <c r="R817">
        <v>0</v>
      </c>
      <c r="S817">
        <v>0</v>
      </c>
      <c r="T817" t="s">
        <v>253</v>
      </c>
      <c r="U817" t="s">
        <v>190</v>
      </c>
      <c r="V817" t="s">
        <v>253</v>
      </c>
      <c r="W817" t="s">
        <v>132</v>
      </c>
      <c r="X817" t="s">
        <v>253</v>
      </c>
      <c r="Y817" t="s">
        <v>235</v>
      </c>
      <c r="Z817" t="s">
        <v>236</v>
      </c>
      <c r="AA817" t="s">
        <v>253</v>
      </c>
      <c r="AB817" t="s">
        <v>121</v>
      </c>
      <c r="AC817" s="235">
        <v>-140000</v>
      </c>
      <c r="AD817" s="235">
        <v>-11019.891447883441</v>
      </c>
      <c r="AE817">
        <v>0</v>
      </c>
      <c r="AF817">
        <v>0</v>
      </c>
      <c r="AG817">
        <v>0</v>
      </c>
      <c r="AH817" s="235">
        <v>-3541.7198085725613</v>
      </c>
      <c r="AI817">
        <v>226</v>
      </c>
      <c r="AJ817" t="s">
        <v>256</v>
      </c>
      <c r="AK817">
        <v>0</v>
      </c>
      <c r="AL817">
        <v>0</v>
      </c>
      <c r="AM817">
        <v>0</v>
      </c>
    </row>
    <row r="818" spans="1:39" x14ac:dyDescent="0.25">
      <c r="A818" t="s">
        <v>601</v>
      </c>
      <c r="B818" t="s">
        <v>622</v>
      </c>
      <c r="C818" t="s">
        <v>255</v>
      </c>
      <c r="D818" t="s">
        <v>234</v>
      </c>
      <c r="E818" t="s">
        <v>20</v>
      </c>
      <c r="F818" t="s">
        <v>268</v>
      </c>
      <c r="G818" t="s">
        <v>269</v>
      </c>
      <c r="H818" t="s">
        <v>254</v>
      </c>
      <c r="I818" t="s">
        <v>242</v>
      </c>
      <c r="J818" t="s">
        <v>235</v>
      </c>
      <c r="K818" s="380">
        <v>36951</v>
      </c>
      <c r="L818" s="235">
        <v>-48312.224250617001</v>
      </c>
      <c r="M818" s="380">
        <v>36949</v>
      </c>
      <c r="N818" t="s">
        <v>1</v>
      </c>
      <c r="O818">
        <v>0.5</v>
      </c>
      <c r="P818">
        <v>0</v>
      </c>
      <c r="Q818">
        <v>0</v>
      </c>
      <c r="R818">
        <v>0</v>
      </c>
      <c r="S818">
        <v>0</v>
      </c>
      <c r="T818" t="s">
        <v>253</v>
      </c>
      <c r="U818" t="s">
        <v>190</v>
      </c>
      <c r="V818" t="s">
        <v>253</v>
      </c>
      <c r="W818" t="s">
        <v>132</v>
      </c>
      <c r="X818" t="s">
        <v>253</v>
      </c>
      <c r="Y818" t="s">
        <v>235</v>
      </c>
      <c r="Z818" t="s">
        <v>236</v>
      </c>
      <c r="AA818" t="s">
        <v>253</v>
      </c>
      <c r="AB818" t="s">
        <v>121</v>
      </c>
      <c r="AC818" s="235">
        <v>-155000</v>
      </c>
      <c r="AD818" s="235">
        <v>-11843.004384849235</v>
      </c>
      <c r="AE818">
        <v>0</v>
      </c>
      <c r="AF818">
        <v>0</v>
      </c>
      <c r="AG818">
        <v>0</v>
      </c>
      <c r="AH818" s="235">
        <v>-3957.6194535351897</v>
      </c>
      <c r="AI818">
        <v>226</v>
      </c>
      <c r="AJ818" t="s">
        <v>256</v>
      </c>
      <c r="AK818">
        <v>0</v>
      </c>
      <c r="AL818">
        <v>0</v>
      </c>
      <c r="AM818">
        <v>0</v>
      </c>
    </row>
    <row r="819" spans="1:39" x14ac:dyDescent="0.25">
      <c r="A819" t="s">
        <v>601</v>
      </c>
      <c r="B819" t="s">
        <v>623</v>
      </c>
      <c r="C819" t="s">
        <v>255</v>
      </c>
      <c r="D819" t="s">
        <v>234</v>
      </c>
      <c r="E819" t="s">
        <v>20</v>
      </c>
      <c r="F819" t="s">
        <v>320</v>
      </c>
      <c r="G819" t="s">
        <v>269</v>
      </c>
      <c r="H819" t="s">
        <v>254</v>
      </c>
      <c r="I819" t="s">
        <v>242</v>
      </c>
      <c r="J819" t="s">
        <v>235</v>
      </c>
      <c r="K819" s="380">
        <v>36831</v>
      </c>
      <c r="L819" s="235">
        <v>-25258.610546011474</v>
      </c>
      <c r="M819" s="380">
        <v>36829</v>
      </c>
      <c r="N819" t="s">
        <v>1</v>
      </c>
      <c r="O819">
        <v>0.5</v>
      </c>
      <c r="P819">
        <v>0</v>
      </c>
      <c r="Q819">
        <v>0</v>
      </c>
      <c r="R819">
        <v>0</v>
      </c>
      <c r="S819">
        <v>0</v>
      </c>
      <c r="T819" t="s">
        <v>253</v>
      </c>
      <c r="U819" t="s">
        <v>190</v>
      </c>
      <c r="V819" t="s">
        <v>253</v>
      </c>
      <c r="W819" t="s">
        <v>132</v>
      </c>
      <c r="X819" t="s">
        <v>253</v>
      </c>
      <c r="Y819" t="s">
        <v>235</v>
      </c>
      <c r="Z819" t="s">
        <v>236</v>
      </c>
      <c r="AA819" t="s">
        <v>253</v>
      </c>
      <c r="AB819" t="s">
        <v>121</v>
      </c>
      <c r="AC819" s="235">
        <v>-1000000</v>
      </c>
      <c r="AD819" s="235">
        <v>-18913.441304618696</v>
      </c>
      <c r="AE819">
        <v>0</v>
      </c>
      <c r="AF819">
        <v>0</v>
      </c>
      <c r="AG819">
        <v>0</v>
      </c>
      <c r="AH819" s="235">
        <v>17472.416057795035</v>
      </c>
      <c r="AI819">
        <v>226</v>
      </c>
      <c r="AJ819" t="s">
        <v>256</v>
      </c>
      <c r="AK819">
        <v>0</v>
      </c>
      <c r="AL819">
        <v>0</v>
      </c>
      <c r="AM819">
        <v>0</v>
      </c>
    </row>
    <row r="820" spans="1:39" x14ac:dyDescent="0.25">
      <c r="A820" t="s">
        <v>601</v>
      </c>
      <c r="B820" t="s">
        <v>623</v>
      </c>
      <c r="C820" t="s">
        <v>255</v>
      </c>
      <c r="D820" t="s">
        <v>234</v>
      </c>
      <c r="E820" t="s">
        <v>20</v>
      </c>
      <c r="F820" t="s">
        <v>320</v>
      </c>
      <c r="G820" t="s">
        <v>269</v>
      </c>
      <c r="H820" t="s">
        <v>254</v>
      </c>
      <c r="I820" t="s">
        <v>242</v>
      </c>
      <c r="J820" t="s">
        <v>235</v>
      </c>
      <c r="K820" s="380">
        <v>36861</v>
      </c>
      <c r="L820" s="235">
        <v>-148541.90133638374</v>
      </c>
      <c r="M820" s="380">
        <v>36859</v>
      </c>
      <c r="N820" t="s">
        <v>1</v>
      </c>
      <c r="O820">
        <v>0.5</v>
      </c>
      <c r="P820">
        <v>0</v>
      </c>
      <c r="Q820">
        <v>0</v>
      </c>
      <c r="R820">
        <v>0</v>
      </c>
      <c r="S820">
        <v>0</v>
      </c>
      <c r="T820" t="s">
        <v>253</v>
      </c>
      <c r="U820" t="s">
        <v>190</v>
      </c>
      <c r="V820" t="s">
        <v>253</v>
      </c>
      <c r="W820" t="s">
        <v>132</v>
      </c>
      <c r="X820" t="s">
        <v>253</v>
      </c>
      <c r="Y820" t="s">
        <v>235</v>
      </c>
      <c r="Z820" t="s">
        <v>236</v>
      </c>
      <c r="AA820" t="s">
        <v>253</v>
      </c>
      <c r="AB820" t="s">
        <v>121</v>
      </c>
      <c r="AC820" s="235">
        <v>-1000000</v>
      </c>
      <c r="AD820" s="235">
        <v>-53393.549167366058</v>
      </c>
      <c r="AE820">
        <v>0</v>
      </c>
      <c r="AF820">
        <v>0</v>
      </c>
      <c r="AG820">
        <v>0</v>
      </c>
      <c r="AH820" s="235">
        <v>37318.24210635628</v>
      </c>
      <c r="AI820">
        <v>226</v>
      </c>
      <c r="AJ820" t="s">
        <v>256</v>
      </c>
      <c r="AK820">
        <v>0</v>
      </c>
      <c r="AL820">
        <v>0</v>
      </c>
      <c r="AM820">
        <v>0</v>
      </c>
    </row>
    <row r="821" spans="1:39" x14ac:dyDescent="0.25">
      <c r="A821" t="s">
        <v>601</v>
      </c>
      <c r="B821" t="s">
        <v>623</v>
      </c>
      <c r="C821" t="s">
        <v>255</v>
      </c>
      <c r="D821" t="s">
        <v>234</v>
      </c>
      <c r="E821" t="s">
        <v>20</v>
      </c>
      <c r="F821" t="s">
        <v>320</v>
      </c>
      <c r="G821" t="s">
        <v>269</v>
      </c>
      <c r="H821" t="s">
        <v>254</v>
      </c>
      <c r="I821" t="s">
        <v>242</v>
      </c>
      <c r="J821" t="s">
        <v>235</v>
      </c>
      <c r="K821" s="380">
        <v>36892</v>
      </c>
      <c r="L821" s="235">
        <v>-262609.99778603431</v>
      </c>
      <c r="M821" s="380">
        <v>36888</v>
      </c>
      <c r="N821" t="s">
        <v>1</v>
      </c>
      <c r="O821">
        <v>0.5</v>
      </c>
      <c r="P821">
        <v>0</v>
      </c>
      <c r="Q821">
        <v>0</v>
      </c>
      <c r="R821">
        <v>0</v>
      </c>
      <c r="S821">
        <v>0</v>
      </c>
      <c r="T821" t="s">
        <v>253</v>
      </c>
      <c r="U821" t="s">
        <v>190</v>
      </c>
      <c r="V821" t="s">
        <v>253</v>
      </c>
      <c r="W821" t="s">
        <v>132</v>
      </c>
      <c r="X821" t="s">
        <v>253</v>
      </c>
      <c r="Y821" t="s">
        <v>235</v>
      </c>
      <c r="Z821" t="s">
        <v>236</v>
      </c>
      <c r="AA821" t="s">
        <v>253</v>
      </c>
      <c r="AB821" t="s">
        <v>121</v>
      </c>
      <c r="AC821" s="235">
        <v>-1000000</v>
      </c>
      <c r="AD821" s="235">
        <v>-69765.908168546564</v>
      </c>
      <c r="AE821">
        <v>0</v>
      </c>
      <c r="AF821">
        <v>0</v>
      </c>
      <c r="AG821">
        <v>0</v>
      </c>
      <c r="AH821" s="235">
        <v>-21964.237054521451</v>
      </c>
      <c r="AI821">
        <v>226</v>
      </c>
      <c r="AJ821" t="s">
        <v>256</v>
      </c>
      <c r="AK821">
        <v>0</v>
      </c>
      <c r="AL821">
        <v>0</v>
      </c>
      <c r="AM821">
        <v>0</v>
      </c>
    </row>
    <row r="822" spans="1:39" x14ac:dyDescent="0.25">
      <c r="A822" t="s">
        <v>601</v>
      </c>
      <c r="B822" t="s">
        <v>623</v>
      </c>
      <c r="C822" t="s">
        <v>255</v>
      </c>
      <c r="D822" t="s">
        <v>234</v>
      </c>
      <c r="E822" t="s">
        <v>20</v>
      </c>
      <c r="F822" t="s">
        <v>320</v>
      </c>
      <c r="G822" t="s">
        <v>269</v>
      </c>
      <c r="H822" t="s">
        <v>254</v>
      </c>
      <c r="I822" t="s">
        <v>242</v>
      </c>
      <c r="J822" t="s">
        <v>235</v>
      </c>
      <c r="K822" s="380">
        <v>36923</v>
      </c>
      <c r="L822" s="235">
        <v>-334728.77139366977</v>
      </c>
      <c r="M822" s="380">
        <v>36921</v>
      </c>
      <c r="N822" t="s">
        <v>1</v>
      </c>
      <c r="O822">
        <v>0.5</v>
      </c>
      <c r="P822">
        <v>0</v>
      </c>
      <c r="Q822">
        <v>0</v>
      </c>
      <c r="R822">
        <v>0</v>
      </c>
      <c r="S822">
        <v>0</v>
      </c>
      <c r="T822" t="s">
        <v>253</v>
      </c>
      <c r="U822" t="s">
        <v>190</v>
      </c>
      <c r="V822" t="s">
        <v>253</v>
      </c>
      <c r="W822" t="s">
        <v>132</v>
      </c>
      <c r="X822" t="s">
        <v>253</v>
      </c>
      <c r="Y822" t="s">
        <v>235</v>
      </c>
      <c r="Z822" t="s">
        <v>236</v>
      </c>
      <c r="AA822" t="s">
        <v>253</v>
      </c>
      <c r="AB822" t="s">
        <v>121</v>
      </c>
      <c r="AC822" s="235">
        <v>-1000000</v>
      </c>
      <c r="AD822" s="235">
        <v>-78713.510342024616</v>
      </c>
      <c r="AE822">
        <v>0</v>
      </c>
      <c r="AF822">
        <v>0</v>
      </c>
      <c r="AG822">
        <v>0</v>
      </c>
      <c r="AH822" s="235">
        <v>-25297.998632661125</v>
      </c>
      <c r="AI822">
        <v>226</v>
      </c>
      <c r="AJ822" t="s">
        <v>256</v>
      </c>
      <c r="AK822">
        <v>0</v>
      </c>
      <c r="AL822">
        <v>0</v>
      </c>
      <c r="AM822">
        <v>0</v>
      </c>
    </row>
    <row r="823" spans="1:39" x14ac:dyDescent="0.25">
      <c r="A823" t="s">
        <v>601</v>
      </c>
      <c r="B823" t="s">
        <v>623</v>
      </c>
      <c r="C823" t="s">
        <v>255</v>
      </c>
      <c r="D823" t="s">
        <v>234</v>
      </c>
      <c r="E823" t="s">
        <v>20</v>
      </c>
      <c r="F823" t="s">
        <v>320</v>
      </c>
      <c r="G823" t="s">
        <v>269</v>
      </c>
      <c r="H823" t="s">
        <v>254</v>
      </c>
      <c r="I823" t="s">
        <v>242</v>
      </c>
      <c r="J823" t="s">
        <v>235</v>
      </c>
      <c r="K823" s="380">
        <v>36951</v>
      </c>
      <c r="L823" s="235">
        <v>-311691.76935881935</v>
      </c>
      <c r="M823" s="380">
        <v>36949</v>
      </c>
      <c r="N823" t="s">
        <v>1</v>
      </c>
      <c r="O823">
        <v>0.5</v>
      </c>
      <c r="P823">
        <v>0</v>
      </c>
      <c r="Q823">
        <v>0</v>
      </c>
      <c r="R823">
        <v>0</v>
      </c>
      <c r="S823">
        <v>0</v>
      </c>
      <c r="T823" t="s">
        <v>253</v>
      </c>
      <c r="U823" t="s">
        <v>190</v>
      </c>
      <c r="V823" t="s">
        <v>253</v>
      </c>
      <c r="W823" t="s">
        <v>132</v>
      </c>
      <c r="X823" t="s">
        <v>253</v>
      </c>
      <c r="Y823" t="s">
        <v>235</v>
      </c>
      <c r="Z823" t="s">
        <v>236</v>
      </c>
      <c r="AA823" t="s">
        <v>253</v>
      </c>
      <c r="AB823" t="s">
        <v>121</v>
      </c>
      <c r="AC823" s="235">
        <v>-1000000</v>
      </c>
      <c r="AD823" s="235">
        <v>-76406.479902253079</v>
      </c>
      <c r="AE823">
        <v>0</v>
      </c>
      <c r="AF823">
        <v>0</v>
      </c>
      <c r="AG823">
        <v>0</v>
      </c>
      <c r="AH823" s="235">
        <v>-25533.02873248508</v>
      </c>
      <c r="AI823">
        <v>226</v>
      </c>
      <c r="AJ823" t="s">
        <v>256</v>
      </c>
      <c r="AK823">
        <v>0</v>
      </c>
      <c r="AL823">
        <v>0</v>
      </c>
      <c r="AM823">
        <v>0</v>
      </c>
    </row>
    <row r="824" spans="1:39" x14ac:dyDescent="0.25">
      <c r="A824" t="s">
        <v>601</v>
      </c>
      <c r="B824" t="s">
        <v>633</v>
      </c>
      <c r="C824" t="s">
        <v>255</v>
      </c>
      <c r="D824" t="s">
        <v>234</v>
      </c>
      <c r="E824" t="s">
        <v>20</v>
      </c>
      <c r="F824" t="s">
        <v>624</v>
      </c>
      <c r="G824" t="s">
        <v>269</v>
      </c>
      <c r="H824" t="s">
        <v>254</v>
      </c>
      <c r="I824" t="s">
        <v>242</v>
      </c>
      <c r="J824" t="s">
        <v>235</v>
      </c>
      <c r="K824" s="380">
        <v>36831</v>
      </c>
      <c r="L824" s="235">
        <v>143948.98572373888</v>
      </c>
      <c r="M824" s="380">
        <v>36829</v>
      </c>
      <c r="N824" t="s">
        <v>21</v>
      </c>
      <c r="O824">
        <v>0.15</v>
      </c>
      <c r="P824">
        <v>0</v>
      </c>
      <c r="Q824">
        <v>0</v>
      </c>
      <c r="R824">
        <v>0</v>
      </c>
      <c r="S824">
        <v>0</v>
      </c>
      <c r="T824" t="s">
        <v>253</v>
      </c>
      <c r="U824" t="s">
        <v>617</v>
      </c>
      <c r="V824" t="s">
        <v>253</v>
      </c>
      <c r="W824" t="s">
        <v>132</v>
      </c>
      <c r="X824" t="s">
        <v>253</v>
      </c>
      <c r="Y824" t="s">
        <v>235</v>
      </c>
      <c r="Z824" t="s">
        <v>236</v>
      </c>
      <c r="AA824" t="s">
        <v>253</v>
      </c>
      <c r="AB824" t="s">
        <v>121</v>
      </c>
      <c r="AC824" s="235">
        <v>2500000</v>
      </c>
      <c r="AD824" s="235">
        <v>69756.470959347207</v>
      </c>
      <c r="AE824">
        <v>0</v>
      </c>
      <c r="AF824">
        <v>0</v>
      </c>
      <c r="AG824">
        <v>0</v>
      </c>
      <c r="AH824" s="235">
        <v>21073.970011565165</v>
      </c>
      <c r="AI824">
        <v>226</v>
      </c>
      <c r="AJ824" t="s">
        <v>256</v>
      </c>
      <c r="AK824">
        <v>0</v>
      </c>
      <c r="AL824">
        <v>0</v>
      </c>
      <c r="AM824">
        <v>0</v>
      </c>
    </row>
    <row r="825" spans="1:39" x14ac:dyDescent="0.25">
      <c r="A825" t="s">
        <v>601</v>
      </c>
      <c r="B825" t="s">
        <v>633</v>
      </c>
      <c r="C825" t="s">
        <v>255</v>
      </c>
      <c r="D825" t="s">
        <v>234</v>
      </c>
      <c r="E825" t="s">
        <v>20</v>
      </c>
      <c r="F825" t="s">
        <v>624</v>
      </c>
      <c r="G825" t="s">
        <v>269</v>
      </c>
      <c r="H825" t="s">
        <v>254</v>
      </c>
      <c r="I825" t="s">
        <v>242</v>
      </c>
      <c r="J825" t="s">
        <v>235</v>
      </c>
      <c r="K825" s="380">
        <v>36861</v>
      </c>
      <c r="L825" s="235">
        <v>1156193.0636483596</v>
      </c>
      <c r="M825" s="380">
        <v>36859</v>
      </c>
      <c r="N825" t="s">
        <v>21</v>
      </c>
      <c r="O825">
        <v>0.15</v>
      </c>
      <c r="P825">
        <v>0</v>
      </c>
      <c r="Q825">
        <v>0</v>
      </c>
      <c r="R825">
        <v>0</v>
      </c>
      <c r="S825">
        <v>0</v>
      </c>
      <c r="T825" t="s">
        <v>253</v>
      </c>
      <c r="U825" t="s">
        <v>617</v>
      </c>
      <c r="V825" t="s">
        <v>253</v>
      </c>
      <c r="W825" t="s">
        <v>132</v>
      </c>
      <c r="X825" t="s">
        <v>253</v>
      </c>
      <c r="Y825" t="s">
        <v>235</v>
      </c>
      <c r="Z825" t="s">
        <v>236</v>
      </c>
      <c r="AA825" t="s">
        <v>253</v>
      </c>
      <c r="AB825" t="s">
        <v>121</v>
      </c>
      <c r="AC825" s="235">
        <v>2500000</v>
      </c>
      <c r="AD825" s="235">
        <v>90569.552200824954</v>
      </c>
      <c r="AE825">
        <v>0</v>
      </c>
      <c r="AF825">
        <v>0</v>
      </c>
      <c r="AG825">
        <v>0</v>
      </c>
      <c r="AH825" s="235">
        <v>54548.697525643744</v>
      </c>
      <c r="AI825">
        <v>226</v>
      </c>
      <c r="AJ825" t="s">
        <v>256</v>
      </c>
      <c r="AK825">
        <v>0</v>
      </c>
      <c r="AL825">
        <v>0</v>
      </c>
      <c r="AM825">
        <v>0</v>
      </c>
    </row>
    <row r="826" spans="1:39" x14ac:dyDescent="0.25">
      <c r="A826" t="s">
        <v>601</v>
      </c>
      <c r="B826" t="s">
        <v>633</v>
      </c>
      <c r="C826" t="s">
        <v>255</v>
      </c>
      <c r="D826" t="s">
        <v>234</v>
      </c>
      <c r="E826" t="s">
        <v>20</v>
      </c>
      <c r="F826" t="s">
        <v>624</v>
      </c>
      <c r="G826" t="s">
        <v>269</v>
      </c>
      <c r="H826" t="s">
        <v>254</v>
      </c>
      <c r="I826" t="s">
        <v>242</v>
      </c>
      <c r="J826" t="s">
        <v>235</v>
      </c>
      <c r="K826" s="380">
        <v>36892</v>
      </c>
      <c r="L826" s="235">
        <v>1217034.8823769863</v>
      </c>
      <c r="M826" s="380">
        <v>36888</v>
      </c>
      <c r="N826" t="s">
        <v>21</v>
      </c>
      <c r="O826">
        <v>0.15</v>
      </c>
      <c r="P826">
        <v>0</v>
      </c>
      <c r="Q826">
        <v>0</v>
      </c>
      <c r="R826">
        <v>0</v>
      </c>
      <c r="S826">
        <v>0</v>
      </c>
      <c r="T826" t="s">
        <v>253</v>
      </c>
      <c r="U826" t="s">
        <v>617</v>
      </c>
      <c r="V826" t="s">
        <v>253</v>
      </c>
      <c r="W826" t="s">
        <v>132</v>
      </c>
      <c r="X826" t="s">
        <v>253</v>
      </c>
      <c r="Y826" t="s">
        <v>235</v>
      </c>
      <c r="Z826" t="s">
        <v>236</v>
      </c>
      <c r="AA826" t="s">
        <v>253</v>
      </c>
      <c r="AB826" t="s">
        <v>121</v>
      </c>
      <c r="AC826" s="235">
        <v>2500000</v>
      </c>
      <c r="AD826" s="235">
        <v>109252.01789961685</v>
      </c>
      <c r="AE826">
        <v>0</v>
      </c>
      <c r="AF826">
        <v>0</v>
      </c>
      <c r="AG826">
        <v>0</v>
      </c>
      <c r="AH826" s="235">
        <v>53531.249850010965</v>
      </c>
      <c r="AI826">
        <v>226</v>
      </c>
      <c r="AJ826" t="s">
        <v>256</v>
      </c>
      <c r="AK826">
        <v>0</v>
      </c>
      <c r="AL826">
        <v>0</v>
      </c>
      <c r="AM826">
        <v>0</v>
      </c>
    </row>
    <row r="827" spans="1:39" x14ac:dyDescent="0.25">
      <c r="A827" t="s">
        <v>601</v>
      </c>
      <c r="B827" t="s">
        <v>633</v>
      </c>
      <c r="C827" t="s">
        <v>255</v>
      </c>
      <c r="D827" t="s">
        <v>234</v>
      </c>
      <c r="E827" t="s">
        <v>20</v>
      </c>
      <c r="F827" t="s">
        <v>624</v>
      </c>
      <c r="G827" t="s">
        <v>269</v>
      </c>
      <c r="H827" t="s">
        <v>254</v>
      </c>
      <c r="I827" t="s">
        <v>242</v>
      </c>
      <c r="J827" t="s">
        <v>235</v>
      </c>
      <c r="K827" s="380">
        <v>36923</v>
      </c>
      <c r="L827" s="235">
        <v>926223.19714752585</v>
      </c>
      <c r="M827" s="380">
        <v>36921</v>
      </c>
      <c r="N827" t="s">
        <v>21</v>
      </c>
      <c r="O827">
        <v>0.15</v>
      </c>
      <c r="P827">
        <v>0</v>
      </c>
      <c r="Q827">
        <v>0</v>
      </c>
      <c r="R827">
        <v>0</v>
      </c>
      <c r="S827">
        <v>0</v>
      </c>
      <c r="T827" t="s">
        <v>253</v>
      </c>
      <c r="U827" t="s">
        <v>617</v>
      </c>
      <c r="V827" t="s">
        <v>253</v>
      </c>
      <c r="W827" t="s">
        <v>132</v>
      </c>
      <c r="X827" t="s">
        <v>253</v>
      </c>
      <c r="Y827" t="s">
        <v>235</v>
      </c>
      <c r="Z827" t="s">
        <v>236</v>
      </c>
      <c r="AA827" t="s">
        <v>253</v>
      </c>
      <c r="AB827" t="s">
        <v>121</v>
      </c>
      <c r="AC827" s="235">
        <v>2500000</v>
      </c>
      <c r="AD827" s="235">
        <v>135189.85527651454</v>
      </c>
      <c r="AE827">
        <v>0</v>
      </c>
      <c r="AF827">
        <v>0</v>
      </c>
      <c r="AG827">
        <v>0</v>
      </c>
      <c r="AH827" s="235">
        <v>52535.731613476179</v>
      </c>
      <c r="AI827">
        <v>226</v>
      </c>
      <c r="AJ827" t="s">
        <v>256</v>
      </c>
      <c r="AK827">
        <v>0</v>
      </c>
      <c r="AL827">
        <v>0</v>
      </c>
      <c r="AM827">
        <v>0</v>
      </c>
    </row>
    <row r="828" spans="1:39" x14ac:dyDescent="0.25">
      <c r="A828" t="s">
        <v>601</v>
      </c>
      <c r="B828" t="s">
        <v>633</v>
      </c>
      <c r="C828" t="s">
        <v>255</v>
      </c>
      <c r="D828" t="s">
        <v>234</v>
      </c>
      <c r="E828" t="s">
        <v>20</v>
      </c>
      <c r="F828" t="s">
        <v>624</v>
      </c>
      <c r="G828" t="s">
        <v>269</v>
      </c>
      <c r="H828" t="s">
        <v>254</v>
      </c>
      <c r="I828" t="s">
        <v>242</v>
      </c>
      <c r="J828" t="s">
        <v>235</v>
      </c>
      <c r="K828" s="380">
        <v>36951</v>
      </c>
      <c r="L828" s="235">
        <v>390136.40464741417</v>
      </c>
      <c r="M828" s="380">
        <v>36949</v>
      </c>
      <c r="N828" t="s">
        <v>21</v>
      </c>
      <c r="O828">
        <v>0.15</v>
      </c>
      <c r="P828">
        <v>0</v>
      </c>
      <c r="Q828">
        <v>0</v>
      </c>
      <c r="R828">
        <v>0</v>
      </c>
      <c r="S828">
        <v>0</v>
      </c>
      <c r="T828" t="s">
        <v>253</v>
      </c>
      <c r="U828" t="s">
        <v>617</v>
      </c>
      <c r="V828" t="s">
        <v>253</v>
      </c>
      <c r="W828" t="s">
        <v>132</v>
      </c>
      <c r="X828" t="s">
        <v>253</v>
      </c>
      <c r="Y828" t="s">
        <v>235</v>
      </c>
      <c r="Z828" t="s">
        <v>236</v>
      </c>
      <c r="AA828" t="s">
        <v>253</v>
      </c>
      <c r="AB828" t="s">
        <v>121</v>
      </c>
      <c r="AC828" s="235">
        <v>2500000</v>
      </c>
      <c r="AD828" s="235">
        <v>130753.78158959339</v>
      </c>
      <c r="AE828">
        <v>0</v>
      </c>
      <c r="AF828">
        <v>0</v>
      </c>
      <c r="AG828">
        <v>0</v>
      </c>
      <c r="AH828" s="235">
        <v>35522.87399750395</v>
      </c>
      <c r="AI828">
        <v>226</v>
      </c>
      <c r="AJ828" t="s">
        <v>256</v>
      </c>
      <c r="AK828">
        <v>0</v>
      </c>
      <c r="AL828">
        <v>0</v>
      </c>
      <c r="AM828">
        <v>0</v>
      </c>
    </row>
    <row r="829" spans="1:39" x14ac:dyDescent="0.25">
      <c r="A829" t="s">
        <v>601</v>
      </c>
      <c r="B829" t="s">
        <v>626</v>
      </c>
      <c r="C829" t="s">
        <v>255</v>
      </c>
      <c r="D829" t="s">
        <v>234</v>
      </c>
      <c r="E829" t="s">
        <v>20</v>
      </c>
      <c r="F829" t="s">
        <v>279</v>
      </c>
      <c r="G829" t="s">
        <v>269</v>
      </c>
      <c r="H829" t="s">
        <v>254</v>
      </c>
      <c r="I829" t="s">
        <v>242</v>
      </c>
      <c r="J829" t="s">
        <v>235</v>
      </c>
      <c r="K829" s="380">
        <v>36831</v>
      </c>
      <c r="L829" s="235">
        <v>-101129.43230500924</v>
      </c>
      <c r="M829" s="380">
        <v>36829</v>
      </c>
      <c r="N829" t="s">
        <v>21</v>
      </c>
      <c r="O829">
        <v>1.5</v>
      </c>
      <c r="P829">
        <v>0</v>
      </c>
      <c r="Q829">
        <v>0</v>
      </c>
      <c r="R829">
        <v>0</v>
      </c>
      <c r="S829">
        <v>0</v>
      </c>
      <c r="T829" t="s">
        <v>253</v>
      </c>
      <c r="U829" t="s">
        <v>190</v>
      </c>
      <c r="V829" t="s">
        <v>253</v>
      </c>
      <c r="W829" t="s">
        <v>132</v>
      </c>
      <c r="X829" t="s">
        <v>253</v>
      </c>
      <c r="Y829" t="s">
        <v>235</v>
      </c>
      <c r="Z829" t="s">
        <v>236</v>
      </c>
      <c r="AA829" t="s">
        <v>253</v>
      </c>
      <c r="AB829" t="s">
        <v>121</v>
      </c>
      <c r="AC829" s="235">
        <v>-300000</v>
      </c>
      <c r="AD829" s="235">
        <v>-14131.497703634377</v>
      </c>
      <c r="AE829">
        <v>0</v>
      </c>
      <c r="AF829">
        <v>0</v>
      </c>
      <c r="AG829">
        <v>0</v>
      </c>
      <c r="AH829" s="235">
        <v>0</v>
      </c>
      <c r="AI829">
        <v>226</v>
      </c>
      <c r="AJ829" t="s">
        <v>256</v>
      </c>
      <c r="AK829">
        <v>0</v>
      </c>
      <c r="AL829">
        <v>0</v>
      </c>
      <c r="AM829">
        <v>0</v>
      </c>
    </row>
    <row r="830" spans="1:39" x14ac:dyDescent="0.25">
      <c r="A830" t="s">
        <v>601</v>
      </c>
      <c r="B830" t="s">
        <v>626</v>
      </c>
      <c r="C830" t="s">
        <v>255</v>
      </c>
      <c r="D830" t="s">
        <v>234</v>
      </c>
      <c r="E830" t="s">
        <v>20</v>
      </c>
      <c r="F830" t="s">
        <v>279</v>
      </c>
      <c r="G830" t="s">
        <v>269</v>
      </c>
      <c r="H830" t="s">
        <v>254</v>
      </c>
      <c r="I830" t="s">
        <v>242</v>
      </c>
      <c r="J830" t="s">
        <v>235</v>
      </c>
      <c r="K830" s="380">
        <v>36861</v>
      </c>
      <c r="L830" s="235">
        <v>-54737.736712851576</v>
      </c>
      <c r="M830" s="380">
        <v>36859</v>
      </c>
      <c r="N830" t="s">
        <v>21</v>
      </c>
      <c r="O830">
        <v>1.5</v>
      </c>
      <c r="P830">
        <v>0</v>
      </c>
      <c r="Q830">
        <v>0</v>
      </c>
      <c r="R830">
        <v>0</v>
      </c>
      <c r="S830">
        <v>0</v>
      </c>
      <c r="T830" t="s">
        <v>253</v>
      </c>
      <c r="U830" t="s">
        <v>190</v>
      </c>
      <c r="V830" t="s">
        <v>253</v>
      </c>
      <c r="W830" t="s">
        <v>132</v>
      </c>
      <c r="X830" t="s">
        <v>253</v>
      </c>
      <c r="Y830" t="s">
        <v>235</v>
      </c>
      <c r="Z830" t="s">
        <v>236</v>
      </c>
      <c r="AA830" t="s">
        <v>253</v>
      </c>
      <c r="AB830" t="s">
        <v>121</v>
      </c>
      <c r="AC830" s="235">
        <v>-310000</v>
      </c>
      <c r="AD830" s="235">
        <v>-15672.566367883497</v>
      </c>
      <c r="AE830">
        <v>0</v>
      </c>
      <c r="AF830">
        <v>0</v>
      </c>
      <c r="AG830">
        <v>0</v>
      </c>
      <c r="AH830" s="235">
        <v>0</v>
      </c>
      <c r="AI830">
        <v>226</v>
      </c>
      <c r="AJ830" t="s">
        <v>256</v>
      </c>
      <c r="AK830">
        <v>0</v>
      </c>
      <c r="AL830">
        <v>0</v>
      </c>
      <c r="AM830">
        <v>0</v>
      </c>
    </row>
    <row r="831" spans="1:39" x14ac:dyDescent="0.25">
      <c r="A831" t="s">
        <v>601</v>
      </c>
      <c r="B831" t="s">
        <v>626</v>
      </c>
      <c r="C831" t="s">
        <v>255</v>
      </c>
      <c r="D831" t="s">
        <v>234</v>
      </c>
      <c r="E831" t="s">
        <v>20</v>
      </c>
      <c r="F831" t="s">
        <v>279</v>
      </c>
      <c r="G831" t="s">
        <v>269</v>
      </c>
      <c r="H831" t="s">
        <v>254</v>
      </c>
      <c r="I831" t="s">
        <v>242</v>
      </c>
      <c r="J831" t="s">
        <v>235</v>
      </c>
      <c r="K831" s="380">
        <v>36892</v>
      </c>
      <c r="L831" s="235">
        <v>-46480.988853986149</v>
      </c>
      <c r="M831" s="380">
        <v>36888</v>
      </c>
      <c r="N831" t="s">
        <v>21</v>
      </c>
      <c r="O831">
        <v>1.5</v>
      </c>
      <c r="P831">
        <v>0</v>
      </c>
      <c r="Q831">
        <v>0</v>
      </c>
      <c r="R831">
        <v>0</v>
      </c>
      <c r="S831">
        <v>0</v>
      </c>
      <c r="T831" t="s">
        <v>253</v>
      </c>
      <c r="U831" t="s">
        <v>190</v>
      </c>
      <c r="V831" t="s">
        <v>253</v>
      </c>
      <c r="W831" t="s">
        <v>132</v>
      </c>
      <c r="X831" t="s">
        <v>253</v>
      </c>
      <c r="Y831" t="s">
        <v>235</v>
      </c>
      <c r="Z831" t="s">
        <v>236</v>
      </c>
      <c r="AA831" t="s">
        <v>253</v>
      </c>
      <c r="AB831" t="s">
        <v>121</v>
      </c>
      <c r="AC831" s="235">
        <v>-310000</v>
      </c>
      <c r="AD831" s="235">
        <v>-16293.741716371645</v>
      </c>
      <c r="AE831">
        <v>0</v>
      </c>
      <c r="AF831">
        <v>0</v>
      </c>
      <c r="AG831">
        <v>0</v>
      </c>
      <c r="AH831" s="235">
        <v>0</v>
      </c>
      <c r="AI831">
        <v>226</v>
      </c>
      <c r="AJ831" t="s">
        <v>256</v>
      </c>
      <c r="AK831">
        <v>0</v>
      </c>
      <c r="AL831">
        <v>0</v>
      </c>
      <c r="AM831">
        <v>0</v>
      </c>
    </row>
    <row r="832" spans="1:39" x14ac:dyDescent="0.25">
      <c r="A832" t="s">
        <v>601</v>
      </c>
      <c r="B832" t="s">
        <v>626</v>
      </c>
      <c r="C832" t="s">
        <v>255</v>
      </c>
      <c r="D832" t="s">
        <v>234</v>
      </c>
      <c r="E832" t="s">
        <v>20</v>
      </c>
      <c r="F832" t="s">
        <v>279</v>
      </c>
      <c r="G832" t="s">
        <v>269</v>
      </c>
      <c r="H832" t="s">
        <v>254</v>
      </c>
      <c r="I832" t="s">
        <v>242</v>
      </c>
      <c r="J832" t="s">
        <v>235</v>
      </c>
      <c r="K832" s="380">
        <v>36923</v>
      </c>
      <c r="L832" s="235">
        <v>-36120.470455871357</v>
      </c>
      <c r="M832" s="380">
        <v>36921</v>
      </c>
      <c r="N832" t="s">
        <v>21</v>
      </c>
      <c r="O832">
        <v>1.5</v>
      </c>
      <c r="P832">
        <v>0</v>
      </c>
      <c r="Q832">
        <v>0</v>
      </c>
      <c r="R832">
        <v>0</v>
      </c>
      <c r="S832">
        <v>0</v>
      </c>
      <c r="T832" t="s">
        <v>253</v>
      </c>
      <c r="U832" t="s">
        <v>190</v>
      </c>
      <c r="V832" t="s">
        <v>253</v>
      </c>
      <c r="W832" t="s">
        <v>132</v>
      </c>
      <c r="X832" t="s">
        <v>253</v>
      </c>
      <c r="Y832" t="s">
        <v>235</v>
      </c>
      <c r="Z832" t="s">
        <v>236</v>
      </c>
      <c r="AA832" t="s">
        <v>253</v>
      </c>
      <c r="AB832" t="s">
        <v>121</v>
      </c>
      <c r="AC832" s="235">
        <v>-280000</v>
      </c>
      <c r="AD832" s="235">
        <v>-14837.73557634664</v>
      </c>
      <c r="AE832">
        <v>0</v>
      </c>
      <c r="AF832">
        <v>0</v>
      </c>
      <c r="AG832">
        <v>0</v>
      </c>
      <c r="AH832" s="235">
        <v>0</v>
      </c>
      <c r="AI832">
        <v>226</v>
      </c>
      <c r="AJ832" t="s">
        <v>256</v>
      </c>
      <c r="AK832">
        <v>0</v>
      </c>
      <c r="AL832">
        <v>0</v>
      </c>
      <c r="AM832">
        <v>0</v>
      </c>
    </row>
    <row r="833" spans="1:39" x14ac:dyDescent="0.25">
      <c r="A833" t="s">
        <v>601</v>
      </c>
      <c r="B833" t="s">
        <v>626</v>
      </c>
      <c r="C833" t="s">
        <v>255</v>
      </c>
      <c r="D833" t="s">
        <v>234</v>
      </c>
      <c r="E833" t="s">
        <v>20</v>
      </c>
      <c r="F833" t="s">
        <v>279</v>
      </c>
      <c r="G833" t="s">
        <v>269</v>
      </c>
      <c r="H833" t="s">
        <v>254</v>
      </c>
      <c r="I833" t="s">
        <v>242</v>
      </c>
      <c r="J833" t="s">
        <v>235</v>
      </c>
      <c r="K833" s="380">
        <v>36951</v>
      </c>
      <c r="L833" s="235">
        <v>-32140.086069051034</v>
      </c>
      <c r="M833" s="380">
        <v>36949</v>
      </c>
      <c r="N833" t="s">
        <v>21</v>
      </c>
      <c r="O833">
        <v>1.5</v>
      </c>
      <c r="P833">
        <v>0</v>
      </c>
      <c r="Q833">
        <v>0</v>
      </c>
      <c r="R833">
        <v>0</v>
      </c>
      <c r="S833">
        <v>0</v>
      </c>
      <c r="T833" t="s">
        <v>253</v>
      </c>
      <c r="U833" t="s">
        <v>190</v>
      </c>
      <c r="V833" t="s">
        <v>253</v>
      </c>
      <c r="W833" t="s">
        <v>132</v>
      </c>
      <c r="X833" t="s">
        <v>253</v>
      </c>
      <c r="Y833" t="s">
        <v>235</v>
      </c>
      <c r="Z833" t="s">
        <v>236</v>
      </c>
      <c r="AA833" t="s">
        <v>253</v>
      </c>
      <c r="AB833" t="s">
        <v>121</v>
      </c>
      <c r="AC833" s="235">
        <v>-310000</v>
      </c>
      <c r="AD833" s="235">
        <v>-14834.939660773322</v>
      </c>
      <c r="AE833">
        <v>0</v>
      </c>
      <c r="AF833">
        <v>0</v>
      </c>
      <c r="AG833">
        <v>0</v>
      </c>
      <c r="AH833" s="235">
        <v>0</v>
      </c>
      <c r="AI833">
        <v>226</v>
      </c>
      <c r="AJ833" t="s">
        <v>256</v>
      </c>
      <c r="AK833">
        <v>0</v>
      </c>
      <c r="AL833">
        <v>0</v>
      </c>
      <c r="AM833">
        <v>0</v>
      </c>
    </row>
    <row r="834" spans="1:39" x14ac:dyDescent="0.25">
      <c r="A834" t="s">
        <v>601</v>
      </c>
      <c r="B834" t="s">
        <v>627</v>
      </c>
      <c r="C834" t="s">
        <v>255</v>
      </c>
      <c r="D834" t="s">
        <v>234</v>
      </c>
      <c r="E834" t="s">
        <v>20</v>
      </c>
      <c r="F834" t="s">
        <v>279</v>
      </c>
      <c r="G834" t="s">
        <v>269</v>
      </c>
      <c r="H834" t="s">
        <v>254</v>
      </c>
      <c r="I834" t="s">
        <v>242</v>
      </c>
      <c r="J834" t="s">
        <v>235</v>
      </c>
      <c r="K834" s="380">
        <v>36831</v>
      </c>
      <c r="L834" s="235">
        <v>337098.10768336413</v>
      </c>
      <c r="M834" s="380">
        <v>36829</v>
      </c>
      <c r="N834" t="s">
        <v>21</v>
      </c>
      <c r="O834">
        <v>1.5</v>
      </c>
      <c r="P834">
        <v>0</v>
      </c>
      <c r="Q834">
        <v>0</v>
      </c>
      <c r="R834">
        <v>0</v>
      </c>
      <c r="S834">
        <v>0</v>
      </c>
      <c r="T834" t="s">
        <v>253</v>
      </c>
      <c r="U834" t="s">
        <v>190</v>
      </c>
      <c r="V834" t="s">
        <v>253</v>
      </c>
      <c r="W834" t="s">
        <v>132</v>
      </c>
      <c r="X834" t="s">
        <v>253</v>
      </c>
      <c r="Y834" t="s">
        <v>235</v>
      </c>
      <c r="Z834" t="s">
        <v>236</v>
      </c>
      <c r="AA834" t="s">
        <v>253</v>
      </c>
      <c r="AB834" t="s">
        <v>121</v>
      </c>
      <c r="AC834" s="235">
        <v>1000000</v>
      </c>
      <c r="AD834" s="235">
        <v>47104.992345447885</v>
      </c>
      <c r="AE834">
        <v>0</v>
      </c>
      <c r="AF834">
        <v>0</v>
      </c>
      <c r="AG834">
        <v>0</v>
      </c>
      <c r="AH834" s="235">
        <v>0</v>
      </c>
      <c r="AI834">
        <v>226</v>
      </c>
      <c r="AJ834" t="s">
        <v>256</v>
      </c>
      <c r="AK834">
        <v>0</v>
      </c>
      <c r="AL834">
        <v>0</v>
      </c>
      <c r="AM834">
        <v>0</v>
      </c>
    </row>
    <row r="835" spans="1:39" x14ac:dyDescent="0.25">
      <c r="A835" t="s">
        <v>601</v>
      </c>
      <c r="B835" t="s">
        <v>627</v>
      </c>
      <c r="C835" t="s">
        <v>255</v>
      </c>
      <c r="D835" t="s">
        <v>234</v>
      </c>
      <c r="E835" t="s">
        <v>20</v>
      </c>
      <c r="F835" t="s">
        <v>279</v>
      </c>
      <c r="G835" t="s">
        <v>269</v>
      </c>
      <c r="H835" t="s">
        <v>254</v>
      </c>
      <c r="I835" t="s">
        <v>242</v>
      </c>
      <c r="J835" t="s">
        <v>235</v>
      </c>
      <c r="K835" s="380">
        <v>36861</v>
      </c>
      <c r="L835" s="235">
        <v>176573.34423500509</v>
      </c>
      <c r="M835" s="380">
        <v>36859</v>
      </c>
      <c r="N835" t="s">
        <v>21</v>
      </c>
      <c r="O835">
        <v>1.5</v>
      </c>
      <c r="P835">
        <v>0</v>
      </c>
      <c r="Q835">
        <v>0</v>
      </c>
      <c r="R835">
        <v>0</v>
      </c>
      <c r="S835">
        <v>0</v>
      </c>
      <c r="T835" t="s">
        <v>253</v>
      </c>
      <c r="U835" t="s">
        <v>190</v>
      </c>
      <c r="V835" t="s">
        <v>253</v>
      </c>
      <c r="W835" t="s">
        <v>132</v>
      </c>
      <c r="X835" t="s">
        <v>253</v>
      </c>
      <c r="Y835" t="s">
        <v>235</v>
      </c>
      <c r="Z835" t="s">
        <v>236</v>
      </c>
      <c r="AA835" t="s">
        <v>253</v>
      </c>
      <c r="AB835" t="s">
        <v>121</v>
      </c>
      <c r="AC835" s="235">
        <v>1000000</v>
      </c>
      <c r="AD835" s="235">
        <v>50556.665702850034</v>
      </c>
      <c r="AE835">
        <v>0</v>
      </c>
      <c r="AF835">
        <v>0</v>
      </c>
      <c r="AG835">
        <v>0</v>
      </c>
      <c r="AH835" s="235">
        <v>0</v>
      </c>
      <c r="AI835">
        <v>226</v>
      </c>
      <c r="AJ835" t="s">
        <v>256</v>
      </c>
      <c r="AK835">
        <v>0</v>
      </c>
      <c r="AL835">
        <v>0</v>
      </c>
      <c r="AM835">
        <v>0</v>
      </c>
    </row>
    <row r="836" spans="1:39" x14ac:dyDescent="0.25">
      <c r="A836" t="s">
        <v>601</v>
      </c>
      <c r="B836" t="s">
        <v>627</v>
      </c>
      <c r="C836" t="s">
        <v>255</v>
      </c>
      <c r="D836" t="s">
        <v>234</v>
      </c>
      <c r="E836" t="s">
        <v>20</v>
      </c>
      <c r="F836" t="s">
        <v>279</v>
      </c>
      <c r="G836" t="s">
        <v>269</v>
      </c>
      <c r="H836" t="s">
        <v>254</v>
      </c>
      <c r="I836" t="s">
        <v>242</v>
      </c>
      <c r="J836" t="s">
        <v>235</v>
      </c>
      <c r="K836" s="380">
        <v>36892</v>
      </c>
      <c r="L836" s="235">
        <v>149938.67372253598</v>
      </c>
      <c r="M836" s="380">
        <v>36888</v>
      </c>
      <c r="N836" t="s">
        <v>21</v>
      </c>
      <c r="O836">
        <v>1.5</v>
      </c>
      <c r="P836">
        <v>0</v>
      </c>
      <c r="Q836">
        <v>0</v>
      </c>
      <c r="R836">
        <v>0</v>
      </c>
      <c r="S836">
        <v>0</v>
      </c>
      <c r="T836" t="s">
        <v>253</v>
      </c>
      <c r="U836" t="s">
        <v>190</v>
      </c>
      <c r="V836" t="s">
        <v>253</v>
      </c>
      <c r="W836" t="s">
        <v>132</v>
      </c>
      <c r="X836" t="s">
        <v>253</v>
      </c>
      <c r="Y836" t="s">
        <v>235</v>
      </c>
      <c r="Z836" t="s">
        <v>236</v>
      </c>
      <c r="AA836" t="s">
        <v>253</v>
      </c>
      <c r="AB836" t="s">
        <v>121</v>
      </c>
      <c r="AC836" s="235">
        <v>1000000</v>
      </c>
      <c r="AD836" s="235">
        <v>52560.457149585913</v>
      </c>
      <c r="AE836">
        <v>0</v>
      </c>
      <c r="AF836">
        <v>0</v>
      </c>
      <c r="AG836">
        <v>0</v>
      </c>
      <c r="AH836" s="235">
        <v>0</v>
      </c>
      <c r="AI836">
        <v>226</v>
      </c>
      <c r="AJ836" t="s">
        <v>256</v>
      </c>
      <c r="AK836">
        <v>0</v>
      </c>
      <c r="AL836">
        <v>0</v>
      </c>
      <c r="AM836">
        <v>0</v>
      </c>
    </row>
    <row r="837" spans="1:39" x14ac:dyDescent="0.25">
      <c r="A837" t="s">
        <v>601</v>
      </c>
      <c r="B837" t="s">
        <v>627</v>
      </c>
      <c r="C837" t="s">
        <v>255</v>
      </c>
      <c r="D837" t="s">
        <v>234</v>
      </c>
      <c r="E837" t="s">
        <v>20</v>
      </c>
      <c r="F837" t="s">
        <v>279</v>
      </c>
      <c r="G837" t="s">
        <v>269</v>
      </c>
      <c r="H837" t="s">
        <v>254</v>
      </c>
      <c r="I837" t="s">
        <v>242</v>
      </c>
      <c r="J837" t="s">
        <v>235</v>
      </c>
      <c r="K837" s="380">
        <v>36923</v>
      </c>
      <c r="L837" s="235">
        <v>129001.68019954055</v>
      </c>
      <c r="M837" s="380">
        <v>36921</v>
      </c>
      <c r="N837" t="s">
        <v>21</v>
      </c>
      <c r="O837">
        <v>1.5</v>
      </c>
      <c r="P837">
        <v>0</v>
      </c>
      <c r="Q837">
        <v>0</v>
      </c>
      <c r="R837">
        <v>0</v>
      </c>
      <c r="S837">
        <v>0</v>
      </c>
      <c r="T837" t="s">
        <v>253</v>
      </c>
      <c r="U837" t="s">
        <v>190</v>
      </c>
      <c r="V837" t="s">
        <v>253</v>
      </c>
      <c r="W837" t="s">
        <v>132</v>
      </c>
      <c r="X837" t="s">
        <v>253</v>
      </c>
      <c r="Y837" t="s">
        <v>235</v>
      </c>
      <c r="Z837" t="s">
        <v>236</v>
      </c>
      <c r="AA837" t="s">
        <v>253</v>
      </c>
      <c r="AB837" t="s">
        <v>121</v>
      </c>
      <c r="AC837" s="235">
        <v>1000000</v>
      </c>
      <c r="AD837" s="235">
        <v>52991.912772666576</v>
      </c>
      <c r="AE837">
        <v>0</v>
      </c>
      <c r="AF837">
        <v>0</v>
      </c>
      <c r="AG837">
        <v>0</v>
      </c>
      <c r="AH837" s="235">
        <v>0</v>
      </c>
      <c r="AI837">
        <v>226</v>
      </c>
      <c r="AJ837" t="s">
        <v>256</v>
      </c>
      <c r="AK837">
        <v>0</v>
      </c>
      <c r="AL837">
        <v>0</v>
      </c>
      <c r="AM837">
        <v>0</v>
      </c>
    </row>
    <row r="838" spans="1:39" x14ac:dyDescent="0.25">
      <c r="A838" t="s">
        <v>601</v>
      </c>
      <c r="B838" t="s">
        <v>627</v>
      </c>
      <c r="C838" t="s">
        <v>255</v>
      </c>
      <c r="D838" t="s">
        <v>234</v>
      </c>
      <c r="E838" t="s">
        <v>20</v>
      </c>
      <c r="F838" t="s">
        <v>279</v>
      </c>
      <c r="G838" t="s">
        <v>269</v>
      </c>
      <c r="H838" t="s">
        <v>254</v>
      </c>
      <c r="I838" t="s">
        <v>242</v>
      </c>
      <c r="J838" t="s">
        <v>235</v>
      </c>
      <c r="K838" s="380">
        <v>36951</v>
      </c>
      <c r="L838" s="235">
        <v>103677.69699693883</v>
      </c>
      <c r="M838" s="380">
        <v>36949</v>
      </c>
      <c r="N838" t="s">
        <v>21</v>
      </c>
      <c r="O838">
        <v>1.5</v>
      </c>
      <c r="P838">
        <v>0</v>
      </c>
      <c r="Q838">
        <v>0</v>
      </c>
      <c r="R838">
        <v>0</v>
      </c>
      <c r="S838">
        <v>0</v>
      </c>
      <c r="T838" t="s">
        <v>253</v>
      </c>
      <c r="U838" t="s">
        <v>190</v>
      </c>
      <c r="V838" t="s">
        <v>253</v>
      </c>
      <c r="W838" t="s">
        <v>132</v>
      </c>
      <c r="X838" t="s">
        <v>253</v>
      </c>
      <c r="Y838" t="s">
        <v>235</v>
      </c>
      <c r="Z838" t="s">
        <v>236</v>
      </c>
      <c r="AA838" t="s">
        <v>253</v>
      </c>
      <c r="AB838" t="s">
        <v>121</v>
      </c>
      <c r="AC838" s="235">
        <v>1000000</v>
      </c>
      <c r="AD838" s="235">
        <v>47854.644067010697</v>
      </c>
      <c r="AE838">
        <v>0</v>
      </c>
      <c r="AF838">
        <v>0</v>
      </c>
      <c r="AG838">
        <v>0</v>
      </c>
      <c r="AH838" s="235">
        <v>0</v>
      </c>
      <c r="AI838">
        <v>226</v>
      </c>
      <c r="AJ838" t="s">
        <v>256</v>
      </c>
      <c r="AK838">
        <v>0</v>
      </c>
      <c r="AL838">
        <v>0</v>
      </c>
      <c r="AM838">
        <v>0</v>
      </c>
    </row>
    <row r="839" spans="1:39" x14ac:dyDescent="0.25">
      <c r="A839" t="s">
        <v>601</v>
      </c>
      <c r="B839" t="s">
        <v>628</v>
      </c>
      <c r="C839" t="s">
        <v>255</v>
      </c>
      <c r="D839" t="s">
        <v>234</v>
      </c>
      <c r="E839" t="s">
        <v>20</v>
      </c>
      <c r="F839" t="s">
        <v>279</v>
      </c>
      <c r="G839" t="s">
        <v>269</v>
      </c>
      <c r="H839" t="s">
        <v>254</v>
      </c>
      <c r="I839" t="s">
        <v>242</v>
      </c>
      <c r="J839" t="s">
        <v>235</v>
      </c>
      <c r="K839" s="380">
        <v>36982</v>
      </c>
      <c r="L839" s="235">
        <v>-28264.765885709181</v>
      </c>
      <c r="M839" s="380">
        <v>36979</v>
      </c>
      <c r="N839" t="s">
        <v>21</v>
      </c>
      <c r="O839">
        <v>1.5</v>
      </c>
      <c r="P839">
        <v>0</v>
      </c>
      <c r="Q839">
        <v>0</v>
      </c>
      <c r="R839">
        <v>0</v>
      </c>
      <c r="S839">
        <v>0</v>
      </c>
      <c r="T839" t="s">
        <v>253</v>
      </c>
      <c r="U839" t="s">
        <v>190</v>
      </c>
      <c r="V839" t="s">
        <v>253</v>
      </c>
      <c r="W839" t="s">
        <v>132</v>
      </c>
      <c r="X839" t="s">
        <v>253</v>
      </c>
      <c r="Y839" t="s">
        <v>235</v>
      </c>
      <c r="Z839" t="s">
        <v>236</v>
      </c>
      <c r="AA839" t="s">
        <v>253</v>
      </c>
      <c r="AB839" t="s">
        <v>121</v>
      </c>
      <c r="AC839" s="235">
        <v>-500000</v>
      </c>
      <c r="AD839" s="235">
        <v>-15567.399691061873</v>
      </c>
      <c r="AE839">
        <v>0</v>
      </c>
      <c r="AF839">
        <v>0</v>
      </c>
      <c r="AG839">
        <v>0</v>
      </c>
      <c r="AH839" s="235">
        <v>0</v>
      </c>
      <c r="AI839">
        <v>226</v>
      </c>
      <c r="AJ839" t="s">
        <v>256</v>
      </c>
      <c r="AK839">
        <v>0</v>
      </c>
      <c r="AL839">
        <v>0</v>
      </c>
      <c r="AM839">
        <v>0</v>
      </c>
    </row>
    <row r="840" spans="1:39" x14ac:dyDescent="0.25">
      <c r="A840" t="s">
        <v>601</v>
      </c>
      <c r="B840" t="s">
        <v>628</v>
      </c>
      <c r="C840" t="s">
        <v>255</v>
      </c>
      <c r="D840" t="s">
        <v>234</v>
      </c>
      <c r="E840" t="s">
        <v>20</v>
      </c>
      <c r="F840" t="s">
        <v>279</v>
      </c>
      <c r="G840" t="s">
        <v>269</v>
      </c>
      <c r="H840" t="s">
        <v>254</v>
      </c>
      <c r="I840" t="s">
        <v>242</v>
      </c>
      <c r="J840" t="s">
        <v>235</v>
      </c>
      <c r="K840" s="380">
        <v>37012</v>
      </c>
      <c r="L840" s="235">
        <v>-25116.854773561477</v>
      </c>
      <c r="M840" s="380">
        <v>37008</v>
      </c>
      <c r="N840" t="s">
        <v>21</v>
      </c>
      <c r="O840">
        <v>1.5</v>
      </c>
      <c r="P840">
        <v>0</v>
      </c>
      <c r="Q840">
        <v>0</v>
      </c>
      <c r="R840">
        <v>0</v>
      </c>
      <c r="S840">
        <v>0</v>
      </c>
      <c r="T840" t="s">
        <v>253</v>
      </c>
      <c r="U840" t="s">
        <v>190</v>
      </c>
      <c r="V840" t="s">
        <v>253</v>
      </c>
      <c r="W840" t="s">
        <v>132</v>
      </c>
      <c r="X840" t="s">
        <v>253</v>
      </c>
      <c r="Y840" t="s">
        <v>235</v>
      </c>
      <c r="Z840" t="s">
        <v>236</v>
      </c>
      <c r="AA840" t="s">
        <v>253</v>
      </c>
      <c r="AB840" t="s">
        <v>121</v>
      </c>
      <c r="AC840" s="235">
        <v>-500000</v>
      </c>
      <c r="AD840" s="235">
        <v>-14459.578876682535</v>
      </c>
      <c r="AE840">
        <v>0</v>
      </c>
      <c r="AF840">
        <v>0</v>
      </c>
      <c r="AG840">
        <v>0</v>
      </c>
      <c r="AH840" s="235">
        <v>0</v>
      </c>
      <c r="AI840">
        <v>226</v>
      </c>
      <c r="AJ840" t="s">
        <v>256</v>
      </c>
      <c r="AK840">
        <v>0</v>
      </c>
      <c r="AL840">
        <v>0</v>
      </c>
      <c r="AM840">
        <v>0</v>
      </c>
    </row>
    <row r="841" spans="1:39" x14ac:dyDescent="0.25">
      <c r="A841" t="s">
        <v>601</v>
      </c>
      <c r="B841" t="s">
        <v>628</v>
      </c>
      <c r="C841" t="s">
        <v>255</v>
      </c>
      <c r="D841" t="s">
        <v>234</v>
      </c>
      <c r="E841" t="s">
        <v>20</v>
      </c>
      <c r="F841" t="s">
        <v>279</v>
      </c>
      <c r="G841" t="s">
        <v>269</v>
      </c>
      <c r="H841" t="s">
        <v>254</v>
      </c>
      <c r="I841" t="s">
        <v>242</v>
      </c>
      <c r="J841" t="s">
        <v>235</v>
      </c>
      <c r="K841" s="380">
        <v>37043</v>
      </c>
      <c r="L841" s="235">
        <v>-30653.970320006418</v>
      </c>
      <c r="M841" s="380">
        <v>37041</v>
      </c>
      <c r="N841" t="s">
        <v>21</v>
      </c>
      <c r="O841">
        <v>1.5</v>
      </c>
      <c r="P841">
        <v>0</v>
      </c>
      <c r="Q841">
        <v>0</v>
      </c>
      <c r="R841">
        <v>0</v>
      </c>
      <c r="S841">
        <v>0</v>
      </c>
      <c r="T841" t="s">
        <v>253</v>
      </c>
      <c r="U841" t="s">
        <v>190</v>
      </c>
      <c r="V841" t="s">
        <v>253</v>
      </c>
      <c r="W841" t="s">
        <v>132</v>
      </c>
      <c r="X841" t="s">
        <v>253</v>
      </c>
      <c r="Y841" t="s">
        <v>235</v>
      </c>
      <c r="Z841" t="s">
        <v>236</v>
      </c>
      <c r="AA841" t="s">
        <v>253</v>
      </c>
      <c r="AB841" t="s">
        <v>121</v>
      </c>
      <c r="AC841" s="235">
        <v>-500000</v>
      </c>
      <c r="AD841" s="235">
        <v>-16456.6569630105</v>
      </c>
      <c r="AE841">
        <v>0</v>
      </c>
      <c r="AF841">
        <v>0</v>
      </c>
      <c r="AG841">
        <v>0</v>
      </c>
      <c r="AH841" s="235">
        <v>0</v>
      </c>
      <c r="AI841">
        <v>226</v>
      </c>
      <c r="AJ841" t="s">
        <v>256</v>
      </c>
      <c r="AK841">
        <v>0</v>
      </c>
      <c r="AL841">
        <v>0</v>
      </c>
      <c r="AM841">
        <v>0</v>
      </c>
    </row>
    <row r="842" spans="1:39" x14ac:dyDescent="0.25">
      <c r="A842" t="s">
        <v>601</v>
      </c>
      <c r="B842" t="s">
        <v>628</v>
      </c>
      <c r="C842" t="s">
        <v>255</v>
      </c>
      <c r="D842" t="s">
        <v>234</v>
      </c>
      <c r="E842" t="s">
        <v>20</v>
      </c>
      <c r="F842" t="s">
        <v>279</v>
      </c>
      <c r="G842" t="s">
        <v>269</v>
      </c>
      <c r="H842" t="s">
        <v>254</v>
      </c>
      <c r="I842" t="s">
        <v>242</v>
      </c>
      <c r="J842" t="s">
        <v>235</v>
      </c>
      <c r="K842" s="380">
        <v>37073</v>
      </c>
      <c r="L842" s="235">
        <v>-120718.47506972539</v>
      </c>
      <c r="M842" s="380">
        <v>37070</v>
      </c>
      <c r="N842" t="s">
        <v>21</v>
      </c>
      <c r="O842">
        <v>1.5</v>
      </c>
      <c r="P842">
        <v>0</v>
      </c>
      <c r="Q842">
        <v>0</v>
      </c>
      <c r="R842">
        <v>0</v>
      </c>
      <c r="S842">
        <v>0</v>
      </c>
      <c r="T842" t="s">
        <v>253</v>
      </c>
      <c r="U842" t="s">
        <v>190</v>
      </c>
      <c r="V842" t="s">
        <v>253</v>
      </c>
      <c r="W842" t="s">
        <v>132</v>
      </c>
      <c r="X842" t="s">
        <v>253</v>
      </c>
      <c r="Y842" t="s">
        <v>235</v>
      </c>
      <c r="Z842" t="s">
        <v>236</v>
      </c>
      <c r="AA842" t="s">
        <v>253</v>
      </c>
      <c r="AB842" t="s">
        <v>121</v>
      </c>
      <c r="AC842" s="235">
        <v>-500000</v>
      </c>
      <c r="AD842" s="235">
        <v>-27571.142715830822</v>
      </c>
      <c r="AE842">
        <v>0</v>
      </c>
      <c r="AF842">
        <v>0</v>
      </c>
      <c r="AG842">
        <v>0</v>
      </c>
      <c r="AH842" s="235">
        <v>0</v>
      </c>
      <c r="AI842">
        <v>226</v>
      </c>
      <c r="AJ842" t="s">
        <v>256</v>
      </c>
      <c r="AK842">
        <v>0</v>
      </c>
      <c r="AL842">
        <v>0</v>
      </c>
      <c r="AM842">
        <v>0</v>
      </c>
    </row>
    <row r="843" spans="1:39" x14ac:dyDescent="0.25">
      <c r="A843" t="s">
        <v>601</v>
      </c>
      <c r="B843" t="s">
        <v>628</v>
      </c>
      <c r="C843" t="s">
        <v>255</v>
      </c>
      <c r="D843" t="s">
        <v>234</v>
      </c>
      <c r="E843" t="s">
        <v>20</v>
      </c>
      <c r="F843" t="s">
        <v>279</v>
      </c>
      <c r="G843" t="s">
        <v>269</v>
      </c>
      <c r="H843" t="s">
        <v>254</v>
      </c>
      <c r="I843" t="s">
        <v>242</v>
      </c>
      <c r="J843" t="s">
        <v>235</v>
      </c>
      <c r="K843" s="380">
        <v>37104</v>
      </c>
      <c r="L843" s="235">
        <v>-139258.94050925114</v>
      </c>
      <c r="M843" s="380">
        <v>37102</v>
      </c>
      <c r="N843" t="s">
        <v>21</v>
      </c>
      <c r="O843">
        <v>1.5</v>
      </c>
      <c r="P843">
        <v>0</v>
      </c>
      <c r="Q843">
        <v>0</v>
      </c>
      <c r="R843">
        <v>0</v>
      </c>
      <c r="S843">
        <v>0</v>
      </c>
      <c r="T843" t="s">
        <v>253</v>
      </c>
      <c r="U843" t="s">
        <v>190</v>
      </c>
      <c r="V843" t="s">
        <v>253</v>
      </c>
      <c r="W843" t="s">
        <v>132</v>
      </c>
      <c r="X843" t="s">
        <v>253</v>
      </c>
      <c r="Y843" t="s">
        <v>235</v>
      </c>
      <c r="Z843" t="s">
        <v>236</v>
      </c>
      <c r="AA843" t="s">
        <v>253</v>
      </c>
      <c r="AB843" t="s">
        <v>121</v>
      </c>
      <c r="AC843" s="235">
        <v>-500000</v>
      </c>
      <c r="AD843" s="235">
        <v>-29248.82365927007</v>
      </c>
      <c r="AE843">
        <v>0</v>
      </c>
      <c r="AF843">
        <v>0</v>
      </c>
      <c r="AG843">
        <v>0</v>
      </c>
      <c r="AH843" s="235">
        <v>0</v>
      </c>
      <c r="AI843">
        <v>226</v>
      </c>
      <c r="AJ843" t="s">
        <v>256</v>
      </c>
      <c r="AK843">
        <v>0</v>
      </c>
      <c r="AL843">
        <v>0</v>
      </c>
      <c r="AM843">
        <v>0</v>
      </c>
    </row>
    <row r="844" spans="1:39" x14ac:dyDescent="0.25">
      <c r="A844" t="s">
        <v>601</v>
      </c>
      <c r="B844" t="s">
        <v>628</v>
      </c>
      <c r="C844" t="s">
        <v>255</v>
      </c>
      <c r="D844" t="s">
        <v>234</v>
      </c>
      <c r="E844" t="s">
        <v>20</v>
      </c>
      <c r="F844" t="s">
        <v>279</v>
      </c>
      <c r="G844" t="s">
        <v>269</v>
      </c>
      <c r="H844" t="s">
        <v>254</v>
      </c>
      <c r="I844" t="s">
        <v>242</v>
      </c>
      <c r="J844" t="s">
        <v>235</v>
      </c>
      <c r="K844" s="380">
        <v>37135</v>
      </c>
      <c r="L844" s="235">
        <v>-141304.7360527617</v>
      </c>
      <c r="M844" s="380">
        <v>37133</v>
      </c>
      <c r="N844" t="s">
        <v>21</v>
      </c>
      <c r="O844">
        <v>1.5</v>
      </c>
      <c r="P844">
        <v>0</v>
      </c>
      <c r="Q844">
        <v>0</v>
      </c>
      <c r="R844">
        <v>0</v>
      </c>
      <c r="S844">
        <v>0</v>
      </c>
      <c r="T844" t="s">
        <v>253</v>
      </c>
      <c r="U844" t="s">
        <v>190</v>
      </c>
      <c r="V844" t="s">
        <v>253</v>
      </c>
      <c r="W844" t="s">
        <v>132</v>
      </c>
      <c r="X844" t="s">
        <v>253</v>
      </c>
      <c r="Y844" t="s">
        <v>235</v>
      </c>
      <c r="Z844" t="s">
        <v>236</v>
      </c>
      <c r="AA844" t="s">
        <v>253</v>
      </c>
      <c r="AB844" t="s">
        <v>121</v>
      </c>
      <c r="AC844" s="235">
        <v>-500000</v>
      </c>
      <c r="AD844" s="235">
        <v>-30313.214591835014</v>
      </c>
      <c r="AE844">
        <v>0</v>
      </c>
      <c r="AF844">
        <v>0</v>
      </c>
      <c r="AG844">
        <v>0</v>
      </c>
      <c r="AH844" s="235">
        <v>0</v>
      </c>
      <c r="AI844">
        <v>226</v>
      </c>
      <c r="AJ844" t="s">
        <v>256</v>
      </c>
      <c r="AK844">
        <v>0</v>
      </c>
      <c r="AL844">
        <v>0</v>
      </c>
      <c r="AM844">
        <v>0</v>
      </c>
    </row>
    <row r="845" spans="1:39" x14ac:dyDescent="0.25">
      <c r="A845" t="s">
        <v>601</v>
      </c>
      <c r="B845" t="s">
        <v>628</v>
      </c>
      <c r="C845" t="s">
        <v>255</v>
      </c>
      <c r="D845" t="s">
        <v>234</v>
      </c>
      <c r="E845" t="s">
        <v>20</v>
      </c>
      <c r="F845" t="s">
        <v>279</v>
      </c>
      <c r="G845" t="s">
        <v>269</v>
      </c>
      <c r="H845" t="s">
        <v>254</v>
      </c>
      <c r="I845" t="s">
        <v>242</v>
      </c>
      <c r="J845" t="s">
        <v>235</v>
      </c>
      <c r="K845" s="380">
        <v>37165</v>
      </c>
      <c r="L845" s="235">
        <v>-64273.509868813017</v>
      </c>
      <c r="M845" s="380">
        <v>37161</v>
      </c>
      <c r="N845" t="s">
        <v>21</v>
      </c>
      <c r="O845">
        <v>1.5</v>
      </c>
      <c r="P845">
        <v>0</v>
      </c>
      <c r="Q845">
        <v>0</v>
      </c>
      <c r="R845">
        <v>0</v>
      </c>
      <c r="S845">
        <v>0</v>
      </c>
      <c r="T845" t="s">
        <v>253</v>
      </c>
      <c r="U845" t="s">
        <v>190</v>
      </c>
      <c r="V845" t="s">
        <v>253</v>
      </c>
      <c r="W845" t="s">
        <v>132</v>
      </c>
      <c r="X845" t="s">
        <v>253</v>
      </c>
      <c r="Y845" t="s">
        <v>235</v>
      </c>
      <c r="Z845" t="s">
        <v>236</v>
      </c>
      <c r="AA845" t="s">
        <v>253</v>
      </c>
      <c r="AB845" t="s">
        <v>121</v>
      </c>
      <c r="AC845" s="235">
        <v>-500000</v>
      </c>
      <c r="AD845" s="235">
        <v>-25421.5336249432</v>
      </c>
      <c r="AE845">
        <v>0</v>
      </c>
      <c r="AF845">
        <v>0</v>
      </c>
      <c r="AG845">
        <v>0</v>
      </c>
      <c r="AH845" s="235">
        <v>0</v>
      </c>
      <c r="AI845">
        <v>226</v>
      </c>
      <c r="AJ845" t="s">
        <v>256</v>
      </c>
      <c r="AK845">
        <v>0</v>
      </c>
      <c r="AL845">
        <v>0</v>
      </c>
      <c r="AM845">
        <v>0</v>
      </c>
    </row>
    <row r="846" spans="1:39" x14ac:dyDescent="0.25">
      <c r="A846" t="s">
        <v>601</v>
      </c>
      <c r="B846" t="s">
        <v>629</v>
      </c>
      <c r="C846" t="s">
        <v>255</v>
      </c>
      <c r="D846" t="s">
        <v>234</v>
      </c>
      <c r="E846" t="s">
        <v>20</v>
      </c>
      <c r="F846" t="s">
        <v>279</v>
      </c>
      <c r="G846" t="s">
        <v>269</v>
      </c>
      <c r="H846" t="s">
        <v>254</v>
      </c>
      <c r="I846" t="s">
        <v>242</v>
      </c>
      <c r="J846" t="s">
        <v>235</v>
      </c>
      <c r="K846" s="380">
        <v>36982</v>
      </c>
      <c r="L846" s="235">
        <v>-28264.765885709181</v>
      </c>
      <c r="M846" s="380">
        <v>36979</v>
      </c>
      <c r="N846" t="s">
        <v>21</v>
      </c>
      <c r="O846">
        <v>1.5</v>
      </c>
      <c r="P846">
        <v>0</v>
      </c>
      <c r="Q846">
        <v>0</v>
      </c>
      <c r="R846">
        <v>0</v>
      </c>
      <c r="S846">
        <v>0</v>
      </c>
      <c r="T846" t="s">
        <v>253</v>
      </c>
      <c r="U846" t="s">
        <v>190</v>
      </c>
      <c r="V846" t="s">
        <v>253</v>
      </c>
      <c r="W846" t="s">
        <v>132</v>
      </c>
      <c r="X846" t="s">
        <v>253</v>
      </c>
      <c r="Y846" t="s">
        <v>235</v>
      </c>
      <c r="Z846" t="s">
        <v>236</v>
      </c>
      <c r="AA846" t="s">
        <v>253</v>
      </c>
      <c r="AB846" t="s">
        <v>121</v>
      </c>
      <c r="AC846" s="235">
        <v>-500000</v>
      </c>
      <c r="AD846" s="235">
        <v>-15567.399691061873</v>
      </c>
      <c r="AE846">
        <v>0</v>
      </c>
      <c r="AF846">
        <v>0</v>
      </c>
      <c r="AG846">
        <v>0</v>
      </c>
      <c r="AH846" s="235">
        <v>0</v>
      </c>
      <c r="AI846">
        <v>226</v>
      </c>
      <c r="AJ846" t="s">
        <v>256</v>
      </c>
      <c r="AK846">
        <v>0</v>
      </c>
      <c r="AL846">
        <v>0</v>
      </c>
      <c r="AM846">
        <v>0</v>
      </c>
    </row>
    <row r="847" spans="1:39" x14ac:dyDescent="0.25">
      <c r="A847" t="s">
        <v>601</v>
      </c>
      <c r="B847" t="s">
        <v>629</v>
      </c>
      <c r="C847" t="s">
        <v>255</v>
      </c>
      <c r="D847" t="s">
        <v>234</v>
      </c>
      <c r="E847" t="s">
        <v>20</v>
      </c>
      <c r="F847" t="s">
        <v>279</v>
      </c>
      <c r="G847" t="s">
        <v>269</v>
      </c>
      <c r="H847" t="s">
        <v>254</v>
      </c>
      <c r="I847" t="s">
        <v>242</v>
      </c>
      <c r="J847" t="s">
        <v>235</v>
      </c>
      <c r="K847" s="380">
        <v>37012</v>
      </c>
      <c r="L847" s="235">
        <v>-25116.854773561477</v>
      </c>
      <c r="M847" s="380">
        <v>37008</v>
      </c>
      <c r="N847" t="s">
        <v>21</v>
      </c>
      <c r="O847">
        <v>1.5</v>
      </c>
      <c r="P847">
        <v>0</v>
      </c>
      <c r="Q847">
        <v>0</v>
      </c>
      <c r="R847">
        <v>0</v>
      </c>
      <c r="S847">
        <v>0</v>
      </c>
      <c r="T847" t="s">
        <v>253</v>
      </c>
      <c r="U847" t="s">
        <v>190</v>
      </c>
      <c r="V847" t="s">
        <v>253</v>
      </c>
      <c r="W847" t="s">
        <v>132</v>
      </c>
      <c r="X847" t="s">
        <v>253</v>
      </c>
      <c r="Y847" t="s">
        <v>235</v>
      </c>
      <c r="Z847" t="s">
        <v>236</v>
      </c>
      <c r="AA847" t="s">
        <v>253</v>
      </c>
      <c r="AB847" t="s">
        <v>121</v>
      </c>
      <c r="AC847" s="235">
        <v>-500000</v>
      </c>
      <c r="AD847" s="235">
        <v>-14459.578876682535</v>
      </c>
      <c r="AE847">
        <v>0</v>
      </c>
      <c r="AF847">
        <v>0</v>
      </c>
      <c r="AG847">
        <v>0</v>
      </c>
      <c r="AH847" s="235">
        <v>0</v>
      </c>
      <c r="AI847">
        <v>226</v>
      </c>
      <c r="AJ847" t="s">
        <v>256</v>
      </c>
      <c r="AK847">
        <v>0</v>
      </c>
      <c r="AL847">
        <v>0</v>
      </c>
      <c r="AM847">
        <v>0</v>
      </c>
    </row>
    <row r="848" spans="1:39" x14ac:dyDescent="0.25">
      <c r="A848" t="s">
        <v>601</v>
      </c>
      <c r="B848" t="s">
        <v>629</v>
      </c>
      <c r="C848" t="s">
        <v>255</v>
      </c>
      <c r="D848" t="s">
        <v>234</v>
      </c>
      <c r="E848" t="s">
        <v>20</v>
      </c>
      <c r="F848" t="s">
        <v>279</v>
      </c>
      <c r="G848" t="s">
        <v>269</v>
      </c>
      <c r="H848" t="s">
        <v>254</v>
      </c>
      <c r="I848" t="s">
        <v>242</v>
      </c>
      <c r="J848" t="s">
        <v>235</v>
      </c>
      <c r="K848" s="380">
        <v>37043</v>
      </c>
      <c r="L848" s="235">
        <v>-30653.970320006418</v>
      </c>
      <c r="M848" s="380">
        <v>37041</v>
      </c>
      <c r="N848" t="s">
        <v>21</v>
      </c>
      <c r="O848">
        <v>1.5</v>
      </c>
      <c r="P848">
        <v>0</v>
      </c>
      <c r="Q848">
        <v>0</v>
      </c>
      <c r="R848">
        <v>0</v>
      </c>
      <c r="S848">
        <v>0</v>
      </c>
      <c r="T848" t="s">
        <v>253</v>
      </c>
      <c r="U848" t="s">
        <v>190</v>
      </c>
      <c r="V848" t="s">
        <v>253</v>
      </c>
      <c r="W848" t="s">
        <v>132</v>
      </c>
      <c r="X848" t="s">
        <v>253</v>
      </c>
      <c r="Y848" t="s">
        <v>235</v>
      </c>
      <c r="Z848" t="s">
        <v>236</v>
      </c>
      <c r="AA848" t="s">
        <v>253</v>
      </c>
      <c r="AB848" t="s">
        <v>121</v>
      </c>
      <c r="AC848" s="235">
        <v>-500000</v>
      </c>
      <c r="AD848" s="235">
        <v>-16456.6569630105</v>
      </c>
      <c r="AE848">
        <v>0</v>
      </c>
      <c r="AF848">
        <v>0</v>
      </c>
      <c r="AG848">
        <v>0</v>
      </c>
      <c r="AH848" s="235">
        <v>0</v>
      </c>
      <c r="AI848">
        <v>226</v>
      </c>
      <c r="AJ848" t="s">
        <v>256</v>
      </c>
      <c r="AK848">
        <v>0</v>
      </c>
      <c r="AL848">
        <v>0</v>
      </c>
      <c r="AM848">
        <v>0</v>
      </c>
    </row>
    <row r="849" spans="1:39" x14ac:dyDescent="0.25">
      <c r="A849" t="s">
        <v>601</v>
      </c>
      <c r="B849" t="s">
        <v>629</v>
      </c>
      <c r="C849" t="s">
        <v>255</v>
      </c>
      <c r="D849" t="s">
        <v>234</v>
      </c>
      <c r="E849" t="s">
        <v>20</v>
      </c>
      <c r="F849" t="s">
        <v>279</v>
      </c>
      <c r="G849" t="s">
        <v>269</v>
      </c>
      <c r="H849" t="s">
        <v>254</v>
      </c>
      <c r="I849" t="s">
        <v>242</v>
      </c>
      <c r="J849" t="s">
        <v>235</v>
      </c>
      <c r="K849" s="380">
        <v>37073</v>
      </c>
      <c r="L849" s="235">
        <v>-120718.47506972539</v>
      </c>
      <c r="M849" s="380">
        <v>37070</v>
      </c>
      <c r="N849" t="s">
        <v>21</v>
      </c>
      <c r="O849">
        <v>1.5</v>
      </c>
      <c r="P849">
        <v>0</v>
      </c>
      <c r="Q849">
        <v>0</v>
      </c>
      <c r="R849">
        <v>0</v>
      </c>
      <c r="S849">
        <v>0</v>
      </c>
      <c r="T849" t="s">
        <v>253</v>
      </c>
      <c r="U849" t="s">
        <v>190</v>
      </c>
      <c r="V849" t="s">
        <v>253</v>
      </c>
      <c r="W849" t="s">
        <v>132</v>
      </c>
      <c r="X849" t="s">
        <v>253</v>
      </c>
      <c r="Y849" t="s">
        <v>235</v>
      </c>
      <c r="Z849" t="s">
        <v>236</v>
      </c>
      <c r="AA849" t="s">
        <v>253</v>
      </c>
      <c r="AB849" t="s">
        <v>121</v>
      </c>
      <c r="AC849" s="235">
        <v>-500000</v>
      </c>
      <c r="AD849" s="235">
        <v>-27571.142715830822</v>
      </c>
      <c r="AE849">
        <v>0</v>
      </c>
      <c r="AF849">
        <v>0</v>
      </c>
      <c r="AG849">
        <v>0</v>
      </c>
      <c r="AH849" s="235">
        <v>0</v>
      </c>
      <c r="AI849">
        <v>226</v>
      </c>
      <c r="AJ849" t="s">
        <v>256</v>
      </c>
      <c r="AK849">
        <v>0</v>
      </c>
      <c r="AL849">
        <v>0</v>
      </c>
      <c r="AM849">
        <v>0</v>
      </c>
    </row>
    <row r="850" spans="1:39" x14ac:dyDescent="0.25">
      <c r="A850" t="s">
        <v>601</v>
      </c>
      <c r="B850" t="s">
        <v>629</v>
      </c>
      <c r="C850" t="s">
        <v>255</v>
      </c>
      <c r="D850" t="s">
        <v>234</v>
      </c>
      <c r="E850" t="s">
        <v>20</v>
      </c>
      <c r="F850" t="s">
        <v>279</v>
      </c>
      <c r="G850" t="s">
        <v>269</v>
      </c>
      <c r="H850" t="s">
        <v>254</v>
      </c>
      <c r="I850" t="s">
        <v>242</v>
      </c>
      <c r="J850" t="s">
        <v>235</v>
      </c>
      <c r="K850" s="380">
        <v>37104</v>
      </c>
      <c r="L850" s="235">
        <v>-139258.94050925114</v>
      </c>
      <c r="M850" s="380">
        <v>37102</v>
      </c>
      <c r="N850" t="s">
        <v>21</v>
      </c>
      <c r="O850">
        <v>1.5</v>
      </c>
      <c r="P850">
        <v>0</v>
      </c>
      <c r="Q850">
        <v>0</v>
      </c>
      <c r="R850">
        <v>0</v>
      </c>
      <c r="S850">
        <v>0</v>
      </c>
      <c r="T850" t="s">
        <v>253</v>
      </c>
      <c r="U850" t="s">
        <v>190</v>
      </c>
      <c r="V850" t="s">
        <v>253</v>
      </c>
      <c r="W850" t="s">
        <v>132</v>
      </c>
      <c r="X850" t="s">
        <v>253</v>
      </c>
      <c r="Y850" t="s">
        <v>235</v>
      </c>
      <c r="Z850" t="s">
        <v>236</v>
      </c>
      <c r="AA850" t="s">
        <v>253</v>
      </c>
      <c r="AB850" t="s">
        <v>121</v>
      </c>
      <c r="AC850" s="235">
        <v>-500000</v>
      </c>
      <c r="AD850" s="235">
        <v>-29248.82365927007</v>
      </c>
      <c r="AE850">
        <v>0</v>
      </c>
      <c r="AF850">
        <v>0</v>
      </c>
      <c r="AG850">
        <v>0</v>
      </c>
      <c r="AH850" s="235">
        <v>0</v>
      </c>
      <c r="AI850">
        <v>226</v>
      </c>
      <c r="AJ850" t="s">
        <v>256</v>
      </c>
      <c r="AK850">
        <v>0</v>
      </c>
      <c r="AL850">
        <v>0</v>
      </c>
      <c r="AM850">
        <v>0</v>
      </c>
    </row>
    <row r="851" spans="1:39" x14ac:dyDescent="0.25">
      <c r="A851" t="s">
        <v>601</v>
      </c>
      <c r="B851" t="s">
        <v>629</v>
      </c>
      <c r="C851" t="s">
        <v>255</v>
      </c>
      <c r="D851" t="s">
        <v>234</v>
      </c>
      <c r="E851" t="s">
        <v>20</v>
      </c>
      <c r="F851" t="s">
        <v>279</v>
      </c>
      <c r="G851" t="s">
        <v>269</v>
      </c>
      <c r="H851" t="s">
        <v>254</v>
      </c>
      <c r="I851" t="s">
        <v>242</v>
      </c>
      <c r="J851" t="s">
        <v>235</v>
      </c>
      <c r="K851" s="380">
        <v>37135</v>
      </c>
      <c r="L851" s="235">
        <v>-141304.7360527617</v>
      </c>
      <c r="M851" s="380">
        <v>37133</v>
      </c>
      <c r="N851" t="s">
        <v>21</v>
      </c>
      <c r="O851">
        <v>1.5</v>
      </c>
      <c r="P851">
        <v>0</v>
      </c>
      <c r="Q851">
        <v>0</v>
      </c>
      <c r="R851">
        <v>0</v>
      </c>
      <c r="S851">
        <v>0</v>
      </c>
      <c r="T851" t="s">
        <v>253</v>
      </c>
      <c r="U851" t="s">
        <v>190</v>
      </c>
      <c r="V851" t="s">
        <v>253</v>
      </c>
      <c r="W851" t="s">
        <v>132</v>
      </c>
      <c r="X851" t="s">
        <v>253</v>
      </c>
      <c r="Y851" t="s">
        <v>235</v>
      </c>
      <c r="Z851" t="s">
        <v>236</v>
      </c>
      <c r="AA851" t="s">
        <v>253</v>
      </c>
      <c r="AB851" t="s">
        <v>121</v>
      </c>
      <c r="AC851" s="235">
        <v>-500000</v>
      </c>
      <c r="AD851" s="235">
        <v>-30313.214591835014</v>
      </c>
      <c r="AE851">
        <v>0</v>
      </c>
      <c r="AF851">
        <v>0</v>
      </c>
      <c r="AG851">
        <v>0</v>
      </c>
      <c r="AH851" s="235">
        <v>0</v>
      </c>
      <c r="AI851">
        <v>226</v>
      </c>
      <c r="AJ851" t="s">
        <v>256</v>
      </c>
      <c r="AK851">
        <v>0</v>
      </c>
      <c r="AL851">
        <v>0</v>
      </c>
      <c r="AM851">
        <v>0</v>
      </c>
    </row>
    <row r="852" spans="1:39" x14ac:dyDescent="0.25">
      <c r="A852" t="s">
        <v>601</v>
      </c>
      <c r="B852" t="s">
        <v>629</v>
      </c>
      <c r="C852" t="s">
        <v>255</v>
      </c>
      <c r="D852" t="s">
        <v>234</v>
      </c>
      <c r="E852" t="s">
        <v>20</v>
      </c>
      <c r="F852" t="s">
        <v>279</v>
      </c>
      <c r="G852" t="s">
        <v>269</v>
      </c>
      <c r="H852" t="s">
        <v>254</v>
      </c>
      <c r="I852" t="s">
        <v>242</v>
      </c>
      <c r="J852" t="s">
        <v>235</v>
      </c>
      <c r="K852" s="380">
        <v>37165</v>
      </c>
      <c r="L852" s="235">
        <v>-64273.509868813017</v>
      </c>
      <c r="M852" s="380">
        <v>37161</v>
      </c>
      <c r="N852" t="s">
        <v>21</v>
      </c>
      <c r="O852">
        <v>1.5</v>
      </c>
      <c r="P852">
        <v>0</v>
      </c>
      <c r="Q852">
        <v>0</v>
      </c>
      <c r="R852">
        <v>0</v>
      </c>
      <c r="S852">
        <v>0</v>
      </c>
      <c r="T852" t="s">
        <v>253</v>
      </c>
      <c r="U852" t="s">
        <v>190</v>
      </c>
      <c r="V852" t="s">
        <v>253</v>
      </c>
      <c r="W852" t="s">
        <v>132</v>
      </c>
      <c r="X852" t="s">
        <v>253</v>
      </c>
      <c r="Y852" t="s">
        <v>235</v>
      </c>
      <c r="Z852" t="s">
        <v>236</v>
      </c>
      <c r="AA852" t="s">
        <v>253</v>
      </c>
      <c r="AB852" t="s">
        <v>121</v>
      </c>
      <c r="AC852" s="235">
        <v>-500000</v>
      </c>
      <c r="AD852" s="235">
        <v>-25421.5336249432</v>
      </c>
      <c r="AE852">
        <v>0</v>
      </c>
      <c r="AF852">
        <v>0</v>
      </c>
      <c r="AG852">
        <v>0</v>
      </c>
      <c r="AH852" s="235">
        <v>0</v>
      </c>
      <c r="AI852">
        <v>226</v>
      </c>
      <c r="AJ852" t="s">
        <v>256</v>
      </c>
      <c r="AK852">
        <v>0</v>
      </c>
      <c r="AL852">
        <v>0</v>
      </c>
      <c r="AM852">
        <v>0</v>
      </c>
    </row>
    <row r="853" spans="1:39" x14ac:dyDescent="0.25">
      <c r="A853" t="s">
        <v>601</v>
      </c>
      <c r="B853" t="s">
        <v>630</v>
      </c>
      <c r="C853" t="s">
        <v>255</v>
      </c>
      <c r="D853" t="s">
        <v>234</v>
      </c>
      <c r="E853" t="s">
        <v>20</v>
      </c>
      <c r="F853" t="s">
        <v>279</v>
      </c>
      <c r="G853" t="s">
        <v>269</v>
      </c>
      <c r="H853" t="s">
        <v>254</v>
      </c>
      <c r="I853" t="s">
        <v>242</v>
      </c>
      <c r="J853" t="s">
        <v>235</v>
      </c>
      <c r="K853" s="380">
        <v>36982</v>
      </c>
      <c r="L853" s="235">
        <v>-28264.765885709181</v>
      </c>
      <c r="M853" s="380">
        <v>36979</v>
      </c>
      <c r="N853" t="s">
        <v>21</v>
      </c>
      <c r="O853">
        <v>1.5</v>
      </c>
      <c r="P853">
        <v>0</v>
      </c>
      <c r="Q853">
        <v>0</v>
      </c>
      <c r="R853">
        <v>0</v>
      </c>
      <c r="S853">
        <v>0</v>
      </c>
      <c r="T853" t="s">
        <v>253</v>
      </c>
      <c r="U853" t="s">
        <v>190</v>
      </c>
      <c r="V853" t="s">
        <v>253</v>
      </c>
      <c r="W853" t="s">
        <v>132</v>
      </c>
      <c r="X853" t="s">
        <v>253</v>
      </c>
      <c r="Y853" t="s">
        <v>235</v>
      </c>
      <c r="Z853" t="s">
        <v>236</v>
      </c>
      <c r="AA853" t="s">
        <v>253</v>
      </c>
      <c r="AB853" t="s">
        <v>121</v>
      </c>
      <c r="AC853" s="235">
        <v>-500000</v>
      </c>
      <c r="AD853" s="235">
        <v>-15567.399691061873</v>
      </c>
      <c r="AE853">
        <v>0</v>
      </c>
      <c r="AF853">
        <v>0</v>
      </c>
      <c r="AG853">
        <v>0</v>
      </c>
      <c r="AH853" s="235">
        <v>0</v>
      </c>
      <c r="AI853">
        <v>226</v>
      </c>
      <c r="AJ853" t="s">
        <v>256</v>
      </c>
      <c r="AK853">
        <v>0</v>
      </c>
      <c r="AL853">
        <v>0</v>
      </c>
      <c r="AM853">
        <v>0</v>
      </c>
    </row>
    <row r="854" spans="1:39" x14ac:dyDescent="0.25">
      <c r="A854" t="s">
        <v>601</v>
      </c>
      <c r="B854" t="s">
        <v>630</v>
      </c>
      <c r="C854" t="s">
        <v>255</v>
      </c>
      <c r="D854" t="s">
        <v>234</v>
      </c>
      <c r="E854" t="s">
        <v>20</v>
      </c>
      <c r="F854" t="s">
        <v>279</v>
      </c>
      <c r="G854" t="s">
        <v>269</v>
      </c>
      <c r="H854" t="s">
        <v>254</v>
      </c>
      <c r="I854" t="s">
        <v>242</v>
      </c>
      <c r="J854" t="s">
        <v>235</v>
      </c>
      <c r="K854" s="380">
        <v>37012</v>
      </c>
      <c r="L854" s="235">
        <v>-25116.854773561477</v>
      </c>
      <c r="M854" s="380">
        <v>37008</v>
      </c>
      <c r="N854" t="s">
        <v>21</v>
      </c>
      <c r="O854">
        <v>1.5</v>
      </c>
      <c r="P854">
        <v>0</v>
      </c>
      <c r="Q854">
        <v>0</v>
      </c>
      <c r="R854">
        <v>0</v>
      </c>
      <c r="S854">
        <v>0</v>
      </c>
      <c r="T854" t="s">
        <v>253</v>
      </c>
      <c r="U854" t="s">
        <v>190</v>
      </c>
      <c r="V854" t="s">
        <v>253</v>
      </c>
      <c r="W854" t="s">
        <v>132</v>
      </c>
      <c r="X854" t="s">
        <v>253</v>
      </c>
      <c r="Y854" t="s">
        <v>235</v>
      </c>
      <c r="Z854" t="s">
        <v>236</v>
      </c>
      <c r="AA854" t="s">
        <v>253</v>
      </c>
      <c r="AB854" t="s">
        <v>121</v>
      </c>
      <c r="AC854" s="235">
        <v>-500000</v>
      </c>
      <c r="AD854" s="235">
        <v>-14459.578876682535</v>
      </c>
      <c r="AE854">
        <v>0</v>
      </c>
      <c r="AF854">
        <v>0</v>
      </c>
      <c r="AG854">
        <v>0</v>
      </c>
      <c r="AH854" s="235">
        <v>0</v>
      </c>
      <c r="AI854">
        <v>226</v>
      </c>
      <c r="AJ854" t="s">
        <v>256</v>
      </c>
      <c r="AK854">
        <v>0</v>
      </c>
      <c r="AL854">
        <v>0</v>
      </c>
      <c r="AM854">
        <v>0</v>
      </c>
    </row>
    <row r="855" spans="1:39" x14ac:dyDescent="0.25">
      <c r="A855" t="s">
        <v>601</v>
      </c>
      <c r="B855" t="s">
        <v>630</v>
      </c>
      <c r="C855" t="s">
        <v>255</v>
      </c>
      <c r="D855" t="s">
        <v>234</v>
      </c>
      <c r="E855" t="s">
        <v>20</v>
      </c>
      <c r="F855" t="s">
        <v>279</v>
      </c>
      <c r="G855" t="s">
        <v>269</v>
      </c>
      <c r="H855" t="s">
        <v>254</v>
      </c>
      <c r="I855" t="s">
        <v>242</v>
      </c>
      <c r="J855" t="s">
        <v>235</v>
      </c>
      <c r="K855" s="380">
        <v>37043</v>
      </c>
      <c r="L855" s="235">
        <v>-30653.970320006418</v>
      </c>
      <c r="M855" s="380">
        <v>37041</v>
      </c>
      <c r="N855" t="s">
        <v>21</v>
      </c>
      <c r="O855">
        <v>1.5</v>
      </c>
      <c r="P855">
        <v>0</v>
      </c>
      <c r="Q855">
        <v>0</v>
      </c>
      <c r="R855">
        <v>0</v>
      </c>
      <c r="S855">
        <v>0</v>
      </c>
      <c r="T855" t="s">
        <v>253</v>
      </c>
      <c r="U855" t="s">
        <v>190</v>
      </c>
      <c r="V855" t="s">
        <v>253</v>
      </c>
      <c r="W855" t="s">
        <v>132</v>
      </c>
      <c r="X855" t="s">
        <v>253</v>
      </c>
      <c r="Y855" t="s">
        <v>235</v>
      </c>
      <c r="Z855" t="s">
        <v>236</v>
      </c>
      <c r="AA855" t="s">
        <v>253</v>
      </c>
      <c r="AB855" t="s">
        <v>121</v>
      </c>
      <c r="AC855" s="235">
        <v>-500000</v>
      </c>
      <c r="AD855" s="235">
        <v>-16456.6569630105</v>
      </c>
      <c r="AE855">
        <v>0</v>
      </c>
      <c r="AF855">
        <v>0</v>
      </c>
      <c r="AG855">
        <v>0</v>
      </c>
      <c r="AH855" s="235">
        <v>0</v>
      </c>
      <c r="AI855">
        <v>226</v>
      </c>
      <c r="AJ855" t="s">
        <v>256</v>
      </c>
      <c r="AK855">
        <v>0</v>
      </c>
      <c r="AL855">
        <v>0</v>
      </c>
      <c r="AM855">
        <v>0</v>
      </c>
    </row>
    <row r="856" spans="1:39" x14ac:dyDescent="0.25">
      <c r="A856" t="s">
        <v>601</v>
      </c>
      <c r="B856" t="s">
        <v>630</v>
      </c>
      <c r="C856" t="s">
        <v>255</v>
      </c>
      <c r="D856" t="s">
        <v>234</v>
      </c>
      <c r="E856" t="s">
        <v>20</v>
      </c>
      <c r="F856" t="s">
        <v>279</v>
      </c>
      <c r="G856" t="s">
        <v>269</v>
      </c>
      <c r="H856" t="s">
        <v>254</v>
      </c>
      <c r="I856" t="s">
        <v>242</v>
      </c>
      <c r="J856" t="s">
        <v>235</v>
      </c>
      <c r="K856" s="380">
        <v>37073</v>
      </c>
      <c r="L856" s="235">
        <v>-120718.47506972539</v>
      </c>
      <c r="M856" s="380">
        <v>37070</v>
      </c>
      <c r="N856" t="s">
        <v>21</v>
      </c>
      <c r="O856">
        <v>1.5</v>
      </c>
      <c r="P856">
        <v>0</v>
      </c>
      <c r="Q856">
        <v>0</v>
      </c>
      <c r="R856">
        <v>0</v>
      </c>
      <c r="S856">
        <v>0</v>
      </c>
      <c r="T856" t="s">
        <v>253</v>
      </c>
      <c r="U856" t="s">
        <v>190</v>
      </c>
      <c r="V856" t="s">
        <v>253</v>
      </c>
      <c r="W856" t="s">
        <v>132</v>
      </c>
      <c r="X856" t="s">
        <v>253</v>
      </c>
      <c r="Y856" t="s">
        <v>235</v>
      </c>
      <c r="Z856" t="s">
        <v>236</v>
      </c>
      <c r="AA856" t="s">
        <v>253</v>
      </c>
      <c r="AB856" t="s">
        <v>121</v>
      </c>
      <c r="AC856" s="235">
        <v>-500000</v>
      </c>
      <c r="AD856" s="235">
        <v>-27571.142715830822</v>
      </c>
      <c r="AE856">
        <v>0</v>
      </c>
      <c r="AF856">
        <v>0</v>
      </c>
      <c r="AG856">
        <v>0</v>
      </c>
      <c r="AH856" s="235">
        <v>0</v>
      </c>
      <c r="AI856">
        <v>226</v>
      </c>
      <c r="AJ856" t="s">
        <v>256</v>
      </c>
      <c r="AK856">
        <v>0</v>
      </c>
      <c r="AL856">
        <v>0</v>
      </c>
      <c r="AM856">
        <v>0</v>
      </c>
    </row>
    <row r="857" spans="1:39" x14ac:dyDescent="0.25">
      <c r="A857" t="s">
        <v>601</v>
      </c>
      <c r="B857" t="s">
        <v>630</v>
      </c>
      <c r="C857" t="s">
        <v>255</v>
      </c>
      <c r="D857" t="s">
        <v>234</v>
      </c>
      <c r="E857" t="s">
        <v>20</v>
      </c>
      <c r="F857" t="s">
        <v>279</v>
      </c>
      <c r="G857" t="s">
        <v>269</v>
      </c>
      <c r="H857" t="s">
        <v>254</v>
      </c>
      <c r="I857" t="s">
        <v>242</v>
      </c>
      <c r="J857" t="s">
        <v>235</v>
      </c>
      <c r="K857" s="380">
        <v>37104</v>
      </c>
      <c r="L857" s="235">
        <v>-139258.94050925114</v>
      </c>
      <c r="M857" s="380">
        <v>37102</v>
      </c>
      <c r="N857" t="s">
        <v>21</v>
      </c>
      <c r="O857">
        <v>1.5</v>
      </c>
      <c r="P857">
        <v>0</v>
      </c>
      <c r="Q857">
        <v>0</v>
      </c>
      <c r="R857">
        <v>0</v>
      </c>
      <c r="S857">
        <v>0</v>
      </c>
      <c r="T857" t="s">
        <v>253</v>
      </c>
      <c r="U857" t="s">
        <v>190</v>
      </c>
      <c r="V857" t="s">
        <v>253</v>
      </c>
      <c r="W857" t="s">
        <v>132</v>
      </c>
      <c r="X857" t="s">
        <v>253</v>
      </c>
      <c r="Y857" t="s">
        <v>235</v>
      </c>
      <c r="Z857" t="s">
        <v>236</v>
      </c>
      <c r="AA857" t="s">
        <v>253</v>
      </c>
      <c r="AB857" t="s">
        <v>121</v>
      </c>
      <c r="AC857" s="235">
        <v>-500000</v>
      </c>
      <c r="AD857" s="235">
        <v>-29248.82365927007</v>
      </c>
      <c r="AE857">
        <v>0</v>
      </c>
      <c r="AF857">
        <v>0</v>
      </c>
      <c r="AG857">
        <v>0</v>
      </c>
      <c r="AH857" s="235">
        <v>0</v>
      </c>
      <c r="AI857">
        <v>226</v>
      </c>
      <c r="AJ857" t="s">
        <v>256</v>
      </c>
      <c r="AK857">
        <v>0</v>
      </c>
      <c r="AL857">
        <v>0</v>
      </c>
      <c r="AM857">
        <v>0</v>
      </c>
    </row>
    <row r="858" spans="1:39" x14ac:dyDescent="0.25">
      <c r="A858" t="s">
        <v>601</v>
      </c>
      <c r="B858" t="s">
        <v>630</v>
      </c>
      <c r="C858" t="s">
        <v>255</v>
      </c>
      <c r="D858" t="s">
        <v>234</v>
      </c>
      <c r="E858" t="s">
        <v>20</v>
      </c>
      <c r="F858" t="s">
        <v>279</v>
      </c>
      <c r="G858" t="s">
        <v>269</v>
      </c>
      <c r="H858" t="s">
        <v>254</v>
      </c>
      <c r="I858" t="s">
        <v>242</v>
      </c>
      <c r="J858" t="s">
        <v>235</v>
      </c>
      <c r="K858" s="380">
        <v>37135</v>
      </c>
      <c r="L858" s="235">
        <v>-141304.7360527617</v>
      </c>
      <c r="M858" s="380">
        <v>37133</v>
      </c>
      <c r="N858" t="s">
        <v>21</v>
      </c>
      <c r="O858">
        <v>1.5</v>
      </c>
      <c r="P858">
        <v>0</v>
      </c>
      <c r="Q858">
        <v>0</v>
      </c>
      <c r="R858">
        <v>0</v>
      </c>
      <c r="S858">
        <v>0</v>
      </c>
      <c r="T858" t="s">
        <v>253</v>
      </c>
      <c r="U858" t="s">
        <v>190</v>
      </c>
      <c r="V858" t="s">
        <v>253</v>
      </c>
      <c r="W858" t="s">
        <v>132</v>
      </c>
      <c r="X858" t="s">
        <v>253</v>
      </c>
      <c r="Y858" t="s">
        <v>235</v>
      </c>
      <c r="Z858" t="s">
        <v>236</v>
      </c>
      <c r="AA858" t="s">
        <v>253</v>
      </c>
      <c r="AB858" t="s">
        <v>121</v>
      </c>
      <c r="AC858" s="235">
        <v>-500000</v>
      </c>
      <c r="AD858" s="235">
        <v>-30313.214591835014</v>
      </c>
      <c r="AE858">
        <v>0</v>
      </c>
      <c r="AF858">
        <v>0</v>
      </c>
      <c r="AG858">
        <v>0</v>
      </c>
      <c r="AH858" s="235">
        <v>0</v>
      </c>
      <c r="AI858">
        <v>226</v>
      </c>
      <c r="AJ858" t="s">
        <v>256</v>
      </c>
      <c r="AK858">
        <v>0</v>
      </c>
      <c r="AL858">
        <v>0</v>
      </c>
      <c r="AM858">
        <v>0</v>
      </c>
    </row>
    <row r="859" spans="1:39" x14ac:dyDescent="0.25">
      <c r="A859" t="s">
        <v>601</v>
      </c>
      <c r="B859" t="s">
        <v>630</v>
      </c>
      <c r="C859" t="s">
        <v>255</v>
      </c>
      <c r="D859" t="s">
        <v>234</v>
      </c>
      <c r="E859" t="s">
        <v>20</v>
      </c>
      <c r="F859" t="s">
        <v>279</v>
      </c>
      <c r="G859" t="s">
        <v>269</v>
      </c>
      <c r="H859" t="s">
        <v>254</v>
      </c>
      <c r="I859" t="s">
        <v>242</v>
      </c>
      <c r="J859" t="s">
        <v>235</v>
      </c>
      <c r="K859" s="380">
        <v>37165</v>
      </c>
      <c r="L859" s="235">
        <v>-64273.509868813017</v>
      </c>
      <c r="M859" s="380">
        <v>37161</v>
      </c>
      <c r="N859" t="s">
        <v>21</v>
      </c>
      <c r="O859">
        <v>1.5</v>
      </c>
      <c r="P859">
        <v>0</v>
      </c>
      <c r="Q859">
        <v>0</v>
      </c>
      <c r="R859">
        <v>0</v>
      </c>
      <c r="S859">
        <v>0</v>
      </c>
      <c r="T859" t="s">
        <v>253</v>
      </c>
      <c r="U859" t="s">
        <v>190</v>
      </c>
      <c r="V859" t="s">
        <v>253</v>
      </c>
      <c r="W859" t="s">
        <v>132</v>
      </c>
      <c r="X859" t="s">
        <v>253</v>
      </c>
      <c r="Y859" t="s">
        <v>235</v>
      </c>
      <c r="Z859" t="s">
        <v>236</v>
      </c>
      <c r="AA859" t="s">
        <v>253</v>
      </c>
      <c r="AB859" t="s">
        <v>121</v>
      </c>
      <c r="AC859" s="235">
        <v>-500000</v>
      </c>
      <c r="AD859" s="235">
        <v>-25421.5336249432</v>
      </c>
      <c r="AE859">
        <v>0</v>
      </c>
      <c r="AF859">
        <v>0</v>
      </c>
      <c r="AG859">
        <v>0</v>
      </c>
      <c r="AH859" s="235">
        <v>0</v>
      </c>
      <c r="AI859">
        <v>226</v>
      </c>
      <c r="AJ859" t="s">
        <v>256</v>
      </c>
      <c r="AK859">
        <v>0</v>
      </c>
      <c r="AL859">
        <v>0</v>
      </c>
      <c r="AM859">
        <v>0</v>
      </c>
    </row>
    <row r="860" spans="1:39" x14ac:dyDescent="0.25">
      <c r="A860" t="s">
        <v>601</v>
      </c>
      <c r="B860" t="s">
        <v>631</v>
      </c>
      <c r="C860" t="s">
        <v>255</v>
      </c>
      <c r="D860" t="s">
        <v>234</v>
      </c>
      <c r="E860" t="s">
        <v>20</v>
      </c>
      <c r="F860" t="s">
        <v>281</v>
      </c>
      <c r="G860" t="s">
        <v>269</v>
      </c>
      <c r="H860" t="s">
        <v>254</v>
      </c>
      <c r="I860" t="s">
        <v>242</v>
      </c>
      <c r="J860" t="s">
        <v>235</v>
      </c>
      <c r="K860" s="380">
        <v>36770</v>
      </c>
      <c r="L860" s="235">
        <v>-5354.9443754871691</v>
      </c>
      <c r="M860" s="380">
        <v>36768</v>
      </c>
      <c r="N860" t="s">
        <v>1</v>
      </c>
      <c r="O860">
        <v>0.3</v>
      </c>
      <c r="P860">
        <v>0</v>
      </c>
      <c r="Q860">
        <v>0</v>
      </c>
      <c r="R860">
        <v>0</v>
      </c>
      <c r="S860">
        <v>0</v>
      </c>
      <c r="T860" t="s">
        <v>253</v>
      </c>
      <c r="U860" t="s">
        <v>7</v>
      </c>
      <c r="V860" t="s">
        <v>253</v>
      </c>
      <c r="W860" t="s">
        <v>132</v>
      </c>
      <c r="X860" t="s">
        <v>253</v>
      </c>
      <c r="Y860" t="s">
        <v>235</v>
      </c>
      <c r="Z860" t="s">
        <v>236</v>
      </c>
      <c r="AA860" t="s">
        <v>253</v>
      </c>
      <c r="AB860" t="s">
        <v>121</v>
      </c>
      <c r="AC860" s="235">
        <v>-2500000</v>
      </c>
      <c r="AD860" s="235">
        <v>-2284.7025819525588</v>
      </c>
      <c r="AE860">
        <v>0</v>
      </c>
      <c r="AF860">
        <v>0</v>
      </c>
      <c r="AG860">
        <v>0</v>
      </c>
      <c r="AH860" s="235">
        <v>0</v>
      </c>
      <c r="AI860">
        <v>226</v>
      </c>
      <c r="AJ860" t="s">
        <v>256</v>
      </c>
      <c r="AK860">
        <v>0</v>
      </c>
      <c r="AL860">
        <v>0</v>
      </c>
      <c r="AM860">
        <v>0</v>
      </c>
    </row>
    <row r="861" spans="1:39" x14ac:dyDescent="0.25">
      <c r="A861" t="s">
        <v>601</v>
      </c>
      <c r="B861" t="s">
        <v>632</v>
      </c>
      <c r="C861" t="s">
        <v>255</v>
      </c>
      <c r="D861" t="s">
        <v>234</v>
      </c>
      <c r="E861" t="s">
        <v>20</v>
      </c>
      <c r="F861" t="s">
        <v>624</v>
      </c>
      <c r="G861" t="s">
        <v>269</v>
      </c>
      <c r="H861" t="s">
        <v>254</v>
      </c>
      <c r="I861" t="s">
        <v>242</v>
      </c>
      <c r="J861" t="s">
        <v>235</v>
      </c>
      <c r="K861" s="380">
        <v>36831</v>
      </c>
      <c r="L861" s="235">
        <v>189392.01874909329</v>
      </c>
      <c r="M861" s="380">
        <v>36829</v>
      </c>
      <c r="N861" t="s">
        <v>1</v>
      </c>
      <c r="O861">
        <v>0.15</v>
      </c>
      <c r="P861">
        <v>0</v>
      </c>
      <c r="Q861">
        <v>0</v>
      </c>
      <c r="R861">
        <v>0</v>
      </c>
      <c r="S861">
        <v>0</v>
      </c>
      <c r="T861" t="s">
        <v>253</v>
      </c>
      <c r="U861" t="s">
        <v>617</v>
      </c>
      <c r="V861" t="s">
        <v>253</v>
      </c>
      <c r="W861" t="s">
        <v>132</v>
      </c>
      <c r="X861" t="s">
        <v>253</v>
      </c>
      <c r="Y861" t="s">
        <v>235</v>
      </c>
      <c r="Z861" t="s">
        <v>236</v>
      </c>
      <c r="AA861" t="s">
        <v>253</v>
      </c>
      <c r="AB861" t="s">
        <v>121</v>
      </c>
      <c r="AC861" s="235">
        <v>500000</v>
      </c>
      <c r="AD861" s="235">
        <v>13951.294191869383</v>
      </c>
      <c r="AE861">
        <v>0</v>
      </c>
      <c r="AF861">
        <v>0</v>
      </c>
      <c r="AG861">
        <v>0</v>
      </c>
      <c r="AH861" s="235">
        <v>0</v>
      </c>
      <c r="AI861">
        <v>226</v>
      </c>
      <c r="AJ861" t="s">
        <v>256</v>
      </c>
      <c r="AK861">
        <v>0</v>
      </c>
      <c r="AL861">
        <v>0</v>
      </c>
      <c r="AM861">
        <v>0</v>
      </c>
    </row>
    <row r="862" spans="1:39" x14ac:dyDescent="0.25">
      <c r="A862" t="s">
        <v>601</v>
      </c>
      <c r="B862" t="s">
        <v>632</v>
      </c>
      <c r="C862" t="s">
        <v>255</v>
      </c>
      <c r="D862" t="s">
        <v>234</v>
      </c>
      <c r="E862" t="s">
        <v>20</v>
      </c>
      <c r="F862" t="s">
        <v>624</v>
      </c>
      <c r="G862" t="s">
        <v>269</v>
      </c>
      <c r="H862" t="s">
        <v>254</v>
      </c>
      <c r="I862" t="s">
        <v>242</v>
      </c>
      <c r="J862" t="s">
        <v>235</v>
      </c>
      <c r="K862" s="380">
        <v>36861</v>
      </c>
      <c r="L862" s="235">
        <v>44514.919857673529</v>
      </c>
      <c r="M862" s="380">
        <v>36859</v>
      </c>
      <c r="N862" t="s">
        <v>1</v>
      </c>
      <c r="O862">
        <v>0.15</v>
      </c>
      <c r="P862">
        <v>0</v>
      </c>
      <c r="Q862">
        <v>0</v>
      </c>
      <c r="R862">
        <v>0</v>
      </c>
      <c r="S862">
        <v>0</v>
      </c>
      <c r="T862" t="s">
        <v>253</v>
      </c>
      <c r="U862" t="s">
        <v>617</v>
      </c>
      <c r="V862" t="s">
        <v>253</v>
      </c>
      <c r="W862" t="s">
        <v>132</v>
      </c>
      <c r="X862" t="s">
        <v>253</v>
      </c>
      <c r="Y862" t="s">
        <v>235</v>
      </c>
      <c r="Z862" t="s">
        <v>236</v>
      </c>
      <c r="AA862" t="s">
        <v>253</v>
      </c>
      <c r="AB862" t="s">
        <v>121</v>
      </c>
      <c r="AC862" s="235">
        <v>500000</v>
      </c>
      <c r="AD862" s="235">
        <v>18113.910440164967</v>
      </c>
      <c r="AE862">
        <v>0</v>
      </c>
      <c r="AF862">
        <v>0</v>
      </c>
      <c r="AG862">
        <v>0</v>
      </c>
      <c r="AH862" s="235">
        <v>0</v>
      </c>
      <c r="AI862">
        <v>226</v>
      </c>
      <c r="AJ862" t="s">
        <v>256</v>
      </c>
      <c r="AK862">
        <v>0</v>
      </c>
      <c r="AL862">
        <v>0</v>
      </c>
      <c r="AM862">
        <v>0</v>
      </c>
    </row>
    <row r="863" spans="1:39" x14ac:dyDescent="0.25">
      <c r="A863" t="s">
        <v>601</v>
      </c>
      <c r="B863" t="s">
        <v>632</v>
      </c>
      <c r="C863" t="s">
        <v>255</v>
      </c>
      <c r="D863" t="s">
        <v>234</v>
      </c>
      <c r="E863" t="s">
        <v>20</v>
      </c>
      <c r="F863" t="s">
        <v>624</v>
      </c>
      <c r="G863" t="s">
        <v>269</v>
      </c>
      <c r="H863" t="s">
        <v>254</v>
      </c>
      <c r="I863" t="s">
        <v>242</v>
      </c>
      <c r="J863" t="s">
        <v>235</v>
      </c>
      <c r="K863" s="380">
        <v>36892</v>
      </c>
      <c r="L863" s="235">
        <v>57697.098198721222</v>
      </c>
      <c r="M863" s="380">
        <v>36888</v>
      </c>
      <c r="N863" t="s">
        <v>1</v>
      </c>
      <c r="O863">
        <v>0.15</v>
      </c>
      <c r="P863">
        <v>0</v>
      </c>
      <c r="Q863">
        <v>0</v>
      </c>
      <c r="R863">
        <v>0</v>
      </c>
      <c r="S863">
        <v>0</v>
      </c>
      <c r="T863" t="s">
        <v>253</v>
      </c>
      <c r="U863" t="s">
        <v>617</v>
      </c>
      <c r="V863" t="s">
        <v>253</v>
      </c>
      <c r="W863" t="s">
        <v>132</v>
      </c>
      <c r="X863" t="s">
        <v>253</v>
      </c>
      <c r="Y863" t="s">
        <v>235</v>
      </c>
      <c r="Z863" t="s">
        <v>236</v>
      </c>
      <c r="AA863" t="s">
        <v>253</v>
      </c>
      <c r="AB863" t="s">
        <v>121</v>
      </c>
      <c r="AC863" s="235">
        <v>500000</v>
      </c>
      <c r="AD863" s="235">
        <v>21850.403579923353</v>
      </c>
      <c r="AE863">
        <v>0</v>
      </c>
      <c r="AF863">
        <v>0</v>
      </c>
      <c r="AG863">
        <v>0</v>
      </c>
      <c r="AH863" s="235">
        <v>0</v>
      </c>
      <c r="AI863">
        <v>226</v>
      </c>
      <c r="AJ863" t="s">
        <v>256</v>
      </c>
      <c r="AK863">
        <v>0</v>
      </c>
      <c r="AL863">
        <v>0</v>
      </c>
      <c r="AM863">
        <v>0</v>
      </c>
    </row>
    <row r="864" spans="1:39" x14ac:dyDescent="0.25">
      <c r="A864" t="s">
        <v>601</v>
      </c>
      <c r="B864" t="s">
        <v>632</v>
      </c>
      <c r="C864" t="s">
        <v>255</v>
      </c>
      <c r="D864" t="s">
        <v>234</v>
      </c>
      <c r="E864" t="s">
        <v>20</v>
      </c>
      <c r="F864" t="s">
        <v>624</v>
      </c>
      <c r="G864" t="s">
        <v>269</v>
      </c>
      <c r="H864" t="s">
        <v>254</v>
      </c>
      <c r="I864" t="s">
        <v>242</v>
      </c>
      <c r="J864" t="s">
        <v>235</v>
      </c>
      <c r="K864" s="380">
        <v>36923</v>
      </c>
      <c r="L864" s="235">
        <v>90543.714477322588</v>
      </c>
      <c r="M864" s="380">
        <v>36921</v>
      </c>
      <c r="N864" t="s">
        <v>1</v>
      </c>
      <c r="O864">
        <v>0.15</v>
      </c>
      <c r="P864">
        <v>0</v>
      </c>
      <c r="Q864">
        <v>0</v>
      </c>
      <c r="R864">
        <v>0</v>
      </c>
      <c r="S864">
        <v>0</v>
      </c>
      <c r="T864" t="s">
        <v>253</v>
      </c>
      <c r="U864" t="s">
        <v>617</v>
      </c>
      <c r="V864" t="s">
        <v>253</v>
      </c>
      <c r="W864" t="s">
        <v>132</v>
      </c>
      <c r="X864" t="s">
        <v>253</v>
      </c>
      <c r="Y864" t="s">
        <v>235</v>
      </c>
      <c r="Z864" t="s">
        <v>236</v>
      </c>
      <c r="AA864" t="s">
        <v>253</v>
      </c>
      <c r="AB864" t="s">
        <v>121</v>
      </c>
      <c r="AC864" s="235">
        <v>500000</v>
      </c>
      <c r="AD864" s="235">
        <v>27037.971055302944</v>
      </c>
      <c r="AE864">
        <v>0</v>
      </c>
      <c r="AF864">
        <v>0</v>
      </c>
      <c r="AG864">
        <v>0</v>
      </c>
      <c r="AH864" s="235">
        <v>0</v>
      </c>
      <c r="AI864">
        <v>226</v>
      </c>
      <c r="AJ864" t="s">
        <v>256</v>
      </c>
      <c r="AK864">
        <v>0</v>
      </c>
      <c r="AL864">
        <v>0</v>
      </c>
      <c r="AM864">
        <v>0</v>
      </c>
    </row>
    <row r="865" spans="1:39" x14ac:dyDescent="0.25">
      <c r="A865" t="s">
        <v>601</v>
      </c>
      <c r="B865" t="s">
        <v>632</v>
      </c>
      <c r="C865" t="s">
        <v>255</v>
      </c>
      <c r="D865" t="s">
        <v>234</v>
      </c>
      <c r="E865" t="s">
        <v>20</v>
      </c>
      <c r="F865" t="s">
        <v>624</v>
      </c>
      <c r="G865" t="s">
        <v>269</v>
      </c>
      <c r="H865" t="s">
        <v>254</v>
      </c>
      <c r="I865" t="s">
        <v>242</v>
      </c>
      <c r="J865" t="s">
        <v>235</v>
      </c>
      <c r="K865" s="380">
        <v>36951</v>
      </c>
      <c r="L865" s="235">
        <v>164974.30759967057</v>
      </c>
      <c r="M865" s="380">
        <v>36949</v>
      </c>
      <c r="N865" t="s">
        <v>1</v>
      </c>
      <c r="O865">
        <v>0.15</v>
      </c>
      <c r="P865">
        <v>0</v>
      </c>
      <c r="Q865">
        <v>0</v>
      </c>
      <c r="R865">
        <v>0</v>
      </c>
      <c r="S865">
        <v>0</v>
      </c>
      <c r="T865" t="s">
        <v>253</v>
      </c>
      <c r="U865" t="s">
        <v>617</v>
      </c>
      <c r="V865" t="s">
        <v>253</v>
      </c>
      <c r="W865" t="s">
        <v>132</v>
      </c>
      <c r="X865" t="s">
        <v>253</v>
      </c>
      <c r="Y865" t="s">
        <v>235</v>
      </c>
      <c r="Z865" t="s">
        <v>236</v>
      </c>
      <c r="AA865" t="s">
        <v>253</v>
      </c>
      <c r="AB865" t="s">
        <v>121</v>
      </c>
      <c r="AC865" s="235">
        <v>500000</v>
      </c>
      <c r="AD865" s="235">
        <v>26150.756317918655</v>
      </c>
      <c r="AE865">
        <v>0</v>
      </c>
      <c r="AF865">
        <v>0</v>
      </c>
      <c r="AG865">
        <v>0</v>
      </c>
      <c r="AH865" s="235">
        <v>0</v>
      </c>
      <c r="AI865">
        <v>226</v>
      </c>
      <c r="AJ865" t="s">
        <v>256</v>
      </c>
      <c r="AK865">
        <v>0</v>
      </c>
      <c r="AL865">
        <v>0</v>
      </c>
      <c r="AM865">
        <v>0</v>
      </c>
    </row>
    <row r="866" spans="1:39" x14ac:dyDescent="0.25">
      <c r="A866" t="s">
        <v>601</v>
      </c>
      <c r="B866" t="s">
        <v>545</v>
      </c>
      <c r="C866" t="s">
        <v>255</v>
      </c>
      <c r="D866" t="s">
        <v>234</v>
      </c>
      <c r="E866" t="s">
        <v>20</v>
      </c>
      <c r="F866" t="s">
        <v>281</v>
      </c>
      <c r="G866" t="s">
        <v>269</v>
      </c>
      <c r="H866" t="s">
        <v>254</v>
      </c>
      <c r="I866" t="s">
        <v>242</v>
      </c>
      <c r="J866" t="s">
        <v>235</v>
      </c>
      <c r="K866" s="380">
        <v>36831</v>
      </c>
      <c r="L866" s="235">
        <v>55000</v>
      </c>
      <c r="M866" s="380">
        <v>36860</v>
      </c>
      <c r="N866" t="s">
        <v>1</v>
      </c>
      <c r="O866">
        <v>0.5</v>
      </c>
      <c r="P866">
        <v>0</v>
      </c>
      <c r="Q866">
        <v>0</v>
      </c>
      <c r="R866">
        <v>0</v>
      </c>
      <c r="S866">
        <v>0</v>
      </c>
      <c r="T866" t="s">
        <v>253</v>
      </c>
      <c r="U866" t="s">
        <v>544</v>
      </c>
      <c r="V866" t="s">
        <v>543</v>
      </c>
      <c r="W866" t="s">
        <v>132</v>
      </c>
      <c r="X866" t="s">
        <v>132</v>
      </c>
      <c r="Y866" t="s">
        <v>235</v>
      </c>
      <c r="Z866" t="s">
        <v>236</v>
      </c>
      <c r="AA866" t="s">
        <v>236</v>
      </c>
      <c r="AB866" t="s">
        <v>121</v>
      </c>
      <c r="AC866" s="235">
        <v>500000</v>
      </c>
      <c r="AD866" s="235">
        <v>1.2561223285320826</v>
      </c>
      <c r="AE866">
        <v>0</v>
      </c>
      <c r="AF866">
        <v>0</v>
      </c>
      <c r="AG866">
        <v>0</v>
      </c>
      <c r="AH866" s="235">
        <v>0</v>
      </c>
      <c r="AI866">
        <v>0</v>
      </c>
      <c r="AJ866" t="s">
        <v>256</v>
      </c>
      <c r="AK866">
        <v>0</v>
      </c>
      <c r="AL866">
        <v>0</v>
      </c>
      <c r="AM866">
        <v>0</v>
      </c>
    </row>
    <row r="867" spans="1:39" x14ac:dyDescent="0.25">
      <c r="A867" t="s">
        <v>601</v>
      </c>
      <c r="B867" t="s">
        <v>545</v>
      </c>
      <c r="C867" t="s">
        <v>255</v>
      </c>
      <c r="D867" t="s">
        <v>234</v>
      </c>
      <c r="E867" t="s">
        <v>20</v>
      </c>
      <c r="F867" t="s">
        <v>281</v>
      </c>
      <c r="G867" t="s">
        <v>269</v>
      </c>
      <c r="H867" t="s">
        <v>254</v>
      </c>
      <c r="I867" t="s">
        <v>242</v>
      </c>
      <c r="J867" t="s">
        <v>235</v>
      </c>
      <c r="K867" s="380">
        <v>36861</v>
      </c>
      <c r="L867" s="235">
        <v>55000</v>
      </c>
      <c r="M867" s="380">
        <v>36891</v>
      </c>
      <c r="N867" t="s">
        <v>1</v>
      </c>
      <c r="O867">
        <v>0.5</v>
      </c>
      <c r="P867">
        <v>0</v>
      </c>
      <c r="Q867">
        <v>0</v>
      </c>
      <c r="R867">
        <v>0</v>
      </c>
      <c r="S867">
        <v>0</v>
      </c>
      <c r="T867" t="s">
        <v>253</v>
      </c>
      <c r="U867" t="s">
        <v>544</v>
      </c>
      <c r="V867" t="s">
        <v>543</v>
      </c>
      <c r="W867" t="s">
        <v>132</v>
      </c>
      <c r="X867" t="s">
        <v>132</v>
      </c>
      <c r="Y867" t="s">
        <v>235</v>
      </c>
      <c r="Z867" t="s">
        <v>236</v>
      </c>
      <c r="AA867" t="s">
        <v>236</v>
      </c>
      <c r="AB867" t="s">
        <v>121</v>
      </c>
      <c r="AC867" s="235">
        <v>500000</v>
      </c>
      <c r="AD867" s="235">
        <v>0.24354734668499131</v>
      </c>
      <c r="AE867">
        <v>0</v>
      </c>
      <c r="AF867">
        <v>0</v>
      </c>
      <c r="AG867">
        <v>0</v>
      </c>
      <c r="AH867" s="235">
        <v>0</v>
      </c>
      <c r="AI867">
        <v>0</v>
      </c>
      <c r="AJ867" t="s">
        <v>256</v>
      </c>
      <c r="AK867">
        <v>0</v>
      </c>
      <c r="AL867">
        <v>0</v>
      </c>
      <c r="AM867">
        <v>0</v>
      </c>
    </row>
    <row r="868" spans="1:39" x14ac:dyDescent="0.25">
      <c r="A868" t="s">
        <v>601</v>
      </c>
      <c r="B868" t="s">
        <v>545</v>
      </c>
      <c r="C868" t="s">
        <v>255</v>
      </c>
      <c r="D868" t="s">
        <v>234</v>
      </c>
      <c r="E868" t="s">
        <v>20</v>
      </c>
      <c r="F868" t="s">
        <v>281</v>
      </c>
      <c r="G868" t="s">
        <v>269</v>
      </c>
      <c r="H868" t="s">
        <v>254</v>
      </c>
      <c r="I868" t="s">
        <v>242</v>
      </c>
      <c r="J868" t="s">
        <v>235</v>
      </c>
      <c r="K868" s="380">
        <v>36892</v>
      </c>
      <c r="L868" s="235">
        <v>55000</v>
      </c>
      <c r="M868" s="380">
        <v>36922</v>
      </c>
      <c r="N868" t="s">
        <v>1</v>
      </c>
      <c r="O868">
        <v>0.5</v>
      </c>
      <c r="P868">
        <v>0</v>
      </c>
      <c r="Q868">
        <v>0</v>
      </c>
      <c r="R868">
        <v>0</v>
      </c>
      <c r="S868">
        <v>0</v>
      </c>
      <c r="T868" t="s">
        <v>253</v>
      </c>
      <c r="U868" t="s">
        <v>544</v>
      </c>
      <c r="V868" t="s">
        <v>543</v>
      </c>
      <c r="W868" t="s">
        <v>132</v>
      </c>
      <c r="X868" t="s">
        <v>132</v>
      </c>
      <c r="Y868" t="s">
        <v>235</v>
      </c>
      <c r="Z868" t="s">
        <v>236</v>
      </c>
      <c r="AA868" t="s">
        <v>236</v>
      </c>
      <c r="AB868" t="s">
        <v>121</v>
      </c>
      <c r="AC868" s="235">
        <v>500000</v>
      </c>
      <c r="AD868" s="235">
        <v>0.14148846438002957</v>
      </c>
      <c r="AE868">
        <v>0</v>
      </c>
      <c r="AF868">
        <v>0</v>
      </c>
      <c r="AG868">
        <v>0</v>
      </c>
      <c r="AH868" s="235">
        <v>0</v>
      </c>
      <c r="AI868">
        <v>0</v>
      </c>
      <c r="AJ868" t="s">
        <v>256</v>
      </c>
      <c r="AK868">
        <v>0</v>
      </c>
      <c r="AL868">
        <v>0</v>
      </c>
      <c r="AM868">
        <v>0</v>
      </c>
    </row>
    <row r="869" spans="1:39" x14ac:dyDescent="0.25">
      <c r="A869" t="s">
        <v>601</v>
      </c>
      <c r="B869" t="s">
        <v>545</v>
      </c>
      <c r="C869" t="s">
        <v>255</v>
      </c>
      <c r="D869" t="s">
        <v>234</v>
      </c>
      <c r="E869" t="s">
        <v>20</v>
      </c>
      <c r="F869" t="s">
        <v>281</v>
      </c>
      <c r="G869" t="s">
        <v>269</v>
      </c>
      <c r="H869" t="s">
        <v>254</v>
      </c>
      <c r="I869" t="s">
        <v>242</v>
      </c>
      <c r="J869" t="s">
        <v>235</v>
      </c>
      <c r="K869" s="380">
        <v>36923</v>
      </c>
      <c r="L869" s="235">
        <v>55000</v>
      </c>
      <c r="M869" s="380">
        <v>36950</v>
      </c>
      <c r="N869" t="s">
        <v>1</v>
      </c>
      <c r="O869">
        <v>0.5</v>
      </c>
      <c r="P869">
        <v>0</v>
      </c>
      <c r="Q869">
        <v>0</v>
      </c>
      <c r="R869">
        <v>0</v>
      </c>
      <c r="S869">
        <v>0</v>
      </c>
      <c r="T869" t="s">
        <v>253</v>
      </c>
      <c r="U869" t="s">
        <v>544</v>
      </c>
      <c r="V869" t="s">
        <v>543</v>
      </c>
      <c r="W869" t="s">
        <v>132</v>
      </c>
      <c r="X869" t="s">
        <v>132</v>
      </c>
      <c r="Y869" t="s">
        <v>235</v>
      </c>
      <c r="Z869" t="s">
        <v>236</v>
      </c>
      <c r="AA869" t="s">
        <v>236</v>
      </c>
      <c r="AB869" t="s">
        <v>121</v>
      </c>
      <c r="AC869" s="235">
        <v>500000</v>
      </c>
      <c r="AD869" s="235">
        <v>0.39222289535308918</v>
      </c>
      <c r="AE869">
        <v>0</v>
      </c>
      <c r="AF869">
        <v>0</v>
      </c>
      <c r="AG869">
        <v>0</v>
      </c>
      <c r="AH869" s="235">
        <v>0</v>
      </c>
      <c r="AI869">
        <v>0</v>
      </c>
      <c r="AJ869" t="s">
        <v>256</v>
      </c>
      <c r="AK869">
        <v>0</v>
      </c>
      <c r="AL869">
        <v>0</v>
      </c>
      <c r="AM869">
        <v>0</v>
      </c>
    </row>
    <row r="870" spans="1:39" x14ac:dyDescent="0.25">
      <c r="A870" t="s">
        <v>601</v>
      </c>
      <c r="B870" t="s">
        <v>545</v>
      </c>
      <c r="C870" t="s">
        <v>255</v>
      </c>
      <c r="D870" t="s">
        <v>234</v>
      </c>
      <c r="E870" t="s">
        <v>20</v>
      </c>
      <c r="F870" t="s">
        <v>281</v>
      </c>
      <c r="G870" t="s">
        <v>269</v>
      </c>
      <c r="H870" t="s">
        <v>254</v>
      </c>
      <c r="I870" t="s">
        <v>242</v>
      </c>
      <c r="J870" t="s">
        <v>235</v>
      </c>
      <c r="K870" s="380">
        <v>36951</v>
      </c>
      <c r="L870" s="235">
        <v>55000</v>
      </c>
      <c r="M870" s="380">
        <v>36981</v>
      </c>
      <c r="N870" t="s">
        <v>1</v>
      </c>
      <c r="O870">
        <v>0.5</v>
      </c>
      <c r="P870">
        <v>0</v>
      </c>
      <c r="Q870">
        <v>0</v>
      </c>
      <c r="R870">
        <v>0</v>
      </c>
      <c r="S870">
        <v>0</v>
      </c>
      <c r="T870" t="s">
        <v>253</v>
      </c>
      <c r="U870" t="s">
        <v>544</v>
      </c>
      <c r="V870" t="s">
        <v>543</v>
      </c>
      <c r="W870" t="s">
        <v>132</v>
      </c>
      <c r="X870" t="s">
        <v>132</v>
      </c>
      <c r="Y870" t="s">
        <v>235</v>
      </c>
      <c r="Z870" t="s">
        <v>236</v>
      </c>
      <c r="AA870" t="s">
        <v>236</v>
      </c>
      <c r="AB870" t="s">
        <v>121</v>
      </c>
      <c r="AC870" s="235">
        <v>500000</v>
      </c>
      <c r="AD870" s="235">
        <v>1.6989118988705421</v>
      </c>
      <c r="AE870">
        <v>0</v>
      </c>
      <c r="AF870">
        <v>0</v>
      </c>
      <c r="AG870">
        <v>0</v>
      </c>
      <c r="AH870" s="235">
        <v>0</v>
      </c>
      <c r="AI870">
        <v>0</v>
      </c>
      <c r="AJ870" t="s">
        <v>256</v>
      </c>
      <c r="AK870">
        <v>0</v>
      </c>
      <c r="AL870">
        <v>0</v>
      </c>
      <c r="AM870">
        <v>0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HE870"/>
  <sheetViews>
    <sheetView workbookViewId="0"/>
  </sheetViews>
  <sheetFormatPr defaultRowHeight="13.2" x14ac:dyDescent="0.25"/>
  <cols>
    <col min="11" max="11" width="10.6640625" style="380" customWidth="1"/>
    <col min="12" max="12" width="12" style="235" customWidth="1"/>
    <col min="13" max="13" width="11.5546875" style="380" customWidth="1"/>
    <col min="15" max="19" width="9.33203125" customWidth="1"/>
    <col min="21" max="21" width="18.6640625" bestFit="1" customWidth="1"/>
    <col min="29" max="29" width="13.5546875" style="235" customWidth="1"/>
    <col min="30" max="30" width="10.109375" style="235" customWidth="1"/>
    <col min="31" max="33" width="9.33203125" customWidth="1"/>
    <col min="34" max="34" width="12" style="235" customWidth="1"/>
    <col min="35" max="35" width="9.33203125" customWidth="1"/>
    <col min="37" max="39" width="9.33203125" customWidth="1"/>
  </cols>
  <sheetData>
    <row r="1" spans="1:213" x14ac:dyDescent="0.25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s="380" t="s">
        <v>204</v>
      </c>
      <c r="L1" s="235" t="s">
        <v>205</v>
      </c>
      <c r="M1" s="380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215</v>
      </c>
      <c r="W1" t="s">
        <v>216</v>
      </c>
      <c r="X1" t="s">
        <v>217</v>
      </c>
      <c r="Y1" t="s">
        <v>218</v>
      </c>
      <c r="Z1" t="s">
        <v>219</v>
      </c>
      <c r="AA1" t="s">
        <v>220</v>
      </c>
      <c r="AB1" t="s">
        <v>221</v>
      </c>
      <c r="AC1" s="235" t="s">
        <v>222</v>
      </c>
      <c r="AD1" s="235" t="s">
        <v>223</v>
      </c>
      <c r="AE1" t="s">
        <v>224</v>
      </c>
      <c r="AF1" t="s">
        <v>225</v>
      </c>
      <c r="AG1" t="s">
        <v>226</v>
      </c>
      <c r="AH1" s="235" t="s">
        <v>227</v>
      </c>
      <c r="AI1" t="s">
        <v>228</v>
      </c>
      <c r="AJ1" t="s">
        <v>229</v>
      </c>
      <c r="AK1" t="s">
        <v>230</v>
      </c>
      <c r="AL1" t="s">
        <v>231</v>
      </c>
      <c r="AM1" t="s">
        <v>232</v>
      </c>
      <c r="GS1" t="s">
        <v>233</v>
      </c>
      <c r="GT1">
        <v>0</v>
      </c>
      <c r="GU1" t="s">
        <v>255</v>
      </c>
      <c r="GV1" t="s">
        <v>234</v>
      </c>
      <c r="GW1" t="s">
        <v>20</v>
      </c>
      <c r="GX1">
        <v>0</v>
      </c>
      <c r="GY1" t="s">
        <v>253</v>
      </c>
      <c r="GZ1" t="s">
        <v>254</v>
      </c>
      <c r="HA1" t="s">
        <v>242</v>
      </c>
      <c r="HB1" t="s">
        <v>235</v>
      </c>
      <c r="HC1">
        <v>0</v>
      </c>
      <c r="HD1" t="e">
        <v>#VALUE!</v>
      </c>
      <c r="HE1">
        <v>36637</v>
      </c>
    </row>
    <row r="2" spans="1:213" x14ac:dyDescent="0.25">
      <c r="A2" t="s">
        <v>233</v>
      </c>
      <c r="B2" t="s">
        <v>265</v>
      </c>
      <c r="C2" t="s">
        <v>255</v>
      </c>
      <c r="D2" t="s">
        <v>234</v>
      </c>
      <c r="E2" t="s">
        <v>20</v>
      </c>
      <c r="F2" t="s">
        <v>276</v>
      </c>
      <c r="G2" t="s">
        <v>269</v>
      </c>
      <c r="H2" t="s">
        <v>254</v>
      </c>
      <c r="I2" t="s">
        <v>242</v>
      </c>
      <c r="J2" t="s">
        <v>235</v>
      </c>
      <c r="K2" s="380">
        <v>37316</v>
      </c>
      <c r="L2" s="235">
        <v>-332681.39891641738</v>
      </c>
      <c r="M2" s="380">
        <v>37314</v>
      </c>
      <c r="N2" t="s">
        <v>21</v>
      </c>
      <c r="O2">
        <v>0.95</v>
      </c>
      <c r="P2">
        <v>0</v>
      </c>
      <c r="Q2">
        <v>0</v>
      </c>
      <c r="R2">
        <v>0</v>
      </c>
      <c r="S2">
        <v>0</v>
      </c>
      <c r="T2" t="s">
        <v>253</v>
      </c>
      <c r="U2" t="s">
        <v>7</v>
      </c>
      <c r="V2" t="s">
        <v>253</v>
      </c>
      <c r="W2" t="s">
        <v>132</v>
      </c>
      <c r="X2" t="s">
        <v>253</v>
      </c>
      <c r="Y2" t="s">
        <v>235</v>
      </c>
      <c r="Z2" t="s">
        <v>236</v>
      </c>
      <c r="AA2" t="s">
        <v>253</v>
      </c>
      <c r="AB2" t="s">
        <v>1</v>
      </c>
      <c r="AC2" s="235">
        <v>-1000000</v>
      </c>
      <c r="AD2" s="235">
        <v>-48929.713968046824</v>
      </c>
      <c r="AE2">
        <v>0</v>
      </c>
      <c r="AF2">
        <v>0</v>
      </c>
      <c r="AG2">
        <v>0</v>
      </c>
      <c r="AH2" s="235">
        <v>-17191.056613827415</v>
      </c>
      <c r="AI2">
        <v>226</v>
      </c>
      <c r="AJ2" t="s">
        <v>256</v>
      </c>
      <c r="AK2">
        <v>0</v>
      </c>
      <c r="AL2">
        <v>0</v>
      </c>
      <c r="AM2">
        <v>0</v>
      </c>
    </row>
    <row r="3" spans="1:213" x14ac:dyDescent="0.25">
      <c r="A3" t="s">
        <v>233</v>
      </c>
      <c r="B3" t="s">
        <v>265</v>
      </c>
      <c r="C3" t="s">
        <v>255</v>
      </c>
      <c r="D3" t="s">
        <v>234</v>
      </c>
      <c r="E3" t="s">
        <v>20</v>
      </c>
      <c r="F3" t="s">
        <v>276</v>
      </c>
      <c r="G3" t="s">
        <v>269</v>
      </c>
      <c r="H3" t="s">
        <v>254</v>
      </c>
      <c r="I3" t="s">
        <v>242</v>
      </c>
      <c r="J3" t="s">
        <v>235</v>
      </c>
      <c r="K3" s="380">
        <v>37288</v>
      </c>
      <c r="L3" s="235">
        <v>-708613.97715581022</v>
      </c>
      <c r="M3" s="380">
        <v>37286</v>
      </c>
      <c r="N3" t="s">
        <v>21</v>
      </c>
      <c r="O3">
        <v>0.95</v>
      </c>
      <c r="P3">
        <v>0</v>
      </c>
      <c r="Q3">
        <v>0</v>
      </c>
      <c r="R3">
        <v>0</v>
      </c>
      <c r="S3">
        <v>0</v>
      </c>
      <c r="T3" t="s">
        <v>253</v>
      </c>
      <c r="U3" t="s">
        <v>7</v>
      </c>
      <c r="V3" t="s">
        <v>253</v>
      </c>
      <c r="W3" t="s">
        <v>132</v>
      </c>
      <c r="X3" t="s">
        <v>253</v>
      </c>
      <c r="Y3" t="s">
        <v>235</v>
      </c>
      <c r="Z3" t="s">
        <v>236</v>
      </c>
      <c r="AA3" t="s">
        <v>253</v>
      </c>
      <c r="AB3" t="s">
        <v>1</v>
      </c>
      <c r="AC3" s="235">
        <v>-1000000</v>
      </c>
      <c r="AD3" s="235">
        <v>-41105.325179778272</v>
      </c>
      <c r="AE3">
        <v>0</v>
      </c>
      <c r="AF3">
        <v>0</v>
      </c>
      <c r="AG3">
        <v>0</v>
      </c>
      <c r="AH3" s="235">
        <v>-22524.219667350757</v>
      </c>
      <c r="AI3">
        <v>226</v>
      </c>
      <c r="AJ3" t="s">
        <v>256</v>
      </c>
      <c r="AK3">
        <v>0</v>
      </c>
      <c r="AL3">
        <v>0</v>
      </c>
      <c r="AM3">
        <v>0</v>
      </c>
    </row>
    <row r="4" spans="1:213" x14ac:dyDescent="0.25">
      <c r="A4" t="s">
        <v>233</v>
      </c>
      <c r="B4" t="s">
        <v>265</v>
      </c>
      <c r="C4" t="s">
        <v>255</v>
      </c>
      <c r="D4" t="s">
        <v>234</v>
      </c>
      <c r="E4" t="s">
        <v>20</v>
      </c>
      <c r="F4" t="s">
        <v>276</v>
      </c>
      <c r="G4" t="s">
        <v>269</v>
      </c>
      <c r="H4" t="s">
        <v>254</v>
      </c>
      <c r="I4" t="s">
        <v>242</v>
      </c>
      <c r="J4" t="s">
        <v>235</v>
      </c>
      <c r="K4" s="380">
        <v>37257</v>
      </c>
      <c r="L4" s="235">
        <v>-723208.05016235029</v>
      </c>
      <c r="M4" s="380">
        <v>37253</v>
      </c>
      <c r="N4" t="s">
        <v>21</v>
      </c>
      <c r="O4">
        <v>0.95</v>
      </c>
      <c r="P4">
        <v>0</v>
      </c>
      <c r="Q4">
        <v>0</v>
      </c>
      <c r="R4">
        <v>0</v>
      </c>
      <c r="S4">
        <v>0</v>
      </c>
      <c r="T4" t="s">
        <v>253</v>
      </c>
      <c r="U4" t="s">
        <v>7</v>
      </c>
      <c r="V4" t="s">
        <v>253</v>
      </c>
      <c r="W4" t="s">
        <v>132</v>
      </c>
      <c r="X4" t="s">
        <v>253</v>
      </c>
      <c r="Y4" t="s">
        <v>235</v>
      </c>
      <c r="Z4" t="s">
        <v>236</v>
      </c>
      <c r="AA4" t="s">
        <v>253</v>
      </c>
      <c r="AB4" t="s">
        <v>1</v>
      </c>
      <c r="AC4" s="235">
        <v>-1000000</v>
      </c>
      <c r="AD4" s="235">
        <v>-42724.833151095663</v>
      </c>
      <c r="AE4">
        <v>0</v>
      </c>
      <c r="AF4">
        <v>0</v>
      </c>
      <c r="AG4">
        <v>0</v>
      </c>
      <c r="AH4" s="235">
        <v>-22683.011234872625</v>
      </c>
      <c r="AI4">
        <v>226</v>
      </c>
      <c r="AJ4" t="s">
        <v>256</v>
      </c>
      <c r="AK4">
        <v>0</v>
      </c>
      <c r="AL4">
        <v>0</v>
      </c>
      <c r="AM4">
        <v>0</v>
      </c>
    </row>
    <row r="5" spans="1:213" x14ac:dyDescent="0.25">
      <c r="A5" t="s">
        <v>233</v>
      </c>
      <c r="B5" t="s">
        <v>265</v>
      </c>
      <c r="C5" t="s">
        <v>255</v>
      </c>
      <c r="D5" t="s">
        <v>234</v>
      </c>
      <c r="E5" t="s">
        <v>20</v>
      </c>
      <c r="F5" t="s">
        <v>276</v>
      </c>
      <c r="G5" t="s">
        <v>269</v>
      </c>
      <c r="H5" t="s">
        <v>254</v>
      </c>
      <c r="I5" t="s">
        <v>242</v>
      </c>
      <c r="J5" t="s">
        <v>235</v>
      </c>
      <c r="K5" s="380">
        <v>37226</v>
      </c>
      <c r="L5" s="235">
        <v>-546942.90301287465</v>
      </c>
      <c r="M5" s="380">
        <v>37224</v>
      </c>
      <c r="N5" t="s">
        <v>21</v>
      </c>
      <c r="O5">
        <v>0.95</v>
      </c>
      <c r="P5">
        <v>0</v>
      </c>
      <c r="Q5">
        <v>0</v>
      </c>
      <c r="R5">
        <v>0</v>
      </c>
      <c r="S5">
        <v>0</v>
      </c>
      <c r="T5" t="s">
        <v>253</v>
      </c>
      <c r="U5" t="s">
        <v>7</v>
      </c>
      <c r="V5" t="s">
        <v>253</v>
      </c>
      <c r="W5" t="s">
        <v>132</v>
      </c>
      <c r="X5" t="s">
        <v>253</v>
      </c>
      <c r="Y5" t="s">
        <v>235</v>
      </c>
      <c r="Z5" t="s">
        <v>236</v>
      </c>
      <c r="AA5" t="s">
        <v>253</v>
      </c>
      <c r="AB5" t="s">
        <v>1</v>
      </c>
      <c r="AC5" s="235">
        <v>-1000000</v>
      </c>
      <c r="AD5" s="235">
        <v>-46630.586230566725</v>
      </c>
      <c r="AE5">
        <v>0</v>
      </c>
      <c r="AF5">
        <v>0</v>
      </c>
      <c r="AG5">
        <v>0</v>
      </c>
      <c r="AH5" s="235">
        <v>-21067.422585947206</v>
      </c>
      <c r="AI5">
        <v>226</v>
      </c>
      <c r="AJ5" t="s">
        <v>256</v>
      </c>
      <c r="AK5">
        <v>0</v>
      </c>
      <c r="AL5">
        <v>0</v>
      </c>
      <c r="AM5">
        <v>0</v>
      </c>
    </row>
    <row r="6" spans="1:213" x14ac:dyDescent="0.25">
      <c r="A6" t="s">
        <v>233</v>
      </c>
      <c r="B6" t="s">
        <v>265</v>
      </c>
      <c r="C6" t="s">
        <v>255</v>
      </c>
      <c r="D6" t="s">
        <v>234</v>
      </c>
      <c r="E6" t="s">
        <v>20</v>
      </c>
      <c r="F6" t="s">
        <v>276</v>
      </c>
      <c r="G6" t="s">
        <v>269</v>
      </c>
      <c r="H6" t="s">
        <v>254</v>
      </c>
      <c r="I6" t="s">
        <v>242</v>
      </c>
      <c r="J6" t="s">
        <v>235</v>
      </c>
      <c r="K6" s="380">
        <v>37196</v>
      </c>
      <c r="L6" s="235">
        <v>-295233.34351388493</v>
      </c>
      <c r="M6" s="380">
        <v>37194</v>
      </c>
      <c r="N6" t="s">
        <v>21</v>
      </c>
      <c r="O6">
        <v>0.95</v>
      </c>
      <c r="P6">
        <v>0</v>
      </c>
      <c r="Q6">
        <v>0</v>
      </c>
      <c r="R6">
        <v>0</v>
      </c>
      <c r="S6">
        <v>0</v>
      </c>
      <c r="T6" t="s">
        <v>253</v>
      </c>
      <c r="U6" t="s">
        <v>7</v>
      </c>
      <c r="V6" t="s">
        <v>253</v>
      </c>
      <c r="W6" t="s">
        <v>132</v>
      </c>
      <c r="X6" t="s">
        <v>253</v>
      </c>
      <c r="Y6" t="s">
        <v>235</v>
      </c>
      <c r="Z6" t="s">
        <v>236</v>
      </c>
      <c r="AA6" t="s">
        <v>253</v>
      </c>
      <c r="AB6" t="s">
        <v>1</v>
      </c>
      <c r="AC6" s="235">
        <v>-1000000</v>
      </c>
      <c r="AD6" s="235">
        <v>-49712.263461544411</v>
      </c>
      <c r="AE6">
        <v>0</v>
      </c>
      <c r="AF6">
        <v>0</v>
      </c>
      <c r="AG6">
        <v>0</v>
      </c>
      <c r="AH6" s="235">
        <v>-16574.312874732655</v>
      </c>
      <c r="AI6">
        <v>226</v>
      </c>
      <c r="AJ6" t="s">
        <v>256</v>
      </c>
      <c r="AK6">
        <v>0</v>
      </c>
      <c r="AL6">
        <v>0</v>
      </c>
      <c r="AM6">
        <v>0</v>
      </c>
    </row>
    <row r="7" spans="1:213" x14ac:dyDescent="0.25">
      <c r="A7" t="s">
        <v>233</v>
      </c>
      <c r="B7" t="s">
        <v>402</v>
      </c>
      <c r="C7" t="s">
        <v>255</v>
      </c>
      <c r="D7" t="s">
        <v>234</v>
      </c>
      <c r="E7" t="s">
        <v>20</v>
      </c>
      <c r="F7" t="s">
        <v>267</v>
      </c>
      <c r="G7" t="s">
        <v>269</v>
      </c>
      <c r="H7" t="s">
        <v>254</v>
      </c>
      <c r="I7" t="s">
        <v>242</v>
      </c>
      <c r="J7" t="s">
        <v>235</v>
      </c>
      <c r="K7" s="380">
        <v>37165</v>
      </c>
      <c r="L7" s="235">
        <v>115820.01395071605</v>
      </c>
      <c r="M7" s="380">
        <v>37161</v>
      </c>
      <c r="N7" t="s">
        <v>21</v>
      </c>
      <c r="O7">
        <v>0.3</v>
      </c>
      <c r="P7">
        <v>0</v>
      </c>
      <c r="Q7">
        <v>0</v>
      </c>
      <c r="R7">
        <v>0</v>
      </c>
      <c r="S7">
        <v>0</v>
      </c>
      <c r="T7" t="s">
        <v>253</v>
      </c>
      <c r="U7" t="s">
        <v>7</v>
      </c>
      <c r="V7" t="s">
        <v>253</v>
      </c>
      <c r="W7" t="s">
        <v>132</v>
      </c>
      <c r="X7" t="s">
        <v>253</v>
      </c>
      <c r="Y7" t="s">
        <v>235</v>
      </c>
      <c r="Z7" t="s">
        <v>236</v>
      </c>
      <c r="AA7" t="s">
        <v>253</v>
      </c>
      <c r="AB7" t="s">
        <v>1</v>
      </c>
      <c r="AC7" s="235">
        <v>500000</v>
      </c>
      <c r="AD7" s="235">
        <v>15233.217701204761</v>
      </c>
      <c r="AE7">
        <v>0</v>
      </c>
      <c r="AF7">
        <v>0</v>
      </c>
      <c r="AG7">
        <v>0</v>
      </c>
      <c r="AH7" s="235">
        <v>723.03375862188113</v>
      </c>
      <c r="AI7">
        <v>226</v>
      </c>
      <c r="AJ7" t="s">
        <v>256</v>
      </c>
      <c r="AK7">
        <v>0</v>
      </c>
      <c r="AL7">
        <v>0</v>
      </c>
      <c r="AM7">
        <v>0</v>
      </c>
    </row>
    <row r="8" spans="1:213" x14ac:dyDescent="0.25">
      <c r="A8" t="s">
        <v>233</v>
      </c>
      <c r="B8" t="s">
        <v>402</v>
      </c>
      <c r="C8" t="s">
        <v>255</v>
      </c>
      <c r="D8" t="s">
        <v>234</v>
      </c>
      <c r="E8" t="s">
        <v>20</v>
      </c>
      <c r="F8" t="s">
        <v>267</v>
      </c>
      <c r="G8" t="s">
        <v>269</v>
      </c>
      <c r="H8" t="s">
        <v>254</v>
      </c>
      <c r="I8" t="s">
        <v>242</v>
      </c>
      <c r="J8" t="s">
        <v>235</v>
      </c>
      <c r="K8" s="380">
        <v>37135</v>
      </c>
      <c r="L8" s="235">
        <v>93914.827942187374</v>
      </c>
      <c r="M8" s="380">
        <v>37133</v>
      </c>
      <c r="N8" t="s">
        <v>21</v>
      </c>
      <c r="O8">
        <v>0.3</v>
      </c>
      <c r="P8">
        <v>0</v>
      </c>
      <c r="Q8">
        <v>0</v>
      </c>
      <c r="R8">
        <v>0</v>
      </c>
      <c r="S8">
        <v>0</v>
      </c>
      <c r="T8" t="s">
        <v>253</v>
      </c>
      <c r="U8" t="s">
        <v>7</v>
      </c>
      <c r="V8" t="s">
        <v>253</v>
      </c>
      <c r="W8" t="s">
        <v>132</v>
      </c>
      <c r="X8" t="s">
        <v>253</v>
      </c>
      <c r="Y8" t="s">
        <v>235</v>
      </c>
      <c r="Z8" t="s">
        <v>236</v>
      </c>
      <c r="AA8" t="s">
        <v>253</v>
      </c>
      <c r="AB8" t="s">
        <v>1</v>
      </c>
      <c r="AC8" s="235">
        <v>500000</v>
      </c>
      <c r="AD8" s="235">
        <v>15498.018506256514</v>
      </c>
      <c r="AE8">
        <v>0</v>
      </c>
      <c r="AF8">
        <v>0</v>
      </c>
      <c r="AG8">
        <v>0</v>
      </c>
      <c r="AH8" s="235">
        <v>736.17246900031751</v>
      </c>
      <c r="AI8">
        <v>226</v>
      </c>
      <c r="AJ8" t="s">
        <v>256</v>
      </c>
      <c r="AK8">
        <v>0</v>
      </c>
      <c r="AL8">
        <v>0</v>
      </c>
      <c r="AM8">
        <v>0</v>
      </c>
    </row>
    <row r="9" spans="1:213" x14ac:dyDescent="0.25">
      <c r="A9" t="s">
        <v>233</v>
      </c>
      <c r="B9" t="s">
        <v>402</v>
      </c>
      <c r="C9" t="s">
        <v>255</v>
      </c>
      <c r="D9" t="s">
        <v>234</v>
      </c>
      <c r="E9" t="s">
        <v>20</v>
      </c>
      <c r="F9" t="s">
        <v>267</v>
      </c>
      <c r="G9" t="s">
        <v>269</v>
      </c>
      <c r="H9" t="s">
        <v>254</v>
      </c>
      <c r="I9" t="s">
        <v>242</v>
      </c>
      <c r="J9" t="s">
        <v>235</v>
      </c>
      <c r="K9" s="380">
        <v>37104</v>
      </c>
      <c r="L9" s="235">
        <v>111793.33391877604</v>
      </c>
      <c r="M9" s="380">
        <v>37102</v>
      </c>
      <c r="N9" t="s">
        <v>21</v>
      </c>
      <c r="O9">
        <v>0.3</v>
      </c>
      <c r="P9">
        <v>0</v>
      </c>
      <c r="Q9">
        <v>0</v>
      </c>
      <c r="R9">
        <v>0</v>
      </c>
      <c r="S9">
        <v>0</v>
      </c>
      <c r="T9" t="s">
        <v>253</v>
      </c>
      <c r="U9" t="s">
        <v>7</v>
      </c>
      <c r="V9" t="s">
        <v>253</v>
      </c>
      <c r="W9" t="s">
        <v>132</v>
      </c>
      <c r="X9" t="s">
        <v>253</v>
      </c>
      <c r="Y9" t="s">
        <v>235</v>
      </c>
      <c r="Z9" t="s">
        <v>236</v>
      </c>
      <c r="AA9" t="s">
        <v>253</v>
      </c>
      <c r="AB9" t="s">
        <v>1</v>
      </c>
      <c r="AC9" s="235">
        <v>500000</v>
      </c>
      <c r="AD9" s="235">
        <v>13959.994866225868</v>
      </c>
      <c r="AE9">
        <v>0</v>
      </c>
      <c r="AF9">
        <v>0</v>
      </c>
      <c r="AG9">
        <v>0</v>
      </c>
      <c r="AH9" s="235">
        <v>662.09931597436662</v>
      </c>
      <c r="AI9">
        <v>226</v>
      </c>
      <c r="AJ9" t="s">
        <v>256</v>
      </c>
      <c r="AK9">
        <v>0</v>
      </c>
      <c r="AL9">
        <v>0</v>
      </c>
      <c r="AM9">
        <v>0</v>
      </c>
    </row>
    <row r="10" spans="1:213" x14ac:dyDescent="0.25">
      <c r="A10" t="s">
        <v>233</v>
      </c>
      <c r="B10" t="s">
        <v>402</v>
      </c>
      <c r="C10" t="s">
        <v>255</v>
      </c>
      <c r="D10" t="s">
        <v>234</v>
      </c>
      <c r="E10" t="s">
        <v>20</v>
      </c>
      <c r="F10" t="s">
        <v>267</v>
      </c>
      <c r="G10" t="s">
        <v>269</v>
      </c>
      <c r="H10" t="s">
        <v>254</v>
      </c>
      <c r="I10" t="s">
        <v>242</v>
      </c>
      <c r="J10" t="s">
        <v>235</v>
      </c>
      <c r="K10" s="380">
        <v>37073</v>
      </c>
      <c r="L10" s="235">
        <v>109392.04566727873</v>
      </c>
      <c r="M10" s="380">
        <v>37070</v>
      </c>
      <c r="N10" t="s">
        <v>21</v>
      </c>
      <c r="O10">
        <v>0.3</v>
      </c>
      <c r="P10">
        <v>0</v>
      </c>
      <c r="Q10">
        <v>0</v>
      </c>
      <c r="R10">
        <v>0</v>
      </c>
      <c r="S10">
        <v>0</v>
      </c>
      <c r="T10" t="s">
        <v>253</v>
      </c>
      <c r="U10" t="s">
        <v>7</v>
      </c>
      <c r="V10" t="s">
        <v>253</v>
      </c>
      <c r="W10" t="s">
        <v>132</v>
      </c>
      <c r="X10" t="s">
        <v>253</v>
      </c>
      <c r="Y10" t="s">
        <v>235</v>
      </c>
      <c r="Z10" t="s">
        <v>236</v>
      </c>
      <c r="AA10" t="s">
        <v>253</v>
      </c>
      <c r="AB10" t="s">
        <v>1</v>
      </c>
      <c r="AC10" s="235">
        <v>500000</v>
      </c>
      <c r="AD10" s="235">
        <v>13219.76395663037</v>
      </c>
      <c r="AE10">
        <v>0</v>
      </c>
      <c r="AF10">
        <v>0</v>
      </c>
      <c r="AG10">
        <v>0</v>
      </c>
      <c r="AH10" s="235">
        <v>627.12638252615579</v>
      </c>
      <c r="AI10">
        <v>226</v>
      </c>
      <c r="AJ10" t="s">
        <v>256</v>
      </c>
      <c r="AK10">
        <v>0</v>
      </c>
      <c r="AL10">
        <v>0</v>
      </c>
      <c r="AM10">
        <v>0</v>
      </c>
    </row>
    <row r="11" spans="1:213" x14ac:dyDescent="0.25">
      <c r="A11" t="s">
        <v>233</v>
      </c>
      <c r="B11" t="s">
        <v>402</v>
      </c>
      <c r="C11" t="s">
        <v>255</v>
      </c>
      <c r="D11" t="s">
        <v>234</v>
      </c>
      <c r="E11" t="s">
        <v>20</v>
      </c>
      <c r="F11" t="s">
        <v>267</v>
      </c>
      <c r="G11" t="s">
        <v>269</v>
      </c>
      <c r="H11" t="s">
        <v>254</v>
      </c>
      <c r="I11" t="s">
        <v>242</v>
      </c>
      <c r="J11" t="s">
        <v>235</v>
      </c>
      <c r="K11" s="380">
        <v>37043</v>
      </c>
      <c r="L11" s="235">
        <v>86775.479144627723</v>
      </c>
      <c r="M11" s="380">
        <v>37041</v>
      </c>
      <c r="N11" t="s">
        <v>21</v>
      </c>
      <c r="O11">
        <v>0.3</v>
      </c>
      <c r="P11">
        <v>0</v>
      </c>
      <c r="Q11">
        <v>0</v>
      </c>
      <c r="R11">
        <v>0</v>
      </c>
      <c r="S11">
        <v>0</v>
      </c>
      <c r="T11" t="s">
        <v>253</v>
      </c>
      <c r="U11" t="s">
        <v>7</v>
      </c>
      <c r="V11" t="s">
        <v>253</v>
      </c>
      <c r="W11" t="s">
        <v>132</v>
      </c>
      <c r="X11" t="s">
        <v>253</v>
      </c>
      <c r="Y11" t="s">
        <v>235</v>
      </c>
      <c r="Z11" t="s">
        <v>236</v>
      </c>
      <c r="AA11" t="s">
        <v>253</v>
      </c>
      <c r="AB11" t="s">
        <v>1</v>
      </c>
      <c r="AC11" s="235">
        <v>500000</v>
      </c>
      <c r="AD11" s="235">
        <v>13532.060510858137</v>
      </c>
      <c r="AE11">
        <v>0</v>
      </c>
      <c r="AF11">
        <v>0</v>
      </c>
      <c r="AG11">
        <v>0</v>
      </c>
      <c r="AH11" s="235">
        <v>643.46025547180034</v>
      </c>
      <c r="AI11">
        <v>226</v>
      </c>
      <c r="AJ11" t="s">
        <v>256</v>
      </c>
      <c r="AK11">
        <v>0</v>
      </c>
      <c r="AL11">
        <v>0</v>
      </c>
      <c r="AM11">
        <v>0</v>
      </c>
    </row>
    <row r="12" spans="1:213" x14ac:dyDescent="0.25">
      <c r="A12" t="s">
        <v>233</v>
      </c>
      <c r="B12" t="s">
        <v>402</v>
      </c>
      <c r="C12" t="s">
        <v>255</v>
      </c>
      <c r="D12" t="s">
        <v>234</v>
      </c>
      <c r="E12" t="s">
        <v>20</v>
      </c>
      <c r="F12" t="s">
        <v>267</v>
      </c>
      <c r="G12" t="s">
        <v>269</v>
      </c>
      <c r="H12" t="s">
        <v>254</v>
      </c>
      <c r="I12" t="s">
        <v>242</v>
      </c>
      <c r="J12" t="s">
        <v>235</v>
      </c>
      <c r="K12" s="380">
        <v>37012</v>
      </c>
      <c r="L12" s="235">
        <v>87670.776524810892</v>
      </c>
      <c r="M12" s="380">
        <v>37008</v>
      </c>
      <c r="N12" t="s">
        <v>21</v>
      </c>
      <c r="O12">
        <v>0.3</v>
      </c>
      <c r="P12">
        <v>0</v>
      </c>
      <c r="Q12">
        <v>0</v>
      </c>
      <c r="R12">
        <v>0</v>
      </c>
      <c r="S12">
        <v>0</v>
      </c>
      <c r="T12" t="s">
        <v>253</v>
      </c>
      <c r="U12" t="s">
        <v>7</v>
      </c>
      <c r="V12" t="s">
        <v>253</v>
      </c>
      <c r="W12" t="s">
        <v>132</v>
      </c>
      <c r="X12" t="s">
        <v>253</v>
      </c>
      <c r="Y12" t="s">
        <v>235</v>
      </c>
      <c r="Z12" t="s">
        <v>236</v>
      </c>
      <c r="AA12" t="s">
        <v>253</v>
      </c>
      <c r="AB12" t="s">
        <v>1</v>
      </c>
      <c r="AC12" s="235">
        <v>500000</v>
      </c>
      <c r="AD12" s="235">
        <v>12755.612757213064</v>
      </c>
      <c r="AE12">
        <v>0</v>
      </c>
      <c r="AF12">
        <v>0</v>
      </c>
      <c r="AG12">
        <v>0</v>
      </c>
      <c r="AH12" s="235">
        <v>606.89318817775347</v>
      </c>
      <c r="AI12">
        <v>226</v>
      </c>
      <c r="AJ12" t="s">
        <v>256</v>
      </c>
      <c r="AK12">
        <v>0</v>
      </c>
      <c r="AL12">
        <v>0</v>
      </c>
      <c r="AM12">
        <v>0</v>
      </c>
    </row>
    <row r="13" spans="1:213" x14ac:dyDescent="0.25">
      <c r="A13" t="s">
        <v>233</v>
      </c>
      <c r="B13" t="s">
        <v>402</v>
      </c>
      <c r="C13" t="s">
        <v>255</v>
      </c>
      <c r="D13" t="s">
        <v>234</v>
      </c>
      <c r="E13" t="s">
        <v>20</v>
      </c>
      <c r="F13" t="s">
        <v>267</v>
      </c>
      <c r="G13" t="s">
        <v>269</v>
      </c>
      <c r="H13" t="s">
        <v>254</v>
      </c>
      <c r="I13" t="s">
        <v>242</v>
      </c>
      <c r="J13" t="s">
        <v>235</v>
      </c>
      <c r="K13" s="380">
        <v>36982</v>
      </c>
      <c r="L13" s="235">
        <v>129723.27521062607</v>
      </c>
      <c r="M13" s="380">
        <v>36979</v>
      </c>
      <c r="N13" t="s">
        <v>21</v>
      </c>
      <c r="O13">
        <v>0.3</v>
      </c>
      <c r="P13">
        <v>0</v>
      </c>
      <c r="Q13">
        <v>0</v>
      </c>
      <c r="R13">
        <v>0</v>
      </c>
      <c r="S13">
        <v>0</v>
      </c>
      <c r="T13" t="s">
        <v>253</v>
      </c>
      <c r="U13" t="s">
        <v>7</v>
      </c>
      <c r="V13" t="s">
        <v>253</v>
      </c>
      <c r="W13" t="s">
        <v>132</v>
      </c>
      <c r="X13" t="s">
        <v>253</v>
      </c>
      <c r="Y13" t="s">
        <v>235</v>
      </c>
      <c r="Z13" t="s">
        <v>236</v>
      </c>
      <c r="AA13" t="s">
        <v>253</v>
      </c>
      <c r="AB13" t="s">
        <v>1</v>
      </c>
      <c r="AC13" s="235">
        <v>500000</v>
      </c>
      <c r="AD13" s="235">
        <v>11158.954066135979</v>
      </c>
      <c r="AE13">
        <v>0</v>
      </c>
      <c r="AF13">
        <v>0</v>
      </c>
      <c r="AG13">
        <v>0</v>
      </c>
      <c r="AH13" s="235">
        <v>530.28351871318591</v>
      </c>
      <c r="AI13">
        <v>226</v>
      </c>
      <c r="AJ13" t="s">
        <v>256</v>
      </c>
      <c r="AK13">
        <v>0</v>
      </c>
      <c r="AL13">
        <v>0</v>
      </c>
      <c r="AM13">
        <v>0</v>
      </c>
    </row>
    <row r="14" spans="1:213" x14ac:dyDescent="0.25">
      <c r="A14" t="s">
        <v>233</v>
      </c>
      <c r="B14" t="s">
        <v>402</v>
      </c>
      <c r="C14" t="s">
        <v>255</v>
      </c>
      <c r="D14" t="s">
        <v>234</v>
      </c>
      <c r="E14" t="s">
        <v>20</v>
      </c>
      <c r="F14" t="s">
        <v>267</v>
      </c>
      <c r="G14" t="s">
        <v>269</v>
      </c>
      <c r="H14" t="s">
        <v>254</v>
      </c>
      <c r="I14" t="s">
        <v>242</v>
      </c>
      <c r="J14" t="s">
        <v>235</v>
      </c>
      <c r="K14" s="380">
        <v>36800</v>
      </c>
      <c r="L14" s="235">
        <v>60873.3375446555</v>
      </c>
      <c r="M14" s="380">
        <v>36797</v>
      </c>
      <c r="N14" t="s">
        <v>21</v>
      </c>
      <c r="O14">
        <v>0.3</v>
      </c>
      <c r="P14">
        <v>0</v>
      </c>
      <c r="Q14">
        <v>0</v>
      </c>
      <c r="R14">
        <v>0</v>
      </c>
      <c r="S14">
        <v>0</v>
      </c>
      <c r="T14" t="s">
        <v>253</v>
      </c>
      <c r="U14" t="s">
        <v>7</v>
      </c>
      <c r="V14" t="s">
        <v>253</v>
      </c>
      <c r="W14" t="s">
        <v>132</v>
      </c>
      <c r="X14" t="s">
        <v>253</v>
      </c>
      <c r="Y14" t="s">
        <v>235</v>
      </c>
      <c r="Z14" t="s">
        <v>236</v>
      </c>
      <c r="AA14" t="s">
        <v>253</v>
      </c>
      <c r="AB14" t="s">
        <v>1</v>
      </c>
      <c r="AC14" s="235">
        <v>500000</v>
      </c>
      <c r="AD14" s="235">
        <v>1957.0619425657205</v>
      </c>
      <c r="AE14">
        <v>0</v>
      </c>
      <c r="AF14">
        <v>0</v>
      </c>
      <c r="AG14">
        <v>0</v>
      </c>
      <c r="AH14" s="235">
        <v>113.31568075960968</v>
      </c>
      <c r="AI14">
        <v>226</v>
      </c>
      <c r="AJ14" t="s">
        <v>256</v>
      </c>
      <c r="AK14">
        <v>0</v>
      </c>
      <c r="AL14">
        <v>0</v>
      </c>
      <c r="AM14">
        <v>0</v>
      </c>
    </row>
    <row r="15" spans="1:213" x14ac:dyDescent="0.25">
      <c r="A15" t="s">
        <v>233</v>
      </c>
      <c r="B15" t="s">
        <v>402</v>
      </c>
      <c r="C15" t="s">
        <v>255</v>
      </c>
      <c r="D15" t="s">
        <v>234</v>
      </c>
      <c r="E15" t="s">
        <v>20</v>
      </c>
      <c r="F15" t="s">
        <v>267</v>
      </c>
      <c r="G15" t="s">
        <v>269</v>
      </c>
      <c r="H15" t="s">
        <v>254</v>
      </c>
      <c r="I15" t="s">
        <v>242</v>
      </c>
      <c r="J15" t="s">
        <v>235</v>
      </c>
      <c r="K15" s="380">
        <v>36770</v>
      </c>
      <c r="L15" s="235">
        <v>8568.2289642934593</v>
      </c>
      <c r="M15" s="380">
        <v>36768</v>
      </c>
      <c r="N15" t="s">
        <v>21</v>
      </c>
      <c r="O15">
        <v>0.3</v>
      </c>
      <c r="P15">
        <v>0</v>
      </c>
      <c r="Q15">
        <v>0</v>
      </c>
      <c r="R15">
        <v>0</v>
      </c>
      <c r="S15">
        <v>0</v>
      </c>
      <c r="T15" t="s">
        <v>253</v>
      </c>
      <c r="U15" t="s">
        <v>7</v>
      </c>
      <c r="V15" t="s">
        <v>253</v>
      </c>
      <c r="W15" t="s">
        <v>132</v>
      </c>
      <c r="X15" t="s">
        <v>253</v>
      </c>
      <c r="Y15" t="s">
        <v>235</v>
      </c>
      <c r="Z15" t="s">
        <v>236</v>
      </c>
      <c r="AA15" t="s">
        <v>253</v>
      </c>
      <c r="AB15" t="s">
        <v>1</v>
      </c>
      <c r="AC15" s="235">
        <v>500000</v>
      </c>
      <c r="AD15" s="235">
        <v>456.94051639048848</v>
      </c>
      <c r="AE15">
        <v>0</v>
      </c>
      <c r="AF15">
        <v>0</v>
      </c>
      <c r="AG15">
        <v>0</v>
      </c>
      <c r="AH15" s="235">
        <v>68.869557973457631</v>
      </c>
      <c r="AI15">
        <v>226</v>
      </c>
      <c r="AJ15" t="s">
        <v>256</v>
      </c>
      <c r="AK15">
        <v>0</v>
      </c>
      <c r="AL15">
        <v>0</v>
      </c>
      <c r="AM15">
        <v>0</v>
      </c>
    </row>
    <row r="16" spans="1:213" x14ac:dyDescent="0.25">
      <c r="A16" t="s">
        <v>233</v>
      </c>
      <c r="B16" t="s">
        <v>403</v>
      </c>
      <c r="C16" t="s">
        <v>255</v>
      </c>
      <c r="D16" t="s">
        <v>234</v>
      </c>
      <c r="E16" t="s">
        <v>20</v>
      </c>
      <c r="F16" t="s">
        <v>268</v>
      </c>
      <c r="G16" t="s">
        <v>269</v>
      </c>
      <c r="H16" t="s">
        <v>254</v>
      </c>
      <c r="I16" t="s">
        <v>242</v>
      </c>
      <c r="J16" t="s">
        <v>235</v>
      </c>
      <c r="K16" s="380">
        <v>36800</v>
      </c>
      <c r="L16" s="235">
        <v>135478.04693419076</v>
      </c>
      <c r="M16" s="380">
        <v>36797</v>
      </c>
      <c r="N16" t="s">
        <v>1</v>
      </c>
      <c r="O16">
        <v>-0.4</v>
      </c>
      <c r="P16">
        <v>0</v>
      </c>
      <c r="Q16">
        <v>0</v>
      </c>
      <c r="R16">
        <v>0</v>
      </c>
      <c r="S16">
        <v>0</v>
      </c>
      <c r="T16" t="s">
        <v>253</v>
      </c>
      <c r="U16" t="s">
        <v>9</v>
      </c>
      <c r="V16" t="s">
        <v>253</v>
      </c>
      <c r="W16" t="s">
        <v>132</v>
      </c>
      <c r="X16" t="s">
        <v>253</v>
      </c>
      <c r="Y16" t="s">
        <v>235</v>
      </c>
      <c r="Z16" t="s">
        <v>236</v>
      </c>
      <c r="AA16" t="s">
        <v>253</v>
      </c>
      <c r="AB16" t="s">
        <v>1</v>
      </c>
      <c r="AC16" s="235">
        <v>310000</v>
      </c>
      <c r="AD16" s="235">
        <v>6913.5936822457588</v>
      </c>
      <c r="AE16">
        <v>0</v>
      </c>
      <c r="AF16">
        <v>0</v>
      </c>
      <c r="AG16">
        <v>0</v>
      </c>
      <c r="AH16" s="235">
        <v>16486.28998771339</v>
      </c>
      <c r="AI16">
        <v>226</v>
      </c>
      <c r="AJ16" t="s">
        <v>256</v>
      </c>
      <c r="AK16">
        <v>0</v>
      </c>
      <c r="AL16">
        <v>0</v>
      </c>
      <c r="AM16">
        <v>0</v>
      </c>
    </row>
    <row r="17" spans="1:39" x14ac:dyDescent="0.25">
      <c r="A17" t="s">
        <v>233</v>
      </c>
      <c r="B17" t="s">
        <v>403</v>
      </c>
      <c r="C17" t="s">
        <v>255</v>
      </c>
      <c r="D17" t="s">
        <v>234</v>
      </c>
      <c r="E17" t="s">
        <v>20</v>
      </c>
      <c r="F17" t="s">
        <v>268</v>
      </c>
      <c r="G17" t="s">
        <v>269</v>
      </c>
      <c r="H17" t="s">
        <v>254</v>
      </c>
      <c r="I17" t="s">
        <v>242</v>
      </c>
      <c r="J17" t="s">
        <v>235</v>
      </c>
      <c r="K17" s="380">
        <v>36770</v>
      </c>
      <c r="L17" s="235">
        <v>251907.30002441828</v>
      </c>
      <c r="M17" s="380">
        <v>36768</v>
      </c>
      <c r="N17" t="s">
        <v>1</v>
      </c>
      <c r="O17">
        <v>-0.4</v>
      </c>
      <c r="P17">
        <v>0</v>
      </c>
      <c r="Q17">
        <v>0</v>
      </c>
      <c r="R17">
        <v>0</v>
      </c>
      <c r="S17">
        <v>0</v>
      </c>
      <c r="T17" t="s">
        <v>253</v>
      </c>
      <c r="U17" t="s">
        <v>9</v>
      </c>
      <c r="V17" t="s">
        <v>253</v>
      </c>
      <c r="W17" t="s">
        <v>132</v>
      </c>
      <c r="X17" t="s">
        <v>253</v>
      </c>
      <c r="Y17" t="s">
        <v>235</v>
      </c>
      <c r="Z17" t="s">
        <v>236</v>
      </c>
      <c r="AA17" t="s">
        <v>253</v>
      </c>
      <c r="AB17" t="s">
        <v>1</v>
      </c>
      <c r="AC17" s="235">
        <v>300000</v>
      </c>
      <c r="AD17" s="235">
        <v>-1.1573564494028687E-2</v>
      </c>
      <c r="AE17">
        <v>0</v>
      </c>
      <c r="AF17">
        <v>0</v>
      </c>
      <c r="AG17">
        <v>0</v>
      </c>
      <c r="AH17" s="235">
        <v>17983.459655293584</v>
      </c>
      <c r="AI17">
        <v>226</v>
      </c>
      <c r="AJ17" t="s">
        <v>256</v>
      </c>
      <c r="AK17">
        <v>0</v>
      </c>
      <c r="AL17">
        <v>0</v>
      </c>
      <c r="AM17">
        <v>0</v>
      </c>
    </row>
    <row r="18" spans="1:39" x14ac:dyDescent="0.25">
      <c r="A18" t="s">
        <v>233</v>
      </c>
      <c r="B18" t="s">
        <v>109</v>
      </c>
      <c r="C18" t="s">
        <v>255</v>
      </c>
      <c r="D18" t="s">
        <v>234</v>
      </c>
      <c r="E18" t="s">
        <v>20</v>
      </c>
      <c r="F18" t="s">
        <v>279</v>
      </c>
      <c r="G18" t="s">
        <v>269</v>
      </c>
      <c r="H18" t="s">
        <v>254</v>
      </c>
      <c r="I18" t="s">
        <v>242</v>
      </c>
      <c r="J18" t="s">
        <v>235</v>
      </c>
      <c r="K18" s="380">
        <v>36800</v>
      </c>
      <c r="L18" s="235">
        <v>51599.607583914629</v>
      </c>
      <c r="M18" s="380">
        <v>36797</v>
      </c>
      <c r="N18" t="s">
        <v>21</v>
      </c>
      <c r="O18">
        <v>0.25</v>
      </c>
      <c r="P18">
        <v>0</v>
      </c>
      <c r="Q18">
        <v>0</v>
      </c>
      <c r="R18">
        <v>0</v>
      </c>
      <c r="S18">
        <v>0</v>
      </c>
      <c r="T18" t="s">
        <v>253</v>
      </c>
      <c r="U18" t="s">
        <v>7</v>
      </c>
      <c r="V18" t="s">
        <v>253</v>
      </c>
      <c r="W18" t="s">
        <v>132</v>
      </c>
      <c r="X18" t="s">
        <v>253</v>
      </c>
      <c r="Y18" t="s">
        <v>235</v>
      </c>
      <c r="Z18" t="s">
        <v>236</v>
      </c>
      <c r="AA18" t="s">
        <v>253</v>
      </c>
      <c r="AB18" t="s">
        <v>1</v>
      </c>
      <c r="AC18" s="235">
        <v>310000</v>
      </c>
      <c r="AD18" s="235">
        <v>636.00812104460783</v>
      </c>
      <c r="AE18">
        <v>0</v>
      </c>
      <c r="AF18">
        <v>0</v>
      </c>
      <c r="AG18">
        <v>0</v>
      </c>
      <c r="AH18" s="235">
        <v>37.516429721676104</v>
      </c>
      <c r="AI18">
        <v>226</v>
      </c>
      <c r="AJ18" t="s">
        <v>256</v>
      </c>
      <c r="AK18">
        <v>0</v>
      </c>
      <c r="AL18">
        <v>0</v>
      </c>
      <c r="AM18">
        <v>0</v>
      </c>
    </row>
    <row r="19" spans="1:39" x14ac:dyDescent="0.25">
      <c r="A19" t="s">
        <v>233</v>
      </c>
      <c r="B19" t="s">
        <v>109</v>
      </c>
      <c r="C19" t="s">
        <v>255</v>
      </c>
      <c r="D19" t="s">
        <v>234</v>
      </c>
      <c r="E19" t="s">
        <v>20</v>
      </c>
      <c r="F19" t="s">
        <v>279</v>
      </c>
      <c r="G19" t="s">
        <v>269</v>
      </c>
      <c r="H19" t="s">
        <v>254</v>
      </c>
      <c r="I19" t="s">
        <v>242</v>
      </c>
      <c r="J19" t="s">
        <v>235</v>
      </c>
      <c r="K19" s="380">
        <v>36770</v>
      </c>
      <c r="L19" s="235">
        <v>19493.021280464007</v>
      </c>
      <c r="M19" s="380">
        <v>36768</v>
      </c>
      <c r="N19" t="s">
        <v>21</v>
      </c>
      <c r="O19">
        <v>0.25</v>
      </c>
      <c r="P19">
        <v>0</v>
      </c>
      <c r="Q19">
        <v>0</v>
      </c>
      <c r="R19">
        <v>0</v>
      </c>
      <c r="S19">
        <v>0</v>
      </c>
      <c r="T19" t="s">
        <v>253</v>
      </c>
      <c r="U19" t="s">
        <v>7</v>
      </c>
      <c r="V19" t="s">
        <v>253</v>
      </c>
      <c r="W19" t="s">
        <v>132</v>
      </c>
      <c r="X19" t="s">
        <v>253</v>
      </c>
      <c r="Y19" t="s">
        <v>235</v>
      </c>
      <c r="Z19" t="s">
        <v>236</v>
      </c>
      <c r="AA19" t="s">
        <v>253</v>
      </c>
      <c r="AB19" t="s">
        <v>1</v>
      </c>
      <c r="AC19" s="235">
        <v>300000</v>
      </c>
      <c r="AD19" s="235">
        <v>0.56564054300542921</v>
      </c>
      <c r="AE19">
        <v>0</v>
      </c>
      <c r="AF19">
        <v>0</v>
      </c>
      <c r="AG19">
        <v>0</v>
      </c>
      <c r="AH19" s="235">
        <v>9.7244322320475476</v>
      </c>
      <c r="AI19">
        <v>226</v>
      </c>
      <c r="AJ19" t="s">
        <v>256</v>
      </c>
      <c r="AK19">
        <v>0</v>
      </c>
      <c r="AL19">
        <v>0</v>
      </c>
      <c r="AM19">
        <v>0</v>
      </c>
    </row>
    <row r="20" spans="1:39" x14ac:dyDescent="0.25">
      <c r="A20" t="s">
        <v>233</v>
      </c>
      <c r="B20" t="s">
        <v>266</v>
      </c>
      <c r="C20" t="s">
        <v>255</v>
      </c>
      <c r="D20" t="s">
        <v>234</v>
      </c>
      <c r="E20" t="s">
        <v>20</v>
      </c>
      <c r="F20" t="s">
        <v>267</v>
      </c>
      <c r="G20" t="s">
        <v>269</v>
      </c>
      <c r="H20" t="s">
        <v>254</v>
      </c>
      <c r="I20" t="s">
        <v>242</v>
      </c>
      <c r="J20" t="s">
        <v>235</v>
      </c>
      <c r="K20" s="380">
        <v>36800</v>
      </c>
      <c r="L20" s="235">
        <v>28384.389512382386</v>
      </c>
      <c r="M20" s="380">
        <v>36797</v>
      </c>
      <c r="N20" t="s">
        <v>21</v>
      </c>
      <c r="O20">
        <v>0.16</v>
      </c>
      <c r="P20">
        <v>0</v>
      </c>
      <c r="Q20">
        <v>0</v>
      </c>
      <c r="R20">
        <v>0</v>
      </c>
      <c r="S20">
        <v>0</v>
      </c>
      <c r="T20" t="s">
        <v>253</v>
      </c>
      <c r="U20" t="s">
        <v>10</v>
      </c>
      <c r="V20" t="s">
        <v>253</v>
      </c>
      <c r="W20" t="s">
        <v>132</v>
      </c>
      <c r="X20" t="s">
        <v>253</v>
      </c>
      <c r="Y20" t="s">
        <v>235</v>
      </c>
      <c r="Z20" t="s">
        <v>236</v>
      </c>
      <c r="AA20" t="s">
        <v>253</v>
      </c>
      <c r="AB20" t="s">
        <v>1</v>
      </c>
      <c r="AC20" s="235">
        <v>620000</v>
      </c>
      <c r="AD20" s="235">
        <v>3737.9041624827078</v>
      </c>
      <c r="AE20">
        <v>0</v>
      </c>
      <c r="AF20">
        <v>0</v>
      </c>
      <c r="AG20">
        <v>0</v>
      </c>
      <c r="AH20" s="235">
        <v>213.66219876283503</v>
      </c>
      <c r="AI20">
        <v>226</v>
      </c>
      <c r="AJ20" t="s">
        <v>256</v>
      </c>
      <c r="AK20">
        <v>0</v>
      </c>
      <c r="AL20">
        <v>0</v>
      </c>
      <c r="AM20">
        <v>0</v>
      </c>
    </row>
    <row r="21" spans="1:39" x14ac:dyDescent="0.25">
      <c r="A21" t="s">
        <v>233</v>
      </c>
      <c r="B21" t="s">
        <v>266</v>
      </c>
      <c r="C21" t="s">
        <v>255</v>
      </c>
      <c r="D21" t="s">
        <v>234</v>
      </c>
      <c r="E21" t="s">
        <v>20</v>
      </c>
      <c r="F21" t="s">
        <v>267</v>
      </c>
      <c r="G21" t="s">
        <v>269</v>
      </c>
      <c r="H21" t="s">
        <v>254</v>
      </c>
      <c r="I21" t="s">
        <v>242</v>
      </c>
      <c r="J21" t="s">
        <v>235</v>
      </c>
      <c r="K21" s="380">
        <v>36770</v>
      </c>
      <c r="L21" s="235">
        <v>7187.327945406123</v>
      </c>
      <c r="M21" s="380">
        <v>36768</v>
      </c>
      <c r="N21" t="s">
        <v>21</v>
      </c>
      <c r="O21">
        <v>0.16</v>
      </c>
      <c r="P21">
        <v>0</v>
      </c>
      <c r="Q21">
        <v>0</v>
      </c>
      <c r="R21">
        <v>0</v>
      </c>
      <c r="S21">
        <v>0</v>
      </c>
      <c r="T21" t="s">
        <v>253</v>
      </c>
      <c r="U21" t="s">
        <v>10</v>
      </c>
      <c r="V21" t="s">
        <v>253</v>
      </c>
      <c r="W21" t="s">
        <v>132</v>
      </c>
      <c r="X21" t="s">
        <v>253</v>
      </c>
      <c r="Y21" t="s">
        <v>235</v>
      </c>
      <c r="Z21" t="s">
        <v>236</v>
      </c>
      <c r="AA21" t="s">
        <v>253</v>
      </c>
      <c r="AB21" t="s">
        <v>1</v>
      </c>
      <c r="AC21" s="235">
        <v>600000</v>
      </c>
      <c r="AD21" s="235">
        <v>525.71637278492562</v>
      </c>
      <c r="AE21">
        <v>0</v>
      </c>
      <c r="AF21">
        <v>0</v>
      </c>
      <c r="AG21">
        <v>0</v>
      </c>
      <c r="AH21" s="235">
        <v>74.4090093541854</v>
      </c>
      <c r="AI21">
        <v>226</v>
      </c>
      <c r="AJ21" t="s">
        <v>256</v>
      </c>
      <c r="AK21">
        <v>0</v>
      </c>
      <c r="AL21">
        <v>0</v>
      </c>
      <c r="AM21">
        <v>0</v>
      </c>
    </row>
    <row r="22" spans="1:39" x14ac:dyDescent="0.25">
      <c r="A22" t="s">
        <v>233</v>
      </c>
      <c r="B22" t="s">
        <v>271</v>
      </c>
      <c r="C22" t="s">
        <v>255</v>
      </c>
      <c r="D22" t="s">
        <v>234</v>
      </c>
      <c r="E22" t="s">
        <v>20</v>
      </c>
      <c r="F22" t="s">
        <v>270</v>
      </c>
      <c r="G22" t="s">
        <v>269</v>
      </c>
      <c r="H22" t="s">
        <v>254</v>
      </c>
      <c r="I22" t="s">
        <v>242</v>
      </c>
      <c r="J22" t="s">
        <v>235</v>
      </c>
      <c r="K22" s="380">
        <v>36800</v>
      </c>
      <c r="L22" s="235">
        <v>14192.194756191193</v>
      </c>
      <c r="M22" s="380">
        <v>36797</v>
      </c>
      <c r="N22" t="s">
        <v>21</v>
      </c>
      <c r="O22">
        <v>0.16</v>
      </c>
      <c r="P22">
        <v>0</v>
      </c>
      <c r="Q22">
        <v>0</v>
      </c>
      <c r="R22">
        <v>0</v>
      </c>
      <c r="S22">
        <v>0</v>
      </c>
      <c r="T22" t="s">
        <v>253</v>
      </c>
      <c r="U22" t="s">
        <v>10</v>
      </c>
      <c r="V22" t="s">
        <v>253</v>
      </c>
      <c r="W22" t="s">
        <v>132</v>
      </c>
      <c r="X22" t="s">
        <v>253</v>
      </c>
      <c r="Y22" t="s">
        <v>235</v>
      </c>
      <c r="Z22" t="s">
        <v>236</v>
      </c>
      <c r="AA22" t="s">
        <v>253</v>
      </c>
      <c r="AB22" t="s">
        <v>1</v>
      </c>
      <c r="AC22" s="235">
        <v>310000</v>
      </c>
      <c r="AD22" s="235">
        <v>1868.9520812413539</v>
      </c>
      <c r="AE22">
        <v>0</v>
      </c>
      <c r="AF22">
        <v>0</v>
      </c>
      <c r="AG22">
        <v>0</v>
      </c>
      <c r="AH22" s="235">
        <v>106.83109938141752</v>
      </c>
      <c r="AI22">
        <v>226</v>
      </c>
      <c r="AJ22" t="s">
        <v>256</v>
      </c>
      <c r="AK22">
        <v>0</v>
      </c>
      <c r="AL22">
        <v>0</v>
      </c>
      <c r="AM22">
        <v>0</v>
      </c>
    </row>
    <row r="23" spans="1:39" x14ac:dyDescent="0.25">
      <c r="A23" t="s">
        <v>233</v>
      </c>
      <c r="B23" t="s">
        <v>271</v>
      </c>
      <c r="C23" t="s">
        <v>255</v>
      </c>
      <c r="D23" t="s">
        <v>234</v>
      </c>
      <c r="E23" t="s">
        <v>20</v>
      </c>
      <c r="F23" t="s">
        <v>270</v>
      </c>
      <c r="G23" t="s">
        <v>269</v>
      </c>
      <c r="H23" t="s">
        <v>254</v>
      </c>
      <c r="I23" t="s">
        <v>242</v>
      </c>
      <c r="J23" t="s">
        <v>235</v>
      </c>
      <c r="K23" s="380">
        <v>36770</v>
      </c>
      <c r="L23" s="235">
        <v>3593.6639727030615</v>
      </c>
      <c r="M23" s="380">
        <v>36768</v>
      </c>
      <c r="N23" t="s">
        <v>21</v>
      </c>
      <c r="O23">
        <v>0.16</v>
      </c>
      <c r="P23">
        <v>0</v>
      </c>
      <c r="Q23">
        <v>0</v>
      </c>
      <c r="R23">
        <v>0</v>
      </c>
      <c r="S23">
        <v>0</v>
      </c>
      <c r="T23" t="s">
        <v>253</v>
      </c>
      <c r="U23" t="s">
        <v>10</v>
      </c>
      <c r="V23" t="s">
        <v>253</v>
      </c>
      <c r="W23" t="s">
        <v>132</v>
      </c>
      <c r="X23" t="s">
        <v>253</v>
      </c>
      <c r="Y23" t="s">
        <v>235</v>
      </c>
      <c r="Z23" t="s">
        <v>236</v>
      </c>
      <c r="AA23" t="s">
        <v>253</v>
      </c>
      <c r="AB23" t="s">
        <v>1</v>
      </c>
      <c r="AC23" s="235">
        <v>300000</v>
      </c>
      <c r="AD23" s="235">
        <v>262.85818639246281</v>
      </c>
      <c r="AE23">
        <v>0</v>
      </c>
      <c r="AF23">
        <v>0</v>
      </c>
      <c r="AG23">
        <v>0</v>
      </c>
      <c r="AH23" s="235">
        <v>37.2045046770927</v>
      </c>
      <c r="AI23">
        <v>226</v>
      </c>
      <c r="AJ23" t="s">
        <v>256</v>
      </c>
      <c r="AK23">
        <v>0</v>
      </c>
      <c r="AL23">
        <v>0</v>
      </c>
      <c r="AM23">
        <v>0</v>
      </c>
    </row>
    <row r="24" spans="1:39" x14ac:dyDescent="0.25">
      <c r="A24" t="s">
        <v>233</v>
      </c>
      <c r="B24" t="s">
        <v>278</v>
      </c>
      <c r="C24" t="s">
        <v>255</v>
      </c>
      <c r="D24" t="s">
        <v>234</v>
      </c>
      <c r="E24" t="s">
        <v>20</v>
      </c>
      <c r="F24" t="s">
        <v>277</v>
      </c>
      <c r="G24" t="s">
        <v>269</v>
      </c>
      <c r="H24" t="s">
        <v>254</v>
      </c>
      <c r="I24" t="s">
        <v>242</v>
      </c>
      <c r="J24" t="s">
        <v>235</v>
      </c>
      <c r="K24" s="380">
        <v>36951</v>
      </c>
      <c r="L24" s="235">
        <v>23306.219826890283</v>
      </c>
      <c r="M24" s="380">
        <v>36949</v>
      </c>
      <c r="N24" t="s">
        <v>21</v>
      </c>
      <c r="O24">
        <v>0.33</v>
      </c>
      <c r="P24">
        <v>0</v>
      </c>
      <c r="Q24">
        <v>0</v>
      </c>
      <c r="R24">
        <v>0</v>
      </c>
      <c r="S24">
        <v>0</v>
      </c>
      <c r="T24" t="s">
        <v>253</v>
      </c>
      <c r="U24" t="s">
        <v>10</v>
      </c>
      <c r="V24" t="s">
        <v>253</v>
      </c>
      <c r="W24" t="s">
        <v>132</v>
      </c>
      <c r="X24" t="s">
        <v>253</v>
      </c>
      <c r="Y24" t="s">
        <v>235</v>
      </c>
      <c r="Z24" t="s">
        <v>236</v>
      </c>
      <c r="AA24" t="s">
        <v>253</v>
      </c>
      <c r="AB24" t="s">
        <v>1</v>
      </c>
      <c r="AC24" s="235">
        <v>310000</v>
      </c>
      <c r="AD24" s="235">
        <v>5563.6508852697734</v>
      </c>
      <c r="AE24">
        <v>0</v>
      </c>
      <c r="AF24">
        <v>0</v>
      </c>
      <c r="AG24">
        <v>0</v>
      </c>
      <c r="AH24" s="235">
        <v>282.86751915856439</v>
      </c>
      <c r="AI24">
        <v>226</v>
      </c>
      <c r="AJ24" t="s">
        <v>256</v>
      </c>
      <c r="AK24">
        <v>0</v>
      </c>
      <c r="AL24">
        <v>0</v>
      </c>
      <c r="AM24">
        <v>0</v>
      </c>
    </row>
    <row r="25" spans="1:39" x14ac:dyDescent="0.25">
      <c r="A25" t="s">
        <v>233</v>
      </c>
      <c r="B25" t="s">
        <v>278</v>
      </c>
      <c r="C25" t="s">
        <v>255</v>
      </c>
      <c r="D25" t="s">
        <v>234</v>
      </c>
      <c r="E25" t="s">
        <v>20</v>
      </c>
      <c r="F25" t="s">
        <v>277</v>
      </c>
      <c r="G25" t="s">
        <v>269</v>
      </c>
      <c r="H25" t="s">
        <v>254</v>
      </c>
      <c r="I25" t="s">
        <v>242</v>
      </c>
      <c r="J25" t="s">
        <v>235</v>
      </c>
      <c r="K25" s="380">
        <v>36923</v>
      </c>
      <c r="L25" s="235">
        <v>26279.555795981134</v>
      </c>
      <c r="M25" s="380">
        <v>36921</v>
      </c>
      <c r="N25" t="s">
        <v>21</v>
      </c>
      <c r="O25">
        <v>0.33</v>
      </c>
      <c r="P25">
        <v>0</v>
      </c>
      <c r="Q25">
        <v>0</v>
      </c>
      <c r="R25">
        <v>0</v>
      </c>
      <c r="S25">
        <v>0</v>
      </c>
      <c r="T25" t="s">
        <v>253</v>
      </c>
      <c r="U25" t="s">
        <v>10</v>
      </c>
      <c r="V25" t="s">
        <v>253</v>
      </c>
      <c r="W25" t="s">
        <v>132</v>
      </c>
      <c r="X25" t="s">
        <v>253</v>
      </c>
      <c r="Y25" t="s">
        <v>235</v>
      </c>
      <c r="Z25" t="s">
        <v>236</v>
      </c>
      <c r="AA25" t="s">
        <v>253</v>
      </c>
      <c r="AB25" t="s">
        <v>1</v>
      </c>
      <c r="AC25" s="235">
        <v>280000</v>
      </c>
      <c r="AD25" s="235">
        <v>5301.2136434806453</v>
      </c>
      <c r="AE25">
        <v>0</v>
      </c>
      <c r="AF25">
        <v>0</v>
      </c>
      <c r="AG25">
        <v>0</v>
      </c>
      <c r="AH25" s="235">
        <v>254.37851875119668</v>
      </c>
      <c r="AI25">
        <v>226</v>
      </c>
      <c r="AJ25" t="s">
        <v>256</v>
      </c>
      <c r="AK25">
        <v>0</v>
      </c>
      <c r="AL25">
        <v>0</v>
      </c>
      <c r="AM25">
        <v>0</v>
      </c>
    </row>
    <row r="26" spans="1:39" x14ac:dyDescent="0.25">
      <c r="A26" t="s">
        <v>233</v>
      </c>
      <c r="B26" t="s">
        <v>278</v>
      </c>
      <c r="C26" t="s">
        <v>255</v>
      </c>
      <c r="D26" t="s">
        <v>234</v>
      </c>
      <c r="E26" t="s">
        <v>20</v>
      </c>
      <c r="F26" t="s">
        <v>277</v>
      </c>
      <c r="G26" t="s">
        <v>269</v>
      </c>
      <c r="H26" t="s">
        <v>254</v>
      </c>
      <c r="I26" t="s">
        <v>242</v>
      </c>
      <c r="J26" t="s">
        <v>235</v>
      </c>
      <c r="K26" s="380">
        <v>36892</v>
      </c>
      <c r="L26" s="235">
        <v>28095.250222502727</v>
      </c>
      <c r="M26" s="380">
        <v>36888</v>
      </c>
      <c r="N26" t="s">
        <v>21</v>
      </c>
      <c r="O26">
        <v>0.33</v>
      </c>
      <c r="P26">
        <v>0</v>
      </c>
      <c r="Q26">
        <v>0</v>
      </c>
      <c r="R26">
        <v>0</v>
      </c>
      <c r="S26">
        <v>0</v>
      </c>
      <c r="T26" t="s">
        <v>253</v>
      </c>
      <c r="U26" t="s">
        <v>10</v>
      </c>
      <c r="V26" t="s">
        <v>253</v>
      </c>
      <c r="W26" t="s">
        <v>132</v>
      </c>
      <c r="X26" t="s">
        <v>253</v>
      </c>
      <c r="Y26" t="s">
        <v>235</v>
      </c>
      <c r="Z26" t="s">
        <v>236</v>
      </c>
      <c r="AA26" t="s">
        <v>253</v>
      </c>
      <c r="AB26" t="s">
        <v>1</v>
      </c>
      <c r="AC26" s="235">
        <v>310000</v>
      </c>
      <c r="AD26" s="235">
        <v>5395.2156866489677</v>
      </c>
      <c r="AE26">
        <v>0</v>
      </c>
      <c r="AF26">
        <v>0</v>
      </c>
      <c r="AG26">
        <v>0</v>
      </c>
      <c r="AH26" s="235">
        <v>259.62626649013328</v>
      </c>
      <c r="AI26">
        <v>226</v>
      </c>
      <c r="AJ26" t="s">
        <v>256</v>
      </c>
      <c r="AK26">
        <v>0</v>
      </c>
      <c r="AL26">
        <v>0</v>
      </c>
      <c r="AM26">
        <v>0</v>
      </c>
    </row>
    <row r="27" spans="1:39" x14ac:dyDescent="0.25">
      <c r="A27" t="s">
        <v>233</v>
      </c>
      <c r="B27" t="s">
        <v>278</v>
      </c>
      <c r="C27" t="s">
        <v>255</v>
      </c>
      <c r="D27" t="s">
        <v>234</v>
      </c>
      <c r="E27" t="s">
        <v>20</v>
      </c>
      <c r="F27" t="s">
        <v>277</v>
      </c>
      <c r="G27" t="s">
        <v>269</v>
      </c>
      <c r="H27" t="s">
        <v>254</v>
      </c>
      <c r="I27" t="s">
        <v>242</v>
      </c>
      <c r="J27" t="s">
        <v>235</v>
      </c>
      <c r="K27" s="380">
        <v>36861</v>
      </c>
      <c r="L27" s="235">
        <v>23452.844409817353</v>
      </c>
      <c r="M27" s="380">
        <v>36859</v>
      </c>
      <c r="N27" t="s">
        <v>21</v>
      </c>
      <c r="O27">
        <v>0.33</v>
      </c>
      <c r="P27">
        <v>0</v>
      </c>
      <c r="Q27">
        <v>0</v>
      </c>
      <c r="R27">
        <v>0</v>
      </c>
      <c r="S27">
        <v>0</v>
      </c>
      <c r="T27" t="s">
        <v>253</v>
      </c>
      <c r="U27" t="s">
        <v>10</v>
      </c>
      <c r="V27" t="s">
        <v>253</v>
      </c>
      <c r="W27" t="s">
        <v>132</v>
      </c>
      <c r="X27" t="s">
        <v>253</v>
      </c>
      <c r="Y27" t="s">
        <v>235</v>
      </c>
      <c r="Z27" t="s">
        <v>236</v>
      </c>
      <c r="AA27" t="s">
        <v>253</v>
      </c>
      <c r="AB27" t="s">
        <v>1</v>
      </c>
      <c r="AC27" s="235">
        <v>310000</v>
      </c>
      <c r="AD27" s="235">
        <v>4683.9319604659977</v>
      </c>
      <c r="AE27">
        <v>0</v>
      </c>
      <c r="AF27">
        <v>0</v>
      </c>
      <c r="AG27">
        <v>0</v>
      </c>
      <c r="AH27" s="235">
        <v>235.66268524753832</v>
      </c>
      <c r="AI27">
        <v>226</v>
      </c>
      <c r="AJ27" t="s">
        <v>256</v>
      </c>
      <c r="AK27">
        <v>0</v>
      </c>
      <c r="AL27">
        <v>0</v>
      </c>
      <c r="AM27">
        <v>0</v>
      </c>
    </row>
    <row r="28" spans="1:39" x14ac:dyDescent="0.25">
      <c r="A28" t="s">
        <v>233</v>
      </c>
      <c r="B28" t="s">
        <v>278</v>
      </c>
      <c r="C28" t="s">
        <v>255</v>
      </c>
      <c r="D28" t="s">
        <v>234</v>
      </c>
      <c r="E28" t="s">
        <v>20</v>
      </c>
      <c r="F28" t="s">
        <v>277</v>
      </c>
      <c r="G28" t="s">
        <v>269</v>
      </c>
      <c r="H28" t="s">
        <v>254</v>
      </c>
      <c r="I28" t="s">
        <v>242</v>
      </c>
      <c r="J28" t="s">
        <v>235</v>
      </c>
      <c r="K28" s="380">
        <v>36831</v>
      </c>
      <c r="L28" s="235">
        <v>13944.933442900956</v>
      </c>
      <c r="M28" s="380">
        <v>36829</v>
      </c>
      <c r="N28" t="s">
        <v>21</v>
      </c>
      <c r="O28">
        <v>0.33</v>
      </c>
      <c r="P28">
        <v>0</v>
      </c>
      <c r="Q28">
        <v>0</v>
      </c>
      <c r="R28">
        <v>0</v>
      </c>
      <c r="S28">
        <v>0</v>
      </c>
      <c r="T28" t="s">
        <v>253</v>
      </c>
      <c r="U28" t="s">
        <v>10</v>
      </c>
      <c r="V28" t="s">
        <v>253</v>
      </c>
      <c r="W28" t="s">
        <v>132</v>
      </c>
      <c r="X28" t="s">
        <v>253</v>
      </c>
      <c r="Y28" t="s">
        <v>235</v>
      </c>
      <c r="Z28" t="s">
        <v>236</v>
      </c>
      <c r="AA28" t="s">
        <v>253</v>
      </c>
      <c r="AB28" t="s">
        <v>1</v>
      </c>
      <c r="AC28" s="235">
        <v>300000</v>
      </c>
      <c r="AD28" s="235">
        <v>3549.4231135468726</v>
      </c>
      <c r="AE28">
        <v>0</v>
      </c>
      <c r="AF28">
        <v>0</v>
      </c>
      <c r="AG28">
        <v>0</v>
      </c>
      <c r="AH28" s="235">
        <v>190.90227607235829</v>
      </c>
      <c r="AI28">
        <v>226</v>
      </c>
      <c r="AJ28" t="s">
        <v>256</v>
      </c>
      <c r="AK28">
        <v>0</v>
      </c>
      <c r="AL28">
        <v>0</v>
      </c>
      <c r="AM28">
        <v>0</v>
      </c>
    </row>
    <row r="29" spans="1:39" x14ac:dyDescent="0.25">
      <c r="A29" t="s">
        <v>233</v>
      </c>
      <c r="B29" t="s">
        <v>282</v>
      </c>
      <c r="C29" t="s">
        <v>255</v>
      </c>
      <c r="D29" t="s">
        <v>234</v>
      </c>
      <c r="E29" t="s">
        <v>20</v>
      </c>
      <c r="F29" t="s">
        <v>281</v>
      </c>
      <c r="G29" t="s">
        <v>269</v>
      </c>
      <c r="H29" t="s">
        <v>254</v>
      </c>
      <c r="I29" t="s">
        <v>242</v>
      </c>
      <c r="J29" t="s">
        <v>235</v>
      </c>
      <c r="K29" s="380">
        <v>36831</v>
      </c>
      <c r="L29" s="235">
        <v>153392.00747505392</v>
      </c>
      <c r="M29" s="380">
        <v>36829</v>
      </c>
      <c r="N29" t="s">
        <v>21</v>
      </c>
      <c r="O29">
        <v>1</v>
      </c>
      <c r="P29">
        <v>0</v>
      </c>
      <c r="Q29">
        <v>0</v>
      </c>
      <c r="R29">
        <v>0</v>
      </c>
      <c r="S29">
        <v>0</v>
      </c>
      <c r="T29" t="s">
        <v>253</v>
      </c>
      <c r="U29" t="s">
        <v>7</v>
      </c>
      <c r="V29" t="s">
        <v>253</v>
      </c>
      <c r="W29" t="s">
        <v>132</v>
      </c>
      <c r="X29" t="s">
        <v>253</v>
      </c>
      <c r="Y29" t="s">
        <v>235</v>
      </c>
      <c r="Z29" t="s">
        <v>236</v>
      </c>
      <c r="AA29" t="s">
        <v>253</v>
      </c>
      <c r="AB29" t="s">
        <v>1</v>
      </c>
      <c r="AC29" s="235">
        <v>900000</v>
      </c>
      <c r="AD29" s="235">
        <v>37632.51840937091</v>
      </c>
      <c r="AE29">
        <v>0</v>
      </c>
      <c r="AF29">
        <v>0</v>
      </c>
      <c r="AG29">
        <v>0</v>
      </c>
      <c r="AH29" s="235">
        <v>15599.766056933644</v>
      </c>
      <c r="AI29">
        <v>226</v>
      </c>
      <c r="AJ29" t="s">
        <v>256</v>
      </c>
      <c r="AK29">
        <v>0</v>
      </c>
      <c r="AL29">
        <v>0</v>
      </c>
      <c r="AM29">
        <v>0</v>
      </c>
    </row>
    <row r="30" spans="1:39" x14ac:dyDescent="0.25">
      <c r="A30" t="s">
        <v>233</v>
      </c>
      <c r="B30" t="s">
        <v>283</v>
      </c>
      <c r="C30" t="s">
        <v>255</v>
      </c>
      <c r="D30" t="s">
        <v>234</v>
      </c>
      <c r="E30" t="s">
        <v>20</v>
      </c>
      <c r="F30" t="s">
        <v>324</v>
      </c>
      <c r="G30" t="s">
        <v>269</v>
      </c>
      <c r="H30" t="s">
        <v>254</v>
      </c>
      <c r="I30" t="s">
        <v>242</v>
      </c>
      <c r="J30" t="s">
        <v>235</v>
      </c>
      <c r="K30" s="380">
        <v>36831</v>
      </c>
      <c r="L30" s="235">
        <v>36813.035566042454</v>
      </c>
      <c r="M30" s="380">
        <v>36829</v>
      </c>
      <c r="N30" t="s">
        <v>1</v>
      </c>
      <c r="O30">
        <v>0.45</v>
      </c>
      <c r="P30">
        <v>0</v>
      </c>
      <c r="Q30">
        <v>0</v>
      </c>
      <c r="R30">
        <v>0</v>
      </c>
      <c r="S30">
        <v>0</v>
      </c>
      <c r="T30" t="s">
        <v>253</v>
      </c>
      <c r="U30" t="s">
        <v>7</v>
      </c>
      <c r="V30" t="s">
        <v>253</v>
      </c>
      <c r="W30" t="s">
        <v>132</v>
      </c>
      <c r="X30" t="s">
        <v>253</v>
      </c>
      <c r="Y30" t="s">
        <v>235</v>
      </c>
      <c r="Z30" t="s">
        <v>236</v>
      </c>
      <c r="AA30" t="s">
        <v>253</v>
      </c>
      <c r="AB30" t="s">
        <v>1</v>
      </c>
      <c r="AC30" s="235">
        <v>300000</v>
      </c>
      <c r="AD30" s="235">
        <v>12219.301714542598</v>
      </c>
      <c r="AE30">
        <v>0</v>
      </c>
      <c r="AF30">
        <v>0</v>
      </c>
      <c r="AG30">
        <v>0</v>
      </c>
      <c r="AH30" s="235">
        <v>-2865.7585639311219</v>
      </c>
      <c r="AI30">
        <v>226</v>
      </c>
      <c r="AJ30" t="s">
        <v>256</v>
      </c>
      <c r="AK30">
        <v>0</v>
      </c>
      <c r="AL30">
        <v>0</v>
      </c>
      <c r="AM30">
        <v>0</v>
      </c>
    </row>
    <row r="31" spans="1:39" x14ac:dyDescent="0.25">
      <c r="A31" t="s">
        <v>233</v>
      </c>
      <c r="B31" t="s">
        <v>285</v>
      </c>
      <c r="C31" t="s">
        <v>255</v>
      </c>
      <c r="D31" t="s">
        <v>234</v>
      </c>
      <c r="E31" t="s">
        <v>20</v>
      </c>
      <c r="F31" t="s">
        <v>284</v>
      </c>
      <c r="G31" t="s">
        <v>269</v>
      </c>
      <c r="H31" t="s">
        <v>254</v>
      </c>
      <c r="I31" t="s">
        <v>242</v>
      </c>
      <c r="J31" t="s">
        <v>235</v>
      </c>
      <c r="K31" s="380">
        <v>36831</v>
      </c>
      <c r="L31" s="235">
        <v>110439.10669812738</v>
      </c>
      <c r="M31" s="380">
        <v>36829</v>
      </c>
      <c r="N31" t="s">
        <v>1</v>
      </c>
      <c r="O31">
        <v>0.45</v>
      </c>
      <c r="P31">
        <v>0</v>
      </c>
      <c r="Q31">
        <v>0</v>
      </c>
      <c r="R31">
        <v>0</v>
      </c>
      <c r="S31">
        <v>0</v>
      </c>
      <c r="T31" t="s">
        <v>253</v>
      </c>
      <c r="U31" t="s">
        <v>7</v>
      </c>
      <c r="V31" t="s">
        <v>253</v>
      </c>
      <c r="W31" t="s">
        <v>132</v>
      </c>
      <c r="X31" t="s">
        <v>253</v>
      </c>
      <c r="Y31" t="s">
        <v>235</v>
      </c>
      <c r="Z31" t="s">
        <v>236</v>
      </c>
      <c r="AA31" t="s">
        <v>253</v>
      </c>
      <c r="AB31" t="s">
        <v>1</v>
      </c>
      <c r="AC31" s="235">
        <v>900000</v>
      </c>
      <c r="AD31" s="235">
        <v>36657.90514362781</v>
      </c>
      <c r="AE31">
        <v>0</v>
      </c>
      <c r="AF31">
        <v>0</v>
      </c>
      <c r="AG31">
        <v>0</v>
      </c>
      <c r="AH31" s="235">
        <v>-8597.2756917933584</v>
      </c>
      <c r="AI31">
        <v>226</v>
      </c>
      <c r="AJ31" t="s">
        <v>256</v>
      </c>
      <c r="AK31">
        <v>0</v>
      </c>
      <c r="AL31">
        <v>0</v>
      </c>
      <c r="AM31">
        <v>0</v>
      </c>
    </row>
    <row r="32" spans="1:39" x14ac:dyDescent="0.25">
      <c r="A32" t="s">
        <v>233</v>
      </c>
      <c r="B32" t="s">
        <v>287</v>
      </c>
      <c r="C32" t="s">
        <v>255</v>
      </c>
      <c r="D32" t="s">
        <v>234</v>
      </c>
      <c r="E32" t="s">
        <v>20</v>
      </c>
      <c r="F32" t="s">
        <v>286</v>
      </c>
      <c r="G32" t="s">
        <v>269</v>
      </c>
      <c r="H32" t="s">
        <v>254</v>
      </c>
      <c r="I32" t="s">
        <v>242</v>
      </c>
      <c r="J32" t="s">
        <v>235</v>
      </c>
      <c r="K32" s="380">
        <v>36831</v>
      </c>
      <c r="L32" s="235">
        <v>184065.17783021228</v>
      </c>
      <c r="M32" s="380">
        <v>36829</v>
      </c>
      <c r="N32" t="s">
        <v>1</v>
      </c>
      <c r="O32">
        <v>0.45</v>
      </c>
      <c r="P32">
        <v>0</v>
      </c>
      <c r="Q32">
        <v>0</v>
      </c>
      <c r="R32">
        <v>0</v>
      </c>
      <c r="S32">
        <v>0</v>
      </c>
      <c r="T32" t="s">
        <v>253</v>
      </c>
      <c r="U32" t="s">
        <v>7</v>
      </c>
      <c r="V32" t="s">
        <v>253</v>
      </c>
      <c r="W32" t="s">
        <v>132</v>
      </c>
      <c r="X32" t="s">
        <v>253</v>
      </c>
      <c r="Y32" t="s">
        <v>235</v>
      </c>
      <c r="Z32" t="s">
        <v>236</v>
      </c>
      <c r="AA32" t="s">
        <v>253</v>
      </c>
      <c r="AB32" t="s">
        <v>1</v>
      </c>
      <c r="AC32" s="235">
        <v>1500000</v>
      </c>
      <c r="AD32" s="235">
        <v>61096.508572713006</v>
      </c>
      <c r="AE32">
        <v>0</v>
      </c>
      <c r="AF32">
        <v>0</v>
      </c>
      <c r="AG32">
        <v>0</v>
      </c>
      <c r="AH32" s="235">
        <v>-14328.792819655617</v>
      </c>
      <c r="AI32">
        <v>226</v>
      </c>
      <c r="AJ32" t="s">
        <v>256</v>
      </c>
      <c r="AK32">
        <v>0</v>
      </c>
      <c r="AL32">
        <v>0</v>
      </c>
      <c r="AM32">
        <v>0</v>
      </c>
    </row>
    <row r="33" spans="1:39" x14ac:dyDescent="0.25">
      <c r="A33" t="s">
        <v>233</v>
      </c>
      <c r="B33" t="s">
        <v>288</v>
      </c>
      <c r="C33" t="s">
        <v>255</v>
      </c>
      <c r="D33" t="s">
        <v>234</v>
      </c>
      <c r="E33" t="s">
        <v>20</v>
      </c>
      <c r="F33" t="s">
        <v>281</v>
      </c>
      <c r="G33" t="s">
        <v>269</v>
      </c>
      <c r="H33" t="s">
        <v>254</v>
      </c>
      <c r="I33" t="s">
        <v>242</v>
      </c>
      <c r="J33" t="s">
        <v>235</v>
      </c>
      <c r="K33" s="380">
        <v>36951</v>
      </c>
      <c r="L33" s="235">
        <v>544946.36983086227</v>
      </c>
      <c r="M33" s="380">
        <v>36949</v>
      </c>
      <c r="N33" t="s">
        <v>494</v>
      </c>
      <c r="O33">
        <v>1.25</v>
      </c>
      <c r="P33">
        <v>0</v>
      </c>
      <c r="Q33">
        <v>0</v>
      </c>
      <c r="R33">
        <v>0</v>
      </c>
      <c r="S33">
        <v>0</v>
      </c>
      <c r="T33" t="s">
        <v>253</v>
      </c>
      <c r="U33" t="s">
        <v>7</v>
      </c>
      <c r="V33" t="s">
        <v>253</v>
      </c>
      <c r="W33" t="s">
        <v>132</v>
      </c>
      <c r="X33" t="s">
        <v>253</v>
      </c>
      <c r="Y33" t="s">
        <v>235</v>
      </c>
      <c r="Z33" t="s">
        <v>236</v>
      </c>
      <c r="AA33" t="s">
        <v>253</v>
      </c>
      <c r="AB33" t="s">
        <v>1</v>
      </c>
      <c r="AC33" s="235">
        <v>1240000</v>
      </c>
      <c r="AD33" s="235">
        <v>108135.68292496999</v>
      </c>
      <c r="AE33">
        <v>0</v>
      </c>
      <c r="AF33">
        <v>0</v>
      </c>
      <c r="AG33">
        <v>0</v>
      </c>
      <c r="AH33" s="235">
        <v>40752.66083241778</v>
      </c>
      <c r="AI33">
        <v>226</v>
      </c>
      <c r="AJ33" t="s">
        <v>256</v>
      </c>
      <c r="AK33">
        <v>0</v>
      </c>
      <c r="AL33">
        <v>0</v>
      </c>
      <c r="AM33">
        <v>0</v>
      </c>
    </row>
    <row r="34" spans="1:39" x14ac:dyDescent="0.25">
      <c r="A34" t="s">
        <v>233</v>
      </c>
      <c r="B34" t="s">
        <v>289</v>
      </c>
      <c r="C34" t="s">
        <v>255</v>
      </c>
      <c r="D34" t="s">
        <v>234</v>
      </c>
      <c r="E34" t="s">
        <v>20</v>
      </c>
      <c r="F34" t="s">
        <v>290</v>
      </c>
      <c r="G34" t="s">
        <v>269</v>
      </c>
      <c r="H34" t="s">
        <v>254</v>
      </c>
      <c r="I34" t="s">
        <v>242</v>
      </c>
      <c r="J34" t="s">
        <v>235</v>
      </c>
      <c r="K34" s="380">
        <v>36951</v>
      </c>
      <c r="L34" s="235">
        <v>-136236.59245771557</v>
      </c>
      <c r="M34" s="380">
        <v>36949</v>
      </c>
      <c r="N34" t="s">
        <v>21</v>
      </c>
      <c r="O34">
        <v>1.25</v>
      </c>
      <c r="P34">
        <v>0</v>
      </c>
      <c r="Q34">
        <v>0</v>
      </c>
      <c r="R34">
        <v>0</v>
      </c>
      <c r="S34">
        <v>0</v>
      </c>
      <c r="T34" t="s">
        <v>253</v>
      </c>
      <c r="U34" t="s">
        <v>7</v>
      </c>
      <c r="V34" t="s">
        <v>253</v>
      </c>
      <c r="W34" t="s">
        <v>132</v>
      </c>
      <c r="X34" t="s">
        <v>253</v>
      </c>
      <c r="Y34" t="s">
        <v>235</v>
      </c>
      <c r="Z34" t="s">
        <v>236</v>
      </c>
      <c r="AA34" t="s">
        <v>253</v>
      </c>
      <c r="AB34" t="s">
        <v>1</v>
      </c>
      <c r="AC34" s="235">
        <v>-310000</v>
      </c>
      <c r="AD34" s="235">
        <v>-27033.920731242499</v>
      </c>
      <c r="AE34">
        <v>0</v>
      </c>
      <c r="AF34">
        <v>0</v>
      </c>
      <c r="AG34">
        <v>0</v>
      </c>
      <c r="AH34" s="235">
        <v>-10188.165208104445</v>
      </c>
      <c r="AI34">
        <v>226</v>
      </c>
      <c r="AJ34" t="s">
        <v>256</v>
      </c>
      <c r="AK34">
        <v>0</v>
      </c>
      <c r="AL34">
        <v>0</v>
      </c>
      <c r="AM34">
        <v>0</v>
      </c>
    </row>
    <row r="35" spans="1:39" x14ac:dyDescent="0.25">
      <c r="A35" t="s">
        <v>233</v>
      </c>
      <c r="B35" t="s">
        <v>295</v>
      </c>
      <c r="C35" t="s">
        <v>255</v>
      </c>
      <c r="D35" t="s">
        <v>234</v>
      </c>
      <c r="E35" t="s">
        <v>20</v>
      </c>
      <c r="F35" t="s">
        <v>294</v>
      </c>
      <c r="G35" t="s">
        <v>269</v>
      </c>
      <c r="H35" t="s">
        <v>254</v>
      </c>
      <c r="I35" t="s">
        <v>242</v>
      </c>
      <c r="J35" t="s">
        <v>235</v>
      </c>
      <c r="K35" s="380">
        <v>36800</v>
      </c>
      <c r="L35" s="235">
        <v>7066.6235968552037</v>
      </c>
      <c r="M35" s="380">
        <v>36797</v>
      </c>
      <c r="N35" t="s">
        <v>21</v>
      </c>
      <c r="O35">
        <v>-0.32</v>
      </c>
      <c r="P35">
        <v>0</v>
      </c>
      <c r="Q35">
        <v>0</v>
      </c>
      <c r="R35">
        <v>0</v>
      </c>
      <c r="S35">
        <v>0</v>
      </c>
      <c r="T35" t="s">
        <v>253</v>
      </c>
      <c r="U35" t="s">
        <v>9</v>
      </c>
      <c r="V35" t="s">
        <v>253</v>
      </c>
      <c r="W35" t="s">
        <v>132</v>
      </c>
      <c r="X35" t="s">
        <v>253</v>
      </c>
      <c r="Y35" t="s">
        <v>235</v>
      </c>
      <c r="Z35" t="s">
        <v>236</v>
      </c>
      <c r="AA35" t="s">
        <v>253</v>
      </c>
      <c r="AB35" t="s">
        <v>1</v>
      </c>
      <c r="AC35" s="235">
        <v>310000</v>
      </c>
      <c r="AD35" s="235">
        <v>5556.4659231622936</v>
      </c>
      <c r="AE35">
        <v>0</v>
      </c>
      <c r="AF35">
        <v>0</v>
      </c>
      <c r="AG35">
        <v>0</v>
      </c>
      <c r="AH35" s="235">
        <v>-2595.0692820906825</v>
      </c>
      <c r="AI35">
        <v>226</v>
      </c>
      <c r="AJ35" t="s">
        <v>256</v>
      </c>
      <c r="AK35">
        <v>0</v>
      </c>
      <c r="AL35">
        <v>0</v>
      </c>
      <c r="AM35">
        <v>0</v>
      </c>
    </row>
    <row r="36" spans="1:39" x14ac:dyDescent="0.25">
      <c r="A36" t="s">
        <v>233</v>
      </c>
      <c r="B36" t="s">
        <v>295</v>
      </c>
      <c r="C36" t="s">
        <v>255</v>
      </c>
      <c r="D36" t="s">
        <v>234</v>
      </c>
      <c r="E36" t="s">
        <v>20</v>
      </c>
      <c r="F36" t="s">
        <v>294</v>
      </c>
      <c r="G36" t="s">
        <v>269</v>
      </c>
      <c r="H36" t="s">
        <v>254</v>
      </c>
      <c r="I36" t="s">
        <v>242</v>
      </c>
      <c r="J36" t="s">
        <v>235</v>
      </c>
      <c r="K36" s="380">
        <v>36770</v>
      </c>
      <c r="L36" s="235">
        <v>3.6173228695757231E-2</v>
      </c>
      <c r="M36" s="380">
        <v>36768</v>
      </c>
      <c r="N36" t="s">
        <v>21</v>
      </c>
      <c r="O36">
        <v>-0.32</v>
      </c>
      <c r="P36">
        <v>0</v>
      </c>
      <c r="Q36">
        <v>0</v>
      </c>
      <c r="R36">
        <v>0</v>
      </c>
      <c r="S36">
        <v>0</v>
      </c>
      <c r="T36" t="s">
        <v>253</v>
      </c>
      <c r="U36" t="s">
        <v>9</v>
      </c>
      <c r="V36" t="s">
        <v>253</v>
      </c>
      <c r="W36" t="s">
        <v>132</v>
      </c>
      <c r="X36" t="s">
        <v>253</v>
      </c>
      <c r="Y36" t="s">
        <v>235</v>
      </c>
      <c r="Z36" t="s">
        <v>236</v>
      </c>
      <c r="AA36" t="s">
        <v>253</v>
      </c>
      <c r="AB36" t="s">
        <v>1</v>
      </c>
      <c r="AC36" s="235">
        <v>300000</v>
      </c>
      <c r="AD36" s="235">
        <v>-1.1573564440148232E-2</v>
      </c>
      <c r="AE36">
        <v>0</v>
      </c>
      <c r="AF36">
        <v>0</v>
      </c>
      <c r="AG36">
        <v>0</v>
      </c>
      <c r="AH36" s="235">
        <v>2.3516743219431646E-3</v>
      </c>
      <c r="AI36">
        <v>226</v>
      </c>
      <c r="AJ36" t="s">
        <v>256</v>
      </c>
      <c r="AK36">
        <v>0</v>
      </c>
      <c r="AL36">
        <v>0</v>
      </c>
      <c r="AM36">
        <v>0</v>
      </c>
    </row>
    <row r="37" spans="1:39" x14ac:dyDescent="0.25">
      <c r="A37" t="s">
        <v>233</v>
      </c>
      <c r="B37" t="s">
        <v>296</v>
      </c>
      <c r="C37" t="s">
        <v>255</v>
      </c>
      <c r="D37" t="s">
        <v>234</v>
      </c>
      <c r="E37" t="s">
        <v>20</v>
      </c>
      <c r="F37" t="s">
        <v>294</v>
      </c>
      <c r="G37" t="s">
        <v>269</v>
      </c>
      <c r="H37" t="s">
        <v>254</v>
      </c>
      <c r="I37" t="s">
        <v>242</v>
      </c>
      <c r="J37" t="s">
        <v>235</v>
      </c>
      <c r="K37" s="380">
        <v>36800</v>
      </c>
      <c r="L37" s="235">
        <v>156550.75000271705</v>
      </c>
      <c r="M37" s="380">
        <v>36797</v>
      </c>
      <c r="N37" t="s">
        <v>1</v>
      </c>
      <c r="O37">
        <v>-0.32</v>
      </c>
      <c r="P37">
        <v>0</v>
      </c>
      <c r="Q37">
        <v>0</v>
      </c>
      <c r="R37">
        <v>0</v>
      </c>
      <c r="S37">
        <v>0</v>
      </c>
      <c r="T37" t="s">
        <v>253</v>
      </c>
      <c r="U37" t="s">
        <v>9</v>
      </c>
      <c r="V37" t="s">
        <v>253</v>
      </c>
      <c r="W37" t="s">
        <v>132</v>
      </c>
      <c r="X37" t="s">
        <v>253</v>
      </c>
      <c r="Y37" t="s">
        <v>235</v>
      </c>
      <c r="Z37" t="s">
        <v>236</v>
      </c>
      <c r="AA37" t="s">
        <v>253</v>
      </c>
      <c r="AB37" t="s">
        <v>1</v>
      </c>
      <c r="AC37" s="235">
        <v>310000</v>
      </c>
      <c r="AD37" s="235">
        <v>5556.4659231622936</v>
      </c>
      <c r="AE37">
        <v>0</v>
      </c>
      <c r="AF37">
        <v>0</v>
      </c>
      <c r="AG37">
        <v>0</v>
      </c>
      <c r="AH37" s="235">
        <v>17427.849339428009</v>
      </c>
      <c r="AI37">
        <v>226</v>
      </c>
      <c r="AJ37" t="s">
        <v>256</v>
      </c>
      <c r="AK37">
        <v>0</v>
      </c>
      <c r="AL37">
        <v>0</v>
      </c>
      <c r="AM37">
        <v>0</v>
      </c>
    </row>
    <row r="38" spans="1:39" x14ac:dyDescent="0.25">
      <c r="A38" t="s">
        <v>233</v>
      </c>
      <c r="B38" t="s">
        <v>296</v>
      </c>
      <c r="C38" t="s">
        <v>255</v>
      </c>
      <c r="D38" t="s">
        <v>234</v>
      </c>
      <c r="E38" t="s">
        <v>20</v>
      </c>
      <c r="F38" t="s">
        <v>294</v>
      </c>
      <c r="G38" t="s">
        <v>269</v>
      </c>
      <c r="H38" t="s">
        <v>254</v>
      </c>
      <c r="I38" t="s">
        <v>242</v>
      </c>
      <c r="J38" t="s">
        <v>235</v>
      </c>
      <c r="K38" s="380">
        <v>36770</v>
      </c>
      <c r="L38" s="235">
        <v>275898.47145564808</v>
      </c>
      <c r="M38" s="380">
        <v>36768</v>
      </c>
      <c r="N38" t="s">
        <v>1</v>
      </c>
      <c r="O38">
        <v>-0.32</v>
      </c>
      <c r="P38">
        <v>0</v>
      </c>
      <c r="Q38">
        <v>0</v>
      </c>
      <c r="R38">
        <v>0</v>
      </c>
      <c r="S38">
        <v>0</v>
      </c>
      <c r="T38" t="s">
        <v>253</v>
      </c>
      <c r="U38" t="s">
        <v>9</v>
      </c>
      <c r="V38" t="s">
        <v>253</v>
      </c>
      <c r="W38" t="s">
        <v>132</v>
      </c>
      <c r="X38" t="s">
        <v>253</v>
      </c>
      <c r="Y38" t="s">
        <v>235</v>
      </c>
      <c r="Z38" t="s">
        <v>236</v>
      </c>
      <c r="AA38" t="s">
        <v>253</v>
      </c>
      <c r="AB38" t="s">
        <v>1</v>
      </c>
      <c r="AC38" s="235">
        <v>300000</v>
      </c>
      <c r="AD38" s="235">
        <v>-1.1573564435821027E-2</v>
      </c>
      <c r="AE38">
        <v>0</v>
      </c>
      <c r="AF38">
        <v>0</v>
      </c>
      <c r="AG38">
        <v>0</v>
      </c>
      <c r="AH38" s="235">
        <v>17983.459727202397</v>
      </c>
      <c r="AI38">
        <v>226</v>
      </c>
      <c r="AJ38" t="s">
        <v>256</v>
      </c>
      <c r="AK38">
        <v>0</v>
      </c>
      <c r="AL38">
        <v>0</v>
      </c>
      <c r="AM38">
        <v>0</v>
      </c>
    </row>
    <row r="39" spans="1:39" x14ac:dyDescent="0.25">
      <c r="A39" t="s">
        <v>233</v>
      </c>
      <c r="B39" t="s">
        <v>297</v>
      </c>
      <c r="C39" t="s">
        <v>255</v>
      </c>
      <c r="D39" t="s">
        <v>234</v>
      </c>
      <c r="E39" t="s">
        <v>20</v>
      </c>
      <c r="F39" t="s">
        <v>294</v>
      </c>
      <c r="G39" t="s">
        <v>269</v>
      </c>
      <c r="H39" t="s">
        <v>254</v>
      </c>
      <c r="I39" t="s">
        <v>242</v>
      </c>
      <c r="J39" t="s">
        <v>235</v>
      </c>
      <c r="K39" s="380">
        <v>36800</v>
      </c>
      <c r="L39" s="235">
        <v>270956.09386838152</v>
      </c>
      <c r="M39" s="380">
        <v>36797</v>
      </c>
      <c r="N39" t="s">
        <v>1</v>
      </c>
      <c r="O39">
        <v>-0.4</v>
      </c>
      <c r="P39">
        <v>0</v>
      </c>
      <c r="Q39">
        <v>0</v>
      </c>
      <c r="R39">
        <v>0</v>
      </c>
      <c r="S39">
        <v>0</v>
      </c>
      <c r="T39" t="s">
        <v>253</v>
      </c>
      <c r="U39" t="s">
        <v>9</v>
      </c>
      <c r="V39" t="s">
        <v>253</v>
      </c>
      <c r="W39" t="s">
        <v>132</v>
      </c>
      <c r="X39" t="s">
        <v>253</v>
      </c>
      <c r="Y39" t="s">
        <v>235</v>
      </c>
      <c r="Z39" t="s">
        <v>236</v>
      </c>
      <c r="AA39" t="s">
        <v>253</v>
      </c>
      <c r="AB39" t="s">
        <v>1</v>
      </c>
      <c r="AC39" s="235">
        <v>620000</v>
      </c>
      <c r="AD39" s="235">
        <v>13827.187364491518</v>
      </c>
      <c r="AE39">
        <v>0</v>
      </c>
      <c r="AF39">
        <v>0</v>
      </c>
      <c r="AG39">
        <v>0</v>
      </c>
      <c r="AH39" s="235">
        <v>32972.579975426779</v>
      </c>
      <c r="AI39">
        <v>226</v>
      </c>
      <c r="AJ39" t="s">
        <v>256</v>
      </c>
      <c r="AK39">
        <v>0</v>
      </c>
      <c r="AL39">
        <v>0</v>
      </c>
      <c r="AM39">
        <v>0</v>
      </c>
    </row>
    <row r="40" spans="1:39" x14ac:dyDescent="0.25">
      <c r="A40" t="s">
        <v>233</v>
      </c>
      <c r="B40" t="s">
        <v>297</v>
      </c>
      <c r="C40" t="s">
        <v>255</v>
      </c>
      <c r="D40" t="s">
        <v>234</v>
      </c>
      <c r="E40" t="s">
        <v>20</v>
      </c>
      <c r="F40" t="s">
        <v>294</v>
      </c>
      <c r="G40" t="s">
        <v>269</v>
      </c>
      <c r="H40" t="s">
        <v>254</v>
      </c>
      <c r="I40" t="s">
        <v>242</v>
      </c>
      <c r="J40" t="s">
        <v>235</v>
      </c>
      <c r="K40" s="380">
        <v>36770</v>
      </c>
      <c r="L40" s="235">
        <v>503814.60004883655</v>
      </c>
      <c r="M40" s="380">
        <v>36768</v>
      </c>
      <c r="N40" t="s">
        <v>1</v>
      </c>
      <c r="O40">
        <v>-0.4</v>
      </c>
      <c r="P40">
        <v>0</v>
      </c>
      <c r="Q40">
        <v>0</v>
      </c>
      <c r="R40">
        <v>0</v>
      </c>
      <c r="S40">
        <v>0</v>
      </c>
      <c r="T40" t="s">
        <v>253</v>
      </c>
      <c r="U40" t="s">
        <v>9</v>
      </c>
      <c r="V40" t="s">
        <v>253</v>
      </c>
      <c r="W40" t="s">
        <v>132</v>
      </c>
      <c r="X40" t="s">
        <v>253</v>
      </c>
      <c r="Y40" t="s">
        <v>235</v>
      </c>
      <c r="Z40" t="s">
        <v>236</v>
      </c>
      <c r="AA40" t="s">
        <v>253</v>
      </c>
      <c r="AB40" t="s">
        <v>1</v>
      </c>
      <c r="AC40" s="235">
        <v>600000</v>
      </c>
      <c r="AD40" s="235">
        <v>-2.3147128988057375E-2</v>
      </c>
      <c r="AE40">
        <v>0</v>
      </c>
      <c r="AF40">
        <v>0</v>
      </c>
      <c r="AG40">
        <v>0</v>
      </c>
      <c r="AH40" s="235">
        <v>35966.919310587167</v>
      </c>
      <c r="AI40">
        <v>226</v>
      </c>
      <c r="AJ40" t="s">
        <v>256</v>
      </c>
      <c r="AK40">
        <v>0</v>
      </c>
      <c r="AL40">
        <v>0</v>
      </c>
      <c r="AM40">
        <v>0</v>
      </c>
    </row>
    <row r="41" spans="1:39" x14ac:dyDescent="0.25">
      <c r="A41" t="s">
        <v>233</v>
      </c>
      <c r="B41" t="s">
        <v>298</v>
      </c>
      <c r="C41" t="s">
        <v>255</v>
      </c>
      <c r="D41" t="s">
        <v>234</v>
      </c>
      <c r="E41" t="s">
        <v>20</v>
      </c>
      <c r="F41" t="s">
        <v>268</v>
      </c>
      <c r="G41" t="s">
        <v>269</v>
      </c>
      <c r="H41" t="s">
        <v>254</v>
      </c>
      <c r="I41" t="s">
        <v>242</v>
      </c>
      <c r="J41" t="s">
        <v>235</v>
      </c>
      <c r="K41" s="380">
        <v>36800</v>
      </c>
      <c r="L41" s="235">
        <v>4800.7764660175344</v>
      </c>
      <c r="M41" s="380">
        <v>36797</v>
      </c>
      <c r="N41" t="s">
        <v>21</v>
      </c>
      <c r="O41">
        <v>-0.25</v>
      </c>
      <c r="P41">
        <v>0</v>
      </c>
      <c r="Q41">
        <v>0</v>
      </c>
      <c r="R41">
        <v>0</v>
      </c>
      <c r="S41">
        <v>0</v>
      </c>
      <c r="T41" t="s">
        <v>253</v>
      </c>
      <c r="U41" t="s">
        <v>9</v>
      </c>
      <c r="V41" t="s">
        <v>253</v>
      </c>
      <c r="W41" t="s">
        <v>132</v>
      </c>
      <c r="X41" t="s">
        <v>253</v>
      </c>
      <c r="Y41" t="s">
        <v>235</v>
      </c>
      <c r="Z41" t="s">
        <v>236</v>
      </c>
      <c r="AA41" t="s">
        <v>253</v>
      </c>
      <c r="AB41" t="s">
        <v>1</v>
      </c>
      <c r="AC41" s="235">
        <v>310000</v>
      </c>
      <c r="AD41" s="235">
        <v>4423.4779449620437</v>
      </c>
      <c r="AE41">
        <v>0</v>
      </c>
      <c r="AF41">
        <v>0</v>
      </c>
      <c r="AG41">
        <v>0</v>
      </c>
      <c r="AH41" s="235">
        <v>-1922.4470824384944</v>
      </c>
      <c r="AI41">
        <v>226</v>
      </c>
      <c r="AJ41" t="s">
        <v>256</v>
      </c>
      <c r="AK41">
        <v>0</v>
      </c>
      <c r="AL41">
        <v>0</v>
      </c>
      <c r="AM41">
        <v>0</v>
      </c>
    </row>
    <row r="42" spans="1:39" x14ac:dyDescent="0.25">
      <c r="A42" t="s">
        <v>233</v>
      </c>
      <c r="B42" t="s">
        <v>298</v>
      </c>
      <c r="C42" t="s">
        <v>255</v>
      </c>
      <c r="D42" t="s">
        <v>234</v>
      </c>
      <c r="E42" t="s">
        <v>20</v>
      </c>
      <c r="F42" t="s">
        <v>268</v>
      </c>
      <c r="G42" t="s">
        <v>269</v>
      </c>
      <c r="H42" t="s">
        <v>254</v>
      </c>
      <c r="I42" t="s">
        <v>242</v>
      </c>
      <c r="J42" t="s">
        <v>235</v>
      </c>
      <c r="K42" s="380">
        <v>36770</v>
      </c>
      <c r="L42" s="235">
        <v>3.8925805420642057E-2</v>
      </c>
      <c r="M42" s="380">
        <v>36768</v>
      </c>
      <c r="N42" t="s">
        <v>21</v>
      </c>
      <c r="O42">
        <v>-0.25</v>
      </c>
      <c r="P42">
        <v>0</v>
      </c>
      <c r="Q42">
        <v>0</v>
      </c>
      <c r="R42">
        <v>0</v>
      </c>
      <c r="S42">
        <v>0</v>
      </c>
      <c r="T42" t="s">
        <v>253</v>
      </c>
      <c r="U42" t="s">
        <v>9</v>
      </c>
      <c r="V42" t="s">
        <v>253</v>
      </c>
      <c r="W42" t="s">
        <v>132</v>
      </c>
      <c r="X42" t="s">
        <v>253</v>
      </c>
      <c r="Y42" t="s">
        <v>235</v>
      </c>
      <c r="Z42" t="s">
        <v>236</v>
      </c>
      <c r="AA42" t="s">
        <v>253</v>
      </c>
      <c r="AB42" t="s">
        <v>1</v>
      </c>
      <c r="AC42" s="235">
        <v>300000</v>
      </c>
      <c r="AD42" s="235">
        <v>-1.1573564673295067E-2</v>
      </c>
      <c r="AE42">
        <v>0</v>
      </c>
      <c r="AF42">
        <v>0</v>
      </c>
      <c r="AG42">
        <v>0</v>
      </c>
      <c r="AH42" s="235">
        <v>2.3531673942756015E-3</v>
      </c>
      <c r="AI42">
        <v>226</v>
      </c>
      <c r="AJ42" t="s">
        <v>256</v>
      </c>
      <c r="AK42">
        <v>0</v>
      </c>
      <c r="AL42">
        <v>0</v>
      </c>
      <c r="AM42">
        <v>0</v>
      </c>
    </row>
    <row r="43" spans="1:39" x14ac:dyDescent="0.25">
      <c r="A43" t="s">
        <v>233</v>
      </c>
      <c r="B43" t="s">
        <v>299</v>
      </c>
      <c r="C43" t="s">
        <v>255</v>
      </c>
      <c r="D43" t="s">
        <v>234</v>
      </c>
      <c r="E43" t="s">
        <v>20</v>
      </c>
      <c r="F43" t="s">
        <v>286</v>
      </c>
      <c r="G43" t="s">
        <v>269</v>
      </c>
      <c r="H43" t="s">
        <v>254</v>
      </c>
      <c r="I43" t="s">
        <v>242</v>
      </c>
      <c r="J43" t="s">
        <v>235</v>
      </c>
      <c r="K43" s="380">
        <v>36800</v>
      </c>
      <c r="L43" s="235">
        <v>6344.3466982786749</v>
      </c>
      <c r="M43" s="380">
        <v>36797</v>
      </c>
      <c r="N43" t="s">
        <v>21</v>
      </c>
      <c r="O43">
        <v>-0.3</v>
      </c>
      <c r="P43">
        <v>0</v>
      </c>
      <c r="Q43">
        <v>0</v>
      </c>
      <c r="R43">
        <v>0</v>
      </c>
      <c r="S43">
        <v>0</v>
      </c>
      <c r="T43" t="s">
        <v>253</v>
      </c>
      <c r="U43" t="s">
        <v>9</v>
      </c>
      <c r="V43" t="s">
        <v>253</v>
      </c>
      <c r="W43" t="s">
        <v>132</v>
      </c>
      <c r="X43" t="s">
        <v>253</v>
      </c>
      <c r="Y43" t="s">
        <v>235</v>
      </c>
      <c r="Z43" t="s">
        <v>236</v>
      </c>
      <c r="AA43" t="s">
        <v>253</v>
      </c>
      <c r="AB43" t="s">
        <v>1</v>
      </c>
      <c r="AC43" s="235">
        <v>310000</v>
      </c>
      <c r="AD43" s="235">
        <v>5224.3341106869921</v>
      </c>
      <c r="AE43">
        <v>0</v>
      </c>
      <c r="AF43">
        <v>0</v>
      </c>
      <c r="AG43">
        <v>0</v>
      </c>
      <c r="AH43" s="235">
        <v>-2388.5629839263929</v>
      </c>
      <c r="AI43">
        <v>226</v>
      </c>
      <c r="AJ43" t="s">
        <v>256</v>
      </c>
      <c r="AK43">
        <v>0</v>
      </c>
      <c r="AL43">
        <v>0</v>
      </c>
      <c r="AM43">
        <v>0</v>
      </c>
    </row>
    <row r="44" spans="1:39" x14ac:dyDescent="0.25">
      <c r="A44" t="s">
        <v>233</v>
      </c>
      <c r="B44" t="s">
        <v>299</v>
      </c>
      <c r="C44" t="s">
        <v>255</v>
      </c>
      <c r="D44" t="s">
        <v>234</v>
      </c>
      <c r="E44" t="s">
        <v>20</v>
      </c>
      <c r="F44" t="s">
        <v>286</v>
      </c>
      <c r="G44" t="s">
        <v>269</v>
      </c>
      <c r="H44" t="s">
        <v>254</v>
      </c>
      <c r="I44" t="s">
        <v>242</v>
      </c>
      <c r="J44" t="s">
        <v>235</v>
      </c>
      <c r="K44" s="380">
        <v>36800</v>
      </c>
      <c r="L44" s="235">
        <v>161992.76697654725</v>
      </c>
      <c r="M44" s="380">
        <v>36797</v>
      </c>
      <c r="N44" t="s">
        <v>1</v>
      </c>
      <c r="O44">
        <v>-0.3</v>
      </c>
      <c r="P44">
        <v>0</v>
      </c>
      <c r="Q44">
        <v>0</v>
      </c>
      <c r="R44">
        <v>0</v>
      </c>
      <c r="S44">
        <v>0</v>
      </c>
      <c r="T44" t="s">
        <v>253</v>
      </c>
      <c r="U44" t="s">
        <v>9</v>
      </c>
      <c r="V44" t="s">
        <v>253</v>
      </c>
      <c r="W44" t="s">
        <v>132</v>
      </c>
      <c r="X44" t="s">
        <v>253</v>
      </c>
      <c r="Y44" t="s">
        <v>235</v>
      </c>
      <c r="Z44" t="s">
        <v>236</v>
      </c>
      <c r="AA44" t="s">
        <v>253</v>
      </c>
      <c r="AB44" t="s">
        <v>1</v>
      </c>
      <c r="AC44" s="235">
        <v>310000</v>
      </c>
      <c r="AD44" s="235">
        <v>5224.3341106870212</v>
      </c>
      <c r="AE44">
        <v>0</v>
      </c>
      <c r="AF44">
        <v>0</v>
      </c>
      <c r="AG44">
        <v>0</v>
      </c>
      <c r="AH44" s="235">
        <v>17634.355637592555</v>
      </c>
      <c r="AI44">
        <v>226</v>
      </c>
      <c r="AJ44" t="s">
        <v>256</v>
      </c>
      <c r="AK44">
        <v>0</v>
      </c>
      <c r="AL44">
        <v>0</v>
      </c>
      <c r="AM44">
        <v>0</v>
      </c>
    </row>
    <row r="45" spans="1:39" x14ac:dyDescent="0.25">
      <c r="A45" t="s">
        <v>233</v>
      </c>
      <c r="B45" t="s">
        <v>299</v>
      </c>
      <c r="C45" t="s">
        <v>255</v>
      </c>
      <c r="D45" t="s">
        <v>234</v>
      </c>
      <c r="E45" t="s">
        <v>20</v>
      </c>
      <c r="F45" t="s">
        <v>286</v>
      </c>
      <c r="G45" t="s">
        <v>269</v>
      </c>
      <c r="H45" t="s">
        <v>254</v>
      </c>
      <c r="I45" t="s">
        <v>242</v>
      </c>
      <c r="J45" t="s">
        <v>235</v>
      </c>
      <c r="K45" s="380">
        <v>36770</v>
      </c>
      <c r="L45" s="235">
        <v>3.6959679283743441E-2</v>
      </c>
      <c r="M45" s="380">
        <v>36768</v>
      </c>
      <c r="N45" t="s">
        <v>21</v>
      </c>
      <c r="O45">
        <v>-0.3</v>
      </c>
      <c r="P45">
        <v>0</v>
      </c>
      <c r="Q45">
        <v>0</v>
      </c>
      <c r="R45">
        <v>0</v>
      </c>
      <c r="S45">
        <v>0</v>
      </c>
      <c r="T45" t="s">
        <v>253</v>
      </c>
      <c r="U45" t="s">
        <v>9</v>
      </c>
      <c r="V45" t="s">
        <v>253</v>
      </c>
      <c r="W45" t="s">
        <v>132</v>
      </c>
      <c r="X45" t="s">
        <v>253</v>
      </c>
      <c r="Y45" t="s">
        <v>235</v>
      </c>
      <c r="Z45" t="s">
        <v>236</v>
      </c>
      <c r="AA45" t="s">
        <v>253</v>
      </c>
      <c r="AB45" t="s">
        <v>1</v>
      </c>
      <c r="AC45" s="235">
        <v>300000</v>
      </c>
      <c r="AD45" s="235">
        <v>-1.1573564606681686E-2</v>
      </c>
      <c r="AE45">
        <v>0</v>
      </c>
      <c r="AF45">
        <v>0</v>
      </c>
      <c r="AG45">
        <v>0</v>
      </c>
      <c r="AH45" s="235">
        <v>2.3526582015875874E-3</v>
      </c>
      <c r="AI45">
        <v>226</v>
      </c>
      <c r="AJ45" t="s">
        <v>256</v>
      </c>
      <c r="AK45">
        <v>0</v>
      </c>
      <c r="AL45">
        <v>0</v>
      </c>
      <c r="AM45">
        <v>0</v>
      </c>
    </row>
    <row r="46" spans="1:39" x14ac:dyDescent="0.25">
      <c r="A46" t="s">
        <v>233</v>
      </c>
      <c r="B46" t="s">
        <v>299</v>
      </c>
      <c r="C46" t="s">
        <v>255</v>
      </c>
      <c r="D46" t="s">
        <v>234</v>
      </c>
      <c r="E46" t="s">
        <v>20</v>
      </c>
      <c r="F46" t="s">
        <v>286</v>
      </c>
      <c r="G46" t="s">
        <v>269</v>
      </c>
      <c r="H46" t="s">
        <v>254</v>
      </c>
      <c r="I46" t="s">
        <v>242</v>
      </c>
      <c r="J46" t="s">
        <v>235</v>
      </c>
      <c r="K46" s="380">
        <v>36770</v>
      </c>
      <c r="L46" s="235">
        <v>281896.26431345561</v>
      </c>
      <c r="M46" s="380">
        <v>36768</v>
      </c>
      <c r="N46" t="s">
        <v>1</v>
      </c>
      <c r="O46">
        <v>-0.3</v>
      </c>
      <c r="P46">
        <v>0</v>
      </c>
      <c r="Q46">
        <v>0</v>
      </c>
      <c r="R46">
        <v>0</v>
      </c>
      <c r="S46">
        <v>0</v>
      </c>
      <c r="T46" t="s">
        <v>253</v>
      </c>
      <c r="U46" t="s">
        <v>9</v>
      </c>
      <c r="V46" t="s">
        <v>253</v>
      </c>
      <c r="W46" t="s">
        <v>132</v>
      </c>
      <c r="X46" t="s">
        <v>253</v>
      </c>
      <c r="Y46" t="s">
        <v>235</v>
      </c>
      <c r="Z46" t="s">
        <v>236</v>
      </c>
      <c r="AA46" t="s">
        <v>253</v>
      </c>
      <c r="AB46" t="s">
        <v>1</v>
      </c>
      <c r="AC46" s="235">
        <v>300000</v>
      </c>
      <c r="AD46" s="235">
        <v>-1.1573564610444009E-2</v>
      </c>
      <c r="AE46">
        <v>0</v>
      </c>
      <c r="AF46">
        <v>0</v>
      </c>
      <c r="AG46">
        <v>0</v>
      </c>
      <c r="AH46" s="235">
        <v>17983.459728186193</v>
      </c>
      <c r="AI46">
        <v>226</v>
      </c>
      <c r="AJ46" t="s">
        <v>256</v>
      </c>
      <c r="AK46">
        <v>0</v>
      </c>
      <c r="AL46">
        <v>0</v>
      </c>
      <c r="AM46">
        <v>0</v>
      </c>
    </row>
    <row r="47" spans="1:39" x14ac:dyDescent="0.25">
      <c r="A47" t="s">
        <v>233</v>
      </c>
      <c r="B47" t="s">
        <v>300</v>
      </c>
      <c r="C47" t="s">
        <v>255</v>
      </c>
      <c r="D47" t="s">
        <v>234</v>
      </c>
      <c r="E47" t="s">
        <v>20</v>
      </c>
      <c r="F47" t="s">
        <v>279</v>
      </c>
      <c r="G47" t="s">
        <v>269</v>
      </c>
      <c r="H47" t="s">
        <v>254</v>
      </c>
      <c r="I47" t="s">
        <v>242</v>
      </c>
      <c r="J47" t="s">
        <v>235</v>
      </c>
      <c r="K47" s="380">
        <v>36923</v>
      </c>
      <c r="L47" s="235">
        <v>102538.00368606592</v>
      </c>
      <c r="M47" s="380">
        <v>36921</v>
      </c>
      <c r="N47" t="s">
        <v>1</v>
      </c>
      <c r="O47">
        <v>1</v>
      </c>
      <c r="P47">
        <v>0</v>
      </c>
      <c r="Q47">
        <v>0</v>
      </c>
      <c r="R47">
        <v>0</v>
      </c>
      <c r="S47">
        <v>0</v>
      </c>
      <c r="T47" t="s">
        <v>253</v>
      </c>
      <c r="U47" t="s">
        <v>7</v>
      </c>
      <c r="V47" t="s">
        <v>253</v>
      </c>
      <c r="W47" t="s">
        <v>132</v>
      </c>
      <c r="X47" t="s">
        <v>253</v>
      </c>
      <c r="Y47" t="s">
        <v>235</v>
      </c>
      <c r="Z47" t="s">
        <v>236</v>
      </c>
      <c r="AA47" t="s">
        <v>253</v>
      </c>
      <c r="AB47" t="s">
        <v>1</v>
      </c>
      <c r="AC47" s="235">
        <v>500000</v>
      </c>
      <c r="AD47" s="235">
        <v>35321.254205072255</v>
      </c>
      <c r="AE47">
        <v>0</v>
      </c>
      <c r="AF47">
        <v>0</v>
      </c>
      <c r="AG47">
        <v>0</v>
      </c>
      <c r="AH47" s="235">
        <v>-5238.9851098930667</v>
      </c>
      <c r="AI47">
        <v>226</v>
      </c>
      <c r="AJ47" t="s">
        <v>256</v>
      </c>
      <c r="AK47">
        <v>0</v>
      </c>
      <c r="AL47">
        <v>0</v>
      </c>
      <c r="AM47">
        <v>0</v>
      </c>
    </row>
    <row r="48" spans="1:39" x14ac:dyDescent="0.25">
      <c r="A48" t="s">
        <v>233</v>
      </c>
      <c r="B48" t="s">
        <v>300</v>
      </c>
      <c r="C48" t="s">
        <v>255</v>
      </c>
      <c r="D48" t="s">
        <v>234</v>
      </c>
      <c r="E48" t="s">
        <v>20</v>
      </c>
      <c r="F48" t="s">
        <v>279</v>
      </c>
      <c r="G48" t="s">
        <v>269</v>
      </c>
      <c r="H48" t="s">
        <v>254</v>
      </c>
      <c r="I48" t="s">
        <v>242</v>
      </c>
      <c r="J48" t="s">
        <v>235</v>
      </c>
      <c r="K48" s="380">
        <v>36892</v>
      </c>
      <c r="L48" s="235">
        <v>83410.80436090054</v>
      </c>
      <c r="M48" s="380">
        <v>36888</v>
      </c>
      <c r="N48" t="s">
        <v>1</v>
      </c>
      <c r="O48">
        <v>1</v>
      </c>
      <c r="P48">
        <v>0</v>
      </c>
      <c r="Q48">
        <v>0</v>
      </c>
      <c r="R48">
        <v>0</v>
      </c>
      <c r="S48">
        <v>0</v>
      </c>
      <c r="T48" t="s">
        <v>253</v>
      </c>
      <c r="U48" t="s">
        <v>7</v>
      </c>
      <c r="V48" t="s">
        <v>253</v>
      </c>
      <c r="W48" t="s">
        <v>132</v>
      </c>
      <c r="X48" t="s">
        <v>253</v>
      </c>
      <c r="Y48" t="s">
        <v>235</v>
      </c>
      <c r="Z48" t="s">
        <v>236</v>
      </c>
      <c r="AA48" t="s">
        <v>253</v>
      </c>
      <c r="AB48" t="s">
        <v>1</v>
      </c>
      <c r="AC48" s="235">
        <v>500000</v>
      </c>
      <c r="AD48" s="235">
        <v>30166.831542529413</v>
      </c>
      <c r="AE48">
        <v>0</v>
      </c>
      <c r="AF48">
        <v>0</v>
      </c>
      <c r="AG48">
        <v>0</v>
      </c>
      <c r="AH48" s="235">
        <v>-3871.8307403988729</v>
      </c>
      <c r="AI48">
        <v>226</v>
      </c>
      <c r="AJ48" t="s">
        <v>256</v>
      </c>
      <c r="AK48">
        <v>0</v>
      </c>
      <c r="AL48">
        <v>0</v>
      </c>
      <c r="AM48">
        <v>0</v>
      </c>
    </row>
    <row r="49" spans="1:39" x14ac:dyDescent="0.25">
      <c r="A49" t="s">
        <v>233</v>
      </c>
      <c r="B49" t="s">
        <v>300</v>
      </c>
      <c r="C49" t="s">
        <v>255</v>
      </c>
      <c r="D49" t="s">
        <v>234</v>
      </c>
      <c r="E49" t="s">
        <v>20</v>
      </c>
      <c r="F49" t="s">
        <v>279</v>
      </c>
      <c r="G49" t="s">
        <v>269</v>
      </c>
      <c r="H49" t="s">
        <v>254</v>
      </c>
      <c r="I49" t="s">
        <v>242</v>
      </c>
      <c r="J49" t="s">
        <v>235</v>
      </c>
      <c r="K49" s="380">
        <v>36861</v>
      </c>
      <c r="L49" s="235">
        <v>111797.4485597843</v>
      </c>
      <c r="M49" s="380">
        <v>36859</v>
      </c>
      <c r="N49" t="s">
        <v>1</v>
      </c>
      <c r="O49">
        <v>1</v>
      </c>
      <c r="P49">
        <v>0</v>
      </c>
      <c r="Q49">
        <v>0</v>
      </c>
      <c r="R49">
        <v>0</v>
      </c>
      <c r="S49">
        <v>0</v>
      </c>
      <c r="T49" t="s">
        <v>253</v>
      </c>
      <c r="U49" t="s">
        <v>7</v>
      </c>
      <c r="V49" t="s">
        <v>253</v>
      </c>
      <c r="W49" t="s">
        <v>132</v>
      </c>
      <c r="X49" t="s">
        <v>253</v>
      </c>
      <c r="Y49" t="s">
        <v>235</v>
      </c>
      <c r="Z49" t="s">
        <v>236</v>
      </c>
      <c r="AA49" t="s">
        <v>253</v>
      </c>
      <c r="AB49" t="s">
        <v>1</v>
      </c>
      <c r="AC49" s="235">
        <v>500000</v>
      </c>
      <c r="AD49" s="235">
        <v>31757.126713017336</v>
      </c>
      <c r="AE49">
        <v>0</v>
      </c>
      <c r="AF49">
        <v>0</v>
      </c>
      <c r="AG49">
        <v>0</v>
      </c>
      <c r="AH49" s="235">
        <v>-4345.4608277247025</v>
      </c>
      <c r="AI49">
        <v>226</v>
      </c>
      <c r="AJ49" t="s">
        <v>256</v>
      </c>
      <c r="AK49">
        <v>0</v>
      </c>
      <c r="AL49">
        <v>0</v>
      </c>
      <c r="AM49">
        <v>0</v>
      </c>
    </row>
    <row r="50" spans="1:39" x14ac:dyDescent="0.25">
      <c r="A50" t="s">
        <v>233</v>
      </c>
      <c r="B50" t="s">
        <v>301</v>
      </c>
      <c r="C50" t="s">
        <v>255</v>
      </c>
      <c r="D50" t="s">
        <v>234</v>
      </c>
      <c r="E50" t="s">
        <v>20</v>
      </c>
      <c r="F50" t="s">
        <v>294</v>
      </c>
      <c r="G50" t="s">
        <v>269</v>
      </c>
      <c r="H50" t="s">
        <v>254</v>
      </c>
      <c r="I50" t="s">
        <v>242</v>
      </c>
      <c r="J50" t="s">
        <v>235</v>
      </c>
      <c r="K50" s="380">
        <v>36951</v>
      </c>
      <c r="L50" s="235">
        <v>171077.44847212691</v>
      </c>
      <c r="M50" s="380">
        <v>36949</v>
      </c>
      <c r="N50" t="s">
        <v>1</v>
      </c>
      <c r="O50">
        <v>0.75</v>
      </c>
      <c r="P50">
        <v>0</v>
      </c>
      <c r="Q50">
        <v>0</v>
      </c>
      <c r="R50">
        <v>0</v>
      </c>
      <c r="S50">
        <v>0</v>
      </c>
      <c r="T50" t="s">
        <v>253</v>
      </c>
      <c r="U50" t="s">
        <v>7</v>
      </c>
      <c r="V50" t="s">
        <v>253</v>
      </c>
      <c r="W50" t="s">
        <v>132</v>
      </c>
      <c r="X50" t="s">
        <v>253</v>
      </c>
      <c r="Y50" t="s">
        <v>235</v>
      </c>
      <c r="Z50" t="s">
        <v>236</v>
      </c>
      <c r="AA50" t="s">
        <v>253</v>
      </c>
      <c r="AB50" t="s">
        <v>1</v>
      </c>
      <c r="AC50" s="235">
        <v>500000</v>
      </c>
      <c r="AD50" s="235">
        <v>43710.151473572099</v>
      </c>
      <c r="AE50">
        <v>0</v>
      </c>
      <c r="AF50">
        <v>0</v>
      </c>
      <c r="AG50">
        <v>0</v>
      </c>
      <c r="AH50" s="235">
        <v>-8168.6097124045191</v>
      </c>
      <c r="AI50">
        <v>226</v>
      </c>
      <c r="AJ50" t="s">
        <v>256</v>
      </c>
      <c r="AK50">
        <v>0</v>
      </c>
      <c r="AL50">
        <v>0</v>
      </c>
      <c r="AM50">
        <v>0</v>
      </c>
    </row>
    <row r="51" spans="1:39" x14ac:dyDescent="0.25">
      <c r="A51" t="s">
        <v>233</v>
      </c>
      <c r="B51" t="s">
        <v>301</v>
      </c>
      <c r="C51" t="s">
        <v>255</v>
      </c>
      <c r="D51" t="s">
        <v>234</v>
      </c>
      <c r="E51" t="s">
        <v>20</v>
      </c>
      <c r="F51" t="s">
        <v>294</v>
      </c>
      <c r="G51" t="s">
        <v>269</v>
      </c>
      <c r="H51" t="s">
        <v>254</v>
      </c>
      <c r="I51" t="s">
        <v>242</v>
      </c>
      <c r="J51" t="s">
        <v>235</v>
      </c>
      <c r="K51" s="380">
        <v>36923</v>
      </c>
      <c r="L51" s="235">
        <v>70124.249611158535</v>
      </c>
      <c r="M51" s="380">
        <v>36921</v>
      </c>
      <c r="N51" t="s">
        <v>1</v>
      </c>
      <c r="O51">
        <v>0.75</v>
      </c>
      <c r="P51">
        <v>0</v>
      </c>
      <c r="Q51">
        <v>0</v>
      </c>
      <c r="R51">
        <v>0</v>
      </c>
      <c r="S51">
        <v>0</v>
      </c>
      <c r="T51" t="s">
        <v>253</v>
      </c>
      <c r="U51" t="s">
        <v>7</v>
      </c>
      <c r="V51" t="s">
        <v>253</v>
      </c>
      <c r="W51" t="s">
        <v>132</v>
      </c>
      <c r="X51" t="s">
        <v>253</v>
      </c>
      <c r="Y51" t="s">
        <v>235</v>
      </c>
      <c r="Z51" t="s">
        <v>236</v>
      </c>
      <c r="AA51" t="s">
        <v>253</v>
      </c>
      <c r="AB51" t="s">
        <v>1</v>
      </c>
      <c r="AC51" s="235">
        <v>500000</v>
      </c>
      <c r="AD51" s="235">
        <v>30734.785796236509</v>
      </c>
      <c r="AE51">
        <v>0</v>
      </c>
      <c r="AF51">
        <v>0</v>
      </c>
      <c r="AG51">
        <v>0</v>
      </c>
      <c r="AH51" s="235">
        <v>-3753.3510640277527</v>
      </c>
      <c r="AI51">
        <v>226</v>
      </c>
      <c r="AJ51" t="s">
        <v>256</v>
      </c>
      <c r="AK51">
        <v>0</v>
      </c>
      <c r="AL51">
        <v>0</v>
      </c>
      <c r="AM51">
        <v>0</v>
      </c>
    </row>
    <row r="52" spans="1:39" x14ac:dyDescent="0.25">
      <c r="A52" t="s">
        <v>233</v>
      </c>
      <c r="B52" t="s">
        <v>301</v>
      </c>
      <c r="C52" t="s">
        <v>255</v>
      </c>
      <c r="D52" t="s">
        <v>234</v>
      </c>
      <c r="E52" t="s">
        <v>20</v>
      </c>
      <c r="F52" t="s">
        <v>294</v>
      </c>
      <c r="G52" t="s">
        <v>269</v>
      </c>
      <c r="H52" t="s">
        <v>254</v>
      </c>
      <c r="I52" t="s">
        <v>242</v>
      </c>
      <c r="J52" t="s">
        <v>235</v>
      </c>
      <c r="K52" s="380">
        <v>36892</v>
      </c>
      <c r="L52" s="235">
        <v>55369.844724811934</v>
      </c>
      <c r="M52" s="380">
        <v>36888</v>
      </c>
      <c r="N52" t="s">
        <v>1</v>
      </c>
      <c r="O52">
        <v>0.75</v>
      </c>
      <c r="P52">
        <v>0</v>
      </c>
      <c r="Q52">
        <v>0</v>
      </c>
      <c r="R52">
        <v>0</v>
      </c>
      <c r="S52">
        <v>0</v>
      </c>
      <c r="T52" t="s">
        <v>253</v>
      </c>
      <c r="U52" t="s">
        <v>7</v>
      </c>
      <c r="V52" t="s">
        <v>253</v>
      </c>
      <c r="W52" t="s">
        <v>132</v>
      </c>
      <c r="X52" t="s">
        <v>253</v>
      </c>
      <c r="Y52" t="s">
        <v>235</v>
      </c>
      <c r="Z52" t="s">
        <v>236</v>
      </c>
      <c r="AA52" t="s">
        <v>253</v>
      </c>
      <c r="AB52" t="s">
        <v>1</v>
      </c>
      <c r="AC52" s="235">
        <v>500000</v>
      </c>
      <c r="AD52" s="235">
        <v>25488.871766922552</v>
      </c>
      <c r="AE52">
        <v>0</v>
      </c>
      <c r="AF52">
        <v>0</v>
      </c>
      <c r="AG52">
        <v>0</v>
      </c>
      <c r="AH52" s="235">
        <v>-2670.9125970105815</v>
      </c>
      <c r="AI52">
        <v>226</v>
      </c>
      <c r="AJ52" t="s">
        <v>256</v>
      </c>
      <c r="AK52">
        <v>0</v>
      </c>
      <c r="AL52">
        <v>0</v>
      </c>
      <c r="AM52">
        <v>0</v>
      </c>
    </row>
    <row r="53" spans="1:39" x14ac:dyDescent="0.25">
      <c r="A53" t="s">
        <v>233</v>
      </c>
      <c r="B53" t="s">
        <v>301</v>
      </c>
      <c r="C53" t="s">
        <v>255</v>
      </c>
      <c r="D53" t="s">
        <v>234</v>
      </c>
      <c r="E53" t="s">
        <v>20</v>
      </c>
      <c r="F53" t="s">
        <v>294</v>
      </c>
      <c r="G53" t="s">
        <v>269</v>
      </c>
      <c r="H53" t="s">
        <v>254</v>
      </c>
      <c r="I53" t="s">
        <v>242</v>
      </c>
      <c r="J53" t="s">
        <v>235</v>
      </c>
      <c r="K53" s="380">
        <v>36861</v>
      </c>
      <c r="L53" s="235">
        <v>73958.492585636472</v>
      </c>
      <c r="M53" s="380">
        <v>36859</v>
      </c>
      <c r="N53" t="s">
        <v>1</v>
      </c>
      <c r="O53">
        <v>0.75</v>
      </c>
      <c r="P53">
        <v>0</v>
      </c>
      <c r="Q53">
        <v>0</v>
      </c>
      <c r="R53">
        <v>0</v>
      </c>
      <c r="S53">
        <v>0</v>
      </c>
      <c r="T53" t="s">
        <v>253</v>
      </c>
      <c r="U53" t="s">
        <v>7</v>
      </c>
      <c r="V53" t="s">
        <v>253</v>
      </c>
      <c r="W53" t="s">
        <v>132</v>
      </c>
      <c r="X53" t="s">
        <v>253</v>
      </c>
      <c r="Y53" t="s">
        <v>235</v>
      </c>
      <c r="Z53" t="s">
        <v>236</v>
      </c>
      <c r="AA53" t="s">
        <v>253</v>
      </c>
      <c r="AB53" t="s">
        <v>1</v>
      </c>
      <c r="AC53" s="235">
        <v>500000</v>
      </c>
      <c r="AD53" s="235">
        <v>27791.540150040542</v>
      </c>
      <c r="AE53">
        <v>0</v>
      </c>
      <c r="AF53">
        <v>0</v>
      </c>
      <c r="AG53">
        <v>0</v>
      </c>
      <c r="AH53" s="235">
        <v>-3004.0376327980048</v>
      </c>
      <c r="AI53">
        <v>226</v>
      </c>
      <c r="AJ53" t="s">
        <v>256</v>
      </c>
      <c r="AK53">
        <v>0</v>
      </c>
      <c r="AL53">
        <v>0</v>
      </c>
      <c r="AM53">
        <v>0</v>
      </c>
    </row>
    <row r="54" spans="1:39" x14ac:dyDescent="0.25">
      <c r="A54" t="s">
        <v>233</v>
      </c>
      <c r="B54" t="s">
        <v>301</v>
      </c>
      <c r="C54" t="s">
        <v>255</v>
      </c>
      <c r="D54" t="s">
        <v>234</v>
      </c>
      <c r="E54" t="s">
        <v>20</v>
      </c>
      <c r="F54" t="s">
        <v>294</v>
      </c>
      <c r="G54" t="s">
        <v>269</v>
      </c>
      <c r="H54" t="s">
        <v>254</v>
      </c>
      <c r="I54" t="s">
        <v>242</v>
      </c>
      <c r="J54" t="s">
        <v>235</v>
      </c>
      <c r="K54" s="380">
        <v>36831</v>
      </c>
      <c r="L54" s="235">
        <v>124808.94629220579</v>
      </c>
      <c r="M54" s="380">
        <v>36829</v>
      </c>
      <c r="N54" t="s">
        <v>1</v>
      </c>
      <c r="O54">
        <v>0.75</v>
      </c>
      <c r="P54">
        <v>0</v>
      </c>
      <c r="Q54">
        <v>0</v>
      </c>
      <c r="R54">
        <v>0</v>
      </c>
      <c r="S54">
        <v>0</v>
      </c>
      <c r="T54" t="s">
        <v>253</v>
      </c>
      <c r="U54" t="s">
        <v>7</v>
      </c>
      <c r="V54" t="s">
        <v>253</v>
      </c>
      <c r="W54" t="s">
        <v>132</v>
      </c>
      <c r="X54" t="s">
        <v>253</v>
      </c>
      <c r="Y54" t="s">
        <v>235</v>
      </c>
      <c r="Z54" t="s">
        <v>236</v>
      </c>
      <c r="AA54" t="s">
        <v>253</v>
      </c>
      <c r="AB54" t="s">
        <v>1</v>
      </c>
      <c r="AC54" s="235">
        <v>500000</v>
      </c>
      <c r="AD54" s="235">
        <v>22575.297341584926</v>
      </c>
      <c r="AE54">
        <v>0</v>
      </c>
      <c r="AF54">
        <v>0</v>
      </c>
      <c r="AG54">
        <v>0</v>
      </c>
      <c r="AH54" s="235">
        <v>-8179.1766620815615</v>
      </c>
      <c r="AI54">
        <v>226</v>
      </c>
      <c r="AJ54" t="s">
        <v>256</v>
      </c>
      <c r="AK54">
        <v>0</v>
      </c>
      <c r="AL54">
        <v>0</v>
      </c>
      <c r="AM54">
        <v>0</v>
      </c>
    </row>
    <row r="55" spans="1:39" x14ac:dyDescent="0.25">
      <c r="A55" t="s">
        <v>233</v>
      </c>
      <c r="B55" t="s">
        <v>302</v>
      </c>
      <c r="C55" t="s">
        <v>255</v>
      </c>
      <c r="D55" t="s">
        <v>234</v>
      </c>
      <c r="E55" t="s">
        <v>20</v>
      </c>
      <c r="F55" t="s">
        <v>279</v>
      </c>
      <c r="G55" t="s">
        <v>269</v>
      </c>
      <c r="H55" t="s">
        <v>254</v>
      </c>
      <c r="I55" t="s">
        <v>242</v>
      </c>
      <c r="J55" t="s">
        <v>235</v>
      </c>
      <c r="K55" s="380">
        <v>36951</v>
      </c>
      <c r="L55" s="235">
        <v>-238329.28076945851</v>
      </c>
      <c r="M55" s="380">
        <v>36949</v>
      </c>
      <c r="N55" t="s">
        <v>21</v>
      </c>
      <c r="O55">
        <v>1.1499999999999999</v>
      </c>
      <c r="P55">
        <v>0</v>
      </c>
      <c r="Q55">
        <v>0</v>
      </c>
      <c r="R55">
        <v>0</v>
      </c>
      <c r="S55">
        <v>0</v>
      </c>
      <c r="T55" t="s">
        <v>253</v>
      </c>
      <c r="U55" t="s">
        <v>7</v>
      </c>
      <c r="V55" t="s">
        <v>253</v>
      </c>
      <c r="W55" t="s">
        <v>132</v>
      </c>
      <c r="X55" t="s">
        <v>253</v>
      </c>
      <c r="Y55" t="s">
        <v>235</v>
      </c>
      <c r="Z55" t="s">
        <v>236</v>
      </c>
      <c r="AA55" t="s">
        <v>253</v>
      </c>
      <c r="AB55" t="s">
        <v>1</v>
      </c>
      <c r="AC55" s="235">
        <v>-500000</v>
      </c>
      <c r="AD55" s="235">
        <v>-44116.943054389791</v>
      </c>
      <c r="AE55">
        <v>0</v>
      </c>
      <c r="AF55">
        <v>0</v>
      </c>
      <c r="AG55">
        <v>0</v>
      </c>
      <c r="AH55" s="235">
        <v>-17294.744100332813</v>
      </c>
      <c r="AI55">
        <v>226</v>
      </c>
      <c r="AJ55" t="s">
        <v>256</v>
      </c>
      <c r="AK55">
        <v>0</v>
      </c>
      <c r="AL55">
        <v>0</v>
      </c>
      <c r="AM55">
        <v>0</v>
      </c>
    </row>
    <row r="56" spans="1:39" x14ac:dyDescent="0.25">
      <c r="A56" t="s">
        <v>233</v>
      </c>
      <c r="B56" t="s">
        <v>302</v>
      </c>
      <c r="C56" t="s">
        <v>255</v>
      </c>
      <c r="D56" t="s">
        <v>234</v>
      </c>
      <c r="E56" t="s">
        <v>20</v>
      </c>
      <c r="F56" t="s">
        <v>279</v>
      </c>
      <c r="G56" t="s">
        <v>269</v>
      </c>
      <c r="H56" t="s">
        <v>254</v>
      </c>
      <c r="I56" t="s">
        <v>242</v>
      </c>
      <c r="J56" t="s">
        <v>235</v>
      </c>
      <c r="K56" s="380">
        <v>36923</v>
      </c>
      <c r="L56" s="235">
        <v>-582577.67270690796</v>
      </c>
      <c r="M56" s="380">
        <v>36921</v>
      </c>
      <c r="N56" t="s">
        <v>21</v>
      </c>
      <c r="O56">
        <v>1.1499999999999999</v>
      </c>
      <c r="P56">
        <v>0</v>
      </c>
      <c r="Q56">
        <v>0</v>
      </c>
      <c r="R56">
        <v>0</v>
      </c>
      <c r="S56">
        <v>0</v>
      </c>
      <c r="T56" t="s">
        <v>253</v>
      </c>
      <c r="U56" t="s">
        <v>7</v>
      </c>
      <c r="V56" t="s">
        <v>253</v>
      </c>
      <c r="W56" t="s">
        <v>132</v>
      </c>
      <c r="X56" t="s">
        <v>253</v>
      </c>
      <c r="Y56" t="s">
        <v>235</v>
      </c>
      <c r="Z56" t="s">
        <v>236</v>
      </c>
      <c r="AA56" t="s">
        <v>253</v>
      </c>
      <c r="AB56" t="s">
        <v>1</v>
      </c>
      <c r="AC56" s="235">
        <v>-500000</v>
      </c>
      <c r="AD56" s="235">
        <v>-37594.599146006338</v>
      </c>
      <c r="AE56">
        <v>0</v>
      </c>
      <c r="AF56">
        <v>0</v>
      </c>
      <c r="AG56">
        <v>0</v>
      </c>
      <c r="AH56" s="235">
        <v>-27744.349519028096</v>
      </c>
      <c r="AI56">
        <v>226</v>
      </c>
      <c r="AJ56" t="s">
        <v>256</v>
      </c>
      <c r="AK56">
        <v>0</v>
      </c>
      <c r="AL56">
        <v>0</v>
      </c>
      <c r="AM56">
        <v>0</v>
      </c>
    </row>
    <row r="57" spans="1:39" x14ac:dyDescent="0.25">
      <c r="A57" t="s">
        <v>233</v>
      </c>
      <c r="B57" t="s">
        <v>302</v>
      </c>
      <c r="C57" t="s">
        <v>255</v>
      </c>
      <c r="D57" t="s">
        <v>234</v>
      </c>
      <c r="E57" t="s">
        <v>20</v>
      </c>
      <c r="F57" t="s">
        <v>279</v>
      </c>
      <c r="G57" t="s">
        <v>269</v>
      </c>
      <c r="H57" t="s">
        <v>254</v>
      </c>
      <c r="I57" t="s">
        <v>242</v>
      </c>
      <c r="J57" t="s">
        <v>235</v>
      </c>
      <c r="K57" s="380">
        <v>36892</v>
      </c>
      <c r="L57" s="235">
        <v>-602722.51398475259</v>
      </c>
      <c r="M57" s="380">
        <v>36888</v>
      </c>
      <c r="N57" t="s">
        <v>21</v>
      </c>
      <c r="O57">
        <v>1.1499999999999999</v>
      </c>
      <c r="P57">
        <v>0</v>
      </c>
      <c r="Q57">
        <v>0</v>
      </c>
      <c r="R57">
        <v>0</v>
      </c>
      <c r="S57">
        <v>0</v>
      </c>
      <c r="T57" t="s">
        <v>253</v>
      </c>
      <c r="U57" t="s">
        <v>7</v>
      </c>
      <c r="V57" t="s">
        <v>253</v>
      </c>
      <c r="W57" t="s">
        <v>132</v>
      </c>
      <c r="X57" t="s">
        <v>253</v>
      </c>
      <c r="Y57" t="s">
        <v>235</v>
      </c>
      <c r="Z57" t="s">
        <v>236</v>
      </c>
      <c r="AA57" t="s">
        <v>253</v>
      </c>
      <c r="AB57" t="s">
        <v>1</v>
      </c>
      <c r="AC57" s="235">
        <v>-500000</v>
      </c>
      <c r="AD57" s="235">
        <v>-32597.029848996899</v>
      </c>
      <c r="AE57">
        <v>0</v>
      </c>
      <c r="AF57">
        <v>0</v>
      </c>
      <c r="AG57">
        <v>0</v>
      </c>
      <c r="AH57" s="235">
        <v>-24606.567855161149</v>
      </c>
      <c r="AI57">
        <v>226</v>
      </c>
      <c r="AJ57" t="s">
        <v>256</v>
      </c>
      <c r="AK57">
        <v>0</v>
      </c>
      <c r="AL57">
        <v>0</v>
      </c>
      <c r="AM57">
        <v>0</v>
      </c>
    </row>
    <row r="58" spans="1:39" x14ac:dyDescent="0.25">
      <c r="A58" t="s">
        <v>233</v>
      </c>
      <c r="B58" t="s">
        <v>302</v>
      </c>
      <c r="C58" t="s">
        <v>255</v>
      </c>
      <c r="D58" t="s">
        <v>234</v>
      </c>
      <c r="E58" t="s">
        <v>20</v>
      </c>
      <c r="F58" t="s">
        <v>279</v>
      </c>
      <c r="G58" t="s">
        <v>269</v>
      </c>
      <c r="H58" t="s">
        <v>254</v>
      </c>
      <c r="I58" t="s">
        <v>242</v>
      </c>
      <c r="J58" t="s">
        <v>235</v>
      </c>
      <c r="K58" s="380">
        <v>36861</v>
      </c>
      <c r="L58" s="235">
        <v>-382811.88667598693</v>
      </c>
      <c r="M58" s="380">
        <v>36859</v>
      </c>
      <c r="N58" t="s">
        <v>21</v>
      </c>
      <c r="O58">
        <v>1.1499999999999999</v>
      </c>
      <c r="P58">
        <v>0</v>
      </c>
      <c r="Q58">
        <v>0</v>
      </c>
      <c r="R58">
        <v>0</v>
      </c>
      <c r="S58">
        <v>0</v>
      </c>
      <c r="T58" t="s">
        <v>253</v>
      </c>
      <c r="U58" t="s">
        <v>7</v>
      </c>
      <c r="V58" t="s">
        <v>253</v>
      </c>
      <c r="W58" t="s">
        <v>132</v>
      </c>
      <c r="X58" t="s">
        <v>253</v>
      </c>
      <c r="Y58" t="s">
        <v>235</v>
      </c>
      <c r="Z58" t="s">
        <v>236</v>
      </c>
      <c r="AA58" t="s">
        <v>253</v>
      </c>
      <c r="AB58" t="s">
        <v>1</v>
      </c>
      <c r="AC58" s="235">
        <v>-500000</v>
      </c>
      <c r="AD58" s="235">
        <v>-33465.864579853485</v>
      </c>
      <c r="AE58">
        <v>0</v>
      </c>
      <c r="AF58">
        <v>0</v>
      </c>
      <c r="AG58">
        <v>0</v>
      </c>
      <c r="AH58" s="235">
        <v>-16853.365497509018</v>
      </c>
      <c r="AI58">
        <v>226</v>
      </c>
      <c r="AJ58" t="s">
        <v>256</v>
      </c>
      <c r="AK58">
        <v>0</v>
      </c>
      <c r="AL58">
        <v>0</v>
      </c>
      <c r="AM58">
        <v>0</v>
      </c>
    </row>
    <row r="59" spans="1:39" x14ac:dyDescent="0.25">
      <c r="A59" t="s">
        <v>233</v>
      </c>
      <c r="B59" t="s">
        <v>302</v>
      </c>
      <c r="C59" t="s">
        <v>255</v>
      </c>
      <c r="D59" t="s">
        <v>234</v>
      </c>
      <c r="E59" t="s">
        <v>20</v>
      </c>
      <c r="F59" t="s">
        <v>279</v>
      </c>
      <c r="G59" t="s">
        <v>269</v>
      </c>
      <c r="H59" t="s">
        <v>254</v>
      </c>
      <c r="I59" t="s">
        <v>242</v>
      </c>
      <c r="J59" t="s">
        <v>235</v>
      </c>
      <c r="K59" s="380">
        <v>36831</v>
      </c>
      <c r="L59" s="235">
        <v>-63565.100727442761</v>
      </c>
      <c r="M59" s="380">
        <v>36829</v>
      </c>
      <c r="N59" t="s">
        <v>21</v>
      </c>
      <c r="O59">
        <v>1.1499999999999999</v>
      </c>
      <c r="P59">
        <v>0</v>
      </c>
      <c r="Q59">
        <v>0</v>
      </c>
      <c r="R59">
        <v>0</v>
      </c>
      <c r="S59">
        <v>0</v>
      </c>
      <c r="T59" t="s">
        <v>253</v>
      </c>
      <c r="U59" t="s">
        <v>7</v>
      </c>
      <c r="V59" t="s">
        <v>253</v>
      </c>
      <c r="W59" t="s">
        <v>132</v>
      </c>
      <c r="X59" t="s">
        <v>253</v>
      </c>
      <c r="Y59" t="s">
        <v>235</v>
      </c>
      <c r="Z59" t="s">
        <v>236</v>
      </c>
      <c r="AA59" t="s">
        <v>253</v>
      </c>
      <c r="AB59" t="s">
        <v>1</v>
      </c>
      <c r="AC59" s="235">
        <v>-500000</v>
      </c>
      <c r="AD59" s="235">
        <v>-18869.345714786497</v>
      </c>
      <c r="AE59">
        <v>0</v>
      </c>
      <c r="AF59">
        <v>0</v>
      </c>
      <c r="AG59">
        <v>0</v>
      </c>
      <c r="AH59" s="235">
        <v>-7077.9534187121099</v>
      </c>
      <c r="AI59">
        <v>226</v>
      </c>
      <c r="AJ59" t="s">
        <v>256</v>
      </c>
      <c r="AK59">
        <v>0</v>
      </c>
      <c r="AL59">
        <v>0</v>
      </c>
      <c r="AM59">
        <v>0</v>
      </c>
    </row>
    <row r="60" spans="1:39" x14ac:dyDescent="0.25">
      <c r="A60" t="s">
        <v>233</v>
      </c>
      <c r="B60" t="s">
        <v>303</v>
      </c>
      <c r="C60" t="s">
        <v>255</v>
      </c>
      <c r="D60" t="s">
        <v>234</v>
      </c>
      <c r="E60" t="s">
        <v>20</v>
      </c>
      <c r="F60" t="s">
        <v>294</v>
      </c>
      <c r="G60" t="s">
        <v>269</v>
      </c>
      <c r="H60" t="s">
        <v>254</v>
      </c>
      <c r="I60" t="s">
        <v>242</v>
      </c>
      <c r="J60" t="s">
        <v>235</v>
      </c>
      <c r="K60" s="380">
        <v>36800</v>
      </c>
      <c r="L60" s="235">
        <v>-30436.66877232775</v>
      </c>
      <c r="M60" s="380">
        <v>36797</v>
      </c>
      <c r="N60" t="s">
        <v>21</v>
      </c>
      <c r="O60">
        <v>0.3</v>
      </c>
      <c r="P60">
        <v>0</v>
      </c>
      <c r="Q60">
        <v>0</v>
      </c>
      <c r="R60">
        <v>0</v>
      </c>
      <c r="S60">
        <v>0</v>
      </c>
      <c r="T60" t="s">
        <v>253</v>
      </c>
      <c r="U60" t="s">
        <v>7</v>
      </c>
      <c r="V60" t="s">
        <v>253</v>
      </c>
      <c r="W60" t="s">
        <v>132</v>
      </c>
      <c r="X60" t="s">
        <v>253</v>
      </c>
      <c r="Y60" t="s">
        <v>235</v>
      </c>
      <c r="Z60" t="s">
        <v>236</v>
      </c>
      <c r="AA60" t="s">
        <v>253</v>
      </c>
      <c r="AB60" t="s">
        <v>1</v>
      </c>
      <c r="AC60" s="235">
        <v>-250000</v>
      </c>
      <c r="AD60" s="235">
        <v>-978.53097128286026</v>
      </c>
      <c r="AE60">
        <v>0</v>
      </c>
      <c r="AF60">
        <v>0</v>
      </c>
      <c r="AG60">
        <v>0</v>
      </c>
      <c r="AH60" s="235">
        <v>-56.657840379804838</v>
      </c>
      <c r="AI60">
        <v>226</v>
      </c>
      <c r="AJ60" t="s">
        <v>256</v>
      </c>
      <c r="AK60">
        <v>0</v>
      </c>
      <c r="AL60">
        <v>0</v>
      </c>
      <c r="AM60">
        <v>0</v>
      </c>
    </row>
    <row r="61" spans="1:39" x14ac:dyDescent="0.25">
      <c r="A61" t="s">
        <v>233</v>
      </c>
      <c r="B61" t="s">
        <v>303</v>
      </c>
      <c r="C61" t="s">
        <v>255</v>
      </c>
      <c r="D61" t="s">
        <v>234</v>
      </c>
      <c r="E61" t="s">
        <v>20</v>
      </c>
      <c r="F61" t="s">
        <v>294</v>
      </c>
      <c r="G61" t="s">
        <v>269</v>
      </c>
      <c r="H61" t="s">
        <v>254</v>
      </c>
      <c r="I61" t="s">
        <v>242</v>
      </c>
      <c r="J61" t="s">
        <v>235</v>
      </c>
      <c r="K61" s="380">
        <v>36770</v>
      </c>
      <c r="L61" s="235">
        <v>-4284.1144821467296</v>
      </c>
      <c r="M61" s="380">
        <v>36768</v>
      </c>
      <c r="N61" t="s">
        <v>21</v>
      </c>
      <c r="O61">
        <v>0.3</v>
      </c>
      <c r="P61">
        <v>0</v>
      </c>
      <c r="Q61">
        <v>0</v>
      </c>
      <c r="R61">
        <v>0</v>
      </c>
      <c r="S61">
        <v>0</v>
      </c>
      <c r="T61" t="s">
        <v>253</v>
      </c>
      <c r="U61" t="s">
        <v>7</v>
      </c>
      <c r="V61" t="s">
        <v>253</v>
      </c>
      <c r="W61" t="s">
        <v>132</v>
      </c>
      <c r="X61" t="s">
        <v>253</v>
      </c>
      <c r="Y61" t="s">
        <v>235</v>
      </c>
      <c r="Z61" t="s">
        <v>236</v>
      </c>
      <c r="AA61" t="s">
        <v>253</v>
      </c>
      <c r="AB61" t="s">
        <v>1</v>
      </c>
      <c r="AC61" s="235">
        <v>-250000</v>
      </c>
      <c r="AD61" s="235">
        <v>-228.47025819524424</v>
      </c>
      <c r="AE61">
        <v>0</v>
      </c>
      <c r="AF61">
        <v>0</v>
      </c>
      <c r="AG61">
        <v>0</v>
      </c>
      <c r="AH61" s="235">
        <v>-34.434778986728816</v>
      </c>
      <c r="AI61">
        <v>226</v>
      </c>
      <c r="AJ61" t="s">
        <v>256</v>
      </c>
      <c r="AK61">
        <v>0</v>
      </c>
      <c r="AL61">
        <v>0</v>
      </c>
      <c r="AM61">
        <v>0</v>
      </c>
    </row>
    <row r="62" spans="1:39" x14ac:dyDescent="0.25">
      <c r="A62" t="s">
        <v>233</v>
      </c>
      <c r="B62" t="s">
        <v>304</v>
      </c>
      <c r="C62" t="s">
        <v>255</v>
      </c>
      <c r="D62" t="s">
        <v>234</v>
      </c>
      <c r="E62" t="s">
        <v>20</v>
      </c>
      <c r="F62" t="s">
        <v>294</v>
      </c>
      <c r="G62" t="s">
        <v>269</v>
      </c>
      <c r="H62" t="s">
        <v>254</v>
      </c>
      <c r="I62" t="s">
        <v>242</v>
      </c>
      <c r="J62" t="s">
        <v>235</v>
      </c>
      <c r="K62" s="380">
        <v>36800</v>
      </c>
      <c r="L62" s="235">
        <v>-1852.2415414097547</v>
      </c>
      <c r="M62" s="380">
        <v>36797</v>
      </c>
      <c r="N62" t="s">
        <v>1</v>
      </c>
      <c r="O62">
        <v>0.3</v>
      </c>
      <c r="P62">
        <v>0</v>
      </c>
      <c r="Q62">
        <v>0</v>
      </c>
      <c r="R62">
        <v>0</v>
      </c>
      <c r="S62">
        <v>0</v>
      </c>
      <c r="T62" t="s">
        <v>253</v>
      </c>
      <c r="U62" t="s">
        <v>7</v>
      </c>
      <c r="V62" t="s">
        <v>253</v>
      </c>
      <c r="W62" t="s">
        <v>132</v>
      </c>
      <c r="X62" t="s">
        <v>253</v>
      </c>
      <c r="Y62" t="s">
        <v>235</v>
      </c>
      <c r="Z62" t="s">
        <v>236</v>
      </c>
      <c r="AA62" t="s">
        <v>253</v>
      </c>
      <c r="AB62" t="s">
        <v>1</v>
      </c>
      <c r="AC62" s="235">
        <v>-250000</v>
      </c>
      <c r="AD62" s="235">
        <v>-978.53097128286026</v>
      </c>
      <c r="AE62">
        <v>0</v>
      </c>
      <c r="AF62">
        <v>0</v>
      </c>
      <c r="AG62">
        <v>0</v>
      </c>
      <c r="AH62" s="235">
        <v>-56.657840380003336</v>
      </c>
      <c r="AI62">
        <v>226</v>
      </c>
      <c r="AJ62" t="s">
        <v>256</v>
      </c>
      <c r="AK62">
        <v>0</v>
      </c>
      <c r="AL62">
        <v>0</v>
      </c>
      <c r="AM62">
        <v>0</v>
      </c>
    </row>
    <row r="63" spans="1:39" x14ac:dyDescent="0.25">
      <c r="A63" t="s">
        <v>233</v>
      </c>
      <c r="B63" t="s">
        <v>304</v>
      </c>
      <c r="C63" t="s">
        <v>255</v>
      </c>
      <c r="D63" t="s">
        <v>234</v>
      </c>
      <c r="E63" t="s">
        <v>20</v>
      </c>
      <c r="F63" t="s">
        <v>294</v>
      </c>
      <c r="G63" t="s">
        <v>269</v>
      </c>
      <c r="H63" t="s">
        <v>254</v>
      </c>
      <c r="I63" t="s">
        <v>242</v>
      </c>
      <c r="J63" t="s">
        <v>235</v>
      </c>
      <c r="K63" s="380">
        <v>36770</v>
      </c>
      <c r="L63" s="235">
        <v>-535.49443754871697</v>
      </c>
      <c r="M63" s="380">
        <v>36768</v>
      </c>
      <c r="N63" t="s">
        <v>1</v>
      </c>
      <c r="O63">
        <v>0.3</v>
      </c>
      <c r="P63">
        <v>0</v>
      </c>
      <c r="Q63">
        <v>0</v>
      </c>
      <c r="R63">
        <v>0</v>
      </c>
      <c r="S63">
        <v>0</v>
      </c>
      <c r="T63" t="s">
        <v>253</v>
      </c>
      <c r="U63" t="s">
        <v>7</v>
      </c>
      <c r="V63" t="s">
        <v>253</v>
      </c>
      <c r="W63" t="s">
        <v>132</v>
      </c>
      <c r="X63" t="s">
        <v>253</v>
      </c>
      <c r="Y63" t="s">
        <v>235</v>
      </c>
      <c r="Z63" t="s">
        <v>236</v>
      </c>
      <c r="AA63" t="s">
        <v>253</v>
      </c>
      <c r="AB63" t="s">
        <v>1</v>
      </c>
      <c r="AC63" s="235">
        <v>-250000</v>
      </c>
      <c r="AD63" s="235">
        <v>-228.47025819525152</v>
      </c>
      <c r="AE63">
        <v>0</v>
      </c>
      <c r="AF63">
        <v>0</v>
      </c>
      <c r="AG63">
        <v>0</v>
      </c>
      <c r="AH63" s="235">
        <v>-34.434778986680612</v>
      </c>
      <c r="AI63">
        <v>226</v>
      </c>
      <c r="AJ63" t="s">
        <v>256</v>
      </c>
      <c r="AK63">
        <v>0</v>
      </c>
      <c r="AL63">
        <v>0</v>
      </c>
      <c r="AM63">
        <v>0</v>
      </c>
    </row>
    <row r="64" spans="1:39" x14ac:dyDescent="0.25">
      <c r="A64" t="s">
        <v>233</v>
      </c>
      <c r="B64" t="s">
        <v>305</v>
      </c>
      <c r="C64" t="s">
        <v>255</v>
      </c>
      <c r="D64" t="s">
        <v>234</v>
      </c>
      <c r="E64" t="s">
        <v>20</v>
      </c>
      <c r="F64" t="s">
        <v>279</v>
      </c>
      <c r="G64" t="s">
        <v>269</v>
      </c>
      <c r="H64" t="s">
        <v>254</v>
      </c>
      <c r="I64" t="s">
        <v>242</v>
      </c>
      <c r="J64" t="s">
        <v>235</v>
      </c>
      <c r="K64" s="380">
        <v>36800</v>
      </c>
      <c r="L64" s="235">
        <v>-30436.66877232775</v>
      </c>
      <c r="M64" s="380">
        <v>36797</v>
      </c>
      <c r="N64" t="s">
        <v>21</v>
      </c>
      <c r="O64">
        <v>0.3</v>
      </c>
      <c r="P64">
        <v>0</v>
      </c>
      <c r="Q64">
        <v>0</v>
      </c>
      <c r="R64">
        <v>0</v>
      </c>
      <c r="S64">
        <v>0</v>
      </c>
      <c r="T64" t="s">
        <v>253</v>
      </c>
      <c r="U64" t="s">
        <v>7</v>
      </c>
      <c r="V64" t="s">
        <v>253</v>
      </c>
      <c r="W64" t="s">
        <v>132</v>
      </c>
      <c r="X64" t="s">
        <v>253</v>
      </c>
      <c r="Y64" t="s">
        <v>235</v>
      </c>
      <c r="Z64" t="s">
        <v>236</v>
      </c>
      <c r="AA64" t="s">
        <v>253</v>
      </c>
      <c r="AB64" t="s">
        <v>1</v>
      </c>
      <c r="AC64" s="235">
        <v>-250000</v>
      </c>
      <c r="AD64" s="235">
        <v>-978.53097128286026</v>
      </c>
      <c r="AE64">
        <v>0</v>
      </c>
      <c r="AF64">
        <v>0</v>
      </c>
      <c r="AG64">
        <v>0</v>
      </c>
      <c r="AH64" s="235">
        <v>-56.657840379804838</v>
      </c>
      <c r="AI64">
        <v>226</v>
      </c>
      <c r="AJ64" t="s">
        <v>256</v>
      </c>
      <c r="AK64">
        <v>0</v>
      </c>
      <c r="AL64">
        <v>0</v>
      </c>
      <c r="AM64">
        <v>0</v>
      </c>
    </row>
    <row r="65" spans="1:39" x14ac:dyDescent="0.25">
      <c r="A65" t="s">
        <v>233</v>
      </c>
      <c r="B65" t="s">
        <v>305</v>
      </c>
      <c r="C65" t="s">
        <v>255</v>
      </c>
      <c r="D65" t="s">
        <v>234</v>
      </c>
      <c r="E65" t="s">
        <v>20</v>
      </c>
      <c r="F65" t="s">
        <v>279</v>
      </c>
      <c r="G65" t="s">
        <v>269</v>
      </c>
      <c r="H65" t="s">
        <v>254</v>
      </c>
      <c r="I65" t="s">
        <v>242</v>
      </c>
      <c r="J65" t="s">
        <v>235</v>
      </c>
      <c r="K65" s="380">
        <v>36800</v>
      </c>
      <c r="L65" s="235">
        <v>-60873.3375446555</v>
      </c>
      <c r="M65" s="380">
        <v>36797</v>
      </c>
      <c r="N65" t="s">
        <v>21</v>
      </c>
      <c r="O65">
        <v>0.3</v>
      </c>
      <c r="P65">
        <v>0</v>
      </c>
      <c r="Q65">
        <v>0</v>
      </c>
      <c r="R65">
        <v>0</v>
      </c>
      <c r="S65">
        <v>0</v>
      </c>
      <c r="T65" t="s">
        <v>253</v>
      </c>
      <c r="U65" t="s">
        <v>7</v>
      </c>
      <c r="V65" t="s">
        <v>253</v>
      </c>
      <c r="W65" t="s">
        <v>132</v>
      </c>
      <c r="X65" t="s">
        <v>253</v>
      </c>
      <c r="Y65" t="s">
        <v>235</v>
      </c>
      <c r="Z65" t="s">
        <v>236</v>
      </c>
      <c r="AA65" t="s">
        <v>253</v>
      </c>
      <c r="AB65" t="s">
        <v>1</v>
      </c>
      <c r="AC65" s="235">
        <v>-500000</v>
      </c>
      <c r="AD65" s="235">
        <v>-1957.0619425657205</v>
      </c>
      <c r="AE65">
        <v>0</v>
      </c>
      <c r="AF65">
        <v>0</v>
      </c>
      <c r="AG65">
        <v>0</v>
      </c>
      <c r="AH65" s="235">
        <v>-113.31568075960968</v>
      </c>
      <c r="AI65">
        <v>226</v>
      </c>
      <c r="AJ65" t="s">
        <v>256</v>
      </c>
      <c r="AK65">
        <v>0</v>
      </c>
      <c r="AL65">
        <v>0</v>
      </c>
      <c r="AM65">
        <v>0</v>
      </c>
    </row>
    <row r="66" spans="1:39" x14ac:dyDescent="0.25">
      <c r="A66" t="s">
        <v>233</v>
      </c>
      <c r="B66" t="s">
        <v>305</v>
      </c>
      <c r="C66" t="s">
        <v>255</v>
      </c>
      <c r="D66" t="s">
        <v>234</v>
      </c>
      <c r="E66" t="s">
        <v>20</v>
      </c>
      <c r="F66" t="s">
        <v>279</v>
      </c>
      <c r="G66" t="s">
        <v>269</v>
      </c>
      <c r="H66" t="s">
        <v>254</v>
      </c>
      <c r="I66" t="s">
        <v>242</v>
      </c>
      <c r="J66" t="s">
        <v>235</v>
      </c>
      <c r="K66" s="380">
        <v>36770</v>
      </c>
      <c r="L66" s="235">
        <v>-4284.1144821467296</v>
      </c>
      <c r="M66" s="380">
        <v>36768</v>
      </c>
      <c r="N66" t="s">
        <v>21</v>
      </c>
      <c r="O66">
        <v>0.3</v>
      </c>
      <c r="P66">
        <v>0</v>
      </c>
      <c r="Q66">
        <v>0</v>
      </c>
      <c r="R66">
        <v>0</v>
      </c>
      <c r="S66">
        <v>0</v>
      </c>
      <c r="T66" t="s">
        <v>253</v>
      </c>
      <c r="U66" t="s">
        <v>7</v>
      </c>
      <c r="V66" t="s">
        <v>253</v>
      </c>
      <c r="W66" t="s">
        <v>132</v>
      </c>
      <c r="X66" t="s">
        <v>253</v>
      </c>
      <c r="Y66" t="s">
        <v>235</v>
      </c>
      <c r="Z66" t="s">
        <v>236</v>
      </c>
      <c r="AA66" t="s">
        <v>253</v>
      </c>
      <c r="AB66" t="s">
        <v>1</v>
      </c>
      <c r="AC66" s="235">
        <v>-250000</v>
      </c>
      <c r="AD66" s="235">
        <v>-228.47025819524424</v>
      </c>
      <c r="AE66">
        <v>0</v>
      </c>
      <c r="AF66">
        <v>0</v>
      </c>
      <c r="AG66">
        <v>0</v>
      </c>
      <c r="AH66" s="235">
        <v>-34.434778986728816</v>
      </c>
      <c r="AI66">
        <v>226</v>
      </c>
      <c r="AJ66" t="s">
        <v>256</v>
      </c>
      <c r="AK66">
        <v>0</v>
      </c>
      <c r="AL66">
        <v>0</v>
      </c>
      <c r="AM66">
        <v>0</v>
      </c>
    </row>
    <row r="67" spans="1:39" x14ac:dyDescent="0.25">
      <c r="A67" t="s">
        <v>233</v>
      </c>
      <c r="B67" t="s">
        <v>305</v>
      </c>
      <c r="C67" t="s">
        <v>255</v>
      </c>
      <c r="D67" t="s">
        <v>234</v>
      </c>
      <c r="E67" t="s">
        <v>20</v>
      </c>
      <c r="F67" t="s">
        <v>279</v>
      </c>
      <c r="G67" t="s">
        <v>269</v>
      </c>
      <c r="H67" t="s">
        <v>254</v>
      </c>
      <c r="I67" t="s">
        <v>242</v>
      </c>
      <c r="J67" t="s">
        <v>235</v>
      </c>
      <c r="K67" s="380">
        <v>36770</v>
      </c>
      <c r="L67" s="235">
        <v>-8568.2289642934593</v>
      </c>
      <c r="M67" s="380">
        <v>36768</v>
      </c>
      <c r="N67" t="s">
        <v>21</v>
      </c>
      <c r="O67">
        <v>0.3</v>
      </c>
      <c r="P67">
        <v>0</v>
      </c>
      <c r="Q67">
        <v>0</v>
      </c>
      <c r="R67">
        <v>0</v>
      </c>
      <c r="S67">
        <v>0</v>
      </c>
      <c r="T67" t="s">
        <v>253</v>
      </c>
      <c r="U67" t="s">
        <v>7</v>
      </c>
      <c r="V67" t="s">
        <v>253</v>
      </c>
      <c r="W67" t="s">
        <v>132</v>
      </c>
      <c r="X67" t="s">
        <v>253</v>
      </c>
      <c r="Y67" t="s">
        <v>235</v>
      </c>
      <c r="Z67" t="s">
        <v>236</v>
      </c>
      <c r="AA67" t="s">
        <v>253</v>
      </c>
      <c r="AB67" t="s">
        <v>1</v>
      </c>
      <c r="AC67" s="235">
        <v>-500000</v>
      </c>
      <c r="AD67" s="235">
        <v>-456.94051639048848</v>
      </c>
      <c r="AE67">
        <v>0</v>
      </c>
      <c r="AF67">
        <v>0</v>
      </c>
      <c r="AG67">
        <v>0</v>
      </c>
      <c r="AH67" s="235">
        <v>-68.869557973457631</v>
      </c>
      <c r="AI67">
        <v>226</v>
      </c>
      <c r="AJ67" t="s">
        <v>256</v>
      </c>
      <c r="AK67">
        <v>0</v>
      </c>
      <c r="AL67">
        <v>0</v>
      </c>
      <c r="AM67">
        <v>0</v>
      </c>
    </row>
    <row r="68" spans="1:39" x14ac:dyDescent="0.25">
      <c r="A68" t="s">
        <v>233</v>
      </c>
      <c r="B68" t="s">
        <v>306</v>
      </c>
      <c r="C68" t="s">
        <v>255</v>
      </c>
      <c r="D68" t="s">
        <v>234</v>
      </c>
      <c r="E68" t="s">
        <v>20</v>
      </c>
      <c r="F68" t="s">
        <v>279</v>
      </c>
      <c r="G68" t="s">
        <v>269</v>
      </c>
      <c r="H68" t="s">
        <v>254</v>
      </c>
      <c r="I68" t="s">
        <v>242</v>
      </c>
      <c r="J68" t="s">
        <v>235</v>
      </c>
      <c r="K68" s="380">
        <v>36800</v>
      </c>
      <c r="L68" s="235">
        <v>-1852.2415414097547</v>
      </c>
      <c r="M68" s="380">
        <v>36797</v>
      </c>
      <c r="N68" t="s">
        <v>1</v>
      </c>
      <c r="O68">
        <v>0.3</v>
      </c>
      <c r="P68">
        <v>0</v>
      </c>
      <c r="Q68">
        <v>0</v>
      </c>
      <c r="R68">
        <v>0</v>
      </c>
      <c r="S68">
        <v>0</v>
      </c>
      <c r="T68" t="s">
        <v>253</v>
      </c>
      <c r="U68" t="s">
        <v>7</v>
      </c>
      <c r="V68" t="s">
        <v>253</v>
      </c>
      <c r="W68" t="s">
        <v>132</v>
      </c>
      <c r="X68" t="s">
        <v>253</v>
      </c>
      <c r="Y68" t="s">
        <v>235</v>
      </c>
      <c r="Z68" t="s">
        <v>236</v>
      </c>
      <c r="AA68" t="s">
        <v>253</v>
      </c>
      <c r="AB68" t="s">
        <v>1</v>
      </c>
      <c r="AC68" s="235">
        <v>-250000</v>
      </c>
      <c r="AD68" s="235">
        <v>-978.53097128286026</v>
      </c>
      <c r="AE68">
        <v>0</v>
      </c>
      <c r="AF68">
        <v>0</v>
      </c>
      <c r="AG68">
        <v>0</v>
      </c>
      <c r="AH68" s="235">
        <v>-56.657840380003336</v>
      </c>
      <c r="AI68">
        <v>226</v>
      </c>
      <c r="AJ68" t="s">
        <v>256</v>
      </c>
      <c r="AK68">
        <v>0</v>
      </c>
      <c r="AL68">
        <v>0</v>
      </c>
      <c r="AM68">
        <v>0</v>
      </c>
    </row>
    <row r="69" spans="1:39" x14ac:dyDescent="0.25">
      <c r="A69" t="s">
        <v>233</v>
      </c>
      <c r="B69" t="s">
        <v>306</v>
      </c>
      <c r="C69" t="s">
        <v>255</v>
      </c>
      <c r="D69" t="s">
        <v>234</v>
      </c>
      <c r="E69" t="s">
        <v>20</v>
      </c>
      <c r="F69" t="s">
        <v>279</v>
      </c>
      <c r="G69" t="s">
        <v>269</v>
      </c>
      <c r="H69" t="s">
        <v>254</v>
      </c>
      <c r="I69" t="s">
        <v>242</v>
      </c>
      <c r="J69" t="s">
        <v>235</v>
      </c>
      <c r="K69" s="380">
        <v>36800</v>
      </c>
      <c r="L69" s="235">
        <v>-3704.4830828195095</v>
      </c>
      <c r="M69" s="380">
        <v>36797</v>
      </c>
      <c r="N69" t="s">
        <v>1</v>
      </c>
      <c r="O69">
        <v>0.3</v>
      </c>
      <c r="P69">
        <v>0</v>
      </c>
      <c r="Q69">
        <v>0</v>
      </c>
      <c r="R69">
        <v>0</v>
      </c>
      <c r="S69">
        <v>0</v>
      </c>
      <c r="T69" t="s">
        <v>253</v>
      </c>
      <c r="U69" t="s">
        <v>7</v>
      </c>
      <c r="V69" t="s">
        <v>253</v>
      </c>
      <c r="W69" t="s">
        <v>132</v>
      </c>
      <c r="X69" t="s">
        <v>253</v>
      </c>
      <c r="Y69" t="s">
        <v>235</v>
      </c>
      <c r="Z69" t="s">
        <v>236</v>
      </c>
      <c r="AA69" t="s">
        <v>253</v>
      </c>
      <c r="AB69" t="s">
        <v>1</v>
      </c>
      <c r="AC69" s="235">
        <v>-500000</v>
      </c>
      <c r="AD69" s="235">
        <v>-1957.0619425657205</v>
      </c>
      <c r="AE69">
        <v>0</v>
      </c>
      <c r="AF69">
        <v>0</v>
      </c>
      <c r="AG69">
        <v>0</v>
      </c>
      <c r="AH69" s="235">
        <v>-113.31568076000667</v>
      </c>
      <c r="AI69">
        <v>226</v>
      </c>
      <c r="AJ69" t="s">
        <v>256</v>
      </c>
      <c r="AK69">
        <v>0</v>
      </c>
      <c r="AL69">
        <v>0</v>
      </c>
      <c r="AM69">
        <v>0</v>
      </c>
    </row>
    <row r="70" spans="1:39" x14ac:dyDescent="0.25">
      <c r="A70" t="s">
        <v>233</v>
      </c>
      <c r="B70" t="s">
        <v>306</v>
      </c>
      <c r="C70" t="s">
        <v>255</v>
      </c>
      <c r="D70" t="s">
        <v>234</v>
      </c>
      <c r="E70" t="s">
        <v>20</v>
      </c>
      <c r="F70" t="s">
        <v>279</v>
      </c>
      <c r="G70" t="s">
        <v>269</v>
      </c>
      <c r="H70" t="s">
        <v>254</v>
      </c>
      <c r="I70" t="s">
        <v>242</v>
      </c>
      <c r="J70" t="s">
        <v>235</v>
      </c>
      <c r="K70" s="380">
        <v>36770</v>
      </c>
      <c r="L70" s="235">
        <v>-535.49443754871697</v>
      </c>
      <c r="M70" s="380">
        <v>36768</v>
      </c>
      <c r="N70" t="s">
        <v>1</v>
      </c>
      <c r="O70">
        <v>0.3</v>
      </c>
      <c r="P70">
        <v>0</v>
      </c>
      <c r="Q70">
        <v>0</v>
      </c>
      <c r="R70">
        <v>0</v>
      </c>
      <c r="S70">
        <v>0</v>
      </c>
      <c r="T70" t="s">
        <v>253</v>
      </c>
      <c r="U70" t="s">
        <v>7</v>
      </c>
      <c r="V70" t="s">
        <v>253</v>
      </c>
      <c r="W70" t="s">
        <v>132</v>
      </c>
      <c r="X70" t="s">
        <v>253</v>
      </c>
      <c r="Y70" t="s">
        <v>235</v>
      </c>
      <c r="Z70" t="s">
        <v>236</v>
      </c>
      <c r="AA70" t="s">
        <v>253</v>
      </c>
      <c r="AB70" t="s">
        <v>1</v>
      </c>
      <c r="AC70" s="235">
        <v>-250000</v>
      </c>
      <c r="AD70" s="235">
        <v>-228.47025819525152</v>
      </c>
      <c r="AE70">
        <v>0</v>
      </c>
      <c r="AF70">
        <v>0</v>
      </c>
      <c r="AG70">
        <v>0</v>
      </c>
      <c r="AH70" s="235">
        <v>-34.434778986680612</v>
      </c>
      <c r="AI70">
        <v>226</v>
      </c>
      <c r="AJ70" t="s">
        <v>256</v>
      </c>
      <c r="AK70">
        <v>0</v>
      </c>
      <c r="AL70">
        <v>0</v>
      </c>
      <c r="AM70">
        <v>0</v>
      </c>
    </row>
    <row r="71" spans="1:39" x14ac:dyDescent="0.25">
      <c r="A71" t="s">
        <v>233</v>
      </c>
      <c r="B71" t="s">
        <v>306</v>
      </c>
      <c r="C71" t="s">
        <v>255</v>
      </c>
      <c r="D71" t="s">
        <v>234</v>
      </c>
      <c r="E71" t="s">
        <v>20</v>
      </c>
      <c r="F71" t="s">
        <v>279</v>
      </c>
      <c r="G71" t="s">
        <v>269</v>
      </c>
      <c r="H71" t="s">
        <v>254</v>
      </c>
      <c r="I71" t="s">
        <v>242</v>
      </c>
      <c r="J71" t="s">
        <v>235</v>
      </c>
      <c r="K71" s="380">
        <v>36770</v>
      </c>
      <c r="L71" s="235">
        <v>-1070.9888750974339</v>
      </c>
      <c r="M71" s="380">
        <v>36768</v>
      </c>
      <c r="N71" t="s">
        <v>1</v>
      </c>
      <c r="O71">
        <v>0.3</v>
      </c>
      <c r="P71">
        <v>0</v>
      </c>
      <c r="Q71">
        <v>0</v>
      </c>
      <c r="R71">
        <v>0</v>
      </c>
      <c r="S71">
        <v>0</v>
      </c>
      <c r="T71" t="s">
        <v>253</v>
      </c>
      <c r="U71" t="s">
        <v>7</v>
      </c>
      <c r="V71" t="s">
        <v>253</v>
      </c>
      <c r="W71" t="s">
        <v>132</v>
      </c>
      <c r="X71" t="s">
        <v>253</v>
      </c>
      <c r="Y71" t="s">
        <v>235</v>
      </c>
      <c r="Z71" t="s">
        <v>236</v>
      </c>
      <c r="AA71" t="s">
        <v>253</v>
      </c>
      <c r="AB71" t="s">
        <v>1</v>
      </c>
      <c r="AC71" s="235">
        <v>-500000</v>
      </c>
      <c r="AD71" s="235">
        <v>-456.94051639050303</v>
      </c>
      <c r="AE71">
        <v>0</v>
      </c>
      <c r="AF71">
        <v>0</v>
      </c>
      <c r="AG71">
        <v>0</v>
      </c>
      <c r="AH71" s="235">
        <v>-68.869557973361225</v>
      </c>
      <c r="AI71">
        <v>226</v>
      </c>
      <c r="AJ71" t="s">
        <v>256</v>
      </c>
      <c r="AK71">
        <v>0</v>
      </c>
      <c r="AL71">
        <v>0</v>
      </c>
      <c r="AM71">
        <v>0</v>
      </c>
    </row>
    <row r="72" spans="1:39" x14ac:dyDescent="0.25">
      <c r="A72" t="s">
        <v>233</v>
      </c>
      <c r="B72" t="s">
        <v>307</v>
      </c>
      <c r="C72" t="s">
        <v>255</v>
      </c>
      <c r="D72" t="s">
        <v>234</v>
      </c>
      <c r="E72" t="s">
        <v>20</v>
      </c>
      <c r="F72" t="s">
        <v>279</v>
      </c>
      <c r="G72" t="s">
        <v>269</v>
      </c>
      <c r="H72" t="s">
        <v>254</v>
      </c>
      <c r="I72" t="s">
        <v>242</v>
      </c>
      <c r="J72" t="s">
        <v>235</v>
      </c>
      <c r="K72" s="380">
        <v>36800</v>
      </c>
      <c r="L72" s="235">
        <v>-15486.375696830757</v>
      </c>
      <c r="M72" s="380">
        <v>36797</v>
      </c>
      <c r="N72" t="s">
        <v>21</v>
      </c>
      <c r="O72">
        <v>-0.25</v>
      </c>
      <c r="P72">
        <v>0</v>
      </c>
      <c r="Q72">
        <v>0</v>
      </c>
      <c r="R72">
        <v>0</v>
      </c>
      <c r="S72">
        <v>0</v>
      </c>
      <c r="T72" t="s">
        <v>253</v>
      </c>
      <c r="U72" t="s">
        <v>9</v>
      </c>
      <c r="V72" t="s">
        <v>253</v>
      </c>
      <c r="W72" t="s">
        <v>132</v>
      </c>
      <c r="X72" t="s">
        <v>253</v>
      </c>
      <c r="Y72" t="s">
        <v>235</v>
      </c>
      <c r="Z72" t="s">
        <v>236</v>
      </c>
      <c r="AA72" t="s">
        <v>253</v>
      </c>
      <c r="AB72" t="s">
        <v>1</v>
      </c>
      <c r="AC72" s="235">
        <v>-1000000</v>
      </c>
      <c r="AD72" s="235">
        <v>-14269.283693425954</v>
      </c>
      <c r="AE72">
        <v>0</v>
      </c>
      <c r="AF72">
        <v>0</v>
      </c>
      <c r="AG72">
        <v>0</v>
      </c>
      <c r="AH72" s="235">
        <v>6201.4422014144984</v>
      </c>
      <c r="AI72">
        <v>226</v>
      </c>
      <c r="AJ72" t="s">
        <v>256</v>
      </c>
      <c r="AK72">
        <v>0</v>
      </c>
      <c r="AL72">
        <v>0</v>
      </c>
      <c r="AM72">
        <v>0</v>
      </c>
    </row>
    <row r="73" spans="1:39" x14ac:dyDescent="0.25">
      <c r="A73" t="s">
        <v>233</v>
      </c>
      <c r="B73" t="s">
        <v>307</v>
      </c>
      <c r="C73" t="s">
        <v>255</v>
      </c>
      <c r="D73" t="s">
        <v>234</v>
      </c>
      <c r="E73" t="s">
        <v>20</v>
      </c>
      <c r="F73" t="s">
        <v>279</v>
      </c>
      <c r="G73" t="s">
        <v>269</v>
      </c>
      <c r="H73" t="s">
        <v>254</v>
      </c>
      <c r="I73" t="s">
        <v>242</v>
      </c>
      <c r="J73" t="s">
        <v>235</v>
      </c>
      <c r="K73" s="380">
        <v>36770</v>
      </c>
      <c r="L73" s="235">
        <v>-0.12975268473547352</v>
      </c>
      <c r="M73" s="380">
        <v>36768</v>
      </c>
      <c r="N73" t="s">
        <v>21</v>
      </c>
      <c r="O73">
        <v>-0.25</v>
      </c>
      <c r="P73">
        <v>0</v>
      </c>
      <c r="Q73">
        <v>0</v>
      </c>
      <c r="R73">
        <v>0</v>
      </c>
      <c r="S73">
        <v>0</v>
      </c>
      <c r="T73" t="s">
        <v>253</v>
      </c>
      <c r="U73" t="s">
        <v>9</v>
      </c>
      <c r="V73" t="s">
        <v>253</v>
      </c>
      <c r="W73" t="s">
        <v>132</v>
      </c>
      <c r="X73" t="s">
        <v>253</v>
      </c>
      <c r="Y73" t="s">
        <v>235</v>
      </c>
      <c r="Z73" t="s">
        <v>236</v>
      </c>
      <c r="AA73" t="s">
        <v>253</v>
      </c>
      <c r="AB73" t="s">
        <v>1</v>
      </c>
      <c r="AC73" s="235">
        <v>-1000000</v>
      </c>
      <c r="AD73" s="235">
        <v>3.8578548910983557E-2</v>
      </c>
      <c r="AE73">
        <v>0</v>
      </c>
      <c r="AF73">
        <v>0</v>
      </c>
      <c r="AG73">
        <v>0</v>
      </c>
      <c r="AH73" s="235">
        <v>-7.843891314252005E-3</v>
      </c>
      <c r="AI73">
        <v>226</v>
      </c>
      <c r="AJ73" t="s">
        <v>256</v>
      </c>
      <c r="AK73">
        <v>0</v>
      </c>
      <c r="AL73">
        <v>0</v>
      </c>
      <c r="AM73">
        <v>0</v>
      </c>
    </row>
    <row r="74" spans="1:39" x14ac:dyDescent="0.25">
      <c r="A74" t="s">
        <v>233</v>
      </c>
      <c r="B74" t="s">
        <v>308</v>
      </c>
      <c r="C74" t="s">
        <v>255</v>
      </c>
      <c r="D74" t="s">
        <v>234</v>
      </c>
      <c r="E74" t="s">
        <v>20</v>
      </c>
      <c r="F74" t="s">
        <v>279</v>
      </c>
      <c r="G74" t="s">
        <v>269</v>
      </c>
      <c r="H74" t="s">
        <v>254</v>
      </c>
      <c r="I74" t="s">
        <v>242</v>
      </c>
      <c r="J74" t="s">
        <v>235</v>
      </c>
      <c r="K74" s="380">
        <v>36800</v>
      </c>
      <c r="L74" s="235">
        <v>437025.95785222825</v>
      </c>
      <c r="M74" s="380">
        <v>36797</v>
      </c>
      <c r="N74" t="s">
        <v>1</v>
      </c>
      <c r="O74">
        <v>-0.4</v>
      </c>
      <c r="P74">
        <v>0</v>
      </c>
      <c r="Q74">
        <v>0</v>
      </c>
      <c r="R74">
        <v>0</v>
      </c>
      <c r="S74">
        <v>0</v>
      </c>
      <c r="T74" t="s">
        <v>253</v>
      </c>
      <c r="U74" t="s">
        <v>9</v>
      </c>
      <c r="V74" t="s">
        <v>253</v>
      </c>
      <c r="W74" t="s">
        <v>132</v>
      </c>
      <c r="X74" t="s">
        <v>253</v>
      </c>
      <c r="Y74" t="s">
        <v>235</v>
      </c>
      <c r="Z74" t="s">
        <v>236</v>
      </c>
      <c r="AA74" t="s">
        <v>253</v>
      </c>
      <c r="AB74" t="s">
        <v>1</v>
      </c>
      <c r="AC74" s="235">
        <v>1000000</v>
      </c>
      <c r="AD74" s="235">
        <v>22301.915104018524</v>
      </c>
      <c r="AE74">
        <v>0</v>
      </c>
      <c r="AF74">
        <v>0</v>
      </c>
      <c r="AG74">
        <v>0</v>
      </c>
      <c r="AH74" s="235">
        <v>53181.580605527095</v>
      </c>
      <c r="AI74">
        <v>226</v>
      </c>
      <c r="AJ74" t="s">
        <v>256</v>
      </c>
      <c r="AK74">
        <v>0</v>
      </c>
      <c r="AL74">
        <v>0</v>
      </c>
      <c r="AM74">
        <v>0</v>
      </c>
    </row>
    <row r="75" spans="1:39" x14ac:dyDescent="0.25">
      <c r="A75" t="s">
        <v>233</v>
      </c>
      <c r="B75" t="s">
        <v>308</v>
      </c>
      <c r="C75" t="s">
        <v>255</v>
      </c>
      <c r="D75" t="s">
        <v>234</v>
      </c>
      <c r="E75" t="s">
        <v>20</v>
      </c>
      <c r="F75" t="s">
        <v>279</v>
      </c>
      <c r="G75" t="s">
        <v>269</v>
      </c>
      <c r="H75" t="s">
        <v>254</v>
      </c>
      <c r="I75" t="s">
        <v>242</v>
      </c>
      <c r="J75" t="s">
        <v>235</v>
      </c>
      <c r="K75" s="380">
        <v>36770</v>
      </c>
      <c r="L75" s="235">
        <v>839691.00008139433</v>
      </c>
      <c r="M75" s="380">
        <v>36768</v>
      </c>
      <c r="N75" t="s">
        <v>1</v>
      </c>
      <c r="O75">
        <v>-0.4</v>
      </c>
      <c r="P75">
        <v>0</v>
      </c>
      <c r="Q75">
        <v>0</v>
      </c>
      <c r="R75">
        <v>0</v>
      </c>
      <c r="S75">
        <v>0</v>
      </c>
      <c r="T75" t="s">
        <v>253</v>
      </c>
      <c r="U75" t="s">
        <v>9</v>
      </c>
      <c r="V75" t="s">
        <v>253</v>
      </c>
      <c r="W75" t="s">
        <v>132</v>
      </c>
      <c r="X75" t="s">
        <v>253</v>
      </c>
      <c r="Y75" t="s">
        <v>235</v>
      </c>
      <c r="Z75" t="s">
        <v>236</v>
      </c>
      <c r="AA75" t="s">
        <v>253</v>
      </c>
      <c r="AB75" t="s">
        <v>1</v>
      </c>
      <c r="AC75" s="235">
        <v>1000000</v>
      </c>
      <c r="AD75" s="235">
        <v>-3.8578548235818744E-2</v>
      </c>
      <c r="AE75">
        <v>0</v>
      </c>
      <c r="AF75">
        <v>0</v>
      </c>
      <c r="AG75">
        <v>0</v>
      </c>
      <c r="AH75" s="235">
        <v>59944.865517645143</v>
      </c>
      <c r="AI75">
        <v>226</v>
      </c>
      <c r="AJ75" t="s">
        <v>256</v>
      </c>
      <c r="AK75">
        <v>0</v>
      </c>
      <c r="AL75">
        <v>0</v>
      </c>
      <c r="AM75">
        <v>0</v>
      </c>
    </row>
    <row r="76" spans="1:39" x14ac:dyDescent="0.25">
      <c r="A76" t="s">
        <v>233</v>
      </c>
      <c r="B76" t="s">
        <v>309</v>
      </c>
      <c r="C76" t="s">
        <v>255</v>
      </c>
      <c r="D76" t="s">
        <v>234</v>
      </c>
      <c r="E76" t="s">
        <v>20</v>
      </c>
      <c r="F76" t="s">
        <v>279</v>
      </c>
      <c r="G76" t="s">
        <v>269</v>
      </c>
      <c r="H76" t="s">
        <v>254</v>
      </c>
      <c r="I76" t="s">
        <v>242</v>
      </c>
      <c r="J76" t="s">
        <v>235</v>
      </c>
      <c r="K76" s="380">
        <v>36951</v>
      </c>
      <c r="L76" s="235">
        <v>-119164.64038472925</v>
      </c>
      <c r="M76" s="380">
        <v>36949</v>
      </c>
      <c r="N76" t="s">
        <v>21</v>
      </c>
      <c r="O76">
        <v>1.1499999999999999</v>
      </c>
      <c r="P76">
        <v>0</v>
      </c>
      <c r="Q76">
        <v>0</v>
      </c>
      <c r="R76">
        <v>0</v>
      </c>
      <c r="S76">
        <v>0</v>
      </c>
      <c r="T76" t="s">
        <v>253</v>
      </c>
      <c r="U76" t="s">
        <v>7</v>
      </c>
      <c r="V76" t="s">
        <v>253</v>
      </c>
      <c r="W76" t="s">
        <v>132</v>
      </c>
      <c r="X76" t="s">
        <v>253</v>
      </c>
      <c r="Y76" t="s">
        <v>235</v>
      </c>
      <c r="Z76" t="s">
        <v>236</v>
      </c>
      <c r="AA76" t="s">
        <v>253</v>
      </c>
      <c r="AB76" t="s">
        <v>1</v>
      </c>
      <c r="AC76" s="235">
        <v>-250000</v>
      </c>
      <c r="AD76" s="235">
        <v>-22058.471527194895</v>
      </c>
      <c r="AE76">
        <v>0</v>
      </c>
      <c r="AF76">
        <v>0</v>
      </c>
      <c r="AG76">
        <v>0</v>
      </c>
      <c r="AH76" s="235">
        <v>-8647.3720501664066</v>
      </c>
      <c r="AI76">
        <v>226</v>
      </c>
      <c r="AJ76" t="s">
        <v>256</v>
      </c>
      <c r="AK76">
        <v>0</v>
      </c>
      <c r="AL76">
        <v>0</v>
      </c>
      <c r="AM76">
        <v>0</v>
      </c>
    </row>
    <row r="77" spans="1:39" x14ac:dyDescent="0.25">
      <c r="A77" t="s">
        <v>233</v>
      </c>
      <c r="B77" t="s">
        <v>309</v>
      </c>
      <c r="C77" t="s">
        <v>255</v>
      </c>
      <c r="D77" t="s">
        <v>234</v>
      </c>
      <c r="E77" t="s">
        <v>20</v>
      </c>
      <c r="F77" t="s">
        <v>279</v>
      </c>
      <c r="G77" t="s">
        <v>269</v>
      </c>
      <c r="H77" t="s">
        <v>254</v>
      </c>
      <c r="I77" t="s">
        <v>242</v>
      </c>
      <c r="J77" t="s">
        <v>235</v>
      </c>
      <c r="K77" s="380">
        <v>36923</v>
      </c>
      <c r="L77" s="235">
        <v>-291288.83635345398</v>
      </c>
      <c r="M77" s="380">
        <v>36921</v>
      </c>
      <c r="N77" t="s">
        <v>21</v>
      </c>
      <c r="O77">
        <v>1.1499999999999999</v>
      </c>
      <c r="P77">
        <v>0</v>
      </c>
      <c r="Q77">
        <v>0</v>
      </c>
      <c r="R77">
        <v>0</v>
      </c>
      <c r="S77">
        <v>0</v>
      </c>
      <c r="T77" t="s">
        <v>253</v>
      </c>
      <c r="U77" t="s">
        <v>7</v>
      </c>
      <c r="V77" t="s">
        <v>253</v>
      </c>
      <c r="W77" t="s">
        <v>132</v>
      </c>
      <c r="X77" t="s">
        <v>253</v>
      </c>
      <c r="Y77" t="s">
        <v>235</v>
      </c>
      <c r="Z77" t="s">
        <v>236</v>
      </c>
      <c r="AA77" t="s">
        <v>253</v>
      </c>
      <c r="AB77" t="s">
        <v>1</v>
      </c>
      <c r="AC77" s="235">
        <v>-250000</v>
      </c>
      <c r="AD77" s="235">
        <v>-18797.299573003169</v>
      </c>
      <c r="AE77">
        <v>0</v>
      </c>
      <c r="AF77">
        <v>0</v>
      </c>
      <c r="AG77">
        <v>0</v>
      </c>
      <c r="AH77" s="235">
        <v>-13872.174759514048</v>
      </c>
      <c r="AI77">
        <v>226</v>
      </c>
      <c r="AJ77" t="s">
        <v>256</v>
      </c>
      <c r="AK77">
        <v>0</v>
      </c>
      <c r="AL77">
        <v>0</v>
      </c>
      <c r="AM77">
        <v>0</v>
      </c>
    </row>
    <row r="78" spans="1:39" x14ac:dyDescent="0.25">
      <c r="A78" t="s">
        <v>233</v>
      </c>
      <c r="B78" t="s">
        <v>309</v>
      </c>
      <c r="C78" t="s">
        <v>255</v>
      </c>
      <c r="D78" t="s">
        <v>234</v>
      </c>
      <c r="E78" t="s">
        <v>20</v>
      </c>
      <c r="F78" t="s">
        <v>279</v>
      </c>
      <c r="G78" t="s">
        <v>269</v>
      </c>
      <c r="H78" t="s">
        <v>254</v>
      </c>
      <c r="I78" t="s">
        <v>242</v>
      </c>
      <c r="J78" t="s">
        <v>235</v>
      </c>
      <c r="K78" s="380">
        <v>36892</v>
      </c>
      <c r="L78" s="235">
        <v>-301361.25699237629</v>
      </c>
      <c r="M78" s="380">
        <v>36888</v>
      </c>
      <c r="N78" t="s">
        <v>21</v>
      </c>
      <c r="O78">
        <v>1.1499999999999999</v>
      </c>
      <c r="P78">
        <v>0</v>
      </c>
      <c r="Q78">
        <v>0</v>
      </c>
      <c r="R78">
        <v>0</v>
      </c>
      <c r="S78">
        <v>0</v>
      </c>
      <c r="T78" t="s">
        <v>253</v>
      </c>
      <c r="U78" t="s">
        <v>7</v>
      </c>
      <c r="V78" t="s">
        <v>253</v>
      </c>
      <c r="W78" t="s">
        <v>132</v>
      </c>
      <c r="X78" t="s">
        <v>253</v>
      </c>
      <c r="Y78" t="s">
        <v>235</v>
      </c>
      <c r="Z78" t="s">
        <v>236</v>
      </c>
      <c r="AA78" t="s">
        <v>253</v>
      </c>
      <c r="AB78" t="s">
        <v>1</v>
      </c>
      <c r="AC78" s="235">
        <v>-250000</v>
      </c>
      <c r="AD78" s="235">
        <v>-16298.51492449845</v>
      </c>
      <c r="AE78">
        <v>0</v>
      </c>
      <c r="AF78">
        <v>0</v>
      </c>
      <c r="AG78">
        <v>0</v>
      </c>
      <c r="AH78" s="235">
        <v>-12303.283927580575</v>
      </c>
      <c r="AI78">
        <v>226</v>
      </c>
      <c r="AJ78" t="s">
        <v>256</v>
      </c>
      <c r="AK78">
        <v>0</v>
      </c>
      <c r="AL78">
        <v>0</v>
      </c>
      <c r="AM78">
        <v>0</v>
      </c>
    </row>
    <row r="79" spans="1:39" x14ac:dyDescent="0.25">
      <c r="A79" t="s">
        <v>233</v>
      </c>
      <c r="B79" t="s">
        <v>309</v>
      </c>
      <c r="C79" t="s">
        <v>255</v>
      </c>
      <c r="D79" t="s">
        <v>234</v>
      </c>
      <c r="E79" t="s">
        <v>20</v>
      </c>
      <c r="F79" t="s">
        <v>279</v>
      </c>
      <c r="G79" t="s">
        <v>269</v>
      </c>
      <c r="H79" t="s">
        <v>254</v>
      </c>
      <c r="I79" t="s">
        <v>242</v>
      </c>
      <c r="J79" t="s">
        <v>235</v>
      </c>
      <c r="K79" s="380">
        <v>36861</v>
      </c>
      <c r="L79" s="235">
        <v>-191405.94333799346</v>
      </c>
      <c r="M79" s="380">
        <v>36859</v>
      </c>
      <c r="N79" t="s">
        <v>21</v>
      </c>
      <c r="O79">
        <v>1.1499999999999999</v>
      </c>
      <c r="P79">
        <v>0</v>
      </c>
      <c r="Q79">
        <v>0</v>
      </c>
      <c r="R79">
        <v>0</v>
      </c>
      <c r="S79">
        <v>0</v>
      </c>
      <c r="T79" t="s">
        <v>253</v>
      </c>
      <c r="U79" t="s">
        <v>7</v>
      </c>
      <c r="V79" t="s">
        <v>253</v>
      </c>
      <c r="W79" t="s">
        <v>132</v>
      </c>
      <c r="X79" t="s">
        <v>253</v>
      </c>
      <c r="Y79" t="s">
        <v>235</v>
      </c>
      <c r="Z79" t="s">
        <v>236</v>
      </c>
      <c r="AA79" t="s">
        <v>253</v>
      </c>
      <c r="AB79" t="s">
        <v>1</v>
      </c>
      <c r="AC79" s="235">
        <v>-250000</v>
      </c>
      <c r="AD79" s="235">
        <v>-16732.932289926743</v>
      </c>
      <c r="AE79">
        <v>0</v>
      </c>
      <c r="AF79">
        <v>0</v>
      </c>
      <c r="AG79">
        <v>0</v>
      </c>
      <c r="AH79" s="235">
        <v>-8426.6827487545088</v>
      </c>
      <c r="AI79">
        <v>226</v>
      </c>
      <c r="AJ79" t="s">
        <v>256</v>
      </c>
      <c r="AK79">
        <v>0</v>
      </c>
      <c r="AL79">
        <v>0</v>
      </c>
      <c r="AM79">
        <v>0</v>
      </c>
    </row>
    <row r="80" spans="1:39" x14ac:dyDescent="0.25">
      <c r="A80" t="s">
        <v>233</v>
      </c>
      <c r="B80" t="s">
        <v>309</v>
      </c>
      <c r="C80" t="s">
        <v>255</v>
      </c>
      <c r="D80" t="s">
        <v>234</v>
      </c>
      <c r="E80" t="s">
        <v>20</v>
      </c>
      <c r="F80" t="s">
        <v>279</v>
      </c>
      <c r="G80" t="s">
        <v>269</v>
      </c>
      <c r="H80" t="s">
        <v>254</v>
      </c>
      <c r="I80" t="s">
        <v>242</v>
      </c>
      <c r="J80" t="s">
        <v>235</v>
      </c>
      <c r="K80" s="380">
        <v>36831</v>
      </c>
      <c r="L80" s="235">
        <v>-31782.550363721381</v>
      </c>
      <c r="M80" s="380">
        <v>36829</v>
      </c>
      <c r="N80" t="s">
        <v>21</v>
      </c>
      <c r="O80">
        <v>1.1499999999999999</v>
      </c>
      <c r="P80">
        <v>0</v>
      </c>
      <c r="Q80">
        <v>0</v>
      </c>
      <c r="R80">
        <v>0</v>
      </c>
      <c r="S80">
        <v>0</v>
      </c>
      <c r="T80" t="s">
        <v>253</v>
      </c>
      <c r="U80" t="s">
        <v>7</v>
      </c>
      <c r="V80" t="s">
        <v>253</v>
      </c>
      <c r="W80" t="s">
        <v>132</v>
      </c>
      <c r="X80" t="s">
        <v>253</v>
      </c>
      <c r="Y80" t="s">
        <v>235</v>
      </c>
      <c r="Z80" t="s">
        <v>236</v>
      </c>
      <c r="AA80" t="s">
        <v>253</v>
      </c>
      <c r="AB80" t="s">
        <v>1</v>
      </c>
      <c r="AC80" s="235">
        <v>-250000</v>
      </c>
      <c r="AD80" s="235">
        <v>-9434.6728573932487</v>
      </c>
      <c r="AE80">
        <v>0</v>
      </c>
      <c r="AF80">
        <v>0</v>
      </c>
      <c r="AG80">
        <v>0</v>
      </c>
      <c r="AH80" s="235">
        <v>-3538.9767093560549</v>
      </c>
      <c r="AI80">
        <v>226</v>
      </c>
      <c r="AJ80" t="s">
        <v>256</v>
      </c>
      <c r="AK80">
        <v>0</v>
      </c>
      <c r="AL80">
        <v>0</v>
      </c>
      <c r="AM80">
        <v>0</v>
      </c>
    </row>
    <row r="81" spans="1:39" x14ac:dyDescent="0.25">
      <c r="A81" t="s">
        <v>233</v>
      </c>
      <c r="B81" t="s">
        <v>310</v>
      </c>
      <c r="C81" t="s">
        <v>255</v>
      </c>
      <c r="D81" t="s">
        <v>234</v>
      </c>
      <c r="E81" t="s">
        <v>20</v>
      </c>
      <c r="F81" t="s">
        <v>279</v>
      </c>
      <c r="G81" t="s">
        <v>269</v>
      </c>
      <c r="H81" t="s">
        <v>254</v>
      </c>
      <c r="I81" t="s">
        <v>242</v>
      </c>
      <c r="J81" t="s">
        <v>235</v>
      </c>
      <c r="K81" s="380">
        <v>36951</v>
      </c>
      <c r="L81" s="235">
        <v>-137278.60427435162</v>
      </c>
      <c r="M81" s="380">
        <v>36949</v>
      </c>
      <c r="N81" t="s">
        <v>1</v>
      </c>
      <c r="O81">
        <v>1.1499999999999999</v>
      </c>
      <c r="P81">
        <v>0</v>
      </c>
      <c r="Q81">
        <v>0</v>
      </c>
      <c r="R81">
        <v>0</v>
      </c>
      <c r="S81">
        <v>0</v>
      </c>
      <c r="T81" t="s">
        <v>253</v>
      </c>
      <c r="U81" t="s">
        <v>7</v>
      </c>
      <c r="V81" t="s">
        <v>253</v>
      </c>
      <c r="W81" t="s">
        <v>132</v>
      </c>
      <c r="X81" t="s">
        <v>253</v>
      </c>
      <c r="Y81" t="s">
        <v>235</v>
      </c>
      <c r="Z81" t="s">
        <v>236</v>
      </c>
      <c r="AA81" t="s">
        <v>253</v>
      </c>
      <c r="AB81" t="s">
        <v>1</v>
      </c>
      <c r="AC81" s="235">
        <v>-250000</v>
      </c>
      <c r="AD81" s="235">
        <v>-22058.471527194881</v>
      </c>
      <c r="AE81">
        <v>0</v>
      </c>
      <c r="AF81">
        <v>0</v>
      </c>
      <c r="AG81">
        <v>0</v>
      </c>
      <c r="AH81" s="235">
        <v>5836.6614267209079</v>
      </c>
      <c r="AI81">
        <v>226</v>
      </c>
      <c r="AJ81" t="s">
        <v>256</v>
      </c>
      <c r="AK81">
        <v>0</v>
      </c>
      <c r="AL81">
        <v>0</v>
      </c>
      <c r="AM81">
        <v>0</v>
      </c>
    </row>
    <row r="82" spans="1:39" x14ac:dyDescent="0.25">
      <c r="A82" t="s">
        <v>233</v>
      </c>
      <c r="B82" t="s">
        <v>310</v>
      </c>
      <c r="C82" t="s">
        <v>255</v>
      </c>
      <c r="D82" t="s">
        <v>234</v>
      </c>
      <c r="E82" t="s">
        <v>20</v>
      </c>
      <c r="F82" t="s">
        <v>279</v>
      </c>
      <c r="G82" t="s">
        <v>269</v>
      </c>
      <c r="H82" t="s">
        <v>254</v>
      </c>
      <c r="I82" t="s">
        <v>242</v>
      </c>
      <c r="J82" t="s">
        <v>235</v>
      </c>
      <c r="K82" s="380">
        <v>36923</v>
      </c>
      <c r="L82" s="235">
        <v>-63035.324930244387</v>
      </c>
      <c r="M82" s="380">
        <v>36921</v>
      </c>
      <c r="N82" t="s">
        <v>1</v>
      </c>
      <c r="O82">
        <v>1.1499999999999999</v>
      </c>
      <c r="P82">
        <v>0</v>
      </c>
      <c r="Q82">
        <v>0</v>
      </c>
      <c r="R82">
        <v>0</v>
      </c>
      <c r="S82">
        <v>0</v>
      </c>
      <c r="T82" t="s">
        <v>253</v>
      </c>
      <c r="U82" t="s">
        <v>7</v>
      </c>
      <c r="V82" t="s">
        <v>253</v>
      </c>
      <c r="W82" t="s">
        <v>132</v>
      </c>
      <c r="X82" t="s">
        <v>253</v>
      </c>
      <c r="Y82" t="s">
        <v>235</v>
      </c>
      <c r="Z82" t="s">
        <v>236</v>
      </c>
      <c r="AA82" t="s">
        <v>253</v>
      </c>
      <c r="AB82" t="s">
        <v>1</v>
      </c>
      <c r="AC82" s="235">
        <v>-250000</v>
      </c>
      <c r="AD82" s="235">
        <v>-18797.299573003183</v>
      </c>
      <c r="AE82">
        <v>0</v>
      </c>
      <c r="AF82">
        <v>0</v>
      </c>
      <c r="AG82">
        <v>0</v>
      </c>
      <c r="AH82" s="235">
        <v>3116.6893953742328</v>
      </c>
      <c r="AI82">
        <v>226</v>
      </c>
      <c r="AJ82" t="s">
        <v>256</v>
      </c>
      <c r="AK82">
        <v>0</v>
      </c>
      <c r="AL82">
        <v>0</v>
      </c>
      <c r="AM82">
        <v>0</v>
      </c>
    </row>
    <row r="83" spans="1:39" x14ac:dyDescent="0.25">
      <c r="A83" t="s">
        <v>233</v>
      </c>
      <c r="B83" t="s">
        <v>310</v>
      </c>
      <c r="C83" t="s">
        <v>255</v>
      </c>
      <c r="D83" t="s">
        <v>234</v>
      </c>
      <c r="E83" t="s">
        <v>20</v>
      </c>
      <c r="F83" t="s">
        <v>279</v>
      </c>
      <c r="G83" t="s">
        <v>269</v>
      </c>
      <c r="H83" t="s">
        <v>254</v>
      </c>
      <c r="I83" t="s">
        <v>242</v>
      </c>
      <c r="J83" t="s">
        <v>235</v>
      </c>
      <c r="K83" s="380">
        <v>36892</v>
      </c>
      <c r="L83" s="235">
        <v>-52119.051936837801</v>
      </c>
      <c r="M83" s="380">
        <v>36888</v>
      </c>
      <c r="N83" t="s">
        <v>1</v>
      </c>
      <c r="O83">
        <v>1.1499999999999999</v>
      </c>
      <c r="P83">
        <v>0</v>
      </c>
      <c r="Q83">
        <v>0</v>
      </c>
      <c r="R83">
        <v>0</v>
      </c>
      <c r="S83">
        <v>0</v>
      </c>
      <c r="T83" t="s">
        <v>253</v>
      </c>
      <c r="U83" t="s">
        <v>7</v>
      </c>
      <c r="V83" t="s">
        <v>253</v>
      </c>
      <c r="W83" t="s">
        <v>132</v>
      </c>
      <c r="X83" t="s">
        <v>253</v>
      </c>
      <c r="Y83" t="s">
        <v>235</v>
      </c>
      <c r="Z83" t="s">
        <v>236</v>
      </c>
      <c r="AA83" t="s">
        <v>253</v>
      </c>
      <c r="AB83" t="s">
        <v>1</v>
      </c>
      <c r="AC83" s="235">
        <v>-250000</v>
      </c>
      <c r="AD83" s="235">
        <v>-16298.514924498442</v>
      </c>
      <c r="AE83">
        <v>0</v>
      </c>
      <c r="AF83">
        <v>0</v>
      </c>
      <c r="AG83">
        <v>0</v>
      </c>
      <c r="AH83" s="235">
        <v>2350.205384903602</v>
      </c>
      <c r="AI83">
        <v>226</v>
      </c>
      <c r="AJ83" t="s">
        <v>256</v>
      </c>
      <c r="AK83">
        <v>0</v>
      </c>
      <c r="AL83">
        <v>0</v>
      </c>
      <c r="AM83">
        <v>0</v>
      </c>
    </row>
    <row r="84" spans="1:39" x14ac:dyDescent="0.25">
      <c r="A84" t="s">
        <v>233</v>
      </c>
      <c r="B84" t="s">
        <v>310</v>
      </c>
      <c r="C84" t="s">
        <v>255</v>
      </c>
      <c r="D84" t="s">
        <v>234</v>
      </c>
      <c r="E84" t="s">
        <v>20</v>
      </c>
      <c r="F84" t="s">
        <v>279</v>
      </c>
      <c r="G84" t="s">
        <v>269</v>
      </c>
      <c r="H84" t="s">
        <v>254</v>
      </c>
      <c r="I84" t="s">
        <v>242</v>
      </c>
      <c r="J84" t="s">
        <v>235</v>
      </c>
      <c r="K84" s="380">
        <v>36861</v>
      </c>
      <c r="L84" s="235">
        <v>-69789.853901626237</v>
      </c>
      <c r="M84" s="380">
        <v>36859</v>
      </c>
      <c r="N84" t="s">
        <v>1</v>
      </c>
      <c r="O84">
        <v>1.1499999999999999</v>
      </c>
      <c r="P84">
        <v>0</v>
      </c>
      <c r="Q84">
        <v>0</v>
      </c>
      <c r="R84">
        <v>0</v>
      </c>
      <c r="S84">
        <v>0</v>
      </c>
      <c r="T84" t="s">
        <v>253</v>
      </c>
      <c r="U84" t="s">
        <v>7</v>
      </c>
      <c r="V84" t="s">
        <v>253</v>
      </c>
      <c r="W84" t="s">
        <v>132</v>
      </c>
      <c r="X84" t="s">
        <v>253</v>
      </c>
      <c r="Y84" t="s">
        <v>235</v>
      </c>
      <c r="Z84" t="s">
        <v>236</v>
      </c>
      <c r="AA84" t="s">
        <v>253</v>
      </c>
      <c r="AB84" t="s">
        <v>1</v>
      </c>
      <c r="AC84" s="235">
        <v>-250000</v>
      </c>
      <c r="AD84" s="235">
        <v>-16732.932289926757</v>
      </c>
      <c r="AE84">
        <v>0</v>
      </c>
      <c r="AF84">
        <v>0</v>
      </c>
      <c r="AG84">
        <v>0</v>
      </c>
      <c r="AH84" s="235">
        <v>2623.2436886048963</v>
      </c>
      <c r="AI84">
        <v>226</v>
      </c>
      <c r="AJ84" t="s">
        <v>256</v>
      </c>
      <c r="AK84">
        <v>0</v>
      </c>
      <c r="AL84">
        <v>0</v>
      </c>
      <c r="AM84">
        <v>0</v>
      </c>
    </row>
    <row r="85" spans="1:39" x14ac:dyDescent="0.25">
      <c r="A85" t="s">
        <v>233</v>
      </c>
      <c r="B85" t="s">
        <v>310</v>
      </c>
      <c r="C85" t="s">
        <v>255</v>
      </c>
      <c r="D85" t="s">
        <v>234</v>
      </c>
      <c r="E85" t="s">
        <v>20</v>
      </c>
      <c r="F85" t="s">
        <v>279</v>
      </c>
      <c r="G85" t="s">
        <v>269</v>
      </c>
      <c r="H85" t="s">
        <v>254</v>
      </c>
      <c r="I85" t="s">
        <v>242</v>
      </c>
      <c r="J85" t="s">
        <v>235</v>
      </c>
      <c r="K85" s="380">
        <v>36831</v>
      </c>
      <c r="L85" s="235">
        <v>-125673.07991703114</v>
      </c>
      <c r="M85" s="380">
        <v>36829</v>
      </c>
      <c r="N85" t="s">
        <v>1</v>
      </c>
      <c r="O85">
        <v>1.1499999999999999</v>
      </c>
      <c r="P85">
        <v>0</v>
      </c>
      <c r="Q85">
        <v>0</v>
      </c>
      <c r="R85">
        <v>0</v>
      </c>
      <c r="S85">
        <v>0</v>
      </c>
      <c r="T85" t="s">
        <v>253</v>
      </c>
      <c r="U85" t="s">
        <v>7</v>
      </c>
      <c r="V85" t="s">
        <v>253</v>
      </c>
      <c r="W85" t="s">
        <v>132</v>
      </c>
      <c r="X85" t="s">
        <v>253</v>
      </c>
      <c r="Y85" t="s">
        <v>235</v>
      </c>
      <c r="Z85" t="s">
        <v>236</v>
      </c>
      <c r="AA85" t="s">
        <v>253</v>
      </c>
      <c r="AB85" t="s">
        <v>1</v>
      </c>
      <c r="AC85" s="235">
        <v>-250000</v>
      </c>
      <c r="AD85" s="235">
        <v>-9434.6728573932487</v>
      </c>
      <c r="AE85">
        <v>0</v>
      </c>
      <c r="AF85">
        <v>0</v>
      </c>
      <c r="AG85">
        <v>0</v>
      </c>
      <c r="AH85" s="235">
        <v>6338.7951437863376</v>
      </c>
      <c r="AI85">
        <v>226</v>
      </c>
      <c r="AJ85" t="s">
        <v>256</v>
      </c>
      <c r="AK85">
        <v>0</v>
      </c>
      <c r="AL85">
        <v>0</v>
      </c>
      <c r="AM85">
        <v>0</v>
      </c>
    </row>
    <row r="86" spans="1:39" x14ac:dyDescent="0.25">
      <c r="A86" t="s">
        <v>233</v>
      </c>
      <c r="B86" t="s">
        <v>311</v>
      </c>
      <c r="C86" t="s">
        <v>255</v>
      </c>
      <c r="D86" t="s">
        <v>234</v>
      </c>
      <c r="E86" t="s">
        <v>20</v>
      </c>
      <c r="F86" t="s">
        <v>279</v>
      </c>
      <c r="G86" t="s">
        <v>269</v>
      </c>
      <c r="H86" t="s">
        <v>254</v>
      </c>
      <c r="I86" t="s">
        <v>242</v>
      </c>
      <c r="J86" t="s">
        <v>235</v>
      </c>
      <c r="K86" s="380">
        <v>36800</v>
      </c>
      <c r="L86" s="235">
        <v>-11397.779994927749</v>
      </c>
      <c r="M86" s="380">
        <v>36797</v>
      </c>
      <c r="N86" t="s">
        <v>21</v>
      </c>
      <c r="O86">
        <v>-0.32</v>
      </c>
      <c r="P86">
        <v>0</v>
      </c>
      <c r="Q86">
        <v>0</v>
      </c>
      <c r="R86">
        <v>0</v>
      </c>
      <c r="S86">
        <v>0</v>
      </c>
      <c r="T86" t="s">
        <v>253</v>
      </c>
      <c r="U86" t="s">
        <v>9</v>
      </c>
      <c r="V86" t="s">
        <v>253</v>
      </c>
      <c r="W86" t="s">
        <v>132</v>
      </c>
      <c r="X86" t="s">
        <v>253</v>
      </c>
      <c r="Y86" t="s">
        <v>235</v>
      </c>
      <c r="Z86" t="s">
        <v>236</v>
      </c>
      <c r="AA86" t="s">
        <v>253</v>
      </c>
      <c r="AB86" t="s">
        <v>1</v>
      </c>
      <c r="AC86" s="235">
        <v>-500000</v>
      </c>
      <c r="AD86" s="235">
        <v>-8962.0418115520806</v>
      </c>
      <c r="AE86">
        <v>0</v>
      </c>
      <c r="AF86">
        <v>0</v>
      </c>
      <c r="AG86">
        <v>0</v>
      </c>
      <c r="AH86" s="235">
        <v>4185.5956162752937</v>
      </c>
      <c r="AI86">
        <v>226</v>
      </c>
      <c r="AJ86" t="s">
        <v>256</v>
      </c>
      <c r="AK86">
        <v>0</v>
      </c>
      <c r="AL86">
        <v>0</v>
      </c>
      <c r="AM86">
        <v>0</v>
      </c>
    </row>
    <row r="87" spans="1:39" x14ac:dyDescent="0.25">
      <c r="A87" t="s">
        <v>233</v>
      </c>
      <c r="B87" t="s">
        <v>311</v>
      </c>
      <c r="C87" t="s">
        <v>255</v>
      </c>
      <c r="D87" t="s">
        <v>234</v>
      </c>
      <c r="E87" t="s">
        <v>20</v>
      </c>
      <c r="F87" t="s">
        <v>279</v>
      </c>
      <c r="G87" t="s">
        <v>269</v>
      </c>
      <c r="H87" t="s">
        <v>254</v>
      </c>
      <c r="I87" t="s">
        <v>242</v>
      </c>
      <c r="J87" t="s">
        <v>235</v>
      </c>
      <c r="K87" s="380">
        <v>36770</v>
      </c>
      <c r="L87" s="235">
        <v>-6.0288714492928719E-2</v>
      </c>
      <c r="M87" s="380">
        <v>36768</v>
      </c>
      <c r="N87" t="s">
        <v>21</v>
      </c>
      <c r="O87">
        <v>-0.32</v>
      </c>
      <c r="P87">
        <v>0</v>
      </c>
      <c r="Q87">
        <v>0</v>
      </c>
      <c r="R87">
        <v>0</v>
      </c>
      <c r="S87">
        <v>0</v>
      </c>
      <c r="T87" t="s">
        <v>253</v>
      </c>
      <c r="U87" t="s">
        <v>9</v>
      </c>
      <c r="V87" t="s">
        <v>253</v>
      </c>
      <c r="W87" t="s">
        <v>132</v>
      </c>
      <c r="X87" t="s">
        <v>253</v>
      </c>
      <c r="Y87" t="s">
        <v>235</v>
      </c>
      <c r="Z87" t="s">
        <v>236</v>
      </c>
      <c r="AA87" t="s">
        <v>253</v>
      </c>
      <c r="AB87" t="s">
        <v>1</v>
      </c>
      <c r="AC87" s="235">
        <v>-500000</v>
      </c>
      <c r="AD87" s="235">
        <v>1.928927406691372E-2</v>
      </c>
      <c r="AE87">
        <v>0</v>
      </c>
      <c r="AF87">
        <v>0</v>
      </c>
      <c r="AG87">
        <v>0</v>
      </c>
      <c r="AH87" s="235">
        <v>-3.9194572032386077E-3</v>
      </c>
      <c r="AI87">
        <v>226</v>
      </c>
      <c r="AJ87" t="s">
        <v>256</v>
      </c>
      <c r="AK87">
        <v>0</v>
      </c>
      <c r="AL87">
        <v>0</v>
      </c>
      <c r="AM87">
        <v>0</v>
      </c>
    </row>
    <row r="88" spans="1:39" x14ac:dyDescent="0.25">
      <c r="A88" t="s">
        <v>233</v>
      </c>
      <c r="B88" t="s">
        <v>312</v>
      </c>
      <c r="C88" t="s">
        <v>255</v>
      </c>
      <c r="D88" t="s">
        <v>234</v>
      </c>
      <c r="E88" t="s">
        <v>20</v>
      </c>
      <c r="F88" t="s">
        <v>279</v>
      </c>
      <c r="G88" t="s">
        <v>269</v>
      </c>
      <c r="H88" t="s">
        <v>254</v>
      </c>
      <c r="I88" t="s">
        <v>242</v>
      </c>
      <c r="J88" t="s">
        <v>235</v>
      </c>
      <c r="K88" s="380">
        <v>36800</v>
      </c>
      <c r="L88" s="235">
        <v>-252501.20968180167</v>
      </c>
      <c r="M88" s="380">
        <v>36797</v>
      </c>
      <c r="N88" t="s">
        <v>1</v>
      </c>
      <c r="O88">
        <v>-0.32</v>
      </c>
      <c r="P88">
        <v>0</v>
      </c>
      <c r="Q88">
        <v>0</v>
      </c>
      <c r="R88">
        <v>0</v>
      </c>
      <c r="S88">
        <v>0</v>
      </c>
      <c r="T88" t="s">
        <v>253</v>
      </c>
      <c r="U88" t="s">
        <v>9</v>
      </c>
      <c r="V88" t="s">
        <v>253</v>
      </c>
      <c r="W88" t="s">
        <v>132</v>
      </c>
      <c r="X88" t="s">
        <v>253</v>
      </c>
      <c r="Y88" t="s">
        <v>235</v>
      </c>
      <c r="Z88" t="s">
        <v>236</v>
      </c>
      <c r="AA88" t="s">
        <v>253</v>
      </c>
      <c r="AB88" t="s">
        <v>1</v>
      </c>
      <c r="AC88" s="235">
        <v>-500000</v>
      </c>
      <c r="AD88" s="235">
        <v>-8962.0418115520733</v>
      </c>
      <c r="AE88">
        <v>0</v>
      </c>
      <c r="AF88">
        <v>0</v>
      </c>
      <c r="AG88">
        <v>0</v>
      </c>
      <c r="AH88" s="235">
        <v>-28109.434418432327</v>
      </c>
      <c r="AI88">
        <v>226</v>
      </c>
      <c r="AJ88" t="s">
        <v>256</v>
      </c>
      <c r="AK88">
        <v>0</v>
      </c>
      <c r="AL88">
        <v>0</v>
      </c>
      <c r="AM88">
        <v>0</v>
      </c>
    </row>
    <row r="89" spans="1:39" x14ac:dyDescent="0.25">
      <c r="A89" t="s">
        <v>233</v>
      </c>
      <c r="B89" t="s">
        <v>312</v>
      </c>
      <c r="C89" t="s">
        <v>255</v>
      </c>
      <c r="D89" t="s">
        <v>234</v>
      </c>
      <c r="E89" t="s">
        <v>20</v>
      </c>
      <c r="F89" t="s">
        <v>279</v>
      </c>
      <c r="G89" t="s">
        <v>269</v>
      </c>
      <c r="H89" t="s">
        <v>254</v>
      </c>
      <c r="I89" t="s">
        <v>242</v>
      </c>
      <c r="J89" t="s">
        <v>235</v>
      </c>
      <c r="K89" s="380">
        <v>36770</v>
      </c>
      <c r="L89" s="235">
        <v>-459830.7857594135</v>
      </c>
      <c r="M89" s="380">
        <v>36768</v>
      </c>
      <c r="N89" t="s">
        <v>1</v>
      </c>
      <c r="O89">
        <v>-0.32</v>
      </c>
      <c r="P89">
        <v>0</v>
      </c>
      <c r="Q89">
        <v>0</v>
      </c>
      <c r="R89">
        <v>0</v>
      </c>
      <c r="S89">
        <v>0</v>
      </c>
      <c r="T89" t="s">
        <v>253</v>
      </c>
      <c r="U89" t="s">
        <v>9</v>
      </c>
      <c r="V89" t="s">
        <v>253</v>
      </c>
      <c r="W89" t="s">
        <v>132</v>
      </c>
      <c r="X89" t="s">
        <v>253</v>
      </c>
      <c r="Y89" t="s">
        <v>235</v>
      </c>
      <c r="Z89" t="s">
        <v>236</v>
      </c>
      <c r="AA89" t="s">
        <v>253</v>
      </c>
      <c r="AB89" t="s">
        <v>1</v>
      </c>
      <c r="AC89" s="235">
        <v>-500000</v>
      </c>
      <c r="AD89" s="235">
        <v>1.9289274059701711E-2</v>
      </c>
      <c r="AE89">
        <v>0</v>
      </c>
      <c r="AF89">
        <v>0</v>
      </c>
      <c r="AG89">
        <v>0</v>
      </c>
      <c r="AH89" s="235">
        <v>-29972.43287867069</v>
      </c>
      <c r="AI89">
        <v>226</v>
      </c>
      <c r="AJ89" t="s">
        <v>256</v>
      </c>
      <c r="AK89">
        <v>0</v>
      </c>
      <c r="AL89">
        <v>0</v>
      </c>
      <c r="AM89">
        <v>0</v>
      </c>
    </row>
    <row r="90" spans="1:39" x14ac:dyDescent="0.25">
      <c r="A90" t="s">
        <v>233</v>
      </c>
      <c r="B90" t="s">
        <v>313</v>
      </c>
      <c r="C90" t="s">
        <v>255</v>
      </c>
      <c r="D90" t="s">
        <v>234</v>
      </c>
      <c r="E90" t="s">
        <v>20</v>
      </c>
      <c r="F90" t="s">
        <v>279</v>
      </c>
      <c r="G90" t="s">
        <v>269</v>
      </c>
      <c r="H90" t="s">
        <v>254</v>
      </c>
      <c r="I90" t="s">
        <v>242</v>
      </c>
      <c r="J90" t="s">
        <v>235</v>
      </c>
      <c r="K90" s="380">
        <v>36800</v>
      </c>
      <c r="L90" s="235">
        <v>-52680.866995454991</v>
      </c>
      <c r="M90" s="380">
        <v>36797</v>
      </c>
      <c r="N90" t="s">
        <v>21</v>
      </c>
      <c r="O90">
        <v>0.32</v>
      </c>
      <c r="P90">
        <v>0</v>
      </c>
      <c r="Q90">
        <v>0</v>
      </c>
      <c r="R90">
        <v>0</v>
      </c>
      <c r="S90">
        <v>0</v>
      </c>
      <c r="T90" t="s">
        <v>253</v>
      </c>
      <c r="U90" t="s">
        <v>7</v>
      </c>
      <c r="V90" t="s">
        <v>253</v>
      </c>
      <c r="W90" t="s">
        <v>132</v>
      </c>
      <c r="X90" t="s">
        <v>253</v>
      </c>
      <c r="Y90" t="s">
        <v>235</v>
      </c>
      <c r="Z90" t="s">
        <v>236</v>
      </c>
      <c r="AA90" t="s">
        <v>253</v>
      </c>
      <c r="AB90" t="s">
        <v>1</v>
      </c>
      <c r="AC90" s="235">
        <v>-500000</v>
      </c>
      <c r="AD90" s="235">
        <v>-2344.6881448923959</v>
      </c>
      <c r="AE90">
        <v>0</v>
      </c>
      <c r="AF90">
        <v>0</v>
      </c>
      <c r="AG90">
        <v>0</v>
      </c>
      <c r="AH90" s="235">
        <v>-135.03278493037942</v>
      </c>
      <c r="AI90">
        <v>226</v>
      </c>
      <c r="AJ90" t="s">
        <v>256</v>
      </c>
      <c r="AK90">
        <v>0</v>
      </c>
      <c r="AL90">
        <v>0</v>
      </c>
      <c r="AM90">
        <v>0</v>
      </c>
    </row>
    <row r="91" spans="1:39" x14ac:dyDescent="0.25">
      <c r="A91" t="s">
        <v>233</v>
      </c>
      <c r="B91" t="s">
        <v>313</v>
      </c>
      <c r="C91" t="s">
        <v>255</v>
      </c>
      <c r="D91" t="s">
        <v>234</v>
      </c>
      <c r="E91" t="s">
        <v>20</v>
      </c>
      <c r="F91" t="s">
        <v>279</v>
      </c>
      <c r="G91" t="s">
        <v>269</v>
      </c>
      <c r="H91" t="s">
        <v>254</v>
      </c>
      <c r="I91" t="s">
        <v>242</v>
      </c>
      <c r="J91" t="s">
        <v>235</v>
      </c>
      <c r="K91" s="380">
        <v>36770</v>
      </c>
      <c r="L91" s="235">
        <v>-2581.9274564666166</v>
      </c>
      <c r="M91" s="380">
        <v>36768</v>
      </c>
      <c r="N91" t="s">
        <v>21</v>
      </c>
      <c r="O91">
        <v>0.32</v>
      </c>
      <c r="P91">
        <v>0</v>
      </c>
      <c r="Q91">
        <v>0</v>
      </c>
      <c r="R91">
        <v>0</v>
      </c>
      <c r="S91">
        <v>0</v>
      </c>
      <c r="T91" t="s">
        <v>253</v>
      </c>
      <c r="U91" t="s">
        <v>7</v>
      </c>
      <c r="V91" t="s">
        <v>253</v>
      </c>
      <c r="W91" t="s">
        <v>132</v>
      </c>
      <c r="X91" t="s">
        <v>253</v>
      </c>
      <c r="Y91" t="s">
        <v>235</v>
      </c>
      <c r="Z91" t="s">
        <v>236</v>
      </c>
      <c r="AA91" t="s">
        <v>253</v>
      </c>
      <c r="AB91" t="s">
        <v>1</v>
      </c>
      <c r="AC91" s="235">
        <v>-500000</v>
      </c>
      <c r="AD91" s="235">
        <v>-607.13973900169367</v>
      </c>
      <c r="AE91">
        <v>0</v>
      </c>
      <c r="AF91">
        <v>0</v>
      </c>
      <c r="AG91">
        <v>0</v>
      </c>
      <c r="AH91" s="235">
        <v>-72.960845767439423</v>
      </c>
      <c r="AI91">
        <v>226</v>
      </c>
      <c r="AJ91" t="s">
        <v>256</v>
      </c>
      <c r="AK91">
        <v>0</v>
      </c>
      <c r="AL91">
        <v>0</v>
      </c>
      <c r="AM91">
        <v>0</v>
      </c>
    </row>
    <row r="92" spans="1:39" x14ac:dyDescent="0.25">
      <c r="A92" t="s">
        <v>233</v>
      </c>
      <c r="B92" t="s">
        <v>314</v>
      </c>
      <c r="C92" t="s">
        <v>255</v>
      </c>
      <c r="D92" t="s">
        <v>234</v>
      </c>
      <c r="E92" t="s">
        <v>20</v>
      </c>
      <c r="F92" t="s">
        <v>279</v>
      </c>
      <c r="G92" t="s">
        <v>269</v>
      </c>
      <c r="H92" t="s">
        <v>254</v>
      </c>
      <c r="I92" t="s">
        <v>242</v>
      </c>
      <c r="J92" t="s">
        <v>235</v>
      </c>
      <c r="K92" s="380">
        <v>36800</v>
      </c>
      <c r="L92" s="235">
        <v>-5454.4220052429318</v>
      </c>
      <c r="M92" s="380">
        <v>36797</v>
      </c>
      <c r="N92" t="s">
        <v>1</v>
      </c>
      <c r="O92">
        <v>0.32</v>
      </c>
      <c r="P92">
        <v>0</v>
      </c>
      <c r="Q92">
        <v>0</v>
      </c>
      <c r="R92">
        <v>0</v>
      </c>
      <c r="S92">
        <v>0</v>
      </c>
      <c r="T92" t="s">
        <v>253</v>
      </c>
      <c r="U92" t="s">
        <v>7</v>
      </c>
      <c r="V92" t="s">
        <v>253</v>
      </c>
      <c r="W92" t="s">
        <v>132</v>
      </c>
      <c r="X92" t="s">
        <v>253</v>
      </c>
      <c r="Y92" t="s">
        <v>235</v>
      </c>
      <c r="Z92" t="s">
        <v>236</v>
      </c>
      <c r="AA92" t="s">
        <v>253</v>
      </c>
      <c r="AB92" t="s">
        <v>1</v>
      </c>
      <c r="AC92" s="235">
        <v>-500000</v>
      </c>
      <c r="AD92" s="235">
        <v>-2344.6881448924105</v>
      </c>
      <c r="AE92">
        <v>0</v>
      </c>
      <c r="AF92">
        <v>0</v>
      </c>
      <c r="AG92">
        <v>0</v>
      </c>
      <c r="AH92" s="235">
        <v>-135.03278493054404</v>
      </c>
      <c r="AI92">
        <v>226</v>
      </c>
      <c r="AJ92" t="s">
        <v>256</v>
      </c>
      <c r="AK92">
        <v>0</v>
      </c>
      <c r="AL92">
        <v>0</v>
      </c>
      <c r="AM92">
        <v>0</v>
      </c>
    </row>
    <row r="93" spans="1:39" x14ac:dyDescent="0.25">
      <c r="A93" t="s">
        <v>233</v>
      </c>
      <c r="B93" t="s">
        <v>314</v>
      </c>
      <c r="C93" t="s">
        <v>255</v>
      </c>
      <c r="D93" t="s">
        <v>234</v>
      </c>
      <c r="E93" t="s">
        <v>20</v>
      </c>
      <c r="F93" t="s">
        <v>279</v>
      </c>
      <c r="G93" t="s">
        <v>269</v>
      </c>
      <c r="H93" t="s">
        <v>254</v>
      </c>
      <c r="I93" t="s">
        <v>242</v>
      </c>
      <c r="J93" t="s">
        <v>235</v>
      </c>
      <c r="K93" s="380">
        <v>36770</v>
      </c>
      <c r="L93" s="235">
        <v>-5081.0074861984685</v>
      </c>
      <c r="M93" s="380">
        <v>36768</v>
      </c>
      <c r="N93" t="s">
        <v>1</v>
      </c>
      <c r="O93">
        <v>0.32</v>
      </c>
      <c r="P93">
        <v>0</v>
      </c>
      <c r="Q93">
        <v>0</v>
      </c>
      <c r="R93">
        <v>0</v>
      </c>
      <c r="S93">
        <v>0</v>
      </c>
      <c r="T93" t="s">
        <v>253</v>
      </c>
      <c r="U93" t="s">
        <v>7</v>
      </c>
      <c r="V93" t="s">
        <v>253</v>
      </c>
      <c r="W93" t="s">
        <v>132</v>
      </c>
      <c r="X93" t="s">
        <v>253</v>
      </c>
      <c r="Y93" t="s">
        <v>235</v>
      </c>
      <c r="Z93" t="s">
        <v>236</v>
      </c>
      <c r="AA93" t="s">
        <v>253</v>
      </c>
      <c r="AB93" t="s">
        <v>1</v>
      </c>
      <c r="AC93" s="235">
        <v>-500000</v>
      </c>
      <c r="AD93" s="235">
        <v>-607.13973900163546</v>
      </c>
      <c r="AE93">
        <v>0</v>
      </c>
      <c r="AF93">
        <v>0</v>
      </c>
      <c r="AG93">
        <v>0</v>
      </c>
      <c r="AH93" s="235">
        <v>-72.960845767689534</v>
      </c>
      <c r="AI93">
        <v>226</v>
      </c>
      <c r="AJ93" t="s">
        <v>256</v>
      </c>
      <c r="AK93">
        <v>0</v>
      </c>
      <c r="AL93">
        <v>0</v>
      </c>
      <c r="AM93">
        <v>0</v>
      </c>
    </row>
    <row r="94" spans="1:39" x14ac:dyDescent="0.25">
      <c r="A94" t="s">
        <v>233</v>
      </c>
      <c r="B94" t="s">
        <v>315</v>
      </c>
      <c r="C94" t="s">
        <v>255</v>
      </c>
      <c r="D94" t="s">
        <v>234</v>
      </c>
      <c r="E94" t="s">
        <v>20</v>
      </c>
      <c r="F94" t="s">
        <v>279</v>
      </c>
      <c r="G94" t="s">
        <v>269</v>
      </c>
      <c r="H94" t="s">
        <v>254</v>
      </c>
      <c r="I94" t="s">
        <v>242</v>
      </c>
      <c r="J94" t="s">
        <v>235</v>
      </c>
      <c r="K94" s="380">
        <v>36800</v>
      </c>
      <c r="L94" s="235">
        <v>-52680.866995454991</v>
      </c>
      <c r="M94" s="380">
        <v>36797</v>
      </c>
      <c r="N94" t="s">
        <v>21</v>
      </c>
      <c r="O94">
        <v>0.32</v>
      </c>
      <c r="P94">
        <v>0</v>
      </c>
      <c r="Q94">
        <v>0</v>
      </c>
      <c r="R94">
        <v>0</v>
      </c>
      <c r="S94">
        <v>0</v>
      </c>
      <c r="T94" t="s">
        <v>253</v>
      </c>
      <c r="U94" t="s">
        <v>7</v>
      </c>
      <c r="V94" t="s">
        <v>253</v>
      </c>
      <c r="W94" t="s">
        <v>132</v>
      </c>
      <c r="X94" t="s">
        <v>253</v>
      </c>
      <c r="Y94" t="s">
        <v>235</v>
      </c>
      <c r="Z94" t="s">
        <v>236</v>
      </c>
      <c r="AA94" t="s">
        <v>253</v>
      </c>
      <c r="AB94" t="s">
        <v>1</v>
      </c>
      <c r="AC94" s="235">
        <v>-500000</v>
      </c>
      <c r="AD94" s="235">
        <v>-2344.6881448923959</v>
      </c>
      <c r="AE94">
        <v>0</v>
      </c>
      <c r="AF94">
        <v>0</v>
      </c>
      <c r="AG94">
        <v>0</v>
      </c>
      <c r="AH94" s="235">
        <v>-135.03278493037942</v>
      </c>
      <c r="AI94">
        <v>226</v>
      </c>
      <c r="AJ94" t="s">
        <v>256</v>
      </c>
      <c r="AK94">
        <v>0</v>
      </c>
      <c r="AL94">
        <v>0</v>
      </c>
      <c r="AM94">
        <v>0</v>
      </c>
    </row>
    <row r="95" spans="1:39" x14ac:dyDescent="0.25">
      <c r="A95" t="s">
        <v>233</v>
      </c>
      <c r="B95" t="s">
        <v>315</v>
      </c>
      <c r="C95" t="s">
        <v>255</v>
      </c>
      <c r="D95" t="s">
        <v>234</v>
      </c>
      <c r="E95" t="s">
        <v>20</v>
      </c>
      <c r="F95" t="s">
        <v>279</v>
      </c>
      <c r="G95" t="s">
        <v>269</v>
      </c>
      <c r="H95" t="s">
        <v>254</v>
      </c>
      <c r="I95" t="s">
        <v>242</v>
      </c>
      <c r="J95" t="s">
        <v>235</v>
      </c>
      <c r="K95" s="380">
        <v>36770</v>
      </c>
      <c r="L95" s="235">
        <v>-2581.9274564666166</v>
      </c>
      <c r="M95" s="380">
        <v>36768</v>
      </c>
      <c r="N95" t="s">
        <v>21</v>
      </c>
      <c r="O95">
        <v>0.32</v>
      </c>
      <c r="P95">
        <v>0</v>
      </c>
      <c r="Q95">
        <v>0</v>
      </c>
      <c r="R95">
        <v>0</v>
      </c>
      <c r="S95">
        <v>0</v>
      </c>
      <c r="T95" t="s">
        <v>253</v>
      </c>
      <c r="U95" t="s">
        <v>7</v>
      </c>
      <c r="V95" t="s">
        <v>253</v>
      </c>
      <c r="W95" t="s">
        <v>132</v>
      </c>
      <c r="X95" t="s">
        <v>253</v>
      </c>
      <c r="Y95" t="s">
        <v>235</v>
      </c>
      <c r="Z95" t="s">
        <v>236</v>
      </c>
      <c r="AA95" t="s">
        <v>253</v>
      </c>
      <c r="AB95" t="s">
        <v>1</v>
      </c>
      <c r="AC95" s="235">
        <v>-500000</v>
      </c>
      <c r="AD95" s="235">
        <v>-607.13973900169367</v>
      </c>
      <c r="AE95">
        <v>0</v>
      </c>
      <c r="AF95">
        <v>0</v>
      </c>
      <c r="AG95">
        <v>0</v>
      </c>
      <c r="AH95" s="235">
        <v>-72.960845767439423</v>
      </c>
      <c r="AI95">
        <v>226</v>
      </c>
      <c r="AJ95" t="s">
        <v>256</v>
      </c>
      <c r="AK95">
        <v>0</v>
      </c>
      <c r="AL95">
        <v>0</v>
      </c>
      <c r="AM95">
        <v>0</v>
      </c>
    </row>
    <row r="96" spans="1:39" x14ac:dyDescent="0.25">
      <c r="A96" t="s">
        <v>233</v>
      </c>
      <c r="B96" t="s">
        <v>316</v>
      </c>
      <c r="C96" t="s">
        <v>255</v>
      </c>
      <c r="D96" t="s">
        <v>234</v>
      </c>
      <c r="E96" t="s">
        <v>20</v>
      </c>
      <c r="F96" t="s">
        <v>279</v>
      </c>
      <c r="G96" t="s">
        <v>269</v>
      </c>
      <c r="H96" t="s">
        <v>254</v>
      </c>
      <c r="I96" t="s">
        <v>242</v>
      </c>
      <c r="J96" t="s">
        <v>235</v>
      </c>
      <c r="K96" s="380">
        <v>36800</v>
      </c>
      <c r="L96" s="235">
        <v>-5454.4220052429318</v>
      </c>
      <c r="M96" s="380">
        <v>36797</v>
      </c>
      <c r="N96" t="s">
        <v>1</v>
      </c>
      <c r="O96">
        <v>0.32</v>
      </c>
      <c r="P96">
        <v>0</v>
      </c>
      <c r="Q96">
        <v>0</v>
      </c>
      <c r="R96">
        <v>0</v>
      </c>
      <c r="S96">
        <v>0</v>
      </c>
      <c r="T96" t="s">
        <v>253</v>
      </c>
      <c r="U96" t="s">
        <v>7</v>
      </c>
      <c r="V96" t="s">
        <v>253</v>
      </c>
      <c r="W96" t="s">
        <v>132</v>
      </c>
      <c r="X96" t="s">
        <v>253</v>
      </c>
      <c r="Y96" t="s">
        <v>235</v>
      </c>
      <c r="Z96" t="s">
        <v>236</v>
      </c>
      <c r="AA96" t="s">
        <v>253</v>
      </c>
      <c r="AB96" t="s">
        <v>1</v>
      </c>
      <c r="AC96" s="235">
        <v>-500000</v>
      </c>
      <c r="AD96" s="235">
        <v>-2344.6881448924105</v>
      </c>
      <c r="AE96">
        <v>0</v>
      </c>
      <c r="AF96">
        <v>0</v>
      </c>
      <c r="AG96">
        <v>0</v>
      </c>
      <c r="AH96" s="235">
        <v>-135.03278493054404</v>
      </c>
      <c r="AI96">
        <v>226</v>
      </c>
      <c r="AJ96" t="s">
        <v>256</v>
      </c>
      <c r="AK96">
        <v>0</v>
      </c>
      <c r="AL96">
        <v>0</v>
      </c>
      <c r="AM96">
        <v>0</v>
      </c>
    </row>
    <row r="97" spans="1:39" x14ac:dyDescent="0.25">
      <c r="A97" t="s">
        <v>233</v>
      </c>
      <c r="B97" t="s">
        <v>316</v>
      </c>
      <c r="C97" t="s">
        <v>255</v>
      </c>
      <c r="D97" t="s">
        <v>234</v>
      </c>
      <c r="E97" t="s">
        <v>20</v>
      </c>
      <c r="F97" t="s">
        <v>279</v>
      </c>
      <c r="G97" t="s">
        <v>269</v>
      </c>
      <c r="H97" t="s">
        <v>254</v>
      </c>
      <c r="I97" t="s">
        <v>242</v>
      </c>
      <c r="J97" t="s">
        <v>235</v>
      </c>
      <c r="K97" s="380">
        <v>36770</v>
      </c>
      <c r="L97" s="235">
        <v>-5081.0074861984685</v>
      </c>
      <c r="M97" s="380">
        <v>36768</v>
      </c>
      <c r="N97" t="s">
        <v>1</v>
      </c>
      <c r="O97">
        <v>0.32</v>
      </c>
      <c r="P97">
        <v>0</v>
      </c>
      <c r="Q97">
        <v>0</v>
      </c>
      <c r="R97">
        <v>0</v>
      </c>
      <c r="S97">
        <v>0</v>
      </c>
      <c r="T97" t="s">
        <v>253</v>
      </c>
      <c r="U97" t="s">
        <v>7</v>
      </c>
      <c r="V97" t="s">
        <v>253</v>
      </c>
      <c r="W97" t="s">
        <v>132</v>
      </c>
      <c r="X97" t="s">
        <v>253</v>
      </c>
      <c r="Y97" t="s">
        <v>235</v>
      </c>
      <c r="Z97" t="s">
        <v>236</v>
      </c>
      <c r="AA97" t="s">
        <v>253</v>
      </c>
      <c r="AB97" t="s">
        <v>1</v>
      </c>
      <c r="AC97" s="235">
        <v>-500000</v>
      </c>
      <c r="AD97" s="235">
        <v>-607.13973900163546</v>
      </c>
      <c r="AE97">
        <v>0</v>
      </c>
      <c r="AF97">
        <v>0</v>
      </c>
      <c r="AG97">
        <v>0</v>
      </c>
      <c r="AH97" s="235">
        <v>-72.960845767689534</v>
      </c>
      <c r="AI97">
        <v>226</v>
      </c>
      <c r="AJ97" t="s">
        <v>256</v>
      </c>
      <c r="AK97">
        <v>0</v>
      </c>
      <c r="AL97">
        <v>0</v>
      </c>
      <c r="AM97">
        <v>0</v>
      </c>
    </row>
    <row r="98" spans="1:39" x14ac:dyDescent="0.25">
      <c r="A98" t="s">
        <v>233</v>
      </c>
      <c r="B98" t="s">
        <v>317</v>
      </c>
      <c r="C98" t="s">
        <v>255</v>
      </c>
      <c r="D98" t="s">
        <v>234</v>
      </c>
      <c r="E98" t="s">
        <v>20</v>
      </c>
      <c r="F98" t="s">
        <v>279</v>
      </c>
      <c r="G98" t="s">
        <v>269</v>
      </c>
      <c r="H98" t="s">
        <v>254</v>
      </c>
      <c r="I98" t="s">
        <v>242</v>
      </c>
      <c r="J98" t="s">
        <v>235</v>
      </c>
      <c r="K98" s="380">
        <v>36800</v>
      </c>
      <c r="L98" s="235">
        <v>-2727.2110026214659</v>
      </c>
      <c r="M98" s="380">
        <v>36797</v>
      </c>
      <c r="N98" t="s">
        <v>1</v>
      </c>
      <c r="O98">
        <v>0.32</v>
      </c>
      <c r="P98">
        <v>0</v>
      </c>
      <c r="Q98">
        <v>0</v>
      </c>
      <c r="R98">
        <v>0</v>
      </c>
      <c r="S98">
        <v>0</v>
      </c>
      <c r="T98" t="s">
        <v>253</v>
      </c>
      <c r="U98" t="s">
        <v>7</v>
      </c>
      <c r="V98" t="s">
        <v>253</v>
      </c>
      <c r="W98" t="s">
        <v>132</v>
      </c>
      <c r="X98" t="s">
        <v>253</v>
      </c>
      <c r="Y98" t="s">
        <v>235</v>
      </c>
      <c r="Z98" t="s">
        <v>236</v>
      </c>
      <c r="AA98" t="s">
        <v>253</v>
      </c>
      <c r="AB98" t="s">
        <v>1</v>
      </c>
      <c r="AC98" s="235">
        <v>-250000</v>
      </c>
      <c r="AD98" s="235">
        <v>-1172.3440724462052</v>
      </c>
      <c r="AE98">
        <v>0</v>
      </c>
      <c r="AF98">
        <v>0</v>
      </c>
      <c r="AG98">
        <v>0</v>
      </c>
      <c r="AH98" s="235">
        <v>-67.51639246527202</v>
      </c>
      <c r="AI98">
        <v>226</v>
      </c>
      <c r="AJ98" t="s">
        <v>256</v>
      </c>
      <c r="AK98">
        <v>0</v>
      </c>
      <c r="AL98">
        <v>0</v>
      </c>
      <c r="AM98">
        <v>0</v>
      </c>
    </row>
    <row r="99" spans="1:39" x14ac:dyDescent="0.25">
      <c r="A99" t="s">
        <v>233</v>
      </c>
      <c r="B99" t="s">
        <v>317</v>
      </c>
      <c r="C99" t="s">
        <v>255</v>
      </c>
      <c r="D99" t="s">
        <v>234</v>
      </c>
      <c r="E99" t="s">
        <v>20</v>
      </c>
      <c r="F99" t="s">
        <v>279</v>
      </c>
      <c r="G99" t="s">
        <v>269</v>
      </c>
      <c r="H99" t="s">
        <v>254</v>
      </c>
      <c r="I99" t="s">
        <v>242</v>
      </c>
      <c r="J99" t="s">
        <v>235</v>
      </c>
      <c r="K99" s="380">
        <v>36770</v>
      </c>
      <c r="L99" s="235">
        <v>-2540.5037430992343</v>
      </c>
      <c r="M99" s="380">
        <v>36768</v>
      </c>
      <c r="N99" t="s">
        <v>1</v>
      </c>
      <c r="O99">
        <v>0.32</v>
      </c>
      <c r="P99">
        <v>0</v>
      </c>
      <c r="Q99">
        <v>0</v>
      </c>
      <c r="R99">
        <v>0</v>
      </c>
      <c r="S99">
        <v>0</v>
      </c>
      <c r="T99" t="s">
        <v>253</v>
      </c>
      <c r="U99" t="s">
        <v>7</v>
      </c>
      <c r="V99" t="s">
        <v>253</v>
      </c>
      <c r="W99" t="s">
        <v>132</v>
      </c>
      <c r="X99" t="s">
        <v>253</v>
      </c>
      <c r="Y99" t="s">
        <v>235</v>
      </c>
      <c r="Z99" t="s">
        <v>236</v>
      </c>
      <c r="AA99" t="s">
        <v>253</v>
      </c>
      <c r="AB99" t="s">
        <v>1</v>
      </c>
      <c r="AC99" s="235">
        <v>-250000</v>
      </c>
      <c r="AD99" s="235">
        <v>-303.56986950081773</v>
      </c>
      <c r="AE99">
        <v>0</v>
      </c>
      <c r="AF99">
        <v>0</v>
      </c>
      <c r="AG99">
        <v>0</v>
      </c>
      <c r="AH99" s="235">
        <v>-36.480422883844767</v>
      </c>
      <c r="AI99">
        <v>226</v>
      </c>
      <c r="AJ99" t="s">
        <v>256</v>
      </c>
      <c r="AK99">
        <v>0</v>
      </c>
      <c r="AL99">
        <v>0</v>
      </c>
      <c r="AM99">
        <v>0</v>
      </c>
    </row>
    <row r="100" spans="1:39" x14ac:dyDescent="0.25">
      <c r="A100" t="s">
        <v>233</v>
      </c>
      <c r="B100" t="s">
        <v>318</v>
      </c>
      <c r="C100" t="s">
        <v>255</v>
      </c>
      <c r="D100" t="s">
        <v>234</v>
      </c>
      <c r="E100" t="s">
        <v>20</v>
      </c>
      <c r="F100" t="s">
        <v>279</v>
      </c>
      <c r="G100" t="s">
        <v>269</v>
      </c>
      <c r="H100" t="s">
        <v>254</v>
      </c>
      <c r="I100" t="s">
        <v>242</v>
      </c>
      <c r="J100" t="s">
        <v>235</v>
      </c>
      <c r="K100" s="380">
        <v>36800</v>
      </c>
      <c r="L100" s="235">
        <v>-766.23434914212248</v>
      </c>
      <c r="M100" s="380">
        <v>36797</v>
      </c>
      <c r="N100" t="s">
        <v>1</v>
      </c>
      <c r="O100">
        <v>0.26</v>
      </c>
      <c r="P100">
        <v>0</v>
      </c>
      <c r="Q100">
        <v>0</v>
      </c>
      <c r="R100">
        <v>0</v>
      </c>
      <c r="S100">
        <v>0</v>
      </c>
      <c r="T100" t="s">
        <v>253</v>
      </c>
      <c r="U100" t="s">
        <v>7</v>
      </c>
      <c r="V100" t="s">
        <v>253</v>
      </c>
      <c r="W100" t="s">
        <v>132</v>
      </c>
      <c r="X100" t="s">
        <v>253</v>
      </c>
      <c r="Y100" t="s">
        <v>235</v>
      </c>
      <c r="Z100" t="s">
        <v>236</v>
      </c>
      <c r="AA100" t="s">
        <v>253</v>
      </c>
      <c r="AB100" t="s">
        <v>1</v>
      </c>
      <c r="AC100" s="235">
        <v>-250000</v>
      </c>
      <c r="AD100" s="235">
        <v>-597.21433803636319</v>
      </c>
      <c r="AE100">
        <v>0</v>
      </c>
      <c r="AF100">
        <v>0</v>
      </c>
      <c r="AG100">
        <v>0</v>
      </c>
      <c r="AH100" s="235">
        <v>-35.075759671432479</v>
      </c>
      <c r="AI100">
        <v>226</v>
      </c>
      <c r="AJ100" t="s">
        <v>256</v>
      </c>
      <c r="AK100">
        <v>0</v>
      </c>
      <c r="AL100">
        <v>0</v>
      </c>
      <c r="AM100">
        <v>0</v>
      </c>
    </row>
    <row r="101" spans="1:39" x14ac:dyDescent="0.25">
      <c r="A101" t="s">
        <v>233</v>
      </c>
      <c r="B101" t="s">
        <v>318</v>
      </c>
      <c r="C101" t="s">
        <v>255</v>
      </c>
      <c r="D101" t="s">
        <v>234</v>
      </c>
      <c r="E101" t="s">
        <v>20</v>
      </c>
      <c r="F101" t="s">
        <v>279</v>
      </c>
      <c r="G101" t="s">
        <v>269</v>
      </c>
      <c r="H101" t="s">
        <v>254</v>
      </c>
      <c r="I101" t="s">
        <v>242</v>
      </c>
      <c r="J101" t="s">
        <v>235</v>
      </c>
      <c r="K101" s="380">
        <v>36770</v>
      </c>
      <c r="L101" s="235">
        <v>-1.4441180302693368</v>
      </c>
      <c r="M101" s="380">
        <v>36768</v>
      </c>
      <c r="N101" t="s">
        <v>1</v>
      </c>
      <c r="O101">
        <v>0.26</v>
      </c>
      <c r="P101">
        <v>0</v>
      </c>
      <c r="Q101">
        <v>0</v>
      </c>
      <c r="R101">
        <v>0</v>
      </c>
      <c r="S101">
        <v>0</v>
      </c>
      <c r="T101" t="s">
        <v>253</v>
      </c>
      <c r="U101" t="s">
        <v>7</v>
      </c>
      <c r="V101" t="s">
        <v>253</v>
      </c>
      <c r="W101" t="s">
        <v>132</v>
      </c>
      <c r="X101" t="s">
        <v>253</v>
      </c>
      <c r="Y101" t="s">
        <v>235</v>
      </c>
      <c r="Z101" t="s">
        <v>236</v>
      </c>
      <c r="AA101" t="s">
        <v>253</v>
      </c>
      <c r="AB101" t="s">
        <v>1</v>
      </c>
      <c r="AC101" s="235">
        <v>-250000</v>
      </c>
      <c r="AD101" s="235">
        <v>-3.1315472847626324</v>
      </c>
      <c r="AE101">
        <v>0</v>
      </c>
      <c r="AF101">
        <v>0</v>
      </c>
      <c r="AG101">
        <v>0</v>
      </c>
      <c r="AH101" s="235">
        <v>-12.654778984932932</v>
      </c>
      <c r="AI101">
        <v>226</v>
      </c>
      <c r="AJ101" t="s">
        <v>256</v>
      </c>
      <c r="AK101">
        <v>0</v>
      </c>
      <c r="AL101">
        <v>0</v>
      </c>
      <c r="AM101">
        <v>0</v>
      </c>
    </row>
    <row r="102" spans="1:39" x14ac:dyDescent="0.25">
      <c r="A102" t="s">
        <v>233</v>
      </c>
      <c r="B102" t="s">
        <v>319</v>
      </c>
      <c r="C102" t="s">
        <v>255</v>
      </c>
      <c r="D102" t="s">
        <v>234</v>
      </c>
      <c r="E102" t="s">
        <v>20</v>
      </c>
      <c r="F102" t="s">
        <v>284</v>
      </c>
      <c r="G102" t="s">
        <v>269</v>
      </c>
      <c r="H102" t="s">
        <v>254</v>
      </c>
      <c r="I102" t="s">
        <v>242</v>
      </c>
      <c r="J102" t="s">
        <v>235</v>
      </c>
      <c r="K102" s="380">
        <v>36951</v>
      </c>
      <c r="L102" s="235">
        <v>124938.11962783689</v>
      </c>
      <c r="M102" s="380">
        <v>36949</v>
      </c>
      <c r="N102" t="s">
        <v>21</v>
      </c>
      <c r="O102">
        <v>2.2000000000000002</v>
      </c>
      <c r="P102">
        <v>0</v>
      </c>
      <c r="Q102">
        <v>0</v>
      </c>
      <c r="R102">
        <v>0</v>
      </c>
      <c r="S102">
        <v>0</v>
      </c>
      <c r="T102" t="s">
        <v>253</v>
      </c>
      <c r="U102" t="s">
        <v>7</v>
      </c>
      <c r="V102" t="s">
        <v>253</v>
      </c>
      <c r="W102" t="s">
        <v>132</v>
      </c>
      <c r="X102" t="s">
        <v>253</v>
      </c>
      <c r="Y102" t="s">
        <v>235</v>
      </c>
      <c r="Z102" t="s">
        <v>236</v>
      </c>
      <c r="AA102" t="s">
        <v>253</v>
      </c>
      <c r="AB102" t="s">
        <v>1</v>
      </c>
      <c r="AC102" s="235">
        <v>620000</v>
      </c>
      <c r="AD102" s="235">
        <v>40586.617107061596</v>
      </c>
      <c r="AE102">
        <v>0</v>
      </c>
      <c r="AF102">
        <v>0</v>
      </c>
      <c r="AG102">
        <v>0</v>
      </c>
      <c r="AH102" s="235">
        <v>11748.084806293598</v>
      </c>
      <c r="AI102">
        <v>226</v>
      </c>
      <c r="AJ102" t="s">
        <v>256</v>
      </c>
      <c r="AK102">
        <v>0</v>
      </c>
      <c r="AL102">
        <v>0</v>
      </c>
      <c r="AM102">
        <v>0</v>
      </c>
    </row>
    <row r="103" spans="1:39" x14ac:dyDescent="0.25">
      <c r="A103" t="s">
        <v>233</v>
      </c>
      <c r="B103" t="s">
        <v>319</v>
      </c>
      <c r="C103" t="s">
        <v>255</v>
      </c>
      <c r="D103" t="s">
        <v>234</v>
      </c>
      <c r="E103" t="s">
        <v>20</v>
      </c>
      <c r="F103" t="s">
        <v>284</v>
      </c>
      <c r="G103" t="s">
        <v>269</v>
      </c>
      <c r="H103" t="s">
        <v>254</v>
      </c>
      <c r="I103" t="s">
        <v>242</v>
      </c>
      <c r="J103" t="s">
        <v>235</v>
      </c>
      <c r="K103" s="380">
        <v>36923</v>
      </c>
      <c r="L103" s="235">
        <v>358702.78758309153</v>
      </c>
      <c r="M103" s="380">
        <v>36921</v>
      </c>
      <c r="N103" t="s">
        <v>21</v>
      </c>
      <c r="O103">
        <v>2.2000000000000002</v>
      </c>
      <c r="P103">
        <v>0</v>
      </c>
      <c r="Q103">
        <v>0</v>
      </c>
      <c r="R103">
        <v>0</v>
      </c>
      <c r="S103">
        <v>0</v>
      </c>
      <c r="T103" t="s">
        <v>253</v>
      </c>
      <c r="U103" t="s">
        <v>7</v>
      </c>
      <c r="V103" t="s">
        <v>253</v>
      </c>
      <c r="W103" t="s">
        <v>132</v>
      </c>
      <c r="X103" t="s">
        <v>253</v>
      </c>
      <c r="Y103" t="s">
        <v>235</v>
      </c>
      <c r="Z103" t="s">
        <v>236</v>
      </c>
      <c r="AA103" t="s">
        <v>253</v>
      </c>
      <c r="AB103" t="s">
        <v>1</v>
      </c>
      <c r="AC103" s="235">
        <v>560000</v>
      </c>
      <c r="AD103" s="235">
        <v>47797.078140472004</v>
      </c>
      <c r="AE103">
        <v>0</v>
      </c>
      <c r="AF103">
        <v>0</v>
      </c>
      <c r="AG103">
        <v>0</v>
      </c>
      <c r="AH103" s="235">
        <v>22299.11581734725</v>
      </c>
      <c r="AI103">
        <v>226</v>
      </c>
      <c r="AJ103" t="s">
        <v>256</v>
      </c>
      <c r="AK103">
        <v>0</v>
      </c>
      <c r="AL103">
        <v>0</v>
      </c>
      <c r="AM103">
        <v>0</v>
      </c>
    </row>
    <row r="104" spans="1:39" x14ac:dyDescent="0.25">
      <c r="A104" t="s">
        <v>233</v>
      </c>
      <c r="B104" t="s">
        <v>319</v>
      </c>
      <c r="C104" t="s">
        <v>255</v>
      </c>
      <c r="D104" t="s">
        <v>234</v>
      </c>
      <c r="E104" t="s">
        <v>20</v>
      </c>
      <c r="F104" t="s">
        <v>284</v>
      </c>
      <c r="G104" t="s">
        <v>269</v>
      </c>
      <c r="H104" t="s">
        <v>254</v>
      </c>
      <c r="I104" t="s">
        <v>242</v>
      </c>
      <c r="J104" t="s">
        <v>235</v>
      </c>
      <c r="K104" s="380">
        <v>36892</v>
      </c>
      <c r="L104" s="235">
        <v>398427.19493390259</v>
      </c>
      <c r="M104" s="380">
        <v>36888</v>
      </c>
      <c r="N104" t="s">
        <v>21</v>
      </c>
      <c r="O104">
        <v>2.2000000000000002</v>
      </c>
      <c r="P104">
        <v>0</v>
      </c>
      <c r="Q104">
        <v>0</v>
      </c>
      <c r="R104">
        <v>0</v>
      </c>
      <c r="S104">
        <v>0</v>
      </c>
      <c r="T104" t="s">
        <v>253</v>
      </c>
      <c r="U104" t="s">
        <v>7</v>
      </c>
      <c r="V104" t="s">
        <v>253</v>
      </c>
      <c r="W104" t="s">
        <v>132</v>
      </c>
      <c r="X104" t="s">
        <v>253</v>
      </c>
      <c r="Y104" t="s">
        <v>235</v>
      </c>
      <c r="Z104" t="s">
        <v>236</v>
      </c>
      <c r="AA104" t="s">
        <v>253</v>
      </c>
      <c r="AB104" t="s">
        <v>1</v>
      </c>
      <c r="AC104" s="235">
        <v>620000</v>
      </c>
      <c r="AD104" s="235">
        <v>48615.006295616215</v>
      </c>
      <c r="AE104">
        <v>0</v>
      </c>
      <c r="AF104">
        <v>0</v>
      </c>
      <c r="AG104">
        <v>0</v>
      </c>
      <c r="AH104" s="235">
        <v>21884.575549048139</v>
      </c>
      <c r="AI104">
        <v>226</v>
      </c>
      <c r="AJ104" t="s">
        <v>256</v>
      </c>
      <c r="AK104">
        <v>0</v>
      </c>
      <c r="AL104">
        <v>0</v>
      </c>
      <c r="AM104">
        <v>0</v>
      </c>
    </row>
    <row r="105" spans="1:39" x14ac:dyDescent="0.25">
      <c r="A105" t="s">
        <v>233</v>
      </c>
      <c r="B105" t="s">
        <v>319</v>
      </c>
      <c r="C105" t="s">
        <v>255</v>
      </c>
      <c r="D105" t="s">
        <v>234</v>
      </c>
      <c r="E105" t="s">
        <v>20</v>
      </c>
      <c r="F105" t="s">
        <v>284</v>
      </c>
      <c r="G105" t="s">
        <v>269</v>
      </c>
      <c r="H105" t="s">
        <v>254</v>
      </c>
      <c r="I105" t="s">
        <v>242</v>
      </c>
      <c r="J105" t="s">
        <v>235</v>
      </c>
      <c r="K105" s="380">
        <v>36861</v>
      </c>
      <c r="L105" s="235">
        <v>199738.29047234956</v>
      </c>
      <c r="M105" s="380">
        <v>36859</v>
      </c>
      <c r="N105" t="s">
        <v>21</v>
      </c>
      <c r="O105">
        <v>2.2000000000000002</v>
      </c>
      <c r="P105">
        <v>0</v>
      </c>
      <c r="Q105">
        <v>0</v>
      </c>
      <c r="R105">
        <v>0</v>
      </c>
      <c r="S105">
        <v>0</v>
      </c>
      <c r="T105" t="s">
        <v>253</v>
      </c>
      <c r="U105" t="s">
        <v>7</v>
      </c>
      <c r="V105" t="s">
        <v>253</v>
      </c>
      <c r="W105" t="s">
        <v>132</v>
      </c>
      <c r="X105" t="s">
        <v>253</v>
      </c>
      <c r="Y105" t="s">
        <v>235</v>
      </c>
      <c r="Z105" t="s">
        <v>236</v>
      </c>
      <c r="AA105" t="s">
        <v>253</v>
      </c>
      <c r="AB105" t="s">
        <v>1</v>
      </c>
      <c r="AC105" s="235">
        <v>620000</v>
      </c>
      <c r="AD105" s="235">
        <v>39788.027459148463</v>
      </c>
      <c r="AE105">
        <v>0</v>
      </c>
      <c r="AF105">
        <v>0</v>
      </c>
      <c r="AG105">
        <v>0</v>
      </c>
      <c r="AH105" s="235">
        <v>12505.845021453482</v>
      </c>
      <c r="AI105">
        <v>226</v>
      </c>
      <c r="AJ105" t="s">
        <v>256</v>
      </c>
      <c r="AK105">
        <v>0</v>
      </c>
      <c r="AL105">
        <v>0</v>
      </c>
      <c r="AM105">
        <v>0</v>
      </c>
    </row>
    <row r="106" spans="1:39" x14ac:dyDescent="0.25">
      <c r="A106" t="s">
        <v>233</v>
      </c>
      <c r="B106" t="s">
        <v>319</v>
      </c>
      <c r="C106" t="s">
        <v>255</v>
      </c>
      <c r="D106" t="s">
        <v>234</v>
      </c>
      <c r="E106" t="s">
        <v>20</v>
      </c>
      <c r="F106" t="s">
        <v>284</v>
      </c>
      <c r="G106" t="s">
        <v>269</v>
      </c>
      <c r="H106" t="s">
        <v>254</v>
      </c>
      <c r="I106" t="s">
        <v>242</v>
      </c>
      <c r="J106" t="s">
        <v>235</v>
      </c>
      <c r="K106" s="380">
        <v>36831</v>
      </c>
      <c r="L106" s="235">
        <v>7728.1620757230057</v>
      </c>
      <c r="M106" s="380">
        <v>36829</v>
      </c>
      <c r="N106" t="s">
        <v>21</v>
      </c>
      <c r="O106">
        <v>2.2000000000000002</v>
      </c>
      <c r="P106">
        <v>0</v>
      </c>
      <c r="Q106">
        <v>0</v>
      </c>
      <c r="R106">
        <v>0</v>
      </c>
      <c r="S106">
        <v>0</v>
      </c>
      <c r="T106" t="s">
        <v>253</v>
      </c>
      <c r="U106" t="s">
        <v>7</v>
      </c>
      <c r="V106" t="s">
        <v>253</v>
      </c>
      <c r="W106" t="s">
        <v>132</v>
      </c>
      <c r="X106" t="s">
        <v>253</v>
      </c>
      <c r="Y106" t="s">
        <v>235</v>
      </c>
      <c r="Z106" t="s">
        <v>236</v>
      </c>
      <c r="AA106" t="s">
        <v>253</v>
      </c>
      <c r="AB106" t="s">
        <v>1</v>
      </c>
      <c r="AC106" s="235">
        <v>600000</v>
      </c>
      <c r="AD106" s="235">
        <v>5389.6163290982149</v>
      </c>
      <c r="AE106">
        <v>0</v>
      </c>
      <c r="AF106">
        <v>0</v>
      </c>
      <c r="AG106">
        <v>0</v>
      </c>
      <c r="AH106" s="235">
        <v>1377.8133499583882</v>
      </c>
      <c r="AI106">
        <v>226</v>
      </c>
      <c r="AJ106" t="s">
        <v>256</v>
      </c>
      <c r="AK106">
        <v>0</v>
      </c>
      <c r="AL106">
        <v>0</v>
      </c>
      <c r="AM106">
        <v>0</v>
      </c>
    </row>
    <row r="107" spans="1:39" x14ac:dyDescent="0.25">
      <c r="A107" t="s">
        <v>233</v>
      </c>
      <c r="B107" t="s">
        <v>321</v>
      </c>
      <c r="C107" t="s">
        <v>255</v>
      </c>
      <c r="D107" t="s">
        <v>234</v>
      </c>
      <c r="E107" t="s">
        <v>20</v>
      </c>
      <c r="F107" t="s">
        <v>320</v>
      </c>
      <c r="G107" t="s">
        <v>269</v>
      </c>
      <c r="H107" t="s">
        <v>254</v>
      </c>
      <c r="I107" t="s">
        <v>242</v>
      </c>
      <c r="J107" t="s">
        <v>235</v>
      </c>
      <c r="K107" s="380">
        <v>36951</v>
      </c>
      <c r="L107" s="235">
        <v>160013.49465428333</v>
      </c>
      <c r="M107" s="380">
        <v>36949</v>
      </c>
      <c r="N107" t="s">
        <v>1</v>
      </c>
      <c r="O107">
        <v>0.7</v>
      </c>
      <c r="P107">
        <v>0</v>
      </c>
      <c r="Q107">
        <v>0</v>
      </c>
      <c r="R107">
        <v>0</v>
      </c>
      <c r="S107">
        <v>0</v>
      </c>
      <c r="T107" t="s">
        <v>253</v>
      </c>
      <c r="U107" t="s">
        <v>7</v>
      </c>
      <c r="V107" t="s">
        <v>253</v>
      </c>
      <c r="W107" t="s">
        <v>132</v>
      </c>
      <c r="X107" t="s">
        <v>253</v>
      </c>
      <c r="Y107" t="s">
        <v>235</v>
      </c>
      <c r="Z107" t="s">
        <v>236</v>
      </c>
      <c r="AA107" t="s">
        <v>253</v>
      </c>
      <c r="AB107" t="s">
        <v>1</v>
      </c>
      <c r="AC107" s="235">
        <v>500000</v>
      </c>
      <c r="AD107" s="235">
        <v>43330.870709748735</v>
      </c>
      <c r="AE107">
        <v>0</v>
      </c>
      <c r="AF107">
        <v>0</v>
      </c>
      <c r="AG107">
        <v>0</v>
      </c>
      <c r="AH107" s="235">
        <v>-7738.7699128053209</v>
      </c>
      <c r="AI107">
        <v>226</v>
      </c>
      <c r="AJ107" t="s">
        <v>256</v>
      </c>
      <c r="AK107">
        <v>0</v>
      </c>
      <c r="AL107">
        <v>0</v>
      </c>
      <c r="AM107">
        <v>0</v>
      </c>
    </row>
    <row r="108" spans="1:39" x14ac:dyDescent="0.25">
      <c r="A108" t="s">
        <v>233</v>
      </c>
      <c r="B108" t="s">
        <v>321</v>
      </c>
      <c r="C108" t="s">
        <v>255</v>
      </c>
      <c r="D108" t="s">
        <v>234</v>
      </c>
      <c r="E108" t="s">
        <v>20</v>
      </c>
      <c r="F108" t="s">
        <v>320</v>
      </c>
      <c r="G108" t="s">
        <v>269</v>
      </c>
      <c r="H108" t="s">
        <v>254</v>
      </c>
      <c r="I108" t="s">
        <v>242</v>
      </c>
      <c r="J108" t="s">
        <v>235</v>
      </c>
      <c r="K108" s="380">
        <v>36923</v>
      </c>
      <c r="L108" s="235">
        <v>64633.941476257009</v>
      </c>
      <c r="M108" s="380">
        <v>36921</v>
      </c>
      <c r="N108" t="s">
        <v>1</v>
      </c>
      <c r="O108">
        <v>0.7</v>
      </c>
      <c r="P108">
        <v>0</v>
      </c>
      <c r="Q108">
        <v>0</v>
      </c>
      <c r="R108">
        <v>0</v>
      </c>
      <c r="S108">
        <v>0</v>
      </c>
      <c r="T108" t="s">
        <v>253</v>
      </c>
      <c r="U108" t="s">
        <v>7</v>
      </c>
      <c r="V108" t="s">
        <v>253</v>
      </c>
      <c r="W108" t="s">
        <v>132</v>
      </c>
      <c r="X108" t="s">
        <v>253</v>
      </c>
      <c r="Y108" t="s">
        <v>235</v>
      </c>
      <c r="Z108" t="s">
        <v>236</v>
      </c>
      <c r="AA108" t="s">
        <v>253</v>
      </c>
      <c r="AB108" t="s">
        <v>1</v>
      </c>
      <c r="AC108" s="235">
        <v>500000</v>
      </c>
      <c r="AD108" s="235">
        <v>29717.687451287886</v>
      </c>
      <c r="AE108">
        <v>0</v>
      </c>
      <c r="AF108">
        <v>0</v>
      </c>
      <c r="AG108">
        <v>0</v>
      </c>
      <c r="AH108" s="235">
        <v>-3486.3314122071097</v>
      </c>
      <c r="AI108">
        <v>226</v>
      </c>
      <c r="AJ108" t="s">
        <v>256</v>
      </c>
      <c r="AK108">
        <v>0</v>
      </c>
      <c r="AL108">
        <v>0</v>
      </c>
      <c r="AM108">
        <v>0</v>
      </c>
    </row>
    <row r="109" spans="1:39" x14ac:dyDescent="0.25">
      <c r="A109" t="s">
        <v>233</v>
      </c>
      <c r="B109" t="s">
        <v>321</v>
      </c>
      <c r="C109" t="s">
        <v>255</v>
      </c>
      <c r="D109" t="s">
        <v>234</v>
      </c>
      <c r="E109" t="s">
        <v>20</v>
      </c>
      <c r="F109" t="s">
        <v>320</v>
      </c>
      <c r="G109" t="s">
        <v>269</v>
      </c>
      <c r="H109" t="s">
        <v>254</v>
      </c>
      <c r="I109" t="s">
        <v>242</v>
      </c>
      <c r="J109" t="s">
        <v>235</v>
      </c>
      <c r="K109" s="380">
        <v>36892</v>
      </c>
      <c r="L109" s="235">
        <v>50711.576374094235</v>
      </c>
      <c r="M109" s="380">
        <v>36888</v>
      </c>
      <c r="N109" t="s">
        <v>1</v>
      </c>
      <c r="O109">
        <v>0.7</v>
      </c>
      <c r="P109">
        <v>0</v>
      </c>
      <c r="Q109">
        <v>0</v>
      </c>
      <c r="R109">
        <v>0</v>
      </c>
      <c r="S109">
        <v>0</v>
      </c>
      <c r="T109" t="s">
        <v>253</v>
      </c>
      <c r="U109" t="s">
        <v>7</v>
      </c>
      <c r="V109" t="s">
        <v>253</v>
      </c>
      <c r="W109" t="s">
        <v>132</v>
      </c>
      <c r="X109" t="s">
        <v>253</v>
      </c>
      <c r="Y109" t="s">
        <v>235</v>
      </c>
      <c r="Z109" t="s">
        <v>236</v>
      </c>
      <c r="AA109" t="s">
        <v>253</v>
      </c>
      <c r="AB109" t="s">
        <v>1</v>
      </c>
      <c r="AC109" s="235">
        <v>500000</v>
      </c>
      <c r="AD109" s="235">
        <v>24485.577755361082</v>
      </c>
      <c r="AE109">
        <v>0</v>
      </c>
      <c r="AF109">
        <v>0</v>
      </c>
      <c r="AG109">
        <v>0</v>
      </c>
      <c r="AH109" s="235">
        <v>-2460.6123207733253</v>
      </c>
      <c r="AI109">
        <v>226</v>
      </c>
      <c r="AJ109" t="s">
        <v>256</v>
      </c>
      <c r="AK109">
        <v>0</v>
      </c>
      <c r="AL109">
        <v>0</v>
      </c>
      <c r="AM109">
        <v>0</v>
      </c>
    </row>
    <row r="110" spans="1:39" x14ac:dyDescent="0.25">
      <c r="A110" t="s">
        <v>233</v>
      </c>
      <c r="B110" t="s">
        <v>321</v>
      </c>
      <c r="C110" t="s">
        <v>255</v>
      </c>
      <c r="D110" t="s">
        <v>234</v>
      </c>
      <c r="E110" t="s">
        <v>20</v>
      </c>
      <c r="F110" t="s">
        <v>320</v>
      </c>
      <c r="G110" t="s">
        <v>269</v>
      </c>
      <c r="H110" t="s">
        <v>254</v>
      </c>
      <c r="I110" t="s">
        <v>242</v>
      </c>
      <c r="J110" t="s">
        <v>235</v>
      </c>
      <c r="K110" s="380">
        <v>36861</v>
      </c>
      <c r="L110" s="235">
        <v>67625.326271583297</v>
      </c>
      <c r="M110" s="380">
        <v>36859</v>
      </c>
      <c r="N110" t="s">
        <v>1</v>
      </c>
      <c r="O110">
        <v>0.7</v>
      </c>
      <c r="P110">
        <v>0</v>
      </c>
      <c r="Q110">
        <v>0</v>
      </c>
      <c r="R110">
        <v>0</v>
      </c>
      <c r="S110">
        <v>0</v>
      </c>
      <c r="T110" t="s">
        <v>253</v>
      </c>
      <c r="U110" t="s">
        <v>7</v>
      </c>
      <c r="V110" t="s">
        <v>253</v>
      </c>
      <c r="W110" t="s">
        <v>132</v>
      </c>
      <c r="X110" t="s">
        <v>253</v>
      </c>
      <c r="Y110" t="s">
        <v>235</v>
      </c>
      <c r="Z110" t="s">
        <v>236</v>
      </c>
      <c r="AA110" t="s">
        <v>253</v>
      </c>
      <c r="AB110" t="s">
        <v>1</v>
      </c>
      <c r="AC110" s="235">
        <v>500000</v>
      </c>
      <c r="AD110" s="235">
        <v>26854.262618988651</v>
      </c>
      <c r="AE110">
        <v>0</v>
      </c>
      <c r="AF110">
        <v>0</v>
      </c>
      <c r="AG110">
        <v>0</v>
      </c>
      <c r="AH110" s="235">
        <v>-2764.9832762479637</v>
      </c>
      <c r="AI110">
        <v>226</v>
      </c>
      <c r="AJ110" t="s">
        <v>256</v>
      </c>
      <c r="AK110">
        <v>0</v>
      </c>
      <c r="AL110">
        <v>0</v>
      </c>
      <c r="AM110">
        <v>0</v>
      </c>
    </row>
    <row r="111" spans="1:39" x14ac:dyDescent="0.25">
      <c r="A111" t="s">
        <v>233</v>
      </c>
      <c r="B111" t="s">
        <v>321</v>
      </c>
      <c r="C111" t="s">
        <v>255</v>
      </c>
      <c r="D111" t="s">
        <v>234</v>
      </c>
      <c r="E111" t="s">
        <v>20</v>
      </c>
      <c r="F111" t="s">
        <v>320</v>
      </c>
      <c r="G111" t="s">
        <v>269</v>
      </c>
      <c r="H111" t="s">
        <v>254</v>
      </c>
      <c r="I111" t="s">
        <v>242</v>
      </c>
      <c r="J111" t="s">
        <v>235</v>
      </c>
      <c r="K111" s="380">
        <v>36831</v>
      </c>
      <c r="L111" s="235">
        <v>112243.68419881586</v>
      </c>
      <c r="M111" s="380">
        <v>36829</v>
      </c>
      <c r="N111" t="s">
        <v>1</v>
      </c>
      <c r="O111">
        <v>0.7</v>
      </c>
      <c r="P111">
        <v>0</v>
      </c>
      <c r="Q111">
        <v>0</v>
      </c>
      <c r="R111">
        <v>0</v>
      </c>
      <c r="S111">
        <v>0</v>
      </c>
      <c r="T111" t="s">
        <v>253</v>
      </c>
      <c r="U111" t="s">
        <v>7</v>
      </c>
      <c r="V111" t="s">
        <v>253</v>
      </c>
      <c r="W111" t="s">
        <v>132</v>
      </c>
      <c r="X111" t="s">
        <v>253</v>
      </c>
      <c r="Y111" t="s">
        <v>235</v>
      </c>
      <c r="Z111" t="s">
        <v>236</v>
      </c>
      <c r="AA111" t="s">
        <v>253</v>
      </c>
      <c r="AB111" t="s">
        <v>1</v>
      </c>
      <c r="AC111" s="235">
        <v>500000</v>
      </c>
      <c r="AD111" s="235">
        <v>22551.217129870056</v>
      </c>
      <c r="AE111">
        <v>0</v>
      </c>
      <c r="AF111">
        <v>0</v>
      </c>
      <c r="AG111">
        <v>0</v>
      </c>
      <c r="AH111" s="235">
        <v>-7585.6548787238717</v>
      </c>
      <c r="AI111">
        <v>226</v>
      </c>
      <c r="AJ111" t="s">
        <v>256</v>
      </c>
      <c r="AK111">
        <v>0</v>
      </c>
      <c r="AL111">
        <v>0</v>
      </c>
      <c r="AM111">
        <v>0</v>
      </c>
    </row>
    <row r="112" spans="1:39" x14ac:dyDescent="0.25">
      <c r="A112" t="s">
        <v>233</v>
      </c>
      <c r="B112" t="s">
        <v>322</v>
      </c>
      <c r="C112" t="s">
        <v>255</v>
      </c>
      <c r="D112" t="s">
        <v>234</v>
      </c>
      <c r="E112" t="s">
        <v>20</v>
      </c>
      <c r="F112" t="s">
        <v>320</v>
      </c>
      <c r="G112" t="s">
        <v>269</v>
      </c>
      <c r="H112" t="s">
        <v>254</v>
      </c>
      <c r="I112" t="s">
        <v>242</v>
      </c>
      <c r="J112" t="s">
        <v>235</v>
      </c>
      <c r="K112" s="380">
        <v>36923</v>
      </c>
      <c r="L112" s="235">
        <v>-507261.23592205794</v>
      </c>
      <c r="M112" s="380">
        <v>36921</v>
      </c>
      <c r="N112" t="s">
        <v>21</v>
      </c>
      <c r="O112">
        <v>1.4</v>
      </c>
      <c r="P112">
        <v>0</v>
      </c>
      <c r="Q112">
        <v>0</v>
      </c>
      <c r="R112">
        <v>0</v>
      </c>
      <c r="S112">
        <v>0</v>
      </c>
      <c r="T112" t="s">
        <v>253</v>
      </c>
      <c r="U112" t="s">
        <v>7</v>
      </c>
      <c r="V112" t="s">
        <v>253</v>
      </c>
      <c r="W112" t="s">
        <v>132</v>
      </c>
      <c r="X112" t="s">
        <v>253</v>
      </c>
      <c r="Y112" t="s">
        <v>235</v>
      </c>
      <c r="Z112" t="s">
        <v>236</v>
      </c>
      <c r="AA112" t="s">
        <v>253</v>
      </c>
      <c r="AB112" t="s">
        <v>1</v>
      </c>
      <c r="AC112" s="235">
        <v>-500000</v>
      </c>
      <c r="AD112" s="235">
        <v>-40486.025465118058</v>
      </c>
      <c r="AE112">
        <v>0</v>
      </c>
      <c r="AF112">
        <v>0</v>
      </c>
      <c r="AG112">
        <v>0</v>
      </c>
      <c r="AH112" s="235">
        <v>-25962.458986309881</v>
      </c>
      <c r="AI112">
        <v>226</v>
      </c>
      <c r="AJ112" t="s">
        <v>256</v>
      </c>
      <c r="AK112">
        <v>0</v>
      </c>
      <c r="AL112">
        <v>0</v>
      </c>
      <c r="AM112">
        <v>0</v>
      </c>
    </row>
    <row r="113" spans="1:39" x14ac:dyDescent="0.25">
      <c r="A113" t="s">
        <v>233</v>
      </c>
      <c r="B113" t="s">
        <v>322</v>
      </c>
      <c r="C113" t="s">
        <v>255</v>
      </c>
      <c r="D113" t="s">
        <v>234</v>
      </c>
      <c r="E113" t="s">
        <v>20</v>
      </c>
      <c r="F113" t="s">
        <v>320</v>
      </c>
      <c r="G113" t="s">
        <v>269</v>
      </c>
      <c r="H113" t="s">
        <v>254</v>
      </c>
      <c r="I113" t="s">
        <v>242</v>
      </c>
      <c r="J113" t="s">
        <v>235</v>
      </c>
      <c r="K113" s="380">
        <v>36892</v>
      </c>
      <c r="L113" s="235">
        <v>-522198.68515903148</v>
      </c>
      <c r="M113" s="380">
        <v>36888</v>
      </c>
      <c r="N113" t="s">
        <v>21</v>
      </c>
      <c r="O113">
        <v>1.4</v>
      </c>
      <c r="P113">
        <v>0</v>
      </c>
      <c r="Q113">
        <v>0</v>
      </c>
      <c r="R113">
        <v>0</v>
      </c>
      <c r="S113">
        <v>0</v>
      </c>
      <c r="T113" t="s">
        <v>253</v>
      </c>
      <c r="U113" t="s">
        <v>7</v>
      </c>
      <c r="V113" t="s">
        <v>253</v>
      </c>
      <c r="W113" t="s">
        <v>132</v>
      </c>
      <c r="X113" t="s">
        <v>253</v>
      </c>
      <c r="Y113" t="s">
        <v>235</v>
      </c>
      <c r="Z113" t="s">
        <v>236</v>
      </c>
      <c r="AA113" t="s">
        <v>253</v>
      </c>
      <c r="AB113" t="s">
        <v>1</v>
      </c>
      <c r="AC113" s="235">
        <v>-500000</v>
      </c>
      <c r="AD113" s="235">
        <v>-35849.377365674649</v>
      </c>
      <c r="AE113">
        <v>0</v>
      </c>
      <c r="AF113">
        <v>0</v>
      </c>
      <c r="AG113">
        <v>0</v>
      </c>
      <c r="AH113" s="235">
        <v>-23082.289150268654</v>
      </c>
      <c r="AI113">
        <v>226</v>
      </c>
      <c r="AJ113" t="s">
        <v>256</v>
      </c>
      <c r="AK113">
        <v>0</v>
      </c>
      <c r="AL113">
        <v>0</v>
      </c>
      <c r="AM113">
        <v>0</v>
      </c>
    </row>
    <row r="114" spans="1:39" x14ac:dyDescent="0.25">
      <c r="A114" t="s">
        <v>233</v>
      </c>
      <c r="B114" t="s">
        <v>322</v>
      </c>
      <c r="C114" t="s">
        <v>255</v>
      </c>
      <c r="D114" t="s">
        <v>234</v>
      </c>
      <c r="E114" t="s">
        <v>20</v>
      </c>
      <c r="F114" t="s">
        <v>320</v>
      </c>
      <c r="G114" t="s">
        <v>269</v>
      </c>
      <c r="H114" t="s">
        <v>254</v>
      </c>
      <c r="I114" t="s">
        <v>242</v>
      </c>
      <c r="J114" t="s">
        <v>235</v>
      </c>
      <c r="K114" s="380">
        <v>36861</v>
      </c>
      <c r="L114" s="235">
        <v>-314750.30554387363</v>
      </c>
      <c r="M114" s="380">
        <v>36859</v>
      </c>
      <c r="N114" t="s">
        <v>21</v>
      </c>
      <c r="O114">
        <v>1.4</v>
      </c>
      <c r="P114">
        <v>0</v>
      </c>
      <c r="Q114">
        <v>0</v>
      </c>
      <c r="R114">
        <v>0</v>
      </c>
      <c r="S114">
        <v>0</v>
      </c>
      <c r="T114" t="s">
        <v>253</v>
      </c>
      <c r="U114" t="s">
        <v>7</v>
      </c>
      <c r="V114" t="s">
        <v>253</v>
      </c>
      <c r="W114" t="s">
        <v>132</v>
      </c>
      <c r="X114" t="s">
        <v>253</v>
      </c>
      <c r="Y114" t="s">
        <v>235</v>
      </c>
      <c r="Z114" t="s">
        <v>236</v>
      </c>
      <c r="AA114" t="s">
        <v>253</v>
      </c>
      <c r="AB114" t="s">
        <v>1</v>
      </c>
      <c r="AC114" s="235">
        <v>-500000</v>
      </c>
      <c r="AD114" s="235">
        <v>-35113.391947979224</v>
      </c>
      <c r="AE114">
        <v>0</v>
      </c>
      <c r="AF114">
        <v>0</v>
      </c>
      <c r="AG114">
        <v>0</v>
      </c>
      <c r="AH114" s="235">
        <v>-15248.968952929135</v>
      </c>
      <c r="AI114">
        <v>226</v>
      </c>
      <c r="AJ114" t="s">
        <v>256</v>
      </c>
      <c r="AK114">
        <v>0</v>
      </c>
      <c r="AL114">
        <v>0</v>
      </c>
      <c r="AM114">
        <v>0</v>
      </c>
    </row>
    <row r="115" spans="1:39" x14ac:dyDescent="0.25">
      <c r="A115" t="s">
        <v>233</v>
      </c>
      <c r="B115" t="s">
        <v>323</v>
      </c>
      <c r="C115" t="s">
        <v>255</v>
      </c>
      <c r="D115" t="s">
        <v>234</v>
      </c>
      <c r="E115" t="s">
        <v>20</v>
      </c>
      <c r="F115" t="s">
        <v>320</v>
      </c>
      <c r="G115" t="s">
        <v>269</v>
      </c>
      <c r="H115" t="s">
        <v>254</v>
      </c>
      <c r="I115" t="s">
        <v>242</v>
      </c>
      <c r="J115" t="s">
        <v>235</v>
      </c>
      <c r="K115" s="380">
        <v>36923</v>
      </c>
      <c r="L115" s="235">
        <v>-172165.65532202678</v>
      </c>
      <c r="M115" s="380">
        <v>36921</v>
      </c>
      <c r="N115" t="s">
        <v>1</v>
      </c>
      <c r="O115">
        <v>1.4</v>
      </c>
      <c r="P115">
        <v>0</v>
      </c>
      <c r="Q115">
        <v>0</v>
      </c>
      <c r="R115">
        <v>0</v>
      </c>
      <c r="S115">
        <v>0</v>
      </c>
      <c r="T115" t="s">
        <v>253</v>
      </c>
      <c r="U115" t="s">
        <v>7</v>
      </c>
      <c r="V115" t="s">
        <v>253</v>
      </c>
      <c r="W115" t="s">
        <v>132</v>
      </c>
      <c r="X115" t="s">
        <v>253</v>
      </c>
      <c r="Y115" t="s">
        <v>235</v>
      </c>
      <c r="Z115" t="s">
        <v>236</v>
      </c>
      <c r="AA115" t="s">
        <v>253</v>
      </c>
      <c r="AB115" t="s">
        <v>1</v>
      </c>
      <c r="AC115" s="235">
        <v>-500000</v>
      </c>
      <c r="AD115" s="235">
        <v>-40486.025465118058</v>
      </c>
      <c r="AE115">
        <v>0</v>
      </c>
      <c r="AF115">
        <v>0</v>
      </c>
      <c r="AG115">
        <v>0</v>
      </c>
      <c r="AH115" s="235">
        <v>8015.2693234660837</v>
      </c>
      <c r="AI115">
        <v>226</v>
      </c>
      <c r="AJ115" t="s">
        <v>256</v>
      </c>
      <c r="AK115">
        <v>0</v>
      </c>
      <c r="AL115">
        <v>0</v>
      </c>
      <c r="AM115">
        <v>0</v>
      </c>
    </row>
    <row r="116" spans="1:39" x14ac:dyDescent="0.25">
      <c r="A116" t="s">
        <v>233</v>
      </c>
      <c r="B116" t="s">
        <v>323</v>
      </c>
      <c r="C116" t="s">
        <v>255</v>
      </c>
      <c r="D116" t="s">
        <v>234</v>
      </c>
      <c r="E116" t="s">
        <v>20</v>
      </c>
      <c r="F116" t="s">
        <v>320</v>
      </c>
      <c r="G116" t="s">
        <v>269</v>
      </c>
      <c r="H116" t="s">
        <v>254</v>
      </c>
      <c r="I116" t="s">
        <v>242</v>
      </c>
      <c r="J116" t="s">
        <v>235</v>
      </c>
      <c r="K116" s="380">
        <v>36892</v>
      </c>
      <c r="L116" s="235">
        <v>-145891.82654576772</v>
      </c>
      <c r="M116" s="380">
        <v>36888</v>
      </c>
      <c r="N116" t="s">
        <v>1</v>
      </c>
      <c r="O116">
        <v>1.4</v>
      </c>
      <c r="P116">
        <v>0</v>
      </c>
      <c r="Q116">
        <v>0</v>
      </c>
      <c r="R116">
        <v>0</v>
      </c>
      <c r="S116">
        <v>0</v>
      </c>
      <c r="T116" t="s">
        <v>253</v>
      </c>
      <c r="U116" t="s">
        <v>7</v>
      </c>
      <c r="V116" t="s">
        <v>253</v>
      </c>
      <c r="W116" t="s">
        <v>132</v>
      </c>
      <c r="X116" t="s">
        <v>253</v>
      </c>
      <c r="Y116" t="s">
        <v>235</v>
      </c>
      <c r="Z116" t="s">
        <v>236</v>
      </c>
      <c r="AA116" t="s">
        <v>253</v>
      </c>
      <c r="AB116" t="s">
        <v>1</v>
      </c>
      <c r="AC116" s="235">
        <v>-500000</v>
      </c>
      <c r="AD116" s="235">
        <v>-35849.377365674693</v>
      </c>
      <c r="AE116">
        <v>0</v>
      </c>
      <c r="AF116">
        <v>0</v>
      </c>
      <c r="AG116">
        <v>0</v>
      </c>
      <c r="AH116" s="235">
        <v>6224.6894746995531</v>
      </c>
      <c r="AI116">
        <v>226</v>
      </c>
      <c r="AJ116" t="s">
        <v>256</v>
      </c>
      <c r="AK116">
        <v>0</v>
      </c>
      <c r="AL116">
        <v>0</v>
      </c>
      <c r="AM116">
        <v>0</v>
      </c>
    </row>
    <row r="117" spans="1:39" x14ac:dyDescent="0.25">
      <c r="A117" t="s">
        <v>233</v>
      </c>
      <c r="B117" t="s">
        <v>323</v>
      </c>
      <c r="C117" t="s">
        <v>255</v>
      </c>
      <c r="D117" t="s">
        <v>234</v>
      </c>
      <c r="E117" t="s">
        <v>20</v>
      </c>
      <c r="F117" t="s">
        <v>320</v>
      </c>
      <c r="G117" t="s">
        <v>269</v>
      </c>
      <c r="H117" t="s">
        <v>254</v>
      </c>
      <c r="I117" t="s">
        <v>242</v>
      </c>
      <c r="J117" t="s">
        <v>235</v>
      </c>
      <c r="K117" s="380">
        <v>36861</v>
      </c>
      <c r="L117" s="235">
        <v>-194362.66145534854</v>
      </c>
      <c r="M117" s="380">
        <v>36859</v>
      </c>
      <c r="N117" t="s">
        <v>1</v>
      </c>
      <c r="O117">
        <v>1.4</v>
      </c>
      <c r="P117">
        <v>0</v>
      </c>
      <c r="Q117">
        <v>0</v>
      </c>
      <c r="R117">
        <v>0</v>
      </c>
      <c r="S117">
        <v>0</v>
      </c>
      <c r="T117" t="s">
        <v>253</v>
      </c>
      <c r="U117" t="s">
        <v>7</v>
      </c>
      <c r="V117" t="s">
        <v>253</v>
      </c>
      <c r="W117" t="s">
        <v>132</v>
      </c>
      <c r="X117" t="s">
        <v>253</v>
      </c>
      <c r="Y117" t="s">
        <v>235</v>
      </c>
      <c r="Z117" t="s">
        <v>236</v>
      </c>
      <c r="AA117" t="s">
        <v>253</v>
      </c>
      <c r="AB117" t="s">
        <v>1</v>
      </c>
      <c r="AC117" s="235">
        <v>-500000</v>
      </c>
      <c r="AD117" s="235">
        <v>-35113.391947979224</v>
      </c>
      <c r="AE117">
        <v>0</v>
      </c>
      <c r="AF117">
        <v>0</v>
      </c>
      <c r="AG117">
        <v>0</v>
      </c>
      <c r="AH117" s="235">
        <v>6850.8839217895584</v>
      </c>
      <c r="AI117">
        <v>226</v>
      </c>
      <c r="AJ117" t="s">
        <v>256</v>
      </c>
      <c r="AK117">
        <v>0</v>
      </c>
      <c r="AL117">
        <v>0</v>
      </c>
      <c r="AM117">
        <v>0</v>
      </c>
    </row>
    <row r="118" spans="1:39" x14ac:dyDescent="0.25">
      <c r="A118" t="s">
        <v>233</v>
      </c>
      <c r="B118" t="s">
        <v>326</v>
      </c>
      <c r="C118" t="s">
        <v>255</v>
      </c>
      <c r="D118" t="s">
        <v>234</v>
      </c>
      <c r="E118" t="s">
        <v>20</v>
      </c>
      <c r="F118" t="s">
        <v>279</v>
      </c>
      <c r="G118" t="s">
        <v>269</v>
      </c>
      <c r="H118" t="s">
        <v>254</v>
      </c>
      <c r="I118" t="s">
        <v>242</v>
      </c>
      <c r="J118" t="s">
        <v>235</v>
      </c>
      <c r="K118" s="380">
        <v>36951</v>
      </c>
      <c r="L118" s="235">
        <v>-71142.689100674776</v>
      </c>
      <c r="M118" s="380">
        <v>36949</v>
      </c>
      <c r="N118" t="s">
        <v>21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253</v>
      </c>
      <c r="U118" t="s">
        <v>325</v>
      </c>
      <c r="V118" t="s">
        <v>253</v>
      </c>
      <c r="W118" t="s">
        <v>132</v>
      </c>
      <c r="X118" t="s">
        <v>253</v>
      </c>
      <c r="Y118" t="s">
        <v>235</v>
      </c>
      <c r="Z118" t="s">
        <v>236</v>
      </c>
      <c r="AA118" t="s">
        <v>253</v>
      </c>
      <c r="AB118" t="s">
        <v>1</v>
      </c>
      <c r="AC118" s="235">
        <v>-1000000</v>
      </c>
      <c r="AD118" s="235">
        <v>-12428.832251967629</v>
      </c>
      <c r="AE118">
        <v>0</v>
      </c>
      <c r="AF118">
        <v>0</v>
      </c>
      <c r="AG118">
        <v>0</v>
      </c>
      <c r="AH118" s="235">
        <v>-634.61622781217739</v>
      </c>
      <c r="AI118">
        <v>226</v>
      </c>
      <c r="AJ118" t="s">
        <v>256</v>
      </c>
      <c r="AK118">
        <v>0</v>
      </c>
      <c r="AL118">
        <v>0</v>
      </c>
      <c r="AM118">
        <v>0</v>
      </c>
    </row>
    <row r="119" spans="1:39" x14ac:dyDescent="0.25">
      <c r="A119" t="s">
        <v>233</v>
      </c>
      <c r="B119" t="s">
        <v>326</v>
      </c>
      <c r="C119" t="s">
        <v>255</v>
      </c>
      <c r="D119" t="s">
        <v>234</v>
      </c>
      <c r="E119" t="s">
        <v>20</v>
      </c>
      <c r="F119" t="s">
        <v>279</v>
      </c>
      <c r="G119" t="s">
        <v>269</v>
      </c>
      <c r="H119" t="s">
        <v>254</v>
      </c>
      <c r="I119" t="s">
        <v>242</v>
      </c>
      <c r="J119" t="s">
        <v>235</v>
      </c>
      <c r="K119" s="380">
        <v>36923</v>
      </c>
      <c r="L119" s="235">
        <v>-77674.757511825141</v>
      </c>
      <c r="M119" s="380">
        <v>36921</v>
      </c>
      <c r="N119" t="s">
        <v>21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253</v>
      </c>
      <c r="U119" t="s">
        <v>325</v>
      </c>
      <c r="V119" t="s">
        <v>253</v>
      </c>
      <c r="W119" t="s">
        <v>132</v>
      </c>
      <c r="X119" t="s">
        <v>253</v>
      </c>
      <c r="Y119" t="s">
        <v>235</v>
      </c>
      <c r="Z119" t="s">
        <v>236</v>
      </c>
      <c r="AA119" t="s">
        <v>253</v>
      </c>
      <c r="AB119" t="s">
        <v>1</v>
      </c>
      <c r="AC119" s="235">
        <v>-1000000</v>
      </c>
      <c r="AD119" s="235">
        <v>-12805.792313298909</v>
      </c>
      <c r="AE119">
        <v>0</v>
      </c>
      <c r="AF119">
        <v>0</v>
      </c>
      <c r="AG119">
        <v>0</v>
      </c>
      <c r="AH119" s="235">
        <v>-616.76923998762504</v>
      </c>
      <c r="AI119">
        <v>226</v>
      </c>
      <c r="AJ119" t="s">
        <v>256</v>
      </c>
      <c r="AK119">
        <v>0</v>
      </c>
      <c r="AL119">
        <v>0</v>
      </c>
      <c r="AM119">
        <v>0</v>
      </c>
    </row>
    <row r="120" spans="1:39" x14ac:dyDescent="0.25">
      <c r="A120" t="s">
        <v>233</v>
      </c>
      <c r="B120" t="s">
        <v>326</v>
      </c>
      <c r="C120" t="s">
        <v>255</v>
      </c>
      <c r="D120" t="s">
        <v>234</v>
      </c>
      <c r="E120" t="s">
        <v>20</v>
      </c>
      <c r="F120" t="s">
        <v>279</v>
      </c>
      <c r="G120" t="s">
        <v>269</v>
      </c>
      <c r="H120" t="s">
        <v>254</v>
      </c>
      <c r="I120" t="s">
        <v>242</v>
      </c>
      <c r="J120" t="s">
        <v>235</v>
      </c>
      <c r="K120" s="380">
        <v>36892</v>
      </c>
      <c r="L120" s="235">
        <v>-72817.75418204267</v>
      </c>
      <c r="M120" s="380">
        <v>36888</v>
      </c>
      <c r="N120" t="s">
        <v>21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253</v>
      </c>
      <c r="U120" t="s">
        <v>325</v>
      </c>
      <c r="V120" t="s">
        <v>253</v>
      </c>
      <c r="W120" t="s">
        <v>132</v>
      </c>
      <c r="X120" t="s">
        <v>253</v>
      </c>
      <c r="Y120" t="s">
        <v>235</v>
      </c>
      <c r="Z120" t="s">
        <v>236</v>
      </c>
      <c r="AA120" t="s">
        <v>253</v>
      </c>
      <c r="AB120" t="s">
        <v>1</v>
      </c>
      <c r="AC120" s="235">
        <v>-1000000</v>
      </c>
      <c r="AD120" s="235">
        <v>-11719.073011935805</v>
      </c>
      <c r="AE120">
        <v>0</v>
      </c>
      <c r="AF120">
        <v>0</v>
      </c>
      <c r="AG120">
        <v>0</v>
      </c>
      <c r="AH120" s="235">
        <v>-566.00262099893007</v>
      </c>
      <c r="AI120">
        <v>226</v>
      </c>
      <c r="AJ120" t="s">
        <v>256</v>
      </c>
      <c r="AK120">
        <v>0</v>
      </c>
      <c r="AL120">
        <v>0</v>
      </c>
      <c r="AM120">
        <v>0</v>
      </c>
    </row>
    <row r="121" spans="1:39" x14ac:dyDescent="0.25">
      <c r="A121" t="s">
        <v>233</v>
      </c>
      <c r="B121" t="s">
        <v>326</v>
      </c>
      <c r="C121" t="s">
        <v>255</v>
      </c>
      <c r="D121" t="s">
        <v>234</v>
      </c>
      <c r="E121" t="s">
        <v>20</v>
      </c>
      <c r="F121" t="s">
        <v>279</v>
      </c>
      <c r="G121" t="s">
        <v>269</v>
      </c>
      <c r="H121" t="s">
        <v>254</v>
      </c>
      <c r="I121" t="s">
        <v>242</v>
      </c>
      <c r="J121" t="s">
        <v>235</v>
      </c>
      <c r="K121" s="380">
        <v>36861</v>
      </c>
      <c r="L121" s="235">
        <v>-59315.326948970003</v>
      </c>
      <c r="M121" s="380">
        <v>36859</v>
      </c>
      <c r="N121" t="s">
        <v>21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253</v>
      </c>
      <c r="U121" t="s">
        <v>325</v>
      </c>
      <c r="V121" t="s">
        <v>253</v>
      </c>
      <c r="W121" t="s">
        <v>132</v>
      </c>
      <c r="X121" t="s">
        <v>253</v>
      </c>
      <c r="Y121" t="s">
        <v>235</v>
      </c>
      <c r="Z121" t="s">
        <v>236</v>
      </c>
      <c r="AA121" t="s">
        <v>253</v>
      </c>
      <c r="AB121" t="s">
        <v>1</v>
      </c>
      <c r="AC121" s="235">
        <v>-1000000</v>
      </c>
      <c r="AD121" s="235">
        <v>-10352.450034938753</v>
      </c>
      <c r="AE121">
        <v>0</v>
      </c>
      <c r="AF121">
        <v>0</v>
      </c>
      <c r="AG121">
        <v>0</v>
      </c>
      <c r="AH121" s="235">
        <v>-522.77235381308856</v>
      </c>
      <c r="AI121">
        <v>226</v>
      </c>
      <c r="AJ121" t="s">
        <v>256</v>
      </c>
      <c r="AK121">
        <v>0</v>
      </c>
      <c r="AL121">
        <v>0</v>
      </c>
      <c r="AM121">
        <v>0</v>
      </c>
    </row>
    <row r="122" spans="1:39" x14ac:dyDescent="0.25">
      <c r="A122" t="s">
        <v>233</v>
      </c>
      <c r="B122" t="s">
        <v>326</v>
      </c>
      <c r="C122" t="s">
        <v>255</v>
      </c>
      <c r="D122" t="s">
        <v>234</v>
      </c>
      <c r="E122" t="s">
        <v>20</v>
      </c>
      <c r="F122" t="s">
        <v>279</v>
      </c>
      <c r="G122" t="s">
        <v>269</v>
      </c>
      <c r="H122" t="s">
        <v>254</v>
      </c>
      <c r="I122" t="s">
        <v>242</v>
      </c>
      <c r="J122" t="s">
        <v>235</v>
      </c>
      <c r="K122" s="380">
        <v>36831</v>
      </c>
      <c r="L122" s="235">
        <v>-39503.038518871253</v>
      </c>
      <c r="M122" s="380">
        <v>36829</v>
      </c>
      <c r="N122" t="s">
        <v>21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253</v>
      </c>
      <c r="U122" t="s">
        <v>325</v>
      </c>
      <c r="V122" t="s">
        <v>253</v>
      </c>
      <c r="W122" t="s">
        <v>132</v>
      </c>
      <c r="X122" t="s">
        <v>253</v>
      </c>
      <c r="Y122" t="s">
        <v>235</v>
      </c>
      <c r="Z122" t="s">
        <v>236</v>
      </c>
      <c r="AA122" t="s">
        <v>253</v>
      </c>
      <c r="AB122" t="s">
        <v>1</v>
      </c>
      <c r="AC122" s="235">
        <v>-1000000</v>
      </c>
      <c r="AD122" s="235">
        <v>-8599.093135254865</v>
      </c>
      <c r="AE122">
        <v>0</v>
      </c>
      <c r="AF122">
        <v>0</v>
      </c>
      <c r="AG122">
        <v>0</v>
      </c>
      <c r="AH122" s="235">
        <v>-463.65030285940156</v>
      </c>
      <c r="AI122">
        <v>226</v>
      </c>
      <c r="AJ122" t="s">
        <v>256</v>
      </c>
      <c r="AK122">
        <v>0</v>
      </c>
      <c r="AL122">
        <v>0</v>
      </c>
      <c r="AM122">
        <v>0</v>
      </c>
    </row>
    <row r="123" spans="1:39" x14ac:dyDescent="0.25">
      <c r="A123" t="s">
        <v>233</v>
      </c>
      <c r="B123" t="s">
        <v>326</v>
      </c>
      <c r="C123" t="s">
        <v>255</v>
      </c>
      <c r="D123" t="s">
        <v>234</v>
      </c>
      <c r="E123" t="s">
        <v>20</v>
      </c>
      <c r="F123" t="s">
        <v>279</v>
      </c>
      <c r="G123" t="s">
        <v>269</v>
      </c>
      <c r="H123" t="s">
        <v>254</v>
      </c>
      <c r="I123" t="s">
        <v>242</v>
      </c>
      <c r="J123" t="s">
        <v>235</v>
      </c>
      <c r="K123" s="380">
        <v>36800</v>
      </c>
      <c r="L123" s="235">
        <v>-1170.31335042456</v>
      </c>
      <c r="M123" s="380">
        <v>36797</v>
      </c>
      <c r="N123" t="s">
        <v>21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253</v>
      </c>
      <c r="U123" t="s">
        <v>325</v>
      </c>
      <c r="V123" t="s">
        <v>253</v>
      </c>
      <c r="W123" t="s">
        <v>132</v>
      </c>
      <c r="X123" t="s">
        <v>253</v>
      </c>
      <c r="Y123" t="s">
        <v>235</v>
      </c>
      <c r="Z123" t="s">
        <v>236</v>
      </c>
      <c r="AA123" t="s">
        <v>253</v>
      </c>
      <c r="AB123" t="s">
        <v>1</v>
      </c>
      <c r="AC123" s="235">
        <v>-1000000</v>
      </c>
      <c r="AD123" s="235">
        <v>-1234.2130285719832</v>
      </c>
      <c r="AE123">
        <v>0</v>
      </c>
      <c r="AF123">
        <v>0</v>
      </c>
      <c r="AG123">
        <v>0</v>
      </c>
      <c r="AH123" s="235">
        <v>-73.0490748787538</v>
      </c>
      <c r="AI123">
        <v>226</v>
      </c>
      <c r="AJ123" t="s">
        <v>256</v>
      </c>
      <c r="AK123">
        <v>0</v>
      </c>
      <c r="AL123">
        <v>0</v>
      </c>
      <c r="AM123">
        <v>0</v>
      </c>
    </row>
    <row r="124" spans="1:39" x14ac:dyDescent="0.25">
      <c r="A124" t="s">
        <v>233</v>
      </c>
      <c r="B124" t="s">
        <v>326</v>
      </c>
      <c r="C124" t="s">
        <v>255</v>
      </c>
      <c r="D124" t="s">
        <v>234</v>
      </c>
      <c r="E124" t="s">
        <v>20</v>
      </c>
      <c r="F124" t="s">
        <v>279</v>
      </c>
      <c r="G124" t="s">
        <v>269</v>
      </c>
      <c r="H124" t="s">
        <v>254</v>
      </c>
      <c r="I124" t="s">
        <v>242</v>
      </c>
      <c r="J124" t="s">
        <v>235</v>
      </c>
      <c r="K124" s="380">
        <v>36770</v>
      </c>
      <c r="L124" s="235">
        <v>-2.9317190494040337E-27</v>
      </c>
      <c r="M124" s="380">
        <v>36768</v>
      </c>
      <c r="N124" t="s">
        <v>21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253</v>
      </c>
      <c r="U124" t="s">
        <v>325</v>
      </c>
      <c r="V124" t="s">
        <v>253</v>
      </c>
      <c r="W124" t="s">
        <v>132</v>
      </c>
      <c r="X124" t="s">
        <v>253</v>
      </c>
      <c r="Y124" t="s">
        <v>235</v>
      </c>
      <c r="Z124" t="s">
        <v>236</v>
      </c>
      <c r="AA124" t="s">
        <v>253</v>
      </c>
      <c r="AB124" t="s">
        <v>1</v>
      </c>
      <c r="AC124" s="235">
        <v>-1000000</v>
      </c>
      <c r="AD124" s="235">
        <v>-8.9781342977392657E-26</v>
      </c>
      <c r="AE124">
        <v>0</v>
      </c>
      <c r="AF124">
        <v>0</v>
      </c>
      <c r="AG124">
        <v>0</v>
      </c>
      <c r="AH124" s="235">
        <v>-4.8393400979331718E-5</v>
      </c>
      <c r="AI124">
        <v>226</v>
      </c>
      <c r="AJ124" t="s">
        <v>256</v>
      </c>
      <c r="AK124">
        <v>0</v>
      </c>
      <c r="AL124">
        <v>0</v>
      </c>
      <c r="AM124">
        <v>0</v>
      </c>
    </row>
    <row r="125" spans="1:39" x14ac:dyDescent="0.25">
      <c r="A125" t="s">
        <v>233</v>
      </c>
      <c r="B125" t="s">
        <v>327</v>
      </c>
      <c r="C125" t="s">
        <v>255</v>
      </c>
      <c r="D125" t="s">
        <v>234</v>
      </c>
      <c r="E125" t="s">
        <v>20</v>
      </c>
      <c r="F125" t="s">
        <v>279</v>
      </c>
      <c r="G125" t="s">
        <v>269</v>
      </c>
      <c r="H125" t="s">
        <v>254</v>
      </c>
      <c r="I125" t="s">
        <v>242</v>
      </c>
      <c r="J125" t="s">
        <v>235</v>
      </c>
      <c r="K125" s="380">
        <v>36951</v>
      </c>
      <c r="L125" s="235">
        <v>-39745.151691995772</v>
      </c>
      <c r="M125" s="380">
        <v>36949</v>
      </c>
      <c r="N125" t="s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253</v>
      </c>
      <c r="U125" t="s">
        <v>325</v>
      </c>
      <c r="V125" t="s">
        <v>253</v>
      </c>
      <c r="W125" t="s">
        <v>132</v>
      </c>
      <c r="X125" t="s">
        <v>253</v>
      </c>
      <c r="Y125" t="s">
        <v>235</v>
      </c>
      <c r="Z125" t="s">
        <v>236</v>
      </c>
      <c r="AA125" t="s">
        <v>253</v>
      </c>
      <c r="AB125" t="s">
        <v>1</v>
      </c>
      <c r="AC125" s="235">
        <v>-1000000</v>
      </c>
      <c r="AD125" s="235">
        <v>-12428.832251967571</v>
      </c>
      <c r="AE125">
        <v>0</v>
      </c>
      <c r="AF125">
        <v>0</v>
      </c>
      <c r="AG125">
        <v>0</v>
      </c>
      <c r="AH125" s="235">
        <v>-634.61622781124606</v>
      </c>
      <c r="AI125">
        <v>226</v>
      </c>
      <c r="AJ125" t="s">
        <v>256</v>
      </c>
      <c r="AK125">
        <v>0</v>
      </c>
      <c r="AL125">
        <v>0</v>
      </c>
      <c r="AM125">
        <v>0</v>
      </c>
    </row>
    <row r="126" spans="1:39" x14ac:dyDescent="0.25">
      <c r="A126" t="s">
        <v>233</v>
      </c>
      <c r="B126" t="s">
        <v>327</v>
      </c>
      <c r="C126" t="s">
        <v>255</v>
      </c>
      <c r="D126" t="s">
        <v>234</v>
      </c>
      <c r="E126" t="s">
        <v>20</v>
      </c>
      <c r="F126" t="s">
        <v>279</v>
      </c>
      <c r="G126" t="s">
        <v>269</v>
      </c>
      <c r="H126" t="s">
        <v>254</v>
      </c>
      <c r="I126" t="s">
        <v>242</v>
      </c>
      <c r="J126" t="s">
        <v>235</v>
      </c>
      <c r="K126" s="380">
        <v>36923</v>
      </c>
      <c r="L126" s="235">
        <v>-43679.553682835605</v>
      </c>
      <c r="M126" s="380">
        <v>36921</v>
      </c>
      <c r="N126" t="s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253</v>
      </c>
      <c r="U126" t="s">
        <v>325</v>
      </c>
      <c r="V126" t="s">
        <v>253</v>
      </c>
      <c r="W126" t="s">
        <v>132</v>
      </c>
      <c r="X126" t="s">
        <v>253</v>
      </c>
      <c r="Y126" t="s">
        <v>235</v>
      </c>
      <c r="Z126" t="s">
        <v>236</v>
      </c>
      <c r="AA126" t="s">
        <v>253</v>
      </c>
      <c r="AB126" t="s">
        <v>1</v>
      </c>
      <c r="AC126" s="235">
        <v>-1000000</v>
      </c>
      <c r="AD126" s="235">
        <v>-12805.792313298967</v>
      </c>
      <c r="AE126">
        <v>0</v>
      </c>
      <c r="AF126">
        <v>0</v>
      </c>
      <c r="AG126">
        <v>0</v>
      </c>
      <c r="AH126" s="235">
        <v>-616.76923998721031</v>
      </c>
      <c r="AI126">
        <v>226</v>
      </c>
      <c r="AJ126" t="s">
        <v>256</v>
      </c>
      <c r="AK126">
        <v>0</v>
      </c>
      <c r="AL126">
        <v>0</v>
      </c>
      <c r="AM126">
        <v>0</v>
      </c>
    </row>
    <row r="127" spans="1:39" x14ac:dyDescent="0.25">
      <c r="A127" t="s">
        <v>233</v>
      </c>
      <c r="B127" t="s">
        <v>327</v>
      </c>
      <c r="C127" t="s">
        <v>255</v>
      </c>
      <c r="D127" t="s">
        <v>234</v>
      </c>
      <c r="E127" t="s">
        <v>20</v>
      </c>
      <c r="F127" t="s">
        <v>279</v>
      </c>
      <c r="G127" t="s">
        <v>269</v>
      </c>
      <c r="H127" t="s">
        <v>254</v>
      </c>
      <c r="I127" t="s">
        <v>242</v>
      </c>
      <c r="J127" t="s">
        <v>235</v>
      </c>
      <c r="K127" s="380">
        <v>36892</v>
      </c>
      <c r="L127" s="235">
        <v>-43495.141822567086</v>
      </c>
      <c r="M127" s="380">
        <v>36888</v>
      </c>
      <c r="N127" t="s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253</v>
      </c>
      <c r="U127" t="s">
        <v>325</v>
      </c>
      <c r="V127" t="s">
        <v>253</v>
      </c>
      <c r="W127" t="s">
        <v>132</v>
      </c>
      <c r="X127" t="s">
        <v>253</v>
      </c>
      <c r="Y127" t="s">
        <v>235</v>
      </c>
      <c r="Z127" t="s">
        <v>236</v>
      </c>
      <c r="AA127" t="s">
        <v>253</v>
      </c>
      <c r="AB127" t="s">
        <v>1</v>
      </c>
      <c r="AC127" s="235">
        <v>-1000000</v>
      </c>
      <c r="AD127" s="235">
        <v>-11719.073011935863</v>
      </c>
      <c r="AE127">
        <v>0</v>
      </c>
      <c r="AF127">
        <v>0</v>
      </c>
      <c r="AG127">
        <v>0</v>
      </c>
      <c r="AH127" s="235">
        <v>-566.00262099948304</v>
      </c>
      <c r="AI127">
        <v>226</v>
      </c>
      <c r="AJ127" t="s">
        <v>256</v>
      </c>
      <c r="AK127">
        <v>0</v>
      </c>
      <c r="AL127">
        <v>0</v>
      </c>
      <c r="AM127">
        <v>0</v>
      </c>
    </row>
    <row r="128" spans="1:39" x14ac:dyDescent="0.25">
      <c r="A128" t="s">
        <v>233</v>
      </c>
      <c r="B128" t="s">
        <v>327</v>
      </c>
      <c r="C128" t="s">
        <v>255</v>
      </c>
      <c r="D128" t="s">
        <v>234</v>
      </c>
      <c r="E128" t="s">
        <v>20</v>
      </c>
      <c r="F128" t="s">
        <v>279</v>
      </c>
      <c r="G128" t="s">
        <v>269</v>
      </c>
      <c r="H128" t="s">
        <v>254</v>
      </c>
      <c r="I128" t="s">
        <v>242</v>
      </c>
      <c r="J128" t="s">
        <v>235</v>
      </c>
      <c r="K128" s="380">
        <v>36861</v>
      </c>
      <c r="L128" s="235">
        <v>-42117.092079180904</v>
      </c>
      <c r="M128" s="380">
        <v>36859</v>
      </c>
      <c r="N128" t="s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253</v>
      </c>
      <c r="U128" t="s">
        <v>325</v>
      </c>
      <c r="V128" t="s">
        <v>253</v>
      </c>
      <c r="W128" t="s">
        <v>132</v>
      </c>
      <c r="X128" t="s">
        <v>253</v>
      </c>
      <c r="Y128" t="s">
        <v>235</v>
      </c>
      <c r="Z128" t="s">
        <v>236</v>
      </c>
      <c r="AA128" t="s">
        <v>253</v>
      </c>
      <c r="AB128" t="s">
        <v>1</v>
      </c>
      <c r="AC128" s="235">
        <v>-1000000</v>
      </c>
      <c r="AD128" s="235">
        <v>-10352.450034938636</v>
      </c>
      <c r="AE128">
        <v>0</v>
      </c>
      <c r="AF128">
        <v>0</v>
      </c>
      <c r="AG128">
        <v>0</v>
      </c>
      <c r="AH128" s="235">
        <v>-522.77235381215723</v>
      </c>
      <c r="AI128">
        <v>226</v>
      </c>
      <c r="AJ128" t="s">
        <v>256</v>
      </c>
      <c r="AK128">
        <v>0</v>
      </c>
      <c r="AL128">
        <v>0</v>
      </c>
      <c r="AM128">
        <v>0</v>
      </c>
    </row>
    <row r="129" spans="1:39" x14ac:dyDescent="0.25">
      <c r="A129" t="s">
        <v>233</v>
      </c>
      <c r="B129" t="s">
        <v>327</v>
      </c>
      <c r="C129" t="s">
        <v>255</v>
      </c>
      <c r="D129" t="s">
        <v>234</v>
      </c>
      <c r="E129" t="s">
        <v>20</v>
      </c>
      <c r="F129" t="s">
        <v>279</v>
      </c>
      <c r="G129" t="s">
        <v>269</v>
      </c>
      <c r="H129" t="s">
        <v>254</v>
      </c>
      <c r="I129" t="s">
        <v>242</v>
      </c>
      <c r="J129" t="s">
        <v>235</v>
      </c>
      <c r="K129" s="380">
        <v>36831</v>
      </c>
      <c r="L129" s="235">
        <v>-41973.841928169444</v>
      </c>
      <c r="M129" s="380">
        <v>36829</v>
      </c>
      <c r="N129" t="s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253</v>
      </c>
      <c r="U129" t="s">
        <v>325</v>
      </c>
      <c r="V129" t="s">
        <v>253</v>
      </c>
      <c r="W129" t="s">
        <v>132</v>
      </c>
      <c r="X129" t="s">
        <v>253</v>
      </c>
      <c r="Y129" t="s">
        <v>235</v>
      </c>
      <c r="Z129" t="s">
        <v>236</v>
      </c>
      <c r="AA129" t="s">
        <v>253</v>
      </c>
      <c r="AB129" t="s">
        <v>1</v>
      </c>
      <c r="AC129" s="235">
        <v>-1000000</v>
      </c>
      <c r="AD129" s="235">
        <v>-8599.0931352548068</v>
      </c>
      <c r="AE129">
        <v>0</v>
      </c>
      <c r="AF129">
        <v>0</v>
      </c>
      <c r="AG129">
        <v>0</v>
      </c>
      <c r="AH129" s="235">
        <v>-463.65030285944522</v>
      </c>
      <c r="AI129">
        <v>226</v>
      </c>
      <c r="AJ129" t="s">
        <v>256</v>
      </c>
      <c r="AK129">
        <v>0</v>
      </c>
      <c r="AL129">
        <v>0</v>
      </c>
      <c r="AM129">
        <v>0</v>
      </c>
    </row>
    <row r="130" spans="1:39" x14ac:dyDescent="0.25">
      <c r="A130" t="s">
        <v>233</v>
      </c>
      <c r="B130" t="s">
        <v>327</v>
      </c>
      <c r="C130" t="s">
        <v>255</v>
      </c>
      <c r="D130" t="s">
        <v>234</v>
      </c>
      <c r="E130" t="s">
        <v>20</v>
      </c>
      <c r="F130" t="s">
        <v>279</v>
      </c>
      <c r="G130" t="s">
        <v>269</v>
      </c>
      <c r="H130" t="s">
        <v>254</v>
      </c>
      <c r="I130" t="s">
        <v>242</v>
      </c>
      <c r="J130" t="s">
        <v>235</v>
      </c>
      <c r="K130" s="380">
        <v>36800</v>
      </c>
      <c r="L130" s="235">
        <v>-90651.998595038036</v>
      </c>
      <c r="M130" s="380">
        <v>36797</v>
      </c>
      <c r="N130" t="s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253</v>
      </c>
      <c r="U130" t="s">
        <v>325</v>
      </c>
      <c r="V130" t="s">
        <v>253</v>
      </c>
      <c r="W130" t="s">
        <v>132</v>
      </c>
      <c r="X130" t="s">
        <v>253</v>
      </c>
      <c r="Y130" t="s">
        <v>235</v>
      </c>
      <c r="Z130" t="s">
        <v>236</v>
      </c>
      <c r="AA130" t="s">
        <v>253</v>
      </c>
      <c r="AB130" t="s">
        <v>1</v>
      </c>
      <c r="AC130" s="235">
        <v>-1000000</v>
      </c>
      <c r="AD130" s="235">
        <v>-1234.2130285720341</v>
      </c>
      <c r="AE130">
        <v>0</v>
      </c>
      <c r="AF130">
        <v>0</v>
      </c>
      <c r="AG130">
        <v>0</v>
      </c>
      <c r="AH130" s="235">
        <v>-73.049074878814281</v>
      </c>
      <c r="AI130">
        <v>226</v>
      </c>
      <c r="AJ130" t="s">
        <v>256</v>
      </c>
      <c r="AK130">
        <v>0</v>
      </c>
      <c r="AL130">
        <v>0</v>
      </c>
      <c r="AM130">
        <v>0</v>
      </c>
    </row>
    <row r="131" spans="1:39" x14ac:dyDescent="0.25">
      <c r="A131" t="s">
        <v>233</v>
      </c>
      <c r="B131" t="s">
        <v>327</v>
      </c>
      <c r="C131" t="s">
        <v>255</v>
      </c>
      <c r="D131" t="s">
        <v>234</v>
      </c>
      <c r="E131" t="s">
        <v>20</v>
      </c>
      <c r="F131" t="s">
        <v>279</v>
      </c>
      <c r="G131" t="s">
        <v>269</v>
      </c>
      <c r="H131" t="s">
        <v>254</v>
      </c>
      <c r="I131" t="s">
        <v>242</v>
      </c>
      <c r="J131" t="s">
        <v>235</v>
      </c>
      <c r="K131" s="380">
        <v>36770</v>
      </c>
      <c r="L131" s="235">
        <v>-109959.52130821074</v>
      </c>
      <c r="M131" s="380">
        <v>36768</v>
      </c>
      <c r="N131" t="s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253</v>
      </c>
      <c r="U131" t="s">
        <v>325</v>
      </c>
      <c r="V131" t="s">
        <v>253</v>
      </c>
      <c r="W131" t="s">
        <v>132</v>
      </c>
      <c r="X131" t="s">
        <v>253</v>
      </c>
      <c r="Y131" t="s">
        <v>235</v>
      </c>
      <c r="Z131" t="s">
        <v>236</v>
      </c>
      <c r="AA131" t="s">
        <v>253</v>
      </c>
      <c r="AB131" t="s">
        <v>1</v>
      </c>
      <c r="AC131" s="235">
        <v>-1000000</v>
      </c>
      <c r="AD131" s="235">
        <v>0</v>
      </c>
      <c r="AE131">
        <v>0</v>
      </c>
      <c r="AF131">
        <v>0</v>
      </c>
      <c r="AG131">
        <v>0</v>
      </c>
      <c r="AH131" s="235">
        <v>4995.4047781417612</v>
      </c>
      <c r="AI131">
        <v>226</v>
      </c>
      <c r="AJ131" t="s">
        <v>256</v>
      </c>
      <c r="AK131">
        <v>0</v>
      </c>
      <c r="AL131">
        <v>0</v>
      </c>
      <c r="AM131">
        <v>0</v>
      </c>
    </row>
    <row r="132" spans="1:39" x14ac:dyDescent="0.25">
      <c r="A132" t="s">
        <v>233</v>
      </c>
      <c r="B132" t="s">
        <v>328</v>
      </c>
      <c r="C132" t="s">
        <v>255</v>
      </c>
      <c r="D132" t="s">
        <v>234</v>
      </c>
      <c r="E132" t="s">
        <v>20</v>
      </c>
      <c r="F132" t="s">
        <v>284</v>
      </c>
      <c r="G132" t="s">
        <v>269</v>
      </c>
      <c r="H132" t="s">
        <v>254</v>
      </c>
      <c r="I132" t="s">
        <v>242</v>
      </c>
      <c r="J132" t="s">
        <v>235</v>
      </c>
      <c r="K132" s="380">
        <v>36951</v>
      </c>
      <c r="L132" s="235">
        <v>62469.059813918444</v>
      </c>
      <c r="M132" s="380">
        <v>36949</v>
      </c>
      <c r="N132" t="s">
        <v>21</v>
      </c>
      <c r="O132">
        <v>2.2000000000000002</v>
      </c>
      <c r="P132">
        <v>0</v>
      </c>
      <c r="Q132">
        <v>0</v>
      </c>
      <c r="R132">
        <v>0</v>
      </c>
      <c r="S132">
        <v>0</v>
      </c>
      <c r="T132" t="s">
        <v>253</v>
      </c>
      <c r="U132" t="s">
        <v>7</v>
      </c>
      <c r="V132" t="s">
        <v>253</v>
      </c>
      <c r="W132" t="s">
        <v>132</v>
      </c>
      <c r="X132" t="s">
        <v>253</v>
      </c>
      <c r="Y132" t="s">
        <v>235</v>
      </c>
      <c r="Z132" t="s">
        <v>236</v>
      </c>
      <c r="AA132" t="s">
        <v>253</v>
      </c>
      <c r="AB132" t="s">
        <v>1</v>
      </c>
      <c r="AC132" s="235">
        <v>310000</v>
      </c>
      <c r="AD132" s="235">
        <v>20293.308553530798</v>
      </c>
      <c r="AE132">
        <v>0</v>
      </c>
      <c r="AF132">
        <v>0</v>
      </c>
      <c r="AG132">
        <v>0</v>
      </c>
      <c r="AH132" s="235">
        <v>5874.0424031467992</v>
      </c>
      <c r="AI132">
        <v>226</v>
      </c>
      <c r="AJ132" t="s">
        <v>256</v>
      </c>
      <c r="AK132">
        <v>0</v>
      </c>
      <c r="AL132">
        <v>0</v>
      </c>
      <c r="AM132">
        <v>0</v>
      </c>
    </row>
    <row r="133" spans="1:39" x14ac:dyDescent="0.25">
      <c r="A133" t="s">
        <v>233</v>
      </c>
      <c r="B133" t="s">
        <v>328</v>
      </c>
      <c r="C133" t="s">
        <v>255</v>
      </c>
      <c r="D133" t="s">
        <v>234</v>
      </c>
      <c r="E133" t="s">
        <v>20</v>
      </c>
      <c r="F133" t="s">
        <v>284</v>
      </c>
      <c r="G133" t="s">
        <v>269</v>
      </c>
      <c r="H133" t="s">
        <v>254</v>
      </c>
      <c r="I133" t="s">
        <v>242</v>
      </c>
      <c r="J133" t="s">
        <v>235</v>
      </c>
      <c r="K133" s="380">
        <v>36923</v>
      </c>
      <c r="L133" s="235">
        <v>179351.39379154576</v>
      </c>
      <c r="M133" s="380">
        <v>36921</v>
      </c>
      <c r="N133" t="s">
        <v>21</v>
      </c>
      <c r="O133">
        <v>2.2000000000000002</v>
      </c>
      <c r="P133">
        <v>0</v>
      </c>
      <c r="Q133">
        <v>0</v>
      </c>
      <c r="R133">
        <v>0</v>
      </c>
      <c r="S133">
        <v>0</v>
      </c>
      <c r="T133" t="s">
        <v>253</v>
      </c>
      <c r="U133" t="s">
        <v>7</v>
      </c>
      <c r="V133" t="s">
        <v>253</v>
      </c>
      <c r="W133" t="s">
        <v>132</v>
      </c>
      <c r="X133" t="s">
        <v>253</v>
      </c>
      <c r="Y133" t="s">
        <v>235</v>
      </c>
      <c r="Z133" t="s">
        <v>236</v>
      </c>
      <c r="AA133" t="s">
        <v>253</v>
      </c>
      <c r="AB133" t="s">
        <v>1</v>
      </c>
      <c r="AC133" s="235">
        <v>280000</v>
      </c>
      <c r="AD133" s="235">
        <v>23898.539070236002</v>
      </c>
      <c r="AE133">
        <v>0</v>
      </c>
      <c r="AF133">
        <v>0</v>
      </c>
      <c r="AG133">
        <v>0</v>
      </c>
      <c r="AH133" s="235">
        <v>11149.557908673625</v>
      </c>
      <c r="AI133">
        <v>226</v>
      </c>
      <c r="AJ133" t="s">
        <v>256</v>
      </c>
      <c r="AK133">
        <v>0</v>
      </c>
      <c r="AL133">
        <v>0</v>
      </c>
      <c r="AM133">
        <v>0</v>
      </c>
    </row>
    <row r="134" spans="1:39" x14ac:dyDescent="0.25">
      <c r="A134" t="s">
        <v>233</v>
      </c>
      <c r="B134" t="s">
        <v>328</v>
      </c>
      <c r="C134" t="s">
        <v>255</v>
      </c>
      <c r="D134" t="s">
        <v>234</v>
      </c>
      <c r="E134" t="s">
        <v>20</v>
      </c>
      <c r="F134" t="s">
        <v>284</v>
      </c>
      <c r="G134" t="s">
        <v>269</v>
      </c>
      <c r="H134" t="s">
        <v>254</v>
      </c>
      <c r="I134" t="s">
        <v>242</v>
      </c>
      <c r="J134" t="s">
        <v>235</v>
      </c>
      <c r="K134" s="380">
        <v>36892</v>
      </c>
      <c r="L134" s="235">
        <v>199213.59746695129</v>
      </c>
      <c r="M134" s="380">
        <v>36888</v>
      </c>
      <c r="N134" t="s">
        <v>21</v>
      </c>
      <c r="O134">
        <v>2.2000000000000002</v>
      </c>
      <c r="P134">
        <v>0</v>
      </c>
      <c r="Q134">
        <v>0</v>
      </c>
      <c r="R134">
        <v>0</v>
      </c>
      <c r="S134">
        <v>0</v>
      </c>
      <c r="T134" t="s">
        <v>253</v>
      </c>
      <c r="U134" t="s">
        <v>7</v>
      </c>
      <c r="V134" t="s">
        <v>253</v>
      </c>
      <c r="W134" t="s">
        <v>132</v>
      </c>
      <c r="X134" t="s">
        <v>253</v>
      </c>
      <c r="Y134" t="s">
        <v>235</v>
      </c>
      <c r="Z134" t="s">
        <v>236</v>
      </c>
      <c r="AA134" t="s">
        <v>253</v>
      </c>
      <c r="AB134" t="s">
        <v>1</v>
      </c>
      <c r="AC134" s="235">
        <v>310000</v>
      </c>
      <c r="AD134" s="235">
        <v>24307.503147808107</v>
      </c>
      <c r="AE134">
        <v>0</v>
      </c>
      <c r="AF134">
        <v>0</v>
      </c>
      <c r="AG134">
        <v>0</v>
      </c>
      <c r="AH134" s="235">
        <v>10942.287774524069</v>
      </c>
      <c r="AI134">
        <v>226</v>
      </c>
      <c r="AJ134" t="s">
        <v>256</v>
      </c>
      <c r="AK134">
        <v>0</v>
      </c>
      <c r="AL134">
        <v>0</v>
      </c>
      <c r="AM134">
        <v>0</v>
      </c>
    </row>
    <row r="135" spans="1:39" x14ac:dyDescent="0.25">
      <c r="A135" t="s">
        <v>233</v>
      </c>
      <c r="B135" t="s">
        <v>328</v>
      </c>
      <c r="C135" t="s">
        <v>255</v>
      </c>
      <c r="D135" t="s">
        <v>234</v>
      </c>
      <c r="E135" t="s">
        <v>20</v>
      </c>
      <c r="F135" t="s">
        <v>284</v>
      </c>
      <c r="G135" t="s">
        <v>269</v>
      </c>
      <c r="H135" t="s">
        <v>254</v>
      </c>
      <c r="I135" t="s">
        <v>242</v>
      </c>
      <c r="J135" t="s">
        <v>235</v>
      </c>
      <c r="K135" s="380">
        <v>36861</v>
      </c>
      <c r="L135" s="235">
        <v>99869.14523617478</v>
      </c>
      <c r="M135" s="380">
        <v>36859</v>
      </c>
      <c r="N135" t="s">
        <v>21</v>
      </c>
      <c r="O135">
        <v>2.2000000000000002</v>
      </c>
      <c r="P135">
        <v>0</v>
      </c>
      <c r="Q135">
        <v>0</v>
      </c>
      <c r="R135">
        <v>0</v>
      </c>
      <c r="S135">
        <v>0</v>
      </c>
      <c r="T135" t="s">
        <v>253</v>
      </c>
      <c r="U135" t="s">
        <v>7</v>
      </c>
      <c r="V135" t="s">
        <v>253</v>
      </c>
      <c r="W135" t="s">
        <v>132</v>
      </c>
      <c r="X135" t="s">
        <v>253</v>
      </c>
      <c r="Y135" t="s">
        <v>235</v>
      </c>
      <c r="Z135" t="s">
        <v>236</v>
      </c>
      <c r="AA135" t="s">
        <v>253</v>
      </c>
      <c r="AB135" t="s">
        <v>1</v>
      </c>
      <c r="AC135" s="235">
        <v>310000</v>
      </c>
      <c r="AD135" s="235">
        <v>19894.013729574232</v>
      </c>
      <c r="AE135">
        <v>0</v>
      </c>
      <c r="AF135">
        <v>0</v>
      </c>
      <c r="AG135">
        <v>0</v>
      </c>
      <c r="AH135" s="235">
        <v>6252.9225107267412</v>
      </c>
      <c r="AI135">
        <v>226</v>
      </c>
      <c r="AJ135" t="s">
        <v>256</v>
      </c>
      <c r="AK135">
        <v>0</v>
      </c>
      <c r="AL135">
        <v>0</v>
      </c>
      <c r="AM135">
        <v>0</v>
      </c>
    </row>
    <row r="136" spans="1:39" x14ac:dyDescent="0.25">
      <c r="A136" t="s">
        <v>233</v>
      </c>
      <c r="B136" t="s">
        <v>328</v>
      </c>
      <c r="C136" t="s">
        <v>255</v>
      </c>
      <c r="D136" t="s">
        <v>234</v>
      </c>
      <c r="E136" t="s">
        <v>20</v>
      </c>
      <c r="F136" t="s">
        <v>284</v>
      </c>
      <c r="G136" t="s">
        <v>269</v>
      </c>
      <c r="H136" t="s">
        <v>254</v>
      </c>
      <c r="I136" t="s">
        <v>242</v>
      </c>
      <c r="J136" t="s">
        <v>235</v>
      </c>
      <c r="K136" s="380">
        <v>36831</v>
      </c>
      <c r="L136" s="235">
        <v>3864.0810378615029</v>
      </c>
      <c r="M136" s="380">
        <v>36829</v>
      </c>
      <c r="N136" t="s">
        <v>21</v>
      </c>
      <c r="O136">
        <v>2.2000000000000002</v>
      </c>
      <c r="P136">
        <v>0</v>
      </c>
      <c r="Q136">
        <v>0</v>
      </c>
      <c r="R136">
        <v>0</v>
      </c>
      <c r="S136">
        <v>0</v>
      </c>
      <c r="T136" t="s">
        <v>253</v>
      </c>
      <c r="U136" t="s">
        <v>7</v>
      </c>
      <c r="V136" t="s">
        <v>253</v>
      </c>
      <c r="W136" t="s">
        <v>132</v>
      </c>
      <c r="X136" t="s">
        <v>253</v>
      </c>
      <c r="Y136" t="s">
        <v>235</v>
      </c>
      <c r="Z136" t="s">
        <v>236</v>
      </c>
      <c r="AA136" t="s">
        <v>253</v>
      </c>
      <c r="AB136" t="s">
        <v>1</v>
      </c>
      <c r="AC136" s="235">
        <v>300000</v>
      </c>
      <c r="AD136" s="235">
        <v>2694.8081645491075</v>
      </c>
      <c r="AE136">
        <v>0</v>
      </c>
      <c r="AF136">
        <v>0</v>
      </c>
      <c r="AG136">
        <v>0</v>
      </c>
      <c r="AH136" s="235">
        <v>688.90667497919412</v>
      </c>
      <c r="AI136">
        <v>226</v>
      </c>
      <c r="AJ136" t="s">
        <v>256</v>
      </c>
      <c r="AK136">
        <v>0</v>
      </c>
      <c r="AL136">
        <v>0</v>
      </c>
      <c r="AM136">
        <v>0</v>
      </c>
    </row>
    <row r="137" spans="1:39" x14ac:dyDescent="0.25">
      <c r="A137" t="s">
        <v>233</v>
      </c>
      <c r="B137" t="s">
        <v>329</v>
      </c>
      <c r="C137" t="s">
        <v>255</v>
      </c>
      <c r="D137" t="s">
        <v>234</v>
      </c>
      <c r="E137" t="s">
        <v>20</v>
      </c>
      <c r="F137" t="s">
        <v>279</v>
      </c>
      <c r="G137" t="s">
        <v>269</v>
      </c>
      <c r="H137" t="s">
        <v>254</v>
      </c>
      <c r="I137" t="s">
        <v>242</v>
      </c>
      <c r="J137" t="s">
        <v>235</v>
      </c>
      <c r="K137" s="380">
        <v>36951</v>
      </c>
      <c r="L137" s="235">
        <v>-71142.689100674776</v>
      </c>
      <c r="M137" s="380">
        <v>36949</v>
      </c>
      <c r="N137" t="s">
        <v>21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253</v>
      </c>
      <c r="U137" t="s">
        <v>325</v>
      </c>
      <c r="V137" t="s">
        <v>253</v>
      </c>
      <c r="W137" t="s">
        <v>132</v>
      </c>
      <c r="X137" t="s">
        <v>253</v>
      </c>
      <c r="Y137" t="s">
        <v>235</v>
      </c>
      <c r="Z137" t="s">
        <v>236</v>
      </c>
      <c r="AA137" t="s">
        <v>253</v>
      </c>
      <c r="AB137" t="s">
        <v>1</v>
      </c>
      <c r="AC137" s="235">
        <v>-1000000</v>
      </c>
      <c r="AD137" s="235">
        <v>-12428.832251967629</v>
      </c>
      <c r="AE137">
        <v>0</v>
      </c>
      <c r="AF137">
        <v>0</v>
      </c>
      <c r="AG137">
        <v>0</v>
      </c>
      <c r="AH137" s="235">
        <v>-634.61622781217739</v>
      </c>
      <c r="AI137">
        <v>226</v>
      </c>
      <c r="AJ137" t="s">
        <v>256</v>
      </c>
      <c r="AK137">
        <v>0</v>
      </c>
      <c r="AL137">
        <v>0</v>
      </c>
      <c r="AM137">
        <v>0</v>
      </c>
    </row>
    <row r="138" spans="1:39" x14ac:dyDescent="0.25">
      <c r="A138" t="s">
        <v>233</v>
      </c>
      <c r="B138" t="s">
        <v>329</v>
      </c>
      <c r="C138" t="s">
        <v>255</v>
      </c>
      <c r="D138" t="s">
        <v>234</v>
      </c>
      <c r="E138" t="s">
        <v>20</v>
      </c>
      <c r="F138" t="s">
        <v>279</v>
      </c>
      <c r="G138" t="s">
        <v>269</v>
      </c>
      <c r="H138" t="s">
        <v>254</v>
      </c>
      <c r="I138" t="s">
        <v>242</v>
      </c>
      <c r="J138" t="s">
        <v>235</v>
      </c>
      <c r="K138" s="380">
        <v>36923</v>
      </c>
      <c r="L138" s="235">
        <v>-77674.757511825141</v>
      </c>
      <c r="M138" s="380">
        <v>36921</v>
      </c>
      <c r="N138" t="s">
        <v>21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253</v>
      </c>
      <c r="U138" t="s">
        <v>325</v>
      </c>
      <c r="V138" t="s">
        <v>253</v>
      </c>
      <c r="W138" t="s">
        <v>132</v>
      </c>
      <c r="X138" t="s">
        <v>253</v>
      </c>
      <c r="Y138" t="s">
        <v>235</v>
      </c>
      <c r="Z138" t="s">
        <v>236</v>
      </c>
      <c r="AA138" t="s">
        <v>253</v>
      </c>
      <c r="AB138" t="s">
        <v>1</v>
      </c>
      <c r="AC138" s="235">
        <v>-1000000</v>
      </c>
      <c r="AD138" s="235">
        <v>-12805.792313298909</v>
      </c>
      <c r="AE138">
        <v>0</v>
      </c>
      <c r="AF138">
        <v>0</v>
      </c>
      <c r="AG138">
        <v>0</v>
      </c>
      <c r="AH138" s="235">
        <v>-616.76923998762504</v>
      </c>
      <c r="AI138">
        <v>226</v>
      </c>
      <c r="AJ138" t="s">
        <v>256</v>
      </c>
      <c r="AK138">
        <v>0</v>
      </c>
      <c r="AL138">
        <v>0</v>
      </c>
      <c r="AM138">
        <v>0</v>
      </c>
    </row>
    <row r="139" spans="1:39" x14ac:dyDescent="0.25">
      <c r="A139" t="s">
        <v>233</v>
      </c>
      <c r="B139" t="s">
        <v>329</v>
      </c>
      <c r="C139" t="s">
        <v>255</v>
      </c>
      <c r="D139" t="s">
        <v>234</v>
      </c>
      <c r="E139" t="s">
        <v>20</v>
      </c>
      <c r="F139" t="s">
        <v>279</v>
      </c>
      <c r="G139" t="s">
        <v>269</v>
      </c>
      <c r="H139" t="s">
        <v>254</v>
      </c>
      <c r="I139" t="s">
        <v>242</v>
      </c>
      <c r="J139" t="s">
        <v>235</v>
      </c>
      <c r="K139" s="380">
        <v>36892</v>
      </c>
      <c r="L139" s="235">
        <v>-72817.75418204267</v>
      </c>
      <c r="M139" s="380">
        <v>36888</v>
      </c>
      <c r="N139" t="s">
        <v>21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253</v>
      </c>
      <c r="U139" t="s">
        <v>325</v>
      </c>
      <c r="V139" t="s">
        <v>253</v>
      </c>
      <c r="W139" t="s">
        <v>132</v>
      </c>
      <c r="X139" t="s">
        <v>253</v>
      </c>
      <c r="Y139" t="s">
        <v>235</v>
      </c>
      <c r="Z139" t="s">
        <v>236</v>
      </c>
      <c r="AA139" t="s">
        <v>253</v>
      </c>
      <c r="AB139" t="s">
        <v>1</v>
      </c>
      <c r="AC139" s="235">
        <v>-1000000</v>
      </c>
      <c r="AD139" s="235">
        <v>-11719.073011935805</v>
      </c>
      <c r="AE139">
        <v>0</v>
      </c>
      <c r="AF139">
        <v>0</v>
      </c>
      <c r="AG139">
        <v>0</v>
      </c>
      <c r="AH139" s="235">
        <v>-566.00262099893007</v>
      </c>
      <c r="AI139">
        <v>226</v>
      </c>
      <c r="AJ139" t="s">
        <v>256</v>
      </c>
      <c r="AK139">
        <v>0</v>
      </c>
      <c r="AL139">
        <v>0</v>
      </c>
      <c r="AM139">
        <v>0</v>
      </c>
    </row>
    <row r="140" spans="1:39" x14ac:dyDescent="0.25">
      <c r="A140" t="s">
        <v>233</v>
      </c>
      <c r="B140" t="s">
        <v>329</v>
      </c>
      <c r="C140" t="s">
        <v>255</v>
      </c>
      <c r="D140" t="s">
        <v>234</v>
      </c>
      <c r="E140" t="s">
        <v>20</v>
      </c>
      <c r="F140" t="s">
        <v>279</v>
      </c>
      <c r="G140" t="s">
        <v>269</v>
      </c>
      <c r="H140" t="s">
        <v>254</v>
      </c>
      <c r="I140" t="s">
        <v>242</v>
      </c>
      <c r="J140" t="s">
        <v>235</v>
      </c>
      <c r="K140" s="380">
        <v>36861</v>
      </c>
      <c r="L140" s="235">
        <v>-59315.326948970003</v>
      </c>
      <c r="M140" s="380">
        <v>36859</v>
      </c>
      <c r="N140" t="s">
        <v>21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253</v>
      </c>
      <c r="U140" t="s">
        <v>325</v>
      </c>
      <c r="V140" t="s">
        <v>253</v>
      </c>
      <c r="W140" t="s">
        <v>132</v>
      </c>
      <c r="X140" t="s">
        <v>253</v>
      </c>
      <c r="Y140" t="s">
        <v>235</v>
      </c>
      <c r="Z140" t="s">
        <v>236</v>
      </c>
      <c r="AA140" t="s">
        <v>253</v>
      </c>
      <c r="AB140" t="s">
        <v>1</v>
      </c>
      <c r="AC140" s="235">
        <v>-1000000</v>
      </c>
      <c r="AD140" s="235">
        <v>-10352.450034938753</v>
      </c>
      <c r="AE140">
        <v>0</v>
      </c>
      <c r="AF140">
        <v>0</v>
      </c>
      <c r="AG140">
        <v>0</v>
      </c>
      <c r="AH140" s="235">
        <v>-522.77235381308856</v>
      </c>
      <c r="AI140">
        <v>226</v>
      </c>
      <c r="AJ140" t="s">
        <v>256</v>
      </c>
      <c r="AK140">
        <v>0</v>
      </c>
      <c r="AL140">
        <v>0</v>
      </c>
      <c r="AM140">
        <v>0</v>
      </c>
    </row>
    <row r="141" spans="1:39" x14ac:dyDescent="0.25">
      <c r="A141" t="s">
        <v>233</v>
      </c>
      <c r="B141" t="s">
        <v>329</v>
      </c>
      <c r="C141" t="s">
        <v>255</v>
      </c>
      <c r="D141" t="s">
        <v>234</v>
      </c>
      <c r="E141" t="s">
        <v>20</v>
      </c>
      <c r="F141" t="s">
        <v>279</v>
      </c>
      <c r="G141" t="s">
        <v>269</v>
      </c>
      <c r="H141" t="s">
        <v>254</v>
      </c>
      <c r="I141" t="s">
        <v>242</v>
      </c>
      <c r="J141" t="s">
        <v>235</v>
      </c>
      <c r="K141" s="380">
        <v>36831</v>
      </c>
      <c r="L141" s="235">
        <v>-39503.038518871253</v>
      </c>
      <c r="M141" s="380">
        <v>36829</v>
      </c>
      <c r="N141" t="s">
        <v>21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253</v>
      </c>
      <c r="U141" t="s">
        <v>325</v>
      </c>
      <c r="V141" t="s">
        <v>253</v>
      </c>
      <c r="W141" t="s">
        <v>132</v>
      </c>
      <c r="X141" t="s">
        <v>253</v>
      </c>
      <c r="Y141" t="s">
        <v>235</v>
      </c>
      <c r="Z141" t="s">
        <v>236</v>
      </c>
      <c r="AA141" t="s">
        <v>253</v>
      </c>
      <c r="AB141" t="s">
        <v>1</v>
      </c>
      <c r="AC141" s="235">
        <v>-1000000</v>
      </c>
      <c r="AD141" s="235">
        <v>-8599.093135254865</v>
      </c>
      <c r="AE141">
        <v>0</v>
      </c>
      <c r="AF141">
        <v>0</v>
      </c>
      <c r="AG141">
        <v>0</v>
      </c>
      <c r="AH141" s="235">
        <v>-463.65030285940156</v>
      </c>
      <c r="AI141">
        <v>226</v>
      </c>
      <c r="AJ141" t="s">
        <v>256</v>
      </c>
      <c r="AK141">
        <v>0</v>
      </c>
      <c r="AL141">
        <v>0</v>
      </c>
      <c r="AM141">
        <v>0</v>
      </c>
    </row>
    <row r="142" spans="1:39" x14ac:dyDescent="0.25">
      <c r="A142" t="s">
        <v>233</v>
      </c>
      <c r="B142" t="s">
        <v>329</v>
      </c>
      <c r="C142" t="s">
        <v>255</v>
      </c>
      <c r="D142" t="s">
        <v>234</v>
      </c>
      <c r="E142" t="s">
        <v>20</v>
      </c>
      <c r="F142" t="s">
        <v>279</v>
      </c>
      <c r="G142" t="s">
        <v>269</v>
      </c>
      <c r="H142" t="s">
        <v>254</v>
      </c>
      <c r="I142" t="s">
        <v>242</v>
      </c>
      <c r="J142" t="s">
        <v>235</v>
      </c>
      <c r="K142" s="380">
        <v>36800</v>
      </c>
      <c r="L142" s="235">
        <v>-1170.31335042456</v>
      </c>
      <c r="M142" s="380">
        <v>36797</v>
      </c>
      <c r="N142" t="s">
        <v>21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253</v>
      </c>
      <c r="U142" t="s">
        <v>325</v>
      </c>
      <c r="V142" t="s">
        <v>253</v>
      </c>
      <c r="W142" t="s">
        <v>132</v>
      </c>
      <c r="X142" t="s">
        <v>253</v>
      </c>
      <c r="Y142" t="s">
        <v>235</v>
      </c>
      <c r="Z142" t="s">
        <v>236</v>
      </c>
      <c r="AA142" t="s">
        <v>253</v>
      </c>
      <c r="AB142" t="s">
        <v>1</v>
      </c>
      <c r="AC142" s="235">
        <v>-1000000</v>
      </c>
      <c r="AD142" s="235">
        <v>-1234.2130285719832</v>
      </c>
      <c r="AE142">
        <v>0</v>
      </c>
      <c r="AF142">
        <v>0</v>
      </c>
      <c r="AG142">
        <v>0</v>
      </c>
      <c r="AH142" s="235">
        <v>-73.0490748787538</v>
      </c>
      <c r="AI142">
        <v>226</v>
      </c>
      <c r="AJ142" t="s">
        <v>256</v>
      </c>
      <c r="AK142">
        <v>0</v>
      </c>
      <c r="AL142">
        <v>0</v>
      </c>
      <c r="AM142">
        <v>0</v>
      </c>
    </row>
    <row r="143" spans="1:39" x14ac:dyDescent="0.25">
      <c r="A143" t="s">
        <v>233</v>
      </c>
      <c r="B143" t="s">
        <v>329</v>
      </c>
      <c r="C143" t="s">
        <v>255</v>
      </c>
      <c r="D143" t="s">
        <v>234</v>
      </c>
      <c r="E143" t="s">
        <v>20</v>
      </c>
      <c r="F143" t="s">
        <v>279</v>
      </c>
      <c r="G143" t="s">
        <v>269</v>
      </c>
      <c r="H143" t="s">
        <v>254</v>
      </c>
      <c r="I143" t="s">
        <v>242</v>
      </c>
      <c r="J143" t="s">
        <v>235</v>
      </c>
      <c r="K143" s="380">
        <v>36770</v>
      </c>
      <c r="L143" s="235">
        <v>-2.9317190494040337E-27</v>
      </c>
      <c r="M143" s="380">
        <v>36768</v>
      </c>
      <c r="N143" t="s">
        <v>21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253</v>
      </c>
      <c r="U143" t="s">
        <v>325</v>
      </c>
      <c r="V143" t="s">
        <v>253</v>
      </c>
      <c r="W143" t="s">
        <v>132</v>
      </c>
      <c r="X143" t="s">
        <v>253</v>
      </c>
      <c r="Y143" t="s">
        <v>235</v>
      </c>
      <c r="Z143" t="s">
        <v>236</v>
      </c>
      <c r="AA143" t="s">
        <v>253</v>
      </c>
      <c r="AB143" t="s">
        <v>1</v>
      </c>
      <c r="AC143" s="235">
        <v>-1000000</v>
      </c>
      <c r="AD143" s="235">
        <v>-8.9781342977392657E-26</v>
      </c>
      <c r="AE143">
        <v>0</v>
      </c>
      <c r="AF143">
        <v>0</v>
      </c>
      <c r="AG143">
        <v>0</v>
      </c>
      <c r="AH143" s="235">
        <v>-4.8393400979331718E-5</v>
      </c>
      <c r="AI143">
        <v>226</v>
      </c>
      <c r="AJ143" t="s">
        <v>256</v>
      </c>
      <c r="AK143">
        <v>0</v>
      </c>
      <c r="AL143">
        <v>0</v>
      </c>
      <c r="AM143">
        <v>0</v>
      </c>
    </row>
    <row r="144" spans="1:39" x14ac:dyDescent="0.25">
      <c r="A144" t="s">
        <v>233</v>
      </c>
      <c r="B144" t="s">
        <v>330</v>
      </c>
      <c r="C144" t="s">
        <v>255</v>
      </c>
      <c r="D144" t="s">
        <v>234</v>
      </c>
      <c r="E144" t="s">
        <v>20</v>
      </c>
      <c r="F144" t="s">
        <v>279</v>
      </c>
      <c r="G144" t="s">
        <v>269</v>
      </c>
      <c r="H144" t="s">
        <v>254</v>
      </c>
      <c r="I144" t="s">
        <v>242</v>
      </c>
      <c r="J144" t="s">
        <v>235</v>
      </c>
      <c r="K144" s="380">
        <v>36951</v>
      </c>
      <c r="L144" s="235">
        <v>-39745.151691995772</v>
      </c>
      <c r="M144" s="380">
        <v>36949</v>
      </c>
      <c r="N144" t="s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253</v>
      </c>
      <c r="U144" t="s">
        <v>325</v>
      </c>
      <c r="V144" t="s">
        <v>253</v>
      </c>
      <c r="W144" t="s">
        <v>132</v>
      </c>
      <c r="X144" t="s">
        <v>253</v>
      </c>
      <c r="Y144" t="s">
        <v>235</v>
      </c>
      <c r="Z144" t="s">
        <v>236</v>
      </c>
      <c r="AA144" t="s">
        <v>253</v>
      </c>
      <c r="AB144" t="s">
        <v>1</v>
      </c>
      <c r="AC144" s="235">
        <v>-1000000</v>
      </c>
      <c r="AD144" s="235">
        <v>-12428.832251967571</v>
      </c>
      <c r="AE144">
        <v>0</v>
      </c>
      <c r="AF144">
        <v>0</v>
      </c>
      <c r="AG144">
        <v>0</v>
      </c>
      <c r="AH144" s="235">
        <v>-634.61622781124606</v>
      </c>
      <c r="AI144">
        <v>226</v>
      </c>
      <c r="AJ144" t="s">
        <v>256</v>
      </c>
      <c r="AK144">
        <v>0</v>
      </c>
      <c r="AL144">
        <v>0</v>
      </c>
      <c r="AM144">
        <v>0</v>
      </c>
    </row>
    <row r="145" spans="1:39" x14ac:dyDescent="0.25">
      <c r="A145" t="s">
        <v>233</v>
      </c>
      <c r="B145" t="s">
        <v>330</v>
      </c>
      <c r="C145" t="s">
        <v>255</v>
      </c>
      <c r="D145" t="s">
        <v>234</v>
      </c>
      <c r="E145" t="s">
        <v>20</v>
      </c>
      <c r="F145" t="s">
        <v>279</v>
      </c>
      <c r="G145" t="s">
        <v>269</v>
      </c>
      <c r="H145" t="s">
        <v>254</v>
      </c>
      <c r="I145" t="s">
        <v>242</v>
      </c>
      <c r="J145" t="s">
        <v>235</v>
      </c>
      <c r="K145" s="380">
        <v>36923</v>
      </c>
      <c r="L145" s="235">
        <v>-43679.553682835605</v>
      </c>
      <c r="M145" s="380">
        <v>36921</v>
      </c>
      <c r="N145" t="s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253</v>
      </c>
      <c r="U145" t="s">
        <v>325</v>
      </c>
      <c r="V145" t="s">
        <v>253</v>
      </c>
      <c r="W145" t="s">
        <v>132</v>
      </c>
      <c r="X145" t="s">
        <v>253</v>
      </c>
      <c r="Y145" t="s">
        <v>235</v>
      </c>
      <c r="Z145" t="s">
        <v>236</v>
      </c>
      <c r="AA145" t="s">
        <v>253</v>
      </c>
      <c r="AB145" t="s">
        <v>1</v>
      </c>
      <c r="AC145" s="235">
        <v>-1000000</v>
      </c>
      <c r="AD145" s="235">
        <v>-12805.792313298967</v>
      </c>
      <c r="AE145">
        <v>0</v>
      </c>
      <c r="AF145">
        <v>0</v>
      </c>
      <c r="AG145">
        <v>0</v>
      </c>
      <c r="AH145" s="235">
        <v>-616.76923998721031</v>
      </c>
      <c r="AI145">
        <v>226</v>
      </c>
      <c r="AJ145" t="s">
        <v>256</v>
      </c>
      <c r="AK145">
        <v>0</v>
      </c>
      <c r="AL145">
        <v>0</v>
      </c>
      <c r="AM145">
        <v>0</v>
      </c>
    </row>
    <row r="146" spans="1:39" x14ac:dyDescent="0.25">
      <c r="A146" t="s">
        <v>233</v>
      </c>
      <c r="B146" t="s">
        <v>330</v>
      </c>
      <c r="C146" t="s">
        <v>255</v>
      </c>
      <c r="D146" t="s">
        <v>234</v>
      </c>
      <c r="E146" t="s">
        <v>20</v>
      </c>
      <c r="F146" t="s">
        <v>279</v>
      </c>
      <c r="G146" t="s">
        <v>269</v>
      </c>
      <c r="H146" t="s">
        <v>254</v>
      </c>
      <c r="I146" t="s">
        <v>242</v>
      </c>
      <c r="J146" t="s">
        <v>235</v>
      </c>
      <c r="K146" s="380">
        <v>36892</v>
      </c>
      <c r="L146" s="235">
        <v>-43495.141822567086</v>
      </c>
      <c r="M146" s="380">
        <v>36888</v>
      </c>
      <c r="N146" t="s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253</v>
      </c>
      <c r="U146" t="s">
        <v>325</v>
      </c>
      <c r="V146" t="s">
        <v>253</v>
      </c>
      <c r="W146" t="s">
        <v>132</v>
      </c>
      <c r="X146" t="s">
        <v>253</v>
      </c>
      <c r="Y146" t="s">
        <v>235</v>
      </c>
      <c r="Z146" t="s">
        <v>236</v>
      </c>
      <c r="AA146" t="s">
        <v>253</v>
      </c>
      <c r="AB146" t="s">
        <v>1</v>
      </c>
      <c r="AC146" s="235">
        <v>-1000000</v>
      </c>
      <c r="AD146" s="235">
        <v>-11719.073011935863</v>
      </c>
      <c r="AE146">
        <v>0</v>
      </c>
      <c r="AF146">
        <v>0</v>
      </c>
      <c r="AG146">
        <v>0</v>
      </c>
      <c r="AH146" s="235">
        <v>-566.00262099948304</v>
      </c>
      <c r="AI146">
        <v>226</v>
      </c>
      <c r="AJ146" t="s">
        <v>256</v>
      </c>
      <c r="AK146">
        <v>0</v>
      </c>
      <c r="AL146">
        <v>0</v>
      </c>
      <c r="AM146">
        <v>0</v>
      </c>
    </row>
    <row r="147" spans="1:39" x14ac:dyDescent="0.25">
      <c r="A147" t="s">
        <v>233</v>
      </c>
      <c r="B147" t="s">
        <v>330</v>
      </c>
      <c r="C147" t="s">
        <v>255</v>
      </c>
      <c r="D147" t="s">
        <v>234</v>
      </c>
      <c r="E147" t="s">
        <v>20</v>
      </c>
      <c r="F147" t="s">
        <v>279</v>
      </c>
      <c r="G147" t="s">
        <v>269</v>
      </c>
      <c r="H147" t="s">
        <v>254</v>
      </c>
      <c r="I147" t="s">
        <v>242</v>
      </c>
      <c r="J147" t="s">
        <v>235</v>
      </c>
      <c r="K147" s="380">
        <v>36861</v>
      </c>
      <c r="L147" s="235">
        <v>-42117.092079180904</v>
      </c>
      <c r="M147" s="380">
        <v>36859</v>
      </c>
      <c r="N147" t="s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253</v>
      </c>
      <c r="U147" t="s">
        <v>325</v>
      </c>
      <c r="V147" t="s">
        <v>253</v>
      </c>
      <c r="W147" t="s">
        <v>132</v>
      </c>
      <c r="X147" t="s">
        <v>253</v>
      </c>
      <c r="Y147" t="s">
        <v>235</v>
      </c>
      <c r="Z147" t="s">
        <v>236</v>
      </c>
      <c r="AA147" t="s">
        <v>253</v>
      </c>
      <c r="AB147" t="s">
        <v>1</v>
      </c>
      <c r="AC147" s="235">
        <v>-1000000</v>
      </c>
      <c r="AD147" s="235">
        <v>-10352.450034938636</v>
      </c>
      <c r="AE147">
        <v>0</v>
      </c>
      <c r="AF147">
        <v>0</v>
      </c>
      <c r="AG147">
        <v>0</v>
      </c>
      <c r="AH147" s="235">
        <v>-522.77235381215723</v>
      </c>
      <c r="AI147">
        <v>226</v>
      </c>
      <c r="AJ147" t="s">
        <v>256</v>
      </c>
      <c r="AK147">
        <v>0</v>
      </c>
      <c r="AL147">
        <v>0</v>
      </c>
      <c r="AM147">
        <v>0</v>
      </c>
    </row>
    <row r="148" spans="1:39" x14ac:dyDescent="0.25">
      <c r="A148" t="s">
        <v>233</v>
      </c>
      <c r="B148" t="s">
        <v>330</v>
      </c>
      <c r="C148" t="s">
        <v>255</v>
      </c>
      <c r="D148" t="s">
        <v>234</v>
      </c>
      <c r="E148" t="s">
        <v>20</v>
      </c>
      <c r="F148" t="s">
        <v>279</v>
      </c>
      <c r="G148" t="s">
        <v>269</v>
      </c>
      <c r="H148" t="s">
        <v>254</v>
      </c>
      <c r="I148" t="s">
        <v>242</v>
      </c>
      <c r="J148" t="s">
        <v>235</v>
      </c>
      <c r="K148" s="380">
        <v>36831</v>
      </c>
      <c r="L148" s="235">
        <v>-41973.841928169444</v>
      </c>
      <c r="M148" s="380">
        <v>36829</v>
      </c>
      <c r="N148" t="s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253</v>
      </c>
      <c r="U148" t="s">
        <v>325</v>
      </c>
      <c r="V148" t="s">
        <v>253</v>
      </c>
      <c r="W148" t="s">
        <v>132</v>
      </c>
      <c r="X148" t="s">
        <v>253</v>
      </c>
      <c r="Y148" t="s">
        <v>235</v>
      </c>
      <c r="Z148" t="s">
        <v>236</v>
      </c>
      <c r="AA148" t="s">
        <v>253</v>
      </c>
      <c r="AB148" t="s">
        <v>1</v>
      </c>
      <c r="AC148" s="235">
        <v>-1000000</v>
      </c>
      <c r="AD148" s="235">
        <v>-8599.0931352548068</v>
      </c>
      <c r="AE148">
        <v>0</v>
      </c>
      <c r="AF148">
        <v>0</v>
      </c>
      <c r="AG148">
        <v>0</v>
      </c>
      <c r="AH148" s="235">
        <v>-463.65030285944522</v>
      </c>
      <c r="AI148">
        <v>226</v>
      </c>
      <c r="AJ148" t="s">
        <v>256</v>
      </c>
      <c r="AK148">
        <v>0</v>
      </c>
      <c r="AL148">
        <v>0</v>
      </c>
      <c r="AM148">
        <v>0</v>
      </c>
    </row>
    <row r="149" spans="1:39" x14ac:dyDescent="0.25">
      <c r="A149" t="s">
        <v>233</v>
      </c>
      <c r="B149" t="s">
        <v>330</v>
      </c>
      <c r="C149" t="s">
        <v>255</v>
      </c>
      <c r="D149" t="s">
        <v>234</v>
      </c>
      <c r="E149" t="s">
        <v>20</v>
      </c>
      <c r="F149" t="s">
        <v>279</v>
      </c>
      <c r="G149" t="s">
        <v>269</v>
      </c>
      <c r="H149" t="s">
        <v>254</v>
      </c>
      <c r="I149" t="s">
        <v>242</v>
      </c>
      <c r="J149" t="s">
        <v>235</v>
      </c>
      <c r="K149" s="380">
        <v>36800</v>
      </c>
      <c r="L149" s="235">
        <v>-90651.998595038036</v>
      </c>
      <c r="M149" s="380">
        <v>36797</v>
      </c>
      <c r="N149" t="s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253</v>
      </c>
      <c r="U149" t="s">
        <v>325</v>
      </c>
      <c r="V149" t="s">
        <v>253</v>
      </c>
      <c r="W149" t="s">
        <v>132</v>
      </c>
      <c r="X149" t="s">
        <v>253</v>
      </c>
      <c r="Y149" t="s">
        <v>235</v>
      </c>
      <c r="Z149" t="s">
        <v>236</v>
      </c>
      <c r="AA149" t="s">
        <v>253</v>
      </c>
      <c r="AB149" t="s">
        <v>1</v>
      </c>
      <c r="AC149" s="235">
        <v>-1000000</v>
      </c>
      <c r="AD149" s="235">
        <v>-1234.2130285720341</v>
      </c>
      <c r="AE149">
        <v>0</v>
      </c>
      <c r="AF149">
        <v>0</v>
      </c>
      <c r="AG149">
        <v>0</v>
      </c>
      <c r="AH149" s="235">
        <v>-73.049074878814281</v>
      </c>
      <c r="AI149">
        <v>226</v>
      </c>
      <c r="AJ149" t="s">
        <v>256</v>
      </c>
      <c r="AK149">
        <v>0</v>
      </c>
      <c r="AL149">
        <v>0</v>
      </c>
      <c r="AM149">
        <v>0</v>
      </c>
    </row>
    <row r="150" spans="1:39" x14ac:dyDescent="0.25">
      <c r="A150" t="s">
        <v>233</v>
      </c>
      <c r="B150" t="s">
        <v>330</v>
      </c>
      <c r="C150" t="s">
        <v>255</v>
      </c>
      <c r="D150" t="s">
        <v>234</v>
      </c>
      <c r="E150" t="s">
        <v>20</v>
      </c>
      <c r="F150" t="s">
        <v>279</v>
      </c>
      <c r="G150" t="s">
        <v>269</v>
      </c>
      <c r="H150" t="s">
        <v>254</v>
      </c>
      <c r="I150" t="s">
        <v>242</v>
      </c>
      <c r="J150" t="s">
        <v>235</v>
      </c>
      <c r="K150" s="380">
        <v>36770</v>
      </c>
      <c r="L150" s="235">
        <v>-109959.52130821074</v>
      </c>
      <c r="M150" s="380">
        <v>36768</v>
      </c>
      <c r="N150" t="s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253</v>
      </c>
      <c r="U150" t="s">
        <v>325</v>
      </c>
      <c r="V150" t="s">
        <v>253</v>
      </c>
      <c r="W150" t="s">
        <v>132</v>
      </c>
      <c r="X150" t="s">
        <v>253</v>
      </c>
      <c r="Y150" t="s">
        <v>235</v>
      </c>
      <c r="Z150" t="s">
        <v>236</v>
      </c>
      <c r="AA150" t="s">
        <v>253</v>
      </c>
      <c r="AB150" t="s">
        <v>1</v>
      </c>
      <c r="AC150" s="235">
        <v>-1000000</v>
      </c>
      <c r="AD150" s="235">
        <v>0</v>
      </c>
      <c r="AE150">
        <v>0</v>
      </c>
      <c r="AF150">
        <v>0</v>
      </c>
      <c r="AG150">
        <v>0</v>
      </c>
      <c r="AH150" s="235">
        <v>4995.4047781417612</v>
      </c>
      <c r="AI150">
        <v>226</v>
      </c>
      <c r="AJ150" t="s">
        <v>256</v>
      </c>
      <c r="AK150">
        <v>0</v>
      </c>
      <c r="AL150">
        <v>0</v>
      </c>
      <c r="AM150">
        <v>0</v>
      </c>
    </row>
    <row r="151" spans="1:39" x14ac:dyDescent="0.25">
      <c r="A151" t="s">
        <v>233</v>
      </c>
      <c r="B151" t="s">
        <v>332</v>
      </c>
      <c r="C151" t="s">
        <v>255</v>
      </c>
      <c r="D151" t="s">
        <v>234</v>
      </c>
      <c r="E151" t="s">
        <v>20</v>
      </c>
      <c r="F151" t="s">
        <v>294</v>
      </c>
      <c r="G151" t="s">
        <v>269</v>
      </c>
      <c r="H151" t="s">
        <v>254</v>
      </c>
      <c r="I151" t="s">
        <v>242</v>
      </c>
      <c r="J151" t="s">
        <v>235</v>
      </c>
      <c r="K151" s="380">
        <v>36951</v>
      </c>
      <c r="L151" s="235">
        <v>51553.310597766424</v>
      </c>
      <c r="M151" s="380">
        <v>36949</v>
      </c>
      <c r="N151" t="s">
        <v>21</v>
      </c>
      <c r="O151">
        <v>-0.27</v>
      </c>
      <c r="P151">
        <v>0</v>
      </c>
      <c r="Q151">
        <v>0</v>
      </c>
      <c r="R151">
        <v>0</v>
      </c>
      <c r="S151">
        <v>0</v>
      </c>
      <c r="T151" t="s">
        <v>253</v>
      </c>
      <c r="U151" t="s">
        <v>9</v>
      </c>
      <c r="V151" t="s">
        <v>253</v>
      </c>
      <c r="W151" t="s">
        <v>132</v>
      </c>
      <c r="X151" t="s">
        <v>253</v>
      </c>
      <c r="Y151" t="s">
        <v>235</v>
      </c>
      <c r="Z151" t="s">
        <v>236</v>
      </c>
      <c r="AA151" t="s">
        <v>253</v>
      </c>
      <c r="AB151" t="s">
        <v>1</v>
      </c>
      <c r="AC151" s="235">
        <v>310000</v>
      </c>
      <c r="AD151" s="235">
        <v>15937.336654382772</v>
      </c>
      <c r="AE151">
        <v>0</v>
      </c>
      <c r="AF151">
        <v>0</v>
      </c>
      <c r="AG151">
        <v>0</v>
      </c>
      <c r="AH151" s="235">
        <v>-4597.345680252125</v>
      </c>
      <c r="AI151">
        <v>226</v>
      </c>
      <c r="AJ151" t="s">
        <v>256</v>
      </c>
      <c r="AK151">
        <v>0</v>
      </c>
      <c r="AL151">
        <v>0</v>
      </c>
      <c r="AM151">
        <v>0</v>
      </c>
    </row>
    <row r="152" spans="1:39" x14ac:dyDescent="0.25">
      <c r="A152" t="s">
        <v>233</v>
      </c>
      <c r="B152" t="s">
        <v>332</v>
      </c>
      <c r="C152" t="s">
        <v>255</v>
      </c>
      <c r="D152" t="s">
        <v>234</v>
      </c>
      <c r="E152" t="s">
        <v>20</v>
      </c>
      <c r="F152" t="s">
        <v>294</v>
      </c>
      <c r="G152" t="s">
        <v>269</v>
      </c>
      <c r="H152" t="s">
        <v>254</v>
      </c>
      <c r="I152" t="s">
        <v>242</v>
      </c>
      <c r="J152" t="s">
        <v>235</v>
      </c>
      <c r="K152" s="380">
        <v>36923</v>
      </c>
      <c r="L152" s="235">
        <v>53469.622275923008</v>
      </c>
      <c r="M152" s="380">
        <v>36921</v>
      </c>
      <c r="N152" t="s">
        <v>21</v>
      </c>
      <c r="O152">
        <v>-0.27</v>
      </c>
      <c r="P152">
        <v>0</v>
      </c>
      <c r="Q152">
        <v>0</v>
      </c>
      <c r="R152">
        <v>0</v>
      </c>
      <c r="S152">
        <v>0</v>
      </c>
      <c r="T152" t="s">
        <v>253</v>
      </c>
      <c r="U152" t="s">
        <v>9</v>
      </c>
      <c r="V152" t="s">
        <v>253</v>
      </c>
      <c r="W152" t="s">
        <v>132</v>
      </c>
      <c r="X152" t="s">
        <v>253</v>
      </c>
      <c r="Y152" t="s">
        <v>235</v>
      </c>
      <c r="Z152" t="s">
        <v>236</v>
      </c>
      <c r="AA152" t="s">
        <v>253</v>
      </c>
      <c r="AB152" t="s">
        <v>1</v>
      </c>
      <c r="AC152" s="235">
        <v>280000</v>
      </c>
      <c r="AD152" s="235">
        <v>14954.951612402932</v>
      </c>
      <c r="AE152">
        <v>0</v>
      </c>
      <c r="AF152">
        <v>0</v>
      </c>
      <c r="AG152">
        <v>0</v>
      </c>
      <c r="AH152" s="235">
        <v>-4341.4144062943014</v>
      </c>
      <c r="AI152">
        <v>226</v>
      </c>
      <c r="AJ152" t="s">
        <v>256</v>
      </c>
      <c r="AK152">
        <v>0</v>
      </c>
      <c r="AL152">
        <v>0</v>
      </c>
      <c r="AM152">
        <v>0</v>
      </c>
    </row>
    <row r="153" spans="1:39" x14ac:dyDescent="0.25">
      <c r="A153" t="s">
        <v>233</v>
      </c>
      <c r="B153" t="s">
        <v>332</v>
      </c>
      <c r="C153" t="s">
        <v>255</v>
      </c>
      <c r="D153" t="s">
        <v>234</v>
      </c>
      <c r="E153" t="s">
        <v>20</v>
      </c>
      <c r="F153" t="s">
        <v>294</v>
      </c>
      <c r="G153" t="s">
        <v>269</v>
      </c>
      <c r="H153" t="s">
        <v>254</v>
      </c>
      <c r="I153" t="s">
        <v>242</v>
      </c>
      <c r="J153" t="s">
        <v>235</v>
      </c>
      <c r="K153" s="380">
        <v>36892</v>
      </c>
      <c r="L153" s="235">
        <v>59284.030589213136</v>
      </c>
      <c r="M153" s="380">
        <v>36888</v>
      </c>
      <c r="N153" t="s">
        <v>21</v>
      </c>
      <c r="O153">
        <v>-0.27</v>
      </c>
      <c r="P153">
        <v>0</v>
      </c>
      <c r="Q153">
        <v>0</v>
      </c>
      <c r="R153">
        <v>0</v>
      </c>
      <c r="S153">
        <v>0</v>
      </c>
      <c r="T153" t="s">
        <v>253</v>
      </c>
      <c r="U153" t="s">
        <v>9</v>
      </c>
      <c r="V153" t="s">
        <v>253</v>
      </c>
      <c r="W153" t="s">
        <v>132</v>
      </c>
      <c r="X153" t="s">
        <v>253</v>
      </c>
      <c r="Y153" t="s">
        <v>235</v>
      </c>
      <c r="Z153" t="s">
        <v>236</v>
      </c>
      <c r="AA153" t="s">
        <v>253</v>
      </c>
      <c r="AB153" t="s">
        <v>1</v>
      </c>
      <c r="AC153" s="235">
        <v>310000</v>
      </c>
      <c r="AD153" s="235">
        <v>15190.708722564334</v>
      </c>
      <c r="AE153">
        <v>0</v>
      </c>
      <c r="AF153">
        <v>0</v>
      </c>
      <c r="AG153">
        <v>0</v>
      </c>
      <c r="AH153" s="235">
        <v>-5008.6437778232648</v>
      </c>
      <c r="AI153">
        <v>226</v>
      </c>
      <c r="AJ153" t="s">
        <v>256</v>
      </c>
      <c r="AK153">
        <v>0</v>
      </c>
      <c r="AL153">
        <v>0</v>
      </c>
      <c r="AM153">
        <v>0</v>
      </c>
    </row>
    <row r="154" spans="1:39" x14ac:dyDescent="0.25">
      <c r="A154" t="s">
        <v>233</v>
      </c>
      <c r="B154" t="s">
        <v>332</v>
      </c>
      <c r="C154" t="s">
        <v>255</v>
      </c>
      <c r="D154" t="s">
        <v>234</v>
      </c>
      <c r="E154" t="s">
        <v>20</v>
      </c>
      <c r="F154" t="s">
        <v>294</v>
      </c>
      <c r="G154" t="s">
        <v>269</v>
      </c>
      <c r="H154" t="s">
        <v>254</v>
      </c>
      <c r="I154" t="s">
        <v>242</v>
      </c>
      <c r="J154" t="s">
        <v>235</v>
      </c>
      <c r="K154" s="380">
        <v>36861</v>
      </c>
      <c r="L154" s="235">
        <v>52016.863276896511</v>
      </c>
      <c r="M154" s="380">
        <v>36859</v>
      </c>
      <c r="N154" t="s">
        <v>21</v>
      </c>
      <c r="O154">
        <v>-0.27</v>
      </c>
      <c r="P154">
        <v>0</v>
      </c>
      <c r="Q154">
        <v>0</v>
      </c>
      <c r="R154">
        <v>0</v>
      </c>
      <c r="S154">
        <v>0</v>
      </c>
      <c r="T154" t="s">
        <v>253</v>
      </c>
      <c r="U154" t="s">
        <v>9</v>
      </c>
      <c r="V154" t="s">
        <v>253</v>
      </c>
      <c r="W154" t="s">
        <v>132</v>
      </c>
      <c r="X154" t="s">
        <v>253</v>
      </c>
      <c r="Y154" t="s">
        <v>235</v>
      </c>
      <c r="Z154" t="s">
        <v>236</v>
      </c>
      <c r="AA154" t="s">
        <v>253</v>
      </c>
      <c r="AB154" t="s">
        <v>1</v>
      </c>
      <c r="AC154" s="235">
        <v>310000</v>
      </c>
      <c r="AD154" s="235">
        <v>13224.569944096715</v>
      </c>
      <c r="AE154">
        <v>0</v>
      </c>
      <c r="AF154">
        <v>0</v>
      </c>
      <c r="AG154">
        <v>0</v>
      </c>
      <c r="AH154" s="235">
        <v>-5072.2050298476461</v>
      </c>
      <c r="AI154">
        <v>226</v>
      </c>
      <c r="AJ154" t="s">
        <v>256</v>
      </c>
      <c r="AK154">
        <v>0</v>
      </c>
      <c r="AL154">
        <v>0</v>
      </c>
      <c r="AM154">
        <v>0</v>
      </c>
    </row>
    <row r="155" spans="1:39" x14ac:dyDescent="0.25">
      <c r="A155" t="s">
        <v>233</v>
      </c>
      <c r="B155" t="s">
        <v>332</v>
      </c>
      <c r="C155" t="s">
        <v>255</v>
      </c>
      <c r="D155" t="s">
        <v>234</v>
      </c>
      <c r="E155" t="s">
        <v>20</v>
      </c>
      <c r="F155" t="s">
        <v>294</v>
      </c>
      <c r="G155" t="s">
        <v>269</v>
      </c>
      <c r="H155" t="s">
        <v>254</v>
      </c>
      <c r="I155" t="s">
        <v>242</v>
      </c>
      <c r="J155" t="s">
        <v>235</v>
      </c>
      <c r="K155" s="380">
        <v>36831</v>
      </c>
      <c r="L155" s="235">
        <v>26038.018439554951</v>
      </c>
      <c r="M155" s="380">
        <v>36829</v>
      </c>
      <c r="N155" t="s">
        <v>21</v>
      </c>
      <c r="O155">
        <v>-0.27</v>
      </c>
      <c r="P155">
        <v>0</v>
      </c>
      <c r="Q155">
        <v>0</v>
      </c>
      <c r="R155">
        <v>0</v>
      </c>
      <c r="S155">
        <v>0</v>
      </c>
      <c r="T155" t="s">
        <v>253</v>
      </c>
      <c r="U155" t="s">
        <v>9</v>
      </c>
      <c r="V155" t="s">
        <v>253</v>
      </c>
      <c r="W155" t="s">
        <v>132</v>
      </c>
      <c r="X155" t="s">
        <v>253</v>
      </c>
      <c r="Y155" t="s">
        <v>235</v>
      </c>
      <c r="Z155" t="s">
        <v>236</v>
      </c>
      <c r="AA155" t="s">
        <v>253</v>
      </c>
      <c r="AB155" t="s">
        <v>1</v>
      </c>
      <c r="AC155" s="235">
        <v>300000</v>
      </c>
      <c r="AD155" s="235">
        <v>9537.2238984074502</v>
      </c>
      <c r="AE155">
        <v>0</v>
      </c>
      <c r="AF155">
        <v>0</v>
      </c>
      <c r="AG155">
        <v>0</v>
      </c>
      <c r="AH155" s="235">
        <v>-3690.4010738492616</v>
      </c>
      <c r="AI155">
        <v>226</v>
      </c>
      <c r="AJ155" t="s">
        <v>256</v>
      </c>
      <c r="AK155">
        <v>0</v>
      </c>
      <c r="AL155">
        <v>0</v>
      </c>
      <c r="AM155">
        <v>0</v>
      </c>
    </row>
    <row r="156" spans="1:39" x14ac:dyDescent="0.25">
      <c r="A156" t="s">
        <v>233</v>
      </c>
      <c r="B156" t="s">
        <v>332</v>
      </c>
      <c r="C156" t="s">
        <v>255</v>
      </c>
      <c r="D156" t="s">
        <v>234</v>
      </c>
      <c r="E156" t="s">
        <v>20</v>
      </c>
      <c r="F156" t="s">
        <v>294</v>
      </c>
      <c r="G156" t="s">
        <v>269</v>
      </c>
      <c r="H156" t="s">
        <v>254</v>
      </c>
      <c r="I156" t="s">
        <v>242</v>
      </c>
      <c r="J156" t="s">
        <v>235</v>
      </c>
      <c r="K156" s="380">
        <v>36800</v>
      </c>
      <c r="L156" s="235">
        <v>5375.6377491289231</v>
      </c>
      <c r="M156" s="380">
        <v>36797</v>
      </c>
      <c r="N156" t="s">
        <v>21</v>
      </c>
      <c r="O156">
        <v>-0.27</v>
      </c>
      <c r="P156">
        <v>0</v>
      </c>
      <c r="Q156">
        <v>0</v>
      </c>
      <c r="R156">
        <v>0</v>
      </c>
      <c r="S156">
        <v>0</v>
      </c>
      <c r="T156" t="s">
        <v>253</v>
      </c>
      <c r="U156" t="s">
        <v>9</v>
      </c>
      <c r="V156" t="s">
        <v>253</v>
      </c>
      <c r="W156" t="s">
        <v>132</v>
      </c>
      <c r="X156" t="s">
        <v>253</v>
      </c>
      <c r="Y156" t="s">
        <v>235</v>
      </c>
      <c r="Z156" t="s">
        <v>236</v>
      </c>
      <c r="AA156" t="s">
        <v>253</v>
      </c>
      <c r="AB156" t="s">
        <v>1</v>
      </c>
      <c r="AC156" s="235">
        <v>310000</v>
      </c>
      <c r="AD156" s="235">
        <v>4737.9213566313047</v>
      </c>
      <c r="AE156">
        <v>0</v>
      </c>
      <c r="AF156">
        <v>0</v>
      </c>
      <c r="AG156">
        <v>0</v>
      </c>
      <c r="AH156" s="235">
        <v>-2100.3801918803201</v>
      </c>
      <c r="AI156">
        <v>226</v>
      </c>
      <c r="AJ156" t="s">
        <v>256</v>
      </c>
      <c r="AK156">
        <v>0</v>
      </c>
      <c r="AL156">
        <v>0</v>
      </c>
      <c r="AM156">
        <v>0</v>
      </c>
    </row>
    <row r="157" spans="1:39" x14ac:dyDescent="0.25">
      <c r="A157" t="s">
        <v>233</v>
      </c>
      <c r="B157" t="s">
        <v>332</v>
      </c>
      <c r="C157" t="s">
        <v>255</v>
      </c>
      <c r="D157" t="s">
        <v>234</v>
      </c>
      <c r="E157" t="s">
        <v>20</v>
      </c>
      <c r="F157" t="s">
        <v>294</v>
      </c>
      <c r="G157" t="s">
        <v>269</v>
      </c>
      <c r="H157" t="s">
        <v>254</v>
      </c>
      <c r="I157" t="s">
        <v>242</v>
      </c>
      <c r="J157" t="s">
        <v>235</v>
      </c>
      <c r="K157" s="380">
        <v>36770</v>
      </c>
      <c r="L157" s="235">
        <v>3.813935484098252E-2</v>
      </c>
      <c r="M157" s="380">
        <v>36768</v>
      </c>
      <c r="N157" t="s">
        <v>21</v>
      </c>
      <c r="O157">
        <v>-0.27</v>
      </c>
      <c r="P157">
        <v>0</v>
      </c>
      <c r="Q157">
        <v>0</v>
      </c>
      <c r="R157">
        <v>0</v>
      </c>
      <c r="S157">
        <v>0</v>
      </c>
      <c r="T157" t="s">
        <v>253</v>
      </c>
      <c r="U157" t="s">
        <v>9</v>
      </c>
      <c r="V157" t="s">
        <v>253</v>
      </c>
      <c r="W157" t="s">
        <v>132</v>
      </c>
      <c r="X157" t="s">
        <v>253</v>
      </c>
      <c r="Y157" t="s">
        <v>235</v>
      </c>
      <c r="Z157" t="s">
        <v>236</v>
      </c>
      <c r="AA157" t="s">
        <v>253</v>
      </c>
      <c r="AB157" t="s">
        <v>1</v>
      </c>
      <c r="AC157" s="235">
        <v>300000</v>
      </c>
      <c r="AD157" s="235">
        <v>-1.1573564973055284E-2</v>
      </c>
      <c r="AE157">
        <v>0</v>
      </c>
      <c r="AF157">
        <v>0</v>
      </c>
      <c r="AG157">
        <v>0</v>
      </c>
      <c r="AH157" s="235">
        <v>2.3530935866489244E-3</v>
      </c>
      <c r="AI157">
        <v>226</v>
      </c>
      <c r="AJ157" t="s">
        <v>256</v>
      </c>
      <c r="AK157">
        <v>0</v>
      </c>
      <c r="AL157">
        <v>0</v>
      </c>
      <c r="AM157">
        <v>0</v>
      </c>
    </row>
    <row r="158" spans="1:39" x14ac:dyDescent="0.25">
      <c r="A158" t="s">
        <v>233</v>
      </c>
      <c r="B158" t="s">
        <v>347</v>
      </c>
      <c r="C158" t="s">
        <v>255</v>
      </c>
      <c r="D158" t="s">
        <v>234</v>
      </c>
      <c r="E158" t="s">
        <v>20</v>
      </c>
      <c r="F158" t="s">
        <v>279</v>
      </c>
      <c r="G158" t="s">
        <v>269</v>
      </c>
      <c r="H158" t="s">
        <v>254</v>
      </c>
      <c r="I158" t="s">
        <v>242</v>
      </c>
      <c r="J158" t="s">
        <v>235</v>
      </c>
      <c r="K158" s="380">
        <v>36951</v>
      </c>
      <c r="L158" s="235">
        <v>-476658.56153891701</v>
      </c>
      <c r="M158" s="380">
        <v>36949</v>
      </c>
      <c r="N158" t="s">
        <v>21</v>
      </c>
      <c r="O158">
        <v>1.1499999999999999</v>
      </c>
      <c r="P158">
        <v>0</v>
      </c>
      <c r="Q158">
        <v>0</v>
      </c>
      <c r="R158">
        <v>0</v>
      </c>
      <c r="S158">
        <v>0</v>
      </c>
      <c r="T158" t="s">
        <v>253</v>
      </c>
      <c r="U158" t="s">
        <v>7</v>
      </c>
      <c r="V158" t="s">
        <v>253</v>
      </c>
      <c r="W158" t="s">
        <v>132</v>
      </c>
      <c r="X158" t="s">
        <v>253</v>
      </c>
      <c r="Y158" t="s">
        <v>235</v>
      </c>
      <c r="Z158" t="s">
        <v>236</v>
      </c>
      <c r="AA158" t="s">
        <v>253</v>
      </c>
      <c r="AB158" t="s">
        <v>1</v>
      </c>
      <c r="AC158" s="235">
        <v>-1000000</v>
      </c>
      <c r="AD158" s="235">
        <v>-88233.886108779581</v>
      </c>
      <c r="AE158">
        <v>0</v>
      </c>
      <c r="AF158">
        <v>0</v>
      </c>
      <c r="AG158">
        <v>0</v>
      </c>
      <c r="AH158" s="235">
        <v>-34589.488200665626</v>
      </c>
      <c r="AI158">
        <v>226</v>
      </c>
      <c r="AJ158" t="s">
        <v>256</v>
      </c>
      <c r="AK158">
        <v>0</v>
      </c>
      <c r="AL158">
        <v>0</v>
      </c>
      <c r="AM158">
        <v>0</v>
      </c>
    </row>
    <row r="159" spans="1:39" x14ac:dyDescent="0.25">
      <c r="A159" t="s">
        <v>233</v>
      </c>
      <c r="B159" t="s">
        <v>347</v>
      </c>
      <c r="C159" t="s">
        <v>255</v>
      </c>
      <c r="D159" t="s">
        <v>234</v>
      </c>
      <c r="E159" t="s">
        <v>20</v>
      </c>
      <c r="F159" t="s">
        <v>279</v>
      </c>
      <c r="G159" t="s">
        <v>269</v>
      </c>
      <c r="H159" t="s">
        <v>254</v>
      </c>
      <c r="I159" t="s">
        <v>242</v>
      </c>
      <c r="J159" t="s">
        <v>235</v>
      </c>
      <c r="K159" s="380">
        <v>36923</v>
      </c>
      <c r="L159" s="235">
        <v>-1165155.3454138159</v>
      </c>
      <c r="M159" s="380">
        <v>36921</v>
      </c>
      <c r="N159" t="s">
        <v>21</v>
      </c>
      <c r="O159">
        <v>1.1499999999999999</v>
      </c>
      <c r="P159">
        <v>0</v>
      </c>
      <c r="Q159">
        <v>0</v>
      </c>
      <c r="R159">
        <v>0</v>
      </c>
      <c r="S159">
        <v>0</v>
      </c>
      <c r="T159" t="s">
        <v>253</v>
      </c>
      <c r="U159" t="s">
        <v>7</v>
      </c>
      <c r="V159" t="s">
        <v>253</v>
      </c>
      <c r="W159" t="s">
        <v>132</v>
      </c>
      <c r="X159" t="s">
        <v>253</v>
      </c>
      <c r="Y159" t="s">
        <v>235</v>
      </c>
      <c r="Z159" t="s">
        <v>236</v>
      </c>
      <c r="AA159" t="s">
        <v>253</v>
      </c>
      <c r="AB159" t="s">
        <v>1</v>
      </c>
      <c r="AC159" s="235">
        <v>-1000000</v>
      </c>
      <c r="AD159" s="235">
        <v>-75189.198292012676</v>
      </c>
      <c r="AE159">
        <v>0</v>
      </c>
      <c r="AF159">
        <v>0</v>
      </c>
      <c r="AG159">
        <v>0</v>
      </c>
      <c r="AH159" s="235">
        <v>-55488.699038056191</v>
      </c>
      <c r="AI159">
        <v>226</v>
      </c>
      <c r="AJ159" t="s">
        <v>256</v>
      </c>
      <c r="AK159">
        <v>0</v>
      </c>
      <c r="AL159">
        <v>0</v>
      </c>
      <c r="AM159">
        <v>0</v>
      </c>
    </row>
    <row r="160" spans="1:39" x14ac:dyDescent="0.25">
      <c r="A160" t="s">
        <v>233</v>
      </c>
      <c r="B160" t="s">
        <v>347</v>
      </c>
      <c r="C160" t="s">
        <v>255</v>
      </c>
      <c r="D160" t="s">
        <v>234</v>
      </c>
      <c r="E160" t="s">
        <v>20</v>
      </c>
      <c r="F160" t="s">
        <v>279</v>
      </c>
      <c r="G160" t="s">
        <v>269</v>
      </c>
      <c r="H160" t="s">
        <v>254</v>
      </c>
      <c r="I160" t="s">
        <v>242</v>
      </c>
      <c r="J160" t="s">
        <v>235</v>
      </c>
      <c r="K160" s="380">
        <v>36892</v>
      </c>
      <c r="L160" s="235">
        <v>-1205445.0279695052</v>
      </c>
      <c r="M160" s="380">
        <v>36888</v>
      </c>
      <c r="N160" t="s">
        <v>21</v>
      </c>
      <c r="O160">
        <v>1.1499999999999999</v>
      </c>
      <c r="P160">
        <v>0</v>
      </c>
      <c r="Q160">
        <v>0</v>
      </c>
      <c r="R160">
        <v>0</v>
      </c>
      <c r="S160">
        <v>0</v>
      </c>
      <c r="T160" t="s">
        <v>253</v>
      </c>
      <c r="U160" t="s">
        <v>7</v>
      </c>
      <c r="V160" t="s">
        <v>253</v>
      </c>
      <c r="W160" t="s">
        <v>132</v>
      </c>
      <c r="X160" t="s">
        <v>253</v>
      </c>
      <c r="Y160" t="s">
        <v>235</v>
      </c>
      <c r="Z160" t="s">
        <v>236</v>
      </c>
      <c r="AA160" t="s">
        <v>253</v>
      </c>
      <c r="AB160" t="s">
        <v>1</v>
      </c>
      <c r="AC160" s="235">
        <v>-1000000</v>
      </c>
      <c r="AD160" s="235">
        <v>-65194.059697993798</v>
      </c>
      <c r="AE160">
        <v>0</v>
      </c>
      <c r="AF160">
        <v>0</v>
      </c>
      <c r="AG160">
        <v>0</v>
      </c>
      <c r="AH160" s="235">
        <v>-49213.135710322298</v>
      </c>
      <c r="AI160">
        <v>226</v>
      </c>
      <c r="AJ160" t="s">
        <v>256</v>
      </c>
      <c r="AK160">
        <v>0</v>
      </c>
      <c r="AL160">
        <v>0</v>
      </c>
      <c r="AM160">
        <v>0</v>
      </c>
    </row>
    <row r="161" spans="1:39" x14ac:dyDescent="0.25">
      <c r="A161" t="s">
        <v>233</v>
      </c>
      <c r="B161" t="s">
        <v>347</v>
      </c>
      <c r="C161" t="s">
        <v>255</v>
      </c>
      <c r="D161" t="s">
        <v>234</v>
      </c>
      <c r="E161" t="s">
        <v>20</v>
      </c>
      <c r="F161" t="s">
        <v>279</v>
      </c>
      <c r="G161" t="s">
        <v>269</v>
      </c>
      <c r="H161" t="s">
        <v>254</v>
      </c>
      <c r="I161" t="s">
        <v>242</v>
      </c>
      <c r="J161" t="s">
        <v>235</v>
      </c>
      <c r="K161" s="380">
        <v>36861</v>
      </c>
      <c r="L161" s="235">
        <v>-765623.77335197385</v>
      </c>
      <c r="M161" s="380">
        <v>36859</v>
      </c>
      <c r="N161" t="s">
        <v>21</v>
      </c>
      <c r="O161">
        <v>1.1499999999999999</v>
      </c>
      <c r="P161">
        <v>0</v>
      </c>
      <c r="Q161">
        <v>0</v>
      </c>
      <c r="R161">
        <v>0</v>
      </c>
      <c r="S161">
        <v>0</v>
      </c>
      <c r="T161" t="s">
        <v>253</v>
      </c>
      <c r="U161" t="s">
        <v>7</v>
      </c>
      <c r="V161" t="s">
        <v>253</v>
      </c>
      <c r="W161" t="s">
        <v>132</v>
      </c>
      <c r="X161" t="s">
        <v>253</v>
      </c>
      <c r="Y161" t="s">
        <v>235</v>
      </c>
      <c r="Z161" t="s">
        <v>236</v>
      </c>
      <c r="AA161" t="s">
        <v>253</v>
      </c>
      <c r="AB161" t="s">
        <v>1</v>
      </c>
      <c r="AC161" s="235">
        <v>-1000000</v>
      </c>
      <c r="AD161" s="235">
        <v>-66931.729159706971</v>
      </c>
      <c r="AE161">
        <v>0</v>
      </c>
      <c r="AF161">
        <v>0</v>
      </c>
      <c r="AG161">
        <v>0</v>
      </c>
      <c r="AH161" s="235">
        <v>-33706.730995018035</v>
      </c>
      <c r="AI161">
        <v>226</v>
      </c>
      <c r="AJ161" t="s">
        <v>256</v>
      </c>
      <c r="AK161">
        <v>0</v>
      </c>
      <c r="AL161">
        <v>0</v>
      </c>
      <c r="AM161">
        <v>0</v>
      </c>
    </row>
    <row r="162" spans="1:39" x14ac:dyDescent="0.25">
      <c r="A162" t="s">
        <v>233</v>
      </c>
      <c r="B162" t="s">
        <v>347</v>
      </c>
      <c r="C162" t="s">
        <v>255</v>
      </c>
      <c r="D162" t="s">
        <v>234</v>
      </c>
      <c r="E162" t="s">
        <v>20</v>
      </c>
      <c r="F162" t="s">
        <v>279</v>
      </c>
      <c r="G162" t="s">
        <v>269</v>
      </c>
      <c r="H162" t="s">
        <v>254</v>
      </c>
      <c r="I162" t="s">
        <v>242</v>
      </c>
      <c r="J162" t="s">
        <v>235</v>
      </c>
      <c r="K162" s="380">
        <v>36831</v>
      </c>
      <c r="L162" s="235">
        <v>-127130.20145488552</v>
      </c>
      <c r="M162" s="380">
        <v>36829</v>
      </c>
      <c r="N162" t="s">
        <v>21</v>
      </c>
      <c r="O162">
        <v>1.1499999999999999</v>
      </c>
      <c r="P162">
        <v>0</v>
      </c>
      <c r="Q162">
        <v>0</v>
      </c>
      <c r="R162">
        <v>0</v>
      </c>
      <c r="S162">
        <v>0</v>
      </c>
      <c r="T162" t="s">
        <v>253</v>
      </c>
      <c r="U162" t="s">
        <v>7</v>
      </c>
      <c r="V162" t="s">
        <v>253</v>
      </c>
      <c r="W162" t="s">
        <v>132</v>
      </c>
      <c r="X162" t="s">
        <v>253</v>
      </c>
      <c r="Y162" t="s">
        <v>235</v>
      </c>
      <c r="Z162" t="s">
        <v>236</v>
      </c>
      <c r="AA162" t="s">
        <v>253</v>
      </c>
      <c r="AB162" t="s">
        <v>1</v>
      </c>
      <c r="AC162" s="235">
        <v>-1000000</v>
      </c>
      <c r="AD162" s="235">
        <v>-37738.691429572995</v>
      </c>
      <c r="AE162">
        <v>0</v>
      </c>
      <c r="AF162">
        <v>0</v>
      </c>
      <c r="AG162">
        <v>0</v>
      </c>
      <c r="AH162" s="235">
        <v>-14155.90683742422</v>
      </c>
      <c r="AI162">
        <v>226</v>
      </c>
      <c r="AJ162" t="s">
        <v>256</v>
      </c>
      <c r="AK162">
        <v>0</v>
      </c>
      <c r="AL162">
        <v>0</v>
      </c>
      <c r="AM162">
        <v>0</v>
      </c>
    </row>
    <row r="163" spans="1:39" x14ac:dyDescent="0.25">
      <c r="A163" t="s">
        <v>233</v>
      </c>
      <c r="B163" t="s">
        <v>349</v>
      </c>
      <c r="C163" t="s">
        <v>255</v>
      </c>
      <c r="D163" t="s">
        <v>234</v>
      </c>
      <c r="E163" t="s">
        <v>20</v>
      </c>
      <c r="F163" t="s">
        <v>348</v>
      </c>
      <c r="G163" t="s">
        <v>269</v>
      </c>
      <c r="H163" t="s">
        <v>254</v>
      </c>
      <c r="I163" t="s">
        <v>242</v>
      </c>
      <c r="J163" t="s">
        <v>235</v>
      </c>
      <c r="K163" s="380">
        <v>36800</v>
      </c>
      <c r="L163" s="235">
        <v>-105361.73399090998</v>
      </c>
      <c r="M163" s="380">
        <v>36797</v>
      </c>
      <c r="N163" t="s">
        <v>21</v>
      </c>
      <c r="O163">
        <v>0.32</v>
      </c>
      <c r="P163">
        <v>0</v>
      </c>
      <c r="Q163">
        <v>0</v>
      </c>
      <c r="R163">
        <v>0</v>
      </c>
      <c r="S163">
        <v>0</v>
      </c>
      <c r="T163" t="s">
        <v>253</v>
      </c>
      <c r="U163" t="s">
        <v>7</v>
      </c>
      <c r="V163" t="s">
        <v>253</v>
      </c>
      <c r="W163" t="s">
        <v>132</v>
      </c>
      <c r="X163" t="s">
        <v>253</v>
      </c>
      <c r="Y163" t="s">
        <v>235</v>
      </c>
      <c r="Z163" t="s">
        <v>236</v>
      </c>
      <c r="AA163" t="s">
        <v>253</v>
      </c>
      <c r="AB163" t="s">
        <v>1</v>
      </c>
      <c r="AC163" s="235">
        <v>-1000000</v>
      </c>
      <c r="AD163" s="235">
        <v>-4689.3762897847919</v>
      </c>
      <c r="AE163">
        <v>0</v>
      </c>
      <c r="AF163">
        <v>0</v>
      </c>
      <c r="AG163">
        <v>0</v>
      </c>
      <c r="AH163" s="235">
        <v>-270.06556986075884</v>
      </c>
      <c r="AI163">
        <v>226</v>
      </c>
      <c r="AJ163" t="s">
        <v>256</v>
      </c>
      <c r="AK163">
        <v>0</v>
      </c>
      <c r="AL163">
        <v>0</v>
      </c>
      <c r="AM163">
        <v>0</v>
      </c>
    </row>
    <row r="164" spans="1:39" x14ac:dyDescent="0.25">
      <c r="A164" t="s">
        <v>233</v>
      </c>
      <c r="B164" t="s">
        <v>349</v>
      </c>
      <c r="C164" t="s">
        <v>255</v>
      </c>
      <c r="D164" t="s">
        <v>234</v>
      </c>
      <c r="E164" t="s">
        <v>20</v>
      </c>
      <c r="F164" t="s">
        <v>348</v>
      </c>
      <c r="G164" t="s">
        <v>269</v>
      </c>
      <c r="H164" t="s">
        <v>254</v>
      </c>
      <c r="I164" t="s">
        <v>242</v>
      </c>
      <c r="J164" t="s">
        <v>235</v>
      </c>
      <c r="K164" s="380">
        <v>36770</v>
      </c>
      <c r="L164" s="235">
        <v>-5163.8549129332332</v>
      </c>
      <c r="M164" s="380">
        <v>36768</v>
      </c>
      <c r="N164" t="s">
        <v>21</v>
      </c>
      <c r="O164">
        <v>0.32</v>
      </c>
      <c r="P164">
        <v>0</v>
      </c>
      <c r="Q164">
        <v>0</v>
      </c>
      <c r="R164">
        <v>0</v>
      </c>
      <c r="S164">
        <v>0</v>
      </c>
      <c r="T164" t="s">
        <v>253</v>
      </c>
      <c r="U164" t="s">
        <v>7</v>
      </c>
      <c r="V164" t="s">
        <v>253</v>
      </c>
      <c r="W164" t="s">
        <v>132</v>
      </c>
      <c r="X164" t="s">
        <v>253</v>
      </c>
      <c r="Y164" t="s">
        <v>235</v>
      </c>
      <c r="Z164" t="s">
        <v>236</v>
      </c>
      <c r="AA164" t="s">
        <v>253</v>
      </c>
      <c r="AB164" t="s">
        <v>1</v>
      </c>
      <c r="AC164" s="235">
        <v>-1000000</v>
      </c>
      <c r="AD164" s="235">
        <v>-1214.2794780033873</v>
      </c>
      <c r="AE164">
        <v>0</v>
      </c>
      <c r="AF164">
        <v>0</v>
      </c>
      <c r="AG164">
        <v>0</v>
      </c>
      <c r="AH164" s="235">
        <v>-145.92169153487885</v>
      </c>
      <c r="AI164">
        <v>226</v>
      </c>
      <c r="AJ164" t="s">
        <v>256</v>
      </c>
      <c r="AK164">
        <v>0</v>
      </c>
      <c r="AL164">
        <v>0</v>
      </c>
      <c r="AM164">
        <v>0</v>
      </c>
    </row>
    <row r="165" spans="1:39" x14ac:dyDescent="0.25">
      <c r="A165" t="s">
        <v>233</v>
      </c>
      <c r="B165" t="s">
        <v>350</v>
      </c>
      <c r="C165" t="s">
        <v>255</v>
      </c>
      <c r="D165" t="s">
        <v>234</v>
      </c>
      <c r="E165" t="s">
        <v>20</v>
      </c>
      <c r="F165" t="s">
        <v>348</v>
      </c>
      <c r="G165" t="s">
        <v>269</v>
      </c>
      <c r="H165" t="s">
        <v>254</v>
      </c>
      <c r="I165" t="s">
        <v>242</v>
      </c>
      <c r="J165" t="s">
        <v>235</v>
      </c>
      <c r="K165" s="380">
        <v>36800</v>
      </c>
      <c r="L165" s="235">
        <v>-10908.844010485864</v>
      </c>
      <c r="M165" s="380">
        <v>36797</v>
      </c>
      <c r="N165" t="s">
        <v>1</v>
      </c>
      <c r="O165">
        <v>0.32</v>
      </c>
      <c r="P165">
        <v>0</v>
      </c>
      <c r="Q165">
        <v>0</v>
      </c>
      <c r="R165">
        <v>0</v>
      </c>
      <c r="S165">
        <v>0</v>
      </c>
      <c r="T165" t="s">
        <v>253</v>
      </c>
      <c r="U165" t="s">
        <v>7</v>
      </c>
      <c r="V165" t="s">
        <v>253</v>
      </c>
      <c r="W165" t="s">
        <v>132</v>
      </c>
      <c r="X165" t="s">
        <v>253</v>
      </c>
      <c r="Y165" t="s">
        <v>235</v>
      </c>
      <c r="Z165" t="s">
        <v>236</v>
      </c>
      <c r="AA165" t="s">
        <v>253</v>
      </c>
      <c r="AB165" t="s">
        <v>1</v>
      </c>
      <c r="AC165" s="235">
        <v>-1000000</v>
      </c>
      <c r="AD165" s="235">
        <v>-4689.376289784821</v>
      </c>
      <c r="AE165">
        <v>0</v>
      </c>
      <c r="AF165">
        <v>0</v>
      </c>
      <c r="AG165">
        <v>0</v>
      </c>
      <c r="AH165" s="235">
        <v>-270.06556986108808</v>
      </c>
      <c r="AI165">
        <v>226</v>
      </c>
      <c r="AJ165" t="s">
        <v>256</v>
      </c>
      <c r="AK165">
        <v>0</v>
      </c>
      <c r="AL165">
        <v>0</v>
      </c>
      <c r="AM165">
        <v>0</v>
      </c>
    </row>
    <row r="166" spans="1:39" x14ac:dyDescent="0.25">
      <c r="A166" t="s">
        <v>233</v>
      </c>
      <c r="B166" t="s">
        <v>350</v>
      </c>
      <c r="C166" t="s">
        <v>255</v>
      </c>
      <c r="D166" t="s">
        <v>234</v>
      </c>
      <c r="E166" t="s">
        <v>20</v>
      </c>
      <c r="F166" t="s">
        <v>348</v>
      </c>
      <c r="G166" t="s">
        <v>269</v>
      </c>
      <c r="H166" t="s">
        <v>254</v>
      </c>
      <c r="I166" t="s">
        <v>242</v>
      </c>
      <c r="J166" t="s">
        <v>235</v>
      </c>
      <c r="K166" s="380">
        <v>36770</v>
      </c>
      <c r="L166" s="235">
        <v>-10162.014972396937</v>
      </c>
      <c r="M166" s="380">
        <v>36768</v>
      </c>
      <c r="N166" t="s">
        <v>1</v>
      </c>
      <c r="O166">
        <v>0.32</v>
      </c>
      <c r="P166">
        <v>0</v>
      </c>
      <c r="Q166">
        <v>0</v>
      </c>
      <c r="R166">
        <v>0</v>
      </c>
      <c r="S166">
        <v>0</v>
      </c>
      <c r="T166" t="s">
        <v>253</v>
      </c>
      <c r="U166" t="s">
        <v>7</v>
      </c>
      <c r="V166" t="s">
        <v>253</v>
      </c>
      <c r="W166" t="s">
        <v>132</v>
      </c>
      <c r="X166" t="s">
        <v>253</v>
      </c>
      <c r="Y166" t="s">
        <v>235</v>
      </c>
      <c r="Z166" t="s">
        <v>236</v>
      </c>
      <c r="AA166" t="s">
        <v>253</v>
      </c>
      <c r="AB166" t="s">
        <v>1</v>
      </c>
      <c r="AC166" s="235">
        <v>-1000000</v>
      </c>
      <c r="AD166" s="235">
        <v>-1214.2794780032709</v>
      </c>
      <c r="AE166">
        <v>0</v>
      </c>
      <c r="AF166">
        <v>0</v>
      </c>
      <c r="AG166">
        <v>0</v>
      </c>
      <c r="AH166" s="235">
        <v>-145.92169153537907</v>
      </c>
      <c r="AI166">
        <v>226</v>
      </c>
      <c r="AJ166" t="s">
        <v>256</v>
      </c>
      <c r="AK166">
        <v>0</v>
      </c>
      <c r="AL166">
        <v>0</v>
      </c>
      <c r="AM166">
        <v>0</v>
      </c>
    </row>
    <row r="167" spans="1:39" x14ac:dyDescent="0.25">
      <c r="A167" t="s">
        <v>233</v>
      </c>
      <c r="B167" t="s">
        <v>352</v>
      </c>
      <c r="C167" t="s">
        <v>255</v>
      </c>
      <c r="D167" t="s">
        <v>234</v>
      </c>
      <c r="E167" t="s">
        <v>20</v>
      </c>
      <c r="F167" t="s">
        <v>351</v>
      </c>
      <c r="G167" t="s">
        <v>269</v>
      </c>
      <c r="H167" t="s">
        <v>254</v>
      </c>
      <c r="I167" t="s">
        <v>242</v>
      </c>
      <c r="J167" t="s">
        <v>235</v>
      </c>
      <c r="K167" s="380">
        <v>36800</v>
      </c>
      <c r="L167" s="235">
        <v>218512.97892611413</v>
      </c>
      <c r="M167" s="380">
        <v>36797</v>
      </c>
      <c r="N167" t="s">
        <v>1</v>
      </c>
      <c r="O167">
        <v>-0.4</v>
      </c>
      <c r="P167">
        <v>0</v>
      </c>
      <c r="Q167">
        <v>0</v>
      </c>
      <c r="R167">
        <v>0</v>
      </c>
      <c r="S167">
        <v>0</v>
      </c>
      <c r="T167" t="s">
        <v>253</v>
      </c>
      <c r="U167" t="s">
        <v>9</v>
      </c>
      <c r="V167" t="s">
        <v>253</v>
      </c>
      <c r="W167" t="s">
        <v>132</v>
      </c>
      <c r="X167" t="s">
        <v>253</v>
      </c>
      <c r="Y167" t="s">
        <v>235</v>
      </c>
      <c r="Z167" t="s">
        <v>236</v>
      </c>
      <c r="AA167" t="s">
        <v>253</v>
      </c>
      <c r="AB167" t="s">
        <v>1</v>
      </c>
      <c r="AC167" s="235">
        <v>500000</v>
      </c>
      <c r="AD167" s="235">
        <v>11150.957552009262</v>
      </c>
      <c r="AE167">
        <v>0</v>
      </c>
      <c r="AF167">
        <v>0</v>
      </c>
      <c r="AG167">
        <v>0</v>
      </c>
      <c r="AH167" s="235">
        <v>26590.790302763548</v>
      </c>
      <c r="AI167">
        <v>226</v>
      </c>
      <c r="AJ167" t="s">
        <v>256</v>
      </c>
      <c r="AK167">
        <v>0</v>
      </c>
      <c r="AL167">
        <v>0</v>
      </c>
      <c r="AM167">
        <v>0</v>
      </c>
    </row>
    <row r="168" spans="1:39" x14ac:dyDescent="0.25">
      <c r="A168" t="s">
        <v>233</v>
      </c>
      <c r="B168" t="s">
        <v>352</v>
      </c>
      <c r="C168" t="s">
        <v>255</v>
      </c>
      <c r="D168" t="s">
        <v>234</v>
      </c>
      <c r="E168" t="s">
        <v>20</v>
      </c>
      <c r="F168" t="s">
        <v>351</v>
      </c>
      <c r="G168" t="s">
        <v>269</v>
      </c>
      <c r="H168" t="s">
        <v>254</v>
      </c>
      <c r="I168" t="s">
        <v>242</v>
      </c>
      <c r="J168" t="s">
        <v>235</v>
      </c>
      <c r="K168" s="380">
        <v>36770</v>
      </c>
      <c r="L168" s="235">
        <v>419845.50004069717</v>
      </c>
      <c r="M168" s="380">
        <v>36768</v>
      </c>
      <c r="N168" t="s">
        <v>1</v>
      </c>
      <c r="O168">
        <v>-0.4</v>
      </c>
      <c r="P168">
        <v>0</v>
      </c>
      <c r="Q168">
        <v>0</v>
      </c>
      <c r="R168">
        <v>0</v>
      </c>
      <c r="S168">
        <v>0</v>
      </c>
      <c r="T168" t="s">
        <v>253</v>
      </c>
      <c r="U168" t="s">
        <v>9</v>
      </c>
      <c r="V168" t="s">
        <v>253</v>
      </c>
      <c r="W168" t="s">
        <v>132</v>
      </c>
      <c r="X168" t="s">
        <v>253</v>
      </c>
      <c r="Y168" t="s">
        <v>235</v>
      </c>
      <c r="Z168" t="s">
        <v>236</v>
      </c>
      <c r="AA168" t="s">
        <v>253</v>
      </c>
      <c r="AB168" t="s">
        <v>1</v>
      </c>
      <c r="AC168" s="235">
        <v>500000</v>
      </c>
      <c r="AD168" s="235">
        <v>-1.9289274117909372E-2</v>
      </c>
      <c r="AE168">
        <v>0</v>
      </c>
      <c r="AF168">
        <v>0</v>
      </c>
      <c r="AG168">
        <v>0</v>
      </c>
      <c r="AH168" s="235">
        <v>29972.432758822571</v>
      </c>
      <c r="AI168">
        <v>226</v>
      </c>
      <c r="AJ168" t="s">
        <v>256</v>
      </c>
      <c r="AK168">
        <v>0</v>
      </c>
      <c r="AL168">
        <v>0</v>
      </c>
      <c r="AM168">
        <v>0</v>
      </c>
    </row>
    <row r="169" spans="1:39" x14ac:dyDescent="0.25">
      <c r="A169" t="s">
        <v>233</v>
      </c>
      <c r="B169" t="s">
        <v>358</v>
      </c>
      <c r="C169" t="s">
        <v>255</v>
      </c>
      <c r="D169" t="s">
        <v>234</v>
      </c>
      <c r="E169" t="s">
        <v>20</v>
      </c>
      <c r="F169" t="s">
        <v>348</v>
      </c>
      <c r="G169" t="s">
        <v>269</v>
      </c>
      <c r="H169" t="s">
        <v>254</v>
      </c>
      <c r="I169" t="s">
        <v>242</v>
      </c>
      <c r="J169" t="s">
        <v>235</v>
      </c>
      <c r="K169" s="380">
        <v>36800</v>
      </c>
      <c r="L169" s="235">
        <v>-939571.33195759938</v>
      </c>
      <c r="M169" s="380">
        <v>36797</v>
      </c>
      <c r="N169" t="s">
        <v>21</v>
      </c>
      <c r="O169">
        <v>0.1</v>
      </c>
      <c r="P169">
        <v>0</v>
      </c>
      <c r="Q169">
        <v>0</v>
      </c>
      <c r="R169">
        <v>0</v>
      </c>
      <c r="S169">
        <v>0</v>
      </c>
      <c r="T169" t="s">
        <v>253</v>
      </c>
      <c r="U169" t="s">
        <v>190</v>
      </c>
      <c r="V169" t="s">
        <v>253</v>
      </c>
      <c r="W169" t="s">
        <v>132</v>
      </c>
      <c r="X169" t="s">
        <v>253</v>
      </c>
      <c r="Y169" t="s">
        <v>235</v>
      </c>
      <c r="Z169" t="s">
        <v>236</v>
      </c>
      <c r="AA169" t="s">
        <v>253</v>
      </c>
      <c r="AB169" t="s">
        <v>1</v>
      </c>
      <c r="AC169" s="235">
        <v>-500000</v>
      </c>
      <c r="AD169" s="235">
        <v>-36.8795845604036</v>
      </c>
      <c r="AE169">
        <v>0</v>
      </c>
      <c r="AF169">
        <v>0</v>
      </c>
      <c r="AG169">
        <v>0</v>
      </c>
      <c r="AH169" s="235">
        <v>19867.962812026613</v>
      </c>
      <c r="AI169">
        <v>226</v>
      </c>
      <c r="AJ169" t="s">
        <v>256</v>
      </c>
      <c r="AK169">
        <v>0</v>
      </c>
      <c r="AL169">
        <v>0</v>
      </c>
      <c r="AM169">
        <v>0</v>
      </c>
    </row>
    <row r="170" spans="1:39" x14ac:dyDescent="0.25">
      <c r="A170" t="s">
        <v>233</v>
      </c>
      <c r="B170" t="s">
        <v>358</v>
      </c>
      <c r="C170" t="s">
        <v>255</v>
      </c>
      <c r="D170" t="s">
        <v>234</v>
      </c>
      <c r="E170" t="s">
        <v>20</v>
      </c>
      <c r="F170" t="s">
        <v>348</v>
      </c>
      <c r="G170" t="s">
        <v>269</v>
      </c>
      <c r="H170" t="s">
        <v>254</v>
      </c>
      <c r="I170" t="s">
        <v>242</v>
      </c>
      <c r="J170" t="s">
        <v>235</v>
      </c>
      <c r="K170" s="380">
        <v>36770</v>
      </c>
      <c r="L170" s="235">
        <v>-1199558.5715753427</v>
      </c>
      <c r="M170" s="380">
        <v>36768</v>
      </c>
      <c r="N170" t="s">
        <v>21</v>
      </c>
      <c r="O170">
        <v>0.1</v>
      </c>
      <c r="P170">
        <v>0</v>
      </c>
      <c r="Q170">
        <v>0</v>
      </c>
      <c r="R170">
        <v>0</v>
      </c>
      <c r="S170">
        <v>0</v>
      </c>
      <c r="T170" t="s">
        <v>253</v>
      </c>
      <c r="U170" t="s">
        <v>190</v>
      </c>
      <c r="V170" t="s">
        <v>253</v>
      </c>
      <c r="W170" t="s">
        <v>132</v>
      </c>
      <c r="X170" t="s">
        <v>253</v>
      </c>
      <c r="Y170" t="s">
        <v>235</v>
      </c>
      <c r="Z170" t="s">
        <v>236</v>
      </c>
      <c r="AA170" t="s">
        <v>253</v>
      </c>
      <c r="AB170" t="s">
        <v>1</v>
      </c>
      <c r="AC170" s="235">
        <v>-500000</v>
      </c>
      <c r="AD170" s="235">
        <v>1.9951428868807852E-2</v>
      </c>
      <c r="AE170">
        <v>0</v>
      </c>
      <c r="AF170">
        <v>0</v>
      </c>
      <c r="AG170">
        <v>0</v>
      </c>
      <c r="AH170" s="235">
        <v>-132378.24523491482</v>
      </c>
      <c r="AI170">
        <v>226</v>
      </c>
      <c r="AJ170" t="s">
        <v>256</v>
      </c>
      <c r="AK170">
        <v>0</v>
      </c>
      <c r="AL170">
        <v>0</v>
      </c>
      <c r="AM170">
        <v>0</v>
      </c>
    </row>
    <row r="171" spans="1:39" x14ac:dyDescent="0.25">
      <c r="A171" t="s">
        <v>233</v>
      </c>
      <c r="B171" t="s">
        <v>359</v>
      </c>
      <c r="C171" t="s">
        <v>255</v>
      </c>
      <c r="D171" t="s">
        <v>234</v>
      </c>
      <c r="E171" t="s">
        <v>20</v>
      </c>
      <c r="F171" t="s">
        <v>320</v>
      </c>
      <c r="G171" t="s">
        <v>269</v>
      </c>
      <c r="H171" t="s">
        <v>254</v>
      </c>
      <c r="I171" t="s">
        <v>242</v>
      </c>
      <c r="J171" t="s">
        <v>235</v>
      </c>
      <c r="K171" s="380">
        <v>36951</v>
      </c>
      <c r="L171" s="235">
        <v>147764.15407706428</v>
      </c>
      <c r="M171" s="380">
        <v>36949</v>
      </c>
      <c r="N171" t="s">
        <v>21</v>
      </c>
      <c r="O171">
        <v>1.1499999999999999</v>
      </c>
      <c r="P171">
        <v>0</v>
      </c>
      <c r="Q171">
        <v>0</v>
      </c>
      <c r="R171">
        <v>0</v>
      </c>
      <c r="S171">
        <v>0</v>
      </c>
      <c r="T171" t="s">
        <v>253</v>
      </c>
      <c r="U171" t="s">
        <v>7</v>
      </c>
      <c r="V171" t="s">
        <v>253</v>
      </c>
      <c r="W171" t="s">
        <v>132</v>
      </c>
      <c r="X171" t="s">
        <v>253</v>
      </c>
      <c r="Y171" t="s">
        <v>235</v>
      </c>
      <c r="Z171" t="s">
        <v>236</v>
      </c>
      <c r="AA171" t="s">
        <v>253</v>
      </c>
      <c r="AB171" t="s">
        <v>1</v>
      </c>
      <c r="AC171" s="235">
        <v>310000</v>
      </c>
      <c r="AD171" s="235">
        <v>27352.504693721654</v>
      </c>
      <c r="AE171">
        <v>0</v>
      </c>
      <c r="AF171">
        <v>0</v>
      </c>
      <c r="AG171">
        <v>0</v>
      </c>
      <c r="AH171" s="235">
        <v>10722.74134220634</v>
      </c>
      <c r="AI171">
        <v>226</v>
      </c>
      <c r="AJ171" t="s">
        <v>256</v>
      </c>
      <c r="AK171">
        <v>0</v>
      </c>
      <c r="AL171">
        <v>0</v>
      </c>
      <c r="AM171">
        <v>0</v>
      </c>
    </row>
    <row r="172" spans="1:39" x14ac:dyDescent="0.25">
      <c r="A172" t="s">
        <v>233</v>
      </c>
      <c r="B172" t="s">
        <v>359</v>
      </c>
      <c r="C172" t="s">
        <v>255</v>
      </c>
      <c r="D172" t="s">
        <v>234</v>
      </c>
      <c r="E172" t="s">
        <v>20</v>
      </c>
      <c r="F172" t="s">
        <v>320</v>
      </c>
      <c r="G172" t="s">
        <v>269</v>
      </c>
      <c r="H172" t="s">
        <v>254</v>
      </c>
      <c r="I172" t="s">
        <v>242</v>
      </c>
      <c r="J172" t="s">
        <v>235</v>
      </c>
      <c r="K172" s="380">
        <v>36923</v>
      </c>
      <c r="L172" s="235">
        <v>326243.49671586847</v>
      </c>
      <c r="M172" s="380">
        <v>36921</v>
      </c>
      <c r="N172" t="s">
        <v>21</v>
      </c>
      <c r="O172">
        <v>1.1499999999999999</v>
      </c>
      <c r="P172">
        <v>0</v>
      </c>
      <c r="Q172">
        <v>0</v>
      </c>
      <c r="R172">
        <v>0</v>
      </c>
      <c r="S172">
        <v>0</v>
      </c>
      <c r="T172" t="s">
        <v>253</v>
      </c>
      <c r="U172" t="s">
        <v>7</v>
      </c>
      <c r="V172" t="s">
        <v>253</v>
      </c>
      <c r="W172" t="s">
        <v>132</v>
      </c>
      <c r="X172" t="s">
        <v>253</v>
      </c>
      <c r="Y172" t="s">
        <v>235</v>
      </c>
      <c r="Z172" t="s">
        <v>236</v>
      </c>
      <c r="AA172" t="s">
        <v>253</v>
      </c>
      <c r="AB172" t="s">
        <v>1</v>
      </c>
      <c r="AC172" s="235">
        <v>280000</v>
      </c>
      <c r="AD172" s="235">
        <v>21052.975521763583</v>
      </c>
      <c r="AE172">
        <v>0</v>
      </c>
      <c r="AF172">
        <v>0</v>
      </c>
      <c r="AG172">
        <v>0</v>
      </c>
      <c r="AH172" s="235">
        <v>15536.835730655701</v>
      </c>
      <c r="AI172">
        <v>226</v>
      </c>
      <c r="AJ172" t="s">
        <v>256</v>
      </c>
      <c r="AK172">
        <v>0</v>
      </c>
      <c r="AL172">
        <v>0</v>
      </c>
      <c r="AM172">
        <v>0</v>
      </c>
    </row>
    <row r="173" spans="1:39" x14ac:dyDescent="0.25">
      <c r="A173" t="s">
        <v>233</v>
      </c>
      <c r="B173" t="s">
        <v>359</v>
      </c>
      <c r="C173" t="s">
        <v>255</v>
      </c>
      <c r="D173" t="s">
        <v>234</v>
      </c>
      <c r="E173" t="s">
        <v>20</v>
      </c>
      <c r="F173" t="s">
        <v>320</v>
      </c>
      <c r="G173" t="s">
        <v>269</v>
      </c>
      <c r="H173" t="s">
        <v>254</v>
      </c>
      <c r="I173" t="s">
        <v>242</v>
      </c>
      <c r="J173" t="s">
        <v>235</v>
      </c>
      <c r="K173" s="380">
        <v>36892</v>
      </c>
      <c r="L173" s="235">
        <v>373687.95867054665</v>
      </c>
      <c r="M173" s="380">
        <v>36888</v>
      </c>
      <c r="N173" t="s">
        <v>21</v>
      </c>
      <c r="O173">
        <v>1.1499999999999999</v>
      </c>
      <c r="P173">
        <v>0</v>
      </c>
      <c r="Q173">
        <v>0</v>
      </c>
      <c r="R173">
        <v>0</v>
      </c>
      <c r="S173">
        <v>0</v>
      </c>
      <c r="T173" t="s">
        <v>253</v>
      </c>
      <c r="U173" t="s">
        <v>7</v>
      </c>
      <c r="V173" t="s">
        <v>253</v>
      </c>
      <c r="W173" t="s">
        <v>132</v>
      </c>
      <c r="X173" t="s">
        <v>253</v>
      </c>
      <c r="Y173" t="s">
        <v>235</v>
      </c>
      <c r="Z173" t="s">
        <v>236</v>
      </c>
      <c r="AA173" t="s">
        <v>253</v>
      </c>
      <c r="AB173" t="s">
        <v>1</v>
      </c>
      <c r="AC173" s="235">
        <v>310000</v>
      </c>
      <c r="AD173" s="235">
        <v>20210.158506378066</v>
      </c>
      <c r="AE173">
        <v>0</v>
      </c>
      <c r="AF173">
        <v>0</v>
      </c>
      <c r="AG173">
        <v>0</v>
      </c>
      <c r="AH173" s="235">
        <v>15256.072070199938</v>
      </c>
      <c r="AI173">
        <v>226</v>
      </c>
      <c r="AJ173" t="s">
        <v>256</v>
      </c>
      <c r="AK173">
        <v>0</v>
      </c>
      <c r="AL173">
        <v>0</v>
      </c>
      <c r="AM173">
        <v>0</v>
      </c>
    </row>
    <row r="174" spans="1:39" x14ac:dyDescent="0.25">
      <c r="A174" t="s">
        <v>233</v>
      </c>
      <c r="B174" t="s">
        <v>359</v>
      </c>
      <c r="C174" t="s">
        <v>255</v>
      </c>
      <c r="D174" t="s">
        <v>234</v>
      </c>
      <c r="E174" t="s">
        <v>20</v>
      </c>
      <c r="F174" t="s">
        <v>320</v>
      </c>
      <c r="G174" t="s">
        <v>269</v>
      </c>
      <c r="H174" t="s">
        <v>254</v>
      </c>
      <c r="I174" t="s">
        <v>242</v>
      </c>
      <c r="J174" t="s">
        <v>235</v>
      </c>
      <c r="K174" s="380">
        <v>36861</v>
      </c>
      <c r="L174" s="235">
        <v>237343.36973911189</v>
      </c>
      <c r="M174" s="380">
        <v>36859</v>
      </c>
      <c r="N174" t="s">
        <v>21</v>
      </c>
      <c r="O174">
        <v>1.1499999999999999</v>
      </c>
      <c r="P174">
        <v>0</v>
      </c>
      <c r="Q174">
        <v>0</v>
      </c>
      <c r="R174">
        <v>0</v>
      </c>
      <c r="S174">
        <v>0</v>
      </c>
      <c r="T174" t="s">
        <v>253</v>
      </c>
      <c r="U174" t="s">
        <v>7</v>
      </c>
      <c r="V174" t="s">
        <v>253</v>
      </c>
      <c r="W174" t="s">
        <v>132</v>
      </c>
      <c r="X174" t="s">
        <v>253</v>
      </c>
      <c r="Y174" t="s">
        <v>235</v>
      </c>
      <c r="Z174" t="s">
        <v>236</v>
      </c>
      <c r="AA174" t="s">
        <v>253</v>
      </c>
      <c r="AB174" t="s">
        <v>1</v>
      </c>
      <c r="AC174" s="235">
        <v>310000</v>
      </c>
      <c r="AD174" s="235">
        <v>20748.836039509188</v>
      </c>
      <c r="AE174">
        <v>0</v>
      </c>
      <c r="AF174">
        <v>0</v>
      </c>
      <c r="AG174">
        <v>0</v>
      </c>
      <c r="AH174" s="235">
        <v>10449.086608455575</v>
      </c>
      <c r="AI174">
        <v>226</v>
      </c>
      <c r="AJ174" t="s">
        <v>256</v>
      </c>
      <c r="AK174">
        <v>0</v>
      </c>
      <c r="AL174">
        <v>0</v>
      </c>
      <c r="AM174">
        <v>0</v>
      </c>
    </row>
    <row r="175" spans="1:39" x14ac:dyDescent="0.25">
      <c r="A175" t="s">
        <v>233</v>
      </c>
      <c r="B175" t="s">
        <v>359</v>
      </c>
      <c r="C175" t="s">
        <v>255</v>
      </c>
      <c r="D175" t="s">
        <v>234</v>
      </c>
      <c r="E175" t="s">
        <v>20</v>
      </c>
      <c r="F175" t="s">
        <v>320</v>
      </c>
      <c r="G175" t="s">
        <v>269</v>
      </c>
      <c r="H175" t="s">
        <v>254</v>
      </c>
      <c r="I175" t="s">
        <v>242</v>
      </c>
      <c r="J175" t="s">
        <v>235</v>
      </c>
      <c r="K175" s="380">
        <v>36831</v>
      </c>
      <c r="L175" s="235">
        <v>38139.060436465654</v>
      </c>
      <c r="M175" s="380">
        <v>36829</v>
      </c>
      <c r="N175" t="s">
        <v>21</v>
      </c>
      <c r="O175">
        <v>1.1499999999999999</v>
      </c>
      <c r="P175">
        <v>0</v>
      </c>
      <c r="Q175">
        <v>0</v>
      </c>
      <c r="R175">
        <v>0</v>
      </c>
      <c r="S175">
        <v>0</v>
      </c>
      <c r="T175" t="s">
        <v>253</v>
      </c>
      <c r="U175" t="s">
        <v>7</v>
      </c>
      <c r="V175" t="s">
        <v>253</v>
      </c>
      <c r="W175" t="s">
        <v>132</v>
      </c>
      <c r="X175" t="s">
        <v>253</v>
      </c>
      <c r="Y175" t="s">
        <v>235</v>
      </c>
      <c r="Z175" t="s">
        <v>236</v>
      </c>
      <c r="AA175" t="s">
        <v>253</v>
      </c>
      <c r="AB175" t="s">
        <v>1</v>
      </c>
      <c r="AC175" s="235">
        <v>300000</v>
      </c>
      <c r="AD175" s="235">
        <v>11321.607428871896</v>
      </c>
      <c r="AE175">
        <v>0</v>
      </c>
      <c r="AF175">
        <v>0</v>
      </c>
      <c r="AG175">
        <v>0</v>
      </c>
      <c r="AH175" s="235">
        <v>4246.7720512272645</v>
      </c>
      <c r="AI175">
        <v>226</v>
      </c>
      <c r="AJ175" t="s">
        <v>256</v>
      </c>
      <c r="AK175">
        <v>0</v>
      </c>
      <c r="AL175">
        <v>0</v>
      </c>
      <c r="AM175">
        <v>0</v>
      </c>
    </row>
    <row r="176" spans="1:39" x14ac:dyDescent="0.25">
      <c r="A176" t="s">
        <v>233</v>
      </c>
      <c r="B176" t="s">
        <v>362</v>
      </c>
      <c r="C176" t="s">
        <v>255</v>
      </c>
      <c r="D176" t="s">
        <v>234</v>
      </c>
      <c r="E176" t="s">
        <v>20</v>
      </c>
      <c r="F176" t="s">
        <v>276</v>
      </c>
      <c r="G176" t="s">
        <v>269</v>
      </c>
      <c r="H176" t="s">
        <v>254</v>
      </c>
      <c r="I176" t="s">
        <v>242</v>
      </c>
      <c r="J176" t="s">
        <v>235</v>
      </c>
      <c r="K176" s="380">
        <v>36800</v>
      </c>
      <c r="L176" s="235">
        <v>28500.289536097403</v>
      </c>
      <c r="M176" s="380">
        <v>36797</v>
      </c>
      <c r="N176" t="s">
        <v>21</v>
      </c>
      <c r="O176">
        <v>0.33750000000000002</v>
      </c>
      <c r="P176">
        <v>0</v>
      </c>
      <c r="Q176">
        <v>0</v>
      </c>
      <c r="R176">
        <v>0</v>
      </c>
      <c r="S176">
        <v>0</v>
      </c>
      <c r="T176" t="s">
        <v>253</v>
      </c>
      <c r="U176" t="s">
        <v>7</v>
      </c>
      <c r="V176" t="s">
        <v>253</v>
      </c>
      <c r="W176" t="s">
        <v>132</v>
      </c>
      <c r="X176" t="s">
        <v>253</v>
      </c>
      <c r="Y176" t="s">
        <v>235</v>
      </c>
      <c r="Z176" t="s">
        <v>236</v>
      </c>
      <c r="AA176" t="s">
        <v>253</v>
      </c>
      <c r="AB176" t="s">
        <v>1</v>
      </c>
      <c r="AC176" s="235">
        <v>310000</v>
      </c>
      <c r="AD176" s="235">
        <v>1645.6344242194609</v>
      </c>
      <c r="AE176">
        <v>0</v>
      </c>
      <c r="AF176">
        <v>0</v>
      </c>
      <c r="AG176">
        <v>0</v>
      </c>
      <c r="AH176" s="235">
        <v>94.415084104170091</v>
      </c>
      <c r="AI176">
        <v>226</v>
      </c>
      <c r="AJ176" t="s">
        <v>256</v>
      </c>
      <c r="AK176">
        <v>0</v>
      </c>
      <c r="AL176">
        <v>0</v>
      </c>
      <c r="AM176">
        <v>0</v>
      </c>
    </row>
    <row r="177" spans="1:39" x14ac:dyDescent="0.25">
      <c r="A177" t="s">
        <v>233</v>
      </c>
      <c r="B177" t="s">
        <v>362</v>
      </c>
      <c r="C177" t="s">
        <v>255</v>
      </c>
      <c r="D177" t="s">
        <v>234</v>
      </c>
      <c r="E177" t="s">
        <v>20</v>
      </c>
      <c r="F177" t="s">
        <v>276</v>
      </c>
      <c r="G177" t="s">
        <v>269</v>
      </c>
      <c r="H177" t="s">
        <v>254</v>
      </c>
      <c r="I177" t="s">
        <v>242</v>
      </c>
      <c r="J177" t="s">
        <v>235</v>
      </c>
      <c r="K177" s="380">
        <v>36770</v>
      </c>
      <c r="L177" s="235">
        <v>313.22143280015894</v>
      </c>
      <c r="M177" s="380">
        <v>36768</v>
      </c>
      <c r="N177" t="s">
        <v>21</v>
      </c>
      <c r="O177">
        <v>0.33750000000000002</v>
      </c>
      <c r="P177">
        <v>0</v>
      </c>
      <c r="Q177">
        <v>0</v>
      </c>
      <c r="R177">
        <v>0</v>
      </c>
      <c r="S177">
        <v>0</v>
      </c>
      <c r="T177" t="s">
        <v>253</v>
      </c>
      <c r="U177" t="s">
        <v>7</v>
      </c>
      <c r="V177" t="s">
        <v>253</v>
      </c>
      <c r="W177" t="s">
        <v>132</v>
      </c>
      <c r="X177" t="s">
        <v>253</v>
      </c>
      <c r="Y177" t="s">
        <v>235</v>
      </c>
      <c r="Z177" t="s">
        <v>236</v>
      </c>
      <c r="AA177" t="s">
        <v>253</v>
      </c>
      <c r="AB177" t="s">
        <v>1</v>
      </c>
      <c r="AC177" s="235">
        <v>300000</v>
      </c>
      <c r="AD177" s="235">
        <v>181.31142947675835</v>
      </c>
      <c r="AE177">
        <v>0</v>
      </c>
      <c r="AF177">
        <v>0</v>
      </c>
      <c r="AG177">
        <v>0</v>
      </c>
      <c r="AH177" s="235">
        <v>36.779686162596363</v>
      </c>
      <c r="AI177">
        <v>226</v>
      </c>
      <c r="AJ177" t="s">
        <v>256</v>
      </c>
      <c r="AK177">
        <v>0</v>
      </c>
      <c r="AL177">
        <v>0</v>
      </c>
      <c r="AM177">
        <v>0</v>
      </c>
    </row>
    <row r="178" spans="1:39" x14ac:dyDescent="0.25">
      <c r="A178" t="s">
        <v>233</v>
      </c>
      <c r="B178" t="s">
        <v>365</v>
      </c>
      <c r="C178" t="s">
        <v>255</v>
      </c>
      <c r="D178" t="s">
        <v>234</v>
      </c>
      <c r="E178" t="s">
        <v>20</v>
      </c>
      <c r="F178" t="s">
        <v>348</v>
      </c>
      <c r="G178" t="s">
        <v>269</v>
      </c>
      <c r="H178" t="s">
        <v>254</v>
      </c>
      <c r="I178" t="s">
        <v>242</v>
      </c>
      <c r="J178" t="s">
        <v>235</v>
      </c>
      <c r="K178" s="380">
        <v>36800</v>
      </c>
      <c r="L178" s="235">
        <v>-939571.33195759938</v>
      </c>
      <c r="M178" s="380">
        <v>36797</v>
      </c>
      <c r="N178" t="s">
        <v>21</v>
      </c>
      <c r="O178">
        <v>0.1</v>
      </c>
      <c r="P178">
        <v>0</v>
      </c>
      <c r="Q178">
        <v>0</v>
      </c>
      <c r="R178">
        <v>0</v>
      </c>
      <c r="S178">
        <v>0</v>
      </c>
      <c r="T178" t="s">
        <v>253</v>
      </c>
      <c r="U178" t="s">
        <v>190</v>
      </c>
      <c r="V178" t="s">
        <v>253</v>
      </c>
      <c r="W178" t="s">
        <v>132</v>
      </c>
      <c r="X178" t="s">
        <v>253</v>
      </c>
      <c r="Y178" t="s">
        <v>235</v>
      </c>
      <c r="Z178" t="s">
        <v>236</v>
      </c>
      <c r="AA178" t="s">
        <v>253</v>
      </c>
      <c r="AB178" t="s">
        <v>1</v>
      </c>
      <c r="AC178" s="235">
        <v>-500000</v>
      </c>
      <c r="AD178" s="235">
        <v>-36.8795845604036</v>
      </c>
      <c r="AE178">
        <v>0</v>
      </c>
      <c r="AF178">
        <v>0</v>
      </c>
      <c r="AG178">
        <v>0</v>
      </c>
      <c r="AH178" s="235">
        <v>19867.962812026613</v>
      </c>
      <c r="AI178">
        <v>226</v>
      </c>
      <c r="AJ178" t="s">
        <v>256</v>
      </c>
      <c r="AK178">
        <v>0</v>
      </c>
      <c r="AL178">
        <v>0</v>
      </c>
      <c r="AM178">
        <v>0</v>
      </c>
    </row>
    <row r="179" spans="1:39" x14ac:dyDescent="0.25">
      <c r="A179" t="s">
        <v>233</v>
      </c>
      <c r="B179" t="s">
        <v>365</v>
      </c>
      <c r="C179" t="s">
        <v>255</v>
      </c>
      <c r="D179" t="s">
        <v>234</v>
      </c>
      <c r="E179" t="s">
        <v>20</v>
      </c>
      <c r="F179" t="s">
        <v>348</v>
      </c>
      <c r="G179" t="s">
        <v>269</v>
      </c>
      <c r="H179" t="s">
        <v>254</v>
      </c>
      <c r="I179" t="s">
        <v>242</v>
      </c>
      <c r="J179" t="s">
        <v>235</v>
      </c>
      <c r="K179" s="380">
        <v>36770</v>
      </c>
      <c r="L179" s="235">
        <v>-1199558.5715753427</v>
      </c>
      <c r="M179" s="380">
        <v>36768</v>
      </c>
      <c r="N179" t="s">
        <v>21</v>
      </c>
      <c r="O179">
        <v>0.1</v>
      </c>
      <c r="P179">
        <v>0</v>
      </c>
      <c r="Q179">
        <v>0</v>
      </c>
      <c r="R179">
        <v>0</v>
      </c>
      <c r="S179">
        <v>0</v>
      </c>
      <c r="T179" t="s">
        <v>253</v>
      </c>
      <c r="U179" t="s">
        <v>190</v>
      </c>
      <c r="V179" t="s">
        <v>253</v>
      </c>
      <c r="W179" t="s">
        <v>132</v>
      </c>
      <c r="X179" t="s">
        <v>253</v>
      </c>
      <c r="Y179" t="s">
        <v>235</v>
      </c>
      <c r="Z179" t="s">
        <v>236</v>
      </c>
      <c r="AA179" t="s">
        <v>253</v>
      </c>
      <c r="AB179" t="s">
        <v>1</v>
      </c>
      <c r="AC179" s="235">
        <v>-500000</v>
      </c>
      <c r="AD179" s="235">
        <v>1.9951428868807852E-2</v>
      </c>
      <c r="AE179">
        <v>0</v>
      </c>
      <c r="AF179">
        <v>0</v>
      </c>
      <c r="AG179">
        <v>0</v>
      </c>
      <c r="AH179" s="235">
        <v>-132378.24523491482</v>
      </c>
      <c r="AI179">
        <v>226</v>
      </c>
      <c r="AJ179" t="s">
        <v>256</v>
      </c>
      <c r="AK179">
        <v>0</v>
      </c>
      <c r="AL179">
        <v>0</v>
      </c>
      <c r="AM179">
        <v>0</v>
      </c>
    </row>
    <row r="180" spans="1:39" x14ac:dyDescent="0.25">
      <c r="A180" t="s">
        <v>233</v>
      </c>
      <c r="B180" t="s">
        <v>372</v>
      </c>
      <c r="C180" t="s">
        <v>255</v>
      </c>
      <c r="D180" t="s">
        <v>234</v>
      </c>
      <c r="E180" t="s">
        <v>20</v>
      </c>
      <c r="F180" t="s">
        <v>371</v>
      </c>
      <c r="G180" t="s">
        <v>269</v>
      </c>
      <c r="H180" t="s">
        <v>254</v>
      </c>
      <c r="I180" t="s">
        <v>242</v>
      </c>
      <c r="J180" t="s">
        <v>235</v>
      </c>
      <c r="K180" s="380">
        <v>36800</v>
      </c>
      <c r="L180" s="235">
        <v>-599483.28711371054</v>
      </c>
      <c r="M180" s="380">
        <v>36797</v>
      </c>
      <c r="N180" t="s">
        <v>21</v>
      </c>
      <c r="O180">
        <v>4.4999999999999998E-2</v>
      </c>
      <c r="P180">
        <v>0</v>
      </c>
      <c r="Q180">
        <v>0</v>
      </c>
      <c r="R180">
        <v>0</v>
      </c>
      <c r="S180">
        <v>0</v>
      </c>
      <c r="T180" t="s">
        <v>253</v>
      </c>
      <c r="U180" t="s">
        <v>190</v>
      </c>
      <c r="V180" t="s">
        <v>253</v>
      </c>
      <c r="W180" t="s">
        <v>132</v>
      </c>
      <c r="X180" t="s">
        <v>253</v>
      </c>
      <c r="Y180" t="s">
        <v>235</v>
      </c>
      <c r="Z180" t="s">
        <v>236</v>
      </c>
      <c r="AA180" t="s">
        <v>253</v>
      </c>
      <c r="AB180" t="s">
        <v>1</v>
      </c>
      <c r="AC180" s="235">
        <v>-310000</v>
      </c>
      <c r="AD180" s="235">
        <v>-16.075494686025195</v>
      </c>
      <c r="AE180">
        <v>0</v>
      </c>
      <c r="AF180">
        <v>0</v>
      </c>
      <c r="AG180">
        <v>0</v>
      </c>
      <c r="AH180" s="235">
        <v>12319.247903190088</v>
      </c>
      <c r="AI180">
        <v>226</v>
      </c>
      <c r="AJ180" t="s">
        <v>256</v>
      </c>
      <c r="AK180">
        <v>0</v>
      </c>
      <c r="AL180">
        <v>0</v>
      </c>
      <c r="AM180">
        <v>0</v>
      </c>
    </row>
    <row r="181" spans="1:39" x14ac:dyDescent="0.25">
      <c r="A181" t="s">
        <v>233</v>
      </c>
      <c r="B181" t="s">
        <v>372</v>
      </c>
      <c r="C181" t="s">
        <v>255</v>
      </c>
      <c r="D181" t="s">
        <v>234</v>
      </c>
      <c r="E181" t="s">
        <v>20</v>
      </c>
      <c r="F181" t="s">
        <v>371</v>
      </c>
      <c r="G181" t="s">
        <v>269</v>
      </c>
      <c r="H181" t="s">
        <v>254</v>
      </c>
      <c r="I181" t="s">
        <v>242</v>
      </c>
      <c r="J181" t="s">
        <v>235</v>
      </c>
      <c r="K181" s="380">
        <v>36800</v>
      </c>
      <c r="L181" s="235">
        <v>-5.7080221616646192</v>
      </c>
      <c r="M181" s="380">
        <v>36797</v>
      </c>
      <c r="N181" t="s">
        <v>1</v>
      </c>
      <c r="O181">
        <v>4.4999999999999998E-2</v>
      </c>
      <c r="P181">
        <v>0</v>
      </c>
      <c r="Q181">
        <v>0</v>
      </c>
      <c r="R181">
        <v>0</v>
      </c>
      <c r="S181">
        <v>0</v>
      </c>
      <c r="T181" t="s">
        <v>253</v>
      </c>
      <c r="U181" t="s">
        <v>190</v>
      </c>
      <c r="V181" t="s">
        <v>253</v>
      </c>
      <c r="W181" t="s">
        <v>132</v>
      </c>
      <c r="X181" t="s">
        <v>253</v>
      </c>
      <c r="Y181" t="s">
        <v>235</v>
      </c>
      <c r="Z181" t="s">
        <v>236</v>
      </c>
      <c r="AA181" t="s">
        <v>253</v>
      </c>
      <c r="AB181" t="s">
        <v>1</v>
      </c>
      <c r="AC181" s="235">
        <v>-310000</v>
      </c>
      <c r="AD181" s="235">
        <v>-16.075494686054178</v>
      </c>
      <c r="AE181">
        <v>0</v>
      </c>
      <c r="AF181">
        <v>0</v>
      </c>
      <c r="AG181">
        <v>0</v>
      </c>
      <c r="AH181" s="235">
        <v>-2.548171590834869</v>
      </c>
      <c r="AI181">
        <v>226</v>
      </c>
      <c r="AJ181" t="s">
        <v>256</v>
      </c>
      <c r="AK181">
        <v>0</v>
      </c>
      <c r="AL181">
        <v>0</v>
      </c>
      <c r="AM181">
        <v>0</v>
      </c>
    </row>
    <row r="182" spans="1:39" x14ac:dyDescent="0.25">
      <c r="A182" t="s">
        <v>233</v>
      </c>
      <c r="B182" t="s">
        <v>372</v>
      </c>
      <c r="C182" t="s">
        <v>255</v>
      </c>
      <c r="D182" t="s">
        <v>234</v>
      </c>
      <c r="E182" t="s">
        <v>20</v>
      </c>
      <c r="F182" t="s">
        <v>371</v>
      </c>
      <c r="G182" t="s">
        <v>269</v>
      </c>
      <c r="H182" t="s">
        <v>254</v>
      </c>
      <c r="I182" t="s">
        <v>242</v>
      </c>
      <c r="J182" t="s">
        <v>235</v>
      </c>
      <c r="K182" s="380">
        <v>36770</v>
      </c>
      <c r="L182" s="235">
        <v>-736229.07330417633</v>
      </c>
      <c r="M182" s="380">
        <v>36768</v>
      </c>
      <c r="N182" t="s">
        <v>21</v>
      </c>
      <c r="O182">
        <v>4.4999999999999998E-2</v>
      </c>
      <c r="P182">
        <v>0</v>
      </c>
      <c r="Q182">
        <v>0</v>
      </c>
      <c r="R182">
        <v>0</v>
      </c>
      <c r="S182">
        <v>0</v>
      </c>
      <c r="T182" t="s">
        <v>253</v>
      </c>
      <c r="U182" t="s">
        <v>190</v>
      </c>
      <c r="V182" t="s">
        <v>253</v>
      </c>
      <c r="W182" t="s">
        <v>132</v>
      </c>
      <c r="X182" t="s">
        <v>253</v>
      </c>
      <c r="Y182" t="s">
        <v>235</v>
      </c>
      <c r="Z182" t="s">
        <v>236</v>
      </c>
      <c r="AA182" t="s">
        <v>253</v>
      </c>
      <c r="AB182" t="s">
        <v>1</v>
      </c>
      <c r="AC182" s="235">
        <v>-300000</v>
      </c>
      <c r="AD182" s="235">
        <v>1.1970857565756887E-2</v>
      </c>
      <c r="AE182">
        <v>0</v>
      </c>
      <c r="AF182">
        <v>0</v>
      </c>
      <c r="AG182">
        <v>0</v>
      </c>
      <c r="AH182" s="235">
        <v>-79426.947140948498</v>
      </c>
      <c r="AI182">
        <v>226</v>
      </c>
      <c r="AJ182" t="s">
        <v>256</v>
      </c>
      <c r="AK182">
        <v>0</v>
      </c>
      <c r="AL182">
        <v>0</v>
      </c>
      <c r="AM182">
        <v>0</v>
      </c>
    </row>
    <row r="183" spans="1:39" x14ac:dyDescent="0.25">
      <c r="A183" t="s">
        <v>233</v>
      </c>
      <c r="B183" t="s">
        <v>372</v>
      </c>
      <c r="C183" t="s">
        <v>255</v>
      </c>
      <c r="D183" t="s">
        <v>234</v>
      </c>
      <c r="E183" t="s">
        <v>20</v>
      </c>
      <c r="F183" t="s">
        <v>371</v>
      </c>
      <c r="G183" t="s">
        <v>269</v>
      </c>
      <c r="H183" t="s">
        <v>254</v>
      </c>
      <c r="I183" t="s">
        <v>242</v>
      </c>
      <c r="J183" t="s">
        <v>235</v>
      </c>
      <c r="K183" s="380">
        <v>36770</v>
      </c>
      <c r="L183" s="235">
        <v>-9.6545112052842663E-2</v>
      </c>
      <c r="M183" s="380">
        <v>36768</v>
      </c>
      <c r="N183" t="s">
        <v>1</v>
      </c>
      <c r="O183">
        <v>4.4999999999999998E-2</v>
      </c>
      <c r="P183">
        <v>0</v>
      </c>
      <c r="Q183">
        <v>0</v>
      </c>
      <c r="R183">
        <v>0</v>
      </c>
      <c r="S183">
        <v>0</v>
      </c>
      <c r="T183" t="s">
        <v>253</v>
      </c>
      <c r="U183" t="s">
        <v>190</v>
      </c>
      <c r="V183" t="s">
        <v>253</v>
      </c>
      <c r="W183" t="s">
        <v>132</v>
      </c>
      <c r="X183" t="s">
        <v>253</v>
      </c>
      <c r="Y183" t="s">
        <v>235</v>
      </c>
      <c r="Z183" t="s">
        <v>236</v>
      </c>
      <c r="AA183" t="s">
        <v>253</v>
      </c>
      <c r="AB183" t="s">
        <v>1</v>
      </c>
      <c r="AC183" s="235">
        <v>-300000</v>
      </c>
      <c r="AD183" s="235">
        <v>1.1970857605181351E-2</v>
      </c>
      <c r="AE183">
        <v>0</v>
      </c>
      <c r="AF183">
        <v>0</v>
      </c>
      <c r="AG183">
        <v>0</v>
      </c>
      <c r="AH183" s="235">
        <v>-1.0399033900654331E-2</v>
      </c>
      <c r="AI183">
        <v>226</v>
      </c>
      <c r="AJ183" t="s">
        <v>256</v>
      </c>
      <c r="AK183">
        <v>0</v>
      </c>
      <c r="AL183">
        <v>0</v>
      </c>
      <c r="AM183">
        <v>0</v>
      </c>
    </row>
    <row r="184" spans="1:39" x14ac:dyDescent="0.25">
      <c r="A184" t="s">
        <v>233</v>
      </c>
      <c r="B184" t="s">
        <v>373</v>
      </c>
      <c r="C184" t="s">
        <v>255</v>
      </c>
      <c r="D184" t="s">
        <v>234</v>
      </c>
      <c r="E184" t="s">
        <v>20</v>
      </c>
      <c r="F184" t="s">
        <v>284</v>
      </c>
      <c r="G184" t="s">
        <v>269</v>
      </c>
      <c r="H184" t="s">
        <v>254</v>
      </c>
      <c r="I184" t="s">
        <v>242</v>
      </c>
      <c r="J184" t="s">
        <v>235</v>
      </c>
      <c r="K184" s="380">
        <v>36951</v>
      </c>
      <c r="L184" s="235">
        <v>237473.55682399185</v>
      </c>
      <c r="M184" s="380">
        <v>36949</v>
      </c>
      <c r="N184" t="s">
        <v>21</v>
      </c>
      <c r="O184">
        <v>2</v>
      </c>
      <c r="P184">
        <v>0</v>
      </c>
      <c r="Q184">
        <v>0</v>
      </c>
      <c r="R184">
        <v>0</v>
      </c>
      <c r="S184">
        <v>0</v>
      </c>
      <c r="T184" t="s">
        <v>253</v>
      </c>
      <c r="U184" t="s">
        <v>7</v>
      </c>
      <c r="V184" t="s">
        <v>253</v>
      </c>
      <c r="W184" t="s">
        <v>132</v>
      </c>
      <c r="X184" t="s">
        <v>253</v>
      </c>
      <c r="Y184" t="s">
        <v>235</v>
      </c>
      <c r="Z184" t="s">
        <v>236</v>
      </c>
      <c r="AA184" t="s">
        <v>253</v>
      </c>
      <c r="AB184" t="s">
        <v>1</v>
      </c>
      <c r="AC184" s="235">
        <v>1000000</v>
      </c>
      <c r="AD184" s="235">
        <v>70922.775436405907</v>
      </c>
      <c r="AE184">
        <v>0</v>
      </c>
      <c r="AF184">
        <v>0</v>
      </c>
      <c r="AG184">
        <v>0</v>
      </c>
      <c r="AH184" s="235">
        <v>21432.676976745075</v>
      </c>
      <c r="AI184">
        <v>226</v>
      </c>
      <c r="AJ184" t="s">
        <v>256</v>
      </c>
      <c r="AK184">
        <v>0</v>
      </c>
      <c r="AL184">
        <v>0</v>
      </c>
      <c r="AM184">
        <v>0</v>
      </c>
    </row>
    <row r="185" spans="1:39" x14ac:dyDescent="0.25">
      <c r="A185" t="s">
        <v>233</v>
      </c>
      <c r="B185" t="s">
        <v>373</v>
      </c>
      <c r="C185" t="s">
        <v>255</v>
      </c>
      <c r="D185" t="s">
        <v>234</v>
      </c>
      <c r="E185" t="s">
        <v>20</v>
      </c>
      <c r="F185" t="s">
        <v>284</v>
      </c>
      <c r="G185" t="s">
        <v>269</v>
      </c>
      <c r="H185" t="s">
        <v>254</v>
      </c>
      <c r="I185" t="s">
        <v>242</v>
      </c>
      <c r="J185" t="s">
        <v>235</v>
      </c>
      <c r="K185" s="380">
        <v>36923</v>
      </c>
      <c r="L185" s="235">
        <v>719788.60519873397</v>
      </c>
      <c r="M185" s="380">
        <v>36921</v>
      </c>
      <c r="N185" t="s">
        <v>21</v>
      </c>
      <c r="O185">
        <v>2</v>
      </c>
      <c r="P185">
        <v>0</v>
      </c>
      <c r="Q185">
        <v>0</v>
      </c>
      <c r="R185">
        <v>0</v>
      </c>
      <c r="S185">
        <v>0</v>
      </c>
      <c r="T185" t="s">
        <v>253</v>
      </c>
      <c r="U185" t="s">
        <v>7</v>
      </c>
      <c r="V185" t="s">
        <v>253</v>
      </c>
      <c r="W185" t="s">
        <v>132</v>
      </c>
      <c r="X185" t="s">
        <v>253</v>
      </c>
      <c r="Y185" t="s">
        <v>235</v>
      </c>
      <c r="Z185" t="s">
        <v>236</v>
      </c>
      <c r="AA185" t="s">
        <v>253</v>
      </c>
      <c r="AB185" t="s">
        <v>1</v>
      </c>
      <c r="AC185" s="235">
        <v>1000000</v>
      </c>
      <c r="AD185" s="235">
        <v>86005.937039504177</v>
      </c>
      <c r="AE185">
        <v>0</v>
      </c>
      <c r="AF185">
        <v>0</v>
      </c>
      <c r="AG185">
        <v>0</v>
      </c>
      <c r="AH185" s="235">
        <v>42824.758152688155</v>
      </c>
      <c r="AI185">
        <v>226</v>
      </c>
      <c r="AJ185" t="s">
        <v>256</v>
      </c>
      <c r="AK185">
        <v>0</v>
      </c>
      <c r="AL185">
        <v>0</v>
      </c>
      <c r="AM185">
        <v>0</v>
      </c>
    </row>
    <row r="186" spans="1:39" x14ac:dyDescent="0.25">
      <c r="A186" t="s">
        <v>233</v>
      </c>
      <c r="B186" t="s">
        <v>373</v>
      </c>
      <c r="C186" t="s">
        <v>255</v>
      </c>
      <c r="D186" t="s">
        <v>234</v>
      </c>
      <c r="E186" t="s">
        <v>20</v>
      </c>
      <c r="F186" t="s">
        <v>284</v>
      </c>
      <c r="G186" t="s">
        <v>269</v>
      </c>
      <c r="H186" t="s">
        <v>254</v>
      </c>
      <c r="I186" t="s">
        <v>242</v>
      </c>
      <c r="J186" t="s">
        <v>235</v>
      </c>
      <c r="K186" s="380">
        <v>36892</v>
      </c>
      <c r="L186" s="235">
        <v>727744.61781377078</v>
      </c>
      <c r="M186" s="380">
        <v>36888</v>
      </c>
      <c r="N186" t="s">
        <v>21</v>
      </c>
      <c r="O186">
        <v>2</v>
      </c>
      <c r="P186">
        <v>0</v>
      </c>
      <c r="Q186">
        <v>0</v>
      </c>
      <c r="R186">
        <v>0</v>
      </c>
      <c r="S186">
        <v>0</v>
      </c>
      <c r="T186" t="s">
        <v>253</v>
      </c>
      <c r="U186" t="s">
        <v>7</v>
      </c>
      <c r="V186" t="s">
        <v>253</v>
      </c>
      <c r="W186" t="s">
        <v>132</v>
      </c>
      <c r="X186" t="s">
        <v>253</v>
      </c>
      <c r="Y186" t="s">
        <v>235</v>
      </c>
      <c r="Z186" t="s">
        <v>236</v>
      </c>
      <c r="AA186" t="s">
        <v>253</v>
      </c>
      <c r="AB186" t="s">
        <v>1</v>
      </c>
      <c r="AC186" s="235">
        <v>1000000</v>
      </c>
      <c r="AD186" s="235">
        <v>78586.026437240886</v>
      </c>
      <c r="AE186">
        <v>0</v>
      </c>
      <c r="AF186">
        <v>0</v>
      </c>
      <c r="AG186">
        <v>0</v>
      </c>
      <c r="AH186" s="235">
        <v>38049.712292349199</v>
      </c>
      <c r="AI186">
        <v>226</v>
      </c>
      <c r="AJ186" t="s">
        <v>256</v>
      </c>
      <c r="AK186">
        <v>0</v>
      </c>
      <c r="AL186">
        <v>0</v>
      </c>
      <c r="AM186">
        <v>0</v>
      </c>
    </row>
    <row r="187" spans="1:39" x14ac:dyDescent="0.25">
      <c r="A187" t="s">
        <v>233</v>
      </c>
      <c r="B187" t="s">
        <v>373</v>
      </c>
      <c r="C187" t="s">
        <v>255</v>
      </c>
      <c r="D187" t="s">
        <v>234</v>
      </c>
      <c r="E187" t="s">
        <v>20</v>
      </c>
      <c r="F187" t="s">
        <v>284</v>
      </c>
      <c r="G187" t="s">
        <v>269</v>
      </c>
      <c r="H187" t="s">
        <v>254</v>
      </c>
      <c r="I187" t="s">
        <v>242</v>
      </c>
      <c r="J187" t="s">
        <v>235</v>
      </c>
      <c r="K187" s="380">
        <v>36861</v>
      </c>
      <c r="L187" s="235">
        <v>382740.66010561981</v>
      </c>
      <c r="M187" s="380">
        <v>36859</v>
      </c>
      <c r="N187" t="s">
        <v>21</v>
      </c>
      <c r="O187">
        <v>2</v>
      </c>
      <c r="P187">
        <v>0</v>
      </c>
      <c r="Q187">
        <v>0</v>
      </c>
      <c r="R187">
        <v>0</v>
      </c>
      <c r="S187">
        <v>0</v>
      </c>
      <c r="T187" t="s">
        <v>253</v>
      </c>
      <c r="U187" t="s">
        <v>7</v>
      </c>
      <c r="V187" t="s">
        <v>253</v>
      </c>
      <c r="W187" t="s">
        <v>132</v>
      </c>
      <c r="X187" t="s">
        <v>253</v>
      </c>
      <c r="Y187" t="s">
        <v>235</v>
      </c>
      <c r="Z187" t="s">
        <v>236</v>
      </c>
      <c r="AA187" t="s">
        <v>253</v>
      </c>
      <c r="AB187" t="s">
        <v>1</v>
      </c>
      <c r="AC187" s="235">
        <v>1000000</v>
      </c>
      <c r="AD187" s="235">
        <v>67471.868862714793</v>
      </c>
      <c r="AE187">
        <v>0</v>
      </c>
      <c r="AF187">
        <v>0</v>
      </c>
      <c r="AG187">
        <v>0</v>
      </c>
      <c r="AH187" s="235">
        <v>22623.155699188123</v>
      </c>
      <c r="AI187">
        <v>226</v>
      </c>
      <c r="AJ187" t="s">
        <v>256</v>
      </c>
      <c r="AK187">
        <v>0</v>
      </c>
      <c r="AL187">
        <v>0</v>
      </c>
      <c r="AM187">
        <v>0</v>
      </c>
    </row>
    <row r="188" spans="1:39" x14ac:dyDescent="0.25">
      <c r="A188" t="s">
        <v>233</v>
      </c>
      <c r="B188" t="s">
        <v>373</v>
      </c>
      <c r="C188" t="s">
        <v>255</v>
      </c>
      <c r="D188" t="s">
        <v>234</v>
      </c>
      <c r="E188" t="s">
        <v>20</v>
      </c>
      <c r="F188" t="s">
        <v>284</v>
      </c>
      <c r="G188" t="s">
        <v>269</v>
      </c>
      <c r="H188" t="s">
        <v>254</v>
      </c>
      <c r="I188" t="s">
        <v>242</v>
      </c>
      <c r="J188" t="s">
        <v>235</v>
      </c>
      <c r="K188" s="380">
        <v>36831</v>
      </c>
      <c r="L188" s="235">
        <v>20335.236025377199</v>
      </c>
      <c r="M188" s="380">
        <v>36829</v>
      </c>
      <c r="N188" t="s">
        <v>21</v>
      </c>
      <c r="O188">
        <v>2</v>
      </c>
      <c r="P188">
        <v>0</v>
      </c>
      <c r="Q188">
        <v>0</v>
      </c>
      <c r="R188">
        <v>0</v>
      </c>
      <c r="S188">
        <v>0</v>
      </c>
      <c r="T188" t="s">
        <v>253</v>
      </c>
      <c r="U188" t="s">
        <v>7</v>
      </c>
      <c r="V188" t="s">
        <v>253</v>
      </c>
      <c r="W188" t="s">
        <v>132</v>
      </c>
      <c r="X188" t="s">
        <v>253</v>
      </c>
      <c r="Y188" t="s">
        <v>235</v>
      </c>
      <c r="Z188" t="s">
        <v>236</v>
      </c>
      <c r="AA188" t="s">
        <v>253</v>
      </c>
      <c r="AB188" t="s">
        <v>1</v>
      </c>
      <c r="AC188" s="235">
        <v>1000000</v>
      </c>
      <c r="AD188" s="235">
        <v>12601.948846696127</v>
      </c>
      <c r="AE188">
        <v>0</v>
      </c>
      <c r="AF188">
        <v>0</v>
      </c>
      <c r="AG188">
        <v>0</v>
      </c>
      <c r="AH188" s="235">
        <v>3372.0075259026707</v>
      </c>
      <c r="AI188">
        <v>226</v>
      </c>
      <c r="AJ188" t="s">
        <v>256</v>
      </c>
      <c r="AK188">
        <v>0</v>
      </c>
      <c r="AL188">
        <v>0</v>
      </c>
      <c r="AM188">
        <v>0</v>
      </c>
    </row>
    <row r="189" spans="1:39" x14ac:dyDescent="0.25">
      <c r="A189" t="s">
        <v>233</v>
      </c>
      <c r="B189" t="s">
        <v>374</v>
      </c>
      <c r="C189" t="s">
        <v>255</v>
      </c>
      <c r="D189" t="s">
        <v>234</v>
      </c>
      <c r="E189" t="s">
        <v>20</v>
      </c>
      <c r="F189" t="s">
        <v>320</v>
      </c>
      <c r="G189" t="s">
        <v>269</v>
      </c>
      <c r="H189" t="s">
        <v>254</v>
      </c>
      <c r="I189" t="s">
        <v>242</v>
      </c>
      <c r="J189" t="s">
        <v>235</v>
      </c>
      <c r="K189" s="380">
        <v>36800</v>
      </c>
      <c r="L189" s="235">
        <v>27929.275763827409</v>
      </c>
      <c r="M189" s="380">
        <v>36797</v>
      </c>
      <c r="N189" t="s">
        <v>21</v>
      </c>
      <c r="O189">
        <v>0.34</v>
      </c>
      <c r="P189">
        <v>0</v>
      </c>
      <c r="Q189">
        <v>0</v>
      </c>
      <c r="R189">
        <v>0</v>
      </c>
      <c r="S189">
        <v>0</v>
      </c>
      <c r="T189" t="s">
        <v>253</v>
      </c>
      <c r="U189" t="s">
        <v>7</v>
      </c>
      <c r="V189" t="s">
        <v>253</v>
      </c>
      <c r="W189" t="s">
        <v>132</v>
      </c>
      <c r="X189" t="s">
        <v>253</v>
      </c>
      <c r="Y189" t="s">
        <v>235</v>
      </c>
      <c r="Z189" t="s">
        <v>236</v>
      </c>
      <c r="AA189" t="s">
        <v>253</v>
      </c>
      <c r="AB189" t="s">
        <v>1</v>
      </c>
      <c r="AC189" s="235">
        <v>310000</v>
      </c>
      <c r="AD189" s="235">
        <v>1670.8515682196303</v>
      </c>
      <c r="AE189">
        <v>0</v>
      </c>
      <c r="AF189">
        <v>0</v>
      </c>
      <c r="AG189">
        <v>0</v>
      </c>
      <c r="AH189" s="235">
        <v>95.81656180048958</v>
      </c>
      <c r="AI189">
        <v>226</v>
      </c>
      <c r="AJ189" t="s">
        <v>256</v>
      </c>
      <c r="AK189">
        <v>0</v>
      </c>
      <c r="AL189">
        <v>0</v>
      </c>
      <c r="AM189">
        <v>0</v>
      </c>
    </row>
    <row r="190" spans="1:39" x14ac:dyDescent="0.25">
      <c r="A190" t="s">
        <v>233</v>
      </c>
      <c r="B190" t="s">
        <v>374</v>
      </c>
      <c r="C190" t="s">
        <v>255</v>
      </c>
      <c r="D190" t="s">
        <v>234</v>
      </c>
      <c r="E190" t="s">
        <v>20</v>
      </c>
      <c r="F190" t="s">
        <v>320</v>
      </c>
      <c r="G190" t="s">
        <v>269</v>
      </c>
      <c r="H190" t="s">
        <v>254</v>
      </c>
      <c r="I190" t="s">
        <v>242</v>
      </c>
      <c r="J190" t="s">
        <v>235</v>
      </c>
      <c r="K190" s="380">
        <v>36770</v>
      </c>
      <c r="L190" s="235">
        <v>237.68601444573773</v>
      </c>
      <c r="M190" s="380">
        <v>36768</v>
      </c>
      <c r="N190" t="s">
        <v>21</v>
      </c>
      <c r="O190">
        <v>0.34</v>
      </c>
      <c r="P190">
        <v>0</v>
      </c>
      <c r="Q190">
        <v>0</v>
      </c>
      <c r="R190">
        <v>0</v>
      </c>
      <c r="S190">
        <v>0</v>
      </c>
      <c r="T190" t="s">
        <v>253</v>
      </c>
      <c r="U190" t="s">
        <v>7</v>
      </c>
      <c r="V190" t="s">
        <v>253</v>
      </c>
      <c r="W190" t="s">
        <v>132</v>
      </c>
      <c r="X190" t="s">
        <v>253</v>
      </c>
      <c r="Y190" t="s">
        <v>235</v>
      </c>
      <c r="Z190" t="s">
        <v>236</v>
      </c>
      <c r="AA190" t="s">
        <v>253</v>
      </c>
      <c r="AB190" t="s">
        <v>1</v>
      </c>
      <c r="AC190" s="235">
        <v>300000</v>
      </c>
      <c r="AD190" s="235">
        <v>153.1450116627675</v>
      </c>
      <c r="AE190">
        <v>0</v>
      </c>
      <c r="AF190">
        <v>0</v>
      </c>
      <c r="AG190">
        <v>0</v>
      </c>
      <c r="AH190" s="235">
        <v>35.292477667935373</v>
      </c>
      <c r="AI190">
        <v>226</v>
      </c>
      <c r="AJ190" t="s">
        <v>256</v>
      </c>
      <c r="AK190">
        <v>0</v>
      </c>
      <c r="AL190">
        <v>0</v>
      </c>
      <c r="AM190">
        <v>0</v>
      </c>
    </row>
    <row r="191" spans="1:39" x14ac:dyDescent="0.25">
      <c r="A191" t="s">
        <v>233</v>
      </c>
      <c r="B191" t="s">
        <v>414</v>
      </c>
      <c r="C191" t="s">
        <v>255</v>
      </c>
      <c r="D191" t="s">
        <v>234</v>
      </c>
      <c r="E191" t="s">
        <v>20</v>
      </c>
      <c r="F191" t="s">
        <v>277</v>
      </c>
      <c r="G191" t="s">
        <v>269</v>
      </c>
      <c r="H191" t="s">
        <v>254</v>
      </c>
      <c r="I191" t="s">
        <v>242</v>
      </c>
      <c r="J191" t="s">
        <v>235</v>
      </c>
      <c r="K191" s="380">
        <v>36800</v>
      </c>
      <c r="L191" s="235">
        <v>23681.219132108345</v>
      </c>
      <c r="M191" s="380">
        <v>36797</v>
      </c>
      <c r="N191" t="s">
        <v>21</v>
      </c>
      <c r="O191">
        <v>0.30249999999999999</v>
      </c>
      <c r="P191">
        <v>0</v>
      </c>
      <c r="Q191">
        <v>0</v>
      </c>
      <c r="R191">
        <v>0</v>
      </c>
      <c r="S191">
        <v>0</v>
      </c>
      <c r="T191" t="s">
        <v>253</v>
      </c>
      <c r="U191" t="s">
        <v>384</v>
      </c>
      <c r="V191" t="s">
        <v>253</v>
      </c>
      <c r="W191" t="s">
        <v>132</v>
      </c>
      <c r="X191" t="s">
        <v>253</v>
      </c>
      <c r="Y191" t="s">
        <v>235</v>
      </c>
      <c r="Z191" t="s">
        <v>236</v>
      </c>
      <c r="AA191" t="s">
        <v>253</v>
      </c>
      <c r="AB191" t="s">
        <v>1</v>
      </c>
      <c r="AC191" s="235">
        <v>310000</v>
      </c>
      <c r="AD191" s="235">
        <v>1900.6389464665845</v>
      </c>
      <c r="AE191">
        <v>0</v>
      </c>
      <c r="AF191">
        <v>0</v>
      </c>
      <c r="AG191">
        <v>0</v>
      </c>
      <c r="AH191" s="235">
        <v>108.78267398710886</v>
      </c>
      <c r="AI191">
        <v>226</v>
      </c>
      <c r="AJ191" t="s">
        <v>256</v>
      </c>
      <c r="AK191">
        <v>0</v>
      </c>
      <c r="AL191">
        <v>0</v>
      </c>
      <c r="AM191">
        <v>0</v>
      </c>
    </row>
    <row r="192" spans="1:39" x14ac:dyDescent="0.25">
      <c r="A192" t="s">
        <v>233</v>
      </c>
      <c r="B192" t="s">
        <v>414</v>
      </c>
      <c r="C192" t="s">
        <v>255</v>
      </c>
      <c r="D192" t="s">
        <v>234</v>
      </c>
      <c r="E192" t="s">
        <v>20</v>
      </c>
      <c r="F192" t="s">
        <v>277</v>
      </c>
      <c r="G192" t="s">
        <v>269</v>
      </c>
      <c r="H192" t="s">
        <v>254</v>
      </c>
      <c r="I192" t="s">
        <v>242</v>
      </c>
      <c r="J192" t="s">
        <v>235</v>
      </c>
      <c r="K192" s="380">
        <v>36770</v>
      </c>
      <c r="L192" s="235">
        <v>2592.0723512628656</v>
      </c>
      <c r="M192" s="380">
        <v>36768</v>
      </c>
      <c r="N192" t="s">
        <v>21</v>
      </c>
      <c r="O192">
        <v>0.30249999999999999</v>
      </c>
      <c r="P192">
        <v>0</v>
      </c>
      <c r="Q192">
        <v>0</v>
      </c>
      <c r="R192">
        <v>0</v>
      </c>
      <c r="S192">
        <v>0</v>
      </c>
      <c r="T192" t="s">
        <v>253</v>
      </c>
      <c r="U192" t="s">
        <v>384</v>
      </c>
      <c r="V192" t="s">
        <v>253</v>
      </c>
      <c r="W192" t="s">
        <v>132</v>
      </c>
      <c r="X192" t="s">
        <v>253</v>
      </c>
      <c r="Y192" t="s">
        <v>235</v>
      </c>
      <c r="Z192" t="s">
        <v>236</v>
      </c>
      <c r="AA192" t="s">
        <v>253</v>
      </c>
      <c r="AB192" t="s">
        <v>1</v>
      </c>
      <c r="AC192" s="235">
        <v>300000</v>
      </c>
      <c r="AD192" s="235">
        <v>379.13207022406277</v>
      </c>
      <c r="AE192">
        <v>0</v>
      </c>
      <c r="AF192">
        <v>0</v>
      </c>
      <c r="AG192">
        <v>0</v>
      </c>
      <c r="AH192" s="235">
        <v>44.629520369864622</v>
      </c>
      <c r="AI192">
        <v>226</v>
      </c>
      <c r="AJ192" t="s">
        <v>256</v>
      </c>
      <c r="AK192">
        <v>0</v>
      </c>
      <c r="AL192">
        <v>0</v>
      </c>
      <c r="AM192">
        <v>0</v>
      </c>
    </row>
    <row r="193" spans="1:39" x14ac:dyDescent="0.25">
      <c r="A193" t="s">
        <v>233</v>
      </c>
      <c r="B193" t="s">
        <v>415</v>
      </c>
      <c r="C193" t="s">
        <v>255</v>
      </c>
      <c r="D193" t="s">
        <v>234</v>
      </c>
      <c r="E193" t="s">
        <v>20</v>
      </c>
      <c r="F193" t="s">
        <v>277</v>
      </c>
      <c r="G193" t="s">
        <v>269</v>
      </c>
      <c r="H193" t="s">
        <v>254</v>
      </c>
      <c r="I193" t="s">
        <v>242</v>
      </c>
      <c r="J193" t="s">
        <v>235</v>
      </c>
      <c r="K193" s="380">
        <v>36800</v>
      </c>
      <c r="L193" s="235">
        <v>7423.5908763094549</v>
      </c>
      <c r="M193" s="380">
        <v>36797</v>
      </c>
      <c r="N193" t="s">
        <v>1</v>
      </c>
      <c r="O193">
        <v>0.16750000000000001</v>
      </c>
      <c r="P193">
        <v>0</v>
      </c>
      <c r="Q193">
        <v>0</v>
      </c>
      <c r="R193">
        <v>0</v>
      </c>
      <c r="S193">
        <v>0</v>
      </c>
      <c r="T193" t="s">
        <v>253</v>
      </c>
      <c r="U193" t="s">
        <v>10</v>
      </c>
      <c r="V193" t="s">
        <v>253</v>
      </c>
      <c r="W193" t="s">
        <v>132</v>
      </c>
      <c r="X193" t="s">
        <v>253</v>
      </c>
      <c r="Y193" t="s">
        <v>235</v>
      </c>
      <c r="Z193" t="s">
        <v>236</v>
      </c>
      <c r="AA193" t="s">
        <v>253</v>
      </c>
      <c r="AB193" t="s">
        <v>1</v>
      </c>
      <c r="AC193" s="235">
        <v>310000</v>
      </c>
      <c r="AD193" s="235">
        <v>1905.9946216441458</v>
      </c>
      <c r="AE193">
        <v>0</v>
      </c>
      <c r="AF193">
        <v>0</v>
      </c>
      <c r="AG193">
        <v>0</v>
      </c>
      <c r="AH193" s="235">
        <v>108.86988121242757</v>
      </c>
      <c r="AI193">
        <v>226</v>
      </c>
      <c r="AJ193" t="s">
        <v>256</v>
      </c>
      <c r="AK193">
        <v>0</v>
      </c>
      <c r="AL193">
        <v>0</v>
      </c>
      <c r="AM193">
        <v>0</v>
      </c>
    </row>
    <row r="194" spans="1:39" x14ac:dyDescent="0.25">
      <c r="A194" t="s">
        <v>233</v>
      </c>
      <c r="B194" t="s">
        <v>415</v>
      </c>
      <c r="C194" t="s">
        <v>255</v>
      </c>
      <c r="D194" t="s">
        <v>234</v>
      </c>
      <c r="E194" t="s">
        <v>20</v>
      </c>
      <c r="F194" t="s">
        <v>277</v>
      </c>
      <c r="G194" t="s">
        <v>269</v>
      </c>
      <c r="H194" t="s">
        <v>254</v>
      </c>
      <c r="I194" t="s">
        <v>242</v>
      </c>
      <c r="J194" t="s">
        <v>235</v>
      </c>
      <c r="K194" s="380">
        <v>36770</v>
      </c>
      <c r="L194" s="235">
        <v>1342.0165344533552</v>
      </c>
      <c r="M194" s="380">
        <v>36768</v>
      </c>
      <c r="N194" t="s">
        <v>1</v>
      </c>
      <c r="O194">
        <v>0.16750000000000001</v>
      </c>
      <c r="P194">
        <v>0</v>
      </c>
      <c r="Q194">
        <v>0</v>
      </c>
      <c r="R194">
        <v>0</v>
      </c>
      <c r="S194">
        <v>0</v>
      </c>
      <c r="T194" t="s">
        <v>253</v>
      </c>
      <c r="U194" t="s">
        <v>10</v>
      </c>
      <c r="V194" t="s">
        <v>253</v>
      </c>
      <c r="W194" t="s">
        <v>132</v>
      </c>
      <c r="X194" t="s">
        <v>253</v>
      </c>
      <c r="Y194" t="s">
        <v>235</v>
      </c>
      <c r="Z194" t="s">
        <v>236</v>
      </c>
      <c r="AA194" t="s">
        <v>253</v>
      </c>
      <c r="AB194" t="s">
        <v>1</v>
      </c>
      <c r="AC194" s="235">
        <v>300000</v>
      </c>
      <c r="AD194" s="235">
        <v>331.05888216281892</v>
      </c>
      <c r="AE194">
        <v>0</v>
      </c>
      <c r="AF194">
        <v>0</v>
      </c>
      <c r="AG194">
        <v>0</v>
      </c>
      <c r="AH194" s="235">
        <v>39.15460165213608</v>
      </c>
      <c r="AI194">
        <v>226</v>
      </c>
      <c r="AJ194" t="s">
        <v>256</v>
      </c>
      <c r="AK194">
        <v>0</v>
      </c>
      <c r="AL194">
        <v>0</v>
      </c>
      <c r="AM194">
        <v>0</v>
      </c>
    </row>
    <row r="195" spans="1:39" x14ac:dyDescent="0.25">
      <c r="A195" t="s">
        <v>233</v>
      </c>
      <c r="B195" t="s">
        <v>375</v>
      </c>
      <c r="C195" t="s">
        <v>255</v>
      </c>
      <c r="D195" t="s">
        <v>234</v>
      </c>
      <c r="E195" t="s">
        <v>20</v>
      </c>
      <c r="F195" t="s">
        <v>268</v>
      </c>
      <c r="G195" t="s">
        <v>269</v>
      </c>
      <c r="H195" t="s">
        <v>254</v>
      </c>
      <c r="I195" t="s">
        <v>242</v>
      </c>
      <c r="J195" t="s">
        <v>235</v>
      </c>
      <c r="K195" s="380">
        <v>36800</v>
      </c>
      <c r="L195" s="235">
        <v>291267.11290685582</v>
      </c>
      <c r="M195" s="380">
        <v>36797</v>
      </c>
      <c r="N195" t="s">
        <v>21</v>
      </c>
      <c r="O195">
        <v>0.1</v>
      </c>
      <c r="P195">
        <v>0</v>
      </c>
      <c r="Q195">
        <v>0</v>
      </c>
      <c r="R195">
        <v>0</v>
      </c>
      <c r="S195">
        <v>0</v>
      </c>
      <c r="T195" t="s">
        <v>253</v>
      </c>
      <c r="U195" t="s">
        <v>190</v>
      </c>
      <c r="V195" t="s">
        <v>253</v>
      </c>
      <c r="W195" t="s">
        <v>132</v>
      </c>
      <c r="X195" t="s">
        <v>253</v>
      </c>
      <c r="Y195" t="s">
        <v>235</v>
      </c>
      <c r="Z195" t="s">
        <v>236</v>
      </c>
      <c r="AA195" t="s">
        <v>253</v>
      </c>
      <c r="AB195" t="s">
        <v>1</v>
      </c>
      <c r="AC195" s="235">
        <v>155000</v>
      </c>
      <c r="AD195" s="235">
        <v>11.432671213697176</v>
      </c>
      <c r="AE195">
        <v>0</v>
      </c>
      <c r="AF195">
        <v>0</v>
      </c>
      <c r="AG195">
        <v>0</v>
      </c>
      <c r="AH195" s="235">
        <v>-6159.068471728242</v>
      </c>
      <c r="AI195">
        <v>226</v>
      </c>
      <c r="AJ195" t="s">
        <v>256</v>
      </c>
      <c r="AK195">
        <v>0</v>
      </c>
      <c r="AL195">
        <v>0</v>
      </c>
      <c r="AM195">
        <v>0</v>
      </c>
    </row>
    <row r="196" spans="1:39" x14ac:dyDescent="0.25">
      <c r="A196" t="s">
        <v>233</v>
      </c>
      <c r="B196" t="s">
        <v>375</v>
      </c>
      <c r="C196" t="s">
        <v>255</v>
      </c>
      <c r="D196" t="s">
        <v>234</v>
      </c>
      <c r="E196" t="s">
        <v>20</v>
      </c>
      <c r="F196" t="s">
        <v>268</v>
      </c>
      <c r="G196" t="s">
        <v>269</v>
      </c>
      <c r="H196" t="s">
        <v>254</v>
      </c>
      <c r="I196" t="s">
        <v>242</v>
      </c>
      <c r="J196" t="s">
        <v>235</v>
      </c>
      <c r="K196" s="380">
        <v>36770</v>
      </c>
      <c r="L196" s="235">
        <v>359867.57147260284</v>
      </c>
      <c r="M196" s="380">
        <v>36768</v>
      </c>
      <c r="N196" t="s">
        <v>21</v>
      </c>
      <c r="O196">
        <v>0.1</v>
      </c>
      <c r="P196">
        <v>0</v>
      </c>
      <c r="Q196">
        <v>0</v>
      </c>
      <c r="R196">
        <v>0</v>
      </c>
      <c r="S196">
        <v>0</v>
      </c>
      <c r="T196" t="s">
        <v>253</v>
      </c>
      <c r="U196" t="s">
        <v>190</v>
      </c>
      <c r="V196" t="s">
        <v>253</v>
      </c>
      <c r="W196" t="s">
        <v>132</v>
      </c>
      <c r="X196" t="s">
        <v>253</v>
      </c>
      <c r="Y196" t="s">
        <v>235</v>
      </c>
      <c r="Z196" t="s">
        <v>236</v>
      </c>
      <c r="AA196" t="s">
        <v>253</v>
      </c>
      <c r="AB196" t="s">
        <v>1</v>
      </c>
      <c r="AC196" s="235">
        <v>150000</v>
      </c>
      <c r="AD196" s="235">
        <v>-5.9854286373592913E-3</v>
      </c>
      <c r="AE196">
        <v>0</v>
      </c>
      <c r="AF196">
        <v>0</v>
      </c>
      <c r="AG196">
        <v>0</v>
      </c>
      <c r="AH196" s="235">
        <v>39713.473570474423</v>
      </c>
      <c r="AI196">
        <v>226</v>
      </c>
      <c r="AJ196" t="s">
        <v>256</v>
      </c>
      <c r="AK196">
        <v>0</v>
      </c>
      <c r="AL196">
        <v>0</v>
      </c>
      <c r="AM196">
        <v>0</v>
      </c>
    </row>
    <row r="197" spans="1:39" x14ac:dyDescent="0.25">
      <c r="A197" t="s">
        <v>233</v>
      </c>
      <c r="B197" t="s">
        <v>377</v>
      </c>
      <c r="C197" t="s">
        <v>255</v>
      </c>
      <c r="D197" t="s">
        <v>234</v>
      </c>
      <c r="E197" t="s">
        <v>20</v>
      </c>
      <c r="F197" t="s">
        <v>320</v>
      </c>
      <c r="G197" t="s">
        <v>269</v>
      </c>
      <c r="H197" t="s">
        <v>254</v>
      </c>
      <c r="I197" t="s">
        <v>242</v>
      </c>
      <c r="J197" t="s">
        <v>235</v>
      </c>
      <c r="K197" s="380">
        <v>36951</v>
      </c>
      <c r="L197" s="235">
        <v>-62469.059813918444</v>
      </c>
      <c r="M197" s="380">
        <v>36949</v>
      </c>
      <c r="N197" t="s">
        <v>21</v>
      </c>
      <c r="O197">
        <v>2.2000000000000002</v>
      </c>
      <c r="P197">
        <v>0</v>
      </c>
      <c r="Q197">
        <v>0</v>
      </c>
      <c r="R197">
        <v>0</v>
      </c>
      <c r="S197">
        <v>0</v>
      </c>
      <c r="T197" t="s">
        <v>253</v>
      </c>
      <c r="U197" t="s">
        <v>7</v>
      </c>
      <c r="V197" t="s">
        <v>253</v>
      </c>
      <c r="W197" t="s">
        <v>132</v>
      </c>
      <c r="X197" t="s">
        <v>253</v>
      </c>
      <c r="Y197" t="s">
        <v>235</v>
      </c>
      <c r="Z197" t="s">
        <v>236</v>
      </c>
      <c r="AA197" t="s">
        <v>253</v>
      </c>
      <c r="AB197" t="s">
        <v>1</v>
      </c>
      <c r="AC197" s="235">
        <v>-310000</v>
      </c>
      <c r="AD197" s="235">
        <v>-20293.308553530798</v>
      </c>
      <c r="AE197">
        <v>0</v>
      </c>
      <c r="AF197">
        <v>0</v>
      </c>
      <c r="AG197">
        <v>0</v>
      </c>
      <c r="AH197" s="235">
        <v>-5874.0424031467992</v>
      </c>
      <c r="AI197">
        <v>226</v>
      </c>
      <c r="AJ197" t="s">
        <v>256</v>
      </c>
      <c r="AK197">
        <v>0</v>
      </c>
      <c r="AL197">
        <v>0</v>
      </c>
      <c r="AM197">
        <v>0</v>
      </c>
    </row>
    <row r="198" spans="1:39" x14ac:dyDescent="0.25">
      <c r="A198" t="s">
        <v>233</v>
      </c>
      <c r="B198" t="s">
        <v>377</v>
      </c>
      <c r="C198" t="s">
        <v>255</v>
      </c>
      <c r="D198" t="s">
        <v>234</v>
      </c>
      <c r="E198" t="s">
        <v>20</v>
      </c>
      <c r="F198" t="s">
        <v>320</v>
      </c>
      <c r="G198" t="s">
        <v>269</v>
      </c>
      <c r="H198" t="s">
        <v>254</v>
      </c>
      <c r="I198" t="s">
        <v>242</v>
      </c>
      <c r="J198" t="s">
        <v>235</v>
      </c>
      <c r="K198" s="380">
        <v>36923</v>
      </c>
      <c r="L198" s="235">
        <v>-179351.39379154576</v>
      </c>
      <c r="M198" s="380">
        <v>36921</v>
      </c>
      <c r="N198" t="s">
        <v>21</v>
      </c>
      <c r="O198">
        <v>2.2000000000000002</v>
      </c>
      <c r="P198">
        <v>0</v>
      </c>
      <c r="Q198">
        <v>0</v>
      </c>
      <c r="R198">
        <v>0</v>
      </c>
      <c r="S198">
        <v>0</v>
      </c>
      <c r="T198" t="s">
        <v>253</v>
      </c>
      <c r="U198" t="s">
        <v>7</v>
      </c>
      <c r="V198" t="s">
        <v>253</v>
      </c>
      <c r="W198" t="s">
        <v>132</v>
      </c>
      <c r="X198" t="s">
        <v>253</v>
      </c>
      <c r="Y198" t="s">
        <v>235</v>
      </c>
      <c r="Z198" t="s">
        <v>236</v>
      </c>
      <c r="AA198" t="s">
        <v>253</v>
      </c>
      <c r="AB198" t="s">
        <v>1</v>
      </c>
      <c r="AC198" s="235">
        <v>-280000</v>
      </c>
      <c r="AD198" s="235">
        <v>-23898.539070236002</v>
      </c>
      <c r="AE198">
        <v>0</v>
      </c>
      <c r="AF198">
        <v>0</v>
      </c>
      <c r="AG198">
        <v>0</v>
      </c>
      <c r="AH198" s="235">
        <v>-11149.557908673625</v>
      </c>
      <c r="AI198">
        <v>226</v>
      </c>
      <c r="AJ198" t="s">
        <v>256</v>
      </c>
      <c r="AK198">
        <v>0</v>
      </c>
      <c r="AL198">
        <v>0</v>
      </c>
      <c r="AM198">
        <v>0</v>
      </c>
    </row>
    <row r="199" spans="1:39" x14ac:dyDescent="0.25">
      <c r="A199" t="s">
        <v>233</v>
      </c>
      <c r="B199" t="s">
        <v>377</v>
      </c>
      <c r="C199" t="s">
        <v>255</v>
      </c>
      <c r="D199" t="s">
        <v>234</v>
      </c>
      <c r="E199" t="s">
        <v>20</v>
      </c>
      <c r="F199" t="s">
        <v>320</v>
      </c>
      <c r="G199" t="s">
        <v>269</v>
      </c>
      <c r="H199" t="s">
        <v>254</v>
      </c>
      <c r="I199" t="s">
        <v>242</v>
      </c>
      <c r="J199" t="s">
        <v>235</v>
      </c>
      <c r="K199" s="380">
        <v>36892</v>
      </c>
      <c r="L199" s="235">
        <v>-199213.59746695129</v>
      </c>
      <c r="M199" s="380">
        <v>36888</v>
      </c>
      <c r="N199" t="s">
        <v>21</v>
      </c>
      <c r="O199">
        <v>2.2000000000000002</v>
      </c>
      <c r="P199">
        <v>0</v>
      </c>
      <c r="Q199">
        <v>0</v>
      </c>
      <c r="R199">
        <v>0</v>
      </c>
      <c r="S199">
        <v>0</v>
      </c>
      <c r="T199" t="s">
        <v>253</v>
      </c>
      <c r="U199" t="s">
        <v>7</v>
      </c>
      <c r="V199" t="s">
        <v>253</v>
      </c>
      <c r="W199" t="s">
        <v>132</v>
      </c>
      <c r="X199" t="s">
        <v>253</v>
      </c>
      <c r="Y199" t="s">
        <v>235</v>
      </c>
      <c r="Z199" t="s">
        <v>236</v>
      </c>
      <c r="AA199" t="s">
        <v>253</v>
      </c>
      <c r="AB199" t="s">
        <v>1</v>
      </c>
      <c r="AC199" s="235">
        <v>-310000</v>
      </c>
      <c r="AD199" s="235">
        <v>-24307.503147808107</v>
      </c>
      <c r="AE199">
        <v>0</v>
      </c>
      <c r="AF199">
        <v>0</v>
      </c>
      <c r="AG199">
        <v>0</v>
      </c>
      <c r="AH199" s="235">
        <v>-10942.287774524069</v>
      </c>
      <c r="AI199">
        <v>226</v>
      </c>
      <c r="AJ199" t="s">
        <v>256</v>
      </c>
      <c r="AK199">
        <v>0</v>
      </c>
      <c r="AL199">
        <v>0</v>
      </c>
      <c r="AM199">
        <v>0</v>
      </c>
    </row>
    <row r="200" spans="1:39" x14ac:dyDescent="0.25">
      <c r="A200" t="s">
        <v>233</v>
      </c>
      <c r="B200" t="s">
        <v>377</v>
      </c>
      <c r="C200" t="s">
        <v>255</v>
      </c>
      <c r="D200" t="s">
        <v>234</v>
      </c>
      <c r="E200" t="s">
        <v>20</v>
      </c>
      <c r="F200" t="s">
        <v>320</v>
      </c>
      <c r="G200" t="s">
        <v>269</v>
      </c>
      <c r="H200" t="s">
        <v>254</v>
      </c>
      <c r="I200" t="s">
        <v>242</v>
      </c>
      <c r="J200" t="s">
        <v>235</v>
      </c>
      <c r="K200" s="380">
        <v>36861</v>
      </c>
      <c r="L200" s="235">
        <v>-99869.14523617478</v>
      </c>
      <c r="M200" s="380">
        <v>36859</v>
      </c>
      <c r="N200" t="s">
        <v>21</v>
      </c>
      <c r="O200">
        <v>2.2000000000000002</v>
      </c>
      <c r="P200">
        <v>0</v>
      </c>
      <c r="Q200">
        <v>0</v>
      </c>
      <c r="R200">
        <v>0</v>
      </c>
      <c r="S200">
        <v>0</v>
      </c>
      <c r="T200" t="s">
        <v>253</v>
      </c>
      <c r="U200" t="s">
        <v>7</v>
      </c>
      <c r="V200" t="s">
        <v>253</v>
      </c>
      <c r="W200" t="s">
        <v>132</v>
      </c>
      <c r="X200" t="s">
        <v>253</v>
      </c>
      <c r="Y200" t="s">
        <v>235</v>
      </c>
      <c r="Z200" t="s">
        <v>236</v>
      </c>
      <c r="AA200" t="s">
        <v>253</v>
      </c>
      <c r="AB200" t="s">
        <v>1</v>
      </c>
      <c r="AC200" s="235">
        <v>-310000</v>
      </c>
      <c r="AD200" s="235">
        <v>-19894.013729574232</v>
      </c>
      <c r="AE200">
        <v>0</v>
      </c>
      <c r="AF200">
        <v>0</v>
      </c>
      <c r="AG200">
        <v>0</v>
      </c>
      <c r="AH200" s="235">
        <v>-6252.9225107267412</v>
      </c>
      <c r="AI200">
        <v>226</v>
      </c>
      <c r="AJ200" t="s">
        <v>256</v>
      </c>
      <c r="AK200">
        <v>0</v>
      </c>
      <c r="AL200">
        <v>0</v>
      </c>
      <c r="AM200">
        <v>0</v>
      </c>
    </row>
    <row r="201" spans="1:39" x14ac:dyDescent="0.25">
      <c r="A201" t="s">
        <v>233</v>
      </c>
      <c r="B201" t="s">
        <v>377</v>
      </c>
      <c r="C201" t="s">
        <v>255</v>
      </c>
      <c r="D201" t="s">
        <v>234</v>
      </c>
      <c r="E201" t="s">
        <v>20</v>
      </c>
      <c r="F201" t="s">
        <v>320</v>
      </c>
      <c r="G201" t="s">
        <v>269</v>
      </c>
      <c r="H201" t="s">
        <v>254</v>
      </c>
      <c r="I201" t="s">
        <v>242</v>
      </c>
      <c r="J201" t="s">
        <v>235</v>
      </c>
      <c r="K201" s="380">
        <v>36831</v>
      </c>
      <c r="L201" s="235">
        <v>-3864.0810378615029</v>
      </c>
      <c r="M201" s="380">
        <v>36829</v>
      </c>
      <c r="N201" t="s">
        <v>21</v>
      </c>
      <c r="O201">
        <v>2.2000000000000002</v>
      </c>
      <c r="P201">
        <v>0</v>
      </c>
      <c r="Q201">
        <v>0</v>
      </c>
      <c r="R201">
        <v>0</v>
      </c>
      <c r="S201">
        <v>0</v>
      </c>
      <c r="T201" t="s">
        <v>253</v>
      </c>
      <c r="U201" t="s">
        <v>7</v>
      </c>
      <c r="V201" t="s">
        <v>253</v>
      </c>
      <c r="W201" t="s">
        <v>132</v>
      </c>
      <c r="X201" t="s">
        <v>253</v>
      </c>
      <c r="Y201" t="s">
        <v>235</v>
      </c>
      <c r="Z201" t="s">
        <v>236</v>
      </c>
      <c r="AA201" t="s">
        <v>253</v>
      </c>
      <c r="AB201" t="s">
        <v>1</v>
      </c>
      <c r="AC201" s="235">
        <v>-300000</v>
      </c>
      <c r="AD201" s="235">
        <v>-2694.8081645491075</v>
      </c>
      <c r="AE201">
        <v>0</v>
      </c>
      <c r="AF201">
        <v>0</v>
      </c>
      <c r="AG201">
        <v>0</v>
      </c>
      <c r="AH201" s="235">
        <v>-688.90667497919412</v>
      </c>
      <c r="AI201">
        <v>226</v>
      </c>
      <c r="AJ201" t="s">
        <v>256</v>
      </c>
      <c r="AK201">
        <v>0</v>
      </c>
      <c r="AL201">
        <v>0</v>
      </c>
      <c r="AM201">
        <v>0</v>
      </c>
    </row>
    <row r="202" spans="1:39" x14ac:dyDescent="0.25">
      <c r="A202" t="s">
        <v>233</v>
      </c>
      <c r="B202" t="s">
        <v>378</v>
      </c>
      <c r="C202" t="s">
        <v>255</v>
      </c>
      <c r="D202" t="s">
        <v>234</v>
      </c>
      <c r="E202" t="s">
        <v>20</v>
      </c>
      <c r="F202" t="s">
        <v>281</v>
      </c>
      <c r="G202" t="s">
        <v>269</v>
      </c>
      <c r="H202" t="s">
        <v>254</v>
      </c>
      <c r="I202" t="s">
        <v>242</v>
      </c>
      <c r="J202" t="s">
        <v>235</v>
      </c>
      <c r="K202" s="380">
        <v>36951</v>
      </c>
      <c r="L202" s="235">
        <v>-164993.61861655075</v>
      </c>
      <c r="M202" s="380">
        <v>36949</v>
      </c>
      <c r="N202" t="s">
        <v>21</v>
      </c>
      <c r="O202">
        <v>1.6</v>
      </c>
      <c r="P202">
        <v>0</v>
      </c>
      <c r="Q202">
        <v>0</v>
      </c>
      <c r="R202">
        <v>0</v>
      </c>
      <c r="S202">
        <v>0</v>
      </c>
      <c r="T202" t="s">
        <v>253</v>
      </c>
      <c r="U202" t="s">
        <v>7</v>
      </c>
      <c r="V202" t="s">
        <v>253</v>
      </c>
      <c r="W202" t="s">
        <v>132</v>
      </c>
      <c r="X202" t="s">
        <v>253</v>
      </c>
      <c r="Y202" t="s">
        <v>235</v>
      </c>
      <c r="Z202" t="s">
        <v>236</v>
      </c>
      <c r="AA202" t="s">
        <v>253</v>
      </c>
      <c r="AB202" t="s">
        <v>1</v>
      </c>
      <c r="AC202" s="235">
        <v>-500000</v>
      </c>
      <c r="AD202" s="235">
        <v>-40486.301902801148</v>
      </c>
      <c r="AE202">
        <v>0</v>
      </c>
      <c r="AF202">
        <v>0</v>
      </c>
      <c r="AG202">
        <v>0</v>
      </c>
      <c r="AH202" s="235">
        <v>-13572.421626797965</v>
      </c>
      <c r="AI202">
        <v>226</v>
      </c>
      <c r="AJ202" t="s">
        <v>256</v>
      </c>
      <c r="AK202">
        <v>0</v>
      </c>
      <c r="AL202">
        <v>0</v>
      </c>
      <c r="AM202">
        <v>0</v>
      </c>
    </row>
    <row r="203" spans="1:39" x14ac:dyDescent="0.25">
      <c r="A203" t="s">
        <v>233</v>
      </c>
      <c r="B203" t="s">
        <v>378</v>
      </c>
      <c r="C203" t="s">
        <v>255</v>
      </c>
      <c r="D203" t="s">
        <v>234</v>
      </c>
      <c r="E203" t="s">
        <v>20</v>
      </c>
      <c r="F203" t="s">
        <v>281</v>
      </c>
      <c r="G203" t="s">
        <v>269</v>
      </c>
      <c r="H203" t="s">
        <v>254</v>
      </c>
      <c r="I203" t="s">
        <v>242</v>
      </c>
      <c r="J203" t="s">
        <v>235</v>
      </c>
      <c r="K203" s="380">
        <v>36923</v>
      </c>
      <c r="L203" s="235">
        <v>-453075.2502088857</v>
      </c>
      <c r="M203" s="380">
        <v>36921</v>
      </c>
      <c r="N203" t="s">
        <v>21</v>
      </c>
      <c r="O203">
        <v>1.6</v>
      </c>
      <c r="P203">
        <v>0</v>
      </c>
      <c r="Q203">
        <v>0</v>
      </c>
      <c r="R203">
        <v>0</v>
      </c>
      <c r="S203">
        <v>0</v>
      </c>
      <c r="T203" t="s">
        <v>253</v>
      </c>
      <c r="U203" t="s">
        <v>7</v>
      </c>
      <c r="V203" t="s">
        <v>253</v>
      </c>
      <c r="W203" t="s">
        <v>132</v>
      </c>
      <c r="X203" t="s">
        <v>253</v>
      </c>
      <c r="Y203" t="s">
        <v>235</v>
      </c>
      <c r="Z203" t="s">
        <v>236</v>
      </c>
      <c r="AA203" t="s">
        <v>253</v>
      </c>
      <c r="AB203" t="s">
        <v>1</v>
      </c>
      <c r="AC203" s="235">
        <v>-500000</v>
      </c>
      <c r="AD203" s="235">
        <v>-41984.319025358185</v>
      </c>
      <c r="AE203">
        <v>0</v>
      </c>
      <c r="AF203">
        <v>0</v>
      </c>
      <c r="AG203">
        <v>0</v>
      </c>
      <c r="AH203" s="235">
        <v>-24464.730833474314</v>
      </c>
      <c r="AI203">
        <v>226</v>
      </c>
      <c r="AJ203" t="s">
        <v>256</v>
      </c>
      <c r="AK203">
        <v>0</v>
      </c>
      <c r="AL203">
        <v>0</v>
      </c>
      <c r="AM203">
        <v>0</v>
      </c>
    </row>
    <row r="204" spans="1:39" x14ac:dyDescent="0.25">
      <c r="A204" t="s">
        <v>233</v>
      </c>
      <c r="B204" t="s">
        <v>378</v>
      </c>
      <c r="C204" t="s">
        <v>255</v>
      </c>
      <c r="D204" t="s">
        <v>234</v>
      </c>
      <c r="E204" t="s">
        <v>20</v>
      </c>
      <c r="F204" t="s">
        <v>281</v>
      </c>
      <c r="G204" t="s">
        <v>269</v>
      </c>
      <c r="H204" t="s">
        <v>254</v>
      </c>
      <c r="I204" t="s">
        <v>242</v>
      </c>
      <c r="J204" t="s">
        <v>235</v>
      </c>
      <c r="K204" s="380">
        <v>36892</v>
      </c>
      <c r="L204" s="235">
        <v>-464051.02821278502</v>
      </c>
      <c r="M204" s="380">
        <v>36888</v>
      </c>
      <c r="N204" t="s">
        <v>21</v>
      </c>
      <c r="O204">
        <v>1.6</v>
      </c>
      <c r="P204">
        <v>0</v>
      </c>
      <c r="Q204">
        <v>0</v>
      </c>
      <c r="R204">
        <v>0</v>
      </c>
      <c r="S204">
        <v>0</v>
      </c>
      <c r="T204" t="s">
        <v>253</v>
      </c>
      <c r="U204" t="s">
        <v>7</v>
      </c>
      <c r="V204" t="s">
        <v>253</v>
      </c>
      <c r="W204" t="s">
        <v>132</v>
      </c>
      <c r="X204" t="s">
        <v>253</v>
      </c>
      <c r="Y204" t="s">
        <v>235</v>
      </c>
      <c r="Z204" t="s">
        <v>236</v>
      </c>
      <c r="AA204" t="s">
        <v>253</v>
      </c>
      <c r="AB204" t="s">
        <v>1</v>
      </c>
      <c r="AC204" s="235">
        <v>-500000</v>
      </c>
      <c r="AD204" s="235">
        <v>-37672.529627170414</v>
      </c>
      <c r="AE204">
        <v>0</v>
      </c>
      <c r="AF204">
        <v>0</v>
      </c>
      <c r="AG204">
        <v>0</v>
      </c>
      <c r="AH204" s="235">
        <v>-21769.108398798446</v>
      </c>
      <c r="AI204">
        <v>226</v>
      </c>
      <c r="AJ204" t="s">
        <v>256</v>
      </c>
      <c r="AK204">
        <v>0</v>
      </c>
      <c r="AL204">
        <v>0</v>
      </c>
      <c r="AM204">
        <v>0</v>
      </c>
    </row>
    <row r="205" spans="1:39" x14ac:dyDescent="0.25">
      <c r="A205" t="s">
        <v>233</v>
      </c>
      <c r="B205" t="s">
        <v>378</v>
      </c>
      <c r="C205" t="s">
        <v>255</v>
      </c>
      <c r="D205" t="s">
        <v>234</v>
      </c>
      <c r="E205" t="s">
        <v>20</v>
      </c>
      <c r="F205" t="s">
        <v>281</v>
      </c>
      <c r="G205" t="s">
        <v>269</v>
      </c>
      <c r="H205" t="s">
        <v>254</v>
      </c>
      <c r="I205" t="s">
        <v>242</v>
      </c>
      <c r="J205" t="s">
        <v>235</v>
      </c>
      <c r="K205" s="380">
        <v>36861</v>
      </c>
      <c r="L205" s="235">
        <v>-267671.47544712661</v>
      </c>
      <c r="M205" s="380">
        <v>36859</v>
      </c>
      <c r="N205" t="s">
        <v>21</v>
      </c>
      <c r="O205">
        <v>1.6</v>
      </c>
      <c r="P205">
        <v>0</v>
      </c>
      <c r="Q205">
        <v>0</v>
      </c>
      <c r="R205">
        <v>0</v>
      </c>
      <c r="S205">
        <v>0</v>
      </c>
      <c r="T205" t="s">
        <v>253</v>
      </c>
      <c r="U205" t="s">
        <v>7</v>
      </c>
      <c r="V205" t="s">
        <v>253</v>
      </c>
      <c r="W205" t="s">
        <v>132</v>
      </c>
      <c r="X205" t="s">
        <v>253</v>
      </c>
      <c r="Y205" t="s">
        <v>235</v>
      </c>
      <c r="Z205" t="s">
        <v>236</v>
      </c>
      <c r="AA205" t="s">
        <v>253</v>
      </c>
      <c r="AB205" t="s">
        <v>1</v>
      </c>
      <c r="AC205" s="235">
        <v>-500000</v>
      </c>
      <c r="AD205" s="235">
        <v>-35401.201423718681</v>
      </c>
      <c r="AE205">
        <v>0</v>
      </c>
      <c r="AF205">
        <v>0</v>
      </c>
      <c r="AG205">
        <v>0</v>
      </c>
      <c r="AH205" s="235">
        <v>-13921.851269582665</v>
      </c>
      <c r="AI205">
        <v>226</v>
      </c>
      <c r="AJ205" t="s">
        <v>256</v>
      </c>
      <c r="AK205">
        <v>0</v>
      </c>
      <c r="AL205">
        <v>0</v>
      </c>
      <c r="AM205">
        <v>0</v>
      </c>
    </row>
    <row r="206" spans="1:39" x14ac:dyDescent="0.25">
      <c r="A206" t="s">
        <v>233</v>
      </c>
      <c r="B206" t="s">
        <v>378</v>
      </c>
      <c r="C206" t="s">
        <v>255</v>
      </c>
      <c r="D206" t="s">
        <v>234</v>
      </c>
      <c r="E206" t="s">
        <v>20</v>
      </c>
      <c r="F206" t="s">
        <v>281</v>
      </c>
      <c r="G206" t="s">
        <v>269</v>
      </c>
      <c r="H206" t="s">
        <v>254</v>
      </c>
      <c r="I206" t="s">
        <v>242</v>
      </c>
      <c r="J206" t="s">
        <v>235</v>
      </c>
      <c r="K206" s="380">
        <v>36831</v>
      </c>
      <c r="L206" s="235">
        <v>-24777.477296877751</v>
      </c>
      <c r="M206" s="380">
        <v>36829</v>
      </c>
      <c r="N206" t="s">
        <v>21</v>
      </c>
      <c r="O206">
        <v>1.6</v>
      </c>
      <c r="P206">
        <v>0</v>
      </c>
      <c r="Q206">
        <v>0</v>
      </c>
      <c r="R206">
        <v>0</v>
      </c>
      <c r="S206">
        <v>0</v>
      </c>
      <c r="T206" t="s">
        <v>253</v>
      </c>
      <c r="U206" t="s">
        <v>7</v>
      </c>
      <c r="V206" t="s">
        <v>253</v>
      </c>
      <c r="W206" t="s">
        <v>132</v>
      </c>
      <c r="X206" t="s">
        <v>253</v>
      </c>
      <c r="Y206" t="s">
        <v>235</v>
      </c>
      <c r="Z206" t="s">
        <v>236</v>
      </c>
      <c r="AA206" t="s">
        <v>253</v>
      </c>
      <c r="AB206" t="s">
        <v>1</v>
      </c>
      <c r="AC206" s="235">
        <v>-500000</v>
      </c>
      <c r="AD206" s="235">
        <v>-11503.944274113608</v>
      </c>
      <c r="AE206">
        <v>0</v>
      </c>
      <c r="AF206">
        <v>0</v>
      </c>
      <c r="AG206">
        <v>0</v>
      </c>
      <c r="AH206" s="235">
        <v>-3479.1637170615977</v>
      </c>
      <c r="AI206">
        <v>226</v>
      </c>
      <c r="AJ206" t="s">
        <v>256</v>
      </c>
      <c r="AK206">
        <v>0</v>
      </c>
      <c r="AL206">
        <v>0</v>
      </c>
      <c r="AM206">
        <v>0</v>
      </c>
    </row>
    <row r="207" spans="1:39" x14ac:dyDescent="0.25">
      <c r="A207" t="s">
        <v>233</v>
      </c>
      <c r="B207" t="s">
        <v>379</v>
      </c>
      <c r="C207" t="s">
        <v>255</v>
      </c>
      <c r="D207" t="s">
        <v>234</v>
      </c>
      <c r="E207" t="s">
        <v>20</v>
      </c>
      <c r="F207" t="s">
        <v>281</v>
      </c>
      <c r="G207" t="s">
        <v>269</v>
      </c>
      <c r="H207" t="s">
        <v>254</v>
      </c>
      <c r="I207" t="s">
        <v>242</v>
      </c>
      <c r="J207" t="s">
        <v>235</v>
      </c>
      <c r="K207" s="380">
        <v>36951</v>
      </c>
      <c r="L207" s="235">
        <v>109371.68982387714</v>
      </c>
      <c r="M207" s="380">
        <v>36949</v>
      </c>
      <c r="N207" t="s">
        <v>21</v>
      </c>
      <c r="O207">
        <v>2.1</v>
      </c>
      <c r="P207">
        <v>0</v>
      </c>
      <c r="Q207">
        <v>0</v>
      </c>
      <c r="R207">
        <v>0</v>
      </c>
      <c r="S207">
        <v>0</v>
      </c>
      <c r="T207" t="s">
        <v>253</v>
      </c>
      <c r="U207" t="s">
        <v>7</v>
      </c>
      <c r="V207" t="s">
        <v>253</v>
      </c>
      <c r="W207" t="s">
        <v>132</v>
      </c>
      <c r="X207" t="s">
        <v>253</v>
      </c>
      <c r="Y207" t="s">
        <v>235</v>
      </c>
      <c r="Z207" t="s">
        <v>236</v>
      </c>
      <c r="AA207" t="s">
        <v>253</v>
      </c>
      <c r="AB207" t="s">
        <v>1</v>
      </c>
      <c r="AC207" s="235">
        <v>500000</v>
      </c>
      <c r="AD207" s="235">
        <v>34102.064735658772</v>
      </c>
      <c r="AE207">
        <v>0</v>
      </c>
      <c r="AF207">
        <v>0</v>
      </c>
      <c r="AG207">
        <v>0</v>
      </c>
      <c r="AH207" s="235">
        <v>10079.673668305913</v>
      </c>
      <c r="AI207">
        <v>226</v>
      </c>
      <c r="AJ207" t="s">
        <v>256</v>
      </c>
      <c r="AK207">
        <v>0</v>
      </c>
      <c r="AL207">
        <v>0</v>
      </c>
      <c r="AM207">
        <v>0</v>
      </c>
    </row>
    <row r="208" spans="1:39" x14ac:dyDescent="0.25">
      <c r="A208" t="s">
        <v>233</v>
      </c>
      <c r="B208" t="s">
        <v>379</v>
      </c>
      <c r="C208" t="s">
        <v>255</v>
      </c>
      <c r="D208" t="s">
        <v>234</v>
      </c>
      <c r="E208" t="s">
        <v>20</v>
      </c>
      <c r="F208" t="s">
        <v>281</v>
      </c>
      <c r="G208" t="s">
        <v>269</v>
      </c>
      <c r="H208" t="s">
        <v>254</v>
      </c>
      <c r="I208" t="s">
        <v>242</v>
      </c>
      <c r="J208" t="s">
        <v>235</v>
      </c>
      <c r="K208" s="380">
        <v>36923</v>
      </c>
      <c r="L208" s="235">
        <v>339537.88299489295</v>
      </c>
      <c r="M208" s="380">
        <v>36921</v>
      </c>
      <c r="N208" t="s">
        <v>21</v>
      </c>
      <c r="O208">
        <v>2.1</v>
      </c>
      <c r="P208">
        <v>0</v>
      </c>
      <c r="Q208">
        <v>0</v>
      </c>
      <c r="R208">
        <v>0</v>
      </c>
      <c r="S208">
        <v>0</v>
      </c>
      <c r="T208" t="s">
        <v>253</v>
      </c>
      <c r="U208" t="s">
        <v>7</v>
      </c>
      <c r="V208" t="s">
        <v>253</v>
      </c>
      <c r="W208" t="s">
        <v>132</v>
      </c>
      <c r="X208" t="s">
        <v>253</v>
      </c>
      <c r="Y208" t="s">
        <v>235</v>
      </c>
      <c r="Z208" t="s">
        <v>236</v>
      </c>
      <c r="AA208" t="s">
        <v>253</v>
      </c>
      <c r="AB208" t="s">
        <v>1</v>
      </c>
      <c r="AC208" s="235">
        <v>500000</v>
      </c>
      <c r="AD208" s="235">
        <v>42900.183110857062</v>
      </c>
      <c r="AE208">
        <v>0</v>
      </c>
      <c r="AF208">
        <v>0</v>
      </c>
      <c r="AG208">
        <v>0</v>
      </c>
      <c r="AH208" s="235">
        <v>20656.908867582853</v>
      </c>
      <c r="AI208">
        <v>226</v>
      </c>
      <c r="AJ208" t="s">
        <v>256</v>
      </c>
      <c r="AK208">
        <v>0</v>
      </c>
      <c r="AL208">
        <v>0</v>
      </c>
      <c r="AM208">
        <v>0</v>
      </c>
    </row>
    <row r="209" spans="1:39" x14ac:dyDescent="0.25">
      <c r="A209" t="s">
        <v>233</v>
      </c>
      <c r="B209" t="s">
        <v>379</v>
      </c>
      <c r="C209" t="s">
        <v>255</v>
      </c>
      <c r="D209" t="s">
        <v>234</v>
      </c>
      <c r="E209" t="s">
        <v>20</v>
      </c>
      <c r="F209" t="s">
        <v>281</v>
      </c>
      <c r="G209" t="s">
        <v>269</v>
      </c>
      <c r="H209" t="s">
        <v>254</v>
      </c>
      <c r="I209" t="s">
        <v>242</v>
      </c>
      <c r="J209" t="s">
        <v>235</v>
      </c>
      <c r="K209" s="380">
        <v>36892</v>
      </c>
      <c r="L209" s="235">
        <v>341998.20047145017</v>
      </c>
      <c r="M209" s="380">
        <v>36888</v>
      </c>
      <c r="N209" t="s">
        <v>21</v>
      </c>
      <c r="O209">
        <v>2.1</v>
      </c>
      <c r="P209">
        <v>0</v>
      </c>
      <c r="Q209">
        <v>0</v>
      </c>
      <c r="R209">
        <v>0</v>
      </c>
      <c r="S209">
        <v>0</v>
      </c>
      <c r="T209" t="s">
        <v>253</v>
      </c>
      <c r="U209" t="s">
        <v>7</v>
      </c>
      <c r="V209" t="s">
        <v>253</v>
      </c>
      <c r="W209" t="s">
        <v>132</v>
      </c>
      <c r="X209" t="s">
        <v>253</v>
      </c>
      <c r="Y209" t="s">
        <v>235</v>
      </c>
      <c r="Z209" t="s">
        <v>236</v>
      </c>
      <c r="AA209" t="s">
        <v>253</v>
      </c>
      <c r="AB209" t="s">
        <v>1</v>
      </c>
      <c r="AC209" s="235">
        <v>500000</v>
      </c>
      <c r="AD209" s="235">
        <v>39316.161845855968</v>
      </c>
      <c r="AE209">
        <v>0</v>
      </c>
      <c r="AF209">
        <v>0</v>
      </c>
      <c r="AG209">
        <v>0</v>
      </c>
      <c r="AH209" s="235">
        <v>18334.674125103455</v>
      </c>
      <c r="AI209">
        <v>226</v>
      </c>
      <c r="AJ209" t="s">
        <v>256</v>
      </c>
      <c r="AK209">
        <v>0</v>
      </c>
      <c r="AL209">
        <v>0</v>
      </c>
      <c r="AM209">
        <v>0</v>
      </c>
    </row>
    <row r="210" spans="1:39" x14ac:dyDescent="0.25">
      <c r="A210" t="s">
        <v>233</v>
      </c>
      <c r="B210" t="s">
        <v>379</v>
      </c>
      <c r="C210" t="s">
        <v>255</v>
      </c>
      <c r="D210" t="s">
        <v>234</v>
      </c>
      <c r="E210" t="s">
        <v>20</v>
      </c>
      <c r="F210" t="s">
        <v>281</v>
      </c>
      <c r="G210" t="s">
        <v>269</v>
      </c>
      <c r="H210" t="s">
        <v>254</v>
      </c>
      <c r="I210" t="s">
        <v>242</v>
      </c>
      <c r="J210" t="s">
        <v>235</v>
      </c>
      <c r="K210" s="380">
        <v>36861</v>
      </c>
      <c r="L210" s="235">
        <v>175629.04621695401</v>
      </c>
      <c r="M210" s="380">
        <v>36859</v>
      </c>
      <c r="N210" t="s">
        <v>21</v>
      </c>
      <c r="O210">
        <v>2.1</v>
      </c>
      <c r="P210">
        <v>0</v>
      </c>
      <c r="Q210">
        <v>0</v>
      </c>
      <c r="R210">
        <v>0</v>
      </c>
      <c r="S210">
        <v>0</v>
      </c>
      <c r="T210" t="s">
        <v>253</v>
      </c>
      <c r="U210" t="s">
        <v>7</v>
      </c>
      <c r="V210" t="s">
        <v>253</v>
      </c>
      <c r="W210" t="s">
        <v>132</v>
      </c>
      <c r="X210" t="s">
        <v>253</v>
      </c>
      <c r="Y210" t="s">
        <v>235</v>
      </c>
      <c r="Z210" t="s">
        <v>236</v>
      </c>
      <c r="AA210" t="s">
        <v>253</v>
      </c>
      <c r="AB210" t="s">
        <v>1</v>
      </c>
      <c r="AC210" s="235">
        <v>500000</v>
      </c>
      <c r="AD210" s="235">
        <v>32963.365191181743</v>
      </c>
      <c r="AE210">
        <v>0</v>
      </c>
      <c r="AF210">
        <v>0</v>
      </c>
      <c r="AG210">
        <v>0</v>
      </c>
      <c r="AH210" s="235">
        <v>10689.623718832707</v>
      </c>
      <c r="AI210">
        <v>226</v>
      </c>
      <c r="AJ210" t="s">
        <v>256</v>
      </c>
      <c r="AK210">
        <v>0</v>
      </c>
      <c r="AL210">
        <v>0</v>
      </c>
      <c r="AM210">
        <v>0</v>
      </c>
    </row>
    <row r="211" spans="1:39" x14ac:dyDescent="0.25">
      <c r="A211" t="s">
        <v>233</v>
      </c>
      <c r="B211" t="s">
        <v>379</v>
      </c>
      <c r="C211" t="s">
        <v>255</v>
      </c>
      <c r="D211" t="s">
        <v>234</v>
      </c>
      <c r="E211" t="s">
        <v>20</v>
      </c>
      <c r="F211" t="s">
        <v>281</v>
      </c>
      <c r="G211" t="s">
        <v>269</v>
      </c>
      <c r="H211" t="s">
        <v>254</v>
      </c>
      <c r="I211" t="s">
        <v>242</v>
      </c>
      <c r="J211" t="s">
        <v>235</v>
      </c>
      <c r="K211" s="380">
        <v>36831</v>
      </c>
      <c r="L211" s="235">
        <v>8097.7127285457618</v>
      </c>
      <c r="M211" s="380">
        <v>36829</v>
      </c>
      <c r="N211" t="s">
        <v>21</v>
      </c>
      <c r="O211">
        <v>2.1</v>
      </c>
      <c r="P211">
        <v>0</v>
      </c>
      <c r="Q211">
        <v>0</v>
      </c>
      <c r="R211">
        <v>0</v>
      </c>
      <c r="S211">
        <v>0</v>
      </c>
      <c r="T211" t="s">
        <v>253</v>
      </c>
      <c r="U211" t="s">
        <v>7</v>
      </c>
      <c r="V211" t="s">
        <v>253</v>
      </c>
      <c r="W211" t="s">
        <v>132</v>
      </c>
      <c r="X211" t="s">
        <v>253</v>
      </c>
      <c r="Y211" t="s">
        <v>235</v>
      </c>
      <c r="Z211" t="s">
        <v>236</v>
      </c>
      <c r="AA211" t="s">
        <v>253</v>
      </c>
      <c r="AB211" t="s">
        <v>1</v>
      </c>
      <c r="AC211" s="235">
        <v>500000</v>
      </c>
      <c r="AD211" s="235">
        <v>5333.3039099514426</v>
      </c>
      <c r="AE211">
        <v>0</v>
      </c>
      <c r="AF211">
        <v>0</v>
      </c>
      <c r="AG211">
        <v>0</v>
      </c>
      <c r="AH211" s="235">
        <v>1393.4033393098143</v>
      </c>
      <c r="AI211">
        <v>226</v>
      </c>
      <c r="AJ211" t="s">
        <v>256</v>
      </c>
      <c r="AK211">
        <v>0</v>
      </c>
      <c r="AL211">
        <v>0</v>
      </c>
      <c r="AM211">
        <v>0</v>
      </c>
    </row>
    <row r="212" spans="1:39" x14ac:dyDescent="0.25">
      <c r="A212" t="s">
        <v>233</v>
      </c>
      <c r="B212" t="s">
        <v>380</v>
      </c>
      <c r="C212" t="s">
        <v>255</v>
      </c>
      <c r="D212" t="s">
        <v>234</v>
      </c>
      <c r="E212" t="s">
        <v>20</v>
      </c>
      <c r="F212" t="s">
        <v>286</v>
      </c>
      <c r="G212" t="s">
        <v>269</v>
      </c>
      <c r="H212" t="s">
        <v>254</v>
      </c>
      <c r="I212" t="s">
        <v>242</v>
      </c>
      <c r="J212" t="s">
        <v>235</v>
      </c>
      <c r="K212" s="380">
        <v>36831</v>
      </c>
      <c r="L212" s="235">
        <v>170435.56386117105</v>
      </c>
      <c r="M212" s="380">
        <v>36829</v>
      </c>
      <c r="N212" t="s">
        <v>21</v>
      </c>
      <c r="O212">
        <v>1</v>
      </c>
      <c r="P212">
        <v>0</v>
      </c>
      <c r="Q212">
        <v>0</v>
      </c>
      <c r="R212">
        <v>0</v>
      </c>
      <c r="S212">
        <v>0</v>
      </c>
      <c r="T212" t="s">
        <v>253</v>
      </c>
      <c r="U212" t="s">
        <v>7</v>
      </c>
      <c r="V212" t="s">
        <v>253</v>
      </c>
      <c r="W212" t="s">
        <v>132</v>
      </c>
      <c r="X212" t="s">
        <v>253</v>
      </c>
      <c r="Y212" t="s">
        <v>235</v>
      </c>
      <c r="Z212" t="s">
        <v>236</v>
      </c>
      <c r="AA212" t="s">
        <v>253</v>
      </c>
      <c r="AB212" t="s">
        <v>1</v>
      </c>
      <c r="AC212" s="235">
        <v>1000000</v>
      </c>
      <c r="AD212" s="235">
        <v>41813.909343745385</v>
      </c>
      <c r="AE212">
        <v>0</v>
      </c>
      <c r="AF212">
        <v>0</v>
      </c>
      <c r="AG212">
        <v>0</v>
      </c>
      <c r="AH212" s="235">
        <v>17333.073396592925</v>
      </c>
      <c r="AI212">
        <v>226</v>
      </c>
      <c r="AJ212" t="s">
        <v>256</v>
      </c>
      <c r="AK212">
        <v>0</v>
      </c>
      <c r="AL212">
        <v>0</v>
      </c>
      <c r="AM212">
        <v>0</v>
      </c>
    </row>
    <row r="213" spans="1:39" x14ac:dyDescent="0.25">
      <c r="A213" t="s">
        <v>233</v>
      </c>
      <c r="B213" t="s">
        <v>381</v>
      </c>
      <c r="C213" t="s">
        <v>255</v>
      </c>
      <c r="D213" t="s">
        <v>234</v>
      </c>
      <c r="E213" t="s">
        <v>20</v>
      </c>
      <c r="F213" t="s">
        <v>383</v>
      </c>
      <c r="G213" t="s">
        <v>269</v>
      </c>
      <c r="H213" t="s">
        <v>254</v>
      </c>
      <c r="I213" t="s">
        <v>242</v>
      </c>
      <c r="J213" t="s">
        <v>235</v>
      </c>
      <c r="K213" s="380">
        <v>36951</v>
      </c>
      <c r="L213" s="235">
        <v>-102296.04354226147</v>
      </c>
      <c r="M213" s="380">
        <v>36949</v>
      </c>
      <c r="N213" t="s">
        <v>21</v>
      </c>
      <c r="O213">
        <v>1.6</v>
      </c>
      <c r="P213">
        <v>0</v>
      </c>
      <c r="Q213">
        <v>0</v>
      </c>
      <c r="R213">
        <v>0</v>
      </c>
      <c r="S213">
        <v>0</v>
      </c>
      <c r="T213" t="s">
        <v>253</v>
      </c>
      <c r="U213" t="s">
        <v>7</v>
      </c>
      <c r="V213" t="s">
        <v>253</v>
      </c>
      <c r="W213" t="s">
        <v>132</v>
      </c>
      <c r="X213" t="s">
        <v>253</v>
      </c>
      <c r="Y213" t="s">
        <v>235</v>
      </c>
      <c r="Z213" t="s">
        <v>236</v>
      </c>
      <c r="AA213" t="s">
        <v>253</v>
      </c>
      <c r="AB213" t="s">
        <v>1</v>
      </c>
      <c r="AC213" s="235">
        <v>-310000</v>
      </c>
      <c r="AD213" s="235">
        <v>-25101.507179736698</v>
      </c>
      <c r="AE213">
        <v>0</v>
      </c>
      <c r="AF213">
        <v>0</v>
      </c>
      <c r="AG213">
        <v>0</v>
      </c>
      <c r="AH213" s="235">
        <v>-8414.9014086147217</v>
      </c>
      <c r="AI213">
        <v>226</v>
      </c>
      <c r="AJ213" t="s">
        <v>256</v>
      </c>
      <c r="AK213">
        <v>0</v>
      </c>
      <c r="AL213">
        <v>0</v>
      </c>
      <c r="AM213">
        <v>0</v>
      </c>
    </row>
    <row r="214" spans="1:39" x14ac:dyDescent="0.25">
      <c r="A214" t="s">
        <v>233</v>
      </c>
      <c r="B214" t="s">
        <v>381</v>
      </c>
      <c r="C214" t="s">
        <v>255</v>
      </c>
      <c r="D214" t="s">
        <v>234</v>
      </c>
      <c r="E214" t="s">
        <v>20</v>
      </c>
      <c r="F214" t="s">
        <v>383</v>
      </c>
      <c r="G214" t="s">
        <v>269</v>
      </c>
      <c r="H214" t="s">
        <v>254</v>
      </c>
      <c r="I214" t="s">
        <v>242</v>
      </c>
      <c r="J214" t="s">
        <v>235</v>
      </c>
      <c r="K214" s="380">
        <v>36923</v>
      </c>
      <c r="L214" s="235">
        <v>-253722.14011697602</v>
      </c>
      <c r="M214" s="380">
        <v>36921</v>
      </c>
      <c r="N214" t="s">
        <v>21</v>
      </c>
      <c r="O214">
        <v>1.6</v>
      </c>
      <c r="P214">
        <v>0</v>
      </c>
      <c r="Q214">
        <v>0</v>
      </c>
      <c r="R214">
        <v>0</v>
      </c>
      <c r="S214">
        <v>0</v>
      </c>
      <c r="T214" t="s">
        <v>253</v>
      </c>
      <c r="U214" t="s">
        <v>7</v>
      </c>
      <c r="V214" t="s">
        <v>253</v>
      </c>
      <c r="W214" t="s">
        <v>132</v>
      </c>
      <c r="X214" t="s">
        <v>253</v>
      </c>
      <c r="Y214" t="s">
        <v>235</v>
      </c>
      <c r="Z214" t="s">
        <v>236</v>
      </c>
      <c r="AA214" t="s">
        <v>253</v>
      </c>
      <c r="AB214" t="s">
        <v>1</v>
      </c>
      <c r="AC214" s="235">
        <v>-280000</v>
      </c>
      <c r="AD214" s="235">
        <v>-23511.218654200609</v>
      </c>
      <c r="AE214">
        <v>0</v>
      </c>
      <c r="AF214">
        <v>0</v>
      </c>
      <c r="AG214">
        <v>0</v>
      </c>
      <c r="AH214" s="235">
        <v>-13700.24926674561</v>
      </c>
      <c r="AI214">
        <v>226</v>
      </c>
      <c r="AJ214" t="s">
        <v>256</v>
      </c>
      <c r="AK214">
        <v>0</v>
      </c>
      <c r="AL214">
        <v>0</v>
      </c>
      <c r="AM214">
        <v>0</v>
      </c>
    </row>
    <row r="215" spans="1:39" x14ac:dyDescent="0.25">
      <c r="A215" t="s">
        <v>233</v>
      </c>
      <c r="B215" t="s">
        <v>381</v>
      </c>
      <c r="C215" t="s">
        <v>255</v>
      </c>
      <c r="D215" t="s">
        <v>234</v>
      </c>
      <c r="E215" t="s">
        <v>20</v>
      </c>
      <c r="F215" t="s">
        <v>383</v>
      </c>
      <c r="G215" t="s">
        <v>269</v>
      </c>
      <c r="H215" t="s">
        <v>254</v>
      </c>
      <c r="I215" t="s">
        <v>242</v>
      </c>
      <c r="J215" t="s">
        <v>235</v>
      </c>
      <c r="K215" s="380">
        <v>36892</v>
      </c>
      <c r="L215" s="235">
        <v>-287711.63749192673</v>
      </c>
      <c r="M215" s="380">
        <v>36888</v>
      </c>
      <c r="N215" t="s">
        <v>21</v>
      </c>
      <c r="O215">
        <v>1.6</v>
      </c>
      <c r="P215">
        <v>0</v>
      </c>
      <c r="Q215">
        <v>0</v>
      </c>
      <c r="R215">
        <v>0</v>
      </c>
      <c r="S215">
        <v>0</v>
      </c>
      <c r="T215" t="s">
        <v>253</v>
      </c>
      <c r="U215" t="s">
        <v>7</v>
      </c>
      <c r="V215" t="s">
        <v>253</v>
      </c>
      <c r="W215" t="s">
        <v>132</v>
      </c>
      <c r="X215" t="s">
        <v>253</v>
      </c>
      <c r="Y215" t="s">
        <v>235</v>
      </c>
      <c r="Z215" t="s">
        <v>236</v>
      </c>
      <c r="AA215" t="s">
        <v>253</v>
      </c>
      <c r="AB215" t="s">
        <v>1</v>
      </c>
      <c r="AC215" s="235">
        <v>-310000</v>
      </c>
      <c r="AD215" s="235">
        <v>-23356.968368845613</v>
      </c>
      <c r="AE215">
        <v>0</v>
      </c>
      <c r="AF215">
        <v>0</v>
      </c>
      <c r="AG215">
        <v>0</v>
      </c>
      <c r="AH215" s="235">
        <v>-13496.847207255079</v>
      </c>
      <c r="AI215">
        <v>226</v>
      </c>
      <c r="AJ215" t="s">
        <v>256</v>
      </c>
      <c r="AK215">
        <v>0</v>
      </c>
      <c r="AL215">
        <v>0</v>
      </c>
      <c r="AM215">
        <v>0</v>
      </c>
    </row>
    <row r="216" spans="1:39" x14ac:dyDescent="0.25">
      <c r="A216" t="s">
        <v>233</v>
      </c>
      <c r="B216" t="s">
        <v>381</v>
      </c>
      <c r="C216" t="s">
        <v>255</v>
      </c>
      <c r="D216" t="s">
        <v>234</v>
      </c>
      <c r="E216" t="s">
        <v>20</v>
      </c>
      <c r="F216" t="s">
        <v>383</v>
      </c>
      <c r="G216" t="s">
        <v>269</v>
      </c>
      <c r="H216" t="s">
        <v>254</v>
      </c>
      <c r="I216" t="s">
        <v>242</v>
      </c>
      <c r="J216" t="s">
        <v>235</v>
      </c>
      <c r="K216" s="380">
        <v>36861</v>
      </c>
      <c r="L216" s="235">
        <v>-165956.3147772185</v>
      </c>
      <c r="M216" s="380">
        <v>36859</v>
      </c>
      <c r="N216" t="s">
        <v>21</v>
      </c>
      <c r="O216">
        <v>1.6</v>
      </c>
      <c r="P216">
        <v>0</v>
      </c>
      <c r="Q216">
        <v>0</v>
      </c>
      <c r="R216">
        <v>0</v>
      </c>
      <c r="S216">
        <v>0</v>
      </c>
      <c r="T216" t="s">
        <v>253</v>
      </c>
      <c r="U216" t="s">
        <v>7</v>
      </c>
      <c r="V216" t="s">
        <v>253</v>
      </c>
      <c r="W216" t="s">
        <v>132</v>
      </c>
      <c r="X216" t="s">
        <v>253</v>
      </c>
      <c r="Y216" t="s">
        <v>235</v>
      </c>
      <c r="Z216" t="s">
        <v>236</v>
      </c>
      <c r="AA216" t="s">
        <v>253</v>
      </c>
      <c r="AB216" t="s">
        <v>1</v>
      </c>
      <c r="AC216" s="235">
        <v>-310000</v>
      </c>
      <c r="AD216" s="235">
        <v>-21948.744882705592</v>
      </c>
      <c r="AE216">
        <v>0</v>
      </c>
      <c r="AF216">
        <v>0</v>
      </c>
      <c r="AG216">
        <v>0</v>
      </c>
      <c r="AH216" s="235">
        <v>-8631.5477871412586</v>
      </c>
      <c r="AI216">
        <v>226</v>
      </c>
      <c r="AJ216" t="s">
        <v>256</v>
      </c>
      <c r="AK216">
        <v>0</v>
      </c>
      <c r="AL216">
        <v>0</v>
      </c>
      <c r="AM216">
        <v>0</v>
      </c>
    </row>
    <row r="217" spans="1:39" x14ac:dyDescent="0.25">
      <c r="A217" t="s">
        <v>233</v>
      </c>
      <c r="B217" t="s">
        <v>381</v>
      </c>
      <c r="C217" t="s">
        <v>255</v>
      </c>
      <c r="D217" t="s">
        <v>234</v>
      </c>
      <c r="E217" t="s">
        <v>20</v>
      </c>
      <c r="F217" t="s">
        <v>383</v>
      </c>
      <c r="G217" t="s">
        <v>269</v>
      </c>
      <c r="H217" t="s">
        <v>254</v>
      </c>
      <c r="I217" t="s">
        <v>242</v>
      </c>
      <c r="J217" t="s">
        <v>235</v>
      </c>
      <c r="K217" s="380">
        <v>36831</v>
      </c>
      <c r="L217" s="235">
        <v>-14866.48637812665</v>
      </c>
      <c r="M217" s="380">
        <v>36829</v>
      </c>
      <c r="N217" t="s">
        <v>21</v>
      </c>
      <c r="O217">
        <v>1.6</v>
      </c>
      <c r="P217">
        <v>0</v>
      </c>
      <c r="Q217">
        <v>0</v>
      </c>
      <c r="R217">
        <v>0</v>
      </c>
      <c r="S217">
        <v>0</v>
      </c>
      <c r="T217" t="s">
        <v>253</v>
      </c>
      <c r="U217" t="s">
        <v>7</v>
      </c>
      <c r="V217" t="s">
        <v>253</v>
      </c>
      <c r="W217" t="s">
        <v>132</v>
      </c>
      <c r="X217" t="s">
        <v>253</v>
      </c>
      <c r="Y217" t="s">
        <v>235</v>
      </c>
      <c r="Z217" t="s">
        <v>236</v>
      </c>
      <c r="AA217" t="s">
        <v>253</v>
      </c>
      <c r="AB217" t="s">
        <v>1</v>
      </c>
      <c r="AC217" s="235">
        <v>-300000</v>
      </c>
      <c r="AD217" s="235">
        <v>-6902.3665644681605</v>
      </c>
      <c r="AE217">
        <v>0</v>
      </c>
      <c r="AF217">
        <v>0</v>
      </c>
      <c r="AG217">
        <v>0</v>
      </c>
      <c r="AH217" s="235">
        <v>-2087.498230236959</v>
      </c>
      <c r="AI217">
        <v>226</v>
      </c>
      <c r="AJ217" t="s">
        <v>256</v>
      </c>
      <c r="AK217">
        <v>0</v>
      </c>
      <c r="AL217">
        <v>0</v>
      </c>
      <c r="AM217">
        <v>0</v>
      </c>
    </row>
    <row r="218" spans="1:39" x14ac:dyDescent="0.25">
      <c r="A218" t="s">
        <v>233</v>
      </c>
      <c r="B218" t="s">
        <v>382</v>
      </c>
      <c r="C218" t="s">
        <v>255</v>
      </c>
      <c r="D218" t="s">
        <v>234</v>
      </c>
      <c r="E218" t="s">
        <v>20</v>
      </c>
      <c r="F218" t="s">
        <v>383</v>
      </c>
      <c r="G218" t="s">
        <v>269</v>
      </c>
      <c r="H218" t="s">
        <v>254</v>
      </c>
      <c r="I218" t="s">
        <v>242</v>
      </c>
      <c r="J218" t="s">
        <v>235</v>
      </c>
      <c r="K218" s="380">
        <v>36951</v>
      </c>
      <c r="L218" s="235">
        <v>67810.447690803834</v>
      </c>
      <c r="M218" s="380">
        <v>36949</v>
      </c>
      <c r="N218" t="s">
        <v>21</v>
      </c>
      <c r="O218">
        <v>2.1</v>
      </c>
      <c r="P218">
        <v>0</v>
      </c>
      <c r="Q218">
        <v>0</v>
      </c>
      <c r="R218">
        <v>0</v>
      </c>
      <c r="S218">
        <v>0</v>
      </c>
      <c r="T218" t="s">
        <v>253</v>
      </c>
      <c r="U218" t="s">
        <v>7</v>
      </c>
      <c r="V218" t="s">
        <v>253</v>
      </c>
      <c r="W218" t="s">
        <v>132</v>
      </c>
      <c r="X218" t="s">
        <v>253</v>
      </c>
      <c r="Y218" t="s">
        <v>235</v>
      </c>
      <c r="Z218" t="s">
        <v>236</v>
      </c>
      <c r="AA218" t="s">
        <v>253</v>
      </c>
      <c r="AB218" t="s">
        <v>1</v>
      </c>
      <c r="AC218" s="235">
        <v>310000</v>
      </c>
      <c r="AD218" s="235">
        <v>21143.280136108442</v>
      </c>
      <c r="AE218">
        <v>0</v>
      </c>
      <c r="AF218">
        <v>0</v>
      </c>
      <c r="AG218">
        <v>0</v>
      </c>
      <c r="AH218" s="235">
        <v>6249.3976743496678</v>
      </c>
      <c r="AI218">
        <v>226</v>
      </c>
      <c r="AJ218" t="s">
        <v>256</v>
      </c>
      <c r="AK218">
        <v>0</v>
      </c>
      <c r="AL218">
        <v>0</v>
      </c>
      <c r="AM218">
        <v>0</v>
      </c>
    </row>
    <row r="219" spans="1:39" x14ac:dyDescent="0.25">
      <c r="A219" t="s">
        <v>233</v>
      </c>
      <c r="B219" t="s">
        <v>382</v>
      </c>
      <c r="C219" t="s">
        <v>255</v>
      </c>
      <c r="D219" t="s">
        <v>234</v>
      </c>
      <c r="E219" t="s">
        <v>20</v>
      </c>
      <c r="F219" t="s">
        <v>383</v>
      </c>
      <c r="G219" t="s">
        <v>269</v>
      </c>
      <c r="H219" t="s">
        <v>254</v>
      </c>
      <c r="I219" t="s">
        <v>242</v>
      </c>
      <c r="J219" t="s">
        <v>235</v>
      </c>
      <c r="K219" s="380">
        <v>36923</v>
      </c>
      <c r="L219" s="235">
        <v>190141.21447714005</v>
      </c>
      <c r="M219" s="380">
        <v>36921</v>
      </c>
      <c r="N219" t="s">
        <v>21</v>
      </c>
      <c r="O219">
        <v>2.1</v>
      </c>
      <c r="P219">
        <v>0</v>
      </c>
      <c r="Q219">
        <v>0</v>
      </c>
      <c r="R219">
        <v>0</v>
      </c>
      <c r="S219">
        <v>0</v>
      </c>
      <c r="T219" t="s">
        <v>253</v>
      </c>
      <c r="U219" t="s">
        <v>7</v>
      </c>
      <c r="V219" t="s">
        <v>253</v>
      </c>
      <c r="W219" t="s">
        <v>132</v>
      </c>
      <c r="X219" t="s">
        <v>253</v>
      </c>
      <c r="Y219" t="s">
        <v>235</v>
      </c>
      <c r="Z219" t="s">
        <v>236</v>
      </c>
      <c r="AA219" t="s">
        <v>253</v>
      </c>
      <c r="AB219" t="s">
        <v>1</v>
      </c>
      <c r="AC219" s="235">
        <v>280000</v>
      </c>
      <c r="AD219" s="235">
        <v>24024.102542079941</v>
      </c>
      <c r="AE219">
        <v>0</v>
      </c>
      <c r="AF219">
        <v>0</v>
      </c>
      <c r="AG219">
        <v>0</v>
      </c>
      <c r="AH219" s="235">
        <v>11567.86896584637</v>
      </c>
      <c r="AI219">
        <v>226</v>
      </c>
      <c r="AJ219" t="s">
        <v>256</v>
      </c>
      <c r="AK219">
        <v>0</v>
      </c>
      <c r="AL219">
        <v>0</v>
      </c>
      <c r="AM219">
        <v>0</v>
      </c>
    </row>
    <row r="220" spans="1:39" x14ac:dyDescent="0.25">
      <c r="A220" t="s">
        <v>233</v>
      </c>
      <c r="B220" t="s">
        <v>382</v>
      </c>
      <c r="C220" t="s">
        <v>255</v>
      </c>
      <c r="D220" t="s">
        <v>234</v>
      </c>
      <c r="E220" t="s">
        <v>20</v>
      </c>
      <c r="F220" t="s">
        <v>383</v>
      </c>
      <c r="G220" t="s">
        <v>269</v>
      </c>
      <c r="H220" t="s">
        <v>254</v>
      </c>
      <c r="I220" t="s">
        <v>242</v>
      </c>
      <c r="J220" t="s">
        <v>235</v>
      </c>
      <c r="K220" s="380">
        <v>36892</v>
      </c>
      <c r="L220" s="235">
        <v>212038.8842922991</v>
      </c>
      <c r="M220" s="380">
        <v>36888</v>
      </c>
      <c r="N220" t="s">
        <v>21</v>
      </c>
      <c r="O220">
        <v>2.1</v>
      </c>
      <c r="P220">
        <v>0</v>
      </c>
      <c r="Q220">
        <v>0</v>
      </c>
      <c r="R220">
        <v>0</v>
      </c>
      <c r="S220">
        <v>0</v>
      </c>
      <c r="T220" t="s">
        <v>253</v>
      </c>
      <c r="U220" t="s">
        <v>7</v>
      </c>
      <c r="V220" t="s">
        <v>253</v>
      </c>
      <c r="W220" t="s">
        <v>132</v>
      </c>
      <c r="X220" t="s">
        <v>253</v>
      </c>
      <c r="Y220" t="s">
        <v>235</v>
      </c>
      <c r="Z220" t="s">
        <v>236</v>
      </c>
      <c r="AA220" t="s">
        <v>253</v>
      </c>
      <c r="AB220" t="s">
        <v>1</v>
      </c>
      <c r="AC220" s="235">
        <v>310000</v>
      </c>
      <c r="AD220" s="235">
        <v>24376.020344430726</v>
      </c>
      <c r="AE220">
        <v>0</v>
      </c>
      <c r="AF220">
        <v>0</v>
      </c>
      <c r="AG220">
        <v>0</v>
      </c>
      <c r="AH220" s="235">
        <v>11367.497957564163</v>
      </c>
      <c r="AI220">
        <v>226</v>
      </c>
      <c r="AJ220" t="s">
        <v>256</v>
      </c>
      <c r="AK220">
        <v>0</v>
      </c>
      <c r="AL220">
        <v>0</v>
      </c>
      <c r="AM220">
        <v>0</v>
      </c>
    </row>
    <row r="221" spans="1:39" x14ac:dyDescent="0.25">
      <c r="A221" t="s">
        <v>233</v>
      </c>
      <c r="B221" t="s">
        <v>382</v>
      </c>
      <c r="C221" t="s">
        <v>255</v>
      </c>
      <c r="D221" t="s">
        <v>234</v>
      </c>
      <c r="E221" t="s">
        <v>20</v>
      </c>
      <c r="F221" t="s">
        <v>383</v>
      </c>
      <c r="G221" t="s">
        <v>269</v>
      </c>
      <c r="H221" t="s">
        <v>254</v>
      </c>
      <c r="I221" t="s">
        <v>242</v>
      </c>
      <c r="J221" t="s">
        <v>235</v>
      </c>
      <c r="K221" s="380">
        <v>36861</v>
      </c>
      <c r="L221" s="235">
        <v>108890.00865451149</v>
      </c>
      <c r="M221" s="380">
        <v>36859</v>
      </c>
      <c r="N221" t="s">
        <v>21</v>
      </c>
      <c r="O221">
        <v>2.1</v>
      </c>
      <c r="P221">
        <v>0</v>
      </c>
      <c r="Q221">
        <v>0</v>
      </c>
      <c r="R221">
        <v>0</v>
      </c>
      <c r="S221">
        <v>0</v>
      </c>
      <c r="T221" t="s">
        <v>253</v>
      </c>
      <c r="U221" t="s">
        <v>7</v>
      </c>
      <c r="V221" t="s">
        <v>253</v>
      </c>
      <c r="W221" t="s">
        <v>132</v>
      </c>
      <c r="X221" t="s">
        <v>253</v>
      </c>
      <c r="Y221" t="s">
        <v>235</v>
      </c>
      <c r="Z221" t="s">
        <v>236</v>
      </c>
      <c r="AA221" t="s">
        <v>253</v>
      </c>
      <c r="AB221" t="s">
        <v>1</v>
      </c>
      <c r="AC221" s="235">
        <v>310000</v>
      </c>
      <c r="AD221" s="235">
        <v>20437.286418532676</v>
      </c>
      <c r="AE221">
        <v>0</v>
      </c>
      <c r="AF221">
        <v>0</v>
      </c>
      <c r="AG221">
        <v>0</v>
      </c>
      <c r="AH221" s="235">
        <v>6627.5667056762904</v>
      </c>
      <c r="AI221">
        <v>226</v>
      </c>
      <c r="AJ221" t="s">
        <v>256</v>
      </c>
      <c r="AK221">
        <v>0</v>
      </c>
      <c r="AL221">
        <v>0</v>
      </c>
      <c r="AM221">
        <v>0</v>
      </c>
    </row>
    <row r="222" spans="1:39" x14ac:dyDescent="0.25">
      <c r="A222" t="s">
        <v>233</v>
      </c>
      <c r="B222" t="s">
        <v>382</v>
      </c>
      <c r="C222" t="s">
        <v>255</v>
      </c>
      <c r="D222" t="s">
        <v>234</v>
      </c>
      <c r="E222" t="s">
        <v>20</v>
      </c>
      <c r="F222" t="s">
        <v>383</v>
      </c>
      <c r="G222" t="s">
        <v>269</v>
      </c>
      <c r="H222" t="s">
        <v>254</v>
      </c>
      <c r="I222" t="s">
        <v>242</v>
      </c>
      <c r="J222" t="s">
        <v>235</v>
      </c>
      <c r="K222" s="380">
        <v>36831</v>
      </c>
      <c r="L222" s="235">
        <v>4858.6276371274571</v>
      </c>
      <c r="M222" s="380">
        <v>36829</v>
      </c>
      <c r="N222" t="s">
        <v>21</v>
      </c>
      <c r="O222">
        <v>2.1</v>
      </c>
      <c r="P222">
        <v>0</v>
      </c>
      <c r="Q222">
        <v>0</v>
      </c>
      <c r="R222">
        <v>0</v>
      </c>
      <c r="S222">
        <v>0</v>
      </c>
      <c r="T222" t="s">
        <v>253</v>
      </c>
      <c r="U222" t="s">
        <v>7</v>
      </c>
      <c r="V222" t="s">
        <v>253</v>
      </c>
      <c r="W222" t="s">
        <v>132</v>
      </c>
      <c r="X222" t="s">
        <v>253</v>
      </c>
      <c r="Y222" t="s">
        <v>235</v>
      </c>
      <c r="Z222" t="s">
        <v>236</v>
      </c>
      <c r="AA222" t="s">
        <v>253</v>
      </c>
      <c r="AB222" t="s">
        <v>1</v>
      </c>
      <c r="AC222" s="235">
        <v>300000</v>
      </c>
      <c r="AD222" s="235">
        <v>3199.9823459708659</v>
      </c>
      <c r="AE222">
        <v>0</v>
      </c>
      <c r="AF222">
        <v>0</v>
      </c>
      <c r="AG222">
        <v>0</v>
      </c>
      <c r="AH222" s="235">
        <v>836.04200358588878</v>
      </c>
      <c r="AI222">
        <v>226</v>
      </c>
      <c r="AJ222" t="s">
        <v>256</v>
      </c>
      <c r="AK222">
        <v>0</v>
      </c>
      <c r="AL222">
        <v>0</v>
      </c>
      <c r="AM222">
        <v>0</v>
      </c>
    </row>
    <row r="223" spans="1:39" x14ac:dyDescent="0.25">
      <c r="A223" t="s">
        <v>233</v>
      </c>
      <c r="B223" t="s">
        <v>396</v>
      </c>
      <c r="C223" t="s">
        <v>255</v>
      </c>
      <c r="D223" t="s">
        <v>234</v>
      </c>
      <c r="E223" t="s">
        <v>20</v>
      </c>
      <c r="F223" t="s">
        <v>395</v>
      </c>
      <c r="G223" t="s">
        <v>269</v>
      </c>
      <c r="H223" t="s">
        <v>254</v>
      </c>
      <c r="I223" t="s">
        <v>242</v>
      </c>
      <c r="J223" t="s">
        <v>235</v>
      </c>
      <c r="K223" s="380">
        <v>36892</v>
      </c>
      <c r="L223" s="235">
        <v>20693.915447853251</v>
      </c>
      <c r="M223" s="380">
        <v>36888</v>
      </c>
      <c r="N223" t="s">
        <v>21</v>
      </c>
      <c r="O223">
        <v>0.15</v>
      </c>
      <c r="P223">
        <v>0</v>
      </c>
      <c r="Q223">
        <v>0</v>
      </c>
      <c r="R223">
        <v>0</v>
      </c>
      <c r="S223">
        <v>0</v>
      </c>
      <c r="T223" t="s">
        <v>253</v>
      </c>
      <c r="U223" t="s">
        <v>600</v>
      </c>
      <c r="V223" t="s">
        <v>253</v>
      </c>
      <c r="W223" t="s">
        <v>132</v>
      </c>
      <c r="X223" t="s">
        <v>253</v>
      </c>
      <c r="Y223" t="s">
        <v>235</v>
      </c>
      <c r="Z223" t="s">
        <v>236</v>
      </c>
      <c r="AA223" t="s">
        <v>253</v>
      </c>
      <c r="AB223" t="s">
        <v>1</v>
      </c>
      <c r="AC223" s="235">
        <v>465000</v>
      </c>
      <c r="AD223" s="235">
        <v>4517.1804954007093</v>
      </c>
      <c r="AE223">
        <v>0</v>
      </c>
      <c r="AF223">
        <v>0</v>
      </c>
      <c r="AG223">
        <v>0</v>
      </c>
      <c r="AH223" s="235">
        <v>217.41146128339096</v>
      </c>
      <c r="AI223">
        <v>226</v>
      </c>
      <c r="AJ223" t="s">
        <v>256</v>
      </c>
      <c r="AK223">
        <v>0</v>
      </c>
      <c r="AL223">
        <v>0</v>
      </c>
      <c r="AM223">
        <v>0</v>
      </c>
    </row>
    <row r="224" spans="1:39" x14ac:dyDescent="0.25">
      <c r="A224" t="s">
        <v>233</v>
      </c>
      <c r="B224" t="s">
        <v>396</v>
      </c>
      <c r="C224" t="s">
        <v>255</v>
      </c>
      <c r="D224" t="s">
        <v>234</v>
      </c>
      <c r="E224" t="s">
        <v>20</v>
      </c>
      <c r="F224" t="s">
        <v>395</v>
      </c>
      <c r="G224" t="s">
        <v>269</v>
      </c>
      <c r="H224" t="s">
        <v>254</v>
      </c>
      <c r="I224" t="s">
        <v>242</v>
      </c>
      <c r="J224" t="s">
        <v>235</v>
      </c>
      <c r="K224" s="380">
        <v>36861</v>
      </c>
      <c r="L224" s="235">
        <v>12713.927934264901</v>
      </c>
      <c r="M224" s="380">
        <v>36859</v>
      </c>
      <c r="N224" t="s">
        <v>21</v>
      </c>
      <c r="O224">
        <v>0.15</v>
      </c>
      <c r="P224">
        <v>0</v>
      </c>
      <c r="Q224">
        <v>0</v>
      </c>
      <c r="R224">
        <v>0</v>
      </c>
      <c r="S224">
        <v>0</v>
      </c>
      <c r="T224" t="s">
        <v>253</v>
      </c>
      <c r="U224" t="s">
        <v>600</v>
      </c>
      <c r="V224" t="s">
        <v>253</v>
      </c>
      <c r="W224" t="s">
        <v>132</v>
      </c>
      <c r="X224" t="s">
        <v>253</v>
      </c>
      <c r="Y224" t="s">
        <v>235</v>
      </c>
      <c r="Z224" t="s">
        <v>236</v>
      </c>
      <c r="AA224" t="s">
        <v>253</v>
      </c>
      <c r="AB224" t="s">
        <v>1</v>
      </c>
      <c r="AC224" s="235">
        <v>465000</v>
      </c>
      <c r="AD224" s="235">
        <v>3684.8636638079188</v>
      </c>
      <c r="AE224">
        <v>0</v>
      </c>
      <c r="AF224">
        <v>0</v>
      </c>
      <c r="AG224">
        <v>0</v>
      </c>
      <c r="AH224" s="235">
        <v>185.52231129015308</v>
      </c>
      <c r="AI224">
        <v>226</v>
      </c>
      <c r="AJ224" t="s">
        <v>256</v>
      </c>
      <c r="AK224">
        <v>0</v>
      </c>
      <c r="AL224">
        <v>0</v>
      </c>
      <c r="AM224">
        <v>0</v>
      </c>
    </row>
    <row r="225" spans="1:39" x14ac:dyDescent="0.25">
      <c r="A225" t="s">
        <v>233</v>
      </c>
      <c r="B225" t="s">
        <v>397</v>
      </c>
      <c r="C225" t="s">
        <v>255</v>
      </c>
      <c r="D225" t="s">
        <v>234</v>
      </c>
      <c r="E225" t="s">
        <v>20</v>
      </c>
      <c r="F225" t="s">
        <v>284</v>
      </c>
      <c r="G225" t="s">
        <v>269</v>
      </c>
      <c r="H225" t="s">
        <v>254</v>
      </c>
      <c r="I225" t="s">
        <v>242</v>
      </c>
      <c r="J225" t="s">
        <v>235</v>
      </c>
      <c r="K225" s="380">
        <v>36800</v>
      </c>
      <c r="L225" s="235">
        <v>11483.89755674048</v>
      </c>
      <c r="M225" s="380">
        <v>36797</v>
      </c>
      <c r="N225" t="s">
        <v>1</v>
      </c>
      <c r="O225">
        <v>0.3</v>
      </c>
      <c r="P225">
        <v>0</v>
      </c>
      <c r="Q225">
        <v>0</v>
      </c>
      <c r="R225">
        <v>0</v>
      </c>
      <c r="S225">
        <v>0</v>
      </c>
      <c r="T225" t="s">
        <v>253</v>
      </c>
      <c r="U225" t="s">
        <v>7</v>
      </c>
      <c r="V225" t="s">
        <v>253</v>
      </c>
      <c r="W225" t="s">
        <v>132</v>
      </c>
      <c r="X225" t="s">
        <v>253</v>
      </c>
      <c r="Y225" t="s">
        <v>235</v>
      </c>
      <c r="Z225" t="s">
        <v>236</v>
      </c>
      <c r="AA225" t="s">
        <v>253</v>
      </c>
      <c r="AB225" t="s">
        <v>1</v>
      </c>
      <c r="AC225" s="235">
        <v>1550000</v>
      </c>
      <c r="AD225" s="235">
        <v>6066.8920219537686</v>
      </c>
      <c r="AE225">
        <v>0</v>
      </c>
      <c r="AF225">
        <v>0</v>
      </c>
      <c r="AG225">
        <v>0</v>
      </c>
      <c r="AH225" s="235">
        <v>351.27861035601927</v>
      </c>
      <c r="AI225">
        <v>226</v>
      </c>
      <c r="AJ225" t="s">
        <v>256</v>
      </c>
      <c r="AK225">
        <v>0</v>
      </c>
      <c r="AL225">
        <v>0</v>
      </c>
      <c r="AM225">
        <v>0</v>
      </c>
    </row>
    <row r="226" spans="1:39" x14ac:dyDescent="0.25">
      <c r="A226" t="s">
        <v>233</v>
      </c>
      <c r="B226" t="s">
        <v>397</v>
      </c>
      <c r="C226" t="s">
        <v>255</v>
      </c>
      <c r="D226" t="s">
        <v>234</v>
      </c>
      <c r="E226" t="s">
        <v>20</v>
      </c>
      <c r="F226" t="s">
        <v>284</v>
      </c>
      <c r="G226" t="s">
        <v>269</v>
      </c>
      <c r="H226" t="s">
        <v>254</v>
      </c>
      <c r="I226" t="s">
        <v>242</v>
      </c>
      <c r="J226" t="s">
        <v>235</v>
      </c>
      <c r="K226" s="380">
        <v>36770</v>
      </c>
      <c r="L226" s="235">
        <v>3212.9666252923016</v>
      </c>
      <c r="M226" s="380">
        <v>36768</v>
      </c>
      <c r="N226" t="s">
        <v>1</v>
      </c>
      <c r="O226">
        <v>0.3</v>
      </c>
      <c r="P226">
        <v>0</v>
      </c>
      <c r="Q226">
        <v>0</v>
      </c>
      <c r="R226">
        <v>0</v>
      </c>
      <c r="S226">
        <v>0</v>
      </c>
      <c r="T226" t="s">
        <v>253</v>
      </c>
      <c r="U226" t="s">
        <v>7</v>
      </c>
      <c r="V226" t="s">
        <v>253</v>
      </c>
      <c r="W226" t="s">
        <v>132</v>
      </c>
      <c r="X226" t="s">
        <v>253</v>
      </c>
      <c r="Y226" t="s">
        <v>235</v>
      </c>
      <c r="Z226" t="s">
        <v>236</v>
      </c>
      <c r="AA226" t="s">
        <v>253</v>
      </c>
      <c r="AB226" t="s">
        <v>1</v>
      </c>
      <c r="AC226" s="235">
        <v>1500000</v>
      </c>
      <c r="AD226" s="235">
        <v>1370.8215491714654</v>
      </c>
      <c r="AE226">
        <v>0</v>
      </c>
      <c r="AF226">
        <v>0</v>
      </c>
      <c r="AG226">
        <v>0</v>
      </c>
      <c r="AH226" s="235">
        <v>206.60867392008367</v>
      </c>
      <c r="AI226">
        <v>226</v>
      </c>
      <c r="AJ226" t="s">
        <v>256</v>
      </c>
      <c r="AK226">
        <v>0</v>
      </c>
      <c r="AL226">
        <v>0</v>
      </c>
      <c r="AM226">
        <v>0</v>
      </c>
    </row>
    <row r="227" spans="1:39" x14ac:dyDescent="0.25">
      <c r="A227" t="s">
        <v>233</v>
      </c>
      <c r="B227" t="s">
        <v>400</v>
      </c>
      <c r="C227" t="s">
        <v>255</v>
      </c>
      <c r="D227" t="s">
        <v>234</v>
      </c>
      <c r="E227" t="s">
        <v>20</v>
      </c>
      <c r="F227" t="s">
        <v>399</v>
      </c>
      <c r="G227" t="s">
        <v>269</v>
      </c>
      <c r="H227" t="s">
        <v>254</v>
      </c>
      <c r="I227" t="s">
        <v>242</v>
      </c>
      <c r="J227" t="s">
        <v>235</v>
      </c>
      <c r="K227" s="380">
        <v>36951</v>
      </c>
      <c r="L227" s="235">
        <v>12666.147560565782</v>
      </c>
      <c r="M227" s="380">
        <v>36949</v>
      </c>
      <c r="N227" t="s">
        <v>21</v>
      </c>
      <c r="O227">
        <v>0.15</v>
      </c>
      <c r="P227">
        <v>0</v>
      </c>
      <c r="Q227">
        <v>0</v>
      </c>
      <c r="R227">
        <v>0</v>
      </c>
      <c r="S227">
        <v>0</v>
      </c>
      <c r="T227" t="s">
        <v>253</v>
      </c>
      <c r="U227" t="s">
        <v>600</v>
      </c>
      <c r="V227" t="s">
        <v>253</v>
      </c>
      <c r="W227" t="s">
        <v>132</v>
      </c>
      <c r="X227" t="s">
        <v>253</v>
      </c>
      <c r="Y227" t="s">
        <v>235</v>
      </c>
      <c r="Z227" t="s">
        <v>236</v>
      </c>
      <c r="AA227" t="s">
        <v>253</v>
      </c>
      <c r="AB227" t="s">
        <v>1</v>
      </c>
      <c r="AC227" s="235">
        <v>310000</v>
      </c>
      <c r="AD227" s="235">
        <v>3147.1792276509368</v>
      </c>
      <c r="AE227">
        <v>0</v>
      </c>
      <c r="AF227">
        <v>0</v>
      </c>
      <c r="AG227">
        <v>0</v>
      </c>
      <c r="AH227" s="235">
        <v>160.05033692913094</v>
      </c>
      <c r="AI227">
        <v>226</v>
      </c>
      <c r="AJ227" t="s">
        <v>256</v>
      </c>
      <c r="AK227">
        <v>0</v>
      </c>
      <c r="AL227">
        <v>0</v>
      </c>
      <c r="AM227">
        <v>0</v>
      </c>
    </row>
    <row r="228" spans="1:39" x14ac:dyDescent="0.25">
      <c r="A228" t="s">
        <v>233</v>
      </c>
      <c r="B228" t="s">
        <v>400</v>
      </c>
      <c r="C228" t="s">
        <v>255</v>
      </c>
      <c r="D228" t="s">
        <v>234</v>
      </c>
      <c r="E228" t="s">
        <v>20</v>
      </c>
      <c r="F228" t="s">
        <v>399</v>
      </c>
      <c r="G228" t="s">
        <v>269</v>
      </c>
      <c r="H228" t="s">
        <v>254</v>
      </c>
      <c r="I228" t="s">
        <v>242</v>
      </c>
      <c r="J228" t="s">
        <v>235</v>
      </c>
      <c r="K228" s="380">
        <v>36923</v>
      </c>
      <c r="L228" s="235">
        <v>14498.102560808087</v>
      </c>
      <c r="M228" s="380">
        <v>36921</v>
      </c>
      <c r="N228" t="s">
        <v>21</v>
      </c>
      <c r="O228">
        <v>0.15</v>
      </c>
      <c r="P228">
        <v>0</v>
      </c>
      <c r="Q228">
        <v>0</v>
      </c>
      <c r="R228">
        <v>0</v>
      </c>
      <c r="S228">
        <v>0</v>
      </c>
      <c r="T228" t="s">
        <v>253</v>
      </c>
      <c r="U228" t="s">
        <v>600</v>
      </c>
      <c r="V228" t="s">
        <v>253</v>
      </c>
      <c r="W228" t="s">
        <v>132</v>
      </c>
      <c r="X228" t="s">
        <v>253</v>
      </c>
      <c r="Y228" t="s">
        <v>235</v>
      </c>
      <c r="Z228" t="s">
        <v>236</v>
      </c>
      <c r="AA228" t="s">
        <v>253</v>
      </c>
      <c r="AB228" t="s">
        <v>1</v>
      </c>
      <c r="AC228" s="235">
        <v>280000</v>
      </c>
      <c r="AD228" s="235">
        <v>2988.6712248928816</v>
      </c>
      <c r="AE228">
        <v>0</v>
      </c>
      <c r="AF228">
        <v>0</v>
      </c>
      <c r="AG228">
        <v>0</v>
      </c>
      <c r="AH228" s="235">
        <v>143.43839749428844</v>
      </c>
      <c r="AI228">
        <v>226</v>
      </c>
      <c r="AJ228" t="s">
        <v>256</v>
      </c>
      <c r="AK228">
        <v>0</v>
      </c>
      <c r="AL228">
        <v>0</v>
      </c>
      <c r="AM228">
        <v>0</v>
      </c>
    </row>
    <row r="229" spans="1:39" x14ac:dyDescent="0.25">
      <c r="A229" t="s">
        <v>233</v>
      </c>
      <c r="B229" t="s">
        <v>400</v>
      </c>
      <c r="C229" t="s">
        <v>255</v>
      </c>
      <c r="D229" t="s">
        <v>234</v>
      </c>
      <c r="E229" t="s">
        <v>20</v>
      </c>
      <c r="F229" t="s">
        <v>399</v>
      </c>
      <c r="G229" t="s">
        <v>269</v>
      </c>
      <c r="H229" t="s">
        <v>254</v>
      </c>
      <c r="I229" t="s">
        <v>242</v>
      </c>
      <c r="J229" t="s">
        <v>235</v>
      </c>
      <c r="K229" s="380">
        <v>36892</v>
      </c>
      <c r="L229" s="235">
        <v>13795.943631902166</v>
      </c>
      <c r="M229" s="380">
        <v>36888</v>
      </c>
      <c r="N229" t="s">
        <v>21</v>
      </c>
      <c r="O229">
        <v>0.15</v>
      </c>
      <c r="P229">
        <v>0</v>
      </c>
      <c r="Q229">
        <v>0</v>
      </c>
      <c r="R229">
        <v>0</v>
      </c>
      <c r="S229">
        <v>0</v>
      </c>
      <c r="T229" t="s">
        <v>253</v>
      </c>
      <c r="U229" t="s">
        <v>600</v>
      </c>
      <c r="V229" t="s">
        <v>253</v>
      </c>
      <c r="W229" t="s">
        <v>132</v>
      </c>
      <c r="X229" t="s">
        <v>253</v>
      </c>
      <c r="Y229" t="s">
        <v>235</v>
      </c>
      <c r="Z229" t="s">
        <v>236</v>
      </c>
      <c r="AA229" t="s">
        <v>253</v>
      </c>
      <c r="AB229" t="s">
        <v>1</v>
      </c>
      <c r="AC229" s="235">
        <v>310000</v>
      </c>
      <c r="AD229" s="235">
        <v>3011.4536636004632</v>
      </c>
      <c r="AE229">
        <v>0</v>
      </c>
      <c r="AF229">
        <v>0</v>
      </c>
      <c r="AG229">
        <v>0</v>
      </c>
      <c r="AH229" s="235">
        <v>144.9409741889267</v>
      </c>
      <c r="AI229">
        <v>226</v>
      </c>
      <c r="AJ229" t="s">
        <v>256</v>
      </c>
      <c r="AK229">
        <v>0</v>
      </c>
      <c r="AL229">
        <v>0</v>
      </c>
      <c r="AM229">
        <v>0</v>
      </c>
    </row>
    <row r="230" spans="1:39" x14ac:dyDescent="0.25">
      <c r="A230" t="s">
        <v>233</v>
      </c>
      <c r="B230" t="s">
        <v>400</v>
      </c>
      <c r="C230" t="s">
        <v>255</v>
      </c>
      <c r="D230" t="s">
        <v>234</v>
      </c>
      <c r="E230" t="s">
        <v>20</v>
      </c>
      <c r="F230" t="s">
        <v>399</v>
      </c>
      <c r="G230" t="s">
        <v>269</v>
      </c>
      <c r="H230" t="s">
        <v>254</v>
      </c>
      <c r="I230" t="s">
        <v>242</v>
      </c>
      <c r="J230" t="s">
        <v>235</v>
      </c>
      <c r="K230" s="380">
        <v>36861</v>
      </c>
      <c r="L230" s="235">
        <v>8475.9519561765992</v>
      </c>
      <c r="M230" s="380">
        <v>36859</v>
      </c>
      <c r="N230" t="s">
        <v>21</v>
      </c>
      <c r="O230">
        <v>0.15</v>
      </c>
      <c r="P230">
        <v>0</v>
      </c>
      <c r="Q230">
        <v>0</v>
      </c>
      <c r="R230">
        <v>0</v>
      </c>
      <c r="S230">
        <v>0</v>
      </c>
      <c r="T230" t="s">
        <v>253</v>
      </c>
      <c r="U230" t="s">
        <v>600</v>
      </c>
      <c r="V230" t="s">
        <v>253</v>
      </c>
      <c r="W230" t="s">
        <v>132</v>
      </c>
      <c r="X230" t="s">
        <v>253</v>
      </c>
      <c r="Y230" t="s">
        <v>235</v>
      </c>
      <c r="Z230" t="s">
        <v>236</v>
      </c>
      <c r="AA230" t="s">
        <v>253</v>
      </c>
      <c r="AB230" t="s">
        <v>1</v>
      </c>
      <c r="AC230" s="235">
        <v>310000</v>
      </c>
      <c r="AD230" s="235">
        <v>2456.5757758719556</v>
      </c>
      <c r="AE230">
        <v>0</v>
      </c>
      <c r="AF230">
        <v>0</v>
      </c>
      <c r="AG230">
        <v>0</v>
      </c>
      <c r="AH230" s="235">
        <v>123.68154086010327</v>
      </c>
      <c r="AI230">
        <v>226</v>
      </c>
      <c r="AJ230" t="s">
        <v>256</v>
      </c>
      <c r="AK230">
        <v>0</v>
      </c>
      <c r="AL230">
        <v>0</v>
      </c>
      <c r="AM230">
        <v>0</v>
      </c>
    </row>
    <row r="231" spans="1:39" x14ac:dyDescent="0.25">
      <c r="A231" t="s">
        <v>233</v>
      </c>
      <c r="B231" t="s">
        <v>400</v>
      </c>
      <c r="C231" t="s">
        <v>255</v>
      </c>
      <c r="D231" t="s">
        <v>234</v>
      </c>
      <c r="E231" t="s">
        <v>20</v>
      </c>
      <c r="F231" t="s">
        <v>399</v>
      </c>
      <c r="G231" t="s">
        <v>269</v>
      </c>
      <c r="H231" t="s">
        <v>254</v>
      </c>
      <c r="I231" t="s">
        <v>242</v>
      </c>
      <c r="J231" t="s">
        <v>235</v>
      </c>
      <c r="K231" s="380">
        <v>36831</v>
      </c>
      <c r="L231" s="235">
        <v>4650.1575587453335</v>
      </c>
      <c r="M231" s="380">
        <v>36829</v>
      </c>
      <c r="N231" t="s">
        <v>21</v>
      </c>
      <c r="O231">
        <v>0.15</v>
      </c>
      <c r="P231">
        <v>0</v>
      </c>
      <c r="Q231">
        <v>0</v>
      </c>
      <c r="R231">
        <v>0</v>
      </c>
      <c r="S231">
        <v>0</v>
      </c>
      <c r="T231" t="s">
        <v>253</v>
      </c>
      <c r="U231" t="s">
        <v>600</v>
      </c>
      <c r="V231" t="s">
        <v>253</v>
      </c>
      <c r="W231" t="s">
        <v>132</v>
      </c>
      <c r="X231" t="s">
        <v>253</v>
      </c>
      <c r="Y231" t="s">
        <v>235</v>
      </c>
      <c r="Z231" t="s">
        <v>236</v>
      </c>
      <c r="AA231" t="s">
        <v>253</v>
      </c>
      <c r="AB231" t="s">
        <v>1</v>
      </c>
      <c r="AC231" s="235">
        <v>300000</v>
      </c>
      <c r="AD231" s="235">
        <v>1734.9822694649774</v>
      </c>
      <c r="AE231">
        <v>0</v>
      </c>
      <c r="AF231">
        <v>0</v>
      </c>
      <c r="AG231">
        <v>0</v>
      </c>
      <c r="AH231" s="235">
        <v>93.596215675597705</v>
      </c>
      <c r="AI231">
        <v>226</v>
      </c>
      <c r="AJ231" t="s">
        <v>256</v>
      </c>
      <c r="AK231">
        <v>0</v>
      </c>
      <c r="AL231">
        <v>0</v>
      </c>
      <c r="AM231">
        <v>0</v>
      </c>
    </row>
    <row r="232" spans="1:39" x14ac:dyDescent="0.25">
      <c r="A232" t="s">
        <v>233</v>
      </c>
      <c r="B232" t="s">
        <v>404</v>
      </c>
      <c r="C232" t="s">
        <v>255</v>
      </c>
      <c r="D232" t="s">
        <v>234</v>
      </c>
      <c r="E232" t="s">
        <v>20</v>
      </c>
      <c r="F232" t="s">
        <v>324</v>
      </c>
      <c r="G232" t="s">
        <v>269</v>
      </c>
      <c r="H232" t="s">
        <v>254</v>
      </c>
      <c r="I232" t="s">
        <v>242</v>
      </c>
      <c r="J232" t="s">
        <v>235</v>
      </c>
      <c r="K232" s="380">
        <v>36951</v>
      </c>
      <c r="L232" s="235">
        <v>12666.147560565782</v>
      </c>
      <c r="M232" s="380">
        <v>36949</v>
      </c>
      <c r="N232" t="s">
        <v>21</v>
      </c>
      <c r="O232">
        <v>0.15</v>
      </c>
      <c r="P232">
        <v>0</v>
      </c>
      <c r="Q232">
        <v>0</v>
      </c>
      <c r="R232">
        <v>0</v>
      </c>
      <c r="S232">
        <v>0</v>
      </c>
      <c r="T232" t="s">
        <v>253</v>
      </c>
      <c r="U232" t="s">
        <v>600</v>
      </c>
      <c r="V232" t="s">
        <v>253</v>
      </c>
      <c r="W232" t="s">
        <v>132</v>
      </c>
      <c r="X232" t="s">
        <v>253</v>
      </c>
      <c r="Y232" t="s">
        <v>235</v>
      </c>
      <c r="Z232" t="s">
        <v>236</v>
      </c>
      <c r="AA232" t="s">
        <v>253</v>
      </c>
      <c r="AB232" t="s">
        <v>1</v>
      </c>
      <c r="AC232" s="235">
        <v>310000</v>
      </c>
      <c r="AD232" s="235">
        <v>3147.1792276509368</v>
      </c>
      <c r="AE232">
        <v>0</v>
      </c>
      <c r="AF232">
        <v>0</v>
      </c>
      <c r="AG232">
        <v>0</v>
      </c>
      <c r="AH232" s="235">
        <v>160.05033692913094</v>
      </c>
      <c r="AI232">
        <v>226</v>
      </c>
      <c r="AJ232" t="s">
        <v>256</v>
      </c>
      <c r="AK232">
        <v>0</v>
      </c>
      <c r="AL232">
        <v>0</v>
      </c>
      <c r="AM232">
        <v>0</v>
      </c>
    </row>
    <row r="233" spans="1:39" x14ac:dyDescent="0.25">
      <c r="A233" t="s">
        <v>233</v>
      </c>
      <c r="B233" t="s">
        <v>404</v>
      </c>
      <c r="C233" t="s">
        <v>255</v>
      </c>
      <c r="D233" t="s">
        <v>234</v>
      </c>
      <c r="E233" t="s">
        <v>20</v>
      </c>
      <c r="F233" t="s">
        <v>324</v>
      </c>
      <c r="G233" t="s">
        <v>269</v>
      </c>
      <c r="H233" t="s">
        <v>254</v>
      </c>
      <c r="I233" t="s">
        <v>242</v>
      </c>
      <c r="J233" t="s">
        <v>235</v>
      </c>
      <c r="K233" s="380">
        <v>36923</v>
      </c>
      <c r="L233" s="235">
        <v>14498.102560808087</v>
      </c>
      <c r="M233" s="380">
        <v>36921</v>
      </c>
      <c r="N233" t="s">
        <v>21</v>
      </c>
      <c r="O233">
        <v>0.15</v>
      </c>
      <c r="P233">
        <v>0</v>
      </c>
      <c r="Q233">
        <v>0</v>
      </c>
      <c r="R233">
        <v>0</v>
      </c>
      <c r="S233">
        <v>0</v>
      </c>
      <c r="T233" t="s">
        <v>253</v>
      </c>
      <c r="U233" t="s">
        <v>600</v>
      </c>
      <c r="V233" t="s">
        <v>253</v>
      </c>
      <c r="W233" t="s">
        <v>132</v>
      </c>
      <c r="X233" t="s">
        <v>253</v>
      </c>
      <c r="Y233" t="s">
        <v>235</v>
      </c>
      <c r="Z233" t="s">
        <v>236</v>
      </c>
      <c r="AA233" t="s">
        <v>253</v>
      </c>
      <c r="AB233" t="s">
        <v>1</v>
      </c>
      <c r="AC233" s="235">
        <v>280000</v>
      </c>
      <c r="AD233" s="235">
        <v>2988.6712248928816</v>
      </c>
      <c r="AE233">
        <v>0</v>
      </c>
      <c r="AF233">
        <v>0</v>
      </c>
      <c r="AG233">
        <v>0</v>
      </c>
      <c r="AH233" s="235">
        <v>143.43839749428844</v>
      </c>
      <c r="AI233">
        <v>226</v>
      </c>
      <c r="AJ233" t="s">
        <v>256</v>
      </c>
      <c r="AK233">
        <v>0</v>
      </c>
      <c r="AL233">
        <v>0</v>
      </c>
      <c r="AM233">
        <v>0</v>
      </c>
    </row>
    <row r="234" spans="1:39" x14ac:dyDescent="0.25">
      <c r="A234" t="s">
        <v>233</v>
      </c>
      <c r="B234" t="s">
        <v>404</v>
      </c>
      <c r="C234" t="s">
        <v>255</v>
      </c>
      <c r="D234" t="s">
        <v>234</v>
      </c>
      <c r="E234" t="s">
        <v>20</v>
      </c>
      <c r="F234" t="s">
        <v>324</v>
      </c>
      <c r="G234" t="s">
        <v>269</v>
      </c>
      <c r="H234" t="s">
        <v>254</v>
      </c>
      <c r="I234" t="s">
        <v>242</v>
      </c>
      <c r="J234" t="s">
        <v>235</v>
      </c>
      <c r="K234" s="380">
        <v>36892</v>
      </c>
      <c r="L234" s="235">
        <v>13795.943631902166</v>
      </c>
      <c r="M234" s="380">
        <v>36888</v>
      </c>
      <c r="N234" t="s">
        <v>21</v>
      </c>
      <c r="O234">
        <v>0.15</v>
      </c>
      <c r="P234">
        <v>0</v>
      </c>
      <c r="Q234">
        <v>0</v>
      </c>
      <c r="R234">
        <v>0</v>
      </c>
      <c r="S234">
        <v>0</v>
      </c>
      <c r="T234" t="s">
        <v>253</v>
      </c>
      <c r="U234" t="s">
        <v>600</v>
      </c>
      <c r="V234" t="s">
        <v>253</v>
      </c>
      <c r="W234" t="s">
        <v>132</v>
      </c>
      <c r="X234" t="s">
        <v>253</v>
      </c>
      <c r="Y234" t="s">
        <v>235</v>
      </c>
      <c r="Z234" t="s">
        <v>236</v>
      </c>
      <c r="AA234" t="s">
        <v>253</v>
      </c>
      <c r="AB234" t="s">
        <v>1</v>
      </c>
      <c r="AC234" s="235">
        <v>310000</v>
      </c>
      <c r="AD234" s="235">
        <v>3011.4536636004632</v>
      </c>
      <c r="AE234">
        <v>0</v>
      </c>
      <c r="AF234">
        <v>0</v>
      </c>
      <c r="AG234">
        <v>0</v>
      </c>
      <c r="AH234" s="235">
        <v>144.9409741889267</v>
      </c>
      <c r="AI234">
        <v>226</v>
      </c>
      <c r="AJ234" t="s">
        <v>256</v>
      </c>
      <c r="AK234">
        <v>0</v>
      </c>
      <c r="AL234">
        <v>0</v>
      </c>
      <c r="AM234">
        <v>0</v>
      </c>
    </row>
    <row r="235" spans="1:39" x14ac:dyDescent="0.25">
      <c r="A235" t="s">
        <v>233</v>
      </c>
      <c r="B235" t="s">
        <v>404</v>
      </c>
      <c r="C235" t="s">
        <v>255</v>
      </c>
      <c r="D235" t="s">
        <v>234</v>
      </c>
      <c r="E235" t="s">
        <v>20</v>
      </c>
      <c r="F235" t="s">
        <v>324</v>
      </c>
      <c r="G235" t="s">
        <v>269</v>
      </c>
      <c r="H235" t="s">
        <v>254</v>
      </c>
      <c r="I235" t="s">
        <v>242</v>
      </c>
      <c r="J235" t="s">
        <v>235</v>
      </c>
      <c r="K235" s="380">
        <v>36861</v>
      </c>
      <c r="L235" s="235">
        <v>8475.9519561765992</v>
      </c>
      <c r="M235" s="380">
        <v>36859</v>
      </c>
      <c r="N235" t="s">
        <v>21</v>
      </c>
      <c r="O235">
        <v>0.15</v>
      </c>
      <c r="P235">
        <v>0</v>
      </c>
      <c r="Q235">
        <v>0</v>
      </c>
      <c r="R235">
        <v>0</v>
      </c>
      <c r="S235">
        <v>0</v>
      </c>
      <c r="T235" t="s">
        <v>253</v>
      </c>
      <c r="U235" t="s">
        <v>600</v>
      </c>
      <c r="V235" t="s">
        <v>253</v>
      </c>
      <c r="W235" t="s">
        <v>132</v>
      </c>
      <c r="X235" t="s">
        <v>253</v>
      </c>
      <c r="Y235" t="s">
        <v>235</v>
      </c>
      <c r="Z235" t="s">
        <v>236</v>
      </c>
      <c r="AA235" t="s">
        <v>253</v>
      </c>
      <c r="AB235" t="s">
        <v>1</v>
      </c>
      <c r="AC235" s="235">
        <v>310000</v>
      </c>
      <c r="AD235" s="235">
        <v>2456.5757758719556</v>
      </c>
      <c r="AE235">
        <v>0</v>
      </c>
      <c r="AF235">
        <v>0</v>
      </c>
      <c r="AG235">
        <v>0</v>
      </c>
      <c r="AH235" s="235">
        <v>123.68154086010327</v>
      </c>
      <c r="AI235">
        <v>226</v>
      </c>
      <c r="AJ235" t="s">
        <v>256</v>
      </c>
      <c r="AK235">
        <v>0</v>
      </c>
      <c r="AL235">
        <v>0</v>
      </c>
      <c r="AM235">
        <v>0</v>
      </c>
    </row>
    <row r="236" spans="1:39" x14ac:dyDescent="0.25">
      <c r="A236" t="s">
        <v>233</v>
      </c>
      <c r="B236" t="s">
        <v>404</v>
      </c>
      <c r="C236" t="s">
        <v>255</v>
      </c>
      <c r="D236" t="s">
        <v>234</v>
      </c>
      <c r="E236" t="s">
        <v>20</v>
      </c>
      <c r="F236" t="s">
        <v>324</v>
      </c>
      <c r="G236" t="s">
        <v>269</v>
      </c>
      <c r="H236" t="s">
        <v>254</v>
      </c>
      <c r="I236" t="s">
        <v>242</v>
      </c>
      <c r="J236" t="s">
        <v>235</v>
      </c>
      <c r="K236" s="380">
        <v>36831</v>
      </c>
      <c r="L236" s="235">
        <v>4650.1575587453335</v>
      </c>
      <c r="M236" s="380">
        <v>36829</v>
      </c>
      <c r="N236" t="s">
        <v>21</v>
      </c>
      <c r="O236">
        <v>0.15</v>
      </c>
      <c r="P236">
        <v>0</v>
      </c>
      <c r="Q236">
        <v>0</v>
      </c>
      <c r="R236">
        <v>0</v>
      </c>
      <c r="S236">
        <v>0</v>
      </c>
      <c r="T236" t="s">
        <v>253</v>
      </c>
      <c r="U236" t="s">
        <v>600</v>
      </c>
      <c r="V236" t="s">
        <v>253</v>
      </c>
      <c r="W236" t="s">
        <v>132</v>
      </c>
      <c r="X236" t="s">
        <v>253</v>
      </c>
      <c r="Y236" t="s">
        <v>235</v>
      </c>
      <c r="Z236" t="s">
        <v>236</v>
      </c>
      <c r="AA236" t="s">
        <v>253</v>
      </c>
      <c r="AB236" t="s">
        <v>1</v>
      </c>
      <c r="AC236" s="235">
        <v>300000</v>
      </c>
      <c r="AD236" s="235">
        <v>1734.9822694649774</v>
      </c>
      <c r="AE236">
        <v>0</v>
      </c>
      <c r="AF236">
        <v>0</v>
      </c>
      <c r="AG236">
        <v>0</v>
      </c>
      <c r="AH236" s="235">
        <v>93.596215675597705</v>
      </c>
      <c r="AI236">
        <v>226</v>
      </c>
      <c r="AJ236" t="s">
        <v>256</v>
      </c>
      <c r="AK236">
        <v>0</v>
      </c>
      <c r="AL236">
        <v>0</v>
      </c>
      <c r="AM236">
        <v>0</v>
      </c>
    </row>
    <row r="237" spans="1:39" x14ac:dyDescent="0.25">
      <c r="A237" t="s">
        <v>233</v>
      </c>
      <c r="B237" t="s">
        <v>405</v>
      </c>
      <c r="C237" t="s">
        <v>255</v>
      </c>
      <c r="D237" t="s">
        <v>234</v>
      </c>
      <c r="E237" t="s">
        <v>20</v>
      </c>
      <c r="F237" t="s">
        <v>320</v>
      </c>
      <c r="G237" t="s">
        <v>269</v>
      </c>
      <c r="H237" t="s">
        <v>254</v>
      </c>
      <c r="I237" t="s">
        <v>242</v>
      </c>
      <c r="J237" t="s">
        <v>235</v>
      </c>
      <c r="K237" s="380">
        <v>36951</v>
      </c>
      <c r="L237" s="235">
        <v>342154.89694425382</v>
      </c>
      <c r="M237" s="380">
        <v>36949</v>
      </c>
      <c r="N237" t="s">
        <v>1</v>
      </c>
      <c r="O237">
        <v>0.75</v>
      </c>
      <c r="P237">
        <v>0</v>
      </c>
      <c r="Q237">
        <v>0</v>
      </c>
      <c r="R237">
        <v>0</v>
      </c>
      <c r="S237">
        <v>0</v>
      </c>
      <c r="T237" t="s">
        <v>253</v>
      </c>
      <c r="U237" t="s">
        <v>7</v>
      </c>
      <c r="V237" t="s">
        <v>253</v>
      </c>
      <c r="W237" t="s">
        <v>132</v>
      </c>
      <c r="X237" t="s">
        <v>253</v>
      </c>
      <c r="Y237" t="s">
        <v>235</v>
      </c>
      <c r="Z237" t="s">
        <v>236</v>
      </c>
      <c r="AA237" t="s">
        <v>253</v>
      </c>
      <c r="AB237" t="s">
        <v>1</v>
      </c>
      <c r="AC237" s="235">
        <v>1000000</v>
      </c>
      <c r="AD237" s="235">
        <v>87420.302947144199</v>
      </c>
      <c r="AE237">
        <v>0</v>
      </c>
      <c r="AF237">
        <v>0</v>
      </c>
      <c r="AG237">
        <v>0</v>
      </c>
      <c r="AH237" s="235">
        <v>-16337.219424809038</v>
      </c>
      <c r="AI237">
        <v>226</v>
      </c>
      <c r="AJ237" t="s">
        <v>256</v>
      </c>
      <c r="AK237">
        <v>0</v>
      </c>
      <c r="AL237">
        <v>0</v>
      </c>
      <c r="AM237">
        <v>0</v>
      </c>
    </row>
    <row r="238" spans="1:39" x14ac:dyDescent="0.25">
      <c r="A238" t="s">
        <v>233</v>
      </c>
      <c r="B238" t="s">
        <v>405</v>
      </c>
      <c r="C238" t="s">
        <v>255</v>
      </c>
      <c r="D238" t="s">
        <v>234</v>
      </c>
      <c r="E238" t="s">
        <v>20</v>
      </c>
      <c r="F238" t="s">
        <v>320</v>
      </c>
      <c r="G238" t="s">
        <v>269</v>
      </c>
      <c r="H238" t="s">
        <v>254</v>
      </c>
      <c r="I238" t="s">
        <v>242</v>
      </c>
      <c r="J238" t="s">
        <v>235</v>
      </c>
      <c r="K238" s="380">
        <v>36923</v>
      </c>
      <c r="L238" s="235">
        <v>140248.49922231707</v>
      </c>
      <c r="M238" s="380">
        <v>36921</v>
      </c>
      <c r="N238" t="s">
        <v>1</v>
      </c>
      <c r="O238">
        <v>0.75</v>
      </c>
      <c r="P238">
        <v>0</v>
      </c>
      <c r="Q238">
        <v>0</v>
      </c>
      <c r="R238">
        <v>0</v>
      </c>
      <c r="S238">
        <v>0</v>
      </c>
      <c r="T238" t="s">
        <v>253</v>
      </c>
      <c r="U238" t="s">
        <v>7</v>
      </c>
      <c r="V238" t="s">
        <v>253</v>
      </c>
      <c r="W238" t="s">
        <v>132</v>
      </c>
      <c r="X238" t="s">
        <v>253</v>
      </c>
      <c r="Y238" t="s">
        <v>235</v>
      </c>
      <c r="Z238" t="s">
        <v>236</v>
      </c>
      <c r="AA238" t="s">
        <v>253</v>
      </c>
      <c r="AB238" t="s">
        <v>1</v>
      </c>
      <c r="AC238" s="235">
        <v>1000000</v>
      </c>
      <c r="AD238" s="235">
        <v>61469.571592473018</v>
      </c>
      <c r="AE238">
        <v>0</v>
      </c>
      <c r="AF238">
        <v>0</v>
      </c>
      <c r="AG238">
        <v>0</v>
      </c>
      <c r="AH238" s="235">
        <v>-7506.7021280555055</v>
      </c>
      <c r="AI238">
        <v>226</v>
      </c>
      <c r="AJ238" t="s">
        <v>256</v>
      </c>
      <c r="AK238">
        <v>0</v>
      </c>
      <c r="AL238">
        <v>0</v>
      </c>
      <c r="AM238">
        <v>0</v>
      </c>
    </row>
    <row r="239" spans="1:39" x14ac:dyDescent="0.25">
      <c r="A239" t="s">
        <v>233</v>
      </c>
      <c r="B239" t="s">
        <v>405</v>
      </c>
      <c r="C239" t="s">
        <v>255</v>
      </c>
      <c r="D239" t="s">
        <v>234</v>
      </c>
      <c r="E239" t="s">
        <v>20</v>
      </c>
      <c r="F239" t="s">
        <v>320</v>
      </c>
      <c r="G239" t="s">
        <v>269</v>
      </c>
      <c r="H239" t="s">
        <v>254</v>
      </c>
      <c r="I239" t="s">
        <v>242</v>
      </c>
      <c r="J239" t="s">
        <v>235</v>
      </c>
      <c r="K239" s="380">
        <v>36892</v>
      </c>
      <c r="L239" s="235">
        <v>110739.68944962387</v>
      </c>
      <c r="M239" s="380">
        <v>36888</v>
      </c>
      <c r="N239" t="s">
        <v>1</v>
      </c>
      <c r="O239">
        <v>0.75</v>
      </c>
      <c r="P239">
        <v>0</v>
      </c>
      <c r="Q239">
        <v>0</v>
      </c>
      <c r="R239">
        <v>0</v>
      </c>
      <c r="S239">
        <v>0</v>
      </c>
      <c r="T239" t="s">
        <v>253</v>
      </c>
      <c r="U239" t="s">
        <v>7</v>
      </c>
      <c r="V239" t="s">
        <v>253</v>
      </c>
      <c r="W239" t="s">
        <v>132</v>
      </c>
      <c r="X239" t="s">
        <v>253</v>
      </c>
      <c r="Y239" t="s">
        <v>235</v>
      </c>
      <c r="Z239" t="s">
        <v>236</v>
      </c>
      <c r="AA239" t="s">
        <v>253</v>
      </c>
      <c r="AB239" t="s">
        <v>1</v>
      </c>
      <c r="AC239" s="235">
        <v>1000000</v>
      </c>
      <c r="AD239" s="235">
        <v>50977.743533845103</v>
      </c>
      <c r="AE239">
        <v>0</v>
      </c>
      <c r="AF239">
        <v>0</v>
      </c>
      <c r="AG239">
        <v>0</v>
      </c>
      <c r="AH239" s="235">
        <v>-5341.825194021163</v>
      </c>
      <c r="AI239">
        <v>226</v>
      </c>
      <c r="AJ239" t="s">
        <v>256</v>
      </c>
      <c r="AK239">
        <v>0</v>
      </c>
      <c r="AL239">
        <v>0</v>
      </c>
      <c r="AM239">
        <v>0</v>
      </c>
    </row>
    <row r="240" spans="1:39" x14ac:dyDescent="0.25">
      <c r="A240" t="s">
        <v>233</v>
      </c>
      <c r="B240" t="s">
        <v>405</v>
      </c>
      <c r="C240" t="s">
        <v>255</v>
      </c>
      <c r="D240" t="s">
        <v>234</v>
      </c>
      <c r="E240" t="s">
        <v>20</v>
      </c>
      <c r="F240" t="s">
        <v>320</v>
      </c>
      <c r="G240" t="s">
        <v>269</v>
      </c>
      <c r="H240" t="s">
        <v>254</v>
      </c>
      <c r="I240" t="s">
        <v>242</v>
      </c>
      <c r="J240" t="s">
        <v>235</v>
      </c>
      <c r="K240" s="380">
        <v>36861</v>
      </c>
      <c r="L240" s="235">
        <v>147916.98517127294</v>
      </c>
      <c r="M240" s="380">
        <v>36859</v>
      </c>
      <c r="N240" t="s">
        <v>1</v>
      </c>
      <c r="O240">
        <v>0.75</v>
      </c>
      <c r="P240">
        <v>0</v>
      </c>
      <c r="Q240">
        <v>0</v>
      </c>
      <c r="R240">
        <v>0</v>
      </c>
      <c r="S240">
        <v>0</v>
      </c>
      <c r="T240" t="s">
        <v>253</v>
      </c>
      <c r="U240" t="s">
        <v>7</v>
      </c>
      <c r="V240" t="s">
        <v>253</v>
      </c>
      <c r="W240" t="s">
        <v>132</v>
      </c>
      <c r="X240" t="s">
        <v>253</v>
      </c>
      <c r="Y240" t="s">
        <v>235</v>
      </c>
      <c r="Z240" t="s">
        <v>236</v>
      </c>
      <c r="AA240" t="s">
        <v>253</v>
      </c>
      <c r="AB240" t="s">
        <v>1</v>
      </c>
      <c r="AC240" s="235">
        <v>1000000</v>
      </c>
      <c r="AD240" s="235">
        <v>55583.080300081085</v>
      </c>
      <c r="AE240">
        <v>0</v>
      </c>
      <c r="AF240">
        <v>0</v>
      </c>
      <c r="AG240">
        <v>0</v>
      </c>
      <c r="AH240" s="235">
        <v>-6008.0752655960096</v>
      </c>
      <c r="AI240">
        <v>226</v>
      </c>
      <c r="AJ240" t="s">
        <v>256</v>
      </c>
      <c r="AK240">
        <v>0</v>
      </c>
      <c r="AL240">
        <v>0</v>
      </c>
      <c r="AM240">
        <v>0</v>
      </c>
    </row>
    <row r="241" spans="1:39" x14ac:dyDescent="0.25">
      <c r="A241" t="s">
        <v>233</v>
      </c>
      <c r="B241" t="s">
        <v>405</v>
      </c>
      <c r="C241" t="s">
        <v>255</v>
      </c>
      <c r="D241" t="s">
        <v>234</v>
      </c>
      <c r="E241" t="s">
        <v>20</v>
      </c>
      <c r="F241" t="s">
        <v>320</v>
      </c>
      <c r="G241" t="s">
        <v>269</v>
      </c>
      <c r="H241" t="s">
        <v>254</v>
      </c>
      <c r="I241" t="s">
        <v>242</v>
      </c>
      <c r="J241" t="s">
        <v>235</v>
      </c>
      <c r="K241" s="380">
        <v>36831</v>
      </c>
      <c r="L241" s="235">
        <v>249617.89258441157</v>
      </c>
      <c r="M241" s="380">
        <v>36829</v>
      </c>
      <c r="N241" t="s">
        <v>1</v>
      </c>
      <c r="O241">
        <v>0.75</v>
      </c>
      <c r="P241">
        <v>0</v>
      </c>
      <c r="Q241">
        <v>0</v>
      </c>
      <c r="R241">
        <v>0</v>
      </c>
      <c r="S241">
        <v>0</v>
      </c>
      <c r="T241" t="s">
        <v>253</v>
      </c>
      <c r="U241" t="s">
        <v>7</v>
      </c>
      <c r="V241" t="s">
        <v>253</v>
      </c>
      <c r="W241" t="s">
        <v>132</v>
      </c>
      <c r="X241" t="s">
        <v>253</v>
      </c>
      <c r="Y241" t="s">
        <v>235</v>
      </c>
      <c r="Z241" t="s">
        <v>236</v>
      </c>
      <c r="AA241" t="s">
        <v>253</v>
      </c>
      <c r="AB241" t="s">
        <v>1</v>
      </c>
      <c r="AC241" s="235">
        <v>1000000</v>
      </c>
      <c r="AD241" s="235">
        <v>45150.594683169853</v>
      </c>
      <c r="AE241">
        <v>0</v>
      </c>
      <c r="AF241">
        <v>0</v>
      </c>
      <c r="AG241">
        <v>0</v>
      </c>
      <c r="AH241" s="235">
        <v>-16358.353324163123</v>
      </c>
      <c r="AI241">
        <v>226</v>
      </c>
      <c r="AJ241" t="s">
        <v>256</v>
      </c>
      <c r="AK241">
        <v>0</v>
      </c>
      <c r="AL241">
        <v>0</v>
      </c>
      <c r="AM241">
        <v>0</v>
      </c>
    </row>
    <row r="242" spans="1:39" x14ac:dyDescent="0.25">
      <c r="A242" t="s">
        <v>233</v>
      </c>
      <c r="B242" t="s">
        <v>406</v>
      </c>
      <c r="C242" t="s">
        <v>255</v>
      </c>
      <c r="D242" t="s">
        <v>234</v>
      </c>
      <c r="E242" t="s">
        <v>20</v>
      </c>
      <c r="F242" t="s">
        <v>279</v>
      </c>
      <c r="G242" t="s">
        <v>269</v>
      </c>
      <c r="H242" t="s">
        <v>254</v>
      </c>
      <c r="I242" t="s">
        <v>242</v>
      </c>
      <c r="J242" t="s">
        <v>235</v>
      </c>
      <c r="K242" s="380">
        <v>36951</v>
      </c>
      <c r="L242" s="235">
        <v>-340450.93860039202</v>
      </c>
      <c r="M242" s="380">
        <v>36949</v>
      </c>
      <c r="N242" t="s">
        <v>1</v>
      </c>
      <c r="O242">
        <v>1.1499999999999999</v>
      </c>
      <c r="P242">
        <v>0</v>
      </c>
      <c r="Q242">
        <v>0</v>
      </c>
      <c r="R242">
        <v>0</v>
      </c>
      <c r="S242">
        <v>0</v>
      </c>
      <c r="T242" t="s">
        <v>253</v>
      </c>
      <c r="U242" t="s">
        <v>7</v>
      </c>
      <c r="V242" t="s">
        <v>253</v>
      </c>
      <c r="W242" t="s">
        <v>132</v>
      </c>
      <c r="X242" t="s">
        <v>253</v>
      </c>
      <c r="Y242" t="s">
        <v>235</v>
      </c>
      <c r="Z242" t="s">
        <v>236</v>
      </c>
      <c r="AA242" t="s">
        <v>253</v>
      </c>
      <c r="AB242" t="s">
        <v>1</v>
      </c>
      <c r="AC242" s="235">
        <v>-620000</v>
      </c>
      <c r="AD242" s="235">
        <v>-54705.009387443366</v>
      </c>
      <c r="AE242">
        <v>0</v>
      </c>
      <c r="AF242">
        <v>0</v>
      </c>
      <c r="AG242">
        <v>0</v>
      </c>
      <c r="AH242" s="235">
        <v>14474.92033826781</v>
      </c>
      <c r="AI242">
        <v>226</v>
      </c>
      <c r="AJ242" t="s">
        <v>256</v>
      </c>
      <c r="AK242">
        <v>0</v>
      </c>
      <c r="AL242">
        <v>0</v>
      </c>
      <c r="AM242">
        <v>0</v>
      </c>
    </row>
    <row r="243" spans="1:39" x14ac:dyDescent="0.25">
      <c r="A243" t="s">
        <v>233</v>
      </c>
      <c r="B243" t="s">
        <v>406</v>
      </c>
      <c r="C243" t="s">
        <v>255</v>
      </c>
      <c r="D243" t="s">
        <v>234</v>
      </c>
      <c r="E243" t="s">
        <v>20</v>
      </c>
      <c r="F243" t="s">
        <v>279</v>
      </c>
      <c r="G243" t="s">
        <v>269</v>
      </c>
      <c r="H243" t="s">
        <v>254</v>
      </c>
      <c r="I243" t="s">
        <v>242</v>
      </c>
      <c r="J243" t="s">
        <v>235</v>
      </c>
      <c r="K243" s="380">
        <v>36923</v>
      </c>
      <c r="L243" s="235">
        <v>-141199.12784374741</v>
      </c>
      <c r="M243" s="380">
        <v>36921</v>
      </c>
      <c r="N243" t="s">
        <v>1</v>
      </c>
      <c r="O243">
        <v>1.1499999999999999</v>
      </c>
      <c r="P243">
        <v>0</v>
      </c>
      <c r="Q243">
        <v>0</v>
      </c>
      <c r="R243">
        <v>0</v>
      </c>
      <c r="S243">
        <v>0</v>
      </c>
      <c r="T243" t="s">
        <v>253</v>
      </c>
      <c r="U243" t="s">
        <v>7</v>
      </c>
      <c r="V243" t="s">
        <v>253</v>
      </c>
      <c r="W243" t="s">
        <v>132</v>
      </c>
      <c r="X243" t="s">
        <v>253</v>
      </c>
      <c r="Y243" t="s">
        <v>235</v>
      </c>
      <c r="Z243" t="s">
        <v>236</v>
      </c>
      <c r="AA243" t="s">
        <v>253</v>
      </c>
      <c r="AB243" t="s">
        <v>1</v>
      </c>
      <c r="AC243" s="235">
        <v>-560000</v>
      </c>
      <c r="AD243" s="235">
        <v>-42105.951043527137</v>
      </c>
      <c r="AE243">
        <v>0</v>
      </c>
      <c r="AF243">
        <v>0</v>
      </c>
      <c r="AG243">
        <v>0</v>
      </c>
      <c r="AH243" s="235">
        <v>6981.384245638299</v>
      </c>
      <c r="AI243">
        <v>226</v>
      </c>
      <c r="AJ243" t="s">
        <v>256</v>
      </c>
      <c r="AK243">
        <v>0</v>
      </c>
      <c r="AL243">
        <v>0</v>
      </c>
      <c r="AM243">
        <v>0</v>
      </c>
    </row>
    <row r="244" spans="1:39" x14ac:dyDescent="0.25">
      <c r="A244" t="s">
        <v>233</v>
      </c>
      <c r="B244" t="s">
        <v>406</v>
      </c>
      <c r="C244" t="s">
        <v>255</v>
      </c>
      <c r="D244" t="s">
        <v>234</v>
      </c>
      <c r="E244" t="s">
        <v>20</v>
      </c>
      <c r="F244" t="s">
        <v>279</v>
      </c>
      <c r="G244" t="s">
        <v>269</v>
      </c>
      <c r="H244" t="s">
        <v>254</v>
      </c>
      <c r="I244" t="s">
        <v>242</v>
      </c>
      <c r="J244" t="s">
        <v>235</v>
      </c>
      <c r="K244" s="380">
        <v>36892</v>
      </c>
      <c r="L244" s="235">
        <v>-129255.24880335775</v>
      </c>
      <c r="M244" s="380">
        <v>36888</v>
      </c>
      <c r="N244" t="s">
        <v>1</v>
      </c>
      <c r="O244">
        <v>1.1499999999999999</v>
      </c>
      <c r="P244">
        <v>0</v>
      </c>
      <c r="Q244">
        <v>0</v>
      </c>
      <c r="R244">
        <v>0</v>
      </c>
      <c r="S244">
        <v>0</v>
      </c>
      <c r="T244" t="s">
        <v>253</v>
      </c>
      <c r="U244" t="s">
        <v>7</v>
      </c>
      <c r="V244" t="s">
        <v>253</v>
      </c>
      <c r="W244" t="s">
        <v>132</v>
      </c>
      <c r="X244" t="s">
        <v>253</v>
      </c>
      <c r="Y244" t="s">
        <v>235</v>
      </c>
      <c r="Z244" t="s">
        <v>236</v>
      </c>
      <c r="AA244" t="s">
        <v>253</v>
      </c>
      <c r="AB244" t="s">
        <v>1</v>
      </c>
      <c r="AC244" s="235">
        <v>-620000</v>
      </c>
      <c r="AD244" s="235">
        <v>-40420.317012756117</v>
      </c>
      <c r="AE244">
        <v>0</v>
      </c>
      <c r="AF244">
        <v>0</v>
      </c>
      <c r="AG244">
        <v>0</v>
      </c>
      <c r="AH244" s="235">
        <v>5828.5093545609416</v>
      </c>
      <c r="AI244">
        <v>226</v>
      </c>
      <c r="AJ244" t="s">
        <v>256</v>
      </c>
      <c r="AK244">
        <v>0</v>
      </c>
      <c r="AL244">
        <v>0</v>
      </c>
      <c r="AM244">
        <v>0</v>
      </c>
    </row>
    <row r="245" spans="1:39" x14ac:dyDescent="0.25">
      <c r="A245" t="s">
        <v>233</v>
      </c>
      <c r="B245" t="s">
        <v>406</v>
      </c>
      <c r="C245" t="s">
        <v>255</v>
      </c>
      <c r="D245" t="s">
        <v>234</v>
      </c>
      <c r="E245" t="s">
        <v>20</v>
      </c>
      <c r="F245" t="s">
        <v>279</v>
      </c>
      <c r="G245" t="s">
        <v>269</v>
      </c>
      <c r="H245" t="s">
        <v>254</v>
      </c>
      <c r="I245" t="s">
        <v>242</v>
      </c>
      <c r="J245" t="s">
        <v>235</v>
      </c>
      <c r="K245" s="380">
        <v>36861</v>
      </c>
      <c r="L245" s="235">
        <v>-173078.83767603306</v>
      </c>
      <c r="M245" s="380">
        <v>36859</v>
      </c>
      <c r="N245" t="s">
        <v>1</v>
      </c>
      <c r="O245">
        <v>1.1499999999999999</v>
      </c>
      <c r="P245">
        <v>0</v>
      </c>
      <c r="Q245">
        <v>0</v>
      </c>
      <c r="R245">
        <v>0</v>
      </c>
      <c r="S245">
        <v>0</v>
      </c>
      <c r="T245" t="s">
        <v>253</v>
      </c>
      <c r="U245" t="s">
        <v>7</v>
      </c>
      <c r="V245" t="s">
        <v>253</v>
      </c>
      <c r="W245" t="s">
        <v>132</v>
      </c>
      <c r="X245" t="s">
        <v>253</v>
      </c>
      <c r="Y245" t="s">
        <v>235</v>
      </c>
      <c r="Z245" t="s">
        <v>236</v>
      </c>
      <c r="AA245" t="s">
        <v>253</v>
      </c>
      <c r="AB245" t="s">
        <v>1</v>
      </c>
      <c r="AC245" s="235">
        <v>-620000</v>
      </c>
      <c r="AD245" s="235">
        <v>-41497.672079018346</v>
      </c>
      <c r="AE245">
        <v>0</v>
      </c>
      <c r="AF245">
        <v>0</v>
      </c>
      <c r="AG245">
        <v>0</v>
      </c>
      <c r="AH245" s="235">
        <v>6505.6443477401335</v>
      </c>
      <c r="AI245">
        <v>226</v>
      </c>
      <c r="AJ245" t="s">
        <v>256</v>
      </c>
      <c r="AK245">
        <v>0</v>
      </c>
      <c r="AL245">
        <v>0</v>
      </c>
      <c r="AM245">
        <v>0</v>
      </c>
    </row>
    <row r="246" spans="1:39" x14ac:dyDescent="0.25">
      <c r="A246" t="s">
        <v>233</v>
      </c>
      <c r="B246" t="s">
        <v>406</v>
      </c>
      <c r="C246" t="s">
        <v>255</v>
      </c>
      <c r="D246" t="s">
        <v>234</v>
      </c>
      <c r="E246" t="s">
        <v>20</v>
      </c>
      <c r="F246" t="s">
        <v>279</v>
      </c>
      <c r="G246" t="s">
        <v>269</v>
      </c>
      <c r="H246" t="s">
        <v>254</v>
      </c>
      <c r="I246" t="s">
        <v>242</v>
      </c>
      <c r="J246" t="s">
        <v>235</v>
      </c>
      <c r="K246" s="380">
        <v>36831</v>
      </c>
      <c r="L246" s="235">
        <v>-301615.39180087473</v>
      </c>
      <c r="M246" s="380">
        <v>36829</v>
      </c>
      <c r="N246" t="s">
        <v>1</v>
      </c>
      <c r="O246">
        <v>1.1499999999999999</v>
      </c>
      <c r="P246">
        <v>0</v>
      </c>
      <c r="Q246">
        <v>0</v>
      </c>
      <c r="R246">
        <v>0</v>
      </c>
      <c r="S246">
        <v>0</v>
      </c>
      <c r="T246" t="s">
        <v>253</v>
      </c>
      <c r="U246" t="s">
        <v>7</v>
      </c>
      <c r="V246" t="s">
        <v>253</v>
      </c>
      <c r="W246" t="s">
        <v>132</v>
      </c>
      <c r="X246" t="s">
        <v>253</v>
      </c>
      <c r="Y246" t="s">
        <v>235</v>
      </c>
      <c r="Z246" t="s">
        <v>236</v>
      </c>
      <c r="AA246" t="s">
        <v>253</v>
      </c>
      <c r="AB246" t="s">
        <v>1</v>
      </c>
      <c r="AC246" s="235">
        <v>-600000</v>
      </c>
      <c r="AD246" s="235">
        <v>-22643.21485774382</v>
      </c>
      <c r="AE246">
        <v>0</v>
      </c>
      <c r="AF246">
        <v>0</v>
      </c>
      <c r="AG246">
        <v>0</v>
      </c>
      <c r="AH246" s="235">
        <v>15213.108345087152</v>
      </c>
      <c r="AI246">
        <v>226</v>
      </c>
      <c r="AJ246" t="s">
        <v>256</v>
      </c>
      <c r="AK246">
        <v>0</v>
      </c>
      <c r="AL246">
        <v>0</v>
      </c>
      <c r="AM246">
        <v>0</v>
      </c>
    </row>
    <row r="247" spans="1:39" x14ac:dyDescent="0.25">
      <c r="A247" t="s">
        <v>233</v>
      </c>
      <c r="B247" t="s">
        <v>407</v>
      </c>
      <c r="C247" t="s">
        <v>255</v>
      </c>
      <c r="D247" t="s">
        <v>234</v>
      </c>
      <c r="E247" t="s">
        <v>20</v>
      </c>
      <c r="F247" t="s">
        <v>279</v>
      </c>
      <c r="G247" t="s">
        <v>269</v>
      </c>
      <c r="H247" t="s">
        <v>254</v>
      </c>
      <c r="I247" t="s">
        <v>242</v>
      </c>
      <c r="J247" t="s">
        <v>235</v>
      </c>
      <c r="K247" s="380">
        <v>36951</v>
      </c>
      <c r="L247" s="235">
        <v>-465509.91672981536</v>
      </c>
      <c r="M247" s="380">
        <v>36949</v>
      </c>
      <c r="N247" t="s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 t="s">
        <v>253</v>
      </c>
      <c r="U247" t="s">
        <v>7</v>
      </c>
      <c r="V247" t="s">
        <v>253</v>
      </c>
      <c r="W247" t="s">
        <v>132</v>
      </c>
      <c r="X247" t="s">
        <v>253</v>
      </c>
      <c r="Y247" t="s">
        <v>235</v>
      </c>
      <c r="Z247" t="s">
        <v>236</v>
      </c>
      <c r="AA247" t="s">
        <v>253</v>
      </c>
      <c r="AB247" t="s">
        <v>1</v>
      </c>
      <c r="AC247" s="235">
        <v>-1000000</v>
      </c>
      <c r="AD247" s="235">
        <v>-88936.820974534145</v>
      </c>
      <c r="AE247">
        <v>0</v>
      </c>
      <c r="AF247">
        <v>0</v>
      </c>
      <c r="AG247">
        <v>0</v>
      </c>
      <c r="AH247" s="235">
        <v>20719.012783803046</v>
      </c>
      <c r="AI247">
        <v>226</v>
      </c>
      <c r="AJ247" t="s">
        <v>256</v>
      </c>
      <c r="AK247">
        <v>0</v>
      </c>
      <c r="AL247">
        <v>0</v>
      </c>
      <c r="AM247">
        <v>0</v>
      </c>
    </row>
    <row r="248" spans="1:39" x14ac:dyDescent="0.25">
      <c r="A248" t="s">
        <v>233</v>
      </c>
      <c r="B248" t="s">
        <v>409</v>
      </c>
      <c r="C248" t="s">
        <v>255</v>
      </c>
      <c r="D248" t="s">
        <v>234</v>
      </c>
      <c r="E248" t="s">
        <v>20</v>
      </c>
      <c r="F248" t="s">
        <v>279</v>
      </c>
      <c r="G248" t="s">
        <v>269</v>
      </c>
      <c r="H248" t="s">
        <v>254</v>
      </c>
      <c r="I248" t="s">
        <v>242</v>
      </c>
      <c r="J248" t="s">
        <v>235</v>
      </c>
      <c r="K248" s="380">
        <v>36951</v>
      </c>
      <c r="L248" s="235">
        <v>342154.89694425382</v>
      </c>
      <c r="M248" s="380">
        <v>36949</v>
      </c>
      <c r="N248" t="s">
        <v>1</v>
      </c>
      <c r="O248">
        <v>0.75</v>
      </c>
      <c r="P248">
        <v>0</v>
      </c>
      <c r="Q248">
        <v>0</v>
      </c>
      <c r="R248">
        <v>0</v>
      </c>
      <c r="S248">
        <v>0</v>
      </c>
      <c r="T248" t="s">
        <v>253</v>
      </c>
      <c r="U248" t="s">
        <v>7</v>
      </c>
      <c r="V248" t="s">
        <v>253</v>
      </c>
      <c r="W248" t="s">
        <v>132</v>
      </c>
      <c r="X248" t="s">
        <v>253</v>
      </c>
      <c r="Y248" t="s">
        <v>235</v>
      </c>
      <c r="Z248" t="s">
        <v>236</v>
      </c>
      <c r="AA248" t="s">
        <v>253</v>
      </c>
      <c r="AB248" t="s">
        <v>1</v>
      </c>
      <c r="AC248" s="235">
        <v>1000000</v>
      </c>
      <c r="AD248" s="235">
        <v>87420.302947144199</v>
      </c>
      <c r="AE248">
        <v>0</v>
      </c>
      <c r="AF248">
        <v>0</v>
      </c>
      <c r="AG248">
        <v>0</v>
      </c>
      <c r="AH248" s="235">
        <v>-16337.219424809038</v>
      </c>
      <c r="AI248">
        <v>226</v>
      </c>
      <c r="AJ248" t="s">
        <v>256</v>
      </c>
      <c r="AK248">
        <v>0</v>
      </c>
      <c r="AL248">
        <v>0</v>
      </c>
      <c r="AM248">
        <v>0</v>
      </c>
    </row>
    <row r="249" spans="1:39" x14ac:dyDescent="0.25">
      <c r="A249" t="s">
        <v>233</v>
      </c>
      <c r="B249" t="s">
        <v>409</v>
      </c>
      <c r="C249" t="s">
        <v>255</v>
      </c>
      <c r="D249" t="s">
        <v>234</v>
      </c>
      <c r="E249" t="s">
        <v>20</v>
      </c>
      <c r="F249" t="s">
        <v>279</v>
      </c>
      <c r="G249" t="s">
        <v>269</v>
      </c>
      <c r="H249" t="s">
        <v>254</v>
      </c>
      <c r="I249" t="s">
        <v>242</v>
      </c>
      <c r="J249" t="s">
        <v>235</v>
      </c>
      <c r="K249" s="380">
        <v>36923</v>
      </c>
      <c r="L249" s="235">
        <v>140248.49922231707</v>
      </c>
      <c r="M249" s="380">
        <v>36921</v>
      </c>
      <c r="N249" t="s">
        <v>1</v>
      </c>
      <c r="O249">
        <v>0.75</v>
      </c>
      <c r="P249">
        <v>0</v>
      </c>
      <c r="Q249">
        <v>0</v>
      </c>
      <c r="R249">
        <v>0</v>
      </c>
      <c r="S249">
        <v>0</v>
      </c>
      <c r="T249" t="s">
        <v>253</v>
      </c>
      <c r="U249" t="s">
        <v>7</v>
      </c>
      <c r="V249" t="s">
        <v>253</v>
      </c>
      <c r="W249" t="s">
        <v>132</v>
      </c>
      <c r="X249" t="s">
        <v>253</v>
      </c>
      <c r="Y249" t="s">
        <v>235</v>
      </c>
      <c r="Z249" t="s">
        <v>236</v>
      </c>
      <c r="AA249" t="s">
        <v>253</v>
      </c>
      <c r="AB249" t="s">
        <v>1</v>
      </c>
      <c r="AC249" s="235">
        <v>1000000</v>
      </c>
      <c r="AD249" s="235">
        <v>61469.571592473018</v>
      </c>
      <c r="AE249">
        <v>0</v>
      </c>
      <c r="AF249">
        <v>0</v>
      </c>
      <c r="AG249">
        <v>0</v>
      </c>
      <c r="AH249" s="235">
        <v>-7506.7021280555055</v>
      </c>
      <c r="AI249">
        <v>226</v>
      </c>
      <c r="AJ249" t="s">
        <v>256</v>
      </c>
      <c r="AK249">
        <v>0</v>
      </c>
      <c r="AL249">
        <v>0</v>
      </c>
      <c r="AM249">
        <v>0</v>
      </c>
    </row>
    <row r="250" spans="1:39" x14ac:dyDescent="0.25">
      <c r="A250" t="s">
        <v>233</v>
      </c>
      <c r="B250" t="s">
        <v>409</v>
      </c>
      <c r="C250" t="s">
        <v>255</v>
      </c>
      <c r="D250" t="s">
        <v>234</v>
      </c>
      <c r="E250" t="s">
        <v>20</v>
      </c>
      <c r="F250" t="s">
        <v>279</v>
      </c>
      <c r="G250" t="s">
        <v>269</v>
      </c>
      <c r="H250" t="s">
        <v>254</v>
      </c>
      <c r="I250" t="s">
        <v>242</v>
      </c>
      <c r="J250" t="s">
        <v>235</v>
      </c>
      <c r="K250" s="380">
        <v>36892</v>
      </c>
      <c r="L250" s="235">
        <v>110739.68944962387</v>
      </c>
      <c r="M250" s="380">
        <v>36888</v>
      </c>
      <c r="N250" t="s">
        <v>1</v>
      </c>
      <c r="O250">
        <v>0.75</v>
      </c>
      <c r="P250">
        <v>0</v>
      </c>
      <c r="Q250">
        <v>0</v>
      </c>
      <c r="R250">
        <v>0</v>
      </c>
      <c r="S250">
        <v>0</v>
      </c>
      <c r="T250" t="s">
        <v>253</v>
      </c>
      <c r="U250" t="s">
        <v>7</v>
      </c>
      <c r="V250" t="s">
        <v>253</v>
      </c>
      <c r="W250" t="s">
        <v>132</v>
      </c>
      <c r="X250" t="s">
        <v>253</v>
      </c>
      <c r="Y250" t="s">
        <v>235</v>
      </c>
      <c r="Z250" t="s">
        <v>236</v>
      </c>
      <c r="AA250" t="s">
        <v>253</v>
      </c>
      <c r="AB250" t="s">
        <v>1</v>
      </c>
      <c r="AC250" s="235">
        <v>1000000</v>
      </c>
      <c r="AD250" s="235">
        <v>50977.743533845103</v>
      </c>
      <c r="AE250">
        <v>0</v>
      </c>
      <c r="AF250">
        <v>0</v>
      </c>
      <c r="AG250">
        <v>0</v>
      </c>
      <c r="AH250" s="235">
        <v>-5341.825194021163</v>
      </c>
      <c r="AI250">
        <v>226</v>
      </c>
      <c r="AJ250" t="s">
        <v>256</v>
      </c>
      <c r="AK250">
        <v>0</v>
      </c>
      <c r="AL250">
        <v>0</v>
      </c>
      <c r="AM250">
        <v>0</v>
      </c>
    </row>
    <row r="251" spans="1:39" x14ac:dyDescent="0.25">
      <c r="A251" t="s">
        <v>233</v>
      </c>
      <c r="B251" t="s">
        <v>409</v>
      </c>
      <c r="C251" t="s">
        <v>255</v>
      </c>
      <c r="D251" t="s">
        <v>234</v>
      </c>
      <c r="E251" t="s">
        <v>20</v>
      </c>
      <c r="F251" t="s">
        <v>279</v>
      </c>
      <c r="G251" t="s">
        <v>269</v>
      </c>
      <c r="H251" t="s">
        <v>254</v>
      </c>
      <c r="I251" t="s">
        <v>242</v>
      </c>
      <c r="J251" t="s">
        <v>235</v>
      </c>
      <c r="K251" s="380">
        <v>36861</v>
      </c>
      <c r="L251" s="235">
        <v>147916.98517127294</v>
      </c>
      <c r="M251" s="380">
        <v>36859</v>
      </c>
      <c r="N251" t="s">
        <v>1</v>
      </c>
      <c r="O251">
        <v>0.75</v>
      </c>
      <c r="P251">
        <v>0</v>
      </c>
      <c r="Q251">
        <v>0</v>
      </c>
      <c r="R251">
        <v>0</v>
      </c>
      <c r="S251">
        <v>0</v>
      </c>
      <c r="T251" t="s">
        <v>253</v>
      </c>
      <c r="U251" t="s">
        <v>7</v>
      </c>
      <c r="V251" t="s">
        <v>253</v>
      </c>
      <c r="W251" t="s">
        <v>132</v>
      </c>
      <c r="X251" t="s">
        <v>253</v>
      </c>
      <c r="Y251" t="s">
        <v>235</v>
      </c>
      <c r="Z251" t="s">
        <v>236</v>
      </c>
      <c r="AA251" t="s">
        <v>253</v>
      </c>
      <c r="AB251" t="s">
        <v>1</v>
      </c>
      <c r="AC251" s="235">
        <v>1000000</v>
      </c>
      <c r="AD251" s="235">
        <v>55583.080300081085</v>
      </c>
      <c r="AE251">
        <v>0</v>
      </c>
      <c r="AF251">
        <v>0</v>
      </c>
      <c r="AG251">
        <v>0</v>
      </c>
      <c r="AH251" s="235">
        <v>-6008.0752655960096</v>
      </c>
      <c r="AI251">
        <v>226</v>
      </c>
      <c r="AJ251" t="s">
        <v>256</v>
      </c>
      <c r="AK251">
        <v>0</v>
      </c>
      <c r="AL251">
        <v>0</v>
      </c>
      <c r="AM251">
        <v>0</v>
      </c>
    </row>
    <row r="252" spans="1:39" x14ac:dyDescent="0.25">
      <c r="A252" t="s">
        <v>233</v>
      </c>
      <c r="B252" t="s">
        <v>409</v>
      </c>
      <c r="C252" t="s">
        <v>255</v>
      </c>
      <c r="D252" t="s">
        <v>234</v>
      </c>
      <c r="E252" t="s">
        <v>20</v>
      </c>
      <c r="F252" t="s">
        <v>279</v>
      </c>
      <c r="G252" t="s">
        <v>269</v>
      </c>
      <c r="H252" t="s">
        <v>254</v>
      </c>
      <c r="I252" t="s">
        <v>242</v>
      </c>
      <c r="J252" t="s">
        <v>235</v>
      </c>
      <c r="K252" s="380">
        <v>36831</v>
      </c>
      <c r="L252" s="235">
        <v>249617.89258441157</v>
      </c>
      <c r="M252" s="380">
        <v>36829</v>
      </c>
      <c r="N252" t="s">
        <v>1</v>
      </c>
      <c r="O252">
        <v>0.75</v>
      </c>
      <c r="P252">
        <v>0</v>
      </c>
      <c r="Q252">
        <v>0</v>
      </c>
      <c r="R252">
        <v>0</v>
      </c>
      <c r="S252">
        <v>0</v>
      </c>
      <c r="T252" t="s">
        <v>253</v>
      </c>
      <c r="U252" t="s">
        <v>7</v>
      </c>
      <c r="V252" t="s">
        <v>253</v>
      </c>
      <c r="W252" t="s">
        <v>132</v>
      </c>
      <c r="X252" t="s">
        <v>253</v>
      </c>
      <c r="Y252" t="s">
        <v>235</v>
      </c>
      <c r="Z252" t="s">
        <v>236</v>
      </c>
      <c r="AA252" t="s">
        <v>253</v>
      </c>
      <c r="AB252" t="s">
        <v>1</v>
      </c>
      <c r="AC252" s="235">
        <v>1000000</v>
      </c>
      <c r="AD252" s="235">
        <v>45150.594683169853</v>
      </c>
      <c r="AE252">
        <v>0</v>
      </c>
      <c r="AF252">
        <v>0</v>
      </c>
      <c r="AG252">
        <v>0</v>
      </c>
      <c r="AH252" s="235">
        <v>-16358.353324163123</v>
      </c>
      <c r="AI252">
        <v>226</v>
      </c>
      <c r="AJ252" t="s">
        <v>256</v>
      </c>
      <c r="AK252">
        <v>0</v>
      </c>
      <c r="AL252">
        <v>0</v>
      </c>
      <c r="AM252">
        <v>0</v>
      </c>
    </row>
    <row r="253" spans="1:39" x14ac:dyDescent="0.25">
      <c r="A253" t="s">
        <v>233</v>
      </c>
      <c r="B253" t="s">
        <v>410</v>
      </c>
      <c r="C253" t="s">
        <v>255</v>
      </c>
      <c r="D253" t="s">
        <v>234</v>
      </c>
      <c r="E253" t="s">
        <v>20</v>
      </c>
      <c r="F253" t="s">
        <v>279</v>
      </c>
      <c r="G253" t="s">
        <v>269</v>
      </c>
      <c r="H253" t="s">
        <v>254</v>
      </c>
      <c r="I253" t="s">
        <v>242</v>
      </c>
      <c r="J253" t="s">
        <v>235</v>
      </c>
      <c r="K253" s="380">
        <v>36951</v>
      </c>
      <c r="L253" s="235">
        <v>-32635.407856256214</v>
      </c>
      <c r="M253" s="380">
        <v>36949</v>
      </c>
      <c r="N253" t="s">
        <v>21</v>
      </c>
      <c r="O253">
        <v>3</v>
      </c>
      <c r="P253">
        <v>0</v>
      </c>
      <c r="Q253">
        <v>0</v>
      </c>
      <c r="R253">
        <v>0</v>
      </c>
      <c r="S253">
        <v>0</v>
      </c>
      <c r="T253" t="s">
        <v>253</v>
      </c>
      <c r="U253" t="s">
        <v>7</v>
      </c>
      <c r="V253" t="s">
        <v>253</v>
      </c>
      <c r="W253" t="s">
        <v>132</v>
      </c>
      <c r="X253" t="s">
        <v>253</v>
      </c>
      <c r="Y253" t="s">
        <v>235</v>
      </c>
      <c r="Z253" t="s">
        <v>236</v>
      </c>
      <c r="AA253" t="s">
        <v>253</v>
      </c>
      <c r="AB253" t="s">
        <v>1</v>
      </c>
      <c r="AC253" s="235">
        <v>-310000</v>
      </c>
      <c r="AD253" s="235">
        <v>-13882.761927347208</v>
      </c>
      <c r="AE253">
        <v>0</v>
      </c>
      <c r="AF253">
        <v>0</v>
      </c>
      <c r="AG253">
        <v>0</v>
      </c>
      <c r="AH253" s="235">
        <v>-3518.4885686390589</v>
      </c>
      <c r="AI253">
        <v>226</v>
      </c>
      <c r="AJ253" t="s">
        <v>256</v>
      </c>
      <c r="AK253">
        <v>0</v>
      </c>
      <c r="AL253">
        <v>0</v>
      </c>
      <c r="AM253">
        <v>0</v>
      </c>
    </row>
    <row r="254" spans="1:39" x14ac:dyDescent="0.25">
      <c r="A254" t="s">
        <v>233</v>
      </c>
      <c r="B254" t="s">
        <v>410</v>
      </c>
      <c r="C254" t="s">
        <v>255</v>
      </c>
      <c r="D254" t="s">
        <v>234</v>
      </c>
      <c r="E254" t="s">
        <v>20</v>
      </c>
      <c r="F254" t="s">
        <v>279</v>
      </c>
      <c r="G254" t="s">
        <v>269</v>
      </c>
      <c r="H254" t="s">
        <v>254</v>
      </c>
      <c r="I254" t="s">
        <v>242</v>
      </c>
      <c r="J254" t="s">
        <v>235</v>
      </c>
      <c r="K254" s="380">
        <v>36923</v>
      </c>
      <c r="L254" s="235">
        <v>-111967.30506523105</v>
      </c>
      <c r="M254" s="380">
        <v>36921</v>
      </c>
      <c r="N254" t="s">
        <v>21</v>
      </c>
      <c r="O254">
        <v>3</v>
      </c>
      <c r="P254">
        <v>0</v>
      </c>
      <c r="Q254">
        <v>0</v>
      </c>
      <c r="R254">
        <v>0</v>
      </c>
      <c r="S254">
        <v>0</v>
      </c>
      <c r="T254" t="s">
        <v>253</v>
      </c>
      <c r="U254" t="s">
        <v>7</v>
      </c>
      <c r="V254" t="s">
        <v>253</v>
      </c>
      <c r="W254" t="s">
        <v>132</v>
      </c>
      <c r="X254" t="s">
        <v>253</v>
      </c>
      <c r="Y254" t="s">
        <v>235</v>
      </c>
      <c r="Z254" t="s">
        <v>236</v>
      </c>
      <c r="AA254" t="s">
        <v>253</v>
      </c>
      <c r="AB254" t="s">
        <v>1</v>
      </c>
      <c r="AC254" s="235">
        <v>-280000</v>
      </c>
      <c r="AD254" s="235">
        <v>-21157.79914874112</v>
      </c>
      <c r="AE254">
        <v>0</v>
      </c>
      <c r="AF254">
        <v>0</v>
      </c>
      <c r="AG254">
        <v>0</v>
      </c>
      <c r="AH254" s="235">
        <v>-8089.1241832561936</v>
      </c>
      <c r="AI254">
        <v>226</v>
      </c>
      <c r="AJ254" t="s">
        <v>256</v>
      </c>
      <c r="AK254">
        <v>0</v>
      </c>
      <c r="AL254">
        <v>0</v>
      </c>
      <c r="AM254">
        <v>0</v>
      </c>
    </row>
    <row r="255" spans="1:39" x14ac:dyDescent="0.25">
      <c r="A255" t="s">
        <v>233</v>
      </c>
      <c r="B255" t="s">
        <v>410</v>
      </c>
      <c r="C255" t="s">
        <v>255</v>
      </c>
      <c r="D255" t="s">
        <v>234</v>
      </c>
      <c r="E255" t="s">
        <v>20</v>
      </c>
      <c r="F255" t="s">
        <v>279</v>
      </c>
      <c r="G255" t="s">
        <v>269</v>
      </c>
      <c r="H255" t="s">
        <v>254</v>
      </c>
      <c r="I255" t="s">
        <v>242</v>
      </c>
      <c r="J255" t="s">
        <v>235</v>
      </c>
      <c r="K255" s="380">
        <v>36892</v>
      </c>
      <c r="L255" s="235">
        <v>-119727.30690205593</v>
      </c>
      <c r="M255" s="380">
        <v>36888</v>
      </c>
      <c r="N255" t="s">
        <v>21</v>
      </c>
      <c r="O255">
        <v>3</v>
      </c>
      <c r="P255">
        <v>0</v>
      </c>
      <c r="Q255">
        <v>0</v>
      </c>
      <c r="R255">
        <v>0</v>
      </c>
      <c r="S255">
        <v>0</v>
      </c>
      <c r="T255" t="s">
        <v>253</v>
      </c>
      <c r="U255" t="s">
        <v>7</v>
      </c>
      <c r="V255" t="s">
        <v>253</v>
      </c>
      <c r="W255" t="s">
        <v>132</v>
      </c>
      <c r="X255" t="s">
        <v>253</v>
      </c>
      <c r="Y255" t="s">
        <v>235</v>
      </c>
      <c r="Z255" t="s">
        <v>236</v>
      </c>
      <c r="AA255" t="s">
        <v>253</v>
      </c>
      <c r="AB255" t="s">
        <v>1</v>
      </c>
      <c r="AC255" s="235">
        <v>-310000</v>
      </c>
      <c r="AD255" s="235">
        <v>-21579.386175990119</v>
      </c>
      <c r="AE255">
        <v>0</v>
      </c>
      <c r="AF255">
        <v>0</v>
      </c>
      <c r="AG255">
        <v>0</v>
      </c>
      <c r="AH255" s="235">
        <v>-7790.5313785939652</v>
      </c>
      <c r="AI255">
        <v>226</v>
      </c>
      <c r="AJ255" t="s">
        <v>256</v>
      </c>
      <c r="AK255">
        <v>0</v>
      </c>
      <c r="AL255">
        <v>0</v>
      </c>
      <c r="AM255">
        <v>0</v>
      </c>
    </row>
    <row r="256" spans="1:39" x14ac:dyDescent="0.25">
      <c r="A256" t="s">
        <v>233</v>
      </c>
      <c r="B256" t="s">
        <v>410</v>
      </c>
      <c r="C256" t="s">
        <v>255</v>
      </c>
      <c r="D256" t="s">
        <v>234</v>
      </c>
      <c r="E256" t="s">
        <v>20</v>
      </c>
      <c r="F256" t="s">
        <v>279</v>
      </c>
      <c r="G256" t="s">
        <v>269</v>
      </c>
      <c r="H256" t="s">
        <v>254</v>
      </c>
      <c r="I256" t="s">
        <v>242</v>
      </c>
      <c r="J256" t="s">
        <v>235</v>
      </c>
      <c r="K256" s="380">
        <v>36861</v>
      </c>
      <c r="L256" s="235">
        <v>-49190.217423798822</v>
      </c>
      <c r="M256" s="380">
        <v>36859</v>
      </c>
      <c r="N256" t="s">
        <v>21</v>
      </c>
      <c r="O256">
        <v>3</v>
      </c>
      <c r="P256">
        <v>0</v>
      </c>
      <c r="Q256">
        <v>0</v>
      </c>
      <c r="R256">
        <v>0</v>
      </c>
      <c r="S256">
        <v>0</v>
      </c>
      <c r="T256" t="s">
        <v>253</v>
      </c>
      <c r="U256" t="s">
        <v>7</v>
      </c>
      <c r="V256" t="s">
        <v>253</v>
      </c>
      <c r="W256" t="s">
        <v>132</v>
      </c>
      <c r="X256" t="s">
        <v>253</v>
      </c>
      <c r="Y256" t="s">
        <v>235</v>
      </c>
      <c r="Z256" t="s">
        <v>236</v>
      </c>
      <c r="AA256" t="s">
        <v>253</v>
      </c>
      <c r="AB256" t="s">
        <v>1</v>
      </c>
      <c r="AC256" s="235">
        <v>-310000</v>
      </c>
      <c r="AD256" s="235">
        <v>-14429.378601460456</v>
      </c>
      <c r="AE256">
        <v>0</v>
      </c>
      <c r="AF256">
        <v>0</v>
      </c>
      <c r="AG256">
        <v>0</v>
      </c>
      <c r="AH256" s="235">
        <v>-3744.2885375921906</v>
      </c>
      <c r="AI256">
        <v>226</v>
      </c>
      <c r="AJ256" t="s">
        <v>256</v>
      </c>
      <c r="AK256">
        <v>0</v>
      </c>
      <c r="AL256">
        <v>0</v>
      </c>
      <c r="AM256">
        <v>0</v>
      </c>
    </row>
    <row r="257" spans="1:39" x14ac:dyDescent="0.25">
      <c r="A257" t="s">
        <v>233</v>
      </c>
      <c r="B257" t="s">
        <v>410</v>
      </c>
      <c r="C257" t="s">
        <v>255</v>
      </c>
      <c r="D257" t="s">
        <v>234</v>
      </c>
      <c r="E257" t="s">
        <v>20</v>
      </c>
      <c r="F257" t="s">
        <v>279</v>
      </c>
      <c r="G257" t="s">
        <v>269</v>
      </c>
      <c r="H257" t="s">
        <v>254</v>
      </c>
      <c r="I257" t="s">
        <v>242</v>
      </c>
      <c r="J257" t="s">
        <v>235</v>
      </c>
      <c r="K257" s="380">
        <v>36831</v>
      </c>
      <c r="L257" s="235">
        <v>-602.54032355859431</v>
      </c>
      <c r="M257" s="380">
        <v>36829</v>
      </c>
      <c r="N257" t="s">
        <v>21</v>
      </c>
      <c r="O257">
        <v>3</v>
      </c>
      <c r="P257">
        <v>0</v>
      </c>
      <c r="Q257">
        <v>0</v>
      </c>
      <c r="R257">
        <v>0</v>
      </c>
      <c r="S257">
        <v>0</v>
      </c>
      <c r="T257" t="s">
        <v>253</v>
      </c>
      <c r="U257" t="s">
        <v>7</v>
      </c>
      <c r="V257" t="s">
        <v>253</v>
      </c>
      <c r="W257" t="s">
        <v>132</v>
      </c>
      <c r="X257" t="s">
        <v>253</v>
      </c>
      <c r="Y257" t="s">
        <v>235</v>
      </c>
      <c r="Z257" t="s">
        <v>236</v>
      </c>
      <c r="AA257" t="s">
        <v>253</v>
      </c>
      <c r="AB257" t="s">
        <v>1</v>
      </c>
      <c r="AC257" s="235">
        <v>-300000</v>
      </c>
      <c r="AD257" s="235">
        <v>-601.41005566958916</v>
      </c>
      <c r="AE257">
        <v>0</v>
      </c>
      <c r="AF257">
        <v>0</v>
      </c>
      <c r="AG257">
        <v>0</v>
      </c>
      <c r="AH257" s="235">
        <v>-136.49685379598714</v>
      </c>
      <c r="AI257">
        <v>226</v>
      </c>
      <c r="AJ257" t="s">
        <v>256</v>
      </c>
      <c r="AK257">
        <v>0</v>
      </c>
      <c r="AL257">
        <v>0</v>
      </c>
      <c r="AM257">
        <v>0</v>
      </c>
    </row>
    <row r="258" spans="1:39" x14ac:dyDescent="0.25">
      <c r="A258" t="s">
        <v>233</v>
      </c>
      <c r="B258" t="s">
        <v>411</v>
      </c>
      <c r="C258" t="s">
        <v>255</v>
      </c>
      <c r="D258" t="s">
        <v>234</v>
      </c>
      <c r="E258" t="s">
        <v>20</v>
      </c>
      <c r="F258" t="s">
        <v>279</v>
      </c>
      <c r="G258" t="s">
        <v>269</v>
      </c>
      <c r="H258" t="s">
        <v>254</v>
      </c>
      <c r="I258" t="s">
        <v>242</v>
      </c>
      <c r="J258" t="s">
        <v>235</v>
      </c>
      <c r="K258" s="380">
        <v>36951</v>
      </c>
      <c r="L258" s="235">
        <v>171077.44847212691</v>
      </c>
      <c r="M258" s="380">
        <v>36949</v>
      </c>
      <c r="N258" t="s">
        <v>1</v>
      </c>
      <c r="O258">
        <v>0.75</v>
      </c>
      <c r="P258">
        <v>0</v>
      </c>
      <c r="Q258">
        <v>0</v>
      </c>
      <c r="R258">
        <v>0</v>
      </c>
      <c r="S258">
        <v>0</v>
      </c>
      <c r="T258" t="s">
        <v>253</v>
      </c>
      <c r="U258" t="s">
        <v>7</v>
      </c>
      <c r="V258" t="s">
        <v>253</v>
      </c>
      <c r="W258" t="s">
        <v>132</v>
      </c>
      <c r="X258" t="s">
        <v>253</v>
      </c>
      <c r="Y258" t="s">
        <v>235</v>
      </c>
      <c r="Z258" t="s">
        <v>236</v>
      </c>
      <c r="AA258" t="s">
        <v>253</v>
      </c>
      <c r="AB258" t="s">
        <v>1</v>
      </c>
      <c r="AC258" s="235">
        <v>500000</v>
      </c>
      <c r="AD258" s="235">
        <v>43710.151473572099</v>
      </c>
      <c r="AE258">
        <v>0</v>
      </c>
      <c r="AF258">
        <v>0</v>
      </c>
      <c r="AG258">
        <v>0</v>
      </c>
      <c r="AH258" s="235">
        <v>-8168.6097124045191</v>
      </c>
      <c r="AI258">
        <v>226</v>
      </c>
      <c r="AJ258" t="s">
        <v>256</v>
      </c>
      <c r="AK258">
        <v>0</v>
      </c>
      <c r="AL258">
        <v>0</v>
      </c>
      <c r="AM258">
        <v>0</v>
      </c>
    </row>
    <row r="259" spans="1:39" x14ac:dyDescent="0.25">
      <c r="A259" t="s">
        <v>233</v>
      </c>
      <c r="B259" t="s">
        <v>416</v>
      </c>
      <c r="C259" t="s">
        <v>255</v>
      </c>
      <c r="D259" t="s">
        <v>234</v>
      </c>
      <c r="E259" t="s">
        <v>20</v>
      </c>
      <c r="F259" t="s">
        <v>279</v>
      </c>
      <c r="G259" t="s">
        <v>269</v>
      </c>
      <c r="H259" t="s">
        <v>254</v>
      </c>
      <c r="I259" t="s">
        <v>242</v>
      </c>
      <c r="J259" t="s">
        <v>235</v>
      </c>
      <c r="K259" s="380">
        <v>36951</v>
      </c>
      <c r="L259" s="235">
        <v>-291693.5344319829</v>
      </c>
      <c r="M259" s="380">
        <v>36949</v>
      </c>
      <c r="N259" t="s">
        <v>21</v>
      </c>
      <c r="O259">
        <v>1.75</v>
      </c>
      <c r="P259">
        <v>0</v>
      </c>
      <c r="Q259">
        <v>0</v>
      </c>
      <c r="R259">
        <v>0</v>
      </c>
      <c r="S259">
        <v>0</v>
      </c>
      <c r="T259" t="s">
        <v>253</v>
      </c>
      <c r="U259" t="s">
        <v>7</v>
      </c>
      <c r="V259" t="s">
        <v>253</v>
      </c>
      <c r="W259" t="s">
        <v>132</v>
      </c>
      <c r="X259" t="s">
        <v>253</v>
      </c>
      <c r="Y259" t="s">
        <v>235</v>
      </c>
      <c r="Z259" t="s">
        <v>236</v>
      </c>
      <c r="AA259" t="s">
        <v>253</v>
      </c>
      <c r="AB259" t="s">
        <v>1</v>
      </c>
      <c r="AC259" s="235">
        <v>-1000000</v>
      </c>
      <c r="AD259" s="235">
        <v>-77433.670454429055</v>
      </c>
      <c r="AE259">
        <v>0</v>
      </c>
      <c r="AF259">
        <v>0</v>
      </c>
      <c r="AG259">
        <v>0</v>
      </c>
      <c r="AH259" s="235">
        <v>-24889.264244557009</v>
      </c>
      <c r="AI259">
        <v>226</v>
      </c>
      <c r="AJ259" t="s">
        <v>256</v>
      </c>
      <c r="AK259">
        <v>0</v>
      </c>
      <c r="AL259">
        <v>0</v>
      </c>
      <c r="AM259">
        <v>0</v>
      </c>
    </row>
    <row r="260" spans="1:39" x14ac:dyDescent="0.25">
      <c r="A260" t="s">
        <v>233</v>
      </c>
      <c r="B260" t="s">
        <v>416</v>
      </c>
      <c r="C260" t="s">
        <v>255</v>
      </c>
      <c r="D260" t="s">
        <v>234</v>
      </c>
      <c r="E260" t="s">
        <v>20</v>
      </c>
      <c r="F260" t="s">
        <v>279</v>
      </c>
      <c r="G260" t="s">
        <v>269</v>
      </c>
      <c r="H260" t="s">
        <v>254</v>
      </c>
      <c r="I260" t="s">
        <v>242</v>
      </c>
      <c r="J260" t="s">
        <v>235</v>
      </c>
      <c r="K260" s="380">
        <v>36923</v>
      </c>
      <c r="L260" s="235">
        <v>-831675.69846266182</v>
      </c>
      <c r="M260" s="380">
        <v>36921</v>
      </c>
      <c r="N260" t="s">
        <v>21</v>
      </c>
      <c r="O260">
        <v>1.75</v>
      </c>
      <c r="P260">
        <v>0</v>
      </c>
      <c r="Q260">
        <v>0</v>
      </c>
      <c r="R260">
        <v>0</v>
      </c>
      <c r="S260">
        <v>0</v>
      </c>
      <c r="T260" t="s">
        <v>253</v>
      </c>
      <c r="U260" t="s">
        <v>7</v>
      </c>
      <c r="V260" t="s">
        <v>253</v>
      </c>
      <c r="W260" t="s">
        <v>132</v>
      </c>
      <c r="X260" t="s">
        <v>253</v>
      </c>
      <c r="Y260" t="s">
        <v>235</v>
      </c>
      <c r="Z260" t="s">
        <v>236</v>
      </c>
      <c r="AA260" t="s">
        <v>253</v>
      </c>
      <c r="AB260" t="s">
        <v>1</v>
      </c>
      <c r="AC260" s="235">
        <v>-1000000</v>
      </c>
      <c r="AD260" s="235">
        <v>-85313.623718570219</v>
      </c>
      <c r="AE260">
        <v>0</v>
      </c>
      <c r="AF260">
        <v>0</v>
      </c>
      <c r="AG260">
        <v>0</v>
      </c>
      <c r="AH260" s="235">
        <v>-46642.186517634313</v>
      </c>
      <c r="AI260">
        <v>226</v>
      </c>
      <c r="AJ260" t="s">
        <v>256</v>
      </c>
      <c r="AK260">
        <v>0</v>
      </c>
      <c r="AL260">
        <v>0</v>
      </c>
      <c r="AM260">
        <v>0</v>
      </c>
    </row>
    <row r="261" spans="1:39" x14ac:dyDescent="0.25">
      <c r="A261" t="s">
        <v>233</v>
      </c>
      <c r="B261" t="s">
        <v>416</v>
      </c>
      <c r="C261" t="s">
        <v>255</v>
      </c>
      <c r="D261" t="s">
        <v>234</v>
      </c>
      <c r="E261" t="s">
        <v>20</v>
      </c>
      <c r="F261" t="s">
        <v>279</v>
      </c>
      <c r="G261" t="s">
        <v>269</v>
      </c>
      <c r="H261" t="s">
        <v>254</v>
      </c>
      <c r="I261" t="s">
        <v>242</v>
      </c>
      <c r="J261" t="s">
        <v>235</v>
      </c>
      <c r="K261" s="380">
        <v>36892</v>
      </c>
      <c r="L261" s="235">
        <v>-848053.5371320321</v>
      </c>
      <c r="M261" s="380">
        <v>36888</v>
      </c>
      <c r="N261" t="s">
        <v>21</v>
      </c>
      <c r="O261">
        <v>1.75</v>
      </c>
      <c r="P261">
        <v>0</v>
      </c>
      <c r="Q261">
        <v>0</v>
      </c>
      <c r="R261">
        <v>0</v>
      </c>
      <c r="S261">
        <v>0</v>
      </c>
      <c r="T261" t="s">
        <v>253</v>
      </c>
      <c r="U261" t="s">
        <v>7</v>
      </c>
      <c r="V261" t="s">
        <v>253</v>
      </c>
      <c r="W261" t="s">
        <v>132</v>
      </c>
      <c r="X261" t="s">
        <v>253</v>
      </c>
      <c r="Y261" t="s">
        <v>235</v>
      </c>
      <c r="Z261" t="s">
        <v>236</v>
      </c>
      <c r="AA261" t="s">
        <v>253</v>
      </c>
      <c r="AB261" t="s">
        <v>1</v>
      </c>
      <c r="AC261" s="235">
        <v>-1000000</v>
      </c>
      <c r="AD261" s="235">
        <v>-77169.985442042234</v>
      </c>
      <c r="AE261">
        <v>0</v>
      </c>
      <c r="AF261">
        <v>0</v>
      </c>
      <c r="AG261">
        <v>0</v>
      </c>
      <c r="AH261" s="235">
        <v>-41500.692328625242</v>
      </c>
      <c r="AI261">
        <v>226</v>
      </c>
      <c r="AJ261" t="s">
        <v>256</v>
      </c>
      <c r="AK261">
        <v>0</v>
      </c>
      <c r="AL261">
        <v>0</v>
      </c>
      <c r="AM261">
        <v>0</v>
      </c>
    </row>
    <row r="262" spans="1:39" x14ac:dyDescent="0.25">
      <c r="A262" t="s">
        <v>233</v>
      </c>
      <c r="B262" t="s">
        <v>416</v>
      </c>
      <c r="C262" t="s">
        <v>255</v>
      </c>
      <c r="D262" t="s">
        <v>234</v>
      </c>
      <c r="E262" t="s">
        <v>20</v>
      </c>
      <c r="F262" t="s">
        <v>279</v>
      </c>
      <c r="G262" t="s">
        <v>269</v>
      </c>
      <c r="H262" t="s">
        <v>254</v>
      </c>
      <c r="I262" t="s">
        <v>242</v>
      </c>
      <c r="J262" t="s">
        <v>235</v>
      </c>
      <c r="K262" s="380">
        <v>36861</v>
      </c>
      <c r="L262" s="235">
        <v>-472812.5861551339</v>
      </c>
      <c r="M262" s="380">
        <v>36859</v>
      </c>
      <c r="N262" t="s">
        <v>21</v>
      </c>
      <c r="O262">
        <v>1.75</v>
      </c>
      <c r="P262">
        <v>0</v>
      </c>
      <c r="Q262">
        <v>0</v>
      </c>
      <c r="R262">
        <v>0</v>
      </c>
      <c r="S262">
        <v>0</v>
      </c>
      <c r="T262" t="s">
        <v>253</v>
      </c>
      <c r="U262" t="s">
        <v>7</v>
      </c>
      <c r="V262" t="s">
        <v>253</v>
      </c>
      <c r="W262" t="s">
        <v>132</v>
      </c>
      <c r="X262" t="s">
        <v>253</v>
      </c>
      <c r="Y262" t="s">
        <v>235</v>
      </c>
      <c r="Z262" t="s">
        <v>236</v>
      </c>
      <c r="AA262" t="s">
        <v>253</v>
      </c>
      <c r="AB262" t="s">
        <v>1</v>
      </c>
      <c r="AC262" s="235">
        <v>-1000000</v>
      </c>
      <c r="AD262" s="235">
        <v>-70173.67017872323</v>
      </c>
      <c r="AE262">
        <v>0</v>
      </c>
      <c r="AF262">
        <v>0</v>
      </c>
      <c r="AG262">
        <v>0</v>
      </c>
      <c r="AH262" s="235">
        <v>-25854.311901853362</v>
      </c>
      <c r="AI262">
        <v>226</v>
      </c>
      <c r="AJ262" t="s">
        <v>256</v>
      </c>
      <c r="AK262">
        <v>0</v>
      </c>
      <c r="AL262">
        <v>0</v>
      </c>
      <c r="AM262">
        <v>0</v>
      </c>
    </row>
    <row r="263" spans="1:39" x14ac:dyDescent="0.25">
      <c r="A263" t="s">
        <v>233</v>
      </c>
      <c r="B263" t="s">
        <v>416</v>
      </c>
      <c r="C263" t="s">
        <v>255</v>
      </c>
      <c r="D263" t="s">
        <v>234</v>
      </c>
      <c r="E263" t="s">
        <v>20</v>
      </c>
      <c r="F263" t="s">
        <v>279</v>
      </c>
      <c r="G263" t="s">
        <v>269</v>
      </c>
      <c r="H263" t="s">
        <v>254</v>
      </c>
      <c r="I263" t="s">
        <v>242</v>
      </c>
      <c r="J263" t="s">
        <v>235</v>
      </c>
      <c r="K263" s="380">
        <v>36831</v>
      </c>
      <c r="L263" s="235">
        <v>-35639.805064446206</v>
      </c>
      <c r="M263" s="380">
        <v>36829</v>
      </c>
      <c r="N263" t="s">
        <v>21</v>
      </c>
      <c r="O263">
        <v>1.75</v>
      </c>
      <c r="P263">
        <v>0</v>
      </c>
      <c r="Q263">
        <v>0</v>
      </c>
      <c r="R263">
        <v>0</v>
      </c>
      <c r="S263">
        <v>0</v>
      </c>
      <c r="T263" t="s">
        <v>253</v>
      </c>
      <c r="U263" t="s">
        <v>7</v>
      </c>
      <c r="V263" t="s">
        <v>253</v>
      </c>
      <c r="W263" t="s">
        <v>132</v>
      </c>
      <c r="X263" t="s">
        <v>253</v>
      </c>
      <c r="Y263" t="s">
        <v>235</v>
      </c>
      <c r="Z263" t="s">
        <v>236</v>
      </c>
      <c r="AA263" t="s">
        <v>253</v>
      </c>
      <c r="AB263" t="s">
        <v>1</v>
      </c>
      <c r="AC263" s="235">
        <v>-1000000</v>
      </c>
      <c r="AD263" s="235">
        <v>-18615.975022111277</v>
      </c>
      <c r="AE263">
        <v>0</v>
      </c>
      <c r="AF263">
        <v>0</v>
      </c>
      <c r="AG263">
        <v>0</v>
      </c>
      <c r="AH263" s="235">
        <v>-5346.4016821535333</v>
      </c>
      <c r="AI263">
        <v>226</v>
      </c>
      <c r="AJ263" t="s">
        <v>256</v>
      </c>
      <c r="AK263">
        <v>0</v>
      </c>
      <c r="AL263">
        <v>0</v>
      </c>
      <c r="AM263">
        <v>0</v>
      </c>
    </row>
    <row r="264" spans="1:39" x14ac:dyDescent="0.25">
      <c r="A264" t="s">
        <v>233</v>
      </c>
      <c r="B264" t="s">
        <v>417</v>
      </c>
      <c r="C264" t="s">
        <v>255</v>
      </c>
      <c r="D264" t="s">
        <v>234</v>
      </c>
      <c r="E264" t="s">
        <v>20</v>
      </c>
      <c r="F264" t="s">
        <v>279</v>
      </c>
      <c r="G264" t="s">
        <v>269</v>
      </c>
      <c r="H264" t="s">
        <v>254</v>
      </c>
      <c r="I264" t="s">
        <v>242</v>
      </c>
      <c r="J264" t="s">
        <v>235</v>
      </c>
      <c r="K264" s="380">
        <v>36951</v>
      </c>
      <c r="L264" s="235">
        <v>157698.06655468969</v>
      </c>
      <c r="M264" s="380">
        <v>36949</v>
      </c>
      <c r="N264" t="s">
        <v>21</v>
      </c>
      <c r="O264">
        <v>2.5</v>
      </c>
      <c r="P264">
        <v>0</v>
      </c>
      <c r="Q264">
        <v>0</v>
      </c>
      <c r="R264">
        <v>0</v>
      </c>
      <c r="S264">
        <v>0</v>
      </c>
      <c r="T264" t="s">
        <v>253</v>
      </c>
      <c r="U264" t="s">
        <v>7</v>
      </c>
      <c r="V264" t="s">
        <v>253</v>
      </c>
      <c r="W264" t="s">
        <v>132</v>
      </c>
      <c r="X264" t="s">
        <v>253</v>
      </c>
      <c r="Y264" t="s">
        <v>235</v>
      </c>
      <c r="Z264" t="s">
        <v>236</v>
      </c>
      <c r="AA264" t="s">
        <v>253</v>
      </c>
      <c r="AB264" t="s">
        <v>1</v>
      </c>
      <c r="AC264" s="235">
        <v>1000000</v>
      </c>
      <c r="AD264" s="235">
        <v>57308.589381617843</v>
      </c>
      <c r="AE264">
        <v>0</v>
      </c>
      <c r="AF264">
        <v>0</v>
      </c>
      <c r="AG264">
        <v>0</v>
      </c>
      <c r="AH264" s="235">
        <v>15681.397873145906</v>
      </c>
      <c r="AI264">
        <v>226</v>
      </c>
      <c r="AJ264" t="s">
        <v>256</v>
      </c>
      <c r="AK264">
        <v>0</v>
      </c>
      <c r="AL264">
        <v>0</v>
      </c>
      <c r="AM264">
        <v>0</v>
      </c>
    </row>
    <row r="265" spans="1:39" x14ac:dyDescent="0.25">
      <c r="A265" t="s">
        <v>233</v>
      </c>
      <c r="B265" t="s">
        <v>417</v>
      </c>
      <c r="C265" t="s">
        <v>255</v>
      </c>
      <c r="D265" t="s">
        <v>234</v>
      </c>
      <c r="E265" t="s">
        <v>20</v>
      </c>
      <c r="F265" t="s">
        <v>279</v>
      </c>
      <c r="G265" t="s">
        <v>269</v>
      </c>
      <c r="H265" t="s">
        <v>254</v>
      </c>
      <c r="I265" t="s">
        <v>242</v>
      </c>
      <c r="J265" t="s">
        <v>235</v>
      </c>
      <c r="K265" s="380">
        <v>36923</v>
      </c>
      <c r="L265" s="235">
        <v>537096.25631967105</v>
      </c>
      <c r="M265" s="380">
        <v>36921</v>
      </c>
      <c r="N265" t="s">
        <v>21</v>
      </c>
      <c r="O265">
        <v>2.5</v>
      </c>
      <c r="P265">
        <v>0</v>
      </c>
      <c r="Q265">
        <v>0</v>
      </c>
      <c r="R265">
        <v>0</v>
      </c>
      <c r="S265">
        <v>0</v>
      </c>
      <c r="T265" t="s">
        <v>253</v>
      </c>
      <c r="U265" t="s">
        <v>7</v>
      </c>
      <c r="V265" t="s">
        <v>253</v>
      </c>
      <c r="W265" t="s">
        <v>132</v>
      </c>
      <c r="X265" t="s">
        <v>253</v>
      </c>
      <c r="Y265" t="s">
        <v>235</v>
      </c>
      <c r="Z265" t="s">
        <v>236</v>
      </c>
      <c r="AA265" t="s">
        <v>253</v>
      </c>
      <c r="AB265" t="s">
        <v>1</v>
      </c>
      <c r="AC265" s="235">
        <v>1000000</v>
      </c>
      <c r="AD265" s="235">
        <v>82769.602236199891</v>
      </c>
      <c r="AE265">
        <v>0</v>
      </c>
      <c r="AF265">
        <v>0</v>
      </c>
      <c r="AG265">
        <v>0</v>
      </c>
      <c r="AH265" s="235">
        <v>35480.636620919046</v>
      </c>
      <c r="AI265">
        <v>226</v>
      </c>
      <c r="AJ265" t="s">
        <v>256</v>
      </c>
      <c r="AK265">
        <v>0</v>
      </c>
      <c r="AL265">
        <v>0</v>
      </c>
      <c r="AM265">
        <v>0</v>
      </c>
    </row>
    <row r="266" spans="1:39" x14ac:dyDescent="0.25">
      <c r="A266" t="s">
        <v>233</v>
      </c>
      <c r="B266" t="s">
        <v>417</v>
      </c>
      <c r="C266" t="s">
        <v>255</v>
      </c>
      <c r="D266" t="s">
        <v>234</v>
      </c>
      <c r="E266" t="s">
        <v>20</v>
      </c>
      <c r="F266" t="s">
        <v>279</v>
      </c>
      <c r="G266" t="s">
        <v>269</v>
      </c>
      <c r="H266" t="s">
        <v>254</v>
      </c>
      <c r="I266" t="s">
        <v>242</v>
      </c>
      <c r="J266" t="s">
        <v>235</v>
      </c>
      <c r="K266" s="380">
        <v>36892</v>
      </c>
      <c r="L266" s="235">
        <v>531866.10397093277</v>
      </c>
      <c r="M266" s="380">
        <v>36888</v>
      </c>
      <c r="N266" t="s">
        <v>21</v>
      </c>
      <c r="O266">
        <v>2.5</v>
      </c>
      <c r="P266">
        <v>0</v>
      </c>
      <c r="Q266">
        <v>0</v>
      </c>
      <c r="R266">
        <v>0</v>
      </c>
      <c r="S266">
        <v>0</v>
      </c>
      <c r="T266" t="s">
        <v>253</v>
      </c>
      <c r="U266" t="s">
        <v>7</v>
      </c>
      <c r="V266" t="s">
        <v>253</v>
      </c>
      <c r="W266" t="s">
        <v>132</v>
      </c>
      <c r="X266" t="s">
        <v>253</v>
      </c>
      <c r="Y266" t="s">
        <v>235</v>
      </c>
      <c r="Z266" t="s">
        <v>236</v>
      </c>
      <c r="AA266" t="s">
        <v>253</v>
      </c>
      <c r="AB266" t="s">
        <v>1</v>
      </c>
      <c r="AC266" s="235">
        <v>1000000</v>
      </c>
      <c r="AD266" s="235">
        <v>76361.830798900919</v>
      </c>
      <c r="AE266">
        <v>0</v>
      </c>
      <c r="AF266">
        <v>0</v>
      </c>
      <c r="AG266">
        <v>0</v>
      </c>
      <c r="AH266" s="235">
        <v>31282.831871334114</v>
      </c>
      <c r="AI266">
        <v>226</v>
      </c>
      <c r="AJ266" t="s">
        <v>256</v>
      </c>
      <c r="AK266">
        <v>0</v>
      </c>
      <c r="AL266">
        <v>0</v>
      </c>
      <c r="AM266">
        <v>0</v>
      </c>
    </row>
    <row r="267" spans="1:39" x14ac:dyDescent="0.25">
      <c r="A267" t="s">
        <v>233</v>
      </c>
      <c r="B267" t="s">
        <v>417</v>
      </c>
      <c r="C267" t="s">
        <v>255</v>
      </c>
      <c r="D267" t="s">
        <v>234</v>
      </c>
      <c r="E267" t="s">
        <v>20</v>
      </c>
      <c r="F267" t="s">
        <v>279</v>
      </c>
      <c r="G267" t="s">
        <v>269</v>
      </c>
      <c r="H267" t="s">
        <v>254</v>
      </c>
      <c r="I267" t="s">
        <v>242</v>
      </c>
      <c r="J267" t="s">
        <v>235</v>
      </c>
      <c r="K267" s="380">
        <v>36861</v>
      </c>
      <c r="L267" s="235">
        <v>247737.51980055621</v>
      </c>
      <c r="M267" s="380">
        <v>36859</v>
      </c>
      <c r="N267" t="s">
        <v>21</v>
      </c>
      <c r="O267">
        <v>2.5</v>
      </c>
      <c r="P267">
        <v>0</v>
      </c>
      <c r="Q267">
        <v>0</v>
      </c>
      <c r="R267">
        <v>0</v>
      </c>
      <c r="S267">
        <v>0</v>
      </c>
      <c r="T267" t="s">
        <v>253</v>
      </c>
      <c r="U267" t="s">
        <v>7</v>
      </c>
      <c r="V267" t="s">
        <v>253</v>
      </c>
      <c r="W267" t="s">
        <v>132</v>
      </c>
      <c r="X267" t="s">
        <v>253</v>
      </c>
      <c r="Y267" t="s">
        <v>235</v>
      </c>
      <c r="Z267" t="s">
        <v>236</v>
      </c>
      <c r="AA267" t="s">
        <v>253</v>
      </c>
      <c r="AB267" t="s">
        <v>1</v>
      </c>
      <c r="AC267" s="235">
        <v>1000000</v>
      </c>
      <c r="AD267" s="235">
        <v>58026.826537211164</v>
      </c>
      <c r="AE267">
        <v>0</v>
      </c>
      <c r="AF267">
        <v>0</v>
      </c>
      <c r="AG267">
        <v>0</v>
      </c>
      <c r="AH267" s="235">
        <v>16791.507579922851</v>
      </c>
      <c r="AI267">
        <v>226</v>
      </c>
      <c r="AJ267" t="s">
        <v>256</v>
      </c>
      <c r="AK267">
        <v>0</v>
      </c>
      <c r="AL267">
        <v>0</v>
      </c>
      <c r="AM267">
        <v>0</v>
      </c>
    </row>
    <row r="268" spans="1:39" x14ac:dyDescent="0.25">
      <c r="A268" t="s">
        <v>233</v>
      </c>
      <c r="B268" t="s">
        <v>417</v>
      </c>
      <c r="C268" t="s">
        <v>255</v>
      </c>
      <c r="D268" t="s">
        <v>234</v>
      </c>
      <c r="E268" t="s">
        <v>20</v>
      </c>
      <c r="F268" t="s">
        <v>279</v>
      </c>
      <c r="G268" t="s">
        <v>269</v>
      </c>
      <c r="H268" t="s">
        <v>254</v>
      </c>
      <c r="I268" t="s">
        <v>242</v>
      </c>
      <c r="J268" t="s">
        <v>235</v>
      </c>
      <c r="K268" s="380">
        <v>36831</v>
      </c>
      <c r="L268" s="235">
        <v>6439.5475095290703</v>
      </c>
      <c r="M268" s="380">
        <v>36829</v>
      </c>
      <c r="N268" t="s">
        <v>21</v>
      </c>
      <c r="O268">
        <v>2.5</v>
      </c>
      <c r="P268">
        <v>0</v>
      </c>
      <c r="Q268">
        <v>0</v>
      </c>
      <c r="R268">
        <v>0</v>
      </c>
      <c r="S268">
        <v>0</v>
      </c>
      <c r="T268" t="s">
        <v>253</v>
      </c>
      <c r="U268" t="s">
        <v>7</v>
      </c>
      <c r="V268" t="s">
        <v>253</v>
      </c>
      <c r="W268" t="s">
        <v>132</v>
      </c>
      <c r="X268" t="s">
        <v>253</v>
      </c>
      <c r="Y268" t="s">
        <v>235</v>
      </c>
      <c r="Z268" t="s">
        <v>236</v>
      </c>
      <c r="AA268" t="s">
        <v>253</v>
      </c>
      <c r="AB268" t="s">
        <v>1</v>
      </c>
      <c r="AC268" s="235">
        <v>1000000</v>
      </c>
      <c r="AD268" s="235">
        <v>5231.9733423917023</v>
      </c>
      <c r="AE268">
        <v>0</v>
      </c>
      <c r="AF268">
        <v>0</v>
      </c>
      <c r="AG268">
        <v>0</v>
      </c>
      <c r="AH268" s="235">
        <v>1266.4611740150285</v>
      </c>
      <c r="AI268">
        <v>226</v>
      </c>
      <c r="AJ268" t="s">
        <v>256</v>
      </c>
      <c r="AK268">
        <v>0</v>
      </c>
      <c r="AL268">
        <v>0</v>
      </c>
      <c r="AM268">
        <v>0</v>
      </c>
    </row>
    <row r="269" spans="1:39" x14ac:dyDescent="0.25">
      <c r="A269" t="s">
        <v>233</v>
      </c>
      <c r="B269" t="s">
        <v>418</v>
      </c>
      <c r="C269" t="s">
        <v>255</v>
      </c>
      <c r="D269" t="s">
        <v>234</v>
      </c>
      <c r="E269" t="s">
        <v>20</v>
      </c>
      <c r="F269" t="s">
        <v>279</v>
      </c>
      <c r="G269" t="s">
        <v>269</v>
      </c>
      <c r="H269" t="s">
        <v>254</v>
      </c>
      <c r="I269" t="s">
        <v>242</v>
      </c>
      <c r="J269" t="s">
        <v>235</v>
      </c>
      <c r="K269" s="380">
        <v>36800</v>
      </c>
      <c r="L269" s="235">
        <v>-100935.67753937571</v>
      </c>
      <c r="M269" s="380">
        <v>36797</v>
      </c>
      <c r="N269" t="s">
        <v>1</v>
      </c>
      <c r="O269">
        <v>0.5</v>
      </c>
      <c r="P269">
        <v>0</v>
      </c>
      <c r="Q269">
        <v>0</v>
      </c>
      <c r="R269">
        <v>0</v>
      </c>
      <c r="S269">
        <v>0</v>
      </c>
      <c r="T269" t="s">
        <v>253</v>
      </c>
      <c r="U269" t="s">
        <v>7</v>
      </c>
      <c r="V269" t="s">
        <v>253</v>
      </c>
      <c r="W269" t="s">
        <v>132</v>
      </c>
      <c r="X269" t="s">
        <v>253</v>
      </c>
      <c r="Y269" t="s">
        <v>235</v>
      </c>
      <c r="Z269" t="s">
        <v>236</v>
      </c>
      <c r="AA269" t="s">
        <v>253</v>
      </c>
      <c r="AB269" t="s">
        <v>1</v>
      </c>
      <c r="AC269" s="235">
        <v>-1000000</v>
      </c>
      <c r="AD269" s="235">
        <v>-4839.6896786524449</v>
      </c>
      <c r="AE269">
        <v>0</v>
      </c>
      <c r="AF269">
        <v>0</v>
      </c>
      <c r="AG269">
        <v>0</v>
      </c>
      <c r="AH269" s="235">
        <v>-277.41837054140342</v>
      </c>
      <c r="AI269">
        <v>226</v>
      </c>
      <c r="AJ269" t="s">
        <v>256</v>
      </c>
      <c r="AK269">
        <v>0</v>
      </c>
      <c r="AL269">
        <v>0</v>
      </c>
      <c r="AM269">
        <v>0</v>
      </c>
    </row>
    <row r="270" spans="1:39" x14ac:dyDescent="0.25">
      <c r="A270" t="s">
        <v>233</v>
      </c>
      <c r="B270" t="s">
        <v>418</v>
      </c>
      <c r="C270" t="s">
        <v>255</v>
      </c>
      <c r="D270" t="s">
        <v>234</v>
      </c>
      <c r="E270" t="s">
        <v>20</v>
      </c>
      <c r="F270" t="s">
        <v>279</v>
      </c>
      <c r="G270" t="s">
        <v>269</v>
      </c>
      <c r="H270" t="s">
        <v>254</v>
      </c>
      <c r="I270" t="s">
        <v>242</v>
      </c>
      <c r="J270" t="s">
        <v>235</v>
      </c>
      <c r="K270" s="380">
        <v>36770</v>
      </c>
      <c r="L270" s="235">
        <v>-184931.92220017224</v>
      </c>
      <c r="M270" s="380">
        <v>36768</v>
      </c>
      <c r="N270" t="s">
        <v>1</v>
      </c>
      <c r="O270">
        <v>0.5</v>
      </c>
      <c r="P270">
        <v>0</v>
      </c>
      <c r="Q270">
        <v>0</v>
      </c>
      <c r="R270">
        <v>0</v>
      </c>
      <c r="S270">
        <v>0</v>
      </c>
      <c r="T270" t="s">
        <v>253</v>
      </c>
      <c r="U270" t="s">
        <v>7</v>
      </c>
      <c r="V270" t="s">
        <v>253</v>
      </c>
      <c r="W270" t="s">
        <v>132</v>
      </c>
      <c r="X270" t="s">
        <v>253</v>
      </c>
      <c r="Y270" t="s">
        <v>235</v>
      </c>
      <c r="Z270" t="s">
        <v>236</v>
      </c>
      <c r="AA270" t="s">
        <v>253</v>
      </c>
      <c r="AB270" t="s">
        <v>1</v>
      </c>
      <c r="AC270" s="235">
        <v>-1000000</v>
      </c>
      <c r="AD270" s="235">
        <v>0</v>
      </c>
      <c r="AE270">
        <v>0</v>
      </c>
      <c r="AF270">
        <v>0</v>
      </c>
      <c r="AG270">
        <v>0</v>
      </c>
      <c r="AH270" s="235">
        <v>-8.3708275633398443E-3</v>
      </c>
      <c r="AI270">
        <v>226</v>
      </c>
      <c r="AJ270" t="s">
        <v>256</v>
      </c>
      <c r="AK270">
        <v>0</v>
      </c>
      <c r="AL270">
        <v>0</v>
      </c>
      <c r="AM270">
        <v>0</v>
      </c>
    </row>
    <row r="271" spans="1:39" x14ac:dyDescent="0.25">
      <c r="A271" t="s">
        <v>233</v>
      </c>
      <c r="B271" t="s">
        <v>419</v>
      </c>
      <c r="C271" t="s">
        <v>255</v>
      </c>
      <c r="D271" t="s">
        <v>234</v>
      </c>
      <c r="E271" t="s">
        <v>20</v>
      </c>
      <c r="F271" t="s">
        <v>279</v>
      </c>
      <c r="G271" t="s">
        <v>269</v>
      </c>
      <c r="H271" t="s">
        <v>254</v>
      </c>
      <c r="I271" t="s">
        <v>242</v>
      </c>
      <c r="J271" t="s">
        <v>235</v>
      </c>
      <c r="K271" s="380">
        <v>36800</v>
      </c>
      <c r="L271" s="235">
        <v>7408.966165639019</v>
      </c>
      <c r="M271" s="380">
        <v>36797</v>
      </c>
      <c r="N271" t="s">
        <v>1</v>
      </c>
      <c r="O271">
        <v>0.3</v>
      </c>
      <c r="P271">
        <v>0</v>
      </c>
      <c r="Q271">
        <v>0</v>
      </c>
      <c r="R271">
        <v>0</v>
      </c>
      <c r="S271">
        <v>0</v>
      </c>
      <c r="T271" t="s">
        <v>253</v>
      </c>
      <c r="U271" t="s">
        <v>7</v>
      </c>
      <c r="V271" t="s">
        <v>253</v>
      </c>
      <c r="W271" t="s">
        <v>132</v>
      </c>
      <c r="X271" t="s">
        <v>253</v>
      </c>
      <c r="Y271" t="s">
        <v>235</v>
      </c>
      <c r="Z271" t="s">
        <v>236</v>
      </c>
      <c r="AA271" t="s">
        <v>253</v>
      </c>
      <c r="AB271" t="s">
        <v>1</v>
      </c>
      <c r="AC271" s="235">
        <v>1000000</v>
      </c>
      <c r="AD271" s="235">
        <v>3914.1238851314411</v>
      </c>
      <c r="AE271">
        <v>0</v>
      </c>
      <c r="AF271">
        <v>0</v>
      </c>
      <c r="AG271">
        <v>0</v>
      </c>
      <c r="AH271" s="235">
        <v>226.63136152001334</v>
      </c>
      <c r="AI271">
        <v>226</v>
      </c>
      <c r="AJ271" t="s">
        <v>256</v>
      </c>
      <c r="AK271">
        <v>0</v>
      </c>
      <c r="AL271">
        <v>0</v>
      </c>
      <c r="AM271">
        <v>0</v>
      </c>
    </row>
    <row r="272" spans="1:39" x14ac:dyDescent="0.25">
      <c r="A272" t="s">
        <v>233</v>
      </c>
      <c r="B272" t="s">
        <v>419</v>
      </c>
      <c r="C272" t="s">
        <v>255</v>
      </c>
      <c r="D272" t="s">
        <v>234</v>
      </c>
      <c r="E272" t="s">
        <v>20</v>
      </c>
      <c r="F272" t="s">
        <v>279</v>
      </c>
      <c r="G272" t="s">
        <v>269</v>
      </c>
      <c r="H272" t="s">
        <v>254</v>
      </c>
      <c r="I272" t="s">
        <v>242</v>
      </c>
      <c r="J272" t="s">
        <v>235</v>
      </c>
      <c r="K272" s="380">
        <v>36770</v>
      </c>
      <c r="L272" s="235">
        <v>2141.9777501948679</v>
      </c>
      <c r="M272" s="380">
        <v>36768</v>
      </c>
      <c r="N272" t="s">
        <v>1</v>
      </c>
      <c r="O272">
        <v>0.3</v>
      </c>
      <c r="P272">
        <v>0</v>
      </c>
      <c r="Q272">
        <v>0</v>
      </c>
      <c r="R272">
        <v>0</v>
      </c>
      <c r="S272">
        <v>0</v>
      </c>
      <c r="T272" t="s">
        <v>253</v>
      </c>
      <c r="U272" t="s">
        <v>7</v>
      </c>
      <c r="V272" t="s">
        <v>253</v>
      </c>
      <c r="W272" t="s">
        <v>132</v>
      </c>
      <c r="X272" t="s">
        <v>253</v>
      </c>
      <c r="Y272" t="s">
        <v>235</v>
      </c>
      <c r="Z272" t="s">
        <v>236</v>
      </c>
      <c r="AA272" t="s">
        <v>253</v>
      </c>
      <c r="AB272" t="s">
        <v>1</v>
      </c>
      <c r="AC272" s="235">
        <v>1000000</v>
      </c>
      <c r="AD272" s="235">
        <v>913.88103278100607</v>
      </c>
      <c r="AE272">
        <v>0</v>
      </c>
      <c r="AF272">
        <v>0</v>
      </c>
      <c r="AG272">
        <v>0</v>
      </c>
      <c r="AH272" s="235">
        <v>137.73911594672245</v>
      </c>
      <c r="AI272">
        <v>226</v>
      </c>
      <c r="AJ272" t="s">
        <v>256</v>
      </c>
      <c r="AK272">
        <v>0</v>
      </c>
      <c r="AL272">
        <v>0</v>
      </c>
      <c r="AM272">
        <v>0</v>
      </c>
    </row>
    <row r="273" spans="1:39" x14ac:dyDescent="0.25">
      <c r="A273" t="s">
        <v>233</v>
      </c>
      <c r="B273" t="s">
        <v>420</v>
      </c>
      <c r="C273" t="s">
        <v>255</v>
      </c>
      <c r="D273" t="s">
        <v>234</v>
      </c>
      <c r="E273" t="s">
        <v>20</v>
      </c>
      <c r="F273" t="s">
        <v>279</v>
      </c>
      <c r="G273" t="s">
        <v>269</v>
      </c>
      <c r="H273" t="s">
        <v>254</v>
      </c>
      <c r="I273" t="s">
        <v>242</v>
      </c>
      <c r="J273" t="s">
        <v>235</v>
      </c>
      <c r="K273" s="380">
        <v>36951</v>
      </c>
      <c r="L273" s="235">
        <v>-105275.50921372972</v>
      </c>
      <c r="M273" s="380">
        <v>36949</v>
      </c>
      <c r="N273" t="s">
        <v>21</v>
      </c>
      <c r="O273">
        <v>3</v>
      </c>
      <c r="P273">
        <v>0</v>
      </c>
      <c r="Q273">
        <v>0</v>
      </c>
      <c r="R273">
        <v>0</v>
      </c>
      <c r="S273">
        <v>0</v>
      </c>
      <c r="T273" t="s">
        <v>253</v>
      </c>
      <c r="U273" t="s">
        <v>7</v>
      </c>
      <c r="V273" t="s">
        <v>253</v>
      </c>
      <c r="W273" t="s">
        <v>132</v>
      </c>
      <c r="X273" t="s">
        <v>253</v>
      </c>
      <c r="Y273" t="s">
        <v>235</v>
      </c>
      <c r="Z273" t="s">
        <v>236</v>
      </c>
      <c r="AA273" t="s">
        <v>253</v>
      </c>
      <c r="AB273" t="s">
        <v>1</v>
      </c>
      <c r="AC273" s="235">
        <v>-1000000</v>
      </c>
      <c r="AD273" s="235">
        <v>-44783.102991442618</v>
      </c>
      <c r="AE273">
        <v>0</v>
      </c>
      <c r="AF273">
        <v>0</v>
      </c>
      <c r="AG273">
        <v>0</v>
      </c>
      <c r="AH273" s="235">
        <v>-11349.96312464212</v>
      </c>
      <c r="AI273">
        <v>226</v>
      </c>
      <c r="AJ273" t="s">
        <v>256</v>
      </c>
      <c r="AK273">
        <v>0</v>
      </c>
      <c r="AL273">
        <v>0</v>
      </c>
      <c r="AM273">
        <v>0</v>
      </c>
    </row>
    <row r="274" spans="1:39" x14ac:dyDescent="0.25">
      <c r="A274" t="s">
        <v>233</v>
      </c>
      <c r="B274" t="s">
        <v>420</v>
      </c>
      <c r="C274" t="s">
        <v>255</v>
      </c>
      <c r="D274" t="s">
        <v>234</v>
      </c>
      <c r="E274" t="s">
        <v>20</v>
      </c>
      <c r="F274" t="s">
        <v>279</v>
      </c>
      <c r="G274" t="s">
        <v>269</v>
      </c>
      <c r="H274" t="s">
        <v>254</v>
      </c>
      <c r="I274" t="s">
        <v>242</v>
      </c>
      <c r="J274" t="s">
        <v>235</v>
      </c>
      <c r="K274" s="380">
        <v>36923</v>
      </c>
      <c r="L274" s="235">
        <v>-399883.23237582517</v>
      </c>
      <c r="M274" s="380">
        <v>36921</v>
      </c>
      <c r="N274" t="s">
        <v>21</v>
      </c>
      <c r="O274">
        <v>3</v>
      </c>
      <c r="P274">
        <v>0</v>
      </c>
      <c r="Q274">
        <v>0</v>
      </c>
      <c r="R274">
        <v>0</v>
      </c>
      <c r="S274">
        <v>0</v>
      </c>
      <c r="T274" t="s">
        <v>253</v>
      </c>
      <c r="U274" t="s">
        <v>7</v>
      </c>
      <c r="V274" t="s">
        <v>253</v>
      </c>
      <c r="W274" t="s">
        <v>132</v>
      </c>
      <c r="X274" t="s">
        <v>253</v>
      </c>
      <c r="Y274" t="s">
        <v>235</v>
      </c>
      <c r="Z274" t="s">
        <v>236</v>
      </c>
      <c r="AA274" t="s">
        <v>253</v>
      </c>
      <c r="AB274" t="s">
        <v>1</v>
      </c>
      <c r="AC274" s="235">
        <v>-1000000</v>
      </c>
      <c r="AD274" s="235">
        <v>-75563.568388361135</v>
      </c>
      <c r="AE274">
        <v>0</v>
      </c>
      <c r="AF274">
        <v>0</v>
      </c>
      <c r="AG274">
        <v>0</v>
      </c>
      <c r="AH274" s="235">
        <v>-28889.729225914984</v>
      </c>
      <c r="AI274">
        <v>226</v>
      </c>
      <c r="AJ274" t="s">
        <v>256</v>
      </c>
      <c r="AK274">
        <v>0</v>
      </c>
      <c r="AL274">
        <v>0</v>
      </c>
      <c r="AM274">
        <v>0</v>
      </c>
    </row>
    <row r="275" spans="1:39" x14ac:dyDescent="0.25">
      <c r="A275" t="s">
        <v>233</v>
      </c>
      <c r="B275" t="s">
        <v>420</v>
      </c>
      <c r="C275" t="s">
        <v>255</v>
      </c>
      <c r="D275" t="s">
        <v>234</v>
      </c>
      <c r="E275" t="s">
        <v>20</v>
      </c>
      <c r="F275" t="s">
        <v>279</v>
      </c>
      <c r="G275" t="s">
        <v>269</v>
      </c>
      <c r="H275" t="s">
        <v>254</v>
      </c>
      <c r="I275" t="s">
        <v>242</v>
      </c>
      <c r="J275" t="s">
        <v>235</v>
      </c>
      <c r="K275" s="380">
        <v>36892</v>
      </c>
      <c r="L275" s="235">
        <v>-386217.11903889012</v>
      </c>
      <c r="M275" s="380">
        <v>36888</v>
      </c>
      <c r="N275" t="s">
        <v>21</v>
      </c>
      <c r="O275">
        <v>3</v>
      </c>
      <c r="P275">
        <v>0</v>
      </c>
      <c r="Q275">
        <v>0</v>
      </c>
      <c r="R275">
        <v>0</v>
      </c>
      <c r="S275">
        <v>0</v>
      </c>
      <c r="T275" t="s">
        <v>253</v>
      </c>
      <c r="U275" t="s">
        <v>7</v>
      </c>
      <c r="V275" t="s">
        <v>253</v>
      </c>
      <c r="W275" t="s">
        <v>132</v>
      </c>
      <c r="X275" t="s">
        <v>253</v>
      </c>
      <c r="Y275" t="s">
        <v>235</v>
      </c>
      <c r="Z275" t="s">
        <v>236</v>
      </c>
      <c r="AA275" t="s">
        <v>253</v>
      </c>
      <c r="AB275" t="s">
        <v>1</v>
      </c>
      <c r="AC275" s="235">
        <v>-1000000</v>
      </c>
      <c r="AD275" s="235">
        <v>-69610.923148355214</v>
      </c>
      <c r="AE275">
        <v>0</v>
      </c>
      <c r="AF275">
        <v>0</v>
      </c>
      <c r="AG275">
        <v>0</v>
      </c>
      <c r="AH275" s="235">
        <v>-25130.746382561163</v>
      </c>
      <c r="AI275">
        <v>226</v>
      </c>
      <c r="AJ275" t="s">
        <v>256</v>
      </c>
      <c r="AK275">
        <v>0</v>
      </c>
      <c r="AL275">
        <v>0</v>
      </c>
      <c r="AM275">
        <v>0</v>
      </c>
    </row>
    <row r="276" spans="1:39" x14ac:dyDescent="0.25">
      <c r="A276" t="s">
        <v>233</v>
      </c>
      <c r="B276" t="s">
        <v>420</v>
      </c>
      <c r="C276" t="s">
        <v>255</v>
      </c>
      <c r="D276" t="s">
        <v>234</v>
      </c>
      <c r="E276" t="s">
        <v>20</v>
      </c>
      <c r="F276" t="s">
        <v>279</v>
      </c>
      <c r="G276" t="s">
        <v>269</v>
      </c>
      <c r="H276" t="s">
        <v>254</v>
      </c>
      <c r="I276" t="s">
        <v>242</v>
      </c>
      <c r="J276" t="s">
        <v>235</v>
      </c>
      <c r="K276" s="380">
        <v>36861</v>
      </c>
      <c r="L276" s="235">
        <v>-158678.12072193169</v>
      </c>
      <c r="M276" s="380">
        <v>36859</v>
      </c>
      <c r="N276" t="s">
        <v>21</v>
      </c>
      <c r="O276">
        <v>3</v>
      </c>
      <c r="P276">
        <v>0</v>
      </c>
      <c r="Q276">
        <v>0</v>
      </c>
      <c r="R276">
        <v>0</v>
      </c>
      <c r="S276">
        <v>0</v>
      </c>
      <c r="T276" t="s">
        <v>253</v>
      </c>
      <c r="U276" t="s">
        <v>7</v>
      </c>
      <c r="V276" t="s">
        <v>253</v>
      </c>
      <c r="W276" t="s">
        <v>132</v>
      </c>
      <c r="X276" t="s">
        <v>253</v>
      </c>
      <c r="Y276" t="s">
        <v>235</v>
      </c>
      <c r="Z276" t="s">
        <v>236</v>
      </c>
      <c r="AA276" t="s">
        <v>253</v>
      </c>
      <c r="AB276" t="s">
        <v>1</v>
      </c>
      <c r="AC276" s="235">
        <v>-1000000</v>
      </c>
      <c r="AD276" s="235">
        <v>-46546.382585356332</v>
      </c>
      <c r="AE276">
        <v>0</v>
      </c>
      <c r="AF276">
        <v>0</v>
      </c>
      <c r="AG276">
        <v>0</v>
      </c>
      <c r="AH276" s="235">
        <v>-12078.350121265161</v>
      </c>
      <c r="AI276">
        <v>226</v>
      </c>
      <c r="AJ276" t="s">
        <v>256</v>
      </c>
      <c r="AK276">
        <v>0</v>
      </c>
      <c r="AL276">
        <v>0</v>
      </c>
      <c r="AM276">
        <v>0</v>
      </c>
    </row>
    <row r="277" spans="1:39" x14ac:dyDescent="0.25">
      <c r="A277" t="s">
        <v>233</v>
      </c>
      <c r="B277" t="s">
        <v>420</v>
      </c>
      <c r="C277" t="s">
        <v>255</v>
      </c>
      <c r="D277" t="s">
        <v>234</v>
      </c>
      <c r="E277" t="s">
        <v>20</v>
      </c>
      <c r="F277" t="s">
        <v>279</v>
      </c>
      <c r="G277" t="s">
        <v>269</v>
      </c>
      <c r="H277" t="s">
        <v>254</v>
      </c>
      <c r="I277" t="s">
        <v>242</v>
      </c>
      <c r="J277" t="s">
        <v>235</v>
      </c>
      <c r="K277" s="380">
        <v>36831</v>
      </c>
      <c r="L277" s="235">
        <v>-2008.4677451953141</v>
      </c>
      <c r="M277" s="380">
        <v>36829</v>
      </c>
      <c r="N277" t="s">
        <v>21</v>
      </c>
      <c r="O277">
        <v>3</v>
      </c>
      <c r="P277">
        <v>0</v>
      </c>
      <c r="Q277">
        <v>0</v>
      </c>
      <c r="R277">
        <v>0</v>
      </c>
      <c r="S277">
        <v>0</v>
      </c>
      <c r="T277" t="s">
        <v>253</v>
      </c>
      <c r="U277" t="s">
        <v>7</v>
      </c>
      <c r="V277" t="s">
        <v>253</v>
      </c>
      <c r="W277" t="s">
        <v>132</v>
      </c>
      <c r="X277" t="s">
        <v>253</v>
      </c>
      <c r="Y277" t="s">
        <v>235</v>
      </c>
      <c r="Z277" t="s">
        <v>236</v>
      </c>
      <c r="AA277" t="s">
        <v>253</v>
      </c>
      <c r="AB277" t="s">
        <v>1</v>
      </c>
      <c r="AC277" s="235">
        <v>-1000000</v>
      </c>
      <c r="AD277" s="235">
        <v>-2004.7001855652961</v>
      </c>
      <c r="AE277">
        <v>0</v>
      </c>
      <c r="AF277">
        <v>0</v>
      </c>
      <c r="AG277">
        <v>0</v>
      </c>
      <c r="AH277" s="235">
        <v>-454.98951265329083</v>
      </c>
      <c r="AI277">
        <v>226</v>
      </c>
      <c r="AJ277" t="s">
        <v>256</v>
      </c>
      <c r="AK277">
        <v>0</v>
      </c>
      <c r="AL277">
        <v>0</v>
      </c>
      <c r="AM277">
        <v>0</v>
      </c>
    </row>
    <row r="278" spans="1:39" x14ac:dyDescent="0.25">
      <c r="A278" t="s">
        <v>233</v>
      </c>
      <c r="B278" t="s">
        <v>421</v>
      </c>
      <c r="C278" t="s">
        <v>255</v>
      </c>
      <c r="D278" t="s">
        <v>234</v>
      </c>
      <c r="E278" t="s">
        <v>20</v>
      </c>
      <c r="F278" t="s">
        <v>281</v>
      </c>
      <c r="G278" t="s">
        <v>269</v>
      </c>
      <c r="H278" t="s">
        <v>254</v>
      </c>
      <c r="I278" t="s">
        <v>242</v>
      </c>
      <c r="J278" t="s">
        <v>235</v>
      </c>
      <c r="K278" s="380">
        <v>36951</v>
      </c>
      <c r="L278" s="235">
        <v>120184.92641255091</v>
      </c>
      <c r="M278" s="380">
        <v>36949</v>
      </c>
      <c r="N278" t="s">
        <v>1</v>
      </c>
      <c r="O278">
        <v>0.5</v>
      </c>
      <c r="P278">
        <v>0</v>
      </c>
      <c r="Q278">
        <v>0</v>
      </c>
      <c r="R278">
        <v>0</v>
      </c>
      <c r="S278">
        <v>0</v>
      </c>
      <c r="T278" t="s">
        <v>253</v>
      </c>
      <c r="U278" t="s">
        <v>7</v>
      </c>
      <c r="V278" t="s">
        <v>253</v>
      </c>
      <c r="W278" t="s">
        <v>132</v>
      </c>
      <c r="X278" t="s">
        <v>253</v>
      </c>
      <c r="Y278" t="s">
        <v>235</v>
      </c>
      <c r="Z278" t="s">
        <v>236</v>
      </c>
      <c r="AA278" t="s">
        <v>253</v>
      </c>
      <c r="AB278" t="s">
        <v>1</v>
      </c>
      <c r="AC278" s="235">
        <v>500000</v>
      </c>
      <c r="AD278" s="235">
        <v>40998.02499858386</v>
      </c>
      <c r="AE278">
        <v>0</v>
      </c>
      <c r="AF278">
        <v>0</v>
      </c>
      <c r="AG278">
        <v>0</v>
      </c>
      <c r="AH278" s="235">
        <v>-6083.1606245246367</v>
      </c>
      <c r="AI278">
        <v>226</v>
      </c>
      <c r="AJ278" t="s">
        <v>256</v>
      </c>
      <c r="AK278">
        <v>0</v>
      </c>
      <c r="AL278">
        <v>0</v>
      </c>
      <c r="AM278">
        <v>0</v>
      </c>
    </row>
    <row r="279" spans="1:39" x14ac:dyDescent="0.25">
      <c r="A279" t="s">
        <v>233</v>
      </c>
      <c r="B279" t="s">
        <v>422</v>
      </c>
      <c r="C279" t="s">
        <v>255</v>
      </c>
      <c r="D279" t="s">
        <v>234</v>
      </c>
      <c r="E279" t="s">
        <v>20</v>
      </c>
      <c r="F279" t="s">
        <v>281</v>
      </c>
      <c r="G279" t="s">
        <v>269</v>
      </c>
      <c r="H279" t="s">
        <v>254</v>
      </c>
      <c r="I279" t="s">
        <v>242</v>
      </c>
      <c r="J279" t="s">
        <v>235</v>
      </c>
      <c r="K279" s="380">
        <v>36951</v>
      </c>
      <c r="L279" s="235">
        <v>169110.8360793184</v>
      </c>
      <c r="M279" s="380">
        <v>36949</v>
      </c>
      <c r="N279" t="s">
        <v>21</v>
      </c>
      <c r="O279">
        <v>1.57</v>
      </c>
      <c r="P279">
        <v>0</v>
      </c>
      <c r="Q279">
        <v>0</v>
      </c>
      <c r="R279">
        <v>0</v>
      </c>
      <c r="S279">
        <v>0</v>
      </c>
      <c r="T279" t="s">
        <v>253</v>
      </c>
      <c r="U279" t="s">
        <v>7</v>
      </c>
      <c r="V279" t="s">
        <v>253</v>
      </c>
      <c r="W279" t="s">
        <v>132</v>
      </c>
      <c r="X279" t="s">
        <v>253</v>
      </c>
      <c r="Y279" t="s">
        <v>235</v>
      </c>
      <c r="Z279" t="s">
        <v>236</v>
      </c>
      <c r="AA279" t="s">
        <v>253</v>
      </c>
      <c r="AB279" t="s">
        <v>1</v>
      </c>
      <c r="AC279" s="235">
        <v>500000</v>
      </c>
      <c r="AD279" s="235">
        <v>40815.890813372098</v>
      </c>
      <c r="AE279">
        <v>0</v>
      </c>
      <c r="AF279">
        <v>0</v>
      </c>
      <c r="AG279">
        <v>0</v>
      </c>
      <c r="AH279" s="235">
        <v>13805.693861937471</v>
      </c>
      <c r="AI279">
        <v>226</v>
      </c>
      <c r="AJ279" t="s">
        <v>256</v>
      </c>
      <c r="AK279">
        <v>0</v>
      </c>
      <c r="AL279">
        <v>0</v>
      </c>
      <c r="AM279">
        <v>0</v>
      </c>
    </row>
    <row r="280" spans="1:39" x14ac:dyDescent="0.25">
      <c r="A280" t="s">
        <v>233</v>
      </c>
      <c r="B280" t="s">
        <v>422</v>
      </c>
      <c r="C280" t="s">
        <v>255</v>
      </c>
      <c r="D280" t="s">
        <v>234</v>
      </c>
      <c r="E280" t="s">
        <v>20</v>
      </c>
      <c r="F280" t="s">
        <v>281</v>
      </c>
      <c r="G280" t="s">
        <v>269</v>
      </c>
      <c r="H280" t="s">
        <v>254</v>
      </c>
      <c r="I280" t="s">
        <v>242</v>
      </c>
      <c r="J280" t="s">
        <v>235</v>
      </c>
      <c r="K280" s="380">
        <v>36923</v>
      </c>
      <c r="L280" s="235">
        <v>460867.77246676991</v>
      </c>
      <c r="M280" s="380">
        <v>36921</v>
      </c>
      <c r="N280" t="s">
        <v>21</v>
      </c>
      <c r="O280">
        <v>1.57</v>
      </c>
      <c r="P280">
        <v>0</v>
      </c>
      <c r="Q280">
        <v>0</v>
      </c>
      <c r="R280">
        <v>0</v>
      </c>
      <c r="S280">
        <v>0</v>
      </c>
      <c r="T280" t="s">
        <v>253</v>
      </c>
      <c r="U280" t="s">
        <v>7</v>
      </c>
      <c r="V280" t="s">
        <v>253</v>
      </c>
      <c r="W280" t="s">
        <v>132</v>
      </c>
      <c r="X280" t="s">
        <v>253</v>
      </c>
      <c r="Y280" t="s">
        <v>235</v>
      </c>
      <c r="Z280" t="s">
        <v>236</v>
      </c>
      <c r="AA280" t="s">
        <v>253</v>
      </c>
      <c r="AB280" t="s">
        <v>1</v>
      </c>
      <c r="AC280" s="235">
        <v>500000</v>
      </c>
      <c r="AD280" s="235">
        <v>41804.469528194051</v>
      </c>
      <c r="AE280">
        <v>0</v>
      </c>
      <c r="AF280">
        <v>0</v>
      </c>
      <c r="AG280">
        <v>0</v>
      </c>
      <c r="AH280" s="235">
        <v>24691.972599181987</v>
      </c>
      <c r="AI280">
        <v>226</v>
      </c>
      <c r="AJ280" t="s">
        <v>256</v>
      </c>
      <c r="AK280">
        <v>0</v>
      </c>
      <c r="AL280">
        <v>0</v>
      </c>
      <c r="AM280">
        <v>0</v>
      </c>
    </row>
    <row r="281" spans="1:39" x14ac:dyDescent="0.25">
      <c r="A281" t="s">
        <v>233</v>
      </c>
      <c r="B281" t="s">
        <v>422</v>
      </c>
      <c r="C281" t="s">
        <v>255</v>
      </c>
      <c r="D281" t="s">
        <v>234</v>
      </c>
      <c r="E281" t="s">
        <v>20</v>
      </c>
      <c r="F281" t="s">
        <v>281</v>
      </c>
      <c r="G281" t="s">
        <v>269</v>
      </c>
      <c r="H281" t="s">
        <v>254</v>
      </c>
      <c r="I281" t="s">
        <v>242</v>
      </c>
      <c r="J281" t="s">
        <v>235</v>
      </c>
      <c r="K281" s="380">
        <v>36892</v>
      </c>
      <c r="L281" s="235">
        <v>472421.46868013986</v>
      </c>
      <c r="M281" s="380">
        <v>36888</v>
      </c>
      <c r="N281" t="s">
        <v>21</v>
      </c>
      <c r="O281">
        <v>1.57</v>
      </c>
      <c r="P281">
        <v>0</v>
      </c>
      <c r="Q281">
        <v>0</v>
      </c>
      <c r="R281">
        <v>0</v>
      </c>
      <c r="S281">
        <v>0</v>
      </c>
      <c r="T281" t="s">
        <v>253</v>
      </c>
      <c r="U281" t="s">
        <v>7</v>
      </c>
      <c r="V281" t="s">
        <v>253</v>
      </c>
      <c r="W281" t="s">
        <v>132</v>
      </c>
      <c r="X281" t="s">
        <v>253</v>
      </c>
      <c r="Y281" t="s">
        <v>235</v>
      </c>
      <c r="Z281" t="s">
        <v>236</v>
      </c>
      <c r="AA281" t="s">
        <v>253</v>
      </c>
      <c r="AB281" t="s">
        <v>1</v>
      </c>
      <c r="AC281" s="235">
        <v>500000</v>
      </c>
      <c r="AD281" s="235">
        <v>37443.709238903422</v>
      </c>
      <c r="AE281">
        <v>0</v>
      </c>
      <c r="AF281">
        <v>0</v>
      </c>
      <c r="AG281">
        <v>0</v>
      </c>
      <c r="AH281" s="235">
        <v>21969.974126686342</v>
      </c>
      <c r="AI281">
        <v>226</v>
      </c>
      <c r="AJ281" t="s">
        <v>256</v>
      </c>
      <c r="AK281">
        <v>0</v>
      </c>
      <c r="AL281">
        <v>0</v>
      </c>
      <c r="AM281">
        <v>0</v>
      </c>
    </row>
    <row r="282" spans="1:39" x14ac:dyDescent="0.25">
      <c r="A282" t="s">
        <v>233</v>
      </c>
      <c r="B282" t="s">
        <v>422</v>
      </c>
      <c r="C282" t="s">
        <v>255</v>
      </c>
      <c r="D282" t="s">
        <v>234</v>
      </c>
      <c r="E282" t="s">
        <v>20</v>
      </c>
      <c r="F282" t="s">
        <v>281</v>
      </c>
      <c r="G282" t="s">
        <v>269</v>
      </c>
      <c r="H282" t="s">
        <v>254</v>
      </c>
      <c r="I282" t="s">
        <v>242</v>
      </c>
      <c r="J282" t="s">
        <v>235</v>
      </c>
      <c r="K282" s="380">
        <v>36861</v>
      </c>
      <c r="L282" s="235">
        <v>274331.68111540278</v>
      </c>
      <c r="M282" s="380">
        <v>36859</v>
      </c>
      <c r="N282" t="s">
        <v>21</v>
      </c>
      <c r="O282">
        <v>1.57</v>
      </c>
      <c r="P282">
        <v>0</v>
      </c>
      <c r="Q282">
        <v>0</v>
      </c>
      <c r="R282">
        <v>0</v>
      </c>
      <c r="S282">
        <v>0</v>
      </c>
      <c r="T282" t="s">
        <v>253</v>
      </c>
      <c r="U282" t="s">
        <v>7</v>
      </c>
      <c r="V282" t="s">
        <v>253</v>
      </c>
      <c r="W282" t="s">
        <v>132</v>
      </c>
      <c r="X282" t="s">
        <v>253</v>
      </c>
      <c r="Y282" t="s">
        <v>235</v>
      </c>
      <c r="Z282" t="s">
        <v>236</v>
      </c>
      <c r="AA282" t="s">
        <v>253</v>
      </c>
      <c r="AB282" t="s">
        <v>1</v>
      </c>
      <c r="AC282" s="235">
        <v>500000</v>
      </c>
      <c r="AD282" s="235">
        <v>35412.088256948919</v>
      </c>
      <c r="AE282">
        <v>0</v>
      </c>
      <c r="AF282">
        <v>0</v>
      </c>
      <c r="AG282">
        <v>0</v>
      </c>
      <c r="AH282" s="235">
        <v>14121.552010119194</v>
      </c>
      <c r="AI282">
        <v>226</v>
      </c>
      <c r="AJ282" t="s">
        <v>256</v>
      </c>
      <c r="AK282">
        <v>0</v>
      </c>
      <c r="AL282">
        <v>0</v>
      </c>
      <c r="AM282">
        <v>0</v>
      </c>
    </row>
    <row r="283" spans="1:39" x14ac:dyDescent="0.25">
      <c r="A283" t="s">
        <v>233</v>
      </c>
      <c r="B283" t="s">
        <v>422</v>
      </c>
      <c r="C283" t="s">
        <v>255</v>
      </c>
      <c r="D283" t="s">
        <v>234</v>
      </c>
      <c r="E283" t="s">
        <v>20</v>
      </c>
      <c r="F283" t="s">
        <v>281</v>
      </c>
      <c r="G283" t="s">
        <v>269</v>
      </c>
      <c r="H283" t="s">
        <v>254</v>
      </c>
      <c r="I283" t="s">
        <v>242</v>
      </c>
      <c r="J283" t="s">
        <v>235</v>
      </c>
      <c r="K283" s="380">
        <v>36831</v>
      </c>
      <c r="L283" s="235">
        <v>26445.502569993929</v>
      </c>
      <c r="M283" s="380">
        <v>36829</v>
      </c>
      <c r="N283" t="s">
        <v>21</v>
      </c>
      <c r="O283">
        <v>1.57</v>
      </c>
      <c r="P283">
        <v>0</v>
      </c>
      <c r="Q283">
        <v>0</v>
      </c>
      <c r="R283">
        <v>0</v>
      </c>
      <c r="S283">
        <v>0</v>
      </c>
      <c r="T283" t="s">
        <v>253</v>
      </c>
      <c r="U283" t="s">
        <v>7</v>
      </c>
      <c r="V283" t="s">
        <v>253</v>
      </c>
      <c r="W283" t="s">
        <v>132</v>
      </c>
      <c r="X283" t="s">
        <v>253</v>
      </c>
      <c r="Y283" t="s">
        <v>235</v>
      </c>
      <c r="Z283" t="s">
        <v>236</v>
      </c>
      <c r="AA283" t="s">
        <v>253</v>
      </c>
      <c r="AB283" t="s">
        <v>1</v>
      </c>
      <c r="AC283" s="235">
        <v>500000</v>
      </c>
      <c r="AD283" s="235">
        <v>11973.40819131129</v>
      </c>
      <c r="AE283">
        <v>0</v>
      </c>
      <c r="AF283">
        <v>0</v>
      </c>
      <c r="AG283">
        <v>0</v>
      </c>
      <c r="AH283" s="235">
        <v>3662.4046271934858</v>
      </c>
      <c r="AI283">
        <v>226</v>
      </c>
      <c r="AJ283" t="s">
        <v>256</v>
      </c>
      <c r="AK283">
        <v>0</v>
      </c>
      <c r="AL283">
        <v>0</v>
      </c>
      <c r="AM283">
        <v>0</v>
      </c>
    </row>
    <row r="284" spans="1:39" x14ac:dyDescent="0.25">
      <c r="A284" t="s">
        <v>233</v>
      </c>
      <c r="B284" t="s">
        <v>423</v>
      </c>
      <c r="C284" t="s">
        <v>255</v>
      </c>
      <c r="D284" t="s">
        <v>234</v>
      </c>
      <c r="E284" t="s">
        <v>20</v>
      </c>
      <c r="F284" t="s">
        <v>281</v>
      </c>
      <c r="G284" t="s">
        <v>269</v>
      </c>
      <c r="H284" t="s">
        <v>254</v>
      </c>
      <c r="I284" t="s">
        <v>242</v>
      </c>
      <c r="J284" t="s">
        <v>235</v>
      </c>
      <c r="K284" s="380">
        <v>36951</v>
      </c>
      <c r="L284" s="235">
        <v>408215.15942233399</v>
      </c>
      <c r="M284" s="380">
        <v>36949</v>
      </c>
      <c r="N284" t="s">
        <v>1</v>
      </c>
      <c r="O284">
        <v>1.57</v>
      </c>
      <c r="P284">
        <v>0</v>
      </c>
      <c r="Q284">
        <v>0</v>
      </c>
      <c r="R284">
        <v>0</v>
      </c>
      <c r="S284">
        <v>0</v>
      </c>
      <c r="T284" t="s">
        <v>253</v>
      </c>
      <c r="U284" t="s">
        <v>7</v>
      </c>
      <c r="V284" t="s">
        <v>253</v>
      </c>
      <c r="W284" t="s">
        <v>132</v>
      </c>
      <c r="X284" t="s">
        <v>253</v>
      </c>
      <c r="Y284" t="s">
        <v>235</v>
      </c>
      <c r="Z284" t="s">
        <v>236</v>
      </c>
      <c r="AA284" t="s">
        <v>253</v>
      </c>
      <c r="AB284" t="s">
        <v>1</v>
      </c>
      <c r="AC284" s="235">
        <v>500000</v>
      </c>
      <c r="AD284" s="235">
        <v>40815.89081337204</v>
      </c>
      <c r="AE284">
        <v>0</v>
      </c>
      <c r="AF284">
        <v>0</v>
      </c>
      <c r="AG284">
        <v>0</v>
      </c>
      <c r="AH284" s="235">
        <v>-15162.373091836635</v>
      </c>
      <c r="AI284">
        <v>226</v>
      </c>
      <c r="AJ284" t="s">
        <v>256</v>
      </c>
      <c r="AK284">
        <v>0</v>
      </c>
      <c r="AL284">
        <v>0</v>
      </c>
      <c r="AM284">
        <v>0</v>
      </c>
    </row>
    <row r="285" spans="1:39" x14ac:dyDescent="0.25">
      <c r="A285" t="s">
        <v>233</v>
      </c>
      <c r="B285" t="s">
        <v>423</v>
      </c>
      <c r="C285" t="s">
        <v>255</v>
      </c>
      <c r="D285" t="s">
        <v>234</v>
      </c>
      <c r="E285" t="s">
        <v>20</v>
      </c>
      <c r="F285" t="s">
        <v>281</v>
      </c>
      <c r="G285" t="s">
        <v>269</v>
      </c>
      <c r="H285" t="s">
        <v>254</v>
      </c>
      <c r="I285" t="s">
        <v>242</v>
      </c>
      <c r="J285" t="s">
        <v>235</v>
      </c>
      <c r="K285" s="380">
        <v>36923</v>
      </c>
      <c r="L285" s="235">
        <v>208331.97259428271</v>
      </c>
      <c r="M285" s="380">
        <v>36921</v>
      </c>
      <c r="N285" t="s">
        <v>1</v>
      </c>
      <c r="O285">
        <v>1.57</v>
      </c>
      <c r="P285">
        <v>0</v>
      </c>
      <c r="Q285">
        <v>0</v>
      </c>
      <c r="R285">
        <v>0</v>
      </c>
      <c r="S285">
        <v>0</v>
      </c>
      <c r="T285" t="s">
        <v>253</v>
      </c>
      <c r="U285" t="s">
        <v>7</v>
      </c>
      <c r="V285" t="s">
        <v>253</v>
      </c>
      <c r="W285" t="s">
        <v>132</v>
      </c>
      <c r="X285" t="s">
        <v>253</v>
      </c>
      <c r="Y285" t="s">
        <v>235</v>
      </c>
      <c r="Z285" t="s">
        <v>236</v>
      </c>
      <c r="AA285" t="s">
        <v>253</v>
      </c>
      <c r="AB285" t="s">
        <v>1</v>
      </c>
      <c r="AC285" s="235">
        <v>500000</v>
      </c>
      <c r="AD285" s="235">
        <v>41804.469528194051</v>
      </c>
      <c r="AE285">
        <v>0</v>
      </c>
      <c r="AF285">
        <v>0</v>
      </c>
      <c r="AG285">
        <v>0</v>
      </c>
      <c r="AH285" s="235">
        <v>-9285.755710594327</v>
      </c>
      <c r="AI285">
        <v>226</v>
      </c>
      <c r="AJ285" t="s">
        <v>256</v>
      </c>
      <c r="AK285">
        <v>0</v>
      </c>
      <c r="AL285">
        <v>0</v>
      </c>
      <c r="AM285">
        <v>0</v>
      </c>
    </row>
    <row r="286" spans="1:39" x14ac:dyDescent="0.25">
      <c r="A286" t="s">
        <v>233</v>
      </c>
      <c r="B286" t="s">
        <v>423</v>
      </c>
      <c r="C286" t="s">
        <v>255</v>
      </c>
      <c r="D286" t="s">
        <v>234</v>
      </c>
      <c r="E286" t="s">
        <v>20</v>
      </c>
      <c r="F286" t="s">
        <v>281</v>
      </c>
      <c r="G286" t="s">
        <v>269</v>
      </c>
      <c r="H286" t="s">
        <v>254</v>
      </c>
      <c r="I286" t="s">
        <v>242</v>
      </c>
      <c r="J286" t="s">
        <v>235</v>
      </c>
      <c r="K286" s="380">
        <v>36892</v>
      </c>
      <c r="L286" s="235">
        <v>179195.34508538869</v>
      </c>
      <c r="M286" s="380">
        <v>36888</v>
      </c>
      <c r="N286" t="s">
        <v>1</v>
      </c>
      <c r="O286">
        <v>1.57</v>
      </c>
      <c r="P286">
        <v>0</v>
      </c>
      <c r="Q286">
        <v>0</v>
      </c>
      <c r="R286">
        <v>0</v>
      </c>
      <c r="S286">
        <v>0</v>
      </c>
      <c r="T286" t="s">
        <v>253</v>
      </c>
      <c r="U286" t="s">
        <v>7</v>
      </c>
      <c r="V286" t="s">
        <v>253</v>
      </c>
      <c r="W286" t="s">
        <v>132</v>
      </c>
      <c r="X286" t="s">
        <v>253</v>
      </c>
      <c r="Y286" t="s">
        <v>235</v>
      </c>
      <c r="Z286" t="s">
        <v>236</v>
      </c>
      <c r="AA286" t="s">
        <v>253</v>
      </c>
      <c r="AB286" t="s">
        <v>1</v>
      </c>
      <c r="AC286" s="235">
        <v>500000</v>
      </c>
      <c r="AD286" s="235">
        <v>37443.709238903393</v>
      </c>
      <c r="AE286">
        <v>0</v>
      </c>
      <c r="AF286">
        <v>0</v>
      </c>
      <c r="AG286">
        <v>0</v>
      </c>
      <c r="AH286" s="235">
        <v>-7337.0044982818945</v>
      </c>
      <c r="AI286">
        <v>226</v>
      </c>
      <c r="AJ286" t="s">
        <v>256</v>
      </c>
      <c r="AK286">
        <v>0</v>
      </c>
      <c r="AL286">
        <v>0</v>
      </c>
      <c r="AM286">
        <v>0</v>
      </c>
    </row>
    <row r="287" spans="1:39" x14ac:dyDescent="0.25">
      <c r="A287" t="s">
        <v>233</v>
      </c>
      <c r="B287" t="s">
        <v>423</v>
      </c>
      <c r="C287" t="s">
        <v>255</v>
      </c>
      <c r="D287" t="s">
        <v>234</v>
      </c>
      <c r="E287" t="s">
        <v>20</v>
      </c>
      <c r="F287" t="s">
        <v>281</v>
      </c>
      <c r="G287" t="s">
        <v>269</v>
      </c>
      <c r="H287" t="s">
        <v>254</v>
      </c>
      <c r="I287" t="s">
        <v>242</v>
      </c>
      <c r="J287" t="s">
        <v>235</v>
      </c>
      <c r="K287" s="380">
        <v>36861</v>
      </c>
      <c r="L287" s="235">
        <v>237478.32068013985</v>
      </c>
      <c r="M287" s="380">
        <v>36859</v>
      </c>
      <c r="N287" t="s">
        <v>1</v>
      </c>
      <c r="O287">
        <v>1.57</v>
      </c>
      <c r="P287">
        <v>0</v>
      </c>
      <c r="Q287">
        <v>0</v>
      </c>
      <c r="R287">
        <v>0</v>
      </c>
      <c r="S287">
        <v>0</v>
      </c>
      <c r="T287" t="s">
        <v>253</v>
      </c>
      <c r="U287" t="s">
        <v>7</v>
      </c>
      <c r="V287" t="s">
        <v>253</v>
      </c>
      <c r="W287" t="s">
        <v>132</v>
      </c>
      <c r="X287" t="s">
        <v>253</v>
      </c>
      <c r="Y287" t="s">
        <v>235</v>
      </c>
      <c r="Z287" t="s">
        <v>236</v>
      </c>
      <c r="AA287" t="s">
        <v>253</v>
      </c>
      <c r="AB287" t="s">
        <v>1</v>
      </c>
      <c r="AC287" s="235">
        <v>500000</v>
      </c>
      <c r="AD287" s="235">
        <v>35412.088256948919</v>
      </c>
      <c r="AE287">
        <v>0</v>
      </c>
      <c r="AF287">
        <v>0</v>
      </c>
      <c r="AG287">
        <v>0</v>
      </c>
      <c r="AH287" s="235">
        <v>-7978.3008645994996</v>
      </c>
      <c r="AI287">
        <v>226</v>
      </c>
      <c r="AJ287" t="s">
        <v>256</v>
      </c>
      <c r="AK287">
        <v>0</v>
      </c>
      <c r="AL287">
        <v>0</v>
      </c>
      <c r="AM287">
        <v>0</v>
      </c>
    </row>
    <row r="288" spans="1:39" x14ac:dyDescent="0.25">
      <c r="A288" t="s">
        <v>233</v>
      </c>
      <c r="B288" t="s">
        <v>423</v>
      </c>
      <c r="C288" t="s">
        <v>255</v>
      </c>
      <c r="D288" t="s">
        <v>234</v>
      </c>
      <c r="E288" t="s">
        <v>20</v>
      </c>
      <c r="F288" t="s">
        <v>281</v>
      </c>
      <c r="G288" t="s">
        <v>269</v>
      </c>
      <c r="H288" t="s">
        <v>254</v>
      </c>
      <c r="I288" t="s">
        <v>242</v>
      </c>
      <c r="J288" t="s">
        <v>235</v>
      </c>
      <c r="K288" s="380">
        <v>36831</v>
      </c>
      <c r="L288" s="235">
        <v>421774.04805761407</v>
      </c>
      <c r="M288" s="380">
        <v>36829</v>
      </c>
      <c r="N288" t="s">
        <v>1</v>
      </c>
      <c r="O288">
        <v>1.57</v>
      </c>
      <c r="P288">
        <v>0</v>
      </c>
      <c r="Q288">
        <v>0</v>
      </c>
      <c r="R288">
        <v>0</v>
      </c>
      <c r="S288">
        <v>0</v>
      </c>
      <c r="T288" t="s">
        <v>253</v>
      </c>
      <c r="U288" t="s">
        <v>7</v>
      </c>
      <c r="V288" t="s">
        <v>253</v>
      </c>
      <c r="W288" t="s">
        <v>132</v>
      </c>
      <c r="X288" t="s">
        <v>253</v>
      </c>
      <c r="Y288" t="s">
        <v>235</v>
      </c>
      <c r="Z288" t="s">
        <v>236</v>
      </c>
      <c r="AA288" t="s">
        <v>253</v>
      </c>
      <c r="AB288" t="s">
        <v>1</v>
      </c>
      <c r="AC288" s="235">
        <v>500000</v>
      </c>
      <c r="AD288" s="235">
        <v>11973.40819131129</v>
      </c>
      <c r="AE288">
        <v>0</v>
      </c>
      <c r="AF288">
        <v>0</v>
      </c>
      <c r="AG288">
        <v>0</v>
      </c>
      <c r="AH288" s="235">
        <v>-16093.139079091023</v>
      </c>
      <c r="AI288">
        <v>226</v>
      </c>
      <c r="AJ288" t="s">
        <v>256</v>
      </c>
      <c r="AK288">
        <v>0</v>
      </c>
      <c r="AL288">
        <v>0</v>
      </c>
      <c r="AM288">
        <v>0</v>
      </c>
    </row>
    <row r="289" spans="1:39" x14ac:dyDescent="0.25">
      <c r="A289" t="s">
        <v>233</v>
      </c>
      <c r="B289" t="s">
        <v>424</v>
      </c>
      <c r="C289" t="s">
        <v>255</v>
      </c>
      <c r="D289" t="s">
        <v>234</v>
      </c>
      <c r="E289" t="s">
        <v>20</v>
      </c>
      <c r="F289" t="s">
        <v>279</v>
      </c>
      <c r="G289" t="s">
        <v>269</v>
      </c>
      <c r="H289" t="s">
        <v>254</v>
      </c>
      <c r="I289" t="s">
        <v>242</v>
      </c>
      <c r="J289" t="s">
        <v>235</v>
      </c>
      <c r="K289" s="380">
        <v>36831</v>
      </c>
      <c r="L289" s="235">
        <v>-123011.94651094585</v>
      </c>
      <c r="M289" s="380">
        <v>36829</v>
      </c>
      <c r="N289" t="s">
        <v>21</v>
      </c>
      <c r="O289">
        <v>1.5</v>
      </c>
      <c r="P289">
        <v>0</v>
      </c>
      <c r="Q289">
        <v>0</v>
      </c>
      <c r="R289">
        <v>0</v>
      </c>
      <c r="S289">
        <v>0</v>
      </c>
      <c r="T289" t="s">
        <v>253</v>
      </c>
      <c r="U289" t="s">
        <v>7</v>
      </c>
      <c r="V289" t="s">
        <v>253</v>
      </c>
      <c r="W289" t="s">
        <v>132</v>
      </c>
      <c r="X289" t="s">
        <v>253</v>
      </c>
      <c r="Y289" t="s">
        <v>235</v>
      </c>
      <c r="Z289" t="s">
        <v>236</v>
      </c>
      <c r="AA289" t="s">
        <v>253</v>
      </c>
      <c r="AB289" t="s">
        <v>1</v>
      </c>
      <c r="AC289" s="235">
        <v>-2000000</v>
      </c>
      <c r="AD289" s="235">
        <v>-52401.455177520926</v>
      </c>
      <c r="AE289">
        <v>0</v>
      </c>
      <c r="AF289">
        <v>0</v>
      </c>
      <c r="AG289">
        <v>0</v>
      </c>
      <c r="AH289" s="235">
        <v>-16481.337315591547</v>
      </c>
      <c r="AI289">
        <v>226</v>
      </c>
      <c r="AJ289" t="s">
        <v>256</v>
      </c>
      <c r="AK289">
        <v>0</v>
      </c>
      <c r="AL289">
        <v>0</v>
      </c>
      <c r="AM289">
        <v>0</v>
      </c>
    </row>
    <row r="290" spans="1:39" x14ac:dyDescent="0.25">
      <c r="A290" t="s">
        <v>233</v>
      </c>
      <c r="B290" t="s">
        <v>425</v>
      </c>
      <c r="C290" t="s">
        <v>255</v>
      </c>
      <c r="D290" t="s">
        <v>234</v>
      </c>
      <c r="E290" t="s">
        <v>20</v>
      </c>
      <c r="F290" t="s">
        <v>290</v>
      </c>
      <c r="G290" t="s">
        <v>269</v>
      </c>
      <c r="H290" t="s">
        <v>254</v>
      </c>
      <c r="I290" t="s">
        <v>242</v>
      </c>
      <c r="J290" t="s">
        <v>235</v>
      </c>
      <c r="K290" s="380">
        <v>36831</v>
      </c>
      <c r="L290" s="235">
        <v>61505.973255472927</v>
      </c>
      <c r="M290" s="380">
        <v>36829</v>
      </c>
      <c r="N290" t="s">
        <v>21</v>
      </c>
      <c r="O290">
        <v>1.5</v>
      </c>
      <c r="P290">
        <v>0</v>
      </c>
      <c r="Q290">
        <v>0</v>
      </c>
      <c r="R290">
        <v>0</v>
      </c>
      <c r="S290">
        <v>0</v>
      </c>
      <c r="T290" t="s">
        <v>253</v>
      </c>
      <c r="U290" t="s">
        <v>7</v>
      </c>
      <c r="V290" t="s">
        <v>253</v>
      </c>
      <c r="W290" t="s">
        <v>132</v>
      </c>
      <c r="X290" t="s">
        <v>253</v>
      </c>
      <c r="Y290" t="s">
        <v>235</v>
      </c>
      <c r="Z290" t="s">
        <v>236</v>
      </c>
      <c r="AA290" t="s">
        <v>253</v>
      </c>
      <c r="AB290" t="s">
        <v>1</v>
      </c>
      <c r="AC290" s="235">
        <v>1000000</v>
      </c>
      <c r="AD290" s="235">
        <v>26200.727588760463</v>
      </c>
      <c r="AE290">
        <v>0</v>
      </c>
      <c r="AF290">
        <v>0</v>
      </c>
      <c r="AG290">
        <v>0</v>
      </c>
      <c r="AH290" s="235">
        <v>8240.6686577957735</v>
      </c>
      <c r="AI290">
        <v>226</v>
      </c>
      <c r="AJ290" t="s">
        <v>256</v>
      </c>
      <c r="AK290">
        <v>0</v>
      </c>
      <c r="AL290">
        <v>0</v>
      </c>
      <c r="AM290">
        <v>0</v>
      </c>
    </row>
    <row r="291" spans="1:39" x14ac:dyDescent="0.25">
      <c r="A291" t="s">
        <v>233</v>
      </c>
      <c r="B291" t="s">
        <v>426</v>
      </c>
      <c r="C291" t="s">
        <v>255</v>
      </c>
      <c r="D291" t="s">
        <v>234</v>
      </c>
      <c r="E291" t="s">
        <v>20</v>
      </c>
      <c r="F291" t="s">
        <v>279</v>
      </c>
      <c r="G291" t="s">
        <v>269</v>
      </c>
      <c r="H291" t="s">
        <v>254</v>
      </c>
      <c r="I291" t="s">
        <v>242</v>
      </c>
      <c r="J291" t="s">
        <v>235</v>
      </c>
      <c r="K291" s="380">
        <v>36982</v>
      </c>
      <c r="L291" s="235">
        <v>-74548.084161956373</v>
      </c>
      <c r="M291" s="380">
        <v>36979</v>
      </c>
      <c r="N291" t="s">
        <v>21</v>
      </c>
      <c r="O291">
        <v>0.7</v>
      </c>
      <c r="P291">
        <v>0</v>
      </c>
      <c r="Q291">
        <v>0</v>
      </c>
      <c r="R291">
        <v>0</v>
      </c>
      <c r="S291">
        <v>0</v>
      </c>
      <c r="T291" t="s">
        <v>253</v>
      </c>
      <c r="U291" t="s">
        <v>7</v>
      </c>
      <c r="V291" t="s">
        <v>253</v>
      </c>
      <c r="W291" t="s">
        <v>132</v>
      </c>
      <c r="X291" t="s">
        <v>253</v>
      </c>
      <c r="Y291" t="s">
        <v>235</v>
      </c>
      <c r="Z291" t="s">
        <v>236</v>
      </c>
      <c r="AA291" t="s">
        <v>253</v>
      </c>
      <c r="AB291" t="s">
        <v>1</v>
      </c>
      <c r="AC291" s="235">
        <v>-1000000</v>
      </c>
      <c r="AD291" s="235">
        <v>-21902.485096309392</v>
      </c>
      <c r="AE291">
        <v>0</v>
      </c>
      <c r="AF291">
        <v>0</v>
      </c>
      <c r="AG291">
        <v>0</v>
      </c>
      <c r="AH291" s="235">
        <v>-1042.2490870821493</v>
      </c>
      <c r="AI291">
        <v>226</v>
      </c>
      <c r="AJ291" t="s">
        <v>256</v>
      </c>
      <c r="AK291">
        <v>0</v>
      </c>
      <c r="AL291">
        <v>0</v>
      </c>
      <c r="AM291">
        <v>0</v>
      </c>
    </row>
    <row r="292" spans="1:39" x14ac:dyDescent="0.25">
      <c r="A292" t="s">
        <v>233</v>
      </c>
      <c r="B292" t="s">
        <v>427</v>
      </c>
      <c r="C292" t="s">
        <v>255</v>
      </c>
      <c r="D292" t="s">
        <v>234</v>
      </c>
      <c r="E292" t="s">
        <v>20</v>
      </c>
      <c r="F292" t="s">
        <v>363</v>
      </c>
      <c r="G292" t="s">
        <v>269</v>
      </c>
      <c r="H292" t="s">
        <v>254</v>
      </c>
      <c r="I292" t="s">
        <v>242</v>
      </c>
      <c r="J292" t="s">
        <v>235</v>
      </c>
      <c r="K292" s="380">
        <v>36982</v>
      </c>
      <c r="L292" s="235">
        <v>-156550.97674010837</v>
      </c>
      <c r="M292" s="380">
        <v>36979</v>
      </c>
      <c r="N292" t="s">
        <v>21</v>
      </c>
      <c r="O292">
        <v>0.7</v>
      </c>
      <c r="P292">
        <v>0</v>
      </c>
      <c r="Q292">
        <v>0</v>
      </c>
      <c r="R292">
        <v>0</v>
      </c>
      <c r="S292">
        <v>0</v>
      </c>
      <c r="T292" t="s">
        <v>253</v>
      </c>
      <c r="U292" t="s">
        <v>7</v>
      </c>
      <c r="V292" t="s">
        <v>253</v>
      </c>
      <c r="W292" t="s">
        <v>132</v>
      </c>
      <c r="X292" t="s">
        <v>253</v>
      </c>
      <c r="Y292" t="s">
        <v>235</v>
      </c>
      <c r="Z292" t="s">
        <v>236</v>
      </c>
      <c r="AA292" t="s">
        <v>253</v>
      </c>
      <c r="AB292" t="s">
        <v>1</v>
      </c>
      <c r="AC292" s="235">
        <v>-2100000</v>
      </c>
      <c r="AD292" s="235">
        <v>-45995.218702249695</v>
      </c>
      <c r="AE292">
        <v>0</v>
      </c>
      <c r="AF292">
        <v>0</v>
      </c>
      <c r="AG292">
        <v>0</v>
      </c>
      <c r="AH292" s="235">
        <v>-2188.7230828725151</v>
      </c>
      <c r="AI292">
        <v>226</v>
      </c>
      <c r="AJ292" t="s">
        <v>256</v>
      </c>
      <c r="AK292">
        <v>0</v>
      </c>
      <c r="AL292">
        <v>0</v>
      </c>
      <c r="AM292">
        <v>0</v>
      </c>
    </row>
    <row r="293" spans="1:39" x14ac:dyDescent="0.25">
      <c r="A293" t="s">
        <v>233</v>
      </c>
      <c r="B293" t="s">
        <v>428</v>
      </c>
      <c r="C293" t="s">
        <v>255</v>
      </c>
      <c r="D293" t="s">
        <v>234</v>
      </c>
      <c r="E293" t="s">
        <v>20</v>
      </c>
      <c r="F293" t="s">
        <v>284</v>
      </c>
      <c r="G293" t="s">
        <v>269</v>
      </c>
      <c r="H293" t="s">
        <v>254</v>
      </c>
      <c r="I293" t="s">
        <v>242</v>
      </c>
      <c r="J293" t="s">
        <v>235</v>
      </c>
      <c r="K293" s="380">
        <v>36951</v>
      </c>
      <c r="L293" s="235">
        <v>318204.05415815604</v>
      </c>
      <c r="M293" s="380">
        <v>36949</v>
      </c>
      <c r="N293" t="s">
        <v>1</v>
      </c>
      <c r="O293">
        <v>0.75</v>
      </c>
      <c r="P293">
        <v>0</v>
      </c>
      <c r="Q293">
        <v>0</v>
      </c>
      <c r="R293">
        <v>0</v>
      </c>
      <c r="S293">
        <v>0</v>
      </c>
      <c r="T293" t="s">
        <v>253</v>
      </c>
      <c r="U293" t="s">
        <v>7</v>
      </c>
      <c r="V293" t="s">
        <v>253</v>
      </c>
      <c r="W293" t="s">
        <v>132</v>
      </c>
      <c r="X293" t="s">
        <v>253</v>
      </c>
      <c r="Y293" t="s">
        <v>235</v>
      </c>
      <c r="Z293" t="s">
        <v>236</v>
      </c>
      <c r="AA293" t="s">
        <v>253</v>
      </c>
      <c r="AB293" t="s">
        <v>1</v>
      </c>
      <c r="AC293" s="235">
        <v>930000</v>
      </c>
      <c r="AD293" s="235">
        <v>81300.88174084411</v>
      </c>
      <c r="AE293">
        <v>0</v>
      </c>
      <c r="AF293">
        <v>0</v>
      </c>
      <c r="AG293">
        <v>0</v>
      </c>
      <c r="AH293" s="235">
        <v>-15193.614065072383</v>
      </c>
      <c r="AI293">
        <v>226</v>
      </c>
      <c r="AJ293" t="s">
        <v>256</v>
      </c>
      <c r="AK293">
        <v>0</v>
      </c>
      <c r="AL293">
        <v>0</v>
      </c>
      <c r="AM293">
        <v>0</v>
      </c>
    </row>
    <row r="294" spans="1:39" x14ac:dyDescent="0.25">
      <c r="A294" t="s">
        <v>233</v>
      </c>
      <c r="B294" t="s">
        <v>428</v>
      </c>
      <c r="C294" t="s">
        <v>255</v>
      </c>
      <c r="D294" t="s">
        <v>234</v>
      </c>
      <c r="E294" t="s">
        <v>20</v>
      </c>
      <c r="F294" t="s">
        <v>284</v>
      </c>
      <c r="G294" t="s">
        <v>269</v>
      </c>
      <c r="H294" t="s">
        <v>254</v>
      </c>
      <c r="I294" t="s">
        <v>242</v>
      </c>
      <c r="J294" t="s">
        <v>235</v>
      </c>
      <c r="K294" s="380">
        <v>36923</v>
      </c>
      <c r="L294" s="235">
        <v>117808.73934674634</v>
      </c>
      <c r="M294" s="380">
        <v>36921</v>
      </c>
      <c r="N294" t="s">
        <v>1</v>
      </c>
      <c r="O294">
        <v>0.75</v>
      </c>
      <c r="P294">
        <v>0</v>
      </c>
      <c r="Q294">
        <v>0</v>
      </c>
      <c r="R294">
        <v>0</v>
      </c>
      <c r="S294">
        <v>0</v>
      </c>
      <c r="T294" t="s">
        <v>253</v>
      </c>
      <c r="U294" t="s">
        <v>7</v>
      </c>
      <c r="V294" t="s">
        <v>253</v>
      </c>
      <c r="W294" t="s">
        <v>132</v>
      </c>
      <c r="X294" t="s">
        <v>253</v>
      </c>
      <c r="Y294" t="s">
        <v>235</v>
      </c>
      <c r="Z294" t="s">
        <v>236</v>
      </c>
      <c r="AA294" t="s">
        <v>253</v>
      </c>
      <c r="AB294" t="s">
        <v>1</v>
      </c>
      <c r="AC294" s="235">
        <v>840000</v>
      </c>
      <c r="AD294" s="235">
        <v>51634.440137677346</v>
      </c>
      <c r="AE294">
        <v>0</v>
      </c>
      <c r="AF294">
        <v>0</v>
      </c>
      <c r="AG294">
        <v>0</v>
      </c>
      <c r="AH294" s="235">
        <v>-6305.629787566606</v>
      </c>
      <c r="AI294">
        <v>226</v>
      </c>
      <c r="AJ294" t="s">
        <v>256</v>
      </c>
      <c r="AK294">
        <v>0</v>
      </c>
      <c r="AL294">
        <v>0</v>
      </c>
      <c r="AM294">
        <v>0</v>
      </c>
    </row>
    <row r="295" spans="1:39" x14ac:dyDescent="0.25">
      <c r="A295" t="s">
        <v>233</v>
      </c>
      <c r="B295" t="s">
        <v>428</v>
      </c>
      <c r="C295" t="s">
        <v>255</v>
      </c>
      <c r="D295" t="s">
        <v>234</v>
      </c>
      <c r="E295" t="s">
        <v>20</v>
      </c>
      <c r="F295" t="s">
        <v>284</v>
      </c>
      <c r="G295" t="s">
        <v>269</v>
      </c>
      <c r="H295" t="s">
        <v>254</v>
      </c>
      <c r="I295" t="s">
        <v>242</v>
      </c>
      <c r="J295" t="s">
        <v>235</v>
      </c>
      <c r="K295" s="380">
        <v>36892</v>
      </c>
      <c r="L295" s="235">
        <v>102987.9111881502</v>
      </c>
      <c r="M295" s="380">
        <v>36888</v>
      </c>
      <c r="N295" t="s">
        <v>1</v>
      </c>
      <c r="O295">
        <v>0.75</v>
      </c>
      <c r="P295">
        <v>0</v>
      </c>
      <c r="Q295">
        <v>0</v>
      </c>
      <c r="R295">
        <v>0</v>
      </c>
      <c r="S295">
        <v>0</v>
      </c>
      <c r="T295" t="s">
        <v>253</v>
      </c>
      <c r="U295" t="s">
        <v>7</v>
      </c>
      <c r="V295" t="s">
        <v>253</v>
      </c>
      <c r="W295" t="s">
        <v>132</v>
      </c>
      <c r="X295" t="s">
        <v>253</v>
      </c>
      <c r="Y295" t="s">
        <v>235</v>
      </c>
      <c r="Z295" t="s">
        <v>236</v>
      </c>
      <c r="AA295" t="s">
        <v>253</v>
      </c>
      <c r="AB295" t="s">
        <v>1</v>
      </c>
      <c r="AC295" s="235">
        <v>930000</v>
      </c>
      <c r="AD295" s="235">
        <v>47409.301486475946</v>
      </c>
      <c r="AE295">
        <v>0</v>
      </c>
      <c r="AF295">
        <v>0</v>
      </c>
      <c r="AG295">
        <v>0</v>
      </c>
      <c r="AH295" s="235">
        <v>-4967.8974304396688</v>
      </c>
      <c r="AI295">
        <v>226</v>
      </c>
      <c r="AJ295" t="s">
        <v>256</v>
      </c>
      <c r="AK295">
        <v>0</v>
      </c>
      <c r="AL295">
        <v>0</v>
      </c>
      <c r="AM295">
        <v>0</v>
      </c>
    </row>
    <row r="296" spans="1:39" x14ac:dyDescent="0.25">
      <c r="A296" t="s">
        <v>233</v>
      </c>
      <c r="B296" t="s">
        <v>428</v>
      </c>
      <c r="C296" t="s">
        <v>255</v>
      </c>
      <c r="D296" t="s">
        <v>234</v>
      </c>
      <c r="E296" t="s">
        <v>20</v>
      </c>
      <c r="F296" t="s">
        <v>284</v>
      </c>
      <c r="G296" t="s">
        <v>269</v>
      </c>
      <c r="H296" t="s">
        <v>254</v>
      </c>
      <c r="I296" t="s">
        <v>242</v>
      </c>
      <c r="J296" t="s">
        <v>235</v>
      </c>
      <c r="K296" s="380">
        <v>36861</v>
      </c>
      <c r="L296" s="235">
        <v>137562.79620928384</v>
      </c>
      <c r="M296" s="380">
        <v>36859</v>
      </c>
      <c r="N296" t="s">
        <v>1</v>
      </c>
      <c r="O296">
        <v>0.75</v>
      </c>
      <c r="P296">
        <v>0</v>
      </c>
      <c r="Q296">
        <v>0</v>
      </c>
      <c r="R296">
        <v>0</v>
      </c>
      <c r="S296">
        <v>0</v>
      </c>
      <c r="T296" t="s">
        <v>253</v>
      </c>
      <c r="U296" t="s">
        <v>7</v>
      </c>
      <c r="V296" t="s">
        <v>253</v>
      </c>
      <c r="W296" t="s">
        <v>132</v>
      </c>
      <c r="X296" t="s">
        <v>253</v>
      </c>
      <c r="Y296" t="s">
        <v>235</v>
      </c>
      <c r="Z296" t="s">
        <v>236</v>
      </c>
      <c r="AA296" t="s">
        <v>253</v>
      </c>
      <c r="AB296" t="s">
        <v>1</v>
      </c>
      <c r="AC296" s="235">
        <v>930000</v>
      </c>
      <c r="AD296" s="235">
        <v>51692.264679075393</v>
      </c>
      <c r="AE296">
        <v>0</v>
      </c>
      <c r="AF296">
        <v>0</v>
      </c>
      <c r="AG296">
        <v>0</v>
      </c>
      <c r="AH296" s="235">
        <v>-5587.5099970042647</v>
      </c>
      <c r="AI296">
        <v>226</v>
      </c>
      <c r="AJ296" t="s">
        <v>256</v>
      </c>
      <c r="AK296">
        <v>0</v>
      </c>
      <c r="AL296">
        <v>0</v>
      </c>
      <c r="AM296">
        <v>0</v>
      </c>
    </row>
    <row r="297" spans="1:39" x14ac:dyDescent="0.25">
      <c r="A297" t="s">
        <v>233</v>
      </c>
      <c r="B297" t="s">
        <v>428</v>
      </c>
      <c r="C297" t="s">
        <v>255</v>
      </c>
      <c r="D297" t="s">
        <v>234</v>
      </c>
      <c r="E297" t="s">
        <v>20</v>
      </c>
      <c r="F297" t="s">
        <v>284</v>
      </c>
      <c r="G297" t="s">
        <v>269</v>
      </c>
      <c r="H297" t="s">
        <v>254</v>
      </c>
      <c r="I297" t="s">
        <v>242</v>
      </c>
      <c r="J297" t="s">
        <v>235</v>
      </c>
      <c r="K297" s="380">
        <v>36831</v>
      </c>
      <c r="L297" s="235">
        <v>224656.10332597041</v>
      </c>
      <c r="M297" s="380">
        <v>36829</v>
      </c>
      <c r="N297" t="s">
        <v>1</v>
      </c>
      <c r="O297">
        <v>0.75</v>
      </c>
      <c r="P297">
        <v>0</v>
      </c>
      <c r="Q297">
        <v>0</v>
      </c>
      <c r="R297">
        <v>0</v>
      </c>
      <c r="S297">
        <v>0</v>
      </c>
      <c r="T297" t="s">
        <v>253</v>
      </c>
      <c r="U297" t="s">
        <v>7</v>
      </c>
      <c r="V297" t="s">
        <v>253</v>
      </c>
      <c r="W297" t="s">
        <v>132</v>
      </c>
      <c r="X297" t="s">
        <v>253</v>
      </c>
      <c r="Y297" t="s">
        <v>235</v>
      </c>
      <c r="Z297" t="s">
        <v>236</v>
      </c>
      <c r="AA297" t="s">
        <v>253</v>
      </c>
      <c r="AB297" t="s">
        <v>1</v>
      </c>
      <c r="AC297" s="235">
        <v>900000</v>
      </c>
      <c r="AD297" s="235">
        <v>40635.535214852891</v>
      </c>
      <c r="AE297">
        <v>0</v>
      </c>
      <c r="AF297">
        <v>0</v>
      </c>
      <c r="AG297">
        <v>0</v>
      </c>
      <c r="AH297" s="235">
        <v>-14722.517991746805</v>
      </c>
      <c r="AI297">
        <v>226</v>
      </c>
      <c r="AJ297" t="s">
        <v>256</v>
      </c>
      <c r="AK297">
        <v>0</v>
      </c>
      <c r="AL297">
        <v>0</v>
      </c>
      <c r="AM297">
        <v>0</v>
      </c>
    </row>
    <row r="298" spans="1:39" x14ac:dyDescent="0.25">
      <c r="A298" t="s">
        <v>233</v>
      </c>
      <c r="B298" t="s">
        <v>429</v>
      </c>
      <c r="C298" t="s">
        <v>255</v>
      </c>
      <c r="D298" t="s">
        <v>234</v>
      </c>
      <c r="E298" t="s">
        <v>20</v>
      </c>
      <c r="F298" t="s">
        <v>279</v>
      </c>
      <c r="G298" t="s">
        <v>269</v>
      </c>
      <c r="H298" t="s">
        <v>254</v>
      </c>
      <c r="I298" t="s">
        <v>242</v>
      </c>
      <c r="J298" t="s">
        <v>235</v>
      </c>
      <c r="K298" s="380">
        <v>36800</v>
      </c>
      <c r="L298" s="235">
        <v>-758.92388018139434</v>
      </c>
      <c r="M298" s="380">
        <v>36797</v>
      </c>
      <c r="N298" t="s">
        <v>21</v>
      </c>
      <c r="O298">
        <v>0.7</v>
      </c>
      <c r="P298">
        <v>0</v>
      </c>
      <c r="Q298">
        <v>0</v>
      </c>
      <c r="R298">
        <v>0</v>
      </c>
      <c r="S298">
        <v>0</v>
      </c>
      <c r="T298" t="s">
        <v>253</v>
      </c>
      <c r="U298" t="s">
        <v>7</v>
      </c>
      <c r="V298" t="s">
        <v>253</v>
      </c>
      <c r="W298" t="s">
        <v>132</v>
      </c>
      <c r="X298" t="s">
        <v>253</v>
      </c>
      <c r="Y298" t="s">
        <v>235</v>
      </c>
      <c r="Z298" t="s">
        <v>236</v>
      </c>
      <c r="AA298" t="s">
        <v>253</v>
      </c>
      <c r="AB298" t="s">
        <v>1</v>
      </c>
      <c r="AC298" s="235">
        <v>-1000000</v>
      </c>
      <c r="AD298" s="235">
        <v>-593.53102555814257</v>
      </c>
      <c r="AE298">
        <v>0</v>
      </c>
      <c r="AF298">
        <v>0</v>
      </c>
      <c r="AG298">
        <v>0</v>
      </c>
      <c r="AH298" s="235">
        <v>-36.033143783603578</v>
      </c>
      <c r="AI298">
        <v>226</v>
      </c>
      <c r="AJ298" t="s">
        <v>256</v>
      </c>
      <c r="AK298">
        <v>0</v>
      </c>
      <c r="AL298">
        <v>0</v>
      </c>
      <c r="AM298">
        <v>0</v>
      </c>
    </row>
    <row r="299" spans="1:39" x14ac:dyDescent="0.25">
      <c r="A299" t="s">
        <v>233</v>
      </c>
      <c r="B299" t="s">
        <v>430</v>
      </c>
      <c r="C299" t="s">
        <v>255</v>
      </c>
      <c r="D299" t="s">
        <v>234</v>
      </c>
      <c r="E299" t="s">
        <v>20</v>
      </c>
      <c r="F299" t="s">
        <v>279</v>
      </c>
      <c r="G299" t="s">
        <v>269</v>
      </c>
      <c r="H299" t="s">
        <v>254</v>
      </c>
      <c r="I299" t="s">
        <v>242</v>
      </c>
      <c r="J299" t="s">
        <v>235</v>
      </c>
      <c r="K299" s="380">
        <v>36800</v>
      </c>
      <c r="L299" s="235">
        <v>-758.92388018139434</v>
      </c>
      <c r="M299" s="380">
        <v>36797</v>
      </c>
      <c r="N299" t="s">
        <v>21</v>
      </c>
      <c r="O299">
        <v>0.7</v>
      </c>
      <c r="P299">
        <v>0</v>
      </c>
      <c r="Q299">
        <v>0</v>
      </c>
      <c r="R299">
        <v>0</v>
      </c>
      <c r="S299">
        <v>0</v>
      </c>
      <c r="T299" t="s">
        <v>253</v>
      </c>
      <c r="U299" t="s">
        <v>7</v>
      </c>
      <c r="V299" t="s">
        <v>253</v>
      </c>
      <c r="W299" t="s">
        <v>132</v>
      </c>
      <c r="X299" t="s">
        <v>253</v>
      </c>
      <c r="Y299" t="s">
        <v>235</v>
      </c>
      <c r="Z299" t="s">
        <v>236</v>
      </c>
      <c r="AA299" t="s">
        <v>253</v>
      </c>
      <c r="AB299" t="s">
        <v>1</v>
      </c>
      <c r="AC299" s="235">
        <v>-1000000</v>
      </c>
      <c r="AD299" s="235">
        <v>-593.53102555814257</v>
      </c>
      <c r="AE299">
        <v>0</v>
      </c>
      <c r="AF299">
        <v>0</v>
      </c>
      <c r="AG299">
        <v>0</v>
      </c>
      <c r="AH299" s="235">
        <v>-36.033143783603578</v>
      </c>
      <c r="AI299">
        <v>226</v>
      </c>
      <c r="AJ299" t="s">
        <v>256</v>
      </c>
      <c r="AK299">
        <v>0</v>
      </c>
      <c r="AL299">
        <v>0</v>
      </c>
      <c r="AM299">
        <v>0</v>
      </c>
    </row>
    <row r="300" spans="1:39" x14ac:dyDescent="0.25">
      <c r="A300" t="s">
        <v>233</v>
      </c>
      <c r="B300" t="s">
        <v>431</v>
      </c>
      <c r="C300" t="s">
        <v>255</v>
      </c>
      <c r="D300" t="s">
        <v>234</v>
      </c>
      <c r="E300" t="s">
        <v>20</v>
      </c>
      <c r="F300" t="s">
        <v>279</v>
      </c>
      <c r="G300" t="s">
        <v>269</v>
      </c>
      <c r="H300" t="s">
        <v>254</v>
      </c>
      <c r="I300" t="s">
        <v>242</v>
      </c>
      <c r="J300" t="s">
        <v>235</v>
      </c>
      <c r="K300" s="380">
        <v>36800</v>
      </c>
      <c r="L300" s="235">
        <v>-758.92388018139434</v>
      </c>
      <c r="M300" s="380">
        <v>36797</v>
      </c>
      <c r="N300" t="s">
        <v>21</v>
      </c>
      <c r="O300">
        <v>0.7</v>
      </c>
      <c r="P300">
        <v>0</v>
      </c>
      <c r="Q300">
        <v>0</v>
      </c>
      <c r="R300">
        <v>0</v>
      </c>
      <c r="S300">
        <v>0</v>
      </c>
      <c r="T300" t="s">
        <v>253</v>
      </c>
      <c r="U300" t="s">
        <v>7</v>
      </c>
      <c r="V300" t="s">
        <v>253</v>
      </c>
      <c r="W300" t="s">
        <v>132</v>
      </c>
      <c r="X300" t="s">
        <v>253</v>
      </c>
      <c r="Y300" t="s">
        <v>235</v>
      </c>
      <c r="Z300" t="s">
        <v>236</v>
      </c>
      <c r="AA300" t="s">
        <v>253</v>
      </c>
      <c r="AB300" t="s">
        <v>1</v>
      </c>
      <c r="AC300" s="235">
        <v>-1000000</v>
      </c>
      <c r="AD300" s="235">
        <v>-593.53102555814257</v>
      </c>
      <c r="AE300">
        <v>0</v>
      </c>
      <c r="AF300">
        <v>0</v>
      </c>
      <c r="AG300">
        <v>0</v>
      </c>
      <c r="AH300" s="235">
        <v>-36.033143783603578</v>
      </c>
      <c r="AI300">
        <v>226</v>
      </c>
      <c r="AJ300" t="s">
        <v>256</v>
      </c>
      <c r="AK300">
        <v>0</v>
      </c>
      <c r="AL300">
        <v>0</v>
      </c>
      <c r="AM300">
        <v>0</v>
      </c>
    </row>
    <row r="301" spans="1:39" x14ac:dyDescent="0.25">
      <c r="A301" t="s">
        <v>233</v>
      </c>
      <c r="B301" t="s">
        <v>432</v>
      </c>
      <c r="C301" t="s">
        <v>255</v>
      </c>
      <c r="D301" t="s">
        <v>234</v>
      </c>
      <c r="E301" t="s">
        <v>20</v>
      </c>
      <c r="F301" t="s">
        <v>286</v>
      </c>
      <c r="G301" t="s">
        <v>269</v>
      </c>
      <c r="H301" t="s">
        <v>254</v>
      </c>
      <c r="I301" t="s">
        <v>242</v>
      </c>
      <c r="J301" t="s">
        <v>235</v>
      </c>
      <c r="K301" s="380">
        <v>36951</v>
      </c>
      <c r="L301" s="235">
        <v>-90424.995673914702</v>
      </c>
      <c r="M301" s="380">
        <v>36949</v>
      </c>
      <c r="N301" t="s">
        <v>21</v>
      </c>
      <c r="O301">
        <v>1.75</v>
      </c>
      <c r="P301">
        <v>0</v>
      </c>
      <c r="Q301">
        <v>0</v>
      </c>
      <c r="R301">
        <v>0</v>
      </c>
      <c r="S301">
        <v>0</v>
      </c>
      <c r="T301" t="s">
        <v>253</v>
      </c>
      <c r="U301" t="s">
        <v>7</v>
      </c>
      <c r="V301" t="s">
        <v>253</v>
      </c>
      <c r="W301" t="s">
        <v>132</v>
      </c>
      <c r="X301" t="s">
        <v>253</v>
      </c>
      <c r="Y301" t="s">
        <v>235</v>
      </c>
      <c r="Z301" t="s">
        <v>236</v>
      </c>
      <c r="AA301" t="s">
        <v>253</v>
      </c>
      <c r="AB301" t="s">
        <v>1</v>
      </c>
      <c r="AC301" s="235">
        <v>-310000</v>
      </c>
      <c r="AD301" s="235">
        <v>-24004.437840872997</v>
      </c>
      <c r="AE301">
        <v>0</v>
      </c>
      <c r="AF301">
        <v>0</v>
      </c>
      <c r="AG301">
        <v>0</v>
      </c>
      <c r="AH301" s="235">
        <v>-7715.6719158126798</v>
      </c>
      <c r="AI301">
        <v>226</v>
      </c>
      <c r="AJ301" t="s">
        <v>256</v>
      </c>
      <c r="AK301">
        <v>0</v>
      </c>
      <c r="AL301">
        <v>0</v>
      </c>
      <c r="AM301">
        <v>0</v>
      </c>
    </row>
    <row r="302" spans="1:39" x14ac:dyDescent="0.25">
      <c r="A302" t="s">
        <v>233</v>
      </c>
      <c r="B302" t="s">
        <v>432</v>
      </c>
      <c r="C302" t="s">
        <v>255</v>
      </c>
      <c r="D302" t="s">
        <v>234</v>
      </c>
      <c r="E302" t="s">
        <v>20</v>
      </c>
      <c r="F302" t="s">
        <v>286</v>
      </c>
      <c r="G302" t="s">
        <v>269</v>
      </c>
      <c r="H302" t="s">
        <v>254</v>
      </c>
      <c r="I302" t="s">
        <v>242</v>
      </c>
      <c r="J302" t="s">
        <v>235</v>
      </c>
      <c r="K302" s="380">
        <v>36923</v>
      </c>
      <c r="L302" s="235">
        <v>-232869.19556954532</v>
      </c>
      <c r="M302" s="380">
        <v>36921</v>
      </c>
      <c r="N302" t="s">
        <v>21</v>
      </c>
      <c r="O302">
        <v>1.75</v>
      </c>
      <c r="P302">
        <v>0</v>
      </c>
      <c r="Q302">
        <v>0</v>
      </c>
      <c r="R302">
        <v>0</v>
      </c>
      <c r="S302">
        <v>0</v>
      </c>
      <c r="T302" t="s">
        <v>253</v>
      </c>
      <c r="U302" t="s">
        <v>7</v>
      </c>
      <c r="V302" t="s">
        <v>253</v>
      </c>
      <c r="W302" t="s">
        <v>132</v>
      </c>
      <c r="X302" t="s">
        <v>253</v>
      </c>
      <c r="Y302" t="s">
        <v>235</v>
      </c>
      <c r="Z302" t="s">
        <v>236</v>
      </c>
      <c r="AA302" t="s">
        <v>253</v>
      </c>
      <c r="AB302" t="s">
        <v>1</v>
      </c>
      <c r="AC302" s="235">
        <v>-280000</v>
      </c>
      <c r="AD302" s="235">
        <v>-23887.814641199657</v>
      </c>
      <c r="AE302">
        <v>0</v>
      </c>
      <c r="AF302">
        <v>0</v>
      </c>
      <c r="AG302">
        <v>0</v>
      </c>
      <c r="AH302" s="235">
        <v>-13059.812224937632</v>
      </c>
      <c r="AI302">
        <v>226</v>
      </c>
      <c r="AJ302" t="s">
        <v>256</v>
      </c>
      <c r="AK302">
        <v>0</v>
      </c>
      <c r="AL302">
        <v>0</v>
      </c>
      <c r="AM302">
        <v>0</v>
      </c>
    </row>
    <row r="303" spans="1:39" x14ac:dyDescent="0.25">
      <c r="A303" t="s">
        <v>233</v>
      </c>
      <c r="B303" t="s">
        <v>432</v>
      </c>
      <c r="C303" t="s">
        <v>255</v>
      </c>
      <c r="D303" t="s">
        <v>234</v>
      </c>
      <c r="E303" t="s">
        <v>20</v>
      </c>
      <c r="F303" t="s">
        <v>286</v>
      </c>
      <c r="G303" t="s">
        <v>269</v>
      </c>
      <c r="H303" t="s">
        <v>254</v>
      </c>
      <c r="I303" t="s">
        <v>242</v>
      </c>
      <c r="J303" t="s">
        <v>235</v>
      </c>
      <c r="K303" s="380">
        <v>36892</v>
      </c>
      <c r="L303" s="235">
        <v>-262896.59651092999</v>
      </c>
      <c r="M303" s="380">
        <v>36888</v>
      </c>
      <c r="N303" t="s">
        <v>21</v>
      </c>
      <c r="O303">
        <v>1.75</v>
      </c>
      <c r="P303">
        <v>0</v>
      </c>
      <c r="Q303">
        <v>0</v>
      </c>
      <c r="R303">
        <v>0</v>
      </c>
      <c r="S303">
        <v>0</v>
      </c>
      <c r="T303" t="s">
        <v>253</v>
      </c>
      <c r="U303" t="s">
        <v>7</v>
      </c>
      <c r="V303" t="s">
        <v>253</v>
      </c>
      <c r="W303" t="s">
        <v>132</v>
      </c>
      <c r="X303" t="s">
        <v>253</v>
      </c>
      <c r="Y303" t="s">
        <v>235</v>
      </c>
      <c r="Z303" t="s">
        <v>236</v>
      </c>
      <c r="AA303" t="s">
        <v>253</v>
      </c>
      <c r="AB303" t="s">
        <v>1</v>
      </c>
      <c r="AC303" s="235">
        <v>-310000</v>
      </c>
      <c r="AD303" s="235">
        <v>-23922.69548703311</v>
      </c>
      <c r="AE303">
        <v>0</v>
      </c>
      <c r="AF303">
        <v>0</v>
      </c>
      <c r="AG303">
        <v>0</v>
      </c>
      <c r="AH303" s="235">
        <v>-12865.214621873834</v>
      </c>
      <c r="AI303">
        <v>226</v>
      </c>
      <c r="AJ303" t="s">
        <v>256</v>
      </c>
      <c r="AK303">
        <v>0</v>
      </c>
      <c r="AL303">
        <v>0</v>
      </c>
      <c r="AM303">
        <v>0</v>
      </c>
    </row>
    <row r="304" spans="1:39" x14ac:dyDescent="0.25">
      <c r="A304" t="s">
        <v>233</v>
      </c>
      <c r="B304" t="s">
        <v>432</v>
      </c>
      <c r="C304" t="s">
        <v>255</v>
      </c>
      <c r="D304" t="s">
        <v>234</v>
      </c>
      <c r="E304" t="s">
        <v>20</v>
      </c>
      <c r="F304" t="s">
        <v>286</v>
      </c>
      <c r="G304" t="s">
        <v>269</v>
      </c>
      <c r="H304" t="s">
        <v>254</v>
      </c>
      <c r="I304" t="s">
        <v>242</v>
      </c>
      <c r="J304" t="s">
        <v>235</v>
      </c>
      <c r="K304" s="380">
        <v>36861</v>
      </c>
      <c r="L304" s="235">
        <v>-146571.90170809149</v>
      </c>
      <c r="M304" s="380">
        <v>36859</v>
      </c>
      <c r="N304" t="s">
        <v>21</v>
      </c>
      <c r="O304">
        <v>1.75</v>
      </c>
      <c r="P304">
        <v>0</v>
      </c>
      <c r="Q304">
        <v>0</v>
      </c>
      <c r="R304">
        <v>0</v>
      </c>
      <c r="S304">
        <v>0</v>
      </c>
      <c r="T304" t="s">
        <v>253</v>
      </c>
      <c r="U304" t="s">
        <v>7</v>
      </c>
      <c r="V304" t="s">
        <v>253</v>
      </c>
      <c r="W304" t="s">
        <v>132</v>
      </c>
      <c r="X304" t="s">
        <v>253</v>
      </c>
      <c r="Y304" t="s">
        <v>235</v>
      </c>
      <c r="Z304" t="s">
        <v>236</v>
      </c>
      <c r="AA304" t="s">
        <v>253</v>
      </c>
      <c r="AB304" t="s">
        <v>1</v>
      </c>
      <c r="AC304" s="235">
        <v>-310000</v>
      </c>
      <c r="AD304" s="235">
        <v>-21753.83775540418</v>
      </c>
      <c r="AE304">
        <v>0</v>
      </c>
      <c r="AF304">
        <v>0</v>
      </c>
      <c r="AG304">
        <v>0</v>
      </c>
      <c r="AH304" s="235">
        <v>-8014.8366895745276</v>
      </c>
      <c r="AI304">
        <v>226</v>
      </c>
      <c r="AJ304" t="s">
        <v>256</v>
      </c>
      <c r="AK304">
        <v>0</v>
      </c>
      <c r="AL304">
        <v>0</v>
      </c>
      <c r="AM304">
        <v>0</v>
      </c>
    </row>
    <row r="305" spans="1:39" x14ac:dyDescent="0.25">
      <c r="A305" t="s">
        <v>233</v>
      </c>
      <c r="B305" t="s">
        <v>432</v>
      </c>
      <c r="C305" t="s">
        <v>255</v>
      </c>
      <c r="D305" t="s">
        <v>234</v>
      </c>
      <c r="E305" t="s">
        <v>20</v>
      </c>
      <c r="F305" t="s">
        <v>286</v>
      </c>
      <c r="G305" t="s">
        <v>269</v>
      </c>
      <c r="H305" t="s">
        <v>254</v>
      </c>
      <c r="I305" t="s">
        <v>242</v>
      </c>
      <c r="J305" t="s">
        <v>235</v>
      </c>
      <c r="K305" s="380">
        <v>36831</v>
      </c>
      <c r="L305" s="235">
        <v>-10691.941519333863</v>
      </c>
      <c r="M305" s="380">
        <v>36829</v>
      </c>
      <c r="N305" t="s">
        <v>21</v>
      </c>
      <c r="O305">
        <v>1.75</v>
      </c>
      <c r="P305">
        <v>0</v>
      </c>
      <c r="Q305">
        <v>0</v>
      </c>
      <c r="R305">
        <v>0</v>
      </c>
      <c r="S305">
        <v>0</v>
      </c>
      <c r="T305" t="s">
        <v>253</v>
      </c>
      <c r="U305" t="s">
        <v>7</v>
      </c>
      <c r="V305" t="s">
        <v>253</v>
      </c>
      <c r="W305" t="s">
        <v>132</v>
      </c>
      <c r="X305" t="s">
        <v>253</v>
      </c>
      <c r="Y305" t="s">
        <v>235</v>
      </c>
      <c r="Z305" t="s">
        <v>236</v>
      </c>
      <c r="AA305" t="s">
        <v>253</v>
      </c>
      <c r="AB305" t="s">
        <v>1</v>
      </c>
      <c r="AC305" s="235">
        <v>-300000</v>
      </c>
      <c r="AD305" s="235">
        <v>-5584.7925066333846</v>
      </c>
      <c r="AE305">
        <v>0</v>
      </c>
      <c r="AF305">
        <v>0</v>
      </c>
      <c r="AG305">
        <v>0</v>
      </c>
      <c r="AH305" s="235">
        <v>-1603.9205046460593</v>
      </c>
      <c r="AI305">
        <v>226</v>
      </c>
      <c r="AJ305" t="s">
        <v>256</v>
      </c>
      <c r="AK305">
        <v>0</v>
      </c>
      <c r="AL305">
        <v>0</v>
      </c>
      <c r="AM305">
        <v>0</v>
      </c>
    </row>
    <row r="306" spans="1:39" x14ac:dyDescent="0.25">
      <c r="A306" t="s">
        <v>233</v>
      </c>
      <c r="B306" t="s">
        <v>433</v>
      </c>
      <c r="C306" t="s">
        <v>255</v>
      </c>
      <c r="D306" t="s">
        <v>234</v>
      </c>
      <c r="E306" t="s">
        <v>20</v>
      </c>
      <c r="F306" t="s">
        <v>286</v>
      </c>
      <c r="G306" t="s">
        <v>269</v>
      </c>
      <c r="H306" t="s">
        <v>254</v>
      </c>
      <c r="I306" t="s">
        <v>242</v>
      </c>
      <c r="J306" t="s">
        <v>235</v>
      </c>
      <c r="K306" s="380">
        <v>36951</v>
      </c>
      <c r="L306" s="235">
        <v>48886.400631953802</v>
      </c>
      <c r="M306" s="380">
        <v>36949</v>
      </c>
      <c r="N306" t="s">
        <v>21</v>
      </c>
      <c r="O306">
        <v>2.5</v>
      </c>
      <c r="P306">
        <v>0</v>
      </c>
      <c r="Q306">
        <v>0</v>
      </c>
      <c r="R306">
        <v>0</v>
      </c>
      <c r="S306">
        <v>0</v>
      </c>
      <c r="T306" t="s">
        <v>253</v>
      </c>
      <c r="U306" t="s">
        <v>7</v>
      </c>
      <c r="V306" t="s">
        <v>253</v>
      </c>
      <c r="W306" t="s">
        <v>132</v>
      </c>
      <c r="X306" t="s">
        <v>253</v>
      </c>
      <c r="Y306" t="s">
        <v>235</v>
      </c>
      <c r="Z306" t="s">
        <v>236</v>
      </c>
      <c r="AA306" t="s">
        <v>253</v>
      </c>
      <c r="AB306" t="s">
        <v>1</v>
      </c>
      <c r="AC306" s="235">
        <v>310000</v>
      </c>
      <c r="AD306" s="235">
        <v>17765.662708301541</v>
      </c>
      <c r="AE306">
        <v>0</v>
      </c>
      <c r="AF306">
        <v>0</v>
      </c>
      <c r="AG306">
        <v>0</v>
      </c>
      <c r="AH306" s="235">
        <v>4861.2333406752296</v>
      </c>
      <c r="AI306">
        <v>226</v>
      </c>
      <c r="AJ306" t="s">
        <v>256</v>
      </c>
      <c r="AK306">
        <v>0</v>
      </c>
      <c r="AL306">
        <v>0</v>
      </c>
      <c r="AM306">
        <v>0</v>
      </c>
    </row>
    <row r="307" spans="1:39" x14ac:dyDescent="0.25">
      <c r="A307" t="s">
        <v>233</v>
      </c>
      <c r="B307" t="s">
        <v>433</v>
      </c>
      <c r="C307" t="s">
        <v>255</v>
      </c>
      <c r="D307" t="s">
        <v>234</v>
      </c>
      <c r="E307" t="s">
        <v>20</v>
      </c>
      <c r="F307" t="s">
        <v>286</v>
      </c>
      <c r="G307" t="s">
        <v>269</v>
      </c>
      <c r="H307" t="s">
        <v>254</v>
      </c>
      <c r="I307" t="s">
        <v>242</v>
      </c>
      <c r="J307" t="s">
        <v>235</v>
      </c>
      <c r="K307" s="380">
        <v>36923</v>
      </c>
      <c r="L307" s="235">
        <v>150386.9517695079</v>
      </c>
      <c r="M307" s="380">
        <v>36921</v>
      </c>
      <c r="N307" t="s">
        <v>21</v>
      </c>
      <c r="O307">
        <v>2.5</v>
      </c>
      <c r="P307">
        <v>0</v>
      </c>
      <c r="Q307">
        <v>0</v>
      </c>
      <c r="R307">
        <v>0</v>
      </c>
      <c r="S307">
        <v>0</v>
      </c>
      <c r="T307" t="s">
        <v>253</v>
      </c>
      <c r="U307" t="s">
        <v>7</v>
      </c>
      <c r="V307" t="s">
        <v>253</v>
      </c>
      <c r="W307" t="s">
        <v>132</v>
      </c>
      <c r="X307" t="s">
        <v>253</v>
      </c>
      <c r="Y307" t="s">
        <v>235</v>
      </c>
      <c r="Z307" t="s">
        <v>236</v>
      </c>
      <c r="AA307" t="s">
        <v>253</v>
      </c>
      <c r="AB307" t="s">
        <v>1</v>
      </c>
      <c r="AC307" s="235">
        <v>280000</v>
      </c>
      <c r="AD307" s="235">
        <v>23175.488626135979</v>
      </c>
      <c r="AE307">
        <v>0</v>
      </c>
      <c r="AF307">
        <v>0</v>
      </c>
      <c r="AG307">
        <v>0</v>
      </c>
      <c r="AH307" s="235">
        <v>9934.5782538573258</v>
      </c>
      <c r="AI307">
        <v>226</v>
      </c>
      <c r="AJ307" t="s">
        <v>256</v>
      </c>
      <c r="AK307">
        <v>0</v>
      </c>
      <c r="AL307">
        <v>0</v>
      </c>
      <c r="AM307">
        <v>0</v>
      </c>
    </row>
    <row r="308" spans="1:39" x14ac:dyDescent="0.25">
      <c r="A308" t="s">
        <v>233</v>
      </c>
      <c r="B308" t="s">
        <v>433</v>
      </c>
      <c r="C308" t="s">
        <v>255</v>
      </c>
      <c r="D308" t="s">
        <v>234</v>
      </c>
      <c r="E308" t="s">
        <v>20</v>
      </c>
      <c r="F308" t="s">
        <v>286</v>
      </c>
      <c r="G308" t="s">
        <v>269</v>
      </c>
      <c r="H308" t="s">
        <v>254</v>
      </c>
      <c r="I308" t="s">
        <v>242</v>
      </c>
      <c r="J308" t="s">
        <v>235</v>
      </c>
      <c r="K308" s="380">
        <v>36892</v>
      </c>
      <c r="L308" s="235">
        <v>164878.49223098918</v>
      </c>
      <c r="M308" s="380">
        <v>36888</v>
      </c>
      <c r="N308" t="s">
        <v>21</v>
      </c>
      <c r="O308">
        <v>2.5</v>
      </c>
      <c r="P308">
        <v>0</v>
      </c>
      <c r="Q308">
        <v>0</v>
      </c>
      <c r="R308">
        <v>0</v>
      </c>
      <c r="S308">
        <v>0</v>
      </c>
      <c r="T308" t="s">
        <v>253</v>
      </c>
      <c r="U308" t="s">
        <v>7</v>
      </c>
      <c r="V308" t="s">
        <v>253</v>
      </c>
      <c r="W308" t="s">
        <v>132</v>
      </c>
      <c r="X308" t="s">
        <v>253</v>
      </c>
      <c r="Y308" t="s">
        <v>235</v>
      </c>
      <c r="Z308" t="s">
        <v>236</v>
      </c>
      <c r="AA308" t="s">
        <v>253</v>
      </c>
      <c r="AB308" t="s">
        <v>1</v>
      </c>
      <c r="AC308" s="235">
        <v>310000</v>
      </c>
      <c r="AD308" s="235">
        <v>23672.167547659279</v>
      </c>
      <c r="AE308">
        <v>0</v>
      </c>
      <c r="AF308">
        <v>0</v>
      </c>
      <c r="AG308">
        <v>0</v>
      </c>
      <c r="AH308" s="235">
        <v>9697.6778801135952</v>
      </c>
      <c r="AI308">
        <v>226</v>
      </c>
      <c r="AJ308" t="s">
        <v>256</v>
      </c>
      <c r="AK308">
        <v>0</v>
      </c>
      <c r="AL308">
        <v>0</v>
      </c>
      <c r="AM308">
        <v>0</v>
      </c>
    </row>
    <row r="309" spans="1:39" x14ac:dyDescent="0.25">
      <c r="A309" t="s">
        <v>233</v>
      </c>
      <c r="B309" t="s">
        <v>433</v>
      </c>
      <c r="C309" t="s">
        <v>255</v>
      </c>
      <c r="D309" t="s">
        <v>234</v>
      </c>
      <c r="E309" t="s">
        <v>20</v>
      </c>
      <c r="F309" t="s">
        <v>286</v>
      </c>
      <c r="G309" t="s">
        <v>269</v>
      </c>
      <c r="H309" t="s">
        <v>254</v>
      </c>
      <c r="I309" t="s">
        <v>242</v>
      </c>
      <c r="J309" t="s">
        <v>235</v>
      </c>
      <c r="K309" s="380">
        <v>36861</v>
      </c>
      <c r="L309" s="235">
        <v>76798.631138172423</v>
      </c>
      <c r="M309" s="380">
        <v>36859</v>
      </c>
      <c r="N309" t="s">
        <v>21</v>
      </c>
      <c r="O309">
        <v>2.5</v>
      </c>
      <c r="P309">
        <v>0</v>
      </c>
      <c r="Q309">
        <v>0</v>
      </c>
      <c r="R309">
        <v>0</v>
      </c>
      <c r="S309">
        <v>0</v>
      </c>
      <c r="T309" t="s">
        <v>253</v>
      </c>
      <c r="U309" t="s">
        <v>7</v>
      </c>
      <c r="V309" t="s">
        <v>253</v>
      </c>
      <c r="W309" t="s">
        <v>132</v>
      </c>
      <c r="X309" t="s">
        <v>253</v>
      </c>
      <c r="Y309" t="s">
        <v>235</v>
      </c>
      <c r="Z309" t="s">
        <v>236</v>
      </c>
      <c r="AA309" t="s">
        <v>253</v>
      </c>
      <c r="AB309" t="s">
        <v>1</v>
      </c>
      <c r="AC309" s="235">
        <v>310000</v>
      </c>
      <c r="AD309" s="235">
        <v>17988.316226535462</v>
      </c>
      <c r="AE309">
        <v>0</v>
      </c>
      <c r="AF309">
        <v>0</v>
      </c>
      <c r="AG309">
        <v>0</v>
      </c>
      <c r="AH309" s="235">
        <v>5205.3673497760756</v>
      </c>
      <c r="AI309">
        <v>226</v>
      </c>
      <c r="AJ309" t="s">
        <v>256</v>
      </c>
      <c r="AK309">
        <v>0</v>
      </c>
      <c r="AL309">
        <v>0</v>
      </c>
      <c r="AM309">
        <v>0</v>
      </c>
    </row>
    <row r="310" spans="1:39" x14ac:dyDescent="0.25">
      <c r="A310" t="s">
        <v>233</v>
      </c>
      <c r="B310" t="s">
        <v>433</v>
      </c>
      <c r="C310" t="s">
        <v>255</v>
      </c>
      <c r="D310" t="s">
        <v>234</v>
      </c>
      <c r="E310" t="s">
        <v>20</v>
      </c>
      <c r="F310" t="s">
        <v>286</v>
      </c>
      <c r="G310" t="s">
        <v>269</v>
      </c>
      <c r="H310" t="s">
        <v>254</v>
      </c>
      <c r="I310" t="s">
        <v>242</v>
      </c>
      <c r="J310" t="s">
        <v>235</v>
      </c>
      <c r="K310" s="380">
        <v>36831</v>
      </c>
      <c r="L310" s="235">
        <v>1931.8642528587211</v>
      </c>
      <c r="M310" s="380">
        <v>36829</v>
      </c>
      <c r="N310" t="s">
        <v>21</v>
      </c>
      <c r="O310">
        <v>2.5</v>
      </c>
      <c r="P310">
        <v>0</v>
      </c>
      <c r="Q310">
        <v>0</v>
      </c>
      <c r="R310">
        <v>0</v>
      </c>
      <c r="S310">
        <v>0</v>
      </c>
      <c r="T310" t="s">
        <v>253</v>
      </c>
      <c r="U310" t="s">
        <v>7</v>
      </c>
      <c r="V310" t="s">
        <v>253</v>
      </c>
      <c r="W310" t="s">
        <v>132</v>
      </c>
      <c r="X310" t="s">
        <v>253</v>
      </c>
      <c r="Y310" t="s">
        <v>235</v>
      </c>
      <c r="Z310" t="s">
        <v>236</v>
      </c>
      <c r="AA310" t="s">
        <v>253</v>
      </c>
      <c r="AB310" t="s">
        <v>1</v>
      </c>
      <c r="AC310" s="235">
        <v>300000</v>
      </c>
      <c r="AD310" s="235">
        <v>1569.5920027175107</v>
      </c>
      <c r="AE310">
        <v>0</v>
      </c>
      <c r="AF310">
        <v>0</v>
      </c>
      <c r="AG310">
        <v>0</v>
      </c>
      <c r="AH310" s="235">
        <v>379.93835220450842</v>
      </c>
      <c r="AI310">
        <v>226</v>
      </c>
      <c r="AJ310" t="s">
        <v>256</v>
      </c>
      <c r="AK310">
        <v>0</v>
      </c>
      <c r="AL310">
        <v>0</v>
      </c>
      <c r="AM310">
        <v>0</v>
      </c>
    </row>
    <row r="311" spans="1:39" x14ac:dyDescent="0.25">
      <c r="A311" t="s">
        <v>233</v>
      </c>
      <c r="B311" t="s">
        <v>435</v>
      </c>
      <c r="C311" t="s">
        <v>255</v>
      </c>
      <c r="D311" t="s">
        <v>234</v>
      </c>
      <c r="E311" t="s">
        <v>20</v>
      </c>
      <c r="F311" t="s">
        <v>434</v>
      </c>
      <c r="G311" t="s">
        <v>269</v>
      </c>
      <c r="H311" t="s">
        <v>254</v>
      </c>
      <c r="I311" t="s">
        <v>242</v>
      </c>
      <c r="J311" t="s">
        <v>235</v>
      </c>
      <c r="K311" s="380">
        <v>36951</v>
      </c>
      <c r="L311" s="235">
        <v>102961.73793626361</v>
      </c>
      <c r="M311" s="380">
        <v>36949</v>
      </c>
      <c r="N311" t="s">
        <v>1</v>
      </c>
      <c r="O311">
        <v>0.4</v>
      </c>
      <c r="P311">
        <v>0</v>
      </c>
      <c r="Q311">
        <v>0</v>
      </c>
      <c r="R311">
        <v>0</v>
      </c>
      <c r="S311">
        <v>0</v>
      </c>
      <c r="T311" t="s">
        <v>253</v>
      </c>
      <c r="U311" t="s">
        <v>7</v>
      </c>
      <c r="V311" t="s">
        <v>253</v>
      </c>
      <c r="W311" t="s">
        <v>132</v>
      </c>
      <c r="X311" t="s">
        <v>253</v>
      </c>
      <c r="Y311" t="s">
        <v>235</v>
      </c>
      <c r="Z311" t="s">
        <v>236</v>
      </c>
      <c r="AA311" t="s">
        <v>253</v>
      </c>
      <c r="AB311" t="s">
        <v>1</v>
      </c>
      <c r="AC311" s="235">
        <v>500000</v>
      </c>
      <c r="AD311" s="235">
        <v>39342.688523933146</v>
      </c>
      <c r="AE311">
        <v>0</v>
      </c>
      <c r="AF311">
        <v>0</v>
      </c>
      <c r="AG311">
        <v>0</v>
      </c>
      <c r="AH311" s="235">
        <v>-5309.3776694685948</v>
      </c>
      <c r="AI311">
        <v>226</v>
      </c>
      <c r="AJ311" t="s">
        <v>256</v>
      </c>
      <c r="AK311">
        <v>0</v>
      </c>
      <c r="AL311">
        <v>0</v>
      </c>
      <c r="AM311">
        <v>0</v>
      </c>
    </row>
    <row r="312" spans="1:39" x14ac:dyDescent="0.25">
      <c r="A312" t="s">
        <v>233</v>
      </c>
      <c r="B312" t="s">
        <v>435</v>
      </c>
      <c r="C312" t="s">
        <v>255</v>
      </c>
      <c r="D312" t="s">
        <v>234</v>
      </c>
      <c r="E312" t="s">
        <v>20</v>
      </c>
      <c r="F312" t="s">
        <v>434</v>
      </c>
      <c r="G312" t="s">
        <v>269</v>
      </c>
      <c r="H312" t="s">
        <v>254</v>
      </c>
      <c r="I312" t="s">
        <v>242</v>
      </c>
      <c r="J312" t="s">
        <v>235</v>
      </c>
      <c r="K312" s="380">
        <v>36923</v>
      </c>
      <c r="L312" s="235">
        <v>38128.1494972453</v>
      </c>
      <c r="M312" s="380">
        <v>36921</v>
      </c>
      <c r="N312" t="s">
        <v>1</v>
      </c>
      <c r="O312">
        <v>0.4</v>
      </c>
      <c r="P312">
        <v>0</v>
      </c>
      <c r="Q312">
        <v>0</v>
      </c>
      <c r="R312">
        <v>0</v>
      </c>
      <c r="S312">
        <v>0</v>
      </c>
      <c r="T312" t="s">
        <v>253</v>
      </c>
      <c r="U312" t="s">
        <v>7</v>
      </c>
      <c r="V312" t="s">
        <v>253</v>
      </c>
      <c r="W312" t="s">
        <v>132</v>
      </c>
      <c r="X312" t="s">
        <v>253</v>
      </c>
      <c r="Y312" t="s">
        <v>235</v>
      </c>
      <c r="Z312" t="s">
        <v>236</v>
      </c>
      <c r="AA312" t="s">
        <v>253</v>
      </c>
      <c r="AB312" t="s">
        <v>1</v>
      </c>
      <c r="AC312" s="235">
        <v>500000</v>
      </c>
      <c r="AD312" s="235">
        <v>23201.025979912913</v>
      </c>
      <c r="AE312">
        <v>0</v>
      </c>
      <c r="AF312">
        <v>0</v>
      </c>
      <c r="AG312">
        <v>0</v>
      </c>
      <c r="AH312" s="235">
        <v>-2123.6823982575515</v>
      </c>
      <c r="AI312">
        <v>226</v>
      </c>
      <c r="AJ312" t="s">
        <v>256</v>
      </c>
      <c r="AK312">
        <v>0</v>
      </c>
      <c r="AL312">
        <v>0</v>
      </c>
      <c r="AM312">
        <v>0</v>
      </c>
    </row>
    <row r="313" spans="1:39" x14ac:dyDescent="0.25">
      <c r="A313" t="s">
        <v>233</v>
      </c>
      <c r="B313" t="s">
        <v>435</v>
      </c>
      <c r="C313" t="s">
        <v>255</v>
      </c>
      <c r="D313" t="s">
        <v>234</v>
      </c>
      <c r="E313" t="s">
        <v>20</v>
      </c>
      <c r="F313" t="s">
        <v>434</v>
      </c>
      <c r="G313" t="s">
        <v>269</v>
      </c>
      <c r="H313" t="s">
        <v>254</v>
      </c>
      <c r="I313" t="s">
        <v>242</v>
      </c>
      <c r="J313" t="s">
        <v>235</v>
      </c>
      <c r="K313" s="380">
        <v>36892</v>
      </c>
      <c r="L313" s="235">
        <v>28714.113736807794</v>
      </c>
      <c r="M313" s="380">
        <v>36888</v>
      </c>
      <c r="N313" t="s">
        <v>1</v>
      </c>
      <c r="O313">
        <v>0.4</v>
      </c>
      <c r="P313">
        <v>0</v>
      </c>
      <c r="Q313">
        <v>0</v>
      </c>
      <c r="R313">
        <v>0</v>
      </c>
      <c r="S313">
        <v>0</v>
      </c>
      <c r="T313" t="s">
        <v>253</v>
      </c>
      <c r="U313" t="s">
        <v>7</v>
      </c>
      <c r="V313" t="s">
        <v>253</v>
      </c>
      <c r="W313" t="s">
        <v>132</v>
      </c>
      <c r="X313" t="s">
        <v>253</v>
      </c>
      <c r="Y313" t="s">
        <v>235</v>
      </c>
      <c r="Z313" t="s">
        <v>236</v>
      </c>
      <c r="AA313" t="s">
        <v>253</v>
      </c>
      <c r="AB313" t="s">
        <v>1</v>
      </c>
      <c r="AC313" s="235">
        <v>500000</v>
      </c>
      <c r="AD313" s="235">
        <v>18311.635757673583</v>
      </c>
      <c r="AE313">
        <v>0</v>
      </c>
      <c r="AF313">
        <v>0</v>
      </c>
      <c r="AG313">
        <v>0</v>
      </c>
      <c r="AH313" s="235">
        <v>-1420.436403499094</v>
      </c>
      <c r="AI313">
        <v>226</v>
      </c>
      <c r="AJ313" t="s">
        <v>256</v>
      </c>
      <c r="AK313">
        <v>0</v>
      </c>
      <c r="AL313">
        <v>0</v>
      </c>
      <c r="AM313">
        <v>0</v>
      </c>
    </row>
    <row r="314" spans="1:39" x14ac:dyDescent="0.25">
      <c r="A314" t="s">
        <v>233</v>
      </c>
      <c r="B314" t="s">
        <v>435</v>
      </c>
      <c r="C314" t="s">
        <v>255</v>
      </c>
      <c r="D314" t="s">
        <v>234</v>
      </c>
      <c r="E314" t="s">
        <v>20</v>
      </c>
      <c r="F314" t="s">
        <v>434</v>
      </c>
      <c r="G314" t="s">
        <v>269</v>
      </c>
      <c r="H314" t="s">
        <v>254</v>
      </c>
      <c r="I314" t="s">
        <v>242</v>
      </c>
      <c r="J314" t="s">
        <v>235</v>
      </c>
      <c r="K314" s="380">
        <v>36861</v>
      </c>
      <c r="L314" s="235">
        <v>37579.792555404165</v>
      </c>
      <c r="M314" s="380">
        <v>36859</v>
      </c>
      <c r="N314" t="s">
        <v>1</v>
      </c>
      <c r="O314">
        <v>0.4</v>
      </c>
      <c r="P314">
        <v>0</v>
      </c>
      <c r="Q314">
        <v>0</v>
      </c>
      <c r="R314">
        <v>0</v>
      </c>
      <c r="S314">
        <v>0</v>
      </c>
      <c r="T314" t="s">
        <v>253</v>
      </c>
      <c r="U314" t="s">
        <v>7</v>
      </c>
      <c r="V314" t="s">
        <v>253</v>
      </c>
      <c r="W314" t="s">
        <v>132</v>
      </c>
      <c r="X314" t="s">
        <v>253</v>
      </c>
      <c r="Y314" t="s">
        <v>235</v>
      </c>
      <c r="Z314" t="s">
        <v>236</v>
      </c>
      <c r="AA314" t="s">
        <v>253</v>
      </c>
      <c r="AB314" t="s">
        <v>1</v>
      </c>
      <c r="AC314" s="235">
        <v>500000</v>
      </c>
      <c r="AD314" s="235">
        <v>20590.959756902725</v>
      </c>
      <c r="AE314">
        <v>0</v>
      </c>
      <c r="AF314">
        <v>0</v>
      </c>
      <c r="AG314">
        <v>0</v>
      </c>
      <c r="AH314" s="235">
        <v>-1567.2312831909221</v>
      </c>
      <c r="AI314">
        <v>226</v>
      </c>
      <c r="AJ314" t="s">
        <v>256</v>
      </c>
      <c r="AK314">
        <v>0</v>
      </c>
      <c r="AL314">
        <v>0</v>
      </c>
      <c r="AM314">
        <v>0</v>
      </c>
    </row>
    <row r="315" spans="1:39" x14ac:dyDescent="0.25">
      <c r="A315" t="s">
        <v>233</v>
      </c>
      <c r="B315" t="s">
        <v>435</v>
      </c>
      <c r="C315" t="s">
        <v>255</v>
      </c>
      <c r="D315" t="s">
        <v>234</v>
      </c>
      <c r="E315" t="s">
        <v>20</v>
      </c>
      <c r="F315" t="s">
        <v>434</v>
      </c>
      <c r="G315" t="s">
        <v>269</v>
      </c>
      <c r="H315" t="s">
        <v>254</v>
      </c>
      <c r="I315" t="s">
        <v>242</v>
      </c>
      <c r="J315" t="s">
        <v>235</v>
      </c>
      <c r="K315" s="380">
        <v>36831</v>
      </c>
      <c r="L315" s="235">
        <v>53535.934044078196</v>
      </c>
      <c r="M315" s="380">
        <v>36829</v>
      </c>
      <c r="N315" t="s">
        <v>1</v>
      </c>
      <c r="O315">
        <v>0.4</v>
      </c>
      <c r="P315">
        <v>0</v>
      </c>
      <c r="Q315">
        <v>0</v>
      </c>
      <c r="R315">
        <v>0</v>
      </c>
      <c r="S315">
        <v>0</v>
      </c>
      <c r="T315" t="s">
        <v>253</v>
      </c>
      <c r="U315" t="s">
        <v>7</v>
      </c>
      <c r="V315" t="s">
        <v>253</v>
      </c>
      <c r="W315" t="s">
        <v>132</v>
      </c>
      <c r="X315" t="s">
        <v>253</v>
      </c>
      <c r="Y315" t="s">
        <v>235</v>
      </c>
      <c r="Z315" t="s">
        <v>236</v>
      </c>
      <c r="AA315" t="s">
        <v>253</v>
      </c>
      <c r="AB315" t="s">
        <v>1</v>
      </c>
      <c r="AC315" s="235">
        <v>500000</v>
      </c>
      <c r="AD315" s="235">
        <v>19539.20859338349</v>
      </c>
      <c r="AE315">
        <v>0</v>
      </c>
      <c r="AF315">
        <v>0</v>
      </c>
      <c r="AG315">
        <v>0</v>
      </c>
      <c r="AH315" s="235">
        <v>-4273.7047159380236</v>
      </c>
      <c r="AI315">
        <v>226</v>
      </c>
      <c r="AJ315" t="s">
        <v>256</v>
      </c>
      <c r="AK315">
        <v>0</v>
      </c>
      <c r="AL315">
        <v>0</v>
      </c>
      <c r="AM315">
        <v>0</v>
      </c>
    </row>
    <row r="316" spans="1:39" x14ac:dyDescent="0.25">
      <c r="A316" t="s">
        <v>233</v>
      </c>
      <c r="B316" t="s">
        <v>436</v>
      </c>
      <c r="C316" t="s">
        <v>255</v>
      </c>
      <c r="D316" t="s">
        <v>234</v>
      </c>
      <c r="E316" t="s">
        <v>20</v>
      </c>
      <c r="F316" t="s">
        <v>279</v>
      </c>
      <c r="G316" t="s">
        <v>269</v>
      </c>
      <c r="H316" t="s">
        <v>254</v>
      </c>
      <c r="I316" t="s">
        <v>242</v>
      </c>
      <c r="J316" t="s">
        <v>235</v>
      </c>
      <c r="K316" s="380">
        <v>36951</v>
      </c>
      <c r="L316" s="235">
        <v>-151970.79248580229</v>
      </c>
      <c r="M316" s="380">
        <v>36949</v>
      </c>
      <c r="N316" t="s">
        <v>21</v>
      </c>
      <c r="O316">
        <v>1.7</v>
      </c>
      <c r="P316">
        <v>0</v>
      </c>
      <c r="Q316">
        <v>0</v>
      </c>
      <c r="R316">
        <v>0</v>
      </c>
      <c r="S316">
        <v>0</v>
      </c>
      <c r="T316" t="s">
        <v>253</v>
      </c>
      <c r="U316" t="s">
        <v>7</v>
      </c>
      <c r="V316" t="s">
        <v>253</v>
      </c>
      <c r="W316" t="s">
        <v>132</v>
      </c>
      <c r="X316" t="s">
        <v>253</v>
      </c>
      <c r="Y316" t="s">
        <v>235</v>
      </c>
      <c r="Z316" t="s">
        <v>236</v>
      </c>
      <c r="AA316" t="s">
        <v>253</v>
      </c>
      <c r="AB316" t="s">
        <v>1</v>
      </c>
      <c r="AC316" s="235">
        <v>-500000</v>
      </c>
      <c r="AD316" s="235">
        <v>-39326.809170663706</v>
      </c>
      <c r="AE316">
        <v>0</v>
      </c>
      <c r="AF316">
        <v>0</v>
      </c>
      <c r="AG316">
        <v>0</v>
      </c>
      <c r="AH316" s="235">
        <v>-12813.247177281999</v>
      </c>
      <c r="AI316">
        <v>226</v>
      </c>
      <c r="AJ316" t="s">
        <v>256</v>
      </c>
      <c r="AK316">
        <v>0</v>
      </c>
      <c r="AL316">
        <v>0</v>
      </c>
      <c r="AM316">
        <v>0</v>
      </c>
    </row>
    <row r="317" spans="1:39" x14ac:dyDescent="0.25">
      <c r="A317" t="s">
        <v>233</v>
      </c>
      <c r="B317" t="s">
        <v>437</v>
      </c>
      <c r="C317" t="s">
        <v>255</v>
      </c>
      <c r="D317" t="s">
        <v>234</v>
      </c>
      <c r="E317" t="s">
        <v>20</v>
      </c>
      <c r="F317" t="s">
        <v>279</v>
      </c>
      <c r="G317" t="s">
        <v>269</v>
      </c>
      <c r="H317" t="s">
        <v>254</v>
      </c>
      <c r="I317" t="s">
        <v>242</v>
      </c>
      <c r="J317" t="s">
        <v>235</v>
      </c>
      <c r="K317" s="380">
        <v>36951</v>
      </c>
      <c r="L317" s="235">
        <v>157698.06655468969</v>
      </c>
      <c r="M317" s="380">
        <v>36949</v>
      </c>
      <c r="N317" t="s">
        <v>21</v>
      </c>
      <c r="O317">
        <v>2.5</v>
      </c>
      <c r="P317">
        <v>0</v>
      </c>
      <c r="Q317">
        <v>0</v>
      </c>
      <c r="R317">
        <v>0</v>
      </c>
      <c r="S317">
        <v>0</v>
      </c>
      <c r="T317" t="s">
        <v>253</v>
      </c>
      <c r="U317" t="s">
        <v>7</v>
      </c>
      <c r="V317" t="s">
        <v>253</v>
      </c>
      <c r="W317" t="s">
        <v>132</v>
      </c>
      <c r="X317" t="s">
        <v>253</v>
      </c>
      <c r="Y317" t="s">
        <v>235</v>
      </c>
      <c r="Z317" t="s">
        <v>236</v>
      </c>
      <c r="AA317" t="s">
        <v>253</v>
      </c>
      <c r="AB317" t="s">
        <v>1</v>
      </c>
      <c r="AC317" s="235">
        <v>1000000</v>
      </c>
      <c r="AD317" s="235">
        <v>57308.589381617843</v>
      </c>
      <c r="AE317">
        <v>0</v>
      </c>
      <c r="AF317">
        <v>0</v>
      </c>
      <c r="AG317">
        <v>0</v>
      </c>
      <c r="AH317" s="235">
        <v>15681.397873145906</v>
      </c>
      <c r="AI317">
        <v>226</v>
      </c>
      <c r="AJ317" t="s">
        <v>256</v>
      </c>
      <c r="AK317">
        <v>0</v>
      </c>
      <c r="AL317">
        <v>0</v>
      </c>
      <c r="AM317">
        <v>0</v>
      </c>
    </row>
    <row r="318" spans="1:39" x14ac:dyDescent="0.25">
      <c r="A318" t="s">
        <v>233</v>
      </c>
      <c r="B318" t="s">
        <v>438</v>
      </c>
      <c r="C318" t="s">
        <v>255</v>
      </c>
      <c r="D318" t="s">
        <v>234</v>
      </c>
      <c r="E318" t="s">
        <v>20</v>
      </c>
      <c r="F318" t="s">
        <v>279</v>
      </c>
      <c r="G318" t="s">
        <v>269</v>
      </c>
      <c r="H318" t="s">
        <v>254</v>
      </c>
      <c r="I318" t="s">
        <v>242</v>
      </c>
      <c r="J318" t="s">
        <v>235</v>
      </c>
      <c r="K318" s="380">
        <v>36951</v>
      </c>
      <c r="L318" s="235">
        <v>-907740.38129235059</v>
      </c>
      <c r="M318" s="380">
        <v>36949</v>
      </c>
      <c r="N318" t="s">
        <v>1</v>
      </c>
      <c r="O318">
        <v>1.7</v>
      </c>
      <c r="P318">
        <v>0</v>
      </c>
      <c r="Q318">
        <v>0</v>
      </c>
      <c r="R318">
        <v>0</v>
      </c>
      <c r="S318">
        <v>0</v>
      </c>
      <c r="T318" t="s">
        <v>253</v>
      </c>
      <c r="U318" t="s">
        <v>7</v>
      </c>
      <c r="V318" t="s">
        <v>253</v>
      </c>
      <c r="W318" t="s">
        <v>132</v>
      </c>
      <c r="X318" t="s">
        <v>253</v>
      </c>
      <c r="Y318" t="s">
        <v>235</v>
      </c>
      <c r="Z318" t="s">
        <v>236</v>
      </c>
      <c r="AA318" t="s">
        <v>253</v>
      </c>
      <c r="AB318" t="s">
        <v>1</v>
      </c>
      <c r="AC318" s="235">
        <v>-1000000</v>
      </c>
      <c r="AD318" s="235">
        <v>-78653.618341327296</v>
      </c>
      <c r="AE318">
        <v>0</v>
      </c>
      <c r="AF318">
        <v>0</v>
      </c>
      <c r="AG318">
        <v>0</v>
      </c>
      <c r="AH318" s="235">
        <v>32309.639552984503</v>
      </c>
      <c r="AI318">
        <v>226</v>
      </c>
      <c r="AJ318" t="s">
        <v>256</v>
      </c>
      <c r="AK318">
        <v>0</v>
      </c>
      <c r="AL318">
        <v>0</v>
      </c>
      <c r="AM318">
        <v>0</v>
      </c>
    </row>
    <row r="319" spans="1:39" x14ac:dyDescent="0.25">
      <c r="A319" t="s">
        <v>233</v>
      </c>
      <c r="B319" t="s">
        <v>438</v>
      </c>
      <c r="C319" t="s">
        <v>255</v>
      </c>
      <c r="D319" t="s">
        <v>234</v>
      </c>
      <c r="E319" t="s">
        <v>20</v>
      </c>
      <c r="F319" t="s">
        <v>279</v>
      </c>
      <c r="G319" t="s">
        <v>269</v>
      </c>
      <c r="H319" t="s">
        <v>254</v>
      </c>
      <c r="I319" t="s">
        <v>242</v>
      </c>
      <c r="J319" t="s">
        <v>235</v>
      </c>
      <c r="K319" s="380">
        <v>36923</v>
      </c>
      <c r="L319" s="235">
        <v>-477065.63290775719</v>
      </c>
      <c r="M319" s="380">
        <v>36921</v>
      </c>
      <c r="N319" t="s">
        <v>1</v>
      </c>
      <c r="O319">
        <v>1.7</v>
      </c>
      <c r="P319">
        <v>0</v>
      </c>
      <c r="Q319">
        <v>0</v>
      </c>
      <c r="R319">
        <v>0</v>
      </c>
      <c r="S319">
        <v>0</v>
      </c>
      <c r="T319" t="s">
        <v>253</v>
      </c>
      <c r="U319" t="s">
        <v>7</v>
      </c>
      <c r="V319" t="s">
        <v>253</v>
      </c>
      <c r="W319" t="s">
        <v>132</v>
      </c>
      <c r="X319" t="s">
        <v>253</v>
      </c>
      <c r="Y319" t="s">
        <v>235</v>
      </c>
      <c r="Z319" t="s">
        <v>236</v>
      </c>
      <c r="AA319" t="s">
        <v>253</v>
      </c>
      <c r="AB319" t="s">
        <v>1</v>
      </c>
      <c r="AC319" s="235">
        <v>-1000000</v>
      </c>
      <c r="AD319" s="235">
        <v>-84947.491666822694</v>
      </c>
      <c r="AE319">
        <v>0</v>
      </c>
      <c r="AF319">
        <v>0</v>
      </c>
      <c r="AG319">
        <v>0</v>
      </c>
      <c r="AH319" s="235">
        <v>20548.85943637701</v>
      </c>
      <c r="AI319">
        <v>226</v>
      </c>
      <c r="AJ319" t="s">
        <v>256</v>
      </c>
      <c r="AK319">
        <v>0</v>
      </c>
      <c r="AL319">
        <v>0</v>
      </c>
      <c r="AM319">
        <v>0</v>
      </c>
    </row>
    <row r="320" spans="1:39" x14ac:dyDescent="0.25">
      <c r="A320" t="s">
        <v>233</v>
      </c>
      <c r="B320" t="s">
        <v>438</v>
      </c>
      <c r="C320" t="s">
        <v>255</v>
      </c>
      <c r="D320" t="s">
        <v>234</v>
      </c>
      <c r="E320" t="s">
        <v>20</v>
      </c>
      <c r="F320" t="s">
        <v>279</v>
      </c>
      <c r="G320" t="s">
        <v>269</v>
      </c>
      <c r="H320" t="s">
        <v>254</v>
      </c>
      <c r="I320" t="s">
        <v>242</v>
      </c>
      <c r="J320" t="s">
        <v>235</v>
      </c>
      <c r="K320" s="380">
        <v>36892</v>
      </c>
      <c r="L320" s="235">
        <v>-414677.50155694818</v>
      </c>
      <c r="M320" s="380">
        <v>36888</v>
      </c>
      <c r="N320" t="s">
        <v>1</v>
      </c>
      <c r="O320">
        <v>1.7</v>
      </c>
      <c r="P320">
        <v>0</v>
      </c>
      <c r="Q320">
        <v>0</v>
      </c>
      <c r="R320">
        <v>0</v>
      </c>
      <c r="S320">
        <v>0</v>
      </c>
      <c r="T320" t="s">
        <v>253</v>
      </c>
      <c r="U320" t="s">
        <v>7</v>
      </c>
      <c r="V320" t="s">
        <v>253</v>
      </c>
      <c r="W320" t="s">
        <v>132</v>
      </c>
      <c r="X320" t="s">
        <v>253</v>
      </c>
      <c r="Y320" t="s">
        <v>235</v>
      </c>
      <c r="Z320" t="s">
        <v>236</v>
      </c>
      <c r="AA320" t="s">
        <v>253</v>
      </c>
      <c r="AB320" t="s">
        <v>1</v>
      </c>
      <c r="AC320" s="235">
        <v>-1000000</v>
      </c>
      <c r="AD320" s="235">
        <v>-76646.411582765635</v>
      </c>
      <c r="AE320">
        <v>0</v>
      </c>
      <c r="AF320">
        <v>0</v>
      </c>
      <c r="AG320">
        <v>0</v>
      </c>
      <c r="AH320" s="235">
        <v>16429.548247581173</v>
      </c>
      <c r="AI320">
        <v>226</v>
      </c>
      <c r="AJ320" t="s">
        <v>256</v>
      </c>
      <c r="AK320">
        <v>0</v>
      </c>
      <c r="AL320">
        <v>0</v>
      </c>
      <c r="AM320">
        <v>0</v>
      </c>
    </row>
    <row r="321" spans="1:39" x14ac:dyDescent="0.25">
      <c r="A321" t="s">
        <v>233</v>
      </c>
      <c r="B321" t="s">
        <v>439</v>
      </c>
      <c r="C321" t="s">
        <v>255</v>
      </c>
      <c r="D321" t="s">
        <v>234</v>
      </c>
      <c r="E321" t="s">
        <v>20</v>
      </c>
      <c r="F321" t="s">
        <v>279</v>
      </c>
      <c r="G321" t="s">
        <v>269</v>
      </c>
      <c r="H321" t="s">
        <v>254</v>
      </c>
      <c r="I321" t="s">
        <v>242</v>
      </c>
      <c r="J321" t="s">
        <v>235</v>
      </c>
      <c r="K321" s="380">
        <v>36951</v>
      </c>
      <c r="L321" s="235">
        <v>465509.91672981536</v>
      </c>
      <c r="M321" s="380">
        <v>36949</v>
      </c>
      <c r="N321" t="s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 t="s">
        <v>253</v>
      </c>
      <c r="U321" t="s">
        <v>7</v>
      </c>
      <c r="V321" t="s">
        <v>253</v>
      </c>
      <c r="W321" t="s">
        <v>132</v>
      </c>
      <c r="X321" t="s">
        <v>253</v>
      </c>
      <c r="Y321" t="s">
        <v>235</v>
      </c>
      <c r="Z321" t="s">
        <v>236</v>
      </c>
      <c r="AA321" t="s">
        <v>253</v>
      </c>
      <c r="AB321" t="s">
        <v>1</v>
      </c>
      <c r="AC321" s="235">
        <v>1000000</v>
      </c>
      <c r="AD321" s="235">
        <v>88936.820974534145</v>
      </c>
      <c r="AE321">
        <v>0</v>
      </c>
      <c r="AF321">
        <v>0</v>
      </c>
      <c r="AG321">
        <v>0</v>
      </c>
      <c r="AH321" s="235">
        <v>-20719.012783803046</v>
      </c>
      <c r="AI321">
        <v>226</v>
      </c>
      <c r="AJ321" t="s">
        <v>256</v>
      </c>
      <c r="AK321">
        <v>0</v>
      </c>
      <c r="AL321">
        <v>0</v>
      </c>
      <c r="AM321">
        <v>0</v>
      </c>
    </row>
    <row r="322" spans="1:39" x14ac:dyDescent="0.25">
      <c r="A322" t="s">
        <v>233</v>
      </c>
      <c r="B322" t="s">
        <v>439</v>
      </c>
      <c r="C322" t="s">
        <v>255</v>
      </c>
      <c r="D322" t="s">
        <v>234</v>
      </c>
      <c r="E322" t="s">
        <v>20</v>
      </c>
      <c r="F322" t="s">
        <v>279</v>
      </c>
      <c r="G322" t="s">
        <v>269</v>
      </c>
      <c r="H322" t="s">
        <v>254</v>
      </c>
      <c r="I322" t="s">
        <v>242</v>
      </c>
      <c r="J322" t="s">
        <v>235</v>
      </c>
      <c r="K322" s="380">
        <v>36923</v>
      </c>
      <c r="L322" s="235">
        <v>205076.00737213183</v>
      </c>
      <c r="M322" s="380">
        <v>36921</v>
      </c>
      <c r="N322" t="s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 t="s">
        <v>253</v>
      </c>
      <c r="U322" t="s">
        <v>7</v>
      </c>
      <c r="V322" t="s">
        <v>253</v>
      </c>
      <c r="W322" t="s">
        <v>132</v>
      </c>
      <c r="X322" t="s">
        <v>253</v>
      </c>
      <c r="Y322" t="s">
        <v>235</v>
      </c>
      <c r="Z322" t="s">
        <v>236</v>
      </c>
      <c r="AA322" t="s">
        <v>253</v>
      </c>
      <c r="AB322" t="s">
        <v>1</v>
      </c>
      <c r="AC322" s="235">
        <v>1000000</v>
      </c>
      <c r="AD322" s="235">
        <v>70642.50841014451</v>
      </c>
      <c r="AE322">
        <v>0</v>
      </c>
      <c r="AF322">
        <v>0</v>
      </c>
      <c r="AG322">
        <v>0</v>
      </c>
      <c r="AH322" s="235">
        <v>-10477.970219786133</v>
      </c>
      <c r="AI322">
        <v>226</v>
      </c>
      <c r="AJ322" t="s">
        <v>256</v>
      </c>
      <c r="AK322">
        <v>0</v>
      </c>
      <c r="AL322">
        <v>0</v>
      </c>
      <c r="AM322">
        <v>0</v>
      </c>
    </row>
    <row r="323" spans="1:39" x14ac:dyDescent="0.25">
      <c r="A323" t="s">
        <v>233</v>
      </c>
      <c r="B323" t="s">
        <v>439</v>
      </c>
      <c r="C323" t="s">
        <v>255</v>
      </c>
      <c r="D323" t="s">
        <v>234</v>
      </c>
      <c r="E323" t="s">
        <v>20</v>
      </c>
      <c r="F323" t="s">
        <v>279</v>
      </c>
      <c r="G323" t="s">
        <v>269</v>
      </c>
      <c r="H323" t="s">
        <v>254</v>
      </c>
      <c r="I323" t="s">
        <v>242</v>
      </c>
      <c r="J323" t="s">
        <v>235</v>
      </c>
      <c r="K323" s="380">
        <v>36892</v>
      </c>
      <c r="L323" s="235">
        <v>166821.60872180108</v>
      </c>
      <c r="M323" s="380">
        <v>36888</v>
      </c>
      <c r="N323" t="s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 t="s">
        <v>253</v>
      </c>
      <c r="U323" t="s">
        <v>7</v>
      </c>
      <c r="V323" t="s">
        <v>253</v>
      </c>
      <c r="W323" t="s">
        <v>132</v>
      </c>
      <c r="X323" t="s">
        <v>253</v>
      </c>
      <c r="Y323" t="s">
        <v>235</v>
      </c>
      <c r="Z323" t="s">
        <v>236</v>
      </c>
      <c r="AA323" t="s">
        <v>253</v>
      </c>
      <c r="AB323" t="s">
        <v>1</v>
      </c>
      <c r="AC323" s="235">
        <v>1000000</v>
      </c>
      <c r="AD323" s="235">
        <v>60333.663085058826</v>
      </c>
      <c r="AE323">
        <v>0</v>
      </c>
      <c r="AF323">
        <v>0</v>
      </c>
      <c r="AG323">
        <v>0</v>
      </c>
      <c r="AH323" s="235">
        <v>-7743.6614807977458</v>
      </c>
      <c r="AI323">
        <v>226</v>
      </c>
      <c r="AJ323" t="s">
        <v>256</v>
      </c>
      <c r="AK323">
        <v>0</v>
      </c>
      <c r="AL323">
        <v>0</v>
      </c>
      <c r="AM323">
        <v>0</v>
      </c>
    </row>
    <row r="324" spans="1:39" x14ac:dyDescent="0.25">
      <c r="A324" t="s">
        <v>233</v>
      </c>
      <c r="B324" t="s">
        <v>440</v>
      </c>
      <c r="C324" t="s">
        <v>255</v>
      </c>
      <c r="D324" t="s">
        <v>234</v>
      </c>
      <c r="E324" t="s">
        <v>20</v>
      </c>
      <c r="F324" t="s">
        <v>279</v>
      </c>
      <c r="G324" t="s">
        <v>269</v>
      </c>
      <c r="H324" t="s">
        <v>254</v>
      </c>
      <c r="I324" t="s">
        <v>242</v>
      </c>
      <c r="J324" t="s">
        <v>235</v>
      </c>
      <c r="K324" s="380">
        <v>36800</v>
      </c>
      <c r="L324" s="235">
        <v>-758.92388018139434</v>
      </c>
      <c r="M324" s="380">
        <v>36797</v>
      </c>
      <c r="N324" t="s">
        <v>21</v>
      </c>
      <c r="O324">
        <v>0.7</v>
      </c>
      <c r="P324">
        <v>0</v>
      </c>
      <c r="Q324">
        <v>0</v>
      </c>
      <c r="R324">
        <v>0</v>
      </c>
      <c r="S324">
        <v>0</v>
      </c>
      <c r="T324" t="s">
        <v>253</v>
      </c>
      <c r="U324" t="s">
        <v>7</v>
      </c>
      <c r="V324" t="s">
        <v>253</v>
      </c>
      <c r="W324" t="s">
        <v>132</v>
      </c>
      <c r="X324" t="s">
        <v>253</v>
      </c>
      <c r="Y324" t="s">
        <v>235</v>
      </c>
      <c r="Z324" t="s">
        <v>236</v>
      </c>
      <c r="AA324" t="s">
        <v>253</v>
      </c>
      <c r="AB324" t="s">
        <v>1</v>
      </c>
      <c r="AC324" s="235">
        <v>-1000000</v>
      </c>
      <c r="AD324" s="235">
        <v>-593.53102555814257</v>
      </c>
      <c r="AE324">
        <v>0</v>
      </c>
      <c r="AF324">
        <v>0</v>
      </c>
      <c r="AG324">
        <v>0</v>
      </c>
      <c r="AH324" s="235">
        <v>-36.033143783603578</v>
      </c>
      <c r="AI324">
        <v>226</v>
      </c>
      <c r="AJ324" t="s">
        <v>256</v>
      </c>
      <c r="AK324">
        <v>0</v>
      </c>
      <c r="AL324">
        <v>0</v>
      </c>
      <c r="AM324">
        <v>0</v>
      </c>
    </row>
    <row r="325" spans="1:39" x14ac:dyDescent="0.25">
      <c r="A325" t="s">
        <v>233</v>
      </c>
      <c r="B325" t="s">
        <v>441</v>
      </c>
      <c r="C325" t="s">
        <v>255</v>
      </c>
      <c r="D325" t="s">
        <v>234</v>
      </c>
      <c r="E325" t="s">
        <v>20</v>
      </c>
      <c r="F325" t="s">
        <v>279</v>
      </c>
      <c r="G325" t="s">
        <v>269</v>
      </c>
      <c r="H325" t="s">
        <v>254</v>
      </c>
      <c r="I325" t="s">
        <v>242</v>
      </c>
      <c r="J325" t="s">
        <v>235</v>
      </c>
      <c r="K325" s="380">
        <v>36800</v>
      </c>
      <c r="L325" s="235">
        <v>-758.92388018139434</v>
      </c>
      <c r="M325" s="380">
        <v>36797</v>
      </c>
      <c r="N325" t="s">
        <v>21</v>
      </c>
      <c r="O325">
        <v>0.7</v>
      </c>
      <c r="P325">
        <v>0</v>
      </c>
      <c r="Q325">
        <v>0</v>
      </c>
      <c r="R325">
        <v>0</v>
      </c>
      <c r="S325">
        <v>0</v>
      </c>
      <c r="T325" t="s">
        <v>253</v>
      </c>
      <c r="U325" t="s">
        <v>7</v>
      </c>
      <c r="V325" t="s">
        <v>253</v>
      </c>
      <c r="W325" t="s">
        <v>132</v>
      </c>
      <c r="X325" t="s">
        <v>253</v>
      </c>
      <c r="Y325" t="s">
        <v>235</v>
      </c>
      <c r="Z325" t="s">
        <v>236</v>
      </c>
      <c r="AA325" t="s">
        <v>253</v>
      </c>
      <c r="AB325" t="s">
        <v>1</v>
      </c>
      <c r="AC325" s="235">
        <v>-1000000</v>
      </c>
      <c r="AD325" s="235">
        <v>-593.53102555814257</v>
      </c>
      <c r="AE325">
        <v>0</v>
      </c>
      <c r="AF325">
        <v>0</v>
      </c>
      <c r="AG325">
        <v>0</v>
      </c>
      <c r="AH325" s="235">
        <v>-36.033143783603578</v>
      </c>
      <c r="AI325">
        <v>226</v>
      </c>
      <c r="AJ325" t="s">
        <v>256</v>
      </c>
      <c r="AK325">
        <v>0</v>
      </c>
      <c r="AL325">
        <v>0</v>
      </c>
      <c r="AM325">
        <v>0</v>
      </c>
    </row>
    <row r="326" spans="1:39" x14ac:dyDescent="0.25">
      <c r="A326" t="s">
        <v>233</v>
      </c>
      <c r="B326" t="s">
        <v>442</v>
      </c>
      <c r="C326" t="s">
        <v>255</v>
      </c>
      <c r="D326" t="s">
        <v>234</v>
      </c>
      <c r="E326" t="s">
        <v>20</v>
      </c>
      <c r="F326" t="s">
        <v>284</v>
      </c>
      <c r="G326" t="s">
        <v>269</v>
      </c>
      <c r="H326" t="s">
        <v>254</v>
      </c>
      <c r="I326" t="s">
        <v>242</v>
      </c>
      <c r="J326" t="s">
        <v>235</v>
      </c>
      <c r="K326" s="380">
        <v>36800</v>
      </c>
      <c r="L326" s="235">
        <v>115742.62395522294</v>
      </c>
      <c r="M326" s="380">
        <v>36797</v>
      </c>
      <c r="N326" t="s">
        <v>1</v>
      </c>
      <c r="O326">
        <v>0.4</v>
      </c>
      <c r="P326">
        <v>0</v>
      </c>
      <c r="Q326">
        <v>0</v>
      </c>
      <c r="R326">
        <v>0</v>
      </c>
      <c r="S326">
        <v>0</v>
      </c>
      <c r="T326" t="s">
        <v>253</v>
      </c>
      <c r="U326" t="s">
        <v>7</v>
      </c>
      <c r="V326" t="s">
        <v>253</v>
      </c>
      <c r="W326" t="s">
        <v>132</v>
      </c>
      <c r="X326" t="s">
        <v>253</v>
      </c>
      <c r="Y326" t="s">
        <v>235</v>
      </c>
      <c r="Z326" t="s">
        <v>236</v>
      </c>
      <c r="AA326" t="s">
        <v>253</v>
      </c>
      <c r="AB326" t="s">
        <v>1</v>
      </c>
      <c r="AC326" s="235">
        <v>3100000</v>
      </c>
      <c r="AD326" s="235">
        <v>20232.855105049442</v>
      </c>
      <c r="AE326">
        <v>0</v>
      </c>
      <c r="AF326">
        <v>0</v>
      </c>
      <c r="AG326">
        <v>0</v>
      </c>
      <c r="AH326" s="235">
        <v>1152.555475575311</v>
      </c>
      <c r="AI326">
        <v>226</v>
      </c>
      <c r="AJ326" t="s">
        <v>256</v>
      </c>
      <c r="AK326">
        <v>0</v>
      </c>
      <c r="AL326">
        <v>0</v>
      </c>
      <c r="AM326">
        <v>0</v>
      </c>
    </row>
    <row r="327" spans="1:39" x14ac:dyDescent="0.25">
      <c r="A327" t="s">
        <v>233</v>
      </c>
      <c r="B327" t="s">
        <v>443</v>
      </c>
      <c r="C327" t="s">
        <v>255</v>
      </c>
      <c r="D327" t="s">
        <v>234</v>
      </c>
      <c r="E327" t="s">
        <v>20</v>
      </c>
      <c r="F327" t="s">
        <v>279</v>
      </c>
      <c r="G327" t="s">
        <v>269</v>
      </c>
      <c r="H327" t="s">
        <v>254</v>
      </c>
      <c r="I327" t="s">
        <v>242</v>
      </c>
      <c r="J327" t="s">
        <v>235</v>
      </c>
      <c r="K327" s="380">
        <v>36831</v>
      </c>
      <c r="L327" s="235">
        <v>-53535.934044078196</v>
      </c>
      <c r="M327" s="380">
        <v>36829</v>
      </c>
      <c r="N327" t="s">
        <v>1</v>
      </c>
      <c r="O327">
        <v>0.4</v>
      </c>
      <c r="P327">
        <v>0</v>
      </c>
      <c r="Q327">
        <v>0</v>
      </c>
      <c r="R327">
        <v>0</v>
      </c>
      <c r="S327">
        <v>0</v>
      </c>
      <c r="T327" t="s">
        <v>253</v>
      </c>
      <c r="U327" t="s">
        <v>7</v>
      </c>
      <c r="V327" t="s">
        <v>253</v>
      </c>
      <c r="W327" t="s">
        <v>132</v>
      </c>
      <c r="X327" t="s">
        <v>253</v>
      </c>
      <c r="Y327" t="s">
        <v>235</v>
      </c>
      <c r="Z327" t="s">
        <v>236</v>
      </c>
      <c r="AA327" t="s">
        <v>253</v>
      </c>
      <c r="AB327" t="s">
        <v>1</v>
      </c>
      <c r="AC327" s="235">
        <v>-500000</v>
      </c>
      <c r="AD327" s="235">
        <v>-19539.20859338349</v>
      </c>
      <c r="AE327">
        <v>0</v>
      </c>
      <c r="AF327">
        <v>0</v>
      </c>
      <c r="AG327">
        <v>0</v>
      </c>
      <c r="AH327" s="235">
        <v>4273.7047159380236</v>
      </c>
      <c r="AI327">
        <v>226</v>
      </c>
      <c r="AJ327" t="s">
        <v>256</v>
      </c>
      <c r="AK327">
        <v>0</v>
      </c>
      <c r="AL327">
        <v>0</v>
      </c>
      <c r="AM327">
        <v>0</v>
      </c>
    </row>
    <row r="328" spans="1:39" x14ac:dyDescent="0.25">
      <c r="A328" t="s">
        <v>233</v>
      </c>
      <c r="B328" t="s">
        <v>444</v>
      </c>
      <c r="C328" t="s">
        <v>255</v>
      </c>
      <c r="D328" t="s">
        <v>234</v>
      </c>
      <c r="E328" t="s">
        <v>20</v>
      </c>
      <c r="F328" t="s">
        <v>434</v>
      </c>
      <c r="G328" t="s">
        <v>269</v>
      </c>
      <c r="H328" t="s">
        <v>254</v>
      </c>
      <c r="I328" t="s">
        <v>242</v>
      </c>
      <c r="J328" t="s">
        <v>235</v>
      </c>
      <c r="K328" s="380">
        <v>36831</v>
      </c>
      <c r="L328" s="235">
        <v>53535.934044078196</v>
      </c>
      <c r="M328" s="380">
        <v>36829</v>
      </c>
      <c r="N328" t="s">
        <v>1</v>
      </c>
      <c r="O328">
        <v>0.4</v>
      </c>
      <c r="P328">
        <v>0</v>
      </c>
      <c r="Q328">
        <v>0</v>
      </c>
      <c r="R328">
        <v>0</v>
      </c>
      <c r="S328">
        <v>0</v>
      </c>
      <c r="T328" t="s">
        <v>253</v>
      </c>
      <c r="U328" t="s">
        <v>7</v>
      </c>
      <c r="V328" t="s">
        <v>253</v>
      </c>
      <c r="W328" t="s">
        <v>132</v>
      </c>
      <c r="X328" t="s">
        <v>253</v>
      </c>
      <c r="Y328" t="s">
        <v>235</v>
      </c>
      <c r="Z328" t="s">
        <v>236</v>
      </c>
      <c r="AA328" t="s">
        <v>253</v>
      </c>
      <c r="AB328" t="s">
        <v>1</v>
      </c>
      <c r="AC328" s="235">
        <v>500000</v>
      </c>
      <c r="AD328" s="235">
        <v>19539.20859338349</v>
      </c>
      <c r="AE328">
        <v>0</v>
      </c>
      <c r="AF328">
        <v>0</v>
      </c>
      <c r="AG328">
        <v>0</v>
      </c>
      <c r="AH328" s="235">
        <v>-4273.7047159380236</v>
      </c>
      <c r="AI328">
        <v>226</v>
      </c>
      <c r="AJ328" t="s">
        <v>256</v>
      </c>
      <c r="AK328">
        <v>0</v>
      </c>
      <c r="AL328">
        <v>0</v>
      </c>
      <c r="AM328">
        <v>0</v>
      </c>
    </row>
    <row r="329" spans="1:39" x14ac:dyDescent="0.25">
      <c r="A329" t="s">
        <v>233</v>
      </c>
      <c r="B329" t="s">
        <v>445</v>
      </c>
      <c r="C329" t="s">
        <v>255</v>
      </c>
      <c r="D329" t="s">
        <v>234</v>
      </c>
      <c r="E329" t="s">
        <v>20</v>
      </c>
      <c r="F329" t="s">
        <v>279</v>
      </c>
      <c r="G329" t="s">
        <v>269</v>
      </c>
      <c r="H329" t="s">
        <v>254</v>
      </c>
      <c r="I329" t="s">
        <v>242</v>
      </c>
      <c r="J329" t="s">
        <v>235</v>
      </c>
      <c r="K329" s="380">
        <v>36800</v>
      </c>
      <c r="L329" s="235">
        <v>-470.53280571246449</v>
      </c>
      <c r="M329" s="380">
        <v>36797</v>
      </c>
      <c r="N329" t="s">
        <v>21</v>
      </c>
      <c r="O329">
        <v>0.7</v>
      </c>
      <c r="P329">
        <v>0</v>
      </c>
      <c r="Q329">
        <v>0</v>
      </c>
      <c r="R329">
        <v>0</v>
      </c>
      <c r="S329">
        <v>0</v>
      </c>
      <c r="T329" t="s">
        <v>253</v>
      </c>
      <c r="U329" t="s">
        <v>7</v>
      </c>
      <c r="V329" t="s">
        <v>253</v>
      </c>
      <c r="W329" t="s">
        <v>132</v>
      </c>
      <c r="X329" t="s">
        <v>253</v>
      </c>
      <c r="Y329" t="s">
        <v>235</v>
      </c>
      <c r="Z329" t="s">
        <v>236</v>
      </c>
      <c r="AA329" t="s">
        <v>253</v>
      </c>
      <c r="AB329" t="s">
        <v>1</v>
      </c>
      <c r="AC329" s="235">
        <v>-620000</v>
      </c>
      <c r="AD329" s="235">
        <v>-367.98923584604745</v>
      </c>
      <c r="AE329">
        <v>0</v>
      </c>
      <c r="AF329">
        <v>0</v>
      </c>
      <c r="AG329">
        <v>0</v>
      </c>
      <c r="AH329" s="235">
        <v>-22.340549145834245</v>
      </c>
      <c r="AI329">
        <v>226</v>
      </c>
      <c r="AJ329" t="s">
        <v>256</v>
      </c>
      <c r="AK329">
        <v>0</v>
      </c>
      <c r="AL329">
        <v>0</v>
      </c>
      <c r="AM329">
        <v>0</v>
      </c>
    </row>
    <row r="330" spans="1:39" x14ac:dyDescent="0.25">
      <c r="A330" t="s">
        <v>233</v>
      </c>
      <c r="B330" t="s">
        <v>447</v>
      </c>
      <c r="C330" t="s">
        <v>255</v>
      </c>
      <c r="D330" t="s">
        <v>234</v>
      </c>
      <c r="E330" t="s">
        <v>20</v>
      </c>
      <c r="F330" t="s">
        <v>279</v>
      </c>
      <c r="G330" t="s">
        <v>269</v>
      </c>
      <c r="H330" t="s">
        <v>254</v>
      </c>
      <c r="I330" t="s">
        <v>242</v>
      </c>
      <c r="J330" t="s">
        <v>235</v>
      </c>
      <c r="K330" s="380">
        <v>36951</v>
      </c>
      <c r="L330" s="235">
        <v>-11320.757719679927</v>
      </c>
      <c r="M330" s="380">
        <v>36949</v>
      </c>
      <c r="N330" t="s">
        <v>21</v>
      </c>
      <c r="O330">
        <v>5</v>
      </c>
      <c r="P330">
        <v>0</v>
      </c>
      <c r="Q330">
        <v>0</v>
      </c>
      <c r="R330">
        <v>0</v>
      </c>
      <c r="S330">
        <v>0</v>
      </c>
      <c r="T330" t="s">
        <v>253</v>
      </c>
      <c r="U330" t="s">
        <v>7</v>
      </c>
      <c r="V330" t="s">
        <v>253</v>
      </c>
      <c r="W330" t="s">
        <v>132</v>
      </c>
      <c r="X330" t="s">
        <v>253</v>
      </c>
      <c r="Y330" t="s">
        <v>235</v>
      </c>
      <c r="Z330" t="s">
        <v>236</v>
      </c>
      <c r="AA330" t="s">
        <v>253</v>
      </c>
      <c r="AB330" t="s">
        <v>1</v>
      </c>
      <c r="AC330" s="235">
        <v>-500000</v>
      </c>
      <c r="AD330" s="235">
        <v>-7288.8633343796882</v>
      </c>
      <c r="AE330">
        <v>0</v>
      </c>
      <c r="AF330">
        <v>0</v>
      </c>
      <c r="AG330">
        <v>0</v>
      </c>
      <c r="AH330" s="235">
        <v>-1528.4775433065497</v>
      </c>
      <c r="AI330">
        <v>226</v>
      </c>
      <c r="AJ330" t="s">
        <v>256</v>
      </c>
      <c r="AK330">
        <v>0</v>
      </c>
      <c r="AL330">
        <v>0</v>
      </c>
      <c r="AM330">
        <v>0</v>
      </c>
    </row>
    <row r="331" spans="1:39" x14ac:dyDescent="0.25">
      <c r="A331" t="s">
        <v>233</v>
      </c>
      <c r="B331" t="s">
        <v>447</v>
      </c>
      <c r="C331" t="s">
        <v>255</v>
      </c>
      <c r="D331" t="s">
        <v>234</v>
      </c>
      <c r="E331" t="s">
        <v>20</v>
      </c>
      <c r="F331" t="s">
        <v>279</v>
      </c>
      <c r="G331" t="s">
        <v>269</v>
      </c>
      <c r="H331" t="s">
        <v>254</v>
      </c>
      <c r="I331" t="s">
        <v>242</v>
      </c>
      <c r="J331" t="s">
        <v>235</v>
      </c>
      <c r="K331" s="380">
        <v>36923</v>
      </c>
      <c r="L331" s="235">
        <v>-62428.719616335351</v>
      </c>
      <c r="M331" s="380">
        <v>36921</v>
      </c>
      <c r="N331" t="s">
        <v>21</v>
      </c>
      <c r="O331">
        <v>5</v>
      </c>
      <c r="P331">
        <v>0</v>
      </c>
      <c r="Q331">
        <v>0</v>
      </c>
      <c r="R331">
        <v>0</v>
      </c>
      <c r="S331">
        <v>0</v>
      </c>
      <c r="T331" t="s">
        <v>253</v>
      </c>
      <c r="U331" t="s">
        <v>7</v>
      </c>
      <c r="V331" t="s">
        <v>253</v>
      </c>
      <c r="W331" t="s">
        <v>132</v>
      </c>
      <c r="X331" t="s">
        <v>253</v>
      </c>
      <c r="Y331" t="s">
        <v>235</v>
      </c>
      <c r="Z331" t="s">
        <v>236</v>
      </c>
      <c r="AA331" t="s">
        <v>253</v>
      </c>
      <c r="AB331" t="s">
        <v>1</v>
      </c>
      <c r="AC331" s="235">
        <v>-500000</v>
      </c>
      <c r="AD331" s="235">
        <v>-20082.862480974472</v>
      </c>
      <c r="AE331">
        <v>0</v>
      </c>
      <c r="AF331">
        <v>0</v>
      </c>
      <c r="AG331">
        <v>0</v>
      </c>
      <c r="AH331" s="235">
        <v>-5834.9899983476716</v>
      </c>
      <c r="AI331">
        <v>226</v>
      </c>
      <c r="AJ331" t="s">
        <v>256</v>
      </c>
      <c r="AK331">
        <v>0</v>
      </c>
      <c r="AL331">
        <v>0</v>
      </c>
      <c r="AM331">
        <v>0</v>
      </c>
    </row>
    <row r="332" spans="1:39" x14ac:dyDescent="0.25">
      <c r="A332" t="s">
        <v>233</v>
      </c>
      <c r="B332" t="s">
        <v>447</v>
      </c>
      <c r="C332" t="s">
        <v>255</v>
      </c>
      <c r="D332" t="s">
        <v>234</v>
      </c>
      <c r="E332" t="s">
        <v>20</v>
      </c>
      <c r="F332" t="s">
        <v>279</v>
      </c>
      <c r="G332" t="s">
        <v>269</v>
      </c>
      <c r="H332" t="s">
        <v>254</v>
      </c>
      <c r="I332" t="s">
        <v>242</v>
      </c>
      <c r="J332" t="s">
        <v>235</v>
      </c>
      <c r="K332" s="380">
        <v>36892</v>
      </c>
      <c r="L332" s="235">
        <v>-53134.954922553625</v>
      </c>
      <c r="M332" s="380">
        <v>36888</v>
      </c>
      <c r="N332" t="s">
        <v>21</v>
      </c>
      <c r="O332">
        <v>5</v>
      </c>
      <c r="P332">
        <v>0</v>
      </c>
      <c r="Q332">
        <v>0</v>
      </c>
      <c r="R332">
        <v>0</v>
      </c>
      <c r="S332">
        <v>0</v>
      </c>
      <c r="T332" t="s">
        <v>253</v>
      </c>
      <c r="U332" t="s">
        <v>7</v>
      </c>
      <c r="V332" t="s">
        <v>253</v>
      </c>
      <c r="W332" t="s">
        <v>132</v>
      </c>
      <c r="X332" t="s">
        <v>253</v>
      </c>
      <c r="Y332" t="s">
        <v>235</v>
      </c>
      <c r="Z332" t="s">
        <v>236</v>
      </c>
      <c r="AA332" t="s">
        <v>253</v>
      </c>
      <c r="AB332" t="s">
        <v>1</v>
      </c>
      <c r="AC332" s="235">
        <v>-500000</v>
      </c>
      <c r="AD332" s="235">
        <v>-17238.7530669763</v>
      </c>
      <c r="AE332">
        <v>0</v>
      </c>
      <c r="AF332">
        <v>0</v>
      </c>
      <c r="AG332">
        <v>0</v>
      </c>
      <c r="AH332" s="235">
        <v>-4623.9531420780986</v>
      </c>
      <c r="AI332">
        <v>226</v>
      </c>
      <c r="AJ332" t="s">
        <v>256</v>
      </c>
      <c r="AK332">
        <v>0</v>
      </c>
      <c r="AL332">
        <v>0</v>
      </c>
      <c r="AM332">
        <v>0</v>
      </c>
    </row>
    <row r="333" spans="1:39" x14ac:dyDescent="0.25">
      <c r="A333" t="s">
        <v>233</v>
      </c>
      <c r="B333" t="s">
        <v>447</v>
      </c>
      <c r="C333" t="s">
        <v>255</v>
      </c>
      <c r="D333" t="s">
        <v>234</v>
      </c>
      <c r="E333" t="s">
        <v>20</v>
      </c>
      <c r="F333" t="s">
        <v>279</v>
      </c>
      <c r="G333" t="s">
        <v>269</v>
      </c>
      <c r="H333" t="s">
        <v>254</v>
      </c>
      <c r="I333" t="s">
        <v>242</v>
      </c>
      <c r="J333" t="s">
        <v>235</v>
      </c>
      <c r="K333" s="380">
        <v>36861</v>
      </c>
      <c r="L333" s="235">
        <v>-13094.265073635415</v>
      </c>
      <c r="M333" s="380">
        <v>36859</v>
      </c>
      <c r="N333" t="s">
        <v>21</v>
      </c>
      <c r="O333">
        <v>5</v>
      </c>
      <c r="P333">
        <v>0</v>
      </c>
      <c r="Q333">
        <v>0</v>
      </c>
      <c r="R333">
        <v>0</v>
      </c>
      <c r="S333">
        <v>0</v>
      </c>
      <c r="T333" t="s">
        <v>253</v>
      </c>
      <c r="U333" t="s">
        <v>7</v>
      </c>
      <c r="V333" t="s">
        <v>253</v>
      </c>
      <c r="W333" t="s">
        <v>132</v>
      </c>
      <c r="X333" t="s">
        <v>253</v>
      </c>
      <c r="Y333" t="s">
        <v>235</v>
      </c>
      <c r="Z333" t="s">
        <v>236</v>
      </c>
      <c r="AA333" t="s">
        <v>253</v>
      </c>
      <c r="AB333" t="s">
        <v>1</v>
      </c>
      <c r="AC333" s="235">
        <v>-500000</v>
      </c>
      <c r="AD333" s="235">
        <v>-6824.5710552756937</v>
      </c>
      <c r="AE333">
        <v>0</v>
      </c>
      <c r="AF333">
        <v>0</v>
      </c>
      <c r="AG333">
        <v>0</v>
      </c>
      <c r="AH333" s="235">
        <v>-1385.4097567419158</v>
      </c>
      <c r="AI333">
        <v>226</v>
      </c>
      <c r="AJ333" t="s">
        <v>256</v>
      </c>
      <c r="AK333">
        <v>0</v>
      </c>
      <c r="AL333">
        <v>0</v>
      </c>
      <c r="AM333">
        <v>0</v>
      </c>
    </row>
    <row r="334" spans="1:39" x14ac:dyDescent="0.25">
      <c r="A334" t="s">
        <v>233</v>
      </c>
      <c r="B334" t="s">
        <v>447</v>
      </c>
      <c r="C334" t="s">
        <v>255</v>
      </c>
      <c r="D334" t="s">
        <v>234</v>
      </c>
      <c r="E334" t="s">
        <v>20</v>
      </c>
      <c r="F334" t="s">
        <v>279</v>
      </c>
      <c r="G334" t="s">
        <v>269</v>
      </c>
      <c r="H334" t="s">
        <v>254</v>
      </c>
      <c r="I334" t="s">
        <v>242</v>
      </c>
      <c r="J334" t="s">
        <v>235</v>
      </c>
      <c r="K334" s="380">
        <v>36831</v>
      </c>
      <c r="L334" s="235">
        <v>-10.474166573813836</v>
      </c>
      <c r="M334" s="380">
        <v>36829</v>
      </c>
      <c r="N334" t="s">
        <v>21</v>
      </c>
      <c r="O334">
        <v>5</v>
      </c>
      <c r="P334">
        <v>0</v>
      </c>
      <c r="Q334">
        <v>0</v>
      </c>
      <c r="R334">
        <v>0</v>
      </c>
      <c r="S334">
        <v>0</v>
      </c>
      <c r="T334" t="s">
        <v>253</v>
      </c>
      <c r="U334" t="s">
        <v>7</v>
      </c>
      <c r="V334" t="s">
        <v>253</v>
      </c>
      <c r="W334" t="s">
        <v>132</v>
      </c>
      <c r="X334" t="s">
        <v>253</v>
      </c>
      <c r="Y334" t="s">
        <v>235</v>
      </c>
      <c r="Z334" t="s">
        <v>236</v>
      </c>
      <c r="AA334" t="s">
        <v>253</v>
      </c>
      <c r="AB334" t="s">
        <v>1</v>
      </c>
      <c r="AC334" s="235">
        <v>-500000</v>
      </c>
      <c r="AD334" s="235">
        <v>-17.236830873004898</v>
      </c>
      <c r="AE334">
        <v>0</v>
      </c>
      <c r="AF334">
        <v>0</v>
      </c>
      <c r="AG334">
        <v>0</v>
      </c>
      <c r="AH334" s="235">
        <v>-3.5544635121116759</v>
      </c>
      <c r="AI334">
        <v>226</v>
      </c>
      <c r="AJ334" t="s">
        <v>256</v>
      </c>
      <c r="AK334">
        <v>0</v>
      </c>
      <c r="AL334">
        <v>0</v>
      </c>
      <c r="AM334">
        <v>0</v>
      </c>
    </row>
    <row r="335" spans="1:39" x14ac:dyDescent="0.25">
      <c r="A335" t="s">
        <v>233</v>
      </c>
      <c r="B335" t="s">
        <v>448</v>
      </c>
      <c r="C335" t="s">
        <v>255</v>
      </c>
      <c r="D335" t="s">
        <v>234</v>
      </c>
      <c r="E335" t="s">
        <v>20</v>
      </c>
      <c r="F335" t="s">
        <v>279</v>
      </c>
      <c r="G335" t="s">
        <v>269</v>
      </c>
      <c r="H335" t="s">
        <v>254</v>
      </c>
      <c r="I335" t="s">
        <v>242</v>
      </c>
      <c r="J335" t="s">
        <v>235</v>
      </c>
      <c r="K335" s="380">
        <v>36982</v>
      </c>
      <c r="L335" s="235">
        <v>-80776.232848360611</v>
      </c>
      <c r="M335" s="380">
        <v>36979</v>
      </c>
      <c r="N335" t="s">
        <v>1</v>
      </c>
      <c r="O335">
        <v>0.4</v>
      </c>
      <c r="P335">
        <v>0</v>
      </c>
      <c r="Q335">
        <v>0</v>
      </c>
      <c r="R335">
        <v>0</v>
      </c>
      <c r="S335">
        <v>0</v>
      </c>
      <c r="T335" t="s">
        <v>253</v>
      </c>
      <c r="U335" t="s">
        <v>7</v>
      </c>
      <c r="V335" t="s">
        <v>253</v>
      </c>
      <c r="W335" t="s">
        <v>132</v>
      </c>
      <c r="X335" t="s">
        <v>253</v>
      </c>
      <c r="Y335" t="s">
        <v>235</v>
      </c>
      <c r="Z335" t="s">
        <v>236</v>
      </c>
      <c r="AA335" t="s">
        <v>253</v>
      </c>
      <c r="AB335" t="s">
        <v>1</v>
      </c>
      <c r="AC335" s="235">
        <v>-1000000</v>
      </c>
      <c r="AD335" s="235">
        <v>-25230.051973363035</v>
      </c>
      <c r="AE335">
        <v>0</v>
      </c>
      <c r="AF335">
        <v>0</v>
      </c>
      <c r="AG335">
        <v>0</v>
      </c>
      <c r="AH335" s="235">
        <v>-1202.3541719008499</v>
      </c>
      <c r="AI335">
        <v>226</v>
      </c>
      <c r="AJ335" t="s">
        <v>256</v>
      </c>
      <c r="AK335">
        <v>0</v>
      </c>
      <c r="AL335">
        <v>0</v>
      </c>
      <c r="AM335">
        <v>0</v>
      </c>
    </row>
    <row r="336" spans="1:39" x14ac:dyDescent="0.25">
      <c r="A336" t="s">
        <v>233</v>
      </c>
      <c r="B336" t="s">
        <v>449</v>
      </c>
      <c r="C336" t="s">
        <v>255</v>
      </c>
      <c r="D336" t="s">
        <v>234</v>
      </c>
      <c r="E336" t="s">
        <v>20</v>
      </c>
      <c r="F336" t="s">
        <v>279</v>
      </c>
      <c r="G336" t="s">
        <v>269</v>
      </c>
      <c r="H336" t="s">
        <v>254</v>
      </c>
      <c r="I336" t="s">
        <v>242</v>
      </c>
      <c r="J336" t="s">
        <v>235</v>
      </c>
      <c r="K336" s="380">
        <v>36982</v>
      </c>
      <c r="L336" s="235">
        <v>-74548.084161956373</v>
      </c>
      <c r="M336" s="380">
        <v>36979</v>
      </c>
      <c r="N336" t="s">
        <v>21</v>
      </c>
      <c r="O336">
        <v>0.7</v>
      </c>
      <c r="P336">
        <v>0</v>
      </c>
      <c r="Q336">
        <v>0</v>
      </c>
      <c r="R336">
        <v>0</v>
      </c>
      <c r="S336">
        <v>0</v>
      </c>
      <c r="T336" t="s">
        <v>253</v>
      </c>
      <c r="U336" t="s">
        <v>7</v>
      </c>
      <c r="V336" t="s">
        <v>253</v>
      </c>
      <c r="W336" t="s">
        <v>132</v>
      </c>
      <c r="X336" t="s">
        <v>253</v>
      </c>
      <c r="Y336" t="s">
        <v>235</v>
      </c>
      <c r="Z336" t="s">
        <v>236</v>
      </c>
      <c r="AA336" t="s">
        <v>253</v>
      </c>
      <c r="AB336" t="s">
        <v>1</v>
      </c>
      <c r="AC336" s="235">
        <v>-1000000</v>
      </c>
      <c r="AD336" s="235">
        <v>-21902.485096309392</v>
      </c>
      <c r="AE336">
        <v>0</v>
      </c>
      <c r="AF336">
        <v>0</v>
      </c>
      <c r="AG336">
        <v>0</v>
      </c>
      <c r="AH336" s="235">
        <v>-1042.2490870821493</v>
      </c>
      <c r="AI336">
        <v>226</v>
      </c>
      <c r="AJ336" t="s">
        <v>256</v>
      </c>
      <c r="AK336">
        <v>0</v>
      </c>
      <c r="AL336">
        <v>0</v>
      </c>
      <c r="AM336">
        <v>0</v>
      </c>
    </row>
    <row r="337" spans="1:39" x14ac:dyDescent="0.25">
      <c r="A337" t="s">
        <v>233</v>
      </c>
      <c r="B337" t="s">
        <v>450</v>
      </c>
      <c r="C337" t="s">
        <v>255</v>
      </c>
      <c r="D337" t="s">
        <v>234</v>
      </c>
      <c r="E337" t="s">
        <v>20</v>
      </c>
      <c r="F337" t="s">
        <v>279</v>
      </c>
      <c r="G337" t="s">
        <v>269</v>
      </c>
      <c r="H337" t="s">
        <v>254</v>
      </c>
      <c r="I337" t="s">
        <v>242</v>
      </c>
      <c r="J337" t="s">
        <v>235</v>
      </c>
      <c r="K337" s="380">
        <v>36951</v>
      </c>
      <c r="L337" s="235">
        <v>-164993.61861655075</v>
      </c>
      <c r="M337" s="380">
        <v>36949</v>
      </c>
      <c r="N337" t="s">
        <v>21</v>
      </c>
      <c r="O337">
        <v>1.6</v>
      </c>
      <c r="P337">
        <v>0</v>
      </c>
      <c r="Q337">
        <v>0</v>
      </c>
      <c r="R337">
        <v>0</v>
      </c>
      <c r="S337">
        <v>0</v>
      </c>
      <c r="T337" t="s">
        <v>253</v>
      </c>
      <c r="U337" t="s">
        <v>7</v>
      </c>
      <c r="V337" t="s">
        <v>253</v>
      </c>
      <c r="W337" t="s">
        <v>132</v>
      </c>
      <c r="X337" t="s">
        <v>253</v>
      </c>
      <c r="Y337" t="s">
        <v>235</v>
      </c>
      <c r="Z337" t="s">
        <v>236</v>
      </c>
      <c r="AA337" t="s">
        <v>253</v>
      </c>
      <c r="AB337" t="s">
        <v>1</v>
      </c>
      <c r="AC337" s="235">
        <v>-500000</v>
      </c>
      <c r="AD337" s="235">
        <v>-40486.301902801148</v>
      </c>
      <c r="AE337">
        <v>0</v>
      </c>
      <c r="AF337">
        <v>0</v>
      </c>
      <c r="AG337">
        <v>0</v>
      </c>
      <c r="AH337" s="235">
        <v>-13572.421626797965</v>
      </c>
      <c r="AI337">
        <v>226</v>
      </c>
      <c r="AJ337" t="s">
        <v>256</v>
      </c>
      <c r="AK337">
        <v>0</v>
      </c>
      <c r="AL337">
        <v>0</v>
      </c>
      <c r="AM337">
        <v>0</v>
      </c>
    </row>
    <row r="338" spans="1:39" x14ac:dyDescent="0.25">
      <c r="A338" t="s">
        <v>233</v>
      </c>
      <c r="B338" t="s">
        <v>450</v>
      </c>
      <c r="C338" t="s">
        <v>255</v>
      </c>
      <c r="D338" t="s">
        <v>234</v>
      </c>
      <c r="E338" t="s">
        <v>20</v>
      </c>
      <c r="F338" t="s">
        <v>279</v>
      </c>
      <c r="G338" t="s">
        <v>269</v>
      </c>
      <c r="H338" t="s">
        <v>254</v>
      </c>
      <c r="I338" t="s">
        <v>242</v>
      </c>
      <c r="J338" t="s">
        <v>235</v>
      </c>
      <c r="K338" s="380">
        <v>36923</v>
      </c>
      <c r="L338" s="235">
        <v>-453075.2502088857</v>
      </c>
      <c r="M338" s="380">
        <v>36921</v>
      </c>
      <c r="N338" t="s">
        <v>21</v>
      </c>
      <c r="O338">
        <v>1.6</v>
      </c>
      <c r="P338">
        <v>0</v>
      </c>
      <c r="Q338">
        <v>0</v>
      </c>
      <c r="R338">
        <v>0</v>
      </c>
      <c r="S338">
        <v>0</v>
      </c>
      <c r="T338" t="s">
        <v>253</v>
      </c>
      <c r="U338" t="s">
        <v>7</v>
      </c>
      <c r="V338" t="s">
        <v>253</v>
      </c>
      <c r="W338" t="s">
        <v>132</v>
      </c>
      <c r="X338" t="s">
        <v>253</v>
      </c>
      <c r="Y338" t="s">
        <v>235</v>
      </c>
      <c r="Z338" t="s">
        <v>236</v>
      </c>
      <c r="AA338" t="s">
        <v>253</v>
      </c>
      <c r="AB338" t="s">
        <v>1</v>
      </c>
      <c r="AC338" s="235">
        <v>-500000</v>
      </c>
      <c r="AD338" s="235">
        <v>-41984.319025358185</v>
      </c>
      <c r="AE338">
        <v>0</v>
      </c>
      <c r="AF338">
        <v>0</v>
      </c>
      <c r="AG338">
        <v>0</v>
      </c>
      <c r="AH338" s="235">
        <v>-24464.730833474314</v>
      </c>
      <c r="AI338">
        <v>226</v>
      </c>
      <c r="AJ338" t="s">
        <v>256</v>
      </c>
      <c r="AK338">
        <v>0</v>
      </c>
      <c r="AL338">
        <v>0</v>
      </c>
      <c r="AM338">
        <v>0</v>
      </c>
    </row>
    <row r="339" spans="1:39" x14ac:dyDescent="0.25">
      <c r="A339" t="s">
        <v>233</v>
      </c>
      <c r="B339" t="s">
        <v>450</v>
      </c>
      <c r="C339" t="s">
        <v>255</v>
      </c>
      <c r="D339" t="s">
        <v>234</v>
      </c>
      <c r="E339" t="s">
        <v>20</v>
      </c>
      <c r="F339" t="s">
        <v>279</v>
      </c>
      <c r="G339" t="s">
        <v>269</v>
      </c>
      <c r="H339" t="s">
        <v>254</v>
      </c>
      <c r="I339" t="s">
        <v>242</v>
      </c>
      <c r="J339" t="s">
        <v>235</v>
      </c>
      <c r="K339" s="380">
        <v>36892</v>
      </c>
      <c r="L339" s="235">
        <v>-464051.02821278502</v>
      </c>
      <c r="M339" s="380">
        <v>36888</v>
      </c>
      <c r="N339" t="s">
        <v>21</v>
      </c>
      <c r="O339">
        <v>1.6</v>
      </c>
      <c r="P339">
        <v>0</v>
      </c>
      <c r="Q339">
        <v>0</v>
      </c>
      <c r="R339">
        <v>0</v>
      </c>
      <c r="S339">
        <v>0</v>
      </c>
      <c r="T339" t="s">
        <v>253</v>
      </c>
      <c r="U339" t="s">
        <v>7</v>
      </c>
      <c r="V339" t="s">
        <v>253</v>
      </c>
      <c r="W339" t="s">
        <v>132</v>
      </c>
      <c r="X339" t="s">
        <v>253</v>
      </c>
      <c r="Y339" t="s">
        <v>235</v>
      </c>
      <c r="Z339" t="s">
        <v>236</v>
      </c>
      <c r="AA339" t="s">
        <v>253</v>
      </c>
      <c r="AB339" t="s">
        <v>1</v>
      </c>
      <c r="AC339" s="235">
        <v>-500000</v>
      </c>
      <c r="AD339" s="235">
        <v>-37672.529627170414</v>
      </c>
      <c r="AE339">
        <v>0</v>
      </c>
      <c r="AF339">
        <v>0</v>
      </c>
      <c r="AG339">
        <v>0</v>
      </c>
      <c r="AH339" s="235">
        <v>-21769.108398798446</v>
      </c>
      <c r="AI339">
        <v>226</v>
      </c>
      <c r="AJ339" t="s">
        <v>256</v>
      </c>
      <c r="AK339">
        <v>0</v>
      </c>
      <c r="AL339">
        <v>0</v>
      </c>
      <c r="AM339">
        <v>0</v>
      </c>
    </row>
    <row r="340" spans="1:39" x14ac:dyDescent="0.25">
      <c r="A340" t="s">
        <v>233</v>
      </c>
      <c r="B340" t="s">
        <v>450</v>
      </c>
      <c r="C340" t="s">
        <v>255</v>
      </c>
      <c r="D340" t="s">
        <v>234</v>
      </c>
      <c r="E340" t="s">
        <v>20</v>
      </c>
      <c r="F340" t="s">
        <v>279</v>
      </c>
      <c r="G340" t="s">
        <v>269</v>
      </c>
      <c r="H340" t="s">
        <v>254</v>
      </c>
      <c r="I340" t="s">
        <v>242</v>
      </c>
      <c r="J340" t="s">
        <v>235</v>
      </c>
      <c r="K340" s="380">
        <v>36861</v>
      </c>
      <c r="L340" s="235">
        <v>-267671.47544712661</v>
      </c>
      <c r="M340" s="380">
        <v>36859</v>
      </c>
      <c r="N340" t="s">
        <v>21</v>
      </c>
      <c r="O340">
        <v>1.6</v>
      </c>
      <c r="P340">
        <v>0</v>
      </c>
      <c r="Q340">
        <v>0</v>
      </c>
      <c r="R340">
        <v>0</v>
      </c>
      <c r="S340">
        <v>0</v>
      </c>
      <c r="T340" t="s">
        <v>253</v>
      </c>
      <c r="U340" t="s">
        <v>7</v>
      </c>
      <c r="V340" t="s">
        <v>253</v>
      </c>
      <c r="W340" t="s">
        <v>132</v>
      </c>
      <c r="X340" t="s">
        <v>253</v>
      </c>
      <c r="Y340" t="s">
        <v>235</v>
      </c>
      <c r="Z340" t="s">
        <v>236</v>
      </c>
      <c r="AA340" t="s">
        <v>253</v>
      </c>
      <c r="AB340" t="s">
        <v>1</v>
      </c>
      <c r="AC340" s="235">
        <v>-500000</v>
      </c>
      <c r="AD340" s="235">
        <v>-35401.201423718681</v>
      </c>
      <c r="AE340">
        <v>0</v>
      </c>
      <c r="AF340">
        <v>0</v>
      </c>
      <c r="AG340">
        <v>0</v>
      </c>
      <c r="AH340" s="235">
        <v>-13921.851269582665</v>
      </c>
      <c r="AI340">
        <v>226</v>
      </c>
      <c r="AJ340" t="s">
        <v>256</v>
      </c>
      <c r="AK340">
        <v>0</v>
      </c>
      <c r="AL340">
        <v>0</v>
      </c>
      <c r="AM340">
        <v>0</v>
      </c>
    </row>
    <row r="341" spans="1:39" x14ac:dyDescent="0.25">
      <c r="A341" t="s">
        <v>233</v>
      </c>
      <c r="B341" t="s">
        <v>450</v>
      </c>
      <c r="C341" t="s">
        <v>255</v>
      </c>
      <c r="D341" t="s">
        <v>234</v>
      </c>
      <c r="E341" t="s">
        <v>20</v>
      </c>
      <c r="F341" t="s">
        <v>279</v>
      </c>
      <c r="G341" t="s">
        <v>269</v>
      </c>
      <c r="H341" t="s">
        <v>254</v>
      </c>
      <c r="I341" t="s">
        <v>242</v>
      </c>
      <c r="J341" t="s">
        <v>235</v>
      </c>
      <c r="K341" s="380">
        <v>36831</v>
      </c>
      <c r="L341" s="235">
        <v>-24777.477296877751</v>
      </c>
      <c r="M341" s="380">
        <v>36829</v>
      </c>
      <c r="N341" t="s">
        <v>21</v>
      </c>
      <c r="O341">
        <v>1.6</v>
      </c>
      <c r="P341">
        <v>0</v>
      </c>
      <c r="Q341">
        <v>0</v>
      </c>
      <c r="R341">
        <v>0</v>
      </c>
      <c r="S341">
        <v>0</v>
      </c>
      <c r="T341" t="s">
        <v>253</v>
      </c>
      <c r="U341" t="s">
        <v>7</v>
      </c>
      <c r="V341" t="s">
        <v>253</v>
      </c>
      <c r="W341" t="s">
        <v>132</v>
      </c>
      <c r="X341" t="s">
        <v>253</v>
      </c>
      <c r="Y341" t="s">
        <v>235</v>
      </c>
      <c r="Z341" t="s">
        <v>236</v>
      </c>
      <c r="AA341" t="s">
        <v>253</v>
      </c>
      <c r="AB341" t="s">
        <v>1</v>
      </c>
      <c r="AC341" s="235">
        <v>-500000</v>
      </c>
      <c r="AD341" s="235">
        <v>-11503.944274113608</v>
      </c>
      <c r="AE341">
        <v>0</v>
      </c>
      <c r="AF341">
        <v>0</v>
      </c>
      <c r="AG341">
        <v>0</v>
      </c>
      <c r="AH341" s="235">
        <v>-3479.1637170615977</v>
      </c>
      <c r="AI341">
        <v>226</v>
      </c>
      <c r="AJ341" t="s">
        <v>256</v>
      </c>
      <c r="AK341">
        <v>0</v>
      </c>
      <c r="AL341">
        <v>0</v>
      </c>
      <c r="AM341">
        <v>0</v>
      </c>
    </row>
    <row r="342" spans="1:39" x14ac:dyDescent="0.25">
      <c r="A342" t="s">
        <v>233</v>
      </c>
      <c r="B342" t="s">
        <v>451</v>
      </c>
      <c r="C342" t="s">
        <v>255</v>
      </c>
      <c r="D342" t="s">
        <v>234</v>
      </c>
      <c r="E342" t="s">
        <v>20</v>
      </c>
      <c r="F342" t="s">
        <v>279</v>
      </c>
      <c r="G342" t="s">
        <v>269</v>
      </c>
      <c r="H342" t="s">
        <v>254</v>
      </c>
      <c r="I342" t="s">
        <v>242</v>
      </c>
      <c r="J342" t="s">
        <v>235</v>
      </c>
      <c r="K342" s="380">
        <v>36951</v>
      </c>
      <c r="L342" s="235">
        <v>-418589.11307126423</v>
      </c>
      <c r="M342" s="380">
        <v>36949</v>
      </c>
      <c r="N342" t="s">
        <v>1</v>
      </c>
      <c r="O342">
        <v>1.6</v>
      </c>
      <c r="P342">
        <v>0</v>
      </c>
      <c r="Q342">
        <v>0</v>
      </c>
      <c r="R342">
        <v>0</v>
      </c>
      <c r="S342">
        <v>0</v>
      </c>
      <c r="T342" t="s">
        <v>253</v>
      </c>
      <c r="U342" t="s">
        <v>7</v>
      </c>
      <c r="V342" t="s">
        <v>253</v>
      </c>
      <c r="W342" t="s">
        <v>132</v>
      </c>
      <c r="X342" t="s">
        <v>253</v>
      </c>
      <c r="Y342" t="s">
        <v>235</v>
      </c>
      <c r="Z342" t="s">
        <v>236</v>
      </c>
      <c r="AA342" t="s">
        <v>253</v>
      </c>
      <c r="AB342" t="s">
        <v>1</v>
      </c>
      <c r="AC342" s="235">
        <v>-500000</v>
      </c>
      <c r="AD342" s="235">
        <v>-40486.301902801148</v>
      </c>
      <c r="AE342">
        <v>0</v>
      </c>
      <c r="AF342">
        <v>0</v>
      </c>
      <c r="AG342">
        <v>0</v>
      </c>
      <c r="AH342" s="235">
        <v>15395.645326976548</v>
      </c>
      <c r="AI342">
        <v>226</v>
      </c>
      <c r="AJ342" t="s">
        <v>256</v>
      </c>
      <c r="AK342">
        <v>0</v>
      </c>
      <c r="AL342">
        <v>0</v>
      </c>
      <c r="AM342">
        <v>0</v>
      </c>
    </row>
    <row r="343" spans="1:39" x14ac:dyDescent="0.25">
      <c r="A343" t="s">
        <v>233</v>
      </c>
      <c r="B343" t="s">
        <v>451</v>
      </c>
      <c r="C343" t="s">
        <v>255</v>
      </c>
      <c r="D343" t="s">
        <v>234</v>
      </c>
      <c r="E343" t="s">
        <v>20</v>
      </c>
      <c r="F343" t="s">
        <v>279</v>
      </c>
      <c r="G343" t="s">
        <v>269</v>
      </c>
      <c r="H343" t="s">
        <v>254</v>
      </c>
      <c r="I343" t="s">
        <v>242</v>
      </c>
      <c r="J343" t="s">
        <v>235</v>
      </c>
      <c r="K343" s="380">
        <v>36923</v>
      </c>
      <c r="L343" s="235">
        <v>-215108.82340596506</v>
      </c>
      <c r="M343" s="380">
        <v>36921</v>
      </c>
      <c r="N343" t="s">
        <v>1</v>
      </c>
      <c r="O343">
        <v>1.6</v>
      </c>
      <c r="P343">
        <v>0</v>
      </c>
      <c r="Q343">
        <v>0</v>
      </c>
      <c r="R343">
        <v>0</v>
      </c>
      <c r="S343">
        <v>0</v>
      </c>
      <c r="T343" t="s">
        <v>253</v>
      </c>
      <c r="U343" t="s">
        <v>7</v>
      </c>
      <c r="V343" t="s">
        <v>253</v>
      </c>
      <c r="W343" t="s">
        <v>132</v>
      </c>
      <c r="X343" t="s">
        <v>253</v>
      </c>
      <c r="Y343" t="s">
        <v>235</v>
      </c>
      <c r="Z343" t="s">
        <v>236</v>
      </c>
      <c r="AA343" t="s">
        <v>253</v>
      </c>
      <c r="AB343" t="s">
        <v>1</v>
      </c>
      <c r="AC343" s="235">
        <v>-500000</v>
      </c>
      <c r="AD343" s="235">
        <v>-41984.319025358214</v>
      </c>
      <c r="AE343">
        <v>0</v>
      </c>
      <c r="AF343">
        <v>0</v>
      </c>
      <c r="AG343">
        <v>0</v>
      </c>
      <c r="AH343" s="235">
        <v>9512.9974763019709</v>
      </c>
      <c r="AI343">
        <v>226</v>
      </c>
      <c r="AJ343" t="s">
        <v>256</v>
      </c>
      <c r="AK343">
        <v>0</v>
      </c>
      <c r="AL343">
        <v>0</v>
      </c>
      <c r="AM343">
        <v>0</v>
      </c>
    </row>
    <row r="344" spans="1:39" x14ac:dyDescent="0.25">
      <c r="A344" t="s">
        <v>233</v>
      </c>
      <c r="B344" t="s">
        <v>451</v>
      </c>
      <c r="C344" t="s">
        <v>255</v>
      </c>
      <c r="D344" t="s">
        <v>234</v>
      </c>
      <c r="E344" t="s">
        <v>20</v>
      </c>
      <c r="F344" t="s">
        <v>279</v>
      </c>
      <c r="G344" t="s">
        <v>269</v>
      </c>
      <c r="H344" t="s">
        <v>254</v>
      </c>
      <c r="I344" t="s">
        <v>242</v>
      </c>
      <c r="J344" t="s">
        <v>235</v>
      </c>
      <c r="K344" s="380">
        <v>36892</v>
      </c>
      <c r="L344" s="235">
        <v>-185486.21079777137</v>
      </c>
      <c r="M344" s="380">
        <v>36888</v>
      </c>
      <c r="N344" t="s">
        <v>1</v>
      </c>
      <c r="O344">
        <v>1.6</v>
      </c>
      <c r="P344">
        <v>0</v>
      </c>
      <c r="Q344">
        <v>0</v>
      </c>
      <c r="R344">
        <v>0</v>
      </c>
      <c r="S344">
        <v>0</v>
      </c>
      <c r="T344" t="s">
        <v>253</v>
      </c>
      <c r="U344" t="s">
        <v>7</v>
      </c>
      <c r="V344" t="s">
        <v>253</v>
      </c>
      <c r="W344" t="s">
        <v>132</v>
      </c>
      <c r="X344" t="s">
        <v>253</v>
      </c>
      <c r="Y344" t="s">
        <v>235</v>
      </c>
      <c r="Z344" t="s">
        <v>236</v>
      </c>
      <c r="AA344" t="s">
        <v>253</v>
      </c>
      <c r="AB344" t="s">
        <v>1</v>
      </c>
      <c r="AC344" s="235">
        <v>-500000</v>
      </c>
      <c r="AD344" s="235">
        <v>-37672.529627170385</v>
      </c>
      <c r="AE344">
        <v>0</v>
      </c>
      <c r="AF344">
        <v>0</v>
      </c>
      <c r="AG344">
        <v>0</v>
      </c>
      <c r="AH344" s="235">
        <v>7537.8702261694707</v>
      </c>
      <c r="AI344">
        <v>226</v>
      </c>
      <c r="AJ344" t="s">
        <v>256</v>
      </c>
      <c r="AK344">
        <v>0</v>
      </c>
      <c r="AL344">
        <v>0</v>
      </c>
      <c r="AM344">
        <v>0</v>
      </c>
    </row>
    <row r="345" spans="1:39" x14ac:dyDescent="0.25">
      <c r="A345" t="s">
        <v>233</v>
      </c>
      <c r="B345" t="s">
        <v>451</v>
      </c>
      <c r="C345" t="s">
        <v>255</v>
      </c>
      <c r="D345" t="s">
        <v>234</v>
      </c>
      <c r="E345" t="s">
        <v>20</v>
      </c>
      <c r="F345" t="s">
        <v>279</v>
      </c>
      <c r="G345" t="s">
        <v>269</v>
      </c>
      <c r="H345" t="s">
        <v>254</v>
      </c>
      <c r="I345" t="s">
        <v>242</v>
      </c>
      <c r="J345" t="s">
        <v>235</v>
      </c>
      <c r="K345" s="380">
        <v>36861</v>
      </c>
      <c r="L345" s="235">
        <v>-245559.45918596868</v>
      </c>
      <c r="M345" s="380">
        <v>36859</v>
      </c>
      <c r="N345" t="s">
        <v>1</v>
      </c>
      <c r="O345">
        <v>1.6</v>
      </c>
      <c r="P345">
        <v>0</v>
      </c>
      <c r="Q345">
        <v>0</v>
      </c>
      <c r="R345">
        <v>0</v>
      </c>
      <c r="S345">
        <v>0</v>
      </c>
      <c r="T345" t="s">
        <v>253</v>
      </c>
      <c r="U345" t="s">
        <v>7</v>
      </c>
      <c r="V345" t="s">
        <v>253</v>
      </c>
      <c r="W345" t="s">
        <v>132</v>
      </c>
      <c r="X345" t="s">
        <v>253</v>
      </c>
      <c r="Y345" t="s">
        <v>235</v>
      </c>
      <c r="Z345" t="s">
        <v>236</v>
      </c>
      <c r="AA345" t="s">
        <v>253</v>
      </c>
      <c r="AB345" t="s">
        <v>1</v>
      </c>
      <c r="AC345" s="235">
        <v>-500000</v>
      </c>
      <c r="AD345" s="235">
        <v>-35401.20142371871</v>
      </c>
      <c r="AE345">
        <v>0</v>
      </c>
      <c r="AF345">
        <v>0</v>
      </c>
      <c r="AG345">
        <v>0</v>
      </c>
      <c r="AH345" s="235">
        <v>8178.001605136029</v>
      </c>
      <c r="AI345">
        <v>226</v>
      </c>
      <c r="AJ345" t="s">
        <v>256</v>
      </c>
      <c r="AK345">
        <v>0</v>
      </c>
      <c r="AL345">
        <v>0</v>
      </c>
      <c r="AM345">
        <v>0</v>
      </c>
    </row>
    <row r="346" spans="1:39" x14ac:dyDescent="0.25">
      <c r="A346" t="s">
        <v>233</v>
      </c>
      <c r="B346" t="s">
        <v>451</v>
      </c>
      <c r="C346" t="s">
        <v>255</v>
      </c>
      <c r="D346" t="s">
        <v>234</v>
      </c>
      <c r="E346" t="s">
        <v>20</v>
      </c>
      <c r="F346" t="s">
        <v>279</v>
      </c>
      <c r="G346" t="s">
        <v>269</v>
      </c>
      <c r="H346" t="s">
        <v>254</v>
      </c>
      <c r="I346" t="s">
        <v>242</v>
      </c>
      <c r="J346" t="s">
        <v>235</v>
      </c>
      <c r="K346" s="380">
        <v>36831</v>
      </c>
      <c r="L346" s="235">
        <v>-434930.84324028384</v>
      </c>
      <c r="M346" s="380">
        <v>36829</v>
      </c>
      <c r="N346" t="s">
        <v>1</v>
      </c>
      <c r="O346">
        <v>1.6</v>
      </c>
      <c r="P346">
        <v>0</v>
      </c>
      <c r="Q346">
        <v>0</v>
      </c>
      <c r="R346">
        <v>0</v>
      </c>
      <c r="S346">
        <v>0</v>
      </c>
      <c r="T346" t="s">
        <v>253</v>
      </c>
      <c r="U346" t="s">
        <v>7</v>
      </c>
      <c r="V346" t="s">
        <v>253</v>
      </c>
      <c r="W346" t="s">
        <v>132</v>
      </c>
      <c r="X346" t="s">
        <v>253</v>
      </c>
      <c r="Y346" t="s">
        <v>235</v>
      </c>
      <c r="Z346" t="s">
        <v>236</v>
      </c>
      <c r="AA346" t="s">
        <v>253</v>
      </c>
      <c r="AB346" t="s">
        <v>1</v>
      </c>
      <c r="AC346" s="235">
        <v>-500000</v>
      </c>
      <c r="AD346" s="235">
        <v>-11503.94427411363</v>
      </c>
      <c r="AE346">
        <v>0</v>
      </c>
      <c r="AF346">
        <v>0</v>
      </c>
      <c r="AG346">
        <v>0</v>
      </c>
      <c r="AH346" s="235">
        <v>16276.379989223147</v>
      </c>
      <c r="AI346">
        <v>226</v>
      </c>
      <c r="AJ346" t="s">
        <v>256</v>
      </c>
      <c r="AK346">
        <v>0</v>
      </c>
      <c r="AL346">
        <v>0</v>
      </c>
      <c r="AM346">
        <v>0</v>
      </c>
    </row>
    <row r="347" spans="1:39" x14ac:dyDescent="0.25">
      <c r="A347" t="s">
        <v>233</v>
      </c>
      <c r="B347" t="s">
        <v>452</v>
      </c>
      <c r="C347" t="s">
        <v>255</v>
      </c>
      <c r="D347" t="s">
        <v>234</v>
      </c>
      <c r="E347" t="s">
        <v>20</v>
      </c>
      <c r="F347" t="s">
        <v>279</v>
      </c>
      <c r="G347" t="s">
        <v>269</v>
      </c>
      <c r="H347" t="s">
        <v>254</v>
      </c>
      <c r="I347" t="s">
        <v>242</v>
      </c>
      <c r="J347" t="s">
        <v>235</v>
      </c>
      <c r="K347" s="380">
        <v>36923</v>
      </c>
      <c r="L347" s="235">
        <v>-268548.12815983553</v>
      </c>
      <c r="M347" s="380">
        <v>36921</v>
      </c>
      <c r="N347" t="s">
        <v>21</v>
      </c>
      <c r="O347">
        <v>2.5</v>
      </c>
      <c r="P347">
        <v>0</v>
      </c>
      <c r="Q347">
        <v>0</v>
      </c>
      <c r="R347">
        <v>0</v>
      </c>
      <c r="S347">
        <v>0</v>
      </c>
      <c r="T347" t="s">
        <v>253</v>
      </c>
      <c r="U347" t="s">
        <v>7</v>
      </c>
      <c r="V347" t="s">
        <v>253</v>
      </c>
      <c r="W347" t="s">
        <v>132</v>
      </c>
      <c r="X347" t="s">
        <v>253</v>
      </c>
      <c r="Y347" t="s">
        <v>235</v>
      </c>
      <c r="Z347" t="s">
        <v>236</v>
      </c>
      <c r="AA347" t="s">
        <v>253</v>
      </c>
      <c r="AB347" t="s">
        <v>1</v>
      </c>
      <c r="AC347" s="235">
        <v>-500000</v>
      </c>
      <c r="AD347" s="235">
        <v>-41384.801118099946</v>
      </c>
      <c r="AE347">
        <v>0</v>
      </c>
      <c r="AF347">
        <v>0</v>
      </c>
      <c r="AG347">
        <v>0</v>
      </c>
      <c r="AH347" s="235">
        <v>-17740.318310459523</v>
      </c>
      <c r="AI347">
        <v>226</v>
      </c>
      <c r="AJ347" t="s">
        <v>256</v>
      </c>
      <c r="AK347">
        <v>0</v>
      </c>
      <c r="AL347">
        <v>0</v>
      </c>
      <c r="AM347">
        <v>0</v>
      </c>
    </row>
    <row r="348" spans="1:39" x14ac:dyDescent="0.25">
      <c r="A348" t="s">
        <v>233</v>
      </c>
      <c r="B348" t="s">
        <v>452</v>
      </c>
      <c r="C348" t="s">
        <v>255</v>
      </c>
      <c r="D348" t="s">
        <v>234</v>
      </c>
      <c r="E348" t="s">
        <v>20</v>
      </c>
      <c r="F348" t="s">
        <v>279</v>
      </c>
      <c r="G348" t="s">
        <v>269</v>
      </c>
      <c r="H348" t="s">
        <v>254</v>
      </c>
      <c r="I348" t="s">
        <v>242</v>
      </c>
      <c r="J348" t="s">
        <v>235</v>
      </c>
      <c r="K348" s="380">
        <v>36892</v>
      </c>
      <c r="L348" s="235">
        <v>-265933.05198546639</v>
      </c>
      <c r="M348" s="380">
        <v>36888</v>
      </c>
      <c r="N348" t="s">
        <v>21</v>
      </c>
      <c r="O348">
        <v>2.5</v>
      </c>
      <c r="P348">
        <v>0</v>
      </c>
      <c r="Q348">
        <v>0</v>
      </c>
      <c r="R348">
        <v>0</v>
      </c>
      <c r="S348">
        <v>0</v>
      </c>
      <c r="T348" t="s">
        <v>253</v>
      </c>
      <c r="U348" t="s">
        <v>7</v>
      </c>
      <c r="V348" t="s">
        <v>253</v>
      </c>
      <c r="W348" t="s">
        <v>132</v>
      </c>
      <c r="X348" t="s">
        <v>253</v>
      </c>
      <c r="Y348" t="s">
        <v>235</v>
      </c>
      <c r="Z348" t="s">
        <v>236</v>
      </c>
      <c r="AA348" t="s">
        <v>253</v>
      </c>
      <c r="AB348" t="s">
        <v>1</v>
      </c>
      <c r="AC348" s="235">
        <v>-500000</v>
      </c>
      <c r="AD348" s="235">
        <v>-38180.91539945046</v>
      </c>
      <c r="AE348">
        <v>0</v>
      </c>
      <c r="AF348">
        <v>0</v>
      </c>
      <c r="AG348">
        <v>0</v>
      </c>
      <c r="AH348" s="235">
        <v>-15641.415935667057</v>
      </c>
      <c r="AI348">
        <v>226</v>
      </c>
      <c r="AJ348" t="s">
        <v>256</v>
      </c>
      <c r="AK348">
        <v>0</v>
      </c>
      <c r="AL348">
        <v>0</v>
      </c>
      <c r="AM348">
        <v>0</v>
      </c>
    </row>
    <row r="349" spans="1:39" x14ac:dyDescent="0.25">
      <c r="A349" t="s">
        <v>233</v>
      </c>
      <c r="B349" t="s">
        <v>452</v>
      </c>
      <c r="C349" t="s">
        <v>255</v>
      </c>
      <c r="D349" t="s">
        <v>234</v>
      </c>
      <c r="E349" t="s">
        <v>20</v>
      </c>
      <c r="F349" t="s">
        <v>279</v>
      </c>
      <c r="G349" t="s">
        <v>269</v>
      </c>
      <c r="H349" t="s">
        <v>254</v>
      </c>
      <c r="I349" t="s">
        <v>242</v>
      </c>
      <c r="J349" t="s">
        <v>235</v>
      </c>
      <c r="K349" s="380">
        <v>36861</v>
      </c>
      <c r="L349" s="235">
        <v>-123868.75990027811</v>
      </c>
      <c r="M349" s="380">
        <v>36859</v>
      </c>
      <c r="N349" t="s">
        <v>21</v>
      </c>
      <c r="O349">
        <v>2.5</v>
      </c>
      <c r="P349">
        <v>0</v>
      </c>
      <c r="Q349">
        <v>0</v>
      </c>
      <c r="R349">
        <v>0</v>
      </c>
      <c r="S349">
        <v>0</v>
      </c>
      <c r="T349" t="s">
        <v>253</v>
      </c>
      <c r="U349" t="s">
        <v>7</v>
      </c>
      <c r="V349" t="s">
        <v>253</v>
      </c>
      <c r="W349" t="s">
        <v>132</v>
      </c>
      <c r="X349" t="s">
        <v>253</v>
      </c>
      <c r="Y349" t="s">
        <v>235</v>
      </c>
      <c r="Z349" t="s">
        <v>236</v>
      </c>
      <c r="AA349" t="s">
        <v>253</v>
      </c>
      <c r="AB349" t="s">
        <v>1</v>
      </c>
      <c r="AC349" s="235">
        <v>-500000</v>
      </c>
      <c r="AD349" s="235">
        <v>-29013.413268605582</v>
      </c>
      <c r="AE349">
        <v>0</v>
      </c>
      <c r="AF349">
        <v>0</v>
      </c>
      <c r="AG349">
        <v>0</v>
      </c>
      <c r="AH349" s="235">
        <v>-8395.7537899614254</v>
      </c>
      <c r="AI349">
        <v>226</v>
      </c>
      <c r="AJ349" t="s">
        <v>256</v>
      </c>
      <c r="AK349">
        <v>0</v>
      </c>
      <c r="AL349">
        <v>0</v>
      </c>
      <c r="AM349">
        <v>0</v>
      </c>
    </row>
    <row r="350" spans="1:39" x14ac:dyDescent="0.25">
      <c r="A350" t="s">
        <v>233</v>
      </c>
      <c r="B350" t="s">
        <v>453</v>
      </c>
      <c r="C350" t="s">
        <v>255</v>
      </c>
      <c r="D350" t="s">
        <v>234</v>
      </c>
      <c r="E350" t="s">
        <v>20</v>
      </c>
      <c r="F350" t="s">
        <v>279</v>
      </c>
      <c r="G350" t="s">
        <v>269</v>
      </c>
      <c r="H350" t="s">
        <v>254</v>
      </c>
      <c r="I350" t="s">
        <v>242</v>
      </c>
      <c r="J350" t="s">
        <v>235</v>
      </c>
      <c r="K350" s="380">
        <v>36951</v>
      </c>
      <c r="L350" s="235">
        <v>171077.44847212691</v>
      </c>
      <c r="M350" s="380">
        <v>36949</v>
      </c>
      <c r="N350" t="s">
        <v>1</v>
      </c>
      <c r="O350">
        <v>0.75</v>
      </c>
      <c r="P350">
        <v>0</v>
      </c>
      <c r="Q350">
        <v>0</v>
      </c>
      <c r="R350">
        <v>0</v>
      </c>
      <c r="S350">
        <v>0</v>
      </c>
      <c r="T350" t="s">
        <v>253</v>
      </c>
      <c r="U350" t="s">
        <v>7</v>
      </c>
      <c r="V350" t="s">
        <v>253</v>
      </c>
      <c r="W350" t="s">
        <v>132</v>
      </c>
      <c r="X350" t="s">
        <v>253</v>
      </c>
      <c r="Y350" t="s">
        <v>235</v>
      </c>
      <c r="Z350" t="s">
        <v>236</v>
      </c>
      <c r="AA350" t="s">
        <v>253</v>
      </c>
      <c r="AB350" t="s">
        <v>1</v>
      </c>
      <c r="AC350" s="235">
        <v>500000</v>
      </c>
      <c r="AD350" s="235">
        <v>43710.151473572099</v>
      </c>
      <c r="AE350">
        <v>0</v>
      </c>
      <c r="AF350">
        <v>0</v>
      </c>
      <c r="AG350">
        <v>0</v>
      </c>
      <c r="AH350" s="235">
        <v>-8168.6097124045191</v>
      </c>
      <c r="AI350">
        <v>226</v>
      </c>
      <c r="AJ350" t="s">
        <v>256</v>
      </c>
      <c r="AK350">
        <v>0</v>
      </c>
      <c r="AL350">
        <v>0</v>
      </c>
      <c r="AM350">
        <v>0</v>
      </c>
    </row>
    <row r="351" spans="1:39" x14ac:dyDescent="0.25">
      <c r="A351" t="s">
        <v>233</v>
      </c>
      <c r="B351" t="s">
        <v>453</v>
      </c>
      <c r="C351" t="s">
        <v>255</v>
      </c>
      <c r="D351" t="s">
        <v>234</v>
      </c>
      <c r="E351" t="s">
        <v>20</v>
      </c>
      <c r="F351" t="s">
        <v>279</v>
      </c>
      <c r="G351" t="s">
        <v>269</v>
      </c>
      <c r="H351" t="s">
        <v>254</v>
      </c>
      <c r="I351" t="s">
        <v>242</v>
      </c>
      <c r="J351" t="s">
        <v>235</v>
      </c>
      <c r="K351" s="380">
        <v>36923</v>
      </c>
      <c r="L351" s="235">
        <v>70124.249611158535</v>
      </c>
      <c r="M351" s="380">
        <v>36921</v>
      </c>
      <c r="N351" t="s">
        <v>1</v>
      </c>
      <c r="O351">
        <v>0.75</v>
      </c>
      <c r="P351">
        <v>0</v>
      </c>
      <c r="Q351">
        <v>0</v>
      </c>
      <c r="R351">
        <v>0</v>
      </c>
      <c r="S351">
        <v>0</v>
      </c>
      <c r="T351" t="s">
        <v>253</v>
      </c>
      <c r="U351" t="s">
        <v>7</v>
      </c>
      <c r="V351" t="s">
        <v>253</v>
      </c>
      <c r="W351" t="s">
        <v>132</v>
      </c>
      <c r="X351" t="s">
        <v>253</v>
      </c>
      <c r="Y351" t="s">
        <v>235</v>
      </c>
      <c r="Z351" t="s">
        <v>236</v>
      </c>
      <c r="AA351" t="s">
        <v>253</v>
      </c>
      <c r="AB351" t="s">
        <v>1</v>
      </c>
      <c r="AC351" s="235">
        <v>500000</v>
      </c>
      <c r="AD351" s="235">
        <v>30734.785796236509</v>
      </c>
      <c r="AE351">
        <v>0</v>
      </c>
      <c r="AF351">
        <v>0</v>
      </c>
      <c r="AG351">
        <v>0</v>
      </c>
      <c r="AH351" s="235">
        <v>-3753.3510640277527</v>
      </c>
      <c r="AI351">
        <v>226</v>
      </c>
      <c r="AJ351" t="s">
        <v>256</v>
      </c>
      <c r="AK351">
        <v>0</v>
      </c>
      <c r="AL351">
        <v>0</v>
      </c>
      <c r="AM351">
        <v>0</v>
      </c>
    </row>
    <row r="352" spans="1:39" x14ac:dyDescent="0.25">
      <c r="A352" t="s">
        <v>233</v>
      </c>
      <c r="B352" t="s">
        <v>453</v>
      </c>
      <c r="C352" t="s">
        <v>255</v>
      </c>
      <c r="D352" t="s">
        <v>234</v>
      </c>
      <c r="E352" t="s">
        <v>20</v>
      </c>
      <c r="F352" t="s">
        <v>279</v>
      </c>
      <c r="G352" t="s">
        <v>269</v>
      </c>
      <c r="H352" t="s">
        <v>254</v>
      </c>
      <c r="I352" t="s">
        <v>242</v>
      </c>
      <c r="J352" t="s">
        <v>235</v>
      </c>
      <c r="K352" s="380">
        <v>36892</v>
      </c>
      <c r="L352" s="235">
        <v>55369.844724811934</v>
      </c>
      <c r="M352" s="380">
        <v>36888</v>
      </c>
      <c r="N352" t="s">
        <v>1</v>
      </c>
      <c r="O352">
        <v>0.75</v>
      </c>
      <c r="P352">
        <v>0</v>
      </c>
      <c r="Q352">
        <v>0</v>
      </c>
      <c r="R352">
        <v>0</v>
      </c>
      <c r="S352">
        <v>0</v>
      </c>
      <c r="T352" t="s">
        <v>253</v>
      </c>
      <c r="U352" t="s">
        <v>7</v>
      </c>
      <c r="V352" t="s">
        <v>253</v>
      </c>
      <c r="W352" t="s">
        <v>132</v>
      </c>
      <c r="X352" t="s">
        <v>253</v>
      </c>
      <c r="Y352" t="s">
        <v>235</v>
      </c>
      <c r="Z352" t="s">
        <v>236</v>
      </c>
      <c r="AA352" t="s">
        <v>253</v>
      </c>
      <c r="AB352" t="s">
        <v>1</v>
      </c>
      <c r="AC352" s="235">
        <v>500000</v>
      </c>
      <c r="AD352" s="235">
        <v>25488.871766922552</v>
      </c>
      <c r="AE352">
        <v>0</v>
      </c>
      <c r="AF352">
        <v>0</v>
      </c>
      <c r="AG352">
        <v>0</v>
      </c>
      <c r="AH352" s="235">
        <v>-2670.9125970105815</v>
      </c>
      <c r="AI352">
        <v>226</v>
      </c>
      <c r="AJ352" t="s">
        <v>256</v>
      </c>
      <c r="AK352">
        <v>0</v>
      </c>
      <c r="AL352">
        <v>0</v>
      </c>
      <c r="AM352">
        <v>0</v>
      </c>
    </row>
    <row r="353" spans="1:39" x14ac:dyDescent="0.25">
      <c r="A353" t="s">
        <v>233</v>
      </c>
      <c r="B353" t="s">
        <v>453</v>
      </c>
      <c r="C353" t="s">
        <v>255</v>
      </c>
      <c r="D353" t="s">
        <v>234</v>
      </c>
      <c r="E353" t="s">
        <v>20</v>
      </c>
      <c r="F353" t="s">
        <v>279</v>
      </c>
      <c r="G353" t="s">
        <v>269</v>
      </c>
      <c r="H353" t="s">
        <v>254</v>
      </c>
      <c r="I353" t="s">
        <v>242</v>
      </c>
      <c r="J353" t="s">
        <v>235</v>
      </c>
      <c r="K353" s="380">
        <v>36861</v>
      </c>
      <c r="L353" s="235">
        <v>73958.492585636472</v>
      </c>
      <c r="M353" s="380">
        <v>36859</v>
      </c>
      <c r="N353" t="s">
        <v>1</v>
      </c>
      <c r="O353">
        <v>0.75</v>
      </c>
      <c r="P353">
        <v>0</v>
      </c>
      <c r="Q353">
        <v>0</v>
      </c>
      <c r="R353">
        <v>0</v>
      </c>
      <c r="S353">
        <v>0</v>
      </c>
      <c r="T353" t="s">
        <v>253</v>
      </c>
      <c r="U353" t="s">
        <v>7</v>
      </c>
      <c r="V353" t="s">
        <v>253</v>
      </c>
      <c r="W353" t="s">
        <v>132</v>
      </c>
      <c r="X353" t="s">
        <v>253</v>
      </c>
      <c r="Y353" t="s">
        <v>235</v>
      </c>
      <c r="Z353" t="s">
        <v>236</v>
      </c>
      <c r="AA353" t="s">
        <v>253</v>
      </c>
      <c r="AB353" t="s">
        <v>1</v>
      </c>
      <c r="AC353" s="235">
        <v>500000</v>
      </c>
      <c r="AD353" s="235">
        <v>27791.540150040542</v>
      </c>
      <c r="AE353">
        <v>0</v>
      </c>
      <c r="AF353">
        <v>0</v>
      </c>
      <c r="AG353">
        <v>0</v>
      </c>
      <c r="AH353" s="235">
        <v>-3004.0376327980048</v>
      </c>
      <c r="AI353">
        <v>226</v>
      </c>
      <c r="AJ353" t="s">
        <v>256</v>
      </c>
      <c r="AK353">
        <v>0</v>
      </c>
      <c r="AL353">
        <v>0</v>
      </c>
      <c r="AM353">
        <v>0</v>
      </c>
    </row>
    <row r="354" spans="1:39" x14ac:dyDescent="0.25">
      <c r="A354" t="s">
        <v>233</v>
      </c>
      <c r="B354" t="s">
        <v>453</v>
      </c>
      <c r="C354" t="s">
        <v>255</v>
      </c>
      <c r="D354" t="s">
        <v>234</v>
      </c>
      <c r="E354" t="s">
        <v>20</v>
      </c>
      <c r="F354" t="s">
        <v>279</v>
      </c>
      <c r="G354" t="s">
        <v>269</v>
      </c>
      <c r="H354" t="s">
        <v>254</v>
      </c>
      <c r="I354" t="s">
        <v>242</v>
      </c>
      <c r="J354" t="s">
        <v>235</v>
      </c>
      <c r="K354" s="380">
        <v>36831</v>
      </c>
      <c r="L354" s="235">
        <v>124808.94629220579</v>
      </c>
      <c r="M354" s="380">
        <v>36829</v>
      </c>
      <c r="N354" t="s">
        <v>1</v>
      </c>
      <c r="O354">
        <v>0.75</v>
      </c>
      <c r="P354">
        <v>0</v>
      </c>
      <c r="Q354">
        <v>0</v>
      </c>
      <c r="R354">
        <v>0</v>
      </c>
      <c r="S354">
        <v>0</v>
      </c>
      <c r="T354" t="s">
        <v>253</v>
      </c>
      <c r="U354" t="s">
        <v>7</v>
      </c>
      <c r="V354" t="s">
        <v>253</v>
      </c>
      <c r="W354" t="s">
        <v>132</v>
      </c>
      <c r="X354" t="s">
        <v>253</v>
      </c>
      <c r="Y354" t="s">
        <v>235</v>
      </c>
      <c r="Z354" t="s">
        <v>236</v>
      </c>
      <c r="AA354" t="s">
        <v>253</v>
      </c>
      <c r="AB354" t="s">
        <v>1</v>
      </c>
      <c r="AC354" s="235">
        <v>500000</v>
      </c>
      <c r="AD354" s="235">
        <v>22575.297341584926</v>
      </c>
      <c r="AE354">
        <v>0</v>
      </c>
      <c r="AF354">
        <v>0</v>
      </c>
      <c r="AG354">
        <v>0</v>
      </c>
      <c r="AH354" s="235">
        <v>-8179.1766620815615</v>
      </c>
      <c r="AI354">
        <v>226</v>
      </c>
      <c r="AJ354" t="s">
        <v>256</v>
      </c>
      <c r="AK354">
        <v>0</v>
      </c>
      <c r="AL354">
        <v>0</v>
      </c>
      <c r="AM354">
        <v>0</v>
      </c>
    </row>
    <row r="355" spans="1:39" x14ac:dyDescent="0.25">
      <c r="A355" t="s">
        <v>233</v>
      </c>
      <c r="B355" t="s">
        <v>454</v>
      </c>
      <c r="C355" t="s">
        <v>255</v>
      </c>
      <c r="D355" t="s">
        <v>234</v>
      </c>
      <c r="E355" t="s">
        <v>20</v>
      </c>
      <c r="F355" t="s">
        <v>279</v>
      </c>
      <c r="G355" t="s">
        <v>269</v>
      </c>
      <c r="H355" t="s">
        <v>254</v>
      </c>
      <c r="I355" t="s">
        <v>242</v>
      </c>
      <c r="J355" t="s">
        <v>235</v>
      </c>
      <c r="K355" s="380">
        <v>37316</v>
      </c>
      <c r="L355" s="235">
        <v>109370.95040437147</v>
      </c>
      <c r="M355" s="380">
        <v>37314</v>
      </c>
      <c r="N355" t="s">
        <v>21</v>
      </c>
      <c r="O355">
        <v>1.33</v>
      </c>
      <c r="P355">
        <v>0</v>
      </c>
      <c r="Q355">
        <v>0</v>
      </c>
      <c r="R355">
        <v>0</v>
      </c>
      <c r="S355">
        <v>0</v>
      </c>
      <c r="T355" t="s">
        <v>253</v>
      </c>
      <c r="U355" t="s">
        <v>7</v>
      </c>
      <c r="V355" t="s">
        <v>253</v>
      </c>
      <c r="W355" t="s">
        <v>132</v>
      </c>
      <c r="X355" t="s">
        <v>253</v>
      </c>
      <c r="Y355" t="s">
        <v>235</v>
      </c>
      <c r="Z355" t="s">
        <v>236</v>
      </c>
      <c r="AA355" t="s">
        <v>253</v>
      </c>
      <c r="AB355" t="s">
        <v>1</v>
      </c>
      <c r="AC355" s="235">
        <v>500000</v>
      </c>
      <c r="AD355" s="235">
        <v>22787.965428216587</v>
      </c>
      <c r="AE355">
        <v>0</v>
      </c>
      <c r="AF355">
        <v>0</v>
      </c>
      <c r="AG355">
        <v>0</v>
      </c>
      <c r="AH355" s="235">
        <v>6500.7035407847143</v>
      </c>
      <c r="AI355">
        <v>226</v>
      </c>
      <c r="AJ355" t="s">
        <v>256</v>
      </c>
      <c r="AK355">
        <v>0</v>
      </c>
      <c r="AL355">
        <v>0</v>
      </c>
      <c r="AM355">
        <v>0</v>
      </c>
    </row>
    <row r="356" spans="1:39" x14ac:dyDescent="0.25">
      <c r="A356" t="s">
        <v>233</v>
      </c>
      <c r="B356" t="s">
        <v>454</v>
      </c>
      <c r="C356" t="s">
        <v>255</v>
      </c>
      <c r="D356" t="s">
        <v>234</v>
      </c>
      <c r="E356" t="s">
        <v>20</v>
      </c>
      <c r="F356" t="s">
        <v>279</v>
      </c>
      <c r="G356" t="s">
        <v>269</v>
      </c>
      <c r="H356" t="s">
        <v>254</v>
      </c>
      <c r="I356" t="s">
        <v>242</v>
      </c>
      <c r="J356" t="s">
        <v>235</v>
      </c>
      <c r="K356" s="380">
        <v>37288</v>
      </c>
      <c r="L356" s="235">
        <v>261739.46160556443</v>
      </c>
      <c r="M356" s="380">
        <v>37286</v>
      </c>
      <c r="N356" t="s">
        <v>21</v>
      </c>
      <c r="O356">
        <v>1.33</v>
      </c>
      <c r="P356">
        <v>0</v>
      </c>
      <c r="Q356">
        <v>0</v>
      </c>
      <c r="R356">
        <v>0</v>
      </c>
      <c r="S356">
        <v>0</v>
      </c>
      <c r="T356" t="s">
        <v>253</v>
      </c>
      <c r="U356" t="s">
        <v>7</v>
      </c>
      <c r="V356" t="s">
        <v>253</v>
      </c>
      <c r="W356" t="s">
        <v>132</v>
      </c>
      <c r="X356" t="s">
        <v>253</v>
      </c>
      <c r="Y356" t="s">
        <v>235</v>
      </c>
      <c r="Z356" t="s">
        <v>236</v>
      </c>
      <c r="AA356" t="s">
        <v>253</v>
      </c>
      <c r="AB356" t="s">
        <v>1</v>
      </c>
      <c r="AC356" s="235">
        <v>500000</v>
      </c>
      <c r="AD356" s="235">
        <v>23535.213376363041</v>
      </c>
      <c r="AE356">
        <v>0</v>
      </c>
      <c r="AF356">
        <v>0</v>
      </c>
      <c r="AG356">
        <v>0</v>
      </c>
      <c r="AH356" s="235">
        <v>9611.3979890488554</v>
      </c>
      <c r="AI356">
        <v>226</v>
      </c>
      <c r="AJ356" t="s">
        <v>256</v>
      </c>
      <c r="AK356">
        <v>0</v>
      </c>
      <c r="AL356">
        <v>0</v>
      </c>
      <c r="AM356">
        <v>0</v>
      </c>
    </row>
    <row r="357" spans="1:39" x14ac:dyDescent="0.25">
      <c r="A357" t="s">
        <v>233</v>
      </c>
      <c r="B357" t="s">
        <v>454</v>
      </c>
      <c r="C357" t="s">
        <v>255</v>
      </c>
      <c r="D357" t="s">
        <v>234</v>
      </c>
      <c r="E357" t="s">
        <v>20</v>
      </c>
      <c r="F357" t="s">
        <v>279</v>
      </c>
      <c r="G357" t="s">
        <v>269</v>
      </c>
      <c r="H357" t="s">
        <v>254</v>
      </c>
      <c r="I357" t="s">
        <v>242</v>
      </c>
      <c r="J357" t="s">
        <v>235</v>
      </c>
      <c r="K357" s="380">
        <v>37257</v>
      </c>
      <c r="L357" s="235">
        <v>269378.57561911532</v>
      </c>
      <c r="M357" s="380">
        <v>37253</v>
      </c>
      <c r="N357" t="s">
        <v>21</v>
      </c>
      <c r="O357">
        <v>1.33</v>
      </c>
      <c r="P357">
        <v>0</v>
      </c>
      <c r="Q357">
        <v>0</v>
      </c>
      <c r="R357">
        <v>0</v>
      </c>
      <c r="S357">
        <v>0</v>
      </c>
      <c r="T357" t="s">
        <v>253</v>
      </c>
      <c r="U357" t="s">
        <v>7</v>
      </c>
      <c r="V357" t="s">
        <v>253</v>
      </c>
      <c r="W357" t="s">
        <v>132</v>
      </c>
      <c r="X357" t="s">
        <v>253</v>
      </c>
      <c r="Y357" t="s">
        <v>235</v>
      </c>
      <c r="Z357" t="s">
        <v>236</v>
      </c>
      <c r="AA357" t="s">
        <v>253</v>
      </c>
      <c r="AB357" t="s">
        <v>1</v>
      </c>
      <c r="AC357" s="235">
        <v>500000</v>
      </c>
      <c r="AD357" s="235">
        <v>24192.439529632567</v>
      </c>
      <c r="AE357">
        <v>0</v>
      </c>
      <c r="AF357">
        <v>0</v>
      </c>
      <c r="AG357">
        <v>0</v>
      </c>
      <c r="AH357" s="235">
        <v>9730.0949617408914</v>
      </c>
      <c r="AI357">
        <v>226</v>
      </c>
      <c r="AJ357" t="s">
        <v>256</v>
      </c>
      <c r="AK357">
        <v>0</v>
      </c>
      <c r="AL357">
        <v>0</v>
      </c>
      <c r="AM357">
        <v>0</v>
      </c>
    </row>
    <row r="358" spans="1:39" x14ac:dyDescent="0.25">
      <c r="A358" t="s">
        <v>233</v>
      </c>
      <c r="B358" t="s">
        <v>454</v>
      </c>
      <c r="C358" t="s">
        <v>255</v>
      </c>
      <c r="D358" t="s">
        <v>234</v>
      </c>
      <c r="E358" t="s">
        <v>20</v>
      </c>
      <c r="F358" t="s">
        <v>279</v>
      </c>
      <c r="G358" t="s">
        <v>269</v>
      </c>
      <c r="H358" t="s">
        <v>254</v>
      </c>
      <c r="I358" t="s">
        <v>242</v>
      </c>
      <c r="J358" t="s">
        <v>235</v>
      </c>
      <c r="K358" s="380">
        <v>37226</v>
      </c>
      <c r="L358" s="235">
        <v>194330.31877854111</v>
      </c>
      <c r="M358" s="380">
        <v>37224</v>
      </c>
      <c r="N358" t="s">
        <v>21</v>
      </c>
      <c r="O358">
        <v>1.33</v>
      </c>
      <c r="P358">
        <v>0</v>
      </c>
      <c r="Q358">
        <v>0</v>
      </c>
      <c r="R358">
        <v>0</v>
      </c>
      <c r="S358">
        <v>0</v>
      </c>
      <c r="T358" t="s">
        <v>253</v>
      </c>
      <c r="U358" t="s">
        <v>7</v>
      </c>
      <c r="V358" t="s">
        <v>253</v>
      </c>
      <c r="W358" t="s">
        <v>132</v>
      </c>
      <c r="X358" t="s">
        <v>253</v>
      </c>
      <c r="Y358" t="s">
        <v>235</v>
      </c>
      <c r="Z358" t="s">
        <v>236</v>
      </c>
      <c r="AA358" t="s">
        <v>253</v>
      </c>
      <c r="AB358" t="s">
        <v>1</v>
      </c>
      <c r="AC358" s="235">
        <v>500000</v>
      </c>
      <c r="AD358" s="235">
        <v>24440.593708304106</v>
      </c>
      <c r="AE358">
        <v>0</v>
      </c>
      <c r="AF358">
        <v>0</v>
      </c>
      <c r="AG358">
        <v>0</v>
      </c>
      <c r="AH358" s="235">
        <v>8654.2372288765037</v>
      </c>
      <c r="AI358">
        <v>226</v>
      </c>
      <c r="AJ358" t="s">
        <v>256</v>
      </c>
      <c r="AK358">
        <v>0</v>
      </c>
      <c r="AL358">
        <v>0</v>
      </c>
      <c r="AM358">
        <v>0</v>
      </c>
    </row>
    <row r="359" spans="1:39" x14ac:dyDescent="0.25">
      <c r="A359" t="s">
        <v>233</v>
      </c>
      <c r="B359" t="s">
        <v>454</v>
      </c>
      <c r="C359" t="s">
        <v>255</v>
      </c>
      <c r="D359" t="s">
        <v>234</v>
      </c>
      <c r="E359" t="s">
        <v>20</v>
      </c>
      <c r="F359" t="s">
        <v>279</v>
      </c>
      <c r="G359" t="s">
        <v>269</v>
      </c>
      <c r="H359" t="s">
        <v>254</v>
      </c>
      <c r="I359" t="s">
        <v>242</v>
      </c>
      <c r="J359" t="s">
        <v>235</v>
      </c>
      <c r="K359" s="380">
        <v>37196</v>
      </c>
      <c r="L359" s="235">
        <v>95420.99629297317</v>
      </c>
      <c r="M359" s="380">
        <v>37194</v>
      </c>
      <c r="N359" t="s">
        <v>21</v>
      </c>
      <c r="O359">
        <v>1.33</v>
      </c>
      <c r="P359">
        <v>0</v>
      </c>
      <c r="Q359">
        <v>0</v>
      </c>
      <c r="R359">
        <v>0</v>
      </c>
      <c r="S359">
        <v>0</v>
      </c>
      <c r="T359" t="s">
        <v>253</v>
      </c>
      <c r="U359" t="s">
        <v>7</v>
      </c>
      <c r="V359" t="s">
        <v>253</v>
      </c>
      <c r="W359" t="s">
        <v>132</v>
      </c>
      <c r="X359" t="s">
        <v>253</v>
      </c>
      <c r="Y359" t="s">
        <v>235</v>
      </c>
      <c r="Z359" t="s">
        <v>236</v>
      </c>
      <c r="AA359" t="s">
        <v>253</v>
      </c>
      <c r="AB359" t="s">
        <v>1</v>
      </c>
      <c r="AC359" s="235">
        <v>500000</v>
      </c>
      <c r="AD359" s="235">
        <v>22239.85498203215</v>
      </c>
      <c r="AE359">
        <v>0</v>
      </c>
      <c r="AF359">
        <v>0</v>
      </c>
      <c r="AG359">
        <v>0</v>
      </c>
      <c r="AH359" s="235">
        <v>6160.7231891622359</v>
      </c>
      <c r="AI359">
        <v>226</v>
      </c>
      <c r="AJ359" t="s">
        <v>256</v>
      </c>
      <c r="AK359">
        <v>0</v>
      </c>
      <c r="AL359">
        <v>0</v>
      </c>
      <c r="AM359">
        <v>0</v>
      </c>
    </row>
    <row r="360" spans="1:39" x14ac:dyDescent="0.25">
      <c r="A360" t="s">
        <v>233</v>
      </c>
      <c r="B360" t="s">
        <v>455</v>
      </c>
      <c r="C360" t="s">
        <v>255</v>
      </c>
      <c r="D360" t="s">
        <v>234</v>
      </c>
      <c r="E360" t="s">
        <v>20</v>
      </c>
      <c r="F360" t="s">
        <v>279</v>
      </c>
      <c r="G360" t="s">
        <v>269</v>
      </c>
      <c r="H360" t="s">
        <v>254</v>
      </c>
      <c r="I360" t="s">
        <v>242</v>
      </c>
      <c r="J360" t="s">
        <v>235</v>
      </c>
      <c r="K360" s="380">
        <v>37316</v>
      </c>
      <c r="L360" s="235">
        <v>262537.34188406973</v>
      </c>
      <c r="M360" s="380">
        <v>37314</v>
      </c>
      <c r="N360" t="s">
        <v>1</v>
      </c>
      <c r="O360">
        <v>1.33</v>
      </c>
      <c r="P360">
        <v>0</v>
      </c>
      <c r="Q360">
        <v>0</v>
      </c>
      <c r="R360">
        <v>0</v>
      </c>
      <c r="S360">
        <v>0</v>
      </c>
      <c r="T360" t="s">
        <v>253</v>
      </c>
      <c r="U360" t="s">
        <v>7</v>
      </c>
      <c r="V360" t="s">
        <v>253</v>
      </c>
      <c r="W360" t="s">
        <v>132</v>
      </c>
      <c r="X360" t="s">
        <v>253</v>
      </c>
      <c r="Y360" t="s">
        <v>235</v>
      </c>
      <c r="Z360" t="s">
        <v>236</v>
      </c>
      <c r="AA360" t="s">
        <v>253</v>
      </c>
      <c r="AB360" t="s">
        <v>1</v>
      </c>
      <c r="AC360" s="235">
        <v>500000</v>
      </c>
      <c r="AD360" s="235">
        <v>22787.965428216587</v>
      </c>
      <c r="AE360">
        <v>0</v>
      </c>
      <c r="AF360">
        <v>0</v>
      </c>
      <c r="AG360">
        <v>0</v>
      </c>
      <c r="AH360" s="235">
        <v>-7014.2538837323082</v>
      </c>
      <c r="AI360">
        <v>226</v>
      </c>
      <c r="AJ360" t="s">
        <v>256</v>
      </c>
      <c r="AK360">
        <v>0</v>
      </c>
      <c r="AL360">
        <v>0</v>
      </c>
      <c r="AM360">
        <v>0</v>
      </c>
    </row>
    <row r="361" spans="1:39" x14ac:dyDescent="0.25">
      <c r="A361" t="s">
        <v>233</v>
      </c>
      <c r="B361" t="s">
        <v>455</v>
      </c>
      <c r="C361" t="s">
        <v>255</v>
      </c>
      <c r="D361" t="s">
        <v>234</v>
      </c>
      <c r="E361" t="s">
        <v>20</v>
      </c>
      <c r="F361" t="s">
        <v>279</v>
      </c>
      <c r="G361" t="s">
        <v>269</v>
      </c>
      <c r="H361" t="s">
        <v>254</v>
      </c>
      <c r="I361" t="s">
        <v>242</v>
      </c>
      <c r="J361" t="s">
        <v>235</v>
      </c>
      <c r="K361" s="380">
        <v>37288</v>
      </c>
      <c r="L361" s="235">
        <v>157566.54963788597</v>
      </c>
      <c r="M361" s="380">
        <v>37286</v>
      </c>
      <c r="N361" t="s">
        <v>1</v>
      </c>
      <c r="O361">
        <v>1.33</v>
      </c>
      <c r="P361">
        <v>0</v>
      </c>
      <c r="Q361">
        <v>0</v>
      </c>
      <c r="R361">
        <v>0</v>
      </c>
      <c r="S361">
        <v>0</v>
      </c>
      <c r="T361" t="s">
        <v>253</v>
      </c>
      <c r="U361" t="s">
        <v>7</v>
      </c>
      <c r="V361" t="s">
        <v>253</v>
      </c>
      <c r="W361" t="s">
        <v>132</v>
      </c>
      <c r="X361" t="s">
        <v>253</v>
      </c>
      <c r="Y361" t="s">
        <v>235</v>
      </c>
      <c r="Z361" t="s">
        <v>236</v>
      </c>
      <c r="AA361" t="s">
        <v>253</v>
      </c>
      <c r="AB361" t="s">
        <v>1</v>
      </c>
      <c r="AC361" s="235">
        <v>500000</v>
      </c>
      <c r="AD361" s="235">
        <v>23535.21337636307</v>
      </c>
      <c r="AE361">
        <v>0</v>
      </c>
      <c r="AF361">
        <v>0</v>
      </c>
      <c r="AG361">
        <v>0</v>
      </c>
      <c r="AH361" s="235">
        <v>-3976.0499767125293</v>
      </c>
      <c r="AI361">
        <v>226</v>
      </c>
      <c r="AJ361" t="s">
        <v>256</v>
      </c>
      <c r="AK361">
        <v>0</v>
      </c>
      <c r="AL361">
        <v>0</v>
      </c>
      <c r="AM361">
        <v>0</v>
      </c>
    </row>
    <row r="362" spans="1:39" x14ac:dyDescent="0.25">
      <c r="A362" t="s">
        <v>233</v>
      </c>
      <c r="B362" t="s">
        <v>455</v>
      </c>
      <c r="C362" t="s">
        <v>255</v>
      </c>
      <c r="D362" t="s">
        <v>234</v>
      </c>
      <c r="E362" t="s">
        <v>20</v>
      </c>
      <c r="F362" t="s">
        <v>279</v>
      </c>
      <c r="G362" t="s">
        <v>269</v>
      </c>
      <c r="H362" t="s">
        <v>254</v>
      </c>
      <c r="I362" t="s">
        <v>242</v>
      </c>
      <c r="J362" t="s">
        <v>235</v>
      </c>
      <c r="K362" s="380">
        <v>37257</v>
      </c>
      <c r="L362" s="235">
        <v>164542.76966693226</v>
      </c>
      <c r="M362" s="380">
        <v>37253</v>
      </c>
      <c r="N362" t="s">
        <v>1</v>
      </c>
      <c r="O362">
        <v>1.33</v>
      </c>
      <c r="P362">
        <v>0</v>
      </c>
      <c r="Q362">
        <v>0</v>
      </c>
      <c r="R362">
        <v>0</v>
      </c>
      <c r="S362">
        <v>0</v>
      </c>
      <c r="T362" t="s">
        <v>253</v>
      </c>
      <c r="U362" t="s">
        <v>7</v>
      </c>
      <c r="V362" t="s">
        <v>253</v>
      </c>
      <c r="W362" t="s">
        <v>132</v>
      </c>
      <c r="X362" t="s">
        <v>253</v>
      </c>
      <c r="Y362" t="s">
        <v>235</v>
      </c>
      <c r="Z362" t="s">
        <v>236</v>
      </c>
      <c r="AA362" t="s">
        <v>253</v>
      </c>
      <c r="AB362" t="s">
        <v>1</v>
      </c>
      <c r="AC362" s="235">
        <v>500000</v>
      </c>
      <c r="AD362" s="235">
        <v>24192.439529632567</v>
      </c>
      <c r="AE362">
        <v>0</v>
      </c>
      <c r="AF362">
        <v>0</v>
      </c>
      <c r="AG362">
        <v>0</v>
      </c>
      <c r="AH362" s="235">
        <v>-3943.1434326648887</v>
      </c>
      <c r="AI362">
        <v>226</v>
      </c>
      <c r="AJ362" t="s">
        <v>256</v>
      </c>
      <c r="AK362">
        <v>0</v>
      </c>
      <c r="AL362">
        <v>0</v>
      </c>
      <c r="AM362">
        <v>0</v>
      </c>
    </row>
    <row r="363" spans="1:39" x14ac:dyDescent="0.25">
      <c r="A363" t="s">
        <v>233</v>
      </c>
      <c r="B363" t="s">
        <v>455</v>
      </c>
      <c r="C363" t="s">
        <v>255</v>
      </c>
      <c r="D363" t="s">
        <v>234</v>
      </c>
      <c r="E363" t="s">
        <v>20</v>
      </c>
      <c r="F363" t="s">
        <v>279</v>
      </c>
      <c r="G363" t="s">
        <v>269</v>
      </c>
      <c r="H363" t="s">
        <v>254</v>
      </c>
      <c r="I363" t="s">
        <v>242</v>
      </c>
      <c r="J363" t="s">
        <v>235</v>
      </c>
      <c r="K363" s="380">
        <v>37226</v>
      </c>
      <c r="L363" s="235">
        <v>203497.30459350502</v>
      </c>
      <c r="M363" s="380">
        <v>37224</v>
      </c>
      <c r="N363" t="s">
        <v>1</v>
      </c>
      <c r="O363">
        <v>1.33</v>
      </c>
      <c r="P363">
        <v>0</v>
      </c>
      <c r="Q363">
        <v>0</v>
      </c>
      <c r="R363">
        <v>0</v>
      </c>
      <c r="S363">
        <v>0</v>
      </c>
      <c r="T363" t="s">
        <v>253</v>
      </c>
      <c r="U363" t="s">
        <v>7</v>
      </c>
      <c r="V363" t="s">
        <v>253</v>
      </c>
      <c r="W363" t="s">
        <v>132</v>
      </c>
      <c r="X363" t="s">
        <v>253</v>
      </c>
      <c r="Y363" t="s">
        <v>235</v>
      </c>
      <c r="Z363" t="s">
        <v>236</v>
      </c>
      <c r="AA363" t="s">
        <v>253</v>
      </c>
      <c r="AB363" t="s">
        <v>1</v>
      </c>
      <c r="AC363" s="235">
        <v>500000</v>
      </c>
      <c r="AD363" s="235">
        <v>24440.593708304106</v>
      </c>
      <c r="AE363">
        <v>0</v>
      </c>
      <c r="AF363">
        <v>0</v>
      </c>
      <c r="AG363">
        <v>0</v>
      </c>
      <c r="AH363" s="235">
        <v>-5094.5933683501498</v>
      </c>
      <c r="AI363">
        <v>226</v>
      </c>
      <c r="AJ363" t="s">
        <v>256</v>
      </c>
      <c r="AK363">
        <v>0</v>
      </c>
      <c r="AL363">
        <v>0</v>
      </c>
      <c r="AM363">
        <v>0</v>
      </c>
    </row>
    <row r="364" spans="1:39" x14ac:dyDescent="0.25">
      <c r="A364" t="s">
        <v>233</v>
      </c>
      <c r="B364" t="s">
        <v>455</v>
      </c>
      <c r="C364" t="s">
        <v>255</v>
      </c>
      <c r="D364" t="s">
        <v>234</v>
      </c>
      <c r="E364" t="s">
        <v>20</v>
      </c>
      <c r="F364" t="s">
        <v>279</v>
      </c>
      <c r="G364" t="s">
        <v>269</v>
      </c>
      <c r="H364" t="s">
        <v>254</v>
      </c>
      <c r="I364" t="s">
        <v>242</v>
      </c>
      <c r="J364" t="s">
        <v>235</v>
      </c>
      <c r="K364" s="380">
        <v>37196</v>
      </c>
      <c r="L364" s="235">
        <v>298254.16662930237</v>
      </c>
      <c r="M364" s="380">
        <v>37194</v>
      </c>
      <c r="N364" t="s">
        <v>1</v>
      </c>
      <c r="O364">
        <v>1.33</v>
      </c>
      <c r="P364">
        <v>0</v>
      </c>
      <c r="Q364">
        <v>0</v>
      </c>
      <c r="R364">
        <v>0</v>
      </c>
      <c r="S364">
        <v>0</v>
      </c>
      <c r="T364" t="s">
        <v>253</v>
      </c>
      <c r="U364" t="s">
        <v>7</v>
      </c>
      <c r="V364" t="s">
        <v>253</v>
      </c>
      <c r="W364" t="s">
        <v>132</v>
      </c>
      <c r="X364" t="s">
        <v>253</v>
      </c>
      <c r="Y364" t="s">
        <v>235</v>
      </c>
      <c r="Z364" t="s">
        <v>236</v>
      </c>
      <c r="AA364" t="s">
        <v>253</v>
      </c>
      <c r="AB364" t="s">
        <v>1</v>
      </c>
      <c r="AC364" s="235">
        <v>500000</v>
      </c>
      <c r="AD364" s="235">
        <v>22239.85498203215</v>
      </c>
      <c r="AE364">
        <v>0</v>
      </c>
      <c r="AF364">
        <v>0</v>
      </c>
      <c r="AG364">
        <v>0</v>
      </c>
      <c r="AH364" s="235">
        <v>-7666.4957902661408</v>
      </c>
      <c r="AI364">
        <v>226</v>
      </c>
      <c r="AJ364" t="s">
        <v>256</v>
      </c>
      <c r="AK364">
        <v>0</v>
      </c>
      <c r="AL364">
        <v>0</v>
      </c>
      <c r="AM364">
        <v>0</v>
      </c>
    </row>
    <row r="365" spans="1:39" x14ac:dyDescent="0.25">
      <c r="A365" t="s">
        <v>233</v>
      </c>
      <c r="B365" t="s">
        <v>456</v>
      </c>
      <c r="C365" t="s">
        <v>255</v>
      </c>
      <c r="D365" t="s">
        <v>234</v>
      </c>
      <c r="E365" t="s">
        <v>20</v>
      </c>
      <c r="F365" t="s">
        <v>279</v>
      </c>
      <c r="G365" t="s">
        <v>269</v>
      </c>
      <c r="H365" t="s">
        <v>254</v>
      </c>
      <c r="I365" t="s">
        <v>242</v>
      </c>
      <c r="J365" t="s">
        <v>235</v>
      </c>
      <c r="K365" s="380">
        <v>36951</v>
      </c>
      <c r="L365" s="235">
        <v>-78849.033277344846</v>
      </c>
      <c r="M365" s="380">
        <v>36949</v>
      </c>
      <c r="N365" t="s">
        <v>21</v>
      </c>
      <c r="O365">
        <v>2.5</v>
      </c>
      <c r="P365">
        <v>0</v>
      </c>
      <c r="Q365">
        <v>0</v>
      </c>
      <c r="R365">
        <v>0</v>
      </c>
      <c r="S365">
        <v>0</v>
      </c>
      <c r="T365" t="s">
        <v>253</v>
      </c>
      <c r="U365" t="s">
        <v>7</v>
      </c>
      <c r="V365" t="s">
        <v>253</v>
      </c>
      <c r="W365" t="s">
        <v>132</v>
      </c>
      <c r="X365" t="s">
        <v>253</v>
      </c>
      <c r="Y365" t="s">
        <v>235</v>
      </c>
      <c r="Z365" t="s">
        <v>236</v>
      </c>
      <c r="AA365" t="s">
        <v>253</v>
      </c>
      <c r="AB365" t="s">
        <v>1</v>
      </c>
      <c r="AC365" s="235">
        <v>-500000</v>
      </c>
      <c r="AD365" s="235">
        <v>-28654.294690808922</v>
      </c>
      <c r="AE365">
        <v>0</v>
      </c>
      <c r="AF365">
        <v>0</v>
      </c>
      <c r="AG365">
        <v>0</v>
      </c>
      <c r="AH365" s="235">
        <v>-7840.6989365729532</v>
      </c>
      <c r="AI365">
        <v>226</v>
      </c>
      <c r="AJ365" t="s">
        <v>256</v>
      </c>
      <c r="AK365">
        <v>0</v>
      </c>
      <c r="AL365">
        <v>0</v>
      </c>
      <c r="AM365">
        <v>0</v>
      </c>
    </row>
    <row r="366" spans="1:39" x14ac:dyDescent="0.25">
      <c r="A366" t="s">
        <v>233</v>
      </c>
      <c r="B366" t="s">
        <v>456</v>
      </c>
      <c r="C366" t="s">
        <v>255</v>
      </c>
      <c r="D366" t="s">
        <v>234</v>
      </c>
      <c r="E366" t="s">
        <v>20</v>
      </c>
      <c r="F366" t="s">
        <v>279</v>
      </c>
      <c r="G366" t="s">
        <v>269</v>
      </c>
      <c r="H366" t="s">
        <v>254</v>
      </c>
      <c r="I366" t="s">
        <v>242</v>
      </c>
      <c r="J366" t="s">
        <v>235</v>
      </c>
      <c r="K366" s="380">
        <v>36923</v>
      </c>
      <c r="L366" s="235">
        <v>-268548.12815983553</v>
      </c>
      <c r="M366" s="380">
        <v>36921</v>
      </c>
      <c r="N366" t="s">
        <v>21</v>
      </c>
      <c r="O366">
        <v>2.5</v>
      </c>
      <c r="P366">
        <v>0</v>
      </c>
      <c r="Q366">
        <v>0</v>
      </c>
      <c r="R366">
        <v>0</v>
      </c>
      <c r="S366">
        <v>0</v>
      </c>
      <c r="T366" t="s">
        <v>253</v>
      </c>
      <c r="U366" t="s">
        <v>7</v>
      </c>
      <c r="V366" t="s">
        <v>253</v>
      </c>
      <c r="W366" t="s">
        <v>132</v>
      </c>
      <c r="X366" t="s">
        <v>253</v>
      </c>
      <c r="Y366" t="s">
        <v>235</v>
      </c>
      <c r="Z366" t="s">
        <v>236</v>
      </c>
      <c r="AA366" t="s">
        <v>253</v>
      </c>
      <c r="AB366" t="s">
        <v>1</v>
      </c>
      <c r="AC366" s="235">
        <v>-500000</v>
      </c>
      <c r="AD366" s="235">
        <v>-41384.801118099946</v>
      </c>
      <c r="AE366">
        <v>0</v>
      </c>
      <c r="AF366">
        <v>0</v>
      </c>
      <c r="AG366">
        <v>0</v>
      </c>
      <c r="AH366" s="235">
        <v>-17740.318310459523</v>
      </c>
      <c r="AI366">
        <v>226</v>
      </c>
      <c r="AJ366" t="s">
        <v>256</v>
      </c>
      <c r="AK366">
        <v>0</v>
      </c>
      <c r="AL366">
        <v>0</v>
      </c>
      <c r="AM366">
        <v>0</v>
      </c>
    </row>
    <row r="367" spans="1:39" x14ac:dyDescent="0.25">
      <c r="A367" t="s">
        <v>233</v>
      </c>
      <c r="B367" t="s">
        <v>456</v>
      </c>
      <c r="C367" t="s">
        <v>255</v>
      </c>
      <c r="D367" t="s">
        <v>234</v>
      </c>
      <c r="E367" t="s">
        <v>20</v>
      </c>
      <c r="F367" t="s">
        <v>279</v>
      </c>
      <c r="G367" t="s">
        <v>269</v>
      </c>
      <c r="H367" t="s">
        <v>254</v>
      </c>
      <c r="I367" t="s">
        <v>242</v>
      </c>
      <c r="J367" t="s">
        <v>235</v>
      </c>
      <c r="K367" s="380">
        <v>36892</v>
      </c>
      <c r="L367" s="235">
        <v>-265933.05198546639</v>
      </c>
      <c r="M367" s="380">
        <v>36888</v>
      </c>
      <c r="N367" t="s">
        <v>21</v>
      </c>
      <c r="O367">
        <v>2.5</v>
      </c>
      <c r="P367">
        <v>0</v>
      </c>
      <c r="Q367">
        <v>0</v>
      </c>
      <c r="R367">
        <v>0</v>
      </c>
      <c r="S367">
        <v>0</v>
      </c>
      <c r="T367" t="s">
        <v>253</v>
      </c>
      <c r="U367" t="s">
        <v>7</v>
      </c>
      <c r="V367" t="s">
        <v>253</v>
      </c>
      <c r="W367" t="s">
        <v>132</v>
      </c>
      <c r="X367" t="s">
        <v>253</v>
      </c>
      <c r="Y367" t="s">
        <v>235</v>
      </c>
      <c r="Z367" t="s">
        <v>236</v>
      </c>
      <c r="AA367" t="s">
        <v>253</v>
      </c>
      <c r="AB367" t="s">
        <v>1</v>
      </c>
      <c r="AC367" s="235">
        <v>-500000</v>
      </c>
      <c r="AD367" s="235">
        <v>-38180.91539945046</v>
      </c>
      <c r="AE367">
        <v>0</v>
      </c>
      <c r="AF367">
        <v>0</v>
      </c>
      <c r="AG367">
        <v>0</v>
      </c>
      <c r="AH367" s="235">
        <v>-15641.415935667057</v>
      </c>
      <c r="AI367">
        <v>226</v>
      </c>
      <c r="AJ367" t="s">
        <v>256</v>
      </c>
      <c r="AK367">
        <v>0</v>
      </c>
      <c r="AL367">
        <v>0</v>
      </c>
      <c r="AM367">
        <v>0</v>
      </c>
    </row>
    <row r="368" spans="1:39" x14ac:dyDescent="0.25">
      <c r="A368" t="s">
        <v>233</v>
      </c>
      <c r="B368" t="s">
        <v>456</v>
      </c>
      <c r="C368" t="s">
        <v>255</v>
      </c>
      <c r="D368" t="s">
        <v>234</v>
      </c>
      <c r="E368" t="s">
        <v>20</v>
      </c>
      <c r="F368" t="s">
        <v>279</v>
      </c>
      <c r="G368" t="s">
        <v>269</v>
      </c>
      <c r="H368" t="s">
        <v>254</v>
      </c>
      <c r="I368" t="s">
        <v>242</v>
      </c>
      <c r="J368" t="s">
        <v>235</v>
      </c>
      <c r="K368" s="380">
        <v>36861</v>
      </c>
      <c r="L368" s="235">
        <v>-123868.75990027811</v>
      </c>
      <c r="M368" s="380">
        <v>36859</v>
      </c>
      <c r="N368" t="s">
        <v>21</v>
      </c>
      <c r="O368">
        <v>2.5</v>
      </c>
      <c r="P368">
        <v>0</v>
      </c>
      <c r="Q368">
        <v>0</v>
      </c>
      <c r="R368">
        <v>0</v>
      </c>
      <c r="S368">
        <v>0</v>
      </c>
      <c r="T368" t="s">
        <v>253</v>
      </c>
      <c r="U368" t="s">
        <v>7</v>
      </c>
      <c r="V368" t="s">
        <v>253</v>
      </c>
      <c r="W368" t="s">
        <v>132</v>
      </c>
      <c r="X368" t="s">
        <v>253</v>
      </c>
      <c r="Y368" t="s">
        <v>235</v>
      </c>
      <c r="Z368" t="s">
        <v>236</v>
      </c>
      <c r="AA368" t="s">
        <v>253</v>
      </c>
      <c r="AB368" t="s">
        <v>1</v>
      </c>
      <c r="AC368" s="235">
        <v>-500000</v>
      </c>
      <c r="AD368" s="235">
        <v>-29013.413268605582</v>
      </c>
      <c r="AE368">
        <v>0</v>
      </c>
      <c r="AF368">
        <v>0</v>
      </c>
      <c r="AG368">
        <v>0</v>
      </c>
      <c r="AH368" s="235">
        <v>-8395.7537899614254</v>
      </c>
      <c r="AI368">
        <v>226</v>
      </c>
      <c r="AJ368" t="s">
        <v>256</v>
      </c>
      <c r="AK368">
        <v>0</v>
      </c>
      <c r="AL368">
        <v>0</v>
      </c>
      <c r="AM368">
        <v>0</v>
      </c>
    </row>
    <row r="369" spans="1:39" x14ac:dyDescent="0.25">
      <c r="A369" t="s">
        <v>233</v>
      </c>
      <c r="B369" t="s">
        <v>456</v>
      </c>
      <c r="C369" t="s">
        <v>255</v>
      </c>
      <c r="D369" t="s">
        <v>234</v>
      </c>
      <c r="E369" t="s">
        <v>20</v>
      </c>
      <c r="F369" t="s">
        <v>279</v>
      </c>
      <c r="G369" t="s">
        <v>269</v>
      </c>
      <c r="H369" t="s">
        <v>254</v>
      </c>
      <c r="I369" t="s">
        <v>242</v>
      </c>
      <c r="J369" t="s">
        <v>235</v>
      </c>
      <c r="K369" s="380">
        <v>36831</v>
      </c>
      <c r="L369" s="235">
        <v>-3219.7737547645352</v>
      </c>
      <c r="M369" s="380">
        <v>36829</v>
      </c>
      <c r="N369" t="s">
        <v>21</v>
      </c>
      <c r="O369">
        <v>2.5</v>
      </c>
      <c r="P369">
        <v>0</v>
      </c>
      <c r="Q369">
        <v>0</v>
      </c>
      <c r="R369">
        <v>0</v>
      </c>
      <c r="S369">
        <v>0</v>
      </c>
      <c r="T369" t="s">
        <v>253</v>
      </c>
      <c r="U369" t="s">
        <v>7</v>
      </c>
      <c r="V369" t="s">
        <v>253</v>
      </c>
      <c r="W369" t="s">
        <v>132</v>
      </c>
      <c r="X369" t="s">
        <v>253</v>
      </c>
      <c r="Y369" t="s">
        <v>235</v>
      </c>
      <c r="Z369" t="s">
        <v>236</v>
      </c>
      <c r="AA369" t="s">
        <v>253</v>
      </c>
      <c r="AB369" t="s">
        <v>1</v>
      </c>
      <c r="AC369" s="235">
        <v>-500000</v>
      </c>
      <c r="AD369" s="235">
        <v>-2615.9866711958512</v>
      </c>
      <c r="AE369">
        <v>0</v>
      </c>
      <c r="AF369">
        <v>0</v>
      </c>
      <c r="AG369">
        <v>0</v>
      </c>
      <c r="AH369" s="235">
        <v>-633.23058700751426</v>
      </c>
      <c r="AI369">
        <v>226</v>
      </c>
      <c r="AJ369" t="s">
        <v>256</v>
      </c>
      <c r="AK369">
        <v>0</v>
      </c>
      <c r="AL369">
        <v>0</v>
      </c>
      <c r="AM369">
        <v>0</v>
      </c>
    </row>
    <row r="370" spans="1:39" x14ac:dyDescent="0.25">
      <c r="A370" t="s">
        <v>233</v>
      </c>
      <c r="B370" t="s">
        <v>457</v>
      </c>
      <c r="C370" t="s">
        <v>255</v>
      </c>
      <c r="D370" t="s">
        <v>234</v>
      </c>
      <c r="E370" t="s">
        <v>20</v>
      </c>
      <c r="F370" t="s">
        <v>294</v>
      </c>
      <c r="G370" t="s">
        <v>269</v>
      </c>
      <c r="H370" t="s">
        <v>254</v>
      </c>
      <c r="I370" t="s">
        <v>242</v>
      </c>
      <c r="J370" t="s">
        <v>235</v>
      </c>
      <c r="K370" s="380">
        <v>36951</v>
      </c>
      <c r="L370" s="235">
        <v>160013.49465428333</v>
      </c>
      <c r="M370" s="380">
        <v>36949</v>
      </c>
      <c r="N370" t="s">
        <v>1</v>
      </c>
      <c r="O370">
        <v>0.7</v>
      </c>
      <c r="P370">
        <v>0</v>
      </c>
      <c r="Q370">
        <v>0</v>
      </c>
      <c r="R370">
        <v>0</v>
      </c>
      <c r="S370">
        <v>0</v>
      </c>
      <c r="T370" t="s">
        <v>253</v>
      </c>
      <c r="U370" t="s">
        <v>7</v>
      </c>
      <c r="V370" t="s">
        <v>253</v>
      </c>
      <c r="W370" t="s">
        <v>132</v>
      </c>
      <c r="X370" t="s">
        <v>253</v>
      </c>
      <c r="Y370" t="s">
        <v>235</v>
      </c>
      <c r="Z370" t="s">
        <v>236</v>
      </c>
      <c r="AA370" t="s">
        <v>253</v>
      </c>
      <c r="AB370" t="s">
        <v>1</v>
      </c>
      <c r="AC370" s="235">
        <v>500000</v>
      </c>
      <c r="AD370" s="235">
        <v>43330.870709748735</v>
      </c>
      <c r="AE370">
        <v>0</v>
      </c>
      <c r="AF370">
        <v>0</v>
      </c>
      <c r="AG370">
        <v>0</v>
      </c>
      <c r="AH370" s="235">
        <v>-7738.7699128053209</v>
      </c>
      <c r="AI370">
        <v>226</v>
      </c>
      <c r="AJ370" t="s">
        <v>256</v>
      </c>
      <c r="AK370">
        <v>0</v>
      </c>
      <c r="AL370">
        <v>0</v>
      </c>
      <c r="AM370">
        <v>0</v>
      </c>
    </row>
    <row r="371" spans="1:39" x14ac:dyDescent="0.25">
      <c r="A371" t="s">
        <v>233</v>
      </c>
      <c r="B371" t="s">
        <v>457</v>
      </c>
      <c r="C371" t="s">
        <v>255</v>
      </c>
      <c r="D371" t="s">
        <v>234</v>
      </c>
      <c r="E371" t="s">
        <v>20</v>
      </c>
      <c r="F371" t="s">
        <v>294</v>
      </c>
      <c r="G371" t="s">
        <v>269</v>
      </c>
      <c r="H371" t="s">
        <v>254</v>
      </c>
      <c r="I371" t="s">
        <v>242</v>
      </c>
      <c r="J371" t="s">
        <v>235</v>
      </c>
      <c r="K371" s="380">
        <v>36923</v>
      </c>
      <c r="L371" s="235">
        <v>64633.941476257009</v>
      </c>
      <c r="M371" s="380">
        <v>36921</v>
      </c>
      <c r="N371" t="s">
        <v>1</v>
      </c>
      <c r="O371">
        <v>0.7</v>
      </c>
      <c r="P371">
        <v>0</v>
      </c>
      <c r="Q371">
        <v>0</v>
      </c>
      <c r="R371">
        <v>0</v>
      </c>
      <c r="S371">
        <v>0</v>
      </c>
      <c r="T371" t="s">
        <v>253</v>
      </c>
      <c r="U371" t="s">
        <v>7</v>
      </c>
      <c r="V371" t="s">
        <v>253</v>
      </c>
      <c r="W371" t="s">
        <v>132</v>
      </c>
      <c r="X371" t="s">
        <v>253</v>
      </c>
      <c r="Y371" t="s">
        <v>235</v>
      </c>
      <c r="Z371" t="s">
        <v>236</v>
      </c>
      <c r="AA371" t="s">
        <v>253</v>
      </c>
      <c r="AB371" t="s">
        <v>1</v>
      </c>
      <c r="AC371" s="235">
        <v>500000</v>
      </c>
      <c r="AD371" s="235">
        <v>29717.687451287886</v>
      </c>
      <c r="AE371">
        <v>0</v>
      </c>
      <c r="AF371">
        <v>0</v>
      </c>
      <c r="AG371">
        <v>0</v>
      </c>
      <c r="AH371" s="235">
        <v>-3486.3314122071097</v>
      </c>
      <c r="AI371">
        <v>226</v>
      </c>
      <c r="AJ371" t="s">
        <v>256</v>
      </c>
      <c r="AK371">
        <v>0</v>
      </c>
      <c r="AL371">
        <v>0</v>
      </c>
      <c r="AM371">
        <v>0</v>
      </c>
    </row>
    <row r="372" spans="1:39" x14ac:dyDescent="0.25">
      <c r="A372" t="s">
        <v>233</v>
      </c>
      <c r="B372" t="s">
        <v>457</v>
      </c>
      <c r="C372" t="s">
        <v>255</v>
      </c>
      <c r="D372" t="s">
        <v>234</v>
      </c>
      <c r="E372" t="s">
        <v>20</v>
      </c>
      <c r="F372" t="s">
        <v>294</v>
      </c>
      <c r="G372" t="s">
        <v>269</v>
      </c>
      <c r="H372" t="s">
        <v>254</v>
      </c>
      <c r="I372" t="s">
        <v>242</v>
      </c>
      <c r="J372" t="s">
        <v>235</v>
      </c>
      <c r="K372" s="380">
        <v>36892</v>
      </c>
      <c r="L372" s="235">
        <v>50711.576374094235</v>
      </c>
      <c r="M372" s="380">
        <v>36888</v>
      </c>
      <c r="N372" t="s">
        <v>1</v>
      </c>
      <c r="O372">
        <v>0.7</v>
      </c>
      <c r="P372">
        <v>0</v>
      </c>
      <c r="Q372">
        <v>0</v>
      </c>
      <c r="R372">
        <v>0</v>
      </c>
      <c r="S372">
        <v>0</v>
      </c>
      <c r="T372" t="s">
        <v>253</v>
      </c>
      <c r="U372" t="s">
        <v>7</v>
      </c>
      <c r="V372" t="s">
        <v>253</v>
      </c>
      <c r="W372" t="s">
        <v>132</v>
      </c>
      <c r="X372" t="s">
        <v>253</v>
      </c>
      <c r="Y372" t="s">
        <v>235</v>
      </c>
      <c r="Z372" t="s">
        <v>236</v>
      </c>
      <c r="AA372" t="s">
        <v>253</v>
      </c>
      <c r="AB372" t="s">
        <v>1</v>
      </c>
      <c r="AC372" s="235">
        <v>500000</v>
      </c>
      <c r="AD372" s="235">
        <v>24485.577755361082</v>
      </c>
      <c r="AE372">
        <v>0</v>
      </c>
      <c r="AF372">
        <v>0</v>
      </c>
      <c r="AG372">
        <v>0</v>
      </c>
      <c r="AH372" s="235">
        <v>-2460.6123207733253</v>
      </c>
      <c r="AI372">
        <v>226</v>
      </c>
      <c r="AJ372" t="s">
        <v>256</v>
      </c>
      <c r="AK372">
        <v>0</v>
      </c>
      <c r="AL372">
        <v>0</v>
      </c>
      <c r="AM372">
        <v>0</v>
      </c>
    </row>
    <row r="373" spans="1:39" x14ac:dyDescent="0.25">
      <c r="A373" t="s">
        <v>233</v>
      </c>
      <c r="B373" t="s">
        <v>457</v>
      </c>
      <c r="C373" t="s">
        <v>255</v>
      </c>
      <c r="D373" t="s">
        <v>234</v>
      </c>
      <c r="E373" t="s">
        <v>20</v>
      </c>
      <c r="F373" t="s">
        <v>294</v>
      </c>
      <c r="G373" t="s">
        <v>269</v>
      </c>
      <c r="H373" t="s">
        <v>254</v>
      </c>
      <c r="I373" t="s">
        <v>242</v>
      </c>
      <c r="J373" t="s">
        <v>235</v>
      </c>
      <c r="K373" s="380">
        <v>36861</v>
      </c>
      <c r="L373" s="235">
        <v>67625.326271583297</v>
      </c>
      <c r="M373" s="380">
        <v>36859</v>
      </c>
      <c r="N373" t="s">
        <v>1</v>
      </c>
      <c r="O373">
        <v>0.7</v>
      </c>
      <c r="P373">
        <v>0</v>
      </c>
      <c r="Q373">
        <v>0</v>
      </c>
      <c r="R373">
        <v>0</v>
      </c>
      <c r="S373">
        <v>0</v>
      </c>
      <c r="T373" t="s">
        <v>253</v>
      </c>
      <c r="U373" t="s">
        <v>7</v>
      </c>
      <c r="V373" t="s">
        <v>253</v>
      </c>
      <c r="W373" t="s">
        <v>132</v>
      </c>
      <c r="X373" t="s">
        <v>253</v>
      </c>
      <c r="Y373" t="s">
        <v>235</v>
      </c>
      <c r="Z373" t="s">
        <v>236</v>
      </c>
      <c r="AA373" t="s">
        <v>253</v>
      </c>
      <c r="AB373" t="s">
        <v>1</v>
      </c>
      <c r="AC373" s="235">
        <v>500000</v>
      </c>
      <c r="AD373" s="235">
        <v>26854.262618988651</v>
      </c>
      <c r="AE373">
        <v>0</v>
      </c>
      <c r="AF373">
        <v>0</v>
      </c>
      <c r="AG373">
        <v>0</v>
      </c>
      <c r="AH373" s="235">
        <v>-2764.9832762479637</v>
      </c>
      <c r="AI373">
        <v>226</v>
      </c>
      <c r="AJ373" t="s">
        <v>256</v>
      </c>
      <c r="AK373">
        <v>0</v>
      </c>
      <c r="AL373">
        <v>0</v>
      </c>
      <c r="AM373">
        <v>0</v>
      </c>
    </row>
    <row r="374" spans="1:39" x14ac:dyDescent="0.25">
      <c r="A374" t="s">
        <v>233</v>
      </c>
      <c r="B374" t="s">
        <v>457</v>
      </c>
      <c r="C374" t="s">
        <v>255</v>
      </c>
      <c r="D374" t="s">
        <v>234</v>
      </c>
      <c r="E374" t="s">
        <v>20</v>
      </c>
      <c r="F374" t="s">
        <v>294</v>
      </c>
      <c r="G374" t="s">
        <v>269</v>
      </c>
      <c r="H374" t="s">
        <v>254</v>
      </c>
      <c r="I374" t="s">
        <v>242</v>
      </c>
      <c r="J374" t="s">
        <v>235</v>
      </c>
      <c r="K374" s="380">
        <v>36831</v>
      </c>
      <c r="L374" s="235">
        <v>112243.68419881586</v>
      </c>
      <c r="M374" s="380">
        <v>36829</v>
      </c>
      <c r="N374" t="s">
        <v>1</v>
      </c>
      <c r="O374">
        <v>0.7</v>
      </c>
      <c r="P374">
        <v>0</v>
      </c>
      <c r="Q374">
        <v>0</v>
      </c>
      <c r="R374">
        <v>0</v>
      </c>
      <c r="S374">
        <v>0</v>
      </c>
      <c r="T374" t="s">
        <v>253</v>
      </c>
      <c r="U374" t="s">
        <v>7</v>
      </c>
      <c r="V374" t="s">
        <v>253</v>
      </c>
      <c r="W374" t="s">
        <v>132</v>
      </c>
      <c r="X374" t="s">
        <v>253</v>
      </c>
      <c r="Y374" t="s">
        <v>235</v>
      </c>
      <c r="Z374" t="s">
        <v>236</v>
      </c>
      <c r="AA374" t="s">
        <v>253</v>
      </c>
      <c r="AB374" t="s">
        <v>1</v>
      </c>
      <c r="AC374" s="235">
        <v>500000</v>
      </c>
      <c r="AD374" s="235">
        <v>22551.217129870056</v>
      </c>
      <c r="AE374">
        <v>0</v>
      </c>
      <c r="AF374">
        <v>0</v>
      </c>
      <c r="AG374">
        <v>0</v>
      </c>
      <c r="AH374" s="235">
        <v>-7585.6548787238717</v>
      </c>
      <c r="AI374">
        <v>226</v>
      </c>
      <c r="AJ374" t="s">
        <v>256</v>
      </c>
      <c r="AK374">
        <v>0</v>
      </c>
      <c r="AL374">
        <v>0</v>
      </c>
      <c r="AM374">
        <v>0</v>
      </c>
    </row>
    <row r="375" spans="1:39" x14ac:dyDescent="0.25">
      <c r="A375" t="s">
        <v>233</v>
      </c>
      <c r="B375" t="s">
        <v>458</v>
      </c>
      <c r="C375" t="s">
        <v>255</v>
      </c>
      <c r="D375" t="s">
        <v>234</v>
      </c>
      <c r="E375" t="s">
        <v>20</v>
      </c>
      <c r="F375" t="s">
        <v>284</v>
      </c>
      <c r="G375" t="s">
        <v>269</v>
      </c>
      <c r="H375" t="s">
        <v>254</v>
      </c>
      <c r="I375" t="s">
        <v>242</v>
      </c>
      <c r="J375" t="s">
        <v>235</v>
      </c>
      <c r="K375" s="380">
        <v>36951</v>
      </c>
      <c r="L375" s="235">
        <v>513232.34541638073</v>
      </c>
      <c r="M375" s="380">
        <v>36949</v>
      </c>
      <c r="N375" t="s">
        <v>1</v>
      </c>
      <c r="O375">
        <v>0.75</v>
      </c>
      <c r="P375">
        <v>0</v>
      </c>
      <c r="Q375">
        <v>0</v>
      </c>
      <c r="R375">
        <v>0</v>
      </c>
      <c r="S375">
        <v>0</v>
      </c>
      <c r="T375" t="s">
        <v>253</v>
      </c>
      <c r="U375" t="s">
        <v>7</v>
      </c>
      <c r="V375" t="s">
        <v>253</v>
      </c>
      <c r="W375" t="s">
        <v>132</v>
      </c>
      <c r="X375" t="s">
        <v>253</v>
      </c>
      <c r="Y375" t="s">
        <v>235</v>
      </c>
      <c r="Z375" t="s">
        <v>236</v>
      </c>
      <c r="AA375" t="s">
        <v>253</v>
      </c>
      <c r="AB375" t="s">
        <v>1</v>
      </c>
      <c r="AC375" s="235">
        <v>1500000</v>
      </c>
      <c r="AD375" s="235">
        <v>131130.45442071627</v>
      </c>
      <c r="AE375">
        <v>0</v>
      </c>
      <c r="AF375">
        <v>0</v>
      </c>
      <c r="AG375">
        <v>0</v>
      </c>
      <c r="AH375" s="235">
        <v>-24505.829137213586</v>
      </c>
      <c r="AI375">
        <v>226</v>
      </c>
      <c r="AJ375" t="s">
        <v>256</v>
      </c>
      <c r="AK375">
        <v>0</v>
      </c>
      <c r="AL375">
        <v>0</v>
      </c>
      <c r="AM375">
        <v>0</v>
      </c>
    </row>
    <row r="376" spans="1:39" x14ac:dyDescent="0.25">
      <c r="A376" t="s">
        <v>233</v>
      </c>
      <c r="B376" t="s">
        <v>458</v>
      </c>
      <c r="C376" t="s">
        <v>255</v>
      </c>
      <c r="D376" t="s">
        <v>234</v>
      </c>
      <c r="E376" t="s">
        <v>20</v>
      </c>
      <c r="F376" t="s">
        <v>284</v>
      </c>
      <c r="G376" t="s">
        <v>269</v>
      </c>
      <c r="H376" t="s">
        <v>254</v>
      </c>
      <c r="I376" t="s">
        <v>242</v>
      </c>
      <c r="J376" t="s">
        <v>235</v>
      </c>
      <c r="K376" s="380">
        <v>36923</v>
      </c>
      <c r="L376" s="235">
        <v>210372.74883347563</v>
      </c>
      <c r="M376" s="380">
        <v>36921</v>
      </c>
      <c r="N376" t="s">
        <v>1</v>
      </c>
      <c r="O376">
        <v>0.75</v>
      </c>
      <c r="P376">
        <v>0</v>
      </c>
      <c r="Q376">
        <v>0</v>
      </c>
      <c r="R376">
        <v>0</v>
      </c>
      <c r="S376">
        <v>0</v>
      </c>
      <c r="T376" t="s">
        <v>253</v>
      </c>
      <c r="U376" t="s">
        <v>7</v>
      </c>
      <c r="V376" t="s">
        <v>253</v>
      </c>
      <c r="W376" t="s">
        <v>132</v>
      </c>
      <c r="X376" t="s">
        <v>253</v>
      </c>
      <c r="Y376" t="s">
        <v>235</v>
      </c>
      <c r="Z376" t="s">
        <v>236</v>
      </c>
      <c r="AA376" t="s">
        <v>253</v>
      </c>
      <c r="AB376" t="s">
        <v>1</v>
      </c>
      <c r="AC376" s="235">
        <v>1500000</v>
      </c>
      <c r="AD376" s="235">
        <v>92204.357388709526</v>
      </c>
      <c r="AE376">
        <v>0</v>
      </c>
      <c r="AF376">
        <v>0</v>
      </c>
      <c r="AG376">
        <v>0</v>
      </c>
      <c r="AH376" s="235">
        <v>-11260.053192083229</v>
      </c>
      <c r="AI376">
        <v>226</v>
      </c>
      <c r="AJ376" t="s">
        <v>256</v>
      </c>
      <c r="AK376">
        <v>0</v>
      </c>
      <c r="AL376">
        <v>0</v>
      </c>
      <c r="AM376">
        <v>0</v>
      </c>
    </row>
    <row r="377" spans="1:39" x14ac:dyDescent="0.25">
      <c r="A377" t="s">
        <v>233</v>
      </c>
      <c r="B377" t="s">
        <v>458</v>
      </c>
      <c r="C377" t="s">
        <v>255</v>
      </c>
      <c r="D377" t="s">
        <v>234</v>
      </c>
      <c r="E377" t="s">
        <v>20</v>
      </c>
      <c r="F377" t="s">
        <v>284</v>
      </c>
      <c r="G377" t="s">
        <v>269</v>
      </c>
      <c r="H377" t="s">
        <v>254</v>
      </c>
      <c r="I377" t="s">
        <v>242</v>
      </c>
      <c r="J377" t="s">
        <v>235</v>
      </c>
      <c r="K377" s="380">
        <v>36892</v>
      </c>
      <c r="L377" s="235">
        <v>166109.5341744358</v>
      </c>
      <c r="M377" s="380">
        <v>36888</v>
      </c>
      <c r="N377" t="s">
        <v>1</v>
      </c>
      <c r="O377">
        <v>0.75</v>
      </c>
      <c r="P377">
        <v>0</v>
      </c>
      <c r="Q377">
        <v>0</v>
      </c>
      <c r="R377">
        <v>0</v>
      </c>
      <c r="S377">
        <v>0</v>
      </c>
      <c r="T377" t="s">
        <v>253</v>
      </c>
      <c r="U377" t="s">
        <v>7</v>
      </c>
      <c r="V377" t="s">
        <v>253</v>
      </c>
      <c r="W377" t="s">
        <v>132</v>
      </c>
      <c r="X377" t="s">
        <v>253</v>
      </c>
      <c r="Y377" t="s">
        <v>235</v>
      </c>
      <c r="Z377" t="s">
        <v>236</v>
      </c>
      <c r="AA377" t="s">
        <v>253</v>
      </c>
      <c r="AB377" t="s">
        <v>1</v>
      </c>
      <c r="AC377" s="235">
        <v>1500000</v>
      </c>
      <c r="AD377" s="235">
        <v>76466.615300767618</v>
      </c>
      <c r="AE377">
        <v>0</v>
      </c>
      <c r="AF377">
        <v>0</v>
      </c>
      <c r="AG377">
        <v>0</v>
      </c>
      <c r="AH377" s="235">
        <v>-8012.7377910317446</v>
      </c>
      <c r="AI377">
        <v>226</v>
      </c>
      <c r="AJ377" t="s">
        <v>256</v>
      </c>
      <c r="AK377">
        <v>0</v>
      </c>
      <c r="AL377">
        <v>0</v>
      </c>
      <c r="AM377">
        <v>0</v>
      </c>
    </row>
    <row r="378" spans="1:39" x14ac:dyDescent="0.25">
      <c r="A378" t="s">
        <v>233</v>
      </c>
      <c r="B378" t="s">
        <v>458</v>
      </c>
      <c r="C378" t="s">
        <v>255</v>
      </c>
      <c r="D378" t="s">
        <v>234</v>
      </c>
      <c r="E378" t="s">
        <v>20</v>
      </c>
      <c r="F378" t="s">
        <v>284</v>
      </c>
      <c r="G378" t="s">
        <v>269</v>
      </c>
      <c r="H378" t="s">
        <v>254</v>
      </c>
      <c r="I378" t="s">
        <v>242</v>
      </c>
      <c r="J378" t="s">
        <v>235</v>
      </c>
      <c r="K378" s="380">
        <v>36861</v>
      </c>
      <c r="L378" s="235">
        <v>221875.47775690941</v>
      </c>
      <c r="M378" s="380">
        <v>36859</v>
      </c>
      <c r="N378" t="s">
        <v>1</v>
      </c>
      <c r="O378">
        <v>0.75</v>
      </c>
      <c r="P378">
        <v>0</v>
      </c>
      <c r="Q378">
        <v>0</v>
      </c>
      <c r="R378">
        <v>0</v>
      </c>
      <c r="S378">
        <v>0</v>
      </c>
      <c r="T378" t="s">
        <v>253</v>
      </c>
      <c r="U378" t="s">
        <v>7</v>
      </c>
      <c r="V378" t="s">
        <v>253</v>
      </c>
      <c r="W378" t="s">
        <v>132</v>
      </c>
      <c r="X378" t="s">
        <v>253</v>
      </c>
      <c r="Y378" t="s">
        <v>235</v>
      </c>
      <c r="Z378" t="s">
        <v>236</v>
      </c>
      <c r="AA378" t="s">
        <v>253</v>
      </c>
      <c r="AB378" t="s">
        <v>1</v>
      </c>
      <c r="AC378" s="235">
        <v>1500000</v>
      </c>
      <c r="AD378" s="235">
        <v>83374.620450121583</v>
      </c>
      <c r="AE378">
        <v>0</v>
      </c>
      <c r="AF378">
        <v>0</v>
      </c>
      <c r="AG378">
        <v>0</v>
      </c>
      <c r="AH378" s="235">
        <v>-9012.1128983939998</v>
      </c>
      <c r="AI378">
        <v>226</v>
      </c>
      <c r="AJ378" t="s">
        <v>256</v>
      </c>
      <c r="AK378">
        <v>0</v>
      </c>
      <c r="AL378">
        <v>0</v>
      </c>
      <c r="AM378">
        <v>0</v>
      </c>
    </row>
    <row r="379" spans="1:39" x14ac:dyDescent="0.25">
      <c r="A379" t="s">
        <v>233</v>
      </c>
      <c r="B379" t="s">
        <v>458</v>
      </c>
      <c r="C379" t="s">
        <v>255</v>
      </c>
      <c r="D379" t="s">
        <v>234</v>
      </c>
      <c r="E379" t="s">
        <v>20</v>
      </c>
      <c r="F379" t="s">
        <v>284</v>
      </c>
      <c r="G379" t="s">
        <v>269</v>
      </c>
      <c r="H379" t="s">
        <v>254</v>
      </c>
      <c r="I379" t="s">
        <v>242</v>
      </c>
      <c r="J379" t="s">
        <v>235</v>
      </c>
      <c r="K379" s="380">
        <v>36831</v>
      </c>
      <c r="L379" s="235">
        <v>374426.83887661737</v>
      </c>
      <c r="M379" s="380">
        <v>36829</v>
      </c>
      <c r="N379" t="s">
        <v>1</v>
      </c>
      <c r="O379">
        <v>0.75</v>
      </c>
      <c r="P379">
        <v>0</v>
      </c>
      <c r="Q379">
        <v>0</v>
      </c>
      <c r="R379">
        <v>0</v>
      </c>
      <c r="S379">
        <v>0</v>
      </c>
      <c r="T379" t="s">
        <v>253</v>
      </c>
      <c r="U379" t="s">
        <v>7</v>
      </c>
      <c r="V379" t="s">
        <v>253</v>
      </c>
      <c r="W379" t="s">
        <v>132</v>
      </c>
      <c r="X379" t="s">
        <v>253</v>
      </c>
      <c r="Y379" t="s">
        <v>235</v>
      </c>
      <c r="Z379" t="s">
        <v>236</v>
      </c>
      <c r="AA379" t="s">
        <v>253</v>
      </c>
      <c r="AB379" t="s">
        <v>1</v>
      </c>
      <c r="AC379" s="235">
        <v>1500000</v>
      </c>
      <c r="AD379" s="235">
        <v>67725.892024754779</v>
      </c>
      <c r="AE379">
        <v>0</v>
      </c>
      <c r="AF379">
        <v>0</v>
      </c>
      <c r="AG379">
        <v>0</v>
      </c>
      <c r="AH379" s="235">
        <v>-24537.529986244685</v>
      </c>
      <c r="AI379">
        <v>226</v>
      </c>
      <c r="AJ379" t="s">
        <v>256</v>
      </c>
      <c r="AK379">
        <v>0</v>
      </c>
      <c r="AL379">
        <v>0</v>
      </c>
      <c r="AM379">
        <v>0</v>
      </c>
    </row>
    <row r="380" spans="1:39" x14ac:dyDescent="0.25">
      <c r="A380" t="s">
        <v>233</v>
      </c>
      <c r="B380" t="s">
        <v>459</v>
      </c>
      <c r="C380" t="s">
        <v>255</v>
      </c>
      <c r="D380" t="s">
        <v>234</v>
      </c>
      <c r="E380" t="s">
        <v>20</v>
      </c>
      <c r="F380" t="s">
        <v>279</v>
      </c>
      <c r="G380" t="s">
        <v>269</v>
      </c>
      <c r="H380" t="s">
        <v>254</v>
      </c>
      <c r="I380" t="s">
        <v>242</v>
      </c>
      <c r="J380" t="s">
        <v>235</v>
      </c>
      <c r="K380" s="380">
        <v>36800</v>
      </c>
      <c r="L380" s="235">
        <v>-117705.96112182246</v>
      </c>
      <c r="M380" s="380">
        <v>36797</v>
      </c>
      <c r="N380" t="s">
        <v>1</v>
      </c>
      <c r="O380">
        <v>0.65</v>
      </c>
      <c r="P380">
        <v>0</v>
      </c>
      <c r="Q380">
        <v>0</v>
      </c>
      <c r="R380">
        <v>0</v>
      </c>
      <c r="S380">
        <v>0</v>
      </c>
      <c r="T380" t="s">
        <v>253</v>
      </c>
      <c r="U380" t="s">
        <v>7</v>
      </c>
      <c r="V380" t="s">
        <v>253</v>
      </c>
      <c r="W380" t="s">
        <v>132</v>
      </c>
      <c r="X380" t="s">
        <v>253</v>
      </c>
      <c r="Y380" t="s">
        <v>235</v>
      </c>
      <c r="Z380" t="s">
        <v>236</v>
      </c>
      <c r="AA380" t="s">
        <v>253</v>
      </c>
      <c r="AB380" t="s">
        <v>1</v>
      </c>
      <c r="AC380" s="235">
        <v>-500000</v>
      </c>
      <c r="AD380" s="235">
        <v>-573.01266068941914</v>
      </c>
      <c r="AE380">
        <v>0</v>
      </c>
      <c r="AF380">
        <v>0</v>
      </c>
      <c r="AG380">
        <v>0</v>
      </c>
      <c r="AH380" s="235">
        <v>-34.148304720365559</v>
      </c>
      <c r="AI380">
        <v>226</v>
      </c>
      <c r="AJ380" t="s">
        <v>256</v>
      </c>
      <c r="AK380">
        <v>0</v>
      </c>
      <c r="AL380">
        <v>0</v>
      </c>
      <c r="AM380">
        <v>0</v>
      </c>
    </row>
    <row r="381" spans="1:39" x14ac:dyDescent="0.25">
      <c r="A381" t="s">
        <v>233</v>
      </c>
      <c r="B381" t="s">
        <v>460</v>
      </c>
      <c r="C381" t="s">
        <v>255</v>
      </c>
      <c r="D381" t="s">
        <v>234</v>
      </c>
      <c r="E381" t="s">
        <v>20</v>
      </c>
      <c r="F381" t="s">
        <v>279</v>
      </c>
      <c r="G381" t="s">
        <v>269</v>
      </c>
      <c r="H381" t="s">
        <v>254</v>
      </c>
      <c r="I381" t="s">
        <v>242</v>
      </c>
      <c r="J381" t="s">
        <v>235</v>
      </c>
      <c r="K381" s="380">
        <v>36800</v>
      </c>
      <c r="L381" s="235">
        <v>9150.582659960548</v>
      </c>
      <c r="M381" s="380">
        <v>36797</v>
      </c>
      <c r="N381" t="s">
        <v>1</v>
      </c>
      <c r="O381">
        <v>0.35</v>
      </c>
      <c r="P381">
        <v>0</v>
      </c>
      <c r="Q381">
        <v>0</v>
      </c>
      <c r="R381">
        <v>0</v>
      </c>
      <c r="S381">
        <v>0</v>
      </c>
      <c r="T381" t="s">
        <v>253</v>
      </c>
      <c r="U381" t="s">
        <v>7</v>
      </c>
      <c r="V381" t="s">
        <v>253</v>
      </c>
      <c r="W381" t="s">
        <v>132</v>
      </c>
      <c r="X381" t="s">
        <v>253</v>
      </c>
      <c r="Y381" t="s">
        <v>235</v>
      </c>
      <c r="Z381" t="s">
        <v>236</v>
      </c>
      <c r="AA381" t="s">
        <v>253</v>
      </c>
      <c r="AB381" t="s">
        <v>1</v>
      </c>
      <c r="AC381" s="235">
        <v>500000</v>
      </c>
      <c r="AD381" s="235">
        <v>2846.5589652403432</v>
      </c>
      <c r="AE381">
        <v>0</v>
      </c>
      <c r="AF381">
        <v>0</v>
      </c>
      <c r="AG381">
        <v>0</v>
      </c>
      <c r="AH381" s="235">
        <v>162.95589057335746</v>
      </c>
      <c r="AI381">
        <v>226</v>
      </c>
      <c r="AJ381" t="s">
        <v>256</v>
      </c>
      <c r="AK381">
        <v>0</v>
      </c>
      <c r="AL381">
        <v>0</v>
      </c>
      <c r="AM381">
        <v>0</v>
      </c>
    </row>
    <row r="382" spans="1:39" x14ac:dyDescent="0.25">
      <c r="A382" t="s">
        <v>233</v>
      </c>
      <c r="B382" t="s">
        <v>461</v>
      </c>
      <c r="C382" t="s">
        <v>255</v>
      </c>
      <c r="D382" t="s">
        <v>234</v>
      </c>
      <c r="E382" t="s">
        <v>20</v>
      </c>
      <c r="F382" t="s">
        <v>279</v>
      </c>
      <c r="G382" t="s">
        <v>269</v>
      </c>
      <c r="H382" t="s">
        <v>254</v>
      </c>
      <c r="I382" t="s">
        <v>242</v>
      </c>
      <c r="J382" t="s">
        <v>235</v>
      </c>
      <c r="K382" s="380">
        <v>36951</v>
      </c>
      <c r="L382" s="235">
        <v>465509.91672981536</v>
      </c>
      <c r="M382" s="380">
        <v>36949</v>
      </c>
      <c r="N382" t="s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 t="s">
        <v>253</v>
      </c>
      <c r="U382" t="s">
        <v>7</v>
      </c>
      <c r="V382" t="s">
        <v>253</v>
      </c>
      <c r="W382" t="s">
        <v>132</v>
      </c>
      <c r="X382" t="s">
        <v>253</v>
      </c>
      <c r="Y382" t="s">
        <v>235</v>
      </c>
      <c r="Z382" t="s">
        <v>236</v>
      </c>
      <c r="AA382" t="s">
        <v>253</v>
      </c>
      <c r="AB382" t="s">
        <v>1</v>
      </c>
      <c r="AC382" s="235">
        <v>1000000</v>
      </c>
      <c r="AD382" s="235">
        <v>88936.820974534145</v>
      </c>
      <c r="AE382">
        <v>0</v>
      </c>
      <c r="AF382">
        <v>0</v>
      </c>
      <c r="AG382">
        <v>0</v>
      </c>
      <c r="AH382" s="235">
        <v>-20719.012783803046</v>
      </c>
      <c r="AI382">
        <v>226</v>
      </c>
      <c r="AJ382" t="s">
        <v>256</v>
      </c>
      <c r="AK382">
        <v>0</v>
      </c>
      <c r="AL382">
        <v>0</v>
      </c>
      <c r="AM382">
        <v>0</v>
      </c>
    </row>
    <row r="383" spans="1:39" x14ac:dyDescent="0.25">
      <c r="A383" t="s">
        <v>233</v>
      </c>
      <c r="B383" t="s">
        <v>462</v>
      </c>
      <c r="C383" t="s">
        <v>255</v>
      </c>
      <c r="D383" t="s">
        <v>234</v>
      </c>
      <c r="E383" t="s">
        <v>20</v>
      </c>
      <c r="F383" t="s">
        <v>279</v>
      </c>
      <c r="G383" t="s">
        <v>269</v>
      </c>
      <c r="H383" t="s">
        <v>254</v>
      </c>
      <c r="I383" t="s">
        <v>242</v>
      </c>
      <c r="J383" t="s">
        <v>235</v>
      </c>
      <c r="K383" s="380">
        <v>36951</v>
      </c>
      <c r="L383" s="235">
        <v>549114.41709740646</v>
      </c>
      <c r="M383" s="380">
        <v>36949</v>
      </c>
      <c r="N383" t="s">
        <v>1</v>
      </c>
      <c r="O383">
        <v>1.1499999999999999</v>
      </c>
      <c r="P383">
        <v>0</v>
      </c>
      <c r="Q383">
        <v>0</v>
      </c>
      <c r="R383">
        <v>0</v>
      </c>
      <c r="S383">
        <v>0</v>
      </c>
      <c r="T383" t="s">
        <v>253</v>
      </c>
      <c r="U383" t="s">
        <v>7</v>
      </c>
      <c r="V383" t="s">
        <v>253</v>
      </c>
      <c r="W383" t="s">
        <v>132</v>
      </c>
      <c r="X383" t="s">
        <v>253</v>
      </c>
      <c r="Y383" t="s">
        <v>235</v>
      </c>
      <c r="Z383" t="s">
        <v>236</v>
      </c>
      <c r="AA383" t="s">
        <v>253</v>
      </c>
      <c r="AB383" t="s">
        <v>1</v>
      </c>
      <c r="AC383" s="235">
        <v>1000000</v>
      </c>
      <c r="AD383" s="235">
        <v>88233.886108779523</v>
      </c>
      <c r="AE383">
        <v>0</v>
      </c>
      <c r="AF383">
        <v>0</v>
      </c>
      <c r="AG383">
        <v>0</v>
      </c>
      <c r="AH383" s="235">
        <v>-23346.645706883632</v>
      </c>
      <c r="AI383">
        <v>226</v>
      </c>
      <c r="AJ383" t="s">
        <v>256</v>
      </c>
      <c r="AK383">
        <v>0</v>
      </c>
      <c r="AL383">
        <v>0</v>
      </c>
      <c r="AM383">
        <v>0</v>
      </c>
    </row>
    <row r="384" spans="1:39" x14ac:dyDescent="0.25">
      <c r="A384" t="s">
        <v>233</v>
      </c>
      <c r="B384" t="s">
        <v>463</v>
      </c>
      <c r="C384" t="s">
        <v>255</v>
      </c>
      <c r="D384" t="s">
        <v>234</v>
      </c>
      <c r="E384" t="s">
        <v>20</v>
      </c>
      <c r="F384" t="s">
        <v>279</v>
      </c>
      <c r="G384" t="s">
        <v>269</v>
      </c>
      <c r="H384" t="s">
        <v>254</v>
      </c>
      <c r="I384" t="s">
        <v>242</v>
      </c>
      <c r="J384" t="s">
        <v>235</v>
      </c>
      <c r="K384" s="380">
        <v>36800</v>
      </c>
      <c r="L384" s="235">
        <v>-758.92388018139434</v>
      </c>
      <c r="M384" s="380">
        <v>36797</v>
      </c>
      <c r="N384" t="s">
        <v>21</v>
      </c>
      <c r="O384">
        <v>0.7</v>
      </c>
      <c r="P384">
        <v>0</v>
      </c>
      <c r="Q384">
        <v>0</v>
      </c>
      <c r="R384">
        <v>0</v>
      </c>
      <c r="S384">
        <v>0</v>
      </c>
      <c r="T384" t="s">
        <v>253</v>
      </c>
      <c r="U384" t="s">
        <v>7</v>
      </c>
      <c r="V384" t="s">
        <v>253</v>
      </c>
      <c r="W384" t="s">
        <v>132</v>
      </c>
      <c r="X384" t="s">
        <v>253</v>
      </c>
      <c r="Y384" t="s">
        <v>235</v>
      </c>
      <c r="Z384" t="s">
        <v>236</v>
      </c>
      <c r="AA384" t="s">
        <v>253</v>
      </c>
      <c r="AB384" t="s">
        <v>1</v>
      </c>
      <c r="AC384" s="235">
        <v>-1000000</v>
      </c>
      <c r="AD384" s="235">
        <v>-593.53102555814257</v>
      </c>
      <c r="AE384">
        <v>0</v>
      </c>
      <c r="AF384">
        <v>0</v>
      </c>
      <c r="AG384">
        <v>0</v>
      </c>
      <c r="AH384" s="235">
        <v>-36.033143783603578</v>
      </c>
      <c r="AI384">
        <v>226</v>
      </c>
      <c r="AJ384" t="s">
        <v>256</v>
      </c>
      <c r="AK384">
        <v>0</v>
      </c>
      <c r="AL384">
        <v>0</v>
      </c>
      <c r="AM384">
        <v>0</v>
      </c>
    </row>
    <row r="385" spans="1:39" x14ac:dyDescent="0.25">
      <c r="A385" t="s">
        <v>233</v>
      </c>
      <c r="B385" t="s">
        <v>464</v>
      </c>
      <c r="C385" t="s">
        <v>255</v>
      </c>
      <c r="D385" t="s">
        <v>234</v>
      </c>
      <c r="E385" t="s">
        <v>20</v>
      </c>
      <c r="F385" t="s">
        <v>279</v>
      </c>
      <c r="G385" t="s">
        <v>269</v>
      </c>
      <c r="H385" t="s">
        <v>254</v>
      </c>
      <c r="I385" t="s">
        <v>242</v>
      </c>
      <c r="J385" t="s">
        <v>235</v>
      </c>
      <c r="K385" s="380">
        <v>36831</v>
      </c>
      <c r="L385" s="235">
        <v>-170435.56386117105</v>
      </c>
      <c r="M385" s="380">
        <v>36829</v>
      </c>
      <c r="N385" t="s">
        <v>21</v>
      </c>
      <c r="O385">
        <v>1</v>
      </c>
      <c r="P385">
        <v>0</v>
      </c>
      <c r="Q385">
        <v>0</v>
      </c>
      <c r="R385">
        <v>0</v>
      </c>
      <c r="S385">
        <v>0</v>
      </c>
      <c r="T385" t="s">
        <v>253</v>
      </c>
      <c r="U385" t="s">
        <v>7</v>
      </c>
      <c r="V385" t="s">
        <v>253</v>
      </c>
      <c r="W385" t="s">
        <v>132</v>
      </c>
      <c r="X385" t="s">
        <v>253</v>
      </c>
      <c r="Y385" t="s">
        <v>235</v>
      </c>
      <c r="Z385" t="s">
        <v>236</v>
      </c>
      <c r="AA385" t="s">
        <v>253</v>
      </c>
      <c r="AB385" t="s">
        <v>1</v>
      </c>
      <c r="AC385" s="235">
        <v>-1000000</v>
      </c>
      <c r="AD385" s="235">
        <v>-41813.909343745385</v>
      </c>
      <c r="AE385">
        <v>0</v>
      </c>
      <c r="AF385">
        <v>0</v>
      </c>
      <c r="AG385">
        <v>0</v>
      </c>
      <c r="AH385" s="235">
        <v>-17333.073396592925</v>
      </c>
      <c r="AI385">
        <v>226</v>
      </c>
      <c r="AJ385" t="s">
        <v>256</v>
      </c>
      <c r="AK385">
        <v>0</v>
      </c>
      <c r="AL385">
        <v>0</v>
      </c>
      <c r="AM385">
        <v>0</v>
      </c>
    </row>
    <row r="386" spans="1:39" x14ac:dyDescent="0.25">
      <c r="A386" t="s">
        <v>233</v>
      </c>
      <c r="B386" t="s">
        <v>466</v>
      </c>
      <c r="C386" t="s">
        <v>255</v>
      </c>
      <c r="D386" t="s">
        <v>234</v>
      </c>
      <c r="E386" t="s">
        <v>20</v>
      </c>
      <c r="F386" t="s">
        <v>279</v>
      </c>
      <c r="G386" t="s">
        <v>269</v>
      </c>
      <c r="H386" t="s">
        <v>254</v>
      </c>
      <c r="I386" t="s">
        <v>242</v>
      </c>
      <c r="J386" t="s">
        <v>235</v>
      </c>
      <c r="K386" s="380">
        <v>36951</v>
      </c>
      <c r="L386" s="235">
        <v>-16003.797316996426</v>
      </c>
      <c r="M386" s="380">
        <v>36949</v>
      </c>
      <c r="N386" t="s">
        <v>21</v>
      </c>
      <c r="O386">
        <v>0.3</v>
      </c>
      <c r="P386">
        <v>0</v>
      </c>
      <c r="Q386">
        <v>0</v>
      </c>
      <c r="R386">
        <v>0</v>
      </c>
      <c r="S386">
        <v>0</v>
      </c>
      <c r="T386" t="s">
        <v>253</v>
      </c>
      <c r="U386" t="s">
        <v>600</v>
      </c>
      <c r="V386" t="s">
        <v>253</v>
      </c>
      <c r="W386" t="s">
        <v>132</v>
      </c>
      <c r="X386" t="s">
        <v>253</v>
      </c>
      <c r="Y386" t="s">
        <v>235</v>
      </c>
      <c r="Z386" t="s">
        <v>236</v>
      </c>
      <c r="AA386" t="s">
        <v>253</v>
      </c>
      <c r="AB386" t="s">
        <v>1</v>
      </c>
      <c r="AC386" s="235">
        <v>-1500000</v>
      </c>
      <c r="AD386" s="235">
        <v>-7929.6354398529511</v>
      </c>
      <c r="AE386">
        <v>0</v>
      </c>
      <c r="AF386">
        <v>0</v>
      </c>
      <c r="AG386">
        <v>0</v>
      </c>
      <c r="AH386" s="235">
        <v>-400.80187796015343</v>
      </c>
      <c r="AI386">
        <v>226</v>
      </c>
      <c r="AJ386" t="s">
        <v>256</v>
      </c>
      <c r="AK386">
        <v>0</v>
      </c>
      <c r="AL386">
        <v>0</v>
      </c>
      <c r="AM386">
        <v>0</v>
      </c>
    </row>
    <row r="387" spans="1:39" x14ac:dyDescent="0.25">
      <c r="A387" t="s">
        <v>233</v>
      </c>
      <c r="B387" t="s">
        <v>466</v>
      </c>
      <c r="C387" t="s">
        <v>255</v>
      </c>
      <c r="D387" t="s">
        <v>234</v>
      </c>
      <c r="E387" t="s">
        <v>20</v>
      </c>
      <c r="F387" t="s">
        <v>279</v>
      </c>
      <c r="G387" t="s">
        <v>269</v>
      </c>
      <c r="H387" t="s">
        <v>254</v>
      </c>
      <c r="I387" t="s">
        <v>242</v>
      </c>
      <c r="J387" t="s">
        <v>235</v>
      </c>
      <c r="K387" s="380">
        <v>36923</v>
      </c>
      <c r="L387" s="235">
        <v>-23423.356807657157</v>
      </c>
      <c r="M387" s="380">
        <v>36921</v>
      </c>
      <c r="N387" t="s">
        <v>21</v>
      </c>
      <c r="O387">
        <v>0.3</v>
      </c>
      <c r="P387">
        <v>0</v>
      </c>
      <c r="Q387">
        <v>0</v>
      </c>
      <c r="R387">
        <v>0</v>
      </c>
      <c r="S387">
        <v>0</v>
      </c>
      <c r="T387" t="s">
        <v>253</v>
      </c>
      <c r="U387" t="s">
        <v>600</v>
      </c>
      <c r="V387" t="s">
        <v>253</v>
      </c>
      <c r="W387" t="s">
        <v>132</v>
      </c>
      <c r="X387" t="s">
        <v>253</v>
      </c>
      <c r="Y387" t="s">
        <v>235</v>
      </c>
      <c r="Z387" t="s">
        <v>236</v>
      </c>
      <c r="AA387" t="s">
        <v>253</v>
      </c>
      <c r="AB387" t="s">
        <v>1</v>
      </c>
      <c r="AC387" s="235">
        <v>-1500000</v>
      </c>
      <c r="AD387" s="235">
        <v>-9620.1372378016531</v>
      </c>
      <c r="AE387">
        <v>0</v>
      </c>
      <c r="AF387">
        <v>0</v>
      </c>
      <c r="AG387">
        <v>0</v>
      </c>
      <c r="AH387" s="235">
        <v>-460.70776517028935</v>
      </c>
      <c r="AI387">
        <v>226</v>
      </c>
      <c r="AJ387" t="s">
        <v>256</v>
      </c>
      <c r="AK387">
        <v>0</v>
      </c>
      <c r="AL387">
        <v>0</v>
      </c>
      <c r="AM387">
        <v>0</v>
      </c>
    </row>
    <row r="388" spans="1:39" x14ac:dyDescent="0.25">
      <c r="A388" t="s">
        <v>233</v>
      </c>
      <c r="B388" t="s">
        <v>466</v>
      </c>
      <c r="C388" t="s">
        <v>255</v>
      </c>
      <c r="D388" t="s">
        <v>234</v>
      </c>
      <c r="E388" t="s">
        <v>20</v>
      </c>
      <c r="F388" t="s">
        <v>279</v>
      </c>
      <c r="G388" t="s">
        <v>269</v>
      </c>
      <c r="H388" t="s">
        <v>254</v>
      </c>
      <c r="I388" t="s">
        <v>242</v>
      </c>
      <c r="J388" t="s">
        <v>235</v>
      </c>
      <c r="K388" s="380">
        <v>36892</v>
      </c>
      <c r="L388" s="235">
        <v>-17218.741363153407</v>
      </c>
      <c r="M388" s="380">
        <v>36888</v>
      </c>
      <c r="N388" t="s">
        <v>21</v>
      </c>
      <c r="O388">
        <v>0.3</v>
      </c>
      <c r="P388">
        <v>0</v>
      </c>
      <c r="Q388">
        <v>0</v>
      </c>
      <c r="R388">
        <v>0</v>
      </c>
      <c r="S388">
        <v>0</v>
      </c>
      <c r="T388" t="s">
        <v>253</v>
      </c>
      <c r="U388" t="s">
        <v>600</v>
      </c>
      <c r="V388" t="s">
        <v>253</v>
      </c>
      <c r="W388" t="s">
        <v>132</v>
      </c>
      <c r="X388" t="s">
        <v>253</v>
      </c>
      <c r="Y388" t="s">
        <v>235</v>
      </c>
      <c r="Z388" t="s">
        <v>236</v>
      </c>
      <c r="AA388" t="s">
        <v>253</v>
      </c>
      <c r="AB388" t="s">
        <v>1</v>
      </c>
      <c r="AC388" s="235">
        <v>-1500000</v>
      </c>
      <c r="AD388" s="235">
        <v>-7767.6696147457988</v>
      </c>
      <c r="AE388">
        <v>0</v>
      </c>
      <c r="AF388">
        <v>0</v>
      </c>
      <c r="AG388">
        <v>0</v>
      </c>
      <c r="AH388" s="235">
        <v>-373.99203236425092</v>
      </c>
      <c r="AI388">
        <v>226</v>
      </c>
      <c r="AJ388" t="s">
        <v>256</v>
      </c>
      <c r="AK388">
        <v>0</v>
      </c>
      <c r="AL388">
        <v>0</v>
      </c>
      <c r="AM388">
        <v>0</v>
      </c>
    </row>
    <row r="389" spans="1:39" x14ac:dyDescent="0.25">
      <c r="A389" t="s">
        <v>233</v>
      </c>
      <c r="B389" t="s">
        <v>466</v>
      </c>
      <c r="C389" t="s">
        <v>255</v>
      </c>
      <c r="D389" t="s">
        <v>234</v>
      </c>
      <c r="E389" t="s">
        <v>20</v>
      </c>
      <c r="F389" t="s">
        <v>279</v>
      </c>
      <c r="G389" t="s">
        <v>269</v>
      </c>
      <c r="H389" t="s">
        <v>254</v>
      </c>
      <c r="I389" t="s">
        <v>242</v>
      </c>
      <c r="J389" t="s">
        <v>235</v>
      </c>
      <c r="K389" s="380">
        <v>36861</v>
      </c>
      <c r="L389" s="235">
        <v>-7040.6449975623518</v>
      </c>
      <c r="M389" s="380">
        <v>36859</v>
      </c>
      <c r="N389" t="s">
        <v>21</v>
      </c>
      <c r="O389">
        <v>0.3</v>
      </c>
      <c r="P389">
        <v>0</v>
      </c>
      <c r="Q389">
        <v>0</v>
      </c>
      <c r="R389">
        <v>0</v>
      </c>
      <c r="S389">
        <v>0</v>
      </c>
      <c r="T389" t="s">
        <v>253</v>
      </c>
      <c r="U389" t="s">
        <v>600</v>
      </c>
      <c r="V389" t="s">
        <v>253</v>
      </c>
      <c r="W389" t="s">
        <v>132</v>
      </c>
      <c r="X389" t="s">
        <v>253</v>
      </c>
      <c r="Y389" t="s">
        <v>235</v>
      </c>
      <c r="Z389" t="s">
        <v>236</v>
      </c>
      <c r="AA389" t="s">
        <v>253</v>
      </c>
      <c r="AB389" t="s">
        <v>1</v>
      </c>
      <c r="AC389" s="235">
        <v>-1500000</v>
      </c>
      <c r="AD389" s="235">
        <v>-4349.4448637289752</v>
      </c>
      <c r="AE389">
        <v>0</v>
      </c>
      <c r="AF389">
        <v>0</v>
      </c>
      <c r="AG389">
        <v>0</v>
      </c>
      <c r="AH389" s="235">
        <v>-220.59277454913172</v>
      </c>
      <c r="AI389">
        <v>226</v>
      </c>
      <c r="AJ389" t="s">
        <v>256</v>
      </c>
      <c r="AK389">
        <v>0</v>
      </c>
      <c r="AL389">
        <v>0</v>
      </c>
      <c r="AM389">
        <v>0</v>
      </c>
    </row>
    <row r="390" spans="1:39" x14ac:dyDescent="0.25">
      <c r="A390" t="s">
        <v>233</v>
      </c>
      <c r="B390" t="s">
        <v>466</v>
      </c>
      <c r="C390" t="s">
        <v>255</v>
      </c>
      <c r="D390" t="s">
        <v>234</v>
      </c>
      <c r="E390" t="s">
        <v>20</v>
      </c>
      <c r="F390" t="s">
        <v>279</v>
      </c>
      <c r="G390" t="s">
        <v>269</v>
      </c>
      <c r="H390" t="s">
        <v>254</v>
      </c>
      <c r="I390" t="s">
        <v>242</v>
      </c>
      <c r="J390" t="s">
        <v>235</v>
      </c>
      <c r="K390" s="380">
        <v>36831</v>
      </c>
      <c r="L390" s="235">
        <v>-1899.0872288581404</v>
      </c>
      <c r="M390" s="380">
        <v>36829</v>
      </c>
      <c r="N390" t="s">
        <v>21</v>
      </c>
      <c r="O390">
        <v>0.3</v>
      </c>
      <c r="P390">
        <v>0</v>
      </c>
      <c r="Q390">
        <v>0</v>
      </c>
      <c r="R390">
        <v>0</v>
      </c>
      <c r="S390">
        <v>0</v>
      </c>
      <c r="T390" t="s">
        <v>253</v>
      </c>
      <c r="U390" t="s">
        <v>600</v>
      </c>
      <c r="V390" t="s">
        <v>253</v>
      </c>
      <c r="W390" t="s">
        <v>132</v>
      </c>
      <c r="X390" t="s">
        <v>253</v>
      </c>
      <c r="Y390" t="s">
        <v>235</v>
      </c>
      <c r="Z390" t="s">
        <v>236</v>
      </c>
      <c r="AA390" t="s">
        <v>253</v>
      </c>
      <c r="AB390" t="s">
        <v>1</v>
      </c>
      <c r="AC390" s="235">
        <v>-1500000</v>
      </c>
      <c r="AD390" s="235">
        <v>-1675.3229169522747</v>
      </c>
      <c r="AE390">
        <v>0</v>
      </c>
      <c r="AF390">
        <v>0</v>
      </c>
      <c r="AG390">
        <v>0</v>
      </c>
      <c r="AH390" s="235">
        <v>-93.545102025030928</v>
      </c>
      <c r="AI390">
        <v>226</v>
      </c>
      <c r="AJ390" t="s">
        <v>256</v>
      </c>
      <c r="AK390">
        <v>0</v>
      </c>
      <c r="AL390">
        <v>0</v>
      </c>
      <c r="AM390">
        <v>0</v>
      </c>
    </row>
    <row r="391" spans="1:39" x14ac:dyDescent="0.25">
      <c r="A391" t="s">
        <v>233</v>
      </c>
      <c r="B391" t="s">
        <v>467</v>
      </c>
      <c r="C391" t="s">
        <v>255</v>
      </c>
      <c r="D391" t="s">
        <v>234</v>
      </c>
      <c r="E391" t="s">
        <v>20</v>
      </c>
      <c r="F391" t="s">
        <v>284</v>
      </c>
      <c r="G391" t="s">
        <v>269</v>
      </c>
      <c r="H391" t="s">
        <v>254</v>
      </c>
      <c r="I391" t="s">
        <v>242</v>
      </c>
      <c r="J391" t="s">
        <v>235</v>
      </c>
      <c r="K391" s="380">
        <v>36800</v>
      </c>
      <c r="L391" s="235">
        <v>66262.807087272653</v>
      </c>
      <c r="M391" s="380">
        <v>36797</v>
      </c>
      <c r="N391" t="s">
        <v>1</v>
      </c>
      <c r="O391">
        <v>0.55000000000000004</v>
      </c>
      <c r="P391">
        <v>0</v>
      </c>
      <c r="Q391">
        <v>0</v>
      </c>
      <c r="R391">
        <v>0</v>
      </c>
      <c r="S391">
        <v>0</v>
      </c>
      <c r="T391" t="s">
        <v>253</v>
      </c>
      <c r="U391" t="s">
        <v>7</v>
      </c>
      <c r="V391" t="s">
        <v>253</v>
      </c>
      <c r="W391" t="s">
        <v>132</v>
      </c>
      <c r="X391" t="s">
        <v>253</v>
      </c>
      <c r="Y391" t="s">
        <v>235</v>
      </c>
      <c r="Z391" t="s">
        <v>236</v>
      </c>
      <c r="AA391" t="s">
        <v>253</v>
      </c>
      <c r="AB391" t="s">
        <v>1</v>
      </c>
      <c r="AC391" s="235">
        <v>465000</v>
      </c>
      <c r="AD391" s="235">
        <v>1550.2919336439809</v>
      </c>
      <c r="AE391">
        <v>0</v>
      </c>
      <c r="AF391">
        <v>0</v>
      </c>
      <c r="AG391">
        <v>0</v>
      </c>
      <c r="AH391" s="235">
        <v>89.728145014625625</v>
      </c>
      <c r="AI391">
        <v>226</v>
      </c>
      <c r="AJ391" t="s">
        <v>256</v>
      </c>
      <c r="AK391">
        <v>0</v>
      </c>
      <c r="AL391">
        <v>0</v>
      </c>
      <c r="AM391">
        <v>0</v>
      </c>
    </row>
    <row r="392" spans="1:39" x14ac:dyDescent="0.25">
      <c r="A392" t="s">
        <v>233</v>
      </c>
      <c r="B392" t="s">
        <v>468</v>
      </c>
      <c r="C392" t="s">
        <v>255</v>
      </c>
      <c r="D392" t="s">
        <v>234</v>
      </c>
      <c r="E392" t="s">
        <v>20</v>
      </c>
      <c r="F392" t="s">
        <v>279</v>
      </c>
      <c r="G392" t="s">
        <v>269</v>
      </c>
      <c r="H392" t="s">
        <v>254</v>
      </c>
      <c r="I392" t="s">
        <v>242</v>
      </c>
      <c r="J392" t="s">
        <v>235</v>
      </c>
      <c r="K392" s="380">
        <v>36831</v>
      </c>
      <c r="L392" s="235">
        <v>-85217.781930585523</v>
      </c>
      <c r="M392" s="380">
        <v>36829</v>
      </c>
      <c r="N392" t="s">
        <v>21</v>
      </c>
      <c r="O392">
        <v>1</v>
      </c>
      <c r="P392">
        <v>0</v>
      </c>
      <c r="Q392">
        <v>0</v>
      </c>
      <c r="R392">
        <v>0</v>
      </c>
      <c r="S392">
        <v>0</v>
      </c>
      <c r="T392" t="s">
        <v>253</v>
      </c>
      <c r="U392" t="s">
        <v>7</v>
      </c>
      <c r="V392" t="s">
        <v>253</v>
      </c>
      <c r="W392" t="s">
        <v>132</v>
      </c>
      <c r="X392" t="s">
        <v>253</v>
      </c>
      <c r="Y392" t="s">
        <v>235</v>
      </c>
      <c r="Z392" t="s">
        <v>236</v>
      </c>
      <c r="AA392" t="s">
        <v>253</v>
      </c>
      <c r="AB392" t="s">
        <v>1</v>
      </c>
      <c r="AC392" s="235">
        <v>-500000</v>
      </c>
      <c r="AD392" s="235">
        <v>-20906.954671872692</v>
      </c>
      <c r="AE392">
        <v>0</v>
      </c>
      <c r="AF392">
        <v>0</v>
      </c>
      <c r="AG392">
        <v>0</v>
      </c>
      <c r="AH392" s="235">
        <v>-8666.5366982964624</v>
      </c>
      <c r="AI392">
        <v>226</v>
      </c>
      <c r="AJ392" t="s">
        <v>256</v>
      </c>
      <c r="AK392">
        <v>0</v>
      </c>
      <c r="AL392">
        <v>0</v>
      </c>
      <c r="AM392">
        <v>0</v>
      </c>
    </row>
    <row r="393" spans="1:39" x14ac:dyDescent="0.25">
      <c r="A393" t="s">
        <v>233</v>
      </c>
      <c r="B393" t="s">
        <v>469</v>
      </c>
      <c r="C393" t="s">
        <v>255</v>
      </c>
      <c r="D393" t="s">
        <v>234</v>
      </c>
      <c r="E393" t="s">
        <v>20</v>
      </c>
      <c r="F393" t="s">
        <v>284</v>
      </c>
      <c r="G393" t="s">
        <v>269</v>
      </c>
      <c r="H393" t="s">
        <v>254</v>
      </c>
      <c r="I393" t="s">
        <v>242</v>
      </c>
      <c r="J393" t="s">
        <v>235</v>
      </c>
      <c r="K393" s="380">
        <v>36923</v>
      </c>
      <c r="L393" s="235">
        <v>117808.73934674634</v>
      </c>
      <c r="M393" s="380">
        <v>36921</v>
      </c>
      <c r="N393" t="s">
        <v>1</v>
      </c>
      <c r="O393">
        <v>0.75</v>
      </c>
      <c r="P393">
        <v>0</v>
      </c>
      <c r="Q393">
        <v>0</v>
      </c>
      <c r="R393">
        <v>0</v>
      </c>
      <c r="S393">
        <v>0</v>
      </c>
      <c r="T393" t="s">
        <v>253</v>
      </c>
      <c r="U393" t="s">
        <v>7</v>
      </c>
      <c r="V393" t="s">
        <v>253</v>
      </c>
      <c r="W393" t="s">
        <v>132</v>
      </c>
      <c r="X393" t="s">
        <v>253</v>
      </c>
      <c r="Y393" t="s">
        <v>235</v>
      </c>
      <c r="Z393" t="s">
        <v>236</v>
      </c>
      <c r="AA393" t="s">
        <v>253</v>
      </c>
      <c r="AB393" t="s">
        <v>1</v>
      </c>
      <c r="AC393" s="235">
        <v>840000</v>
      </c>
      <c r="AD393" s="235">
        <v>51634.440137677346</v>
      </c>
      <c r="AE393">
        <v>0</v>
      </c>
      <c r="AF393">
        <v>0</v>
      </c>
      <c r="AG393">
        <v>0</v>
      </c>
      <c r="AH393" s="235">
        <v>-6305.629787566606</v>
      </c>
      <c r="AI393">
        <v>226</v>
      </c>
      <c r="AJ393" t="s">
        <v>256</v>
      </c>
      <c r="AK393">
        <v>0</v>
      </c>
      <c r="AL393">
        <v>0</v>
      </c>
      <c r="AM393">
        <v>0</v>
      </c>
    </row>
    <row r="394" spans="1:39" x14ac:dyDescent="0.25">
      <c r="A394" t="s">
        <v>233</v>
      </c>
      <c r="B394" t="s">
        <v>469</v>
      </c>
      <c r="C394" t="s">
        <v>255</v>
      </c>
      <c r="D394" t="s">
        <v>234</v>
      </c>
      <c r="E394" t="s">
        <v>20</v>
      </c>
      <c r="F394" t="s">
        <v>284</v>
      </c>
      <c r="G394" t="s">
        <v>269</v>
      </c>
      <c r="H394" t="s">
        <v>254</v>
      </c>
      <c r="I394" t="s">
        <v>242</v>
      </c>
      <c r="J394" t="s">
        <v>235</v>
      </c>
      <c r="K394" s="380">
        <v>36892</v>
      </c>
      <c r="L394" s="235">
        <v>102987.9111881502</v>
      </c>
      <c r="M394" s="380">
        <v>36888</v>
      </c>
      <c r="N394" t="s">
        <v>1</v>
      </c>
      <c r="O394">
        <v>0.75</v>
      </c>
      <c r="P394">
        <v>0</v>
      </c>
      <c r="Q394">
        <v>0</v>
      </c>
      <c r="R394">
        <v>0</v>
      </c>
      <c r="S394">
        <v>0</v>
      </c>
      <c r="T394" t="s">
        <v>253</v>
      </c>
      <c r="U394" t="s">
        <v>7</v>
      </c>
      <c r="V394" t="s">
        <v>253</v>
      </c>
      <c r="W394" t="s">
        <v>132</v>
      </c>
      <c r="X394" t="s">
        <v>253</v>
      </c>
      <c r="Y394" t="s">
        <v>235</v>
      </c>
      <c r="Z394" t="s">
        <v>236</v>
      </c>
      <c r="AA394" t="s">
        <v>253</v>
      </c>
      <c r="AB394" t="s">
        <v>1</v>
      </c>
      <c r="AC394" s="235">
        <v>930000</v>
      </c>
      <c r="AD394" s="235">
        <v>47409.301486475946</v>
      </c>
      <c r="AE394">
        <v>0</v>
      </c>
      <c r="AF394">
        <v>0</v>
      </c>
      <c r="AG394">
        <v>0</v>
      </c>
      <c r="AH394" s="235">
        <v>-4967.8974304396688</v>
      </c>
      <c r="AI394">
        <v>226</v>
      </c>
      <c r="AJ394" t="s">
        <v>256</v>
      </c>
      <c r="AK394">
        <v>0</v>
      </c>
      <c r="AL394">
        <v>0</v>
      </c>
      <c r="AM394">
        <v>0</v>
      </c>
    </row>
    <row r="395" spans="1:39" x14ac:dyDescent="0.25">
      <c r="A395" t="s">
        <v>233</v>
      </c>
      <c r="B395" t="s">
        <v>469</v>
      </c>
      <c r="C395" t="s">
        <v>255</v>
      </c>
      <c r="D395" t="s">
        <v>234</v>
      </c>
      <c r="E395" t="s">
        <v>20</v>
      </c>
      <c r="F395" t="s">
        <v>284</v>
      </c>
      <c r="G395" t="s">
        <v>269</v>
      </c>
      <c r="H395" t="s">
        <v>254</v>
      </c>
      <c r="I395" t="s">
        <v>242</v>
      </c>
      <c r="J395" t="s">
        <v>235</v>
      </c>
      <c r="K395" s="380">
        <v>36861</v>
      </c>
      <c r="L395" s="235">
        <v>137562.79620928384</v>
      </c>
      <c r="M395" s="380">
        <v>36859</v>
      </c>
      <c r="N395" t="s">
        <v>1</v>
      </c>
      <c r="O395">
        <v>0.75</v>
      </c>
      <c r="P395">
        <v>0</v>
      </c>
      <c r="Q395">
        <v>0</v>
      </c>
      <c r="R395">
        <v>0</v>
      </c>
      <c r="S395">
        <v>0</v>
      </c>
      <c r="T395" t="s">
        <v>253</v>
      </c>
      <c r="U395" t="s">
        <v>7</v>
      </c>
      <c r="V395" t="s">
        <v>253</v>
      </c>
      <c r="W395" t="s">
        <v>132</v>
      </c>
      <c r="X395" t="s">
        <v>253</v>
      </c>
      <c r="Y395" t="s">
        <v>235</v>
      </c>
      <c r="Z395" t="s">
        <v>236</v>
      </c>
      <c r="AA395" t="s">
        <v>253</v>
      </c>
      <c r="AB395" t="s">
        <v>1</v>
      </c>
      <c r="AC395" s="235">
        <v>930000</v>
      </c>
      <c r="AD395" s="235">
        <v>51692.264679075393</v>
      </c>
      <c r="AE395">
        <v>0</v>
      </c>
      <c r="AF395">
        <v>0</v>
      </c>
      <c r="AG395">
        <v>0</v>
      </c>
      <c r="AH395" s="235">
        <v>-5587.5099970042647</v>
      </c>
      <c r="AI395">
        <v>226</v>
      </c>
      <c r="AJ395" t="s">
        <v>256</v>
      </c>
      <c r="AK395">
        <v>0</v>
      </c>
      <c r="AL395">
        <v>0</v>
      </c>
      <c r="AM395">
        <v>0</v>
      </c>
    </row>
    <row r="396" spans="1:39" x14ac:dyDescent="0.25">
      <c r="A396" t="s">
        <v>233</v>
      </c>
      <c r="B396" t="s">
        <v>470</v>
      </c>
      <c r="C396" t="s">
        <v>255</v>
      </c>
      <c r="D396" t="s">
        <v>234</v>
      </c>
      <c r="E396" t="s">
        <v>20</v>
      </c>
      <c r="F396" t="s">
        <v>279</v>
      </c>
      <c r="G396" t="s">
        <v>269</v>
      </c>
      <c r="H396" t="s">
        <v>254</v>
      </c>
      <c r="I396" t="s">
        <v>242</v>
      </c>
      <c r="J396" t="s">
        <v>235</v>
      </c>
      <c r="K396" s="380">
        <v>36951</v>
      </c>
      <c r="L396" s="235">
        <v>-164993.61861655075</v>
      </c>
      <c r="M396" s="380">
        <v>36949</v>
      </c>
      <c r="N396" t="s">
        <v>21</v>
      </c>
      <c r="O396">
        <v>1.6</v>
      </c>
      <c r="P396">
        <v>0</v>
      </c>
      <c r="Q396">
        <v>0</v>
      </c>
      <c r="R396">
        <v>0</v>
      </c>
      <c r="S396">
        <v>0</v>
      </c>
      <c r="T396" t="s">
        <v>253</v>
      </c>
      <c r="U396" t="s">
        <v>7</v>
      </c>
      <c r="V396" t="s">
        <v>253</v>
      </c>
      <c r="W396" t="s">
        <v>132</v>
      </c>
      <c r="X396" t="s">
        <v>253</v>
      </c>
      <c r="Y396" t="s">
        <v>235</v>
      </c>
      <c r="Z396" t="s">
        <v>236</v>
      </c>
      <c r="AA396" t="s">
        <v>253</v>
      </c>
      <c r="AB396" t="s">
        <v>1</v>
      </c>
      <c r="AC396" s="235">
        <v>-500000</v>
      </c>
      <c r="AD396" s="235">
        <v>-40486.301902801148</v>
      </c>
      <c r="AE396">
        <v>0</v>
      </c>
      <c r="AF396">
        <v>0</v>
      </c>
      <c r="AG396">
        <v>0</v>
      </c>
      <c r="AH396" s="235">
        <v>-13572.421626797965</v>
      </c>
      <c r="AI396">
        <v>226</v>
      </c>
      <c r="AJ396" t="s">
        <v>256</v>
      </c>
      <c r="AK396">
        <v>0</v>
      </c>
      <c r="AL396">
        <v>0</v>
      </c>
      <c r="AM396">
        <v>0</v>
      </c>
    </row>
    <row r="397" spans="1:39" x14ac:dyDescent="0.25">
      <c r="A397" t="s">
        <v>233</v>
      </c>
      <c r="B397" t="s">
        <v>470</v>
      </c>
      <c r="C397" t="s">
        <v>255</v>
      </c>
      <c r="D397" t="s">
        <v>234</v>
      </c>
      <c r="E397" t="s">
        <v>20</v>
      </c>
      <c r="F397" t="s">
        <v>279</v>
      </c>
      <c r="G397" t="s">
        <v>269</v>
      </c>
      <c r="H397" t="s">
        <v>254</v>
      </c>
      <c r="I397" t="s">
        <v>242</v>
      </c>
      <c r="J397" t="s">
        <v>235</v>
      </c>
      <c r="K397" s="380">
        <v>36923</v>
      </c>
      <c r="L397" s="235">
        <v>-453075.2502088857</v>
      </c>
      <c r="M397" s="380">
        <v>36921</v>
      </c>
      <c r="N397" t="s">
        <v>21</v>
      </c>
      <c r="O397">
        <v>1.6</v>
      </c>
      <c r="P397">
        <v>0</v>
      </c>
      <c r="Q397">
        <v>0</v>
      </c>
      <c r="R397">
        <v>0</v>
      </c>
      <c r="S397">
        <v>0</v>
      </c>
      <c r="T397" t="s">
        <v>253</v>
      </c>
      <c r="U397" t="s">
        <v>7</v>
      </c>
      <c r="V397" t="s">
        <v>253</v>
      </c>
      <c r="W397" t="s">
        <v>132</v>
      </c>
      <c r="X397" t="s">
        <v>253</v>
      </c>
      <c r="Y397" t="s">
        <v>235</v>
      </c>
      <c r="Z397" t="s">
        <v>236</v>
      </c>
      <c r="AA397" t="s">
        <v>253</v>
      </c>
      <c r="AB397" t="s">
        <v>1</v>
      </c>
      <c r="AC397" s="235">
        <v>-500000</v>
      </c>
      <c r="AD397" s="235">
        <v>-41984.319025358185</v>
      </c>
      <c r="AE397">
        <v>0</v>
      </c>
      <c r="AF397">
        <v>0</v>
      </c>
      <c r="AG397">
        <v>0</v>
      </c>
      <c r="AH397" s="235">
        <v>-24464.730833474314</v>
      </c>
      <c r="AI397">
        <v>226</v>
      </c>
      <c r="AJ397" t="s">
        <v>256</v>
      </c>
      <c r="AK397">
        <v>0</v>
      </c>
      <c r="AL397">
        <v>0</v>
      </c>
      <c r="AM397">
        <v>0</v>
      </c>
    </row>
    <row r="398" spans="1:39" x14ac:dyDescent="0.25">
      <c r="A398" t="s">
        <v>233</v>
      </c>
      <c r="B398" t="s">
        <v>470</v>
      </c>
      <c r="C398" t="s">
        <v>255</v>
      </c>
      <c r="D398" t="s">
        <v>234</v>
      </c>
      <c r="E398" t="s">
        <v>20</v>
      </c>
      <c r="F398" t="s">
        <v>279</v>
      </c>
      <c r="G398" t="s">
        <v>269</v>
      </c>
      <c r="H398" t="s">
        <v>254</v>
      </c>
      <c r="I398" t="s">
        <v>242</v>
      </c>
      <c r="J398" t="s">
        <v>235</v>
      </c>
      <c r="K398" s="380">
        <v>36892</v>
      </c>
      <c r="L398" s="235">
        <v>-464051.02821278502</v>
      </c>
      <c r="M398" s="380">
        <v>36888</v>
      </c>
      <c r="N398" t="s">
        <v>21</v>
      </c>
      <c r="O398">
        <v>1.6</v>
      </c>
      <c r="P398">
        <v>0</v>
      </c>
      <c r="Q398">
        <v>0</v>
      </c>
      <c r="R398">
        <v>0</v>
      </c>
      <c r="S398">
        <v>0</v>
      </c>
      <c r="T398" t="s">
        <v>253</v>
      </c>
      <c r="U398" t="s">
        <v>7</v>
      </c>
      <c r="V398" t="s">
        <v>253</v>
      </c>
      <c r="W398" t="s">
        <v>132</v>
      </c>
      <c r="X398" t="s">
        <v>253</v>
      </c>
      <c r="Y398" t="s">
        <v>235</v>
      </c>
      <c r="Z398" t="s">
        <v>236</v>
      </c>
      <c r="AA398" t="s">
        <v>253</v>
      </c>
      <c r="AB398" t="s">
        <v>1</v>
      </c>
      <c r="AC398" s="235">
        <v>-500000</v>
      </c>
      <c r="AD398" s="235">
        <v>-37672.529627170414</v>
      </c>
      <c r="AE398">
        <v>0</v>
      </c>
      <c r="AF398">
        <v>0</v>
      </c>
      <c r="AG398">
        <v>0</v>
      </c>
      <c r="AH398" s="235">
        <v>-21769.108398798446</v>
      </c>
      <c r="AI398">
        <v>226</v>
      </c>
      <c r="AJ398" t="s">
        <v>256</v>
      </c>
      <c r="AK398">
        <v>0</v>
      </c>
      <c r="AL398">
        <v>0</v>
      </c>
      <c r="AM398">
        <v>0</v>
      </c>
    </row>
    <row r="399" spans="1:39" x14ac:dyDescent="0.25">
      <c r="A399" t="s">
        <v>233</v>
      </c>
      <c r="B399" t="s">
        <v>470</v>
      </c>
      <c r="C399" t="s">
        <v>255</v>
      </c>
      <c r="D399" t="s">
        <v>234</v>
      </c>
      <c r="E399" t="s">
        <v>20</v>
      </c>
      <c r="F399" t="s">
        <v>279</v>
      </c>
      <c r="G399" t="s">
        <v>269</v>
      </c>
      <c r="H399" t="s">
        <v>254</v>
      </c>
      <c r="I399" t="s">
        <v>242</v>
      </c>
      <c r="J399" t="s">
        <v>235</v>
      </c>
      <c r="K399" s="380">
        <v>36861</v>
      </c>
      <c r="L399" s="235">
        <v>-267671.47544712661</v>
      </c>
      <c r="M399" s="380">
        <v>36859</v>
      </c>
      <c r="N399" t="s">
        <v>21</v>
      </c>
      <c r="O399">
        <v>1.6</v>
      </c>
      <c r="P399">
        <v>0</v>
      </c>
      <c r="Q399">
        <v>0</v>
      </c>
      <c r="R399">
        <v>0</v>
      </c>
      <c r="S399">
        <v>0</v>
      </c>
      <c r="T399" t="s">
        <v>253</v>
      </c>
      <c r="U399" t="s">
        <v>7</v>
      </c>
      <c r="V399" t="s">
        <v>253</v>
      </c>
      <c r="W399" t="s">
        <v>132</v>
      </c>
      <c r="X399" t="s">
        <v>253</v>
      </c>
      <c r="Y399" t="s">
        <v>235</v>
      </c>
      <c r="Z399" t="s">
        <v>236</v>
      </c>
      <c r="AA399" t="s">
        <v>253</v>
      </c>
      <c r="AB399" t="s">
        <v>1</v>
      </c>
      <c r="AC399" s="235">
        <v>-500000</v>
      </c>
      <c r="AD399" s="235">
        <v>-35401.201423718681</v>
      </c>
      <c r="AE399">
        <v>0</v>
      </c>
      <c r="AF399">
        <v>0</v>
      </c>
      <c r="AG399">
        <v>0</v>
      </c>
      <c r="AH399" s="235">
        <v>-13921.851269582665</v>
      </c>
      <c r="AI399">
        <v>226</v>
      </c>
      <c r="AJ399" t="s">
        <v>256</v>
      </c>
      <c r="AK399">
        <v>0</v>
      </c>
      <c r="AL399">
        <v>0</v>
      </c>
      <c r="AM399">
        <v>0</v>
      </c>
    </row>
    <row r="400" spans="1:39" x14ac:dyDescent="0.25">
      <c r="A400" t="s">
        <v>233</v>
      </c>
      <c r="B400" t="s">
        <v>470</v>
      </c>
      <c r="C400" t="s">
        <v>255</v>
      </c>
      <c r="D400" t="s">
        <v>234</v>
      </c>
      <c r="E400" t="s">
        <v>20</v>
      </c>
      <c r="F400" t="s">
        <v>279</v>
      </c>
      <c r="G400" t="s">
        <v>269</v>
      </c>
      <c r="H400" t="s">
        <v>254</v>
      </c>
      <c r="I400" t="s">
        <v>242</v>
      </c>
      <c r="J400" t="s">
        <v>235</v>
      </c>
      <c r="K400" s="380">
        <v>36831</v>
      </c>
      <c r="L400" s="235">
        <v>-24777.477296877751</v>
      </c>
      <c r="M400" s="380">
        <v>36829</v>
      </c>
      <c r="N400" t="s">
        <v>21</v>
      </c>
      <c r="O400">
        <v>1.6</v>
      </c>
      <c r="P400">
        <v>0</v>
      </c>
      <c r="Q400">
        <v>0</v>
      </c>
      <c r="R400">
        <v>0</v>
      </c>
      <c r="S400">
        <v>0</v>
      </c>
      <c r="T400" t="s">
        <v>253</v>
      </c>
      <c r="U400" t="s">
        <v>7</v>
      </c>
      <c r="V400" t="s">
        <v>253</v>
      </c>
      <c r="W400" t="s">
        <v>132</v>
      </c>
      <c r="X400" t="s">
        <v>253</v>
      </c>
      <c r="Y400" t="s">
        <v>235</v>
      </c>
      <c r="Z400" t="s">
        <v>236</v>
      </c>
      <c r="AA400" t="s">
        <v>253</v>
      </c>
      <c r="AB400" t="s">
        <v>1</v>
      </c>
      <c r="AC400" s="235">
        <v>-500000</v>
      </c>
      <c r="AD400" s="235">
        <v>-11503.944274113608</v>
      </c>
      <c r="AE400">
        <v>0</v>
      </c>
      <c r="AF400">
        <v>0</v>
      </c>
      <c r="AG400">
        <v>0</v>
      </c>
      <c r="AH400" s="235">
        <v>-3479.1637170615977</v>
      </c>
      <c r="AI400">
        <v>226</v>
      </c>
      <c r="AJ400" t="s">
        <v>256</v>
      </c>
      <c r="AK400">
        <v>0</v>
      </c>
      <c r="AL400">
        <v>0</v>
      </c>
      <c r="AM400">
        <v>0</v>
      </c>
    </row>
    <row r="401" spans="1:39" x14ac:dyDescent="0.25">
      <c r="A401" t="s">
        <v>233</v>
      </c>
      <c r="B401" t="s">
        <v>471</v>
      </c>
      <c r="C401" t="s">
        <v>255</v>
      </c>
      <c r="D401" t="s">
        <v>234</v>
      </c>
      <c r="E401" t="s">
        <v>20</v>
      </c>
      <c r="F401" t="s">
        <v>279</v>
      </c>
      <c r="G401" t="s">
        <v>269</v>
      </c>
      <c r="H401" t="s">
        <v>254</v>
      </c>
      <c r="I401" t="s">
        <v>242</v>
      </c>
      <c r="J401" t="s">
        <v>235</v>
      </c>
      <c r="K401" s="380">
        <v>36951</v>
      </c>
      <c r="L401" s="235">
        <v>-418589.11307126423</v>
      </c>
      <c r="M401" s="380">
        <v>36949</v>
      </c>
      <c r="N401" t="s">
        <v>1</v>
      </c>
      <c r="O401">
        <v>1.6</v>
      </c>
      <c r="P401">
        <v>0</v>
      </c>
      <c r="Q401">
        <v>0</v>
      </c>
      <c r="R401">
        <v>0</v>
      </c>
      <c r="S401">
        <v>0</v>
      </c>
      <c r="T401" t="s">
        <v>253</v>
      </c>
      <c r="U401" t="s">
        <v>7</v>
      </c>
      <c r="V401" t="s">
        <v>253</v>
      </c>
      <c r="W401" t="s">
        <v>132</v>
      </c>
      <c r="X401" t="s">
        <v>253</v>
      </c>
      <c r="Y401" t="s">
        <v>235</v>
      </c>
      <c r="Z401" t="s">
        <v>236</v>
      </c>
      <c r="AA401" t="s">
        <v>253</v>
      </c>
      <c r="AB401" t="s">
        <v>1</v>
      </c>
      <c r="AC401" s="235">
        <v>-500000</v>
      </c>
      <c r="AD401" s="235">
        <v>-40486.301902801148</v>
      </c>
      <c r="AE401">
        <v>0</v>
      </c>
      <c r="AF401">
        <v>0</v>
      </c>
      <c r="AG401">
        <v>0</v>
      </c>
      <c r="AH401" s="235">
        <v>15395.645326976548</v>
      </c>
      <c r="AI401">
        <v>226</v>
      </c>
      <c r="AJ401" t="s">
        <v>256</v>
      </c>
      <c r="AK401">
        <v>0</v>
      </c>
      <c r="AL401">
        <v>0</v>
      </c>
      <c r="AM401">
        <v>0</v>
      </c>
    </row>
    <row r="402" spans="1:39" x14ac:dyDescent="0.25">
      <c r="A402" t="s">
        <v>233</v>
      </c>
      <c r="B402" t="s">
        <v>471</v>
      </c>
      <c r="C402" t="s">
        <v>255</v>
      </c>
      <c r="D402" t="s">
        <v>234</v>
      </c>
      <c r="E402" t="s">
        <v>20</v>
      </c>
      <c r="F402" t="s">
        <v>279</v>
      </c>
      <c r="G402" t="s">
        <v>269</v>
      </c>
      <c r="H402" t="s">
        <v>254</v>
      </c>
      <c r="I402" t="s">
        <v>242</v>
      </c>
      <c r="J402" t="s">
        <v>235</v>
      </c>
      <c r="K402" s="380">
        <v>36923</v>
      </c>
      <c r="L402" s="235">
        <v>-215108.82340596506</v>
      </c>
      <c r="M402" s="380">
        <v>36921</v>
      </c>
      <c r="N402" t="s">
        <v>1</v>
      </c>
      <c r="O402">
        <v>1.6</v>
      </c>
      <c r="P402">
        <v>0</v>
      </c>
      <c r="Q402">
        <v>0</v>
      </c>
      <c r="R402">
        <v>0</v>
      </c>
      <c r="S402">
        <v>0</v>
      </c>
      <c r="T402" t="s">
        <v>253</v>
      </c>
      <c r="U402" t="s">
        <v>7</v>
      </c>
      <c r="V402" t="s">
        <v>253</v>
      </c>
      <c r="W402" t="s">
        <v>132</v>
      </c>
      <c r="X402" t="s">
        <v>253</v>
      </c>
      <c r="Y402" t="s">
        <v>235</v>
      </c>
      <c r="Z402" t="s">
        <v>236</v>
      </c>
      <c r="AA402" t="s">
        <v>253</v>
      </c>
      <c r="AB402" t="s">
        <v>1</v>
      </c>
      <c r="AC402" s="235">
        <v>-500000</v>
      </c>
      <c r="AD402" s="235">
        <v>-41984.319025358214</v>
      </c>
      <c r="AE402">
        <v>0</v>
      </c>
      <c r="AF402">
        <v>0</v>
      </c>
      <c r="AG402">
        <v>0</v>
      </c>
      <c r="AH402" s="235">
        <v>9512.9974763019709</v>
      </c>
      <c r="AI402">
        <v>226</v>
      </c>
      <c r="AJ402" t="s">
        <v>256</v>
      </c>
      <c r="AK402">
        <v>0</v>
      </c>
      <c r="AL402">
        <v>0</v>
      </c>
      <c r="AM402">
        <v>0</v>
      </c>
    </row>
    <row r="403" spans="1:39" x14ac:dyDescent="0.25">
      <c r="A403" t="s">
        <v>233</v>
      </c>
      <c r="B403" t="s">
        <v>471</v>
      </c>
      <c r="C403" t="s">
        <v>255</v>
      </c>
      <c r="D403" t="s">
        <v>234</v>
      </c>
      <c r="E403" t="s">
        <v>20</v>
      </c>
      <c r="F403" t="s">
        <v>279</v>
      </c>
      <c r="G403" t="s">
        <v>269</v>
      </c>
      <c r="H403" t="s">
        <v>254</v>
      </c>
      <c r="I403" t="s">
        <v>242</v>
      </c>
      <c r="J403" t="s">
        <v>235</v>
      </c>
      <c r="K403" s="380">
        <v>36892</v>
      </c>
      <c r="L403" s="235">
        <v>-185486.21079777137</v>
      </c>
      <c r="M403" s="380">
        <v>36888</v>
      </c>
      <c r="N403" t="s">
        <v>1</v>
      </c>
      <c r="O403">
        <v>1.6</v>
      </c>
      <c r="P403">
        <v>0</v>
      </c>
      <c r="Q403">
        <v>0</v>
      </c>
      <c r="R403">
        <v>0</v>
      </c>
      <c r="S403">
        <v>0</v>
      </c>
      <c r="T403" t="s">
        <v>253</v>
      </c>
      <c r="U403" t="s">
        <v>7</v>
      </c>
      <c r="V403" t="s">
        <v>253</v>
      </c>
      <c r="W403" t="s">
        <v>132</v>
      </c>
      <c r="X403" t="s">
        <v>253</v>
      </c>
      <c r="Y403" t="s">
        <v>235</v>
      </c>
      <c r="Z403" t="s">
        <v>236</v>
      </c>
      <c r="AA403" t="s">
        <v>253</v>
      </c>
      <c r="AB403" t="s">
        <v>1</v>
      </c>
      <c r="AC403" s="235">
        <v>-500000</v>
      </c>
      <c r="AD403" s="235">
        <v>-37672.529627170385</v>
      </c>
      <c r="AE403">
        <v>0</v>
      </c>
      <c r="AF403">
        <v>0</v>
      </c>
      <c r="AG403">
        <v>0</v>
      </c>
      <c r="AH403" s="235">
        <v>7537.8702261694707</v>
      </c>
      <c r="AI403">
        <v>226</v>
      </c>
      <c r="AJ403" t="s">
        <v>256</v>
      </c>
      <c r="AK403">
        <v>0</v>
      </c>
      <c r="AL403">
        <v>0</v>
      </c>
      <c r="AM403">
        <v>0</v>
      </c>
    </row>
    <row r="404" spans="1:39" x14ac:dyDescent="0.25">
      <c r="A404" t="s">
        <v>233</v>
      </c>
      <c r="B404" t="s">
        <v>471</v>
      </c>
      <c r="C404" t="s">
        <v>255</v>
      </c>
      <c r="D404" t="s">
        <v>234</v>
      </c>
      <c r="E404" t="s">
        <v>20</v>
      </c>
      <c r="F404" t="s">
        <v>279</v>
      </c>
      <c r="G404" t="s">
        <v>269</v>
      </c>
      <c r="H404" t="s">
        <v>254</v>
      </c>
      <c r="I404" t="s">
        <v>242</v>
      </c>
      <c r="J404" t="s">
        <v>235</v>
      </c>
      <c r="K404" s="380">
        <v>36861</v>
      </c>
      <c r="L404" s="235">
        <v>-245559.45918596868</v>
      </c>
      <c r="M404" s="380">
        <v>36859</v>
      </c>
      <c r="N404" t="s">
        <v>1</v>
      </c>
      <c r="O404">
        <v>1.6</v>
      </c>
      <c r="P404">
        <v>0</v>
      </c>
      <c r="Q404">
        <v>0</v>
      </c>
      <c r="R404">
        <v>0</v>
      </c>
      <c r="S404">
        <v>0</v>
      </c>
      <c r="T404" t="s">
        <v>253</v>
      </c>
      <c r="U404" t="s">
        <v>7</v>
      </c>
      <c r="V404" t="s">
        <v>253</v>
      </c>
      <c r="W404" t="s">
        <v>132</v>
      </c>
      <c r="X404" t="s">
        <v>253</v>
      </c>
      <c r="Y404" t="s">
        <v>235</v>
      </c>
      <c r="Z404" t="s">
        <v>236</v>
      </c>
      <c r="AA404" t="s">
        <v>253</v>
      </c>
      <c r="AB404" t="s">
        <v>1</v>
      </c>
      <c r="AC404" s="235">
        <v>-500000</v>
      </c>
      <c r="AD404" s="235">
        <v>-35401.20142371871</v>
      </c>
      <c r="AE404">
        <v>0</v>
      </c>
      <c r="AF404">
        <v>0</v>
      </c>
      <c r="AG404">
        <v>0</v>
      </c>
      <c r="AH404" s="235">
        <v>8178.001605136029</v>
      </c>
      <c r="AI404">
        <v>226</v>
      </c>
      <c r="AJ404" t="s">
        <v>256</v>
      </c>
      <c r="AK404">
        <v>0</v>
      </c>
      <c r="AL404">
        <v>0</v>
      </c>
      <c r="AM404">
        <v>0</v>
      </c>
    </row>
    <row r="405" spans="1:39" x14ac:dyDescent="0.25">
      <c r="A405" t="s">
        <v>233</v>
      </c>
      <c r="B405" t="s">
        <v>471</v>
      </c>
      <c r="C405" t="s">
        <v>255</v>
      </c>
      <c r="D405" t="s">
        <v>234</v>
      </c>
      <c r="E405" t="s">
        <v>20</v>
      </c>
      <c r="F405" t="s">
        <v>279</v>
      </c>
      <c r="G405" t="s">
        <v>269</v>
      </c>
      <c r="H405" t="s">
        <v>254</v>
      </c>
      <c r="I405" t="s">
        <v>242</v>
      </c>
      <c r="J405" t="s">
        <v>235</v>
      </c>
      <c r="K405" s="380">
        <v>36831</v>
      </c>
      <c r="L405" s="235">
        <v>-434930.84324028384</v>
      </c>
      <c r="M405" s="380">
        <v>36829</v>
      </c>
      <c r="N405" t="s">
        <v>1</v>
      </c>
      <c r="O405">
        <v>1.6</v>
      </c>
      <c r="P405">
        <v>0</v>
      </c>
      <c r="Q405">
        <v>0</v>
      </c>
      <c r="R405">
        <v>0</v>
      </c>
      <c r="S405">
        <v>0</v>
      </c>
      <c r="T405" t="s">
        <v>253</v>
      </c>
      <c r="U405" t="s">
        <v>7</v>
      </c>
      <c r="V405" t="s">
        <v>253</v>
      </c>
      <c r="W405" t="s">
        <v>132</v>
      </c>
      <c r="X405" t="s">
        <v>253</v>
      </c>
      <c r="Y405" t="s">
        <v>235</v>
      </c>
      <c r="Z405" t="s">
        <v>236</v>
      </c>
      <c r="AA405" t="s">
        <v>253</v>
      </c>
      <c r="AB405" t="s">
        <v>1</v>
      </c>
      <c r="AC405" s="235">
        <v>-500000</v>
      </c>
      <c r="AD405" s="235">
        <v>-11503.94427411363</v>
      </c>
      <c r="AE405">
        <v>0</v>
      </c>
      <c r="AF405">
        <v>0</v>
      </c>
      <c r="AG405">
        <v>0</v>
      </c>
      <c r="AH405" s="235">
        <v>16276.379989223147</v>
      </c>
      <c r="AI405">
        <v>226</v>
      </c>
      <c r="AJ405" t="s">
        <v>256</v>
      </c>
      <c r="AK405">
        <v>0</v>
      </c>
      <c r="AL405">
        <v>0</v>
      </c>
      <c r="AM405">
        <v>0</v>
      </c>
    </row>
    <row r="406" spans="1:39" x14ac:dyDescent="0.25">
      <c r="A406" t="s">
        <v>233</v>
      </c>
      <c r="B406" t="s">
        <v>481</v>
      </c>
      <c r="C406" t="s">
        <v>255</v>
      </c>
      <c r="D406" t="s">
        <v>234</v>
      </c>
      <c r="E406" t="s">
        <v>20</v>
      </c>
      <c r="F406" t="s">
        <v>480</v>
      </c>
      <c r="G406" t="s">
        <v>269</v>
      </c>
      <c r="H406" t="s">
        <v>254</v>
      </c>
      <c r="I406" t="s">
        <v>242</v>
      </c>
      <c r="J406" t="s">
        <v>235</v>
      </c>
      <c r="K406" s="380">
        <v>36800</v>
      </c>
      <c r="L406" s="235">
        <v>-309226.43307393906</v>
      </c>
      <c r="M406" s="380">
        <v>36797</v>
      </c>
      <c r="N406" t="s">
        <v>1</v>
      </c>
      <c r="O406">
        <v>0.55000000000000004</v>
      </c>
      <c r="P406">
        <v>0</v>
      </c>
      <c r="Q406">
        <v>0</v>
      </c>
      <c r="R406">
        <v>0</v>
      </c>
      <c r="S406">
        <v>0</v>
      </c>
      <c r="T406" t="s">
        <v>253</v>
      </c>
      <c r="U406" t="s">
        <v>7</v>
      </c>
      <c r="V406" t="s">
        <v>253</v>
      </c>
      <c r="W406" t="s">
        <v>132</v>
      </c>
      <c r="X406" t="s">
        <v>253</v>
      </c>
      <c r="Y406" t="s">
        <v>235</v>
      </c>
      <c r="Z406" t="s">
        <v>236</v>
      </c>
      <c r="AA406" t="s">
        <v>253</v>
      </c>
      <c r="AB406" t="s">
        <v>1</v>
      </c>
      <c r="AC406" s="235">
        <v>-2170000</v>
      </c>
      <c r="AD406" s="235">
        <v>-7234.6956903387327</v>
      </c>
      <c r="AE406">
        <v>0</v>
      </c>
      <c r="AF406">
        <v>0</v>
      </c>
      <c r="AG406">
        <v>0</v>
      </c>
      <c r="AH406" s="235">
        <v>-418.73134340153774</v>
      </c>
      <c r="AI406">
        <v>226</v>
      </c>
      <c r="AJ406" t="s">
        <v>256</v>
      </c>
      <c r="AK406">
        <v>0</v>
      </c>
      <c r="AL406">
        <v>0</v>
      </c>
      <c r="AM406">
        <v>0</v>
      </c>
    </row>
    <row r="407" spans="1:39" x14ac:dyDescent="0.25">
      <c r="A407" t="s">
        <v>233</v>
      </c>
      <c r="B407" t="s">
        <v>482</v>
      </c>
      <c r="C407" t="s">
        <v>255</v>
      </c>
      <c r="D407" t="s">
        <v>234</v>
      </c>
      <c r="E407" t="s">
        <v>20</v>
      </c>
      <c r="F407" t="s">
        <v>480</v>
      </c>
      <c r="G407" t="s">
        <v>269</v>
      </c>
      <c r="H407" t="s">
        <v>254</v>
      </c>
      <c r="I407" t="s">
        <v>242</v>
      </c>
      <c r="J407" t="s">
        <v>235</v>
      </c>
      <c r="K407" s="380">
        <v>36800</v>
      </c>
      <c r="L407" s="235">
        <v>-132525.61417454531</v>
      </c>
      <c r="M407" s="380">
        <v>36797</v>
      </c>
      <c r="N407" t="s">
        <v>1</v>
      </c>
      <c r="O407">
        <v>0.55000000000000004</v>
      </c>
      <c r="P407">
        <v>0</v>
      </c>
      <c r="Q407">
        <v>0</v>
      </c>
      <c r="R407">
        <v>0</v>
      </c>
      <c r="S407">
        <v>0</v>
      </c>
      <c r="T407" t="s">
        <v>253</v>
      </c>
      <c r="U407" t="s">
        <v>7</v>
      </c>
      <c r="V407" t="s">
        <v>253</v>
      </c>
      <c r="W407" t="s">
        <v>132</v>
      </c>
      <c r="X407" t="s">
        <v>253</v>
      </c>
      <c r="Y407" t="s">
        <v>235</v>
      </c>
      <c r="Z407" t="s">
        <v>236</v>
      </c>
      <c r="AA407" t="s">
        <v>253</v>
      </c>
      <c r="AB407" t="s">
        <v>1</v>
      </c>
      <c r="AC407" s="235">
        <v>-930000</v>
      </c>
      <c r="AD407" s="235">
        <v>-3100.5838672879618</v>
      </c>
      <c r="AE407">
        <v>0</v>
      </c>
      <c r="AF407">
        <v>0</v>
      </c>
      <c r="AG407">
        <v>0</v>
      </c>
      <c r="AH407" s="235">
        <v>-179.45629002925125</v>
      </c>
      <c r="AI407">
        <v>226</v>
      </c>
      <c r="AJ407" t="s">
        <v>256</v>
      </c>
      <c r="AK407">
        <v>0</v>
      </c>
      <c r="AL407">
        <v>0</v>
      </c>
      <c r="AM407">
        <v>0</v>
      </c>
    </row>
    <row r="408" spans="1:39" x14ac:dyDescent="0.25">
      <c r="A408" t="s">
        <v>233</v>
      </c>
      <c r="B408" t="s">
        <v>479</v>
      </c>
      <c r="C408" t="s">
        <v>255</v>
      </c>
      <c r="D408" t="s">
        <v>234</v>
      </c>
      <c r="E408" t="s">
        <v>20</v>
      </c>
      <c r="F408" t="s">
        <v>284</v>
      </c>
      <c r="G408" t="s">
        <v>269</v>
      </c>
      <c r="H408" t="s">
        <v>254</v>
      </c>
      <c r="I408" t="s">
        <v>242</v>
      </c>
      <c r="J408" t="s">
        <v>235</v>
      </c>
      <c r="K408" s="380">
        <v>36951</v>
      </c>
      <c r="L408" s="235">
        <v>-11963.250037789774</v>
      </c>
      <c r="M408" s="380">
        <v>36949</v>
      </c>
      <c r="N408" t="s">
        <v>1</v>
      </c>
      <c r="O408">
        <v>-0.3</v>
      </c>
      <c r="P408">
        <v>0</v>
      </c>
      <c r="Q408">
        <v>0</v>
      </c>
      <c r="R408">
        <v>0</v>
      </c>
      <c r="S408">
        <v>0</v>
      </c>
      <c r="T408" t="s">
        <v>253</v>
      </c>
      <c r="U408" t="s">
        <v>6</v>
      </c>
      <c r="V408" t="s">
        <v>253</v>
      </c>
      <c r="W408" t="s">
        <v>132</v>
      </c>
      <c r="X408" t="s">
        <v>253</v>
      </c>
      <c r="Y408" t="s">
        <v>235</v>
      </c>
      <c r="Z408" t="s">
        <v>236</v>
      </c>
      <c r="AA408" t="s">
        <v>253</v>
      </c>
      <c r="AB408" t="s">
        <v>1</v>
      </c>
      <c r="AC408" s="235">
        <v>-620000</v>
      </c>
      <c r="AD408" s="235">
        <v>-5428.5716140500444</v>
      </c>
      <c r="AE408">
        <v>0</v>
      </c>
      <c r="AF408">
        <v>0</v>
      </c>
      <c r="AG408">
        <v>0</v>
      </c>
      <c r="AH408" s="235">
        <v>-561.9176977213483</v>
      </c>
      <c r="AI408">
        <v>226</v>
      </c>
      <c r="AJ408" t="s">
        <v>256</v>
      </c>
      <c r="AK408">
        <v>0</v>
      </c>
      <c r="AL408">
        <v>0</v>
      </c>
      <c r="AM408">
        <v>0</v>
      </c>
    </row>
    <row r="409" spans="1:39" x14ac:dyDescent="0.25">
      <c r="A409" t="s">
        <v>233</v>
      </c>
      <c r="B409" t="s">
        <v>479</v>
      </c>
      <c r="C409" t="s">
        <v>255</v>
      </c>
      <c r="D409" t="s">
        <v>234</v>
      </c>
      <c r="E409" t="s">
        <v>20</v>
      </c>
      <c r="F409" t="s">
        <v>284</v>
      </c>
      <c r="G409" t="s">
        <v>269</v>
      </c>
      <c r="H409" t="s">
        <v>254</v>
      </c>
      <c r="I409" t="s">
        <v>242</v>
      </c>
      <c r="J409" t="s">
        <v>235</v>
      </c>
      <c r="K409" s="380">
        <v>36923</v>
      </c>
      <c r="L409" s="235">
        <v>-13843.434033955133</v>
      </c>
      <c r="M409" s="380">
        <v>36921</v>
      </c>
      <c r="N409" t="s">
        <v>1</v>
      </c>
      <c r="O409">
        <v>-0.3</v>
      </c>
      <c r="P409">
        <v>0</v>
      </c>
      <c r="Q409">
        <v>0</v>
      </c>
      <c r="R409">
        <v>0</v>
      </c>
      <c r="S409">
        <v>0</v>
      </c>
      <c r="T409" t="s">
        <v>253</v>
      </c>
      <c r="U409" t="s">
        <v>6</v>
      </c>
      <c r="V409" t="s">
        <v>253</v>
      </c>
      <c r="W409" t="s">
        <v>132</v>
      </c>
      <c r="X409" t="s">
        <v>253</v>
      </c>
      <c r="Y409" t="s">
        <v>235</v>
      </c>
      <c r="Z409" t="s">
        <v>236</v>
      </c>
      <c r="AA409" t="s">
        <v>253</v>
      </c>
      <c r="AB409" t="s">
        <v>1</v>
      </c>
      <c r="AC409" s="235">
        <v>-560000</v>
      </c>
      <c r="AD409" s="235">
        <v>-5500.4881472570269</v>
      </c>
      <c r="AE409">
        <v>0</v>
      </c>
      <c r="AF409">
        <v>0</v>
      </c>
      <c r="AG409">
        <v>0</v>
      </c>
      <c r="AH409" s="235">
        <v>-562.14117917848307</v>
      </c>
      <c r="AI409">
        <v>226</v>
      </c>
      <c r="AJ409" t="s">
        <v>256</v>
      </c>
      <c r="AK409">
        <v>0</v>
      </c>
      <c r="AL409">
        <v>0</v>
      </c>
      <c r="AM409">
        <v>0</v>
      </c>
    </row>
    <row r="410" spans="1:39" x14ac:dyDescent="0.25">
      <c r="A410" t="s">
        <v>233</v>
      </c>
      <c r="B410" t="s">
        <v>479</v>
      </c>
      <c r="C410" t="s">
        <v>255</v>
      </c>
      <c r="D410" t="s">
        <v>234</v>
      </c>
      <c r="E410" t="s">
        <v>20</v>
      </c>
      <c r="F410" t="s">
        <v>284</v>
      </c>
      <c r="G410" t="s">
        <v>269</v>
      </c>
      <c r="H410" t="s">
        <v>254</v>
      </c>
      <c r="I410" t="s">
        <v>242</v>
      </c>
      <c r="J410" t="s">
        <v>235</v>
      </c>
      <c r="K410" s="380">
        <v>36892</v>
      </c>
      <c r="L410" s="235">
        <v>-15624.156848540784</v>
      </c>
      <c r="M410" s="380">
        <v>36888</v>
      </c>
      <c r="N410" t="s">
        <v>1</v>
      </c>
      <c r="O410">
        <v>-0.3</v>
      </c>
      <c r="P410">
        <v>0</v>
      </c>
      <c r="Q410">
        <v>0</v>
      </c>
      <c r="R410">
        <v>0</v>
      </c>
      <c r="S410">
        <v>0</v>
      </c>
      <c r="T410" t="s">
        <v>253</v>
      </c>
      <c r="U410" t="s">
        <v>6</v>
      </c>
      <c r="V410" t="s">
        <v>253</v>
      </c>
      <c r="W410" t="s">
        <v>132</v>
      </c>
      <c r="X410" t="s">
        <v>253</v>
      </c>
      <c r="Y410" t="s">
        <v>235</v>
      </c>
      <c r="Z410" t="s">
        <v>236</v>
      </c>
      <c r="AA410" t="s">
        <v>253</v>
      </c>
      <c r="AB410" t="s">
        <v>1</v>
      </c>
      <c r="AC410" s="235">
        <v>-620000</v>
      </c>
      <c r="AD410" s="235">
        <v>-5733.9346014269977</v>
      </c>
      <c r="AE410">
        <v>0</v>
      </c>
      <c r="AF410">
        <v>0</v>
      </c>
      <c r="AG410">
        <v>0</v>
      </c>
      <c r="AH410" s="235">
        <v>-625.59976085546805</v>
      </c>
      <c r="AI410">
        <v>226</v>
      </c>
      <c r="AJ410" t="s">
        <v>256</v>
      </c>
      <c r="AK410">
        <v>0</v>
      </c>
      <c r="AL410">
        <v>0</v>
      </c>
      <c r="AM410">
        <v>0</v>
      </c>
    </row>
    <row r="411" spans="1:39" x14ac:dyDescent="0.25">
      <c r="A411" t="s">
        <v>233</v>
      </c>
      <c r="B411" t="s">
        <v>479</v>
      </c>
      <c r="C411" t="s">
        <v>255</v>
      </c>
      <c r="D411" t="s">
        <v>234</v>
      </c>
      <c r="E411" t="s">
        <v>20</v>
      </c>
      <c r="F411" t="s">
        <v>284</v>
      </c>
      <c r="G411" t="s">
        <v>269</v>
      </c>
      <c r="H411" t="s">
        <v>254</v>
      </c>
      <c r="I411" t="s">
        <v>242</v>
      </c>
      <c r="J411" t="s">
        <v>235</v>
      </c>
      <c r="K411" s="380">
        <v>36861</v>
      </c>
      <c r="L411" s="235">
        <v>-10486.964395709669</v>
      </c>
      <c r="M411" s="380">
        <v>36859</v>
      </c>
      <c r="N411" t="s">
        <v>1</v>
      </c>
      <c r="O411">
        <v>-0.3</v>
      </c>
      <c r="P411">
        <v>0</v>
      </c>
      <c r="Q411">
        <v>0</v>
      </c>
      <c r="R411">
        <v>0</v>
      </c>
      <c r="S411">
        <v>0</v>
      </c>
      <c r="T411" t="s">
        <v>253</v>
      </c>
      <c r="U411" t="s">
        <v>6</v>
      </c>
      <c r="V411" t="s">
        <v>253</v>
      </c>
      <c r="W411" t="s">
        <v>132</v>
      </c>
      <c r="X411" t="s">
        <v>253</v>
      </c>
      <c r="Y411" t="s">
        <v>235</v>
      </c>
      <c r="Z411" t="s">
        <v>236</v>
      </c>
      <c r="AA411" t="s">
        <v>253</v>
      </c>
      <c r="AB411" t="s">
        <v>1</v>
      </c>
      <c r="AC411" s="235">
        <v>-620000</v>
      </c>
      <c r="AD411" s="235">
        <v>-4428.8893360375369</v>
      </c>
      <c r="AE411">
        <v>0</v>
      </c>
      <c r="AF411">
        <v>0</v>
      </c>
      <c r="AG411">
        <v>0</v>
      </c>
      <c r="AH411" s="235">
        <v>-508.68290016792525</v>
      </c>
      <c r="AI411">
        <v>226</v>
      </c>
      <c r="AJ411" t="s">
        <v>256</v>
      </c>
      <c r="AK411">
        <v>0</v>
      </c>
      <c r="AL411">
        <v>0</v>
      </c>
      <c r="AM411">
        <v>0</v>
      </c>
    </row>
    <row r="412" spans="1:39" x14ac:dyDescent="0.25">
      <c r="A412" t="s">
        <v>233</v>
      </c>
      <c r="B412" t="s">
        <v>479</v>
      </c>
      <c r="C412" t="s">
        <v>255</v>
      </c>
      <c r="D412" t="s">
        <v>234</v>
      </c>
      <c r="E412" t="s">
        <v>20</v>
      </c>
      <c r="F412" t="s">
        <v>284</v>
      </c>
      <c r="G412" t="s">
        <v>269</v>
      </c>
      <c r="H412" t="s">
        <v>254</v>
      </c>
      <c r="I412" t="s">
        <v>242</v>
      </c>
      <c r="J412" t="s">
        <v>235</v>
      </c>
      <c r="K412" s="380">
        <v>36831</v>
      </c>
      <c r="L412" s="235">
        <v>-4748.9960857041133</v>
      </c>
      <c r="M412" s="380">
        <v>36829</v>
      </c>
      <c r="N412" t="s">
        <v>1</v>
      </c>
      <c r="O412">
        <v>-0.3</v>
      </c>
      <c r="P412">
        <v>0</v>
      </c>
      <c r="Q412">
        <v>0</v>
      </c>
      <c r="R412">
        <v>0</v>
      </c>
      <c r="S412">
        <v>0</v>
      </c>
      <c r="T412" t="s">
        <v>253</v>
      </c>
      <c r="U412" t="s">
        <v>6</v>
      </c>
      <c r="V412" t="s">
        <v>253</v>
      </c>
      <c r="W412" t="s">
        <v>132</v>
      </c>
      <c r="X412" t="s">
        <v>253</v>
      </c>
      <c r="Y412" t="s">
        <v>235</v>
      </c>
      <c r="Z412" t="s">
        <v>236</v>
      </c>
      <c r="AA412" t="s">
        <v>253</v>
      </c>
      <c r="AB412" t="s">
        <v>1</v>
      </c>
      <c r="AC412" s="235">
        <v>-600000</v>
      </c>
      <c r="AD412" s="235">
        <v>-2622.05052156077</v>
      </c>
      <c r="AE412">
        <v>0</v>
      </c>
      <c r="AF412">
        <v>0</v>
      </c>
      <c r="AG412">
        <v>0</v>
      </c>
      <c r="AH412" s="235">
        <v>-322.5996950624949</v>
      </c>
      <c r="AI412">
        <v>226</v>
      </c>
      <c r="AJ412" t="s">
        <v>256</v>
      </c>
      <c r="AK412">
        <v>0</v>
      </c>
      <c r="AL412">
        <v>0</v>
      </c>
      <c r="AM412">
        <v>0</v>
      </c>
    </row>
    <row r="413" spans="1:39" x14ac:dyDescent="0.25">
      <c r="A413" t="s">
        <v>233</v>
      </c>
      <c r="B413" t="s">
        <v>483</v>
      </c>
      <c r="C413" t="s">
        <v>255</v>
      </c>
      <c r="D413" t="s">
        <v>234</v>
      </c>
      <c r="E413" t="s">
        <v>20</v>
      </c>
      <c r="F413" t="s">
        <v>268</v>
      </c>
      <c r="G413" t="s">
        <v>269</v>
      </c>
      <c r="H413" t="s">
        <v>254</v>
      </c>
      <c r="I413" t="s">
        <v>242</v>
      </c>
      <c r="J413" t="s">
        <v>235</v>
      </c>
      <c r="K413" s="380">
        <v>36951</v>
      </c>
      <c r="L413" s="235">
        <v>-5981.625018894887</v>
      </c>
      <c r="M413" s="380">
        <v>36949</v>
      </c>
      <c r="N413" t="s">
        <v>1</v>
      </c>
      <c r="O413">
        <v>-0.3</v>
      </c>
      <c r="P413">
        <v>0</v>
      </c>
      <c r="Q413">
        <v>0</v>
      </c>
      <c r="R413">
        <v>0</v>
      </c>
      <c r="S413">
        <v>0</v>
      </c>
      <c r="T413" t="s">
        <v>253</v>
      </c>
      <c r="U413" t="s">
        <v>6</v>
      </c>
      <c r="V413" t="s">
        <v>253</v>
      </c>
      <c r="W413" t="s">
        <v>132</v>
      </c>
      <c r="X413" t="s">
        <v>253</v>
      </c>
      <c r="Y413" t="s">
        <v>235</v>
      </c>
      <c r="Z413" t="s">
        <v>236</v>
      </c>
      <c r="AA413" t="s">
        <v>253</v>
      </c>
      <c r="AB413" t="s">
        <v>1</v>
      </c>
      <c r="AC413" s="235">
        <v>-310000</v>
      </c>
      <c r="AD413" s="235">
        <v>-2714.2858070250222</v>
      </c>
      <c r="AE413">
        <v>0</v>
      </c>
      <c r="AF413">
        <v>0</v>
      </c>
      <c r="AG413">
        <v>0</v>
      </c>
      <c r="AH413" s="235">
        <v>-280.95884886067415</v>
      </c>
      <c r="AI413">
        <v>226</v>
      </c>
      <c r="AJ413" t="s">
        <v>256</v>
      </c>
      <c r="AK413">
        <v>0</v>
      </c>
      <c r="AL413">
        <v>0</v>
      </c>
      <c r="AM413">
        <v>0</v>
      </c>
    </row>
    <row r="414" spans="1:39" x14ac:dyDescent="0.25">
      <c r="A414" t="s">
        <v>233</v>
      </c>
      <c r="B414" t="s">
        <v>483</v>
      </c>
      <c r="C414" t="s">
        <v>255</v>
      </c>
      <c r="D414" t="s">
        <v>234</v>
      </c>
      <c r="E414" t="s">
        <v>20</v>
      </c>
      <c r="F414" t="s">
        <v>268</v>
      </c>
      <c r="G414" t="s">
        <v>269</v>
      </c>
      <c r="H414" t="s">
        <v>254</v>
      </c>
      <c r="I414" t="s">
        <v>242</v>
      </c>
      <c r="J414" t="s">
        <v>235</v>
      </c>
      <c r="K414" s="380">
        <v>36923</v>
      </c>
      <c r="L414" s="235">
        <v>-6921.7170169775663</v>
      </c>
      <c r="M414" s="380">
        <v>36921</v>
      </c>
      <c r="N414" t="s">
        <v>1</v>
      </c>
      <c r="O414">
        <v>-0.3</v>
      </c>
      <c r="P414">
        <v>0</v>
      </c>
      <c r="Q414">
        <v>0</v>
      </c>
      <c r="R414">
        <v>0</v>
      </c>
      <c r="S414">
        <v>0</v>
      </c>
      <c r="T414" t="s">
        <v>253</v>
      </c>
      <c r="U414" t="s">
        <v>6</v>
      </c>
      <c r="V414" t="s">
        <v>253</v>
      </c>
      <c r="W414" t="s">
        <v>132</v>
      </c>
      <c r="X414" t="s">
        <v>253</v>
      </c>
      <c r="Y414" t="s">
        <v>235</v>
      </c>
      <c r="Z414" t="s">
        <v>236</v>
      </c>
      <c r="AA414" t="s">
        <v>253</v>
      </c>
      <c r="AB414" t="s">
        <v>1</v>
      </c>
      <c r="AC414" s="235">
        <v>-280000</v>
      </c>
      <c r="AD414" s="235">
        <v>-2750.2440736285134</v>
      </c>
      <c r="AE414">
        <v>0</v>
      </c>
      <c r="AF414">
        <v>0</v>
      </c>
      <c r="AG414">
        <v>0</v>
      </c>
      <c r="AH414" s="235">
        <v>-281.07058958924154</v>
      </c>
      <c r="AI414">
        <v>226</v>
      </c>
      <c r="AJ414" t="s">
        <v>256</v>
      </c>
      <c r="AK414">
        <v>0</v>
      </c>
      <c r="AL414">
        <v>0</v>
      </c>
      <c r="AM414">
        <v>0</v>
      </c>
    </row>
    <row r="415" spans="1:39" x14ac:dyDescent="0.25">
      <c r="A415" t="s">
        <v>233</v>
      </c>
      <c r="B415" t="s">
        <v>483</v>
      </c>
      <c r="C415" t="s">
        <v>255</v>
      </c>
      <c r="D415" t="s">
        <v>234</v>
      </c>
      <c r="E415" t="s">
        <v>20</v>
      </c>
      <c r="F415" t="s">
        <v>268</v>
      </c>
      <c r="G415" t="s">
        <v>269</v>
      </c>
      <c r="H415" t="s">
        <v>254</v>
      </c>
      <c r="I415" t="s">
        <v>242</v>
      </c>
      <c r="J415" t="s">
        <v>235</v>
      </c>
      <c r="K415" s="380">
        <v>36892</v>
      </c>
      <c r="L415" s="235">
        <v>-7812.0784242703921</v>
      </c>
      <c r="M415" s="380">
        <v>36888</v>
      </c>
      <c r="N415" t="s">
        <v>1</v>
      </c>
      <c r="O415">
        <v>-0.3</v>
      </c>
      <c r="P415">
        <v>0</v>
      </c>
      <c r="Q415">
        <v>0</v>
      </c>
      <c r="R415">
        <v>0</v>
      </c>
      <c r="S415">
        <v>0</v>
      </c>
      <c r="T415" t="s">
        <v>253</v>
      </c>
      <c r="U415" t="s">
        <v>6</v>
      </c>
      <c r="V415" t="s">
        <v>253</v>
      </c>
      <c r="W415" t="s">
        <v>132</v>
      </c>
      <c r="X415" t="s">
        <v>253</v>
      </c>
      <c r="Y415" t="s">
        <v>235</v>
      </c>
      <c r="Z415" t="s">
        <v>236</v>
      </c>
      <c r="AA415" t="s">
        <v>253</v>
      </c>
      <c r="AB415" t="s">
        <v>1</v>
      </c>
      <c r="AC415" s="235">
        <v>-310000</v>
      </c>
      <c r="AD415" s="235">
        <v>-2866.9673007134988</v>
      </c>
      <c r="AE415">
        <v>0</v>
      </c>
      <c r="AF415">
        <v>0</v>
      </c>
      <c r="AG415">
        <v>0</v>
      </c>
      <c r="AH415" s="235">
        <v>-312.79988042773402</v>
      </c>
      <c r="AI415">
        <v>226</v>
      </c>
      <c r="AJ415" t="s">
        <v>256</v>
      </c>
      <c r="AK415">
        <v>0</v>
      </c>
      <c r="AL415">
        <v>0</v>
      </c>
      <c r="AM415">
        <v>0</v>
      </c>
    </row>
    <row r="416" spans="1:39" x14ac:dyDescent="0.25">
      <c r="A416" t="s">
        <v>233</v>
      </c>
      <c r="B416" t="s">
        <v>483</v>
      </c>
      <c r="C416" t="s">
        <v>255</v>
      </c>
      <c r="D416" t="s">
        <v>234</v>
      </c>
      <c r="E416" t="s">
        <v>20</v>
      </c>
      <c r="F416" t="s">
        <v>268</v>
      </c>
      <c r="G416" t="s">
        <v>269</v>
      </c>
      <c r="H416" t="s">
        <v>254</v>
      </c>
      <c r="I416" t="s">
        <v>242</v>
      </c>
      <c r="J416" t="s">
        <v>235</v>
      </c>
      <c r="K416" s="380">
        <v>36861</v>
      </c>
      <c r="L416" s="235">
        <v>-5243.4821978548343</v>
      </c>
      <c r="M416" s="380">
        <v>36859</v>
      </c>
      <c r="N416" t="s">
        <v>1</v>
      </c>
      <c r="O416">
        <v>-0.3</v>
      </c>
      <c r="P416">
        <v>0</v>
      </c>
      <c r="Q416">
        <v>0</v>
      </c>
      <c r="R416">
        <v>0</v>
      </c>
      <c r="S416">
        <v>0</v>
      </c>
      <c r="T416" t="s">
        <v>253</v>
      </c>
      <c r="U416" t="s">
        <v>6</v>
      </c>
      <c r="V416" t="s">
        <v>253</v>
      </c>
      <c r="W416" t="s">
        <v>132</v>
      </c>
      <c r="X416" t="s">
        <v>253</v>
      </c>
      <c r="Y416" t="s">
        <v>235</v>
      </c>
      <c r="Z416" t="s">
        <v>236</v>
      </c>
      <c r="AA416" t="s">
        <v>253</v>
      </c>
      <c r="AB416" t="s">
        <v>1</v>
      </c>
      <c r="AC416" s="235">
        <v>-310000</v>
      </c>
      <c r="AD416" s="235">
        <v>-2214.4446680187684</v>
      </c>
      <c r="AE416">
        <v>0</v>
      </c>
      <c r="AF416">
        <v>0</v>
      </c>
      <c r="AG416">
        <v>0</v>
      </c>
      <c r="AH416" s="235">
        <v>-254.34145008396263</v>
      </c>
      <c r="AI416">
        <v>226</v>
      </c>
      <c r="AJ416" t="s">
        <v>256</v>
      </c>
      <c r="AK416">
        <v>0</v>
      </c>
      <c r="AL416">
        <v>0</v>
      </c>
      <c r="AM416">
        <v>0</v>
      </c>
    </row>
    <row r="417" spans="1:39" x14ac:dyDescent="0.25">
      <c r="A417" t="s">
        <v>233</v>
      </c>
      <c r="B417" t="s">
        <v>483</v>
      </c>
      <c r="C417" t="s">
        <v>255</v>
      </c>
      <c r="D417" t="s">
        <v>234</v>
      </c>
      <c r="E417" t="s">
        <v>20</v>
      </c>
      <c r="F417" t="s">
        <v>268</v>
      </c>
      <c r="G417" t="s">
        <v>269</v>
      </c>
      <c r="H417" t="s">
        <v>254</v>
      </c>
      <c r="I417" t="s">
        <v>242</v>
      </c>
      <c r="J417" t="s">
        <v>235</v>
      </c>
      <c r="K417" s="380">
        <v>36831</v>
      </c>
      <c r="L417" s="235">
        <v>-2374.4980428520566</v>
      </c>
      <c r="M417" s="380">
        <v>36829</v>
      </c>
      <c r="N417" t="s">
        <v>1</v>
      </c>
      <c r="O417">
        <v>-0.3</v>
      </c>
      <c r="P417">
        <v>0</v>
      </c>
      <c r="Q417">
        <v>0</v>
      </c>
      <c r="R417">
        <v>0</v>
      </c>
      <c r="S417">
        <v>0</v>
      </c>
      <c r="T417" t="s">
        <v>253</v>
      </c>
      <c r="U417" t="s">
        <v>6</v>
      </c>
      <c r="V417" t="s">
        <v>253</v>
      </c>
      <c r="W417" t="s">
        <v>132</v>
      </c>
      <c r="X417" t="s">
        <v>253</v>
      </c>
      <c r="Y417" t="s">
        <v>235</v>
      </c>
      <c r="Z417" t="s">
        <v>236</v>
      </c>
      <c r="AA417" t="s">
        <v>253</v>
      </c>
      <c r="AB417" t="s">
        <v>1</v>
      </c>
      <c r="AC417" s="235">
        <v>-300000</v>
      </c>
      <c r="AD417" s="235">
        <v>-1311.025260780385</v>
      </c>
      <c r="AE417">
        <v>0</v>
      </c>
      <c r="AF417">
        <v>0</v>
      </c>
      <c r="AG417">
        <v>0</v>
      </c>
      <c r="AH417" s="235">
        <v>-161.29984753124745</v>
      </c>
      <c r="AI417">
        <v>226</v>
      </c>
      <c r="AJ417" t="s">
        <v>256</v>
      </c>
      <c r="AK417">
        <v>0</v>
      </c>
      <c r="AL417">
        <v>0</v>
      </c>
      <c r="AM417">
        <v>0</v>
      </c>
    </row>
    <row r="418" spans="1:39" x14ac:dyDescent="0.25">
      <c r="A418" t="s">
        <v>233</v>
      </c>
      <c r="B418" t="s">
        <v>484</v>
      </c>
      <c r="C418" t="s">
        <v>255</v>
      </c>
      <c r="D418" t="s">
        <v>234</v>
      </c>
      <c r="E418" t="s">
        <v>20</v>
      </c>
      <c r="F418" t="s">
        <v>480</v>
      </c>
      <c r="G418" t="s">
        <v>269</v>
      </c>
      <c r="H418" t="s">
        <v>254</v>
      </c>
      <c r="I418" t="s">
        <v>242</v>
      </c>
      <c r="J418" t="s">
        <v>235</v>
      </c>
      <c r="K418" s="380">
        <v>36800</v>
      </c>
      <c r="L418" s="235">
        <v>-220876.0236242422</v>
      </c>
      <c r="M418" s="380">
        <v>36797</v>
      </c>
      <c r="N418" t="s">
        <v>1</v>
      </c>
      <c r="O418">
        <v>0.55000000000000004</v>
      </c>
      <c r="P418">
        <v>0</v>
      </c>
      <c r="Q418">
        <v>0</v>
      </c>
      <c r="R418">
        <v>0</v>
      </c>
      <c r="S418">
        <v>0</v>
      </c>
      <c r="T418" t="s">
        <v>253</v>
      </c>
      <c r="U418" t="s">
        <v>7</v>
      </c>
      <c r="V418" t="s">
        <v>253</v>
      </c>
      <c r="W418" t="s">
        <v>132</v>
      </c>
      <c r="X418" t="s">
        <v>253</v>
      </c>
      <c r="Y418" t="s">
        <v>235</v>
      </c>
      <c r="Z418" t="s">
        <v>236</v>
      </c>
      <c r="AA418" t="s">
        <v>253</v>
      </c>
      <c r="AB418" t="s">
        <v>1</v>
      </c>
      <c r="AC418" s="235">
        <v>-1550000</v>
      </c>
      <c r="AD418" s="235">
        <v>-5167.6397788133472</v>
      </c>
      <c r="AE418">
        <v>0</v>
      </c>
      <c r="AF418">
        <v>0</v>
      </c>
      <c r="AG418">
        <v>0</v>
      </c>
      <c r="AH418" s="235">
        <v>-299.09381671537994</v>
      </c>
      <c r="AI418">
        <v>226</v>
      </c>
      <c r="AJ418" t="s">
        <v>256</v>
      </c>
      <c r="AK418">
        <v>0</v>
      </c>
      <c r="AL418">
        <v>0</v>
      </c>
      <c r="AM418">
        <v>0</v>
      </c>
    </row>
    <row r="419" spans="1:39" x14ac:dyDescent="0.25">
      <c r="A419" t="s">
        <v>233</v>
      </c>
      <c r="B419" t="s">
        <v>485</v>
      </c>
      <c r="C419" t="s">
        <v>255</v>
      </c>
      <c r="D419" t="s">
        <v>234</v>
      </c>
      <c r="E419" t="s">
        <v>20</v>
      </c>
      <c r="F419" t="s">
        <v>279</v>
      </c>
      <c r="G419" t="s">
        <v>269</v>
      </c>
      <c r="H419" t="s">
        <v>254</v>
      </c>
      <c r="I419" t="s">
        <v>242</v>
      </c>
      <c r="J419" t="s">
        <v>235</v>
      </c>
      <c r="K419" s="380">
        <v>36951</v>
      </c>
      <c r="L419" s="235">
        <v>92833.265753445434</v>
      </c>
      <c r="M419" s="380">
        <v>36949</v>
      </c>
      <c r="N419" t="s">
        <v>21</v>
      </c>
      <c r="O419">
        <v>2.2999999999999998</v>
      </c>
      <c r="P419">
        <v>0</v>
      </c>
      <c r="Q419">
        <v>0</v>
      </c>
      <c r="R419">
        <v>0</v>
      </c>
      <c r="S419">
        <v>0</v>
      </c>
      <c r="T419" t="s">
        <v>253</v>
      </c>
      <c r="U419" t="s">
        <v>7</v>
      </c>
      <c r="V419" t="s">
        <v>253</v>
      </c>
      <c r="W419" t="s">
        <v>132</v>
      </c>
      <c r="X419" t="s">
        <v>253</v>
      </c>
      <c r="Y419" t="s">
        <v>235</v>
      </c>
      <c r="Z419" t="s">
        <v>236</v>
      </c>
      <c r="AA419" t="s">
        <v>253</v>
      </c>
      <c r="AB419" t="s">
        <v>1</v>
      </c>
      <c r="AC419" s="235">
        <v>500000</v>
      </c>
      <c r="AD419" s="235">
        <v>31360.018317975511</v>
      </c>
      <c r="AE419">
        <v>0</v>
      </c>
      <c r="AF419">
        <v>0</v>
      </c>
      <c r="AG419">
        <v>0</v>
      </c>
      <c r="AH419" s="235">
        <v>8899.7221304267587</v>
      </c>
      <c r="AI419">
        <v>226</v>
      </c>
      <c r="AJ419" t="s">
        <v>256</v>
      </c>
      <c r="AK419">
        <v>0</v>
      </c>
      <c r="AL419">
        <v>0</v>
      </c>
      <c r="AM419">
        <v>0</v>
      </c>
    </row>
    <row r="420" spans="1:39" x14ac:dyDescent="0.25">
      <c r="A420" t="s">
        <v>233</v>
      </c>
      <c r="B420" t="s">
        <v>485</v>
      </c>
      <c r="C420" t="s">
        <v>255</v>
      </c>
      <c r="D420" t="s">
        <v>234</v>
      </c>
      <c r="E420" t="s">
        <v>20</v>
      </c>
      <c r="F420" t="s">
        <v>279</v>
      </c>
      <c r="G420" t="s">
        <v>269</v>
      </c>
      <c r="H420" t="s">
        <v>254</v>
      </c>
      <c r="I420" t="s">
        <v>242</v>
      </c>
      <c r="J420" t="s">
        <v>235</v>
      </c>
      <c r="K420" s="380">
        <v>36923</v>
      </c>
      <c r="L420" s="235">
        <v>302046.49862419901</v>
      </c>
      <c r="M420" s="380">
        <v>36921</v>
      </c>
      <c r="N420" t="s">
        <v>21</v>
      </c>
      <c r="O420">
        <v>2.2999999999999998</v>
      </c>
      <c r="P420">
        <v>0</v>
      </c>
      <c r="Q420">
        <v>0</v>
      </c>
      <c r="R420">
        <v>0</v>
      </c>
      <c r="S420">
        <v>0</v>
      </c>
      <c r="T420" t="s">
        <v>253</v>
      </c>
      <c r="U420" t="s">
        <v>7</v>
      </c>
      <c r="V420" t="s">
        <v>253</v>
      </c>
      <c r="W420" t="s">
        <v>132</v>
      </c>
      <c r="X420" t="s">
        <v>253</v>
      </c>
      <c r="Y420" t="s">
        <v>235</v>
      </c>
      <c r="Z420" t="s">
        <v>236</v>
      </c>
      <c r="AA420" t="s">
        <v>253</v>
      </c>
      <c r="AB420" t="s">
        <v>1</v>
      </c>
      <c r="AC420" s="235">
        <v>500000</v>
      </c>
      <c r="AD420" s="235">
        <v>42341.408086504001</v>
      </c>
      <c r="AE420">
        <v>0</v>
      </c>
      <c r="AF420">
        <v>0</v>
      </c>
      <c r="AG420">
        <v>0</v>
      </c>
      <c r="AH420" s="235">
        <v>19173.634903517261</v>
      </c>
      <c r="AI420">
        <v>226</v>
      </c>
      <c r="AJ420" t="s">
        <v>256</v>
      </c>
      <c r="AK420">
        <v>0</v>
      </c>
      <c r="AL420">
        <v>0</v>
      </c>
      <c r="AM420">
        <v>0</v>
      </c>
    </row>
    <row r="421" spans="1:39" x14ac:dyDescent="0.25">
      <c r="A421" t="s">
        <v>233</v>
      </c>
      <c r="B421" t="s">
        <v>485</v>
      </c>
      <c r="C421" t="s">
        <v>255</v>
      </c>
      <c r="D421" t="s">
        <v>234</v>
      </c>
      <c r="E421" t="s">
        <v>20</v>
      </c>
      <c r="F421" t="s">
        <v>279</v>
      </c>
      <c r="G421" t="s">
        <v>269</v>
      </c>
      <c r="H421" t="s">
        <v>254</v>
      </c>
      <c r="I421" t="s">
        <v>242</v>
      </c>
      <c r="J421" t="s">
        <v>235</v>
      </c>
      <c r="K421" s="380">
        <v>36892</v>
      </c>
      <c r="L421" s="235">
        <v>301770.06432981259</v>
      </c>
      <c r="M421" s="380">
        <v>36888</v>
      </c>
      <c r="N421" t="s">
        <v>21</v>
      </c>
      <c r="O421">
        <v>2.2999999999999998</v>
      </c>
      <c r="P421">
        <v>0</v>
      </c>
      <c r="Q421">
        <v>0</v>
      </c>
      <c r="R421">
        <v>0</v>
      </c>
      <c r="S421">
        <v>0</v>
      </c>
      <c r="T421" t="s">
        <v>253</v>
      </c>
      <c r="U421" t="s">
        <v>7</v>
      </c>
      <c r="V421" t="s">
        <v>253</v>
      </c>
      <c r="W421" t="s">
        <v>132</v>
      </c>
      <c r="X421" t="s">
        <v>253</v>
      </c>
      <c r="Y421" t="s">
        <v>235</v>
      </c>
      <c r="Z421" t="s">
        <v>236</v>
      </c>
      <c r="AA421" t="s">
        <v>253</v>
      </c>
      <c r="AB421" t="s">
        <v>1</v>
      </c>
      <c r="AC421" s="235">
        <v>500000</v>
      </c>
      <c r="AD421" s="235">
        <v>38972.259944287012</v>
      </c>
      <c r="AE421">
        <v>0</v>
      </c>
      <c r="AF421">
        <v>0</v>
      </c>
      <c r="AG421">
        <v>0</v>
      </c>
      <c r="AH421" s="235">
        <v>16969.909430017811</v>
      </c>
      <c r="AI421">
        <v>226</v>
      </c>
      <c r="AJ421" t="s">
        <v>256</v>
      </c>
      <c r="AK421">
        <v>0</v>
      </c>
      <c r="AL421">
        <v>0</v>
      </c>
      <c r="AM421">
        <v>0</v>
      </c>
    </row>
    <row r="422" spans="1:39" x14ac:dyDescent="0.25">
      <c r="A422" t="s">
        <v>233</v>
      </c>
      <c r="B422" t="s">
        <v>485</v>
      </c>
      <c r="C422" t="s">
        <v>255</v>
      </c>
      <c r="D422" t="s">
        <v>234</v>
      </c>
      <c r="E422" t="s">
        <v>20</v>
      </c>
      <c r="F422" t="s">
        <v>279</v>
      </c>
      <c r="G422" t="s">
        <v>269</v>
      </c>
      <c r="H422" t="s">
        <v>254</v>
      </c>
      <c r="I422" t="s">
        <v>242</v>
      </c>
      <c r="J422" t="s">
        <v>235</v>
      </c>
      <c r="K422" s="380">
        <v>36861</v>
      </c>
      <c r="L422" s="235">
        <v>147649.37486149947</v>
      </c>
      <c r="M422" s="380">
        <v>36859</v>
      </c>
      <c r="N422" t="s">
        <v>21</v>
      </c>
      <c r="O422">
        <v>2.2999999999999998</v>
      </c>
      <c r="P422">
        <v>0</v>
      </c>
      <c r="Q422">
        <v>0</v>
      </c>
      <c r="R422">
        <v>0</v>
      </c>
      <c r="S422">
        <v>0</v>
      </c>
      <c r="T422" t="s">
        <v>253</v>
      </c>
      <c r="U422" t="s">
        <v>7</v>
      </c>
      <c r="V422" t="s">
        <v>253</v>
      </c>
      <c r="W422" t="s">
        <v>132</v>
      </c>
      <c r="X422" t="s">
        <v>253</v>
      </c>
      <c r="Y422" t="s">
        <v>235</v>
      </c>
      <c r="Z422" t="s">
        <v>236</v>
      </c>
      <c r="AA422" t="s">
        <v>253</v>
      </c>
      <c r="AB422" t="s">
        <v>1</v>
      </c>
      <c r="AC422" s="235">
        <v>500000</v>
      </c>
      <c r="AD422" s="235">
        <v>31125.488100466726</v>
      </c>
      <c r="AE422">
        <v>0</v>
      </c>
      <c r="AF422">
        <v>0</v>
      </c>
      <c r="AG422">
        <v>0</v>
      </c>
      <c r="AH422" s="235">
        <v>9500.6963118032727</v>
      </c>
      <c r="AI422">
        <v>226</v>
      </c>
      <c r="AJ422" t="s">
        <v>256</v>
      </c>
      <c r="AK422">
        <v>0</v>
      </c>
      <c r="AL422">
        <v>0</v>
      </c>
      <c r="AM422">
        <v>0</v>
      </c>
    </row>
    <row r="423" spans="1:39" x14ac:dyDescent="0.25">
      <c r="A423" t="s">
        <v>233</v>
      </c>
      <c r="B423" t="s">
        <v>485</v>
      </c>
      <c r="C423" t="s">
        <v>255</v>
      </c>
      <c r="D423" t="s">
        <v>234</v>
      </c>
      <c r="E423" t="s">
        <v>20</v>
      </c>
      <c r="F423" t="s">
        <v>279</v>
      </c>
      <c r="G423" t="s">
        <v>269</v>
      </c>
      <c r="H423" t="s">
        <v>254</v>
      </c>
      <c r="I423" t="s">
        <v>242</v>
      </c>
      <c r="J423" t="s">
        <v>235</v>
      </c>
      <c r="K423" s="380">
        <v>36831</v>
      </c>
      <c r="L423" s="235">
        <v>5115.8934047592784</v>
      </c>
      <c r="M423" s="380">
        <v>36829</v>
      </c>
      <c r="N423" t="s">
        <v>21</v>
      </c>
      <c r="O423">
        <v>2.2999999999999998</v>
      </c>
      <c r="P423">
        <v>0</v>
      </c>
      <c r="Q423">
        <v>0</v>
      </c>
      <c r="R423">
        <v>0</v>
      </c>
      <c r="S423">
        <v>0</v>
      </c>
      <c r="T423" t="s">
        <v>253</v>
      </c>
      <c r="U423" t="s">
        <v>7</v>
      </c>
      <c r="V423" t="s">
        <v>253</v>
      </c>
      <c r="W423" t="s">
        <v>132</v>
      </c>
      <c r="X423" t="s">
        <v>253</v>
      </c>
      <c r="Y423" t="s">
        <v>235</v>
      </c>
      <c r="Z423" t="s">
        <v>236</v>
      </c>
      <c r="AA423" t="s">
        <v>253</v>
      </c>
      <c r="AB423" t="s">
        <v>1</v>
      </c>
      <c r="AC423" s="235">
        <v>500000</v>
      </c>
      <c r="AD423" s="235">
        <v>3765.2887384887126</v>
      </c>
      <c r="AE423">
        <v>0</v>
      </c>
      <c r="AF423">
        <v>0</v>
      </c>
      <c r="AG423">
        <v>0</v>
      </c>
      <c r="AH423" s="235">
        <v>943.64713809198292</v>
      </c>
      <c r="AI423">
        <v>226</v>
      </c>
      <c r="AJ423" t="s">
        <v>256</v>
      </c>
      <c r="AK423">
        <v>0</v>
      </c>
      <c r="AL423">
        <v>0</v>
      </c>
      <c r="AM423">
        <v>0</v>
      </c>
    </row>
    <row r="424" spans="1:39" x14ac:dyDescent="0.25">
      <c r="A424" t="s">
        <v>233</v>
      </c>
      <c r="B424" t="s">
        <v>486</v>
      </c>
      <c r="C424" t="s">
        <v>255</v>
      </c>
      <c r="D424" t="s">
        <v>234</v>
      </c>
      <c r="E424" t="s">
        <v>20</v>
      </c>
      <c r="F424" t="s">
        <v>320</v>
      </c>
      <c r="G424" t="s">
        <v>269</v>
      </c>
      <c r="H424" t="s">
        <v>254</v>
      </c>
      <c r="I424" t="s">
        <v>242</v>
      </c>
      <c r="J424" t="s">
        <v>235</v>
      </c>
      <c r="K424" s="380">
        <v>36951</v>
      </c>
      <c r="L424" s="235">
        <v>439193.57484196319</v>
      </c>
      <c r="M424" s="380">
        <v>36949</v>
      </c>
      <c r="N424" t="s">
        <v>1</v>
      </c>
      <c r="O424">
        <v>0.95</v>
      </c>
      <c r="P424">
        <v>0</v>
      </c>
      <c r="Q424">
        <v>0</v>
      </c>
      <c r="R424">
        <v>0</v>
      </c>
      <c r="S424">
        <v>0</v>
      </c>
      <c r="T424" t="s">
        <v>253</v>
      </c>
      <c r="U424" t="s">
        <v>7</v>
      </c>
      <c r="V424" t="s">
        <v>253</v>
      </c>
      <c r="W424" t="s">
        <v>132</v>
      </c>
      <c r="X424" t="s">
        <v>253</v>
      </c>
      <c r="Y424" t="s">
        <v>235</v>
      </c>
      <c r="Z424" t="s">
        <v>236</v>
      </c>
      <c r="AA424" t="s">
        <v>253</v>
      </c>
      <c r="AB424" t="s">
        <v>1</v>
      </c>
      <c r="AC424" s="235">
        <v>1000000</v>
      </c>
      <c r="AD424" s="235">
        <v>88919.377864861221</v>
      </c>
      <c r="AE424">
        <v>0</v>
      </c>
      <c r="AF424">
        <v>0</v>
      </c>
      <c r="AG424">
        <v>0</v>
      </c>
      <c r="AH424" s="235">
        <v>-19838.183083816606</v>
      </c>
      <c r="AI424">
        <v>226</v>
      </c>
      <c r="AJ424" t="s">
        <v>256</v>
      </c>
      <c r="AK424">
        <v>0</v>
      </c>
      <c r="AL424">
        <v>0</v>
      </c>
      <c r="AM424">
        <v>0</v>
      </c>
    </row>
    <row r="425" spans="1:39" x14ac:dyDescent="0.25">
      <c r="A425" t="s">
        <v>233</v>
      </c>
      <c r="B425" t="s">
        <v>486</v>
      </c>
      <c r="C425" t="s">
        <v>255</v>
      </c>
      <c r="D425" t="s">
        <v>234</v>
      </c>
      <c r="E425" t="s">
        <v>20</v>
      </c>
      <c r="F425" t="s">
        <v>320</v>
      </c>
      <c r="G425" t="s">
        <v>269</v>
      </c>
      <c r="H425" t="s">
        <v>254</v>
      </c>
      <c r="I425" t="s">
        <v>242</v>
      </c>
      <c r="J425" t="s">
        <v>235</v>
      </c>
      <c r="K425" s="380">
        <v>36923</v>
      </c>
      <c r="L425" s="235">
        <v>190761.07387737962</v>
      </c>
      <c r="M425" s="380">
        <v>36921</v>
      </c>
      <c r="N425" t="s">
        <v>1</v>
      </c>
      <c r="O425">
        <v>0.95</v>
      </c>
      <c r="P425">
        <v>0</v>
      </c>
      <c r="Q425">
        <v>0</v>
      </c>
      <c r="R425">
        <v>0</v>
      </c>
      <c r="S425">
        <v>0</v>
      </c>
      <c r="T425" t="s">
        <v>253</v>
      </c>
      <c r="U425" t="s">
        <v>7</v>
      </c>
      <c r="V425" t="s">
        <v>253</v>
      </c>
      <c r="W425" t="s">
        <v>132</v>
      </c>
      <c r="X425" t="s">
        <v>253</v>
      </c>
      <c r="Y425" t="s">
        <v>235</v>
      </c>
      <c r="Z425" t="s">
        <v>236</v>
      </c>
      <c r="AA425" t="s">
        <v>253</v>
      </c>
      <c r="AB425" t="s">
        <v>1</v>
      </c>
      <c r="AC425" s="235">
        <v>1000000</v>
      </c>
      <c r="AD425" s="235">
        <v>68957.811988938804</v>
      </c>
      <c r="AE425">
        <v>0</v>
      </c>
      <c r="AF425">
        <v>0</v>
      </c>
      <c r="AG425">
        <v>0</v>
      </c>
      <c r="AH425" s="235">
        <v>-9846.6261578735721</v>
      </c>
      <c r="AI425">
        <v>226</v>
      </c>
      <c r="AJ425" t="s">
        <v>256</v>
      </c>
      <c r="AK425">
        <v>0</v>
      </c>
      <c r="AL425">
        <v>0</v>
      </c>
      <c r="AM425">
        <v>0</v>
      </c>
    </row>
    <row r="426" spans="1:39" x14ac:dyDescent="0.25">
      <c r="A426" t="s">
        <v>233</v>
      </c>
      <c r="B426" t="s">
        <v>486</v>
      </c>
      <c r="C426" t="s">
        <v>255</v>
      </c>
      <c r="D426" t="s">
        <v>234</v>
      </c>
      <c r="E426" t="s">
        <v>20</v>
      </c>
      <c r="F426" t="s">
        <v>320</v>
      </c>
      <c r="G426" t="s">
        <v>269</v>
      </c>
      <c r="H426" t="s">
        <v>254</v>
      </c>
      <c r="I426" t="s">
        <v>242</v>
      </c>
      <c r="J426" t="s">
        <v>235</v>
      </c>
      <c r="K426" s="380">
        <v>36892</v>
      </c>
      <c r="L426" s="235">
        <v>154296.15312093103</v>
      </c>
      <c r="M426" s="380">
        <v>36888</v>
      </c>
      <c r="N426" t="s">
        <v>1</v>
      </c>
      <c r="O426">
        <v>0.95</v>
      </c>
      <c r="P426">
        <v>0</v>
      </c>
      <c r="Q426">
        <v>0</v>
      </c>
      <c r="R426">
        <v>0</v>
      </c>
      <c r="S426">
        <v>0</v>
      </c>
      <c r="T426" t="s">
        <v>253</v>
      </c>
      <c r="U426" t="s">
        <v>7</v>
      </c>
      <c r="V426" t="s">
        <v>253</v>
      </c>
      <c r="W426" t="s">
        <v>132</v>
      </c>
      <c r="X426" t="s">
        <v>253</v>
      </c>
      <c r="Y426" t="s">
        <v>235</v>
      </c>
      <c r="Z426" t="s">
        <v>236</v>
      </c>
      <c r="AA426" t="s">
        <v>253</v>
      </c>
      <c r="AB426" t="s">
        <v>1</v>
      </c>
      <c r="AC426" s="235">
        <v>1000000</v>
      </c>
      <c r="AD426" s="235">
        <v>58574.150650883355</v>
      </c>
      <c r="AE426">
        <v>0</v>
      </c>
      <c r="AF426">
        <v>0</v>
      </c>
      <c r="AG426">
        <v>0</v>
      </c>
      <c r="AH426" s="235">
        <v>-7225.3304749372473</v>
      </c>
      <c r="AI426">
        <v>226</v>
      </c>
      <c r="AJ426" t="s">
        <v>256</v>
      </c>
      <c r="AK426">
        <v>0</v>
      </c>
      <c r="AL426">
        <v>0</v>
      </c>
      <c r="AM426">
        <v>0</v>
      </c>
    </row>
    <row r="427" spans="1:39" x14ac:dyDescent="0.25">
      <c r="A427" t="s">
        <v>233</v>
      </c>
      <c r="B427" t="s">
        <v>486</v>
      </c>
      <c r="C427" t="s">
        <v>255</v>
      </c>
      <c r="D427" t="s">
        <v>234</v>
      </c>
      <c r="E427" t="s">
        <v>20</v>
      </c>
      <c r="F427" t="s">
        <v>320</v>
      </c>
      <c r="G427" t="s">
        <v>269</v>
      </c>
      <c r="H427" t="s">
        <v>254</v>
      </c>
      <c r="I427" t="s">
        <v>242</v>
      </c>
      <c r="J427" t="s">
        <v>235</v>
      </c>
      <c r="K427" s="380">
        <v>36861</v>
      </c>
      <c r="L427" s="235">
        <v>206779.59023365367</v>
      </c>
      <c r="M427" s="380">
        <v>36859</v>
      </c>
      <c r="N427" t="s">
        <v>1</v>
      </c>
      <c r="O427">
        <v>0.95</v>
      </c>
      <c r="P427">
        <v>0</v>
      </c>
      <c r="Q427">
        <v>0</v>
      </c>
      <c r="R427">
        <v>0</v>
      </c>
      <c r="S427">
        <v>0</v>
      </c>
      <c r="T427" t="s">
        <v>253</v>
      </c>
      <c r="U427" t="s">
        <v>7</v>
      </c>
      <c r="V427" t="s">
        <v>253</v>
      </c>
      <c r="W427" t="s">
        <v>132</v>
      </c>
      <c r="X427" t="s">
        <v>253</v>
      </c>
      <c r="Y427" t="s">
        <v>235</v>
      </c>
      <c r="Z427" t="s">
        <v>236</v>
      </c>
      <c r="AA427" t="s">
        <v>253</v>
      </c>
      <c r="AB427" t="s">
        <v>1</v>
      </c>
      <c r="AC427" s="235">
        <v>1000000</v>
      </c>
      <c r="AD427" s="235">
        <v>62140.966342002706</v>
      </c>
      <c r="AE427">
        <v>0</v>
      </c>
      <c r="AF427">
        <v>0</v>
      </c>
      <c r="AG427">
        <v>0</v>
      </c>
      <c r="AH427" s="235">
        <v>-8118.973104463279</v>
      </c>
      <c r="AI427">
        <v>226</v>
      </c>
      <c r="AJ427" t="s">
        <v>256</v>
      </c>
      <c r="AK427">
        <v>0</v>
      </c>
      <c r="AL427">
        <v>0</v>
      </c>
      <c r="AM427">
        <v>0</v>
      </c>
    </row>
    <row r="428" spans="1:39" x14ac:dyDescent="0.25">
      <c r="A428" t="s">
        <v>233</v>
      </c>
      <c r="B428" t="s">
        <v>486</v>
      </c>
      <c r="C428" t="s">
        <v>255</v>
      </c>
      <c r="D428" t="s">
        <v>234</v>
      </c>
      <c r="E428" t="s">
        <v>20</v>
      </c>
      <c r="F428" t="s">
        <v>320</v>
      </c>
      <c r="G428" t="s">
        <v>269</v>
      </c>
      <c r="H428" t="s">
        <v>254</v>
      </c>
      <c r="I428" t="s">
        <v>242</v>
      </c>
      <c r="J428" t="s">
        <v>235</v>
      </c>
      <c r="K428" s="380">
        <v>36831</v>
      </c>
      <c r="L428" s="235">
        <v>365285.37794140994</v>
      </c>
      <c r="M428" s="380">
        <v>36829</v>
      </c>
      <c r="N428" t="s">
        <v>1</v>
      </c>
      <c r="O428">
        <v>0.95</v>
      </c>
      <c r="P428">
        <v>0</v>
      </c>
      <c r="Q428">
        <v>0</v>
      </c>
      <c r="R428">
        <v>0</v>
      </c>
      <c r="S428">
        <v>0</v>
      </c>
      <c r="T428" t="s">
        <v>253</v>
      </c>
      <c r="U428" t="s">
        <v>7</v>
      </c>
      <c r="V428" t="s">
        <v>253</v>
      </c>
      <c r="W428" t="s">
        <v>132</v>
      </c>
      <c r="X428" t="s">
        <v>253</v>
      </c>
      <c r="Y428" t="s">
        <v>235</v>
      </c>
      <c r="Z428" t="s">
        <v>236</v>
      </c>
      <c r="AA428" t="s">
        <v>253</v>
      </c>
      <c r="AB428" t="s">
        <v>1</v>
      </c>
      <c r="AC428" s="235">
        <v>1000000</v>
      </c>
      <c r="AD428" s="235">
        <v>42890.904280145071</v>
      </c>
      <c r="AE428">
        <v>0</v>
      </c>
      <c r="AF428">
        <v>0</v>
      </c>
      <c r="AG428">
        <v>0</v>
      </c>
      <c r="AH428" s="235">
        <v>-21052.313090910611</v>
      </c>
      <c r="AI428">
        <v>226</v>
      </c>
      <c r="AJ428" t="s">
        <v>256</v>
      </c>
      <c r="AK428">
        <v>0</v>
      </c>
      <c r="AL428">
        <v>0</v>
      </c>
      <c r="AM428">
        <v>0</v>
      </c>
    </row>
    <row r="429" spans="1:39" x14ac:dyDescent="0.25">
      <c r="A429" t="s">
        <v>233</v>
      </c>
      <c r="B429" t="s">
        <v>488</v>
      </c>
      <c r="C429" t="s">
        <v>255</v>
      </c>
      <c r="D429" t="s">
        <v>234</v>
      </c>
      <c r="E429" t="s">
        <v>20</v>
      </c>
      <c r="F429" t="s">
        <v>324</v>
      </c>
      <c r="G429" t="s">
        <v>269</v>
      </c>
      <c r="H429" t="s">
        <v>254</v>
      </c>
      <c r="I429" t="s">
        <v>242</v>
      </c>
      <c r="J429" t="s">
        <v>235</v>
      </c>
      <c r="K429" s="380">
        <v>36951</v>
      </c>
      <c r="L429" s="235">
        <v>-16936.137096525676</v>
      </c>
      <c r="M429" s="380">
        <v>36949</v>
      </c>
      <c r="N429" t="s">
        <v>21</v>
      </c>
      <c r="O429">
        <v>0.35</v>
      </c>
      <c r="P429">
        <v>0</v>
      </c>
      <c r="Q429">
        <v>0</v>
      </c>
      <c r="R429">
        <v>0</v>
      </c>
      <c r="S429">
        <v>0</v>
      </c>
      <c r="T429" t="s">
        <v>253</v>
      </c>
      <c r="U429" t="s">
        <v>487</v>
      </c>
      <c r="V429" t="s">
        <v>253</v>
      </c>
      <c r="W429" t="s">
        <v>132</v>
      </c>
      <c r="X429" t="s">
        <v>253</v>
      </c>
      <c r="Y429" t="s">
        <v>235</v>
      </c>
      <c r="Z429" t="s">
        <v>236</v>
      </c>
      <c r="AA429" t="s">
        <v>253</v>
      </c>
      <c r="AB429" t="s">
        <v>1</v>
      </c>
      <c r="AC429" s="235">
        <v>-500000</v>
      </c>
      <c r="AD429" s="235">
        <v>-5136.0745037405286</v>
      </c>
      <c r="AE429">
        <v>0</v>
      </c>
      <c r="AF429">
        <v>0</v>
      </c>
      <c r="AG429">
        <v>0</v>
      </c>
      <c r="AH429" s="235">
        <v>-956.10264254461617</v>
      </c>
      <c r="AI429">
        <v>226</v>
      </c>
      <c r="AJ429" t="s">
        <v>256</v>
      </c>
      <c r="AK429">
        <v>0</v>
      </c>
      <c r="AL429">
        <v>0</v>
      </c>
      <c r="AM429">
        <v>0</v>
      </c>
    </row>
    <row r="430" spans="1:39" x14ac:dyDescent="0.25">
      <c r="A430" t="s">
        <v>233</v>
      </c>
      <c r="B430" t="s">
        <v>488</v>
      </c>
      <c r="C430" t="s">
        <v>255</v>
      </c>
      <c r="D430" t="s">
        <v>234</v>
      </c>
      <c r="E430" t="s">
        <v>20</v>
      </c>
      <c r="F430" t="s">
        <v>324</v>
      </c>
      <c r="G430" t="s">
        <v>269</v>
      </c>
      <c r="H430" t="s">
        <v>254</v>
      </c>
      <c r="I430" t="s">
        <v>242</v>
      </c>
      <c r="J430" t="s">
        <v>235</v>
      </c>
      <c r="K430" s="380">
        <v>36923</v>
      </c>
      <c r="L430" s="235">
        <v>-21185.90963960662</v>
      </c>
      <c r="M430" s="380">
        <v>36921</v>
      </c>
      <c r="N430" t="s">
        <v>21</v>
      </c>
      <c r="O430">
        <v>0.35</v>
      </c>
      <c r="P430">
        <v>0</v>
      </c>
      <c r="Q430">
        <v>0</v>
      </c>
      <c r="R430">
        <v>0</v>
      </c>
      <c r="S430">
        <v>0</v>
      </c>
      <c r="T430" t="s">
        <v>253</v>
      </c>
      <c r="U430" t="s">
        <v>487</v>
      </c>
      <c r="V430" t="s">
        <v>253</v>
      </c>
      <c r="W430" t="s">
        <v>132</v>
      </c>
      <c r="X430" t="s">
        <v>253</v>
      </c>
      <c r="Y430" t="s">
        <v>235</v>
      </c>
      <c r="Z430" t="s">
        <v>236</v>
      </c>
      <c r="AA430" t="s">
        <v>253</v>
      </c>
      <c r="AB430" t="s">
        <v>1</v>
      </c>
      <c r="AC430" s="235">
        <v>-500000</v>
      </c>
      <c r="AD430" s="235">
        <v>-5612.1108790035069</v>
      </c>
      <c r="AE430">
        <v>0</v>
      </c>
      <c r="AF430">
        <v>0</v>
      </c>
      <c r="AG430">
        <v>0</v>
      </c>
      <c r="AH430" s="235">
        <v>-1050.7645271084657</v>
      </c>
      <c r="AI430">
        <v>226</v>
      </c>
      <c r="AJ430" t="s">
        <v>256</v>
      </c>
      <c r="AK430">
        <v>0</v>
      </c>
      <c r="AL430">
        <v>0</v>
      </c>
      <c r="AM430">
        <v>0</v>
      </c>
    </row>
    <row r="431" spans="1:39" x14ac:dyDescent="0.25">
      <c r="A431" t="s">
        <v>233</v>
      </c>
      <c r="B431" t="s">
        <v>488</v>
      </c>
      <c r="C431" t="s">
        <v>255</v>
      </c>
      <c r="D431" t="s">
        <v>234</v>
      </c>
      <c r="E431" t="s">
        <v>20</v>
      </c>
      <c r="F431" t="s">
        <v>324</v>
      </c>
      <c r="G431" t="s">
        <v>269</v>
      </c>
      <c r="H431" t="s">
        <v>254</v>
      </c>
      <c r="I431" t="s">
        <v>242</v>
      </c>
      <c r="J431" t="s">
        <v>235</v>
      </c>
      <c r="K431" s="380">
        <v>36892</v>
      </c>
      <c r="L431" s="235">
        <v>-16079.445464357987</v>
      </c>
      <c r="M431" s="380">
        <v>36888</v>
      </c>
      <c r="N431" t="s">
        <v>21</v>
      </c>
      <c r="O431">
        <v>0.35</v>
      </c>
      <c r="P431">
        <v>0</v>
      </c>
      <c r="Q431">
        <v>0</v>
      </c>
      <c r="R431">
        <v>0</v>
      </c>
      <c r="S431">
        <v>0</v>
      </c>
      <c r="T431" t="s">
        <v>253</v>
      </c>
      <c r="U431" t="s">
        <v>487</v>
      </c>
      <c r="V431" t="s">
        <v>253</v>
      </c>
      <c r="W431" t="s">
        <v>132</v>
      </c>
      <c r="X431" t="s">
        <v>253</v>
      </c>
      <c r="Y431" t="s">
        <v>235</v>
      </c>
      <c r="Z431" t="s">
        <v>236</v>
      </c>
      <c r="AA431" t="s">
        <v>253</v>
      </c>
      <c r="AB431" t="s">
        <v>1</v>
      </c>
      <c r="AC431" s="235">
        <v>-500000</v>
      </c>
      <c r="AD431" s="235">
        <v>-4814.422326226646</v>
      </c>
      <c r="AE431">
        <v>0</v>
      </c>
      <c r="AF431">
        <v>0</v>
      </c>
      <c r="AG431">
        <v>0</v>
      </c>
      <c r="AH431" s="235">
        <v>-898.73467357575464</v>
      </c>
      <c r="AI431">
        <v>226</v>
      </c>
      <c r="AJ431" t="s">
        <v>256</v>
      </c>
      <c r="AK431">
        <v>0</v>
      </c>
      <c r="AL431">
        <v>0</v>
      </c>
      <c r="AM431">
        <v>0</v>
      </c>
    </row>
    <row r="432" spans="1:39" x14ac:dyDescent="0.25">
      <c r="A432" t="s">
        <v>233</v>
      </c>
      <c r="B432" t="s">
        <v>488</v>
      </c>
      <c r="C432" t="s">
        <v>255</v>
      </c>
      <c r="D432" t="s">
        <v>234</v>
      </c>
      <c r="E432" t="s">
        <v>20</v>
      </c>
      <c r="F432" t="s">
        <v>324</v>
      </c>
      <c r="G432" t="s">
        <v>269</v>
      </c>
      <c r="H432" t="s">
        <v>254</v>
      </c>
      <c r="I432" t="s">
        <v>242</v>
      </c>
      <c r="J432" t="s">
        <v>235</v>
      </c>
      <c r="K432" s="380">
        <v>36861</v>
      </c>
      <c r="L432" s="235">
        <v>-9082.0410223918298</v>
      </c>
      <c r="M432" s="380">
        <v>36859</v>
      </c>
      <c r="N432" t="s">
        <v>21</v>
      </c>
      <c r="O432">
        <v>0.35</v>
      </c>
      <c r="P432">
        <v>0</v>
      </c>
      <c r="Q432">
        <v>0</v>
      </c>
      <c r="R432">
        <v>0</v>
      </c>
      <c r="S432">
        <v>0</v>
      </c>
      <c r="T432" t="s">
        <v>253</v>
      </c>
      <c r="U432" t="s">
        <v>487</v>
      </c>
      <c r="V432" t="s">
        <v>253</v>
      </c>
      <c r="W432" t="s">
        <v>132</v>
      </c>
      <c r="X432" t="s">
        <v>253</v>
      </c>
      <c r="Y432" t="s">
        <v>235</v>
      </c>
      <c r="Z432" t="s">
        <v>236</v>
      </c>
      <c r="AA432" t="s">
        <v>253</v>
      </c>
      <c r="AB432" t="s">
        <v>1</v>
      </c>
      <c r="AC432" s="235">
        <v>-500000</v>
      </c>
      <c r="AD432" s="235">
        <v>-3499.0985136981326</v>
      </c>
      <c r="AE432">
        <v>0</v>
      </c>
      <c r="AF432">
        <v>0</v>
      </c>
      <c r="AG432">
        <v>0</v>
      </c>
      <c r="AH432" s="235">
        <v>-654.55703628300216</v>
      </c>
      <c r="AI432">
        <v>226</v>
      </c>
      <c r="AJ432" t="s">
        <v>256</v>
      </c>
      <c r="AK432">
        <v>0</v>
      </c>
      <c r="AL432">
        <v>0</v>
      </c>
      <c r="AM432">
        <v>0</v>
      </c>
    </row>
    <row r="433" spans="1:39" x14ac:dyDescent="0.25">
      <c r="A433" t="s">
        <v>233</v>
      </c>
      <c r="B433" t="s">
        <v>488</v>
      </c>
      <c r="C433" t="s">
        <v>255</v>
      </c>
      <c r="D433" t="s">
        <v>234</v>
      </c>
      <c r="E433" t="s">
        <v>20</v>
      </c>
      <c r="F433" t="s">
        <v>324</v>
      </c>
      <c r="G433" t="s">
        <v>269</v>
      </c>
      <c r="H433" t="s">
        <v>254</v>
      </c>
      <c r="I433" t="s">
        <v>242</v>
      </c>
      <c r="J433" t="s">
        <v>235</v>
      </c>
      <c r="K433" s="380">
        <v>36831</v>
      </c>
      <c r="L433" s="235">
        <v>-3550.6094644983277</v>
      </c>
      <c r="M433" s="380">
        <v>36829</v>
      </c>
      <c r="N433" t="s">
        <v>21</v>
      </c>
      <c r="O433">
        <v>0.35</v>
      </c>
      <c r="P433">
        <v>0</v>
      </c>
      <c r="Q433">
        <v>0</v>
      </c>
      <c r="R433">
        <v>0</v>
      </c>
      <c r="S433">
        <v>0</v>
      </c>
      <c r="T433" t="s">
        <v>253</v>
      </c>
      <c r="U433" t="s">
        <v>487</v>
      </c>
      <c r="V433" t="s">
        <v>253</v>
      </c>
      <c r="W433" t="s">
        <v>132</v>
      </c>
      <c r="X433" t="s">
        <v>253</v>
      </c>
      <c r="Y433" t="s">
        <v>235</v>
      </c>
      <c r="Z433" t="s">
        <v>236</v>
      </c>
      <c r="AA433" t="s">
        <v>253</v>
      </c>
      <c r="AB433" t="s">
        <v>1</v>
      </c>
      <c r="AC433" s="235">
        <v>-500000</v>
      </c>
      <c r="AD433" s="235">
        <v>-1936.9121984125086</v>
      </c>
      <c r="AE433">
        <v>0</v>
      </c>
      <c r="AF433">
        <v>0</v>
      </c>
      <c r="AG433">
        <v>0</v>
      </c>
      <c r="AH433" s="235">
        <v>-373.88152103667016</v>
      </c>
      <c r="AI433">
        <v>226</v>
      </c>
      <c r="AJ433" t="s">
        <v>256</v>
      </c>
      <c r="AK433">
        <v>0</v>
      </c>
      <c r="AL433">
        <v>0</v>
      </c>
      <c r="AM433">
        <v>0</v>
      </c>
    </row>
    <row r="434" spans="1:39" x14ac:dyDescent="0.25">
      <c r="A434" t="s">
        <v>233</v>
      </c>
      <c r="B434" t="s">
        <v>489</v>
      </c>
      <c r="C434" t="s">
        <v>255</v>
      </c>
      <c r="D434" t="s">
        <v>234</v>
      </c>
      <c r="E434" t="s">
        <v>20</v>
      </c>
      <c r="F434" t="s">
        <v>268</v>
      </c>
      <c r="G434" t="s">
        <v>269</v>
      </c>
      <c r="H434" t="s">
        <v>254</v>
      </c>
      <c r="I434" t="s">
        <v>242</v>
      </c>
      <c r="J434" t="s">
        <v>235</v>
      </c>
      <c r="K434" s="380">
        <v>36951</v>
      </c>
      <c r="L434" s="235">
        <v>-70390.60130209304</v>
      </c>
      <c r="M434" s="380">
        <v>36949</v>
      </c>
      <c r="N434" t="s">
        <v>1</v>
      </c>
      <c r="O434">
        <v>-0.4</v>
      </c>
      <c r="P434">
        <v>0</v>
      </c>
      <c r="Q434">
        <v>0</v>
      </c>
      <c r="R434">
        <v>0</v>
      </c>
      <c r="S434">
        <v>0</v>
      </c>
      <c r="T434" t="s">
        <v>253</v>
      </c>
      <c r="U434" t="s">
        <v>9</v>
      </c>
      <c r="V434" t="s">
        <v>253</v>
      </c>
      <c r="W434" t="s">
        <v>132</v>
      </c>
      <c r="X434" t="s">
        <v>253</v>
      </c>
      <c r="Y434" t="s">
        <v>235</v>
      </c>
      <c r="Z434" t="s">
        <v>236</v>
      </c>
      <c r="AA434" t="s">
        <v>253</v>
      </c>
      <c r="AB434" t="s">
        <v>1</v>
      </c>
      <c r="AC434" s="235">
        <v>-310000</v>
      </c>
      <c r="AD434" s="235">
        <v>-16085.712986745319</v>
      </c>
      <c r="AE434">
        <v>0</v>
      </c>
      <c r="AF434">
        <v>0</v>
      </c>
      <c r="AG434">
        <v>0</v>
      </c>
      <c r="AH434" s="235">
        <v>-6322.4040895628495</v>
      </c>
      <c r="AI434">
        <v>226</v>
      </c>
      <c r="AJ434" t="s">
        <v>256</v>
      </c>
      <c r="AK434">
        <v>0</v>
      </c>
      <c r="AL434">
        <v>0</v>
      </c>
      <c r="AM434">
        <v>0</v>
      </c>
    </row>
    <row r="435" spans="1:39" x14ac:dyDescent="0.25">
      <c r="A435" t="s">
        <v>233</v>
      </c>
      <c r="B435" t="s">
        <v>489</v>
      </c>
      <c r="C435" t="s">
        <v>255</v>
      </c>
      <c r="D435" t="s">
        <v>234</v>
      </c>
      <c r="E435" t="s">
        <v>20</v>
      </c>
      <c r="F435" t="s">
        <v>268</v>
      </c>
      <c r="G435" t="s">
        <v>269</v>
      </c>
      <c r="H435" t="s">
        <v>254</v>
      </c>
      <c r="I435" t="s">
        <v>242</v>
      </c>
      <c r="J435" t="s">
        <v>235</v>
      </c>
      <c r="K435" s="380">
        <v>36923</v>
      </c>
      <c r="L435" s="235">
        <v>-68174.180278968022</v>
      </c>
      <c r="M435" s="380">
        <v>36921</v>
      </c>
      <c r="N435" t="s">
        <v>1</v>
      </c>
      <c r="O435">
        <v>-0.4</v>
      </c>
      <c r="P435">
        <v>0</v>
      </c>
      <c r="Q435">
        <v>0</v>
      </c>
      <c r="R435">
        <v>0</v>
      </c>
      <c r="S435">
        <v>0</v>
      </c>
      <c r="T435" t="s">
        <v>253</v>
      </c>
      <c r="U435" t="s">
        <v>9</v>
      </c>
      <c r="V435" t="s">
        <v>253</v>
      </c>
      <c r="W435" t="s">
        <v>132</v>
      </c>
      <c r="X435" t="s">
        <v>253</v>
      </c>
      <c r="Y435" t="s">
        <v>235</v>
      </c>
      <c r="Z435" t="s">
        <v>236</v>
      </c>
      <c r="AA435" t="s">
        <v>253</v>
      </c>
      <c r="AB435" t="s">
        <v>1</v>
      </c>
      <c r="AC435" s="235">
        <v>-280000</v>
      </c>
      <c r="AD435" s="235">
        <v>-15011.246787384152</v>
      </c>
      <c r="AE435">
        <v>0</v>
      </c>
      <c r="AF435">
        <v>0</v>
      </c>
      <c r="AG435">
        <v>0</v>
      </c>
      <c r="AH435" s="235">
        <v>-5653.5223466890093</v>
      </c>
      <c r="AI435">
        <v>226</v>
      </c>
      <c r="AJ435" t="s">
        <v>256</v>
      </c>
      <c r="AK435">
        <v>0</v>
      </c>
      <c r="AL435">
        <v>0</v>
      </c>
      <c r="AM435">
        <v>0</v>
      </c>
    </row>
    <row r="436" spans="1:39" x14ac:dyDescent="0.25">
      <c r="A436" t="s">
        <v>233</v>
      </c>
      <c r="B436" t="s">
        <v>489</v>
      </c>
      <c r="C436" t="s">
        <v>255</v>
      </c>
      <c r="D436" t="s">
        <v>234</v>
      </c>
      <c r="E436" t="s">
        <v>20</v>
      </c>
      <c r="F436" t="s">
        <v>268</v>
      </c>
      <c r="G436" t="s">
        <v>269</v>
      </c>
      <c r="H436" t="s">
        <v>254</v>
      </c>
      <c r="I436" t="s">
        <v>242</v>
      </c>
      <c r="J436" t="s">
        <v>235</v>
      </c>
      <c r="K436" s="380">
        <v>36892</v>
      </c>
      <c r="L436" s="235">
        <v>-69836.127345507324</v>
      </c>
      <c r="M436" s="380">
        <v>36888</v>
      </c>
      <c r="N436" t="s">
        <v>1</v>
      </c>
      <c r="O436">
        <v>-0.4</v>
      </c>
      <c r="P436">
        <v>0</v>
      </c>
      <c r="Q436">
        <v>0</v>
      </c>
      <c r="R436">
        <v>0</v>
      </c>
      <c r="S436">
        <v>0</v>
      </c>
      <c r="T436" t="s">
        <v>253</v>
      </c>
      <c r="U436" t="s">
        <v>9</v>
      </c>
      <c r="V436" t="s">
        <v>253</v>
      </c>
      <c r="W436" t="s">
        <v>132</v>
      </c>
      <c r="X436" t="s">
        <v>253</v>
      </c>
      <c r="Y436" t="s">
        <v>235</v>
      </c>
      <c r="Z436" t="s">
        <v>236</v>
      </c>
      <c r="AA436" t="s">
        <v>253</v>
      </c>
      <c r="AB436" t="s">
        <v>1</v>
      </c>
      <c r="AC436" s="235">
        <v>-310000</v>
      </c>
      <c r="AD436" s="235">
        <v>-15184.846736838692</v>
      </c>
      <c r="AE436">
        <v>0</v>
      </c>
      <c r="AF436">
        <v>0</v>
      </c>
      <c r="AG436">
        <v>0</v>
      </c>
      <c r="AH436" s="235">
        <v>-6086.6135570694605</v>
      </c>
      <c r="AI436">
        <v>226</v>
      </c>
      <c r="AJ436" t="s">
        <v>256</v>
      </c>
      <c r="AK436">
        <v>0</v>
      </c>
      <c r="AL436">
        <v>0</v>
      </c>
      <c r="AM436">
        <v>0</v>
      </c>
    </row>
    <row r="437" spans="1:39" x14ac:dyDescent="0.25">
      <c r="A437" t="s">
        <v>233</v>
      </c>
      <c r="B437" t="s">
        <v>489</v>
      </c>
      <c r="C437" t="s">
        <v>255</v>
      </c>
      <c r="D437" t="s">
        <v>234</v>
      </c>
      <c r="E437" t="s">
        <v>20</v>
      </c>
      <c r="F437" t="s">
        <v>268</v>
      </c>
      <c r="G437" t="s">
        <v>269</v>
      </c>
      <c r="H437" t="s">
        <v>254</v>
      </c>
      <c r="I437" t="s">
        <v>242</v>
      </c>
      <c r="J437" t="s">
        <v>235</v>
      </c>
      <c r="K437" s="380">
        <v>36861</v>
      </c>
      <c r="L437" s="235">
        <v>-59532.253905652695</v>
      </c>
      <c r="M437" s="380">
        <v>36859</v>
      </c>
      <c r="N437" t="s">
        <v>1</v>
      </c>
      <c r="O437">
        <v>-0.4</v>
      </c>
      <c r="P437">
        <v>0</v>
      </c>
      <c r="Q437">
        <v>0</v>
      </c>
      <c r="R437">
        <v>0</v>
      </c>
      <c r="S437">
        <v>0</v>
      </c>
      <c r="T437" t="s">
        <v>253</v>
      </c>
      <c r="U437" t="s">
        <v>9</v>
      </c>
      <c r="V437" t="s">
        <v>253</v>
      </c>
      <c r="W437" t="s">
        <v>132</v>
      </c>
      <c r="X437" t="s">
        <v>253</v>
      </c>
      <c r="Y437" t="s">
        <v>235</v>
      </c>
      <c r="Z437" t="s">
        <v>236</v>
      </c>
      <c r="AA437" t="s">
        <v>253</v>
      </c>
      <c r="AB437" t="s">
        <v>1</v>
      </c>
      <c r="AC437" s="235">
        <v>-310000</v>
      </c>
      <c r="AD437" s="235">
        <v>-13209.966992948117</v>
      </c>
      <c r="AE437">
        <v>0</v>
      </c>
      <c r="AF437">
        <v>0</v>
      </c>
      <c r="AG437">
        <v>0</v>
      </c>
      <c r="AH437" s="235">
        <v>-5942.1145726394025</v>
      </c>
      <c r="AI437">
        <v>226</v>
      </c>
      <c r="AJ437" t="s">
        <v>256</v>
      </c>
      <c r="AK437">
        <v>0</v>
      </c>
      <c r="AL437">
        <v>0</v>
      </c>
      <c r="AM437">
        <v>0</v>
      </c>
    </row>
    <row r="438" spans="1:39" x14ac:dyDescent="0.25">
      <c r="A438" t="s">
        <v>233</v>
      </c>
      <c r="B438" t="s">
        <v>489</v>
      </c>
      <c r="C438" t="s">
        <v>255</v>
      </c>
      <c r="D438" t="s">
        <v>234</v>
      </c>
      <c r="E438" t="s">
        <v>20</v>
      </c>
      <c r="F438" t="s">
        <v>268</v>
      </c>
      <c r="G438" t="s">
        <v>269</v>
      </c>
      <c r="H438" t="s">
        <v>254</v>
      </c>
      <c r="I438" t="s">
        <v>242</v>
      </c>
      <c r="J438" t="s">
        <v>235</v>
      </c>
      <c r="K438" s="380">
        <v>36831</v>
      </c>
      <c r="L438" s="235">
        <v>-61675.110086339264</v>
      </c>
      <c r="M438" s="380">
        <v>36829</v>
      </c>
      <c r="N438" t="s">
        <v>1</v>
      </c>
      <c r="O438">
        <v>-0.4</v>
      </c>
      <c r="P438">
        <v>0</v>
      </c>
      <c r="Q438">
        <v>0</v>
      </c>
      <c r="R438">
        <v>0</v>
      </c>
      <c r="S438">
        <v>0</v>
      </c>
      <c r="T438" t="s">
        <v>253</v>
      </c>
      <c r="U438" t="s">
        <v>9</v>
      </c>
      <c r="V438" t="s">
        <v>253</v>
      </c>
      <c r="W438" t="s">
        <v>132</v>
      </c>
      <c r="X438" t="s">
        <v>253</v>
      </c>
      <c r="Y438" t="s">
        <v>235</v>
      </c>
      <c r="Z438" t="s">
        <v>236</v>
      </c>
      <c r="AA438" t="s">
        <v>253</v>
      </c>
      <c r="AB438" t="s">
        <v>1</v>
      </c>
      <c r="AC438" s="235">
        <v>-300000</v>
      </c>
      <c r="AD438" s="235">
        <v>-10372.883515720343</v>
      </c>
      <c r="AE438">
        <v>0</v>
      </c>
      <c r="AF438">
        <v>0</v>
      </c>
      <c r="AG438">
        <v>0</v>
      </c>
      <c r="AH438" s="235">
        <v>-6798.1049875639437</v>
      </c>
      <c r="AI438">
        <v>226</v>
      </c>
      <c r="AJ438" t="s">
        <v>256</v>
      </c>
      <c r="AK438">
        <v>0</v>
      </c>
      <c r="AL438">
        <v>0</v>
      </c>
      <c r="AM438">
        <v>0</v>
      </c>
    </row>
    <row r="439" spans="1:39" x14ac:dyDescent="0.25">
      <c r="A439" t="s">
        <v>233</v>
      </c>
      <c r="B439" t="s">
        <v>490</v>
      </c>
      <c r="C439" t="s">
        <v>255</v>
      </c>
      <c r="D439" t="s">
        <v>234</v>
      </c>
      <c r="E439" t="s">
        <v>20</v>
      </c>
      <c r="F439" t="s">
        <v>268</v>
      </c>
      <c r="G439" t="s">
        <v>269</v>
      </c>
      <c r="H439" t="s">
        <v>254</v>
      </c>
      <c r="I439" t="s">
        <v>242</v>
      </c>
      <c r="J439" t="s">
        <v>235</v>
      </c>
      <c r="K439" s="380">
        <v>36951</v>
      </c>
      <c r="L439" s="235">
        <v>31843.865956113681</v>
      </c>
      <c r="M439" s="380">
        <v>36949</v>
      </c>
      <c r="N439" t="s">
        <v>21</v>
      </c>
      <c r="O439">
        <v>-0.1</v>
      </c>
      <c r="P439">
        <v>0</v>
      </c>
      <c r="Q439">
        <v>0</v>
      </c>
      <c r="R439">
        <v>0</v>
      </c>
      <c r="S439">
        <v>0</v>
      </c>
      <c r="T439" t="s">
        <v>253</v>
      </c>
      <c r="U439" t="s">
        <v>9</v>
      </c>
      <c r="V439" t="s">
        <v>253</v>
      </c>
      <c r="W439" t="s">
        <v>132</v>
      </c>
      <c r="X439" t="s">
        <v>253</v>
      </c>
      <c r="Y439" t="s">
        <v>235</v>
      </c>
      <c r="Z439" t="s">
        <v>236</v>
      </c>
      <c r="AA439" t="s">
        <v>253</v>
      </c>
      <c r="AB439" t="s">
        <v>1</v>
      </c>
      <c r="AC439" s="235">
        <v>310000</v>
      </c>
      <c r="AD439" s="235">
        <v>14400.09207235786</v>
      </c>
      <c r="AE439">
        <v>0</v>
      </c>
      <c r="AF439">
        <v>0</v>
      </c>
      <c r="AG439">
        <v>0</v>
      </c>
      <c r="AH439" s="235">
        <v>-3266.1067842981429</v>
      </c>
      <c r="AI439">
        <v>226</v>
      </c>
      <c r="AJ439" t="s">
        <v>256</v>
      </c>
      <c r="AK439">
        <v>0</v>
      </c>
      <c r="AL439">
        <v>0</v>
      </c>
      <c r="AM439">
        <v>0</v>
      </c>
    </row>
    <row r="440" spans="1:39" x14ac:dyDescent="0.25">
      <c r="A440" t="s">
        <v>233</v>
      </c>
      <c r="B440" t="s">
        <v>490</v>
      </c>
      <c r="C440" t="s">
        <v>255</v>
      </c>
      <c r="D440" t="s">
        <v>234</v>
      </c>
      <c r="E440" t="s">
        <v>20</v>
      </c>
      <c r="F440" t="s">
        <v>268</v>
      </c>
      <c r="G440" t="s">
        <v>269</v>
      </c>
      <c r="H440" t="s">
        <v>254</v>
      </c>
      <c r="I440" t="s">
        <v>242</v>
      </c>
      <c r="J440" t="s">
        <v>235</v>
      </c>
      <c r="K440" s="380">
        <v>36923</v>
      </c>
      <c r="L440" s="235">
        <v>34757.855223994709</v>
      </c>
      <c r="M440" s="380">
        <v>36921</v>
      </c>
      <c r="N440" t="s">
        <v>21</v>
      </c>
      <c r="O440">
        <v>-0.1</v>
      </c>
      <c r="P440">
        <v>0</v>
      </c>
      <c r="Q440">
        <v>0</v>
      </c>
      <c r="R440">
        <v>0</v>
      </c>
      <c r="S440">
        <v>0</v>
      </c>
      <c r="T440" t="s">
        <v>253</v>
      </c>
      <c r="U440" t="s">
        <v>9</v>
      </c>
      <c r="V440" t="s">
        <v>253</v>
      </c>
      <c r="W440" t="s">
        <v>132</v>
      </c>
      <c r="X440" t="s">
        <v>253</v>
      </c>
      <c r="Y440" t="s">
        <v>235</v>
      </c>
      <c r="Z440" t="s">
        <v>236</v>
      </c>
      <c r="AA440" t="s">
        <v>253</v>
      </c>
      <c r="AB440" t="s">
        <v>1</v>
      </c>
      <c r="AC440" s="235">
        <v>280000</v>
      </c>
      <c r="AD440" s="235">
        <v>13809.804302716235</v>
      </c>
      <c r="AE440">
        <v>0</v>
      </c>
      <c r="AF440">
        <v>0</v>
      </c>
      <c r="AG440">
        <v>0</v>
      </c>
      <c r="AH440" s="235">
        <v>-3217.0205586756492</v>
      </c>
      <c r="AI440">
        <v>226</v>
      </c>
      <c r="AJ440" t="s">
        <v>256</v>
      </c>
      <c r="AK440">
        <v>0</v>
      </c>
      <c r="AL440">
        <v>0</v>
      </c>
      <c r="AM440">
        <v>0</v>
      </c>
    </row>
    <row r="441" spans="1:39" x14ac:dyDescent="0.25">
      <c r="A441" t="s">
        <v>233</v>
      </c>
      <c r="B441" t="s">
        <v>490</v>
      </c>
      <c r="C441" t="s">
        <v>255</v>
      </c>
      <c r="D441" t="s">
        <v>234</v>
      </c>
      <c r="E441" t="s">
        <v>20</v>
      </c>
      <c r="F441" t="s">
        <v>268</v>
      </c>
      <c r="G441" t="s">
        <v>269</v>
      </c>
      <c r="H441" t="s">
        <v>254</v>
      </c>
      <c r="I441" t="s">
        <v>242</v>
      </c>
      <c r="J441" t="s">
        <v>235</v>
      </c>
      <c r="K441" s="380">
        <v>36892</v>
      </c>
      <c r="L441" s="235">
        <v>38235.852934590694</v>
      </c>
      <c r="M441" s="380">
        <v>36888</v>
      </c>
      <c r="N441" t="s">
        <v>21</v>
      </c>
      <c r="O441">
        <v>-0.1</v>
      </c>
      <c r="P441">
        <v>0</v>
      </c>
      <c r="Q441">
        <v>0</v>
      </c>
      <c r="R441">
        <v>0</v>
      </c>
      <c r="S441">
        <v>0</v>
      </c>
      <c r="T441" t="s">
        <v>253</v>
      </c>
      <c r="U441" t="s">
        <v>9</v>
      </c>
      <c r="V441" t="s">
        <v>253</v>
      </c>
      <c r="W441" t="s">
        <v>132</v>
      </c>
      <c r="X441" t="s">
        <v>253</v>
      </c>
      <c r="Y441" t="s">
        <v>235</v>
      </c>
      <c r="Z441" t="s">
        <v>236</v>
      </c>
      <c r="AA441" t="s">
        <v>253</v>
      </c>
      <c r="AB441" t="s">
        <v>1</v>
      </c>
      <c r="AC441" s="235">
        <v>310000</v>
      </c>
      <c r="AD441" s="235">
        <v>14045.868223763377</v>
      </c>
      <c r="AE441">
        <v>0</v>
      </c>
      <c r="AF441">
        <v>0</v>
      </c>
      <c r="AG441">
        <v>0</v>
      </c>
      <c r="AH441" s="235">
        <v>-3701.2508574862732</v>
      </c>
      <c r="AI441">
        <v>226</v>
      </c>
      <c r="AJ441" t="s">
        <v>256</v>
      </c>
      <c r="AK441">
        <v>0</v>
      </c>
      <c r="AL441">
        <v>0</v>
      </c>
      <c r="AM441">
        <v>0</v>
      </c>
    </row>
    <row r="442" spans="1:39" x14ac:dyDescent="0.25">
      <c r="A442" t="s">
        <v>233</v>
      </c>
      <c r="B442" t="s">
        <v>490</v>
      </c>
      <c r="C442" t="s">
        <v>255</v>
      </c>
      <c r="D442" t="s">
        <v>234</v>
      </c>
      <c r="E442" t="s">
        <v>20</v>
      </c>
      <c r="F442" t="s">
        <v>268</v>
      </c>
      <c r="G442" t="s">
        <v>269</v>
      </c>
      <c r="H442" t="s">
        <v>254</v>
      </c>
      <c r="I442" t="s">
        <v>242</v>
      </c>
      <c r="J442" t="s">
        <v>235</v>
      </c>
      <c r="K442" s="380">
        <v>36861</v>
      </c>
      <c r="L442" s="235">
        <v>31529.259589177436</v>
      </c>
      <c r="M442" s="380">
        <v>36859</v>
      </c>
      <c r="N442" t="s">
        <v>21</v>
      </c>
      <c r="O442">
        <v>-0.1</v>
      </c>
      <c r="P442">
        <v>0</v>
      </c>
      <c r="Q442">
        <v>0</v>
      </c>
      <c r="R442">
        <v>0</v>
      </c>
      <c r="S442">
        <v>0</v>
      </c>
      <c r="T442" t="s">
        <v>253</v>
      </c>
      <c r="U442" t="s">
        <v>9</v>
      </c>
      <c r="V442" t="s">
        <v>253</v>
      </c>
      <c r="W442" t="s">
        <v>132</v>
      </c>
      <c r="X442" t="s">
        <v>253</v>
      </c>
      <c r="Y442" t="s">
        <v>235</v>
      </c>
      <c r="Z442" t="s">
        <v>236</v>
      </c>
      <c r="AA442" t="s">
        <v>253</v>
      </c>
      <c r="AB442" t="s">
        <v>1</v>
      </c>
      <c r="AC442" s="235">
        <v>310000</v>
      </c>
      <c r="AD442" s="235">
        <v>11978.961517887481</v>
      </c>
      <c r="AE442">
        <v>0</v>
      </c>
      <c r="AF442">
        <v>0</v>
      </c>
      <c r="AG442">
        <v>0</v>
      </c>
      <c r="AH442" s="235">
        <v>-3588.6885991316522</v>
      </c>
      <c r="AI442">
        <v>226</v>
      </c>
      <c r="AJ442" t="s">
        <v>256</v>
      </c>
      <c r="AK442">
        <v>0</v>
      </c>
      <c r="AL442">
        <v>0</v>
      </c>
      <c r="AM442">
        <v>0</v>
      </c>
    </row>
    <row r="443" spans="1:39" x14ac:dyDescent="0.25">
      <c r="A443" t="s">
        <v>233</v>
      </c>
      <c r="B443" t="s">
        <v>490</v>
      </c>
      <c r="C443" t="s">
        <v>255</v>
      </c>
      <c r="D443" t="s">
        <v>234</v>
      </c>
      <c r="E443" t="s">
        <v>20</v>
      </c>
      <c r="F443" t="s">
        <v>268</v>
      </c>
      <c r="G443" t="s">
        <v>269</v>
      </c>
      <c r="H443" t="s">
        <v>254</v>
      </c>
      <c r="I443" t="s">
        <v>242</v>
      </c>
      <c r="J443" t="s">
        <v>235</v>
      </c>
      <c r="K443" s="380">
        <v>36831</v>
      </c>
      <c r="L443" s="235">
        <v>12546.234127663647</v>
      </c>
      <c r="M443" s="380">
        <v>36829</v>
      </c>
      <c r="N443" t="s">
        <v>21</v>
      </c>
      <c r="O443">
        <v>-0.1</v>
      </c>
      <c r="P443">
        <v>0</v>
      </c>
      <c r="Q443">
        <v>0</v>
      </c>
      <c r="R443">
        <v>0</v>
      </c>
      <c r="S443">
        <v>0</v>
      </c>
      <c r="T443" t="s">
        <v>253</v>
      </c>
      <c r="U443" t="s">
        <v>9</v>
      </c>
      <c r="V443" t="s">
        <v>253</v>
      </c>
      <c r="W443" t="s">
        <v>132</v>
      </c>
      <c r="X443" t="s">
        <v>253</v>
      </c>
      <c r="Y443" t="s">
        <v>235</v>
      </c>
      <c r="Z443" t="s">
        <v>236</v>
      </c>
      <c r="AA443" t="s">
        <v>253</v>
      </c>
      <c r="AB443" t="s">
        <v>1</v>
      </c>
      <c r="AC443" s="235">
        <v>300000</v>
      </c>
      <c r="AD443" s="235">
        <v>7246.3915321659588</v>
      </c>
      <c r="AE443">
        <v>0</v>
      </c>
      <c r="AF443">
        <v>0</v>
      </c>
      <c r="AG443">
        <v>0</v>
      </c>
      <c r="AH443" s="235">
        <v>-2154.4713919627866</v>
      </c>
      <c r="AI443">
        <v>226</v>
      </c>
      <c r="AJ443" t="s">
        <v>256</v>
      </c>
      <c r="AK443">
        <v>0</v>
      </c>
      <c r="AL443">
        <v>0</v>
      </c>
      <c r="AM443">
        <v>0</v>
      </c>
    </row>
    <row r="444" spans="1:39" x14ac:dyDescent="0.25">
      <c r="A444" t="s">
        <v>233</v>
      </c>
      <c r="B444" t="s">
        <v>491</v>
      </c>
      <c r="C444" t="s">
        <v>255</v>
      </c>
      <c r="D444" t="s">
        <v>234</v>
      </c>
      <c r="E444" t="s">
        <v>20</v>
      </c>
      <c r="F444" t="s">
        <v>284</v>
      </c>
      <c r="G444" t="s">
        <v>269</v>
      </c>
      <c r="H444" t="s">
        <v>254</v>
      </c>
      <c r="I444" t="s">
        <v>242</v>
      </c>
      <c r="J444" t="s">
        <v>235</v>
      </c>
      <c r="K444" s="380">
        <v>36951</v>
      </c>
      <c r="L444" s="235">
        <v>89526.233242260263</v>
      </c>
      <c r="M444" s="380">
        <v>36949</v>
      </c>
      <c r="N444" t="s">
        <v>21</v>
      </c>
      <c r="O444">
        <v>0.2</v>
      </c>
      <c r="P444">
        <v>0</v>
      </c>
      <c r="Q444">
        <v>0</v>
      </c>
      <c r="R444">
        <v>0</v>
      </c>
      <c r="S444">
        <v>0</v>
      </c>
      <c r="T444" t="s">
        <v>253</v>
      </c>
      <c r="U444" t="s">
        <v>190</v>
      </c>
      <c r="V444" t="s">
        <v>253</v>
      </c>
      <c r="W444" t="s">
        <v>132</v>
      </c>
      <c r="X444" t="s">
        <v>253</v>
      </c>
      <c r="Y444" t="s">
        <v>235</v>
      </c>
      <c r="Z444" t="s">
        <v>236</v>
      </c>
      <c r="AA444" t="s">
        <v>253</v>
      </c>
      <c r="AB444" t="s">
        <v>1</v>
      </c>
      <c r="AC444" s="235">
        <v>155000</v>
      </c>
      <c r="AD444" s="235">
        <v>11031.907549092619</v>
      </c>
      <c r="AE444">
        <v>0</v>
      </c>
      <c r="AF444">
        <v>0</v>
      </c>
      <c r="AG444">
        <v>0</v>
      </c>
      <c r="AH444" s="235">
        <v>-5325.3038595029502</v>
      </c>
      <c r="AI444">
        <v>226</v>
      </c>
      <c r="AJ444" t="s">
        <v>256</v>
      </c>
      <c r="AK444">
        <v>0</v>
      </c>
      <c r="AL444">
        <v>0</v>
      </c>
      <c r="AM444">
        <v>0</v>
      </c>
    </row>
    <row r="445" spans="1:39" x14ac:dyDescent="0.25">
      <c r="A445" t="s">
        <v>233</v>
      </c>
      <c r="B445" t="s">
        <v>491</v>
      </c>
      <c r="C445" t="s">
        <v>255</v>
      </c>
      <c r="D445" t="s">
        <v>234</v>
      </c>
      <c r="E445" t="s">
        <v>20</v>
      </c>
      <c r="F445" t="s">
        <v>284</v>
      </c>
      <c r="G445" t="s">
        <v>269</v>
      </c>
      <c r="H445" t="s">
        <v>254</v>
      </c>
      <c r="I445" t="s">
        <v>242</v>
      </c>
      <c r="J445" t="s">
        <v>235</v>
      </c>
      <c r="K445" s="380">
        <v>36923</v>
      </c>
      <c r="L445" s="235">
        <v>87028.844574350282</v>
      </c>
      <c r="M445" s="380">
        <v>36921</v>
      </c>
      <c r="N445" t="s">
        <v>21</v>
      </c>
      <c r="O445">
        <v>0.2</v>
      </c>
      <c r="P445">
        <v>0</v>
      </c>
      <c r="Q445">
        <v>0</v>
      </c>
      <c r="R445">
        <v>0</v>
      </c>
      <c r="S445">
        <v>0</v>
      </c>
      <c r="T445" t="s">
        <v>253</v>
      </c>
      <c r="U445" t="s">
        <v>190</v>
      </c>
      <c r="V445" t="s">
        <v>253</v>
      </c>
      <c r="W445" t="s">
        <v>132</v>
      </c>
      <c r="X445" t="s">
        <v>253</v>
      </c>
      <c r="Y445" t="s">
        <v>235</v>
      </c>
      <c r="Z445" t="s">
        <v>236</v>
      </c>
      <c r="AA445" t="s">
        <v>253</v>
      </c>
      <c r="AB445" t="s">
        <v>1</v>
      </c>
      <c r="AC445" s="235">
        <v>140000</v>
      </c>
      <c r="AD445" s="235">
        <v>10322.862032031306</v>
      </c>
      <c r="AE445">
        <v>0</v>
      </c>
      <c r="AF445">
        <v>0</v>
      </c>
      <c r="AG445">
        <v>0</v>
      </c>
      <c r="AH445" s="235">
        <v>-4809.2452544559783</v>
      </c>
      <c r="AI445">
        <v>226</v>
      </c>
      <c r="AJ445" t="s">
        <v>256</v>
      </c>
      <c r="AK445">
        <v>0</v>
      </c>
      <c r="AL445">
        <v>0</v>
      </c>
      <c r="AM445">
        <v>0</v>
      </c>
    </row>
    <row r="446" spans="1:39" x14ac:dyDescent="0.25">
      <c r="A446" t="s">
        <v>233</v>
      </c>
      <c r="B446" t="s">
        <v>491</v>
      </c>
      <c r="C446" t="s">
        <v>255</v>
      </c>
      <c r="D446" t="s">
        <v>234</v>
      </c>
      <c r="E446" t="s">
        <v>20</v>
      </c>
      <c r="F446" t="s">
        <v>284</v>
      </c>
      <c r="G446" t="s">
        <v>269</v>
      </c>
      <c r="H446" t="s">
        <v>254</v>
      </c>
      <c r="I446" t="s">
        <v>242</v>
      </c>
      <c r="J446" t="s">
        <v>235</v>
      </c>
      <c r="K446" s="380">
        <v>36892</v>
      </c>
      <c r="L446" s="235">
        <v>111089.57813821928</v>
      </c>
      <c r="M446" s="380">
        <v>36888</v>
      </c>
      <c r="N446" t="s">
        <v>21</v>
      </c>
      <c r="O446">
        <v>0.2</v>
      </c>
      <c r="P446">
        <v>0</v>
      </c>
      <c r="Q446">
        <v>0</v>
      </c>
      <c r="R446">
        <v>0</v>
      </c>
      <c r="S446">
        <v>0</v>
      </c>
      <c r="T446" t="s">
        <v>253</v>
      </c>
      <c r="U446" t="s">
        <v>190</v>
      </c>
      <c r="V446" t="s">
        <v>253</v>
      </c>
      <c r="W446" t="s">
        <v>132</v>
      </c>
      <c r="X446" t="s">
        <v>253</v>
      </c>
      <c r="Y446" t="s">
        <v>235</v>
      </c>
      <c r="Z446" t="s">
        <v>236</v>
      </c>
      <c r="AA446" t="s">
        <v>253</v>
      </c>
      <c r="AB446" t="s">
        <v>1</v>
      </c>
      <c r="AC446" s="235">
        <v>155000</v>
      </c>
      <c r="AD446" s="235">
        <v>9580.2810911470588</v>
      </c>
      <c r="AE446">
        <v>0</v>
      </c>
      <c r="AF446">
        <v>0</v>
      </c>
      <c r="AG446">
        <v>0</v>
      </c>
      <c r="AH446" s="235">
        <v>-5881.5651064470148</v>
      </c>
      <c r="AI446">
        <v>226</v>
      </c>
      <c r="AJ446" t="s">
        <v>256</v>
      </c>
      <c r="AK446">
        <v>0</v>
      </c>
      <c r="AL446">
        <v>0</v>
      </c>
      <c r="AM446">
        <v>0</v>
      </c>
    </row>
    <row r="447" spans="1:39" x14ac:dyDescent="0.25">
      <c r="A447" t="s">
        <v>233</v>
      </c>
      <c r="B447" t="s">
        <v>491</v>
      </c>
      <c r="C447" t="s">
        <v>255</v>
      </c>
      <c r="D447" t="s">
        <v>234</v>
      </c>
      <c r="E447" t="s">
        <v>20</v>
      </c>
      <c r="F447" t="s">
        <v>284</v>
      </c>
      <c r="G447" t="s">
        <v>269</v>
      </c>
      <c r="H447" t="s">
        <v>254</v>
      </c>
      <c r="I447" t="s">
        <v>242</v>
      </c>
      <c r="J447" t="s">
        <v>235</v>
      </c>
      <c r="K447" s="380">
        <v>36861</v>
      </c>
      <c r="L447" s="235">
        <v>135042.31693039581</v>
      </c>
      <c r="M447" s="380">
        <v>36859</v>
      </c>
      <c r="N447" t="s">
        <v>21</v>
      </c>
      <c r="O447">
        <v>0.2</v>
      </c>
      <c r="P447">
        <v>0</v>
      </c>
      <c r="Q447">
        <v>0</v>
      </c>
      <c r="R447">
        <v>0</v>
      </c>
      <c r="S447">
        <v>0</v>
      </c>
      <c r="T447" t="s">
        <v>253</v>
      </c>
      <c r="U447" t="s">
        <v>190</v>
      </c>
      <c r="V447" t="s">
        <v>253</v>
      </c>
      <c r="W447" t="s">
        <v>132</v>
      </c>
      <c r="X447" t="s">
        <v>253</v>
      </c>
      <c r="Y447" t="s">
        <v>235</v>
      </c>
      <c r="Z447" t="s">
        <v>236</v>
      </c>
      <c r="AA447" t="s">
        <v>253</v>
      </c>
      <c r="AB447" t="s">
        <v>1</v>
      </c>
      <c r="AC447" s="235">
        <v>155000</v>
      </c>
      <c r="AD447" s="235">
        <v>6427.1205758263532</v>
      </c>
      <c r="AE447">
        <v>0</v>
      </c>
      <c r="AF447">
        <v>0</v>
      </c>
      <c r="AG447">
        <v>0</v>
      </c>
      <c r="AH447" s="235">
        <v>18542.890547836359</v>
      </c>
      <c r="AI447">
        <v>226</v>
      </c>
      <c r="AJ447" t="s">
        <v>256</v>
      </c>
      <c r="AK447">
        <v>0</v>
      </c>
      <c r="AL447">
        <v>0</v>
      </c>
      <c r="AM447">
        <v>0</v>
      </c>
    </row>
    <row r="448" spans="1:39" x14ac:dyDescent="0.25">
      <c r="A448" t="s">
        <v>233</v>
      </c>
      <c r="B448" t="s">
        <v>491</v>
      </c>
      <c r="C448" t="s">
        <v>255</v>
      </c>
      <c r="D448" t="s">
        <v>234</v>
      </c>
      <c r="E448" t="s">
        <v>20</v>
      </c>
      <c r="F448" t="s">
        <v>284</v>
      </c>
      <c r="G448" t="s">
        <v>269</v>
      </c>
      <c r="H448" t="s">
        <v>254</v>
      </c>
      <c r="I448" t="s">
        <v>242</v>
      </c>
      <c r="J448" t="s">
        <v>235</v>
      </c>
      <c r="K448" s="380">
        <v>36831</v>
      </c>
      <c r="L448" s="235">
        <v>200771.92606290156</v>
      </c>
      <c r="M448" s="380">
        <v>36829</v>
      </c>
      <c r="N448" t="s">
        <v>21</v>
      </c>
      <c r="O448">
        <v>0.2</v>
      </c>
      <c r="P448">
        <v>0</v>
      </c>
      <c r="Q448">
        <v>0</v>
      </c>
      <c r="R448">
        <v>0</v>
      </c>
      <c r="S448">
        <v>0</v>
      </c>
      <c r="T448" t="s">
        <v>253</v>
      </c>
      <c r="U448" t="s">
        <v>190</v>
      </c>
      <c r="V448" t="s">
        <v>253</v>
      </c>
      <c r="W448" t="s">
        <v>132</v>
      </c>
      <c r="X448" t="s">
        <v>253</v>
      </c>
      <c r="Y448" t="s">
        <v>235</v>
      </c>
      <c r="Z448" t="s">
        <v>236</v>
      </c>
      <c r="AA448" t="s">
        <v>253</v>
      </c>
      <c r="AB448" t="s">
        <v>1</v>
      </c>
      <c r="AC448" s="235">
        <v>150000</v>
      </c>
      <c r="AD448" s="235">
        <v>1445.1082341901492</v>
      </c>
      <c r="AE448">
        <v>0</v>
      </c>
      <c r="AF448">
        <v>0</v>
      </c>
      <c r="AG448">
        <v>0</v>
      </c>
      <c r="AH448" s="235">
        <v>29996.042094219039</v>
      </c>
      <c r="AI448">
        <v>226</v>
      </c>
      <c r="AJ448" t="s">
        <v>256</v>
      </c>
      <c r="AK448">
        <v>0</v>
      </c>
      <c r="AL448">
        <v>0</v>
      </c>
      <c r="AM448">
        <v>0</v>
      </c>
    </row>
    <row r="449" spans="1:39" x14ac:dyDescent="0.25">
      <c r="A449" t="s">
        <v>233</v>
      </c>
      <c r="B449" t="s">
        <v>502</v>
      </c>
      <c r="C449" t="s">
        <v>255</v>
      </c>
      <c r="D449" t="s">
        <v>234</v>
      </c>
      <c r="E449" t="s">
        <v>20</v>
      </c>
      <c r="F449" t="s">
        <v>320</v>
      </c>
      <c r="G449" t="s">
        <v>269</v>
      </c>
      <c r="H449" t="s">
        <v>254</v>
      </c>
      <c r="I449" t="s">
        <v>242</v>
      </c>
      <c r="J449" t="s">
        <v>235</v>
      </c>
      <c r="K449" s="380">
        <v>36951</v>
      </c>
      <c r="L449" s="235">
        <v>219596.78742098159</v>
      </c>
      <c r="M449" s="380">
        <v>36949</v>
      </c>
      <c r="N449" t="s">
        <v>1</v>
      </c>
      <c r="O449">
        <v>0.95</v>
      </c>
      <c r="P449">
        <v>0</v>
      </c>
      <c r="Q449">
        <v>0</v>
      </c>
      <c r="R449">
        <v>0</v>
      </c>
      <c r="S449">
        <v>0</v>
      </c>
      <c r="T449" t="s">
        <v>253</v>
      </c>
      <c r="U449" t="s">
        <v>7</v>
      </c>
      <c r="V449" t="s">
        <v>253</v>
      </c>
      <c r="W449" t="s">
        <v>132</v>
      </c>
      <c r="X449" t="s">
        <v>253</v>
      </c>
      <c r="Y449" t="s">
        <v>235</v>
      </c>
      <c r="Z449" t="s">
        <v>236</v>
      </c>
      <c r="AA449" t="s">
        <v>253</v>
      </c>
      <c r="AB449" t="s">
        <v>1</v>
      </c>
      <c r="AC449" s="235">
        <v>500000</v>
      </c>
      <c r="AD449" s="235">
        <v>44459.68893243061</v>
      </c>
      <c r="AE449">
        <v>0</v>
      </c>
      <c r="AF449">
        <v>0</v>
      </c>
      <c r="AG449">
        <v>0</v>
      </c>
      <c r="AH449" s="235">
        <v>-9919.091541908303</v>
      </c>
      <c r="AI449">
        <v>226</v>
      </c>
      <c r="AJ449" t="s">
        <v>256</v>
      </c>
      <c r="AK449">
        <v>0</v>
      </c>
      <c r="AL449">
        <v>0</v>
      </c>
      <c r="AM449">
        <v>0</v>
      </c>
    </row>
    <row r="450" spans="1:39" x14ac:dyDescent="0.25">
      <c r="A450" t="s">
        <v>233</v>
      </c>
      <c r="B450" t="s">
        <v>502</v>
      </c>
      <c r="C450" t="s">
        <v>255</v>
      </c>
      <c r="D450" t="s">
        <v>234</v>
      </c>
      <c r="E450" t="s">
        <v>20</v>
      </c>
      <c r="F450" t="s">
        <v>320</v>
      </c>
      <c r="G450" t="s">
        <v>269</v>
      </c>
      <c r="H450" t="s">
        <v>254</v>
      </c>
      <c r="I450" t="s">
        <v>242</v>
      </c>
      <c r="J450" t="s">
        <v>235</v>
      </c>
      <c r="K450" s="380">
        <v>36923</v>
      </c>
      <c r="L450" s="235">
        <v>95380.536938689809</v>
      </c>
      <c r="M450" s="380">
        <v>36921</v>
      </c>
      <c r="N450" t="s">
        <v>1</v>
      </c>
      <c r="O450">
        <v>0.95</v>
      </c>
      <c r="P450">
        <v>0</v>
      </c>
      <c r="Q450">
        <v>0</v>
      </c>
      <c r="R450">
        <v>0</v>
      </c>
      <c r="S450">
        <v>0</v>
      </c>
      <c r="T450" t="s">
        <v>253</v>
      </c>
      <c r="U450" t="s">
        <v>7</v>
      </c>
      <c r="V450" t="s">
        <v>253</v>
      </c>
      <c r="W450" t="s">
        <v>132</v>
      </c>
      <c r="X450" t="s">
        <v>253</v>
      </c>
      <c r="Y450" t="s">
        <v>235</v>
      </c>
      <c r="Z450" t="s">
        <v>236</v>
      </c>
      <c r="AA450" t="s">
        <v>253</v>
      </c>
      <c r="AB450" t="s">
        <v>1</v>
      </c>
      <c r="AC450" s="235">
        <v>500000</v>
      </c>
      <c r="AD450" s="235">
        <v>34478.905994469402</v>
      </c>
      <c r="AE450">
        <v>0</v>
      </c>
      <c r="AF450">
        <v>0</v>
      </c>
      <c r="AG450">
        <v>0</v>
      </c>
      <c r="AH450" s="235">
        <v>-4923.313078936786</v>
      </c>
      <c r="AI450">
        <v>226</v>
      </c>
      <c r="AJ450" t="s">
        <v>256</v>
      </c>
      <c r="AK450">
        <v>0</v>
      </c>
      <c r="AL450">
        <v>0</v>
      </c>
      <c r="AM450">
        <v>0</v>
      </c>
    </row>
    <row r="451" spans="1:39" x14ac:dyDescent="0.25">
      <c r="A451" t="s">
        <v>233</v>
      </c>
      <c r="B451" t="s">
        <v>502</v>
      </c>
      <c r="C451" t="s">
        <v>255</v>
      </c>
      <c r="D451" t="s">
        <v>234</v>
      </c>
      <c r="E451" t="s">
        <v>20</v>
      </c>
      <c r="F451" t="s">
        <v>320</v>
      </c>
      <c r="G451" t="s">
        <v>269</v>
      </c>
      <c r="H451" t="s">
        <v>254</v>
      </c>
      <c r="I451" t="s">
        <v>242</v>
      </c>
      <c r="J451" t="s">
        <v>235</v>
      </c>
      <c r="K451" s="380">
        <v>36892</v>
      </c>
      <c r="L451" s="235">
        <v>77148.076560465517</v>
      </c>
      <c r="M451" s="380">
        <v>36888</v>
      </c>
      <c r="N451" t="s">
        <v>1</v>
      </c>
      <c r="O451">
        <v>0.95</v>
      </c>
      <c r="P451">
        <v>0</v>
      </c>
      <c r="Q451">
        <v>0</v>
      </c>
      <c r="R451">
        <v>0</v>
      </c>
      <c r="S451">
        <v>0</v>
      </c>
      <c r="T451" t="s">
        <v>253</v>
      </c>
      <c r="U451" t="s">
        <v>7</v>
      </c>
      <c r="V451" t="s">
        <v>253</v>
      </c>
      <c r="W451" t="s">
        <v>132</v>
      </c>
      <c r="X451" t="s">
        <v>253</v>
      </c>
      <c r="Y451" t="s">
        <v>235</v>
      </c>
      <c r="Z451" t="s">
        <v>236</v>
      </c>
      <c r="AA451" t="s">
        <v>253</v>
      </c>
      <c r="AB451" t="s">
        <v>1</v>
      </c>
      <c r="AC451" s="235">
        <v>500000</v>
      </c>
      <c r="AD451" s="235">
        <v>29287.075325441678</v>
      </c>
      <c r="AE451">
        <v>0</v>
      </c>
      <c r="AF451">
        <v>0</v>
      </c>
      <c r="AG451">
        <v>0</v>
      </c>
      <c r="AH451" s="235">
        <v>-3612.6652374686237</v>
      </c>
      <c r="AI451">
        <v>226</v>
      </c>
      <c r="AJ451" t="s">
        <v>256</v>
      </c>
      <c r="AK451">
        <v>0</v>
      </c>
      <c r="AL451">
        <v>0</v>
      </c>
      <c r="AM451">
        <v>0</v>
      </c>
    </row>
    <row r="452" spans="1:39" x14ac:dyDescent="0.25">
      <c r="A452" t="s">
        <v>233</v>
      </c>
      <c r="B452" t="s">
        <v>502</v>
      </c>
      <c r="C452" t="s">
        <v>255</v>
      </c>
      <c r="D452" t="s">
        <v>234</v>
      </c>
      <c r="E452" t="s">
        <v>20</v>
      </c>
      <c r="F452" t="s">
        <v>320</v>
      </c>
      <c r="G452" t="s">
        <v>269</v>
      </c>
      <c r="H452" t="s">
        <v>254</v>
      </c>
      <c r="I452" t="s">
        <v>242</v>
      </c>
      <c r="J452" t="s">
        <v>235</v>
      </c>
      <c r="K452" s="380">
        <v>36861</v>
      </c>
      <c r="L452" s="235">
        <v>103389.79511682683</v>
      </c>
      <c r="M452" s="380">
        <v>36859</v>
      </c>
      <c r="N452" t="s">
        <v>1</v>
      </c>
      <c r="O452">
        <v>0.95</v>
      </c>
      <c r="P452">
        <v>0</v>
      </c>
      <c r="Q452">
        <v>0</v>
      </c>
      <c r="R452">
        <v>0</v>
      </c>
      <c r="S452">
        <v>0</v>
      </c>
      <c r="T452" t="s">
        <v>253</v>
      </c>
      <c r="U452" t="s">
        <v>7</v>
      </c>
      <c r="V452" t="s">
        <v>253</v>
      </c>
      <c r="W452" t="s">
        <v>132</v>
      </c>
      <c r="X452" t="s">
        <v>253</v>
      </c>
      <c r="Y452" t="s">
        <v>235</v>
      </c>
      <c r="Z452" t="s">
        <v>236</v>
      </c>
      <c r="AA452" t="s">
        <v>253</v>
      </c>
      <c r="AB452" t="s">
        <v>1</v>
      </c>
      <c r="AC452" s="235">
        <v>500000</v>
      </c>
      <c r="AD452" s="235">
        <v>31070.483171001353</v>
      </c>
      <c r="AE452">
        <v>0</v>
      </c>
      <c r="AF452">
        <v>0</v>
      </c>
      <c r="AG452">
        <v>0</v>
      </c>
      <c r="AH452" s="235">
        <v>-4059.4865522316395</v>
      </c>
      <c r="AI452">
        <v>226</v>
      </c>
      <c r="AJ452" t="s">
        <v>256</v>
      </c>
      <c r="AK452">
        <v>0</v>
      </c>
      <c r="AL452">
        <v>0</v>
      </c>
      <c r="AM452">
        <v>0</v>
      </c>
    </row>
    <row r="453" spans="1:39" x14ac:dyDescent="0.25">
      <c r="A453" t="s">
        <v>233</v>
      </c>
      <c r="B453" t="s">
        <v>502</v>
      </c>
      <c r="C453" t="s">
        <v>255</v>
      </c>
      <c r="D453" t="s">
        <v>234</v>
      </c>
      <c r="E453" t="s">
        <v>20</v>
      </c>
      <c r="F453" t="s">
        <v>320</v>
      </c>
      <c r="G453" t="s">
        <v>269</v>
      </c>
      <c r="H453" t="s">
        <v>254</v>
      </c>
      <c r="I453" t="s">
        <v>242</v>
      </c>
      <c r="J453" t="s">
        <v>235</v>
      </c>
      <c r="K453" s="380">
        <v>36831</v>
      </c>
      <c r="L453" s="235">
        <v>182642.68897070497</v>
      </c>
      <c r="M453" s="380">
        <v>36829</v>
      </c>
      <c r="N453" t="s">
        <v>1</v>
      </c>
      <c r="O453">
        <v>0.95</v>
      </c>
      <c r="P453">
        <v>0</v>
      </c>
      <c r="Q453">
        <v>0</v>
      </c>
      <c r="R453">
        <v>0</v>
      </c>
      <c r="S453">
        <v>0</v>
      </c>
      <c r="T453" t="s">
        <v>253</v>
      </c>
      <c r="U453" t="s">
        <v>7</v>
      </c>
      <c r="V453" t="s">
        <v>253</v>
      </c>
      <c r="W453" t="s">
        <v>132</v>
      </c>
      <c r="X453" t="s">
        <v>253</v>
      </c>
      <c r="Y453" t="s">
        <v>235</v>
      </c>
      <c r="Z453" t="s">
        <v>236</v>
      </c>
      <c r="AA453" t="s">
        <v>253</v>
      </c>
      <c r="AB453" t="s">
        <v>1</v>
      </c>
      <c r="AC453" s="235">
        <v>500000</v>
      </c>
      <c r="AD453" s="235">
        <v>21445.452140072535</v>
      </c>
      <c r="AE453">
        <v>0</v>
      </c>
      <c r="AF453">
        <v>0</v>
      </c>
      <c r="AG453">
        <v>0</v>
      </c>
      <c r="AH453" s="235">
        <v>-10526.156545455306</v>
      </c>
      <c r="AI453">
        <v>226</v>
      </c>
      <c r="AJ453" t="s">
        <v>256</v>
      </c>
      <c r="AK453">
        <v>0</v>
      </c>
      <c r="AL453">
        <v>0</v>
      </c>
      <c r="AM453">
        <v>0</v>
      </c>
    </row>
    <row r="454" spans="1:39" x14ac:dyDescent="0.25">
      <c r="A454" t="s">
        <v>233</v>
      </c>
      <c r="B454" t="s">
        <v>503</v>
      </c>
      <c r="C454" t="s">
        <v>255</v>
      </c>
      <c r="D454" t="s">
        <v>234</v>
      </c>
      <c r="E454" t="s">
        <v>20</v>
      </c>
      <c r="F454" t="s">
        <v>348</v>
      </c>
      <c r="G454" t="s">
        <v>269</v>
      </c>
      <c r="H454" t="s">
        <v>254</v>
      </c>
      <c r="I454" t="s">
        <v>242</v>
      </c>
      <c r="J454" t="s">
        <v>235</v>
      </c>
      <c r="K454" s="380">
        <v>37316</v>
      </c>
      <c r="L454" s="235">
        <v>-296642.24798001756</v>
      </c>
      <c r="M454" s="380">
        <v>37314</v>
      </c>
      <c r="N454" t="s">
        <v>1</v>
      </c>
      <c r="O454">
        <v>0.95</v>
      </c>
      <c r="P454">
        <v>0</v>
      </c>
      <c r="Q454">
        <v>0</v>
      </c>
      <c r="R454">
        <v>0</v>
      </c>
      <c r="S454">
        <v>0</v>
      </c>
      <c r="T454" t="s">
        <v>253</v>
      </c>
      <c r="U454" t="s">
        <v>7</v>
      </c>
      <c r="V454" t="s">
        <v>253</v>
      </c>
      <c r="W454" t="s">
        <v>132</v>
      </c>
      <c r="X454" t="s">
        <v>253</v>
      </c>
      <c r="Y454" t="s">
        <v>235</v>
      </c>
      <c r="Z454" t="s">
        <v>236</v>
      </c>
      <c r="AA454" t="s">
        <v>253</v>
      </c>
      <c r="AB454" t="s">
        <v>1</v>
      </c>
      <c r="AC454" s="235">
        <v>-1000000</v>
      </c>
      <c r="AD454" s="235">
        <v>-48929.713968046883</v>
      </c>
      <c r="AE454">
        <v>0</v>
      </c>
      <c r="AF454">
        <v>0</v>
      </c>
      <c r="AG454">
        <v>0</v>
      </c>
      <c r="AH454" s="235">
        <v>9838.8582352066878</v>
      </c>
      <c r="AI454">
        <v>226</v>
      </c>
      <c r="AJ454" t="s">
        <v>256</v>
      </c>
      <c r="AK454">
        <v>0</v>
      </c>
      <c r="AL454">
        <v>0</v>
      </c>
      <c r="AM454">
        <v>0</v>
      </c>
    </row>
    <row r="455" spans="1:39" x14ac:dyDescent="0.25">
      <c r="A455" t="s">
        <v>233</v>
      </c>
      <c r="B455" t="s">
        <v>503</v>
      </c>
      <c r="C455" t="s">
        <v>255</v>
      </c>
      <c r="D455" t="s">
        <v>234</v>
      </c>
      <c r="E455" t="s">
        <v>20</v>
      </c>
      <c r="F455" t="s">
        <v>348</v>
      </c>
      <c r="G455" t="s">
        <v>269</v>
      </c>
      <c r="H455" t="s">
        <v>254</v>
      </c>
      <c r="I455" t="s">
        <v>242</v>
      </c>
      <c r="J455" t="s">
        <v>235</v>
      </c>
      <c r="K455" s="380">
        <v>37288</v>
      </c>
      <c r="L455" s="235">
        <v>-156044.61802290758</v>
      </c>
      <c r="M455" s="380">
        <v>37286</v>
      </c>
      <c r="N455" t="s">
        <v>1</v>
      </c>
      <c r="O455">
        <v>0.95</v>
      </c>
      <c r="P455">
        <v>0</v>
      </c>
      <c r="Q455">
        <v>0</v>
      </c>
      <c r="R455">
        <v>0</v>
      </c>
      <c r="S455">
        <v>0</v>
      </c>
      <c r="T455" t="s">
        <v>253</v>
      </c>
      <c r="U455" t="s">
        <v>7</v>
      </c>
      <c r="V455" t="s">
        <v>253</v>
      </c>
      <c r="W455" t="s">
        <v>132</v>
      </c>
      <c r="X455" t="s">
        <v>253</v>
      </c>
      <c r="Y455" t="s">
        <v>235</v>
      </c>
      <c r="Z455" t="s">
        <v>236</v>
      </c>
      <c r="AA455" t="s">
        <v>253</v>
      </c>
      <c r="AB455" t="s">
        <v>1</v>
      </c>
      <c r="AC455" s="235">
        <v>-1000000</v>
      </c>
      <c r="AD455" s="235">
        <v>-41105.325179778389</v>
      </c>
      <c r="AE455">
        <v>0</v>
      </c>
      <c r="AF455">
        <v>0</v>
      </c>
      <c r="AG455">
        <v>0</v>
      </c>
      <c r="AH455" s="235">
        <v>4650.6762641729147</v>
      </c>
      <c r="AI455">
        <v>226</v>
      </c>
      <c r="AJ455" t="s">
        <v>256</v>
      </c>
      <c r="AK455">
        <v>0</v>
      </c>
      <c r="AL455">
        <v>0</v>
      </c>
      <c r="AM455">
        <v>0</v>
      </c>
    </row>
    <row r="456" spans="1:39" x14ac:dyDescent="0.25">
      <c r="A456" t="s">
        <v>233</v>
      </c>
      <c r="B456" t="s">
        <v>503</v>
      </c>
      <c r="C456" t="s">
        <v>255</v>
      </c>
      <c r="D456" t="s">
        <v>234</v>
      </c>
      <c r="E456" t="s">
        <v>20</v>
      </c>
      <c r="F456" t="s">
        <v>348</v>
      </c>
      <c r="G456" t="s">
        <v>269</v>
      </c>
      <c r="H456" t="s">
        <v>254</v>
      </c>
      <c r="I456" t="s">
        <v>242</v>
      </c>
      <c r="J456" t="s">
        <v>235</v>
      </c>
      <c r="K456" s="380">
        <v>37257</v>
      </c>
      <c r="L456" s="235">
        <v>-167122.47076381414</v>
      </c>
      <c r="M456" s="380">
        <v>37253</v>
      </c>
      <c r="N456" t="s">
        <v>1</v>
      </c>
      <c r="O456">
        <v>0.95</v>
      </c>
      <c r="P456">
        <v>0</v>
      </c>
      <c r="Q456">
        <v>0</v>
      </c>
      <c r="R456">
        <v>0</v>
      </c>
      <c r="S456">
        <v>0</v>
      </c>
      <c r="T456" t="s">
        <v>253</v>
      </c>
      <c r="U456" t="s">
        <v>7</v>
      </c>
      <c r="V456" t="s">
        <v>253</v>
      </c>
      <c r="W456" t="s">
        <v>132</v>
      </c>
      <c r="X456" t="s">
        <v>253</v>
      </c>
      <c r="Y456" t="s">
        <v>235</v>
      </c>
      <c r="Z456" t="s">
        <v>236</v>
      </c>
      <c r="AA456" t="s">
        <v>253</v>
      </c>
      <c r="AB456" t="s">
        <v>1</v>
      </c>
      <c r="AC456" s="235">
        <v>-1000000</v>
      </c>
      <c r="AD456" s="235">
        <v>-42724.833151095634</v>
      </c>
      <c r="AE456">
        <v>0</v>
      </c>
      <c r="AF456">
        <v>0</v>
      </c>
      <c r="AG456">
        <v>0</v>
      </c>
      <c r="AH456" s="235">
        <v>4663.465553938353</v>
      </c>
      <c r="AI456">
        <v>226</v>
      </c>
      <c r="AJ456" t="s">
        <v>256</v>
      </c>
      <c r="AK456">
        <v>0</v>
      </c>
      <c r="AL456">
        <v>0</v>
      </c>
      <c r="AM456">
        <v>0</v>
      </c>
    </row>
    <row r="457" spans="1:39" x14ac:dyDescent="0.25">
      <c r="A457" t="s">
        <v>233</v>
      </c>
      <c r="B457" t="s">
        <v>503</v>
      </c>
      <c r="C457" t="s">
        <v>255</v>
      </c>
      <c r="D457" t="s">
        <v>234</v>
      </c>
      <c r="E457" t="s">
        <v>20</v>
      </c>
      <c r="F457" t="s">
        <v>348</v>
      </c>
      <c r="G457" t="s">
        <v>269</v>
      </c>
      <c r="H457" t="s">
        <v>254</v>
      </c>
      <c r="I457" t="s">
        <v>242</v>
      </c>
      <c r="J457" t="s">
        <v>235</v>
      </c>
      <c r="K457" s="380">
        <v>37226</v>
      </c>
      <c r="L457" s="235">
        <v>-216931.41367417402</v>
      </c>
      <c r="M457" s="380">
        <v>37224</v>
      </c>
      <c r="N457" t="s">
        <v>1</v>
      </c>
      <c r="O457">
        <v>0.95</v>
      </c>
      <c r="P457">
        <v>0</v>
      </c>
      <c r="Q457">
        <v>0</v>
      </c>
      <c r="R457">
        <v>0</v>
      </c>
      <c r="S457">
        <v>0</v>
      </c>
      <c r="T457" t="s">
        <v>253</v>
      </c>
      <c r="U457" t="s">
        <v>7</v>
      </c>
      <c r="V457" t="s">
        <v>253</v>
      </c>
      <c r="W457" t="s">
        <v>132</v>
      </c>
      <c r="X457" t="s">
        <v>253</v>
      </c>
      <c r="Y457" t="s">
        <v>235</v>
      </c>
      <c r="Z457" t="s">
        <v>236</v>
      </c>
      <c r="AA457" t="s">
        <v>253</v>
      </c>
      <c r="AB457" t="s">
        <v>1</v>
      </c>
      <c r="AC457" s="235">
        <v>-1000000</v>
      </c>
      <c r="AD457" s="235">
        <v>-46630.586230566667</v>
      </c>
      <c r="AE457">
        <v>0</v>
      </c>
      <c r="AF457">
        <v>0</v>
      </c>
      <c r="AG457">
        <v>0</v>
      </c>
      <c r="AH457" s="235">
        <v>6430.2386085062462</v>
      </c>
      <c r="AI457">
        <v>226</v>
      </c>
      <c r="AJ457" t="s">
        <v>256</v>
      </c>
      <c r="AK457">
        <v>0</v>
      </c>
      <c r="AL457">
        <v>0</v>
      </c>
      <c r="AM457">
        <v>0</v>
      </c>
    </row>
    <row r="458" spans="1:39" x14ac:dyDescent="0.25">
      <c r="A458" t="s">
        <v>233</v>
      </c>
      <c r="B458" t="s">
        <v>503</v>
      </c>
      <c r="C458" t="s">
        <v>255</v>
      </c>
      <c r="D458" t="s">
        <v>234</v>
      </c>
      <c r="E458" t="s">
        <v>20</v>
      </c>
      <c r="F458" t="s">
        <v>348</v>
      </c>
      <c r="G458" t="s">
        <v>269</v>
      </c>
      <c r="H458" t="s">
        <v>254</v>
      </c>
      <c r="I458" t="s">
        <v>242</v>
      </c>
      <c r="J458" t="s">
        <v>235</v>
      </c>
      <c r="K458" s="380">
        <v>37196</v>
      </c>
      <c r="L458" s="235">
        <v>-350551.48087833845</v>
      </c>
      <c r="M458" s="380">
        <v>37194</v>
      </c>
      <c r="N458" t="s">
        <v>1</v>
      </c>
      <c r="O458">
        <v>0.95</v>
      </c>
      <c r="P458">
        <v>0</v>
      </c>
      <c r="Q458">
        <v>0</v>
      </c>
      <c r="R458">
        <v>0</v>
      </c>
      <c r="S458">
        <v>0</v>
      </c>
      <c r="T458" t="s">
        <v>253</v>
      </c>
      <c r="U458" t="s">
        <v>7</v>
      </c>
      <c r="V458" t="s">
        <v>253</v>
      </c>
      <c r="W458" t="s">
        <v>132</v>
      </c>
      <c r="X458" t="s">
        <v>253</v>
      </c>
      <c r="Y458" t="s">
        <v>235</v>
      </c>
      <c r="Z458" t="s">
        <v>236</v>
      </c>
      <c r="AA458" t="s">
        <v>253</v>
      </c>
      <c r="AB458" t="s">
        <v>1</v>
      </c>
      <c r="AC458" s="235">
        <v>-1000000</v>
      </c>
      <c r="AD458" s="235">
        <v>-49712.263461544411</v>
      </c>
      <c r="AE458">
        <v>0</v>
      </c>
      <c r="AF458">
        <v>0</v>
      </c>
      <c r="AG458">
        <v>0</v>
      </c>
      <c r="AH458" s="235">
        <v>11080.125084124156</v>
      </c>
      <c r="AI458">
        <v>226</v>
      </c>
      <c r="AJ458" t="s">
        <v>256</v>
      </c>
      <c r="AK458">
        <v>0</v>
      </c>
      <c r="AL458">
        <v>0</v>
      </c>
      <c r="AM458">
        <v>0</v>
      </c>
    </row>
    <row r="459" spans="1:39" x14ac:dyDescent="0.25">
      <c r="A459" t="s">
        <v>233</v>
      </c>
      <c r="B459" t="s">
        <v>504</v>
      </c>
      <c r="C459" t="s">
        <v>255</v>
      </c>
      <c r="D459" t="s">
        <v>234</v>
      </c>
      <c r="E459" t="s">
        <v>20</v>
      </c>
      <c r="F459" t="s">
        <v>279</v>
      </c>
      <c r="G459" t="s">
        <v>269</v>
      </c>
      <c r="H459" t="s">
        <v>254</v>
      </c>
      <c r="I459" t="s">
        <v>242</v>
      </c>
      <c r="J459" t="s">
        <v>235</v>
      </c>
      <c r="K459" s="380">
        <v>36951</v>
      </c>
      <c r="L459" s="235">
        <v>-303941.58497160458</v>
      </c>
      <c r="M459" s="380">
        <v>36949</v>
      </c>
      <c r="N459" t="s">
        <v>21</v>
      </c>
      <c r="O459">
        <v>1.7</v>
      </c>
      <c r="P459">
        <v>0</v>
      </c>
      <c r="Q459">
        <v>0</v>
      </c>
      <c r="R459">
        <v>0</v>
      </c>
      <c r="S459">
        <v>0</v>
      </c>
      <c r="T459" t="s">
        <v>253</v>
      </c>
      <c r="U459" t="s">
        <v>7</v>
      </c>
      <c r="V459" t="s">
        <v>253</v>
      </c>
      <c r="W459" t="s">
        <v>132</v>
      </c>
      <c r="X459" t="s">
        <v>253</v>
      </c>
      <c r="Y459" t="s">
        <v>235</v>
      </c>
      <c r="Z459" t="s">
        <v>236</v>
      </c>
      <c r="AA459" t="s">
        <v>253</v>
      </c>
      <c r="AB459" t="s">
        <v>1</v>
      </c>
      <c r="AC459" s="235">
        <v>-1000000</v>
      </c>
      <c r="AD459" s="235">
        <v>-78653.618341327412</v>
      </c>
      <c r="AE459">
        <v>0</v>
      </c>
      <c r="AF459">
        <v>0</v>
      </c>
      <c r="AG459">
        <v>0</v>
      </c>
      <c r="AH459" s="235">
        <v>-25626.494354563998</v>
      </c>
      <c r="AI459">
        <v>226</v>
      </c>
      <c r="AJ459" t="s">
        <v>256</v>
      </c>
      <c r="AK459">
        <v>0</v>
      </c>
      <c r="AL459">
        <v>0</v>
      </c>
      <c r="AM459">
        <v>0</v>
      </c>
    </row>
    <row r="460" spans="1:39" x14ac:dyDescent="0.25">
      <c r="A460" t="s">
        <v>233</v>
      </c>
      <c r="B460" t="s">
        <v>504</v>
      </c>
      <c r="C460" t="s">
        <v>255</v>
      </c>
      <c r="D460" t="s">
        <v>234</v>
      </c>
      <c r="E460" t="s">
        <v>20</v>
      </c>
      <c r="F460" t="s">
        <v>279</v>
      </c>
      <c r="G460" t="s">
        <v>269</v>
      </c>
      <c r="H460" t="s">
        <v>254</v>
      </c>
      <c r="I460" t="s">
        <v>242</v>
      </c>
      <c r="J460" t="s">
        <v>235</v>
      </c>
      <c r="K460" s="380">
        <v>36923</v>
      </c>
      <c r="L460" s="235">
        <v>-855869.33271648863</v>
      </c>
      <c r="M460" s="380">
        <v>36921</v>
      </c>
      <c r="N460" t="s">
        <v>21</v>
      </c>
      <c r="O460">
        <v>1.7</v>
      </c>
      <c r="P460">
        <v>0</v>
      </c>
      <c r="Q460">
        <v>0</v>
      </c>
      <c r="R460">
        <v>0</v>
      </c>
      <c r="S460">
        <v>0</v>
      </c>
      <c r="T460" t="s">
        <v>253</v>
      </c>
      <c r="U460" t="s">
        <v>7</v>
      </c>
      <c r="V460" t="s">
        <v>253</v>
      </c>
      <c r="W460" t="s">
        <v>132</v>
      </c>
      <c r="X460" t="s">
        <v>253</v>
      </c>
      <c r="Y460" t="s">
        <v>235</v>
      </c>
      <c r="Z460" t="s">
        <v>236</v>
      </c>
      <c r="AA460" t="s">
        <v>253</v>
      </c>
      <c r="AB460" t="s">
        <v>1</v>
      </c>
      <c r="AC460" s="235">
        <v>-1000000</v>
      </c>
      <c r="AD460" s="235">
        <v>-84947.491666822694</v>
      </c>
      <c r="AE460">
        <v>0</v>
      </c>
      <c r="AF460">
        <v>0</v>
      </c>
      <c r="AG460">
        <v>0</v>
      </c>
      <c r="AH460" s="235">
        <v>-47406.597183175851</v>
      </c>
      <c r="AI460">
        <v>226</v>
      </c>
      <c r="AJ460" t="s">
        <v>256</v>
      </c>
      <c r="AK460">
        <v>0</v>
      </c>
      <c r="AL460">
        <v>0</v>
      </c>
      <c r="AM460">
        <v>0</v>
      </c>
    </row>
    <row r="461" spans="1:39" x14ac:dyDescent="0.25">
      <c r="A461" t="s">
        <v>233</v>
      </c>
      <c r="B461" t="s">
        <v>504</v>
      </c>
      <c r="C461" t="s">
        <v>255</v>
      </c>
      <c r="D461" t="s">
        <v>234</v>
      </c>
      <c r="E461" t="s">
        <v>20</v>
      </c>
      <c r="F461" t="s">
        <v>279</v>
      </c>
      <c r="G461" t="s">
        <v>269</v>
      </c>
      <c r="H461" t="s">
        <v>254</v>
      </c>
      <c r="I461" t="s">
        <v>242</v>
      </c>
      <c r="J461" t="s">
        <v>235</v>
      </c>
      <c r="K461" s="380">
        <v>36892</v>
      </c>
      <c r="L461" s="235">
        <v>-874065.09518872504</v>
      </c>
      <c r="M461" s="380">
        <v>36888</v>
      </c>
      <c r="N461" t="s">
        <v>21</v>
      </c>
      <c r="O461">
        <v>1.7</v>
      </c>
      <c r="P461">
        <v>0</v>
      </c>
      <c r="Q461">
        <v>0</v>
      </c>
      <c r="R461">
        <v>0</v>
      </c>
      <c r="S461">
        <v>0</v>
      </c>
      <c r="T461" t="s">
        <v>253</v>
      </c>
      <c r="U461" t="s">
        <v>7</v>
      </c>
      <c r="V461" t="s">
        <v>253</v>
      </c>
      <c r="W461" t="s">
        <v>132</v>
      </c>
      <c r="X461" t="s">
        <v>253</v>
      </c>
      <c r="Y461" t="s">
        <v>235</v>
      </c>
      <c r="Z461" t="s">
        <v>236</v>
      </c>
      <c r="AA461" t="s">
        <v>253</v>
      </c>
      <c r="AB461" t="s">
        <v>1</v>
      </c>
      <c r="AC461" s="235">
        <v>-1000000</v>
      </c>
      <c r="AD461" s="235">
        <v>-76646.411582765635</v>
      </c>
      <c r="AE461">
        <v>0</v>
      </c>
      <c r="AF461">
        <v>0</v>
      </c>
      <c r="AG461">
        <v>0</v>
      </c>
      <c r="AH461" s="235">
        <v>-42184.409002355882</v>
      </c>
      <c r="AI461">
        <v>226</v>
      </c>
      <c r="AJ461" t="s">
        <v>256</v>
      </c>
      <c r="AK461">
        <v>0</v>
      </c>
      <c r="AL461">
        <v>0</v>
      </c>
      <c r="AM461">
        <v>0</v>
      </c>
    </row>
    <row r="462" spans="1:39" x14ac:dyDescent="0.25">
      <c r="A462" t="s">
        <v>233</v>
      </c>
      <c r="B462" t="s">
        <v>504</v>
      </c>
      <c r="C462" t="s">
        <v>255</v>
      </c>
      <c r="D462" t="s">
        <v>234</v>
      </c>
      <c r="E462" t="s">
        <v>20</v>
      </c>
      <c r="F462" t="s">
        <v>279</v>
      </c>
      <c r="G462" t="s">
        <v>269</v>
      </c>
      <c r="H462" t="s">
        <v>254</v>
      </c>
      <c r="I462" t="s">
        <v>242</v>
      </c>
      <c r="J462" t="s">
        <v>235</v>
      </c>
      <c r="K462" s="380">
        <v>36861</v>
      </c>
      <c r="L462" s="235">
        <v>-492915.4674693307</v>
      </c>
      <c r="M462" s="380">
        <v>36859</v>
      </c>
      <c r="N462" t="s">
        <v>21</v>
      </c>
      <c r="O462">
        <v>1.7</v>
      </c>
      <c r="P462">
        <v>0</v>
      </c>
      <c r="Q462">
        <v>0</v>
      </c>
      <c r="R462">
        <v>0</v>
      </c>
      <c r="S462">
        <v>0</v>
      </c>
      <c r="T462" t="s">
        <v>253</v>
      </c>
      <c r="U462" t="s">
        <v>7</v>
      </c>
      <c r="V462" t="s">
        <v>253</v>
      </c>
      <c r="W462" t="s">
        <v>132</v>
      </c>
      <c r="X462" t="s">
        <v>253</v>
      </c>
      <c r="Y462" t="s">
        <v>235</v>
      </c>
      <c r="Z462" t="s">
        <v>236</v>
      </c>
      <c r="AA462" t="s">
        <v>253</v>
      </c>
      <c r="AB462" t="s">
        <v>1</v>
      </c>
      <c r="AC462" s="235">
        <v>-1000000</v>
      </c>
      <c r="AD462" s="235">
        <v>-70475.584619658941</v>
      </c>
      <c r="AE462">
        <v>0</v>
      </c>
      <c r="AF462">
        <v>0</v>
      </c>
      <c r="AG462">
        <v>0</v>
      </c>
      <c r="AH462" s="235">
        <v>-26515.108532782178</v>
      </c>
      <c r="AI462">
        <v>226</v>
      </c>
      <c r="AJ462" t="s">
        <v>256</v>
      </c>
      <c r="AK462">
        <v>0</v>
      </c>
      <c r="AL462">
        <v>0</v>
      </c>
      <c r="AM462">
        <v>0</v>
      </c>
    </row>
    <row r="463" spans="1:39" x14ac:dyDescent="0.25">
      <c r="A463" t="s">
        <v>233</v>
      </c>
      <c r="B463" t="s">
        <v>504</v>
      </c>
      <c r="C463" t="s">
        <v>255</v>
      </c>
      <c r="D463" t="s">
        <v>234</v>
      </c>
      <c r="E463" t="s">
        <v>20</v>
      </c>
      <c r="F463" t="s">
        <v>279</v>
      </c>
      <c r="G463" t="s">
        <v>269</v>
      </c>
      <c r="H463" t="s">
        <v>254</v>
      </c>
      <c r="I463" t="s">
        <v>242</v>
      </c>
      <c r="J463" t="s">
        <v>235</v>
      </c>
      <c r="K463" s="380">
        <v>36831</v>
      </c>
      <c r="L463" s="235">
        <v>-39805.707090587144</v>
      </c>
      <c r="M463" s="380">
        <v>36829</v>
      </c>
      <c r="N463" t="s">
        <v>21</v>
      </c>
      <c r="O463">
        <v>1.7</v>
      </c>
      <c r="P463">
        <v>0</v>
      </c>
      <c r="Q463">
        <v>0</v>
      </c>
      <c r="R463">
        <v>0</v>
      </c>
      <c r="S463">
        <v>0</v>
      </c>
      <c r="T463" t="s">
        <v>253</v>
      </c>
      <c r="U463" t="s">
        <v>7</v>
      </c>
      <c r="V463" t="s">
        <v>253</v>
      </c>
      <c r="W463" t="s">
        <v>132</v>
      </c>
      <c r="X463" t="s">
        <v>253</v>
      </c>
      <c r="Y463" t="s">
        <v>235</v>
      </c>
      <c r="Z463" t="s">
        <v>236</v>
      </c>
      <c r="AA463" t="s">
        <v>253</v>
      </c>
      <c r="AB463" t="s">
        <v>1</v>
      </c>
      <c r="AC463" s="235">
        <v>-1000000</v>
      </c>
      <c r="AD463" s="235">
        <v>-20019.492537577316</v>
      </c>
      <c r="AE463">
        <v>0</v>
      </c>
      <c r="AF463">
        <v>0</v>
      </c>
      <c r="AG463">
        <v>0</v>
      </c>
      <c r="AH463" s="235">
        <v>-5844.3496080161203</v>
      </c>
      <c r="AI463">
        <v>226</v>
      </c>
      <c r="AJ463" t="s">
        <v>256</v>
      </c>
      <c r="AK463">
        <v>0</v>
      </c>
      <c r="AL463">
        <v>0</v>
      </c>
      <c r="AM463">
        <v>0</v>
      </c>
    </row>
    <row r="464" spans="1:39" x14ac:dyDescent="0.25">
      <c r="A464" t="s">
        <v>233</v>
      </c>
      <c r="B464" t="s">
        <v>505</v>
      </c>
      <c r="C464" t="s">
        <v>255</v>
      </c>
      <c r="D464" t="s">
        <v>234</v>
      </c>
      <c r="E464" t="s">
        <v>20</v>
      </c>
      <c r="F464" t="s">
        <v>279</v>
      </c>
      <c r="G464" t="s">
        <v>269</v>
      </c>
      <c r="H464" t="s">
        <v>254</v>
      </c>
      <c r="I464" t="s">
        <v>242</v>
      </c>
      <c r="J464" t="s">
        <v>235</v>
      </c>
      <c r="K464" s="380">
        <v>36951</v>
      </c>
      <c r="L464" s="235">
        <v>-907740.38129235059</v>
      </c>
      <c r="M464" s="380">
        <v>36949</v>
      </c>
      <c r="N464" t="s">
        <v>1</v>
      </c>
      <c r="O464">
        <v>1.7</v>
      </c>
      <c r="P464">
        <v>0</v>
      </c>
      <c r="Q464">
        <v>0</v>
      </c>
      <c r="R464">
        <v>0</v>
      </c>
      <c r="S464">
        <v>0</v>
      </c>
      <c r="T464" t="s">
        <v>253</v>
      </c>
      <c r="U464" t="s">
        <v>7</v>
      </c>
      <c r="V464" t="s">
        <v>253</v>
      </c>
      <c r="W464" t="s">
        <v>132</v>
      </c>
      <c r="X464" t="s">
        <v>253</v>
      </c>
      <c r="Y464" t="s">
        <v>235</v>
      </c>
      <c r="Z464" t="s">
        <v>236</v>
      </c>
      <c r="AA464" t="s">
        <v>253</v>
      </c>
      <c r="AB464" t="s">
        <v>1</v>
      </c>
      <c r="AC464" s="235">
        <v>-1000000</v>
      </c>
      <c r="AD464" s="235">
        <v>-78653.618341327296</v>
      </c>
      <c r="AE464">
        <v>0</v>
      </c>
      <c r="AF464">
        <v>0</v>
      </c>
      <c r="AG464">
        <v>0</v>
      </c>
      <c r="AH464" s="235">
        <v>32309.639552984503</v>
      </c>
      <c r="AI464">
        <v>226</v>
      </c>
      <c r="AJ464" t="s">
        <v>256</v>
      </c>
      <c r="AK464">
        <v>0</v>
      </c>
      <c r="AL464">
        <v>0</v>
      </c>
      <c r="AM464">
        <v>0</v>
      </c>
    </row>
    <row r="465" spans="1:39" x14ac:dyDescent="0.25">
      <c r="A465" t="s">
        <v>233</v>
      </c>
      <c r="B465" t="s">
        <v>505</v>
      </c>
      <c r="C465" t="s">
        <v>255</v>
      </c>
      <c r="D465" t="s">
        <v>234</v>
      </c>
      <c r="E465" t="s">
        <v>20</v>
      </c>
      <c r="F465" t="s">
        <v>279</v>
      </c>
      <c r="G465" t="s">
        <v>269</v>
      </c>
      <c r="H465" t="s">
        <v>254</v>
      </c>
      <c r="I465" t="s">
        <v>242</v>
      </c>
      <c r="J465" t="s">
        <v>235</v>
      </c>
      <c r="K465" s="380">
        <v>36923</v>
      </c>
      <c r="L465" s="235">
        <v>-477065.63290775719</v>
      </c>
      <c r="M465" s="380">
        <v>36921</v>
      </c>
      <c r="N465" t="s">
        <v>1</v>
      </c>
      <c r="O465">
        <v>1.7</v>
      </c>
      <c r="P465">
        <v>0</v>
      </c>
      <c r="Q465">
        <v>0</v>
      </c>
      <c r="R465">
        <v>0</v>
      </c>
      <c r="S465">
        <v>0</v>
      </c>
      <c r="T465" t="s">
        <v>253</v>
      </c>
      <c r="U465" t="s">
        <v>7</v>
      </c>
      <c r="V465" t="s">
        <v>253</v>
      </c>
      <c r="W465" t="s">
        <v>132</v>
      </c>
      <c r="X465" t="s">
        <v>253</v>
      </c>
      <c r="Y465" t="s">
        <v>235</v>
      </c>
      <c r="Z465" t="s">
        <v>236</v>
      </c>
      <c r="AA465" t="s">
        <v>253</v>
      </c>
      <c r="AB465" t="s">
        <v>1</v>
      </c>
      <c r="AC465" s="235">
        <v>-1000000</v>
      </c>
      <c r="AD465" s="235">
        <v>-84947.491666822694</v>
      </c>
      <c r="AE465">
        <v>0</v>
      </c>
      <c r="AF465">
        <v>0</v>
      </c>
      <c r="AG465">
        <v>0</v>
      </c>
      <c r="AH465" s="235">
        <v>20548.85943637701</v>
      </c>
      <c r="AI465">
        <v>226</v>
      </c>
      <c r="AJ465" t="s">
        <v>256</v>
      </c>
      <c r="AK465">
        <v>0</v>
      </c>
      <c r="AL465">
        <v>0</v>
      </c>
      <c r="AM465">
        <v>0</v>
      </c>
    </row>
    <row r="466" spans="1:39" x14ac:dyDescent="0.25">
      <c r="A466" t="s">
        <v>233</v>
      </c>
      <c r="B466" t="s">
        <v>505</v>
      </c>
      <c r="C466" t="s">
        <v>255</v>
      </c>
      <c r="D466" t="s">
        <v>234</v>
      </c>
      <c r="E466" t="s">
        <v>20</v>
      </c>
      <c r="F466" t="s">
        <v>279</v>
      </c>
      <c r="G466" t="s">
        <v>269</v>
      </c>
      <c r="H466" t="s">
        <v>254</v>
      </c>
      <c r="I466" t="s">
        <v>242</v>
      </c>
      <c r="J466" t="s">
        <v>235</v>
      </c>
      <c r="K466" s="380">
        <v>36892</v>
      </c>
      <c r="L466" s="235">
        <v>-414677.50155694818</v>
      </c>
      <c r="M466" s="380">
        <v>36888</v>
      </c>
      <c r="N466" t="s">
        <v>1</v>
      </c>
      <c r="O466">
        <v>1.7</v>
      </c>
      <c r="P466">
        <v>0</v>
      </c>
      <c r="Q466">
        <v>0</v>
      </c>
      <c r="R466">
        <v>0</v>
      </c>
      <c r="S466">
        <v>0</v>
      </c>
      <c r="T466" t="s">
        <v>253</v>
      </c>
      <c r="U466" t="s">
        <v>7</v>
      </c>
      <c r="V466" t="s">
        <v>253</v>
      </c>
      <c r="W466" t="s">
        <v>132</v>
      </c>
      <c r="X466" t="s">
        <v>253</v>
      </c>
      <c r="Y466" t="s">
        <v>235</v>
      </c>
      <c r="Z466" t="s">
        <v>236</v>
      </c>
      <c r="AA466" t="s">
        <v>253</v>
      </c>
      <c r="AB466" t="s">
        <v>1</v>
      </c>
      <c r="AC466" s="235">
        <v>-1000000</v>
      </c>
      <c r="AD466" s="235">
        <v>-76646.411582765635</v>
      </c>
      <c r="AE466">
        <v>0</v>
      </c>
      <c r="AF466">
        <v>0</v>
      </c>
      <c r="AG466">
        <v>0</v>
      </c>
      <c r="AH466" s="235">
        <v>16429.548247581173</v>
      </c>
      <c r="AI466">
        <v>226</v>
      </c>
      <c r="AJ466" t="s">
        <v>256</v>
      </c>
      <c r="AK466">
        <v>0</v>
      </c>
      <c r="AL466">
        <v>0</v>
      </c>
      <c r="AM466">
        <v>0</v>
      </c>
    </row>
    <row r="467" spans="1:39" x14ac:dyDescent="0.25">
      <c r="A467" t="s">
        <v>233</v>
      </c>
      <c r="B467" t="s">
        <v>505</v>
      </c>
      <c r="C467" t="s">
        <v>255</v>
      </c>
      <c r="D467" t="s">
        <v>234</v>
      </c>
      <c r="E467" t="s">
        <v>20</v>
      </c>
      <c r="F467" t="s">
        <v>279</v>
      </c>
      <c r="G467" t="s">
        <v>269</v>
      </c>
      <c r="H467" t="s">
        <v>254</v>
      </c>
      <c r="I467" t="s">
        <v>242</v>
      </c>
      <c r="J467" t="s">
        <v>235</v>
      </c>
      <c r="K467" s="380">
        <v>36861</v>
      </c>
      <c r="L467" s="235">
        <v>-546967.0627743823</v>
      </c>
      <c r="M467" s="380">
        <v>36859</v>
      </c>
      <c r="N467" t="s">
        <v>1</v>
      </c>
      <c r="O467">
        <v>1.7</v>
      </c>
      <c r="P467">
        <v>0</v>
      </c>
      <c r="Q467">
        <v>0</v>
      </c>
      <c r="R467">
        <v>0</v>
      </c>
      <c r="S467">
        <v>0</v>
      </c>
      <c r="T467" t="s">
        <v>253</v>
      </c>
      <c r="U467" t="s">
        <v>7</v>
      </c>
      <c r="V467" t="s">
        <v>253</v>
      </c>
      <c r="W467" t="s">
        <v>132</v>
      </c>
      <c r="X467" t="s">
        <v>253</v>
      </c>
      <c r="Y467" t="s">
        <v>235</v>
      </c>
      <c r="Z467" t="s">
        <v>236</v>
      </c>
      <c r="AA467" t="s">
        <v>253</v>
      </c>
      <c r="AB467" t="s">
        <v>1</v>
      </c>
      <c r="AC467" s="235">
        <v>-1000000</v>
      </c>
      <c r="AD467" s="235">
        <v>-70475.584619658999</v>
      </c>
      <c r="AE467">
        <v>0</v>
      </c>
      <c r="AF467">
        <v>0</v>
      </c>
      <c r="AG467">
        <v>0</v>
      </c>
      <c r="AH467" s="235">
        <v>17684.597216655733</v>
      </c>
      <c r="AI467">
        <v>226</v>
      </c>
      <c r="AJ467" t="s">
        <v>256</v>
      </c>
      <c r="AK467">
        <v>0</v>
      </c>
      <c r="AL467">
        <v>0</v>
      </c>
      <c r="AM467">
        <v>0</v>
      </c>
    </row>
    <row r="468" spans="1:39" x14ac:dyDescent="0.25">
      <c r="A468" t="s">
        <v>233</v>
      </c>
      <c r="B468" t="s">
        <v>505</v>
      </c>
      <c r="C468" t="s">
        <v>255</v>
      </c>
      <c r="D468" t="s">
        <v>234</v>
      </c>
      <c r="E468" t="s">
        <v>20</v>
      </c>
      <c r="F468" t="s">
        <v>279</v>
      </c>
      <c r="G468" t="s">
        <v>269</v>
      </c>
      <c r="H468" t="s">
        <v>254</v>
      </c>
      <c r="I468" t="s">
        <v>242</v>
      </c>
      <c r="J468" t="s">
        <v>235</v>
      </c>
      <c r="K468" s="380">
        <v>36831</v>
      </c>
      <c r="L468" s="235">
        <v>-958944.57534930424</v>
      </c>
      <c r="M468" s="380">
        <v>36829</v>
      </c>
      <c r="N468" t="s">
        <v>1</v>
      </c>
      <c r="O468">
        <v>1.7</v>
      </c>
      <c r="P468">
        <v>0</v>
      </c>
      <c r="Q468">
        <v>0</v>
      </c>
      <c r="R468">
        <v>0</v>
      </c>
      <c r="S468">
        <v>0</v>
      </c>
      <c r="T468" t="s">
        <v>253</v>
      </c>
      <c r="U468" t="s">
        <v>7</v>
      </c>
      <c r="V468" t="s">
        <v>253</v>
      </c>
      <c r="W468" t="s">
        <v>132</v>
      </c>
      <c r="X468" t="s">
        <v>253</v>
      </c>
      <c r="Y468" t="s">
        <v>235</v>
      </c>
      <c r="Z468" t="s">
        <v>236</v>
      </c>
      <c r="AA468" t="s">
        <v>253</v>
      </c>
      <c r="AB468" t="s">
        <v>1</v>
      </c>
      <c r="AC468" s="235">
        <v>-1000000</v>
      </c>
      <c r="AD468" s="235">
        <v>-20019.492537577287</v>
      </c>
      <c r="AE468">
        <v>0</v>
      </c>
      <c r="AF468">
        <v>0</v>
      </c>
      <c r="AG468">
        <v>0</v>
      </c>
      <c r="AH468" s="235">
        <v>33666.737804553588</v>
      </c>
      <c r="AI468">
        <v>226</v>
      </c>
      <c r="AJ468" t="s">
        <v>256</v>
      </c>
      <c r="AK468">
        <v>0</v>
      </c>
      <c r="AL468">
        <v>0</v>
      </c>
      <c r="AM468">
        <v>0</v>
      </c>
    </row>
    <row r="469" spans="1:39" x14ac:dyDescent="0.25">
      <c r="A469" t="s">
        <v>233</v>
      </c>
      <c r="B469" t="s">
        <v>506</v>
      </c>
      <c r="C469" t="s">
        <v>255</v>
      </c>
      <c r="D469" t="s">
        <v>234</v>
      </c>
      <c r="E469" t="s">
        <v>20</v>
      </c>
      <c r="F469" t="s">
        <v>480</v>
      </c>
      <c r="G469" t="s">
        <v>269</v>
      </c>
      <c r="H469" t="s">
        <v>254</v>
      </c>
      <c r="I469" t="s">
        <v>242</v>
      </c>
      <c r="J469" t="s">
        <v>235</v>
      </c>
      <c r="K469" s="380">
        <v>36951</v>
      </c>
      <c r="L469" s="235">
        <v>-6333.0737802828908</v>
      </c>
      <c r="M469" s="380">
        <v>36949</v>
      </c>
      <c r="N469" t="s">
        <v>21</v>
      </c>
      <c r="O469">
        <v>0.15</v>
      </c>
      <c r="P469">
        <v>0</v>
      </c>
      <c r="Q469">
        <v>0</v>
      </c>
      <c r="R469">
        <v>0</v>
      </c>
      <c r="S469">
        <v>0</v>
      </c>
      <c r="T469" t="s">
        <v>253</v>
      </c>
      <c r="U469" t="s">
        <v>600</v>
      </c>
      <c r="V469" t="s">
        <v>253</v>
      </c>
      <c r="W469" t="s">
        <v>132</v>
      </c>
      <c r="X469" t="s">
        <v>253</v>
      </c>
      <c r="Y469" t="s">
        <v>235</v>
      </c>
      <c r="Z469" t="s">
        <v>236</v>
      </c>
      <c r="AA469" t="s">
        <v>253</v>
      </c>
      <c r="AB469" t="s">
        <v>1</v>
      </c>
      <c r="AC469" s="235">
        <v>-155000</v>
      </c>
      <c r="AD469" s="235">
        <v>-1573.5896138254684</v>
      </c>
      <c r="AE469">
        <v>0</v>
      </c>
      <c r="AF469">
        <v>0</v>
      </c>
      <c r="AG469">
        <v>0</v>
      </c>
      <c r="AH469" s="235">
        <v>-80.025168464565468</v>
      </c>
      <c r="AI469">
        <v>226</v>
      </c>
      <c r="AJ469" t="s">
        <v>256</v>
      </c>
      <c r="AK469">
        <v>0</v>
      </c>
      <c r="AL469">
        <v>0</v>
      </c>
      <c r="AM469">
        <v>0</v>
      </c>
    </row>
    <row r="470" spans="1:39" x14ac:dyDescent="0.25">
      <c r="A470" t="s">
        <v>233</v>
      </c>
      <c r="B470" t="s">
        <v>506</v>
      </c>
      <c r="C470" t="s">
        <v>255</v>
      </c>
      <c r="D470" t="s">
        <v>234</v>
      </c>
      <c r="E470" t="s">
        <v>20</v>
      </c>
      <c r="F470" t="s">
        <v>480</v>
      </c>
      <c r="G470" t="s">
        <v>269</v>
      </c>
      <c r="H470" t="s">
        <v>254</v>
      </c>
      <c r="I470" t="s">
        <v>242</v>
      </c>
      <c r="J470" t="s">
        <v>235</v>
      </c>
      <c r="K470" s="380">
        <v>36923</v>
      </c>
      <c r="L470" s="235">
        <v>-7249.0512804040436</v>
      </c>
      <c r="M470" s="380">
        <v>36921</v>
      </c>
      <c r="N470" t="s">
        <v>21</v>
      </c>
      <c r="O470">
        <v>0.15</v>
      </c>
      <c r="P470">
        <v>0</v>
      </c>
      <c r="Q470">
        <v>0</v>
      </c>
      <c r="R470">
        <v>0</v>
      </c>
      <c r="S470">
        <v>0</v>
      </c>
      <c r="T470" t="s">
        <v>253</v>
      </c>
      <c r="U470" t="s">
        <v>600</v>
      </c>
      <c r="V470" t="s">
        <v>253</v>
      </c>
      <c r="W470" t="s">
        <v>132</v>
      </c>
      <c r="X470" t="s">
        <v>253</v>
      </c>
      <c r="Y470" t="s">
        <v>235</v>
      </c>
      <c r="Z470" t="s">
        <v>236</v>
      </c>
      <c r="AA470" t="s">
        <v>253</v>
      </c>
      <c r="AB470" t="s">
        <v>1</v>
      </c>
      <c r="AC470" s="235">
        <v>-140000</v>
      </c>
      <c r="AD470" s="235">
        <v>-1494.3356124464408</v>
      </c>
      <c r="AE470">
        <v>0</v>
      </c>
      <c r="AF470">
        <v>0</v>
      </c>
      <c r="AG470">
        <v>0</v>
      </c>
      <c r="AH470" s="235">
        <v>-71.719198747144219</v>
      </c>
      <c r="AI470">
        <v>226</v>
      </c>
      <c r="AJ470" t="s">
        <v>256</v>
      </c>
      <c r="AK470">
        <v>0</v>
      </c>
      <c r="AL470">
        <v>0</v>
      </c>
      <c r="AM470">
        <v>0</v>
      </c>
    </row>
    <row r="471" spans="1:39" x14ac:dyDescent="0.25">
      <c r="A471" t="s">
        <v>233</v>
      </c>
      <c r="B471" t="s">
        <v>506</v>
      </c>
      <c r="C471" t="s">
        <v>255</v>
      </c>
      <c r="D471" t="s">
        <v>234</v>
      </c>
      <c r="E471" t="s">
        <v>20</v>
      </c>
      <c r="F471" t="s">
        <v>480</v>
      </c>
      <c r="G471" t="s">
        <v>269</v>
      </c>
      <c r="H471" t="s">
        <v>254</v>
      </c>
      <c r="I471" t="s">
        <v>242</v>
      </c>
      <c r="J471" t="s">
        <v>235</v>
      </c>
      <c r="K471" s="380">
        <v>36892</v>
      </c>
      <c r="L471" s="235">
        <v>-6897.971815951083</v>
      </c>
      <c r="M471" s="380">
        <v>36888</v>
      </c>
      <c r="N471" t="s">
        <v>21</v>
      </c>
      <c r="O471">
        <v>0.15</v>
      </c>
      <c r="P471">
        <v>0</v>
      </c>
      <c r="Q471">
        <v>0</v>
      </c>
      <c r="R471">
        <v>0</v>
      </c>
      <c r="S471">
        <v>0</v>
      </c>
      <c r="T471" t="s">
        <v>253</v>
      </c>
      <c r="U471" t="s">
        <v>600</v>
      </c>
      <c r="V471" t="s">
        <v>253</v>
      </c>
      <c r="W471" t="s">
        <v>132</v>
      </c>
      <c r="X471" t="s">
        <v>253</v>
      </c>
      <c r="Y471" t="s">
        <v>235</v>
      </c>
      <c r="Z471" t="s">
        <v>236</v>
      </c>
      <c r="AA471" t="s">
        <v>253</v>
      </c>
      <c r="AB471" t="s">
        <v>1</v>
      </c>
      <c r="AC471" s="235">
        <v>-155000</v>
      </c>
      <c r="AD471" s="235">
        <v>-1505.7268318002316</v>
      </c>
      <c r="AE471">
        <v>0</v>
      </c>
      <c r="AF471">
        <v>0</v>
      </c>
      <c r="AG471">
        <v>0</v>
      </c>
      <c r="AH471" s="235">
        <v>-72.470487094463351</v>
      </c>
      <c r="AI471">
        <v>226</v>
      </c>
      <c r="AJ471" t="s">
        <v>256</v>
      </c>
      <c r="AK471">
        <v>0</v>
      </c>
      <c r="AL471">
        <v>0</v>
      </c>
      <c r="AM471">
        <v>0</v>
      </c>
    </row>
    <row r="472" spans="1:39" x14ac:dyDescent="0.25">
      <c r="A472" t="s">
        <v>233</v>
      </c>
      <c r="B472" t="s">
        <v>506</v>
      </c>
      <c r="C472" t="s">
        <v>255</v>
      </c>
      <c r="D472" t="s">
        <v>234</v>
      </c>
      <c r="E472" t="s">
        <v>20</v>
      </c>
      <c r="F472" t="s">
        <v>480</v>
      </c>
      <c r="G472" t="s">
        <v>269</v>
      </c>
      <c r="H472" t="s">
        <v>254</v>
      </c>
      <c r="I472" t="s">
        <v>242</v>
      </c>
      <c r="J472" t="s">
        <v>235</v>
      </c>
      <c r="K472" s="380">
        <v>36861</v>
      </c>
      <c r="L472" s="235">
        <v>-4237.9759780882996</v>
      </c>
      <c r="M472" s="380">
        <v>36859</v>
      </c>
      <c r="N472" t="s">
        <v>21</v>
      </c>
      <c r="O472">
        <v>0.15</v>
      </c>
      <c r="P472">
        <v>0</v>
      </c>
      <c r="Q472">
        <v>0</v>
      </c>
      <c r="R472">
        <v>0</v>
      </c>
      <c r="S472">
        <v>0</v>
      </c>
      <c r="T472" t="s">
        <v>253</v>
      </c>
      <c r="U472" t="s">
        <v>600</v>
      </c>
      <c r="V472" t="s">
        <v>253</v>
      </c>
      <c r="W472" t="s">
        <v>132</v>
      </c>
      <c r="X472" t="s">
        <v>253</v>
      </c>
      <c r="Y472" t="s">
        <v>235</v>
      </c>
      <c r="Z472" t="s">
        <v>236</v>
      </c>
      <c r="AA472" t="s">
        <v>253</v>
      </c>
      <c r="AB472" t="s">
        <v>1</v>
      </c>
      <c r="AC472" s="235">
        <v>-155000</v>
      </c>
      <c r="AD472" s="235">
        <v>-1228.2878879359778</v>
      </c>
      <c r="AE472">
        <v>0</v>
      </c>
      <c r="AF472">
        <v>0</v>
      </c>
      <c r="AG472">
        <v>0</v>
      </c>
      <c r="AH472" s="235">
        <v>-61.840770430051634</v>
      </c>
      <c r="AI472">
        <v>226</v>
      </c>
      <c r="AJ472" t="s">
        <v>256</v>
      </c>
      <c r="AK472">
        <v>0</v>
      </c>
      <c r="AL472">
        <v>0</v>
      </c>
      <c r="AM472">
        <v>0</v>
      </c>
    </row>
    <row r="473" spans="1:39" x14ac:dyDescent="0.25">
      <c r="A473" t="s">
        <v>233</v>
      </c>
      <c r="B473" t="s">
        <v>506</v>
      </c>
      <c r="C473" t="s">
        <v>255</v>
      </c>
      <c r="D473" t="s">
        <v>234</v>
      </c>
      <c r="E473" t="s">
        <v>20</v>
      </c>
      <c r="F473" t="s">
        <v>480</v>
      </c>
      <c r="G473" t="s">
        <v>269</v>
      </c>
      <c r="H473" t="s">
        <v>254</v>
      </c>
      <c r="I473" t="s">
        <v>242</v>
      </c>
      <c r="J473" t="s">
        <v>235</v>
      </c>
      <c r="K473" s="380">
        <v>36831</v>
      </c>
      <c r="L473" s="235">
        <v>-2325.0787793726668</v>
      </c>
      <c r="M473" s="380">
        <v>36829</v>
      </c>
      <c r="N473" t="s">
        <v>21</v>
      </c>
      <c r="O473">
        <v>0.15</v>
      </c>
      <c r="P473">
        <v>0</v>
      </c>
      <c r="Q473">
        <v>0</v>
      </c>
      <c r="R473">
        <v>0</v>
      </c>
      <c r="S473">
        <v>0</v>
      </c>
      <c r="T473" t="s">
        <v>253</v>
      </c>
      <c r="U473" t="s">
        <v>600</v>
      </c>
      <c r="V473" t="s">
        <v>253</v>
      </c>
      <c r="W473" t="s">
        <v>132</v>
      </c>
      <c r="X473" t="s">
        <v>253</v>
      </c>
      <c r="Y473" t="s">
        <v>235</v>
      </c>
      <c r="Z473" t="s">
        <v>236</v>
      </c>
      <c r="AA473" t="s">
        <v>253</v>
      </c>
      <c r="AB473" t="s">
        <v>1</v>
      </c>
      <c r="AC473" s="235">
        <v>-150000</v>
      </c>
      <c r="AD473" s="235">
        <v>-867.49113473248872</v>
      </c>
      <c r="AE473">
        <v>0</v>
      </c>
      <c r="AF473">
        <v>0</v>
      </c>
      <c r="AG473">
        <v>0</v>
      </c>
      <c r="AH473" s="235">
        <v>-46.798107837798852</v>
      </c>
      <c r="AI473">
        <v>226</v>
      </c>
      <c r="AJ473" t="s">
        <v>256</v>
      </c>
      <c r="AK473">
        <v>0</v>
      </c>
      <c r="AL473">
        <v>0</v>
      </c>
      <c r="AM473">
        <v>0</v>
      </c>
    </row>
    <row r="474" spans="1:39" x14ac:dyDescent="0.25">
      <c r="A474" t="s">
        <v>233</v>
      </c>
      <c r="B474" t="s">
        <v>507</v>
      </c>
      <c r="C474" t="s">
        <v>255</v>
      </c>
      <c r="D474" t="s">
        <v>234</v>
      </c>
      <c r="E474" t="s">
        <v>20</v>
      </c>
      <c r="F474" t="s">
        <v>279</v>
      </c>
      <c r="G474" t="s">
        <v>269</v>
      </c>
      <c r="H474" t="s">
        <v>254</v>
      </c>
      <c r="I474" t="s">
        <v>242</v>
      </c>
      <c r="J474" t="s">
        <v>235</v>
      </c>
      <c r="K474" s="380">
        <v>36951</v>
      </c>
      <c r="L474" s="235">
        <v>515721.10794585233</v>
      </c>
      <c r="M474" s="380">
        <v>36949</v>
      </c>
      <c r="N474" t="s">
        <v>21</v>
      </c>
      <c r="O474">
        <v>0.3</v>
      </c>
      <c r="P474">
        <v>0</v>
      </c>
      <c r="Q474">
        <v>0</v>
      </c>
      <c r="R474">
        <v>0</v>
      </c>
      <c r="S474">
        <v>0</v>
      </c>
      <c r="T474" t="s">
        <v>253</v>
      </c>
      <c r="U474" t="s">
        <v>190</v>
      </c>
      <c r="V474" t="s">
        <v>253</v>
      </c>
      <c r="W474" t="s">
        <v>132</v>
      </c>
      <c r="X474" t="s">
        <v>253</v>
      </c>
      <c r="Y474" t="s">
        <v>235</v>
      </c>
      <c r="Z474" t="s">
        <v>236</v>
      </c>
      <c r="AA474" t="s">
        <v>253</v>
      </c>
      <c r="AB474" t="s">
        <v>1</v>
      </c>
      <c r="AC474" s="235">
        <v>1000000</v>
      </c>
      <c r="AD474" s="235">
        <v>73876.796543772449</v>
      </c>
      <c r="AE474">
        <v>0</v>
      </c>
      <c r="AF474">
        <v>0</v>
      </c>
      <c r="AG474">
        <v>0</v>
      </c>
      <c r="AH474" s="235">
        <v>-32141.357324876473</v>
      </c>
      <c r="AI474">
        <v>226</v>
      </c>
      <c r="AJ474" t="s">
        <v>256</v>
      </c>
      <c r="AK474">
        <v>0</v>
      </c>
      <c r="AL474">
        <v>0</v>
      </c>
      <c r="AM474">
        <v>0</v>
      </c>
    </row>
    <row r="475" spans="1:39" x14ac:dyDescent="0.25">
      <c r="A475" t="s">
        <v>233</v>
      </c>
      <c r="B475" t="s">
        <v>507</v>
      </c>
      <c r="C475" t="s">
        <v>255</v>
      </c>
      <c r="D475" t="s">
        <v>234</v>
      </c>
      <c r="E475" t="s">
        <v>20</v>
      </c>
      <c r="F475" t="s">
        <v>279</v>
      </c>
      <c r="G475" t="s">
        <v>269</v>
      </c>
      <c r="H475" t="s">
        <v>254</v>
      </c>
      <c r="I475" t="s">
        <v>242</v>
      </c>
      <c r="J475" t="s">
        <v>235</v>
      </c>
      <c r="K475" s="380">
        <v>36923</v>
      </c>
      <c r="L475" s="235">
        <v>559723.10335023084</v>
      </c>
      <c r="M475" s="380">
        <v>36921</v>
      </c>
      <c r="N475" t="s">
        <v>21</v>
      </c>
      <c r="O475">
        <v>0.3</v>
      </c>
      <c r="P475">
        <v>0</v>
      </c>
      <c r="Q475">
        <v>0</v>
      </c>
      <c r="R475">
        <v>0</v>
      </c>
      <c r="S475">
        <v>0</v>
      </c>
      <c r="T475" t="s">
        <v>253</v>
      </c>
      <c r="U475" t="s">
        <v>190</v>
      </c>
      <c r="V475" t="s">
        <v>253</v>
      </c>
      <c r="W475" t="s">
        <v>132</v>
      </c>
      <c r="X475" t="s">
        <v>253</v>
      </c>
      <c r="Y475" t="s">
        <v>235</v>
      </c>
      <c r="Z475" t="s">
        <v>236</v>
      </c>
      <c r="AA475" t="s">
        <v>253</v>
      </c>
      <c r="AB475" t="s">
        <v>1</v>
      </c>
      <c r="AC475" s="235">
        <v>1000000</v>
      </c>
      <c r="AD475" s="235">
        <v>76239.023155613104</v>
      </c>
      <c r="AE475">
        <v>0</v>
      </c>
      <c r="AF475">
        <v>0</v>
      </c>
      <c r="AG475">
        <v>0</v>
      </c>
      <c r="AH475" s="235">
        <v>-32306.471100873896</v>
      </c>
      <c r="AI475">
        <v>226</v>
      </c>
      <c r="AJ475" t="s">
        <v>256</v>
      </c>
      <c r="AK475">
        <v>0</v>
      </c>
      <c r="AL475">
        <v>0</v>
      </c>
      <c r="AM475">
        <v>0</v>
      </c>
    </row>
    <row r="476" spans="1:39" x14ac:dyDescent="0.25">
      <c r="A476" t="s">
        <v>233</v>
      </c>
      <c r="B476" t="s">
        <v>507</v>
      </c>
      <c r="C476" t="s">
        <v>255</v>
      </c>
      <c r="D476" t="s">
        <v>234</v>
      </c>
      <c r="E476" t="s">
        <v>20</v>
      </c>
      <c r="F476" t="s">
        <v>279</v>
      </c>
      <c r="G476" t="s">
        <v>269</v>
      </c>
      <c r="H476" t="s">
        <v>254</v>
      </c>
      <c r="I476" t="s">
        <v>242</v>
      </c>
      <c r="J476" t="s">
        <v>235</v>
      </c>
      <c r="K476" s="380">
        <v>36892</v>
      </c>
      <c r="L476" s="235">
        <v>648345.9042887683</v>
      </c>
      <c r="M476" s="380">
        <v>36888</v>
      </c>
      <c r="N476" t="s">
        <v>21</v>
      </c>
      <c r="O476">
        <v>0.3</v>
      </c>
      <c r="P476">
        <v>0</v>
      </c>
      <c r="Q476">
        <v>0</v>
      </c>
      <c r="R476">
        <v>0</v>
      </c>
      <c r="S476">
        <v>0</v>
      </c>
      <c r="T476" t="s">
        <v>253</v>
      </c>
      <c r="U476" t="s">
        <v>190</v>
      </c>
      <c r="V476" t="s">
        <v>253</v>
      </c>
      <c r="W476" t="s">
        <v>132</v>
      </c>
      <c r="X476" t="s">
        <v>253</v>
      </c>
      <c r="Y476" t="s">
        <v>235</v>
      </c>
      <c r="Z476" t="s">
        <v>236</v>
      </c>
      <c r="AA476" t="s">
        <v>253</v>
      </c>
      <c r="AB476" t="s">
        <v>1</v>
      </c>
      <c r="AC476" s="235">
        <v>1000000</v>
      </c>
      <c r="AD476" s="235">
        <v>65141.070935926167</v>
      </c>
      <c r="AE476">
        <v>0</v>
      </c>
      <c r="AF476">
        <v>0</v>
      </c>
      <c r="AG476">
        <v>0</v>
      </c>
      <c r="AH476" s="235">
        <v>-35968.992676337017</v>
      </c>
      <c r="AI476">
        <v>226</v>
      </c>
      <c r="AJ476" t="s">
        <v>256</v>
      </c>
      <c r="AK476">
        <v>0</v>
      </c>
      <c r="AL476">
        <v>0</v>
      </c>
      <c r="AM476">
        <v>0</v>
      </c>
    </row>
    <row r="477" spans="1:39" x14ac:dyDescent="0.25">
      <c r="A477" t="s">
        <v>233</v>
      </c>
      <c r="B477" t="s">
        <v>507</v>
      </c>
      <c r="C477" t="s">
        <v>255</v>
      </c>
      <c r="D477" t="s">
        <v>234</v>
      </c>
      <c r="E477" t="s">
        <v>20</v>
      </c>
      <c r="F477" t="s">
        <v>279</v>
      </c>
      <c r="G477" t="s">
        <v>269</v>
      </c>
      <c r="H477" t="s">
        <v>254</v>
      </c>
      <c r="I477" t="s">
        <v>242</v>
      </c>
      <c r="J477" t="s">
        <v>235</v>
      </c>
      <c r="K477" s="380">
        <v>36861</v>
      </c>
      <c r="L477" s="235">
        <v>792021.25840164442</v>
      </c>
      <c r="M477" s="380">
        <v>36859</v>
      </c>
      <c r="N477" t="s">
        <v>21</v>
      </c>
      <c r="O477">
        <v>0.3</v>
      </c>
      <c r="P477">
        <v>0</v>
      </c>
      <c r="Q477">
        <v>0</v>
      </c>
      <c r="R477">
        <v>0</v>
      </c>
      <c r="S477">
        <v>0</v>
      </c>
      <c r="T477" t="s">
        <v>253</v>
      </c>
      <c r="U477" t="s">
        <v>190</v>
      </c>
      <c r="V477" t="s">
        <v>253</v>
      </c>
      <c r="W477" t="s">
        <v>132</v>
      </c>
      <c r="X477" t="s">
        <v>253</v>
      </c>
      <c r="Y477" t="s">
        <v>235</v>
      </c>
      <c r="Z477" t="s">
        <v>236</v>
      </c>
      <c r="AA477" t="s">
        <v>253</v>
      </c>
      <c r="AB477" t="s">
        <v>1</v>
      </c>
      <c r="AC477" s="235">
        <v>1000000</v>
      </c>
      <c r="AD477" s="235">
        <v>45779.465751448297</v>
      </c>
      <c r="AE477">
        <v>0</v>
      </c>
      <c r="AF477">
        <v>0</v>
      </c>
      <c r="AG477">
        <v>0</v>
      </c>
      <c r="AH477" s="235">
        <v>115274.51830893499</v>
      </c>
      <c r="AI477">
        <v>226</v>
      </c>
      <c r="AJ477" t="s">
        <v>256</v>
      </c>
      <c r="AK477">
        <v>0</v>
      </c>
      <c r="AL477">
        <v>0</v>
      </c>
      <c r="AM477">
        <v>0</v>
      </c>
    </row>
    <row r="478" spans="1:39" x14ac:dyDescent="0.25">
      <c r="A478" t="s">
        <v>233</v>
      </c>
      <c r="B478" t="s">
        <v>507</v>
      </c>
      <c r="C478" t="s">
        <v>255</v>
      </c>
      <c r="D478" t="s">
        <v>234</v>
      </c>
      <c r="E478" t="s">
        <v>20</v>
      </c>
      <c r="F478" t="s">
        <v>279</v>
      </c>
      <c r="G478" t="s">
        <v>269</v>
      </c>
      <c r="H478" t="s">
        <v>254</v>
      </c>
      <c r="I478" t="s">
        <v>242</v>
      </c>
      <c r="J478" t="s">
        <v>235</v>
      </c>
      <c r="K478" s="380">
        <v>36831</v>
      </c>
      <c r="L478" s="235">
        <v>1243475.2381691644</v>
      </c>
      <c r="M478" s="380">
        <v>36829</v>
      </c>
      <c r="N478" t="s">
        <v>21</v>
      </c>
      <c r="O478">
        <v>0.3</v>
      </c>
      <c r="P478">
        <v>0</v>
      </c>
      <c r="Q478">
        <v>0</v>
      </c>
      <c r="R478">
        <v>0</v>
      </c>
      <c r="S478">
        <v>0</v>
      </c>
      <c r="T478" t="s">
        <v>253</v>
      </c>
      <c r="U478" t="s">
        <v>190</v>
      </c>
      <c r="V478" t="s">
        <v>253</v>
      </c>
      <c r="W478" t="s">
        <v>132</v>
      </c>
      <c r="X478" t="s">
        <v>253</v>
      </c>
      <c r="Y478" t="s">
        <v>235</v>
      </c>
      <c r="Z478" t="s">
        <v>236</v>
      </c>
      <c r="AA478" t="s">
        <v>253</v>
      </c>
      <c r="AB478" t="s">
        <v>1</v>
      </c>
      <c r="AC478" s="235">
        <v>1000000</v>
      </c>
      <c r="AD478" s="235">
        <v>12291.895847539185</v>
      </c>
      <c r="AE478">
        <v>0</v>
      </c>
      <c r="AF478">
        <v>0</v>
      </c>
      <c r="AG478">
        <v>0</v>
      </c>
      <c r="AH478" s="235">
        <v>197381.69265320513</v>
      </c>
      <c r="AI478">
        <v>226</v>
      </c>
      <c r="AJ478" t="s">
        <v>256</v>
      </c>
      <c r="AK478">
        <v>0</v>
      </c>
      <c r="AL478">
        <v>0</v>
      </c>
      <c r="AM478">
        <v>0</v>
      </c>
    </row>
    <row r="479" spans="1:39" x14ac:dyDescent="0.25">
      <c r="A479" t="s">
        <v>233</v>
      </c>
      <c r="B479" t="s">
        <v>508</v>
      </c>
      <c r="C479" t="s">
        <v>255</v>
      </c>
      <c r="D479" t="s">
        <v>234</v>
      </c>
      <c r="E479" t="s">
        <v>20</v>
      </c>
      <c r="F479" t="s">
        <v>509</v>
      </c>
      <c r="G479" t="s">
        <v>269</v>
      </c>
      <c r="H479" t="s">
        <v>254</v>
      </c>
      <c r="I479" t="s">
        <v>242</v>
      </c>
      <c r="J479" t="s">
        <v>235</v>
      </c>
      <c r="K479" s="380">
        <v>36951</v>
      </c>
      <c r="L479" s="235">
        <v>257860.55397292617</v>
      </c>
      <c r="M479" s="380">
        <v>36949</v>
      </c>
      <c r="N479" t="s">
        <v>21</v>
      </c>
      <c r="O479">
        <v>0.3</v>
      </c>
      <c r="P479">
        <v>0</v>
      </c>
      <c r="Q479">
        <v>0</v>
      </c>
      <c r="R479">
        <v>0</v>
      </c>
      <c r="S479">
        <v>0</v>
      </c>
      <c r="T479" t="s">
        <v>253</v>
      </c>
      <c r="U479" t="s">
        <v>190</v>
      </c>
      <c r="V479" t="s">
        <v>253</v>
      </c>
      <c r="W479" t="s">
        <v>132</v>
      </c>
      <c r="X479" t="s">
        <v>253</v>
      </c>
      <c r="Y479" t="s">
        <v>235</v>
      </c>
      <c r="Z479" t="s">
        <v>236</v>
      </c>
      <c r="AA479" t="s">
        <v>253</v>
      </c>
      <c r="AB479" t="s">
        <v>1</v>
      </c>
      <c r="AC479" s="235">
        <v>500000</v>
      </c>
      <c r="AD479" s="235">
        <v>36938.398271886224</v>
      </c>
      <c r="AE479">
        <v>0</v>
      </c>
      <c r="AF479">
        <v>0</v>
      </c>
      <c r="AG479">
        <v>0</v>
      </c>
      <c r="AH479" s="235">
        <v>-16070.678662438237</v>
      </c>
      <c r="AI479">
        <v>226</v>
      </c>
      <c r="AJ479" t="s">
        <v>256</v>
      </c>
      <c r="AK479">
        <v>0</v>
      </c>
      <c r="AL479">
        <v>0</v>
      </c>
      <c r="AM479">
        <v>0</v>
      </c>
    </row>
    <row r="480" spans="1:39" x14ac:dyDescent="0.25">
      <c r="A480" t="s">
        <v>233</v>
      </c>
      <c r="B480" t="s">
        <v>508</v>
      </c>
      <c r="C480" t="s">
        <v>255</v>
      </c>
      <c r="D480" t="s">
        <v>234</v>
      </c>
      <c r="E480" t="s">
        <v>20</v>
      </c>
      <c r="F480" t="s">
        <v>509</v>
      </c>
      <c r="G480" t="s">
        <v>269</v>
      </c>
      <c r="H480" t="s">
        <v>254</v>
      </c>
      <c r="I480" t="s">
        <v>242</v>
      </c>
      <c r="J480" t="s">
        <v>235</v>
      </c>
      <c r="K480" s="380">
        <v>36923</v>
      </c>
      <c r="L480" s="235">
        <v>279861.55167511542</v>
      </c>
      <c r="M480" s="380">
        <v>36921</v>
      </c>
      <c r="N480" t="s">
        <v>21</v>
      </c>
      <c r="O480">
        <v>0.3</v>
      </c>
      <c r="P480">
        <v>0</v>
      </c>
      <c r="Q480">
        <v>0</v>
      </c>
      <c r="R480">
        <v>0</v>
      </c>
      <c r="S480">
        <v>0</v>
      </c>
      <c r="T480" t="s">
        <v>253</v>
      </c>
      <c r="U480" t="s">
        <v>190</v>
      </c>
      <c r="V480" t="s">
        <v>253</v>
      </c>
      <c r="W480" t="s">
        <v>132</v>
      </c>
      <c r="X480" t="s">
        <v>253</v>
      </c>
      <c r="Y480" t="s">
        <v>235</v>
      </c>
      <c r="Z480" t="s">
        <v>236</v>
      </c>
      <c r="AA480" t="s">
        <v>253</v>
      </c>
      <c r="AB480" t="s">
        <v>1</v>
      </c>
      <c r="AC480" s="235">
        <v>500000</v>
      </c>
      <c r="AD480" s="235">
        <v>38119.511577806552</v>
      </c>
      <c r="AE480">
        <v>0</v>
      </c>
      <c r="AF480">
        <v>0</v>
      </c>
      <c r="AG480">
        <v>0</v>
      </c>
      <c r="AH480" s="235">
        <v>-16153.235550436948</v>
      </c>
      <c r="AI480">
        <v>226</v>
      </c>
      <c r="AJ480" t="s">
        <v>256</v>
      </c>
      <c r="AK480">
        <v>0</v>
      </c>
      <c r="AL480">
        <v>0</v>
      </c>
      <c r="AM480">
        <v>0</v>
      </c>
    </row>
    <row r="481" spans="1:39" x14ac:dyDescent="0.25">
      <c r="A481" t="s">
        <v>233</v>
      </c>
      <c r="B481" t="s">
        <v>508</v>
      </c>
      <c r="C481" t="s">
        <v>255</v>
      </c>
      <c r="D481" t="s">
        <v>234</v>
      </c>
      <c r="E481" t="s">
        <v>20</v>
      </c>
      <c r="F481" t="s">
        <v>509</v>
      </c>
      <c r="G481" t="s">
        <v>269</v>
      </c>
      <c r="H481" t="s">
        <v>254</v>
      </c>
      <c r="I481" t="s">
        <v>242</v>
      </c>
      <c r="J481" t="s">
        <v>235</v>
      </c>
      <c r="K481" s="380">
        <v>36892</v>
      </c>
      <c r="L481" s="235">
        <v>324172.95214438415</v>
      </c>
      <c r="M481" s="380">
        <v>36888</v>
      </c>
      <c r="N481" t="s">
        <v>21</v>
      </c>
      <c r="O481">
        <v>0.3</v>
      </c>
      <c r="P481">
        <v>0</v>
      </c>
      <c r="Q481">
        <v>0</v>
      </c>
      <c r="R481">
        <v>0</v>
      </c>
      <c r="S481">
        <v>0</v>
      </c>
      <c r="T481" t="s">
        <v>253</v>
      </c>
      <c r="U481" t="s">
        <v>190</v>
      </c>
      <c r="V481" t="s">
        <v>253</v>
      </c>
      <c r="W481" t="s">
        <v>132</v>
      </c>
      <c r="X481" t="s">
        <v>253</v>
      </c>
      <c r="Y481" t="s">
        <v>235</v>
      </c>
      <c r="Z481" t="s">
        <v>236</v>
      </c>
      <c r="AA481" t="s">
        <v>253</v>
      </c>
      <c r="AB481" t="s">
        <v>1</v>
      </c>
      <c r="AC481" s="235">
        <v>500000</v>
      </c>
      <c r="AD481" s="235">
        <v>32570.535467963084</v>
      </c>
      <c r="AE481">
        <v>0</v>
      </c>
      <c r="AF481">
        <v>0</v>
      </c>
      <c r="AG481">
        <v>0</v>
      </c>
      <c r="AH481" s="235">
        <v>-17984.496338168508</v>
      </c>
      <c r="AI481">
        <v>226</v>
      </c>
      <c r="AJ481" t="s">
        <v>256</v>
      </c>
      <c r="AK481">
        <v>0</v>
      </c>
      <c r="AL481">
        <v>0</v>
      </c>
      <c r="AM481">
        <v>0</v>
      </c>
    </row>
    <row r="482" spans="1:39" x14ac:dyDescent="0.25">
      <c r="A482" t="s">
        <v>233</v>
      </c>
      <c r="B482" t="s">
        <v>508</v>
      </c>
      <c r="C482" t="s">
        <v>255</v>
      </c>
      <c r="D482" t="s">
        <v>234</v>
      </c>
      <c r="E482" t="s">
        <v>20</v>
      </c>
      <c r="F482" t="s">
        <v>509</v>
      </c>
      <c r="G482" t="s">
        <v>269</v>
      </c>
      <c r="H482" t="s">
        <v>254</v>
      </c>
      <c r="I482" t="s">
        <v>242</v>
      </c>
      <c r="J482" t="s">
        <v>235</v>
      </c>
      <c r="K482" s="380">
        <v>36861</v>
      </c>
      <c r="L482" s="235">
        <v>396010.62920082221</v>
      </c>
      <c r="M482" s="380">
        <v>36859</v>
      </c>
      <c r="N482" t="s">
        <v>21</v>
      </c>
      <c r="O482">
        <v>0.3</v>
      </c>
      <c r="P482">
        <v>0</v>
      </c>
      <c r="Q482">
        <v>0</v>
      </c>
      <c r="R482">
        <v>0</v>
      </c>
      <c r="S482">
        <v>0</v>
      </c>
      <c r="T482" t="s">
        <v>253</v>
      </c>
      <c r="U482" t="s">
        <v>190</v>
      </c>
      <c r="V482" t="s">
        <v>253</v>
      </c>
      <c r="W482" t="s">
        <v>132</v>
      </c>
      <c r="X482" t="s">
        <v>253</v>
      </c>
      <c r="Y482" t="s">
        <v>235</v>
      </c>
      <c r="Z482" t="s">
        <v>236</v>
      </c>
      <c r="AA482" t="s">
        <v>253</v>
      </c>
      <c r="AB482" t="s">
        <v>1</v>
      </c>
      <c r="AC482" s="235">
        <v>500000</v>
      </c>
      <c r="AD482" s="235">
        <v>22889.732875724148</v>
      </c>
      <c r="AE482">
        <v>0</v>
      </c>
      <c r="AF482">
        <v>0</v>
      </c>
      <c r="AG482">
        <v>0</v>
      </c>
      <c r="AH482" s="235">
        <v>57637.259154467494</v>
      </c>
      <c r="AI482">
        <v>226</v>
      </c>
      <c r="AJ482" t="s">
        <v>256</v>
      </c>
      <c r="AK482">
        <v>0</v>
      </c>
      <c r="AL482">
        <v>0</v>
      </c>
      <c r="AM482">
        <v>0</v>
      </c>
    </row>
    <row r="483" spans="1:39" x14ac:dyDescent="0.25">
      <c r="A483" t="s">
        <v>233</v>
      </c>
      <c r="B483" t="s">
        <v>508</v>
      </c>
      <c r="C483" t="s">
        <v>255</v>
      </c>
      <c r="D483" t="s">
        <v>234</v>
      </c>
      <c r="E483" t="s">
        <v>20</v>
      </c>
      <c r="F483" t="s">
        <v>509</v>
      </c>
      <c r="G483" t="s">
        <v>269</v>
      </c>
      <c r="H483" t="s">
        <v>254</v>
      </c>
      <c r="I483" t="s">
        <v>242</v>
      </c>
      <c r="J483" t="s">
        <v>235</v>
      </c>
      <c r="K483" s="380">
        <v>36831</v>
      </c>
      <c r="L483" s="235">
        <v>621737.6190845822</v>
      </c>
      <c r="M483" s="380">
        <v>36829</v>
      </c>
      <c r="N483" t="s">
        <v>21</v>
      </c>
      <c r="O483">
        <v>0.3</v>
      </c>
      <c r="P483">
        <v>0</v>
      </c>
      <c r="Q483">
        <v>0</v>
      </c>
      <c r="R483">
        <v>0</v>
      </c>
      <c r="S483">
        <v>0</v>
      </c>
      <c r="T483" t="s">
        <v>253</v>
      </c>
      <c r="U483" t="s">
        <v>190</v>
      </c>
      <c r="V483" t="s">
        <v>253</v>
      </c>
      <c r="W483" t="s">
        <v>132</v>
      </c>
      <c r="X483" t="s">
        <v>253</v>
      </c>
      <c r="Y483" t="s">
        <v>235</v>
      </c>
      <c r="Z483" t="s">
        <v>236</v>
      </c>
      <c r="AA483" t="s">
        <v>253</v>
      </c>
      <c r="AB483" t="s">
        <v>1</v>
      </c>
      <c r="AC483" s="235">
        <v>500000</v>
      </c>
      <c r="AD483" s="235">
        <v>6145.9479237695923</v>
      </c>
      <c r="AE483">
        <v>0</v>
      </c>
      <c r="AF483">
        <v>0</v>
      </c>
      <c r="AG483">
        <v>0</v>
      </c>
      <c r="AH483" s="235">
        <v>98690.846326602565</v>
      </c>
      <c r="AI483">
        <v>226</v>
      </c>
      <c r="AJ483" t="s">
        <v>256</v>
      </c>
      <c r="AK483">
        <v>0</v>
      </c>
      <c r="AL483">
        <v>0</v>
      </c>
      <c r="AM483">
        <v>0</v>
      </c>
    </row>
    <row r="484" spans="1:39" x14ac:dyDescent="0.25">
      <c r="A484" t="s">
        <v>233</v>
      </c>
      <c r="B484" t="s">
        <v>510</v>
      </c>
      <c r="C484" t="s">
        <v>255</v>
      </c>
      <c r="D484" t="s">
        <v>234</v>
      </c>
      <c r="E484" t="s">
        <v>20</v>
      </c>
      <c r="F484" t="s">
        <v>281</v>
      </c>
      <c r="G484" t="s">
        <v>269</v>
      </c>
      <c r="H484" t="s">
        <v>254</v>
      </c>
      <c r="I484" t="s">
        <v>242</v>
      </c>
      <c r="J484" t="s">
        <v>235</v>
      </c>
      <c r="K484" s="380">
        <v>37165</v>
      </c>
      <c r="L484" s="235">
        <v>42514.193973980531</v>
      </c>
      <c r="M484" s="380">
        <v>37161</v>
      </c>
      <c r="N484" t="s">
        <v>21</v>
      </c>
      <c r="O484">
        <v>0.5</v>
      </c>
      <c r="P484">
        <v>0</v>
      </c>
      <c r="Q484">
        <v>0</v>
      </c>
      <c r="R484">
        <v>0</v>
      </c>
      <c r="S484">
        <v>0</v>
      </c>
      <c r="T484" t="s">
        <v>253</v>
      </c>
      <c r="U484" t="s">
        <v>7</v>
      </c>
      <c r="V484" t="s">
        <v>253</v>
      </c>
      <c r="W484" t="s">
        <v>132</v>
      </c>
      <c r="X484" t="s">
        <v>253</v>
      </c>
      <c r="Y484" t="s">
        <v>235</v>
      </c>
      <c r="Z484" t="s">
        <v>236</v>
      </c>
      <c r="AA484" t="s">
        <v>253</v>
      </c>
      <c r="AB484" t="s">
        <v>1</v>
      </c>
      <c r="AC484" s="235">
        <v>310000</v>
      </c>
      <c r="AD484" s="235">
        <v>9544.4022697767068</v>
      </c>
      <c r="AE484">
        <v>0</v>
      </c>
      <c r="AF484">
        <v>0</v>
      </c>
      <c r="AG484">
        <v>0</v>
      </c>
      <c r="AH484" s="235">
        <v>454.0415570322948</v>
      </c>
      <c r="AI484">
        <v>226</v>
      </c>
      <c r="AJ484" t="s">
        <v>256</v>
      </c>
      <c r="AK484">
        <v>0</v>
      </c>
      <c r="AL484">
        <v>0</v>
      </c>
      <c r="AM484">
        <v>0</v>
      </c>
    </row>
    <row r="485" spans="1:39" x14ac:dyDescent="0.25">
      <c r="A485" t="s">
        <v>233</v>
      </c>
      <c r="B485" t="s">
        <v>510</v>
      </c>
      <c r="C485" t="s">
        <v>255</v>
      </c>
      <c r="D485" t="s">
        <v>234</v>
      </c>
      <c r="E485" t="s">
        <v>20</v>
      </c>
      <c r="F485" t="s">
        <v>281</v>
      </c>
      <c r="G485" t="s">
        <v>269</v>
      </c>
      <c r="H485" t="s">
        <v>254</v>
      </c>
      <c r="I485" t="s">
        <v>242</v>
      </c>
      <c r="J485" t="s">
        <v>235</v>
      </c>
      <c r="K485" s="380">
        <v>37135</v>
      </c>
      <c r="L485" s="235">
        <v>31308.780753975094</v>
      </c>
      <c r="M485" s="380">
        <v>37133</v>
      </c>
      <c r="N485" t="s">
        <v>21</v>
      </c>
      <c r="O485">
        <v>0.5</v>
      </c>
      <c r="P485">
        <v>0</v>
      </c>
      <c r="Q485">
        <v>0</v>
      </c>
      <c r="R485">
        <v>0</v>
      </c>
      <c r="S485">
        <v>0</v>
      </c>
      <c r="T485" t="s">
        <v>253</v>
      </c>
      <c r="U485" t="s">
        <v>7</v>
      </c>
      <c r="V485" t="s">
        <v>253</v>
      </c>
      <c r="W485" t="s">
        <v>132</v>
      </c>
      <c r="X485" t="s">
        <v>253</v>
      </c>
      <c r="Y485" t="s">
        <v>235</v>
      </c>
      <c r="Z485" t="s">
        <v>236</v>
      </c>
      <c r="AA485" t="s">
        <v>253</v>
      </c>
      <c r="AB485" t="s">
        <v>1</v>
      </c>
      <c r="AC485" s="235">
        <v>300000</v>
      </c>
      <c r="AD485" s="235">
        <v>8697.0570721938711</v>
      </c>
      <c r="AE485">
        <v>0</v>
      </c>
      <c r="AF485">
        <v>0</v>
      </c>
      <c r="AG485">
        <v>0</v>
      </c>
      <c r="AH485" s="235">
        <v>412.83874257255229</v>
      </c>
      <c r="AI485">
        <v>226</v>
      </c>
      <c r="AJ485" t="s">
        <v>256</v>
      </c>
      <c r="AK485">
        <v>0</v>
      </c>
      <c r="AL485">
        <v>0</v>
      </c>
      <c r="AM485">
        <v>0</v>
      </c>
    </row>
    <row r="486" spans="1:39" x14ac:dyDescent="0.25">
      <c r="A486" t="s">
        <v>233</v>
      </c>
      <c r="B486" t="s">
        <v>510</v>
      </c>
      <c r="C486" t="s">
        <v>255</v>
      </c>
      <c r="D486" t="s">
        <v>234</v>
      </c>
      <c r="E486" t="s">
        <v>20</v>
      </c>
      <c r="F486" t="s">
        <v>281</v>
      </c>
      <c r="G486" t="s">
        <v>269</v>
      </c>
      <c r="H486" t="s">
        <v>254</v>
      </c>
      <c r="I486" t="s">
        <v>242</v>
      </c>
      <c r="J486" t="s">
        <v>235</v>
      </c>
      <c r="K486" s="380">
        <v>37104</v>
      </c>
      <c r="L486" s="235">
        <v>39209.438299146583</v>
      </c>
      <c r="M486" s="380">
        <v>37102</v>
      </c>
      <c r="N486" t="s">
        <v>21</v>
      </c>
      <c r="O486">
        <v>0.5</v>
      </c>
      <c r="P486">
        <v>0</v>
      </c>
      <c r="Q486">
        <v>0</v>
      </c>
      <c r="R486">
        <v>0</v>
      </c>
      <c r="S486">
        <v>0</v>
      </c>
      <c r="T486" t="s">
        <v>253</v>
      </c>
      <c r="U486" t="s">
        <v>7</v>
      </c>
      <c r="V486" t="s">
        <v>253</v>
      </c>
      <c r="W486" t="s">
        <v>132</v>
      </c>
      <c r="X486" t="s">
        <v>253</v>
      </c>
      <c r="Y486" t="s">
        <v>235</v>
      </c>
      <c r="Z486" t="s">
        <v>236</v>
      </c>
      <c r="AA486" t="s">
        <v>253</v>
      </c>
      <c r="AB486" t="s">
        <v>1</v>
      </c>
      <c r="AC486" s="235">
        <v>310000</v>
      </c>
      <c r="AD486" s="235">
        <v>8857.4663349359616</v>
      </c>
      <c r="AE486">
        <v>0</v>
      </c>
      <c r="AF486">
        <v>0</v>
      </c>
      <c r="AG486">
        <v>0</v>
      </c>
      <c r="AH486" s="235">
        <v>420.89722410338436</v>
      </c>
      <c r="AI486">
        <v>226</v>
      </c>
      <c r="AJ486" t="s">
        <v>256</v>
      </c>
      <c r="AK486">
        <v>0</v>
      </c>
      <c r="AL486">
        <v>0</v>
      </c>
      <c r="AM486">
        <v>0</v>
      </c>
    </row>
    <row r="487" spans="1:39" x14ac:dyDescent="0.25">
      <c r="A487" t="s">
        <v>233</v>
      </c>
      <c r="B487" t="s">
        <v>510</v>
      </c>
      <c r="C487" t="s">
        <v>255</v>
      </c>
      <c r="D487" t="s">
        <v>234</v>
      </c>
      <c r="E487" t="s">
        <v>20</v>
      </c>
      <c r="F487" t="s">
        <v>281</v>
      </c>
      <c r="G487" t="s">
        <v>269</v>
      </c>
      <c r="H487" t="s">
        <v>254</v>
      </c>
      <c r="I487" t="s">
        <v>242</v>
      </c>
      <c r="J487" t="s">
        <v>235</v>
      </c>
      <c r="K487" s="380">
        <v>37073</v>
      </c>
      <c r="L487" s="235">
        <v>37202.103521258075</v>
      </c>
      <c r="M487" s="380">
        <v>37070</v>
      </c>
      <c r="N487" t="s">
        <v>21</v>
      </c>
      <c r="O487">
        <v>0.5</v>
      </c>
      <c r="P487">
        <v>0</v>
      </c>
      <c r="Q487">
        <v>0</v>
      </c>
      <c r="R487">
        <v>0</v>
      </c>
      <c r="S487">
        <v>0</v>
      </c>
      <c r="T487" t="s">
        <v>253</v>
      </c>
      <c r="U487" t="s">
        <v>7</v>
      </c>
      <c r="V487" t="s">
        <v>253</v>
      </c>
      <c r="W487" t="s">
        <v>132</v>
      </c>
      <c r="X487" t="s">
        <v>253</v>
      </c>
      <c r="Y487" t="s">
        <v>235</v>
      </c>
      <c r="Z487" t="s">
        <v>236</v>
      </c>
      <c r="AA487" t="s">
        <v>253</v>
      </c>
      <c r="AB487" t="s">
        <v>1</v>
      </c>
      <c r="AC487" s="235">
        <v>310000</v>
      </c>
      <c r="AD487" s="235">
        <v>8467.5301370125817</v>
      </c>
      <c r="AE487">
        <v>0</v>
      </c>
      <c r="AF487">
        <v>0</v>
      </c>
      <c r="AG487">
        <v>0</v>
      </c>
      <c r="AH487" s="235">
        <v>402.53011981803138</v>
      </c>
      <c r="AI487">
        <v>226</v>
      </c>
      <c r="AJ487" t="s">
        <v>256</v>
      </c>
      <c r="AK487">
        <v>0</v>
      </c>
      <c r="AL487">
        <v>0</v>
      </c>
      <c r="AM487">
        <v>0</v>
      </c>
    </row>
    <row r="488" spans="1:39" x14ac:dyDescent="0.25">
      <c r="A488" t="s">
        <v>233</v>
      </c>
      <c r="B488" t="s">
        <v>510</v>
      </c>
      <c r="C488" t="s">
        <v>255</v>
      </c>
      <c r="D488" t="s">
        <v>234</v>
      </c>
      <c r="E488" t="s">
        <v>20</v>
      </c>
      <c r="F488" t="s">
        <v>281</v>
      </c>
      <c r="G488" t="s">
        <v>269</v>
      </c>
      <c r="H488" t="s">
        <v>254</v>
      </c>
      <c r="I488" t="s">
        <v>242</v>
      </c>
      <c r="J488" t="s">
        <v>235</v>
      </c>
      <c r="K488" s="380">
        <v>37043</v>
      </c>
      <c r="L488" s="235">
        <v>26205.061243205684</v>
      </c>
      <c r="M488" s="380">
        <v>37041</v>
      </c>
      <c r="N488" t="s">
        <v>21</v>
      </c>
      <c r="O488">
        <v>0.5</v>
      </c>
      <c r="P488">
        <v>0</v>
      </c>
      <c r="Q488">
        <v>0</v>
      </c>
      <c r="R488">
        <v>0</v>
      </c>
      <c r="S488">
        <v>0</v>
      </c>
      <c r="T488" t="s">
        <v>253</v>
      </c>
      <c r="U488" t="s">
        <v>7</v>
      </c>
      <c r="V488" t="s">
        <v>253</v>
      </c>
      <c r="W488" t="s">
        <v>132</v>
      </c>
      <c r="X488" t="s">
        <v>253</v>
      </c>
      <c r="Y488" t="s">
        <v>235</v>
      </c>
      <c r="Z488" t="s">
        <v>236</v>
      </c>
      <c r="AA488" t="s">
        <v>253</v>
      </c>
      <c r="AB488" t="s">
        <v>1</v>
      </c>
      <c r="AC488" s="235">
        <v>300000</v>
      </c>
      <c r="AD488" s="235">
        <v>7582.5911470300343</v>
      </c>
      <c r="AE488">
        <v>0</v>
      </c>
      <c r="AF488">
        <v>0</v>
      </c>
      <c r="AG488">
        <v>0</v>
      </c>
      <c r="AH488" s="235">
        <v>360.31602393173671</v>
      </c>
      <c r="AI488">
        <v>226</v>
      </c>
      <c r="AJ488" t="s">
        <v>256</v>
      </c>
      <c r="AK488">
        <v>0</v>
      </c>
      <c r="AL488">
        <v>0</v>
      </c>
      <c r="AM488">
        <v>0</v>
      </c>
    </row>
    <row r="489" spans="1:39" x14ac:dyDescent="0.25">
      <c r="A489" t="s">
        <v>233</v>
      </c>
      <c r="B489" t="s">
        <v>510</v>
      </c>
      <c r="C489" t="s">
        <v>255</v>
      </c>
      <c r="D489" t="s">
        <v>234</v>
      </c>
      <c r="E489" t="s">
        <v>20</v>
      </c>
      <c r="F489" t="s">
        <v>281</v>
      </c>
      <c r="G489" t="s">
        <v>269</v>
      </c>
      <c r="H489" t="s">
        <v>254</v>
      </c>
      <c r="I489" t="s">
        <v>242</v>
      </c>
      <c r="J489" t="s">
        <v>235</v>
      </c>
      <c r="K489" s="380">
        <v>37012</v>
      </c>
      <c r="L489" s="235">
        <v>26626.879046535698</v>
      </c>
      <c r="M489" s="380">
        <v>37008</v>
      </c>
      <c r="N489" t="s">
        <v>21</v>
      </c>
      <c r="O489">
        <v>0.5</v>
      </c>
      <c r="P489">
        <v>0</v>
      </c>
      <c r="Q489">
        <v>0</v>
      </c>
      <c r="R489">
        <v>0</v>
      </c>
      <c r="S489">
        <v>0</v>
      </c>
      <c r="T489" t="s">
        <v>253</v>
      </c>
      <c r="U489" t="s">
        <v>7</v>
      </c>
      <c r="V489" t="s">
        <v>253</v>
      </c>
      <c r="W489" t="s">
        <v>132</v>
      </c>
      <c r="X489" t="s">
        <v>253</v>
      </c>
      <c r="Y489" t="s">
        <v>235</v>
      </c>
      <c r="Z489" t="s">
        <v>236</v>
      </c>
      <c r="AA489" t="s">
        <v>253</v>
      </c>
      <c r="AB489" t="s">
        <v>1</v>
      </c>
      <c r="AC489" s="235">
        <v>310000</v>
      </c>
      <c r="AD489" s="235">
        <v>7524.2599324173498</v>
      </c>
      <c r="AE489">
        <v>0</v>
      </c>
      <c r="AF489">
        <v>0</v>
      </c>
      <c r="AG489">
        <v>0</v>
      </c>
      <c r="AH489" s="235">
        <v>357.92191821892993</v>
      </c>
      <c r="AI489">
        <v>226</v>
      </c>
      <c r="AJ489" t="s">
        <v>256</v>
      </c>
      <c r="AK489">
        <v>0</v>
      </c>
      <c r="AL489">
        <v>0</v>
      </c>
      <c r="AM489">
        <v>0</v>
      </c>
    </row>
    <row r="490" spans="1:39" x14ac:dyDescent="0.25">
      <c r="A490" t="s">
        <v>233</v>
      </c>
      <c r="B490" t="s">
        <v>510</v>
      </c>
      <c r="C490" t="s">
        <v>255</v>
      </c>
      <c r="D490" t="s">
        <v>234</v>
      </c>
      <c r="E490" t="s">
        <v>20</v>
      </c>
      <c r="F490" t="s">
        <v>281</v>
      </c>
      <c r="G490" t="s">
        <v>269</v>
      </c>
      <c r="H490" t="s">
        <v>254</v>
      </c>
      <c r="I490" t="s">
        <v>242</v>
      </c>
      <c r="J490" t="s">
        <v>235</v>
      </c>
      <c r="K490" s="380">
        <v>36982</v>
      </c>
      <c r="L490" s="235">
        <v>43385.02027621404</v>
      </c>
      <c r="M490" s="380">
        <v>36979</v>
      </c>
      <c r="N490" t="s">
        <v>21</v>
      </c>
      <c r="O490">
        <v>0.5</v>
      </c>
      <c r="P490">
        <v>0</v>
      </c>
      <c r="Q490">
        <v>0</v>
      </c>
      <c r="R490">
        <v>0</v>
      </c>
      <c r="S490">
        <v>0</v>
      </c>
      <c r="T490" t="s">
        <v>253</v>
      </c>
      <c r="U490" t="s">
        <v>7</v>
      </c>
      <c r="V490" t="s">
        <v>253</v>
      </c>
      <c r="W490" t="s">
        <v>132</v>
      </c>
      <c r="X490" t="s">
        <v>253</v>
      </c>
      <c r="Y490" t="s">
        <v>235</v>
      </c>
      <c r="Z490" t="s">
        <v>236</v>
      </c>
      <c r="AA490" t="s">
        <v>253</v>
      </c>
      <c r="AB490" t="s">
        <v>1</v>
      </c>
      <c r="AC490" s="235">
        <v>300000</v>
      </c>
      <c r="AD490" s="235">
        <v>7765.6804487470654</v>
      </c>
      <c r="AE490">
        <v>0</v>
      </c>
      <c r="AF490">
        <v>0</v>
      </c>
      <c r="AG490">
        <v>0</v>
      </c>
      <c r="AH490" s="235">
        <v>370.40350627029693</v>
      </c>
      <c r="AI490">
        <v>226</v>
      </c>
      <c r="AJ490" t="s">
        <v>256</v>
      </c>
      <c r="AK490">
        <v>0</v>
      </c>
      <c r="AL490">
        <v>0</v>
      </c>
      <c r="AM490">
        <v>0</v>
      </c>
    </row>
    <row r="491" spans="1:39" x14ac:dyDescent="0.25">
      <c r="A491" t="s">
        <v>233</v>
      </c>
      <c r="B491" t="s">
        <v>511</v>
      </c>
      <c r="C491" t="s">
        <v>255</v>
      </c>
      <c r="D491" t="s">
        <v>234</v>
      </c>
      <c r="E491" t="s">
        <v>20</v>
      </c>
      <c r="F491" t="s">
        <v>279</v>
      </c>
      <c r="G491" t="s">
        <v>269</v>
      </c>
      <c r="H491" t="s">
        <v>254</v>
      </c>
      <c r="I491" t="s">
        <v>242</v>
      </c>
      <c r="J491" t="s">
        <v>235</v>
      </c>
      <c r="K491" s="380">
        <v>36951</v>
      </c>
      <c r="L491" s="235">
        <v>257860.55397292617</v>
      </c>
      <c r="M491" s="380">
        <v>36949</v>
      </c>
      <c r="N491" t="s">
        <v>21</v>
      </c>
      <c r="O491">
        <v>0.3</v>
      </c>
      <c r="P491">
        <v>0</v>
      </c>
      <c r="Q491">
        <v>0</v>
      </c>
      <c r="R491">
        <v>0</v>
      </c>
      <c r="S491">
        <v>0</v>
      </c>
      <c r="T491" t="s">
        <v>253</v>
      </c>
      <c r="U491" t="s">
        <v>190</v>
      </c>
      <c r="V491" t="s">
        <v>253</v>
      </c>
      <c r="W491" t="s">
        <v>132</v>
      </c>
      <c r="X491" t="s">
        <v>253</v>
      </c>
      <c r="Y491" t="s">
        <v>235</v>
      </c>
      <c r="Z491" t="s">
        <v>236</v>
      </c>
      <c r="AA491" t="s">
        <v>253</v>
      </c>
      <c r="AB491" t="s">
        <v>1</v>
      </c>
      <c r="AC491" s="235">
        <v>500000</v>
      </c>
      <c r="AD491" s="235">
        <v>36938.398271886224</v>
      </c>
      <c r="AE491">
        <v>0</v>
      </c>
      <c r="AF491">
        <v>0</v>
      </c>
      <c r="AG491">
        <v>0</v>
      </c>
      <c r="AH491" s="235">
        <v>-16070.678662438237</v>
      </c>
      <c r="AI491">
        <v>226</v>
      </c>
      <c r="AJ491" t="s">
        <v>256</v>
      </c>
      <c r="AK491">
        <v>0</v>
      </c>
      <c r="AL491">
        <v>0</v>
      </c>
      <c r="AM491">
        <v>0</v>
      </c>
    </row>
    <row r="492" spans="1:39" x14ac:dyDescent="0.25">
      <c r="A492" t="s">
        <v>233</v>
      </c>
      <c r="B492" t="s">
        <v>511</v>
      </c>
      <c r="C492" t="s">
        <v>255</v>
      </c>
      <c r="D492" t="s">
        <v>234</v>
      </c>
      <c r="E492" t="s">
        <v>20</v>
      </c>
      <c r="F492" t="s">
        <v>279</v>
      </c>
      <c r="G492" t="s">
        <v>269</v>
      </c>
      <c r="H492" t="s">
        <v>254</v>
      </c>
      <c r="I492" t="s">
        <v>242</v>
      </c>
      <c r="J492" t="s">
        <v>235</v>
      </c>
      <c r="K492" s="380">
        <v>36923</v>
      </c>
      <c r="L492" s="235">
        <v>279861.55167511542</v>
      </c>
      <c r="M492" s="380">
        <v>36921</v>
      </c>
      <c r="N492" t="s">
        <v>21</v>
      </c>
      <c r="O492">
        <v>0.3</v>
      </c>
      <c r="P492">
        <v>0</v>
      </c>
      <c r="Q492">
        <v>0</v>
      </c>
      <c r="R492">
        <v>0</v>
      </c>
      <c r="S492">
        <v>0</v>
      </c>
      <c r="T492" t="s">
        <v>253</v>
      </c>
      <c r="U492" t="s">
        <v>190</v>
      </c>
      <c r="V492" t="s">
        <v>253</v>
      </c>
      <c r="W492" t="s">
        <v>132</v>
      </c>
      <c r="X492" t="s">
        <v>253</v>
      </c>
      <c r="Y492" t="s">
        <v>235</v>
      </c>
      <c r="Z492" t="s">
        <v>236</v>
      </c>
      <c r="AA492" t="s">
        <v>253</v>
      </c>
      <c r="AB492" t="s">
        <v>1</v>
      </c>
      <c r="AC492" s="235">
        <v>500000</v>
      </c>
      <c r="AD492" s="235">
        <v>38119.511577806552</v>
      </c>
      <c r="AE492">
        <v>0</v>
      </c>
      <c r="AF492">
        <v>0</v>
      </c>
      <c r="AG492">
        <v>0</v>
      </c>
      <c r="AH492" s="235">
        <v>-16153.235550436948</v>
      </c>
      <c r="AI492">
        <v>226</v>
      </c>
      <c r="AJ492" t="s">
        <v>256</v>
      </c>
      <c r="AK492">
        <v>0</v>
      </c>
      <c r="AL492">
        <v>0</v>
      </c>
      <c r="AM492">
        <v>0</v>
      </c>
    </row>
    <row r="493" spans="1:39" x14ac:dyDescent="0.25">
      <c r="A493" t="s">
        <v>233</v>
      </c>
      <c r="B493" t="s">
        <v>511</v>
      </c>
      <c r="C493" t="s">
        <v>255</v>
      </c>
      <c r="D493" t="s">
        <v>234</v>
      </c>
      <c r="E493" t="s">
        <v>20</v>
      </c>
      <c r="F493" t="s">
        <v>279</v>
      </c>
      <c r="G493" t="s">
        <v>269</v>
      </c>
      <c r="H493" t="s">
        <v>254</v>
      </c>
      <c r="I493" t="s">
        <v>242</v>
      </c>
      <c r="J493" t="s">
        <v>235</v>
      </c>
      <c r="K493" s="380">
        <v>36892</v>
      </c>
      <c r="L493" s="235">
        <v>324172.95214438415</v>
      </c>
      <c r="M493" s="380">
        <v>36888</v>
      </c>
      <c r="N493" t="s">
        <v>21</v>
      </c>
      <c r="O493">
        <v>0.3</v>
      </c>
      <c r="P493">
        <v>0</v>
      </c>
      <c r="Q493">
        <v>0</v>
      </c>
      <c r="R493">
        <v>0</v>
      </c>
      <c r="S493">
        <v>0</v>
      </c>
      <c r="T493" t="s">
        <v>253</v>
      </c>
      <c r="U493" t="s">
        <v>190</v>
      </c>
      <c r="V493" t="s">
        <v>253</v>
      </c>
      <c r="W493" t="s">
        <v>132</v>
      </c>
      <c r="X493" t="s">
        <v>253</v>
      </c>
      <c r="Y493" t="s">
        <v>235</v>
      </c>
      <c r="Z493" t="s">
        <v>236</v>
      </c>
      <c r="AA493" t="s">
        <v>253</v>
      </c>
      <c r="AB493" t="s">
        <v>1</v>
      </c>
      <c r="AC493" s="235">
        <v>500000</v>
      </c>
      <c r="AD493" s="235">
        <v>32570.535467963084</v>
      </c>
      <c r="AE493">
        <v>0</v>
      </c>
      <c r="AF493">
        <v>0</v>
      </c>
      <c r="AG493">
        <v>0</v>
      </c>
      <c r="AH493" s="235">
        <v>-17984.496338168508</v>
      </c>
      <c r="AI493">
        <v>226</v>
      </c>
      <c r="AJ493" t="s">
        <v>256</v>
      </c>
      <c r="AK493">
        <v>0</v>
      </c>
      <c r="AL493">
        <v>0</v>
      </c>
      <c r="AM493">
        <v>0</v>
      </c>
    </row>
    <row r="494" spans="1:39" x14ac:dyDescent="0.25">
      <c r="A494" t="s">
        <v>233</v>
      </c>
      <c r="B494" t="s">
        <v>511</v>
      </c>
      <c r="C494" t="s">
        <v>255</v>
      </c>
      <c r="D494" t="s">
        <v>234</v>
      </c>
      <c r="E494" t="s">
        <v>20</v>
      </c>
      <c r="F494" t="s">
        <v>279</v>
      </c>
      <c r="G494" t="s">
        <v>269</v>
      </c>
      <c r="H494" t="s">
        <v>254</v>
      </c>
      <c r="I494" t="s">
        <v>242</v>
      </c>
      <c r="J494" t="s">
        <v>235</v>
      </c>
      <c r="K494" s="380">
        <v>36861</v>
      </c>
      <c r="L494" s="235">
        <v>396010.62920082221</v>
      </c>
      <c r="M494" s="380">
        <v>36859</v>
      </c>
      <c r="N494" t="s">
        <v>21</v>
      </c>
      <c r="O494">
        <v>0.3</v>
      </c>
      <c r="P494">
        <v>0</v>
      </c>
      <c r="Q494">
        <v>0</v>
      </c>
      <c r="R494">
        <v>0</v>
      </c>
      <c r="S494">
        <v>0</v>
      </c>
      <c r="T494" t="s">
        <v>253</v>
      </c>
      <c r="U494" t="s">
        <v>190</v>
      </c>
      <c r="V494" t="s">
        <v>253</v>
      </c>
      <c r="W494" t="s">
        <v>132</v>
      </c>
      <c r="X494" t="s">
        <v>253</v>
      </c>
      <c r="Y494" t="s">
        <v>235</v>
      </c>
      <c r="Z494" t="s">
        <v>236</v>
      </c>
      <c r="AA494" t="s">
        <v>253</v>
      </c>
      <c r="AB494" t="s">
        <v>1</v>
      </c>
      <c r="AC494" s="235">
        <v>500000</v>
      </c>
      <c r="AD494" s="235">
        <v>22889.732875724148</v>
      </c>
      <c r="AE494">
        <v>0</v>
      </c>
      <c r="AF494">
        <v>0</v>
      </c>
      <c r="AG494">
        <v>0</v>
      </c>
      <c r="AH494" s="235">
        <v>57637.259154467494</v>
      </c>
      <c r="AI494">
        <v>226</v>
      </c>
      <c r="AJ494" t="s">
        <v>256</v>
      </c>
      <c r="AK494">
        <v>0</v>
      </c>
      <c r="AL494">
        <v>0</v>
      </c>
      <c r="AM494">
        <v>0</v>
      </c>
    </row>
    <row r="495" spans="1:39" x14ac:dyDescent="0.25">
      <c r="A495" t="s">
        <v>233</v>
      </c>
      <c r="B495" t="s">
        <v>511</v>
      </c>
      <c r="C495" t="s">
        <v>255</v>
      </c>
      <c r="D495" t="s">
        <v>234</v>
      </c>
      <c r="E495" t="s">
        <v>20</v>
      </c>
      <c r="F495" t="s">
        <v>279</v>
      </c>
      <c r="G495" t="s">
        <v>269</v>
      </c>
      <c r="H495" t="s">
        <v>254</v>
      </c>
      <c r="I495" t="s">
        <v>242</v>
      </c>
      <c r="J495" t="s">
        <v>235</v>
      </c>
      <c r="K495" s="380">
        <v>36831</v>
      </c>
      <c r="L495" s="235">
        <v>621737.6190845822</v>
      </c>
      <c r="M495" s="380">
        <v>36829</v>
      </c>
      <c r="N495" t="s">
        <v>21</v>
      </c>
      <c r="O495">
        <v>0.3</v>
      </c>
      <c r="P495">
        <v>0</v>
      </c>
      <c r="Q495">
        <v>0</v>
      </c>
      <c r="R495">
        <v>0</v>
      </c>
      <c r="S495">
        <v>0</v>
      </c>
      <c r="T495" t="s">
        <v>253</v>
      </c>
      <c r="U495" t="s">
        <v>190</v>
      </c>
      <c r="V495" t="s">
        <v>253</v>
      </c>
      <c r="W495" t="s">
        <v>132</v>
      </c>
      <c r="X495" t="s">
        <v>253</v>
      </c>
      <c r="Y495" t="s">
        <v>235</v>
      </c>
      <c r="Z495" t="s">
        <v>236</v>
      </c>
      <c r="AA495" t="s">
        <v>253</v>
      </c>
      <c r="AB495" t="s">
        <v>1</v>
      </c>
      <c r="AC495" s="235">
        <v>500000</v>
      </c>
      <c r="AD495" s="235">
        <v>6145.9479237695923</v>
      </c>
      <c r="AE495">
        <v>0</v>
      </c>
      <c r="AF495">
        <v>0</v>
      </c>
      <c r="AG495">
        <v>0</v>
      </c>
      <c r="AH495" s="235">
        <v>98690.846326602565</v>
      </c>
      <c r="AI495">
        <v>226</v>
      </c>
      <c r="AJ495" t="s">
        <v>256</v>
      </c>
      <c r="AK495">
        <v>0</v>
      </c>
      <c r="AL495">
        <v>0</v>
      </c>
      <c r="AM495">
        <v>0</v>
      </c>
    </row>
    <row r="496" spans="1:39" x14ac:dyDescent="0.25">
      <c r="A496" t="s">
        <v>233</v>
      </c>
      <c r="B496" t="s">
        <v>512</v>
      </c>
      <c r="C496" t="s">
        <v>255</v>
      </c>
      <c r="D496" t="s">
        <v>234</v>
      </c>
      <c r="E496" t="s">
        <v>20</v>
      </c>
      <c r="F496" t="s">
        <v>509</v>
      </c>
      <c r="G496" t="s">
        <v>269</v>
      </c>
      <c r="H496" t="s">
        <v>254</v>
      </c>
      <c r="I496" t="s">
        <v>242</v>
      </c>
      <c r="J496" t="s">
        <v>235</v>
      </c>
      <c r="K496" s="380">
        <v>36831</v>
      </c>
      <c r="L496" s="235">
        <v>246653.87075196672</v>
      </c>
      <c r="M496" s="380">
        <v>36829</v>
      </c>
      <c r="N496" t="s">
        <v>21</v>
      </c>
      <c r="O496">
        <v>0.8</v>
      </c>
      <c r="P496">
        <v>0</v>
      </c>
      <c r="Q496">
        <v>0</v>
      </c>
      <c r="R496">
        <v>0</v>
      </c>
      <c r="S496">
        <v>0</v>
      </c>
      <c r="T496" t="s">
        <v>253</v>
      </c>
      <c r="U496" t="s">
        <v>7</v>
      </c>
      <c r="V496" t="s">
        <v>253</v>
      </c>
      <c r="W496" t="s">
        <v>132</v>
      </c>
      <c r="X496" t="s">
        <v>253</v>
      </c>
      <c r="Y496" t="s">
        <v>235</v>
      </c>
      <c r="Z496" t="s">
        <v>236</v>
      </c>
      <c r="AA496" t="s">
        <v>253</v>
      </c>
      <c r="AB496" t="s">
        <v>1</v>
      </c>
      <c r="AC496" s="235">
        <v>1000000</v>
      </c>
      <c r="AD496" s="235">
        <v>44936.243273364729</v>
      </c>
      <c r="AE496">
        <v>0</v>
      </c>
      <c r="AF496">
        <v>0</v>
      </c>
      <c r="AG496">
        <v>0</v>
      </c>
      <c r="AH496" s="235">
        <v>21963.698683692724</v>
      </c>
      <c r="AI496">
        <v>226</v>
      </c>
      <c r="AJ496" t="s">
        <v>256</v>
      </c>
      <c r="AK496">
        <v>0</v>
      </c>
      <c r="AL496">
        <v>0</v>
      </c>
      <c r="AM496">
        <v>0</v>
      </c>
    </row>
    <row r="497" spans="1:39" x14ac:dyDescent="0.25">
      <c r="A497" t="s">
        <v>233</v>
      </c>
      <c r="B497" t="s">
        <v>514</v>
      </c>
      <c r="C497" t="s">
        <v>255</v>
      </c>
      <c r="D497" t="s">
        <v>234</v>
      </c>
      <c r="E497" t="s">
        <v>20</v>
      </c>
      <c r="F497" t="s">
        <v>509</v>
      </c>
      <c r="G497" t="s">
        <v>269</v>
      </c>
      <c r="H497" t="s">
        <v>254</v>
      </c>
      <c r="I497" t="s">
        <v>242</v>
      </c>
      <c r="J497" t="s">
        <v>235</v>
      </c>
      <c r="K497" s="380">
        <v>36800</v>
      </c>
      <c r="L497" s="235">
        <v>235.26640285623225</v>
      </c>
      <c r="M497" s="380">
        <v>36797</v>
      </c>
      <c r="N497" t="s">
        <v>21</v>
      </c>
      <c r="O497">
        <v>0.7</v>
      </c>
      <c r="P497">
        <v>0</v>
      </c>
      <c r="Q497">
        <v>0</v>
      </c>
      <c r="R497">
        <v>0</v>
      </c>
      <c r="S497">
        <v>0</v>
      </c>
      <c r="T497" t="s">
        <v>253</v>
      </c>
      <c r="U497" t="s">
        <v>7</v>
      </c>
      <c r="V497" t="s">
        <v>253</v>
      </c>
      <c r="W497" t="s">
        <v>132</v>
      </c>
      <c r="X497" t="s">
        <v>253</v>
      </c>
      <c r="Y497" t="s">
        <v>235</v>
      </c>
      <c r="Z497" t="s">
        <v>236</v>
      </c>
      <c r="AA497" t="s">
        <v>253</v>
      </c>
      <c r="AB497" t="s">
        <v>1</v>
      </c>
      <c r="AC497" s="235">
        <v>310000</v>
      </c>
      <c r="AD497" s="235">
        <v>183.99461792302372</v>
      </c>
      <c r="AE497">
        <v>0</v>
      </c>
      <c r="AF497">
        <v>0</v>
      </c>
      <c r="AG497">
        <v>0</v>
      </c>
      <c r="AH497" s="235">
        <v>11.170274572917123</v>
      </c>
      <c r="AI497">
        <v>226</v>
      </c>
      <c r="AJ497" t="s">
        <v>256</v>
      </c>
      <c r="AK497">
        <v>0</v>
      </c>
      <c r="AL497">
        <v>0</v>
      </c>
      <c r="AM497">
        <v>0</v>
      </c>
    </row>
    <row r="498" spans="1:39" x14ac:dyDescent="0.25">
      <c r="A498" t="s">
        <v>233</v>
      </c>
      <c r="B498" t="s">
        <v>513</v>
      </c>
      <c r="C498" t="s">
        <v>255</v>
      </c>
      <c r="D498" t="s">
        <v>234</v>
      </c>
      <c r="E498" t="s">
        <v>20</v>
      </c>
      <c r="F498" t="s">
        <v>324</v>
      </c>
      <c r="G498" t="s">
        <v>269</v>
      </c>
      <c r="H498" t="s">
        <v>254</v>
      </c>
      <c r="I498" t="s">
        <v>242</v>
      </c>
      <c r="J498" t="s">
        <v>235</v>
      </c>
      <c r="K498" s="380">
        <v>36951</v>
      </c>
      <c r="L498" s="235">
        <v>48886.400631953802</v>
      </c>
      <c r="M498" s="380">
        <v>36949</v>
      </c>
      <c r="N498" t="s">
        <v>21</v>
      </c>
      <c r="O498">
        <v>2.5</v>
      </c>
      <c r="P498">
        <v>0</v>
      </c>
      <c r="Q498">
        <v>0</v>
      </c>
      <c r="R498">
        <v>0</v>
      </c>
      <c r="S498">
        <v>0</v>
      </c>
      <c r="T498" t="s">
        <v>253</v>
      </c>
      <c r="U498" t="s">
        <v>7</v>
      </c>
      <c r="V498" t="s">
        <v>253</v>
      </c>
      <c r="W498" t="s">
        <v>132</v>
      </c>
      <c r="X498" t="s">
        <v>253</v>
      </c>
      <c r="Y498" t="s">
        <v>235</v>
      </c>
      <c r="Z498" t="s">
        <v>236</v>
      </c>
      <c r="AA498" t="s">
        <v>253</v>
      </c>
      <c r="AB498" t="s">
        <v>1</v>
      </c>
      <c r="AC498" s="235">
        <v>310000</v>
      </c>
      <c r="AD498" s="235">
        <v>17765.662708301541</v>
      </c>
      <c r="AE498">
        <v>0</v>
      </c>
      <c r="AF498">
        <v>0</v>
      </c>
      <c r="AG498">
        <v>0</v>
      </c>
      <c r="AH498" s="235">
        <v>4861.2333406752296</v>
      </c>
      <c r="AI498">
        <v>226</v>
      </c>
      <c r="AJ498" t="s">
        <v>256</v>
      </c>
      <c r="AK498">
        <v>0</v>
      </c>
      <c r="AL498">
        <v>0</v>
      </c>
      <c r="AM498">
        <v>0</v>
      </c>
    </row>
    <row r="499" spans="1:39" x14ac:dyDescent="0.25">
      <c r="A499" t="s">
        <v>233</v>
      </c>
      <c r="B499" t="s">
        <v>513</v>
      </c>
      <c r="C499" t="s">
        <v>255</v>
      </c>
      <c r="D499" t="s">
        <v>234</v>
      </c>
      <c r="E499" t="s">
        <v>20</v>
      </c>
      <c r="F499" t="s">
        <v>324</v>
      </c>
      <c r="G499" t="s">
        <v>269</v>
      </c>
      <c r="H499" t="s">
        <v>254</v>
      </c>
      <c r="I499" t="s">
        <v>242</v>
      </c>
      <c r="J499" t="s">
        <v>235</v>
      </c>
      <c r="K499" s="380">
        <v>36923</v>
      </c>
      <c r="L499" s="235">
        <v>150386.9517695079</v>
      </c>
      <c r="M499" s="380">
        <v>36921</v>
      </c>
      <c r="N499" t="s">
        <v>21</v>
      </c>
      <c r="O499">
        <v>2.5</v>
      </c>
      <c r="P499">
        <v>0</v>
      </c>
      <c r="Q499">
        <v>0</v>
      </c>
      <c r="R499">
        <v>0</v>
      </c>
      <c r="S499">
        <v>0</v>
      </c>
      <c r="T499" t="s">
        <v>253</v>
      </c>
      <c r="U499" t="s">
        <v>7</v>
      </c>
      <c r="V499" t="s">
        <v>253</v>
      </c>
      <c r="W499" t="s">
        <v>132</v>
      </c>
      <c r="X499" t="s">
        <v>253</v>
      </c>
      <c r="Y499" t="s">
        <v>235</v>
      </c>
      <c r="Z499" t="s">
        <v>236</v>
      </c>
      <c r="AA499" t="s">
        <v>253</v>
      </c>
      <c r="AB499" t="s">
        <v>1</v>
      </c>
      <c r="AC499" s="235">
        <v>280000</v>
      </c>
      <c r="AD499" s="235">
        <v>23175.488626135979</v>
      </c>
      <c r="AE499">
        <v>0</v>
      </c>
      <c r="AF499">
        <v>0</v>
      </c>
      <c r="AG499">
        <v>0</v>
      </c>
      <c r="AH499" s="235">
        <v>9934.5782538573258</v>
      </c>
      <c r="AI499">
        <v>226</v>
      </c>
      <c r="AJ499" t="s">
        <v>256</v>
      </c>
      <c r="AK499">
        <v>0</v>
      </c>
      <c r="AL499">
        <v>0</v>
      </c>
      <c r="AM499">
        <v>0</v>
      </c>
    </row>
    <row r="500" spans="1:39" x14ac:dyDescent="0.25">
      <c r="A500" t="s">
        <v>233</v>
      </c>
      <c r="B500" t="s">
        <v>513</v>
      </c>
      <c r="C500" t="s">
        <v>255</v>
      </c>
      <c r="D500" t="s">
        <v>234</v>
      </c>
      <c r="E500" t="s">
        <v>20</v>
      </c>
      <c r="F500" t="s">
        <v>324</v>
      </c>
      <c r="G500" t="s">
        <v>269</v>
      </c>
      <c r="H500" t="s">
        <v>254</v>
      </c>
      <c r="I500" t="s">
        <v>242</v>
      </c>
      <c r="J500" t="s">
        <v>235</v>
      </c>
      <c r="K500" s="380">
        <v>36892</v>
      </c>
      <c r="L500" s="235">
        <v>164878.49223098918</v>
      </c>
      <c r="M500" s="380">
        <v>36888</v>
      </c>
      <c r="N500" t="s">
        <v>21</v>
      </c>
      <c r="O500">
        <v>2.5</v>
      </c>
      <c r="P500">
        <v>0</v>
      </c>
      <c r="Q500">
        <v>0</v>
      </c>
      <c r="R500">
        <v>0</v>
      </c>
      <c r="S500">
        <v>0</v>
      </c>
      <c r="T500" t="s">
        <v>253</v>
      </c>
      <c r="U500" t="s">
        <v>7</v>
      </c>
      <c r="V500" t="s">
        <v>253</v>
      </c>
      <c r="W500" t="s">
        <v>132</v>
      </c>
      <c r="X500" t="s">
        <v>253</v>
      </c>
      <c r="Y500" t="s">
        <v>235</v>
      </c>
      <c r="Z500" t="s">
        <v>236</v>
      </c>
      <c r="AA500" t="s">
        <v>253</v>
      </c>
      <c r="AB500" t="s">
        <v>1</v>
      </c>
      <c r="AC500" s="235">
        <v>310000</v>
      </c>
      <c r="AD500" s="235">
        <v>23672.167547659279</v>
      </c>
      <c r="AE500">
        <v>0</v>
      </c>
      <c r="AF500">
        <v>0</v>
      </c>
      <c r="AG500">
        <v>0</v>
      </c>
      <c r="AH500" s="235">
        <v>9697.6778801135952</v>
      </c>
      <c r="AI500">
        <v>226</v>
      </c>
      <c r="AJ500" t="s">
        <v>256</v>
      </c>
      <c r="AK500">
        <v>0</v>
      </c>
      <c r="AL500">
        <v>0</v>
      </c>
      <c r="AM500">
        <v>0</v>
      </c>
    </row>
    <row r="501" spans="1:39" x14ac:dyDescent="0.25">
      <c r="A501" t="s">
        <v>233</v>
      </c>
      <c r="B501" t="s">
        <v>513</v>
      </c>
      <c r="C501" t="s">
        <v>255</v>
      </c>
      <c r="D501" t="s">
        <v>234</v>
      </c>
      <c r="E501" t="s">
        <v>20</v>
      </c>
      <c r="F501" t="s">
        <v>324</v>
      </c>
      <c r="G501" t="s">
        <v>269</v>
      </c>
      <c r="H501" t="s">
        <v>254</v>
      </c>
      <c r="I501" t="s">
        <v>242</v>
      </c>
      <c r="J501" t="s">
        <v>235</v>
      </c>
      <c r="K501" s="380">
        <v>36861</v>
      </c>
      <c r="L501" s="235">
        <v>76798.631138172423</v>
      </c>
      <c r="M501" s="380">
        <v>36859</v>
      </c>
      <c r="N501" t="s">
        <v>21</v>
      </c>
      <c r="O501">
        <v>2.5</v>
      </c>
      <c r="P501">
        <v>0</v>
      </c>
      <c r="Q501">
        <v>0</v>
      </c>
      <c r="R501">
        <v>0</v>
      </c>
      <c r="S501">
        <v>0</v>
      </c>
      <c r="T501" t="s">
        <v>253</v>
      </c>
      <c r="U501" t="s">
        <v>7</v>
      </c>
      <c r="V501" t="s">
        <v>253</v>
      </c>
      <c r="W501" t="s">
        <v>132</v>
      </c>
      <c r="X501" t="s">
        <v>253</v>
      </c>
      <c r="Y501" t="s">
        <v>235</v>
      </c>
      <c r="Z501" t="s">
        <v>236</v>
      </c>
      <c r="AA501" t="s">
        <v>253</v>
      </c>
      <c r="AB501" t="s">
        <v>1</v>
      </c>
      <c r="AC501" s="235">
        <v>310000</v>
      </c>
      <c r="AD501" s="235">
        <v>17988.316226535462</v>
      </c>
      <c r="AE501">
        <v>0</v>
      </c>
      <c r="AF501">
        <v>0</v>
      </c>
      <c r="AG501">
        <v>0</v>
      </c>
      <c r="AH501" s="235">
        <v>5205.3673497760756</v>
      </c>
      <c r="AI501">
        <v>226</v>
      </c>
      <c r="AJ501" t="s">
        <v>256</v>
      </c>
      <c r="AK501">
        <v>0</v>
      </c>
      <c r="AL501">
        <v>0</v>
      </c>
      <c r="AM501">
        <v>0</v>
      </c>
    </row>
    <row r="502" spans="1:39" x14ac:dyDescent="0.25">
      <c r="A502" t="s">
        <v>233</v>
      </c>
      <c r="B502" t="s">
        <v>513</v>
      </c>
      <c r="C502" t="s">
        <v>255</v>
      </c>
      <c r="D502" t="s">
        <v>234</v>
      </c>
      <c r="E502" t="s">
        <v>20</v>
      </c>
      <c r="F502" t="s">
        <v>324</v>
      </c>
      <c r="G502" t="s">
        <v>269</v>
      </c>
      <c r="H502" t="s">
        <v>254</v>
      </c>
      <c r="I502" t="s">
        <v>242</v>
      </c>
      <c r="J502" t="s">
        <v>235</v>
      </c>
      <c r="K502" s="380">
        <v>36831</v>
      </c>
      <c r="L502" s="235">
        <v>1931.8642528587211</v>
      </c>
      <c r="M502" s="380">
        <v>36829</v>
      </c>
      <c r="N502" t="s">
        <v>21</v>
      </c>
      <c r="O502">
        <v>2.5</v>
      </c>
      <c r="P502">
        <v>0</v>
      </c>
      <c r="Q502">
        <v>0</v>
      </c>
      <c r="R502">
        <v>0</v>
      </c>
      <c r="S502">
        <v>0</v>
      </c>
      <c r="T502" t="s">
        <v>253</v>
      </c>
      <c r="U502" t="s">
        <v>7</v>
      </c>
      <c r="V502" t="s">
        <v>253</v>
      </c>
      <c r="W502" t="s">
        <v>132</v>
      </c>
      <c r="X502" t="s">
        <v>253</v>
      </c>
      <c r="Y502" t="s">
        <v>235</v>
      </c>
      <c r="Z502" t="s">
        <v>236</v>
      </c>
      <c r="AA502" t="s">
        <v>253</v>
      </c>
      <c r="AB502" t="s">
        <v>1</v>
      </c>
      <c r="AC502" s="235">
        <v>300000</v>
      </c>
      <c r="AD502" s="235">
        <v>1569.5920027175107</v>
      </c>
      <c r="AE502">
        <v>0</v>
      </c>
      <c r="AF502">
        <v>0</v>
      </c>
      <c r="AG502">
        <v>0</v>
      </c>
      <c r="AH502" s="235">
        <v>379.93835220450842</v>
      </c>
      <c r="AI502">
        <v>226</v>
      </c>
      <c r="AJ502" t="s">
        <v>256</v>
      </c>
      <c r="AK502">
        <v>0</v>
      </c>
      <c r="AL502">
        <v>0</v>
      </c>
      <c r="AM502">
        <v>0</v>
      </c>
    </row>
    <row r="503" spans="1:39" x14ac:dyDescent="0.25">
      <c r="A503" t="s">
        <v>233</v>
      </c>
      <c r="B503" t="s">
        <v>516</v>
      </c>
      <c r="C503" t="s">
        <v>255</v>
      </c>
      <c r="D503" t="s">
        <v>234</v>
      </c>
      <c r="E503" t="s">
        <v>20</v>
      </c>
      <c r="F503" t="s">
        <v>324</v>
      </c>
      <c r="G503" t="s">
        <v>269</v>
      </c>
      <c r="H503" t="s">
        <v>254</v>
      </c>
      <c r="I503" t="s">
        <v>242</v>
      </c>
      <c r="J503" t="s">
        <v>235</v>
      </c>
      <c r="K503" s="380">
        <v>36800</v>
      </c>
      <c r="L503" s="235">
        <v>-32394.965599654479</v>
      </c>
      <c r="M503" s="380">
        <v>36797</v>
      </c>
      <c r="N503" t="s">
        <v>21</v>
      </c>
      <c r="O503">
        <v>0.4</v>
      </c>
      <c r="P503">
        <v>0</v>
      </c>
      <c r="Q503">
        <v>0</v>
      </c>
      <c r="R503">
        <v>0</v>
      </c>
      <c r="S503">
        <v>0</v>
      </c>
      <c r="T503" t="s">
        <v>253</v>
      </c>
      <c r="U503" t="s">
        <v>7</v>
      </c>
      <c r="V503" t="s">
        <v>253</v>
      </c>
      <c r="W503" t="s">
        <v>132</v>
      </c>
      <c r="X503" t="s">
        <v>253</v>
      </c>
      <c r="Y503" t="s">
        <v>235</v>
      </c>
      <c r="Z503" t="s">
        <v>236</v>
      </c>
      <c r="AA503" t="s">
        <v>253</v>
      </c>
      <c r="AB503" t="s">
        <v>1</v>
      </c>
      <c r="AC503" s="235">
        <v>-620000</v>
      </c>
      <c r="AD503" s="235">
        <v>-4046.5710210098769</v>
      </c>
      <c r="AE503">
        <v>0</v>
      </c>
      <c r="AF503">
        <v>0</v>
      </c>
      <c r="AG503">
        <v>0</v>
      </c>
      <c r="AH503" s="235">
        <v>-230.51109511461618</v>
      </c>
      <c r="AI503">
        <v>226</v>
      </c>
      <c r="AJ503" t="s">
        <v>256</v>
      </c>
      <c r="AK503">
        <v>0</v>
      </c>
      <c r="AL503">
        <v>0</v>
      </c>
      <c r="AM503">
        <v>0</v>
      </c>
    </row>
    <row r="504" spans="1:39" x14ac:dyDescent="0.25">
      <c r="A504" t="s">
        <v>233</v>
      </c>
      <c r="B504" t="s">
        <v>515</v>
      </c>
      <c r="C504" t="s">
        <v>255</v>
      </c>
      <c r="D504" t="s">
        <v>234</v>
      </c>
      <c r="E504" t="s">
        <v>20</v>
      </c>
      <c r="F504" t="s">
        <v>324</v>
      </c>
      <c r="G504" t="s">
        <v>269</v>
      </c>
      <c r="H504" t="s">
        <v>254</v>
      </c>
      <c r="I504" t="s">
        <v>242</v>
      </c>
      <c r="J504" t="s">
        <v>235</v>
      </c>
      <c r="K504" s="380">
        <v>36951</v>
      </c>
      <c r="L504" s="235">
        <v>-12666.147560565782</v>
      </c>
      <c r="M504" s="380">
        <v>36949</v>
      </c>
      <c r="N504" t="s">
        <v>21</v>
      </c>
      <c r="O504">
        <v>0.15</v>
      </c>
      <c r="P504">
        <v>0</v>
      </c>
      <c r="Q504">
        <v>0</v>
      </c>
      <c r="R504">
        <v>0</v>
      </c>
      <c r="S504">
        <v>0</v>
      </c>
      <c r="T504" t="s">
        <v>253</v>
      </c>
      <c r="U504" t="s">
        <v>600</v>
      </c>
      <c r="V504" t="s">
        <v>253</v>
      </c>
      <c r="W504" t="s">
        <v>132</v>
      </c>
      <c r="X504" t="s">
        <v>253</v>
      </c>
      <c r="Y504" t="s">
        <v>235</v>
      </c>
      <c r="Z504" t="s">
        <v>236</v>
      </c>
      <c r="AA504" t="s">
        <v>253</v>
      </c>
      <c r="AB504" t="s">
        <v>1</v>
      </c>
      <c r="AC504" s="235">
        <v>-310000</v>
      </c>
      <c r="AD504" s="235">
        <v>-3147.1792276509368</v>
      </c>
      <c r="AE504">
        <v>0</v>
      </c>
      <c r="AF504">
        <v>0</v>
      </c>
      <c r="AG504">
        <v>0</v>
      </c>
      <c r="AH504" s="235">
        <v>-160.05033692913094</v>
      </c>
      <c r="AI504">
        <v>226</v>
      </c>
      <c r="AJ504" t="s">
        <v>256</v>
      </c>
      <c r="AK504">
        <v>0</v>
      </c>
      <c r="AL504">
        <v>0</v>
      </c>
      <c r="AM504">
        <v>0</v>
      </c>
    </row>
    <row r="505" spans="1:39" x14ac:dyDescent="0.25">
      <c r="A505" t="s">
        <v>233</v>
      </c>
      <c r="B505" t="s">
        <v>515</v>
      </c>
      <c r="C505" t="s">
        <v>255</v>
      </c>
      <c r="D505" t="s">
        <v>234</v>
      </c>
      <c r="E505" t="s">
        <v>20</v>
      </c>
      <c r="F505" t="s">
        <v>324</v>
      </c>
      <c r="G505" t="s">
        <v>269</v>
      </c>
      <c r="H505" t="s">
        <v>254</v>
      </c>
      <c r="I505" t="s">
        <v>242</v>
      </c>
      <c r="J505" t="s">
        <v>235</v>
      </c>
      <c r="K505" s="380">
        <v>36923</v>
      </c>
      <c r="L505" s="235">
        <v>-14498.102560808087</v>
      </c>
      <c r="M505" s="380">
        <v>36921</v>
      </c>
      <c r="N505" t="s">
        <v>21</v>
      </c>
      <c r="O505">
        <v>0.15</v>
      </c>
      <c r="P505">
        <v>0</v>
      </c>
      <c r="Q505">
        <v>0</v>
      </c>
      <c r="R505">
        <v>0</v>
      </c>
      <c r="S505">
        <v>0</v>
      </c>
      <c r="T505" t="s">
        <v>253</v>
      </c>
      <c r="U505" t="s">
        <v>600</v>
      </c>
      <c r="V505" t="s">
        <v>253</v>
      </c>
      <c r="W505" t="s">
        <v>132</v>
      </c>
      <c r="X505" t="s">
        <v>253</v>
      </c>
      <c r="Y505" t="s">
        <v>235</v>
      </c>
      <c r="Z505" t="s">
        <v>236</v>
      </c>
      <c r="AA505" t="s">
        <v>253</v>
      </c>
      <c r="AB505" t="s">
        <v>1</v>
      </c>
      <c r="AC505" s="235">
        <v>-280000</v>
      </c>
      <c r="AD505" s="235">
        <v>-2988.6712248928816</v>
      </c>
      <c r="AE505">
        <v>0</v>
      </c>
      <c r="AF505">
        <v>0</v>
      </c>
      <c r="AG505">
        <v>0</v>
      </c>
      <c r="AH505" s="235">
        <v>-143.43839749428844</v>
      </c>
      <c r="AI505">
        <v>226</v>
      </c>
      <c r="AJ505" t="s">
        <v>256</v>
      </c>
      <c r="AK505">
        <v>0</v>
      </c>
      <c r="AL505">
        <v>0</v>
      </c>
      <c r="AM505">
        <v>0</v>
      </c>
    </row>
    <row r="506" spans="1:39" x14ac:dyDescent="0.25">
      <c r="A506" t="s">
        <v>233</v>
      </c>
      <c r="B506" t="s">
        <v>515</v>
      </c>
      <c r="C506" t="s">
        <v>255</v>
      </c>
      <c r="D506" t="s">
        <v>234</v>
      </c>
      <c r="E506" t="s">
        <v>20</v>
      </c>
      <c r="F506" t="s">
        <v>324</v>
      </c>
      <c r="G506" t="s">
        <v>269</v>
      </c>
      <c r="H506" t="s">
        <v>254</v>
      </c>
      <c r="I506" t="s">
        <v>242</v>
      </c>
      <c r="J506" t="s">
        <v>235</v>
      </c>
      <c r="K506" s="380">
        <v>36892</v>
      </c>
      <c r="L506" s="235">
        <v>-13795.943631902166</v>
      </c>
      <c r="M506" s="380">
        <v>36888</v>
      </c>
      <c r="N506" t="s">
        <v>21</v>
      </c>
      <c r="O506">
        <v>0.15</v>
      </c>
      <c r="P506">
        <v>0</v>
      </c>
      <c r="Q506">
        <v>0</v>
      </c>
      <c r="R506">
        <v>0</v>
      </c>
      <c r="S506">
        <v>0</v>
      </c>
      <c r="T506" t="s">
        <v>253</v>
      </c>
      <c r="U506" t="s">
        <v>600</v>
      </c>
      <c r="V506" t="s">
        <v>253</v>
      </c>
      <c r="W506" t="s">
        <v>132</v>
      </c>
      <c r="X506" t="s">
        <v>253</v>
      </c>
      <c r="Y506" t="s">
        <v>235</v>
      </c>
      <c r="Z506" t="s">
        <v>236</v>
      </c>
      <c r="AA506" t="s">
        <v>253</v>
      </c>
      <c r="AB506" t="s">
        <v>1</v>
      </c>
      <c r="AC506" s="235">
        <v>-310000</v>
      </c>
      <c r="AD506" s="235">
        <v>-3011.4536636004632</v>
      </c>
      <c r="AE506">
        <v>0</v>
      </c>
      <c r="AF506">
        <v>0</v>
      </c>
      <c r="AG506">
        <v>0</v>
      </c>
      <c r="AH506" s="235">
        <v>-144.9409741889267</v>
      </c>
      <c r="AI506">
        <v>226</v>
      </c>
      <c r="AJ506" t="s">
        <v>256</v>
      </c>
      <c r="AK506">
        <v>0</v>
      </c>
      <c r="AL506">
        <v>0</v>
      </c>
      <c r="AM506">
        <v>0</v>
      </c>
    </row>
    <row r="507" spans="1:39" x14ac:dyDescent="0.25">
      <c r="A507" t="s">
        <v>233</v>
      </c>
      <c r="B507" t="s">
        <v>515</v>
      </c>
      <c r="C507" t="s">
        <v>255</v>
      </c>
      <c r="D507" t="s">
        <v>234</v>
      </c>
      <c r="E507" t="s">
        <v>20</v>
      </c>
      <c r="F507" t="s">
        <v>324</v>
      </c>
      <c r="G507" t="s">
        <v>269</v>
      </c>
      <c r="H507" t="s">
        <v>254</v>
      </c>
      <c r="I507" t="s">
        <v>242</v>
      </c>
      <c r="J507" t="s">
        <v>235</v>
      </c>
      <c r="K507" s="380">
        <v>36861</v>
      </c>
      <c r="L507" s="235">
        <v>-8475.9519561765992</v>
      </c>
      <c r="M507" s="380">
        <v>36859</v>
      </c>
      <c r="N507" t="s">
        <v>21</v>
      </c>
      <c r="O507">
        <v>0.15</v>
      </c>
      <c r="P507">
        <v>0</v>
      </c>
      <c r="Q507">
        <v>0</v>
      </c>
      <c r="R507">
        <v>0</v>
      </c>
      <c r="S507">
        <v>0</v>
      </c>
      <c r="T507" t="s">
        <v>253</v>
      </c>
      <c r="U507" t="s">
        <v>600</v>
      </c>
      <c r="V507" t="s">
        <v>253</v>
      </c>
      <c r="W507" t="s">
        <v>132</v>
      </c>
      <c r="X507" t="s">
        <v>253</v>
      </c>
      <c r="Y507" t="s">
        <v>235</v>
      </c>
      <c r="Z507" t="s">
        <v>236</v>
      </c>
      <c r="AA507" t="s">
        <v>253</v>
      </c>
      <c r="AB507" t="s">
        <v>1</v>
      </c>
      <c r="AC507" s="235">
        <v>-310000</v>
      </c>
      <c r="AD507" s="235">
        <v>-2456.5757758719556</v>
      </c>
      <c r="AE507">
        <v>0</v>
      </c>
      <c r="AF507">
        <v>0</v>
      </c>
      <c r="AG507">
        <v>0</v>
      </c>
      <c r="AH507" s="235">
        <v>-123.68154086010327</v>
      </c>
      <c r="AI507">
        <v>226</v>
      </c>
      <c r="AJ507" t="s">
        <v>256</v>
      </c>
      <c r="AK507">
        <v>0</v>
      </c>
      <c r="AL507">
        <v>0</v>
      </c>
      <c r="AM507">
        <v>0</v>
      </c>
    </row>
    <row r="508" spans="1:39" x14ac:dyDescent="0.25">
      <c r="A508" t="s">
        <v>233</v>
      </c>
      <c r="B508" t="s">
        <v>515</v>
      </c>
      <c r="C508" t="s">
        <v>255</v>
      </c>
      <c r="D508" t="s">
        <v>234</v>
      </c>
      <c r="E508" t="s">
        <v>20</v>
      </c>
      <c r="F508" t="s">
        <v>324</v>
      </c>
      <c r="G508" t="s">
        <v>269</v>
      </c>
      <c r="H508" t="s">
        <v>254</v>
      </c>
      <c r="I508" t="s">
        <v>242</v>
      </c>
      <c r="J508" t="s">
        <v>235</v>
      </c>
      <c r="K508" s="380">
        <v>36831</v>
      </c>
      <c r="L508" s="235">
        <v>-4650.1575587453335</v>
      </c>
      <c r="M508" s="380">
        <v>36829</v>
      </c>
      <c r="N508" t="s">
        <v>21</v>
      </c>
      <c r="O508">
        <v>0.15</v>
      </c>
      <c r="P508">
        <v>0</v>
      </c>
      <c r="Q508">
        <v>0</v>
      </c>
      <c r="R508">
        <v>0</v>
      </c>
      <c r="S508">
        <v>0</v>
      </c>
      <c r="T508" t="s">
        <v>253</v>
      </c>
      <c r="U508" t="s">
        <v>600</v>
      </c>
      <c r="V508" t="s">
        <v>253</v>
      </c>
      <c r="W508" t="s">
        <v>132</v>
      </c>
      <c r="X508" t="s">
        <v>253</v>
      </c>
      <c r="Y508" t="s">
        <v>235</v>
      </c>
      <c r="Z508" t="s">
        <v>236</v>
      </c>
      <c r="AA508" t="s">
        <v>253</v>
      </c>
      <c r="AB508" t="s">
        <v>1</v>
      </c>
      <c r="AC508" s="235">
        <v>-300000</v>
      </c>
      <c r="AD508" s="235">
        <v>-1734.9822694649774</v>
      </c>
      <c r="AE508">
        <v>0</v>
      </c>
      <c r="AF508">
        <v>0</v>
      </c>
      <c r="AG508">
        <v>0</v>
      </c>
      <c r="AH508" s="235">
        <v>-93.596215675597705</v>
      </c>
      <c r="AI508">
        <v>226</v>
      </c>
      <c r="AJ508" t="s">
        <v>256</v>
      </c>
      <c r="AK508">
        <v>0</v>
      </c>
      <c r="AL508">
        <v>0</v>
      </c>
      <c r="AM508">
        <v>0</v>
      </c>
    </row>
    <row r="509" spans="1:39" x14ac:dyDescent="0.25">
      <c r="A509" t="s">
        <v>233</v>
      </c>
      <c r="B509" t="s">
        <v>517</v>
      </c>
      <c r="C509" t="s">
        <v>255</v>
      </c>
      <c r="D509" t="s">
        <v>234</v>
      </c>
      <c r="E509" t="s">
        <v>20</v>
      </c>
      <c r="F509" t="s">
        <v>480</v>
      </c>
      <c r="G509" t="s">
        <v>269</v>
      </c>
      <c r="H509" t="s">
        <v>254</v>
      </c>
      <c r="I509" t="s">
        <v>242</v>
      </c>
      <c r="J509" t="s">
        <v>235</v>
      </c>
      <c r="K509" s="380">
        <v>36800</v>
      </c>
      <c r="L509" s="235">
        <v>-23148.524791044591</v>
      </c>
      <c r="M509" s="380">
        <v>36797</v>
      </c>
      <c r="N509" t="s">
        <v>1</v>
      </c>
      <c r="O509">
        <v>0.4</v>
      </c>
      <c r="P509">
        <v>0</v>
      </c>
      <c r="Q509">
        <v>0</v>
      </c>
      <c r="R509">
        <v>0</v>
      </c>
      <c r="S509">
        <v>0</v>
      </c>
      <c r="T509" t="s">
        <v>253</v>
      </c>
      <c r="U509" t="s">
        <v>7</v>
      </c>
      <c r="V509" t="s">
        <v>253</v>
      </c>
      <c r="W509" t="s">
        <v>132</v>
      </c>
      <c r="X509" t="s">
        <v>253</v>
      </c>
      <c r="Y509" t="s">
        <v>235</v>
      </c>
      <c r="Z509" t="s">
        <v>236</v>
      </c>
      <c r="AA509" t="s">
        <v>253</v>
      </c>
      <c r="AB509" t="s">
        <v>1</v>
      </c>
      <c r="AC509" s="235">
        <v>-620000</v>
      </c>
      <c r="AD509" s="235">
        <v>-4046.5710210099351</v>
      </c>
      <c r="AE509">
        <v>0</v>
      </c>
      <c r="AF509">
        <v>0</v>
      </c>
      <c r="AG509">
        <v>0</v>
      </c>
      <c r="AH509" s="235">
        <v>-230.51109511506365</v>
      </c>
      <c r="AI509">
        <v>226</v>
      </c>
      <c r="AJ509" t="s">
        <v>256</v>
      </c>
      <c r="AK509">
        <v>0</v>
      </c>
      <c r="AL509">
        <v>0</v>
      </c>
      <c r="AM509">
        <v>0</v>
      </c>
    </row>
    <row r="510" spans="1:39" x14ac:dyDescent="0.25">
      <c r="A510" t="s">
        <v>233</v>
      </c>
      <c r="B510" t="s">
        <v>520</v>
      </c>
      <c r="C510" t="s">
        <v>255</v>
      </c>
      <c r="D510" t="s">
        <v>234</v>
      </c>
      <c r="E510" t="s">
        <v>20</v>
      </c>
      <c r="F510" t="s">
        <v>509</v>
      </c>
      <c r="G510" t="s">
        <v>269</v>
      </c>
      <c r="H510" t="s">
        <v>254</v>
      </c>
      <c r="I510" t="s">
        <v>242</v>
      </c>
      <c r="J510" t="s">
        <v>235</v>
      </c>
      <c r="K510" s="380">
        <v>36800</v>
      </c>
      <c r="L510" s="235">
        <v>55.34223437081431</v>
      </c>
      <c r="M510" s="380">
        <v>36797</v>
      </c>
      <c r="N510" t="s">
        <v>1</v>
      </c>
      <c r="O510">
        <v>0.3</v>
      </c>
      <c r="P510">
        <v>0</v>
      </c>
      <c r="Q510">
        <v>0</v>
      </c>
      <c r="R510">
        <v>0</v>
      </c>
      <c r="S510">
        <v>0</v>
      </c>
      <c r="T510" t="s">
        <v>253</v>
      </c>
      <c r="U510" t="s">
        <v>190</v>
      </c>
      <c r="V510" t="s">
        <v>253</v>
      </c>
      <c r="W510" t="s">
        <v>132</v>
      </c>
      <c r="X510" t="s">
        <v>253</v>
      </c>
      <c r="Y510" t="s">
        <v>235</v>
      </c>
      <c r="Z510" t="s">
        <v>236</v>
      </c>
      <c r="AA510" t="s">
        <v>253</v>
      </c>
      <c r="AB510" t="s">
        <v>1</v>
      </c>
      <c r="AC510" s="235">
        <v>500000</v>
      </c>
      <c r="AD510" s="235">
        <v>125.59262887051892</v>
      </c>
      <c r="AE510">
        <v>0</v>
      </c>
      <c r="AF510">
        <v>0</v>
      </c>
      <c r="AG510">
        <v>0</v>
      </c>
      <c r="AH510" s="235">
        <v>21.035643559486061</v>
      </c>
      <c r="AI510">
        <v>226</v>
      </c>
      <c r="AJ510" t="s">
        <v>256</v>
      </c>
      <c r="AK510">
        <v>0</v>
      </c>
      <c r="AL510">
        <v>0</v>
      </c>
      <c r="AM510">
        <v>0</v>
      </c>
    </row>
    <row r="511" spans="1:39" x14ac:dyDescent="0.25">
      <c r="A511" t="s">
        <v>233</v>
      </c>
      <c r="B511" t="s">
        <v>521</v>
      </c>
      <c r="C511" t="s">
        <v>255</v>
      </c>
      <c r="D511" t="s">
        <v>234</v>
      </c>
      <c r="E511" t="s">
        <v>20</v>
      </c>
      <c r="F511" t="s">
        <v>279</v>
      </c>
      <c r="G511" t="s">
        <v>269</v>
      </c>
      <c r="H511" t="s">
        <v>254</v>
      </c>
      <c r="I511" t="s">
        <v>242</v>
      </c>
      <c r="J511" t="s">
        <v>235</v>
      </c>
      <c r="K511" s="380">
        <v>36951</v>
      </c>
      <c r="L511" s="235">
        <v>257860.55397292617</v>
      </c>
      <c r="M511" s="380">
        <v>36949</v>
      </c>
      <c r="N511" t="s">
        <v>21</v>
      </c>
      <c r="O511">
        <v>0.3</v>
      </c>
      <c r="P511">
        <v>0</v>
      </c>
      <c r="Q511">
        <v>0</v>
      </c>
      <c r="R511">
        <v>0</v>
      </c>
      <c r="S511">
        <v>0</v>
      </c>
      <c r="T511" t="s">
        <v>253</v>
      </c>
      <c r="U511" t="s">
        <v>190</v>
      </c>
      <c r="V511" t="s">
        <v>253</v>
      </c>
      <c r="W511" t="s">
        <v>132</v>
      </c>
      <c r="X511" t="s">
        <v>253</v>
      </c>
      <c r="Y511" t="s">
        <v>235</v>
      </c>
      <c r="Z511" t="s">
        <v>236</v>
      </c>
      <c r="AA511" t="s">
        <v>253</v>
      </c>
      <c r="AB511" t="s">
        <v>1</v>
      </c>
      <c r="AC511" s="235">
        <v>500000</v>
      </c>
      <c r="AD511" s="235">
        <v>36938.398271886224</v>
      </c>
      <c r="AE511">
        <v>0</v>
      </c>
      <c r="AF511">
        <v>0</v>
      </c>
      <c r="AG511">
        <v>0</v>
      </c>
      <c r="AH511" s="235">
        <v>-16070.678662438237</v>
      </c>
      <c r="AI511">
        <v>226</v>
      </c>
      <c r="AJ511" t="s">
        <v>256</v>
      </c>
      <c r="AK511">
        <v>0</v>
      </c>
      <c r="AL511">
        <v>0</v>
      </c>
      <c r="AM511">
        <v>0</v>
      </c>
    </row>
    <row r="512" spans="1:39" x14ac:dyDescent="0.25">
      <c r="A512" t="s">
        <v>233</v>
      </c>
      <c r="B512" t="s">
        <v>521</v>
      </c>
      <c r="C512" t="s">
        <v>255</v>
      </c>
      <c r="D512" t="s">
        <v>234</v>
      </c>
      <c r="E512" t="s">
        <v>20</v>
      </c>
      <c r="F512" t="s">
        <v>279</v>
      </c>
      <c r="G512" t="s">
        <v>269</v>
      </c>
      <c r="H512" t="s">
        <v>254</v>
      </c>
      <c r="I512" t="s">
        <v>242</v>
      </c>
      <c r="J512" t="s">
        <v>235</v>
      </c>
      <c r="K512" s="380">
        <v>36923</v>
      </c>
      <c r="L512" s="235">
        <v>279861.55167511542</v>
      </c>
      <c r="M512" s="380">
        <v>36921</v>
      </c>
      <c r="N512" t="s">
        <v>21</v>
      </c>
      <c r="O512">
        <v>0.3</v>
      </c>
      <c r="P512">
        <v>0</v>
      </c>
      <c r="Q512">
        <v>0</v>
      </c>
      <c r="R512">
        <v>0</v>
      </c>
      <c r="S512">
        <v>0</v>
      </c>
      <c r="T512" t="s">
        <v>253</v>
      </c>
      <c r="U512" t="s">
        <v>190</v>
      </c>
      <c r="V512" t="s">
        <v>253</v>
      </c>
      <c r="W512" t="s">
        <v>132</v>
      </c>
      <c r="X512" t="s">
        <v>253</v>
      </c>
      <c r="Y512" t="s">
        <v>235</v>
      </c>
      <c r="Z512" t="s">
        <v>236</v>
      </c>
      <c r="AA512" t="s">
        <v>253</v>
      </c>
      <c r="AB512" t="s">
        <v>1</v>
      </c>
      <c r="AC512" s="235">
        <v>500000</v>
      </c>
      <c r="AD512" s="235">
        <v>38119.511577806552</v>
      </c>
      <c r="AE512">
        <v>0</v>
      </c>
      <c r="AF512">
        <v>0</v>
      </c>
      <c r="AG512">
        <v>0</v>
      </c>
      <c r="AH512" s="235">
        <v>-16153.235550436948</v>
      </c>
      <c r="AI512">
        <v>226</v>
      </c>
      <c r="AJ512" t="s">
        <v>256</v>
      </c>
      <c r="AK512">
        <v>0</v>
      </c>
      <c r="AL512">
        <v>0</v>
      </c>
      <c r="AM512">
        <v>0</v>
      </c>
    </row>
    <row r="513" spans="1:39" x14ac:dyDescent="0.25">
      <c r="A513" t="s">
        <v>233</v>
      </c>
      <c r="B513" t="s">
        <v>521</v>
      </c>
      <c r="C513" t="s">
        <v>255</v>
      </c>
      <c r="D513" t="s">
        <v>234</v>
      </c>
      <c r="E513" t="s">
        <v>20</v>
      </c>
      <c r="F513" t="s">
        <v>279</v>
      </c>
      <c r="G513" t="s">
        <v>269</v>
      </c>
      <c r="H513" t="s">
        <v>254</v>
      </c>
      <c r="I513" t="s">
        <v>242</v>
      </c>
      <c r="J513" t="s">
        <v>235</v>
      </c>
      <c r="K513" s="380">
        <v>36892</v>
      </c>
      <c r="L513" s="235">
        <v>324172.95214438415</v>
      </c>
      <c r="M513" s="380">
        <v>36888</v>
      </c>
      <c r="N513" t="s">
        <v>21</v>
      </c>
      <c r="O513">
        <v>0.3</v>
      </c>
      <c r="P513">
        <v>0</v>
      </c>
      <c r="Q513">
        <v>0</v>
      </c>
      <c r="R513">
        <v>0</v>
      </c>
      <c r="S513">
        <v>0</v>
      </c>
      <c r="T513" t="s">
        <v>253</v>
      </c>
      <c r="U513" t="s">
        <v>190</v>
      </c>
      <c r="V513" t="s">
        <v>253</v>
      </c>
      <c r="W513" t="s">
        <v>132</v>
      </c>
      <c r="X513" t="s">
        <v>253</v>
      </c>
      <c r="Y513" t="s">
        <v>235</v>
      </c>
      <c r="Z513" t="s">
        <v>236</v>
      </c>
      <c r="AA513" t="s">
        <v>253</v>
      </c>
      <c r="AB513" t="s">
        <v>1</v>
      </c>
      <c r="AC513" s="235">
        <v>500000</v>
      </c>
      <c r="AD513" s="235">
        <v>32570.535467963084</v>
      </c>
      <c r="AE513">
        <v>0</v>
      </c>
      <c r="AF513">
        <v>0</v>
      </c>
      <c r="AG513">
        <v>0</v>
      </c>
      <c r="AH513" s="235">
        <v>-17984.496338168508</v>
      </c>
      <c r="AI513">
        <v>226</v>
      </c>
      <c r="AJ513" t="s">
        <v>256</v>
      </c>
      <c r="AK513">
        <v>0</v>
      </c>
      <c r="AL513">
        <v>0</v>
      </c>
      <c r="AM513">
        <v>0</v>
      </c>
    </row>
    <row r="514" spans="1:39" x14ac:dyDescent="0.25">
      <c r="A514" t="s">
        <v>233</v>
      </c>
      <c r="B514" t="s">
        <v>521</v>
      </c>
      <c r="C514" t="s">
        <v>255</v>
      </c>
      <c r="D514" t="s">
        <v>234</v>
      </c>
      <c r="E514" t="s">
        <v>20</v>
      </c>
      <c r="F514" t="s">
        <v>279</v>
      </c>
      <c r="G514" t="s">
        <v>269</v>
      </c>
      <c r="H514" t="s">
        <v>254</v>
      </c>
      <c r="I514" t="s">
        <v>242</v>
      </c>
      <c r="J514" t="s">
        <v>235</v>
      </c>
      <c r="K514" s="380">
        <v>36861</v>
      </c>
      <c r="L514" s="235">
        <v>396010.62920082221</v>
      </c>
      <c r="M514" s="380">
        <v>36859</v>
      </c>
      <c r="N514" t="s">
        <v>21</v>
      </c>
      <c r="O514">
        <v>0.3</v>
      </c>
      <c r="P514">
        <v>0</v>
      </c>
      <c r="Q514">
        <v>0</v>
      </c>
      <c r="R514">
        <v>0</v>
      </c>
      <c r="S514">
        <v>0</v>
      </c>
      <c r="T514" t="s">
        <v>253</v>
      </c>
      <c r="U514" t="s">
        <v>190</v>
      </c>
      <c r="V514" t="s">
        <v>253</v>
      </c>
      <c r="W514" t="s">
        <v>132</v>
      </c>
      <c r="X514" t="s">
        <v>253</v>
      </c>
      <c r="Y514" t="s">
        <v>235</v>
      </c>
      <c r="Z514" t="s">
        <v>236</v>
      </c>
      <c r="AA514" t="s">
        <v>253</v>
      </c>
      <c r="AB514" t="s">
        <v>1</v>
      </c>
      <c r="AC514" s="235">
        <v>500000</v>
      </c>
      <c r="AD514" s="235">
        <v>22889.732875724148</v>
      </c>
      <c r="AE514">
        <v>0</v>
      </c>
      <c r="AF514">
        <v>0</v>
      </c>
      <c r="AG514">
        <v>0</v>
      </c>
      <c r="AH514" s="235">
        <v>57637.259154467494</v>
      </c>
      <c r="AI514">
        <v>226</v>
      </c>
      <c r="AJ514" t="s">
        <v>256</v>
      </c>
      <c r="AK514">
        <v>0</v>
      </c>
      <c r="AL514">
        <v>0</v>
      </c>
      <c r="AM514">
        <v>0</v>
      </c>
    </row>
    <row r="515" spans="1:39" x14ac:dyDescent="0.25">
      <c r="A515" t="s">
        <v>233</v>
      </c>
      <c r="B515" t="s">
        <v>521</v>
      </c>
      <c r="C515" t="s">
        <v>255</v>
      </c>
      <c r="D515" t="s">
        <v>234</v>
      </c>
      <c r="E515" t="s">
        <v>20</v>
      </c>
      <c r="F515" t="s">
        <v>279</v>
      </c>
      <c r="G515" t="s">
        <v>269</v>
      </c>
      <c r="H515" t="s">
        <v>254</v>
      </c>
      <c r="I515" t="s">
        <v>242</v>
      </c>
      <c r="J515" t="s">
        <v>235</v>
      </c>
      <c r="K515" s="380">
        <v>36831</v>
      </c>
      <c r="L515" s="235">
        <v>621737.6190845822</v>
      </c>
      <c r="M515" s="380">
        <v>36829</v>
      </c>
      <c r="N515" t="s">
        <v>21</v>
      </c>
      <c r="O515">
        <v>0.3</v>
      </c>
      <c r="P515">
        <v>0</v>
      </c>
      <c r="Q515">
        <v>0</v>
      </c>
      <c r="R515">
        <v>0</v>
      </c>
      <c r="S515">
        <v>0</v>
      </c>
      <c r="T515" t="s">
        <v>253</v>
      </c>
      <c r="U515" t="s">
        <v>190</v>
      </c>
      <c r="V515" t="s">
        <v>253</v>
      </c>
      <c r="W515" t="s">
        <v>132</v>
      </c>
      <c r="X515" t="s">
        <v>253</v>
      </c>
      <c r="Y515" t="s">
        <v>235</v>
      </c>
      <c r="Z515" t="s">
        <v>236</v>
      </c>
      <c r="AA515" t="s">
        <v>253</v>
      </c>
      <c r="AB515" t="s">
        <v>1</v>
      </c>
      <c r="AC515" s="235">
        <v>500000</v>
      </c>
      <c r="AD515" s="235">
        <v>6145.9479237695923</v>
      </c>
      <c r="AE515">
        <v>0</v>
      </c>
      <c r="AF515">
        <v>0</v>
      </c>
      <c r="AG515">
        <v>0</v>
      </c>
      <c r="AH515" s="235">
        <v>98690.846326602565</v>
      </c>
      <c r="AI515">
        <v>226</v>
      </c>
      <c r="AJ515" t="s">
        <v>256</v>
      </c>
      <c r="AK515">
        <v>0</v>
      </c>
      <c r="AL515">
        <v>0</v>
      </c>
      <c r="AM515">
        <v>0</v>
      </c>
    </row>
    <row r="516" spans="1:39" x14ac:dyDescent="0.25">
      <c r="A516" t="s">
        <v>233</v>
      </c>
      <c r="B516" t="s">
        <v>522</v>
      </c>
      <c r="C516" t="s">
        <v>255</v>
      </c>
      <c r="D516" t="s">
        <v>234</v>
      </c>
      <c r="E516" t="s">
        <v>20</v>
      </c>
      <c r="F516" t="s">
        <v>279</v>
      </c>
      <c r="G516" t="s">
        <v>269</v>
      </c>
      <c r="H516" t="s">
        <v>254</v>
      </c>
      <c r="I516" t="s">
        <v>242</v>
      </c>
      <c r="J516" t="s">
        <v>235</v>
      </c>
      <c r="K516" s="380">
        <v>36951</v>
      </c>
      <c r="L516" s="235">
        <v>-639293.02771516447</v>
      </c>
      <c r="M516" s="380">
        <v>36949</v>
      </c>
      <c r="N516" t="s">
        <v>1</v>
      </c>
      <c r="O516">
        <v>1.3</v>
      </c>
      <c r="P516">
        <v>0</v>
      </c>
      <c r="Q516">
        <v>0</v>
      </c>
      <c r="R516">
        <v>0</v>
      </c>
      <c r="S516">
        <v>0</v>
      </c>
      <c r="T516" t="s">
        <v>253</v>
      </c>
      <c r="U516" t="s">
        <v>7</v>
      </c>
      <c r="V516" t="s">
        <v>253</v>
      </c>
      <c r="W516" t="s">
        <v>132</v>
      </c>
      <c r="X516" t="s">
        <v>253</v>
      </c>
      <c r="Y516" t="s">
        <v>235</v>
      </c>
      <c r="Z516" t="s">
        <v>236</v>
      </c>
      <c r="AA516" t="s">
        <v>253</v>
      </c>
      <c r="AB516" t="s">
        <v>1</v>
      </c>
      <c r="AC516" s="235">
        <v>-1000000</v>
      </c>
      <c r="AD516" s="235">
        <v>-86546.081170041405</v>
      </c>
      <c r="AE516">
        <v>0</v>
      </c>
      <c r="AF516">
        <v>0</v>
      </c>
      <c r="AG516">
        <v>0</v>
      </c>
      <c r="AH516" s="235">
        <v>25921.221282452228</v>
      </c>
      <c r="AI516">
        <v>226</v>
      </c>
      <c r="AJ516" t="s">
        <v>256</v>
      </c>
      <c r="AK516">
        <v>0</v>
      </c>
      <c r="AL516">
        <v>0</v>
      </c>
      <c r="AM516">
        <v>0</v>
      </c>
    </row>
    <row r="517" spans="1:39" x14ac:dyDescent="0.25">
      <c r="A517" t="s">
        <v>233</v>
      </c>
      <c r="B517" t="s">
        <v>522</v>
      </c>
      <c r="C517" t="s">
        <v>255</v>
      </c>
      <c r="D517" t="s">
        <v>234</v>
      </c>
      <c r="E517" t="s">
        <v>20</v>
      </c>
      <c r="F517" t="s">
        <v>279</v>
      </c>
      <c r="G517" t="s">
        <v>269</v>
      </c>
      <c r="H517" t="s">
        <v>254</v>
      </c>
      <c r="I517" t="s">
        <v>242</v>
      </c>
      <c r="J517" t="s">
        <v>235</v>
      </c>
      <c r="K517" s="380">
        <v>36923</v>
      </c>
      <c r="L517" s="235">
        <v>-305404.16005784034</v>
      </c>
      <c r="M517" s="380">
        <v>36921</v>
      </c>
      <c r="N517" t="s">
        <v>1</v>
      </c>
      <c r="O517">
        <v>1.3</v>
      </c>
      <c r="P517">
        <v>0</v>
      </c>
      <c r="Q517">
        <v>0</v>
      </c>
      <c r="R517">
        <v>0</v>
      </c>
      <c r="S517">
        <v>0</v>
      </c>
      <c r="T517" t="s">
        <v>253</v>
      </c>
      <c r="U517" t="s">
        <v>7</v>
      </c>
      <c r="V517" t="s">
        <v>253</v>
      </c>
      <c r="W517" t="s">
        <v>132</v>
      </c>
      <c r="X517" t="s">
        <v>253</v>
      </c>
      <c r="Y517" t="s">
        <v>235</v>
      </c>
      <c r="Z517" t="s">
        <v>236</v>
      </c>
      <c r="AA517" t="s">
        <v>253</v>
      </c>
      <c r="AB517" t="s">
        <v>1</v>
      </c>
      <c r="AC517" s="235">
        <v>-1000000</v>
      </c>
      <c r="AD517" s="235">
        <v>-78933.135425842775</v>
      </c>
      <c r="AE517">
        <v>0</v>
      </c>
      <c r="AF517">
        <v>0</v>
      </c>
      <c r="AG517">
        <v>0</v>
      </c>
      <c r="AH517" s="235">
        <v>14574.398174056085</v>
      </c>
      <c r="AI517">
        <v>226</v>
      </c>
      <c r="AJ517" t="s">
        <v>256</v>
      </c>
      <c r="AK517">
        <v>0</v>
      </c>
      <c r="AL517">
        <v>0</v>
      </c>
      <c r="AM517">
        <v>0</v>
      </c>
    </row>
    <row r="518" spans="1:39" x14ac:dyDescent="0.25">
      <c r="A518" t="s">
        <v>233</v>
      </c>
      <c r="B518" t="s">
        <v>522</v>
      </c>
      <c r="C518" t="s">
        <v>255</v>
      </c>
      <c r="D518" t="s">
        <v>234</v>
      </c>
      <c r="E518" t="s">
        <v>20</v>
      </c>
      <c r="F518" t="s">
        <v>279</v>
      </c>
      <c r="G518" t="s">
        <v>269</v>
      </c>
      <c r="H518" t="s">
        <v>254</v>
      </c>
      <c r="I518" t="s">
        <v>242</v>
      </c>
      <c r="J518" t="s">
        <v>235</v>
      </c>
      <c r="K518" s="380">
        <v>36892</v>
      </c>
      <c r="L518" s="235">
        <v>-256363.39276386311</v>
      </c>
      <c r="M518" s="380">
        <v>36888</v>
      </c>
      <c r="N518" t="s">
        <v>1</v>
      </c>
      <c r="O518">
        <v>1.3</v>
      </c>
      <c r="P518">
        <v>0</v>
      </c>
      <c r="Q518">
        <v>0</v>
      </c>
      <c r="R518">
        <v>0</v>
      </c>
      <c r="S518">
        <v>0</v>
      </c>
      <c r="T518" t="s">
        <v>253</v>
      </c>
      <c r="U518" t="s">
        <v>7</v>
      </c>
      <c r="V518" t="s">
        <v>253</v>
      </c>
      <c r="W518" t="s">
        <v>132</v>
      </c>
      <c r="X518" t="s">
        <v>253</v>
      </c>
      <c r="Y518" t="s">
        <v>235</v>
      </c>
      <c r="Z518" t="s">
        <v>236</v>
      </c>
      <c r="AA518" t="s">
        <v>253</v>
      </c>
      <c r="AB518" t="s">
        <v>1</v>
      </c>
      <c r="AC518" s="235">
        <v>-1000000</v>
      </c>
      <c r="AD518" s="235">
        <v>-69350.770418858359</v>
      </c>
      <c r="AE518">
        <v>0</v>
      </c>
      <c r="AF518">
        <v>0</v>
      </c>
      <c r="AG518">
        <v>0</v>
      </c>
      <c r="AH518" s="235">
        <v>11192.703146449814</v>
      </c>
      <c r="AI518">
        <v>226</v>
      </c>
      <c r="AJ518" t="s">
        <v>256</v>
      </c>
      <c r="AK518">
        <v>0</v>
      </c>
      <c r="AL518">
        <v>0</v>
      </c>
      <c r="AM518">
        <v>0</v>
      </c>
    </row>
    <row r="519" spans="1:39" x14ac:dyDescent="0.25">
      <c r="A519" t="s">
        <v>233</v>
      </c>
      <c r="B519" t="s">
        <v>522</v>
      </c>
      <c r="C519" t="s">
        <v>255</v>
      </c>
      <c r="D519" t="s">
        <v>234</v>
      </c>
      <c r="E519" t="s">
        <v>20</v>
      </c>
      <c r="F519" t="s">
        <v>279</v>
      </c>
      <c r="G519" t="s">
        <v>269</v>
      </c>
      <c r="H519" t="s">
        <v>254</v>
      </c>
      <c r="I519" t="s">
        <v>242</v>
      </c>
      <c r="J519" t="s">
        <v>235</v>
      </c>
      <c r="K519" s="380">
        <v>36861</v>
      </c>
      <c r="L519" s="235">
        <v>-342384.88338830875</v>
      </c>
      <c r="M519" s="380">
        <v>36859</v>
      </c>
      <c r="N519" t="s">
        <v>1</v>
      </c>
      <c r="O519">
        <v>1.3</v>
      </c>
      <c r="P519">
        <v>0</v>
      </c>
      <c r="Q519">
        <v>0</v>
      </c>
      <c r="R519">
        <v>0</v>
      </c>
      <c r="S519">
        <v>0</v>
      </c>
      <c r="T519" t="s">
        <v>253</v>
      </c>
      <c r="U519" t="s">
        <v>7</v>
      </c>
      <c r="V519" t="s">
        <v>253</v>
      </c>
      <c r="W519" t="s">
        <v>132</v>
      </c>
      <c r="X519" t="s">
        <v>253</v>
      </c>
      <c r="Y519" t="s">
        <v>235</v>
      </c>
      <c r="Z519" t="s">
        <v>236</v>
      </c>
      <c r="AA519" t="s">
        <v>253</v>
      </c>
      <c r="AB519" t="s">
        <v>1</v>
      </c>
      <c r="AC519" s="235">
        <v>-1000000</v>
      </c>
      <c r="AD519" s="235">
        <v>-69266.32151105738</v>
      </c>
      <c r="AE519">
        <v>0</v>
      </c>
      <c r="AF519">
        <v>0</v>
      </c>
      <c r="AG519">
        <v>0</v>
      </c>
      <c r="AH519" s="235">
        <v>12395.741835053544</v>
      </c>
      <c r="AI519">
        <v>226</v>
      </c>
      <c r="AJ519" t="s">
        <v>256</v>
      </c>
      <c r="AK519">
        <v>0</v>
      </c>
      <c r="AL519">
        <v>0</v>
      </c>
      <c r="AM519">
        <v>0</v>
      </c>
    </row>
    <row r="520" spans="1:39" x14ac:dyDescent="0.25">
      <c r="A520" t="s">
        <v>233</v>
      </c>
      <c r="B520" t="s">
        <v>522</v>
      </c>
      <c r="C520" t="s">
        <v>255</v>
      </c>
      <c r="D520" t="s">
        <v>234</v>
      </c>
      <c r="E520" t="s">
        <v>20</v>
      </c>
      <c r="F520" t="s">
        <v>279</v>
      </c>
      <c r="G520" t="s">
        <v>269</v>
      </c>
      <c r="H520" t="s">
        <v>254</v>
      </c>
      <c r="I520" t="s">
        <v>242</v>
      </c>
      <c r="J520" t="s">
        <v>235</v>
      </c>
      <c r="K520" s="380">
        <v>36831</v>
      </c>
      <c r="L520" s="235">
        <v>-617545.73814537795</v>
      </c>
      <c r="M520" s="380">
        <v>36829</v>
      </c>
      <c r="N520" t="s">
        <v>1</v>
      </c>
      <c r="O520">
        <v>1.3</v>
      </c>
      <c r="P520">
        <v>0</v>
      </c>
      <c r="Q520">
        <v>0</v>
      </c>
      <c r="R520">
        <v>0</v>
      </c>
      <c r="S520">
        <v>0</v>
      </c>
      <c r="T520" t="s">
        <v>253</v>
      </c>
      <c r="U520" t="s">
        <v>7</v>
      </c>
      <c r="V520" t="s">
        <v>253</v>
      </c>
      <c r="W520" t="s">
        <v>132</v>
      </c>
      <c r="X520" t="s">
        <v>253</v>
      </c>
      <c r="Y520" t="s">
        <v>235</v>
      </c>
      <c r="Z520" t="s">
        <v>236</v>
      </c>
      <c r="AA520" t="s">
        <v>253</v>
      </c>
      <c r="AB520" t="s">
        <v>1</v>
      </c>
      <c r="AC520" s="235">
        <v>-1000000</v>
      </c>
      <c r="AD520" s="235">
        <v>-32899.814411372878</v>
      </c>
      <c r="AE520">
        <v>0</v>
      </c>
      <c r="AF520">
        <v>0</v>
      </c>
      <c r="AG520">
        <v>0</v>
      </c>
      <c r="AH520" s="235">
        <v>28164.070993857342</v>
      </c>
      <c r="AI520">
        <v>226</v>
      </c>
      <c r="AJ520" t="s">
        <v>256</v>
      </c>
      <c r="AK520">
        <v>0</v>
      </c>
      <c r="AL520">
        <v>0</v>
      </c>
      <c r="AM520">
        <v>0</v>
      </c>
    </row>
    <row r="521" spans="1:39" x14ac:dyDescent="0.25">
      <c r="A521" t="s">
        <v>233</v>
      </c>
      <c r="B521" t="s">
        <v>523</v>
      </c>
      <c r="C521" t="s">
        <v>255</v>
      </c>
      <c r="D521" t="s">
        <v>234</v>
      </c>
      <c r="E521" t="s">
        <v>20</v>
      </c>
      <c r="F521" t="s">
        <v>320</v>
      </c>
      <c r="G521" t="s">
        <v>269</v>
      </c>
      <c r="H521" t="s">
        <v>254</v>
      </c>
      <c r="I521" t="s">
        <v>242</v>
      </c>
      <c r="J521" t="s">
        <v>235</v>
      </c>
      <c r="K521" s="380">
        <v>36831</v>
      </c>
      <c r="L521" s="235">
        <v>123326.93537598336</v>
      </c>
      <c r="M521" s="380">
        <v>36829</v>
      </c>
      <c r="N521" t="s">
        <v>21</v>
      </c>
      <c r="O521">
        <v>0.8</v>
      </c>
      <c r="P521">
        <v>0</v>
      </c>
      <c r="Q521">
        <v>0</v>
      </c>
      <c r="R521">
        <v>0</v>
      </c>
      <c r="S521">
        <v>0</v>
      </c>
      <c r="T521" t="s">
        <v>253</v>
      </c>
      <c r="U521" t="s">
        <v>7</v>
      </c>
      <c r="V521" t="s">
        <v>253</v>
      </c>
      <c r="W521" t="s">
        <v>132</v>
      </c>
      <c r="X521" t="s">
        <v>253</v>
      </c>
      <c r="Y521" t="s">
        <v>235</v>
      </c>
      <c r="Z521" t="s">
        <v>236</v>
      </c>
      <c r="AA521" t="s">
        <v>253</v>
      </c>
      <c r="AB521" t="s">
        <v>1</v>
      </c>
      <c r="AC521" s="235">
        <v>500000</v>
      </c>
      <c r="AD521" s="235">
        <v>22468.121636682365</v>
      </c>
      <c r="AE521">
        <v>0</v>
      </c>
      <c r="AF521">
        <v>0</v>
      </c>
      <c r="AG521">
        <v>0</v>
      </c>
      <c r="AH521" s="235">
        <v>10981.849341846362</v>
      </c>
      <c r="AI521">
        <v>226</v>
      </c>
      <c r="AJ521" t="s">
        <v>256</v>
      </c>
      <c r="AK521">
        <v>0</v>
      </c>
      <c r="AL521">
        <v>0</v>
      </c>
      <c r="AM521">
        <v>0</v>
      </c>
    </row>
    <row r="522" spans="1:39" x14ac:dyDescent="0.25">
      <c r="A522" t="s">
        <v>233</v>
      </c>
      <c r="B522" t="s">
        <v>524</v>
      </c>
      <c r="C522" t="s">
        <v>255</v>
      </c>
      <c r="D522" t="s">
        <v>234</v>
      </c>
      <c r="E522" t="s">
        <v>20</v>
      </c>
      <c r="F522" t="s">
        <v>281</v>
      </c>
      <c r="G522" t="s">
        <v>269</v>
      </c>
      <c r="H522" t="s">
        <v>254</v>
      </c>
      <c r="I522" t="s">
        <v>242</v>
      </c>
      <c r="J522" t="s">
        <v>235</v>
      </c>
      <c r="K522" s="380">
        <v>36951</v>
      </c>
      <c r="L522" s="235">
        <v>65398.446461152831</v>
      </c>
      <c r="M522" s="380">
        <v>36949</v>
      </c>
      <c r="N522" t="s">
        <v>21</v>
      </c>
      <c r="O522">
        <v>1.3</v>
      </c>
      <c r="P522">
        <v>0</v>
      </c>
      <c r="Q522">
        <v>0</v>
      </c>
      <c r="R522">
        <v>0</v>
      </c>
      <c r="S522">
        <v>0</v>
      </c>
      <c r="T522" t="s">
        <v>253</v>
      </c>
      <c r="U522" t="s">
        <v>7</v>
      </c>
      <c r="V522" t="s">
        <v>253</v>
      </c>
      <c r="W522" t="s">
        <v>132</v>
      </c>
      <c r="X522" t="s">
        <v>253</v>
      </c>
      <c r="Y522" t="s">
        <v>235</v>
      </c>
      <c r="Z522" t="s">
        <v>236</v>
      </c>
      <c r="AA522" t="s">
        <v>253</v>
      </c>
      <c r="AB522" t="s">
        <v>1</v>
      </c>
      <c r="AC522" s="235">
        <v>155000</v>
      </c>
      <c r="AD522" s="235">
        <v>13414.642581356406</v>
      </c>
      <c r="AE522">
        <v>0</v>
      </c>
      <c r="AF522">
        <v>0</v>
      </c>
      <c r="AG522">
        <v>0</v>
      </c>
      <c r="AH522" s="235">
        <v>4962.3114568898745</v>
      </c>
      <c r="AI522">
        <v>226</v>
      </c>
      <c r="AJ522" t="s">
        <v>256</v>
      </c>
      <c r="AK522">
        <v>0</v>
      </c>
      <c r="AL522">
        <v>0</v>
      </c>
      <c r="AM522">
        <v>0</v>
      </c>
    </row>
    <row r="523" spans="1:39" x14ac:dyDescent="0.25">
      <c r="A523" t="s">
        <v>233</v>
      </c>
      <c r="B523" t="s">
        <v>524</v>
      </c>
      <c r="C523" t="s">
        <v>255</v>
      </c>
      <c r="D523" t="s">
        <v>234</v>
      </c>
      <c r="E523" t="s">
        <v>20</v>
      </c>
      <c r="F523" t="s">
        <v>281</v>
      </c>
      <c r="G523" t="s">
        <v>269</v>
      </c>
      <c r="H523" t="s">
        <v>254</v>
      </c>
      <c r="I523" t="s">
        <v>242</v>
      </c>
      <c r="J523" t="s">
        <v>235</v>
      </c>
      <c r="K523" s="380">
        <v>36923</v>
      </c>
      <c r="L523" s="235">
        <v>150181.42650770181</v>
      </c>
      <c r="M523" s="380">
        <v>36921</v>
      </c>
      <c r="N523" t="s">
        <v>21</v>
      </c>
      <c r="O523">
        <v>1.3</v>
      </c>
      <c r="P523">
        <v>0</v>
      </c>
      <c r="Q523">
        <v>0</v>
      </c>
      <c r="R523">
        <v>0</v>
      </c>
      <c r="S523">
        <v>0</v>
      </c>
      <c r="T523" t="s">
        <v>253</v>
      </c>
      <c r="U523" t="s">
        <v>7</v>
      </c>
      <c r="V523" t="s">
        <v>253</v>
      </c>
      <c r="W523" t="s">
        <v>132</v>
      </c>
      <c r="X523" t="s">
        <v>253</v>
      </c>
      <c r="Y523" t="s">
        <v>235</v>
      </c>
      <c r="Z523" t="s">
        <v>236</v>
      </c>
      <c r="AA523" t="s">
        <v>253</v>
      </c>
      <c r="AB523" t="s">
        <v>1</v>
      </c>
      <c r="AC523" s="235">
        <v>140000</v>
      </c>
      <c r="AD523" s="235">
        <v>11050.638959617994</v>
      </c>
      <c r="AE523">
        <v>0</v>
      </c>
      <c r="AF523">
        <v>0</v>
      </c>
      <c r="AG523">
        <v>0</v>
      </c>
      <c r="AH523" s="235">
        <v>7473.3481823696056</v>
      </c>
      <c r="AI523">
        <v>226</v>
      </c>
      <c r="AJ523" t="s">
        <v>256</v>
      </c>
      <c r="AK523">
        <v>0</v>
      </c>
      <c r="AL523">
        <v>0</v>
      </c>
      <c r="AM523">
        <v>0</v>
      </c>
    </row>
    <row r="524" spans="1:39" x14ac:dyDescent="0.25">
      <c r="A524" t="s">
        <v>233</v>
      </c>
      <c r="B524" t="s">
        <v>524</v>
      </c>
      <c r="C524" t="s">
        <v>255</v>
      </c>
      <c r="D524" t="s">
        <v>234</v>
      </c>
      <c r="E524" t="s">
        <v>20</v>
      </c>
      <c r="F524" t="s">
        <v>281</v>
      </c>
      <c r="G524" t="s">
        <v>269</v>
      </c>
      <c r="H524" t="s">
        <v>254</v>
      </c>
      <c r="I524" t="s">
        <v>242</v>
      </c>
      <c r="J524" t="s">
        <v>235</v>
      </c>
      <c r="K524" s="380">
        <v>36892</v>
      </c>
      <c r="L524" s="235">
        <v>171541.46843423939</v>
      </c>
      <c r="M524" s="380">
        <v>36888</v>
      </c>
      <c r="N524" t="s">
        <v>21</v>
      </c>
      <c r="O524">
        <v>1.3</v>
      </c>
      <c r="P524">
        <v>0</v>
      </c>
      <c r="Q524">
        <v>0</v>
      </c>
      <c r="R524">
        <v>0</v>
      </c>
      <c r="S524">
        <v>0</v>
      </c>
      <c r="T524" t="s">
        <v>253</v>
      </c>
      <c r="U524" t="s">
        <v>7</v>
      </c>
      <c r="V524" t="s">
        <v>253</v>
      </c>
      <c r="W524" t="s">
        <v>132</v>
      </c>
      <c r="X524" t="s">
        <v>253</v>
      </c>
      <c r="Y524" t="s">
        <v>235</v>
      </c>
      <c r="Z524" t="s">
        <v>236</v>
      </c>
      <c r="AA524" t="s">
        <v>253</v>
      </c>
      <c r="AB524" t="s">
        <v>1</v>
      </c>
      <c r="AC524" s="235">
        <v>155000</v>
      </c>
      <c r="AD524" s="235">
        <v>10749.369414923043</v>
      </c>
      <c r="AE524">
        <v>0</v>
      </c>
      <c r="AF524">
        <v>0</v>
      </c>
      <c r="AG524">
        <v>0</v>
      </c>
      <c r="AH524" s="235">
        <v>7350.2943860404484</v>
      </c>
      <c r="AI524">
        <v>226</v>
      </c>
      <c r="AJ524" t="s">
        <v>256</v>
      </c>
      <c r="AK524">
        <v>0</v>
      </c>
      <c r="AL524">
        <v>0</v>
      </c>
      <c r="AM524">
        <v>0</v>
      </c>
    </row>
    <row r="525" spans="1:39" x14ac:dyDescent="0.25">
      <c r="A525" t="s">
        <v>233</v>
      </c>
      <c r="B525" t="s">
        <v>524</v>
      </c>
      <c r="C525" t="s">
        <v>255</v>
      </c>
      <c r="D525" t="s">
        <v>234</v>
      </c>
      <c r="E525" t="s">
        <v>20</v>
      </c>
      <c r="F525" t="s">
        <v>281</v>
      </c>
      <c r="G525" t="s">
        <v>269</v>
      </c>
      <c r="H525" t="s">
        <v>254</v>
      </c>
      <c r="I525" t="s">
        <v>242</v>
      </c>
      <c r="J525" t="s">
        <v>235</v>
      </c>
      <c r="K525" s="380">
        <v>36861</v>
      </c>
      <c r="L525" s="235">
        <v>105622.5489058727</v>
      </c>
      <c r="M525" s="380">
        <v>36859</v>
      </c>
      <c r="N525" t="s">
        <v>21</v>
      </c>
      <c r="O525">
        <v>1.3</v>
      </c>
      <c r="P525">
        <v>0</v>
      </c>
      <c r="Q525">
        <v>0</v>
      </c>
      <c r="R525">
        <v>0</v>
      </c>
      <c r="S525">
        <v>0</v>
      </c>
      <c r="T525" t="s">
        <v>253</v>
      </c>
      <c r="U525" t="s">
        <v>7</v>
      </c>
      <c r="V525" t="s">
        <v>253</v>
      </c>
      <c r="W525" t="s">
        <v>132</v>
      </c>
      <c r="X525" t="s">
        <v>253</v>
      </c>
      <c r="Y525" t="s">
        <v>235</v>
      </c>
      <c r="Z525" t="s">
        <v>236</v>
      </c>
      <c r="AA525" t="s">
        <v>253</v>
      </c>
      <c r="AB525" t="s">
        <v>1</v>
      </c>
      <c r="AC525" s="235">
        <v>155000</v>
      </c>
      <c r="AD525" s="235">
        <v>10736.279834213885</v>
      </c>
      <c r="AE525">
        <v>0</v>
      </c>
      <c r="AF525">
        <v>0</v>
      </c>
      <c r="AG525">
        <v>0</v>
      </c>
      <c r="AH525" s="235">
        <v>4929.6144067295536</v>
      </c>
      <c r="AI525">
        <v>226</v>
      </c>
      <c r="AJ525" t="s">
        <v>256</v>
      </c>
      <c r="AK525">
        <v>0</v>
      </c>
      <c r="AL525">
        <v>0</v>
      </c>
      <c r="AM525">
        <v>0</v>
      </c>
    </row>
    <row r="526" spans="1:39" x14ac:dyDescent="0.25">
      <c r="A526" t="s">
        <v>233</v>
      </c>
      <c r="B526" t="s">
        <v>524</v>
      </c>
      <c r="C526" t="s">
        <v>255</v>
      </c>
      <c r="D526" t="s">
        <v>234</v>
      </c>
      <c r="E526" t="s">
        <v>20</v>
      </c>
      <c r="F526" t="s">
        <v>281</v>
      </c>
      <c r="G526" t="s">
        <v>269</v>
      </c>
      <c r="H526" t="s">
        <v>254</v>
      </c>
      <c r="I526" t="s">
        <v>242</v>
      </c>
      <c r="J526" t="s">
        <v>235</v>
      </c>
      <c r="K526" s="380">
        <v>36831</v>
      </c>
      <c r="L526" s="235">
        <v>14060.312306142168</v>
      </c>
      <c r="M526" s="380">
        <v>36829</v>
      </c>
      <c r="N526" t="s">
        <v>21</v>
      </c>
      <c r="O526">
        <v>1.3</v>
      </c>
      <c r="P526">
        <v>0</v>
      </c>
      <c r="Q526">
        <v>0</v>
      </c>
      <c r="R526">
        <v>0</v>
      </c>
      <c r="S526">
        <v>0</v>
      </c>
      <c r="T526" t="s">
        <v>253</v>
      </c>
      <c r="U526" t="s">
        <v>7</v>
      </c>
      <c r="V526" t="s">
        <v>253</v>
      </c>
      <c r="W526" t="s">
        <v>132</v>
      </c>
      <c r="X526" t="s">
        <v>253</v>
      </c>
      <c r="Y526" t="s">
        <v>235</v>
      </c>
      <c r="Z526" t="s">
        <v>236</v>
      </c>
      <c r="AA526" t="s">
        <v>253</v>
      </c>
      <c r="AB526" t="s">
        <v>1</v>
      </c>
      <c r="AC526" s="235">
        <v>150000</v>
      </c>
      <c r="AD526" s="235">
        <v>4934.9721617059295</v>
      </c>
      <c r="AE526">
        <v>0</v>
      </c>
      <c r="AF526">
        <v>0</v>
      </c>
      <c r="AG526">
        <v>0</v>
      </c>
      <c r="AH526" s="235">
        <v>1702.0524628067997</v>
      </c>
      <c r="AI526">
        <v>226</v>
      </c>
      <c r="AJ526" t="s">
        <v>256</v>
      </c>
      <c r="AK526">
        <v>0</v>
      </c>
      <c r="AL526">
        <v>0</v>
      </c>
      <c r="AM526">
        <v>0</v>
      </c>
    </row>
    <row r="527" spans="1:39" x14ac:dyDescent="0.25">
      <c r="A527" t="s">
        <v>233</v>
      </c>
      <c r="B527" t="s">
        <v>525</v>
      </c>
      <c r="C527" t="s">
        <v>255</v>
      </c>
      <c r="D527" t="s">
        <v>234</v>
      </c>
      <c r="E527" t="s">
        <v>20</v>
      </c>
      <c r="F527" t="s">
        <v>281</v>
      </c>
      <c r="G527" t="s">
        <v>269</v>
      </c>
      <c r="H527" t="s">
        <v>254</v>
      </c>
      <c r="I527" t="s">
        <v>242</v>
      </c>
      <c r="J527" t="s">
        <v>235</v>
      </c>
      <c r="K527" s="380">
        <v>36951</v>
      </c>
      <c r="L527" s="235">
        <v>99090.419295850501</v>
      </c>
      <c r="M527" s="380">
        <v>36949</v>
      </c>
      <c r="N527" t="s">
        <v>1</v>
      </c>
      <c r="O527">
        <v>1.3</v>
      </c>
      <c r="P527">
        <v>0</v>
      </c>
      <c r="Q527">
        <v>0</v>
      </c>
      <c r="R527">
        <v>0</v>
      </c>
      <c r="S527">
        <v>0</v>
      </c>
      <c r="T527" t="s">
        <v>253</v>
      </c>
      <c r="U527" t="s">
        <v>7</v>
      </c>
      <c r="V527" t="s">
        <v>253</v>
      </c>
      <c r="W527" t="s">
        <v>132</v>
      </c>
      <c r="X527" t="s">
        <v>253</v>
      </c>
      <c r="Y527" t="s">
        <v>235</v>
      </c>
      <c r="Z527" t="s">
        <v>236</v>
      </c>
      <c r="AA527" t="s">
        <v>253</v>
      </c>
      <c r="AB527" t="s">
        <v>1</v>
      </c>
      <c r="AC527" s="235">
        <v>155000</v>
      </c>
      <c r="AD527" s="235">
        <v>13414.642581356413</v>
      </c>
      <c r="AE527">
        <v>0</v>
      </c>
      <c r="AF527">
        <v>0</v>
      </c>
      <c r="AG527">
        <v>0</v>
      </c>
      <c r="AH527" s="235">
        <v>-4017.7892987801024</v>
      </c>
      <c r="AI527">
        <v>226</v>
      </c>
      <c r="AJ527" t="s">
        <v>256</v>
      </c>
      <c r="AK527">
        <v>0</v>
      </c>
      <c r="AL527">
        <v>0</v>
      </c>
      <c r="AM527">
        <v>0</v>
      </c>
    </row>
    <row r="528" spans="1:39" x14ac:dyDescent="0.25">
      <c r="A528" t="s">
        <v>233</v>
      </c>
      <c r="B528" t="s">
        <v>525</v>
      </c>
      <c r="C528" t="s">
        <v>255</v>
      </c>
      <c r="D528" t="s">
        <v>234</v>
      </c>
      <c r="E528" t="s">
        <v>20</v>
      </c>
      <c r="F528" t="s">
        <v>281</v>
      </c>
      <c r="G528" t="s">
        <v>269</v>
      </c>
      <c r="H528" t="s">
        <v>254</v>
      </c>
      <c r="I528" t="s">
        <v>242</v>
      </c>
      <c r="J528" t="s">
        <v>235</v>
      </c>
      <c r="K528" s="380">
        <v>36923</v>
      </c>
      <c r="L528" s="235">
        <v>42756.582408097645</v>
      </c>
      <c r="M528" s="380">
        <v>36921</v>
      </c>
      <c r="N528" t="s">
        <v>1</v>
      </c>
      <c r="O528">
        <v>1.3</v>
      </c>
      <c r="P528">
        <v>0</v>
      </c>
      <c r="Q528">
        <v>0</v>
      </c>
      <c r="R528">
        <v>0</v>
      </c>
      <c r="S528">
        <v>0</v>
      </c>
      <c r="T528" t="s">
        <v>253</v>
      </c>
      <c r="U528" t="s">
        <v>7</v>
      </c>
      <c r="V528" t="s">
        <v>253</v>
      </c>
      <c r="W528" t="s">
        <v>132</v>
      </c>
      <c r="X528" t="s">
        <v>253</v>
      </c>
      <c r="Y528" t="s">
        <v>235</v>
      </c>
      <c r="Z528" t="s">
        <v>236</v>
      </c>
      <c r="AA528" t="s">
        <v>253</v>
      </c>
      <c r="AB528" t="s">
        <v>1</v>
      </c>
      <c r="AC528" s="235">
        <v>140000</v>
      </c>
      <c r="AD528" s="235">
        <v>11050.638959617994</v>
      </c>
      <c r="AE528">
        <v>0</v>
      </c>
      <c r="AF528">
        <v>0</v>
      </c>
      <c r="AG528">
        <v>0</v>
      </c>
      <c r="AH528" s="235">
        <v>-2040.4157443678414</v>
      </c>
      <c r="AI528">
        <v>226</v>
      </c>
      <c r="AJ528" t="s">
        <v>256</v>
      </c>
      <c r="AK528">
        <v>0</v>
      </c>
      <c r="AL528">
        <v>0</v>
      </c>
      <c r="AM528">
        <v>0</v>
      </c>
    </row>
    <row r="529" spans="1:39" x14ac:dyDescent="0.25">
      <c r="A529" t="s">
        <v>233</v>
      </c>
      <c r="B529" t="s">
        <v>525</v>
      </c>
      <c r="C529" t="s">
        <v>255</v>
      </c>
      <c r="D529" t="s">
        <v>234</v>
      </c>
      <c r="E529" t="s">
        <v>20</v>
      </c>
      <c r="F529" t="s">
        <v>281</v>
      </c>
      <c r="G529" t="s">
        <v>269</v>
      </c>
      <c r="H529" t="s">
        <v>254</v>
      </c>
      <c r="I529" t="s">
        <v>242</v>
      </c>
      <c r="J529" t="s">
        <v>235</v>
      </c>
      <c r="K529" s="380">
        <v>36892</v>
      </c>
      <c r="L529" s="235">
        <v>39736.325878398784</v>
      </c>
      <c r="M529" s="380">
        <v>36888</v>
      </c>
      <c r="N529" t="s">
        <v>1</v>
      </c>
      <c r="O529">
        <v>1.3</v>
      </c>
      <c r="P529">
        <v>0</v>
      </c>
      <c r="Q529">
        <v>0</v>
      </c>
      <c r="R529">
        <v>0</v>
      </c>
      <c r="S529">
        <v>0</v>
      </c>
      <c r="T529" t="s">
        <v>253</v>
      </c>
      <c r="U529" t="s">
        <v>7</v>
      </c>
      <c r="V529" t="s">
        <v>253</v>
      </c>
      <c r="W529" t="s">
        <v>132</v>
      </c>
      <c r="X529" t="s">
        <v>253</v>
      </c>
      <c r="Y529" t="s">
        <v>235</v>
      </c>
      <c r="Z529" t="s">
        <v>236</v>
      </c>
      <c r="AA529" t="s">
        <v>253</v>
      </c>
      <c r="AB529" t="s">
        <v>1</v>
      </c>
      <c r="AC529" s="235">
        <v>155000</v>
      </c>
      <c r="AD529" s="235">
        <v>10749.36941492305</v>
      </c>
      <c r="AE529">
        <v>0</v>
      </c>
      <c r="AF529">
        <v>0</v>
      </c>
      <c r="AG529">
        <v>0</v>
      </c>
      <c r="AH529" s="235">
        <v>-1734.8689876997232</v>
      </c>
      <c r="AI529">
        <v>226</v>
      </c>
      <c r="AJ529" t="s">
        <v>256</v>
      </c>
      <c r="AK529">
        <v>0</v>
      </c>
      <c r="AL529">
        <v>0</v>
      </c>
      <c r="AM529">
        <v>0</v>
      </c>
    </row>
    <row r="530" spans="1:39" x14ac:dyDescent="0.25">
      <c r="A530" t="s">
        <v>233</v>
      </c>
      <c r="B530" t="s">
        <v>525</v>
      </c>
      <c r="C530" t="s">
        <v>255</v>
      </c>
      <c r="D530" t="s">
        <v>234</v>
      </c>
      <c r="E530" t="s">
        <v>20</v>
      </c>
      <c r="F530" t="s">
        <v>281</v>
      </c>
      <c r="G530" t="s">
        <v>269</v>
      </c>
      <c r="H530" t="s">
        <v>254</v>
      </c>
      <c r="I530" t="s">
        <v>242</v>
      </c>
      <c r="J530" t="s">
        <v>235</v>
      </c>
      <c r="K530" s="380">
        <v>36861</v>
      </c>
      <c r="L530" s="235">
        <v>53069.656925187854</v>
      </c>
      <c r="M530" s="380">
        <v>36859</v>
      </c>
      <c r="N530" t="s">
        <v>1</v>
      </c>
      <c r="O530">
        <v>1.3</v>
      </c>
      <c r="P530">
        <v>0</v>
      </c>
      <c r="Q530">
        <v>0</v>
      </c>
      <c r="R530">
        <v>0</v>
      </c>
      <c r="S530">
        <v>0</v>
      </c>
      <c r="T530" t="s">
        <v>253</v>
      </c>
      <c r="U530" t="s">
        <v>7</v>
      </c>
      <c r="V530" t="s">
        <v>253</v>
      </c>
      <c r="W530" t="s">
        <v>132</v>
      </c>
      <c r="X530" t="s">
        <v>253</v>
      </c>
      <c r="Y530" t="s">
        <v>235</v>
      </c>
      <c r="Z530" t="s">
        <v>236</v>
      </c>
      <c r="AA530" t="s">
        <v>253</v>
      </c>
      <c r="AB530" t="s">
        <v>1</v>
      </c>
      <c r="AC530" s="235">
        <v>155000</v>
      </c>
      <c r="AD530" s="235">
        <v>10736.279834213892</v>
      </c>
      <c r="AE530">
        <v>0</v>
      </c>
      <c r="AF530">
        <v>0</v>
      </c>
      <c r="AG530">
        <v>0</v>
      </c>
      <c r="AH530" s="235">
        <v>-1921.3399844332962</v>
      </c>
      <c r="AI530">
        <v>226</v>
      </c>
      <c r="AJ530" t="s">
        <v>256</v>
      </c>
      <c r="AK530">
        <v>0</v>
      </c>
      <c r="AL530">
        <v>0</v>
      </c>
      <c r="AM530">
        <v>0</v>
      </c>
    </row>
    <row r="531" spans="1:39" x14ac:dyDescent="0.25">
      <c r="A531" t="s">
        <v>233</v>
      </c>
      <c r="B531" t="s">
        <v>525</v>
      </c>
      <c r="C531" t="s">
        <v>255</v>
      </c>
      <c r="D531" t="s">
        <v>234</v>
      </c>
      <c r="E531" t="s">
        <v>20</v>
      </c>
      <c r="F531" t="s">
        <v>281</v>
      </c>
      <c r="G531" t="s">
        <v>269</v>
      </c>
      <c r="H531" t="s">
        <v>254</v>
      </c>
      <c r="I531" t="s">
        <v>242</v>
      </c>
      <c r="J531" t="s">
        <v>235</v>
      </c>
      <c r="K531" s="380">
        <v>36831</v>
      </c>
      <c r="L531" s="235">
        <v>92631.86072180669</v>
      </c>
      <c r="M531" s="380">
        <v>36829</v>
      </c>
      <c r="N531" t="s">
        <v>1</v>
      </c>
      <c r="O531">
        <v>1.3</v>
      </c>
      <c r="P531">
        <v>0</v>
      </c>
      <c r="Q531">
        <v>0</v>
      </c>
      <c r="R531">
        <v>0</v>
      </c>
      <c r="S531">
        <v>0</v>
      </c>
      <c r="T531" t="s">
        <v>253</v>
      </c>
      <c r="U531" t="s">
        <v>7</v>
      </c>
      <c r="V531" t="s">
        <v>253</v>
      </c>
      <c r="W531" t="s">
        <v>132</v>
      </c>
      <c r="X531" t="s">
        <v>253</v>
      </c>
      <c r="Y531" t="s">
        <v>235</v>
      </c>
      <c r="Z531" t="s">
        <v>236</v>
      </c>
      <c r="AA531" t="s">
        <v>253</v>
      </c>
      <c r="AB531" t="s">
        <v>1</v>
      </c>
      <c r="AC531" s="235">
        <v>150000</v>
      </c>
      <c r="AD531" s="235">
        <v>4934.9721617059404</v>
      </c>
      <c r="AE531">
        <v>0</v>
      </c>
      <c r="AF531">
        <v>0</v>
      </c>
      <c r="AG531">
        <v>0</v>
      </c>
      <c r="AH531" s="235">
        <v>-4224.6106490786042</v>
      </c>
      <c r="AI531">
        <v>226</v>
      </c>
      <c r="AJ531" t="s">
        <v>256</v>
      </c>
      <c r="AK531">
        <v>0</v>
      </c>
      <c r="AL531">
        <v>0</v>
      </c>
      <c r="AM531">
        <v>0</v>
      </c>
    </row>
    <row r="532" spans="1:39" x14ac:dyDescent="0.25">
      <c r="A532" t="s">
        <v>233</v>
      </c>
      <c r="B532" t="s">
        <v>527</v>
      </c>
      <c r="C532" t="s">
        <v>255</v>
      </c>
      <c r="D532" t="s">
        <v>234</v>
      </c>
      <c r="E532" t="s">
        <v>20</v>
      </c>
      <c r="F532" t="s">
        <v>480</v>
      </c>
      <c r="G532" t="s">
        <v>269</v>
      </c>
      <c r="H532" t="s">
        <v>254</v>
      </c>
      <c r="I532" t="s">
        <v>242</v>
      </c>
      <c r="J532" t="s">
        <v>235</v>
      </c>
      <c r="K532" s="380">
        <v>36800</v>
      </c>
      <c r="L532" s="235">
        <v>-46297.049582089181</v>
      </c>
      <c r="M532" s="380">
        <v>36797</v>
      </c>
      <c r="N532" t="s">
        <v>1</v>
      </c>
      <c r="O532">
        <v>0.4</v>
      </c>
      <c r="P532">
        <v>0</v>
      </c>
      <c r="Q532">
        <v>0</v>
      </c>
      <c r="R532">
        <v>0</v>
      </c>
      <c r="S532">
        <v>0</v>
      </c>
      <c r="T532" t="s">
        <v>253</v>
      </c>
      <c r="U532" t="s">
        <v>7</v>
      </c>
      <c r="V532" t="s">
        <v>253</v>
      </c>
      <c r="W532" t="s">
        <v>132</v>
      </c>
      <c r="X532" t="s">
        <v>253</v>
      </c>
      <c r="Y532" t="s">
        <v>235</v>
      </c>
      <c r="Z532" t="s">
        <v>236</v>
      </c>
      <c r="AA532" t="s">
        <v>253</v>
      </c>
      <c r="AB532" t="s">
        <v>1</v>
      </c>
      <c r="AC532" s="235">
        <v>-1240000</v>
      </c>
      <c r="AD532" s="235">
        <v>-8093.1420420198701</v>
      </c>
      <c r="AE532">
        <v>0</v>
      </c>
      <c r="AF532">
        <v>0</v>
      </c>
      <c r="AG532">
        <v>0</v>
      </c>
      <c r="AH532" s="235">
        <v>-461.02219023012731</v>
      </c>
      <c r="AI532">
        <v>226</v>
      </c>
      <c r="AJ532" t="s">
        <v>256</v>
      </c>
      <c r="AK532">
        <v>0</v>
      </c>
      <c r="AL532">
        <v>0</v>
      </c>
      <c r="AM532">
        <v>0</v>
      </c>
    </row>
    <row r="533" spans="1:39" x14ac:dyDescent="0.25">
      <c r="A533" t="s">
        <v>233</v>
      </c>
      <c r="B533" t="s">
        <v>528</v>
      </c>
      <c r="C533" t="s">
        <v>255</v>
      </c>
      <c r="D533" t="s">
        <v>234</v>
      </c>
      <c r="E533" t="s">
        <v>20</v>
      </c>
      <c r="F533" t="s">
        <v>480</v>
      </c>
      <c r="G533" t="s">
        <v>269</v>
      </c>
      <c r="H533" t="s">
        <v>254</v>
      </c>
      <c r="I533" t="s">
        <v>242</v>
      </c>
      <c r="J533" t="s">
        <v>235</v>
      </c>
      <c r="K533" s="380">
        <v>36951</v>
      </c>
      <c r="L533" s="235">
        <v>-16938.378156985178</v>
      </c>
      <c r="M533" s="380">
        <v>36949</v>
      </c>
      <c r="N533" t="s">
        <v>21</v>
      </c>
      <c r="O533">
        <v>0.4</v>
      </c>
      <c r="P533">
        <v>0</v>
      </c>
      <c r="Q533">
        <v>0</v>
      </c>
      <c r="R533">
        <v>0</v>
      </c>
      <c r="S533">
        <v>0</v>
      </c>
      <c r="T533" t="s">
        <v>253</v>
      </c>
      <c r="U533" t="s">
        <v>10</v>
      </c>
      <c r="V533" t="s">
        <v>253</v>
      </c>
      <c r="W533" t="s">
        <v>132</v>
      </c>
      <c r="X533" t="s">
        <v>253</v>
      </c>
      <c r="Y533" t="s">
        <v>235</v>
      </c>
      <c r="Z533" t="s">
        <v>236</v>
      </c>
      <c r="AA533" t="s">
        <v>253</v>
      </c>
      <c r="AB533" t="s">
        <v>1</v>
      </c>
      <c r="AC533" s="235">
        <v>-310000</v>
      </c>
      <c r="AD533" s="235">
        <v>-4991.5461850508727</v>
      </c>
      <c r="AE533">
        <v>0</v>
      </c>
      <c r="AF533">
        <v>0</v>
      </c>
      <c r="AG533">
        <v>0</v>
      </c>
      <c r="AH533" s="235">
        <v>-253.52482749227056</v>
      </c>
      <c r="AI533">
        <v>226</v>
      </c>
      <c r="AJ533" t="s">
        <v>256</v>
      </c>
      <c r="AK533">
        <v>0</v>
      </c>
      <c r="AL533">
        <v>0</v>
      </c>
      <c r="AM533">
        <v>0</v>
      </c>
    </row>
    <row r="534" spans="1:39" x14ac:dyDescent="0.25">
      <c r="A534" t="s">
        <v>233</v>
      </c>
      <c r="B534" t="s">
        <v>528</v>
      </c>
      <c r="C534" t="s">
        <v>255</v>
      </c>
      <c r="D534" t="s">
        <v>234</v>
      </c>
      <c r="E534" t="s">
        <v>20</v>
      </c>
      <c r="F534" t="s">
        <v>480</v>
      </c>
      <c r="G534" t="s">
        <v>269</v>
      </c>
      <c r="H534" t="s">
        <v>254</v>
      </c>
      <c r="I534" t="s">
        <v>242</v>
      </c>
      <c r="J534" t="s">
        <v>235</v>
      </c>
      <c r="K534" s="380">
        <v>36923</v>
      </c>
      <c r="L534" s="235">
        <v>-19741.876989106982</v>
      </c>
      <c r="M534" s="380">
        <v>36921</v>
      </c>
      <c r="N534" t="s">
        <v>21</v>
      </c>
      <c r="O534">
        <v>0.4</v>
      </c>
      <c r="P534">
        <v>0</v>
      </c>
      <c r="Q534">
        <v>0</v>
      </c>
      <c r="R534">
        <v>0</v>
      </c>
      <c r="S534">
        <v>0</v>
      </c>
      <c r="T534" t="s">
        <v>253</v>
      </c>
      <c r="U534" t="s">
        <v>10</v>
      </c>
      <c r="V534" t="s">
        <v>253</v>
      </c>
      <c r="W534" t="s">
        <v>132</v>
      </c>
      <c r="X534" t="s">
        <v>253</v>
      </c>
      <c r="Y534" t="s">
        <v>235</v>
      </c>
      <c r="Z534" t="s">
        <v>236</v>
      </c>
      <c r="AA534" t="s">
        <v>253</v>
      </c>
      <c r="AB534" t="s">
        <v>1</v>
      </c>
      <c r="AC534" s="235">
        <v>-280000</v>
      </c>
      <c r="AD534" s="235">
        <v>-4900.9819686976698</v>
      </c>
      <c r="AE534">
        <v>0</v>
      </c>
      <c r="AF534">
        <v>0</v>
      </c>
      <c r="AG534">
        <v>0</v>
      </c>
      <c r="AH534" s="235">
        <v>-235.0889822088393</v>
      </c>
      <c r="AI534">
        <v>226</v>
      </c>
      <c r="AJ534" t="s">
        <v>256</v>
      </c>
      <c r="AK534">
        <v>0</v>
      </c>
      <c r="AL534">
        <v>0</v>
      </c>
      <c r="AM534">
        <v>0</v>
      </c>
    </row>
    <row r="535" spans="1:39" x14ac:dyDescent="0.25">
      <c r="A535" t="s">
        <v>233</v>
      </c>
      <c r="B535" t="s">
        <v>528</v>
      </c>
      <c r="C535" t="s">
        <v>255</v>
      </c>
      <c r="D535" t="s">
        <v>234</v>
      </c>
      <c r="E535" t="s">
        <v>20</v>
      </c>
      <c r="F535" t="s">
        <v>480</v>
      </c>
      <c r="G535" t="s">
        <v>269</v>
      </c>
      <c r="H535" t="s">
        <v>254</v>
      </c>
      <c r="I535" t="s">
        <v>242</v>
      </c>
      <c r="J535" t="s">
        <v>235</v>
      </c>
      <c r="K535" s="380">
        <v>36892</v>
      </c>
      <c r="L535" s="235">
        <v>-20618.916467714673</v>
      </c>
      <c r="M535" s="380">
        <v>36888</v>
      </c>
      <c r="N535" t="s">
        <v>21</v>
      </c>
      <c r="O535">
        <v>0.4</v>
      </c>
      <c r="P535">
        <v>0</v>
      </c>
      <c r="Q535">
        <v>0</v>
      </c>
      <c r="R535">
        <v>0</v>
      </c>
      <c r="S535">
        <v>0</v>
      </c>
      <c r="T535" t="s">
        <v>253</v>
      </c>
      <c r="U535" t="s">
        <v>10</v>
      </c>
      <c r="V535" t="s">
        <v>253</v>
      </c>
      <c r="W535" t="s">
        <v>132</v>
      </c>
      <c r="X535" t="s">
        <v>253</v>
      </c>
      <c r="Y535" t="s">
        <v>235</v>
      </c>
      <c r="Z535" t="s">
        <v>236</v>
      </c>
      <c r="AA535" t="s">
        <v>253</v>
      </c>
      <c r="AB535" t="s">
        <v>1</v>
      </c>
      <c r="AC535" s="235">
        <v>-310000</v>
      </c>
      <c r="AD535" s="235">
        <v>-4973.7028637230251</v>
      </c>
      <c r="AE535">
        <v>0</v>
      </c>
      <c r="AF535">
        <v>0</v>
      </c>
      <c r="AG535">
        <v>0</v>
      </c>
      <c r="AH535" s="235">
        <v>-239.33119049751622</v>
      </c>
      <c r="AI535">
        <v>226</v>
      </c>
      <c r="AJ535" t="s">
        <v>256</v>
      </c>
      <c r="AK535">
        <v>0</v>
      </c>
      <c r="AL535">
        <v>0</v>
      </c>
      <c r="AM535">
        <v>0</v>
      </c>
    </row>
    <row r="536" spans="1:39" x14ac:dyDescent="0.25">
      <c r="A536" t="s">
        <v>233</v>
      </c>
      <c r="B536" t="s">
        <v>528</v>
      </c>
      <c r="C536" t="s">
        <v>255</v>
      </c>
      <c r="D536" t="s">
        <v>234</v>
      </c>
      <c r="E536" t="s">
        <v>20</v>
      </c>
      <c r="F536" t="s">
        <v>480</v>
      </c>
      <c r="G536" t="s">
        <v>269</v>
      </c>
      <c r="H536" t="s">
        <v>254</v>
      </c>
      <c r="I536" t="s">
        <v>242</v>
      </c>
      <c r="J536" t="s">
        <v>235</v>
      </c>
      <c r="K536" s="380">
        <v>36861</v>
      </c>
      <c r="L536" s="235">
        <v>-16210.647991667753</v>
      </c>
      <c r="M536" s="380">
        <v>36859</v>
      </c>
      <c r="N536" t="s">
        <v>21</v>
      </c>
      <c r="O536">
        <v>0.4</v>
      </c>
      <c r="P536">
        <v>0</v>
      </c>
      <c r="Q536">
        <v>0</v>
      </c>
      <c r="R536">
        <v>0</v>
      </c>
      <c r="S536">
        <v>0</v>
      </c>
      <c r="T536" t="s">
        <v>253</v>
      </c>
      <c r="U536" t="s">
        <v>10</v>
      </c>
      <c r="V536" t="s">
        <v>253</v>
      </c>
      <c r="W536" t="s">
        <v>132</v>
      </c>
      <c r="X536" t="s">
        <v>253</v>
      </c>
      <c r="Y536" t="s">
        <v>235</v>
      </c>
      <c r="Z536" t="s">
        <v>236</v>
      </c>
      <c r="AA536" t="s">
        <v>253</v>
      </c>
      <c r="AB536" t="s">
        <v>1</v>
      </c>
      <c r="AC536" s="235">
        <v>-310000</v>
      </c>
      <c r="AD536" s="235">
        <v>-4214.9615178596723</v>
      </c>
      <c r="AE536">
        <v>0</v>
      </c>
      <c r="AF536">
        <v>0</v>
      </c>
      <c r="AG536">
        <v>0</v>
      </c>
      <c r="AH536" s="235">
        <v>-212.18202741733512</v>
      </c>
      <c r="AI536">
        <v>226</v>
      </c>
      <c r="AJ536" t="s">
        <v>256</v>
      </c>
      <c r="AK536">
        <v>0</v>
      </c>
      <c r="AL536">
        <v>0</v>
      </c>
      <c r="AM536">
        <v>0</v>
      </c>
    </row>
    <row r="537" spans="1:39" x14ac:dyDescent="0.25">
      <c r="A537" t="s">
        <v>233</v>
      </c>
      <c r="B537" t="s">
        <v>528</v>
      </c>
      <c r="C537" t="s">
        <v>255</v>
      </c>
      <c r="D537" t="s">
        <v>234</v>
      </c>
      <c r="E537" t="s">
        <v>20</v>
      </c>
      <c r="F537" t="s">
        <v>480</v>
      </c>
      <c r="G537" t="s">
        <v>269</v>
      </c>
      <c r="H537" t="s">
        <v>254</v>
      </c>
      <c r="I537" t="s">
        <v>242</v>
      </c>
      <c r="J537" t="s">
        <v>235</v>
      </c>
      <c r="K537" s="380">
        <v>36831</v>
      </c>
      <c r="L537" s="235">
        <v>-8370.2418436816424</v>
      </c>
      <c r="M537" s="380">
        <v>36829</v>
      </c>
      <c r="N537" t="s">
        <v>21</v>
      </c>
      <c r="O537">
        <v>0.4</v>
      </c>
      <c r="P537">
        <v>0</v>
      </c>
      <c r="Q537">
        <v>0</v>
      </c>
      <c r="R537">
        <v>0</v>
      </c>
      <c r="S537">
        <v>0</v>
      </c>
      <c r="T537" t="s">
        <v>253</v>
      </c>
      <c r="U537" t="s">
        <v>10</v>
      </c>
      <c r="V537" t="s">
        <v>253</v>
      </c>
      <c r="W537" t="s">
        <v>132</v>
      </c>
      <c r="X537" t="s">
        <v>253</v>
      </c>
      <c r="Y537" t="s">
        <v>235</v>
      </c>
      <c r="Z537" t="s">
        <v>236</v>
      </c>
      <c r="AA537" t="s">
        <v>253</v>
      </c>
      <c r="AB537" t="s">
        <v>1</v>
      </c>
      <c r="AC537" s="235">
        <v>-300000</v>
      </c>
      <c r="AD537" s="235">
        <v>-2899.1506542483112</v>
      </c>
      <c r="AE537">
        <v>0</v>
      </c>
      <c r="AF537">
        <v>0</v>
      </c>
      <c r="AG537">
        <v>0</v>
      </c>
      <c r="AH537" s="235">
        <v>-156.51634913405178</v>
      </c>
      <c r="AI537">
        <v>226</v>
      </c>
      <c r="AJ537" t="s">
        <v>256</v>
      </c>
      <c r="AK537">
        <v>0</v>
      </c>
      <c r="AL537">
        <v>0</v>
      </c>
      <c r="AM537">
        <v>0</v>
      </c>
    </row>
    <row r="538" spans="1:39" x14ac:dyDescent="0.25">
      <c r="A538" t="s">
        <v>233</v>
      </c>
      <c r="B538" t="s">
        <v>529</v>
      </c>
      <c r="C538" t="s">
        <v>255</v>
      </c>
      <c r="D538" t="s">
        <v>234</v>
      </c>
      <c r="E538" t="s">
        <v>20</v>
      </c>
      <c r="F538" t="s">
        <v>480</v>
      </c>
      <c r="G538" t="s">
        <v>269</v>
      </c>
      <c r="H538" t="s">
        <v>254</v>
      </c>
      <c r="I538" t="s">
        <v>242</v>
      </c>
      <c r="J538" t="s">
        <v>235</v>
      </c>
      <c r="K538" s="380">
        <v>36951</v>
      </c>
      <c r="L538" s="235">
        <v>-12634.503839957904</v>
      </c>
      <c r="M538" s="380">
        <v>36949</v>
      </c>
      <c r="N538" t="s">
        <v>21</v>
      </c>
      <c r="O538">
        <v>0.5</v>
      </c>
      <c r="P538">
        <v>0</v>
      </c>
      <c r="Q538">
        <v>0</v>
      </c>
      <c r="R538">
        <v>0</v>
      </c>
      <c r="S538">
        <v>0</v>
      </c>
      <c r="T538" t="s">
        <v>253</v>
      </c>
      <c r="U538" t="s">
        <v>526</v>
      </c>
      <c r="V538" t="s">
        <v>253</v>
      </c>
      <c r="W538" t="s">
        <v>132</v>
      </c>
      <c r="X538" t="s">
        <v>253</v>
      </c>
      <c r="Y538" t="s">
        <v>235</v>
      </c>
      <c r="Z538" t="s">
        <v>236</v>
      </c>
      <c r="AA538" t="s">
        <v>253</v>
      </c>
      <c r="AB538" t="s">
        <v>1</v>
      </c>
      <c r="AC538" s="235">
        <v>-310000</v>
      </c>
      <c r="AD538" s="235">
        <v>-2890.0107320401585</v>
      </c>
      <c r="AE538">
        <v>0</v>
      </c>
      <c r="AF538">
        <v>0</v>
      </c>
      <c r="AG538">
        <v>0</v>
      </c>
      <c r="AH538" s="235">
        <v>-146.63778615794581</v>
      </c>
      <c r="AI538">
        <v>226</v>
      </c>
      <c r="AJ538" t="s">
        <v>256</v>
      </c>
      <c r="AK538">
        <v>0</v>
      </c>
      <c r="AL538">
        <v>0</v>
      </c>
      <c r="AM538">
        <v>0</v>
      </c>
    </row>
    <row r="539" spans="1:39" x14ac:dyDescent="0.25">
      <c r="A539" t="s">
        <v>233</v>
      </c>
      <c r="B539" t="s">
        <v>529</v>
      </c>
      <c r="C539" t="s">
        <v>255</v>
      </c>
      <c r="D539" t="s">
        <v>234</v>
      </c>
      <c r="E539" t="s">
        <v>20</v>
      </c>
      <c r="F539" t="s">
        <v>480</v>
      </c>
      <c r="G539" t="s">
        <v>269</v>
      </c>
      <c r="H539" t="s">
        <v>254</v>
      </c>
      <c r="I539" t="s">
        <v>242</v>
      </c>
      <c r="J539" t="s">
        <v>235</v>
      </c>
      <c r="K539" s="380">
        <v>36923</v>
      </c>
      <c r="L539" s="235">
        <v>-18113.261271961474</v>
      </c>
      <c r="M539" s="380">
        <v>36921</v>
      </c>
      <c r="N539" t="s">
        <v>21</v>
      </c>
      <c r="O539">
        <v>0.5</v>
      </c>
      <c r="P539">
        <v>0</v>
      </c>
      <c r="Q539">
        <v>0</v>
      </c>
      <c r="R539">
        <v>0</v>
      </c>
      <c r="S539">
        <v>0</v>
      </c>
      <c r="T539" t="s">
        <v>253</v>
      </c>
      <c r="U539" t="s">
        <v>526</v>
      </c>
      <c r="V539" t="s">
        <v>253</v>
      </c>
      <c r="W539" t="s">
        <v>132</v>
      </c>
      <c r="X539" t="s">
        <v>253</v>
      </c>
      <c r="Y539" t="s">
        <v>235</v>
      </c>
      <c r="Z539" t="s">
        <v>236</v>
      </c>
      <c r="AA539" t="s">
        <v>253</v>
      </c>
      <c r="AB539" t="s">
        <v>1</v>
      </c>
      <c r="AC539" s="235">
        <v>-280000</v>
      </c>
      <c r="AD539" s="235">
        <v>-2967.1134607327404</v>
      </c>
      <c r="AE539">
        <v>0</v>
      </c>
      <c r="AF539">
        <v>0</v>
      </c>
      <c r="AG539">
        <v>0</v>
      </c>
      <c r="AH539" s="235">
        <v>-142.21717479139625</v>
      </c>
      <c r="AI539">
        <v>226</v>
      </c>
      <c r="AJ539" t="s">
        <v>256</v>
      </c>
      <c r="AK539">
        <v>0</v>
      </c>
      <c r="AL539">
        <v>0</v>
      </c>
      <c r="AM539">
        <v>0</v>
      </c>
    </row>
    <row r="540" spans="1:39" x14ac:dyDescent="0.25">
      <c r="A540" t="s">
        <v>233</v>
      </c>
      <c r="B540" t="s">
        <v>529</v>
      </c>
      <c r="C540" t="s">
        <v>255</v>
      </c>
      <c r="D540" t="s">
        <v>234</v>
      </c>
      <c r="E540" t="s">
        <v>20</v>
      </c>
      <c r="F540" t="s">
        <v>480</v>
      </c>
      <c r="G540" t="s">
        <v>269</v>
      </c>
      <c r="H540" t="s">
        <v>254</v>
      </c>
      <c r="I540" t="s">
        <v>242</v>
      </c>
      <c r="J540" t="s">
        <v>235</v>
      </c>
      <c r="K540" s="380">
        <v>36892</v>
      </c>
      <c r="L540" s="235">
        <v>-23161.381559321268</v>
      </c>
      <c r="M540" s="380">
        <v>36888</v>
      </c>
      <c r="N540" t="s">
        <v>21</v>
      </c>
      <c r="O540">
        <v>0.5</v>
      </c>
      <c r="P540">
        <v>0</v>
      </c>
      <c r="Q540">
        <v>0</v>
      </c>
      <c r="R540">
        <v>0</v>
      </c>
      <c r="S540">
        <v>0</v>
      </c>
      <c r="T540" t="s">
        <v>253</v>
      </c>
      <c r="U540" t="s">
        <v>526</v>
      </c>
      <c r="V540" t="s">
        <v>253</v>
      </c>
      <c r="W540" t="s">
        <v>132</v>
      </c>
      <c r="X540" t="s">
        <v>253</v>
      </c>
      <c r="Y540" t="s">
        <v>235</v>
      </c>
      <c r="Z540" t="s">
        <v>236</v>
      </c>
      <c r="AA540" t="s">
        <v>253</v>
      </c>
      <c r="AB540" t="s">
        <v>1</v>
      </c>
      <c r="AC540" s="235">
        <v>-310000</v>
      </c>
      <c r="AD540" s="235">
        <v>-3073.3968272223719</v>
      </c>
      <c r="AE540">
        <v>0</v>
      </c>
      <c r="AF540">
        <v>0</v>
      </c>
      <c r="AG540">
        <v>0</v>
      </c>
      <c r="AH540" s="235">
        <v>-147.73565943870562</v>
      </c>
      <c r="AI540">
        <v>226</v>
      </c>
      <c r="AJ540" t="s">
        <v>256</v>
      </c>
      <c r="AK540">
        <v>0</v>
      </c>
      <c r="AL540">
        <v>0</v>
      </c>
      <c r="AM540">
        <v>0</v>
      </c>
    </row>
    <row r="541" spans="1:39" x14ac:dyDescent="0.25">
      <c r="A541" t="s">
        <v>233</v>
      </c>
      <c r="B541" t="s">
        <v>529</v>
      </c>
      <c r="C541" t="s">
        <v>255</v>
      </c>
      <c r="D541" t="s">
        <v>234</v>
      </c>
      <c r="E541" t="s">
        <v>20</v>
      </c>
      <c r="F541" t="s">
        <v>480</v>
      </c>
      <c r="G541" t="s">
        <v>269</v>
      </c>
      <c r="H541" t="s">
        <v>254</v>
      </c>
      <c r="I541" t="s">
        <v>242</v>
      </c>
      <c r="J541" t="s">
        <v>235</v>
      </c>
      <c r="K541" s="380">
        <v>36861</v>
      </c>
      <c r="L541" s="235">
        <v>-10638.913298704892</v>
      </c>
      <c r="M541" s="380">
        <v>36859</v>
      </c>
      <c r="N541" t="s">
        <v>21</v>
      </c>
      <c r="O541">
        <v>0.5</v>
      </c>
      <c r="P541">
        <v>0</v>
      </c>
      <c r="Q541">
        <v>0</v>
      </c>
      <c r="R541">
        <v>0</v>
      </c>
      <c r="S541">
        <v>0</v>
      </c>
      <c r="T541" t="s">
        <v>253</v>
      </c>
      <c r="U541" t="s">
        <v>526</v>
      </c>
      <c r="V541" t="s">
        <v>253</v>
      </c>
      <c r="W541" t="s">
        <v>132</v>
      </c>
      <c r="X541" t="s">
        <v>253</v>
      </c>
      <c r="Y541" t="s">
        <v>235</v>
      </c>
      <c r="Z541" t="s">
        <v>236</v>
      </c>
      <c r="AA541" t="s">
        <v>253</v>
      </c>
      <c r="AB541" t="s">
        <v>1</v>
      </c>
      <c r="AC541" s="235">
        <v>-310000</v>
      </c>
      <c r="AD541" s="235">
        <v>-2381.3608883244451</v>
      </c>
      <c r="AE541">
        <v>0</v>
      </c>
      <c r="AF541">
        <v>0</v>
      </c>
      <c r="AG541">
        <v>0</v>
      </c>
      <c r="AH541" s="235">
        <v>-119.92605823938538</v>
      </c>
      <c r="AI541">
        <v>226</v>
      </c>
      <c r="AJ541" t="s">
        <v>256</v>
      </c>
      <c r="AK541">
        <v>0</v>
      </c>
      <c r="AL541">
        <v>0</v>
      </c>
      <c r="AM541">
        <v>0</v>
      </c>
    </row>
    <row r="542" spans="1:39" x14ac:dyDescent="0.25">
      <c r="A542" t="s">
        <v>233</v>
      </c>
      <c r="B542" t="s">
        <v>529</v>
      </c>
      <c r="C542" t="s">
        <v>255</v>
      </c>
      <c r="D542" t="s">
        <v>234</v>
      </c>
      <c r="E542" t="s">
        <v>20</v>
      </c>
      <c r="F542" t="s">
        <v>480</v>
      </c>
      <c r="G542" t="s">
        <v>269</v>
      </c>
      <c r="H542" t="s">
        <v>254</v>
      </c>
      <c r="I542" t="s">
        <v>242</v>
      </c>
      <c r="J542" t="s">
        <v>235</v>
      </c>
      <c r="K542" s="380">
        <v>36831</v>
      </c>
      <c r="L542" s="235">
        <v>-3528.8878291903416</v>
      </c>
      <c r="M542" s="380">
        <v>36829</v>
      </c>
      <c r="N542" t="s">
        <v>21</v>
      </c>
      <c r="O542">
        <v>0.5</v>
      </c>
      <c r="P542">
        <v>0</v>
      </c>
      <c r="Q542">
        <v>0</v>
      </c>
      <c r="R542">
        <v>0</v>
      </c>
      <c r="S542">
        <v>0</v>
      </c>
      <c r="T542" t="s">
        <v>253</v>
      </c>
      <c r="U542" t="s">
        <v>526</v>
      </c>
      <c r="V542" t="s">
        <v>253</v>
      </c>
      <c r="W542" t="s">
        <v>132</v>
      </c>
      <c r="X542" t="s">
        <v>253</v>
      </c>
      <c r="Y542" t="s">
        <v>235</v>
      </c>
      <c r="Z542" t="s">
        <v>236</v>
      </c>
      <c r="AA542" t="s">
        <v>253</v>
      </c>
      <c r="AB542" t="s">
        <v>1</v>
      </c>
      <c r="AC542" s="235">
        <v>-300000</v>
      </c>
      <c r="AD542" s="235">
        <v>-1297.6978068588433</v>
      </c>
      <c r="AE542">
        <v>0</v>
      </c>
      <c r="AF542">
        <v>0</v>
      </c>
      <c r="AG542">
        <v>0</v>
      </c>
      <c r="AH542" s="235">
        <v>-70.618936883650804</v>
      </c>
      <c r="AI542">
        <v>226</v>
      </c>
      <c r="AJ542" t="s">
        <v>256</v>
      </c>
      <c r="AK542">
        <v>0</v>
      </c>
      <c r="AL542">
        <v>0</v>
      </c>
      <c r="AM542">
        <v>0</v>
      </c>
    </row>
    <row r="543" spans="1:39" x14ac:dyDescent="0.25">
      <c r="A543" t="s">
        <v>233</v>
      </c>
      <c r="B543" t="s">
        <v>530</v>
      </c>
      <c r="C543" t="s">
        <v>255</v>
      </c>
      <c r="D543" t="s">
        <v>234</v>
      </c>
      <c r="E543" t="s">
        <v>20</v>
      </c>
      <c r="F543" t="s">
        <v>268</v>
      </c>
      <c r="G543" t="s">
        <v>269</v>
      </c>
      <c r="H543" t="s">
        <v>254</v>
      </c>
      <c r="I543" t="s">
        <v>242</v>
      </c>
      <c r="J543" t="s">
        <v>235</v>
      </c>
      <c r="K543" s="380">
        <v>36951</v>
      </c>
      <c r="L543" s="235">
        <v>-8705.2704580547907</v>
      </c>
      <c r="M543" s="380">
        <v>36949</v>
      </c>
      <c r="N543" t="s">
        <v>1</v>
      </c>
      <c r="O543">
        <v>-0.25</v>
      </c>
      <c r="P543">
        <v>0</v>
      </c>
      <c r="Q543">
        <v>0</v>
      </c>
      <c r="R543">
        <v>0</v>
      </c>
      <c r="S543">
        <v>0</v>
      </c>
      <c r="T543" t="s">
        <v>253</v>
      </c>
      <c r="U543" t="s">
        <v>6</v>
      </c>
      <c r="V543" t="s">
        <v>253</v>
      </c>
      <c r="W543" t="s">
        <v>132</v>
      </c>
      <c r="X543" t="s">
        <v>253</v>
      </c>
      <c r="Y543" t="s">
        <v>235</v>
      </c>
      <c r="Z543" t="s">
        <v>236</v>
      </c>
      <c r="AA543" t="s">
        <v>253</v>
      </c>
      <c r="AB543" t="s">
        <v>1</v>
      </c>
      <c r="AC543" s="235">
        <v>-310000</v>
      </c>
      <c r="AD543" s="235">
        <v>-3310.4014221324906</v>
      </c>
      <c r="AE543">
        <v>0</v>
      </c>
      <c r="AF543">
        <v>0</v>
      </c>
      <c r="AG543">
        <v>0</v>
      </c>
      <c r="AH543" s="235">
        <v>-364.48438700271436</v>
      </c>
      <c r="AI543">
        <v>226</v>
      </c>
      <c r="AJ543" t="s">
        <v>256</v>
      </c>
      <c r="AK543">
        <v>0</v>
      </c>
      <c r="AL543">
        <v>0</v>
      </c>
      <c r="AM543">
        <v>0</v>
      </c>
    </row>
    <row r="544" spans="1:39" x14ac:dyDescent="0.25">
      <c r="A544" t="s">
        <v>233</v>
      </c>
      <c r="B544" t="s">
        <v>530</v>
      </c>
      <c r="C544" t="s">
        <v>255</v>
      </c>
      <c r="D544" t="s">
        <v>234</v>
      </c>
      <c r="E544" t="s">
        <v>20</v>
      </c>
      <c r="F544" t="s">
        <v>268</v>
      </c>
      <c r="G544" t="s">
        <v>269</v>
      </c>
      <c r="H544" t="s">
        <v>254</v>
      </c>
      <c r="I544" t="s">
        <v>242</v>
      </c>
      <c r="J544" t="s">
        <v>235</v>
      </c>
      <c r="K544" s="380">
        <v>36923</v>
      </c>
      <c r="L544" s="235">
        <v>-9727.8518881643286</v>
      </c>
      <c r="M544" s="380">
        <v>36921</v>
      </c>
      <c r="N544" t="s">
        <v>1</v>
      </c>
      <c r="O544">
        <v>-0.25</v>
      </c>
      <c r="P544">
        <v>0</v>
      </c>
      <c r="Q544">
        <v>0</v>
      </c>
      <c r="R544">
        <v>0</v>
      </c>
      <c r="S544">
        <v>0</v>
      </c>
      <c r="T544" t="s">
        <v>253</v>
      </c>
      <c r="U544" t="s">
        <v>6</v>
      </c>
      <c r="V544" t="s">
        <v>253</v>
      </c>
      <c r="W544" t="s">
        <v>132</v>
      </c>
      <c r="X544" t="s">
        <v>253</v>
      </c>
      <c r="Y544" t="s">
        <v>235</v>
      </c>
      <c r="Z544" t="s">
        <v>236</v>
      </c>
      <c r="AA544" t="s">
        <v>253</v>
      </c>
      <c r="AB544" t="s">
        <v>1</v>
      </c>
      <c r="AC544" s="235">
        <v>-280000</v>
      </c>
      <c r="AD544" s="235">
        <v>-3254.1991418662947</v>
      </c>
      <c r="AE544">
        <v>0</v>
      </c>
      <c r="AF544">
        <v>0</v>
      </c>
      <c r="AG544">
        <v>0</v>
      </c>
      <c r="AH544" s="235">
        <v>-353.59477465985583</v>
      </c>
      <c r="AI544">
        <v>226</v>
      </c>
      <c r="AJ544" t="s">
        <v>256</v>
      </c>
      <c r="AK544">
        <v>0</v>
      </c>
      <c r="AL544">
        <v>0</v>
      </c>
      <c r="AM544">
        <v>0</v>
      </c>
    </row>
    <row r="545" spans="1:39" x14ac:dyDescent="0.25">
      <c r="A545" t="s">
        <v>233</v>
      </c>
      <c r="B545" t="s">
        <v>530</v>
      </c>
      <c r="C545" t="s">
        <v>255</v>
      </c>
      <c r="D545" t="s">
        <v>234</v>
      </c>
      <c r="E545" t="s">
        <v>20</v>
      </c>
      <c r="F545" t="s">
        <v>268</v>
      </c>
      <c r="G545" t="s">
        <v>269</v>
      </c>
      <c r="H545" t="s">
        <v>254</v>
      </c>
      <c r="I545" t="s">
        <v>242</v>
      </c>
      <c r="J545" t="s">
        <v>235</v>
      </c>
      <c r="K545" s="380">
        <v>36892</v>
      </c>
      <c r="L545" s="235">
        <v>-11214.32649378801</v>
      </c>
      <c r="M545" s="380">
        <v>36888</v>
      </c>
      <c r="N545" t="s">
        <v>1</v>
      </c>
      <c r="O545">
        <v>-0.25</v>
      </c>
      <c r="P545">
        <v>0</v>
      </c>
      <c r="Q545">
        <v>0</v>
      </c>
      <c r="R545">
        <v>0</v>
      </c>
      <c r="S545">
        <v>0</v>
      </c>
      <c r="T545" t="s">
        <v>253</v>
      </c>
      <c r="U545" t="s">
        <v>6</v>
      </c>
      <c r="V545" t="s">
        <v>253</v>
      </c>
      <c r="W545" t="s">
        <v>132</v>
      </c>
      <c r="X545" t="s">
        <v>253</v>
      </c>
      <c r="Y545" t="s">
        <v>235</v>
      </c>
      <c r="Z545" t="s">
        <v>236</v>
      </c>
      <c r="AA545" t="s">
        <v>253</v>
      </c>
      <c r="AB545" t="s">
        <v>1</v>
      </c>
      <c r="AC545" s="235">
        <v>-310000</v>
      </c>
      <c r="AD545" s="235">
        <v>-3392.4474736282573</v>
      </c>
      <c r="AE545">
        <v>0</v>
      </c>
      <c r="AF545">
        <v>0</v>
      </c>
      <c r="AG545">
        <v>0</v>
      </c>
      <c r="AH545" s="235">
        <v>-397.49746343233164</v>
      </c>
      <c r="AI545">
        <v>226</v>
      </c>
      <c r="AJ545" t="s">
        <v>256</v>
      </c>
      <c r="AK545">
        <v>0</v>
      </c>
      <c r="AL545">
        <v>0</v>
      </c>
      <c r="AM545">
        <v>0</v>
      </c>
    </row>
    <row r="546" spans="1:39" x14ac:dyDescent="0.25">
      <c r="A546" t="s">
        <v>233</v>
      </c>
      <c r="B546" t="s">
        <v>530</v>
      </c>
      <c r="C546" t="s">
        <v>255</v>
      </c>
      <c r="D546" t="s">
        <v>234</v>
      </c>
      <c r="E546" t="s">
        <v>20</v>
      </c>
      <c r="F546" t="s">
        <v>268</v>
      </c>
      <c r="G546" t="s">
        <v>269</v>
      </c>
      <c r="H546" t="s">
        <v>254</v>
      </c>
      <c r="I546" t="s">
        <v>242</v>
      </c>
      <c r="J546" t="s">
        <v>235</v>
      </c>
      <c r="K546" s="380">
        <v>36861</v>
      </c>
      <c r="L546" s="235">
        <v>-8171.7303468647997</v>
      </c>
      <c r="M546" s="380">
        <v>36859</v>
      </c>
      <c r="N546" t="s">
        <v>1</v>
      </c>
      <c r="O546">
        <v>-0.25</v>
      </c>
      <c r="P546">
        <v>0</v>
      </c>
      <c r="Q546">
        <v>0</v>
      </c>
      <c r="R546">
        <v>0</v>
      </c>
      <c r="S546">
        <v>0</v>
      </c>
      <c r="T546" t="s">
        <v>253</v>
      </c>
      <c r="U546" t="s">
        <v>6</v>
      </c>
      <c r="V546" t="s">
        <v>253</v>
      </c>
      <c r="W546" t="s">
        <v>132</v>
      </c>
      <c r="X546" t="s">
        <v>253</v>
      </c>
      <c r="Y546" t="s">
        <v>235</v>
      </c>
      <c r="Z546" t="s">
        <v>236</v>
      </c>
      <c r="AA546" t="s">
        <v>253</v>
      </c>
      <c r="AB546" t="s">
        <v>1</v>
      </c>
      <c r="AC546" s="235">
        <v>-310000</v>
      </c>
      <c r="AD546" s="235">
        <v>-2777.5509606114792</v>
      </c>
      <c r="AE546">
        <v>0</v>
      </c>
      <c r="AF546">
        <v>0</v>
      </c>
      <c r="AG546">
        <v>0</v>
      </c>
      <c r="AH546" s="235">
        <v>-344.86295834648172</v>
      </c>
      <c r="AI546">
        <v>226</v>
      </c>
      <c r="AJ546" t="s">
        <v>256</v>
      </c>
      <c r="AK546">
        <v>0</v>
      </c>
      <c r="AL546">
        <v>0</v>
      </c>
      <c r="AM546">
        <v>0</v>
      </c>
    </row>
    <row r="547" spans="1:39" x14ac:dyDescent="0.25">
      <c r="A547" t="s">
        <v>233</v>
      </c>
      <c r="B547" t="s">
        <v>530</v>
      </c>
      <c r="C547" t="s">
        <v>255</v>
      </c>
      <c r="D547" t="s">
        <v>234</v>
      </c>
      <c r="E547" t="s">
        <v>20</v>
      </c>
      <c r="F547" t="s">
        <v>268</v>
      </c>
      <c r="G547" t="s">
        <v>269</v>
      </c>
      <c r="H547" t="s">
        <v>254</v>
      </c>
      <c r="I547" t="s">
        <v>242</v>
      </c>
      <c r="J547" t="s">
        <v>235</v>
      </c>
      <c r="K547" s="380">
        <v>36831</v>
      </c>
      <c r="L547" s="235">
        <v>-4389.7567031271101</v>
      </c>
      <c r="M547" s="380">
        <v>36829</v>
      </c>
      <c r="N547" t="s">
        <v>1</v>
      </c>
      <c r="O547">
        <v>-0.25</v>
      </c>
      <c r="P547">
        <v>0</v>
      </c>
      <c r="Q547">
        <v>0</v>
      </c>
      <c r="R547">
        <v>0</v>
      </c>
      <c r="S547">
        <v>0</v>
      </c>
      <c r="T547" t="s">
        <v>253</v>
      </c>
      <c r="U547" t="s">
        <v>6</v>
      </c>
      <c r="V547" t="s">
        <v>253</v>
      </c>
      <c r="W547" t="s">
        <v>132</v>
      </c>
      <c r="X547" t="s">
        <v>253</v>
      </c>
      <c r="Y547" t="s">
        <v>235</v>
      </c>
      <c r="Z547" t="s">
        <v>236</v>
      </c>
      <c r="AA547" t="s">
        <v>253</v>
      </c>
      <c r="AB547" t="s">
        <v>1</v>
      </c>
      <c r="AC547" s="235">
        <v>-300000</v>
      </c>
      <c r="AD547" s="235">
        <v>-1880.5786549754266</v>
      </c>
      <c r="AE547">
        <v>0</v>
      </c>
      <c r="AF547">
        <v>0</v>
      </c>
      <c r="AG547">
        <v>0</v>
      </c>
      <c r="AH547" s="235">
        <v>-251.49610176066835</v>
      </c>
      <c r="AI547">
        <v>226</v>
      </c>
      <c r="AJ547" t="s">
        <v>256</v>
      </c>
      <c r="AK547">
        <v>0</v>
      </c>
      <c r="AL547">
        <v>0</v>
      </c>
      <c r="AM547">
        <v>0</v>
      </c>
    </row>
    <row r="548" spans="1:39" x14ac:dyDescent="0.25">
      <c r="A548" t="s">
        <v>233</v>
      </c>
      <c r="B548" t="s">
        <v>531</v>
      </c>
      <c r="C548" t="s">
        <v>255</v>
      </c>
      <c r="D548" t="s">
        <v>234</v>
      </c>
      <c r="E548" t="s">
        <v>20</v>
      </c>
      <c r="F548" t="s">
        <v>284</v>
      </c>
      <c r="G548" t="s">
        <v>269</v>
      </c>
      <c r="H548" t="s">
        <v>254</v>
      </c>
      <c r="I548" t="s">
        <v>242</v>
      </c>
      <c r="J548" t="s">
        <v>235</v>
      </c>
      <c r="K548" s="380">
        <v>37681</v>
      </c>
      <c r="L548" s="235">
        <v>18360.191871967952</v>
      </c>
      <c r="M548" s="380">
        <v>37679</v>
      </c>
      <c r="N548" t="s">
        <v>21</v>
      </c>
      <c r="O548">
        <v>0.2</v>
      </c>
      <c r="P548">
        <v>0</v>
      </c>
      <c r="Q548">
        <v>0</v>
      </c>
      <c r="R548">
        <v>0</v>
      </c>
      <c r="S548">
        <v>0</v>
      </c>
      <c r="T548" t="s">
        <v>253</v>
      </c>
      <c r="U548" t="s">
        <v>600</v>
      </c>
      <c r="V548" t="s">
        <v>253</v>
      </c>
      <c r="W548" t="s">
        <v>132</v>
      </c>
      <c r="X548" t="s">
        <v>253</v>
      </c>
      <c r="Y548" t="s">
        <v>235</v>
      </c>
      <c r="Z548" t="s">
        <v>236</v>
      </c>
      <c r="AA548" t="s">
        <v>253</v>
      </c>
      <c r="AB548" t="s">
        <v>1</v>
      </c>
      <c r="AC548" s="235">
        <v>310000</v>
      </c>
      <c r="AD548" s="235">
        <v>7263.6318745350582</v>
      </c>
      <c r="AE548">
        <v>0</v>
      </c>
      <c r="AF548">
        <v>0</v>
      </c>
      <c r="AG548">
        <v>0</v>
      </c>
      <c r="AH548" s="235">
        <v>261.87480990168478</v>
      </c>
      <c r="AI548">
        <v>226</v>
      </c>
      <c r="AJ548" t="s">
        <v>256</v>
      </c>
      <c r="AK548">
        <v>0</v>
      </c>
      <c r="AL548">
        <v>0</v>
      </c>
      <c r="AM548">
        <v>0</v>
      </c>
    </row>
    <row r="549" spans="1:39" x14ac:dyDescent="0.25">
      <c r="A549" t="s">
        <v>233</v>
      </c>
      <c r="B549" t="s">
        <v>531</v>
      </c>
      <c r="C549" t="s">
        <v>255</v>
      </c>
      <c r="D549" t="s">
        <v>234</v>
      </c>
      <c r="E549" t="s">
        <v>20</v>
      </c>
      <c r="F549" t="s">
        <v>284</v>
      </c>
      <c r="G549" t="s">
        <v>269</v>
      </c>
      <c r="H549" t="s">
        <v>254</v>
      </c>
      <c r="I549" t="s">
        <v>242</v>
      </c>
      <c r="J549" t="s">
        <v>235</v>
      </c>
      <c r="K549" s="380">
        <v>37653</v>
      </c>
      <c r="L549" s="235">
        <v>18558.275410452661</v>
      </c>
      <c r="M549" s="380">
        <v>37651</v>
      </c>
      <c r="N549" t="s">
        <v>21</v>
      </c>
      <c r="O549">
        <v>0.2</v>
      </c>
      <c r="P549">
        <v>0</v>
      </c>
      <c r="Q549">
        <v>0</v>
      </c>
      <c r="R549">
        <v>0</v>
      </c>
      <c r="S549">
        <v>0</v>
      </c>
      <c r="T549" t="s">
        <v>253</v>
      </c>
      <c r="U549" t="s">
        <v>600</v>
      </c>
      <c r="V549" t="s">
        <v>253</v>
      </c>
      <c r="W549" t="s">
        <v>132</v>
      </c>
      <c r="X549" t="s">
        <v>253</v>
      </c>
      <c r="Y549" t="s">
        <v>235</v>
      </c>
      <c r="Z549" t="s">
        <v>236</v>
      </c>
      <c r="AA549" t="s">
        <v>253</v>
      </c>
      <c r="AB549" t="s">
        <v>1</v>
      </c>
      <c r="AC549" s="235">
        <v>280000</v>
      </c>
      <c r="AD549" s="235">
        <v>6812.5421181795682</v>
      </c>
      <c r="AE549">
        <v>0</v>
      </c>
      <c r="AF549">
        <v>0</v>
      </c>
      <c r="AG549">
        <v>0</v>
      </c>
      <c r="AH549" s="235">
        <v>238.82593789368184</v>
      </c>
      <c r="AI549">
        <v>226</v>
      </c>
      <c r="AJ549" t="s">
        <v>256</v>
      </c>
      <c r="AK549">
        <v>0</v>
      </c>
      <c r="AL549">
        <v>0</v>
      </c>
      <c r="AM549">
        <v>0</v>
      </c>
    </row>
    <row r="550" spans="1:39" x14ac:dyDescent="0.25">
      <c r="A550" t="s">
        <v>233</v>
      </c>
      <c r="B550" t="s">
        <v>531</v>
      </c>
      <c r="C550" t="s">
        <v>255</v>
      </c>
      <c r="D550" t="s">
        <v>234</v>
      </c>
      <c r="E550" t="s">
        <v>20</v>
      </c>
      <c r="F550" t="s">
        <v>284</v>
      </c>
      <c r="G550" t="s">
        <v>269</v>
      </c>
      <c r="H550" t="s">
        <v>254</v>
      </c>
      <c r="I550" t="s">
        <v>242</v>
      </c>
      <c r="J550" t="s">
        <v>235</v>
      </c>
      <c r="K550" s="380">
        <v>37622</v>
      </c>
      <c r="L550" s="235">
        <v>23745.856471562383</v>
      </c>
      <c r="M550" s="380">
        <v>37620</v>
      </c>
      <c r="N550" t="s">
        <v>21</v>
      </c>
      <c r="O550">
        <v>0.2</v>
      </c>
      <c r="P550">
        <v>0</v>
      </c>
      <c r="Q550">
        <v>0</v>
      </c>
      <c r="R550">
        <v>0</v>
      </c>
      <c r="S550">
        <v>0</v>
      </c>
      <c r="T550" t="s">
        <v>253</v>
      </c>
      <c r="U550" t="s">
        <v>600</v>
      </c>
      <c r="V550" t="s">
        <v>253</v>
      </c>
      <c r="W550" t="s">
        <v>132</v>
      </c>
      <c r="X550" t="s">
        <v>253</v>
      </c>
      <c r="Y550" t="s">
        <v>235</v>
      </c>
      <c r="Z550" t="s">
        <v>236</v>
      </c>
      <c r="AA550" t="s">
        <v>253</v>
      </c>
      <c r="AB550" t="s">
        <v>1</v>
      </c>
      <c r="AC550" s="235">
        <v>310000</v>
      </c>
      <c r="AD550" s="235">
        <v>7613.696270848508</v>
      </c>
      <c r="AE550">
        <v>0</v>
      </c>
      <c r="AF550">
        <v>0</v>
      </c>
      <c r="AG550">
        <v>0</v>
      </c>
      <c r="AH550" s="235">
        <v>266.95418374443398</v>
      </c>
      <c r="AI550">
        <v>226</v>
      </c>
      <c r="AJ550" t="s">
        <v>256</v>
      </c>
      <c r="AK550">
        <v>0</v>
      </c>
      <c r="AL550">
        <v>0</v>
      </c>
      <c r="AM550">
        <v>0</v>
      </c>
    </row>
    <row r="551" spans="1:39" x14ac:dyDescent="0.25">
      <c r="A551" t="s">
        <v>233</v>
      </c>
      <c r="B551" t="s">
        <v>531</v>
      </c>
      <c r="C551" t="s">
        <v>255</v>
      </c>
      <c r="D551" t="s">
        <v>234</v>
      </c>
      <c r="E551" t="s">
        <v>20</v>
      </c>
      <c r="F551" t="s">
        <v>284</v>
      </c>
      <c r="G551" t="s">
        <v>269</v>
      </c>
      <c r="H551" t="s">
        <v>254</v>
      </c>
      <c r="I551" t="s">
        <v>242</v>
      </c>
      <c r="J551" t="s">
        <v>235</v>
      </c>
      <c r="K551" s="380">
        <v>37591</v>
      </c>
      <c r="L551" s="235">
        <v>23133.474405313107</v>
      </c>
      <c r="M551" s="380">
        <v>37588</v>
      </c>
      <c r="N551" t="s">
        <v>21</v>
      </c>
      <c r="O551">
        <v>0.2</v>
      </c>
      <c r="P551">
        <v>0</v>
      </c>
      <c r="Q551">
        <v>0</v>
      </c>
      <c r="R551">
        <v>0</v>
      </c>
      <c r="S551">
        <v>0</v>
      </c>
      <c r="T551" t="s">
        <v>253</v>
      </c>
      <c r="U551" t="s">
        <v>600</v>
      </c>
      <c r="V551" t="s">
        <v>253</v>
      </c>
      <c r="W551" t="s">
        <v>132</v>
      </c>
      <c r="X551" t="s">
        <v>253</v>
      </c>
      <c r="Y551" t="s">
        <v>235</v>
      </c>
      <c r="Z551" t="s">
        <v>236</v>
      </c>
      <c r="AA551" t="s">
        <v>253</v>
      </c>
      <c r="AB551" t="s">
        <v>1</v>
      </c>
      <c r="AC551" s="235">
        <v>310000</v>
      </c>
      <c r="AD551" s="235">
        <v>7779.6470654402801</v>
      </c>
      <c r="AE551">
        <v>0</v>
      </c>
      <c r="AF551">
        <v>0</v>
      </c>
      <c r="AG551">
        <v>0</v>
      </c>
      <c r="AH551" s="235">
        <v>272.76853514030881</v>
      </c>
      <c r="AI551">
        <v>226</v>
      </c>
      <c r="AJ551" t="s">
        <v>256</v>
      </c>
      <c r="AK551">
        <v>0</v>
      </c>
      <c r="AL551">
        <v>0</v>
      </c>
      <c r="AM551">
        <v>0</v>
      </c>
    </row>
    <row r="552" spans="1:39" x14ac:dyDescent="0.25">
      <c r="A552" t="s">
        <v>233</v>
      </c>
      <c r="B552" t="s">
        <v>531</v>
      </c>
      <c r="C552" t="s">
        <v>255</v>
      </c>
      <c r="D552" t="s">
        <v>234</v>
      </c>
      <c r="E552" t="s">
        <v>20</v>
      </c>
      <c r="F552" t="s">
        <v>284</v>
      </c>
      <c r="G552" t="s">
        <v>269</v>
      </c>
      <c r="H552" t="s">
        <v>254</v>
      </c>
      <c r="I552" t="s">
        <v>242</v>
      </c>
      <c r="J552" t="s">
        <v>235</v>
      </c>
      <c r="K552" s="380">
        <v>37561</v>
      </c>
      <c r="L552" s="235">
        <v>17129.223639480788</v>
      </c>
      <c r="M552" s="380">
        <v>37559</v>
      </c>
      <c r="N552" t="s">
        <v>21</v>
      </c>
      <c r="O552">
        <v>0.2</v>
      </c>
      <c r="P552">
        <v>0</v>
      </c>
      <c r="Q552">
        <v>0</v>
      </c>
      <c r="R552">
        <v>0</v>
      </c>
      <c r="S552">
        <v>0</v>
      </c>
      <c r="T552" t="s">
        <v>253</v>
      </c>
      <c r="U552" t="s">
        <v>600</v>
      </c>
      <c r="V552" t="s">
        <v>253</v>
      </c>
      <c r="W552" t="s">
        <v>132</v>
      </c>
      <c r="X552" t="s">
        <v>253</v>
      </c>
      <c r="Y552" t="s">
        <v>235</v>
      </c>
      <c r="Z552" t="s">
        <v>236</v>
      </c>
      <c r="AA552" t="s">
        <v>253</v>
      </c>
      <c r="AB552" t="s">
        <v>1</v>
      </c>
      <c r="AC552" s="235">
        <v>300000</v>
      </c>
      <c r="AD552" s="235">
        <v>7043.9436361558182</v>
      </c>
      <c r="AE552">
        <v>0</v>
      </c>
      <c r="AF552">
        <v>0</v>
      </c>
      <c r="AG552">
        <v>0</v>
      </c>
      <c r="AH552" s="235">
        <v>246.91972742149301</v>
      </c>
      <c r="AI552">
        <v>226</v>
      </c>
      <c r="AJ552" t="s">
        <v>256</v>
      </c>
      <c r="AK552">
        <v>0</v>
      </c>
      <c r="AL552">
        <v>0</v>
      </c>
      <c r="AM552">
        <v>0</v>
      </c>
    </row>
    <row r="553" spans="1:39" x14ac:dyDescent="0.25">
      <c r="A553" t="s">
        <v>233</v>
      </c>
      <c r="B553" t="s">
        <v>532</v>
      </c>
      <c r="C553" t="s">
        <v>255</v>
      </c>
      <c r="D553" t="s">
        <v>234</v>
      </c>
      <c r="E553" t="s">
        <v>20</v>
      </c>
      <c r="F553" t="s">
        <v>279</v>
      </c>
      <c r="G553" t="s">
        <v>269</v>
      </c>
      <c r="H553" t="s">
        <v>254</v>
      </c>
      <c r="I553" t="s">
        <v>242</v>
      </c>
      <c r="J553" t="s">
        <v>235</v>
      </c>
      <c r="K553" s="380">
        <v>36951</v>
      </c>
      <c r="L553" s="235">
        <v>79936.771731607121</v>
      </c>
      <c r="M553" s="380">
        <v>36949</v>
      </c>
      <c r="N553" t="s">
        <v>21</v>
      </c>
      <c r="O553">
        <v>0.3</v>
      </c>
      <c r="P553">
        <v>0</v>
      </c>
      <c r="Q553">
        <v>0</v>
      </c>
      <c r="R553">
        <v>0</v>
      </c>
      <c r="S553">
        <v>0</v>
      </c>
      <c r="T553" t="s">
        <v>253</v>
      </c>
      <c r="U553" t="s">
        <v>190</v>
      </c>
      <c r="V553" t="s">
        <v>253</v>
      </c>
      <c r="W553" t="s">
        <v>132</v>
      </c>
      <c r="X553" t="s">
        <v>253</v>
      </c>
      <c r="Y553" t="s">
        <v>235</v>
      </c>
      <c r="Z553" t="s">
        <v>236</v>
      </c>
      <c r="AA553" t="s">
        <v>253</v>
      </c>
      <c r="AB553" t="s">
        <v>1</v>
      </c>
      <c r="AC553" s="235">
        <v>155000</v>
      </c>
      <c r="AD553" s="235">
        <v>11450.903464284725</v>
      </c>
      <c r="AE553">
        <v>0</v>
      </c>
      <c r="AF553">
        <v>0</v>
      </c>
      <c r="AG553">
        <v>0</v>
      </c>
      <c r="AH553" s="235">
        <v>-4981.9103853558481</v>
      </c>
      <c r="AI553">
        <v>226</v>
      </c>
      <c r="AJ553" t="s">
        <v>256</v>
      </c>
      <c r="AK553">
        <v>0</v>
      </c>
      <c r="AL553">
        <v>0</v>
      </c>
      <c r="AM553">
        <v>0</v>
      </c>
    </row>
    <row r="554" spans="1:39" x14ac:dyDescent="0.25">
      <c r="A554" t="s">
        <v>233</v>
      </c>
      <c r="B554" t="s">
        <v>532</v>
      </c>
      <c r="C554" t="s">
        <v>255</v>
      </c>
      <c r="D554" t="s">
        <v>234</v>
      </c>
      <c r="E554" t="s">
        <v>20</v>
      </c>
      <c r="F554" t="s">
        <v>279</v>
      </c>
      <c r="G554" t="s">
        <v>269</v>
      </c>
      <c r="H554" t="s">
        <v>254</v>
      </c>
      <c r="I554" t="s">
        <v>242</v>
      </c>
      <c r="J554" t="s">
        <v>235</v>
      </c>
      <c r="K554" s="380">
        <v>36923</v>
      </c>
      <c r="L554" s="235">
        <v>78361.234469032323</v>
      </c>
      <c r="M554" s="380">
        <v>36921</v>
      </c>
      <c r="N554" t="s">
        <v>21</v>
      </c>
      <c r="O554">
        <v>0.3</v>
      </c>
      <c r="P554">
        <v>0</v>
      </c>
      <c r="Q554">
        <v>0</v>
      </c>
      <c r="R554">
        <v>0</v>
      </c>
      <c r="S554">
        <v>0</v>
      </c>
      <c r="T554" t="s">
        <v>253</v>
      </c>
      <c r="U554" t="s">
        <v>190</v>
      </c>
      <c r="V554" t="s">
        <v>253</v>
      </c>
      <c r="W554" t="s">
        <v>132</v>
      </c>
      <c r="X554" t="s">
        <v>253</v>
      </c>
      <c r="Y554" t="s">
        <v>235</v>
      </c>
      <c r="Z554" t="s">
        <v>236</v>
      </c>
      <c r="AA554" t="s">
        <v>253</v>
      </c>
      <c r="AB554" t="s">
        <v>1</v>
      </c>
      <c r="AC554" s="235">
        <v>140000</v>
      </c>
      <c r="AD554" s="235">
        <v>10673.463241785837</v>
      </c>
      <c r="AE554">
        <v>0</v>
      </c>
      <c r="AF554">
        <v>0</v>
      </c>
      <c r="AG554">
        <v>0</v>
      </c>
      <c r="AH554" s="235">
        <v>-4522.9059541223542</v>
      </c>
      <c r="AI554">
        <v>226</v>
      </c>
      <c r="AJ554" t="s">
        <v>256</v>
      </c>
      <c r="AK554">
        <v>0</v>
      </c>
      <c r="AL554">
        <v>0</v>
      </c>
      <c r="AM554">
        <v>0</v>
      </c>
    </row>
    <row r="555" spans="1:39" x14ac:dyDescent="0.25">
      <c r="A555" t="s">
        <v>233</v>
      </c>
      <c r="B555" t="s">
        <v>532</v>
      </c>
      <c r="C555" t="s">
        <v>255</v>
      </c>
      <c r="D555" t="s">
        <v>234</v>
      </c>
      <c r="E555" t="s">
        <v>20</v>
      </c>
      <c r="F555" t="s">
        <v>279</v>
      </c>
      <c r="G555" t="s">
        <v>269</v>
      </c>
      <c r="H555" t="s">
        <v>254</v>
      </c>
      <c r="I555" t="s">
        <v>242</v>
      </c>
      <c r="J555" t="s">
        <v>235</v>
      </c>
      <c r="K555" s="380">
        <v>36892</v>
      </c>
      <c r="L555" s="235">
        <v>100493.61516475907</v>
      </c>
      <c r="M555" s="380">
        <v>36888</v>
      </c>
      <c r="N555" t="s">
        <v>21</v>
      </c>
      <c r="O555">
        <v>0.3</v>
      </c>
      <c r="P555">
        <v>0</v>
      </c>
      <c r="Q555">
        <v>0</v>
      </c>
      <c r="R555">
        <v>0</v>
      </c>
      <c r="S555">
        <v>0</v>
      </c>
      <c r="T555" t="s">
        <v>253</v>
      </c>
      <c r="U555" t="s">
        <v>190</v>
      </c>
      <c r="V555" t="s">
        <v>253</v>
      </c>
      <c r="W555" t="s">
        <v>132</v>
      </c>
      <c r="X555" t="s">
        <v>253</v>
      </c>
      <c r="Y555" t="s">
        <v>235</v>
      </c>
      <c r="Z555" t="s">
        <v>236</v>
      </c>
      <c r="AA555" t="s">
        <v>253</v>
      </c>
      <c r="AB555" t="s">
        <v>1</v>
      </c>
      <c r="AC555" s="235">
        <v>155000</v>
      </c>
      <c r="AD555" s="235">
        <v>10096.865995068554</v>
      </c>
      <c r="AE555">
        <v>0</v>
      </c>
      <c r="AF555">
        <v>0</v>
      </c>
      <c r="AG555">
        <v>0</v>
      </c>
      <c r="AH555" s="235">
        <v>-5575.1938648322393</v>
      </c>
      <c r="AI555">
        <v>226</v>
      </c>
      <c r="AJ555" t="s">
        <v>256</v>
      </c>
      <c r="AK555">
        <v>0</v>
      </c>
      <c r="AL555">
        <v>0</v>
      </c>
      <c r="AM555">
        <v>0</v>
      </c>
    </row>
    <row r="556" spans="1:39" x14ac:dyDescent="0.25">
      <c r="A556" t="s">
        <v>233</v>
      </c>
      <c r="B556" t="s">
        <v>532</v>
      </c>
      <c r="C556" t="s">
        <v>255</v>
      </c>
      <c r="D556" t="s">
        <v>234</v>
      </c>
      <c r="E556" t="s">
        <v>20</v>
      </c>
      <c r="F556" t="s">
        <v>279</v>
      </c>
      <c r="G556" t="s">
        <v>269</v>
      </c>
      <c r="H556" t="s">
        <v>254</v>
      </c>
      <c r="I556" t="s">
        <v>242</v>
      </c>
      <c r="J556" t="s">
        <v>235</v>
      </c>
      <c r="K556" s="380">
        <v>36861</v>
      </c>
      <c r="L556" s="235">
        <v>122763.29505225488</v>
      </c>
      <c r="M556" s="380">
        <v>36859</v>
      </c>
      <c r="N556" t="s">
        <v>21</v>
      </c>
      <c r="O556">
        <v>0.3</v>
      </c>
      <c r="P556">
        <v>0</v>
      </c>
      <c r="Q556">
        <v>0</v>
      </c>
      <c r="R556">
        <v>0</v>
      </c>
      <c r="S556">
        <v>0</v>
      </c>
      <c r="T556" t="s">
        <v>253</v>
      </c>
      <c r="U556" t="s">
        <v>190</v>
      </c>
      <c r="V556" t="s">
        <v>253</v>
      </c>
      <c r="W556" t="s">
        <v>132</v>
      </c>
      <c r="X556" t="s">
        <v>253</v>
      </c>
      <c r="Y556" t="s">
        <v>235</v>
      </c>
      <c r="Z556" t="s">
        <v>236</v>
      </c>
      <c r="AA556" t="s">
        <v>253</v>
      </c>
      <c r="AB556" t="s">
        <v>1</v>
      </c>
      <c r="AC556" s="235">
        <v>155000</v>
      </c>
      <c r="AD556" s="235">
        <v>7095.8171914744889</v>
      </c>
      <c r="AE556">
        <v>0</v>
      </c>
      <c r="AF556">
        <v>0</v>
      </c>
      <c r="AG556">
        <v>0</v>
      </c>
      <c r="AH556" s="235">
        <v>17867.55033788491</v>
      </c>
      <c r="AI556">
        <v>226</v>
      </c>
      <c r="AJ556" t="s">
        <v>256</v>
      </c>
      <c r="AK556">
        <v>0</v>
      </c>
      <c r="AL556">
        <v>0</v>
      </c>
      <c r="AM556">
        <v>0</v>
      </c>
    </row>
    <row r="557" spans="1:39" x14ac:dyDescent="0.25">
      <c r="A557" t="s">
        <v>233</v>
      </c>
      <c r="B557" t="s">
        <v>532</v>
      </c>
      <c r="C557" t="s">
        <v>255</v>
      </c>
      <c r="D557" t="s">
        <v>234</v>
      </c>
      <c r="E557" t="s">
        <v>20</v>
      </c>
      <c r="F557" t="s">
        <v>279</v>
      </c>
      <c r="G557" t="s">
        <v>269</v>
      </c>
      <c r="H557" t="s">
        <v>254</v>
      </c>
      <c r="I557" t="s">
        <v>242</v>
      </c>
      <c r="J557" t="s">
        <v>235</v>
      </c>
      <c r="K557" s="380">
        <v>36831</v>
      </c>
      <c r="L557" s="235">
        <v>186521.28572537468</v>
      </c>
      <c r="M557" s="380">
        <v>36829</v>
      </c>
      <c r="N557" t="s">
        <v>21</v>
      </c>
      <c r="O557">
        <v>0.3</v>
      </c>
      <c r="P557">
        <v>0</v>
      </c>
      <c r="Q557">
        <v>0</v>
      </c>
      <c r="R557">
        <v>0</v>
      </c>
      <c r="S557">
        <v>0</v>
      </c>
      <c r="T557" t="s">
        <v>253</v>
      </c>
      <c r="U557" t="s">
        <v>190</v>
      </c>
      <c r="V557" t="s">
        <v>253</v>
      </c>
      <c r="W557" t="s">
        <v>132</v>
      </c>
      <c r="X557" t="s">
        <v>253</v>
      </c>
      <c r="Y557" t="s">
        <v>235</v>
      </c>
      <c r="Z557" t="s">
        <v>236</v>
      </c>
      <c r="AA557" t="s">
        <v>253</v>
      </c>
      <c r="AB557" t="s">
        <v>1</v>
      </c>
      <c r="AC557" s="235">
        <v>150000</v>
      </c>
      <c r="AD557" s="235">
        <v>1843.7843771308835</v>
      </c>
      <c r="AE557">
        <v>0</v>
      </c>
      <c r="AF557">
        <v>0</v>
      </c>
      <c r="AG557">
        <v>0</v>
      </c>
      <c r="AH557" s="235">
        <v>29607.253897980787</v>
      </c>
      <c r="AI557">
        <v>226</v>
      </c>
      <c r="AJ557" t="s">
        <v>256</v>
      </c>
      <c r="AK557">
        <v>0</v>
      </c>
      <c r="AL557">
        <v>0</v>
      </c>
      <c r="AM557">
        <v>0</v>
      </c>
    </row>
    <row r="558" spans="1:39" x14ac:dyDescent="0.25">
      <c r="A558" t="s">
        <v>233</v>
      </c>
      <c r="B558" t="s">
        <v>533</v>
      </c>
      <c r="C558" t="s">
        <v>255</v>
      </c>
      <c r="D558" t="s">
        <v>234</v>
      </c>
      <c r="E558" t="s">
        <v>20</v>
      </c>
      <c r="F558" t="s">
        <v>383</v>
      </c>
      <c r="G558" t="s">
        <v>269</v>
      </c>
      <c r="H558" t="s">
        <v>254</v>
      </c>
      <c r="I558" t="s">
        <v>242</v>
      </c>
      <c r="J558" t="s">
        <v>235</v>
      </c>
      <c r="K558" s="380">
        <v>36800</v>
      </c>
      <c r="L558" s="235">
        <v>704826.68814687664</v>
      </c>
      <c r="M558" s="380">
        <v>36797</v>
      </c>
      <c r="N558" t="s">
        <v>21</v>
      </c>
      <c r="O558">
        <v>0.85</v>
      </c>
      <c r="P558">
        <v>0</v>
      </c>
      <c r="Q558">
        <v>0</v>
      </c>
      <c r="R558">
        <v>0</v>
      </c>
      <c r="S558">
        <v>0</v>
      </c>
      <c r="T558" t="s">
        <v>253</v>
      </c>
      <c r="U558" t="s">
        <v>190</v>
      </c>
      <c r="V558" t="s">
        <v>253</v>
      </c>
      <c r="W558" t="s">
        <v>132</v>
      </c>
      <c r="X558" t="s">
        <v>253</v>
      </c>
      <c r="Y558" t="s">
        <v>235</v>
      </c>
      <c r="Z558" t="s">
        <v>236</v>
      </c>
      <c r="AA558" t="s">
        <v>253</v>
      </c>
      <c r="AB558" t="s">
        <v>1</v>
      </c>
      <c r="AC558" s="235">
        <v>620000</v>
      </c>
      <c r="AD558" s="235">
        <v>2457.7646641560132</v>
      </c>
      <c r="AE558">
        <v>0</v>
      </c>
      <c r="AF558">
        <v>0</v>
      </c>
      <c r="AG558">
        <v>0</v>
      </c>
      <c r="AH558" s="235">
        <v>-24124.082175710006</v>
      </c>
      <c r="AI558">
        <v>226</v>
      </c>
      <c r="AJ558" t="s">
        <v>256</v>
      </c>
      <c r="AK558">
        <v>0</v>
      </c>
      <c r="AL558">
        <v>0</v>
      </c>
      <c r="AM558">
        <v>0</v>
      </c>
    </row>
    <row r="559" spans="1:39" x14ac:dyDescent="0.25">
      <c r="A559" t="s">
        <v>233</v>
      </c>
      <c r="B559" t="s">
        <v>533</v>
      </c>
      <c r="C559" t="s">
        <v>255</v>
      </c>
      <c r="D559" t="s">
        <v>234</v>
      </c>
      <c r="E559" t="s">
        <v>20</v>
      </c>
      <c r="F559" t="s">
        <v>383</v>
      </c>
      <c r="G559" t="s">
        <v>269</v>
      </c>
      <c r="H559" t="s">
        <v>254</v>
      </c>
      <c r="I559" t="s">
        <v>242</v>
      </c>
      <c r="J559" t="s">
        <v>235</v>
      </c>
      <c r="K559" s="380">
        <v>36770</v>
      </c>
      <c r="L559" s="235">
        <v>989635.82155485393</v>
      </c>
      <c r="M559" s="380">
        <v>36768</v>
      </c>
      <c r="N559" t="s">
        <v>21</v>
      </c>
      <c r="O559">
        <v>0.85</v>
      </c>
      <c r="P559">
        <v>0</v>
      </c>
      <c r="Q559">
        <v>0</v>
      </c>
      <c r="R559">
        <v>0</v>
      </c>
      <c r="S559">
        <v>0</v>
      </c>
      <c r="T559" t="s">
        <v>253</v>
      </c>
      <c r="U559" t="s">
        <v>190</v>
      </c>
      <c r="V559" t="s">
        <v>253</v>
      </c>
      <c r="W559" t="s">
        <v>132</v>
      </c>
      <c r="X559" t="s">
        <v>253</v>
      </c>
      <c r="Y559" t="s">
        <v>235</v>
      </c>
      <c r="Z559" t="s">
        <v>236</v>
      </c>
      <c r="AA559" t="s">
        <v>253</v>
      </c>
      <c r="AB559" t="s">
        <v>1</v>
      </c>
      <c r="AC559" s="235">
        <v>600000</v>
      </c>
      <c r="AD559" s="235">
        <v>-2.3941714782267809E-2</v>
      </c>
      <c r="AE559">
        <v>0</v>
      </c>
      <c r="AF559">
        <v>0</v>
      </c>
      <c r="AG559">
        <v>0</v>
      </c>
      <c r="AH559" s="235">
        <v>158853.89428187686</v>
      </c>
      <c r="AI559">
        <v>226</v>
      </c>
      <c r="AJ559" t="s">
        <v>256</v>
      </c>
      <c r="AK559">
        <v>0</v>
      </c>
      <c r="AL559">
        <v>0</v>
      </c>
      <c r="AM559">
        <v>0</v>
      </c>
    </row>
    <row r="560" spans="1:39" x14ac:dyDescent="0.25">
      <c r="A560" t="s">
        <v>233</v>
      </c>
      <c r="B560" t="s">
        <v>534</v>
      </c>
      <c r="C560" t="s">
        <v>255</v>
      </c>
      <c r="D560" t="s">
        <v>234</v>
      </c>
      <c r="E560" t="s">
        <v>20</v>
      </c>
      <c r="F560" t="s">
        <v>383</v>
      </c>
      <c r="G560" t="s">
        <v>269</v>
      </c>
      <c r="H560" t="s">
        <v>254</v>
      </c>
      <c r="I560" t="s">
        <v>242</v>
      </c>
      <c r="J560" t="s">
        <v>235</v>
      </c>
      <c r="K560" s="380">
        <v>36800</v>
      </c>
      <c r="L560" s="235">
        <v>-259.64811802429375</v>
      </c>
      <c r="M560" s="380">
        <v>36797</v>
      </c>
      <c r="N560" t="s">
        <v>1</v>
      </c>
      <c r="O560">
        <v>0.5</v>
      </c>
      <c r="P560">
        <v>0</v>
      </c>
      <c r="Q560">
        <v>0</v>
      </c>
      <c r="R560">
        <v>0</v>
      </c>
      <c r="S560">
        <v>0</v>
      </c>
      <c r="T560" t="s">
        <v>253</v>
      </c>
      <c r="U560" t="s">
        <v>190</v>
      </c>
      <c r="V560" t="s">
        <v>253</v>
      </c>
      <c r="W560" t="s">
        <v>132</v>
      </c>
      <c r="X560" t="s">
        <v>253</v>
      </c>
      <c r="Y560" t="s">
        <v>235</v>
      </c>
      <c r="Z560" t="s">
        <v>236</v>
      </c>
      <c r="AA560" t="s">
        <v>253</v>
      </c>
      <c r="AB560" t="s">
        <v>1</v>
      </c>
      <c r="AC560" s="235">
        <v>-620000</v>
      </c>
      <c r="AD560" s="235">
        <v>-477.20914112335572</v>
      </c>
      <c r="AE560">
        <v>0</v>
      </c>
      <c r="AF560">
        <v>0</v>
      </c>
      <c r="AG560">
        <v>0</v>
      </c>
      <c r="AH560" s="235">
        <v>-85.296631149986951</v>
      </c>
      <c r="AI560">
        <v>226</v>
      </c>
      <c r="AJ560" t="s">
        <v>256</v>
      </c>
      <c r="AK560">
        <v>0</v>
      </c>
      <c r="AL560">
        <v>0</v>
      </c>
      <c r="AM560">
        <v>0</v>
      </c>
    </row>
    <row r="561" spans="1:39" x14ac:dyDescent="0.25">
      <c r="A561" t="s">
        <v>233</v>
      </c>
      <c r="B561" t="s">
        <v>534</v>
      </c>
      <c r="C561" t="s">
        <v>255</v>
      </c>
      <c r="D561" t="s">
        <v>234</v>
      </c>
      <c r="E561" t="s">
        <v>20</v>
      </c>
      <c r="F561" t="s">
        <v>383</v>
      </c>
      <c r="G561" t="s">
        <v>269</v>
      </c>
      <c r="H561" t="s">
        <v>254</v>
      </c>
      <c r="I561" t="s">
        <v>242</v>
      </c>
      <c r="J561" t="s">
        <v>235</v>
      </c>
      <c r="K561" s="380">
        <v>36770</v>
      </c>
      <c r="L561" s="235">
        <v>-0.15730672567881854</v>
      </c>
      <c r="M561" s="380">
        <v>36768</v>
      </c>
      <c r="N561" t="s">
        <v>1</v>
      </c>
      <c r="O561">
        <v>0.5</v>
      </c>
      <c r="P561">
        <v>0</v>
      </c>
      <c r="Q561">
        <v>0</v>
      </c>
      <c r="R561">
        <v>0</v>
      </c>
      <c r="S561">
        <v>0</v>
      </c>
      <c r="T561" t="s">
        <v>253</v>
      </c>
      <c r="U561" t="s">
        <v>190</v>
      </c>
      <c r="V561" t="s">
        <v>253</v>
      </c>
      <c r="W561" t="s">
        <v>132</v>
      </c>
      <c r="X561" t="s">
        <v>253</v>
      </c>
      <c r="Y561" t="s">
        <v>235</v>
      </c>
      <c r="Z561" t="s">
        <v>236</v>
      </c>
      <c r="AA561" t="s">
        <v>253</v>
      </c>
      <c r="AB561" t="s">
        <v>1</v>
      </c>
      <c r="AC561" s="235">
        <v>-600000</v>
      </c>
      <c r="AD561" s="235">
        <v>2.3941714943909176E-2</v>
      </c>
      <c r="AE561">
        <v>0</v>
      </c>
      <c r="AF561">
        <v>0</v>
      </c>
      <c r="AG561">
        <v>0</v>
      </c>
      <c r="AH561" s="235">
        <v>-2.079806726840161E-2</v>
      </c>
      <c r="AI561">
        <v>226</v>
      </c>
      <c r="AJ561" t="s">
        <v>256</v>
      </c>
      <c r="AK561">
        <v>0</v>
      </c>
      <c r="AL561">
        <v>0</v>
      </c>
      <c r="AM561">
        <v>0</v>
      </c>
    </row>
    <row r="562" spans="1:39" x14ac:dyDescent="0.25">
      <c r="A562" t="s">
        <v>233</v>
      </c>
      <c r="B562" t="s">
        <v>535</v>
      </c>
      <c r="C562" t="s">
        <v>255</v>
      </c>
      <c r="D562" t="s">
        <v>234</v>
      </c>
      <c r="E562" t="s">
        <v>20</v>
      </c>
      <c r="F562" t="s">
        <v>383</v>
      </c>
      <c r="G562" t="s">
        <v>269</v>
      </c>
      <c r="H562" t="s">
        <v>254</v>
      </c>
      <c r="I562" t="s">
        <v>242</v>
      </c>
      <c r="J562" t="s">
        <v>235</v>
      </c>
      <c r="K562" s="380">
        <v>36800</v>
      </c>
      <c r="L562" s="235">
        <v>-64.912029506073438</v>
      </c>
      <c r="M562" s="380">
        <v>36797</v>
      </c>
      <c r="N562" t="s">
        <v>1</v>
      </c>
      <c r="O562">
        <v>0.5</v>
      </c>
      <c r="P562">
        <v>0</v>
      </c>
      <c r="Q562">
        <v>0</v>
      </c>
      <c r="R562">
        <v>0</v>
      </c>
      <c r="S562">
        <v>0</v>
      </c>
      <c r="T562" t="s">
        <v>253</v>
      </c>
      <c r="U562" t="s">
        <v>190</v>
      </c>
      <c r="V562" t="s">
        <v>253</v>
      </c>
      <c r="W562" t="s">
        <v>132</v>
      </c>
      <c r="X562" t="s">
        <v>253</v>
      </c>
      <c r="Y562" t="s">
        <v>235</v>
      </c>
      <c r="Z562" t="s">
        <v>236</v>
      </c>
      <c r="AA562" t="s">
        <v>253</v>
      </c>
      <c r="AB562" t="s">
        <v>1</v>
      </c>
      <c r="AC562" s="235">
        <v>-155000</v>
      </c>
      <c r="AD562" s="235">
        <v>-119.30228528083893</v>
      </c>
      <c r="AE562">
        <v>0</v>
      </c>
      <c r="AF562">
        <v>0</v>
      </c>
      <c r="AG562">
        <v>0</v>
      </c>
      <c r="AH562" s="235">
        <v>-21.324157787496738</v>
      </c>
      <c r="AI562">
        <v>226</v>
      </c>
      <c r="AJ562" t="s">
        <v>256</v>
      </c>
      <c r="AK562">
        <v>0</v>
      </c>
      <c r="AL562">
        <v>0</v>
      </c>
      <c r="AM562">
        <v>0</v>
      </c>
    </row>
    <row r="563" spans="1:39" x14ac:dyDescent="0.25">
      <c r="A563" t="s">
        <v>233</v>
      </c>
      <c r="B563" t="s">
        <v>535</v>
      </c>
      <c r="C563" t="s">
        <v>255</v>
      </c>
      <c r="D563" t="s">
        <v>234</v>
      </c>
      <c r="E563" t="s">
        <v>20</v>
      </c>
      <c r="F563" t="s">
        <v>383</v>
      </c>
      <c r="G563" t="s">
        <v>269</v>
      </c>
      <c r="H563" t="s">
        <v>254</v>
      </c>
      <c r="I563" t="s">
        <v>242</v>
      </c>
      <c r="J563" t="s">
        <v>235</v>
      </c>
      <c r="K563" s="380">
        <v>36770</v>
      </c>
      <c r="L563" s="235">
        <v>-3.9326681419704634E-2</v>
      </c>
      <c r="M563" s="380">
        <v>36768</v>
      </c>
      <c r="N563" t="s">
        <v>1</v>
      </c>
      <c r="O563">
        <v>0.5</v>
      </c>
      <c r="P563">
        <v>0</v>
      </c>
      <c r="Q563">
        <v>0</v>
      </c>
      <c r="R563">
        <v>0</v>
      </c>
      <c r="S563">
        <v>0</v>
      </c>
      <c r="T563" t="s">
        <v>253</v>
      </c>
      <c r="U563" t="s">
        <v>190</v>
      </c>
      <c r="V563" t="s">
        <v>253</v>
      </c>
      <c r="W563" t="s">
        <v>132</v>
      </c>
      <c r="X563" t="s">
        <v>253</v>
      </c>
      <c r="Y563" t="s">
        <v>235</v>
      </c>
      <c r="Z563" t="s">
        <v>236</v>
      </c>
      <c r="AA563" t="s">
        <v>253</v>
      </c>
      <c r="AB563" t="s">
        <v>1</v>
      </c>
      <c r="AC563" s="235">
        <v>-150000</v>
      </c>
      <c r="AD563" s="235">
        <v>5.985428735977294E-3</v>
      </c>
      <c r="AE563">
        <v>0</v>
      </c>
      <c r="AF563">
        <v>0</v>
      </c>
      <c r="AG563">
        <v>0</v>
      </c>
      <c r="AH563" s="235">
        <v>-5.1995168171004025E-3</v>
      </c>
      <c r="AI563">
        <v>226</v>
      </c>
      <c r="AJ563" t="s">
        <v>256</v>
      </c>
      <c r="AK563">
        <v>0</v>
      </c>
      <c r="AL563">
        <v>0</v>
      </c>
      <c r="AM563">
        <v>0</v>
      </c>
    </row>
    <row r="564" spans="1:39" x14ac:dyDescent="0.25">
      <c r="A564" t="s">
        <v>233</v>
      </c>
      <c r="B564" t="s">
        <v>536</v>
      </c>
      <c r="C564" t="s">
        <v>255</v>
      </c>
      <c r="D564" t="s">
        <v>234</v>
      </c>
      <c r="E564" t="s">
        <v>20</v>
      </c>
      <c r="F564" t="s">
        <v>286</v>
      </c>
      <c r="G564" t="s">
        <v>269</v>
      </c>
      <c r="H564" t="s">
        <v>254</v>
      </c>
      <c r="I564" t="s">
        <v>242</v>
      </c>
      <c r="J564" t="s">
        <v>235</v>
      </c>
      <c r="K564" s="380">
        <v>36800</v>
      </c>
      <c r="L564" s="235">
        <v>64.912029506073438</v>
      </c>
      <c r="M564" s="380">
        <v>36797</v>
      </c>
      <c r="N564" t="s">
        <v>1</v>
      </c>
      <c r="O564">
        <v>0.5</v>
      </c>
      <c r="P564">
        <v>0</v>
      </c>
      <c r="Q564">
        <v>0</v>
      </c>
      <c r="R564">
        <v>0</v>
      </c>
      <c r="S564">
        <v>0</v>
      </c>
      <c r="T564" t="s">
        <v>253</v>
      </c>
      <c r="U564" t="s">
        <v>190</v>
      </c>
      <c r="V564" t="s">
        <v>253</v>
      </c>
      <c r="W564" t="s">
        <v>132</v>
      </c>
      <c r="X564" t="s">
        <v>253</v>
      </c>
      <c r="Y564" t="s">
        <v>235</v>
      </c>
      <c r="Z564" t="s">
        <v>236</v>
      </c>
      <c r="AA564" t="s">
        <v>253</v>
      </c>
      <c r="AB564" t="s">
        <v>1</v>
      </c>
      <c r="AC564" s="235">
        <v>155000</v>
      </c>
      <c r="AD564" s="235">
        <v>119.30228528083893</v>
      </c>
      <c r="AE564">
        <v>0</v>
      </c>
      <c r="AF564">
        <v>0</v>
      </c>
      <c r="AG564">
        <v>0</v>
      </c>
      <c r="AH564" s="235">
        <v>21.324157787496738</v>
      </c>
      <c r="AI564">
        <v>226</v>
      </c>
      <c r="AJ564" t="s">
        <v>256</v>
      </c>
      <c r="AK564">
        <v>0</v>
      </c>
      <c r="AL564">
        <v>0</v>
      </c>
      <c r="AM564">
        <v>0</v>
      </c>
    </row>
    <row r="565" spans="1:39" x14ac:dyDescent="0.25">
      <c r="A565" t="s">
        <v>233</v>
      </c>
      <c r="B565" t="s">
        <v>536</v>
      </c>
      <c r="C565" t="s">
        <v>255</v>
      </c>
      <c r="D565" t="s">
        <v>234</v>
      </c>
      <c r="E565" t="s">
        <v>20</v>
      </c>
      <c r="F565" t="s">
        <v>286</v>
      </c>
      <c r="G565" t="s">
        <v>269</v>
      </c>
      <c r="H565" t="s">
        <v>254</v>
      </c>
      <c r="I565" t="s">
        <v>242</v>
      </c>
      <c r="J565" t="s">
        <v>235</v>
      </c>
      <c r="K565" s="380">
        <v>36770</v>
      </c>
      <c r="L565" s="235">
        <v>3.9326681419704634E-2</v>
      </c>
      <c r="M565" s="380">
        <v>36768</v>
      </c>
      <c r="N565" t="s">
        <v>1</v>
      </c>
      <c r="O565">
        <v>0.5</v>
      </c>
      <c r="P565">
        <v>0</v>
      </c>
      <c r="Q565">
        <v>0</v>
      </c>
      <c r="R565">
        <v>0</v>
      </c>
      <c r="S565">
        <v>0</v>
      </c>
      <c r="T565" t="s">
        <v>253</v>
      </c>
      <c r="U565" t="s">
        <v>190</v>
      </c>
      <c r="V565" t="s">
        <v>253</v>
      </c>
      <c r="W565" t="s">
        <v>132</v>
      </c>
      <c r="X565" t="s">
        <v>253</v>
      </c>
      <c r="Y565" t="s">
        <v>235</v>
      </c>
      <c r="Z565" t="s">
        <v>236</v>
      </c>
      <c r="AA565" t="s">
        <v>253</v>
      </c>
      <c r="AB565" t="s">
        <v>1</v>
      </c>
      <c r="AC565" s="235">
        <v>150000</v>
      </c>
      <c r="AD565" s="235">
        <v>-5.985428735977294E-3</v>
      </c>
      <c r="AE565">
        <v>0</v>
      </c>
      <c r="AF565">
        <v>0</v>
      </c>
      <c r="AG565">
        <v>0</v>
      </c>
      <c r="AH565" s="235">
        <v>5.1995168171004025E-3</v>
      </c>
      <c r="AI565">
        <v>226</v>
      </c>
      <c r="AJ565" t="s">
        <v>256</v>
      </c>
      <c r="AK565">
        <v>0</v>
      </c>
      <c r="AL565">
        <v>0</v>
      </c>
      <c r="AM565">
        <v>0</v>
      </c>
    </row>
    <row r="566" spans="1:39" x14ac:dyDescent="0.25">
      <c r="A566" t="s">
        <v>233</v>
      </c>
      <c r="B566" t="s">
        <v>537</v>
      </c>
      <c r="C566" t="s">
        <v>255</v>
      </c>
      <c r="D566" t="s">
        <v>234</v>
      </c>
      <c r="E566" t="s">
        <v>20</v>
      </c>
      <c r="F566" t="s">
        <v>279</v>
      </c>
      <c r="G566" t="s">
        <v>269</v>
      </c>
      <c r="H566" t="s">
        <v>254</v>
      </c>
      <c r="I566" t="s">
        <v>242</v>
      </c>
      <c r="J566" t="s">
        <v>235</v>
      </c>
      <c r="K566" s="380">
        <v>36951</v>
      </c>
      <c r="L566" s="235">
        <v>79936.771731607121</v>
      </c>
      <c r="M566" s="380">
        <v>36949</v>
      </c>
      <c r="N566" t="s">
        <v>21</v>
      </c>
      <c r="O566">
        <v>0.3</v>
      </c>
      <c r="P566">
        <v>0</v>
      </c>
      <c r="Q566">
        <v>0</v>
      </c>
      <c r="R566">
        <v>0</v>
      </c>
      <c r="S566">
        <v>0</v>
      </c>
      <c r="T566" t="s">
        <v>253</v>
      </c>
      <c r="U566" t="s">
        <v>190</v>
      </c>
      <c r="V566" t="s">
        <v>253</v>
      </c>
      <c r="W566" t="s">
        <v>132</v>
      </c>
      <c r="X566" t="s">
        <v>253</v>
      </c>
      <c r="Y566" t="s">
        <v>235</v>
      </c>
      <c r="Z566" t="s">
        <v>236</v>
      </c>
      <c r="AA566" t="s">
        <v>253</v>
      </c>
      <c r="AB566" t="s">
        <v>1</v>
      </c>
      <c r="AC566" s="235">
        <v>155000</v>
      </c>
      <c r="AD566" s="235">
        <v>11450.903464284725</v>
      </c>
      <c r="AE566">
        <v>0</v>
      </c>
      <c r="AF566">
        <v>0</v>
      </c>
      <c r="AG566">
        <v>0</v>
      </c>
      <c r="AH566" s="235">
        <v>-4981.9103853558481</v>
      </c>
      <c r="AI566">
        <v>226</v>
      </c>
      <c r="AJ566" t="s">
        <v>256</v>
      </c>
      <c r="AK566">
        <v>0</v>
      </c>
      <c r="AL566">
        <v>0</v>
      </c>
      <c r="AM566">
        <v>0</v>
      </c>
    </row>
    <row r="567" spans="1:39" x14ac:dyDescent="0.25">
      <c r="A567" t="s">
        <v>233</v>
      </c>
      <c r="B567" t="s">
        <v>537</v>
      </c>
      <c r="C567" t="s">
        <v>255</v>
      </c>
      <c r="D567" t="s">
        <v>234</v>
      </c>
      <c r="E567" t="s">
        <v>20</v>
      </c>
      <c r="F567" t="s">
        <v>279</v>
      </c>
      <c r="G567" t="s">
        <v>269</v>
      </c>
      <c r="H567" t="s">
        <v>254</v>
      </c>
      <c r="I567" t="s">
        <v>242</v>
      </c>
      <c r="J567" t="s">
        <v>235</v>
      </c>
      <c r="K567" s="380">
        <v>36923</v>
      </c>
      <c r="L567" s="235">
        <v>78361.234469032323</v>
      </c>
      <c r="M567" s="380">
        <v>36921</v>
      </c>
      <c r="N567" t="s">
        <v>21</v>
      </c>
      <c r="O567">
        <v>0.3</v>
      </c>
      <c r="P567">
        <v>0</v>
      </c>
      <c r="Q567">
        <v>0</v>
      </c>
      <c r="R567">
        <v>0</v>
      </c>
      <c r="S567">
        <v>0</v>
      </c>
      <c r="T567" t="s">
        <v>253</v>
      </c>
      <c r="U567" t="s">
        <v>190</v>
      </c>
      <c r="V567" t="s">
        <v>253</v>
      </c>
      <c r="W567" t="s">
        <v>132</v>
      </c>
      <c r="X567" t="s">
        <v>253</v>
      </c>
      <c r="Y567" t="s">
        <v>235</v>
      </c>
      <c r="Z567" t="s">
        <v>236</v>
      </c>
      <c r="AA567" t="s">
        <v>253</v>
      </c>
      <c r="AB567" t="s">
        <v>1</v>
      </c>
      <c r="AC567" s="235">
        <v>140000</v>
      </c>
      <c r="AD567" s="235">
        <v>10673.463241785837</v>
      </c>
      <c r="AE567">
        <v>0</v>
      </c>
      <c r="AF567">
        <v>0</v>
      </c>
      <c r="AG567">
        <v>0</v>
      </c>
      <c r="AH567" s="235">
        <v>-4522.9059541223542</v>
      </c>
      <c r="AI567">
        <v>226</v>
      </c>
      <c r="AJ567" t="s">
        <v>256</v>
      </c>
      <c r="AK567">
        <v>0</v>
      </c>
      <c r="AL567">
        <v>0</v>
      </c>
      <c r="AM567">
        <v>0</v>
      </c>
    </row>
    <row r="568" spans="1:39" x14ac:dyDescent="0.25">
      <c r="A568" t="s">
        <v>233</v>
      </c>
      <c r="B568" t="s">
        <v>537</v>
      </c>
      <c r="C568" t="s">
        <v>255</v>
      </c>
      <c r="D568" t="s">
        <v>234</v>
      </c>
      <c r="E568" t="s">
        <v>20</v>
      </c>
      <c r="F568" t="s">
        <v>279</v>
      </c>
      <c r="G568" t="s">
        <v>269</v>
      </c>
      <c r="H568" t="s">
        <v>254</v>
      </c>
      <c r="I568" t="s">
        <v>242</v>
      </c>
      <c r="J568" t="s">
        <v>235</v>
      </c>
      <c r="K568" s="380">
        <v>36892</v>
      </c>
      <c r="L568" s="235">
        <v>100493.61516475907</v>
      </c>
      <c r="M568" s="380">
        <v>36888</v>
      </c>
      <c r="N568" t="s">
        <v>21</v>
      </c>
      <c r="O568">
        <v>0.3</v>
      </c>
      <c r="P568">
        <v>0</v>
      </c>
      <c r="Q568">
        <v>0</v>
      </c>
      <c r="R568">
        <v>0</v>
      </c>
      <c r="S568">
        <v>0</v>
      </c>
      <c r="T568" t="s">
        <v>253</v>
      </c>
      <c r="U568" t="s">
        <v>190</v>
      </c>
      <c r="V568" t="s">
        <v>253</v>
      </c>
      <c r="W568" t="s">
        <v>132</v>
      </c>
      <c r="X568" t="s">
        <v>253</v>
      </c>
      <c r="Y568" t="s">
        <v>235</v>
      </c>
      <c r="Z568" t="s">
        <v>236</v>
      </c>
      <c r="AA568" t="s">
        <v>253</v>
      </c>
      <c r="AB568" t="s">
        <v>1</v>
      </c>
      <c r="AC568" s="235">
        <v>155000</v>
      </c>
      <c r="AD568" s="235">
        <v>10096.865995068554</v>
      </c>
      <c r="AE568">
        <v>0</v>
      </c>
      <c r="AF568">
        <v>0</v>
      </c>
      <c r="AG568">
        <v>0</v>
      </c>
      <c r="AH568" s="235">
        <v>-5575.1938648322393</v>
      </c>
      <c r="AI568">
        <v>226</v>
      </c>
      <c r="AJ568" t="s">
        <v>256</v>
      </c>
      <c r="AK568">
        <v>0</v>
      </c>
      <c r="AL568">
        <v>0</v>
      </c>
      <c r="AM568">
        <v>0</v>
      </c>
    </row>
    <row r="569" spans="1:39" x14ac:dyDescent="0.25">
      <c r="A569" t="s">
        <v>233</v>
      </c>
      <c r="B569" t="s">
        <v>537</v>
      </c>
      <c r="C569" t="s">
        <v>255</v>
      </c>
      <c r="D569" t="s">
        <v>234</v>
      </c>
      <c r="E569" t="s">
        <v>20</v>
      </c>
      <c r="F569" t="s">
        <v>279</v>
      </c>
      <c r="G569" t="s">
        <v>269</v>
      </c>
      <c r="H569" t="s">
        <v>254</v>
      </c>
      <c r="I569" t="s">
        <v>242</v>
      </c>
      <c r="J569" t="s">
        <v>235</v>
      </c>
      <c r="K569" s="380">
        <v>36861</v>
      </c>
      <c r="L569" s="235">
        <v>122763.29505225488</v>
      </c>
      <c r="M569" s="380">
        <v>36859</v>
      </c>
      <c r="N569" t="s">
        <v>21</v>
      </c>
      <c r="O569">
        <v>0.3</v>
      </c>
      <c r="P569">
        <v>0</v>
      </c>
      <c r="Q569">
        <v>0</v>
      </c>
      <c r="R569">
        <v>0</v>
      </c>
      <c r="S569">
        <v>0</v>
      </c>
      <c r="T569" t="s">
        <v>253</v>
      </c>
      <c r="U569" t="s">
        <v>190</v>
      </c>
      <c r="V569" t="s">
        <v>253</v>
      </c>
      <c r="W569" t="s">
        <v>132</v>
      </c>
      <c r="X569" t="s">
        <v>253</v>
      </c>
      <c r="Y569" t="s">
        <v>235</v>
      </c>
      <c r="Z569" t="s">
        <v>236</v>
      </c>
      <c r="AA569" t="s">
        <v>253</v>
      </c>
      <c r="AB569" t="s">
        <v>1</v>
      </c>
      <c r="AC569" s="235">
        <v>155000</v>
      </c>
      <c r="AD569" s="235">
        <v>7095.8171914744889</v>
      </c>
      <c r="AE569">
        <v>0</v>
      </c>
      <c r="AF569">
        <v>0</v>
      </c>
      <c r="AG569">
        <v>0</v>
      </c>
      <c r="AH569" s="235">
        <v>17867.55033788491</v>
      </c>
      <c r="AI569">
        <v>226</v>
      </c>
      <c r="AJ569" t="s">
        <v>256</v>
      </c>
      <c r="AK569">
        <v>0</v>
      </c>
      <c r="AL569">
        <v>0</v>
      </c>
      <c r="AM569">
        <v>0</v>
      </c>
    </row>
    <row r="570" spans="1:39" x14ac:dyDescent="0.25">
      <c r="A570" t="s">
        <v>233</v>
      </c>
      <c r="B570" t="s">
        <v>537</v>
      </c>
      <c r="C570" t="s">
        <v>255</v>
      </c>
      <c r="D570" t="s">
        <v>234</v>
      </c>
      <c r="E570" t="s">
        <v>20</v>
      </c>
      <c r="F570" t="s">
        <v>279</v>
      </c>
      <c r="G570" t="s">
        <v>269</v>
      </c>
      <c r="H570" t="s">
        <v>254</v>
      </c>
      <c r="I570" t="s">
        <v>242</v>
      </c>
      <c r="J570" t="s">
        <v>235</v>
      </c>
      <c r="K570" s="380">
        <v>36831</v>
      </c>
      <c r="L570" s="235">
        <v>186521.28572537468</v>
      </c>
      <c r="M570" s="380">
        <v>36829</v>
      </c>
      <c r="N570" t="s">
        <v>21</v>
      </c>
      <c r="O570">
        <v>0.3</v>
      </c>
      <c r="P570">
        <v>0</v>
      </c>
      <c r="Q570">
        <v>0</v>
      </c>
      <c r="R570">
        <v>0</v>
      </c>
      <c r="S570">
        <v>0</v>
      </c>
      <c r="T570" t="s">
        <v>253</v>
      </c>
      <c r="U570" t="s">
        <v>190</v>
      </c>
      <c r="V570" t="s">
        <v>253</v>
      </c>
      <c r="W570" t="s">
        <v>132</v>
      </c>
      <c r="X570" t="s">
        <v>253</v>
      </c>
      <c r="Y570" t="s">
        <v>235</v>
      </c>
      <c r="Z570" t="s">
        <v>236</v>
      </c>
      <c r="AA570" t="s">
        <v>253</v>
      </c>
      <c r="AB570" t="s">
        <v>1</v>
      </c>
      <c r="AC570" s="235">
        <v>150000</v>
      </c>
      <c r="AD570" s="235">
        <v>1843.7843771308835</v>
      </c>
      <c r="AE570">
        <v>0</v>
      </c>
      <c r="AF570">
        <v>0</v>
      </c>
      <c r="AG570">
        <v>0</v>
      </c>
      <c r="AH570" s="235">
        <v>29607.253897980787</v>
      </c>
      <c r="AI570">
        <v>226</v>
      </c>
      <c r="AJ570" t="s">
        <v>256</v>
      </c>
      <c r="AK570">
        <v>0</v>
      </c>
      <c r="AL570">
        <v>0</v>
      </c>
      <c r="AM570">
        <v>0</v>
      </c>
    </row>
    <row r="571" spans="1:39" x14ac:dyDescent="0.25">
      <c r="A571" t="s">
        <v>233</v>
      </c>
      <c r="B571" t="s">
        <v>538</v>
      </c>
      <c r="C571" t="s">
        <v>255</v>
      </c>
      <c r="D571" t="s">
        <v>234</v>
      </c>
      <c r="E571" t="s">
        <v>20</v>
      </c>
      <c r="F571" t="s">
        <v>281</v>
      </c>
      <c r="G571" t="s">
        <v>269</v>
      </c>
      <c r="H571" t="s">
        <v>254</v>
      </c>
      <c r="I571" t="s">
        <v>242</v>
      </c>
      <c r="J571" t="s">
        <v>235</v>
      </c>
      <c r="K571" s="380">
        <v>36800</v>
      </c>
      <c r="L571" s="235">
        <v>-18892.863722379498</v>
      </c>
      <c r="M571" s="380">
        <v>36797</v>
      </c>
      <c r="N571" t="s">
        <v>1</v>
      </c>
      <c r="O571">
        <v>0.3</v>
      </c>
      <c r="P571">
        <v>0</v>
      </c>
      <c r="Q571">
        <v>0</v>
      </c>
      <c r="R571">
        <v>0</v>
      </c>
      <c r="S571">
        <v>0</v>
      </c>
      <c r="T571" t="s">
        <v>253</v>
      </c>
      <c r="U571" t="s">
        <v>7</v>
      </c>
      <c r="V571" t="s">
        <v>253</v>
      </c>
      <c r="W571" t="s">
        <v>132</v>
      </c>
      <c r="X571" t="s">
        <v>253</v>
      </c>
      <c r="Y571" t="s">
        <v>235</v>
      </c>
      <c r="Z571" t="s">
        <v>236</v>
      </c>
      <c r="AA571" t="s">
        <v>253</v>
      </c>
      <c r="AB571" t="s">
        <v>1</v>
      </c>
      <c r="AC571" s="235">
        <v>-2550000</v>
      </c>
      <c r="AD571" s="235">
        <v>-9981.0159070852678</v>
      </c>
      <c r="AE571">
        <v>0</v>
      </c>
      <c r="AF571">
        <v>0</v>
      </c>
      <c r="AG571">
        <v>0</v>
      </c>
      <c r="AH571" s="235">
        <v>-577.90997187603352</v>
      </c>
      <c r="AI571">
        <v>226</v>
      </c>
      <c r="AJ571" t="s">
        <v>256</v>
      </c>
      <c r="AK571">
        <v>0</v>
      </c>
      <c r="AL571">
        <v>0</v>
      </c>
      <c r="AM571">
        <v>0</v>
      </c>
    </row>
    <row r="572" spans="1:39" x14ac:dyDescent="0.25">
      <c r="A572" t="s">
        <v>233</v>
      </c>
      <c r="B572" t="s">
        <v>539</v>
      </c>
      <c r="C572" t="s">
        <v>255</v>
      </c>
      <c r="D572" t="s">
        <v>234</v>
      </c>
      <c r="E572" t="s">
        <v>20</v>
      </c>
      <c r="F572" t="s">
        <v>279</v>
      </c>
      <c r="G572" t="s">
        <v>269</v>
      </c>
      <c r="H572" t="s">
        <v>254</v>
      </c>
      <c r="I572" t="s">
        <v>242</v>
      </c>
      <c r="J572" t="s">
        <v>235</v>
      </c>
      <c r="K572" s="380">
        <v>36800</v>
      </c>
      <c r="L572" s="235">
        <v>1284011.8782300358</v>
      </c>
      <c r="M572" s="380">
        <v>36797</v>
      </c>
      <c r="N572" t="s">
        <v>21</v>
      </c>
      <c r="O572">
        <v>0.7</v>
      </c>
      <c r="P572">
        <v>0</v>
      </c>
      <c r="Q572">
        <v>0</v>
      </c>
      <c r="R572">
        <v>0</v>
      </c>
      <c r="S572">
        <v>0</v>
      </c>
      <c r="T572" t="s">
        <v>253</v>
      </c>
      <c r="U572" t="s">
        <v>190</v>
      </c>
      <c r="V572" t="s">
        <v>253</v>
      </c>
      <c r="W572" t="s">
        <v>132</v>
      </c>
      <c r="X572" t="s">
        <v>253</v>
      </c>
      <c r="Y572" t="s">
        <v>235</v>
      </c>
      <c r="Z572" t="s">
        <v>236</v>
      </c>
      <c r="AA572" t="s">
        <v>253</v>
      </c>
      <c r="AB572" t="s">
        <v>1</v>
      </c>
      <c r="AC572" s="235">
        <v>1000000</v>
      </c>
      <c r="AD572" s="235">
        <v>2074.1200928376056</v>
      </c>
      <c r="AE572">
        <v>0</v>
      </c>
      <c r="AF572">
        <v>0</v>
      </c>
      <c r="AG572">
        <v>0</v>
      </c>
      <c r="AH572" s="235">
        <v>-39343.318791308207</v>
      </c>
      <c r="AI572">
        <v>226</v>
      </c>
      <c r="AJ572" t="s">
        <v>256</v>
      </c>
      <c r="AK572">
        <v>0</v>
      </c>
      <c r="AL572">
        <v>0</v>
      </c>
      <c r="AM572">
        <v>0</v>
      </c>
    </row>
    <row r="573" spans="1:39" x14ac:dyDescent="0.25">
      <c r="A573" t="s">
        <v>233</v>
      </c>
      <c r="B573" t="s">
        <v>539</v>
      </c>
      <c r="C573" t="s">
        <v>255</v>
      </c>
      <c r="D573" t="s">
        <v>234</v>
      </c>
      <c r="E573" t="s">
        <v>20</v>
      </c>
      <c r="F573" t="s">
        <v>279</v>
      </c>
      <c r="G573" t="s">
        <v>269</v>
      </c>
      <c r="H573" t="s">
        <v>254</v>
      </c>
      <c r="I573" t="s">
        <v>242</v>
      </c>
      <c r="J573" t="s">
        <v>235</v>
      </c>
      <c r="K573" s="380">
        <v>36770</v>
      </c>
      <c r="L573" s="235">
        <v>1799337.8573699414</v>
      </c>
      <c r="M573" s="380">
        <v>36768</v>
      </c>
      <c r="N573" t="s">
        <v>21</v>
      </c>
      <c r="O573">
        <v>0.7</v>
      </c>
      <c r="P573">
        <v>0</v>
      </c>
      <c r="Q573">
        <v>0</v>
      </c>
      <c r="R573">
        <v>0</v>
      </c>
      <c r="S573">
        <v>0</v>
      </c>
      <c r="T573" t="s">
        <v>253</v>
      </c>
      <c r="U573" t="s">
        <v>190</v>
      </c>
      <c r="V573" t="s">
        <v>253</v>
      </c>
      <c r="W573" t="s">
        <v>132</v>
      </c>
      <c r="X573" t="s">
        <v>253</v>
      </c>
      <c r="Y573" t="s">
        <v>235</v>
      </c>
      <c r="Z573" t="s">
        <v>236</v>
      </c>
      <c r="AA573" t="s">
        <v>253</v>
      </c>
      <c r="AB573" t="s">
        <v>1</v>
      </c>
      <c r="AC573" s="235">
        <v>1000000</v>
      </c>
      <c r="AD573" s="235">
        <v>-3.9902859949506819E-2</v>
      </c>
      <c r="AE573">
        <v>0</v>
      </c>
      <c r="AF573">
        <v>0</v>
      </c>
      <c r="AG573">
        <v>0</v>
      </c>
      <c r="AH573" s="235">
        <v>264756.49046982755</v>
      </c>
      <c r="AI573">
        <v>226</v>
      </c>
      <c r="AJ573" t="s">
        <v>256</v>
      </c>
      <c r="AK573">
        <v>0</v>
      </c>
      <c r="AL573">
        <v>0</v>
      </c>
      <c r="AM573">
        <v>0</v>
      </c>
    </row>
    <row r="574" spans="1:39" x14ac:dyDescent="0.25">
      <c r="A574" t="s">
        <v>233</v>
      </c>
      <c r="B574" t="s">
        <v>540</v>
      </c>
      <c r="C574" t="s">
        <v>255</v>
      </c>
      <c r="D574" t="s">
        <v>234</v>
      </c>
      <c r="E574" t="s">
        <v>20</v>
      </c>
      <c r="F574" t="s">
        <v>286</v>
      </c>
      <c r="G574" t="s">
        <v>269</v>
      </c>
      <c r="H574" t="s">
        <v>254</v>
      </c>
      <c r="I574" t="s">
        <v>242</v>
      </c>
      <c r="J574" t="s">
        <v>235</v>
      </c>
      <c r="K574" s="380">
        <v>36800</v>
      </c>
      <c r="L574" s="235">
        <v>-64.912029506073438</v>
      </c>
      <c r="M574" s="380">
        <v>36797</v>
      </c>
      <c r="N574" t="s">
        <v>1</v>
      </c>
      <c r="O574">
        <v>0.5</v>
      </c>
      <c r="P574">
        <v>0</v>
      </c>
      <c r="Q574">
        <v>0</v>
      </c>
      <c r="R574">
        <v>0</v>
      </c>
      <c r="S574">
        <v>0</v>
      </c>
      <c r="T574" t="s">
        <v>253</v>
      </c>
      <c r="U574" t="s">
        <v>190</v>
      </c>
      <c r="V574" t="s">
        <v>253</v>
      </c>
      <c r="W574" t="s">
        <v>132</v>
      </c>
      <c r="X574" t="s">
        <v>253</v>
      </c>
      <c r="Y574" t="s">
        <v>235</v>
      </c>
      <c r="Z574" t="s">
        <v>236</v>
      </c>
      <c r="AA574" t="s">
        <v>253</v>
      </c>
      <c r="AB574" t="s">
        <v>1</v>
      </c>
      <c r="AC574" s="235">
        <v>-155000</v>
      </c>
      <c r="AD574" s="235">
        <v>-119.30228528083893</v>
      </c>
      <c r="AE574">
        <v>0</v>
      </c>
      <c r="AF574">
        <v>0</v>
      </c>
      <c r="AG574">
        <v>0</v>
      </c>
      <c r="AH574" s="235">
        <v>-21.324157787496738</v>
      </c>
      <c r="AI574">
        <v>226</v>
      </c>
      <c r="AJ574" t="s">
        <v>256</v>
      </c>
      <c r="AK574">
        <v>0</v>
      </c>
      <c r="AL574">
        <v>0</v>
      </c>
      <c r="AM574">
        <v>0</v>
      </c>
    </row>
    <row r="575" spans="1:39" x14ac:dyDescent="0.25">
      <c r="A575" t="s">
        <v>233</v>
      </c>
      <c r="B575" t="s">
        <v>540</v>
      </c>
      <c r="C575" t="s">
        <v>255</v>
      </c>
      <c r="D575" t="s">
        <v>234</v>
      </c>
      <c r="E575" t="s">
        <v>20</v>
      </c>
      <c r="F575" t="s">
        <v>286</v>
      </c>
      <c r="G575" t="s">
        <v>269</v>
      </c>
      <c r="H575" t="s">
        <v>254</v>
      </c>
      <c r="I575" t="s">
        <v>242</v>
      </c>
      <c r="J575" t="s">
        <v>235</v>
      </c>
      <c r="K575" s="380">
        <v>36770</v>
      </c>
      <c r="L575" s="235">
        <v>-3.9326681419704634E-2</v>
      </c>
      <c r="M575" s="380">
        <v>36768</v>
      </c>
      <c r="N575" t="s">
        <v>1</v>
      </c>
      <c r="O575">
        <v>0.5</v>
      </c>
      <c r="P575">
        <v>0</v>
      </c>
      <c r="Q575">
        <v>0</v>
      </c>
      <c r="R575">
        <v>0</v>
      </c>
      <c r="S575">
        <v>0</v>
      </c>
      <c r="T575" t="s">
        <v>253</v>
      </c>
      <c r="U575" t="s">
        <v>190</v>
      </c>
      <c r="V575" t="s">
        <v>253</v>
      </c>
      <c r="W575" t="s">
        <v>132</v>
      </c>
      <c r="X575" t="s">
        <v>253</v>
      </c>
      <c r="Y575" t="s">
        <v>235</v>
      </c>
      <c r="Z575" t="s">
        <v>236</v>
      </c>
      <c r="AA575" t="s">
        <v>253</v>
      </c>
      <c r="AB575" t="s">
        <v>1</v>
      </c>
      <c r="AC575" s="235">
        <v>-150000</v>
      </c>
      <c r="AD575" s="235">
        <v>5.985428735977294E-3</v>
      </c>
      <c r="AE575">
        <v>0</v>
      </c>
      <c r="AF575">
        <v>0</v>
      </c>
      <c r="AG575">
        <v>0</v>
      </c>
      <c r="AH575" s="235">
        <v>-5.1995168171004025E-3</v>
      </c>
      <c r="AI575">
        <v>226</v>
      </c>
      <c r="AJ575" t="s">
        <v>256</v>
      </c>
      <c r="AK575">
        <v>0</v>
      </c>
      <c r="AL575">
        <v>0</v>
      </c>
      <c r="AM575">
        <v>0</v>
      </c>
    </row>
    <row r="576" spans="1:39" x14ac:dyDescent="0.25">
      <c r="A576" t="s">
        <v>233</v>
      </c>
      <c r="B576" t="s">
        <v>541</v>
      </c>
      <c r="C576" t="s">
        <v>255</v>
      </c>
      <c r="D576" t="s">
        <v>234</v>
      </c>
      <c r="E576" t="s">
        <v>20</v>
      </c>
      <c r="F576" t="s">
        <v>480</v>
      </c>
      <c r="G576" t="s">
        <v>269</v>
      </c>
      <c r="H576" t="s">
        <v>254</v>
      </c>
      <c r="I576" t="s">
        <v>242</v>
      </c>
      <c r="J576" t="s">
        <v>235</v>
      </c>
      <c r="K576" s="380">
        <v>36831</v>
      </c>
      <c r="L576" s="235">
        <v>-2325.0787793726668</v>
      </c>
      <c r="M576" s="380">
        <v>36829</v>
      </c>
      <c r="N576" t="s">
        <v>21</v>
      </c>
      <c r="O576">
        <v>0.15</v>
      </c>
      <c r="P576">
        <v>0</v>
      </c>
      <c r="Q576">
        <v>0</v>
      </c>
      <c r="R576">
        <v>0</v>
      </c>
      <c r="S576">
        <v>0</v>
      </c>
      <c r="T576" t="s">
        <v>253</v>
      </c>
      <c r="U576" t="s">
        <v>600</v>
      </c>
      <c r="V576" t="s">
        <v>253</v>
      </c>
      <c r="W576" t="s">
        <v>132</v>
      </c>
      <c r="X576" t="s">
        <v>253</v>
      </c>
      <c r="Y576" t="s">
        <v>235</v>
      </c>
      <c r="Z576" t="s">
        <v>236</v>
      </c>
      <c r="AA576" t="s">
        <v>253</v>
      </c>
      <c r="AB576" t="s">
        <v>1</v>
      </c>
      <c r="AC576" s="235">
        <v>-150000</v>
      </c>
      <c r="AD576" s="235">
        <v>-867.49113473248872</v>
      </c>
      <c r="AE576">
        <v>0</v>
      </c>
      <c r="AF576">
        <v>0</v>
      </c>
      <c r="AG576">
        <v>0</v>
      </c>
      <c r="AH576" s="235">
        <v>-46.798107837798852</v>
      </c>
      <c r="AI576">
        <v>226</v>
      </c>
      <c r="AJ576" t="s">
        <v>256</v>
      </c>
      <c r="AK576">
        <v>0</v>
      </c>
      <c r="AL576">
        <v>0</v>
      </c>
      <c r="AM576">
        <v>0</v>
      </c>
    </row>
    <row r="577" spans="1:39" x14ac:dyDescent="0.25">
      <c r="A577" t="s">
        <v>233</v>
      </c>
      <c r="B577" t="s">
        <v>541</v>
      </c>
      <c r="C577" t="s">
        <v>255</v>
      </c>
      <c r="D577" t="s">
        <v>234</v>
      </c>
      <c r="E577" t="s">
        <v>20</v>
      </c>
      <c r="F577" t="s">
        <v>480</v>
      </c>
      <c r="G577" t="s">
        <v>269</v>
      </c>
      <c r="H577" t="s">
        <v>254</v>
      </c>
      <c r="I577" t="s">
        <v>242</v>
      </c>
      <c r="J577" t="s">
        <v>235</v>
      </c>
      <c r="K577" s="380">
        <v>36861</v>
      </c>
      <c r="L577" s="235">
        <v>-4237.9759780882996</v>
      </c>
      <c r="M577" s="380">
        <v>36859</v>
      </c>
      <c r="N577" t="s">
        <v>21</v>
      </c>
      <c r="O577">
        <v>0.15</v>
      </c>
      <c r="P577">
        <v>0</v>
      </c>
      <c r="Q577">
        <v>0</v>
      </c>
      <c r="R577">
        <v>0</v>
      </c>
      <c r="S577">
        <v>0</v>
      </c>
      <c r="T577" t="s">
        <v>253</v>
      </c>
      <c r="U577" t="s">
        <v>600</v>
      </c>
      <c r="V577" t="s">
        <v>253</v>
      </c>
      <c r="W577" t="s">
        <v>132</v>
      </c>
      <c r="X577" t="s">
        <v>253</v>
      </c>
      <c r="Y577" t="s">
        <v>235</v>
      </c>
      <c r="Z577" t="s">
        <v>236</v>
      </c>
      <c r="AA577" t="s">
        <v>253</v>
      </c>
      <c r="AB577" t="s">
        <v>1</v>
      </c>
      <c r="AC577" s="235">
        <v>-155000</v>
      </c>
      <c r="AD577" s="235">
        <v>-1228.2878879359778</v>
      </c>
      <c r="AE577">
        <v>0</v>
      </c>
      <c r="AF577">
        <v>0</v>
      </c>
      <c r="AG577">
        <v>0</v>
      </c>
      <c r="AH577" s="235">
        <v>-61.840770430051634</v>
      </c>
      <c r="AI577">
        <v>226</v>
      </c>
      <c r="AJ577" t="s">
        <v>256</v>
      </c>
      <c r="AK577">
        <v>0</v>
      </c>
      <c r="AL577">
        <v>0</v>
      </c>
      <c r="AM577">
        <v>0</v>
      </c>
    </row>
    <row r="578" spans="1:39" x14ac:dyDescent="0.25">
      <c r="A578" t="s">
        <v>233</v>
      </c>
      <c r="B578" t="s">
        <v>541</v>
      </c>
      <c r="C578" t="s">
        <v>255</v>
      </c>
      <c r="D578" t="s">
        <v>234</v>
      </c>
      <c r="E578" t="s">
        <v>20</v>
      </c>
      <c r="F578" t="s">
        <v>480</v>
      </c>
      <c r="G578" t="s">
        <v>269</v>
      </c>
      <c r="H578" t="s">
        <v>254</v>
      </c>
      <c r="I578" t="s">
        <v>242</v>
      </c>
      <c r="J578" t="s">
        <v>235</v>
      </c>
      <c r="K578" s="380">
        <v>36892</v>
      </c>
      <c r="L578" s="235">
        <v>-6897.971815951083</v>
      </c>
      <c r="M578" s="380">
        <v>36888</v>
      </c>
      <c r="N578" t="s">
        <v>21</v>
      </c>
      <c r="O578">
        <v>0.15</v>
      </c>
      <c r="P578">
        <v>0</v>
      </c>
      <c r="Q578">
        <v>0</v>
      </c>
      <c r="R578">
        <v>0</v>
      </c>
      <c r="S578">
        <v>0</v>
      </c>
      <c r="T578" t="s">
        <v>253</v>
      </c>
      <c r="U578" t="s">
        <v>600</v>
      </c>
      <c r="V578" t="s">
        <v>253</v>
      </c>
      <c r="W578" t="s">
        <v>132</v>
      </c>
      <c r="X578" t="s">
        <v>253</v>
      </c>
      <c r="Y578" t="s">
        <v>235</v>
      </c>
      <c r="Z578" t="s">
        <v>236</v>
      </c>
      <c r="AA578" t="s">
        <v>253</v>
      </c>
      <c r="AB578" t="s">
        <v>1</v>
      </c>
      <c r="AC578" s="235">
        <v>-155000</v>
      </c>
      <c r="AD578" s="235">
        <v>-1505.7268318002316</v>
      </c>
      <c r="AE578">
        <v>0</v>
      </c>
      <c r="AF578">
        <v>0</v>
      </c>
      <c r="AG578">
        <v>0</v>
      </c>
      <c r="AH578" s="235">
        <v>-72.470487094463351</v>
      </c>
      <c r="AI578">
        <v>226</v>
      </c>
      <c r="AJ578" t="s">
        <v>256</v>
      </c>
      <c r="AK578">
        <v>0</v>
      </c>
      <c r="AL578">
        <v>0</v>
      </c>
      <c r="AM578">
        <v>0</v>
      </c>
    </row>
    <row r="579" spans="1:39" x14ac:dyDescent="0.25">
      <c r="A579" t="s">
        <v>233</v>
      </c>
      <c r="B579" t="s">
        <v>541</v>
      </c>
      <c r="C579" t="s">
        <v>255</v>
      </c>
      <c r="D579" t="s">
        <v>234</v>
      </c>
      <c r="E579" t="s">
        <v>20</v>
      </c>
      <c r="F579" t="s">
        <v>480</v>
      </c>
      <c r="G579" t="s">
        <v>269</v>
      </c>
      <c r="H579" t="s">
        <v>254</v>
      </c>
      <c r="I579" t="s">
        <v>242</v>
      </c>
      <c r="J579" t="s">
        <v>235</v>
      </c>
      <c r="K579" s="380">
        <v>36923</v>
      </c>
      <c r="L579" s="235">
        <v>-7249.0512804040436</v>
      </c>
      <c r="M579" s="380">
        <v>36921</v>
      </c>
      <c r="N579" t="s">
        <v>21</v>
      </c>
      <c r="O579">
        <v>0.15</v>
      </c>
      <c r="P579">
        <v>0</v>
      </c>
      <c r="Q579">
        <v>0</v>
      </c>
      <c r="R579">
        <v>0</v>
      </c>
      <c r="S579">
        <v>0</v>
      </c>
      <c r="T579" t="s">
        <v>253</v>
      </c>
      <c r="U579" t="s">
        <v>600</v>
      </c>
      <c r="V579" t="s">
        <v>253</v>
      </c>
      <c r="W579" t="s">
        <v>132</v>
      </c>
      <c r="X579" t="s">
        <v>253</v>
      </c>
      <c r="Y579" t="s">
        <v>235</v>
      </c>
      <c r="Z579" t="s">
        <v>236</v>
      </c>
      <c r="AA579" t="s">
        <v>253</v>
      </c>
      <c r="AB579" t="s">
        <v>1</v>
      </c>
      <c r="AC579" s="235">
        <v>-140000</v>
      </c>
      <c r="AD579" s="235">
        <v>-1494.3356124464408</v>
      </c>
      <c r="AE579">
        <v>0</v>
      </c>
      <c r="AF579">
        <v>0</v>
      </c>
      <c r="AG579">
        <v>0</v>
      </c>
      <c r="AH579" s="235">
        <v>-71.719198747144219</v>
      </c>
      <c r="AI579">
        <v>226</v>
      </c>
      <c r="AJ579" t="s">
        <v>256</v>
      </c>
      <c r="AK579">
        <v>0</v>
      </c>
      <c r="AL579">
        <v>0</v>
      </c>
      <c r="AM579">
        <v>0</v>
      </c>
    </row>
    <row r="580" spans="1:39" x14ac:dyDescent="0.25">
      <c r="A580" t="s">
        <v>233</v>
      </c>
      <c r="B580" t="s">
        <v>541</v>
      </c>
      <c r="C580" t="s">
        <v>255</v>
      </c>
      <c r="D580" t="s">
        <v>234</v>
      </c>
      <c r="E580" t="s">
        <v>20</v>
      </c>
      <c r="F580" t="s">
        <v>480</v>
      </c>
      <c r="G580" t="s">
        <v>269</v>
      </c>
      <c r="H580" t="s">
        <v>254</v>
      </c>
      <c r="I580" t="s">
        <v>242</v>
      </c>
      <c r="J580" t="s">
        <v>235</v>
      </c>
      <c r="K580" s="380">
        <v>36951</v>
      </c>
      <c r="L580" s="235">
        <v>-6333.0737802828908</v>
      </c>
      <c r="M580" s="380">
        <v>36949</v>
      </c>
      <c r="N580" t="s">
        <v>21</v>
      </c>
      <c r="O580">
        <v>0.15</v>
      </c>
      <c r="P580">
        <v>0</v>
      </c>
      <c r="Q580">
        <v>0</v>
      </c>
      <c r="R580">
        <v>0</v>
      </c>
      <c r="S580">
        <v>0</v>
      </c>
      <c r="T580" t="s">
        <v>253</v>
      </c>
      <c r="U580" t="s">
        <v>600</v>
      </c>
      <c r="V580" t="s">
        <v>253</v>
      </c>
      <c r="W580" t="s">
        <v>132</v>
      </c>
      <c r="X580" t="s">
        <v>253</v>
      </c>
      <c r="Y580" t="s">
        <v>235</v>
      </c>
      <c r="Z580" t="s">
        <v>236</v>
      </c>
      <c r="AA580" t="s">
        <v>253</v>
      </c>
      <c r="AB580" t="s">
        <v>1</v>
      </c>
      <c r="AC580" s="235">
        <v>-155000</v>
      </c>
      <c r="AD580" s="235">
        <v>-1573.5896138254684</v>
      </c>
      <c r="AE580">
        <v>0</v>
      </c>
      <c r="AF580">
        <v>0</v>
      </c>
      <c r="AG580">
        <v>0</v>
      </c>
      <c r="AH580" s="235">
        <v>-80.025168464565468</v>
      </c>
      <c r="AI580">
        <v>226</v>
      </c>
      <c r="AJ580" t="s">
        <v>256</v>
      </c>
      <c r="AK580">
        <v>0</v>
      </c>
      <c r="AL580">
        <v>0</v>
      </c>
      <c r="AM580">
        <v>0</v>
      </c>
    </row>
    <row r="581" spans="1:39" x14ac:dyDescent="0.25">
      <c r="A581" t="s">
        <v>233</v>
      </c>
      <c r="B581" t="s">
        <v>542</v>
      </c>
      <c r="C581" t="s">
        <v>255</v>
      </c>
      <c r="D581" t="s">
        <v>234</v>
      </c>
      <c r="E581" t="s">
        <v>20</v>
      </c>
      <c r="F581" t="s">
        <v>268</v>
      </c>
      <c r="G581" t="s">
        <v>269</v>
      </c>
      <c r="H581" t="s">
        <v>254</v>
      </c>
      <c r="I581" t="s">
        <v>242</v>
      </c>
      <c r="J581" t="s">
        <v>235</v>
      </c>
      <c r="K581" s="380">
        <v>36831</v>
      </c>
      <c r="L581" s="235">
        <v>-15472.032358583445</v>
      </c>
      <c r="M581" s="380">
        <v>36829</v>
      </c>
      <c r="N581" t="s">
        <v>21</v>
      </c>
      <c r="O581">
        <v>-0.15</v>
      </c>
      <c r="P581">
        <v>0</v>
      </c>
      <c r="Q581">
        <v>0</v>
      </c>
      <c r="R581">
        <v>0</v>
      </c>
      <c r="S581">
        <v>0</v>
      </c>
      <c r="T581" t="s">
        <v>253</v>
      </c>
      <c r="U581" t="s">
        <v>6</v>
      </c>
      <c r="V581" t="s">
        <v>253</v>
      </c>
      <c r="W581" t="s">
        <v>132</v>
      </c>
      <c r="X581" t="s">
        <v>253</v>
      </c>
      <c r="Y581" t="s">
        <v>235</v>
      </c>
      <c r="Z581" t="s">
        <v>236</v>
      </c>
      <c r="AA581" t="s">
        <v>253</v>
      </c>
      <c r="AB581" t="s">
        <v>1</v>
      </c>
      <c r="AC581" s="235">
        <v>-300000</v>
      </c>
      <c r="AD581" s="235">
        <v>-2778.2610331360193</v>
      </c>
      <c r="AE581">
        <v>0</v>
      </c>
      <c r="AF581">
        <v>0</v>
      </c>
      <c r="AG581">
        <v>0</v>
      </c>
      <c r="AH581" s="235">
        <v>244.76982637145011</v>
      </c>
      <c r="AI581">
        <v>226</v>
      </c>
      <c r="AJ581" t="s">
        <v>256</v>
      </c>
      <c r="AK581">
        <v>0</v>
      </c>
      <c r="AL581">
        <v>0</v>
      </c>
      <c r="AM581">
        <v>0</v>
      </c>
    </row>
    <row r="582" spans="1:39" x14ac:dyDescent="0.25">
      <c r="A582" t="s">
        <v>233</v>
      </c>
      <c r="B582" t="s">
        <v>542</v>
      </c>
      <c r="C582" t="s">
        <v>255</v>
      </c>
      <c r="D582" t="s">
        <v>234</v>
      </c>
      <c r="E582" t="s">
        <v>20</v>
      </c>
      <c r="F582" t="s">
        <v>268</v>
      </c>
      <c r="G582" t="s">
        <v>269</v>
      </c>
      <c r="H582" t="s">
        <v>254</v>
      </c>
      <c r="I582" t="s">
        <v>242</v>
      </c>
      <c r="J582" t="s">
        <v>235</v>
      </c>
      <c r="K582" s="380">
        <v>36861</v>
      </c>
      <c r="L582" s="235">
        <v>-17886.749890787269</v>
      </c>
      <c r="M582" s="380">
        <v>36859</v>
      </c>
      <c r="N582" t="s">
        <v>21</v>
      </c>
      <c r="O582">
        <v>-0.15</v>
      </c>
      <c r="P582">
        <v>0</v>
      </c>
      <c r="Q582">
        <v>0</v>
      </c>
      <c r="R582">
        <v>0</v>
      </c>
      <c r="S582">
        <v>0</v>
      </c>
      <c r="T582" t="s">
        <v>253</v>
      </c>
      <c r="U582" t="s">
        <v>6</v>
      </c>
      <c r="V582" t="s">
        <v>253</v>
      </c>
      <c r="W582" t="s">
        <v>132</v>
      </c>
      <c r="X582" t="s">
        <v>253</v>
      </c>
      <c r="Y582" t="s">
        <v>235</v>
      </c>
      <c r="Z582" t="s">
        <v>236</v>
      </c>
      <c r="AA582" t="s">
        <v>253</v>
      </c>
      <c r="AB582" t="s">
        <v>1</v>
      </c>
      <c r="AC582" s="235">
        <v>-310000</v>
      </c>
      <c r="AD582" s="235">
        <v>-3504.0933946185105</v>
      </c>
      <c r="AE582">
        <v>0</v>
      </c>
      <c r="AF582">
        <v>0</v>
      </c>
      <c r="AG582">
        <v>0</v>
      </c>
      <c r="AH582" s="235">
        <v>204.76711357450404</v>
      </c>
      <c r="AI582">
        <v>226</v>
      </c>
      <c r="AJ582" t="s">
        <v>256</v>
      </c>
      <c r="AK582">
        <v>0</v>
      </c>
      <c r="AL582">
        <v>0</v>
      </c>
      <c r="AM582">
        <v>0</v>
      </c>
    </row>
    <row r="583" spans="1:39" x14ac:dyDescent="0.25">
      <c r="A583" t="s">
        <v>233</v>
      </c>
      <c r="B583" t="s">
        <v>542</v>
      </c>
      <c r="C583" t="s">
        <v>255</v>
      </c>
      <c r="D583" t="s">
        <v>234</v>
      </c>
      <c r="E583" t="s">
        <v>20</v>
      </c>
      <c r="F583" t="s">
        <v>268</v>
      </c>
      <c r="G583" t="s">
        <v>269</v>
      </c>
      <c r="H583" t="s">
        <v>254</v>
      </c>
      <c r="I583" t="s">
        <v>242</v>
      </c>
      <c r="J583" t="s">
        <v>235</v>
      </c>
      <c r="K583" s="380">
        <v>36892</v>
      </c>
      <c r="L583" s="235">
        <v>-19275.139662017253</v>
      </c>
      <c r="M583" s="380">
        <v>36888</v>
      </c>
      <c r="N583" t="s">
        <v>21</v>
      </c>
      <c r="O583">
        <v>-0.15</v>
      </c>
      <c r="P583">
        <v>0</v>
      </c>
      <c r="Q583">
        <v>0</v>
      </c>
      <c r="R583">
        <v>0</v>
      </c>
      <c r="S583">
        <v>0</v>
      </c>
      <c r="T583" t="s">
        <v>253</v>
      </c>
      <c r="U583" t="s">
        <v>6</v>
      </c>
      <c r="V583" t="s">
        <v>253</v>
      </c>
      <c r="W583" t="s">
        <v>132</v>
      </c>
      <c r="X583" t="s">
        <v>253</v>
      </c>
      <c r="Y583" t="s">
        <v>235</v>
      </c>
      <c r="Z583" t="s">
        <v>236</v>
      </c>
      <c r="AA583" t="s">
        <v>253</v>
      </c>
      <c r="AB583" t="s">
        <v>1</v>
      </c>
      <c r="AC583" s="235">
        <v>-310000</v>
      </c>
      <c r="AD583" s="235">
        <v>-4010.4928775268199</v>
      </c>
      <c r="AE583">
        <v>0</v>
      </c>
      <c r="AF583">
        <v>0</v>
      </c>
      <c r="AG583">
        <v>0</v>
      </c>
      <c r="AH583" s="235">
        <v>173.38633505591861</v>
      </c>
      <c r="AI583">
        <v>226</v>
      </c>
      <c r="AJ583" t="s">
        <v>256</v>
      </c>
      <c r="AK583">
        <v>0</v>
      </c>
      <c r="AL583">
        <v>0</v>
      </c>
      <c r="AM583">
        <v>0</v>
      </c>
    </row>
    <row r="584" spans="1:39" x14ac:dyDescent="0.25">
      <c r="A584" t="s">
        <v>233</v>
      </c>
      <c r="B584" t="s">
        <v>542</v>
      </c>
      <c r="C584" t="s">
        <v>255</v>
      </c>
      <c r="D584" t="s">
        <v>234</v>
      </c>
      <c r="E584" t="s">
        <v>20</v>
      </c>
      <c r="F584" t="s">
        <v>268</v>
      </c>
      <c r="G584" t="s">
        <v>269</v>
      </c>
      <c r="H584" t="s">
        <v>254</v>
      </c>
      <c r="I584" t="s">
        <v>242</v>
      </c>
      <c r="J584" t="s">
        <v>235</v>
      </c>
      <c r="K584" s="380">
        <v>36923</v>
      </c>
      <c r="L584" s="235">
        <v>-20191.238005208488</v>
      </c>
      <c r="M584" s="380">
        <v>36921</v>
      </c>
      <c r="N584" t="s">
        <v>21</v>
      </c>
      <c r="O584">
        <v>-0.15</v>
      </c>
      <c r="P584">
        <v>0</v>
      </c>
      <c r="Q584">
        <v>0</v>
      </c>
      <c r="R584">
        <v>0</v>
      </c>
      <c r="S584">
        <v>0</v>
      </c>
      <c r="T584" t="s">
        <v>253</v>
      </c>
      <c r="U584" t="s">
        <v>6</v>
      </c>
      <c r="V584" t="s">
        <v>253</v>
      </c>
      <c r="W584" t="s">
        <v>132</v>
      </c>
      <c r="X584" t="s">
        <v>253</v>
      </c>
      <c r="Y584" t="s">
        <v>235</v>
      </c>
      <c r="Z584" t="s">
        <v>236</v>
      </c>
      <c r="AA584" t="s">
        <v>253</v>
      </c>
      <c r="AB584" t="s">
        <v>1</v>
      </c>
      <c r="AC584" s="235">
        <v>-280000</v>
      </c>
      <c r="AD584" s="235">
        <v>-3962.986921349715</v>
      </c>
      <c r="AE584">
        <v>0</v>
      </c>
      <c r="AF584">
        <v>0</v>
      </c>
      <c r="AG584">
        <v>0</v>
      </c>
      <c r="AH584" s="235">
        <v>162.15663969589514</v>
      </c>
      <c r="AI584">
        <v>226</v>
      </c>
      <c r="AJ584" t="s">
        <v>256</v>
      </c>
      <c r="AK584">
        <v>0</v>
      </c>
      <c r="AL584">
        <v>0</v>
      </c>
      <c r="AM584">
        <v>0</v>
      </c>
    </row>
    <row r="585" spans="1:39" x14ac:dyDescent="0.25">
      <c r="A585" t="s">
        <v>233</v>
      </c>
      <c r="B585" t="s">
        <v>542</v>
      </c>
      <c r="C585" t="s">
        <v>255</v>
      </c>
      <c r="D585" t="s">
        <v>234</v>
      </c>
      <c r="E585" t="s">
        <v>20</v>
      </c>
      <c r="F585" t="s">
        <v>268</v>
      </c>
      <c r="G585" t="s">
        <v>269</v>
      </c>
      <c r="H585" t="s">
        <v>254</v>
      </c>
      <c r="I585" t="s">
        <v>242</v>
      </c>
      <c r="J585" t="s">
        <v>235</v>
      </c>
      <c r="K585" s="380">
        <v>36951</v>
      </c>
      <c r="L585" s="235">
        <v>-21768.742178494114</v>
      </c>
      <c r="M585" s="380">
        <v>36949</v>
      </c>
      <c r="N585" t="s">
        <v>21</v>
      </c>
      <c r="O585">
        <v>-0.15</v>
      </c>
      <c r="P585">
        <v>0</v>
      </c>
      <c r="Q585">
        <v>0</v>
      </c>
      <c r="R585">
        <v>0</v>
      </c>
      <c r="S585">
        <v>0</v>
      </c>
      <c r="T585" t="s">
        <v>253</v>
      </c>
      <c r="U585" t="s">
        <v>6</v>
      </c>
      <c r="V585" t="s">
        <v>253</v>
      </c>
      <c r="W585" t="s">
        <v>132</v>
      </c>
      <c r="X585" t="s">
        <v>253</v>
      </c>
      <c r="Y585" t="s">
        <v>235</v>
      </c>
      <c r="Z585" t="s">
        <v>236</v>
      </c>
      <c r="AA585" t="s">
        <v>253</v>
      </c>
      <c r="AB585" t="s">
        <v>1</v>
      </c>
      <c r="AC585" s="235">
        <v>-310000</v>
      </c>
      <c r="AD585" s="235">
        <v>-4228.2440711008094</v>
      </c>
      <c r="AE585">
        <v>0</v>
      </c>
      <c r="AF585">
        <v>0</v>
      </c>
      <c r="AG585">
        <v>0</v>
      </c>
      <c r="AH585" s="235">
        <v>187.05531626224547</v>
      </c>
      <c r="AI585">
        <v>226</v>
      </c>
      <c r="AJ585" t="s">
        <v>256</v>
      </c>
      <c r="AK585">
        <v>0</v>
      </c>
      <c r="AL585">
        <v>0</v>
      </c>
      <c r="AM585">
        <v>0</v>
      </c>
    </row>
    <row r="586" spans="1:39" x14ac:dyDescent="0.25">
      <c r="A586" t="s">
        <v>233</v>
      </c>
      <c r="B586" t="s">
        <v>550</v>
      </c>
      <c r="C586" t="s">
        <v>255</v>
      </c>
      <c r="D586" t="s">
        <v>234</v>
      </c>
      <c r="E586" t="s">
        <v>20</v>
      </c>
      <c r="F586" t="s">
        <v>279</v>
      </c>
      <c r="G586" t="s">
        <v>269</v>
      </c>
      <c r="H586" t="s">
        <v>254</v>
      </c>
      <c r="I586" t="s">
        <v>242</v>
      </c>
      <c r="J586" t="s">
        <v>235</v>
      </c>
      <c r="K586" s="380">
        <v>36831</v>
      </c>
      <c r="L586" s="235">
        <v>198874.73875827627</v>
      </c>
      <c r="M586" s="380">
        <v>36829</v>
      </c>
      <c r="N586" t="s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 t="s">
        <v>253</v>
      </c>
      <c r="U586" t="s">
        <v>7</v>
      </c>
      <c r="V586" t="s">
        <v>253</v>
      </c>
      <c r="W586" t="s">
        <v>132</v>
      </c>
      <c r="X586" t="s">
        <v>253</v>
      </c>
      <c r="Y586" t="s">
        <v>235</v>
      </c>
      <c r="Z586" t="s">
        <v>236</v>
      </c>
      <c r="AA586" t="s">
        <v>253</v>
      </c>
      <c r="AB586" t="s">
        <v>1</v>
      </c>
      <c r="AC586" s="235">
        <v>500000</v>
      </c>
      <c r="AD586" s="235">
        <v>20906.954671872663</v>
      </c>
      <c r="AE586">
        <v>0</v>
      </c>
      <c r="AF586">
        <v>0</v>
      </c>
      <c r="AG586">
        <v>0</v>
      </c>
      <c r="AH586" s="235">
        <v>-11089.007007988112</v>
      </c>
      <c r="AI586">
        <v>226</v>
      </c>
      <c r="AJ586" t="s">
        <v>256</v>
      </c>
      <c r="AK586">
        <v>0</v>
      </c>
      <c r="AL586">
        <v>0</v>
      </c>
      <c r="AM586">
        <v>0</v>
      </c>
    </row>
    <row r="587" spans="1:39" x14ac:dyDescent="0.25">
      <c r="A587" t="s">
        <v>233</v>
      </c>
      <c r="B587" t="s">
        <v>550</v>
      </c>
      <c r="C587" t="s">
        <v>255</v>
      </c>
      <c r="D587" t="s">
        <v>234</v>
      </c>
      <c r="E587" t="s">
        <v>20</v>
      </c>
      <c r="F587" t="s">
        <v>279</v>
      </c>
      <c r="G587" t="s">
        <v>269</v>
      </c>
      <c r="H587" t="s">
        <v>254</v>
      </c>
      <c r="I587" t="s">
        <v>242</v>
      </c>
      <c r="J587" t="s">
        <v>235</v>
      </c>
      <c r="K587" s="380">
        <v>36861</v>
      </c>
      <c r="L587" s="235">
        <v>111797.4485597843</v>
      </c>
      <c r="M587" s="380">
        <v>36859</v>
      </c>
      <c r="N587" t="s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 t="s">
        <v>253</v>
      </c>
      <c r="U587" t="s">
        <v>7</v>
      </c>
      <c r="V587" t="s">
        <v>253</v>
      </c>
      <c r="W587" t="s">
        <v>132</v>
      </c>
      <c r="X587" t="s">
        <v>253</v>
      </c>
      <c r="Y587" t="s">
        <v>235</v>
      </c>
      <c r="Z587" t="s">
        <v>236</v>
      </c>
      <c r="AA587" t="s">
        <v>253</v>
      </c>
      <c r="AB587" t="s">
        <v>1</v>
      </c>
      <c r="AC587" s="235">
        <v>500000</v>
      </c>
      <c r="AD587" s="235">
        <v>31757.126713017336</v>
      </c>
      <c r="AE587">
        <v>0</v>
      </c>
      <c r="AF587">
        <v>0</v>
      </c>
      <c r="AG587">
        <v>0</v>
      </c>
      <c r="AH587" s="235">
        <v>-4345.4608277247025</v>
      </c>
      <c r="AI587">
        <v>226</v>
      </c>
      <c r="AJ587" t="s">
        <v>256</v>
      </c>
      <c r="AK587">
        <v>0</v>
      </c>
      <c r="AL587">
        <v>0</v>
      </c>
      <c r="AM587">
        <v>0</v>
      </c>
    </row>
    <row r="588" spans="1:39" x14ac:dyDescent="0.25">
      <c r="A588" t="s">
        <v>233</v>
      </c>
      <c r="B588" t="s">
        <v>550</v>
      </c>
      <c r="C588" t="s">
        <v>255</v>
      </c>
      <c r="D588" t="s">
        <v>234</v>
      </c>
      <c r="E588" t="s">
        <v>20</v>
      </c>
      <c r="F588" t="s">
        <v>279</v>
      </c>
      <c r="G588" t="s">
        <v>269</v>
      </c>
      <c r="H588" t="s">
        <v>254</v>
      </c>
      <c r="I588" t="s">
        <v>242</v>
      </c>
      <c r="J588" t="s">
        <v>235</v>
      </c>
      <c r="K588" s="380">
        <v>36892</v>
      </c>
      <c r="L588" s="235">
        <v>83410.80436090054</v>
      </c>
      <c r="M588" s="380">
        <v>36888</v>
      </c>
      <c r="N588" t="s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 t="s">
        <v>253</v>
      </c>
      <c r="U588" t="s">
        <v>7</v>
      </c>
      <c r="V588" t="s">
        <v>253</v>
      </c>
      <c r="W588" t="s">
        <v>132</v>
      </c>
      <c r="X588" t="s">
        <v>253</v>
      </c>
      <c r="Y588" t="s">
        <v>235</v>
      </c>
      <c r="Z588" t="s">
        <v>236</v>
      </c>
      <c r="AA588" t="s">
        <v>253</v>
      </c>
      <c r="AB588" t="s">
        <v>1</v>
      </c>
      <c r="AC588" s="235">
        <v>500000</v>
      </c>
      <c r="AD588" s="235">
        <v>30166.831542529413</v>
      </c>
      <c r="AE588">
        <v>0</v>
      </c>
      <c r="AF588">
        <v>0</v>
      </c>
      <c r="AG588">
        <v>0</v>
      </c>
      <c r="AH588" s="235">
        <v>-3871.8307403988729</v>
      </c>
      <c r="AI588">
        <v>226</v>
      </c>
      <c r="AJ588" t="s">
        <v>256</v>
      </c>
      <c r="AK588">
        <v>0</v>
      </c>
      <c r="AL588">
        <v>0</v>
      </c>
      <c r="AM588">
        <v>0</v>
      </c>
    </row>
    <row r="589" spans="1:39" x14ac:dyDescent="0.25">
      <c r="A589" t="s">
        <v>233</v>
      </c>
      <c r="B589" t="s">
        <v>550</v>
      </c>
      <c r="C589" t="s">
        <v>255</v>
      </c>
      <c r="D589" t="s">
        <v>234</v>
      </c>
      <c r="E589" t="s">
        <v>20</v>
      </c>
      <c r="F589" t="s">
        <v>279</v>
      </c>
      <c r="G589" t="s">
        <v>269</v>
      </c>
      <c r="H589" t="s">
        <v>254</v>
      </c>
      <c r="I589" t="s">
        <v>242</v>
      </c>
      <c r="J589" t="s">
        <v>235</v>
      </c>
      <c r="K589" s="380">
        <v>36923</v>
      </c>
      <c r="L589" s="235">
        <v>102538.00368606592</v>
      </c>
      <c r="M589" s="380">
        <v>36921</v>
      </c>
      <c r="N589" t="s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 t="s">
        <v>253</v>
      </c>
      <c r="U589" t="s">
        <v>7</v>
      </c>
      <c r="V589" t="s">
        <v>253</v>
      </c>
      <c r="W589" t="s">
        <v>132</v>
      </c>
      <c r="X589" t="s">
        <v>253</v>
      </c>
      <c r="Y589" t="s">
        <v>235</v>
      </c>
      <c r="Z589" t="s">
        <v>236</v>
      </c>
      <c r="AA589" t="s">
        <v>253</v>
      </c>
      <c r="AB589" t="s">
        <v>1</v>
      </c>
      <c r="AC589" s="235">
        <v>500000</v>
      </c>
      <c r="AD589" s="235">
        <v>35321.254205072255</v>
      </c>
      <c r="AE589">
        <v>0</v>
      </c>
      <c r="AF589">
        <v>0</v>
      </c>
      <c r="AG589">
        <v>0</v>
      </c>
      <c r="AH589" s="235">
        <v>-5238.9851098930667</v>
      </c>
      <c r="AI589">
        <v>226</v>
      </c>
      <c r="AJ589" t="s">
        <v>256</v>
      </c>
      <c r="AK589">
        <v>0</v>
      </c>
      <c r="AL589">
        <v>0</v>
      </c>
      <c r="AM589">
        <v>0</v>
      </c>
    </row>
    <row r="590" spans="1:39" x14ac:dyDescent="0.25">
      <c r="A590" t="s">
        <v>233</v>
      </c>
      <c r="B590" t="s">
        <v>550</v>
      </c>
      <c r="C590" t="s">
        <v>255</v>
      </c>
      <c r="D590" t="s">
        <v>234</v>
      </c>
      <c r="E590" t="s">
        <v>20</v>
      </c>
      <c r="F590" t="s">
        <v>279</v>
      </c>
      <c r="G590" t="s">
        <v>269</v>
      </c>
      <c r="H590" t="s">
        <v>254</v>
      </c>
      <c r="I590" t="s">
        <v>242</v>
      </c>
      <c r="J590" t="s">
        <v>235</v>
      </c>
      <c r="K590" s="380">
        <v>36951</v>
      </c>
      <c r="L590" s="235">
        <v>232754.95836490768</v>
      </c>
      <c r="M590" s="380">
        <v>36949</v>
      </c>
      <c r="N590" t="s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 t="s">
        <v>253</v>
      </c>
      <c r="U590" t="s">
        <v>7</v>
      </c>
      <c r="V590" t="s">
        <v>253</v>
      </c>
      <c r="W590" t="s">
        <v>132</v>
      </c>
      <c r="X590" t="s">
        <v>253</v>
      </c>
      <c r="Y590" t="s">
        <v>235</v>
      </c>
      <c r="Z590" t="s">
        <v>236</v>
      </c>
      <c r="AA590" t="s">
        <v>253</v>
      </c>
      <c r="AB590" t="s">
        <v>1</v>
      </c>
      <c r="AC590" s="235">
        <v>500000</v>
      </c>
      <c r="AD590" s="235">
        <v>44468.410487267072</v>
      </c>
      <c r="AE590">
        <v>0</v>
      </c>
      <c r="AF590">
        <v>0</v>
      </c>
      <c r="AG590">
        <v>0</v>
      </c>
      <c r="AH590" s="235">
        <v>-10359.506391901523</v>
      </c>
      <c r="AI590">
        <v>226</v>
      </c>
      <c r="AJ590" t="s">
        <v>256</v>
      </c>
      <c r="AK590">
        <v>0</v>
      </c>
      <c r="AL590">
        <v>0</v>
      </c>
      <c r="AM590">
        <v>0</v>
      </c>
    </row>
    <row r="591" spans="1:39" x14ac:dyDescent="0.25">
      <c r="A591" t="s">
        <v>233</v>
      </c>
      <c r="B591" t="s">
        <v>551</v>
      </c>
      <c r="C591" t="s">
        <v>255</v>
      </c>
      <c r="D591" t="s">
        <v>234</v>
      </c>
      <c r="E591" t="s">
        <v>20</v>
      </c>
      <c r="F591" t="s">
        <v>279</v>
      </c>
      <c r="G591" t="s">
        <v>269</v>
      </c>
      <c r="H591" t="s">
        <v>254</v>
      </c>
      <c r="I591" t="s">
        <v>242</v>
      </c>
      <c r="J591" t="s">
        <v>235</v>
      </c>
      <c r="K591" s="380">
        <v>36831</v>
      </c>
      <c r="L591" s="235">
        <v>-1931.8642528587211</v>
      </c>
      <c r="M591" s="380">
        <v>36829</v>
      </c>
      <c r="N591" t="s">
        <v>21</v>
      </c>
      <c r="O591">
        <v>2.5</v>
      </c>
      <c r="P591">
        <v>0</v>
      </c>
      <c r="Q591">
        <v>0</v>
      </c>
      <c r="R591">
        <v>0</v>
      </c>
      <c r="S591">
        <v>0</v>
      </c>
      <c r="T591" t="s">
        <v>253</v>
      </c>
      <c r="U591" t="s">
        <v>7</v>
      </c>
      <c r="V591" t="s">
        <v>253</v>
      </c>
      <c r="W591" t="s">
        <v>132</v>
      </c>
      <c r="X591" t="s">
        <v>253</v>
      </c>
      <c r="Y591" t="s">
        <v>235</v>
      </c>
      <c r="Z591" t="s">
        <v>236</v>
      </c>
      <c r="AA591" t="s">
        <v>253</v>
      </c>
      <c r="AB591" t="s">
        <v>1</v>
      </c>
      <c r="AC591" s="235">
        <v>-300000</v>
      </c>
      <c r="AD591" s="235">
        <v>-1569.5920027175107</v>
      </c>
      <c r="AE591">
        <v>0</v>
      </c>
      <c r="AF591">
        <v>0</v>
      </c>
      <c r="AG591">
        <v>0</v>
      </c>
      <c r="AH591" s="235">
        <v>-379.93835220450842</v>
      </c>
      <c r="AI591">
        <v>226</v>
      </c>
      <c r="AJ591" t="s">
        <v>256</v>
      </c>
      <c r="AK591">
        <v>0</v>
      </c>
      <c r="AL591">
        <v>0</v>
      </c>
      <c r="AM591">
        <v>0</v>
      </c>
    </row>
    <row r="592" spans="1:39" x14ac:dyDescent="0.25">
      <c r="A592" t="s">
        <v>233</v>
      </c>
      <c r="B592" t="s">
        <v>551</v>
      </c>
      <c r="C592" t="s">
        <v>255</v>
      </c>
      <c r="D592" t="s">
        <v>234</v>
      </c>
      <c r="E592" t="s">
        <v>20</v>
      </c>
      <c r="F592" t="s">
        <v>279</v>
      </c>
      <c r="G592" t="s">
        <v>269</v>
      </c>
      <c r="H592" t="s">
        <v>254</v>
      </c>
      <c r="I592" t="s">
        <v>242</v>
      </c>
      <c r="J592" t="s">
        <v>235</v>
      </c>
      <c r="K592" s="380">
        <v>36861</v>
      </c>
      <c r="L592" s="235">
        <v>-76798.631138172423</v>
      </c>
      <c r="M592" s="380">
        <v>36859</v>
      </c>
      <c r="N592" t="s">
        <v>21</v>
      </c>
      <c r="O592">
        <v>2.5</v>
      </c>
      <c r="P592">
        <v>0</v>
      </c>
      <c r="Q592">
        <v>0</v>
      </c>
      <c r="R592">
        <v>0</v>
      </c>
      <c r="S592">
        <v>0</v>
      </c>
      <c r="T592" t="s">
        <v>253</v>
      </c>
      <c r="U592" t="s">
        <v>7</v>
      </c>
      <c r="V592" t="s">
        <v>253</v>
      </c>
      <c r="W592" t="s">
        <v>132</v>
      </c>
      <c r="X592" t="s">
        <v>253</v>
      </c>
      <c r="Y592" t="s">
        <v>235</v>
      </c>
      <c r="Z592" t="s">
        <v>236</v>
      </c>
      <c r="AA592" t="s">
        <v>253</v>
      </c>
      <c r="AB592" t="s">
        <v>1</v>
      </c>
      <c r="AC592" s="235">
        <v>-310000</v>
      </c>
      <c r="AD592" s="235">
        <v>-17988.316226535462</v>
      </c>
      <c r="AE592">
        <v>0</v>
      </c>
      <c r="AF592">
        <v>0</v>
      </c>
      <c r="AG592">
        <v>0</v>
      </c>
      <c r="AH592" s="235">
        <v>-5205.3673497760756</v>
      </c>
      <c r="AI592">
        <v>226</v>
      </c>
      <c r="AJ592" t="s">
        <v>256</v>
      </c>
      <c r="AK592">
        <v>0</v>
      </c>
      <c r="AL592">
        <v>0</v>
      </c>
      <c r="AM592">
        <v>0</v>
      </c>
    </row>
    <row r="593" spans="1:39" x14ac:dyDescent="0.25">
      <c r="A593" t="s">
        <v>233</v>
      </c>
      <c r="B593" t="s">
        <v>551</v>
      </c>
      <c r="C593" t="s">
        <v>255</v>
      </c>
      <c r="D593" t="s">
        <v>234</v>
      </c>
      <c r="E593" t="s">
        <v>20</v>
      </c>
      <c r="F593" t="s">
        <v>279</v>
      </c>
      <c r="G593" t="s">
        <v>269</v>
      </c>
      <c r="H593" t="s">
        <v>254</v>
      </c>
      <c r="I593" t="s">
        <v>242</v>
      </c>
      <c r="J593" t="s">
        <v>235</v>
      </c>
      <c r="K593" s="380">
        <v>36892</v>
      </c>
      <c r="L593" s="235">
        <v>-164878.49223098918</v>
      </c>
      <c r="M593" s="380">
        <v>36888</v>
      </c>
      <c r="N593" t="s">
        <v>21</v>
      </c>
      <c r="O593">
        <v>2.5</v>
      </c>
      <c r="P593">
        <v>0</v>
      </c>
      <c r="Q593">
        <v>0</v>
      </c>
      <c r="R593">
        <v>0</v>
      </c>
      <c r="S593">
        <v>0</v>
      </c>
      <c r="T593" t="s">
        <v>253</v>
      </c>
      <c r="U593" t="s">
        <v>7</v>
      </c>
      <c r="V593" t="s">
        <v>253</v>
      </c>
      <c r="W593" t="s">
        <v>132</v>
      </c>
      <c r="X593" t="s">
        <v>253</v>
      </c>
      <c r="Y593" t="s">
        <v>235</v>
      </c>
      <c r="Z593" t="s">
        <v>236</v>
      </c>
      <c r="AA593" t="s">
        <v>253</v>
      </c>
      <c r="AB593" t="s">
        <v>1</v>
      </c>
      <c r="AC593" s="235">
        <v>-310000</v>
      </c>
      <c r="AD593" s="235">
        <v>-23672.167547659279</v>
      </c>
      <c r="AE593">
        <v>0</v>
      </c>
      <c r="AF593">
        <v>0</v>
      </c>
      <c r="AG593">
        <v>0</v>
      </c>
      <c r="AH593" s="235">
        <v>-9697.6778801135952</v>
      </c>
      <c r="AI593">
        <v>226</v>
      </c>
      <c r="AJ593" t="s">
        <v>256</v>
      </c>
      <c r="AK593">
        <v>0</v>
      </c>
      <c r="AL593">
        <v>0</v>
      </c>
      <c r="AM593">
        <v>0</v>
      </c>
    </row>
    <row r="594" spans="1:39" x14ac:dyDescent="0.25">
      <c r="A594" t="s">
        <v>233</v>
      </c>
      <c r="B594" t="s">
        <v>551</v>
      </c>
      <c r="C594" t="s">
        <v>255</v>
      </c>
      <c r="D594" t="s">
        <v>234</v>
      </c>
      <c r="E594" t="s">
        <v>20</v>
      </c>
      <c r="F594" t="s">
        <v>279</v>
      </c>
      <c r="G594" t="s">
        <v>269</v>
      </c>
      <c r="H594" t="s">
        <v>254</v>
      </c>
      <c r="I594" t="s">
        <v>242</v>
      </c>
      <c r="J594" t="s">
        <v>235</v>
      </c>
      <c r="K594" s="380">
        <v>36923</v>
      </c>
      <c r="L594" s="235">
        <v>-150386.9517695079</v>
      </c>
      <c r="M594" s="380">
        <v>36921</v>
      </c>
      <c r="N594" t="s">
        <v>21</v>
      </c>
      <c r="O594">
        <v>2.5</v>
      </c>
      <c r="P594">
        <v>0</v>
      </c>
      <c r="Q594">
        <v>0</v>
      </c>
      <c r="R594">
        <v>0</v>
      </c>
      <c r="S594">
        <v>0</v>
      </c>
      <c r="T594" t="s">
        <v>253</v>
      </c>
      <c r="U594" t="s">
        <v>7</v>
      </c>
      <c r="V594" t="s">
        <v>253</v>
      </c>
      <c r="W594" t="s">
        <v>132</v>
      </c>
      <c r="X594" t="s">
        <v>253</v>
      </c>
      <c r="Y594" t="s">
        <v>235</v>
      </c>
      <c r="Z594" t="s">
        <v>236</v>
      </c>
      <c r="AA594" t="s">
        <v>253</v>
      </c>
      <c r="AB594" t="s">
        <v>1</v>
      </c>
      <c r="AC594" s="235">
        <v>-280000</v>
      </c>
      <c r="AD594" s="235">
        <v>-23175.488626135979</v>
      </c>
      <c r="AE594">
        <v>0</v>
      </c>
      <c r="AF594">
        <v>0</v>
      </c>
      <c r="AG594">
        <v>0</v>
      </c>
      <c r="AH594" s="235">
        <v>-9934.5782538573258</v>
      </c>
      <c r="AI594">
        <v>226</v>
      </c>
      <c r="AJ594" t="s">
        <v>256</v>
      </c>
      <c r="AK594">
        <v>0</v>
      </c>
      <c r="AL594">
        <v>0</v>
      </c>
      <c r="AM594">
        <v>0</v>
      </c>
    </row>
    <row r="595" spans="1:39" x14ac:dyDescent="0.25">
      <c r="A595" t="s">
        <v>233</v>
      </c>
      <c r="B595" t="s">
        <v>551</v>
      </c>
      <c r="C595" t="s">
        <v>255</v>
      </c>
      <c r="D595" t="s">
        <v>234</v>
      </c>
      <c r="E595" t="s">
        <v>20</v>
      </c>
      <c r="F595" t="s">
        <v>279</v>
      </c>
      <c r="G595" t="s">
        <v>269</v>
      </c>
      <c r="H595" t="s">
        <v>254</v>
      </c>
      <c r="I595" t="s">
        <v>242</v>
      </c>
      <c r="J595" t="s">
        <v>235</v>
      </c>
      <c r="K595" s="380">
        <v>36951</v>
      </c>
      <c r="L595" s="235">
        <v>-48886.400631953802</v>
      </c>
      <c r="M595" s="380">
        <v>36949</v>
      </c>
      <c r="N595" t="s">
        <v>21</v>
      </c>
      <c r="O595">
        <v>2.5</v>
      </c>
      <c r="P595">
        <v>0</v>
      </c>
      <c r="Q595">
        <v>0</v>
      </c>
      <c r="R595">
        <v>0</v>
      </c>
      <c r="S595">
        <v>0</v>
      </c>
      <c r="T595" t="s">
        <v>253</v>
      </c>
      <c r="U595" t="s">
        <v>7</v>
      </c>
      <c r="V595" t="s">
        <v>253</v>
      </c>
      <c r="W595" t="s">
        <v>132</v>
      </c>
      <c r="X595" t="s">
        <v>253</v>
      </c>
      <c r="Y595" t="s">
        <v>235</v>
      </c>
      <c r="Z595" t="s">
        <v>236</v>
      </c>
      <c r="AA595" t="s">
        <v>253</v>
      </c>
      <c r="AB595" t="s">
        <v>1</v>
      </c>
      <c r="AC595" s="235">
        <v>-310000</v>
      </c>
      <c r="AD595" s="235">
        <v>-17765.662708301541</v>
      </c>
      <c r="AE595">
        <v>0</v>
      </c>
      <c r="AF595">
        <v>0</v>
      </c>
      <c r="AG595">
        <v>0</v>
      </c>
      <c r="AH595" s="235">
        <v>-4861.2333406752296</v>
      </c>
      <c r="AI595">
        <v>226</v>
      </c>
      <c r="AJ595" t="s">
        <v>256</v>
      </c>
      <c r="AK595">
        <v>0</v>
      </c>
      <c r="AL595">
        <v>0</v>
      </c>
      <c r="AM595">
        <v>0</v>
      </c>
    </row>
    <row r="596" spans="1:39" x14ac:dyDescent="0.25">
      <c r="A596" t="s">
        <v>233</v>
      </c>
      <c r="B596" t="s">
        <v>552</v>
      </c>
      <c r="C596" t="s">
        <v>255</v>
      </c>
      <c r="D596" t="s">
        <v>234</v>
      </c>
      <c r="E596" t="s">
        <v>20</v>
      </c>
      <c r="F596" t="s">
        <v>279</v>
      </c>
      <c r="G596" t="s">
        <v>269</v>
      </c>
      <c r="H596" t="s">
        <v>254</v>
      </c>
      <c r="I596" t="s">
        <v>242</v>
      </c>
      <c r="J596" t="s">
        <v>235</v>
      </c>
      <c r="K596" s="380">
        <v>36831</v>
      </c>
      <c r="L596" s="235">
        <v>-29460.130599732118</v>
      </c>
      <c r="M596" s="380">
        <v>36829</v>
      </c>
      <c r="N596" t="s">
        <v>21</v>
      </c>
      <c r="O596">
        <v>1.52</v>
      </c>
      <c r="P596">
        <v>0</v>
      </c>
      <c r="Q596">
        <v>0</v>
      </c>
      <c r="R596">
        <v>0</v>
      </c>
      <c r="S596">
        <v>0</v>
      </c>
      <c r="T596" t="s">
        <v>253</v>
      </c>
      <c r="U596" t="s">
        <v>7</v>
      </c>
      <c r="V596" t="s">
        <v>253</v>
      </c>
      <c r="W596" t="s">
        <v>132</v>
      </c>
      <c r="X596" t="s">
        <v>253</v>
      </c>
      <c r="Y596" t="s">
        <v>235</v>
      </c>
      <c r="Z596" t="s">
        <v>236</v>
      </c>
      <c r="AA596" t="s">
        <v>253</v>
      </c>
      <c r="AB596" t="s">
        <v>1</v>
      </c>
      <c r="AC596" s="235">
        <v>-500000</v>
      </c>
      <c r="AD596" s="235">
        <v>-12774.323248091969</v>
      </c>
      <c r="AE596">
        <v>0</v>
      </c>
      <c r="AF596">
        <v>0</v>
      </c>
      <c r="AG596">
        <v>0</v>
      </c>
      <c r="AH596" s="235">
        <v>-3985.0895960611233</v>
      </c>
      <c r="AI596">
        <v>226</v>
      </c>
      <c r="AJ596" t="s">
        <v>256</v>
      </c>
      <c r="AK596">
        <v>0</v>
      </c>
      <c r="AL596">
        <v>0</v>
      </c>
      <c r="AM596">
        <v>0</v>
      </c>
    </row>
    <row r="597" spans="1:39" x14ac:dyDescent="0.25">
      <c r="A597" t="s">
        <v>233</v>
      </c>
      <c r="B597" t="s">
        <v>552</v>
      </c>
      <c r="C597" t="s">
        <v>255</v>
      </c>
      <c r="D597" t="s">
        <v>234</v>
      </c>
      <c r="E597" t="s">
        <v>20</v>
      </c>
      <c r="F597" t="s">
        <v>279</v>
      </c>
      <c r="G597" t="s">
        <v>269</v>
      </c>
      <c r="H597" t="s">
        <v>254</v>
      </c>
      <c r="I597" t="s">
        <v>242</v>
      </c>
      <c r="J597" t="s">
        <v>235</v>
      </c>
      <c r="K597" s="380">
        <v>36861</v>
      </c>
      <c r="L597" s="235">
        <v>-285742.74941666378</v>
      </c>
      <c r="M597" s="380">
        <v>36859</v>
      </c>
      <c r="N597" t="s">
        <v>21</v>
      </c>
      <c r="O597">
        <v>1.52</v>
      </c>
      <c r="P597">
        <v>0</v>
      </c>
      <c r="Q597">
        <v>0</v>
      </c>
      <c r="R597">
        <v>0</v>
      </c>
      <c r="S597">
        <v>0</v>
      </c>
      <c r="T597" t="s">
        <v>253</v>
      </c>
      <c r="U597" t="s">
        <v>7</v>
      </c>
      <c r="V597" t="s">
        <v>253</v>
      </c>
      <c r="W597" t="s">
        <v>132</v>
      </c>
      <c r="X597" t="s">
        <v>253</v>
      </c>
      <c r="Y597" t="s">
        <v>235</v>
      </c>
      <c r="Z597" t="s">
        <v>236</v>
      </c>
      <c r="AA597" t="s">
        <v>253</v>
      </c>
      <c r="AB597" t="s">
        <v>1</v>
      </c>
      <c r="AC597" s="235">
        <v>-500000</v>
      </c>
      <c r="AD597" s="235">
        <v>-35389.060523039603</v>
      </c>
      <c r="AE597">
        <v>0</v>
      </c>
      <c r="AF597">
        <v>0</v>
      </c>
      <c r="AG597">
        <v>0</v>
      </c>
      <c r="AH597" s="235">
        <v>-14454.283244274266</v>
      </c>
      <c r="AI597">
        <v>226</v>
      </c>
      <c r="AJ597" t="s">
        <v>256</v>
      </c>
      <c r="AK597">
        <v>0</v>
      </c>
      <c r="AL597">
        <v>0</v>
      </c>
      <c r="AM597">
        <v>0</v>
      </c>
    </row>
    <row r="598" spans="1:39" x14ac:dyDescent="0.25">
      <c r="A598" t="s">
        <v>233</v>
      </c>
      <c r="B598" t="s">
        <v>552</v>
      </c>
      <c r="C598" t="s">
        <v>255</v>
      </c>
      <c r="D598" t="s">
        <v>234</v>
      </c>
      <c r="E598" t="s">
        <v>20</v>
      </c>
      <c r="F598" t="s">
        <v>279</v>
      </c>
      <c r="G598" t="s">
        <v>269</v>
      </c>
      <c r="H598" t="s">
        <v>254</v>
      </c>
      <c r="I598" t="s">
        <v>242</v>
      </c>
      <c r="J598" t="s">
        <v>235</v>
      </c>
      <c r="K598" s="380">
        <v>36892</v>
      </c>
      <c r="L598" s="235">
        <v>-486646.63094853674</v>
      </c>
      <c r="M598" s="380">
        <v>36888</v>
      </c>
      <c r="N598" t="s">
        <v>21</v>
      </c>
      <c r="O598">
        <v>1.52</v>
      </c>
      <c r="P598">
        <v>0</v>
      </c>
      <c r="Q598">
        <v>0</v>
      </c>
      <c r="R598">
        <v>0</v>
      </c>
      <c r="S598">
        <v>0</v>
      </c>
      <c r="T598" t="s">
        <v>253</v>
      </c>
      <c r="U598" t="s">
        <v>7</v>
      </c>
      <c r="V598" t="s">
        <v>253</v>
      </c>
      <c r="W598" t="s">
        <v>132</v>
      </c>
      <c r="X598" t="s">
        <v>253</v>
      </c>
      <c r="Y598" t="s">
        <v>235</v>
      </c>
      <c r="Z598" t="s">
        <v>236</v>
      </c>
      <c r="AA598" t="s">
        <v>253</v>
      </c>
      <c r="AB598" t="s">
        <v>1</v>
      </c>
      <c r="AC598" s="235">
        <v>-500000</v>
      </c>
      <c r="AD598" s="235">
        <v>-37027.442359069886</v>
      </c>
      <c r="AE598">
        <v>0</v>
      </c>
      <c r="AF598">
        <v>0</v>
      </c>
      <c r="AG598">
        <v>0</v>
      </c>
      <c r="AH598" s="235">
        <v>-22302.009631905181</v>
      </c>
      <c r="AI598">
        <v>226</v>
      </c>
      <c r="AJ598" t="s">
        <v>256</v>
      </c>
      <c r="AK598">
        <v>0</v>
      </c>
      <c r="AL598">
        <v>0</v>
      </c>
      <c r="AM598">
        <v>0</v>
      </c>
    </row>
    <row r="599" spans="1:39" x14ac:dyDescent="0.25">
      <c r="A599" t="s">
        <v>233</v>
      </c>
      <c r="B599" t="s">
        <v>552</v>
      </c>
      <c r="C599" t="s">
        <v>255</v>
      </c>
      <c r="D599" t="s">
        <v>234</v>
      </c>
      <c r="E599" t="s">
        <v>20</v>
      </c>
      <c r="F599" t="s">
        <v>279</v>
      </c>
      <c r="G599" t="s">
        <v>269</v>
      </c>
      <c r="H599" t="s">
        <v>254</v>
      </c>
      <c r="I599" t="s">
        <v>242</v>
      </c>
      <c r="J599" t="s">
        <v>235</v>
      </c>
      <c r="K599" s="380">
        <v>36923</v>
      </c>
      <c r="L599" s="235">
        <v>-474116.003803264</v>
      </c>
      <c r="M599" s="380">
        <v>36921</v>
      </c>
      <c r="N599" t="s">
        <v>21</v>
      </c>
      <c r="O599">
        <v>1.52</v>
      </c>
      <c r="P599">
        <v>0</v>
      </c>
      <c r="Q599">
        <v>0</v>
      </c>
      <c r="R599">
        <v>0</v>
      </c>
      <c r="S599">
        <v>0</v>
      </c>
      <c r="T599" t="s">
        <v>253</v>
      </c>
      <c r="U599" t="s">
        <v>7</v>
      </c>
      <c r="V599" t="s">
        <v>253</v>
      </c>
      <c r="W599" t="s">
        <v>132</v>
      </c>
      <c r="X599" t="s">
        <v>253</v>
      </c>
      <c r="Y599" t="s">
        <v>235</v>
      </c>
      <c r="Z599" t="s">
        <v>236</v>
      </c>
      <c r="AA599" t="s">
        <v>253</v>
      </c>
      <c r="AB599" t="s">
        <v>1</v>
      </c>
      <c r="AC599" s="235">
        <v>-500000</v>
      </c>
      <c r="AD599" s="235">
        <v>-41469.982550916669</v>
      </c>
      <c r="AE599">
        <v>0</v>
      </c>
      <c r="AF599">
        <v>0</v>
      </c>
      <c r="AG599">
        <v>0</v>
      </c>
      <c r="AH599" s="235">
        <v>-25068.992895722156</v>
      </c>
      <c r="AI599">
        <v>226</v>
      </c>
      <c r="AJ599" t="s">
        <v>256</v>
      </c>
      <c r="AK599">
        <v>0</v>
      </c>
      <c r="AL599">
        <v>0</v>
      </c>
      <c r="AM599">
        <v>0</v>
      </c>
    </row>
    <row r="600" spans="1:39" x14ac:dyDescent="0.25">
      <c r="A600" t="s">
        <v>233</v>
      </c>
      <c r="B600" t="s">
        <v>552</v>
      </c>
      <c r="C600" t="s">
        <v>255</v>
      </c>
      <c r="D600" t="s">
        <v>234</v>
      </c>
      <c r="E600" t="s">
        <v>20</v>
      </c>
      <c r="F600" t="s">
        <v>279</v>
      </c>
      <c r="G600" t="s">
        <v>269</v>
      </c>
      <c r="H600" t="s">
        <v>254</v>
      </c>
      <c r="I600" t="s">
        <v>242</v>
      </c>
      <c r="J600" t="s">
        <v>235</v>
      </c>
      <c r="K600" s="380">
        <v>36951</v>
      </c>
      <c r="L600" s="235">
        <v>-176197.9837861571</v>
      </c>
      <c r="M600" s="380">
        <v>36949</v>
      </c>
      <c r="N600" t="s">
        <v>21</v>
      </c>
      <c r="O600">
        <v>1.52</v>
      </c>
      <c r="P600">
        <v>0</v>
      </c>
      <c r="Q600">
        <v>0</v>
      </c>
      <c r="R600">
        <v>0</v>
      </c>
      <c r="S600">
        <v>0</v>
      </c>
      <c r="T600" t="s">
        <v>253</v>
      </c>
      <c r="U600" t="s">
        <v>7</v>
      </c>
      <c r="V600" t="s">
        <v>253</v>
      </c>
      <c r="W600" t="s">
        <v>132</v>
      </c>
      <c r="X600" t="s">
        <v>253</v>
      </c>
      <c r="Y600" t="s">
        <v>235</v>
      </c>
      <c r="Z600" t="s">
        <v>236</v>
      </c>
      <c r="AA600" t="s">
        <v>253</v>
      </c>
      <c r="AB600" t="s">
        <v>1</v>
      </c>
      <c r="AC600" s="235">
        <v>-500000</v>
      </c>
      <c r="AD600" s="235">
        <v>-41343.724180626945</v>
      </c>
      <c r="AE600">
        <v>0</v>
      </c>
      <c r="AF600">
        <v>0</v>
      </c>
      <c r="AG600">
        <v>0</v>
      </c>
      <c r="AH600" s="235">
        <v>-14199.91423530475</v>
      </c>
      <c r="AI600">
        <v>226</v>
      </c>
      <c r="AJ600" t="s">
        <v>256</v>
      </c>
      <c r="AK600">
        <v>0</v>
      </c>
      <c r="AL600">
        <v>0</v>
      </c>
      <c r="AM600">
        <v>0</v>
      </c>
    </row>
    <row r="601" spans="1:39" x14ac:dyDescent="0.25">
      <c r="A601" t="s">
        <v>233</v>
      </c>
      <c r="B601" t="s">
        <v>553</v>
      </c>
      <c r="C601" t="s">
        <v>255</v>
      </c>
      <c r="D601" t="s">
        <v>234</v>
      </c>
      <c r="E601" t="s">
        <v>20</v>
      </c>
      <c r="F601" t="s">
        <v>279</v>
      </c>
      <c r="G601" t="s">
        <v>269</v>
      </c>
      <c r="H601" t="s">
        <v>254</v>
      </c>
      <c r="I601" t="s">
        <v>242</v>
      </c>
      <c r="J601" t="s">
        <v>235</v>
      </c>
      <c r="K601" s="380">
        <v>36831</v>
      </c>
      <c r="L601" s="235">
        <v>-400080.64199437608</v>
      </c>
      <c r="M601" s="380">
        <v>36829</v>
      </c>
      <c r="N601" t="s">
        <v>1</v>
      </c>
      <c r="O601">
        <v>1.52</v>
      </c>
      <c r="P601">
        <v>0</v>
      </c>
      <c r="Q601">
        <v>0</v>
      </c>
      <c r="R601">
        <v>0</v>
      </c>
      <c r="S601">
        <v>0</v>
      </c>
      <c r="T601" t="s">
        <v>253</v>
      </c>
      <c r="U601" t="s">
        <v>7</v>
      </c>
      <c r="V601" t="s">
        <v>253</v>
      </c>
      <c r="W601" t="s">
        <v>132</v>
      </c>
      <c r="X601" t="s">
        <v>253</v>
      </c>
      <c r="Y601" t="s">
        <v>235</v>
      </c>
      <c r="Z601" t="s">
        <v>236</v>
      </c>
      <c r="AA601" t="s">
        <v>253</v>
      </c>
      <c r="AB601" t="s">
        <v>1</v>
      </c>
      <c r="AC601" s="235">
        <v>-500000</v>
      </c>
      <c r="AD601" s="235">
        <v>-12774.323248091969</v>
      </c>
      <c r="AE601">
        <v>0</v>
      </c>
      <c r="AF601">
        <v>0</v>
      </c>
      <c r="AG601">
        <v>0</v>
      </c>
      <c r="AH601" s="235">
        <v>15770.454110223451</v>
      </c>
      <c r="AI601">
        <v>226</v>
      </c>
      <c r="AJ601" t="s">
        <v>256</v>
      </c>
      <c r="AK601">
        <v>0</v>
      </c>
      <c r="AL601">
        <v>0</v>
      </c>
      <c r="AM601">
        <v>0</v>
      </c>
    </row>
    <row r="602" spans="1:39" x14ac:dyDescent="0.25">
      <c r="A602" t="s">
        <v>233</v>
      </c>
      <c r="B602" t="s">
        <v>553</v>
      </c>
      <c r="C602" t="s">
        <v>255</v>
      </c>
      <c r="D602" t="s">
        <v>234</v>
      </c>
      <c r="E602" t="s">
        <v>20</v>
      </c>
      <c r="F602" t="s">
        <v>279</v>
      </c>
      <c r="G602" t="s">
        <v>269</v>
      </c>
      <c r="H602" t="s">
        <v>254</v>
      </c>
      <c r="I602" t="s">
        <v>242</v>
      </c>
      <c r="J602" t="s">
        <v>235</v>
      </c>
      <c r="K602" s="380">
        <v>36861</v>
      </c>
      <c r="L602" s="235">
        <v>-224320.48202455891</v>
      </c>
      <c r="M602" s="380">
        <v>36859</v>
      </c>
      <c r="N602" t="s">
        <v>1</v>
      </c>
      <c r="O602">
        <v>1.52</v>
      </c>
      <c r="P602">
        <v>0</v>
      </c>
      <c r="Q602">
        <v>0</v>
      </c>
      <c r="R602">
        <v>0</v>
      </c>
      <c r="S602">
        <v>0</v>
      </c>
      <c r="T602" t="s">
        <v>253</v>
      </c>
      <c r="U602" t="s">
        <v>7</v>
      </c>
      <c r="V602" t="s">
        <v>253</v>
      </c>
      <c r="W602" t="s">
        <v>132</v>
      </c>
      <c r="X602" t="s">
        <v>253</v>
      </c>
      <c r="Y602" t="s">
        <v>235</v>
      </c>
      <c r="Z602" t="s">
        <v>236</v>
      </c>
      <c r="AA602" t="s">
        <v>253</v>
      </c>
      <c r="AB602" t="s">
        <v>1</v>
      </c>
      <c r="AC602" s="235">
        <v>-500000</v>
      </c>
      <c r="AD602" s="235">
        <v>-35389.060523039603</v>
      </c>
      <c r="AE602">
        <v>0</v>
      </c>
      <c r="AF602">
        <v>0</v>
      </c>
      <c r="AG602">
        <v>0</v>
      </c>
      <c r="AH602" s="235">
        <v>7645.5696304446901</v>
      </c>
      <c r="AI602">
        <v>226</v>
      </c>
      <c r="AJ602" t="s">
        <v>256</v>
      </c>
      <c r="AK602">
        <v>0</v>
      </c>
      <c r="AL602">
        <v>0</v>
      </c>
      <c r="AM602">
        <v>0</v>
      </c>
    </row>
    <row r="603" spans="1:39" x14ac:dyDescent="0.25">
      <c r="A603" t="s">
        <v>233</v>
      </c>
      <c r="B603" t="s">
        <v>553</v>
      </c>
      <c r="C603" t="s">
        <v>255</v>
      </c>
      <c r="D603" t="s">
        <v>234</v>
      </c>
      <c r="E603" t="s">
        <v>20</v>
      </c>
      <c r="F603" t="s">
        <v>279</v>
      </c>
      <c r="G603" t="s">
        <v>269</v>
      </c>
      <c r="H603" t="s">
        <v>254</v>
      </c>
      <c r="I603" t="s">
        <v>242</v>
      </c>
      <c r="J603" t="s">
        <v>235</v>
      </c>
      <c r="K603" s="380">
        <v>36892</v>
      </c>
      <c r="L603" s="235">
        <v>-168984.99705422309</v>
      </c>
      <c r="M603" s="380">
        <v>36888</v>
      </c>
      <c r="N603" t="s">
        <v>1</v>
      </c>
      <c r="O603">
        <v>1.52</v>
      </c>
      <c r="P603">
        <v>0</v>
      </c>
      <c r="Q603">
        <v>0</v>
      </c>
      <c r="R603">
        <v>0</v>
      </c>
      <c r="S603">
        <v>0</v>
      </c>
      <c r="T603" t="s">
        <v>253</v>
      </c>
      <c r="U603" t="s">
        <v>7</v>
      </c>
      <c r="V603" t="s">
        <v>253</v>
      </c>
      <c r="W603" t="s">
        <v>132</v>
      </c>
      <c r="X603" t="s">
        <v>253</v>
      </c>
      <c r="Y603" t="s">
        <v>235</v>
      </c>
      <c r="Z603" t="s">
        <v>236</v>
      </c>
      <c r="AA603" t="s">
        <v>253</v>
      </c>
      <c r="AB603" t="s">
        <v>1</v>
      </c>
      <c r="AC603" s="235">
        <v>-500000</v>
      </c>
      <c r="AD603" s="235">
        <v>-37027.442359069915</v>
      </c>
      <c r="AE603">
        <v>0</v>
      </c>
      <c r="AF603">
        <v>0</v>
      </c>
      <c r="AG603">
        <v>0</v>
      </c>
      <c r="AH603" s="235">
        <v>7004.9689930633758</v>
      </c>
      <c r="AI603">
        <v>226</v>
      </c>
      <c r="AJ603" t="s">
        <v>256</v>
      </c>
      <c r="AK603">
        <v>0</v>
      </c>
      <c r="AL603">
        <v>0</v>
      </c>
      <c r="AM603">
        <v>0</v>
      </c>
    </row>
    <row r="604" spans="1:39" x14ac:dyDescent="0.25">
      <c r="A604" t="s">
        <v>233</v>
      </c>
      <c r="B604" t="s">
        <v>553</v>
      </c>
      <c r="C604" t="s">
        <v>255</v>
      </c>
      <c r="D604" t="s">
        <v>234</v>
      </c>
      <c r="E604" t="s">
        <v>20</v>
      </c>
      <c r="F604" t="s">
        <v>279</v>
      </c>
      <c r="G604" t="s">
        <v>269</v>
      </c>
      <c r="H604" t="s">
        <v>254</v>
      </c>
      <c r="I604" t="s">
        <v>242</v>
      </c>
      <c r="J604" t="s">
        <v>235</v>
      </c>
      <c r="K604" s="380">
        <v>36923</v>
      </c>
      <c r="L604" s="235">
        <v>-197297.91548149899</v>
      </c>
      <c r="M604" s="380">
        <v>36921</v>
      </c>
      <c r="N604" t="s">
        <v>1</v>
      </c>
      <c r="O604">
        <v>1.52</v>
      </c>
      <c r="P604">
        <v>0</v>
      </c>
      <c r="Q604">
        <v>0</v>
      </c>
      <c r="R604">
        <v>0</v>
      </c>
      <c r="S604">
        <v>0</v>
      </c>
      <c r="T604" t="s">
        <v>253</v>
      </c>
      <c r="U604" t="s">
        <v>7</v>
      </c>
      <c r="V604" t="s">
        <v>253</v>
      </c>
      <c r="W604" t="s">
        <v>132</v>
      </c>
      <c r="X604" t="s">
        <v>253</v>
      </c>
      <c r="Y604" t="s">
        <v>235</v>
      </c>
      <c r="Z604" t="s">
        <v>236</v>
      </c>
      <c r="AA604" t="s">
        <v>253</v>
      </c>
      <c r="AB604" t="s">
        <v>1</v>
      </c>
      <c r="AC604" s="235">
        <v>-500000</v>
      </c>
      <c r="AD604" s="235">
        <v>-41469.98255091664</v>
      </c>
      <c r="AE604">
        <v>0</v>
      </c>
      <c r="AF604">
        <v>0</v>
      </c>
      <c r="AG604">
        <v>0</v>
      </c>
      <c r="AH604" s="235">
        <v>8908.7354140544485</v>
      </c>
      <c r="AI604">
        <v>226</v>
      </c>
      <c r="AJ604" t="s">
        <v>256</v>
      </c>
      <c r="AK604">
        <v>0</v>
      </c>
      <c r="AL604">
        <v>0</v>
      </c>
      <c r="AM604">
        <v>0</v>
      </c>
    </row>
    <row r="605" spans="1:39" x14ac:dyDescent="0.25">
      <c r="A605" t="s">
        <v>233</v>
      </c>
      <c r="B605" t="s">
        <v>553</v>
      </c>
      <c r="C605" t="s">
        <v>255</v>
      </c>
      <c r="D605" t="s">
        <v>234</v>
      </c>
      <c r="E605" t="s">
        <v>20</v>
      </c>
      <c r="F605" t="s">
        <v>279</v>
      </c>
      <c r="G605" t="s">
        <v>269</v>
      </c>
      <c r="H605" t="s">
        <v>254</v>
      </c>
      <c r="I605" t="s">
        <v>242</v>
      </c>
      <c r="J605" t="s">
        <v>235</v>
      </c>
      <c r="K605" s="380">
        <v>36951</v>
      </c>
      <c r="L605" s="235">
        <v>-391150.35527634266</v>
      </c>
      <c r="M605" s="380">
        <v>36949</v>
      </c>
      <c r="N605" t="s">
        <v>1</v>
      </c>
      <c r="O605">
        <v>1.52</v>
      </c>
      <c r="P605">
        <v>0</v>
      </c>
      <c r="Q605">
        <v>0</v>
      </c>
      <c r="R605">
        <v>0</v>
      </c>
      <c r="S605">
        <v>0</v>
      </c>
      <c r="T605" t="s">
        <v>253</v>
      </c>
      <c r="U605" t="s">
        <v>7</v>
      </c>
      <c r="V605" t="s">
        <v>253</v>
      </c>
      <c r="W605" t="s">
        <v>132</v>
      </c>
      <c r="X605" t="s">
        <v>253</v>
      </c>
      <c r="Y605" t="s">
        <v>235</v>
      </c>
      <c r="Z605" t="s">
        <v>236</v>
      </c>
      <c r="AA605" t="s">
        <v>253</v>
      </c>
      <c r="AB605" t="s">
        <v>1</v>
      </c>
      <c r="AC605" s="235">
        <v>-500000</v>
      </c>
      <c r="AD605" s="235">
        <v>-41343.724180626916</v>
      </c>
      <c r="AE605">
        <v>0</v>
      </c>
      <c r="AF605">
        <v>0</v>
      </c>
      <c r="AG605">
        <v>0</v>
      </c>
      <c r="AH605" s="235">
        <v>14768.152718469501</v>
      </c>
      <c r="AI605">
        <v>226</v>
      </c>
      <c r="AJ605" t="s">
        <v>256</v>
      </c>
      <c r="AK605">
        <v>0</v>
      </c>
      <c r="AL605">
        <v>0</v>
      </c>
      <c r="AM605">
        <v>0</v>
      </c>
    </row>
    <row r="606" spans="1:39" x14ac:dyDescent="0.25">
      <c r="A606" t="s">
        <v>233</v>
      </c>
      <c r="B606" t="s">
        <v>554</v>
      </c>
      <c r="C606" t="s">
        <v>255</v>
      </c>
      <c r="D606" t="s">
        <v>234</v>
      </c>
      <c r="E606" t="s">
        <v>20</v>
      </c>
      <c r="F606" t="s">
        <v>320</v>
      </c>
      <c r="G606" t="s">
        <v>269</v>
      </c>
      <c r="H606" t="s">
        <v>254</v>
      </c>
      <c r="I606" t="s">
        <v>242</v>
      </c>
      <c r="J606" t="s">
        <v>235</v>
      </c>
      <c r="K606" s="380">
        <v>36831</v>
      </c>
      <c r="L606" s="235">
        <v>85217.781930585523</v>
      </c>
      <c r="M606" s="380">
        <v>36829</v>
      </c>
      <c r="N606" t="s">
        <v>21</v>
      </c>
      <c r="O606">
        <v>1</v>
      </c>
      <c r="P606">
        <v>0</v>
      </c>
      <c r="Q606">
        <v>0</v>
      </c>
      <c r="R606">
        <v>0</v>
      </c>
      <c r="S606">
        <v>0</v>
      </c>
      <c r="T606" t="s">
        <v>253</v>
      </c>
      <c r="U606" t="s">
        <v>7</v>
      </c>
      <c r="V606" t="s">
        <v>253</v>
      </c>
      <c r="W606" t="s">
        <v>132</v>
      </c>
      <c r="X606" t="s">
        <v>253</v>
      </c>
      <c r="Y606" t="s">
        <v>235</v>
      </c>
      <c r="Z606" t="s">
        <v>236</v>
      </c>
      <c r="AA606" t="s">
        <v>253</v>
      </c>
      <c r="AB606" t="s">
        <v>1</v>
      </c>
      <c r="AC606" s="235">
        <v>500000</v>
      </c>
      <c r="AD606" s="235">
        <v>20906.954671872692</v>
      </c>
      <c r="AE606">
        <v>0</v>
      </c>
      <c r="AF606">
        <v>0</v>
      </c>
      <c r="AG606">
        <v>0</v>
      </c>
      <c r="AH606" s="235">
        <v>8666.5366982964624</v>
      </c>
      <c r="AI606">
        <v>226</v>
      </c>
      <c r="AJ606" t="s">
        <v>256</v>
      </c>
      <c r="AK606">
        <v>0</v>
      </c>
      <c r="AL606">
        <v>0</v>
      </c>
      <c r="AM606">
        <v>0</v>
      </c>
    </row>
    <row r="607" spans="1:39" x14ac:dyDescent="0.25">
      <c r="A607" t="s">
        <v>233</v>
      </c>
      <c r="B607" t="s">
        <v>555</v>
      </c>
      <c r="C607" t="s">
        <v>255</v>
      </c>
      <c r="D607" t="s">
        <v>234</v>
      </c>
      <c r="E607" t="s">
        <v>20</v>
      </c>
      <c r="F607" t="s">
        <v>320</v>
      </c>
      <c r="G607" t="s">
        <v>269</v>
      </c>
      <c r="H607" t="s">
        <v>254</v>
      </c>
      <c r="I607" t="s">
        <v>242</v>
      </c>
      <c r="J607" t="s">
        <v>235</v>
      </c>
      <c r="K607" s="380">
        <v>36831</v>
      </c>
      <c r="L607" s="235">
        <v>-30752.986627736464</v>
      </c>
      <c r="M607" s="380">
        <v>36829</v>
      </c>
      <c r="N607" t="s">
        <v>21</v>
      </c>
      <c r="O607">
        <v>1.5</v>
      </c>
      <c r="P607">
        <v>0</v>
      </c>
      <c r="Q607">
        <v>0</v>
      </c>
      <c r="R607">
        <v>0</v>
      </c>
      <c r="S607">
        <v>0</v>
      </c>
      <c r="T607" t="s">
        <v>253</v>
      </c>
      <c r="U607" t="s">
        <v>7</v>
      </c>
      <c r="V607" t="s">
        <v>253</v>
      </c>
      <c r="W607" t="s">
        <v>132</v>
      </c>
      <c r="X607" t="s">
        <v>253</v>
      </c>
      <c r="Y607" t="s">
        <v>235</v>
      </c>
      <c r="Z607" t="s">
        <v>236</v>
      </c>
      <c r="AA607" t="s">
        <v>253</v>
      </c>
      <c r="AB607" t="s">
        <v>1</v>
      </c>
      <c r="AC607" s="235">
        <v>-500000</v>
      </c>
      <c r="AD607" s="235">
        <v>-13100.363794380231</v>
      </c>
      <c r="AE607">
        <v>0</v>
      </c>
      <c r="AF607">
        <v>0</v>
      </c>
      <c r="AG607">
        <v>0</v>
      </c>
      <c r="AH607" s="235">
        <v>-4120.3343288978867</v>
      </c>
      <c r="AI607">
        <v>226</v>
      </c>
      <c r="AJ607" t="s">
        <v>256</v>
      </c>
      <c r="AK607">
        <v>0</v>
      </c>
      <c r="AL607">
        <v>0</v>
      </c>
      <c r="AM607">
        <v>0</v>
      </c>
    </row>
    <row r="608" spans="1:39" x14ac:dyDescent="0.25">
      <c r="A608" t="s">
        <v>233</v>
      </c>
      <c r="B608" t="s">
        <v>556</v>
      </c>
      <c r="C608" t="s">
        <v>255</v>
      </c>
      <c r="D608" t="s">
        <v>234</v>
      </c>
      <c r="E608" t="s">
        <v>20</v>
      </c>
      <c r="F608" t="s">
        <v>509</v>
      </c>
      <c r="G608" t="s">
        <v>269</v>
      </c>
      <c r="H608" t="s">
        <v>254</v>
      </c>
      <c r="I608" t="s">
        <v>242</v>
      </c>
      <c r="J608" t="s">
        <v>235</v>
      </c>
      <c r="K608" s="380">
        <v>36831</v>
      </c>
      <c r="L608" s="235">
        <v>170435.56386117105</v>
      </c>
      <c r="M608" s="380">
        <v>36829</v>
      </c>
      <c r="N608" t="s">
        <v>21</v>
      </c>
      <c r="O608">
        <v>1</v>
      </c>
      <c r="P608">
        <v>0</v>
      </c>
      <c r="Q608">
        <v>0</v>
      </c>
      <c r="R608">
        <v>0</v>
      </c>
      <c r="S608">
        <v>0</v>
      </c>
      <c r="T608" t="s">
        <v>253</v>
      </c>
      <c r="U608" t="s">
        <v>7</v>
      </c>
      <c r="V608" t="s">
        <v>253</v>
      </c>
      <c r="W608" t="s">
        <v>132</v>
      </c>
      <c r="X608" t="s">
        <v>253</v>
      </c>
      <c r="Y608" t="s">
        <v>235</v>
      </c>
      <c r="Z608" t="s">
        <v>236</v>
      </c>
      <c r="AA608" t="s">
        <v>253</v>
      </c>
      <c r="AB608" t="s">
        <v>1</v>
      </c>
      <c r="AC608" s="235">
        <v>1000000</v>
      </c>
      <c r="AD608" s="235">
        <v>41813.909343745385</v>
      </c>
      <c r="AE608">
        <v>0</v>
      </c>
      <c r="AF608">
        <v>0</v>
      </c>
      <c r="AG608">
        <v>0</v>
      </c>
      <c r="AH608" s="235">
        <v>17333.073396592925</v>
      </c>
      <c r="AI608">
        <v>226</v>
      </c>
      <c r="AJ608" t="s">
        <v>256</v>
      </c>
      <c r="AK608">
        <v>0</v>
      </c>
      <c r="AL608">
        <v>0</v>
      </c>
      <c r="AM608">
        <v>0</v>
      </c>
    </row>
    <row r="609" spans="1:39" x14ac:dyDescent="0.25">
      <c r="A609" t="s">
        <v>233</v>
      </c>
      <c r="B609" t="s">
        <v>557</v>
      </c>
      <c r="C609" t="s">
        <v>255</v>
      </c>
      <c r="D609" t="s">
        <v>234</v>
      </c>
      <c r="E609" t="s">
        <v>20</v>
      </c>
      <c r="F609" t="s">
        <v>383</v>
      </c>
      <c r="G609" t="s">
        <v>269</v>
      </c>
      <c r="H609" t="s">
        <v>254</v>
      </c>
      <c r="I609" t="s">
        <v>242</v>
      </c>
      <c r="J609" t="s">
        <v>235</v>
      </c>
      <c r="K609" s="380">
        <v>36831</v>
      </c>
      <c r="L609" s="235">
        <v>1205.0806471171886</v>
      </c>
      <c r="M609" s="380">
        <v>36829</v>
      </c>
      <c r="N609" t="s">
        <v>21</v>
      </c>
      <c r="O609">
        <v>3</v>
      </c>
      <c r="P609">
        <v>0</v>
      </c>
      <c r="Q609">
        <v>0</v>
      </c>
      <c r="R609">
        <v>0</v>
      </c>
      <c r="S609">
        <v>0</v>
      </c>
      <c r="T609" t="s">
        <v>253</v>
      </c>
      <c r="U609" t="s">
        <v>7</v>
      </c>
      <c r="V609" t="s">
        <v>253</v>
      </c>
      <c r="W609" t="s">
        <v>132</v>
      </c>
      <c r="X609" t="s">
        <v>253</v>
      </c>
      <c r="Y609" t="s">
        <v>235</v>
      </c>
      <c r="Z609" t="s">
        <v>236</v>
      </c>
      <c r="AA609" t="s">
        <v>253</v>
      </c>
      <c r="AB609" t="s">
        <v>1</v>
      </c>
      <c r="AC609" s="235">
        <v>600000</v>
      </c>
      <c r="AD609" s="235">
        <v>1202.8201113391783</v>
      </c>
      <c r="AE609">
        <v>0</v>
      </c>
      <c r="AF609">
        <v>0</v>
      </c>
      <c r="AG609">
        <v>0</v>
      </c>
      <c r="AH609" s="235">
        <v>272.99370759197427</v>
      </c>
      <c r="AI609">
        <v>226</v>
      </c>
      <c r="AJ609" t="s">
        <v>256</v>
      </c>
      <c r="AK609">
        <v>0</v>
      </c>
      <c r="AL609">
        <v>0</v>
      </c>
      <c r="AM609">
        <v>0</v>
      </c>
    </row>
    <row r="610" spans="1:39" x14ac:dyDescent="0.25">
      <c r="A610" t="s">
        <v>233</v>
      </c>
      <c r="B610" t="s">
        <v>557</v>
      </c>
      <c r="C610" t="s">
        <v>255</v>
      </c>
      <c r="D610" t="s">
        <v>234</v>
      </c>
      <c r="E610" t="s">
        <v>20</v>
      </c>
      <c r="F610" t="s">
        <v>383</v>
      </c>
      <c r="G610" t="s">
        <v>269</v>
      </c>
      <c r="H610" t="s">
        <v>254</v>
      </c>
      <c r="I610" t="s">
        <v>242</v>
      </c>
      <c r="J610" t="s">
        <v>235</v>
      </c>
      <c r="K610" s="380">
        <v>36861</v>
      </c>
      <c r="L610" s="235">
        <v>98380.434847597644</v>
      </c>
      <c r="M610" s="380">
        <v>36859</v>
      </c>
      <c r="N610" t="s">
        <v>21</v>
      </c>
      <c r="O610">
        <v>3</v>
      </c>
      <c r="P610">
        <v>0</v>
      </c>
      <c r="Q610">
        <v>0</v>
      </c>
      <c r="R610">
        <v>0</v>
      </c>
      <c r="S610">
        <v>0</v>
      </c>
      <c r="T610" t="s">
        <v>253</v>
      </c>
      <c r="U610" t="s">
        <v>7</v>
      </c>
      <c r="V610" t="s">
        <v>253</v>
      </c>
      <c r="W610" t="s">
        <v>132</v>
      </c>
      <c r="X610" t="s">
        <v>253</v>
      </c>
      <c r="Y610" t="s">
        <v>235</v>
      </c>
      <c r="Z610" t="s">
        <v>236</v>
      </c>
      <c r="AA610" t="s">
        <v>253</v>
      </c>
      <c r="AB610" t="s">
        <v>1</v>
      </c>
      <c r="AC610" s="235">
        <v>620000</v>
      </c>
      <c r="AD610" s="235">
        <v>28858.757202920911</v>
      </c>
      <c r="AE610">
        <v>0</v>
      </c>
      <c r="AF610">
        <v>0</v>
      </c>
      <c r="AG610">
        <v>0</v>
      </c>
      <c r="AH610" s="235">
        <v>7488.5770751843811</v>
      </c>
      <c r="AI610">
        <v>226</v>
      </c>
      <c r="AJ610" t="s">
        <v>256</v>
      </c>
      <c r="AK610">
        <v>0</v>
      </c>
      <c r="AL610">
        <v>0</v>
      </c>
      <c r="AM610">
        <v>0</v>
      </c>
    </row>
    <row r="611" spans="1:39" x14ac:dyDescent="0.25">
      <c r="A611" t="s">
        <v>233</v>
      </c>
      <c r="B611" t="s">
        <v>557</v>
      </c>
      <c r="C611" t="s">
        <v>255</v>
      </c>
      <c r="D611" t="s">
        <v>234</v>
      </c>
      <c r="E611" t="s">
        <v>20</v>
      </c>
      <c r="F611" t="s">
        <v>383</v>
      </c>
      <c r="G611" t="s">
        <v>269</v>
      </c>
      <c r="H611" t="s">
        <v>254</v>
      </c>
      <c r="I611" t="s">
        <v>242</v>
      </c>
      <c r="J611" t="s">
        <v>235</v>
      </c>
      <c r="K611" s="380">
        <v>36892</v>
      </c>
      <c r="L611" s="235">
        <v>239454.61380411187</v>
      </c>
      <c r="M611" s="380">
        <v>36888</v>
      </c>
      <c r="N611" t="s">
        <v>21</v>
      </c>
      <c r="O611">
        <v>3</v>
      </c>
      <c r="P611">
        <v>0</v>
      </c>
      <c r="Q611">
        <v>0</v>
      </c>
      <c r="R611">
        <v>0</v>
      </c>
      <c r="S611">
        <v>0</v>
      </c>
      <c r="T611" t="s">
        <v>253</v>
      </c>
      <c r="U611" t="s">
        <v>7</v>
      </c>
      <c r="V611" t="s">
        <v>253</v>
      </c>
      <c r="W611" t="s">
        <v>132</v>
      </c>
      <c r="X611" t="s">
        <v>253</v>
      </c>
      <c r="Y611" t="s">
        <v>235</v>
      </c>
      <c r="Z611" t="s">
        <v>236</v>
      </c>
      <c r="AA611" t="s">
        <v>253</v>
      </c>
      <c r="AB611" t="s">
        <v>1</v>
      </c>
      <c r="AC611" s="235">
        <v>620000</v>
      </c>
      <c r="AD611" s="235">
        <v>43158.772351980238</v>
      </c>
      <c r="AE611">
        <v>0</v>
      </c>
      <c r="AF611">
        <v>0</v>
      </c>
      <c r="AG611">
        <v>0</v>
      </c>
      <c r="AH611" s="235">
        <v>15581.06275718793</v>
      </c>
      <c r="AI611">
        <v>226</v>
      </c>
      <c r="AJ611" t="s">
        <v>256</v>
      </c>
      <c r="AK611">
        <v>0</v>
      </c>
      <c r="AL611">
        <v>0</v>
      </c>
      <c r="AM611">
        <v>0</v>
      </c>
    </row>
    <row r="612" spans="1:39" x14ac:dyDescent="0.25">
      <c r="A612" t="s">
        <v>233</v>
      </c>
      <c r="B612" t="s">
        <v>557</v>
      </c>
      <c r="C612" t="s">
        <v>255</v>
      </c>
      <c r="D612" t="s">
        <v>234</v>
      </c>
      <c r="E612" t="s">
        <v>20</v>
      </c>
      <c r="F612" t="s">
        <v>383</v>
      </c>
      <c r="G612" t="s">
        <v>269</v>
      </c>
      <c r="H612" t="s">
        <v>254</v>
      </c>
      <c r="I612" t="s">
        <v>242</v>
      </c>
      <c r="J612" t="s">
        <v>235</v>
      </c>
      <c r="K612" s="380">
        <v>36923</v>
      </c>
      <c r="L612" s="235">
        <v>223934.6101304621</v>
      </c>
      <c r="M612" s="380">
        <v>36921</v>
      </c>
      <c r="N612" t="s">
        <v>21</v>
      </c>
      <c r="O612">
        <v>3</v>
      </c>
      <c r="P612">
        <v>0</v>
      </c>
      <c r="Q612">
        <v>0</v>
      </c>
      <c r="R612">
        <v>0</v>
      </c>
      <c r="S612">
        <v>0</v>
      </c>
      <c r="T612" t="s">
        <v>253</v>
      </c>
      <c r="U612" t="s">
        <v>7</v>
      </c>
      <c r="V612" t="s">
        <v>253</v>
      </c>
      <c r="W612" t="s">
        <v>132</v>
      </c>
      <c r="X612" t="s">
        <v>253</v>
      </c>
      <c r="Y612" t="s">
        <v>235</v>
      </c>
      <c r="Z612" t="s">
        <v>236</v>
      </c>
      <c r="AA612" t="s">
        <v>253</v>
      </c>
      <c r="AB612" t="s">
        <v>1</v>
      </c>
      <c r="AC612" s="235">
        <v>560000</v>
      </c>
      <c r="AD612" s="235">
        <v>42315.59829748224</v>
      </c>
      <c r="AE612">
        <v>0</v>
      </c>
      <c r="AF612">
        <v>0</v>
      </c>
      <c r="AG612">
        <v>0</v>
      </c>
      <c r="AH612" s="235">
        <v>16178.248366512387</v>
      </c>
      <c r="AI612">
        <v>226</v>
      </c>
      <c r="AJ612" t="s">
        <v>256</v>
      </c>
      <c r="AK612">
        <v>0</v>
      </c>
      <c r="AL612">
        <v>0</v>
      </c>
      <c r="AM612">
        <v>0</v>
      </c>
    </row>
    <row r="613" spans="1:39" x14ac:dyDescent="0.25">
      <c r="A613" t="s">
        <v>233</v>
      </c>
      <c r="B613" t="s">
        <v>557</v>
      </c>
      <c r="C613" t="s">
        <v>255</v>
      </c>
      <c r="D613" t="s">
        <v>234</v>
      </c>
      <c r="E613" t="s">
        <v>20</v>
      </c>
      <c r="F613" t="s">
        <v>383</v>
      </c>
      <c r="G613" t="s">
        <v>269</v>
      </c>
      <c r="H613" t="s">
        <v>254</v>
      </c>
      <c r="I613" t="s">
        <v>242</v>
      </c>
      <c r="J613" t="s">
        <v>235</v>
      </c>
      <c r="K613" s="380">
        <v>36951</v>
      </c>
      <c r="L613" s="235">
        <v>65270.815712512427</v>
      </c>
      <c r="M613" s="380">
        <v>36949</v>
      </c>
      <c r="N613" t="s">
        <v>21</v>
      </c>
      <c r="O613">
        <v>3</v>
      </c>
      <c r="P613">
        <v>0</v>
      </c>
      <c r="Q613">
        <v>0</v>
      </c>
      <c r="R613">
        <v>0</v>
      </c>
      <c r="S613">
        <v>0</v>
      </c>
      <c r="T613" t="s">
        <v>253</v>
      </c>
      <c r="U613" t="s">
        <v>7</v>
      </c>
      <c r="V613" t="s">
        <v>253</v>
      </c>
      <c r="W613" t="s">
        <v>132</v>
      </c>
      <c r="X613" t="s">
        <v>253</v>
      </c>
      <c r="Y613" t="s">
        <v>235</v>
      </c>
      <c r="Z613" t="s">
        <v>236</v>
      </c>
      <c r="AA613" t="s">
        <v>253</v>
      </c>
      <c r="AB613" t="s">
        <v>1</v>
      </c>
      <c r="AC613" s="235">
        <v>620000</v>
      </c>
      <c r="AD613" s="235">
        <v>27765.523854694417</v>
      </c>
      <c r="AE613">
        <v>0</v>
      </c>
      <c r="AF613">
        <v>0</v>
      </c>
      <c r="AG613">
        <v>0</v>
      </c>
      <c r="AH613" s="235">
        <v>7036.9771372781179</v>
      </c>
      <c r="AI613">
        <v>226</v>
      </c>
      <c r="AJ613" t="s">
        <v>256</v>
      </c>
      <c r="AK613">
        <v>0</v>
      </c>
      <c r="AL613">
        <v>0</v>
      </c>
      <c r="AM613">
        <v>0</v>
      </c>
    </row>
    <row r="614" spans="1:39" x14ac:dyDescent="0.25">
      <c r="A614" t="s">
        <v>233</v>
      </c>
      <c r="B614" t="s">
        <v>558</v>
      </c>
      <c r="C614" t="s">
        <v>255</v>
      </c>
      <c r="D614" t="s">
        <v>234</v>
      </c>
      <c r="E614" t="s">
        <v>20</v>
      </c>
      <c r="F614" t="s">
        <v>383</v>
      </c>
      <c r="G614" t="s">
        <v>269</v>
      </c>
      <c r="H614" t="s">
        <v>254</v>
      </c>
      <c r="I614" t="s">
        <v>242</v>
      </c>
      <c r="J614" t="s">
        <v>235</v>
      </c>
      <c r="K614" s="380">
        <v>36831</v>
      </c>
      <c r="L614" s="235">
        <v>-376.48296695295551</v>
      </c>
      <c r="M614" s="380">
        <v>36829</v>
      </c>
      <c r="N614" t="s">
        <v>21</v>
      </c>
      <c r="O614">
        <v>3.5</v>
      </c>
      <c r="P614">
        <v>0</v>
      </c>
      <c r="Q614">
        <v>0</v>
      </c>
      <c r="R614">
        <v>0</v>
      </c>
      <c r="S614">
        <v>0</v>
      </c>
      <c r="T614" t="s">
        <v>253</v>
      </c>
      <c r="U614" t="s">
        <v>7</v>
      </c>
      <c r="V614" t="s">
        <v>253</v>
      </c>
      <c r="W614" t="s">
        <v>132</v>
      </c>
      <c r="X614" t="s">
        <v>253</v>
      </c>
      <c r="Y614" t="s">
        <v>235</v>
      </c>
      <c r="Z614" t="s">
        <v>236</v>
      </c>
      <c r="AA614" t="s">
        <v>253</v>
      </c>
      <c r="AB614" t="s">
        <v>1</v>
      </c>
      <c r="AC614" s="235">
        <v>-600000</v>
      </c>
      <c r="AD614" s="235">
        <v>-442.14085008445227</v>
      </c>
      <c r="AE614">
        <v>0</v>
      </c>
      <c r="AF614">
        <v>0</v>
      </c>
      <c r="AG614">
        <v>0</v>
      </c>
      <c r="AH614" s="235">
        <v>-96.22004406551855</v>
      </c>
      <c r="AI614">
        <v>226</v>
      </c>
      <c r="AJ614" t="s">
        <v>256</v>
      </c>
      <c r="AK614">
        <v>0</v>
      </c>
      <c r="AL614">
        <v>0</v>
      </c>
      <c r="AM614">
        <v>0</v>
      </c>
    </row>
    <row r="615" spans="1:39" x14ac:dyDescent="0.25">
      <c r="A615" t="s">
        <v>233</v>
      </c>
      <c r="B615" t="s">
        <v>558</v>
      </c>
      <c r="C615" t="s">
        <v>255</v>
      </c>
      <c r="D615" t="s">
        <v>234</v>
      </c>
      <c r="E615" t="s">
        <v>20</v>
      </c>
      <c r="F615" t="s">
        <v>383</v>
      </c>
      <c r="G615" t="s">
        <v>269</v>
      </c>
      <c r="H615" t="s">
        <v>254</v>
      </c>
      <c r="I615" t="s">
        <v>242</v>
      </c>
      <c r="J615" t="s">
        <v>235</v>
      </c>
      <c r="K615" s="380">
        <v>36861</v>
      </c>
      <c r="L615" s="235">
        <v>-62687.997355839769</v>
      </c>
      <c r="M615" s="380">
        <v>36859</v>
      </c>
      <c r="N615" t="s">
        <v>21</v>
      </c>
      <c r="O615">
        <v>3.5</v>
      </c>
      <c r="P615">
        <v>0</v>
      </c>
      <c r="Q615">
        <v>0</v>
      </c>
      <c r="R615">
        <v>0</v>
      </c>
      <c r="S615">
        <v>0</v>
      </c>
      <c r="T615" t="s">
        <v>253</v>
      </c>
      <c r="U615" t="s">
        <v>7</v>
      </c>
      <c r="V615" t="s">
        <v>253</v>
      </c>
      <c r="W615" t="s">
        <v>132</v>
      </c>
      <c r="X615" t="s">
        <v>253</v>
      </c>
      <c r="Y615" t="s">
        <v>235</v>
      </c>
      <c r="Z615" t="s">
        <v>236</v>
      </c>
      <c r="AA615" t="s">
        <v>253</v>
      </c>
      <c r="AB615" t="s">
        <v>1</v>
      </c>
      <c r="AC615" s="235">
        <v>-620000</v>
      </c>
      <c r="AD615" s="235">
        <v>-22080.794746038315</v>
      </c>
      <c r="AE615">
        <v>0</v>
      </c>
      <c r="AF615">
        <v>0</v>
      </c>
      <c r="AG615">
        <v>0</v>
      </c>
      <c r="AH615" s="235">
        <v>-5271.0294460554142</v>
      </c>
      <c r="AI615">
        <v>226</v>
      </c>
      <c r="AJ615" t="s">
        <v>256</v>
      </c>
      <c r="AK615">
        <v>0</v>
      </c>
      <c r="AL615">
        <v>0</v>
      </c>
      <c r="AM615">
        <v>0</v>
      </c>
    </row>
    <row r="616" spans="1:39" x14ac:dyDescent="0.25">
      <c r="A616" t="s">
        <v>233</v>
      </c>
      <c r="B616" t="s">
        <v>558</v>
      </c>
      <c r="C616" t="s">
        <v>255</v>
      </c>
      <c r="D616" t="s">
        <v>234</v>
      </c>
      <c r="E616" t="s">
        <v>20</v>
      </c>
      <c r="F616" t="s">
        <v>383</v>
      </c>
      <c r="G616" t="s">
        <v>269</v>
      </c>
      <c r="H616" t="s">
        <v>254</v>
      </c>
      <c r="I616" t="s">
        <v>242</v>
      </c>
      <c r="J616" t="s">
        <v>235</v>
      </c>
      <c r="K616" s="380">
        <v>36892</v>
      </c>
      <c r="L616" s="235">
        <v>-173343.28879764219</v>
      </c>
      <c r="M616" s="380">
        <v>36888</v>
      </c>
      <c r="N616" t="s">
        <v>21</v>
      </c>
      <c r="O616">
        <v>3.5</v>
      </c>
      <c r="P616">
        <v>0</v>
      </c>
      <c r="Q616">
        <v>0</v>
      </c>
      <c r="R616">
        <v>0</v>
      </c>
      <c r="S616">
        <v>0</v>
      </c>
      <c r="T616" t="s">
        <v>253</v>
      </c>
      <c r="U616" t="s">
        <v>7</v>
      </c>
      <c r="V616" t="s">
        <v>253</v>
      </c>
      <c r="W616" t="s">
        <v>132</v>
      </c>
      <c r="X616" t="s">
        <v>253</v>
      </c>
      <c r="Y616" t="s">
        <v>235</v>
      </c>
      <c r="Z616" t="s">
        <v>236</v>
      </c>
      <c r="AA616" t="s">
        <v>253</v>
      </c>
      <c r="AB616" t="s">
        <v>1</v>
      </c>
      <c r="AC616" s="235">
        <v>-620000</v>
      </c>
      <c r="AD616" s="235">
        <v>-37632.922740107722</v>
      </c>
      <c r="AE616">
        <v>0</v>
      </c>
      <c r="AF616">
        <v>0</v>
      </c>
      <c r="AG616">
        <v>0</v>
      </c>
      <c r="AH616" s="235">
        <v>-12309.091345694498</v>
      </c>
      <c r="AI616">
        <v>226</v>
      </c>
      <c r="AJ616" t="s">
        <v>256</v>
      </c>
      <c r="AK616">
        <v>0</v>
      </c>
      <c r="AL616">
        <v>0</v>
      </c>
      <c r="AM616">
        <v>0</v>
      </c>
    </row>
    <row r="617" spans="1:39" x14ac:dyDescent="0.25">
      <c r="A617" t="s">
        <v>233</v>
      </c>
      <c r="B617" t="s">
        <v>558</v>
      </c>
      <c r="C617" t="s">
        <v>255</v>
      </c>
      <c r="D617" t="s">
        <v>234</v>
      </c>
      <c r="E617" t="s">
        <v>20</v>
      </c>
      <c r="F617" t="s">
        <v>383</v>
      </c>
      <c r="G617" t="s">
        <v>269</v>
      </c>
      <c r="H617" t="s">
        <v>254</v>
      </c>
      <c r="I617" t="s">
        <v>242</v>
      </c>
      <c r="J617" t="s">
        <v>235</v>
      </c>
      <c r="K617" s="380">
        <v>36923</v>
      </c>
      <c r="L617" s="235">
        <v>-166763.06623589597</v>
      </c>
      <c r="M617" s="380">
        <v>36921</v>
      </c>
      <c r="N617" t="s">
        <v>21</v>
      </c>
      <c r="O617">
        <v>3.5</v>
      </c>
      <c r="P617">
        <v>0</v>
      </c>
      <c r="Q617">
        <v>0</v>
      </c>
      <c r="R617">
        <v>0</v>
      </c>
      <c r="S617">
        <v>0</v>
      </c>
      <c r="T617" t="s">
        <v>253</v>
      </c>
      <c r="U617" t="s">
        <v>7</v>
      </c>
      <c r="V617" t="s">
        <v>253</v>
      </c>
      <c r="W617" t="s">
        <v>132</v>
      </c>
      <c r="X617" t="s">
        <v>253</v>
      </c>
      <c r="Y617" t="s">
        <v>235</v>
      </c>
      <c r="Z617" t="s">
        <v>236</v>
      </c>
      <c r="AA617" t="s">
        <v>253</v>
      </c>
      <c r="AB617" t="s">
        <v>1</v>
      </c>
      <c r="AC617" s="235">
        <v>-560000</v>
      </c>
      <c r="AD617" s="235">
        <v>-37260.176558340827</v>
      </c>
      <c r="AE617">
        <v>0</v>
      </c>
      <c r="AF617">
        <v>0</v>
      </c>
      <c r="AG617">
        <v>0</v>
      </c>
      <c r="AH617" s="235">
        <v>-13016.670418473892</v>
      </c>
      <c r="AI617">
        <v>226</v>
      </c>
      <c r="AJ617" t="s">
        <v>256</v>
      </c>
      <c r="AK617">
        <v>0</v>
      </c>
      <c r="AL617">
        <v>0</v>
      </c>
      <c r="AM617">
        <v>0</v>
      </c>
    </row>
    <row r="618" spans="1:39" x14ac:dyDescent="0.25">
      <c r="A618" t="s">
        <v>233</v>
      </c>
      <c r="B618" t="s">
        <v>558</v>
      </c>
      <c r="C618" t="s">
        <v>255</v>
      </c>
      <c r="D618" t="s">
        <v>234</v>
      </c>
      <c r="E618" t="s">
        <v>20</v>
      </c>
      <c r="F618" t="s">
        <v>383</v>
      </c>
      <c r="G618" t="s">
        <v>269</v>
      </c>
      <c r="H618" t="s">
        <v>254</v>
      </c>
      <c r="I618" t="s">
        <v>242</v>
      </c>
      <c r="J618" t="s">
        <v>235</v>
      </c>
      <c r="K618" s="380">
        <v>36951</v>
      </c>
      <c r="L618" s="235">
        <v>-43888.798559444032</v>
      </c>
      <c r="M618" s="380">
        <v>36949</v>
      </c>
      <c r="N618" t="s">
        <v>21</v>
      </c>
      <c r="O618">
        <v>3.5</v>
      </c>
      <c r="P618">
        <v>0</v>
      </c>
      <c r="Q618">
        <v>0</v>
      </c>
      <c r="R618">
        <v>0</v>
      </c>
      <c r="S618">
        <v>0</v>
      </c>
      <c r="T618" t="s">
        <v>253</v>
      </c>
      <c r="U618" t="s">
        <v>7</v>
      </c>
      <c r="V618" t="s">
        <v>253</v>
      </c>
      <c r="W618" t="s">
        <v>132</v>
      </c>
      <c r="X618" t="s">
        <v>253</v>
      </c>
      <c r="Y618" t="s">
        <v>235</v>
      </c>
      <c r="Z618" t="s">
        <v>236</v>
      </c>
      <c r="AA618" t="s">
        <v>253</v>
      </c>
      <c r="AB618" t="s">
        <v>1</v>
      </c>
      <c r="AC618" s="235">
        <v>-620000</v>
      </c>
      <c r="AD618" s="235">
        <v>-21257.678188480451</v>
      </c>
      <c r="AE618">
        <v>0</v>
      </c>
      <c r="AF618">
        <v>0</v>
      </c>
      <c r="AG618">
        <v>0</v>
      </c>
      <c r="AH618" s="235">
        <v>-5067.7939089654537</v>
      </c>
      <c r="AI618">
        <v>226</v>
      </c>
      <c r="AJ618" t="s">
        <v>256</v>
      </c>
      <c r="AK618">
        <v>0</v>
      </c>
      <c r="AL618">
        <v>0</v>
      </c>
      <c r="AM618">
        <v>0</v>
      </c>
    </row>
    <row r="619" spans="1:39" x14ac:dyDescent="0.25">
      <c r="A619" t="s">
        <v>233</v>
      </c>
      <c r="B619" t="s">
        <v>559</v>
      </c>
      <c r="C619" t="s">
        <v>255</v>
      </c>
      <c r="D619" t="s">
        <v>234</v>
      </c>
      <c r="E619" t="s">
        <v>20</v>
      </c>
      <c r="F619" t="s">
        <v>279</v>
      </c>
      <c r="G619" t="s">
        <v>269</v>
      </c>
      <c r="H619" t="s">
        <v>254</v>
      </c>
      <c r="I619" t="s">
        <v>242</v>
      </c>
      <c r="J619" t="s">
        <v>235</v>
      </c>
      <c r="K619" s="380">
        <v>36861</v>
      </c>
      <c r="L619" s="235">
        <v>-79339.060360965843</v>
      </c>
      <c r="M619" s="380">
        <v>36859</v>
      </c>
      <c r="N619" t="s">
        <v>21</v>
      </c>
      <c r="O619">
        <v>3</v>
      </c>
      <c r="P619">
        <v>0</v>
      </c>
      <c r="Q619">
        <v>0</v>
      </c>
      <c r="R619">
        <v>0</v>
      </c>
      <c r="S619">
        <v>0</v>
      </c>
      <c r="T619" t="s">
        <v>253</v>
      </c>
      <c r="U619" t="s">
        <v>7</v>
      </c>
      <c r="V619" t="s">
        <v>253</v>
      </c>
      <c r="W619" t="s">
        <v>132</v>
      </c>
      <c r="X619" t="s">
        <v>253</v>
      </c>
      <c r="Y619" t="s">
        <v>235</v>
      </c>
      <c r="Z619" t="s">
        <v>236</v>
      </c>
      <c r="AA619" t="s">
        <v>253</v>
      </c>
      <c r="AB619" t="s">
        <v>1</v>
      </c>
      <c r="AC619" s="235">
        <v>-500000</v>
      </c>
      <c r="AD619" s="235">
        <v>-23273.191292678166</v>
      </c>
      <c r="AE619">
        <v>0</v>
      </c>
      <c r="AF619">
        <v>0</v>
      </c>
      <c r="AG619">
        <v>0</v>
      </c>
      <c r="AH619" s="235">
        <v>-6039.1750606325804</v>
      </c>
      <c r="AI619">
        <v>226</v>
      </c>
      <c r="AJ619" t="s">
        <v>256</v>
      </c>
      <c r="AK619">
        <v>0</v>
      </c>
      <c r="AL619">
        <v>0</v>
      </c>
      <c r="AM619">
        <v>0</v>
      </c>
    </row>
    <row r="620" spans="1:39" x14ac:dyDescent="0.25">
      <c r="A620" t="s">
        <v>233</v>
      </c>
      <c r="B620" t="s">
        <v>559</v>
      </c>
      <c r="C620" t="s">
        <v>255</v>
      </c>
      <c r="D620" t="s">
        <v>234</v>
      </c>
      <c r="E620" t="s">
        <v>20</v>
      </c>
      <c r="F620" t="s">
        <v>279</v>
      </c>
      <c r="G620" t="s">
        <v>269</v>
      </c>
      <c r="H620" t="s">
        <v>254</v>
      </c>
      <c r="I620" t="s">
        <v>242</v>
      </c>
      <c r="J620" t="s">
        <v>235</v>
      </c>
      <c r="K620" s="380">
        <v>36892</v>
      </c>
      <c r="L620" s="235">
        <v>-193108.55951944506</v>
      </c>
      <c r="M620" s="380">
        <v>36888</v>
      </c>
      <c r="N620" t="s">
        <v>21</v>
      </c>
      <c r="O620">
        <v>3</v>
      </c>
      <c r="P620">
        <v>0</v>
      </c>
      <c r="Q620">
        <v>0</v>
      </c>
      <c r="R620">
        <v>0</v>
      </c>
      <c r="S620">
        <v>0</v>
      </c>
      <c r="T620" t="s">
        <v>253</v>
      </c>
      <c r="U620" t="s">
        <v>7</v>
      </c>
      <c r="V620" t="s">
        <v>253</v>
      </c>
      <c r="W620" t="s">
        <v>132</v>
      </c>
      <c r="X620" t="s">
        <v>253</v>
      </c>
      <c r="Y620" t="s">
        <v>235</v>
      </c>
      <c r="Z620" t="s">
        <v>236</v>
      </c>
      <c r="AA620" t="s">
        <v>253</v>
      </c>
      <c r="AB620" t="s">
        <v>1</v>
      </c>
      <c r="AC620" s="235">
        <v>-500000</v>
      </c>
      <c r="AD620" s="235">
        <v>-34805.461574177607</v>
      </c>
      <c r="AE620">
        <v>0</v>
      </c>
      <c r="AF620">
        <v>0</v>
      </c>
      <c r="AG620">
        <v>0</v>
      </c>
      <c r="AH620" s="235">
        <v>-12565.373191280582</v>
      </c>
      <c r="AI620">
        <v>226</v>
      </c>
      <c r="AJ620" t="s">
        <v>256</v>
      </c>
      <c r="AK620">
        <v>0</v>
      </c>
      <c r="AL620">
        <v>0</v>
      </c>
      <c r="AM620">
        <v>0</v>
      </c>
    </row>
    <row r="621" spans="1:39" x14ac:dyDescent="0.25">
      <c r="A621" t="s">
        <v>233</v>
      </c>
      <c r="B621" t="s">
        <v>559</v>
      </c>
      <c r="C621" t="s">
        <v>255</v>
      </c>
      <c r="D621" t="s">
        <v>234</v>
      </c>
      <c r="E621" t="s">
        <v>20</v>
      </c>
      <c r="F621" t="s">
        <v>279</v>
      </c>
      <c r="G621" t="s">
        <v>269</v>
      </c>
      <c r="H621" t="s">
        <v>254</v>
      </c>
      <c r="I621" t="s">
        <v>242</v>
      </c>
      <c r="J621" t="s">
        <v>235</v>
      </c>
      <c r="K621" s="380">
        <v>36923</v>
      </c>
      <c r="L621" s="235">
        <v>-199941.61618791259</v>
      </c>
      <c r="M621" s="380">
        <v>36921</v>
      </c>
      <c r="N621" t="s">
        <v>21</v>
      </c>
      <c r="O621">
        <v>3</v>
      </c>
      <c r="P621">
        <v>0</v>
      </c>
      <c r="Q621">
        <v>0</v>
      </c>
      <c r="R621">
        <v>0</v>
      </c>
      <c r="S621">
        <v>0</v>
      </c>
      <c r="T621" t="s">
        <v>253</v>
      </c>
      <c r="U621" t="s">
        <v>7</v>
      </c>
      <c r="V621" t="s">
        <v>253</v>
      </c>
      <c r="W621" t="s">
        <v>132</v>
      </c>
      <c r="X621" t="s">
        <v>253</v>
      </c>
      <c r="Y621" t="s">
        <v>235</v>
      </c>
      <c r="Z621" t="s">
        <v>236</v>
      </c>
      <c r="AA621" t="s">
        <v>253</v>
      </c>
      <c r="AB621" t="s">
        <v>1</v>
      </c>
      <c r="AC621" s="235">
        <v>-500000</v>
      </c>
      <c r="AD621" s="235">
        <v>-37781.784194180567</v>
      </c>
      <c r="AE621">
        <v>0</v>
      </c>
      <c r="AF621">
        <v>0</v>
      </c>
      <c r="AG621">
        <v>0</v>
      </c>
      <c r="AH621" s="235">
        <v>-14444.864612957492</v>
      </c>
      <c r="AI621">
        <v>226</v>
      </c>
      <c r="AJ621" t="s">
        <v>256</v>
      </c>
      <c r="AK621">
        <v>0</v>
      </c>
      <c r="AL621">
        <v>0</v>
      </c>
      <c r="AM621">
        <v>0</v>
      </c>
    </row>
    <row r="622" spans="1:39" x14ac:dyDescent="0.25">
      <c r="A622" t="s">
        <v>233</v>
      </c>
      <c r="B622" t="s">
        <v>560</v>
      </c>
      <c r="C622" t="s">
        <v>255</v>
      </c>
      <c r="D622" t="s">
        <v>234</v>
      </c>
      <c r="E622" t="s">
        <v>20</v>
      </c>
      <c r="F622" t="s">
        <v>480</v>
      </c>
      <c r="G622" t="s">
        <v>269</v>
      </c>
      <c r="H622" t="s">
        <v>254</v>
      </c>
      <c r="I622" t="s">
        <v>242</v>
      </c>
      <c r="J622" t="s">
        <v>235</v>
      </c>
      <c r="K622" s="380">
        <v>36800</v>
      </c>
      <c r="L622" s="235">
        <v>-57871.311977611469</v>
      </c>
      <c r="M622" s="380">
        <v>36797</v>
      </c>
      <c r="N622" t="s">
        <v>1</v>
      </c>
      <c r="O622">
        <v>0.4</v>
      </c>
      <c r="P622">
        <v>0</v>
      </c>
      <c r="Q622">
        <v>0</v>
      </c>
      <c r="R622">
        <v>0</v>
      </c>
      <c r="S622">
        <v>0</v>
      </c>
      <c r="T622" t="s">
        <v>253</v>
      </c>
      <c r="U622" t="s">
        <v>7</v>
      </c>
      <c r="V622" t="s">
        <v>253</v>
      </c>
      <c r="W622" t="s">
        <v>132</v>
      </c>
      <c r="X622" t="s">
        <v>253</v>
      </c>
      <c r="Y622" t="s">
        <v>235</v>
      </c>
      <c r="Z622" t="s">
        <v>236</v>
      </c>
      <c r="AA622" t="s">
        <v>253</v>
      </c>
      <c r="AB622" t="s">
        <v>1</v>
      </c>
      <c r="AC622" s="235">
        <v>-1550000</v>
      </c>
      <c r="AD622" s="235">
        <v>-10116.427552524721</v>
      </c>
      <c r="AE622">
        <v>0</v>
      </c>
      <c r="AF622">
        <v>0</v>
      </c>
      <c r="AG622">
        <v>0</v>
      </c>
      <c r="AH622" s="235">
        <v>-576.2777377876555</v>
      </c>
      <c r="AI622">
        <v>226</v>
      </c>
      <c r="AJ622" t="s">
        <v>256</v>
      </c>
      <c r="AK622">
        <v>0</v>
      </c>
      <c r="AL622">
        <v>0</v>
      </c>
      <c r="AM622">
        <v>0</v>
      </c>
    </row>
    <row r="623" spans="1:39" x14ac:dyDescent="0.25">
      <c r="A623" t="s">
        <v>233</v>
      </c>
      <c r="B623" t="s">
        <v>561</v>
      </c>
      <c r="C623" t="s">
        <v>255</v>
      </c>
      <c r="D623" t="s">
        <v>234</v>
      </c>
      <c r="E623" t="s">
        <v>20</v>
      </c>
      <c r="F623" t="s">
        <v>320</v>
      </c>
      <c r="G623" t="s">
        <v>269</v>
      </c>
      <c r="H623" t="s">
        <v>254</v>
      </c>
      <c r="I623" t="s">
        <v>242</v>
      </c>
      <c r="J623" t="s">
        <v>235</v>
      </c>
      <c r="K623" s="380">
        <v>36770</v>
      </c>
      <c r="L623" s="235">
        <v>599779.28578905668</v>
      </c>
      <c r="M623" s="380">
        <v>36768</v>
      </c>
      <c r="N623" t="s">
        <v>21</v>
      </c>
      <c r="O623">
        <v>0.5</v>
      </c>
      <c r="P623">
        <v>0</v>
      </c>
      <c r="Q623">
        <v>0</v>
      </c>
      <c r="R623">
        <v>0</v>
      </c>
      <c r="S623">
        <v>0</v>
      </c>
      <c r="T623" t="s">
        <v>253</v>
      </c>
      <c r="U623" t="s">
        <v>190</v>
      </c>
      <c r="V623" t="s">
        <v>253</v>
      </c>
      <c r="W623" t="s">
        <v>132</v>
      </c>
      <c r="X623" t="s">
        <v>253</v>
      </c>
      <c r="Y623" t="s">
        <v>235</v>
      </c>
      <c r="Z623" t="s">
        <v>236</v>
      </c>
      <c r="AA623" t="s">
        <v>253</v>
      </c>
      <c r="AB623" t="s">
        <v>1</v>
      </c>
      <c r="AC623" s="235">
        <v>300000</v>
      </c>
      <c r="AD623" s="235">
        <v>-1.1970857449341565E-2</v>
      </c>
      <c r="AE623">
        <v>0</v>
      </c>
      <c r="AF623">
        <v>0</v>
      </c>
      <c r="AG623">
        <v>0</v>
      </c>
      <c r="AH623" s="235">
        <v>79426.947140948323</v>
      </c>
      <c r="AI623">
        <v>226</v>
      </c>
      <c r="AJ623" t="s">
        <v>256</v>
      </c>
      <c r="AK623">
        <v>0</v>
      </c>
      <c r="AL623">
        <v>0</v>
      </c>
      <c r="AM623">
        <v>0</v>
      </c>
    </row>
    <row r="624" spans="1:39" x14ac:dyDescent="0.25">
      <c r="A624" t="s">
        <v>233</v>
      </c>
      <c r="B624" t="s">
        <v>562</v>
      </c>
      <c r="C624" t="s">
        <v>255</v>
      </c>
      <c r="D624" t="s">
        <v>234</v>
      </c>
      <c r="E624" t="s">
        <v>20</v>
      </c>
      <c r="F624" t="s">
        <v>363</v>
      </c>
      <c r="G624" t="s">
        <v>269</v>
      </c>
      <c r="H624" t="s">
        <v>254</v>
      </c>
      <c r="I624" t="s">
        <v>242</v>
      </c>
      <c r="J624" t="s">
        <v>235</v>
      </c>
      <c r="K624" s="380">
        <v>36982</v>
      </c>
      <c r="L624" s="235">
        <v>-89457.700994347644</v>
      </c>
      <c r="M624" s="380">
        <v>36979</v>
      </c>
      <c r="N624" t="s">
        <v>21</v>
      </c>
      <c r="O624">
        <v>0.7</v>
      </c>
      <c r="P624">
        <v>0</v>
      </c>
      <c r="Q624">
        <v>0</v>
      </c>
      <c r="R624">
        <v>0</v>
      </c>
      <c r="S624">
        <v>0</v>
      </c>
      <c r="T624" t="s">
        <v>253</v>
      </c>
      <c r="U624" t="s">
        <v>7</v>
      </c>
      <c r="V624" t="s">
        <v>253</v>
      </c>
      <c r="W624" t="s">
        <v>132</v>
      </c>
      <c r="X624" t="s">
        <v>253</v>
      </c>
      <c r="Y624" t="s">
        <v>235</v>
      </c>
      <c r="Z624" t="s">
        <v>236</v>
      </c>
      <c r="AA624" t="s">
        <v>253</v>
      </c>
      <c r="AB624" t="s">
        <v>1</v>
      </c>
      <c r="AC624" s="235">
        <v>-1200000</v>
      </c>
      <c r="AD624" s="235">
        <v>-26282.982115571212</v>
      </c>
      <c r="AE624">
        <v>0</v>
      </c>
      <c r="AF624">
        <v>0</v>
      </c>
      <c r="AG624">
        <v>0</v>
      </c>
      <c r="AH624" s="235">
        <v>-1250.6989044985821</v>
      </c>
      <c r="AI624">
        <v>226</v>
      </c>
      <c r="AJ624" t="s">
        <v>256</v>
      </c>
      <c r="AK624">
        <v>0</v>
      </c>
      <c r="AL624">
        <v>0</v>
      </c>
      <c r="AM624">
        <v>0</v>
      </c>
    </row>
    <row r="625" spans="1:39" x14ac:dyDescent="0.25">
      <c r="A625" t="s">
        <v>233</v>
      </c>
      <c r="B625" t="s">
        <v>564</v>
      </c>
      <c r="C625" t="s">
        <v>255</v>
      </c>
      <c r="D625" t="s">
        <v>234</v>
      </c>
      <c r="E625" t="s">
        <v>20</v>
      </c>
      <c r="F625" t="s">
        <v>276</v>
      </c>
      <c r="G625" t="s">
        <v>269</v>
      </c>
      <c r="H625" t="s">
        <v>254</v>
      </c>
      <c r="I625" t="s">
        <v>242</v>
      </c>
      <c r="J625" t="s">
        <v>235</v>
      </c>
      <c r="K625" s="380">
        <v>36831</v>
      </c>
      <c r="L625" s="235">
        <v>365285.37794140994</v>
      </c>
      <c r="M625" s="380">
        <v>36829</v>
      </c>
      <c r="N625" t="s">
        <v>1</v>
      </c>
      <c r="O625">
        <v>0.95</v>
      </c>
      <c r="P625">
        <v>0</v>
      </c>
      <c r="Q625">
        <v>0</v>
      </c>
      <c r="R625">
        <v>0</v>
      </c>
      <c r="S625">
        <v>0</v>
      </c>
      <c r="T625" t="s">
        <v>253</v>
      </c>
      <c r="U625" t="s">
        <v>7</v>
      </c>
      <c r="V625" t="s">
        <v>253</v>
      </c>
      <c r="W625" t="s">
        <v>132</v>
      </c>
      <c r="X625" t="s">
        <v>253</v>
      </c>
      <c r="Y625" t="s">
        <v>235</v>
      </c>
      <c r="Z625" t="s">
        <v>236</v>
      </c>
      <c r="AA625" t="s">
        <v>253</v>
      </c>
      <c r="AB625" t="s">
        <v>1</v>
      </c>
      <c r="AC625" s="235">
        <v>1000000</v>
      </c>
      <c r="AD625" s="235">
        <v>42890.904280145071</v>
      </c>
      <c r="AE625">
        <v>0</v>
      </c>
      <c r="AF625">
        <v>0</v>
      </c>
      <c r="AG625">
        <v>0</v>
      </c>
      <c r="AH625" s="235">
        <v>-21052.313090910611</v>
      </c>
      <c r="AI625">
        <v>226</v>
      </c>
      <c r="AJ625" t="s">
        <v>256</v>
      </c>
      <c r="AK625">
        <v>0</v>
      </c>
      <c r="AL625">
        <v>0</v>
      </c>
      <c r="AM625">
        <v>0</v>
      </c>
    </row>
    <row r="626" spans="1:39" x14ac:dyDescent="0.25">
      <c r="A626" t="s">
        <v>233</v>
      </c>
      <c r="B626" t="s">
        <v>564</v>
      </c>
      <c r="C626" t="s">
        <v>255</v>
      </c>
      <c r="D626" t="s">
        <v>234</v>
      </c>
      <c r="E626" t="s">
        <v>20</v>
      </c>
      <c r="F626" t="s">
        <v>276</v>
      </c>
      <c r="G626" t="s">
        <v>269</v>
      </c>
      <c r="H626" t="s">
        <v>254</v>
      </c>
      <c r="I626" t="s">
        <v>242</v>
      </c>
      <c r="J626" t="s">
        <v>235</v>
      </c>
      <c r="K626" s="380">
        <v>36861</v>
      </c>
      <c r="L626" s="235">
        <v>206779.59023365367</v>
      </c>
      <c r="M626" s="380">
        <v>36859</v>
      </c>
      <c r="N626" t="s">
        <v>1</v>
      </c>
      <c r="O626">
        <v>0.95</v>
      </c>
      <c r="P626">
        <v>0</v>
      </c>
      <c r="Q626">
        <v>0</v>
      </c>
      <c r="R626">
        <v>0</v>
      </c>
      <c r="S626">
        <v>0</v>
      </c>
      <c r="T626" t="s">
        <v>253</v>
      </c>
      <c r="U626" t="s">
        <v>7</v>
      </c>
      <c r="V626" t="s">
        <v>253</v>
      </c>
      <c r="W626" t="s">
        <v>132</v>
      </c>
      <c r="X626" t="s">
        <v>253</v>
      </c>
      <c r="Y626" t="s">
        <v>235</v>
      </c>
      <c r="Z626" t="s">
        <v>236</v>
      </c>
      <c r="AA626" t="s">
        <v>253</v>
      </c>
      <c r="AB626" t="s">
        <v>1</v>
      </c>
      <c r="AC626" s="235">
        <v>1000000</v>
      </c>
      <c r="AD626" s="235">
        <v>62140.966342002706</v>
      </c>
      <c r="AE626">
        <v>0</v>
      </c>
      <c r="AF626">
        <v>0</v>
      </c>
      <c r="AG626">
        <v>0</v>
      </c>
      <c r="AH626" s="235">
        <v>-8118.973104463279</v>
      </c>
      <c r="AI626">
        <v>226</v>
      </c>
      <c r="AJ626" t="s">
        <v>256</v>
      </c>
      <c r="AK626">
        <v>0</v>
      </c>
      <c r="AL626">
        <v>0</v>
      </c>
      <c r="AM626">
        <v>0</v>
      </c>
    </row>
    <row r="627" spans="1:39" x14ac:dyDescent="0.25">
      <c r="A627" t="s">
        <v>233</v>
      </c>
      <c r="B627" t="s">
        <v>564</v>
      </c>
      <c r="C627" t="s">
        <v>255</v>
      </c>
      <c r="D627" t="s">
        <v>234</v>
      </c>
      <c r="E627" t="s">
        <v>20</v>
      </c>
      <c r="F627" t="s">
        <v>276</v>
      </c>
      <c r="G627" t="s">
        <v>269</v>
      </c>
      <c r="H627" t="s">
        <v>254</v>
      </c>
      <c r="I627" t="s">
        <v>242</v>
      </c>
      <c r="J627" t="s">
        <v>235</v>
      </c>
      <c r="K627" s="380">
        <v>36892</v>
      </c>
      <c r="L627" s="235">
        <v>154296.15312093103</v>
      </c>
      <c r="M627" s="380">
        <v>36888</v>
      </c>
      <c r="N627" t="s">
        <v>1</v>
      </c>
      <c r="O627">
        <v>0.95</v>
      </c>
      <c r="P627">
        <v>0</v>
      </c>
      <c r="Q627">
        <v>0</v>
      </c>
      <c r="R627">
        <v>0</v>
      </c>
      <c r="S627">
        <v>0</v>
      </c>
      <c r="T627" t="s">
        <v>253</v>
      </c>
      <c r="U627" t="s">
        <v>7</v>
      </c>
      <c r="V627" t="s">
        <v>253</v>
      </c>
      <c r="W627" t="s">
        <v>132</v>
      </c>
      <c r="X627" t="s">
        <v>253</v>
      </c>
      <c r="Y627" t="s">
        <v>235</v>
      </c>
      <c r="Z627" t="s">
        <v>236</v>
      </c>
      <c r="AA627" t="s">
        <v>253</v>
      </c>
      <c r="AB627" t="s">
        <v>1</v>
      </c>
      <c r="AC627" s="235">
        <v>1000000</v>
      </c>
      <c r="AD627" s="235">
        <v>58574.150650883355</v>
      </c>
      <c r="AE627">
        <v>0</v>
      </c>
      <c r="AF627">
        <v>0</v>
      </c>
      <c r="AG627">
        <v>0</v>
      </c>
      <c r="AH627" s="235">
        <v>-7225.3304749372473</v>
      </c>
      <c r="AI627">
        <v>226</v>
      </c>
      <c r="AJ627" t="s">
        <v>256</v>
      </c>
      <c r="AK627">
        <v>0</v>
      </c>
      <c r="AL627">
        <v>0</v>
      </c>
      <c r="AM627">
        <v>0</v>
      </c>
    </row>
    <row r="628" spans="1:39" x14ac:dyDescent="0.25">
      <c r="A628" t="s">
        <v>233</v>
      </c>
      <c r="B628" t="s">
        <v>564</v>
      </c>
      <c r="C628" t="s">
        <v>255</v>
      </c>
      <c r="D628" t="s">
        <v>234</v>
      </c>
      <c r="E628" t="s">
        <v>20</v>
      </c>
      <c r="F628" t="s">
        <v>276</v>
      </c>
      <c r="G628" t="s">
        <v>269</v>
      </c>
      <c r="H628" t="s">
        <v>254</v>
      </c>
      <c r="I628" t="s">
        <v>242</v>
      </c>
      <c r="J628" t="s">
        <v>235</v>
      </c>
      <c r="K628" s="380">
        <v>36923</v>
      </c>
      <c r="L628" s="235">
        <v>190761.07387737962</v>
      </c>
      <c r="M628" s="380">
        <v>36921</v>
      </c>
      <c r="N628" t="s">
        <v>1</v>
      </c>
      <c r="O628">
        <v>0.95</v>
      </c>
      <c r="P628">
        <v>0</v>
      </c>
      <c r="Q628">
        <v>0</v>
      </c>
      <c r="R628">
        <v>0</v>
      </c>
      <c r="S628">
        <v>0</v>
      </c>
      <c r="T628" t="s">
        <v>253</v>
      </c>
      <c r="U628" t="s">
        <v>7</v>
      </c>
      <c r="V628" t="s">
        <v>253</v>
      </c>
      <c r="W628" t="s">
        <v>132</v>
      </c>
      <c r="X628" t="s">
        <v>253</v>
      </c>
      <c r="Y628" t="s">
        <v>235</v>
      </c>
      <c r="Z628" t="s">
        <v>236</v>
      </c>
      <c r="AA628" t="s">
        <v>253</v>
      </c>
      <c r="AB628" t="s">
        <v>1</v>
      </c>
      <c r="AC628" s="235">
        <v>1000000</v>
      </c>
      <c r="AD628" s="235">
        <v>68957.811988938804</v>
      </c>
      <c r="AE628">
        <v>0</v>
      </c>
      <c r="AF628">
        <v>0</v>
      </c>
      <c r="AG628">
        <v>0</v>
      </c>
      <c r="AH628" s="235">
        <v>-9846.6261578735721</v>
      </c>
      <c r="AI628">
        <v>226</v>
      </c>
      <c r="AJ628" t="s">
        <v>256</v>
      </c>
      <c r="AK628">
        <v>0</v>
      </c>
      <c r="AL628">
        <v>0</v>
      </c>
      <c r="AM628">
        <v>0</v>
      </c>
    </row>
    <row r="629" spans="1:39" x14ac:dyDescent="0.25">
      <c r="A629" t="s">
        <v>233</v>
      </c>
      <c r="B629" t="s">
        <v>564</v>
      </c>
      <c r="C629" t="s">
        <v>255</v>
      </c>
      <c r="D629" t="s">
        <v>234</v>
      </c>
      <c r="E629" t="s">
        <v>20</v>
      </c>
      <c r="F629" t="s">
        <v>276</v>
      </c>
      <c r="G629" t="s">
        <v>269</v>
      </c>
      <c r="H629" t="s">
        <v>254</v>
      </c>
      <c r="I629" t="s">
        <v>242</v>
      </c>
      <c r="J629" t="s">
        <v>235</v>
      </c>
      <c r="K629" s="380">
        <v>36951</v>
      </c>
      <c r="L629" s="235">
        <v>439193.57484196319</v>
      </c>
      <c r="M629" s="380">
        <v>36949</v>
      </c>
      <c r="N629" t="s">
        <v>1</v>
      </c>
      <c r="O629">
        <v>0.95</v>
      </c>
      <c r="P629">
        <v>0</v>
      </c>
      <c r="Q629">
        <v>0</v>
      </c>
      <c r="R629">
        <v>0</v>
      </c>
      <c r="S629">
        <v>0</v>
      </c>
      <c r="T629" t="s">
        <v>253</v>
      </c>
      <c r="U629" t="s">
        <v>7</v>
      </c>
      <c r="V629" t="s">
        <v>253</v>
      </c>
      <c r="W629" t="s">
        <v>132</v>
      </c>
      <c r="X629" t="s">
        <v>253</v>
      </c>
      <c r="Y629" t="s">
        <v>235</v>
      </c>
      <c r="Z629" t="s">
        <v>236</v>
      </c>
      <c r="AA629" t="s">
        <v>253</v>
      </c>
      <c r="AB629" t="s">
        <v>1</v>
      </c>
      <c r="AC629" s="235">
        <v>1000000</v>
      </c>
      <c r="AD629" s="235">
        <v>88919.377864861221</v>
      </c>
      <c r="AE629">
        <v>0</v>
      </c>
      <c r="AF629">
        <v>0</v>
      </c>
      <c r="AG629">
        <v>0</v>
      </c>
      <c r="AH629" s="235">
        <v>-19838.183083816606</v>
      </c>
      <c r="AI629">
        <v>226</v>
      </c>
      <c r="AJ629" t="s">
        <v>256</v>
      </c>
      <c r="AK629">
        <v>0</v>
      </c>
      <c r="AL629">
        <v>0</v>
      </c>
      <c r="AM629">
        <v>0</v>
      </c>
    </row>
    <row r="630" spans="1:39" x14ac:dyDescent="0.25">
      <c r="A630" t="s">
        <v>233</v>
      </c>
      <c r="B630" t="s">
        <v>563</v>
      </c>
      <c r="C630" t="s">
        <v>255</v>
      </c>
      <c r="D630" t="s">
        <v>234</v>
      </c>
      <c r="E630" t="s">
        <v>20</v>
      </c>
      <c r="F630" t="s">
        <v>320</v>
      </c>
      <c r="G630" t="s">
        <v>269</v>
      </c>
      <c r="H630" t="s">
        <v>254</v>
      </c>
      <c r="I630" t="s">
        <v>242</v>
      </c>
      <c r="J630" t="s">
        <v>235</v>
      </c>
      <c r="K630" s="380">
        <v>36831</v>
      </c>
      <c r="L630" s="235">
        <v>-59.498348947134886</v>
      </c>
      <c r="M630" s="380">
        <v>36829</v>
      </c>
      <c r="N630" t="s">
        <v>21</v>
      </c>
      <c r="O630">
        <v>4</v>
      </c>
      <c r="P630">
        <v>0</v>
      </c>
      <c r="Q630">
        <v>0</v>
      </c>
      <c r="R630">
        <v>0</v>
      </c>
      <c r="S630">
        <v>0</v>
      </c>
      <c r="T630" t="s">
        <v>253</v>
      </c>
      <c r="U630" t="s">
        <v>7</v>
      </c>
      <c r="V630" t="s">
        <v>253</v>
      </c>
      <c r="W630" t="s">
        <v>132</v>
      </c>
      <c r="X630" t="s">
        <v>253</v>
      </c>
      <c r="Y630" t="s">
        <v>235</v>
      </c>
      <c r="Z630" t="s">
        <v>236</v>
      </c>
      <c r="AA630" t="s">
        <v>253</v>
      </c>
      <c r="AB630" t="s">
        <v>1</v>
      </c>
      <c r="AC630" s="235">
        <v>-300000</v>
      </c>
      <c r="AD630" s="235">
        <v>-79.776731157143757</v>
      </c>
      <c r="AE630">
        <v>0</v>
      </c>
      <c r="AF630">
        <v>0</v>
      </c>
      <c r="AG630">
        <v>0</v>
      </c>
      <c r="AH630" s="235">
        <v>-16.895316348470793</v>
      </c>
      <c r="AI630">
        <v>226</v>
      </c>
      <c r="AJ630" t="s">
        <v>256</v>
      </c>
      <c r="AK630">
        <v>0</v>
      </c>
      <c r="AL630">
        <v>0</v>
      </c>
      <c r="AM630">
        <v>0</v>
      </c>
    </row>
    <row r="631" spans="1:39" x14ac:dyDescent="0.25">
      <c r="A631" t="s">
        <v>233</v>
      </c>
      <c r="B631" t="s">
        <v>563</v>
      </c>
      <c r="C631" t="s">
        <v>255</v>
      </c>
      <c r="D631" t="s">
        <v>234</v>
      </c>
      <c r="E631" t="s">
        <v>20</v>
      </c>
      <c r="F631" t="s">
        <v>320</v>
      </c>
      <c r="G631" t="s">
        <v>269</v>
      </c>
      <c r="H631" t="s">
        <v>254</v>
      </c>
      <c r="I631" t="s">
        <v>242</v>
      </c>
      <c r="J631" t="s">
        <v>235</v>
      </c>
      <c r="K631" s="380">
        <v>36861</v>
      </c>
      <c r="L631" s="235">
        <v>-19943.981514904564</v>
      </c>
      <c r="M631" s="380">
        <v>36859</v>
      </c>
      <c r="N631" t="s">
        <v>21</v>
      </c>
      <c r="O631">
        <v>4</v>
      </c>
      <c r="P631">
        <v>0</v>
      </c>
      <c r="Q631">
        <v>0</v>
      </c>
      <c r="R631">
        <v>0</v>
      </c>
      <c r="S631">
        <v>0</v>
      </c>
      <c r="T631" t="s">
        <v>253</v>
      </c>
      <c r="U631" t="s">
        <v>7</v>
      </c>
      <c r="V631" t="s">
        <v>253</v>
      </c>
      <c r="W631" t="s">
        <v>132</v>
      </c>
      <c r="X631" t="s">
        <v>253</v>
      </c>
      <c r="Y631" t="s">
        <v>235</v>
      </c>
      <c r="Z631" t="s">
        <v>236</v>
      </c>
      <c r="AA631" t="s">
        <v>253</v>
      </c>
      <c r="AB631" t="s">
        <v>1</v>
      </c>
      <c r="AC631" s="235">
        <v>-310000</v>
      </c>
      <c r="AD631" s="235">
        <v>-8179.0662620229996</v>
      </c>
      <c r="AE631">
        <v>0</v>
      </c>
      <c r="AF631">
        <v>0</v>
      </c>
      <c r="AG631">
        <v>0</v>
      </c>
      <c r="AH631" s="235">
        <v>-1828.3246932622606</v>
      </c>
      <c r="AI631">
        <v>226</v>
      </c>
      <c r="AJ631" t="s">
        <v>256</v>
      </c>
      <c r="AK631">
        <v>0</v>
      </c>
      <c r="AL631">
        <v>0</v>
      </c>
      <c r="AM631">
        <v>0</v>
      </c>
    </row>
    <row r="632" spans="1:39" x14ac:dyDescent="0.25">
      <c r="A632" t="s">
        <v>233</v>
      </c>
      <c r="B632" t="s">
        <v>563</v>
      </c>
      <c r="C632" t="s">
        <v>255</v>
      </c>
      <c r="D632" t="s">
        <v>234</v>
      </c>
      <c r="E632" t="s">
        <v>20</v>
      </c>
      <c r="F632" t="s">
        <v>320</v>
      </c>
      <c r="G632" t="s">
        <v>269</v>
      </c>
      <c r="H632" t="s">
        <v>254</v>
      </c>
      <c r="I632" t="s">
        <v>242</v>
      </c>
      <c r="J632" t="s">
        <v>235</v>
      </c>
      <c r="K632" s="380">
        <v>36892</v>
      </c>
      <c r="L632" s="235">
        <v>-62697.544494374335</v>
      </c>
      <c r="M632" s="380">
        <v>36888</v>
      </c>
      <c r="N632" t="s">
        <v>21</v>
      </c>
      <c r="O632">
        <v>4</v>
      </c>
      <c r="P632">
        <v>0</v>
      </c>
      <c r="Q632">
        <v>0</v>
      </c>
      <c r="R632">
        <v>0</v>
      </c>
      <c r="S632">
        <v>0</v>
      </c>
      <c r="T632" t="s">
        <v>253</v>
      </c>
      <c r="U632" t="s">
        <v>7</v>
      </c>
      <c r="V632" t="s">
        <v>253</v>
      </c>
      <c r="W632" t="s">
        <v>132</v>
      </c>
      <c r="X632" t="s">
        <v>253</v>
      </c>
      <c r="Y632" t="s">
        <v>235</v>
      </c>
      <c r="Z632" t="s">
        <v>236</v>
      </c>
      <c r="AA632" t="s">
        <v>253</v>
      </c>
      <c r="AB632" t="s">
        <v>1</v>
      </c>
      <c r="AC632" s="235">
        <v>-310000</v>
      </c>
      <c r="AD632" s="235">
        <v>-15901.086477684577</v>
      </c>
      <c r="AE632">
        <v>0</v>
      </c>
      <c r="AF632">
        <v>0</v>
      </c>
      <c r="AG632">
        <v>0</v>
      </c>
      <c r="AH632" s="235">
        <v>-4805.0969631950938</v>
      </c>
      <c r="AI632">
        <v>226</v>
      </c>
      <c r="AJ632" t="s">
        <v>256</v>
      </c>
      <c r="AK632">
        <v>0</v>
      </c>
      <c r="AL632">
        <v>0</v>
      </c>
      <c r="AM632">
        <v>0</v>
      </c>
    </row>
    <row r="633" spans="1:39" x14ac:dyDescent="0.25">
      <c r="A633" t="s">
        <v>233</v>
      </c>
      <c r="B633" t="s">
        <v>563</v>
      </c>
      <c r="C633" t="s">
        <v>255</v>
      </c>
      <c r="D633" t="s">
        <v>234</v>
      </c>
      <c r="E633" t="s">
        <v>20</v>
      </c>
      <c r="F633" t="s">
        <v>320</v>
      </c>
      <c r="G633" t="s">
        <v>269</v>
      </c>
      <c r="H633" t="s">
        <v>254</v>
      </c>
      <c r="I633" t="s">
        <v>242</v>
      </c>
      <c r="J633" t="s">
        <v>235</v>
      </c>
      <c r="K633" s="380">
        <v>36923</v>
      </c>
      <c r="L633" s="235">
        <v>-62209.603922995353</v>
      </c>
      <c r="M633" s="380">
        <v>36921</v>
      </c>
      <c r="N633" t="s">
        <v>21</v>
      </c>
      <c r="O633">
        <v>4</v>
      </c>
      <c r="P633">
        <v>0</v>
      </c>
      <c r="Q633">
        <v>0</v>
      </c>
      <c r="R633">
        <v>0</v>
      </c>
      <c r="S633">
        <v>0</v>
      </c>
      <c r="T633" t="s">
        <v>253</v>
      </c>
      <c r="U633" t="s">
        <v>7</v>
      </c>
      <c r="V633" t="s">
        <v>253</v>
      </c>
      <c r="W633" t="s">
        <v>132</v>
      </c>
      <c r="X633" t="s">
        <v>253</v>
      </c>
      <c r="Y633" t="s">
        <v>235</v>
      </c>
      <c r="Z633" t="s">
        <v>236</v>
      </c>
      <c r="AA633" t="s">
        <v>253</v>
      </c>
      <c r="AB633" t="s">
        <v>1</v>
      </c>
      <c r="AC633" s="235">
        <v>-280000</v>
      </c>
      <c r="AD633" s="235">
        <v>-15997.340039302646</v>
      </c>
      <c r="AE633">
        <v>0</v>
      </c>
      <c r="AF633">
        <v>0</v>
      </c>
      <c r="AG633">
        <v>0</v>
      </c>
      <c r="AH633" s="235">
        <v>-5195.0910475186975</v>
      </c>
      <c r="AI633">
        <v>226</v>
      </c>
      <c r="AJ633" t="s">
        <v>256</v>
      </c>
      <c r="AK633">
        <v>0</v>
      </c>
      <c r="AL633">
        <v>0</v>
      </c>
      <c r="AM633">
        <v>0</v>
      </c>
    </row>
    <row r="634" spans="1:39" x14ac:dyDescent="0.25">
      <c r="A634" t="s">
        <v>233</v>
      </c>
      <c r="B634" t="s">
        <v>563</v>
      </c>
      <c r="C634" t="s">
        <v>255</v>
      </c>
      <c r="D634" t="s">
        <v>234</v>
      </c>
      <c r="E634" t="s">
        <v>20</v>
      </c>
      <c r="F634" t="s">
        <v>320</v>
      </c>
      <c r="G634" t="s">
        <v>269</v>
      </c>
      <c r="H634" t="s">
        <v>254</v>
      </c>
      <c r="I634" t="s">
        <v>242</v>
      </c>
      <c r="J634" t="s">
        <v>235</v>
      </c>
      <c r="K634" s="380">
        <v>36951</v>
      </c>
      <c r="L634" s="235">
        <v>-14877.405953026444</v>
      </c>
      <c r="M634" s="380">
        <v>36949</v>
      </c>
      <c r="N634" t="s">
        <v>21</v>
      </c>
      <c r="O634">
        <v>4</v>
      </c>
      <c r="P634">
        <v>0</v>
      </c>
      <c r="Q634">
        <v>0</v>
      </c>
      <c r="R634">
        <v>0</v>
      </c>
      <c r="S634">
        <v>0</v>
      </c>
      <c r="T634" t="s">
        <v>253</v>
      </c>
      <c r="U634" t="s">
        <v>7</v>
      </c>
      <c r="V634" t="s">
        <v>253</v>
      </c>
      <c r="W634" t="s">
        <v>132</v>
      </c>
      <c r="X634" t="s">
        <v>253</v>
      </c>
      <c r="Y634" t="s">
        <v>235</v>
      </c>
      <c r="Z634" t="s">
        <v>236</v>
      </c>
      <c r="AA634" t="s">
        <v>253</v>
      </c>
      <c r="AB634" t="s">
        <v>1</v>
      </c>
      <c r="AC634" s="235">
        <v>-310000</v>
      </c>
      <c r="AD634" s="235">
        <v>-8038.5137146718516</v>
      </c>
      <c r="AE634">
        <v>0</v>
      </c>
      <c r="AF634">
        <v>0</v>
      </c>
      <c r="AG634">
        <v>0</v>
      </c>
      <c r="AH634" s="235">
        <v>-1822.5267953233433</v>
      </c>
      <c r="AI634">
        <v>226</v>
      </c>
      <c r="AJ634" t="s">
        <v>256</v>
      </c>
      <c r="AK634">
        <v>0</v>
      </c>
      <c r="AL634">
        <v>0</v>
      </c>
      <c r="AM634">
        <v>0</v>
      </c>
    </row>
    <row r="635" spans="1:39" x14ac:dyDescent="0.25">
      <c r="A635" t="s">
        <v>233</v>
      </c>
      <c r="B635" t="s">
        <v>565</v>
      </c>
      <c r="C635" t="s">
        <v>255</v>
      </c>
      <c r="D635" t="s">
        <v>234</v>
      </c>
      <c r="E635" t="s">
        <v>20</v>
      </c>
      <c r="F635" t="s">
        <v>279</v>
      </c>
      <c r="G635" t="s">
        <v>269</v>
      </c>
      <c r="H635" t="s">
        <v>254</v>
      </c>
      <c r="I635" t="s">
        <v>242</v>
      </c>
      <c r="J635" t="s">
        <v>235</v>
      </c>
      <c r="K635" s="380">
        <v>36770</v>
      </c>
      <c r="L635" s="235">
        <v>2.5162921679644512E-2</v>
      </c>
      <c r="M635" s="380">
        <v>36768</v>
      </c>
      <c r="N635" t="s">
        <v>21</v>
      </c>
      <c r="O635">
        <v>-0.6</v>
      </c>
      <c r="P635">
        <v>0</v>
      </c>
      <c r="Q635">
        <v>0</v>
      </c>
      <c r="R635">
        <v>0</v>
      </c>
      <c r="S635">
        <v>0</v>
      </c>
      <c r="T635" t="s">
        <v>253</v>
      </c>
      <c r="U635" t="s">
        <v>9</v>
      </c>
      <c r="V635" t="s">
        <v>253</v>
      </c>
      <c r="W635" t="s">
        <v>132</v>
      </c>
      <c r="X635" t="s">
        <v>253</v>
      </c>
      <c r="Y635" t="s">
        <v>235</v>
      </c>
      <c r="Z635" t="s">
        <v>236</v>
      </c>
      <c r="AA635" t="s">
        <v>253</v>
      </c>
      <c r="AB635" t="s">
        <v>1</v>
      </c>
      <c r="AC635" s="235">
        <v>300000</v>
      </c>
      <c r="AD635" s="235">
        <v>-1.1573564040467943E-2</v>
      </c>
      <c r="AE635">
        <v>0</v>
      </c>
      <c r="AF635">
        <v>0</v>
      </c>
      <c r="AG635">
        <v>0</v>
      </c>
      <c r="AH635" s="235">
        <v>-0.20056203577922815</v>
      </c>
      <c r="AI635">
        <v>226</v>
      </c>
      <c r="AJ635" t="s">
        <v>256</v>
      </c>
      <c r="AK635">
        <v>0</v>
      </c>
      <c r="AL635">
        <v>0</v>
      </c>
      <c r="AM635">
        <v>0</v>
      </c>
    </row>
    <row r="636" spans="1:39" x14ac:dyDescent="0.25">
      <c r="A636" t="s">
        <v>233</v>
      </c>
      <c r="B636" t="s">
        <v>565</v>
      </c>
      <c r="C636" t="s">
        <v>255</v>
      </c>
      <c r="D636" t="s">
        <v>234</v>
      </c>
      <c r="E636" t="s">
        <v>20</v>
      </c>
      <c r="F636" t="s">
        <v>279</v>
      </c>
      <c r="G636" t="s">
        <v>269</v>
      </c>
      <c r="H636" t="s">
        <v>254</v>
      </c>
      <c r="I636" t="s">
        <v>242</v>
      </c>
      <c r="J636" t="s">
        <v>235</v>
      </c>
      <c r="K636" s="380">
        <v>36800</v>
      </c>
      <c r="L636" s="235">
        <v>25767.075701504607</v>
      </c>
      <c r="M636" s="380">
        <v>36797</v>
      </c>
      <c r="N636" t="s">
        <v>21</v>
      </c>
      <c r="O636">
        <v>-0.6</v>
      </c>
      <c r="P636">
        <v>0</v>
      </c>
      <c r="Q636">
        <v>0</v>
      </c>
      <c r="R636">
        <v>0</v>
      </c>
      <c r="S636">
        <v>0</v>
      </c>
      <c r="T636" t="s">
        <v>253</v>
      </c>
      <c r="U636" t="s">
        <v>9</v>
      </c>
      <c r="V636" t="s">
        <v>253</v>
      </c>
      <c r="W636" t="s">
        <v>132</v>
      </c>
      <c r="X636" t="s">
        <v>253</v>
      </c>
      <c r="Y636" t="s">
        <v>235</v>
      </c>
      <c r="Z636" t="s">
        <v>236</v>
      </c>
      <c r="AA636" t="s">
        <v>253</v>
      </c>
      <c r="AB636" t="s">
        <v>1</v>
      </c>
      <c r="AC636" s="235">
        <v>310000</v>
      </c>
      <c r="AD636" s="235">
        <v>9864.3687057633506</v>
      </c>
      <c r="AE636">
        <v>0</v>
      </c>
      <c r="AF636">
        <v>0</v>
      </c>
      <c r="AG636">
        <v>0</v>
      </c>
      <c r="AH636" s="235">
        <v>-6612.2193369350243</v>
      </c>
      <c r="AI636">
        <v>226</v>
      </c>
      <c r="AJ636" t="s">
        <v>256</v>
      </c>
      <c r="AK636">
        <v>0</v>
      </c>
      <c r="AL636">
        <v>0</v>
      </c>
      <c r="AM636">
        <v>0</v>
      </c>
    </row>
    <row r="637" spans="1:39" x14ac:dyDescent="0.25">
      <c r="A637" t="s">
        <v>233</v>
      </c>
      <c r="B637" t="s">
        <v>566</v>
      </c>
      <c r="C637" t="s">
        <v>255</v>
      </c>
      <c r="D637" t="s">
        <v>234</v>
      </c>
      <c r="E637" t="s">
        <v>20</v>
      </c>
      <c r="F637" t="s">
        <v>279</v>
      </c>
      <c r="G637" t="s">
        <v>269</v>
      </c>
      <c r="H637" t="s">
        <v>254</v>
      </c>
      <c r="I637" t="s">
        <v>242</v>
      </c>
      <c r="J637" t="s">
        <v>235</v>
      </c>
      <c r="K637" s="380">
        <v>36770</v>
      </c>
      <c r="L637" s="235">
        <v>-2.1230669422500625E-2</v>
      </c>
      <c r="M637" s="380">
        <v>36768</v>
      </c>
      <c r="N637" t="s">
        <v>21</v>
      </c>
      <c r="O637">
        <v>-0.7</v>
      </c>
      <c r="P637">
        <v>0</v>
      </c>
      <c r="Q637">
        <v>0</v>
      </c>
      <c r="R637">
        <v>0</v>
      </c>
      <c r="S637">
        <v>0</v>
      </c>
      <c r="T637" t="s">
        <v>253</v>
      </c>
      <c r="U637" t="s">
        <v>9</v>
      </c>
      <c r="V637" t="s">
        <v>253</v>
      </c>
      <c r="W637" t="s">
        <v>132</v>
      </c>
      <c r="X637" t="s">
        <v>253</v>
      </c>
      <c r="Y637" t="s">
        <v>235</v>
      </c>
      <c r="Z637" t="s">
        <v>236</v>
      </c>
      <c r="AA637" t="s">
        <v>253</v>
      </c>
      <c r="AB637" t="s">
        <v>1</v>
      </c>
      <c r="AC637" s="235">
        <v>-300000</v>
      </c>
      <c r="AD637" s="235">
        <v>1.1573563341027437E-2</v>
      </c>
      <c r="AE637">
        <v>0</v>
      </c>
      <c r="AF637">
        <v>0</v>
      </c>
      <c r="AG637">
        <v>0</v>
      </c>
      <c r="AH637" s="235">
        <v>4.2531666463396789</v>
      </c>
      <c r="AI637">
        <v>226</v>
      </c>
      <c r="AJ637" t="s">
        <v>256</v>
      </c>
      <c r="AK637">
        <v>0</v>
      </c>
      <c r="AL637">
        <v>0</v>
      </c>
      <c r="AM637">
        <v>0</v>
      </c>
    </row>
    <row r="638" spans="1:39" x14ac:dyDescent="0.25">
      <c r="A638" t="s">
        <v>233</v>
      </c>
      <c r="B638" t="s">
        <v>566</v>
      </c>
      <c r="C638" t="s">
        <v>255</v>
      </c>
      <c r="D638" t="s">
        <v>234</v>
      </c>
      <c r="E638" t="s">
        <v>20</v>
      </c>
      <c r="F638" t="s">
        <v>279</v>
      </c>
      <c r="G638" t="s">
        <v>269</v>
      </c>
      <c r="H638" t="s">
        <v>254</v>
      </c>
      <c r="I638" t="s">
        <v>242</v>
      </c>
      <c r="J638" t="s">
        <v>235</v>
      </c>
      <c r="K638" s="380">
        <v>36800</v>
      </c>
      <c r="L638" s="235">
        <v>-37326.691352101516</v>
      </c>
      <c r="M638" s="380">
        <v>36797</v>
      </c>
      <c r="N638" t="s">
        <v>21</v>
      </c>
      <c r="O638">
        <v>-0.7</v>
      </c>
      <c r="P638">
        <v>0</v>
      </c>
      <c r="Q638">
        <v>0</v>
      </c>
      <c r="R638">
        <v>0</v>
      </c>
      <c r="S638">
        <v>0</v>
      </c>
      <c r="T638" t="s">
        <v>253</v>
      </c>
      <c r="U638" t="s">
        <v>9</v>
      </c>
      <c r="V638" t="s">
        <v>253</v>
      </c>
      <c r="W638" t="s">
        <v>132</v>
      </c>
      <c r="X638" t="s">
        <v>253</v>
      </c>
      <c r="Y638" t="s">
        <v>235</v>
      </c>
      <c r="Z638" t="s">
        <v>236</v>
      </c>
      <c r="AA638" t="s">
        <v>253</v>
      </c>
      <c r="AB638" t="s">
        <v>1</v>
      </c>
      <c r="AC638" s="235">
        <v>-310000</v>
      </c>
      <c r="AD638" s="235">
        <v>-10697.688108749731</v>
      </c>
      <c r="AE638">
        <v>0</v>
      </c>
      <c r="AF638">
        <v>0</v>
      </c>
      <c r="AG638">
        <v>0</v>
      </c>
      <c r="AH638" s="235">
        <v>8407.2803834916631</v>
      </c>
      <c r="AI638">
        <v>226</v>
      </c>
      <c r="AJ638" t="s">
        <v>256</v>
      </c>
      <c r="AK638">
        <v>0</v>
      </c>
      <c r="AL638">
        <v>0</v>
      </c>
      <c r="AM638">
        <v>0</v>
      </c>
    </row>
    <row r="639" spans="1:39" x14ac:dyDescent="0.25">
      <c r="A639" t="s">
        <v>233</v>
      </c>
      <c r="B639" t="s">
        <v>567</v>
      </c>
      <c r="C639" t="s">
        <v>255</v>
      </c>
      <c r="D639" t="s">
        <v>234</v>
      </c>
      <c r="E639" t="s">
        <v>20</v>
      </c>
      <c r="F639" t="s">
        <v>279</v>
      </c>
      <c r="G639" t="s">
        <v>269</v>
      </c>
      <c r="H639" t="s">
        <v>254</v>
      </c>
      <c r="I639" t="s">
        <v>242</v>
      </c>
      <c r="J639" t="s">
        <v>235</v>
      </c>
      <c r="K639" s="380">
        <v>36951</v>
      </c>
      <c r="L639" s="235">
        <v>474947.1136479837</v>
      </c>
      <c r="M639" s="380">
        <v>36949</v>
      </c>
      <c r="N639" t="s">
        <v>21</v>
      </c>
      <c r="O639">
        <v>2</v>
      </c>
      <c r="P639">
        <v>0</v>
      </c>
      <c r="Q639">
        <v>0</v>
      </c>
      <c r="R639">
        <v>0</v>
      </c>
      <c r="S639">
        <v>0</v>
      </c>
      <c r="T639" t="s">
        <v>253</v>
      </c>
      <c r="U639" t="s">
        <v>7</v>
      </c>
      <c r="V639" t="s">
        <v>253</v>
      </c>
      <c r="W639" t="s">
        <v>132</v>
      </c>
      <c r="X639" t="s">
        <v>253</v>
      </c>
      <c r="Y639" t="s">
        <v>235</v>
      </c>
      <c r="Z639" t="s">
        <v>236</v>
      </c>
      <c r="AA639" t="s">
        <v>253</v>
      </c>
      <c r="AB639" t="s">
        <v>1</v>
      </c>
      <c r="AC639" s="235">
        <v>2000000</v>
      </c>
      <c r="AD639" s="235">
        <v>141845.55087281181</v>
      </c>
      <c r="AE639">
        <v>0</v>
      </c>
      <c r="AF639">
        <v>0</v>
      </c>
      <c r="AG639">
        <v>0</v>
      </c>
      <c r="AH639" s="235">
        <v>42865.35395349015</v>
      </c>
      <c r="AI639">
        <v>226</v>
      </c>
      <c r="AJ639" t="s">
        <v>256</v>
      </c>
      <c r="AK639">
        <v>0</v>
      </c>
      <c r="AL639">
        <v>0</v>
      </c>
      <c r="AM639">
        <v>0</v>
      </c>
    </row>
    <row r="640" spans="1:39" x14ac:dyDescent="0.25">
      <c r="A640" t="s">
        <v>233</v>
      </c>
      <c r="B640" t="s">
        <v>568</v>
      </c>
      <c r="C640" t="s">
        <v>255</v>
      </c>
      <c r="D640" t="s">
        <v>234</v>
      </c>
      <c r="E640" t="s">
        <v>20</v>
      </c>
      <c r="F640" t="s">
        <v>383</v>
      </c>
      <c r="G640" t="s">
        <v>269</v>
      </c>
      <c r="H640" t="s">
        <v>254</v>
      </c>
      <c r="I640" t="s">
        <v>242</v>
      </c>
      <c r="J640" t="s">
        <v>235</v>
      </c>
      <c r="K640" s="380">
        <v>36770</v>
      </c>
      <c r="L640" s="235">
        <v>899668.92868358502</v>
      </c>
      <c r="M640" s="380">
        <v>36768</v>
      </c>
      <c r="N640" t="s">
        <v>21</v>
      </c>
      <c r="O640">
        <v>0.5</v>
      </c>
      <c r="P640">
        <v>0</v>
      </c>
      <c r="Q640">
        <v>0</v>
      </c>
      <c r="R640">
        <v>0</v>
      </c>
      <c r="S640">
        <v>0</v>
      </c>
      <c r="T640" t="s">
        <v>253</v>
      </c>
      <c r="U640" t="s">
        <v>190</v>
      </c>
      <c r="V640" t="s">
        <v>253</v>
      </c>
      <c r="W640" t="s">
        <v>132</v>
      </c>
      <c r="X640" t="s">
        <v>253</v>
      </c>
      <c r="Y640" t="s">
        <v>235</v>
      </c>
      <c r="Z640" t="s">
        <v>236</v>
      </c>
      <c r="AA640" t="s">
        <v>253</v>
      </c>
      <c r="AB640" t="s">
        <v>1</v>
      </c>
      <c r="AC640" s="235">
        <v>450000</v>
      </c>
      <c r="AD640" s="235">
        <v>-1.7956286203116179E-2</v>
      </c>
      <c r="AE640">
        <v>0</v>
      </c>
      <c r="AF640">
        <v>0</v>
      </c>
      <c r="AG640">
        <v>0</v>
      </c>
      <c r="AH640" s="235">
        <v>119140.42071142246</v>
      </c>
      <c r="AI640">
        <v>226</v>
      </c>
      <c r="AJ640" t="s">
        <v>256</v>
      </c>
      <c r="AK640">
        <v>0</v>
      </c>
      <c r="AL640">
        <v>0</v>
      </c>
      <c r="AM640">
        <v>0</v>
      </c>
    </row>
    <row r="641" spans="1:39" x14ac:dyDescent="0.25">
      <c r="A641" t="s">
        <v>233</v>
      </c>
      <c r="B641" t="s">
        <v>568</v>
      </c>
      <c r="C641" t="s">
        <v>255</v>
      </c>
      <c r="D641" t="s">
        <v>234</v>
      </c>
      <c r="E641" t="s">
        <v>20</v>
      </c>
      <c r="F641" t="s">
        <v>383</v>
      </c>
      <c r="G641" t="s">
        <v>269</v>
      </c>
      <c r="H641" t="s">
        <v>254</v>
      </c>
      <c r="I641" t="s">
        <v>242</v>
      </c>
      <c r="J641" t="s">
        <v>235</v>
      </c>
      <c r="K641" s="380">
        <v>36800</v>
      </c>
      <c r="L641" s="235">
        <v>689054.57632996398</v>
      </c>
      <c r="M641" s="380">
        <v>36797</v>
      </c>
      <c r="N641" t="s">
        <v>21</v>
      </c>
      <c r="O641">
        <v>0.5</v>
      </c>
      <c r="P641">
        <v>0</v>
      </c>
      <c r="Q641">
        <v>0</v>
      </c>
      <c r="R641">
        <v>0</v>
      </c>
      <c r="S641">
        <v>0</v>
      </c>
      <c r="T641" t="s">
        <v>253</v>
      </c>
      <c r="U641" t="s">
        <v>190</v>
      </c>
      <c r="V641" t="s">
        <v>253</v>
      </c>
      <c r="W641" t="s">
        <v>132</v>
      </c>
      <c r="X641" t="s">
        <v>253</v>
      </c>
      <c r="Y641" t="s">
        <v>235</v>
      </c>
      <c r="Z641" t="s">
        <v>236</v>
      </c>
      <c r="AA641" t="s">
        <v>253</v>
      </c>
      <c r="AB641" t="s">
        <v>1</v>
      </c>
      <c r="AC641" s="235">
        <v>465000</v>
      </c>
      <c r="AD641" s="235">
        <v>357.90685584250605</v>
      </c>
      <c r="AE641">
        <v>0</v>
      </c>
      <c r="AF641">
        <v>0</v>
      </c>
      <c r="AG641">
        <v>0</v>
      </c>
      <c r="AH641" s="235">
        <v>-18418.721638809075</v>
      </c>
      <c r="AI641">
        <v>226</v>
      </c>
      <c r="AJ641" t="s">
        <v>256</v>
      </c>
      <c r="AK641">
        <v>0</v>
      </c>
      <c r="AL641">
        <v>0</v>
      </c>
      <c r="AM641">
        <v>0</v>
      </c>
    </row>
    <row r="642" spans="1:39" x14ac:dyDescent="0.25">
      <c r="A642" t="s">
        <v>233</v>
      </c>
      <c r="B642" t="s">
        <v>569</v>
      </c>
      <c r="C642" t="s">
        <v>255</v>
      </c>
      <c r="D642" t="s">
        <v>234</v>
      </c>
      <c r="E642" t="s">
        <v>20</v>
      </c>
      <c r="F642" t="s">
        <v>284</v>
      </c>
      <c r="G642" t="s">
        <v>269</v>
      </c>
      <c r="H642" t="s">
        <v>254</v>
      </c>
      <c r="I642" t="s">
        <v>242</v>
      </c>
      <c r="J642" t="s">
        <v>235</v>
      </c>
      <c r="K642" s="380">
        <v>36982</v>
      </c>
      <c r="L642" s="235">
        <v>14439.246698356095</v>
      </c>
      <c r="M642" s="380">
        <v>36979</v>
      </c>
      <c r="N642" t="s">
        <v>1</v>
      </c>
      <c r="O642">
        <v>0.3</v>
      </c>
      <c r="P642">
        <v>0</v>
      </c>
      <c r="Q642">
        <v>0</v>
      </c>
      <c r="R642">
        <v>0</v>
      </c>
      <c r="S642">
        <v>0</v>
      </c>
      <c r="T642" t="s">
        <v>253</v>
      </c>
      <c r="U642" t="s">
        <v>7</v>
      </c>
      <c r="V642" t="s">
        <v>253</v>
      </c>
      <c r="W642" t="s">
        <v>132</v>
      </c>
      <c r="X642" t="s">
        <v>253</v>
      </c>
      <c r="Y642" t="s">
        <v>235</v>
      </c>
      <c r="Z642" t="s">
        <v>236</v>
      </c>
      <c r="AA642" t="s">
        <v>253</v>
      </c>
      <c r="AB642" t="s">
        <v>1</v>
      </c>
      <c r="AC642" s="235">
        <v>300000</v>
      </c>
      <c r="AD642" s="235">
        <v>6695.3724396815815</v>
      </c>
      <c r="AE642">
        <v>0</v>
      </c>
      <c r="AF642">
        <v>0</v>
      </c>
      <c r="AG642">
        <v>0</v>
      </c>
      <c r="AH642" s="235">
        <v>318.17011122798795</v>
      </c>
      <c r="AI642">
        <v>226</v>
      </c>
      <c r="AJ642" t="s">
        <v>256</v>
      </c>
      <c r="AK642">
        <v>0</v>
      </c>
      <c r="AL642">
        <v>0</v>
      </c>
      <c r="AM642">
        <v>0</v>
      </c>
    </row>
    <row r="643" spans="1:39" x14ac:dyDescent="0.25">
      <c r="A643" t="s">
        <v>233</v>
      </c>
      <c r="B643" t="s">
        <v>569</v>
      </c>
      <c r="C643" t="s">
        <v>255</v>
      </c>
      <c r="D643" t="s">
        <v>234</v>
      </c>
      <c r="E643" t="s">
        <v>20</v>
      </c>
      <c r="F643" t="s">
        <v>284</v>
      </c>
      <c r="G643" t="s">
        <v>269</v>
      </c>
      <c r="H643" t="s">
        <v>254</v>
      </c>
      <c r="I643" t="s">
        <v>242</v>
      </c>
      <c r="J643" t="s">
        <v>235</v>
      </c>
      <c r="K643" s="380">
        <v>37012</v>
      </c>
      <c r="L643" s="235">
        <v>23262.539295956638</v>
      </c>
      <c r="M643" s="380">
        <v>37008</v>
      </c>
      <c r="N643" t="s">
        <v>1</v>
      </c>
      <c r="O643">
        <v>0.3</v>
      </c>
      <c r="P643">
        <v>0</v>
      </c>
      <c r="Q643">
        <v>0</v>
      </c>
      <c r="R643">
        <v>0</v>
      </c>
      <c r="S643">
        <v>0</v>
      </c>
      <c r="T643" t="s">
        <v>253</v>
      </c>
      <c r="U643" t="s">
        <v>7</v>
      </c>
      <c r="V643" t="s">
        <v>253</v>
      </c>
      <c r="W643" t="s">
        <v>132</v>
      </c>
      <c r="X643" t="s">
        <v>253</v>
      </c>
      <c r="Y643" t="s">
        <v>235</v>
      </c>
      <c r="Z643" t="s">
        <v>236</v>
      </c>
      <c r="AA643" t="s">
        <v>253</v>
      </c>
      <c r="AB643" t="s">
        <v>1</v>
      </c>
      <c r="AC643" s="235">
        <v>310000</v>
      </c>
      <c r="AD643" s="235">
        <v>7908.4799094720947</v>
      </c>
      <c r="AE643">
        <v>0</v>
      </c>
      <c r="AF643">
        <v>0</v>
      </c>
      <c r="AG643">
        <v>0</v>
      </c>
      <c r="AH643" s="235">
        <v>376.27377667006658</v>
      </c>
      <c r="AI643">
        <v>226</v>
      </c>
      <c r="AJ643" t="s">
        <v>256</v>
      </c>
      <c r="AK643">
        <v>0</v>
      </c>
      <c r="AL643">
        <v>0</v>
      </c>
      <c r="AM643">
        <v>0</v>
      </c>
    </row>
    <row r="644" spans="1:39" x14ac:dyDescent="0.25">
      <c r="A644" t="s">
        <v>233</v>
      </c>
      <c r="B644" t="s">
        <v>569</v>
      </c>
      <c r="C644" t="s">
        <v>255</v>
      </c>
      <c r="D644" t="s">
        <v>234</v>
      </c>
      <c r="E644" t="s">
        <v>20</v>
      </c>
      <c r="F644" t="s">
        <v>284</v>
      </c>
      <c r="G644" t="s">
        <v>269</v>
      </c>
      <c r="H644" t="s">
        <v>254</v>
      </c>
      <c r="I644" t="s">
        <v>242</v>
      </c>
      <c r="J644" t="s">
        <v>235</v>
      </c>
      <c r="K644" s="380">
        <v>37043</v>
      </c>
      <c r="L644" s="235">
        <v>25010.971774808633</v>
      </c>
      <c r="M644" s="380">
        <v>37041</v>
      </c>
      <c r="N644" t="s">
        <v>1</v>
      </c>
      <c r="O644">
        <v>0.3</v>
      </c>
      <c r="P644">
        <v>0</v>
      </c>
      <c r="Q644">
        <v>0</v>
      </c>
      <c r="R644">
        <v>0</v>
      </c>
      <c r="S644">
        <v>0</v>
      </c>
      <c r="T644" t="s">
        <v>253</v>
      </c>
      <c r="U644" t="s">
        <v>7</v>
      </c>
      <c r="V644" t="s">
        <v>253</v>
      </c>
      <c r="W644" t="s">
        <v>132</v>
      </c>
      <c r="X644" t="s">
        <v>253</v>
      </c>
      <c r="Y644" t="s">
        <v>235</v>
      </c>
      <c r="Z644" t="s">
        <v>236</v>
      </c>
      <c r="AA644" t="s">
        <v>253</v>
      </c>
      <c r="AB644" t="s">
        <v>1</v>
      </c>
      <c r="AC644" s="235">
        <v>300000</v>
      </c>
      <c r="AD644" s="235">
        <v>8119.236306514882</v>
      </c>
      <c r="AE644">
        <v>0</v>
      </c>
      <c r="AF644">
        <v>0</v>
      </c>
      <c r="AG644">
        <v>0</v>
      </c>
      <c r="AH644" s="235">
        <v>386.07615328301108</v>
      </c>
      <c r="AI644">
        <v>226</v>
      </c>
      <c r="AJ644" t="s">
        <v>256</v>
      </c>
      <c r="AK644">
        <v>0</v>
      </c>
      <c r="AL644">
        <v>0</v>
      </c>
      <c r="AM644">
        <v>0</v>
      </c>
    </row>
    <row r="645" spans="1:39" x14ac:dyDescent="0.25">
      <c r="A645" t="s">
        <v>233</v>
      </c>
      <c r="B645" t="s">
        <v>569</v>
      </c>
      <c r="C645" t="s">
        <v>255</v>
      </c>
      <c r="D645" t="s">
        <v>234</v>
      </c>
      <c r="E645" t="s">
        <v>20</v>
      </c>
      <c r="F645" t="s">
        <v>284</v>
      </c>
      <c r="G645" t="s">
        <v>269</v>
      </c>
      <c r="H645" t="s">
        <v>254</v>
      </c>
      <c r="I645" t="s">
        <v>242</v>
      </c>
      <c r="J645" t="s">
        <v>235</v>
      </c>
      <c r="K645" s="380">
        <v>37073</v>
      </c>
      <c r="L645" s="235">
        <v>20998.381837995716</v>
      </c>
      <c r="M645" s="380">
        <v>37070</v>
      </c>
      <c r="N645" t="s">
        <v>1</v>
      </c>
      <c r="O645">
        <v>0.3</v>
      </c>
      <c r="P645">
        <v>0</v>
      </c>
      <c r="Q645">
        <v>0</v>
      </c>
      <c r="R645">
        <v>0</v>
      </c>
      <c r="S645">
        <v>0</v>
      </c>
      <c r="T645" t="s">
        <v>253</v>
      </c>
      <c r="U645" t="s">
        <v>7</v>
      </c>
      <c r="V645" t="s">
        <v>253</v>
      </c>
      <c r="W645" t="s">
        <v>132</v>
      </c>
      <c r="X645" t="s">
        <v>253</v>
      </c>
      <c r="Y645" t="s">
        <v>235</v>
      </c>
      <c r="Z645" t="s">
        <v>236</v>
      </c>
      <c r="AA645" t="s">
        <v>253</v>
      </c>
      <c r="AB645" t="s">
        <v>1</v>
      </c>
      <c r="AC645" s="235">
        <v>310000</v>
      </c>
      <c r="AD645" s="235">
        <v>8196.2536531108344</v>
      </c>
      <c r="AE645">
        <v>0</v>
      </c>
      <c r="AF645">
        <v>0</v>
      </c>
      <c r="AG645">
        <v>0</v>
      </c>
      <c r="AH645" s="235">
        <v>388.81835716635396</v>
      </c>
      <c r="AI645">
        <v>226</v>
      </c>
      <c r="AJ645" t="s">
        <v>256</v>
      </c>
      <c r="AK645">
        <v>0</v>
      </c>
      <c r="AL645">
        <v>0</v>
      </c>
      <c r="AM645">
        <v>0</v>
      </c>
    </row>
    <row r="646" spans="1:39" x14ac:dyDescent="0.25">
      <c r="A646" t="s">
        <v>233</v>
      </c>
      <c r="B646" t="s">
        <v>569</v>
      </c>
      <c r="C646" t="s">
        <v>255</v>
      </c>
      <c r="D646" t="s">
        <v>234</v>
      </c>
      <c r="E646" t="s">
        <v>20</v>
      </c>
      <c r="F646" t="s">
        <v>284</v>
      </c>
      <c r="G646" t="s">
        <v>269</v>
      </c>
      <c r="H646" t="s">
        <v>254</v>
      </c>
      <c r="I646" t="s">
        <v>242</v>
      </c>
      <c r="J646" t="s">
        <v>235</v>
      </c>
      <c r="K646" s="380">
        <v>37104</v>
      </c>
      <c r="L646" s="235">
        <v>22771.906791057285</v>
      </c>
      <c r="M646" s="380">
        <v>37102</v>
      </c>
      <c r="N646" t="s">
        <v>1</v>
      </c>
      <c r="O646">
        <v>0.3</v>
      </c>
      <c r="P646">
        <v>0</v>
      </c>
      <c r="Q646">
        <v>0</v>
      </c>
      <c r="R646">
        <v>0</v>
      </c>
      <c r="S646">
        <v>0</v>
      </c>
      <c r="T646" t="s">
        <v>253</v>
      </c>
      <c r="U646" t="s">
        <v>7</v>
      </c>
      <c r="V646" t="s">
        <v>253</v>
      </c>
      <c r="W646" t="s">
        <v>132</v>
      </c>
      <c r="X646" t="s">
        <v>253</v>
      </c>
      <c r="Y646" t="s">
        <v>235</v>
      </c>
      <c r="Z646" t="s">
        <v>236</v>
      </c>
      <c r="AA646" t="s">
        <v>253</v>
      </c>
      <c r="AB646" t="s">
        <v>1</v>
      </c>
      <c r="AC646" s="235">
        <v>310000</v>
      </c>
      <c r="AD646" s="235">
        <v>8655.1968170600594</v>
      </c>
      <c r="AE646">
        <v>0</v>
      </c>
      <c r="AF646">
        <v>0</v>
      </c>
      <c r="AG646">
        <v>0</v>
      </c>
      <c r="AH646" s="235">
        <v>410.5015759041853</v>
      </c>
      <c r="AI646">
        <v>226</v>
      </c>
      <c r="AJ646" t="s">
        <v>256</v>
      </c>
      <c r="AK646">
        <v>0</v>
      </c>
      <c r="AL646">
        <v>0</v>
      </c>
      <c r="AM646">
        <v>0</v>
      </c>
    </row>
    <row r="647" spans="1:39" x14ac:dyDescent="0.25">
      <c r="A647" t="s">
        <v>233</v>
      </c>
      <c r="B647" t="s">
        <v>569</v>
      </c>
      <c r="C647" t="s">
        <v>255</v>
      </c>
      <c r="D647" t="s">
        <v>234</v>
      </c>
      <c r="E647" t="s">
        <v>20</v>
      </c>
      <c r="F647" t="s">
        <v>284</v>
      </c>
      <c r="G647" t="s">
        <v>269</v>
      </c>
      <c r="H647" t="s">
        <v>254</v>
      </c>
      <c r="I647" t="s">
        <v>242</v>
      </c>
      <c r="J647" t="s">
        <v>235</v>
      </c>
      <c r="K647" s="380">
        <v>37135</v>
      </c>
      <c r="L647" s="235">
        <v>29764.94613151488</v>
      </c>
      <c r="M647" s="380">
        <v>37133</v>
      </c>
      <c r="N647" t="s">
        <v>1</v>
      </c>
      <c r="O647">
        <v>0.3</v>
      </c>
      <c r="P647">
        <v>0</v>
      </c>
      <c r="Q647">
        <v>0</v>
      </c>
      <c r="R647">
        <v>0</v>
      </c>
      <c r="S647">
        <v>0</v>
      </c>
      <c r="T647" t="s">
        <v>253</v>
      </c>
      <c r="U647" t="s">
        <v>7</v>
      </c>
      <c r="V647" t="s">
        <v>253</v>
      </c>
      <c r="W647" t="s">
        <v>132</v>
      </c>
      <c r="X647" t="s">
        <v>253</v>
      </c>
      <c r="Y647" t="s">
        <v>235</v>
      </c>
      <c r="Z647" t="s">
        <v>236</v>
      </c>
      <c r="AA647" t="s">
        <v>253</v>
      </c>
      <c r="AB647" t="s">
        <v>1</v>
      </c>
      <c r="AC647" s="235">
        <v>300000</v>
      </c>
      <c r="AD647" s="235">
        <v>9298.8111037538911</v>
      </c>
      <c r="AE647">
        <v>0</v>
      </c>
      <c r="AF647">
        <v>0</v>
      </c>
      <c r="AG647">
        <v>0</v>
      </c>
      <c r="AH647" s="235">
        <v>441.70348140015631</v>
      </c>
      <c r="AI647">
        <v>226</v>
      </c>
      <c r="AJ647" t="s">
        <v>256</v>
      </c>
      <c r="AK647">
        <v>0</v>
      </c>
      <c r="AL647">
        <v>0</v>
      </c>
      <c r="AM647">
        <v>0</v>
      </c>
    </row>
    <row r="648" spans="1:39" x14ac:dyDescent="0.25">
      <c r="A648" t="s">
        <v>233</v>
      </c>
      <c r="B648" t="s">
        <v>569</v>
      </c>
      <c r="C648" t="s">
        <v>255</v>
      </c>
      <c r="D648" t="s">
        <v>234</v>
      </c>
      <c r="E648" t="s">
        <v>20</v>
      </c>
      <c r="F648" t="s">
        <v>284</v>
      </c>
      <c r="G648" t="s">
        <v>269</v>
      </c>
      <c r="H648" t="s">
        <v>254</v>
      </c>
      <c r="I648" t="s">
        <v>242</v>
      </c>
      <c r="J648" t="s">
        <v>235</v>
      </c>
      <c r="K648" s="380">
        <v>37165</v>
      </c>
      <c r="L648" s="235">
        <v>25502.211331797884</v>
      </c>
      <c r="M648" s="380">
        <v>37161</v>
      </c>
      <c r="N648" t="s">
        <v>1</v>
      </c>
      <c r="O648">
        <v>0.3</v>
      </c>
      <c r="P648">
        <v>0</v>
      </c>
      <c r="Q648">
        <v>0</v>
      </c>
      <c r="R648">
        <v>0</v>
      </c>
      <c r="S648">
        <v>0</v>
      </c>
      <c r="T648" t="s">
        <v>253</v>
      </c>
      <c r="U648" t="s">
        <v>7</v>
      </c>
      <c r="V648" t="s">
        <v>253</v>
      </c>
      <c r="W648" t="s">
        <v>132</v>
      </c>
      <c r="X648" t="s">
        <v>253</v>
      </c>
      <c r="Y648" t="s">
        <v>235</v>
      </c>
      <c r="Z648" t="s">
        <v>236</v>
      </c>
      <c r="AA648" t="s">
        <v>253</v>
      </c>
      <c r="AB648" t="s">
        <v>1</v>
      </c>
      <c r="AC648" s="235">
        <v>310000</v>
      </c>
      <c r="AD648" s="235">
        <v>9444.5949747469567</v>
      </c>
      <c r="AE648">
        <v>0</v>
      </c>
      <c r="AF648">
        <v>0</v>
      </c>
      <c r="AG648">
        <v>0</v>
      </c>
      <c r="AH648" s="235">
        <v>448.28093034559424</v>
      </c>
      <c r="AI648">
        <v>226</v>
      </c>
      <c r="AJ648" t="s">
        <v>256</v>
      </c>
      <c r="AK648">
        <v>0</v>
      </c>
      <c r="AL648">
        <v>0</v>
      </c>
      <c r="AM648">
        <v>0</v>
      </c>
    </row>
    <row r="649" spans="1:39" x14ac:dyDescent="0.25">
      <c r="A649" t="s">
        <v>233</v>
      </c>
      <c r="B649" t="s">
        <v>570</v>
      </c>
      <c r="C649" t="s">
        <v>255</v>
      </c>
      <c r="D649" t="s">
        <v>234</v>
      </c>
      <c r="E649" t="s">
        <v>20</v>
      </c>
      <c r="F649" t="s">
        <v>281</v>
      </c>
      <c r="G649" t="s">
        <v>269</v>
      </c>
      <c r="H649" t="s">
        <v>254</v>
      </c>
      <c r="I649" t="s">
        <v>242</v>
      </c>
      <c r="J649" t="s">
        <v>235</v>
      </c>
      <c r="K649" s="380">
        <v>36982</v>
      </c>
      <c r="L649" s="235">
        <v>37274.042080978186</v>
      </c>
      <c r="M649" s="380">
        <v>36979</v>
      </c>
      <c r="N649" t="s">
        <v>21</v>
      </c>
      <c r="O649">
        <v>0.7</v>
      </c>
      <c r="P649">
        <v>0</v>
      </c>
      <c r="Q649">
        <v>0</v>
      </c>
      <c r="R649">
        <v>0</v>
      </c>
      <c r="S649">
        <v>0</v>
      </c>
      <c r="T649" t="s">
        <v>253</v>
      </c>
      <c r="U649" t="s">
        <v>7</v>
      </c>
      <c r="V649" t="s">
        <v>253</v>
      </c>
      <c r="W649" t="s">
        <v>132</v>
      </c>
      <c r="X649" t="s">
        <v>253</v>
      </c>
      <c r="Y649" t="s">
        <v>235</v>
      </c>
      <c r="Z649" t="s">
        <v>236</v>
      </c>
      <c r="AA649" t="s">
        <v>253</v>
      </c>
      <c r="AB649" t="s">
        <v>1</v>
      </c>
      <c r="AC649" s="235">
        <v>500000</v>
      </c>
      <c r="AD649" s="235">
        <v>10951.242548154696</v>
      </c>
      <c r="AE649">
        <v>0</v>
      </c>
      <c r="AF649">
        <v>0</v>
      </c>
      <c r="AG649">
        <v>0</v>
      </c>
      <c r="AH649" s="235">
        <v>521.12454354107467</v>
      </c>
      <c r="AI649">
        <v>226</v>
      </c>
      <c r="AJ649" t="s">
        <v>256</v>
      </c>
      <c r="AK649">
        <v>0</v>
      </c>
      <c r="AL649">
        <v>0</v>
      </c>
      <c r="AM649">
        <v>0</v>
      </c>
    </row>
    <row r="650" spans="1:39" x14ac:dyDescent="0.25">
      <c r="A650" t="s">
        <v>233</v>
      </c>
      <c r="B650" t="s">
        <v>572</v>
      </c>
      <c r="C650" t="s">
        <v>255</v>
      </c>
      <c r="D650" t="s">
        <v>234</v>
      </c>
      <c r="E650" t="s">
        <v>20</v>
      </c>
      <c r="F650" t="s">
        <v>571</v>
      </c>
      <c r="G650" t="s">
        <v>269</v>
      </c>
      <c r="H650" t="s">
        <v>254</v>
      </c>
      <c r="I650" t="s">
        <v>242</v>
      </c>
      <c r="J650" t="s">
        <v>235</v>
      </c>
      <c r="K650" s="380">
        <v>36831</v>
      </c>
      <c r="L650" s="235">
        <v>-35995.772215852703</v>
      </c>
      <c r="M650" s="380">
        <v>36829</v>
      </c>
      <c r="N650" t="s">
        <v>21</v>
      </c>
      <c r="O650">
        <v>0.12</v>
      </c>
      <c r="P650">
        <v>0</v>
      </c>
      <c r="Q650">
        <v>0</v>
      </c>
      <c r="R650">
        <v>0</v>
      </c>
      <c r="S650">
        <v>0</v>
      </c>
      <c r="T650" t="s">
        <v>253</v>
      </c>
      <c r="U650" t="s">
        <v>600</v>
      </c>
      <c r="V650" t="s">
        <v>253</v>
      </c>
      <c r="W650" t="s">
        <v>132</v>
      </c>
      <c r="X650" t="s">
        <v>253</v>
      </c>
      <c r="Y650" t="s">
        <v>235</v>
      </c>
      <c r="Z650" t="s">
        <v>236</v>
      </c>
      <c r="AA650" t="s">
        <v>253</v>
      </c>
      <c r="AB650" t="s">
        <v>1</v>
      </c>
      <c r="AC650" s="235">
        <v>-1500000</v>
      </c>
      <c r="AD650" s="235">
        <v>-10203.860617517377</v>
      </c>
      <c r="AE650">
        <v>0</v>
      </c>
      <c r="AF650">
        <v>0</v>
      </c>
      <c r="AG650">
        <v>0</v>
      </c>
      <c r="AH650" s="235">
        <v>-548.93047794404993</v>
      </c>
      <c r="AI650">
        <v>226</v>
      </c>
      <c r="AJ650" t="s">
        <v>256</v>
      </c>
      <c r="AK650">
        <v>0</v>
      </c>
      <c r="AL650">
        <v>0</v>
      </c>
      <c r="AM650">
        <v>0</v>
      </c>
    </row>
    <row r="651" spans="1:39" x14ac:dyDescent="0.25">
      <c r="A651" t="s">
        <v>233</v>
      </c>
      <c r="B651" t="s">
        <v>572</v>
      </c>
      <c r="C651" t="s">
        <v>255</v>
      </c>
      <c r="D651" t="s">
        <v>234</v>
      </c>
      <c r="E651" t="s">
        <v>20</v>
      </c>
      <c r="F651" t="s">
        <v>571</v>
      </c>
      <c r="G651" t="s">
        <v>269</v>
      </c>
      <c r="H651" t="s">
        <v>254</v>
      </c>
      <c r="I651" t="s">
        <v>242</v>
      </c>
      <c r="J651" t="s">
        <v>235</v>
      </c>
      <c r="K651" s="380">
        <v>36861</v>
      </c>
      <c r="L651" s="235">
        <v>-58398.766006541584</v>
      </c>
      <c r="M651" s="380">
        <v>36859</v>
      </c>
      <c r="N651" t="s">
        <v>21</v>
      </c>
      <c r="O651">
        <v>0.12</v>
      </c>
      <c r="P651">
        <v>0</v>
      </c>
      <c r="Q651">
        <v>0</v>
      </c>
      <c r="R651">
        <v>0</v>
      </c>
      <c r="S651">
        <v>0</v>
      </c>
      <c r="T651" t="s">
        <v>253</v>
      </c>
      <c r="U651" t="s">
        <v>600</v>
      </c>
      <c r="V651" t="s">
        <v>253</v>
      </c>
      <c r="W651" t="s">
        <v>132</v>
      </c>
      <c r="X651" t="s">
        <v>253</v>
      </c>
      <c r="Y651" t="s">
        <v>235</v>
      </c>
      <c r="Z651" t="s">
        <v>236</v>
      </c>
      <c r="AA651" t="s">
        <v>253</v>
      </c>
      <c r="AB651" t="s">
        <v>1</v>
      </c>
      <c r="AC651" s="235">
        <v>-1550000</v>
      </c>
      <c r="AD651" s="235">
        <v>-13408.41257337865</v>
      </c>
      <c r="AE651">
        <v>0</v>
      </c>
      <c r="AF651">
        <v>0</v>
      </c>
      <c r="AG651">
        <v>0</v>
      </c>
      <c r="AH651" s="235">
        <v>-674.85633817880444</v>
      </c>
      <c r="AI651">
        <v>226</v>
      </c>
      <c r="AJ651" t="s">
        <v>256</v>
      </c>
      <c r="AK651">
        <v>0</v>
      </c>
      <c r="AL651">
        <v>0</v>
      </c>
      <c r="AM651">
        <v>0</v>
      </c>
    </row>
    <row r="652" spans="1:39" x14ac:dyDescent="0.25">
      <c r="A652" t="s">
        <v>233</v>
      </c>
      <c r="B652" t="s">
        <v>572</v>
      </c>
      <c r="C652" t="s">
        <v>255</v>
      </c>
      <c r="D652" t="s">
        <v>234</v>
      </c>
      <c r="E652" t="s">
        <v>20</v>
      </c>
      <c r="F652" t="s">
        <v>571</v>
      </c>
      <c r="G652" t="s">
        <v>269</v>
      </c>
      <c r="H652" t="s">
        <v>254</v>
      </c>
      <c r="I652" t="s">
        <v>242</v>
      </c>
      <c r="J652" t="s">
        <v>235</v>
      </c>
      <c r="K652" s="380">
        <v>36892</v>
      </c>
      <c r="L652" s="235">
        <v>-88686.000216742337</v>
      </c>
      <c r="M652" s="380">
        <v>36888</v>
      </c>
      <c r="N652" t="s">
        <v>21</v>
      </c>
      <c r="O652">
        <v>0.12</v>
      </c>
      <c r="P652">
        <v>0</v>
      </c>
      <c r="Q652">
        <v>0</v>
      </c>
      <c r="R652">
        <v>0</v>
      </c>
      <c r="S652">
        <v>0</v>
      </c>
      <c r="T652" t="s">
        <v>253</v>
      </c>
      <c r="U652" t="s">
        <v>600</v>
      </c>
      <c r="V652" t="s">
        <v>253</v>
      </c>
      <c r="W652" t="s">
        <v>132</v>
      </c>
      <c r="X652" t="s">
        <v>253</v>
      </c>
      <c r="Y652" t="s">
        <v>235</v>
      </c>
      <c r="Z652" t="s">
        <v>236</v>
      </c>
      <c r="AA652" t="s">
        <v>253</v>
      </c>
      <c r="AB652" t="s">
        <v>1</v>
      </c>
      <c r="AC652" s="235">
        <v>-1550000</v>
      </c>
      <c r="AD652" s="235">
        <v>-15533.32323494181</v>
      </c>
      <c r="AE652">
        <v>0</v>
      </c>
      <c r="AF652">
        <v>0</v>
      </c>
      <c r="AG652">
        <v>0</v>
      </c>
      <c r="AH652" s="235">
        <v>-747.71109007314953</v>
      </c>
      <c r="AI652">
        <v>226</v>
      </c>
      <c r="AJ652" t="s">
        <v>256</v>
      </c>
      <c r="AK652">
        <v>0</v>
      </c>
      <c r="AL652">
        <v>0</v>
      </c>
      <c r="AM652">
        <v>0</v>
      </c>
    </row>
    <row r="653" spans="1:39" x14ac:dyDescent="0.25">
      <c r="A653" t="s">
        <v>233</v>
      </c>
      <c r="B653" t="s">
        <v>572</v>
      </c>
      <c r="C653" t="s">
        <v>255</v>
      </c>
      <c r="D653" t="s">
        <v>234</v>
      </c>
      <c r="E653" t="s">
        <v>20</v>
      </c>
      <c r="F653" t="s">
        <v>571</v>
      </c>
      <c r="G653" t="s">
        <v>269</v>
      </c>
      <c r="H653" t="s">
        <v>254</v>
      </c>
      <c r="I653" t="s">
        <v>242</v>
      </c>
      <c r="J653" t="s">
        <v>235</v>
      </c>
      <c r="K653" s="380">
        <v>36923</v>
      </c>
      <c r="L653" s="235">
        <v>-90978.668032625021</v>
      </c>
      <c r="M653" s="380">
        <v>36921</v>
      </c>
      <c r="N653" t="s">
        <v>21</v>
      </c>
      <c r="O653">
        <v>0.12</v>
      </c>
      <c r="P653">
        <v>0</v>
      </c>
      <c r="Q653">
        <v>0</v>
      </c>
      <c r="R653">
        <v>0</v>
      </c>
      <c r="S653">
        <v>0</v>
      </c>
      <c r="T653" t="s">
        <v>253</v>
      </c>
      <c r="U653" t="s">
        <v>600</v>
      </c>
      <c r="V653" t="s">
        <v>253</v>
      </c>
      <c r="W653" t="s">
        <v>132</v>
      </c>
      <c r="X653" t="s">
        <v>253</v>
      </c>
      <c r="Y653" t="s">
        <v>235</v>
      </c>
      <c r="Z653" t="s">
        <v>236</v>
      </c>
      <c r="AA653" t="s">
        <v>253</v>
      </c>
      <c r="AB653" t="s">
        <v>1</v>
      </c>
      <c r="AC653" s="235">
        <v>-1400000</v>
      </c>
      <c r="AD653" s="235">
        <v>-15206.985302662826</v>
      </c>
      <c r="AE653">
        <v>0</v>
      </c>
      <c r="AF653">
        <v>0</v>
      </c>
      <c r="AG653">
        <v>0</v>
      </c>
      <c r="AH653" s="235">
        <v>-729.91683609760366</v>
      </c>
      <c r="AI653">
        <v>226</v>
      </c>
      <c r="AJ653" t="s">
        <v>256</v>
      </c>
      <c r="AK653">
        <v>0</v>
      </c>
      <c r="AL653">
        <v>0</v>
      </c>
      <c r="AM653">
        <v>0</v>
      </c>
    </row>
    <row r="654" spans="1:39" x14ac:dyDescent="0.25">
      <c r="A654" t="s">
        <v>233</v>
      </c>
      <c r="B654" t="s">
        <v>572</v>
      </c>
      <c r="C654" t="s">
        <v>255</v>
      </c>
      <c r="D654" t="s">
        <v>234</v>
      </c>
      <c r="E654" t="s">
        <v>20</v>
      </c>
      <c r="F654" t="s">
        <v>571</v>
      </c>
      <c r="G654" t="s">
        <v>269</v>
      </c>
      <c r="H654" t="s">
        <v>254</v>
      </c>
      <c r="I654" t="s">
        <v>242</v>
      </c>
      <c r="J654" t="s">
        <v>235</v>
      </c>
      <c r="K654" s="380">
        <v>36951</v>
      </c>
      <c r="L654" s="235">
        <v>-81751.695957239033</v>
      </c>
      <c r="M654" s="380">
        <v>36949</v>
      </c>
      <c r="N654" t="s">
        <v>21</v>
      </c>
      <c r="O654">
        <v>0.12</v>
      </c>
      <c r="P654">
        <v>0</v>
      </c>
      <c r="Q654">
        <v>0</v>
      </c>
      <c r="R654">
        <v>0</v>
      </c>
      <c r="S654">
        <v>0</v>
      </c>
      <c r="T654" t="s">
        <v>253</v>
      </c>
      <c r="U654" t="s">
        <v>600</v>
      </c>
      <c r="V654" t="s">
        <v>253</v>
      </c>
      <c r="W654" t="s">
        <v>132</v>
      </c>
      <c r="X654" t="s">
        <v>253</v>
      </c>
      <c r="Y654" t="s">
        <v>235</v>
      </c>
      <c r="Z654" t="s">
        <v>236</v>
      </c>
      <c r="AA654" t="s">
        <v>253</v>
      </c>
      <c r="AB654" t="s">
        <v>1</v>
      </c>
      <c r="AC654" s="235">
        <v>-1550000</v>
      </c>
      <c r="AD654" s="235">
        <v>-16400.47771620343</v>
      </c>
      <c r="AE654">
        <v>0</v>
      </c>
      <c r="AF654">
        <v>0</v>
      </c>
      <c r="AG654">
        <v>0</v>
      </c>
      <c r="AH654" s="235">
        <v>-834.36930591576674</v>
      </c>
      <c r="AI654">
        <v>226</v>
      </c>
      <c r="AJ654" t="s">
        <v>256</v>
      </c>
      <c r="AK654">
        <v>0</v>
      </c>
      <c r="AL654">
        <v>0</v>
      </c>
      <c r="AM654">
        <v>0</v>
      </c>
    </row>
    <row r="655" spans="1:39" x14ac:dyDescent="0.25">
      <c r="A655" t="s">
        <v>233</v>
      </c>
      <c r="B655" t="s">
        <v>573</v>
      </c>
      <c r="C655" t="s">
        <v>255</v>
      </c>
      <c r="D655" t="s">
        <v>234</v>
      </c>
      <c r="E655" t="s">
        <v>20</v>
      </c>
      <c r="F655" t="s">
        <v>399</v>
      </c>
      <c r="G655" t="s">
        <v>269</v>
      </c>
      <c r="H655" t="s">
        <v>254</v>
      </c>
      <c r="I655" t="s">
        <v>242</v>
      </c>
      <c r="J655" t="s">
        <v>235</v>
      </c>
      <c r="K655" s="380">
        <v>36831</v>
      </c>
      <c r="L655" s="235">
        <v>-7199.1544431705406</v>
      </c>
      <c r="M655" s="380">
        <v>36829</v>
      </c>
      <c r="N655" t="s">
        <v>21</v>
      </c>
      <c r="O655">
        <v>0.12</v>
      </c>
      <c r="P655">
        <v>0</v>
      </c>
      <c r="Q655">
        <v>0</v>
      </c>
      <c r="R655">
        <v>0</v>
      </c>
      <c r="S655">
        <v>0</v>
      </c>
      <c r="T655" t="s">
        <v>253</v>
      </c>
      <c r="U655" t="s">
        <v>600</v>
      </c>
      <c r="V655" t="s">
        <v>253</v>
      </c>
      <c r="W655" t="s">
        <v>132</v>
      </c>
      <c r="X655" t="s">
        <v>253</v>
      </c>
      <c r="Y655" t="s">
        <v>235</v>
      </c>
      <c r="Z655" t="s">
        <v>236</v>
      </c>
      <c r="AA655" t="s">
        <v>253</v>
      </c>
      <c r="AB655" t="s">
        <v>1</v>
      </c>
      <c r="AC655" s="235">
        <v>-300000</v>
      </c>
      <c r="AD655" s="235">
        <v>-2040.7721235034842</v>
      </c>
      <c r="AE655">
        <v>0</v>
      </c>
      <c r="AF655">
        <v>0</v>
      </c>
      <c r="AG655">
        <v>0</v>
      </c>
      <c r="AH655" s="235">
        <v>-109.78609558880999</v>
      </c>
      <c r="AI655">
        <v>226</v>
      </c>
      <c r="AJ655" t="s">
        <v>256</v>
      </c>
      <c r="AK655">
        <v>0</v>
      </c>
      <c r="AL655">
        <v>0</v>
      </c>
      <c r="AM655">
        <v>0</v>
      </c>
    </row>
    <row r="656" spans="1:39" x14ac:dyDescent="0.25">
      <c r="A656" t="s">
        <v>233</v>
      </c>
      <c r="B656" t="s">
        <v>573</v>
      </c>
      <c r="C656" t="s">
        <v>255</v>
      </c>
      <c r="D656" t="s">
        <v>234</v>
      </c>
      <c r="E656" t="s">
        <v>20</v>
      </c>
      <c r="F656" t="s">
        <v>399</v>
      </c>
      <c r="G656" t="s">
        <v>269</v>
      </c>
      <c r="H656" t="s">
        <v>254</v>
      </c>
      <c r="I656" t="s">
        <v>242</v>
      </c>
      <c r="J656" t="s">
        <v>235</v>
      </c>
      <c r="K656" s="380">
        <v>36861</v>
      </c>
      <c r="L656" s="235">
        <v>-11679.753201308318</v>
      </c>
      <c r="M656" s="380">
        <v>36859</v>
      </c>
      <c r="N656" t="s">
        <v>21</v>
      </c>
      <c r="O656">
        <v>0.12</v>
      </c>
      <c r="P656">
        <v>0</v>
      </c>
      <c r="Q656">
        <v>0</v>
      </c>
      <c r="R656">
        <v>0</v>
      </c>
      <c r="S656">
        <v>0</v>
      </c>
      <c r="T656" t="s">
        <v>253</v>
      </c>
      <c r="U656" t="s">
        <v>600</v>
      </c>
      <c r="V656" t="s">
        <v>253</v>
      </c>
      <c r="W656" t="s">
        <v>132</v>
      </c>
      <c r="X656" t="s">
        <v>253</v>
      </c>
      <c r="Y656" t="s">
        <v>235</v>
      </c>
      <c r="Z656" t="s">
        <v>236</v>
      </c>
      <c r="AA656" t="s">
        <v>253</v>
      </c>
      <c r="AB656" t="s">
        <v>1</v>
      </c>
      <c r="AC656" s="235">
        <v>-310000</v>
      </c>
      <c r="AD656" s="235">
        <v>-2681.6825146757183</v>
      </c>
      <c r="AE656">
        <v>0</v>
      </c>
      <c r="AF656">
        <v>0</v>
      </c>
      <c r="AG656">
        <v>0</v>
      </c>
      <c r="AH656" s="235">
        <v>-134.97126763576125</v>
      </c>
      <c r="AI656">
        <v>226</v>
      </c>
      <c r="AJ656" t="s">
        <v>256</v>
      </c>
      <c r="AK656">
        <v>0</v>
      </c>
      <c r="AL656">
        <v>0</v>
      </c>
      <c r="AM656">
        <v>0</v>
      </c>
    </row>
    <row r="657" spans="1:39" x14ac:dyDescent="0.25">
      <c r="A657" t="s">
        <v>233</v>
      </c>
      <c r="B657" t="s">
        <v>573</v>
      </c>
      <c r="C657" t="s">
        <v>255</v>
      </c>
      <c r="D657" t="s">
        <v>234</v>
      </c>
      <c r="E657" t="s">
        <v>20</v>
      </c>
      <c r="F657" t="s">
        <v>399</v>
      </c>
      <c r="G657" t="s">
        <v>269</v>
      </c>
      <c r="H657" t="s">
        <v>254</v>
      </c>
      <c r="I657" t="s">
        <v>242</v>
      </c>
      <c r="J657" t="s">
        <v>235</v>
      </c>
      <c r="K657" s="380">
        <v>36892</v>
      </c>
      <c r="L657" s="235">
        <v>-17737.200043348468</v>
      </c>
      <c r="M657" s="380">
        <v>36888</v>
      </c>
      <c r="N657" t="s">
        <v>21</v>
      </c>
      <c r="O657">
        <v>0.12</v>
      </c>
      <c r="P657">
        <v>0</v>
      </c>
      <c r="Q657">
        <v>0</v>
      </c>
      <c r="R657">
        <v>0</v>
      </c>
      <c r="S657">
        <v>0</v>
      </c>
      <c r="T657" t="s">
        <v>253</v>
      </c>
      <c r="U657" t="s">
        <v>600</v>
      </c>
      <c r="V657" t="s">
        <v>253</v>
      </c>
      <c r="W657" t="s">
        <v>132</v>
      </c>
      <c r="X657" t="s">
        <v>253</v>
      </c>
      <c r="Y657" t="s">
        <v>235</v>
      </c>
      <c r="Z657" t="s">
        <v>236</v>
      </c>
      <c r="AA657" t="s">
        <v>253</v>
      </c>
      <c r="AB657" t="s">
        <v>1</v>
      </c>
      <c r="AC657" s="235">
        <v>-310000</v>
      </c>
      <c r="AD657" s="235">
        <v>-3106.6646469883854</v>
      </c>
      <c r="AE657">
        <v>0</v>
      </c>
      <c r="AF657">
        <v>0</v>
      </c>
      <c r="AG657">
        <v>0</v>
      </c>
      <c r="AH657" s="235">
        <v>-149.542218014627</v>
      </c>
      <c r="AI657">
        <v>226</v>
      </c>
      <c r="AJ657" t="s">
        <v>256</v>
      </c>
      <c r="AK657">
        <v>0</v>
      </c>
      <c r="AL657">
        <v>0</v>
      </c>
      <c r="AM657">
        <v>0</v>
      </c>
    </row>
    <row r="658" spans="1:39" x14ac:dyDescent="0.25">
      <c r="A658" t="s">
        <v>233</v>
      </c>
      <c r="B658" t="s">
        <v>573</v>
      </c>
      <c r="C658" t="s">
        <v>255</v>
      </c>
      <c r="D658" t="s">
        <v>234</v>
      </c>
      <c r="E658" t="s">
        <v>20</v>
      </c>
      <c r="F658" t="s">
        <v>399</v>
      </c>
      <c r="G658" t="s">
        <v>269</v>
      </c>
      <c r="H658" t="s">
        <v>254</v>
      </c>
      <c r="I658" t="s">
        <v>242</v>
      </c>
      <c r="J658" t="s">
        <v>235</v>
      </c>
      <c r="K658" s="380">
        <v>36923</v>
      </c>
      <c r="L658" s="235">
        <v>-18195.733606525002</v>
      </c>
      <c r="M658" s="380">
        <v>36921</v>
      </c>
      <c r="N658" t="s">
        <v>21</v>
      </c>
      <c r="O658">
        <v>0.12</v>
      </c>
      <c r="P658">
        <v>0</v>
      </c>
      <c r="Q658">
        <v>0</v>
      </c>
      <c r="R658">
        <v>0</v>
      </c>
      <c r="S658">
        <v>0</v>
      </c>
      <c r="T658" t="s">
        <v>253</v>
      </c>
      <c r="U658" t="s">
        <v>600</v>
      </c>
      <c r="V658" t="s">
        <v>253</v>
      </c>
      <c r="W658" t="s">
        <v>132</v>
      </c>
      <c r="X658" t="s">
        <v>253</v>
      </c>
      <c r="Y658" t="s">
        <v>235</v>
      </c>
      <c r="Z658" t="s">
        <v>236</v>
      </c>
      <c r="AA658" t="s">
        <v>253</v>
      </c>
      <c r="AB658" t="s">
        <v>1</v>
      </c>
      <c r="AC658" s="235">
        <v>-280000</v>
      </c>
      <c r="AD658" s="235">
        <v>-3041.3970605325594</v>
      </c>
      <c r="AE658">
        <v>0</v>
      </c>
      <c r="AF658">
        <v>0</v>
      </c>
      <c r="AG658">
        <v>0</v>
      </c>
      <c r="AH658" s="235">
        <v>-145.98336721952364</v>
      </c>
      <c r="AI658">
        <v>226</v>
      </c>
      <c r="AJ658" t="s">
        <v>256</v>
      </c>
      <c r="AK658">
        <v>0</v>
      </c>
      <c r="AL658">
        <v>0</v>
      </c>
      <c r="AM658">
        <v>0</v>
      </c>
    </row>
    <row r="659" spans="1:39" x14ac:dyDescent="0.25">
      <c r="A659" t="s">
        <v>233</v>
      </c>
      <c r="B659" t="s">
        <v>573</v>
      </c>
      <c r="C659" t="s">
        <v>255</v>
      </c>
      <c r="D659" t="s">
        <v>234</v>
      </c>
      <c r="E659" t="s">
        <v>20</v>
      </c>
      <c r="F659" t="s">
        <v>399</v>
      </c>
      <c r="G659" t="s">
        <v>269</v>
      </c>
      <c r="H659" t="s">
        <v>254</v>
      </c>
      <c r="I659" t="s">
        <v>242</v>
      </c>
      <c r="J659" t="s">
        <v>235</v>
      </c>
      <c r="K659" s="380">
        <v>36951</v>
      </c>
      <c r="L659" s="235">
        <v>-16350.339191447807</v>
      </c>
      <c r="M659" s="380">
        <v>36949</v>
      </c>
      <c r="N659" t="s">
        <v>21</v>
      </c>
      <c r="O659">
        <v>0.12</v>
      </c>
      <c r="P659">
        <v>0</v>
      </c>
      <c r="Q659">
        <v>0</v>
      </c>
      <c r="R659">
        <v>0</v>
      </c>
      <c r="S659">
        <v>0</v>
      </c>
      <c r="T659" t="s">
        <v>253</v>
      </c>
      <c r="U659" t="s">
        <v>600</v>
      </c>
      <c r="V659" t="s">
        <v>253</v>
      </c>
      <c r="W659" t="s">
        <v>132</v>
      </c>
      <c r="X659" t="s">
        <v>253</v>
      </c>
      <c r="Y659" t="s">
        <v>235</v>
      </c>
      <c r="Z659" t="s">
        <v>236</v>
      </c>
      <c r="AA659" t="s">
        <v>253</v>
      </c>
      <c r="AB659" t="s">
        <v>1</v>
      </c>
      <c r="AC659" s="235">
        <v>-310000</v>
      </c>
      <c r="AD659" s="235">
        <v>-3280.0955432406918</v>
      </c>
      <c r="AE659">
        <v>0</v>
      </c>
      <c r="AF659">
        <v>0</v>
      </c>
      <c r="AG659">
        <v>0</v>
      </c>
      <c r="AH659" s="235">
        <v>-166.87386118315408</v>
      </c>
      <c r="AI659">
        <v>226</v>
      </c>
      <c r="AJ659" t="s">
        <v>256</v>
      </c>
      <c r="AK659">
        <v>0</v>
      </c>
      <c r="AL659">
        <v>0</v>
      </c>
      <c r="AM659">
        <v>0</v>
      </c>
    </row>
    <row r="660" spans="1:39" x14ac:dyDescent="0.25">
      <c r="A660" t="s">
        <v>233</v>
      </c>
      <c r="B660" t="s">
        <v>574</v>
      </c>
      <c r="C660" t="s">
        <v>255</v>
      </c>
      <c r="D660" t="s">
        <v>234</v>
      </c>
      <c r="E660" t="s">
        <v>20</v>
      </c>
      <c r="F660" t="s">
        <v>509</v>
      </c>
      <c r="G660" t="s">
        <v>269</v>
      </c>
      <c r="H660" t="s">
        <v>254</v>
      </c>
      <c r="I660" t="s">
        <v>242</v>
      </c>
      <c r="J660" t="s">
        <v>235</v>
      </c>
      <c r="K660" s="380">
        <v>36800</v>
      </c>
      <c r="L660" s="235">
        <v>25459.055397389802</v>
      </c>
      <c r="M660" s="380">
        <v>36797</v>
      </c>
      <c r="N660" t="s">
        <v>21</v>
      </c>
      <c r="O660">
        <v>0.5</v>
      </c>
      <c r="P660">
        <v>0</v>
      </c>
      <c r="Q660">
        <v>0</v>
      </c>
      <c r="R660">
        <v>0</v>
      </c>
      <c r="S660">
        <v>0</v>
      </c>
      <c r="T660" t="s">
        <v>253</v>
      </c>
      <c r="U660" t="s">
        <v>7</v>
      </c>
      <c r="V660" t="s">
        <v>253</v>
      </c>
      <c r="W660" t="s">
        <v>132</v>
      </c>
      <c r="X660" t="s">
        <v>253</v>
      </c>
      <c r="Y660" t="s">
        <v>235</v>
      </c>
      <c r="Z660" t="s">
        <v>236</v>
      </c>
      <c r="AA660" t="s">
        <v>253</v>
      </c>
      <c r="AB660" t="s">
        <v>1</v>
      </c>
      <c r="AC660" s="235">
        <v>1550000</v>
      </c>
      <c r="AD660" s="235">
        <v>7501.5190019113361</v>
      </c>
      <c r="AE660">
        <v>0</v>
      </c>
      <c r="AF660">
        <v>0</v>
      </c>
      <c r="AG660">
        <v>0</v>
      </c>
      <c r="AH660" s="235">
        <v>429.99847433823015</v>
      </c>
      <c r="AI660">
        <v>226</v>
      </c>
      <c r="AJ660" t="s">
        <v>256</v>
      </c>
      <c r="AK660">
        <v>0</v>
      </c>
      <c r="AL660">
        <v>0</v>
      </c>
      <c r="AM660">
        <v>0</v>
      </c>
    </row>
    <row r="661" spans="1:39" x14ac:dyDescent="0.25">
      <c r="A661" t="s">
        <v>233</v>
      </c>
      <c r="B661" t="s">
        <v>575</v>
      </c>
      <c r="C661" t="s">
        <v>255</v>
      </c>
      <c r="D661" t="s">
        <v>234</v>
      </c>
      <c r="E661" t="s">
        <v>20</v>
      </c>
      <c r="F661" t="s">
        <v>268</v>
      </c>
      <c r="G661" t="s">
        <v>269</v>
      </c>
      <c r="H661" t="s">
        <v>254</v>
      </c>
      <c r="I661" t="s">
        <v>242</v>
      </c>
      <c r="J661" t="s">
        <v>235</v>
      </c>
      <c r="K661" s="380">
        <v>36831</v>
      </c>
      <c r="L661" s="235">
        <v>1931.8642528587211</v>
      </c>
      <c r="M661" s="380">
        <v>36829</v>
      </c>
      <c r="N661" t="s">
        <v>21</v>
      </c>
      <c r="O661">
        <v>2.5</v>
      </c>
      <c r="P661">
        <v>0</v>
      </c>
      <c r="Q661">
        <v>0</v>
      </c>
      <c r="R661">
        <v>0</v>
      </c>
      <c r="S661">
        <v>0</v>
      </c>
      <c r="T661" t="s">
        <v>253</v>
      </c>
      <c r="U661" t="s">
        <v>7</v>
      </c>
      <c r="V661" t="s">
        <v>253</v>
      </c>
      <c r="W661" t="s">
        <v>132</v>
      </c>
      <c r="X661" t="s">
        <v>253</v>
      </c>
      <c r="Y661" t="s">
        <v>235</v>
      </c>
      <c r="Z661" t="s">
        <v>236</v>
      </c>
      <c r="AA661" t="s">
        <v>253</v>
      </c>
      <c r="AB661" t="s">
        <v>1</v>
      </c>
      <c r="AC661" s="235">
        <v>300000</v>
      </c>
      <c r="AD661" s="235">
        <v>1569.5920027175107</v>
      </c>
      <c r="AE661">
        <v>0</v>
      </c>
      <c r="AF661">
        <v>0</v>
      </c>
      <c r="AG661">
        <v>0</v>
      </c>
      <c r="AH661" s="235">
        <v>379.93835220450842</v>
      </c>
      <c r="AI661">
        <v>226</v>
      </c>
      <c r="AJ661" t="s">
        <v>256</v>
      </c>
      <c r="AK661">
        <v>0</v>
      </c>
      <c r="AL661">
        <v>0</v>
      </c>
      <c r="AM661">
        <v>0</v>
      </c>
    </row>
    <row r="662" spans="1:39" x14ac:dyDescent="0.25">
      <c r="A662" t="s">
        <v>233</v>
      </c>
      <c r="B662" t="s">
        <v>575</v>
      </c>
      <c r="C662" t="s">
        <v>255</v>
      </c>
      <c r="D662" t="s">
        <v>234</v>
      </c>
      <c r="E662" t="s">
        <v>20</v>
      </c>
      <c r="F662" t="s">
        <v>268</v>
      </c>
      <c r="G662" t="s">
        <v>269</v>
      </c>
      <c r="H662" t="s">
        <v>254</v>
      </c>
      <c r="I662" t="s">
        <v>242</v>
      </c>
      <c r="J662" t="s">
        <v>235</v>
      </c>
      <c r="K662" s="380">
        <v>36861</v>
      </c>
      <c r="L662" s="235">
        <v>76798.631138172423</v>
      </c>
      <c r="M662" s="380">
        <v>36859</v>
      </c>
      <c r="N662" t="s">
        <v>21</v>
      </c>
      <c r="O662">
        <v>2.5</v>
      </c>
      <c r="P662">
        <v>0</v>
      </c>
      <c r="Q662">
        <v>0</v>
      </c>
      <c r="R662">
        <v>0</v>
      </c>
      <c r="S662">
        <v>0</v>
      </c>
      <c r="T662" t="s">
        <v>253</v>
      </c>
      <c r="U662" t="s">
        <v>7</v>
      </c>
      <c r="V662" t="s">
        <v>253</v>
      </c>
      <c r="W662" t="s">
        <v>132</v>
      </c>
      <c r="X662" t="s">
        <v>253</v>
      </c>
      <c r="Y662" t="s">
        <v>235</v>
      </c>
      <c r="Z662" t="s">
        <v>236</v>
      </c>
      <c r="AA662" t="s">
        <v>253</v>
      </c>
      <c r="AB662" t="s">
        <v>1</v>
      </c>
      <c r="AC662" s="235">
        <v>310000</v>
      </c>
      <c r="AD662" s="235">
        <v>17988.316226535462</v>
      </c>
      <c r="AE662">
        <v>0</v>
      </c>
      <c r="AF662">
        <v>0</v>
      </c>
      <c r="AG662">
        <v>0</v>
      </c>
      <c r="AH662" s="235">
        <v>5205.3673497760756</v>
      </c>
      <c r="AI662">
        <v>226</v>
      </c>
      <c r="AJ662" t="s">
        <v>256</v>
      </c>
      <c r="AK662">
        <v>0</v>
      </c>
      <c r="AL662">
        <v>0</v>
      </c>
      <c r="AM662">
        <v>0</v>
      </c>
    </row>
    <row r="663" spans="1:39" x14ac:dyDescent="0.25">
      <c r="A663" t="s">
        <v>233</v>
      </c>
      <c r="B663" t="s">
        <v>575</v>
      </c>
      <c r="C663" t="s">
        <v>255</v>
      </c>
      <c r="D663" t="s">
        <v>234</v>
      </c>
      <c r="E663" t="s">
        <v>20</v>
      </c>
      <c r="F663" t="s">
        <v>268</v>
      </c>
      <c r="G663" t="s">
        <v>269</v>
      </c>
      <c r="H663" t="s">
        <v>254</v>
      </c>
      <c r="I663" t="s">
        <v>242</v>
      </c>
      <c r="J663" t="s">
        <v>235</v>
      </c>
      <c r="K663" s="380">
        <v>36892</v>
      </c>
      <c r="L663" s="235">
        <v>164878.49223098918</v>
      </c>
      <c r="M663" s="380">
        <v>36888</v>
      </c>
      <c r="N663" t="s">
        <v>21</v>
      </c>
      <c r="O663">
        <v>2.5</v>
      </c>
      <c r="P663">
        <v>0</v>
      </c>
      <c r="Q663">
        <v>0</v>
      </c>
      <c r="R663">
        <v>0</v>
      </c>
      <c r="S663">
        <v>0</v>
      </c>
      <c r="T663" t="s">
        <v>253</v>
      </c>
      <c r="U663" t="s">
        <v>7</v>
      </c>
      <c r="V663" t="s">
        <v>253</v>
      </c>
      <c r="W663" t="s">
        <v>132</v>
      </c>
      <c r="X663" t="s">
        <v>253</v>
      </c>
      <c r="Y663" t="s">
        <v>235</v>
      </c>
      <c r="Z663" t="s">
        <v>236</v>
      </c>
      <c r="AA663" t="s">
        <v>253</v>
      </c>
      <c r="AB663" t="s">
        <v>1</v>
      </c>
      <c r="AC663" s="235">
        <v>310000</v>
      </c>
      <c r="AD663" s="235">
        <v>23672.167547659279</v>
      </c>
      <c r="AE663">
        <v>0</v>
      </c>
      <c r="AF663">
        <v>0</v>
      </c>
      <c r="AG663">
        <v>0</v>
      </c>
      <c r="AH663" s="235">
        <v>9697.6778801135952</v>
      </c>
      <c r="AI663">
        <v>226</v>
      </c>
      <c r="AJ663" t="s">
        <v>256</v>
      </c>
      <c r="AK663">
        <v>0</v>
      </c>
      <c r="AL663">
        <v>0</v>
      </c>
      <c r="AM663">
        <v>0</v>
      </c>
    </row>
    <row r="664" spans="1:39" x14ac:dyDescent="0.25">
      <c r="A664" t="s">
        <v>233</v>
      </c>
      <c r="B664" t="s">
        <v>575</v>
      </c>
      <c r="C664" t="s">
        <v>255</v>
      </c>
      <c r="D664" t="s">
        <v>234</v>
      </c>
      <c r="E664" t="s">
        <v>20</v>
      </c>
      <c r="F664" t="s">
        <v>268</v>
      </c>
      <c r="G664" t="s">
        <v>269</v>
      </c>
      <c r="H664" t="s">
        <v>254</v>
      </c>
      <c r="I664" t="s">
        <v>242</v>
      </c>
      <c r="J664" t="s">
        <v>235</v>
      </c>
      <c r="K664" s="380">
        <v>36923</v>
      </c>
      <c r="L664" s="235">
        <v>150386.9517695079</v>
      </c>
      <c r="M664" s="380">
        <v>36921</v>
      </c>
      <c r="N664" t="s">
        <v>21</v>
      </c>
      <c r="O664">
        <v>2.5</v>
      </c>
      <c r="P664">
        <v>0</v>
      </c>
      <c r="Q664">
        <v>0</v>
      </c>
      <c r="R664">
        <v>0</v>
      </c>
      <c r="S664">
        <v>0</v>
      </c>
      <c r="T664" t="s">
        <v>253</v>
      </c>
      <c r="U664" t="s">
        <v>7</v>
      </c>
      <c r="V664" t="s">
        <v>253</v>
      </c>
      <c r="W664" t="s">
        <v>132</v>
      </c>
      <c r="X664" t="s">
        <v>253</v>
      </c>
      <c r="Y664" t="s">
        <v>235</v>
      </c>
      <c r="Z664" t="s">
        <v>236</v>
      </c>
      <c r="AA664" t="s">
        <v>253</v>
      </c>
      <c r="AB664" t="s">
        <v>1</v>
      </c>
      <c r="AC664" s="235">
        <v>280000</v>
      </c>
      <c r="AD664" s="235">
        <v>23175.488626135979</v>
      </c>
      <c r="AE664">
        <v>0</v>
      </c>
      <c r="AF664">
        <v>0</v>
      </c>
      <c r="AG664">
        <v>0</v>
      </c>
      <c r="AH664" s="235">
        <v>9934.5782538573258</v>
      </c>
      <c r="AI664">
        <v>226</v>
      </c>
      <c r="AJ664" t="s">
        <v>256</v>
      </c>
      <c r="AK664">
        <v>0</v>
      </c>
      <c r="AL664">
        <v>0</v>
      </c>
      <c r="AM664">
        <v>0</v>
      </c>
    </row>
    <row r="665" spans="1:39" x14ac:dyDescent="0.25">
      <c r="A665" t="s">
        <v>233</v>
      </c>
      <c r="B665" t="s">
        <v>575</v>
      </c>
      <c r="C665" t="s">
        <v>255</v>
      </c>
      <c r="D665" t="s">
        <v>234</v>
      </c>
      <c r="E665" t="s">
        <v>20</v>
      </c>
      <c r="F665" t="s">
        <v>268</v>
      </c>
      <c r="G665" t="s">
        <v>269</v>
      </c>
      <c r="H665" t="s">
        <v>254</v>
      </c>
      <c r="I665" t="s">
        <v>242</v>
      </c>
      <c r="J665" t="s">
        <v>235</v>
      </c>
      <c r="K665" s="380">
        <v>36951</v>
      </c>
      <c r="L665" s="235">
        <v>48886.400631953802</v>
      </c>
      <c r="M665" s="380">
        <v>36949</v>
      </c>
      <c r="N665" t="s">
        <v>21</v>
      </c>
      <c r="O665">
        <v>2.5</v>
      </c>
      <c r="P665">
        <v>0</v>
      </c>
      <c r="Q665">
        <v>0</v>
      </c>
      <c r="R665">
        <v>0</v>
      </c>
      <c r="S665">
        <v>0</v>
      </c>
      <c r="T665" t="s">
        <v>253</v>
      </c>
      <c r="U665" t="s">
        <v>7</v>
      </c>
      <c r="V665" t="s">
        <v>253</v>
      </c>
      <c r="W665" t="s">
        <v>132</v>
      </c>
      <c r="X665" t="s">
        <v>253</v>
      </c>
      <c r="Y665" t="s">
        <v>235</v>
      </c>
      <c r="Z665" t="s">
        <v>236</v>
      </c>
      <c r="AA665" t="s">
        <v>253</v>
      </c>
      <c r="AB665" t="s">
        <v>1</v>
      </c>
      <c r="AC665" s="235">
        <v>310000</v>
      </c>
      <c r="AD665" s="235">
        <v>17765.662708301541</v>
      </c>
      <c r="AE665">
        <v>0</v>
      </c>
      <c r="AF665">
        <v>0</v>
      </c>
      <c r="AG665">
        <v>0</v>
      </c>
      <c r="AH665" s="235">
        <v>4861.2333406752296</v>
      </c>
      <c r="AI665">
        <v>226</v>
      </c>
      <c r="AJ665" t="s">
        <v>256</v>
      </c>
      <c r="AK665">
        <v>0</v>
      </c>
      <c r="AL665">
        <v>0</v>
      </c>
      <c r="AM665">
        <v>0</v>
      </c>
    </row>
    <row r="666" spans="1:39" x14ac:dyDescent="0.25">
      <c r="A666" t="s">
        <v>233</v>
      </c>
      <c r="B666" t="s">
        <v>576</v>
      </c>
      <c r="C666" t="s">
        <v>255</v>
      </c>
      <c r="D666" t="s">
        <v>234</v>
      </c>
      <c r="E666" t="s">
        <v>20</v>
      </c>
      <c r="F666" t="s">
        <v>286</v>
      </c>
      <c r="G666" t="s">
        <v>269</v>
      </c>
      <c r="H666" t="s">
        <v>254</v>
      </c>
      <c r="I666" t="s">
        <v>242</v>
      </c>
      <c r="J666" t="s">
        <v>235</v>
      </c>
      <c r="K666" s="380">
        <v>36982</v>
      </c>
      <c r="L666" s="235">
        <v>72308.367127023404</v>
      </c>
      <c r="M666" s="380">
        <v>36979</v>
      </c>
      <c r="N666" t="s">
        <v>21</v>
      </c>
      <c r="O666">
        <v>0.5</v>
      </c>
      <c r="P666">
        <v>0</v>
      </c>
      <c r="Q666">
        <v>0</v>
      </c>
      <c r="R666">
        <v>0</v>
      </c>
      <c r="S666">
        <v>0</v>
      </c>
      <c r="T666" t="s">
        <v>253</v>
      </c>
      <c r="U666" t="s">
        <v>7</v>
      </c>
      <c r="V666" t="s">
        <v>253</v>
      </c>
      <c r="W666" t="s">
        <v>132</v>
      </c>
      <c r="X666" t="s">
        <v>253</v>
      </c>
      <c r="Y666" t="s">
        <v>235</v>
      </c>
      <c r="Z666" t="s">
        <v>236</v>
      </c>
      <c r="AA666" t="s">
        <v>253</v>
      </c>
      <c r="AB666" t="s">
        <v>1</v>
      </c>
      <c r="AC666" s="235">
        <v>500000</v>
      </c>
      <c r="AD666" s="235">
        <v>12942.800747911766</v>
      </c>
      <c r="AE666">
        <v>0</v>
      </c>
      <c r="AF666">
        <v>0</v>
      </c>
      <c r="AG666">
        <v>0</v>
      </c>
      <c r="AH666" s="235">
        <v>617.33917711715912</v>
      </c>
      <c r="AI666">
        <v>226</v>
      </c>
      <c r="AJ666" t="s">
        <v>256</v>
      </c>
      <c r="AK666">
        <v>0</v>
      </c>
      <c r="AL666">
        <v>0</v>
      </c>
      <c r="AM666">
        <v>0</v>
      </c>
    </row>
    <row r="667" spans="1:39" x14ac:dyDescent="0.25">
      <c r="A667" t="s">
        <v>233</v>
      </c>
      <c r="B667" t="s">
        <v>576</v>
      </c>
      <c r="C667" t="s">
        <v>255</v>
      </c>
      <c r="D667" t="s">
        <v>234</v>
      </c>
      <c r="E667" t="s">
        <v>20</v>
      </c>
      <c r="F667" t="s">
        <v>286</v>
      </c>
      <c r="G667" t="s">
        <v>269</v>
      </c>
      <c r="H667" t="s">
        <v>254</v>
      </c>
      <c r="I667" t="s">
        <v>242</v>
      </c>
      <c r="J667" t="s">
        <v>235</v>
      </c>
      <c r="K667" s="380">
        <v>37012</v>
      </c>
      <c r="L667" s="235">
        <v>42946.579107315643</v>
      </c>
      <c r="M667" s="380">
        <v>37008</v>
      </c>
      <c r="N667" t="s">
        <v>21</v>
      </c>
      <c r="O667">
        <v>0.5</v>
      </c>
      <c r="P667">
        <v>0</v>
      </c>
      <c r="Q667">
        <v>0</v>
      </c>
      <c r="R667">
        <v>0</v>
      </c>
      <c r="S667">
        <v>0</v>
      </c>
      <c r="T667" t="s">
        <v>253</v>
      </c>
      <c r="U667" t="s">
        <v>7</v>
      </c>
      <c r="V667" t="s">
        <v>253</v>
      </c>
      <c r="W667" t="s">
        <v>132</v>
      </c>
      <c r="X667" t="s">
        <v>253</v>
      </c>
      <c r="Y667" t="s">
        <v>235</v>
      </c>
      <c r="Z667" t="s">
        <v>236</v>
      </c>
      <c r="AA667" t="s">
        <v>253</v>
      </c>
      <c r="AB667" t="s">
        <v>1</v>
      </c>
      <c r="AC667" s="235">
        <v>500000</v>
      </c>
      <c r="AD667" s="235">
        <v>12135.903116802132</v>
      </c>
      <c r="AE667">
        <v>0</v>
      </c>
      <c r="AF667">
        <v>0</v>
      </c>
      <c r="AG667">
        <v>0</v>
      </c>
      <c r="AH667" s="235">
        <v>577.29341648214177</v>
      </c>
      <c r="AI667">
        <v>226</v>
      </c>
      <c r="AJ667" t="s">
        <v>256</v>
      </c>
      <c r="AK667">
        <v>0</v>
      </c>
      <c r="AL667">
        <v>0</v>
      </c>
      <c r="AM667">
        <v>0</v>
      </c>
    </row>
    <row r="668" spans="1:39" x14ac:dyDescent="0.25">
      <c r="A668" t="s">
        <v>233</v>
      </c>
      <c r="B668" t="s">
        <v>576</v>
      </c>
      <c r="C668" t="s">
        <v>255</v>
      </c>
      <c r="D668" t="s">
        <v>234</v>
      </c>
      <c r="E668" t="s">
        <v>20</v>
      </c>
      <c r="F668" t="s">
        <v>286</v>
      </c>
      <c r="G668" t="s">
        <v>269</v>
      </c>
      <c r="H668" t="s">
        <v>254</v>
      </c>
      <c r="I668" t="s">
        <v>242</v>
      </c>
      <c r="J668" t="s">
        <v>235</v>
      </c>
      <c r="K668" s="380">
        <v>37043</v>
      </c>
      <c r="L668" s="235">
        <v>43675.102072009475</v>
      </c>
      <c r="M668" s="380">
        <v>37041</v>
      </c>
      <c r="N668" t="s">
        <v>21</v>
      </c>
      <c r="O668">
        <v>0.5</v>
      </c>
      <c r="P668">
        <v>0</v>
      </c>
      <c r="Q668">
        <v>0</v>
      </c>
      <c r="R668">
        <v>0</v>
      </c>
      <c r="S668">
        <v>0</v>
      </c>
      <c r="T668" t="s">
        <v>253</v>
      </c>
      <c r="U668" t="s">
        <v>7</v>
      </c>
      <c r="V668" t="s">
        <v>253</v>
      </c>
      <c r="W668" t="s">
        <v>132</v>
      </c>
      <c r="X668" t="s">
        <v>253</v>
      </c>
      <c r="Y668" t="s">
        <v>235</v>
      </c>
      <c r="Z668" t="s">
        <v>236</v>
      </c>
      <c r="AA668" t="s">
        <v>253</v>
      </c>
      <c r="AB668" t="s">
        <v>1</v>
      </c>
      <c r="AC668" s="235">
        <v>500000</v>
      </c>
      <c r="AD668" s="235">
        <v>12637.651911716734</v>
      </c>
      <c r="AE668">
        <v>0</v>
      </c>
      <c r="AF668">
        <v>0</v>
      </c>
      <c r="AG668">
        <v>0</v>
      </c>
      <c r="AH668" s="235">
        <v>600.52670655288966</v>
      </c>
      <c r="AI668">
        <v>226</v>
      </c>
      <c r="AJ668" t="s">
        <v>256</v>
      </c>
      <c r="AK668">
        <v>0</v>
      </c>
      <c r="AL668">
        <v>0</v>
      </c>
      <c r="AM668">
        <v>0</v>
      </c>
    </row>
    <row r="669" spans="1:39" x14ac:dyDescent="0.25">
      <c r="A669" t="s">
        <v>233</v>
      </c>
      <c r="B669" t="s">
        <v>576</v>
      </c>
      <c r="C669" t="s">
        <v>255</v>
      </c>
      <c r="D669" t="s">
        <v>234</v>
      </c>
      <c r="E669" t="s">
        <v>20</v>
      </c>
      <c r="F669" t="s">
        <v>286</v>
      </c>
      <c r="G669" t="s">
        <v>269</v>
      </c>
      <c r="H669" t="s">
        <v>254</v>
      </c>
      <c r="I669" t="s">
        <v>242</v>
      </c>
      <c r="J669" t="s">
        <v>235</v>
      </c>
      <c r="K669" s="380">
        <v>37073</v>
      </c>
      <c r="L669" s="235">
        <v>60003.392776222703</v>
      </c>
      <c r="M669" s="380">
        <v>37070</v>
      </c>
      <c r="N669" t="s">
        <v>21</v>
      </c>
      <c r="O669">
        <v>0.5</v>
      </c>
      <c r="P669">
        <v>0</v>
      </c>
      <c r="Q669">
        <v>0</v>
      </c>
      <c r="R669">
        <v>0</v>
      </c>
      <c r="S669">
        <v>0</v>
      </c>
      <c r="T669" t="s">
        <v>253</v>
      </c>
      <c r="U669" t="s">
        <v>7</v>
      </c>
      <c r="V669" t="s">
        <v>253</v>
      </c>
      <c r="W669" t="s">
        <v>132</v>
      </c>
      <c r="X669" t="s">
        <v>253</v>
      </c>
      <c r="Y669" t="s">
        <v>235</v>
      </c>
      <c r="Z669" t="s">
        <v>236</v>
      </c>
      <c r="AA669" t="s">
        <v>253</v>
      </c>
      <c r="AB669" t="s">
        <v>1</v>
      </c>
      <c r="AC669" s="235">
        <v>500000</v>
      </c>
      <c r="AD669" s="235">
        <v>13657.306672600913</v>
      </c>
      <c r="AE669">
        <v>0</v>
      </c>
      <c r="AF669">
        <v>0</v>
      </c>
      <c r="AG669">
        <v>0</v>
      </c>
      <c r="AH669" s="235">
        <v>649.24212873875513</v>
      </c>
      <c r="AI669">
        <v>226</v>
      </c>
      <c r="AJ669" t="s">
        <v>256</v>
      </c>
      <c r="AK669">
        <v>0</v>
      </c>
      <c r="AL669">
        <v>0</v>
      </c>
      <c r="AM669">
        <v>0</v>
      </c>
    </row>
    <row r="670" spans="1:39" x14ac:dyDescent="0.25">
      <c r="A670" t="s">
        <v>233</v>
      </c>
      <c r="B670" t="s">
        <v>576</v>
      </c>
      <c r="C670" t="s">
        <v>255</v>
      </c>
      <c r="D670" t="s">
        <v>234</v>
      </c>
      <c r="E670" t="s">
        <v>20</v>
      </c>
      <c r="F670" t="s">
        <v>286</v>
      </c>
      <c r="G670" t="s">
        <v>269</v>
      </c>
      <c r="H670" t="s">
        <v>254</v>
      </c>
      <c r="I670" t="s">
        <v>242</v>
      </c>
      <c r="J670" t="s">
        <v>235</v>
      </c>
      <c r="K670" s="380">
        <v>37104</v>
      </c>
      <c r="L670" s="235">
        <v>63241.029514752547</v>
      </c>
      <c r="M670" s="380">
        <v>37102</v>
      </c>
      <c r="N670" t="s">
        <v>21</v>
      </c>
      <c r="O670">
        <v>0.5</v>
      </c>
      <c r="P670">
        <v>0</v>
      </c>
      <c r="Q670">
        <v>0</v>
      </c>
      <c r="R670">
        <v>0</v>
      </c>
      <c r="S670">
        <v>0</v>
      </c>
      <c r="T670" t="s">
        <v>253</v>
      </c>
      <c r="U670" t="s">
        <v>7</v>
      </c>
      <c r="V670" t="s">
        <v>253</v>
      </c>
      <c r="W670" t="s">
        <v>132</v>
      </c>
      <c r="X670" t="s">
        <v>253</v>
      </c>
      <c r="Y670" t="s">
        <v>235</v>
      </c>
      <c r="Z670" t="s">
        <v>236</v>
      </c>
      <c r="AA670" t="s">
        <v>253</v>
      </c>
      <c r="AB670" t="s">
        <v>1</v>
      </c>
      <c r="AC670" s="235">
        <v>500000</v>
      </c>
      <c r="AD670" s="235">
        <v>14286.236024090264</v>
      </c>
      <c r="AE670">
        <v>0</v>
      </c>
      <c r="AF670">
        <v>0</v>
      </c>
      <c r="AG670">
        <v>0</v>
      </c>
      <c r="AH670" s="235">
        <v>678.86649048932304</v>
      </c>
      <c r="AI670">
        <v>226</v>
      </c>
      <c r="AJ670" t="s">
        <v>256</v>
      </c>
      <c r="AK670">
        <v>0</v>
      </c>
      <c r="AL670">
        <v>0</v>
      </c>
      <c r="AM670">
        <v>0</v>
      </c>
    </row>
    <row r="671" spans="1:39" x14ac:dyDescent="0.25">
      <c r="A671" t="s">
        <v>233</v>
      </c>
      <c r="B671" t="s">
        <v>576</v>
      </c>
      <c r="C671" t="s">
        <v>255</v>
      </c>
      <c r="D671" t="s">
        <v>234</v>
      </c>
      <c r="E671" t="s">
        <v>20</v>
      </c>
      <c r="F671" t="s">
        <v>286</v>
      </c>
      <c r="G671" t="s">
        <v>269</v>
      </c>
      <c r="H671" t="s">
        <v>254</v>
      </c>
      <c r="I671" t="s">
        <v>242</v>
      </c>
      <c r="J671" t="s">
        <v>235</v>
      </c>
      <c r="K671" s="380">
        <v>37135</v>
      </c>
      <c r="L671" s="235">
        <v>52181.301256625156</v>
      </c>
      <c r="M671" s="380">
        <v>37133</v>
      </c>
      <c r="N671" t="s">
        <v>21</v>
      </c>
      <c r="O671">
        <v>0.5</v>
      </c>
      <c r="P671">
        <v>0</v>
      </c>
      <c r="Q671">
        <v>0</v>
      </c>
      <c r="R671">
        <v>0</v>
      </c>
      <c r="S671">
        <v>0</v>
      </c>
      <c r="T671" t="s">
        <v>253</v>
      </c>
      <c r="U671" t="s">
        <v>7</v>
      </c>
      <c r="V671" t="s">
        <v>253</v>
      </c>
      <c r="W671" t="s">
        <v>132</v>
      </c>
      <c r="X671" t="s">
        <v>253</v>
      </c>
      <c r="Y671" t="s">
        <v>235</v>
      </c>
      <c r="Z671" t="s">
        <v>236</v>
      </c>
      <c r="AA671" t="s">
        <v>253</v>
      </c>
      <c r="AB671" t="s">
        <v>1</v>
      </c>
      <c r="AC671" s="235">
        <v>500000</v>
      </c>
      <c r="AD671" s="235">
        <v>14495.095120323123</v>
      </c>
      <c r="AE671">
        <v>0</v>
      </c>
      <c r="AF671">
        <v>0</v>
      </c>
      <c r="AG671">
        <v>0</v>
      </c>
      <c r="AH671" s="235">
        <v>688.06457095425139</v>
      </c>
      <c r="AI671">
        <v>226</v>
      </c>
      <c r="AJ671" t="s">
        <v>256</v>
      </c>
      <c r="AK671">
        <v>0</v>
      </c>
      <c r="AL671">
        <v>0</v>
      </c>
      <c r="AM671">
        <v>0</v>
      </c>
    </row>
    <row r="672" spans="1:39" x14ac:dyDescent="0.25">
      <c r="A672" t="s">
        <v>233</v>
      </c>
      <c r="B672" t="s">
        <v>576</v>
      </c>
      <c r="C672" t="s">
        <v>255</v>
      </c>
      <c r="D672" t="s">
        <v>234</v>
      </c>
      <c r="E672" t="s">
        <v>20</v>
      </c>
      <c r="F672" t="s">
        <v>286</v>
      </c>
      <c r="G672" t="s">
        <v>269</v>
      </c>
      <c r="H672" t="s">
        <v>254</v>
      </c>
      <c r="I672" t="s">
        <v>242</v>
      </c>
      <c r="J672" t="s">
        <v>235</v>
      </c>
      <c r="K672" s="380">
        <v>37165</v>
      </c>
      <c r="L672" s="235">
        <v>68571.280603194406</v>
      </c>
      <c r="M672" s="380">
        <v>37161</v>
      </c>
      <c r="N672" t="s">
        <v>21</v>
      </c>
      <c r="O672">
        <v>0.5</v>
      </c>
      <c r="P672">
        <v>0</v>
      </c>
      <c r="Q672">
        <v>0</v>
      </c>
      <c r="R672">
        <v>0</v>
      </c>
      <c r="S672">
        <v>0</v>
      </c>
      <c r="T672" t="s">
        <v>253</v>
      </c>
      <c r="U672" t="s">
        <v>7</v>
      </c>
      <c r="V672" t="s">
        <v>253</v>
      </c>
      <c r="W672" t="s">
        <v>132</v>
      </c>
      <c r="X672" t="s">
        <v>253</v>
      </c>
      <c r="Y672" t="s">
        <v>235</v>
      </c>
      <c r="Z672" t="s">
        <v>236</v>
      </c>
      <c r="AA672" t="s">
        <v>253</v>
      </c>
      <c r="AB672" t="s">
        <v>1</v>
      </c>
      <c r="AC672" s="235">
        <v>500000</v>
      </c>
      <c r="AD672" s="235">
        <v>15394.197209317266</v>
      </c>
      <c r="AE672">
        <v>0</v>
      </c>
      <c r="AF672">
        <v>0</v>
      </c>
      <c r="AG672">
        <v>0</v>
      </c>
      <c r="AH672" s="235">
        <v>732.3250919875718</v>
      </c>
      <c r="AI672">
        <v>226</v>
      </c>
      <c r="AJ672" t="s">
        <v>256</v>
      </c>
      <c r="AK672">
        <v>0</v>
      </c>
      <c r="AL672">
        <v>0</v>
      </c>
      <c r="AM672">
        <v>0</v>
      </c>
    </row>
    <row r="673" spans="1:39" x14ac:dyDescent="0.25">
      <c r="A673" t="s">
        <v>233</v>
      </c>
      <c r="B673" t="s">
        <v>577</v>
      </c>
      <c r="C673" t="s">
        <v>255</v>
      </c>
      <c r="D673" t="s">
        <v>234</v>
      </c>
      <c r="E673" t="s">
        <v>20</v>
      </c>
      <c r="F673" t="s">
        <v>286</v>
      </c>
      <c r="G673" t="s">
        <v>269</v>
      </c>
      <c r="H673" t="s">
        <v>254</v>
      </c>
      <c r="I673" t="s">
        <v>242</v>
      </c>
      <c r="J673" t="s">
        <v>235</v>
      </c>
      <c r="K673" s="380">
        <v>36982</v>
      </c>
      <c r="L673" s="235">
        <v>48130.822327853653</v>
      </c>
      <c r="M673" s="380">
        <v>36979</v>
      </c>
      <c r="N673" t="s">
        <v>1</v>
      </c>
      <c r="O673">
        <v>0.3</v>
      </c>
      <c r="P673">
        <v>0</v>
      </c>
      <c r="Q673">
        <v>0</v>
      </c>
      <c r="R673">
        <v>0</v>
      </c>
      <c r="S673">
        <v>0</v>
      </c>
      <c r="T673" t="s">
        <v>253</v>
      </c>
      <c r="U673" t="s">
        <v>7</v>
      </c>
      <c r="V673" t="s">
        <v>253</v>
      </c>
      <c r="W673" t="s">
        <v>132</v>
      </c>
      <c r="X673" t="s">
        <v>253</v>
      </c>
      <c r="Y673" t="s">
        <v>235</v>
      </c>
      <c r="Z673" t="s">
        <v>236</v>
      </c>
      <c r="AA673" t="s">
        <v>253</v>
      </c>
      <c r="AB673" t="s">
        <v>1</v>
      </c>
      <c r="AC673" s="235">
        <v>1000000</v>
      </c>
      <c r="AD673" s="235">
        <v>22317.908132271958</v>
      </c>
      <c r="AE673">
        <v>0</v>
      </c>
      <c r="AF673">
        <v>0</v>
      </c>
      <c r="AG673">
        <v>0</v>
      </c>
      <c r="AH673" s="235">
        <v>1060.5670374266265</v>
      </c>
      <c r="AI673">
        <v>226</v>
      </c>
      <c r="AJ673" t="s">
        <v>256</v>
      </c>
      <c r="AK673">
        <v>0</v>
      </c>
      <c r="AL673">
        <v>0</v>
      </c>
      <c r="AM673">
        <v>0</v>
      </c>
    </row>
    <row r="674" spans="1:39" x14ac:dyDescent="0.25">
      <c r="A674" t="s">
        <v>233</v>
      </c>
      <c r="B674" t="s">
        <v>577</v>
      </c>
      <c r="C674" t="s">
        <v>255</v>
      </c>
      <c r="D674" t="s">
        <v>234</v>
      </c>
      <c r="E674" t="s">
        <v>20</v>
      </c>
      <c r="F674" t="s">
        <v>286</v>
      </c>
      <c r="G674" t="s">
        <v>269</v>
      </c>
      <c r="H674" t="s">
        <v>254</v>
      </c>
      <c r="I674" t="s">
        <v>242</v>
      </c>
      <c r="J674" t="s">
        <v>235</v>
      </c>
      <c r="K674" s="380">
        <v>37012</v>
      </c>
      <c r="L674" s="235">
        <v>75040.449341795596</v>
      </c>
      <c r="M674" s="380">
        <v>37008</v>
      </c>
      <c r="N674" t="s">
        <v>1</v>
      </c>
      <c r="O674">
        <v>0.3</v>
      </c>
      <c r="P674">
        <v>0</v>
      </c>
      <c r="Q674">
        <v>0</v>
      </c>
      <c r="R674">
        <v>0</v>
      </c>
      <c r="S674">
        <v>0</v>
      </c>
      <c r="T674" t="s">
        <v>253</v>
      </c>
      <c r="U674" t="s">
        <v>7</v>
      </c>
      <c r="V674" t="s">
        <v>253</v>
      </c>
      <c r="W674" t="s">
        <v>132</v>
      </c>
      <c r="X674" t="s">
        <v>253</v>
      </c>
      <c r="Y674" t="s">
        <v>235</v>
      </c>
      <c r="Z674" t="s">
        <v>236</v>
      </c>
      <c r="AA674" t="s">
        <v>253</v>
      </c>
      <c r="AB674" t="s">
        <v>1</v>
      </c>
      <c r="AC674" s="235">
        <v>1000000</v>
      </c>
      <c r="AD674" s="235">
        <v>25511.225514426071</v>
      </c>
      <c r="AE674">
        <v>0</v>
      </c>
      <c r="AF674">
        <v>0</v>
      </c>
      <c r="AG674">
        <v>0</v>
      </c>
      <c r="AH674" s="235">
        <v>1213.7863763550413</v>
      </c>
      <c r="AI674">
        <v>226</v>
      </c>
      <c r="AJ674" t="s">
        <v>256</v>
      </c>
      <c r="AK674">
        <v>0</v>
      </c>
      <c r="AL674">
        <v>0</v>
      </c>
      <c r="AM674">
        <v>0</v>
      </c>
    </row>
    <row r="675" spans="1:39" x14ac:dyDescent="0.25">
      <c r="A675" t="s">
        <v>233</v>
      </c>
      <c r="B675" t="s">
        <v>577</v>
      </c>
      <c r="C675" t="s">
        <v>255</v>
      </c>
      <c r="D675" t="s">
        <v>234</v>
      </c>
      <c r="E675" t="s">
        <v>20</v>
      </c>
      <c r="F675" t="s">
        <v>286</v>
      </c>
      <c r="G675" t="s">
        <v>269</v>
      </c>
      <c r="H675" t="s">
        <v>254</v>
      </c>
      <c r="I675" t="s">
        <v>242</v>
      </c>
      <c r="J675" t="s">
        <v>235</v>
      </c>
      <c r="K675" s="380">
        <v>37043</v>
      </c>
      <c r="L675" s="235">
        <v>83369.905916028772</v>
      </c>
      <c r="M675" s="380">
        <v>37041</v>
      </c>
      <c r="N675" t="s">
        <v>1</v>
      </c>
      <c r="O675">
        <v>0.3</v>
      </c>
      <c r="P675">
        <v>0</v>
      </c>
      <c r="Q675">
        <v>0</v>
      </c>
      <c r="R675">
        <v>0</v>
      </c>
      <c r="S675">
        <v>0</v>
      </c>
      <c r="T675" t="s">
        <v>253</v>
      </c>
      <c r="U675" t="s">
        <v>7</v>
      </c>
      <c r="V675" t="s">
        <v>253</v>
      </c>
      <c r="W675" t="s">
        <v>132</v>
      </c>
      <c r="X675" t="s">
        <v>253</v>
      </c>
      <c r="Y675" t="s">
        <v>235</v>
      </c>
      <c r="Z675" t="s">
        <v>236</v>
      </c>
      <c r="AA675" t="s">
        <v>253</v>
      </c>
      <c r="AB675" t="s">
        <v>1</v>
      </c>
      <c r="AC675" s="235">
        <v>1000000</v>
      </c>
      <c r="AD675" s="235">
        <v>27064.121021716273</v>
      </c>
      <c r="AE675">
        <v>0</v>
      </c>
      <c r="AF675">
        <v>0</v>
      </c>
      <c r="AG675">
        <v>0</v>
      </c>
      <c r="AH675" s="235">
        <v>1286.9205109433678</v>
      </c>
      <c r="AI675">
        <v>226</v>
      </c>
      <c r="AJ675" t="s">
        <v>256</v>
      </c>
      <c r="AK675">
        <v>0</v>
      </c>
      <c r="AL675">
        <v>0</v>
      </c>
      <c r="AM675">
        <v>0</v>
      </c>
    </row>
    <row r="676" spans="1:39" x14ac:dyDescent="0.25">
      <c r="A676" t="s">
        <v>233</v>
      </c>
      <c r="B676" t="s">
        <v>577</v>
      </c>
      <c r="C676" t="s">
        <v>255</v>
      </c>
      <c r="D676" t="s">
        <v>234</v>
      </c>
      <c r="E676" t="s">
        <v>20</v>
      </c>
      <c r="F676" t="s">
        <v>286</v>
      </c>
      <c r="G676" t="s">
        <v>269</v>
      </c>
      <c r="H676" t="s">
        <v>254</v>
      </c>
      <c r="I676" t="s">
        <v>242</v>
      </c>
      <c r="J676" t="s">
        <v>235</v>
      </c>
      <c r="K676" s="380">
        <v>37073</v>
      </c>
      <c r="L676" s="235">
        <v>67736.715606437792</v>
      </c>
      <c r="M676" s="380">
        <v>37070</v>
      </c>
      <c r="N676" t="s">
        <v>1</v>
      </c>
      <c r="O676">
        <v>0.3</v>
      </c>
      <c r="P676">
        <v>0</v>
      </c>
      <c r="Q676">
        <v>0</v>
      </c>
      <c r="R676">
        <v>0</v>
      </c>
      <c r="S676">
        <v>0</v>
      </c>
      <c r="T676" t="s">
        <v>253</v>
      </c>
      <c r="U676" t="s">
        <v>7</v>
      </c>
      <c r="V676" t="s">
        <v>253</v>
      </c>
      <c r="W676" t="s">
        <v>132</v>
      </c>
      <c r="X676" t="s">
        <v>253</v>
      </c>
      <c r="Y676" t="s">
        <v>235</v>
      </c>
      <c r="Z676" t="s">
        <v>236</v>
      </c>
      <c r="AA676" t="s">
        <v>253</v>
      </c>
      <c r="AB676" t="s">
        <v>1</v>
      </c>
      <c r="AC676" s="235">
        <v>1000000</v>
      </c>
      <c r="AD676" s="235">
        <v>26439.527913260798</v>
      </c>
      <c r="AE676">
        <v>0</v>
      </c>
      <c r="AF676">
        <v>0</v>
      </c>
      <c r="AG676">
        <v>0</v>
      </c>
      <c r="AH676" s="235">
        <v>1254.2527650527481</v>
      </c>
      <c r="AI676">
        <v>226</v>
      </c>
      <c r="AJ676" t="s">
        <v>256</v>
      </c>
      <c r="AK676">
        <v>0</v>
      </c>
      <c r="AL676">
        <v>0</v>
      </c>
      <c r="AM676">
        <v>0</v>
      </c>
    </row>
    <row r="677" spans="1:39" x14ac:dyDescent="0.25">
      <c r="A677" t="s">
        <v>233</v>
      </c>
      <c r="B677" t="s">
        <v>577</v>
      </c>
      <c r="C677" t="s">
        <v>255</v>
      </c>
      <c r="D677" t="s">
        <v>234</v>
      </c>
      <c r="E677" t="s">
        <v>20</v>
      </c>
      <c r="F677" t="s">
        <v>286</v>
      </c>
      <c r="G677" t="s">
        <v>269</v>
      </c>
      <c r="H677" t="s">
        <v>254</v>
      </c>
      <c r="I677" t="s">
        <v>242</v>
      </c>
      <c r="J677" t="s">
        <v>235</v>
      </c>
      <c r="K677" s="380">
        <v>37104</v>
      </c>
      <c r="L677" s="235">
        <v>73457.763842120272</v>
      </c>
      <c r="M677" s="380">
        <v>37102</v>
      </c>
      <c r="N677" t="s">
        <v>1</v>
      </c>
      <c r="O677">
        <v>0.3</v>
      </c>
      <c r="P677">
        <v>0</v>
      </c>
      <c r="Q677">
        <v>0</v>
      </c>
      <c r="R677">
        <v>0</v>
      </c>
      <c r="S677">
        <v>0</v>
      </c>
      <c r="T677" t="s">
        <v>253</v>
      </c>
      <c r="U677" t="s">
        <v>7</v>
      </c>
      <c r="V677" t="s">
        <v>253</v>
      </c>
      <c r="W677" t="s">
        <v>132</v>
      </c>
      <c r="X677" t="s">
        <v>253</v>
      </c>
      <c r="Y677" t="s">
        <v>235</v>
      </c>
      <c r="Z677" t="s">
        <v>236</v>
      </c>
      <c r="AA677" t="s">
        <v>253</v>
      </c>
      <c r="AB677" t="s">
        <v>1</v>
      </c>
      <c r="AC677" s="235">
        <v>1000000</v>
      </c>
      <c r="AD677" s="235">
        <v>27919.989732451795</v>
      </c>
      <c r="AE677">
        <v>0</v>
      </c>
      <c r="AF677">
        <v>0</v>
      </c>
      <c r="AG677">
        <v>0</v>
      </c>
      <c r="AH677" s="235">
        <v>1324.1986319489952</v>
      </c>
      <c r="AI677">
        <v>226</v>
      </c>
      <c r="AJ677" t="s">
        <v>256</v>
      </c>
      <c r="AK677">
        <v>0</v>
      </c>
      <c r="AL677">
        <v>0</v>
      </c>
      <c r="AM677">
        <v>0</v>
      </c>
    </row>
    <row r="678" spans="1:39" x14ac:dyDescent="0.25">
      <c r="A678" t="s">
        <v>233</v>
      </c>
      <c r="B678" t="s">
        <v>577</v>
      </c>
      <c r="C678" t="s">
        <v>255</v>
      </c>
      <c r="D678" t="s">
        <v>234</v>
      </c>
      <c r="E678" t="s">
        <v>20</v>
      </c>
      <c r="F678" t="s">
        <v>286</v>
      </c>
      <c r="G678" t="s">
        <v>269</v>
      </c>
      <c r="H678" t="s">
        <v>254</v>
      </c>
      <c r="I678" t="s">
        <v>242</v>
      </c>
      <c r="J678" t="s">
        <v>235</v>
      </c>
      <c r="K678" s="380">
        <v>37135</v>
      </c>
      <c r="L678" s="235">
        <v>99216.4871050496</v>
      </c>
      <c r="M678" s="380">
        <v>37133</v>
      </c>
      <c r="N678" t="s">
        <v>1</v>
      </c>
      <c r="O678">
        <v>0.3</v>
      </c>
      <c r="P678">
        <v>0</v>
      </c>
      <c r="Q678">
        <v>0</v>
      </c>
      <c r="R678">
        <v>0</v>
      </c>
      <c r="S678">
        <v>0</v>
      </c>
      <c r="T678" t="s">
        <v>253</v>
      </c>
      <c r="U678" t="s">
        <v>7</v>
      </c>
      <c r="V678" t="s">
        <v>253</v>
      </c>
      <c r="W678" t="s">
        <v>132</v>
      </c>
      <c r="X678" t="s">
        <v>253</v>
      </c>
      <c r="Y678" t="s">
        <v>235</v>
      </c>
      <c r="Z678" t="s">
        <v>236</v>
      </c>
      <c r="AA678" t="s">
        <v>253</v>
      </c>
      <c r="AB678" t="s">
        <v>1</v>
      </c>
      <c r="AC678" s="235">
        <v>1000000</v>
      </c>
      <c r="AD678" s="235">
        <v>30996.03701251297</v>
      </c>
      <c r="AE678">
        <v>0</v>
      </c>
      <c r="AF678">
        <v>0</v>
      </c>
      <c r="AG678">
        <v>0</v>
      </c>
      <c r="AH678" s="235">
        <v>1472.3449380005186</v>
      </c>
      <c r="AI678">
        <v>226</v>
      </c>
      <c r="AJ678" t="s">
        <v>256</v>
      </c>
      <c r="AK678">
        <v>0</v>
      </c>
      <c r="AL678">
        <v>0</v>
      </c>
      <c r="AM678">
        <v>0</v>
      </c>
    </row>
    <row r="679" spans="1:39" x14ac:dyDescent="0.25">
      <c r="A679" t="s">
        <v>233</v>
      </c>
      <c r="B679" t="s">
        <v>577</v>
      </c>
      <c r="C679" t="s">
        <v>255</v>
      </c>
      <c r="D679" t="s">
        <v>234</v>
      </c>
      <c r="E679" t="s">
        <v>20</v>
      </c>
      <c r="F679" t="s">
        <v>286</v>
      </c>
      <c r="G679" t="s">
        <v>269</v>
      </c>
      <c r="H679" t="s">
        <v>254</v>
      </c>
      <c r="I679" t="s">
        <v>242</v>
      </c>
      <c r="J679" t="s">
        <v>235</v>
      </c>
      <c r="K679" s="380">
        <v>37165</v>
      </c>
      <c r="L679" s="235">
        <v>82265.197844509312</v>
      </c>
      <c r="M679" s="380">
        <v>37161</v>
      </c>
      <c r="N679" t="s">
        <v>1</v>
      </c>
      <c r="O679">
        <v>0.3</v>
      </c>
      <c r="P679">
        <v>0</v>
      </c>
      <c r="Q679">
        <v>0</v>
      </c>
      <c r="R679">
        <v>0</v>
      </c>
      <c r="S679">
        <v>0</v>
      </c>
      <c r="T679" t="s">
        <v>253</v>
      </c>
      <c r="U679" t="s">
        <v>7</v>
      </c>
      <c r="V679" t="s">
        <v>253</v>
      </c>
      <c r="W679" t="s">
        <v>132</v>
      </c>
      <c r="X679" t="s">
        <v>253</v>
      </c>
      <c r="Y679" t="s">
        <v>235</v>
      </c>
      <c r="Z679" t="s">
        <v>236</v>
      </c>
      <c r="AA679" t="s">
        <v>253</v>
      </c>
      <c r="AB679" t="s">
        <v>1</v>
      </c>
      <c r="AC679" s="235">
        <v>1000000</v>
      </c>
      <c r="AD679" s="235">
        <v>30466.435402409581</v>
      </c>
      <c r="AE679">
        <v>0</v>
      </c>
      <c r="AF679">
        <v>0</v>
      </c>
      <c r="AG679">
        <v>0</v>
      </c>
      <c r="AH679" s="235">
        <v>1446.0675172438641</v>
      </c>
      <c r="AI679">
        <v>226</v>
      </c>
      <c r="AJ679" t="s">
        <v>256</v>
      </c>
      <c r="AK679">
        <v>0</v>
      </c>
      <c r="AL679">
        <v>0</v>
      </c>
      <c r="AM679">
        <v>0</v>
      </c>
    </row>
    <row r="680" spans="1:39" x14ac:dyDescent="0.25">
      <c r="A680" t="s">
        <v>233</v>
      </c>
      <c r="B680" t="s">
        <v>578</v>
      </c>
      <c r="C680" t="s">
        <v>255</v>
      </c>
      <c r="D680" t="s">
        <v>234</v>
      </c>
      <c r="E680" t="s">
        <v>20</v>
      </c>
      <c r="F680" t="s">
        <v>279</v>
      </c>
      <c r="G680" t="s">
        <v>269</v>
      </c>
      <c r="H680" t="s">
        <v>254</v>
      </c>
      <c r="I680" t="s">
        <v>242</v>
      </c>
      <c r="J680" t="s">
        <v>235</v>
      </c>
      <c r="K680" s="380">
        <v>36770</v>
      </c>
      <c r="L680" s="235">
        <v>-7497.3930233310784</v>
      </c>
      <c r="M680" s="380">
        <v>36768</v>
      </c>
      <c r="N680" t="s">
        <v>21</v>
      </c>
      <c r="O680">
        <v>-1.17</v>
      </c>
      <c r="P680">
        <v>0</v>
      </c>
      <c r="Q680">
        <v>0</v>
      </c>
      <c r="R680">
        <v>0</v>
      </c>
      <c r="S680">
        <v>0</v>
      </c>
      <c r="T680" t="s">
        <v>253</v>
      </c>
      <c r="U680" t="s">
        <v>9</v>
      </c>
      <c r="V680" t="s">
        <v>253</v>
      </c>
      <c r="W680" t="s">
        <v>132</v>
      </c>
      <c r="X680" t="s">
        <v>253</v>
      </c>
      <c r="Y680" t="s">
        <v>235</v>
      </c>
      <c r="Z680" t="s">
        <v>236</v>
      </c>
      <c r="AA680" t="s">
        <v>253</v>
      </c>
      <c r="AB680" t="s">
        <v>1</v>
      </c>
      <c r="AC680" s="235">
        <v>-1000000</v>
      </c>
      <c r="AD680" s="235">
        <v>-3899.5084578369278</v>
      </c>
      <c r="AE680">
        <v>0</v>
      </c>
      <c r="AF680">
        <v>0</v>
      </c>
      <c r="AG680">
        <v>0</v>
      </c>
      <c r="AH680" s="235">
        <v>23620.141598869712</v>
      </c>
      <c r="AI680">
        <v>226</v>
      </c>
      <c r="AJ680" t="s">
        <v>256</v>
      </c>
      <c r="AK680">
        <v>0</v>
      </c>
      <c r="AL680">
        <v>0</v>
      </c>
      <c r="AM680">
        <v>0</v>
      </c>
    </row>
    <row r="681" spans="1:39" x14ac:dyDescent="0.25">
      <c r="A681" t="s">
        <v>233</v>
      </c>
      <c r="B681" t="s">
        <v>579</v>
      </c>
      <c r="C681" t="s">
        <v>255</v>
      </c>
      <c r="D681" t="s">
        <v>234</v>
      </c>
      <c r="E681" t="s">
        <v>20</v>
      </c>
      <c r="F681" t="s">
        <v>279</v>
      </c>
      <c r="G681" t="s">
        <v>269</v>
      </c>
      <c r="H681" t="s">
        <v>254</v>
      </c>
      <c r="I681" t="s">
        <v>242</v>
      </c>
      <c r="J681" t="s">
        <v>235</v>
      </c>
      <c r="K681" s="380">
        <v>36770</v>
      </c>
      <c r="L681" s="235">
        <v>-77471.633855829525</v>
      </c>
      <c r="M681" s="380">
        <v>36768</v>
      </c>
      <c r="N681" t="s">
        <v>1</v>
      </c>
      <c r="O681">
        <v>-1.17</v>
      </c>
      <c r="P681">
        <v>0</v>
      </c>
      <c r="Q681">
        <v>0</v>
      </c>
      <c r="R681">
        <v>0</v>
      </c>
      <c r="S681">
        <v>0</v>
      </c>
      <c r="T681" t="s">
        <v>253</v>
      </c>
      <c r="U681" t="s">
        <v>9</v>
      </c>
      <c r="V681" t="s">
        <v>253</v>
      </c>
      <c r="W681" t="s">
        <v>132</v>
      </c>
      <c r="X681" t="s">
        <v>253</v>
      </c>
      <c r="Y681" t="s">
        <v>235</v>
      </c>
      <c r="Z681" t="s">
        <v>236</v>
      </c>
      <c r="AA681" t="s">
        <v>253</v>
      </c>
      <c r="AB681" t="s">
        <v>1</v>
      </c>
      <c r="AC681" s="235">
        <v>-1000000</v>
      </c>
      <c r="AD681" s="235">
        <v>-3899.5084578369278</v>
      </c>
      <c r="AE681">
        <v>0</v>
      </c>
      <c r="AF681">
        <v>0</v>
      </c>
      <c r="AG681">
        <v>0</v>
      </c>
      <c r="AH681" s="235">
        <v>-36324.716319556814</v>
      </c>
      <c r="AI681">
        <v>226</v>
      </c>
      <c r="AJ681" t="s">
        <v>256</v>
      </c>
      <c r="AK681">
        <v>0</v>
      </c>
      <c r="AL681">
        <v>0</v>
      </c>
      <c r="AM681">
        <v>0</v>
      </c>
    </row>
    <row r="682" spans="1:39" x14ac:dyDescent="0.25">
      <c r="A682" t="s">
        <v>233</v>
      </c>
      <c r="B682" t="s">
        <v>580</v>
      </c>
      <c r="C682" t="s">
        <v>255</v>
      </c>
      <c r="D682" t="s">
        <v>234</v>
      </c>
      <c r="E682" t="s">
        <v>20</v>
      </c>
      <c r="F682" t="s">
        <v>279</v>
      </c>
      <c r="G682" t="s">
        <v>269</v>
      </c>
      <c r="H682" t="s">
        <v>254</v>
      </c>
      <c r="I682" t="s">
        <v>242</v>
      </c>
      <c r="J682" t="s">
        <v>235</v>
      </c>
      <c r="K682" s="380">
        <v>36770</v>
      </c>
      <c r="L682" s="235">
        <v>-3748.6965116655392</v>
      </c>
      <c r="M682" s="380">
        <v>36768</v>
      </c>
      <c r="N682" t="s">
        <v>21</v>
      </c>
      <c r="O682">
        <v>-1.17</v>
      </c>
      <c r="P682">
        <v>0</v>
      </c>
      <c r="Q682">
        <v>0</v>
      </c>
      <c r="R682">
        <v>0</v>
      </c>
      <c r="S682">
        <v>0</v>
      </c>
      <c r="T682" t="s">
        <v>253</v>
      </c>
      <c r="U682" t="s">
        <v>9</v>
      </c>
      <c r="V682" t="s">
        <v>253</v>
      </c>
      <c r="W682" t="s">
        <v>132</v>
      </c>
      <c r="X682" t="s">
        <v>253</v>
      </c>
      <c r="Y682" t="s">
        <v>235</v>
      </c>
      <c r="Z682" t="s">
        <v>236</v>
      </c>
      <c r="AA682" t="s">
        <v>253</v>
      </c>
      <c r="AB682" t="s">
        <v>1</v>
      </c>
      <c r="AC682" s="235">
        <v>-500000</v>
      </c>
      <c r="AD682" s="235">
        <v>-1949.7542289184639</v>
      </c>
      <c r="AE682">
        <v>0</v>
      </c>
      <c r="AF682">
        <v>0</v>
      </c>
      <c r="AG682">
        <v>0</v>
      </c>
      <c r="AH682" s="235">
        <v>11810.070799434856</v>
      </c>
      <c r="AI682">
        <v>226</v>
      </c>
      <c r="AJ682" t="s">
        <v>256</v>
      </c>
      <c r="AK682">
        <v>0</v>
      </c>
      <c r="AL682">
        <v>0</v>
      </c>
      <c r="AM682">
        <v>0</v>
      </c>
    </row>
    <row r="683" spans="1:39" x14ac:dyDescent="0.25">
      <c r="A683" t="s">
        <v>233</v>
      </c>
      <c r="B683" t="s">
        <v>581</v>
      </c>
      <c r="C683" t="s">
        <v>255</v>
      </c>
      <c r="D683" t="s">
        <v>234</v>
      </c>
      <c r="E683" t="s">
        <v>20</v>
      </c>
      <c r="F683" t="s">
        <v>279</v>
      </c>
      <c r="G683" t="s">
        <v>269</v>
      </c>
      <c r="H683" t="s">
        <v>254</v>
      </c>
      <c r="I683" t="s">
        <v>242</v>
      </c>
      <c r="J683" t="s">
        <v>235</v>
      </c>
      <c r="K683" s="380">
        <v>36770</v>
      </c>
      <c r="L683" s="235">
        <v>-38735.816927914762</v>
      </c>
      <c r="M683" s="380">
        <v>36768</v>
      </c>
      <c r="N683" t="s">
        <v>1</v>
      </c>
      <c r="O683">
        <v>-1.17</v>
      </c>
      <c r="P683">
        <v>0</v>
      </c>
      <c r="Q683">
        <v>0</v>
      </c>
      <c r="R683">
        <v>0</v>
      </c>
      <c r="S683">
        <v>0</v>
      </c>
      <c r="T683" t="s">
        <v>253</v>
      </c>
      <c r="U683" t="s">
        <v>9</v>
      </c>
      <c r="V683" t="s">
        <v>253</v>
      </c>
      <c r="W683" t="s">
        <v>132</v>
      </c>
      <c r="X683" t="s">
        <v>253</v>
      </c>
      <c r="Y683" t="s">
        <v>235</v>
      </c>
      <c r="Z683" t="s">
        <v>236</v>
      </c>
      <c r="AA683" t="s">
        <v>253</v>
      </c>
      <c r="AB683" t="s">
        <v>1</v>
      </c>
      <c r="AC683" s="235">
        <v>-500000</v>
      </c>
      <c r="AD683" s="235">
        <v>-1949.7542289184639</v>
      </c>
      <c r="AE683">
        <v>0</v>
      </c>
      <c r="AF683">
        <v>0</v>
      </c>
      <c r="AG683">
        <v>0</v>
      </c>
      <c r="AH683" s="235">
        <v>-18162.358159778407</v>
      </c>
      <c r="AI683">
        <v>226</v>
      </c>
      <c r="AJ683" t="s">
        <v>256</v>
      </c>
      <c r="AK683">
        <v>0</v>
      </c>
      <c r="AL683">
        <v>0</v>
      </c>
      <c r="AM683">
        <v>0</v>
      </c>
    </row>
    <row r="684" spans="1:39" x14ac:dyDescent="0.25">
      <c r="A684" t="s">
        <v>233</v>
      </c>
      <c r="B684" t="s">
        <v>582</v>
      </c>
      <c r="C684" t="s">
        <v>255</v>
      </c>
      <c r="D684" t="s">
        <v>234</v>
      </c>
      <c r="E684" t="s">
        <v>20</v>
      </c>
      <c r="F684" t="s">
        <v>284</v>
      </c>
      <c r="G684" t="s">
        <v>269</v>
      </c>
      <c r="H684" t="s">
        <v>254</v>
      </c>
      <c r="I684" t="s">
        <v>242</v>
      </c>
      <c r="J684" t="s">
        <v>235</v>
      </c>
      <c r="K684" s="380">
        <v>36800</v>
      </c>
      <c r="L684" s="235">
        <v>10059.351249437903</v>
      </c>
      <c r="M684" s="380">
        <v>36797</v>
      </c>
      <c r="N684" t="s">
        <v>21</v>
      </c>
      <c r="O684">
        <v>-0.15</v>
      </c>
      <c r="P684">
        <v>0</v>
      </c>
      <c r="Q684">
        <v>0</v>
      </c>
      <c r="R684">
        <v>0</v>
      </c>
      <c r="S684">
        <v>0</v>
      </c>
      <c r="T684" t="s">
        <v>253</v>
      </c>
      <c r="U684" t="s">
        <v>6</v>
      </c>
      <c r="V684" t="s">
        <v>253</v>
      </c>
      <c r="W684" t="s">
        <v>132</v>
      </c>
      <c r="X684" t="s">
        <v>253</v>
      </c>
      <c r="Y684" t="s">
        <v>235</v>
      </c>
      <c r="Z684" t="s">
        <v>236</v>
      </c>
      <c r="AA684" t="s">
        <v>253</v>
      </c>
      <c r="AB684" t="s">
        <v>1</v>
      </c>
      <c r="AC684" s="235">
        <v>300000</v>
      </c>
      <c r="AD684" s="235">
        <v>1895.1943930450652</v>
      </c>
      <c r="AE684">
        <v>0</v>
      </c>
      <c r="AF684">
        <v>0</v>
      </c>
      <c r="AG684">
        <v>0</v>
      </c>
      <c r="AH684" s="235">
        <v>108.12692167228124</v>
      </c>
      <c r="AI684">
        <v>226</v>
      </c>
      <c r="AJ684" t="s">
        <v>256</v>
      </c>
      <c r="AK684">
        <v>0</v>
      </c>
      <c r="AL684">
        <v>0</v>
      </c>
      <c r="AM684">
        <v>0</v>
      </c>
    </row>
    <row r="685" spans="1:39" x14ac:dyDescent="0.25">
      <c r="A685" t="s">
        <v>233</v>
      </c>
      <c r="B685" t="s">
        <v>582</v>
      </c>
      <c r="C685" t="s">
        <v>255</v>
      </c>
      <c r="D685" t="s">
        <v>234</v>
      </c>
      <c r="E685" t="s">
        <v>20</v>
      </c>
      <c r="F685" t="s">
        <v>284</v>
      </c>
      <c r="G685" t="s">
        <v>269</v>
      </c>
      <c r="H685" t="s">
        <v>254</v>
      </c>
      <c r="I685" t="s">
        <v>242</v>
      </c>
      <c r="J685" t="s">
        <v>235</v>
      </c>
      <c r="K685" s="380">
        <v>36831</v>
      </c>
      <c r="L685" s="235">
        <v>15987.766770536227</v>
      </c>
      <c r="M685" s="380">
        <v>36829</v>
      </c>
      <c r="N685" t="s">
        <v>21</v>
      </c>
      <c r="O685">
        <v>-0.15</v>
      </c>
      <c r="P685">
        <v>0</v>
      </c>
      <c r="Q685">
        <v>0</v>
      </c>
      <c r="R685">
        <v>0</v>
      </c>
      <c r="S685">
        <v>0</v>
      </c>
      <c r="T685" t="s">
        <v>253</v>
      </c>
      <c r="U685" t="s">
        <v>6</v>
      </c>
      <c r="V685" t="s">
        <v>253</v>
      </c>
      <c r="W685" t="s">
        <v>132</v>
      </c>
      <c r="X685" t="s">
        <v>253</v>
      </c>
      <c r="Y685" t="s">
        <v>235</v>
      </c>
      <c r="Z685" t="s">
        <v>236</v>
      </c>
      <c r="AA685" t="s">
        <v>253</v>
      </c>
      <c r="AB685" t="s">
        <v>1</v>
      </c>
      <c r="AC685" s="235">
        <v>310000</v>
      </c>
      <c r="AD685" s="235">
        <v>2870.8697342405503</v>
      </c>
      <c r="AE685">
        <v>0</v>
      </c>
      <c r="AF685">
        <v>0</v>
      </c>
      <c r="AG685">
        <v>0</v>
      </c>
      <c r="AH685" s="235">
        <v>-252.92882058383111</v>
      </c>
      <c r="AI685">
        <v>226</v>
      </c>
      <c r="AJ685" t="s">
        <v>256</v>
      </c>
      <c r="AK685">
        <v>0</v>
      </c>
      <c r="AL685">
        <v>0</v>
      </c>
      <c r="AM685">
        <v>0</v>
      </c>
    </row>
    <row r="686" spans="1:39" x14ac:dyDescent="0.25">
      <c r="A686" t="s">
        <v>233</v>
      </c>
      <c r="B686" t="s">
        <v>582</v>
      </c>
      <c r="C686" t="s">
        <v>255</v>
      </c>
      <c r="D686" t="s">
        <v>234</v>
      </c>
      <c r="E686" t="s">
        <v>20</v>
      </c>
      <c r="F686" t="s">
        <v>284</v>
      </c>
      <c r="G686" t="s">
        <v>269</v>
      </c>
      <c r="H686" t="s">
        <v>254</v>
      </c>
      <c r="I686" t="s">
        <v>242</v>
      </c>
      <c r="J686" t="s">
        <v>235</v>
      </c>
      <c r="K686" s="380">
        <v>36861</v>
      </c>
      <c r="L686" s="235">
        <v>17886.749890787269</v>
      </c>
      <c r="M686" s="380">
        <v>36859</v>
      </c>
      <c r="N686" t="s">
        <v>21</v>
      </c>
      <c r="O686">
        <v>-0.15</v>
      </c>
      <c r="P686">
        <v>0</v>
      </c>
      <c r="Q686">
        <v>0</v>
      </c>
      <c r="R686">
        <v>0</v>
      </c>
      <c r="S686">
        <v>0</v>
      </c>
      <c r="T686" t="s">
        <v>253</v>
      </c>
      <c r="U686" t="s">
        <v>6</v>
      </c>
      <c r="V686" t="s">
        <v>253</v>
      </c>
      <c r="W686" t="s">
        <v>132</v>
      </c>
      <c r="X686" t="s">
        <v>253</v>
      </c>
      <c r="Y686" t="s">
        <v>235</v>
      </c>
      <c r="Z686" t="s">
        <v>236</v>
      </c>
      <c r="AA686" t="s">
        <v>253</v>
      </c>
      <c r="AB686" t="s">
        <v>1</v>
      </c>
      <c r="AC686" s="235">
        <v>310000</v>
      </c>
      <c r="AD686" s="235">
        <v>3504.0933946185105</v>
      </c>
      <c r="AE686">
        <v>0</v>
      </c>
      <c r="AF686">
        <v>0</v>
      </c>
      <c r="AG686">
        <v>0</v>
      </c>
      <c r="AH686" s="235">
        <v>-204.76711357450404</v>
      </c>
      <c r="AI686">
        <v>226</v>
      </c>
      <c r="AJ686" t="s">
        <v>256</v>
      </c>
      <c r="AK686">
        <v>0</v>
      </c>
      <c r="AL686">
        <v>0</v>
      </c>
      <c r="AM686">
        <v>0</v>
      </c>
    </row>
    <row r="687" spans="1:39" x14ac:dyDescent="0.25">
      <c r="A687" t="s">
        <v>233</v>
      </c>
      <c r="B687" t="s">
        <v>582</v>
      </c>
      <c r="C687" t="s">
        <v>255</v>
      </c>
      <c r="D687" t="s">
        <v>234</v>
      </c>
      <c r="E687" t="s">
        <v>20</v>
      </c>
      <c r="F687" t="s">
        <v>284</v>
      </c>
      <c r="G687" t="s">
        <v>269</v>
      </c>
      <c r="H687" t="s">
        <v>254</v>
      </c>
      <c r="I687" t="s">
        <v>242</v>
      </c>
      <c r="J687" t="s">
        <v>235</v>
      </c>
      <c r="K687" s="380">
        <v>36892</v>
      </c>
      <c r="L687" s="235">
        <v>19275.139662017253</v>
      </c>
      <c r="M687" s="380">
        <v>36888</v>
      </c>
      <c r="N687" t="s">
        <v>21</v>
      </c>
      <c r="O687">
        <v>-0.15</v>
      </c>
      <c r="P687">
        <v>0</v>
      </c>
      <c r="Q687">
        <v>0</v>
      </c>
      <c r="R687">
        <v>0</v>
      </c>
      <c r="S687">
        <v>0</v>
      </c>
      <c r="T687" t="s">
        <v>253</v>
      </c>
      <c r="U687" t="s">
        <v>6</v>
      </c>
      <c r="V687" t="s">
        <v>253</v>
      </c>
      <c r="W687" t="s">
        <v>132</v>
      </c>
      <c r="X687" t="s">
        <v>253</v>
      </c>
      <c r="Y687" t="s">
        <v>235</v>
      </c>
      <c r="Z687" t="s">
        <v>236</v>
      </c>
      <c r="AA687" t="s">
        <v>253</v>
      </c>
      <c r="AB687" t="s">
        <v>1</v>
      </c>
      <c r="AC687" s="235">
        <v>310000</v>
      </c>
      <c r="AD687" s="235">
        <v>4010.4928775268199</v>
      </c>
      <c r="AE687">
        <v>0</v>
      </c>
      <c r="AF687">
        <v>0</v>
      </c>
      <c r="AG687">
        <v>0</v>
      </c>
      <c r="AH687" s="235">
        <v>-173.38633505591861</v>
      </c>
      <c r="AI687">
        <v>226</v>
      </c>
      <c r="AJ687" t="s">
        <v>256</v>
      </c>
      <c r="AK687">
        <v>0</v>
      </c>
      <c r="AL687">
        <v>0</v>
      </c>
      <c r="AM687">
        <v>0</v>
      </c>
    </row>
    <row r="688" spans="1:39" x14ac:dyDescent="0.25">
      <c r="A688" t="s">
        <v>233</v>
      </c>
      <c r="B688" t="s">
        <v>582</v>
      </c>
      <c r="C688" t="s">
        <v>255</v>
      </c>
      <c r="D688" t="s">
        <v>234</v>
      </c>
      <c r="E688" t="s">
        <v>20</v>
      </c>
      <c r="F688" t="s">
        <v>284</v>
      </c>
      <c r="G688" t="s">
        <v>269</v>
      </c>
      <c r="H688" t="s">
        <v>254</v>
      </c>
      <c r="I688" t="s">
        <v>242</v>
      </c>
      <c r="J688" t="s">
        <v>235</v>
      </c>
      <c r="K688" s="380">
        <v>36923</v>
      </c>
      <c r="L688" s="235">
        <v>20191.238005208488</v>
      </c>
      <c r="M688" s="380">
        <v>36921</v>
      </c>
      <c r="N688" t="s">
        <v>21</v>
      </c>
      <c r="O688">
        <v>-0.15</v>
      </c>
      <c r="P688">
        <v>0</v>
      </c>
      <c r="Q688">
        <v>0</v>
      </c>
      <c r="R688">
        <v>0</v>
      </c>
      <c r="S688">
        <v>0</v>
      </c>
      <c r="T688" t="s">
        <v>253</v>
      </c>
      <c r="U688" t="s">
        <v>6</v>
      </c>
      <c r="V688" t="s">
        <v>253</v>
      </c>
      <c r="W688" t="s">
        <v>132</v>
      </c>
      <c r="X688" t="s">
        <v>253</v>
      </c>
      <c r="Y688" t="s">
        <v>235</v>
      </c>
      <c r="Z688" t="s">
        <v>236</v>
      </c>
      <c r="AA688" t="s">
        <v>253</v>
      </c>
      <c r="AB688" t="s">
        <v>1</v>
      </c>
      <c r="AC688" s="235">
        <v>280000</v>
      </c>
      <c r="AD688" s="235">
        <v>3962.986921349715</v>
      </c>
      <c r="AE688">
        <v>0</v>
      </c>
      <c r="AF688">
        <v>0</v>
      </c>
      <c r="AG688">
        <v>0</v>
      </c>
      <c r="AH688" s="235">
        <v>-162.15663969589514</v>
      </c>
      <c r="AI688">
        <v>226</v>
      </c>
      <c r="AJ688" t="s">
        <v>256</v>
      </c>
      <c r="AK688">
        <v>0</v>
      </c>
      <c r="AL688">
        <v>0</v>
      </c>
      <c r="AM688">
        <v>0</v>
      </c>
    </row>
    <row r="689" spans="1:39" x14ac:dyDescent="0.25">
      <c r="A689" t="s">
        <v>233</v>
      </c>
      <c r="B689" t="s">
        <v>582</v>
      </c>
      <c r="C689" t="s">
        <v>255</v>
      </c>
      <c r="D689" t="s">
        <v>234</v>
      </c>
      <c r="E689" t="s">
        <v>20</v>
      </c>
      <c r="F689" t="s">
        <v>284</v>
      </c>
      <c r="G689" t="s">
        <v>269</v>
      </c>
      <c r="H689" t="s">
        <v>254</v>
      </c>
      <c r="I689" t="s">
        <v>242</v>
      </c>
      <c r="J689" t="s">
        <v>235</v>
      </c>
      <c r="K689" s="380">
        <v>36951</v>
      </c>
      <c r="L689" s="235">
        <v>21768.742178494114</v>
      </c>
      <c r="M689" s="380">
        <v>36949</v>
      </c>
      <c r="N689" t="s">
        <v>21</v>
      </c>
      <c r="O689">
        <v>-0.15</v>
      </c>
      <c r="P689">
        <v>0</v>
      </c>
      <c r="Q689">
        <v>0</v>
      </c>
      <c r="R689">
        <v>0</v>
      </c>
      <c r="S689">
        <v>0</v>
      </c>
      <c r="T689" t="s">
        <v>253</v>
      </c>
      <c r="U689" t="s">
        <v>6</v>
      </c>
      <c r="V689" t="s">
        <v>253</v>
      </c>
      <c r="W689" t="s">
        <v>132</v>
      </c>
      <c r="X689" t="s">
        <v>253</v>
      </c>
      <c r="Y689" t="s">
        <v>235</v>
      </c>
      <c r="Z689" t="s">
        <v>236</v>
      </c>
      <c r="AA689" t="s">
        <v>253</v>
      </c>
      <c r="AB689" t="s">
        <v>1</v>
      </c>
      <c r="AC689" s="235">
        <v>310000</v>
      </c>
      <c r="AD689" s="235">
        <v>4228.2440711008094</v>
      </c>
      <c r="AE689">
        <v>0</v>
      </c>
      <c r="AF689">
        <v>0</v>
      </c>
      <c r="AG689">
        <v>0</v>
      </c>
      <c r="AH689" s="235">
        <v>-187.05531626224547</v>
      </c>
      <c r="AI689">
        <v>226</v>
      </c>
      <c r="AJ689" t="s">
        <v>256</v>
      </c>
      <c r="AK689">
        <v>0</v>
      </c>
      <c r="AL689">
        <v>0</v>
      </c>
      <c r="AM689">
        <v>0</v>
      </c>
    </row>
    <row r="690" spans="1:39" x14ac:dyDescent="0.25">
      <c r="A690" t="s">
        <v>233</v>
      </c>
      <c r="B690" t="s">
        <v>584</v>
      </c>
      <c r="C690" t="s">
        <v>255</v>
      </c>
      <c r="D690" t="s">
        <v>234</v>
      </c>
      <c r="E690" t="s">
        <v>20</v>
      </c>
      <c r="F690" t="s">
        <v>320</v>
      </c>
      <c r="G690" t="s">
        <v>269</v>
      </c>
      <c r="H690" t="s">
        <v>254</v>
      </c>
      <c r="I690" t="s">
        <v>242</v>
      </c>
      <c r="J690" t="s">
        <v>235</v>
      </c>
      <c r="K690" s="380">
        <v>36831</v>
      </c>
      <c r="L690" s="235">
        <v>-34217.991954447563</v>
      </c>
      <c r="M690" s="380">
        <v>36829</v>
      </c>
      <c r="N690" t="s">
        <v>21</v>
      </c>
      <c r="O690">
        <v>1.45</v>
      </c>
      <c r="P690">
        <v>0</v>
      </c>
      <c r="Q690">
        <v>0</v>
      </c>
      <c r="R690">
        <v>0</v>
      </c>
      <c r="S690">
        <v>0</v>
      </c>
      <c r="T690" t="s">
        <v>253</v>
      </c>
      <c r="U690" t="s">
        <v>7</v>
      </c>
      <c r="V690" t="s">
        <v>253</v>
      </c>
      <c r="W690" t="s">
        <v>132</v>
      </c>
      <c r="X690" t="s">
        <v>253</v>
      </c>
      <c r="Y690" t="s">
        <v>235</v>
      </c>
      <c r="Z690" t="s">
        <v>236</v>
      </c>
      <c r="AA690" t="s">
        <v>253</v>
      </c>
      <c r="AB690" t="s">
        <v>1</v>
      </c>
      <c r="AC690" s="235">
        <v>-500000</v>
      </c>
      <c r="AD690" s="235">
        <v>-13926.899238068101</v>
      </c>
      <c r="AE690">
        <v>0</v>
      </c>
      <c r="AF690">
        <v>0</v>
      </c>
      <c r="AG690">
        <v>0</v>
      </c>
      <c r="AH690" s="235">
        <v>-4474.182681077662</v>
      </c>
      <c r="AI690">
        <v>226</v>
      </c>
      <c r="AJ690" t="s">
        <v>256</v>
      </c>
      <c r="AK690">
        <v>0</v>
      </c>
      <c r="AL690">
        <v>0</v>
      </c>
      <c r="AM690">
        <v>0</v>
      </c>
    </row>
    <row r="691" spans="1:39" x14ac:dyDescent="0.25">
      <c r="A691" t="s">
        <v>233</v>
      </c>
      <c r="B691" t="s">
        <v>584</v>
      </c>
      <c r="C691" t="s">
        <v>255</v>
      </c>
      <c r="D691" t="s">
        <v>234</v>
      </c>
      <c r="E691" t="s">
        <v>20</v>
      </c>
      <c r="F691" t="s">
        <v>320</v>
      </c>
      <c r="G691" t="s">
        <v>269</v>
      </c>
      <c r="H691" t="s">
        <v>254</v>
      </c>
      <c r="I691" t="s">
        <v>242</v>
      </c>
      <c r="J691" t="s">
        <v>235</v>
      </c>
      <c r="K691" s="380">
        <v>36861</v>
      </c>
      <c r="L691" s="235">
        <v>-302382.18068237882</v>
      </c>
      <c r="M691" s="380">
        <v>36859</v>
      </c>
      <c r="N691" t="s">
        <v>21</v>
      </c>
      <c r="O691">
        <v>1.45</v>
      </c>
      <c r="P691">
        <v>0</v>
      </c>
      <c r="Q691">
        <v>0</v>
      </c>
      <c r="R691">
        <v>0</v>
      </c>
      <c r="S691">
        <v>0</v>
      </c>
      <c r="T691" t="s">
        <v>253</v>
      </c>
      <c r="U691" t="s">
        <v>7</v>
      </c>
      <c r="V691" t="s">
        <v>253</v>
      </c>
      <c r="W691" t="s">
        <v>132</v>
      </c>
      <c r="X691" t="s">
        <v>253</v>
      </c>
      <c r="Y691" t="s">
        <v>235</v>
      </c>
      <c r="Z691" t="s">
        <v>236</v>
      </c>
      <c r="AA691" t="s">
        <v>253</v>
      </c>
      <c r="AB691" t="s">
        <v>1</v>
      </c>
      <c r="AC691" s="235">
        <v>-500000</v>
      </c>
      <c r="AD691" s="235">
        <v>-35267.067045295145</v>
      </c>
      <c r="AE691">
        <v>0</v>
      </c>
      <c r="AF691">
        <v>0</v>
      </c>
      <c r="AG691">
        <v>0</v>
      </c>
      <c r="AH691" s="235">
        <v>-14918.854107460415</v>
      </c>
      <c r="AI691">
        <v>226</v>
      </c>
      <c r="AJ691" t="s">
        <v>256</v>
      </c>
      <c r="AK691">
        <v>0</v>
      </c>
      <c r="AL691">
        <v>0</v>
      </c>
      <c r="AM691">
        <v>0</v>
      </c>
    </row>
    <row r="692" spans="1:39" x14ac:dyDescent="0.25">
      <c r="A692" t="s">
        <v>233</v>
      </c>
      <c r="B692" t="s">
        <v>584</v>
      </c>
      <c r="C692" t="s">
        <v>255</v>
      </c>
      <c r="D692" t="s">
        <v>234</v>
      </c>
      <c r="E692" t="s">
        <v>20</v>
      </c>
      <c r="F692" t="s">
        <v>320</v>
      </c>
      <c r="G692" t="s">
        <v>269</v>
      </c>
      <c r="H692" t="s">
        <v>254</v>
      </c>
      <c r="I692" t="s">
        <v>242</v>
      </c>
      <c r="J692" t="s">
        <v>235</v>
      </c>
      <c r="K692" s="380">
        <v>36892</v>
      </c>
      <c r="L692" s="235">
        <v>-507142.08899972937</v>
      </c>
      <c r="M692" s="380">
        <v>36888</v>
      </c>
      <c r="N692" t="s">
        <v>21</v>
      </c>
      <c r="O692">
        <v>1.45</v>
      </c>
      <c r="P692">
        <v>0</v>
      </c>
      <c r="Q692">
        <v>0</v>
      </c>
      <c r="R692">
        <v>0</v>
      </c>
      <c r="S692">
        <v>0</v>
      </c>
      <c r="T692" t="s">
        <v>253</v>
      </c>
      <c r="U692" t="s">
        <v>7</v>
      </c>
      <c r="V692" t="s">
        <v>253</v>
      </c>
      <c r="W692" t="s">
        <v>132</v>
      </c>
      <c r="X692" t="s">
        <v>253</v>
      </c>
      <c r="Y692" t="s">
        <v>235</v>
      </c>
      <c r="Z692" t="s">
        <v>236</v>
      </c>
      <c r="AA692" t="s">
        <v>253</v>
      </c>
      <c r="AB692" t="s">
        <v>1</v>
      </c>
      <c r="AC692" s="235">
        <v>-500000</v>
      </c>
      <c r="AD692" s="235">
        <v>-36370.980078329507</v>
      </c>
      <c r="AE692">
        <v>0</v>
      </c>
      <c r="AF692">
        <v>0</v>
      </c>
      <c r="AG692">
        <v>0</v>
      </c>
      <c r="AH692" s="235">
        <v>-22760.307725450431</v>
      </c>
      <c r="AI692">
        <v>226</v>
      </c>
      <c r="AJ692" t="s">
        <v>256</v>
      </c>
      <c r="AK692">
        <v>0</v>
      </c>
      <c r="AL692">
        <v>0</v>
      </c>
      <c r="AM692">
        <v>0</v>
      </c>
    </row>
    <row r="693" spans="1:39" x14ac:dyDescent="0.25">
      <c r="A693" t="s">
        <v>233</v>
      </c>
      <c r="B693" t="s">
        <v>584</v>
      </c>
      <c r="C693" t="s">
        <v>255</v>
      </c>
      <c r="D693" t="s">
        <v>234</v>
      </c>
      <c r="E693" t="s">
        <v>20</v>
      </c>
      <c r="F693" t="s">
        <v>320</v>
      </c>
      <c r="G693" t="s">
        <v>269</v>
      </c>
      <c r="H693" t="s">
        <v>254</v>
      </c>
      <c r="I693" t="s">
        <v>242</v>
      </c>
      <c r="J693" t="s">
        <v>235</v>
      </c>
      <c r="K693" s="380">
        <v>36923</v>
      </c>
      <c r="L693" s="235">
        <v>-493217.2966635818</v>
      </c>
      <c r="M693" s="380">
        <v>36921</v>
      </c>
      <c r="N693" t="s">
        <v>21</v>
      </c>
      <c r="O693">
        <v>1.45</v>
      </c>
      <c r="P693">
        <v>0</v>
      </c>
      <c r="Q693">
        <v>0</v>
      </c>
      <c r="R693">
        <v>0</v>
      </c>
      <c r="S693">
        <v>0</v>
      </c>
      <c r="T693" t="s">
        <v>253</v>
      </c>
      <c r="U693" t="s">
        <v>7</v>
      </c>
      <c r="V693" t="s">
        <v>253</v>
      </c>
      <c r="W693" t="s">
        <v>132</v>
      </c>
      <c r="X693" t="s">
        <v>253</v>
      </c>
      <c r="Y693" t="s">
        <v>235</v>
      </c>
      <c r="Z693" t="s">
        <v>236</v>
      </c>
      <c r="AA693" t="s">
        <v>253</v>
      </c>
      <c r="AB693" t="s">
        <v>1</v>
      </c>
      <c r="AC693" s="235">
        <v>-500000</v>
      </c>
      <c r="AD693" s="235">
        <v>-40927.446316120971</v>
      </c>
      <c r="AE693">
        <v>0</v>
      </c>
      <c r="AF693">
        <v>0</v>
      </c>
      <c r="AG693">
        <v>0</v>
      </c>
      <c r="AH693" s="235">
        <v>-25592.436281168368</v>
      </c>
      <c r="AI693">
        <v>226</v>
      </c>
      <c r="AJ693" t="s">
        <v>256</v>
      </c>
      <c r="AK693">
        <v>0</v>
      </c>
      <c r="AL693">
        <v>0</v>
      </c>
      <c r="AM693">
        <v>0</v>
      </c>
    </row>
    <row r="694" spans="1:39" x14ac:dyDescent="0.25">
      <c r="A694" t="s">
        <v>233</v>
      </c>
      <c r="B694" t="s">
        <v>584</v>
      </c>
      <c r="C694" t="s">
        <v>255</v>
      </c>
      <c r="D694" t="s">
        <v>234</v>
      </c>
      <c r="E694" t="s">
        <v>20</v>
      </c>
      <c r="F694" t="s">
        <v>320</v>
      </c>
      <c r="G694" t="s">
        <v>269</v>
      </c>
      <c r="H694" t="s">
        <v>254</v>
      </c>
      <c r="I694" t="s">
        <v>242</v>
      </c>
      <c r="J694" t="s">
        <v>235</v>
      </c>
      <c r="K694" s="380">
        <v>36951</v>
      </c>
      <c r="L694" s="235">
        <v>-186609.44103303374</v>
      </c>
      <c r="M694" s="380">
        <v>36949</v>
      </c>
      <c r="N694" t="s">
        <v>21</v>
      </c>
      <c r="O694">
        <v>1.45</v>
      </c>
      <c r="P694">
        <v>0</v>
      </c>
      <c r="Q694">
        <v>0</v>
      </c>
      <c r="R694">
        <v>0</v>
      </c>
      <c r="S694">
        <v>0</v>
      </c>
      <c r="T694" t="s">
        <v>253</v>
      </c>
      <c r="U694" t="s">
        <v>7</v>
      </c>
      <c r="V694" t="s">
        <v>253</v>
      </c>
      <c r="W694" t="s">
        <v>132</v>
      </c>
      <c r="X694" t="s">
        <v>253</v>
      </c>
      <c r="Y694" t="s">
        <v>235</v>
      </c>
      <c r="Z694" t="s">
        <v>236</v>
      </c>
      <c r="AA694" t="s">
        <v>253</v>
      </c>
      <c r="AB694" t="s">
        <v>1</v>
      </c>
      <c r="AC694" s="235">
        <v>-500000</v>
      </c>
      <c r="AD694" s="235">
        <v>-42032.484660374117</v>
      </c>
      <c r="AE694">
        <v>0</v>
      </c>
      <c r="AF694">
        <v>0</v>
      </c>
      <c r="AG694">
        <v>0</v>
      </c>
      <c r="AH694" s="235">
        <v>-14762.73901139095</v>
      </c>
      <c r="AI694">
        <v>226</v>
      </c>
      <c r="AJ694" t="s">
        <v>256</v>
      </c>
      <c r="AK694">
        <v>0</v>
      </c>
      <c r="AL694">
        <v>0</v>
      </c>
      <c r="AM694">
        <v>0</v>
      </c>
    </row>
    <row r="695" spans="1:39" x14ac:dyDescent="0.25">
      <c r="A695" t="s">
        <v>233</v>
      </c>
      <c r="B695" t="s">
        <v>583</v>
      </c>
      <c r="C695" t="s">
        <v>255</v>
      </c>
      <c r="D695" t="s">
        <v>234</v>
      </c>
      <c r="E695" t="s">
        <v>20</v>
      </c>
      <c r="F695" t="s">
        <v>320</v>
      </c>
      <c r="G695" t="s">
        <v>269</v>
      </c>
      <c r="H695" t="s">
        <v>254</v>
      </c>
      <c r="I695" t="s">
        <v>242</v>
      </c>
      <c r="J695" t="s">
        <v>235</v>
      </c>
      <c r="K695" s="380">
        <v>36831</v>
      </c>
      <c r="L695" s="235">
        <v>-370247.25561892445</v>
      </c>
      <c r="M695" s="380">
        <v>36829</v>
      </c>
      <c r="N695" t="s">
        <v>1</v>
      </c>
      <c r="O695">
        <v>1.45</v>
      </c>
      <c r="P695">
        <v>0</v>
      </c>
      <c r="Q695">
        <v>0</v>
      </c>
      <c r="R695">
        <v>0</v>
      </c>
      <c r="S695">
        <v>0</v>
      </c>
      <c r="T695" t="s">
        <v>253</v>
      </c>
      <c r="U695" t="s">
        <v>7</v>
      </c>
      <c r="V695" t="s">
        <v>253</v>
      </c>
      <c r="W695" t="s">
        <v>132</v>
      </c>
      <c r="X695" t="s">
        <v>253</v>
      </c>
      <c r="Y695" t="s">
        <v>235</v>
      </c>
      <c r="Z695" t="s">
        <v>236</v>
      </c>
      <c r="AA695" t="s">
        <v>253</v>
      </c>
      <c r="AB695" t="s">
        <v>1</v>
      </c>
      <c r="AC695" s="235">
        <v>-500000</v>
      </c>
      <c r="AD695" s="235">
        <v>-13926.899238068087</v>
      </c>
      <c r="AE695">
        <v>0</v>
      </c>
      <c r="AF695">
        <v>0</v>
      </c>
      <c r="AG695">
        <v>0</v>
      </c>
      <c r="AH695" s="235">
        <v>15281.361025207385</v>
      </c>
      <c r="AI695">
        <v>226</v>
      </c>
      <c r="AJ695" t="s">
        <v>256</v>
      </c>
      <c r="AK695">
        <v>0</v>
      </c>
      <c r="AL695">
        <v>0</v>
      </c>
      <c r="AM695">
        <v>0</v>
      </c>
    </row>
    <row r="696" spans="1:39" x14ac:dyDescent="0.25">
      <c r="A696" t="s">
        <v>233</v>
      </c>
      <c r="B696" t="s">
        <v>583</v>
      </c>
      <c r="C696" t="s">
        <v>255</v>
      </c>
      <c r="D696" t="s">
        <v>234</v>
      </c>
      <c r="E696" t="s">
        <v>20</v>
      </c>
      <c r="F696" t="s">
        <v>320</v>
      </c>
      <c r="G696" t="s">
        <v>269</v>
      </c>
      <c r="H696" t="s">
        <v>254</v>
      </c>
      <c r="I696" t="s">
        <v>242</v>
      </c>
      <c r="J696" t="s">
        <v>235</v>
      </c>
      <c r="K696" s="380">
        <v>36861</v>
      </c>
      <c r="L696" s="235">
        <v>-206563.44355069546</v>
      </c>
      <c r="M696" s="380">
        <v>36859</v>
      </c>
      <c r="N696" t="s">
        <v>1</v>
      </c>
      <c r="O696">
        <v>1.45</v>
      </c>
      <c r="P696">
        <v>0</v>
      </c>
      <c r="Q696">
        <v>0</v>
      </c>
      <c r="R696">
        <v>0</v>
      </c>
      <c r="S696">
        <v>0</v>
      </c>
      <c r="T696" t="s">
        <v>253</v>
      </c>
      <c r="U696" t="s">
        <v>7</v>
      </c>
      <c r="V696" t="s">
        <v>253</v>
      </c>
      <c r="W696" t="s">
        <v>132</v>
      </c>
      <c r="X696" t="s">
        <v>253</v>
      </c>
      <c r="Y696" t="s">
        <v>235</v>
      </c>
      <c r="Z696" t="s">
        <v>236</v>
      </c>
      <c r="AA696" t="s">
        <v>253</v>
      </c>
      <c r="AB696" t="s">
        <v>1</v>
      </c>
      <c r="AC696" s="235">
        <v>-500000</v>
      </c>
      <c r="AD696" s="235">
        <v>-35267.067045295145</v>
      </c>
      <c r="AE696">
        <v>0</v>
      </c>
      <c r="AF696">
        <v>0</v>
      </c>
      <c r="AG696">
        <v>0</v>
      </c>
      <c r="AH696" s="235">
        <v>7180.9987672581919</v>
      </c>
      <c r="AI696">
        <v>226</v>
      </c>
      <c r="AJ696" t="s">
        <v>256</v>
      </c>
      <c r="AK696">
        <v>0</v>
      </c>
      <c r="AL696">
        <v>0</v>
      </c>
      <c r="AM696">
        <v>0</v>
      </c>
    </row>
    <row r="697" spans="1:39" x14ac:dyDescent="0.25">
      <c r="A697" t="s">
        <v>233</v>
      </c>
      <c r="B697" t="s">
        <v>583</v>
      </c>
      <c r="C697" t="s">
        <v>255</v>
      </c>
      <c r="D697" t="s">
        <v>234</v>
      </c>
      <c r="E697" t="s">
        <v>20</v>
      </c>
      <c r="F697" t="s">
        <v>320</v>
      </c>
      <c r="G697" t="s">
        <v>269</v>
      </c>
      <c r="H697" t="s">
        <v>254</v>
      </c>
      <c r="I697" t="s">
        <v>242</v>
      </c>
      <c r="J697" t="s">
        <v>235</v>
      </c>
      <c r="K697" s="380">
        <v>36892</v>
      </c>
      <c r="L697" s="235">
        <v>-155270.74068602797</v>
      </c>
      <c r="M697" s="380">
        <v>36888</v>
      </c>
      <c r="N697" t="s">
        <v>1</v>
      </c>
      <c r="O697">
        <v>1.45</v>
      </c>
      <c r="P697">
        <v>0</v>
      </c>
      <c r="Q697">
        <v>0</v>
      </c>
      <c r="R697">
        <v>0</v>
      </c>
      <c r="S697">
        <v>0</v>
      </c>
      <c r="T697" t="s">
        <v>253</v>
      </c>
      <c r="U697" t="s">
        <v>7</v>
      </c>
      <c r="V697" t="s">
        <v>253</v>
      </c>
      <c r="W697" t="s">
        <v>132</v>
      </c>
      <c r="X697" t="s">
        <v>253</v>
      </c>
      <c r="Y697" t="s">
        <v>235</v>
      </c>
      <c r="Z697" t="s">
        <v>236</v>
      </c>
      <c r="AA697" t="s">
        <v>253</v>
      </c>
      <c r="AB697" t="s">
        <v>1</v>
      </c>
      <c r="AC697" s="235">
        <v>-500000</v>
      </c>
      <c r="AD697" s="235">
        <v>-36370.980078329507</v>
      </c>
      <c r="AE697">
        <v>0</v>
      </c>
      <c r="AF697">
        <v>0</v>
      </c>
      <c r="AG697">
        <v>0</v>
      </c>
      <c r="AH697" s="235">
        <v>6546.6708995178633</v>
      </c>
      <c r="AI697">
        <v>226</v>
      </c>
      <c r="AJ697" t="s">
        <v>256</v>
      </c>
      <c r="AK697">
        <v>0</v>
      </c>
      <c r="AL697">
        <v>0</v>
      </c>
      <c r="AM697">
        <v>0</v>
      </c>
    </row>
    <row r="698" spans="1:39" x14ac:dyDescent="0.25">
      <c r="A698" t="s">
        <v>233</v>
      </c>
      <c r="B698" t="s">
        <v>583</v>
      </c>
      <c r="C698" t="s">
        <v>255</v>
      </c>
      <c r="D698" t="s">
        <v>234</v>
      </c>
      <c r="E698" t="s">
        <v>20</v>
      </c>
      <c r="F698" t="s">
        <v>320</v>
      </c>
      <c r="G698" t="s">
        <v>269</v>
      </c>
      <c r="H698" t="s">
        <v>254</v>
      </c>
      <c r="I698" t="s">
        <v>242</v>
      </c>
      <c r="J698" t="s">
        <v>235</v>
      </c>
      <c r="K698" s="380">
        <v>36923</v>
      </c>
      <c r="L698" s="235">
        <v>-182404.00451282813</v>
      </c>
      <c r="M698" s="380">
        <v>36921</v>
      </c>
      <c r="N698" t="s">
        <v>1</v>
      </c>
      <c r="O698">
        <v>1.45</v>
      </c>
      <c r="P698">
        <v>0</v>
      </c>
      <c r="Q698">
        <v>0</v>
      </c>
      <c r="R698">
        <v>0</v>
      </c>
      <c r="S698">
        <v>0</v>
      </c>
      <c r="T698" t="s">
        <v>253</v>
      </c>
      <c r="U698" t="s">
        <v>7</v>
      </c>
      <c r="V698" t="s">
        <v>253</v>
      </c>
      <c r="W698" t="s">
        <v>132</v>
      </c>
      <c r="X698" t="s">
        <v>253</v>
      </c>
      <c r="Y698" t="s">
        <v>235</v>
      </c>
      <c r="Z698" t="s">
        <v>236</v>
      </c>
      <c r="AA698" t="s">
        <v>253</v>
      </c>
      <c r="AB698" t="s">
        <v>1</v>
      </c>
      <c r="AC698" s="235">
        <v>-500000</v>
      </c>
      <c r="AD698" s="235">
        <v>-40927.446316120971</v>
      </c>
      <c r="AE698">
        <v>0</v>
      </c>
      <c r="AF698">
        <v>0</v>
      </c>
      <c r="AG698">
        <v>0</v>
      </c>
      <c r="AH698" s="235">
        <v>8385.2920286080625</v>
      </c>
      <c r="AI698">
        <v>226</v>
      </c>
      <c r="AJ698" t="s">
        <v>256</v>
      </c>
      <c r="AK698">
        <v>0</v>
      </c>
      <c r="AL698">
        <v>0</v>
      </c>
      <c r="AM698">
        <v>0</v>
      </c>
    </row>
    <row r="699" spans="1:39" x14ac:dyDescent="0.25">
      <c r="A699" t="s">
        <v>233</v>
      </c>
      <c r="B699" t="s">
        <v>583</v>
      </c>
      <c r="C699" t="s">
        <v>255</v>
      </c>
      <c r="D699" t="s">
        <v>234</v>
      </c>
      <c r="E699" t="s">
        <v>20</v>
      </c>
      <c r="F699" t="s">
        <v>320</v>
      </c>
      <c r="G699" t="s">
        <v>269</v>
      </c>
      <c r="H699" t="s">
        <v>254</v>
      </c>
      <c r="I699" t="s">
        <v>242</v>
      </c>
      <c r="J699" t="s">
        <v>235</v>
      </c>
      <c r="K699" s="380">
        <v>36951</v>
      </c>
      <c r="L699" s="235">
        <v>-367749.07992925763</v>
      </c>
      <c r="M699" s="380">
        <v>36949</v>
      </c>
      <c r="N699" t="s">
        <v>1</v>
      </c>
      <c r="O699">
        <v>1.45</v>
      </c>
      <c r="P699">
        <v>0</v>
      </c>
      <c r="Q699">
        <v>0</v>
      </c>
      <c r="R699">
        <v>0</v>
      </c>
      <c r="S699">
        <v>0</v>
      </c>
      <c r="T699" t="s">
        <v>253</v>
      </c>
      <c r="U699" t="s">
        <v>7</v>
      </c>
      <c r="V699" t="s">
        <v>253</v>
      </c>
      <c r="W699" t="s">
        <v>132</v>
      </c>
      <c r="X699" t="s">
        <v>253</v>
      </c>
      <c r="Y699" t="s">
        <v>235</v>
      </c>
      <c r="Z699" t="s">
        <v>236</v>
      </c>
      <c r="AA699" t="s">
        <v>253</v>
      </c>
      <c r="AB699" t="s">
        <v>1</v>
      </c>
      <c r="AC699" s="235">
        <v>-500000</v>
      </c>
      <c r="AD699" s="235">
        <v>-42032.484660374117</v>
      </c>
      <c r="AE699">
        <v>0</v>
      </c>
      <c r="AF699">
        <v>0</v>
      </c>
      <c r="AG699">
        <v>0</v>
      </c>
      <c r="AH699" s="235">
        <v>14205.327942383534</v>
      </c>
      <c r="AI699">
        <v>226</v>
      </c>
      <c r="AJ699" t="s">
        <v>256</v>
      </c>
      <c r="AK699">
        <v>0</v>
      </c>
      <c r="AL699">
        <v>0</v>
      </c>
      <c r="AM699">
        <v>0</v>
      </c>
    </row>
    <row r="700" spans="1:39" x14ac:dyDescent="0.25">
      <c r="A700" t="s">
        <v>233</v>
      </c>
      <c r="B700" t="s">
        <v>585</v>
      </c>
      <c r="C700" t="s">
        <v>255</v>
      </c>
      <c r="D700" t="s">
        <v>234</v>
      </c>
      <c r="E700" t="s">
        <v>20</v>
      </c>
      <c r="F700" t="s">
        <v>320</v>
      </c>
      <c r="G700" t="s">
        <v>269</v>
      </c>
      <c r="H700" t="s">
        <v>254</v>
      </c>
      <c r="I700" t="s">
        <v>242</v>
      </c>
      <c r="J700" t="s">
        <v>235</v>
      </c>
      <c r="K700" s="380">
        <v>36831</v>
      </c>
      <c r="L700" s="235">
        <v>365285.37794140994</v>
      </c>
      <c r="M700" s="380">
        <v>36829</v>
      </c>
      <c r="N700" t="s">
        <v>1</v>
      </c>
      <c r="O700">
        <v>0.95</v>
      </c>
      <c r="P700">
        <v>0</v>
      </c>
      <c r="Q700">
        <v>0</v>
      </c>
      <c r="R700">
        <v>0</v>
      </c>
      <c r="S700">
        <v>0</v>
      </c>
      <c r="T700" t="s">
        <v>253</v>
      </c>
      <c r="U700" t="s">
        <v>7</v>
      </c>
      <c r="V700" t="s">
        <v>253</v>
      </c>
      <c r="W700" t="s">
        <v>132</v>
      </c>
      <c r="X700" t="s">
        <v>253</v>
      </c>
      <c r="Y700" t="s">
        <v>235</v>
      </c>
      <c r="Z700" t="s">
        <v>236</v>
      </c>
      <c r="AA700" t="s">
        <v>253</v>
      </c>
      <c r="AB700" t="s">
        <v>1</v>
      </c>
      <c r="AC700" s="235">
        <v>1000000</v>
      </c>
      <c r="AD700" s="235">
        <v>42890.904280145071</v>
      </c>
      <c r="AE700">
        <v>0</v>
      </c>
      <c r="AF700">
        <v>0</v>
      </c>
      <c r="AG700">
        <v>0</v>
      </c>
      <c r="AH700" s="235">
        <v>-21052.313090910611</v>
      </c>
      <c r="AI700">
        <v>226</v>
      </c>
      <c r="AJ700" t="s">
        <v>256</v>
      </c>
      <c r="AK700">
        <v>0</v>
      </c>
      <c r="AL700">
        <v>0</v>
      </c>
      <c r="AM700">
        <v>0</v>
      </c>
    </row>
    <row r="701" spans="1:39" x14ac:dyDescent="0.25">
      <c r="A701" t="s">
        <v>233</v>
      </c>
      <c r="B701" t="s">
        <v>585</v>
      </c>
      <c r="C701" t="s">
        <v>255</v>
      </c>
      <c r="D701" t="s">
        <v>234</v>
      </c>
      <c r="E701" t="s">
        <v>20</v>
      </c>
      <c r="F701" t="s">
        <v>320</v>
      </c>
      <c r="G701" t="s">
        <v>269</v>
      </c>
      <c r="H701" t="s">
        <v>254</v>
      </c>
      <c r="I701" t="s">
        <v>242</v>
      </c>
      <c r="J701" t="s">
        <v>235</v>
      </c>
      <c r="K701" s="380">
        <v>36861</v>
      </c>
      <c r="L701" s="235">
        <v>206779.59023365367</v>
      </c>
      <c r="M701" s="380">
        <v>36859</v>
      </c>
      <c r="N701" t="s">
        <v>1</v>
      </c>
      <c r="O701">
        <v>0.95</v>
      </c>
      <c r="P701">
        <v>0</v>
      </c>
      <c r="Q701">
        <v>0</v>
      </c>
      <c r="R701">
        <v>0</v>
      </c>
      <c r="S701">
        <v>0</v>
      </c>
      <c r="T701" t="s">
        <v>253</v>
      </c>
      <c r="U701" t="s">
        <v>7</v>
      </c>
      <c r="V701" t="s">
        <v>253</v>
      </c>
      <c r="W701" t="s">
        <v>132</v>
      </c>
      <c r="X701" t="s">
        <v>253</v>
      </c>
      <c r="Y701" t="s">
        <v>235</v>
      </c>
      <c r="Z701" t="s">
        <v>236</v>
      </c>
      <c r="AA701" t="s">
        <v>253</v>
      </c>
      <c r="AB701" t="s">
        <v>1</v>
      </c>
      <c r="AC701" s="235">
        <v>1000000</v>
      </c>
      <c r="AD701" s="235">
        <v>62140.966342002706</v>
      </c>
      <c r="AE701">
        <v>0</v>
      </c>
      <c r="AF701">
        <v>0</v>
      </c>
      <c r="AG701">
        <v>0</v>
      </c>
      <c r="AH701" s="235">
        <v>-8118.973104463279</v>
      </c>
      <c r="AI701">
        <v>226</v>
      </c>
      <c r="AJ701" t="s">
        <v>256</v>
      </c>
      <c r="AK701">
        <v>0</v>
      </c>
      <c r="AL701">
        <v>0</v>
      </c>
      <c r="AM701">
        <v>0</v>
      </c>
    </row>
    <row r="702" spans="1:39" x14ac:dyDescent="0.25">
      <c r="A702" t="s">
        <v>233</v>
      </c>
      <c r="B702" t="s">
        <v>585</v>
      </c>
      <c r="C702" t="s">
        <v>255</v>
      </c>
      <c r="D702" t="s">
        <v>234</v>
      </c>
      <c r="E702" t="s">
        <v>20</v>
      </c>
      <c r="F702" t="s">
        <v>320</v>
      </c>
      <c r="G702" t="s">
        <v>269</v>
      </c>
      <c r="H702" t="s">
        <v>254</v>
      </c>
      <c r="I702" t="s">
        <v>242</v>
      </c>
      <c r="J702" t="s">
        <v>235</v>
      </c>
      <c r="K702" s="380">
        <v>36892</v>
      </c>
      <c r="L702" s="235">
        <v>154296.15312093103</v>
      </c>
      <c r="M702" s="380">
        <v>36888</v>
      </c>
      <c r="N702" t="s">
        <v>1</v>
      </c>
      <c r="O702">
        <v>0.95</v>
      </c>
      <c r="P702">
        <v>0</v>
      </c>
      <c r="Q702">
        <v>0</v>
      </c>
      <c r="R702">
        <v>0</v>
      </c>
      <c r="S702">
        <v>0</v>
      </c>
      <c r="T702" t="s">
        <v>253</v>
      </c>
      <c r="U702" t="s">
        <v>7</v>
      </c>
      <c r="V702" t="s">
        <v>253</v>
      </c>
      <c r="W702" t="s">
        <v>132</v>
      </c>
      <c r="X702" t="s">
        <v>253</v>
      </c>
      <c r="Y702" t="s">
        <v>235</v>
      </c>
      <c r="Z702" t="s">
        <v>236</v>
      </c>
      <c r="AA702" t="s">
        <v>253</v>
      </c>
      <c r="AB702" t="s">
        <v>1</v>
      </c>
      <c r="AC702" s="235">
        <v>1000000</v>
      </c>
      <c r="AD702" s="235">
        <v>58574.150650883355</v>
      </c>
      <c r="AE702">
        <v>0</v>
      </c>
      <c r="AF702">
        <v>0</v>
      </c>
      <c r="AG702">
        <v>0</v>
      </c>
      <c r="AH702" s="235">
        <v>-7225.3304749372473</v>
      </c>
      <c r="AI702">
        <v>226</v>
      </c>
      <c r="AJ702" t="s">
        <v>256</v>
      </c>
      <c r="AK702">
        <v>0</v>
      </c>
      <c r="AL702">
        <v>0</v>
      </c>
      <c r="AM702">
        <v>0</v>
      </c>
    </row>
    <row r="703" spans="1:39" x14ac:dyDescent="0.25">
      <c r="A703" t="s">
        <v>233</v>
      </c>
      <c r="B703" t="s">
        <v>585</v>
      </c>
      <c r="C703" t="s">
        <v>255</v>
      </c>
      <c r="D703" t="s">
        <v>234</v>
      </c>
      <c r="E703" t="s">
        <v>20</v>
      </c>
      <c r="F703" t="s">
        <v>320</v>
      </c>
      <c r="G703" t="s">
        <v>269</v>
      </c>
      <c r="H703" t="s">
        <v>254</v>
      </c>
      <c r="I703" t="s">
        <v>242</v>
      </c>
      <c r="J703" t="s">
        <v>235</v>
      </c>
      <c r="K703" s="380">
        <v>36923</v>
      </c>
      <c r="L703" s="235">
        <v>190761.07387737962</v>
      </c>
      <c r="M703" s="380">
        <v>36921</v>
      </c>
      <c r="N703" t="s">
        <v>1</v>
      </c>
      <c r="O703">
        <v>0.95</v>
      </c>
      <c r="P703">
        <v>0</v>
      </c>
      <c r="Q703">
        <v>0</v>
      </c>
      <c r="R703">
        <v>0</v>
      </c>
      <c r="S703">
        <v>0</v>
      </c>
      <c r="T703" t="s">
        <v>253</v>
      </c>
      <c r="U703" t="s">
        <v>7</v>
      </c>
      <c r="V703" t="s">
        <v>253</v>
      </c>
      <c r="W703" t="s">
        <v>132</v>
      </c>
      <c r="X703" t="s">
        <v>253</v>
      </c>
      <c r="Y703" t="s">
        <v>235</v>
      </c>
      <c r="Z703" t="s">
        <v>236</v>
      </c>
      <c r="AA703" t="s">
        <v>253</v>
      </c>
      <c r="AB703" t="s">
        <v>1</v>
      </c>
      <c r="AC703" s="235">
        <v>1000000</v>
      </c>
      <c r="AD703" s="235">
        <v>68957.811988938804</v>
      </c>
      <c r="AE703">
        <v>0</v>
      </c>
      <c r="AF703">
        <v>0</v>
      </c>
      <c r="AG703">
        <v>0</v>
      </c>
      <c r="AH703" s="235">
        <v>-9846.6261578735721</v>
      </c>
      <c r="AI703">
        <v>226</v>
      </c>
      <c r="AJ703" t="s">
        <v>256</v>
      </c>
      <c r="AK703">
        <v>0</v>
      </c>
      <c r="AL703">
        <v>0</v>
      </c>
      <c r="AM703">
        <v>0</v>
      </c>
    </row>
    <row r="704" spans="1:39" x14ac:dyDescent="0.25">
      <c r="A704" t="s">
        <v>233</v>
      </c>
      <c r="B704" t="s">
        <v>585</v>
      </c>
      <c r="C704" t="s">
        <v>255</v>
      </c>
      <c r="D704" t="s">
        <v>234</v>
      </c>
      <c r="E704" t="s">
        <v>20</v>
      </c>
      <c r="F704" t="s">
        <v>320</v>
      </c>
      <c r="G704" t="s">
        <v>269</v>
      </c>
      <c r="H704" t="s">
        <v>254</v>
      </c>
      <c r="I704" t="s">
        <v>242</v>
      </c>
      <c r="J704" t="s">
        <v>235</v>
      </c>
      <c r="K704" s="380">
        <v>36951</v>
      </c>
      <c r="L704" s="235">
        <v>439193.57484196319</v>
      </c>
      <c r="M704" s="380">
        <v>36949</v>
      </c>
      <c r="N704" t="s">
        <v>1</v>
      </c>
      <c r="O704">
        <v>0.95</v>
      </c>
      <c r="P704">
        <v>0</v>
      </c>
      <c r="Q704">
        <v>0</v>
      </c>
      <c r="R704">
        <v>0</v>
      </c>
      <c r="S704">
        <v>0</v>
      </c>
      <c r="T704" t="s">
        <v>253</v>
      </c>
      <c r="U704" t="s">
        <v>7</v>
      </c>
      <c r="V704" t="s">
        <v>253</v>
      </c>
      <c r="W704" t="s">
        <v>132</v>
      </c>
      <c r="X704" t="s">
        <v>253</v>
      </c>
      <c r="Y704" t="s">
        <v>235</v>
      </c>
      <c r="Z704" t="s">
        <v>236</v>
      </c>
      <c r="AA704" t="s">
        <v>253</v>
      </c>
      <c r="AB704" t="s">
        <v>1</v>
      </c>
      <c r="AC704" s="235">
        <v>1000000</v>
      </c>
      <c r="AD704" s="235">
        <v>88919.377864861221</v>
      </c>
      <c r="AE704">
        <v>0</v>
      </c>
      <c r="AF704">
        <v>0</v>
      </c>
      <c r="AG704">
        <v>0</v>
      </c>
      <c r="AH704" s="235">
        <v>-19838.183083816606</v>
      </c>
      <c r="AI704">
        <v>226</v>
      </c>
      <c r="AJ704" t="s">
        <v>256</v>
      </c>
      <c r="AK704">
        <v>0</v>
      </c>
      <c r="AL704">
        <v>0</v>
      </c>
      <c r="AM704">
        <v>0</v>
      </c>
    </row>
    <row r="705" spans="1:39" x14ac:dyDescent="0.25">
      <c r="A705" t="s">
        <v>233</v>
      </c>
      <c r="B705" t="s">
        <v>586</v>
      </c>
      <c r="C705" t="s">
        <v>255</v>
      </c>
      <c r="D705" t="s">
        <v>234</v>
      </c>
      <c r="E705" t="s">
        <v>20</v>
      </c>
      <c r="F705" t="s">
        <v>279</v>
      </c>
      <c r="G705" t="s">
        <v>269</v>
      </c>
      <c r="H705" t="s">
        <v>254</v>
      </c>
      <c r="I705" t="s">
        <v>242</v>
      </c>
      <c r="J705" t="s">
        <v>235</v>
      </c>
      <c r="K705" s="380">
        <v>36800</v>
      </c>
      <c r="L705" s="235">
        <v>509416.19465448649</v>
      </c>
      <c r="M705" s="380">
        <v>36797</v>
      </c>
      <c r="N705" t="s">
        <v>1</v>
      </c>
      <c r="O705">
        <v>-0.65</v>
      </c>
      <c r="P705">
        <v>0</v>
      </c>
      <c r="Q705">
        <v>0</v>
      </c>
      <c r="R705">
        <v>0</v>
      </c>
      <c r="S705">
        <v>0</v>
      </c>
      <c r="T705" t="s">
        <v>253</v>
      </c>
      <c r="U705" t="s">
        <v>9</v>
      </c>
      <c r="V705" t="s">
        <v>253</v>
      </c>
      <c r="W705" t="s">
        <v>132</v>
      </c>
      <c r="X705" t="s">
        <v>253</v>
      </c>
      <c r="Y705" t="s">
        <v>235</v>
      </c>
      <c r="Z705" t="s">
        <v>236</v>
      </c>
      <c r="AA705" t="s">
        <v>253</v>
      </c>
      <c r="AB705" t="s">
        <v>1</v>
      </c>
      <c r="AC705" s="235">
        <v>2000000</v>
      </c>
      <c r="AD705" s="235">
        <v>66784.972172549693</v>
      </c>
      <c r="AE705">
        <v>0</v>
      </c>
      <c r="AF705">
        <v>0</v>
      </c>
      <c r="AG705">
        <v>0</v>
      </c>
      <c r="AH705" s="235">
        <v>80806.746004056418</v>
      </c>
      <c r="AI705">
        <v>226</v>
      </c>
      <c r="AJ705" t="s">
        <v>256</v>
      </c>
      <c r="AK705">
        <v>0</v>
      </c>
      <c r="AL705">
        <v>0</v>
      </c>
      <c r="AM705">
        <v>0</v>
      </c>
    </row>
    <row r="706" spans="1:39" x14ac:dyDescent="0.25">
      <c r="A706" t="s">
        <v>233</v>
      </c>
      <c r="B706" t="s">
        <v>587</v>
      </c>
      <c r="C706" t="s">
        <v>255</v>
      </c>
      <c r="D706" t="s">
        <v>234</v>
      </c>
      <c r="E706" t="s">
        <v>20</v>
      </c>
      <c r="F706" t="s">
        <v>279</v>
      </c>
      <c r="G706" t="s">
        <v>269</v>
      </c>
      <c r="H706" t="s">
        <v>254</v>
      </c>
      <c r="I706" t="s">
        <v>242</v>
      </c>
      <c r="J706" t="s">
        <v>235</v>
      </c>
      <c r="K706" s="380">
        <v>36800</v>
      </c>
      <c r="L706" s="235">
        <v>509416.19465448649</v>
      </c>
      <c r="M706" s="380">
        <v>36797</v>
      </c>
      <c r="N706" t="s">
        <v>1</v>
      </c>
      <c r="O706">
        <v>-0.65</v>
      </c>
      <c r="P706">
        <v>0</v>
      </c>
      <c r="Q706">
        <v>0</v>
      </c>
      <c r="R706">
        <v>0</v>
      </c>
      <c r="S706">
        <v>0</v>
      </c>
      <c r="T706" t="s">
        <v>253</v>
      </c>
      <c r="U706" t="s">
        <v>9</v>
      </c>
      <c r="V706" t="s">
        <v>253</v>
      </c>
      <c r="W706" t="s">
        <v>132</v>
      </c>
      <c r="X706" t="s">
        <v>253</v>
      </c>
      <c r="Y706" t="s">
        <v>235</v>
      </c>
      <c r="Z706" t="s">
        <v>236</v>
      </c>
      <c r="AA706" t="s">
        <v>253</v>
      </c>
      <c r="AB706" t="s">
        <v>1</v>
      </c>
      <c r="AC706" s="235">
        <v>2000000</v>
      </c>
      <c r="AD706" s="235">
        <v>66784.972172549693</v>
      </c>
      <c r="AE706">
        <v>0</v>
      </c>
      <c r="AF706">
        <v>0</v>
      </c>
      <c r="AG706">
        <v>0</v>
      </c>
      <c r="AH706" s="235">
        <v>80806.746004056418</v>
      </c>
      <c r="AI706">
        <v>226</v>
      </c>
      <c r="AJ706" t="s">
        <v>256</v>
      </c>
      <c r="AK706">
        <v>0</v>
      </c>
      <c r="AL706">
        <v>0</v>
      </c>
      <c r="AM706">
        <v>0</v>
      </c>
    </row>
    <row r="707" spans="1:39" x14ac:dyDescent="0.25">
      <c r="A707" t="s">
        <v>233</v>
      </c>
      <c r="B707" t="s">
        <v>588</v>
      </c>
      <c r="C707" t="s">
        <v>255</v>
      </c>
      <c r="D707" t="s">
        <v>234</v>
      </c>
      <c r="E707" t="s">
        <v>20</v>
      </c>
      <c r="F707" t="s">
        <v>281</v>
      </c>
      <c r="G707" t="s">
        <v>269</v>
      </c>
      <c r="H707" t="s">
        <v>254</v>
      </c>
      <c r="I707" t="s">
        <v>242</v>
      </c>
      <c r="J707" t="s">
        <v>235</v>
      </c>
      <c r="K707" s="380">
        <v>36982</v>
      </c>
      <c r="L707" s="235">
        <v>92397.701546993601</v>
      </c>
      <c r="M707" s="380">
        <v>36979</v>
      </c>
      <c r="N707" t="s">
        <v>21</v>
      </c>
      <c r="O707">
        <v>0.42</v>
      </c>
      <c r="P707">
        <v>0</v>
      </c>
      <c r="Q707">
        <v>0</v>
      </c>
      <c r="R707">
        <v>0</v>
      </c>
      <c r="S707">
        <v>0</v>
      </c>
      <c r="T707" t="s">
        <v>253</v>
      </c>
      <c r="U707" t="s">
        <v>7</v>
      </c>
      <c r="V707" t="s">
        <v>253</v>
      </c>
      <c r="W707" t="s">
        <v>132</v>
      </c>
      <c r="X707" t="s">
        <v>253</v>
      </c>
      <c r="Y707" t="s">
        <v>235</v>
      </c>
      <c r="Z707" t="s">
        <v>236</v>
      </c>
      <c r="AA707" t="s">
        <v>253</v>
      </c>
      <c r="AB707" t="s">
        <v>1</v>
      </c>
      <c r="AC707" s="235">
        <v>500000</v>
      </c>
      <c r="AD707" s="235">
        <v>12771.212169241335</v>
      </c>
      <c r="AE707">
        <v>0</v>
      </c>
      <c r="AF707">
        <v>0</v>
      </c>
      <c r="AG707">
        <v>0</v>
      </c>
      <c r="AH707" s="235">
        <v>608.81298425079149</v>
      </c>
      <c r="AI707">
        <v>226</v>
      </c>
      <c r="AJ707" t="s">
        <v>256</v>
      </c>
      <c r="AK707">
        <v>0</v>
      </c>
      <c r="AL707">
        <v>0</v>
      </c>
      <c r="AM707">
        <v>0</v>
      </c>
    </row>
    <row r="708" spans="1:39" x14ac:dyDescent="0.25">
      <c r="A708" t="s">
        <v>233</v>
      </c>
      <c r="B708" t="s">
        <v>588</v>
      </c>
      <c r="C708" t="s">
        <v>255</v>
      </c>
      <c r="D708" t="s">
        <v>234</v>
      </c>
      <c r="E708" t="s">
        <v>20</v>
      </c>
      <c r="F708" t="s">
        <v>281</v>
      </c>
      <c r="G708" t="s">
        <v>269</v>
      </c>
      <c r="H708" t="s">
        <v>254</v>
      </c>
      <c r="I708" t="s">
        <v>242</v>
      </c>
      <c r="J708" t="s">
        <v>235</v>
      </c>
      <c r="K708" s="380">
        <v>37012</v>
      </c>
      <c r="L708" s="235">
        <v>57853.329190414814</v>
      </c>
      <c r="M708" s="380">
        <v>37008</v>
      </c>
      <c r="N708" t="s">
        <v>21</v>
      </c>
      <c r="O708">
        <v>0.42</v>
      </c>
      <c r="P708">
        <v>0</v>
      </c>
      <c r="Q708">
        <v>0</v>
      </c>
      <c r="R708">
        <v>0</v>
      </c>
      <c r="S708">
        <v>0</v>
      </c>
      <c r="T708" t="s">
        <v>253</v>
      </c>
      <c r="U708" t="s">
        <v>7</v>
      </c>
      <c r="V708" t="s">
        <v>253</v>
      </c>
      <c r="W708" t="s">
        <v>132</v>
      </c>
      <c r="X708" t="s">
        <v>253</v>
      </c>
      <c r="Y708" t="s">
        <v>235</v>
      </c>
      <c r="Z708" t="s">
        <v>236</v>
      </c>
      <c r="AA708" t="s">
        <v>253</v>
      </c>
      <c r="AB708" t="s">
        <v>1</v>
      </c>
      <c r="AC708" s="235">
        <v>500000</v>
      </c>
      <c r="AD708" s="235">
        <v>12953.348912837828</v>
      </c>
      <c r="AE708">
        <v>0</v>
      </c>
      <c r="AF708">
        <v>0</v>
      </c>
      <c r="AG708">
        <v>0</v>
      </c>
      <c r="AH708" s="235">
        <v>616.89143310162035</v>
      </c>
      <c r="AI708">
        <v>226</v>
      </c>
      <c r="AJ708" t="s">
        <v>256</v>
      </c>
      <c r="AK708">
        <v>0</v>
      </c>
      <c r="AL708">
        <v>0</v>
      </c>
      <c r="AM708">
        <v>0</v>
      </c>
    </row>
    <row r="709" spans="1:39" x14ac:dyDescent="0.25">
      <c r="A709" t="s">
        <v>233</v>
      </c>
      <c r="B709" t="s">
        <v>588</v>
      </c>
      <c r="C709" t="s">
        <v>255</v>
      </c>
      <c r="D709" t="s">
        <v>234</v>
      </c>
      <c r="E709" t="s">
        <v>20</v>
      </c>
      <c r="F709" t="s">
        <v>281</v>
      </c>
      <c r="G709" t="s">
        <v>269</v>
      </c>
      <c r="H709" t="s">
        <v>254</v>
      </c>
      <c r="I709" t="s">
        <v>242</v>
      </c>
      <c r="J709" t="s">
        <v>235</v>
      </c>
      <c r="K709" s="380">
        <v>37043</v>
      </c>
      <c r="L709" s="235">
        <v>58086.061553279338</v>
      </c>
      <c r="M709" s="380">
        <v>37041</v>
      </c>
      <c r="N709" t="s">
        <v>21</v>
      </c>
      <c r="O709">
        <v>0.42</v>
      </c>
      <c r="P709">
        <v>0</v>
      </c>
      <c r="Q709">
        <v>0</v>
      </c>
      <c r="R709">
        <v>0</v>
      </c>
      <c r="S709">
        <v>0</v>
      </c>
      <c r="T709" t="s">
        <v>253</v>
      </c>
      <c r="U709" t="s">
        <v>7</v>
      </c>
      <c r="V709" t="s">
        <v>253</v>
      </c>
      <c r="W709" t="s">
        <v>132</v>
      </c>
      <c r="X709" t="s">
        <v>253</v>
      </c>
      <c r="Y709" t="s">
        <v>235</v>
      </c>
      <c r="Z709" t="s">
        <v>236</v>
      </c>
      <c r="AA709" t="s">
        <v>253</v>
      </c>
      <c r="AB709" t="s">
        <v>1</v>
      </c>
      <c r="AC709" s="235">
        <v>500000</v>
      </c>
      <c r="AD709" s="235">
        <v>13526.115762856847</v>
      </c>
      <c r="AE709">
        <v>0</v>
      </c>
      <c r="AF709">
        <v>0</v>
      </c>
      <c r="AG709">
        <v>0</v>
      </c>
      <c r="AH709" s="235">
        <v>643.58971707219462</v>
      </c>
      <c r="AI709">
        <v>226</v>
      </c>
      <c r="AJ709" t="s">
        <v>256</v>
      </c>
      <c r="AK709">
        <v>0</v>
      </c>
      <c r="AL709">
        <v>0</v>
      </c>
      <c r="AM709">
        <v>0</v>
      </c>
    </row>
    <row r="710" spans="1:39" x14ac:dyDescent="0.25">
      <c r="A710" t="s">
        <v>233</v>
      </c>
      <c r="B710" t="s">
        <v>588</v>
      </c>
      <c r="C710" t="s">
        <v>255</v>
      </c>
      <c r="D710" t="s">
        <v>234</v>
      </c>
      <c r="E710" t="s">
        <v>20</v>
      </c>
      <c r="F710" t="s">
        <v>281</v>
      </c>
      <c r="G710" t="s">
        <v>269</v>
      </c>
      <c r="H710" t="s">
        <v>254</v>
      </c>
      <c r="I710" t="s">
        <v>242</v>
      </c>
      <c r="J710" t="s">
        <v>235</v>
      </c>
      <c r="K710" s="380">
        <v>37073</v>
      </c>
      <c r="L710" s="235">
        <v>76999.325946283891</v>
      </c>
      <c r="M710" s="380">
        <v>37070</v>
      </c>
      <c r="N710" t="s">
        <v>21</v>
      </c>
      <c r="O710">
        <v>0.42</v>
      </c>
      <c r="P710">
        <v>0</v>
      </c>
      <c r="Q710">
        <v>0</v>
      </c>
      <c r="R710">
        <v>0</v>
      </c>
      <c r="S710">
        <v>0</v>
      </c>
      <c r="T710" t="s">
        <v>253</v>
      </c>
      <c r="U710" t="s">
        <v>7</v>
      </c>
      <c r="V710" t="s">
        <v>253</v>
      </c>
      <c r="W710" t="s">
        <v>132</v>
      </c>
      <c r="X710" t="s">
        <v>253</v>
      </c>
      <c r="Y710" t="s">
        <v>235</v>
      </c>
      <c r="Z710" t="s">
        <v>236</v>
      </c>
      <c r="AA710" t="s">
        <v>253</v>
      </c>
      <c r="AB710" t="s">
        <v>1</v>
      </c>
      <c r="AC710" s="235">
        <v>500000</v>
      </c>
      <c r="AD710" s="235">
        <v>14021.280238959385</v>
      </c>
      <c r="AE710">
        <v>0</v>
      </c>
      <c r="AF710">
        <v>0</v>
      </c>
      <c r="AG710">
        <v>0</v>
      </c>
      <c r="AH710" s="235">
        <v>666.69666707378929</v>
      </c>
      <c r="AI710">
        <v>226</v>
      </c>
      <c r="AJ710" t="s">
        <v>256</v>
      </c>
      <c r="AK710">
        <v>0</v>
      </c>
      <c r="AL710">
        <v>0</v>
      </c>
      <c r="AM710">
        <v>0</v>
      </c>
    </row>
    <row r="711" spans="1:39" x14ac:dyDescent="0.25">
      <c r="A711" t="s">
        <v>233</v>
      </c>
      <c r="B711" t="s">
        <v>588</v>
      </c>
      <c r="C711" t="s">
        <v>255</v>
      </c>
      <c r="D711" t="s">
        <v>234</v>
      </c>
      <c r="E711" t="s">
        <v>20</v>
      </c>
      <c r="F711" t="s">
        <v>281</v>
      </c>
      <c r="G711" t="s">
        <v>269</v>
      </c>
      <c r="H711" t="s">
        <v>254</v>
      </c>
      <c r="I711" t="s">
        <v>242</v>
      </c>
      <c r="J711" t="s">
        <v>235</v>
      </c>
      <c r="K711" s="380">
        <v>37104</v>
      </c>
      <c r="L711" s="235">
        <v>80035.622545812002</v>
      </c>
      <c r="M711" s="380">
        <v>37102</v>
      </c>
      <c r="N711" t="s">
        <v>21</v>
      </c>
      <c r="O711">
        <v>0.42</v>
      </c>
      <c r="P711">
        <v>0</v>
      </c>
      <c r="Q711">
        <v>0</v>
      </c>
      <c r="R711">
        <v>0</v>
      </c>
      <c r="S711">
        <v>0</v>
      </c>
      <c r="T711" t="s">
        <v>253</v>
      </c>
      <c r="U711" t="s">
        <v>7</v>
      </c>
      <c r="V711" t="s">
        <v>253</v>
      </c>
      <c r="W711" t="s">
        <v>132</v>
      </c>
      <c r="X711" t="s">
        <v>253</v>
      </c>
      <c r="Y711" t="s">
        <v>235</v>
      </c>
      <c r="Z711" t="s">
        <v>236</v>
      </c>
      <c r="AA711" t="s">
        <v>253</v>
      </c>
      <c r="AB711" t="s">
        <v>1</v>
      </c>
      <c r="AC711" s="235">
        <v>500000</v>
      </c>
      <c r="AD711" s="235">
        <v>14663.919171741931</v>
      </c>
      <c r="AE711">
        <v>0</v>
      </c>
      <c r="AF711">
        <v>0</v>
      </c>
      <c r="AG711">
        <v>0</v>
      </c>
      <c r="AH711" s="235">
        <v>696.97388294077246</v>
      </c>
      <c r="AI711">
        <v>226</v>
      </c>
      <c r="AJ711" t="s">
        <v>256</v>
      </c>
      <c r="AK711">
        <v>0</v>
      </c>
      <c r="AL711">
        <v>0</v>
      </c>
      <c r="AM711">
        <v>0</v>
      </c>
    </row>
    <row r="712" spans="1:39" x14ac:dyDescent="0.25">
      <c r="A712" t="s">
        <v>233</v>
      </c>
      <c r="B712" t="s">
        <v>588</v>
      </c>
      <c r="C712" t="s">
        <v>255</v>
      </c>
      <c r="D712" t="s">
        <v>234</v>
      </c>
      <c r="E712" t="s">
        <v>20</v>
      </c>
      <c r="F712" t="s">
        <v>281</v>
      </c>
      <c r="G712" t="s">
        <v>269</v>
      </c>
      <c r="H712" t="s">
        <v>254</v>
      </c>
      <c r="I712" t="s">
        <v>242</v>
      </c>
      <c r="J712" t="s">
        <v>235</v>
      </c>
      <c r="K712" s="380">
        <v>37135</v>
      </c>
      <c r="L712" s="235">
        <v>66409.469480575513</v>
      </c>
      <c r="M712" s="380">
        <v>37133</v>
      </c>
      <c r="N712" t="s">
        <v>21</v>
      </c>
      <c r="O712">
        <v>0.42</v>
      </c>
      <c r="P712">
        <v>0</v>
      </c>
      <c r="Q712">
        <v>0</v>
      </c>
      <c r="R712">
        <v>0</v>
      </c>
      <c r="S712">
        <v>0</v>
      </c>
      <c r="T712" t="s">
        <v>253</v>
      </c>
      <c r="U712" t="s">
        <v>7</v>
      </c>
      <c r="V712" t="s">
        <v>253</v>
      </c>
      <c r="W712" t="s">
        <v>132</v>
      </c>
      <c r="X712" t="s">
        <v>253</v>
      </c>
      <c r="Y712" t="s">
        <v>235</v>
      </c>
      <c r="Z712" t="s">
        <v>236</v>
      </c>
      <c r="AA712" t="s">
        <v>253</v>
      </c>
      <c r="AB712" t="s">
        <v>1</v>
      </c>
      <c r="AC712" s="235">
        <v>500000</v>
      </c>
      <c r="AD712" s="235">
        <v>15346.006446213782</v>
      </c>
      <c r="AE712">
        <v>0</v>
      </c>
      <c r="AF712">
        <v>0</v>
      </c>
      <c r="AG712">
        <v>0</v>
      </c>
      <c r="AH712" s="235">
        <v>729.28984706207848</v>
      </c>
      <c r="AI712">
        <v>226</v>
      </c>
      <c r="AJ712" t="s">
        <v>256</v>
      </c>
      <c r="AK712">
        <v>0</v>
      </c>
      <c r="AL712">
        <v>0</v>
      </c>
      <c r="AM712">
        <v>0</v>
      </c>
    </row>
    <row r="713" spans="1:39" x14ac:dyDescent="0.25">
      <c r="A713" t="s">
        <v>233</v>
      </c>
      <c r="B713" t="s">
        <v>588</v>
      </c>
      <c r="C713" t="s">
        <v>255</v>
      </c>
      <c r="D713" t="s">
        <v>234</v>
      </c>
      <c r="E713" t="s">
        <v>20</v>
      </c>
      <c r="F713" t="s">
        <v>281</v>
      </c>
      <c r="G713" t="s">
        <v>269</v>
      </c>
      <c r="H713" t="s">
        <v>254</v>
      </c>
      <c r="I713" t="s">
        <v>242</v>
      </c>
      <c r="J713" t="s">
        <v>235</v>
      </c>
      <c r="K713" s="380">
        <v>37165</v>
      </c>
      <c r="L713" s="235">
        <v>85034.083032909854</v>
      </c>
      <c r="M713" s="380">
        <v>37161</v>
      </c>
      <c r="N713" t="s">
        <v>21</v>
      </c>
      <c r="O713">
        <v>0.42</v>
      </c>
      <c r="P713">
        <v>0</v>
      </c>
      <c r="Q713">
        <v>0</v>
      </c>
      <c r="R713">
        <v>0</v>
      </c>
      <c r="S713">
        <v>0</v>
      </c>
      <c r="T713" t="s">
        <v>253</v>
      </c>
      <c r="U713" t="s">
        <v>7</v>
      </c>
      <c r="V713" t="s">
        <v>253</v>
      </c>
      <c r="W713" t="s">
        <v>132</v>
      </c>
      <c r="X713" t="s">
        <v>253</v>
      </c>
      <c r="Y713" t="s">
        <v>235</v>
      </c>
      <c r="Z713" t="s">
        <v>236</v>
      </c>
      <c r="AA713" t="s">
        <v>253</v>
      </c>
      <c r="AB713" t="s">
        <v>1</v>
      </c>
      <c r="AC713" s="235">
        <v>500000</v>
      </c>
      <c r="AD713" s="235">
        <v>15795.751927582314</v>
      </c>
      <c r="AE713">
        <v>0</v>
      </c>
      <c r="AF713">
        <v>0</v>
      </c>
      <c r="AG713">
        <v>0</v>
      </c>
      <c r="AH713" s="235">
        <v>751.17881241047871</v>
      </c>
      <c r="AI713">
        <v>226</v>
      </c>
      <c r="AJ713" t="s">
        <v>256</v>
      </c>
      <c r="AK713">
        <v>0</v>
      </c>
      <c r="AL713">
        <v>0</v>
      </c>
      <c r="AM713">
        <v>0</v>
      </c>
    </row>
    <row r="714" spans="1:39" x14ac:dyDescent="0.25">
      <c r="A714" t="s">
        <v>233</v>
      </c>
      <c r="B714" t="s">
        <v>589</v>
      </c>
      <c r="C714" t="s">
        <v>255</v>
      </c>
      <c r="D714" t="s">
        <v>234</v>
      </c>
      <c r="E714" t="s">
        <v>20</v>
      </c>
      <c r="F714" t="s">
        <v>281</v>
      </c>
      <c r="G714" t="s">
        <v>269</v>
      </c>
      <c r="H714" t="s">
        <v>254</v>
      </c>
      <c r="I714" t="s">
        <v>242</v>
      </c>
      <c r="J714" t="s">
        <v>235</v>
      </c>
      <c r="K714" s="380">
        <v>36982</v>
      </c>
      <c r="L714" s="235">
        <v>44371.399707584605</v>
      </c>
      <c r="M714" s="380">
        <v>36979</v>
      </c>
      <c r="N714" t="s">
        <v>1</v>
      </c>
      <c r="O714">
        <v>0.42</v>
      </c>
      <c r="P714">
        <v>0</v>
      </c>
      <c r="Q714">
        <v>0</v>
      </c>
      <c r="R714">
        <v>0</v>
      </c>
      <c r="S714">
        <v>0</v>
      </c>
      <c r="T714" t="s">
        <v>253</v>
      </c>
      <c r="U714" t="s">
        <v>7</v>
      </c>
      <c r="V714" t="s">
        <v>253</v>
      </c>
      <c r="W714" t="s">
        <v>132</v>
      </c>
      <c r="X714" t="s">
        <v>253</v>
      </c>
      <c r="Y714" t="s">
        <v>235</v>
      </c>
      <c r="Z714" t="s">
        <v>236</v>
      </c>
      <c r="AA714" t="s">
        <v>253</v>
      </c>
      <c r="AB714" t="s">
        <v>1</v>
      </c>
      <c r="AC714" s="235">
        <v>500000</v>
      </c>
      <c r="AD714" s="235">
        <v>12771.212169241335</v>
      </c>
      <c r="AE714">
        <v>0</v>
      </c>
      <c r="AF714">
        <v>0</v>
      </c>
      <c r="AG714">
        <v>0</v>
      </c>
      <c r="AH714" s="235">
        <v>608.81298425074783</v>
      </c>
      <c r="AI714">
        <v>226</v>
      </c>
      <c r="AJ714" t="s">
        <v>256</v>
      </c>
      <c r="AK714">
        <v>0</v>
      </c>
      <c r="AL714">
        <v>0</v>
      </c>
      <c r="AM714">
        <v>0</v>
      </c>
    </row>
    <row r="715" spans="1:39" x14ac:dyDescent="0.25">
      <c r="A715" t="s">
        <v>233</v>
      </c>
      <c r="B715" t="s">
        <v>589</v>
      </c>
      <c r="C715" t="s">
        <v>255</v>
      </c>
      <c r="D715" t="s">
        <v>234</v>
      </c>
      <c r="E715" t="s">
        <v>20</v>
      </c>
      <c r="F715" t="s">
        <v>281</v>
      </c>
      <c r="G715" t="s">
        <v>269</v>
      </c>
      <c r="H715" t="s">
        <v>254</v>
      </c>
      <c r="I715" t="s">
        <v>242</v>
      </c>
      <c r="J715" t="s">
        <v>235</v>
      </c>
      <c r="K715" s="380">
        <v>37012</v>
      </c>
      <c r="L715" s="235">
        <v>65017.693740973911</v>
      </c>
      <c r="M715" s="380">
        <v>37008</v>
      </c>
      <c r="N715" t="s">
        <v>1</v>
      </c>
      <c r="O715">
        <v>0.42</v>
      </c>
      <c r="P715">
        <v>0</v>
      </c>
      <c r="Q715">
        <v>0</v>
      </c>
      <c r="R715">
        <v>0</v>
      </c>
      <c r="S715">
        <v>0</v>
      </c>
      <c r="T715" t="s">
        <v>253</v>
      </c>
      <c r="U715" t="s">
        <v>7</v>
      </c>
      <c r="V715" t="s">
        <v>253</v>
      </c>
      <c r="W715" t="s">
        <v>132</v>
      </c>
      <c r="X715" t="s">
        <v>253</v>
      </c>
      <c r="Y715" t="s">
        <v>235</v>
      </c>
      <c r="Z715" t="s">
        <v>236</v>
      </c>
      <c r="AA715" t="s">
        <v>253</v>
      </c>
      <c r="AB715" t="s">
        <v>1</v>
      </c>
      <c r="AC715" s="235">
        <v>500000</v>
      </c>
      <c r="AD715" s="235">
        <v>12953.348912837799</v>
      </c>
      <c r="AE715">
        <v>0</v>
      </c>
      <c r="AF715">
        <v>0</v>
      </c>
      <c r="AG715">
        <v>0</v>
      </c>
      <c r="AH715" s="235">
        <v>616.89143310150394</v>
      </c>
      <c r="AI715">
        <v>226</v>
      </c>
      <c r="AJ715" t="s">
        <v>256</v>
      </c>
      <c r="AK715">
        <v>0</v>
      </c>
      <c r="AL715">
        <v>0</v>
      </c>
      <c r="AM715">
        <v>0</v>
      </c>
    </row>
    <row r="716" spans="1:39" x14ac:dyDescent="0.25">
      <c r="A716" t="s">
        <v>233</v>
      </c>
      <c r="B716" t="s">
        <v>589</v>
      </c>
      <c r="C716" t="s">
        <v>255</v>
      </c>
      <c r="D716" t="s">
        <v>234</v>
      </c>
      <c r="E716" t="s">
        <v>20</v>
      </c>
      <c r="F716" t="s">
        <v>281</v>
      </c>
      <c r="G716" t="s">
        <v>269</v>
      </c>
      <c r="H716" t="s">
        <v>254</v>
      </c>
      <c r="I716" t="s">
        <v>242</v>
      </c>
      <c r="J716" t="s">
        <v>235</v>
      </c>
      <c r="K716" s="380">
        <v>37043</v>
      </c>
      <c r="L716" s="235">
        <v>69951.989497125003</v>
      </c>
      <c r="M716" s="380">
        <v>37041</v>
      </c>
      <c r="N716" t="s">
        <v>1</v>
      </c>
      <c r="O716">
        <v>0.42</v>
      </c>
      <c r="P716">
        <v>0</v>
      </c>
      <c r="Q716">
        <v>0</v>
      </c>
      <c r="R716">
        <v>0</v>
      </c>
      <c r="S716">
        <v>0</v>
      </c>
      <c r="T716" t="s">
        <v>253</v>
      </c>
      <c r="U716" t="s">
        <v>7</v>
      </c>
      <c r="V716" t="s">
        <v>253</v>
      </c>
      <c r="W716" t="s">
        <v>132</v>
      </c>
      <c r="X716" t="s">
        <v>253</v>
      </c>
      <c r="Y716" t="s">
        <v>235</v>
      </c>
      <c r="Z716" t="s">
        <v>236</v>
      </c>
      <c r="AA716" t="s">
        <v>253</v>
      </c>
      <c r="AB716" t="s">
        <v>1</v>
      </c>
      <c r="AC716" s="235">
        <v>500000</v>
      </c>
      <c r="AD716" s="235">
        <v>13526.115762856876</v>
      </c>
      <c r="AE716">
        <v>0</v>
      </c>
      <c r="AF716">
        <v>0</v>
      </c>
      <c r="AG716">
        <v>0</v>
      </c>
      <c r="AH716" s="235">
        <v>643.589717072231</v>
      </c>
      <c r="AI716">
        <v>226</v>
      </c>
      <c r="AJ716" t="s">
        <v>256</v>
      </c>
      <c r="AK716">
        <v>0</v>
      </c>
      <c r="AL716">
        <v>0</v>
      </c>
      <c r="AM716">
        <v>0</v>
      </c>
    </row>
    <row r="717" spans="1:39" x14ac:dyDescent="0.25">
      <c r="A717" t="s">
        <v>233</v>
      </c>
      <c r="B717" t="s">
        <v>589</v>
      </c>
      <c r="C717" t="s">
        <v>255</v>
      </c>
      <c r="D717" t="s">
        <v>234</v>
      </c>
      <c r="E717" t="s">
        <v>20</v>
      </c>
      <c r="F717" t="s">
        <v>281</v>
      </c>
      <c r="G717" t="s">
        <v>269</v>
      </c>
      <c r="H717" t="s">
        <v>254</v>
      </c>
      <c r="I717" t="s">
        <v>242</v>
      </c>
      <c r="J717" t="s">
        <v>235</v>
      </c>
      <c r="K717" s="380">
        <v>37073</v>
      </c>
      <c r="L717" s="235">
        <v>58118.403980269126</v>
      </c>
      <c r="M717" s="380">
        <v>37070</v>
      </c>
      <c r="N717" t="s">
        <v>1</v>
      </c>
      <c r="O717">
        <v>0.42</v>
      </c>
      <c r="P717">
        <v>0</v>
      </c>
      <c r="Q717">
        <v>0</v>
      </c>
      <c r="R717">
        <v>0</v>
      </c>
      <c r="S717">
        <v>0</v>
      </c>
      <c r="T717" t="s">
        <v>253</v>
      </c>
      <c r="U717" t="s">
        <v>7</v>
      </c>
      <c r="V717" t="s">
        <v>253</v>
      </c>
      <c r="W717" t="s">
        <v>132</v>
      </c>
      <c r="X717" t="s">
        <v>253</v>
      </c>
      <c r="Y717" t="s">
        <v>235</v>
      </c>
      <c r="Z717" t="s">
        <v>236</v>
      </c>
      <c r="AA717" t="s">
        <v>253</v>
      </c>
      <c r="AB717" t="s">
        <v>1</v>
      </c>
      <c r="AC717" s="235">
        <v>500000</v>
      </c>
      <c r="AD717" s="235">
        <v>14021.280238959385</v>
      </c>
      <c r="AE717">
        <v>0</v>
      </c>
      <c r="AF717">
        <v>0</v>
      </c>
      <c r="AG717">
        <v>0</v>
      </c>
      <c r="AH717" s="235">
        <v>666.69666707408032</v>
      </c>
      <c r="AI717">
        <v>226</v>
      </c>
      <c r="AJ717" t="s">
        <v>256</v>
      </c>
      <c r="AK717">
        <v>0</v>
      </c>
      <c r="AL717">
        <v>0</v>
      </c>
      <c r="AM717">
        <v>0</v>
      </c>
    </row>
    <row r="718" spans="1:39" x14ac:dyDescent="0.25">
      <c r="A718" t="s">
        <v>233</v>
      </c>
      <c r="B718" t="s">
        <v>589</v>
      </c>
      <c r="C718" t="s">
        <v>255</v>
      </c>
      <c r="D718" t="s">
        <v>234</v>
      </c>
      <c r="E718" t="s">
        <v>20</v>
      </c>
      <c r="F718" t="s">
        <v>281</v>
      </c>
      <c r="G718" t="s">
        <v>269</v>
      </c>
      <c r="H718" t="s">
        <v>254</v>
      </c>
      <c r="I718" t="s">
        <v>242</v>
      </c>
      <c r="J718" t="s">
        <v>235</v>
      </c>
      <c r="K718" s="380">
        <v>37104</v>
      </c>
      <c r="L718" s="235">
        <v>61269.50954638316</v>
      </c>
      <c r="M718" s="380">
        <v>37102</v>
      </c>
      <c r="N718" t="s">
        <v>1</v>
      </c>
      <c r="O718">
        <v>0.42</v>
      </c>
      <c r="P718">
        <v>0</v>
      </c>
      <c r="Q718">
        <v>0</v>
      </c>
      <c r="R718">
        <v>0</v>
      </c>
      <c r="S718">
        <v>0</v>
      </c>
      <c r="T718" t="s">
        <v>253</v>
      </c>
      <c r="U718" t="s">
        <v>7</v>
      </c>
      <c r="V718" t="s">
        <v>253</v>
      </c>
      <c r="W718" t="s">
        <v>132</v>
      </c>
      <c r="X718" t="s">
        <v>253</v>
      </c>
      <c r="Y718" t="s">
        <v>235</v>
      </c>
      <c r="Z718" t="s">
        <v>236</v>
      </c>
      <c r="AA718" t="s">
        <v>253</v>
      </c>
      <c r="AB718" t="s">
        <v>1</v>
      </c>
      <c r="AC718" s="235">
        <v>500000</v>
      </c>
      <c r="AD718" s="235">
        <v>14663.919171741902</v>
      </c>
      <c r="AE718">
        <v>0</v>
      </c>
      <c r="AF718">
        <v>0</v>
      </c>
      <c r="AG718">
        <v>0</v>
      </c>
      <c r="AH718" s="235">
        <v>696.97388294098346</v>
      </c>
      <c r="AI718">
        <v>226</v>
      </c>
      <c r="AJ718" t="s">
        <v>256</v>
      </c>
      <c r="AK718">
        <v>0</v>
      </c>
      <c r="AL718">
        <v>0</v>
      </c>
      <c r="AM718">
        <v>0</v>
      </c>
    </row>
    <row r="719" spans="1:39" x14ac:dyDescent="0.25">
      <c r="A719" t="s">
        <v>233</v>
      </c>
      <c r="B719" t="s">
        <v>589</v>
      </c>
      <c r="C719" t="s">
        <v>255</v>
      </c>
      <c r="D719" t="s">
        <v>234</v>
      </c>
      <c r="E719" t="s">
        <v>20</v>
      </c>
      <c r="F719" t="s">
        <v>281</v>
      </c>
      <c r="G719" t="s">
        <v>269</v>
      </c>
      <c r="H719" t="s">
        <v>254</v>
      </c>
      <c r="I719" t="s">
        <v>242</v>
      </c>
      <c r="J719" t="s">
        <v>235</v>
      </c>
      <c r="K719" s="380">
        <v>37135</v>
      </c>
      <c r="L719" s="235">
        <v>78069.096951539206</v>
      </c>
      <c r="M719" s="380">
        <v>37133</v>
      </c>
      <c r="N719" t="s">
        <v>1</v>
      </c>
      <c r="O719">
        <v>0.42</v>
      </c>
      <c r="P719">
        <v>0</v>
      </c>
      <c r="Q719">
        <v>0</v>
      </c>
      <c r="R719">
        <v>0</v>
      </c>
      <c r="S719">
        <v>0</v>
      </c>
      <c r="T719" t="s">
        <v>253</v>
      </c>
      <c r="U719" t="s">
        <v>7</v>
      </c>
      <c r="V719" t="s">
        <v>253</v>
      </c>
      <c r="W719" t="s">
        <v>132</v>
      </c>
      <c r="X719" t="s">
        <v>253</v>
      </c>
      <c r="Y719" t="s">
        <v>235</v>
      </c>
      <c r="Z719" t="s">
        <v>236</v>
      </c>
      <c r="AA719" t="s">
        <v>253</v>
      </c>
      <c r="AB719" t="s">
        <v>1</v>
      </c>
      <c r="AC719" s="235">
        <v>500000</v>
      </c>
      <c r="AD719" s="235">
        <v>15346.006446213782</v>
      </c>
      <c r="AE719">
        <v>0</v>
      </c>
      <c r="AF719">
        <v>0</v>
      </c>
      <c r="AG719">
        <v>0</v>
      </c>
      <c r="AH719" s="235">
        <v>729.28984706210031</v>
      </c>
      <c r="AI719">
        <v>226</v>
      </c>
      <c r="AJ719" t="s">
        <v>256</v>
      </c>
      <c r="AK719">
        <v>0</v>
      </c>
      <c r="AL719">
        <v>0</v>
      </c>
      <c r="AM719">
        <v>0</v>
      </c>
    </row>
    <row r="720" spans="1:39" x14ac:dyDescent="0.25">
      <c r="A720" t="s">
        <v>233</v>
      </c>
      <c r="B720" t="s">
        <v>589</v>
      </c>
      <c r="C720" t="s">
        <v>255</v>
      </c>
      <c r="D720" t="s">
        <v>234</v>
      </c>
      <c r="E720" t="s">
        <v>20</v>
      </c>
      <c r="F720" t="s">
        <v>281</v>
      </c>
      <c r="G720" t="s">
        <v>269</v>
      </c>
      <c r="H720" t="s">
        <v>254</v>
      </c>
      <c r="I720" t="s">
        <v>242</v>
      </c>
      <c r="J720" t="s">
        <v>235</v>
      </c>
      <c r="K720" s="380">
        <v>37165</v>
      </c>
      <c r="L720" s="235">
        <v>66014.306534978867</v>
      </c>
      <c r="M720" s="380">
        <v>37161</v>
      </c>
      <c r="N720" t="s">
        <v>1</v>
      </c>
      <c r="O720">
        <v>0.42</v>
      </c>
      <c r="P720">
        <v>0</v>
      </c>
      <c r="Q720">
        <v>0</v>
      </c>
      <c r="R720">
        <v>0</v>
      </c>
      <c r="S720">
        <v>0</v>
      </c>
      <c r="T720" t="s">
        <v>253</v>
      </c>
      <c r="U720" t="s">
        <v>7</v>
      </c>
      <c r="V720" t="s">
        <v>253</v>
      </c>
      <c r="W720" t="s">
        <v>132</v>
      </c>
      <c r="X720" t="s">
        <v>253</v>
      </c>
      <c r="Y720" t="s">
        <v>235</v>
      </c>
      <c r="Z720" t="s">
        <v>236</v>
      </c>
      <c r="AA720" t="s">
        <v>253</v>
      </c>
      <c r="AB720" t="s">
        <v>1</v>
      </c>
      <c r="AC720" s="235">
        <v>500000</v>
      </c>
      <c r="AD720" s="235">
        <v>15795.751927582314</v>
      </c>
      <c r="AE720">
        <v>0</v>
      </c>
      <c r="AF720">
        <v>0</v>
      </c>
      <c r="AG720">
        <v>0</v>
      </c>
      <c r="AH720" s="235">
        <v>751.17881241059513</v>
      </c>
      <c r="AI720">
        <v>226</v>
      </c>
      <c r="AJ720" t="s">
        <v>256</v>
      </c>
      <c r="AK720">
        <v>0</v>
      </c>
      <c r="AL720">
        <v>0</v>
      </c>
      <c r="AM720">
        <v>0</v>
      </c>
    </row>
    <row r="721" spans="1:39" x14ac:dyDescent="0.25">
      <c r="A721" t="s">
        <v>233</v>
      </c>
      <c r="B721" t="s">
        <v>590</v>
      </c>
      <c r="C721" t="s">
        <v>255</v>
      </c>
      <c r="D721" t="s">
        <v>234</v>
      </c>
      <c r="E721" t="s">
        <v>20</v>
      </c>
      <c r="F721" t="s">
        <v>320</v>
      </c>
      <c r="G721" t="s">
        <v>269</v>
      </c>
      <c r="H721" t="s">
        <v>254</v>
      </c>
      <c r="I721" t="s">
        <v>242</v>
      </c>
      <c r="J721" t="s">
        <v>235</v>
      </c>
      <c r="K721" s="380">
        <v>36800</v>
      </c>
      <c r="L721" s="235">
        <v>765568.6577958978</v>
      </c>
      <c r="M721" s="380">
        <v>36797</v>
      </c>
      <c r="N721" t="s">
        <v>21</v>
      </c>
      <c r="O721">
        <v>0.75</v>
      </c>
      <c r="P721">
        <v>0</v>
      </c>
      <c r="Q721">
        <v>0</v>
      </c>
      <c r="R721">
        <v>0</v>
      </c>
      <c r="S721">
        <v>0</v>
      </c>
      <c r="T721" t="s">
        <v>253</v>
      </c>
      <c r="U721" t="s">
        <v>190</v>
      </c>
      <c r="V721" t="s">
        <v>253</v>
      </c>
      <c r="W721" t="s">
        <v>132</v>
      </c>
      <c r="X721" t="s">
        <v>253</v>
      </c>
      <c r="Y721" t="s">
        <v>235</v>
      </c>
      <c r="Z721" t="s">
        <v>236</v>
      </c>
      <c r="AA721" t="s">
        <v>253</v>
      </c>
      <c r="AB721" t="s">
        <v>1</v>
      </c>
      <c r="AC721" s="235">
        <v>620000</v>
      </c>
      <c r="AD721" s="235">
        <v>1611.1239178632386</v>
      </c>
      <c r="AE721">
        <v>0</v>
      </c>
      <c r="AF721">
        <v>0</v>
      </c>
      <c r="AG721">
        <v>0</v>
      </c>
      <c r="AH721" s="235">
        <v>-24321.375830787933</v>
      </c>
      <c r="AI721">
        <v>226</v>
      </c>
      <c r="AJ721" t="s">
        <v>256</v>
      </c>
      <c r="AK721">
        <v>0</v>
      </c>
      <c r="AL721">
        <v>0</v>
      </c>
      <c r="AM721">
        <v>0</v>
      </c>
    </row>
    <row r="722" spans="1:39" x14ac:dyDescent="0.25">
      <c r="A722" t="s">
        <v>233</v>
      </c>
      <c r="B722" t="s">
        <v>591</v>
      </c>
      <c r="C722" t="s">
        <v>255</v>
      </c>
      <c r="D722" t="s">
        <v>234</v>
      </c>
      <c r="E722" t="s">
        <v>20</v>
      </c>
      <c r="F722" t="s">
        <v>320</v>
      </c>
      <c r="G722" t="s">
        <v>269</v>
      </c>
      <c r="H722" t="s">
        <v>254</v>
      </c>
      <c r="I722" t="s">
        <v>242</v>
      </c>
      <c r="J722" t="s">
        <v>235</v>
      </c>
      <c r="K722" s="380">
        <v>36800</v>
      </c>
      <c r="L722" s="235">
        <v>-134.89229781100232</v>
      </c>
      <c r="M722" s="380">
        <v>36797</v>
      </c>
      <c r="N722" t="s">
        <v>1</v>
      </c>
      <c r="O722">
        <v>0.4</v>
      </c>
      <c r="P722">
        <v>0</v>
      </c>
      <c r="Q722">
        <v>0</v>
      </c>
      <c r="R722">
        <v>0</v>
      </c>
      <c r="S722">
        <v>0</v>
      </c>
      <c r="T722" t="s">
        <v>253</v>
      </c>
      <c r="U722" t="s">
        <v>190</v>
      </c>
      <c r="V722" t="s">
        <v>253</v>
      </c>
      <c r="W722" t="s">
        <v>132</v>
      </c>
      <c r="X722" t="s">
        <v>253</v>
      </c>
      <c r="Y722" t="s">
        <v>235</v>
      </c>
      <c r="Z722" t="s">
        <v>236</v>
      </c>
      <c r="AA722" t="s">
        <v>253</v>
      </c>
      <c r="AB722" t="s">
        <v>1</v>
      </c>
      <c r="AC722" s="235">
        <v>-620000</v>
      </c>
      <c r="AD722" s="235">
        <v>-276.64732702582285</v>
      </c>
      <c r="AE722">
        <v>0</v>
      </c>
      <c r="AF722">
        <v>0</v>
      </c>
      <c r="AG722">
        <v>0</v>
      </c>
      <c r="AH722" s="235">
        <v>-47.742357192461768</v>
      </c>
      <c r="AI722">
        <v>226</v>
      </c>
      <c r="AJ722" t="s">
        <v>256</v>
      </c>
      <c r="AK722">
        <v>0</v>
      </c>
      <c r="AL722">
        <v>0</v>
      </c>
      <c r="AM722">
        <v>0</v>
      </c>
    </row>
    <row r="723" spans="1:39" x14ac:dyDescent="0.25">
      <c r="A723" t="s">
        <v>233</v>
      </c>
      <c r="B723" t="s">
        <v>592</v>
      </c>
      <c r="C723" t="s">
        <v>255</v>
      </c>
      <c r="D723" t="s">
        <v>234</v>
      </c>
      <c r="E723" t="s">
        <v>20</v>
      </c>
      <c r="F723" t="s">
        <v>383</v>
      </c>
      <c r="G723" t="s">
        <v>269</v>
      </c>
      <c r="H723" t="s">
        <v>254</v>
      </c>
      <c r="I723" t="s">
        <v>242</v>
      </c>
      <c r="J723" t="s">
        <v>235</v>
      </c>
      <c r="K723" s="380">
        <v>36800</v>
      </c>
      <c r="L723" s="235">
        <v>765568.6577958978</v>
      </c>
      <c r="M723" s="380">
        <v>36797</v>
      </c>
      <c r="N723" t="s">
        <v>21</v>
      </c>
      <c r="O723">
        <v>0.75</v>
      </c>
      <c r="P723">
        <v>0</v>
      </c>
      <c r="Q723">
        <v>0</v>
      </c>
      <c r="R723">
        <v>0</v>
      </c>
      <c r="S723">
        <v>0</v>
      </c>
      <c r="T723" t="s">
        <v>253</v>
      </c>
      <c r="U723" t="s">
        <v>190</v>
      </c>
      <c r="V723" t="s">
        <v>253</v>
      </c>
      <c r="W723" t="s">
        <v>132</v>
      </c>
      <c r="X723" t="s">
        <v>253</v>
      </c>
      <c r="Y723" t="s">
        <v>235</v>
      </c>
      <c r="Z723" t="s">
        <v>236</v>
      </c>
      <c r="AA723" t="s">
        <v>253</v>
      </c>
      <c r="AB723" t="s">
        <v>1</v>
      </c>
      <c r="AC723" s="235">
        <v>620000</v>
      </c>
      <c r="AD723" s="235">
        <v>1611.1239178632386</v>
      </c>
      <c r="AE723">
        <v>0</v>
      </c>
      <c r="AF723">
        <v>0</v>
      </c>
      <c r="AG723">
        <v>0</v>
      </c>
      <c r="AH723" s="235">
        <v>-24321.375830787933</v>
      </c>
      <c r="AI723">
        <v>226</v>
      </c>
      <c r="AJ723" t="s">
        <v>256</v>
      </c>
      <c r="AK723">
        <v>0</v>
      </c>
      <c r="AL723">
        <v>0</v>
      </c>
      <c r="AM723">
        <v>0</v>
      </c>
    </row>
    <row r="724" spans="1:39" x14ac:dyDescent="0.25">
      <c r="A724" t="s">
        <v>233</v>
      </c>
      <c r="B724" t="s">
        <v>593</v>
      </c>
      <c r="C724" t="s">
        <v>255</v>
      </c>
      <c r="D724" t="s">
        <v>234</v>
      </c>
      <c r="E724" t="s">
        <v>20</v>
      </c>
      <c r="F724" t="s">
        <v>383</v>
      </c>
      <c r="G724" t="s">
        <v>269</v>
      </c>
      <c r="H724" t="s">
        <v>254</v>
      </c>
      <c r="I724" t="s">
        <v>242</v>
      </c>
      <c r="J724" t="s">
        <v>235</v>
      </c>
      <c r="K724" s="380">
        <v>36800</v>
      </c>
      <c r="L724" s="235">
        <v>-134.89229781100232</v>
      </c>
      <c r="M724" s="380">
        <v>36797</v>
      </c>
      <c r="N724" t="s">
        <v>1</v>
      </c>
      <c r="O724">
        <v>0.4</v>
      </c>
      <c r="P724">
        <v>0</v>
      </c>
      <c r="Q724">
        <v>0</v>
      </c>
      <c r="R724">
        <v>0</v>
      </c>
      <c r="S724">
        <v>0</v>
      </c>
      <c r="T724" t="s">
        <v>253</v>
      </c>
      <c r="U724" t="s">
        <v>190</v>
      </c>
      <c r="V724" t="s">
        <v>253</v>
      </c>
      <c r="W724" t="s">
        <v>132</v>
      </c>
      <c r="X724" t="s">
        <v>253</v>
      </c>
      <c r="Y724" t="s">
        <v>235</v>
      </c>
      <c r="Z724" t="s">
        <v>236</v>
      </c>
      <c r="AA724" t="s">
        <v>253</v>
      </c>
      <c r="AB724" t="s">
        <v>1</v>
      </c>
      <c r="AC724" s="235">
        <v>-620000</v>
      </c>
      <c r="AD724" s="235">
        <v>-276.64732702582285</v>
      </c>
      <c r="AE724">
        <v>0</v>
      </c>
      <c r="AF724">
        <v>0</v>
      </c>
      <c r="AG724">
        <v>0</v>
      </c>
      <c r="AH724" s="235">
        <v>-47.742357192461768</v>
      </c>
      <c r="AI724">
        <v>226</v>
      </c>
      <c r="AJ724" t="s">
        <v>256</v>
      </c>
      <c r="AK724">
        <v>0</v>
      </c>
      <c r="AL724">
        <v>0</v>
      </c>
      <c r="AM724">
        <v>0</v>
      </c>
    </row>
    <row r="725" spans="1:39" x14ac:dyDescent="0.25">
      <c r="A725" t="s">
        <v>233</v>
      </c>
      <c r="B725" t="s">
        <v>594</v>
      </c>
      <c r="C725" t="s">
        <v>255</v>
      </c>
      <c r="D725" t="s">
        <v>234</v>
      </c>
      <c r="E725" t="s">
        <v>20</v>
      </c>
      <c r="F725" t="s">
        <v>383</v>
      </c>
      <c r="G725" t="s">
        <v>269</v>
      </c>
      <c r="H725" t="s">
        <v>254</v>
      </c>
      <c r="I725" t="s">
        <v>242</v>
      </c>
      <c r="J725" t="s">
        <v>235</v>
      </c>
      <c r="K725" s="380">
        <v>36831</v>
      </c>
      <c r="L725" s="235">
        <v>76559.282119119787</v>
      </c>
      <c r="M725" s="380">
        <v>36829</v>
      </c>
      <c r="N725" t="s">
        <v>21</v>
      </c>
      <c r="O725">
        <v>-0.375</v>
      </c>
      <c r="P725">
        <v>0</v>
      </c>
      <c r="Q725">
        <v>0</v>
      </c>
      <c r="R725">
        <v>0</v>
      </c>
      <c r="S725">
        <v>0</v>
      </c>
      <c r="T725" t="s">
        <v>253</v>
      </c>
      <c r="U725" t="s">
        <v>9</v>
      </c>
      <c r="V725" t="s">
        <v>253</v>
      </c>
      <c r="W725" t="s">
        <v>132</v>
      </c>
      <c r="X725" t="s">
        <v>253</v>
      </c>
      <c r="Y725" t="s">
        <v>235</v>
      </c>
      <c r="Z725" t="s">
        <v>236</v>
      </c>
      <c r="AA725" t="s">
        <v>253</v>
      </c>
      <c r="AB725" t="s">
        <v>1</v>
      </c>
      <c r="AC725" s="235">
        <v>600000</v>
      </c>
      <c r="AD725" s="235">
        <v>20575.439282191131</v>
      </c>
      <c r="AE725">
        <v>0</v>
      </c>
      <c r="AF725">
        <v>0</v>
      </c>
      <c r="AG725">
        <v>0</v>
      </c>
      <c r="AH725" s="235">
        <v>-9574.7209555684094</v>
      </c>
      <c r="AI725">
        <v>226</v>
      </c>
      <c r="AJ725" t="s">
        <v>256</v>
      </c>
      <c r="AK725">
        <v>0</v>
      </c>
      <c r="AL725">
        <v>0</v>
      </c>
      <c r="AM725">
        <v>0</v>
      </c>
    </row>
    <row r="726" spans="1:39" x14ac:dyDescent="0.25">
      <c r="A726" t="s">
        <v>233</v>
      </c>
      <c r="B726" t="s">
        <v>594</v>
      </c>
      <c r="C726" t="s">
        <v>255</v>
      </c>
      <c r="D726" t="s">
        <v>234</v>
      </c>
      <c r="E726" t="s">
        <v>20</v>
      </c>
      <c r="F726" t="s">
        <v>383</v>
      </c>
      <c r="G726" t="s">
        <v>269</v>
      </c>
      <c r="H726" t="s">
        <v>254</v>
      </c>
      <c r="I726" t="s">
        <v>242</v>
      </c>
      <c r="J726" t="s">
        <v>235</v>
      </c>
      <c r="K726" s="380">
        <v>36861</v>
      </c>
      <c r="L726" s="235">
        <v>136457.48143999313</v>
      </c>
      <c r="M726" s="380">
        <v>36859</v>
      </c>
      <c r="N726" t="s">
        <v>21</v>
      </c>
      <c r="O726">
        <v>-0.375</v>
      </c>
      <c r="P726">
        <v>0</v>
      </c>
      <c r="Q726">
        <v>0</v>
      </c>
      <c r="R726">
        <v>0</v>
      </c>
      <c r="S726">
        <v>0</v>
      </c>
      <c r="T726" t="s">
        <v>253</v>
      </c>
      <c r="U726" t="s">
        <v>9</v>
      </c>
      <c r="V726" t="s">
        <v>253</v>
      </c>
      <c r="W726" t="s">
        <v>132</v>
      </c>
      <c r="X726" t="s">
        <v>253</v>
      </c>
      <c r="Y726" t="s">
        <v>235</v>
      </c>
      <c r="Z726" t="s">
        <v>236</v>
      </c>
      <c r="AA726" t="s">
        <v>253</v>
      </c>
      <c r="AB726" t="s">
        <v>1</v>
      </c>
      <c r="AC726" s="235">
        <v>620000</v>
      </c>
      <c r="AD726" s="235">
        <v>26550.627840216854</v>
      </c>
      <c r="AE726">
        <v>0</v>
      </c>
      <c r="AF726">
        <v>0</v>
      </c>
      <c r="AG726">
        <v>0</v>
      </c>
      <c r="AH726" s="235">
        <v>-12031.799118205468</v>
      </c>
      <c r="AI726">
        <v>226</v>
      </c>
      <c r="AJ726" t="s">
        <v>256</v>
      </c>
      <c r="AK726">
        <v>0</v>
      </c>
      <c r="AL726">
        <v>0</v>
      </c>
      <c r="AM726">
        <v>0</v>
      </c>
    </row>
    <row r="727" spans="1:39" x14ac:dyDescent="0.25">
      <c r="A727" t="s">
        <v>233</v>
      </c>
      <c r="B727" t="s">
        <v>594</v>
      </c>
      <c r="C727" t="s">
        <v>255</v>
      </c>
      <c r="D727" t="s">
        <v>234</v>
      </c>
      <c r="E727" t="s">
        <v>20</v>
      </c>
      <c r="F727" t="s">
        <v>383</v>
      </c>
      <c r="G727" t="s">
        <v>269</v>
      </c>
      <c r="H727" t="s">
        <v>254</v>
      </c>
      <c r="I727" t="s">
        <v>242</v>
      </c>
      <c r="J727" t="s">
        <v>235</v>
      </c>
      <c r="K727" s="380">
        <v>36892</v>
      </c>
      <c r="L727" s="235">
        <v>150957.54360134</v>
      </c>
      <c r="M727" s="380">
        <v>36888</v>
      </c>
      <c r="N727" t="s">
        <v>21</v>
      </c>
      <c r="O727">
        <v>-0.375</v>
      </c>
      <c r="P727">
        <v>0</v>
      </c>
      <c r="Q727">
        <v>0</v>
      </c>
      <c r="R727">
        <v>0</v>
      </c>
      <c r="S727">
        <v>0</v>
      </c>
      <c r="T727" t="s">
        <v>253</v>
      </c>
      <c r="U727" t="s">
        <v>9</v>
      </c>
      <c r="V727" t="s">
        <v>253</v>
      </c>
      <c r="W727" t="s">
        <v>132</v>
      </c>
      <c r="X727" t="s">
        <v>253</v>
      </c>
      <c r="Y727" t="s">
        <v>235</v>
      </c>
      <c r="Z727" t="s">
        <v>236</v>
      </c>
      <c r="AA727" t="s">
        <v>253</v>
      </c>
      <c r="AB727" t="s">
        <v>1</v>
      </c>
      <c r="AC727" s="235">
        <v>620000</v>
      </c>
      <c r="AD727" s="235">
        <v>30483.990860292979</v>
      </c>
      <c r="AE727">
        <v>0</v>
      </c>
      <c r="AF727">
        <v>0</v>
      </c>
      <c r="AG727">
        <v>0</v>
      </c>
      <c r="AH727" s="235">
        <v>-11666.511231513781</v>
      </c>
      <c r="AI727">
        <v>226</v>
      </c>
      <c r="AJ727" t="s">
        <v>256</v>
      </c>
      <c r="AK727">
        <v>0</v>
      </c>
      <c r="AL727">
        <v>0</v>
      </c>
      <c r="AM727">
        <v>0</v>
      </c>
    </row>
    <row r="728" spans="1:39" x14ac:dyDescent="0.25">
      <c r="A728" t="s">
        <v>233</v>
      </c>
      <c r="B728" t="s">
        <v>594</v>
      </c>
      <c r="C728" t="s">
        <v>255</v>
      </c>
      <c r="D728" t="s">
        <v>234</v>
      </c>
      <c r="E728" t="s">
        <v>20</v>
      </c>
      <c r="F728" t="s">
        <v>383</v>
      </c>
      <c r="G728" t="s">
        <v>269</v>
      </c>
      <c r="H728" t="s">
        <v>254</v>
      </c>
      <c r="I728" t="s">
        <v>242</v>
      </c>
      <c r="J728" t="s">
        <v>235</v>
      </c>
      <c r="K728" s="380">
        <v>36923</v>
      </c>
      <c r="L728" s="235">
        <v>135688.84662955711</v>
      </c>
      <c r="M728" s="380">
        <v>36921</v>
      </c>
      <c r="N728" t="s">
        <v>21</v>
      </c>
      <c r="O728">
        <v>-0.375</v>
      </c>
      <c r="P728">
        <v>0</v>
      </c>
      <c r="Q728">
        <v>0</v>
      </c>
      <c r="R728">
        <v>0</v>
      </c>
      <c r="S728">
        <v>0</v>
      </c>
      <c r="T728" t="s">
        <v>253</v>
      </c>
      <c r="U728" t="s">
        <v>9</v>
      </c>
      <c r="V728" t="s">
        <v>253</v>
      </c>
      <c r="W728" t="s">
        <v>132</v>
      </c>
      <c r="X728" t="s">
        <v>253</v>
      </c>
      <c r="Y728" t="s">
        <v>235</v>
      </c>
      <c r="Z728" t="s">
        <v>236</v>
      </c>
      <c r="AA728" t="s">
        <v>253</v>
      </c>
      <c r="AB728" t="s">
        <v>1</v>
      </c>
      <c r="AC728" s="235">
        <v>560000</v>
      </c>
      <c r="AD728" s="235">
        <v>30104.370261476637</v>
      </c>
      <c r="AE728">
        <v>0</v>
      </c>
      <c r="AF728">
        <v>0</v>
      </c>
      <c r="AG728">
        <v>0</v>
      </c>
      <c r="AH728" s="235">
        <v>-10104.34444577145</v>
      </c>
      <c r="AI728">
        <v>226</v>
      </c>
      <c r="AJ728" t="s">
        <v>256</v>
      </c>
      <c r="AK728">
        <v>0</v>
      </c>
      <c r="AL728">
        <v>0</v>
      </c>
      <c r="AM728">
        <v>0</v>
      </c>
    </row>
    <row r="729" spans="1:39" x14ac:dyDescent="0.25">
      <c r="A729" t="s">
        <v>233</v>
      </c>
      <c r="B729" t="s">
        <v>594</v>
      </c>
      <c r="C729" t="s">
        <v>255</v>
      </c>
      <c r="D729" t="s">
        <v>234</v>
      </c>
      <c r="E729" t="s">
        <v>20</v>
      </c>
      <c r="F729" t="s">
        <v>383</v>
      </c>
      <c r="G729" t="s">
        <v>269</v>
      </c>
      <c r="H729" t="s">
        <v>254</v>
      </c>
      <c r="I729" t="s">
        <v>242</v>
      </c>
      <c r="J729" t="s">
        <v>235</v>
      </c>
      <c r="K729" s="380">
        <v>36951</v>
      </c>
      <c r="L729" s="235">
        <v>134154.34671846297</v>
      </c>
      <c r="M729" s="380">
        <v>36949</v>
      </c>
      <c r="N729" t="s">
        <v>21</v>
      </c>
      <c r="O729">
        <v>-0.375</v>
      </c>
      <c r="P729">
        <v>0</v>
      </c>
      <c r="Q729">
        <v>0</v>
      </c>
      <c r="R729">
        <v>0</v>
      </c>
      <c r="S729">
        <v>0</v>
      </c>
      <c r="T729" t="s">
        <v>253</v>
      </c>
      <c r="U729" t="s">
        <v>9</v>
      </c>
      <c r="V729" t="s">
        <v>253</v>
      </c>
      <c r="W729" t="s">
        <v>132</v>
      </c>
      <c r="X729" t="s">
        <v>253</v>
      </c>
      <c r="Y729" t="s">
        <v>235</v>
      </c>
      <c r="Z729" t="s">
        <v>236</v>
      </c>
      <c r="AA729" t="s">
        <v>253</v>
      </c>
      <c r="AB729" t="s">
        <v>1</v>
      </c>
      <c r="AC729" s="235">
        <v>620000</v>
      </c>
      <c r="AD729" s="235">
        <v>32245.699284697708</v>
      </c>
      <c r="AE729">
        <v>0</v>
      </c>
      <c r="AF729">
        <v>0</v>
      </c>
      <c r="AG729">
        <v>0</v>
      </c>
      <c r="AH729" s="235">
        <v>-10900.153058680269</v>
      </c>
      <c r="AI729">
        <v>226</v>
      </c>
      <c r="AJ729" t="s">
        <v>256</v>
      </c>
      <c r="AK729">
        <v>0</v>
      </c>
      <c r="AL729">
        <v>0</v>
      </c>
      <c r="AM729">
        <v>0</v>
      </c>
    </row>
    <row r="730" spans="1:39" x14ac:dyDescent="0.25">
      <c r="A730" t="s">
        <v>233</v>
      </c>
      <c r="B730" t="s">
        <v>595</v>
      </c>
      <c r="C730" t="s">
        <v>255</v>
      </c>
      <c r="D730" t="s">
        <v>234</v>
      </c>
      <c r="E730" t="s">
        <v>20</v>
      </c>
      <c r="F730" t="s">
        <v>383</v>
      </c>
      <c r="G730" t="s">
        <v>269</v>
      </c>
      <c r="H730" t="s">
        <v>254</v>
      </c>
      <c r="I730" t="s">
        <v>242</v>
      </c>
      <c r="J730" t="s">
        <v>235</v>
      </c>
      <c r="K730" s="380">
        <v>36831</v>
      </c>
      <c r="L730" s="235">
        <v>131411.11780552714</v>
      </c>
      <c r="M730" s="380">
        <v>36829</v>
      </c>
      <c r="N730" t="s">
        <v>1</v>
      </c>
      <c r="O730">
        <v>-0.375</v>
      </c>
      <c r="P730">
        <v>0</v>
      </c>
      <c r="Q730">
        <v>0</v>
      </c>
      <c r="R730">
        <v>0</v>
      </c>
      <c r="S730">
        <v>0</v>
      </c>
      <c r="T730" t="s">
        <v>253</v>
      </c>
      <c r="U730" t="s">
        <v>9</v>
      </c>
      <c r="V730" t="s">
        <v>253</v>
      </c>
      <c r="W730" t="s">
        <v>132</v>
      </c>
      <c r="X730" t="s">
        <v>253</v>
      </c>
      <c r="Y730" t="s">
        <v>235</v>
      </c>
      <c r="Z730" t="s">
        <v>236</v>
      </c>
      <c r="AA730" t="s">
        <v>253</v>
      </c>
      <c r="AB730" t="s">
        <v>1</v>
      </c>
      <c r="AC730" s="235">
        <v>600000</v>
      </c>
      <c r="AD730" s="235">
        <v>20575.439282191102</v>
      </c>
      <c r="AE730">
        <v>0</v>
      </c>
      <c r="AF730">
        <v>0</v>
      </c>
      <c r="AG730">
        <v>0</v>
      </c>
      <c r="AH730" s="235">
        <v>14131.93149197282</v>
      </c>
      <c r="AI730">
        <v>226</v>
      </c>
      <c r="AJ730" t="s">
        <v>256</v>
      </c>
      <c r="AK730">
        <v>0</v>
      </c>
      <c r="AL730">
        <v>0</v>
      </c>
      <c r="AM730">
        <v>0</v>
      </c>
    </row>
    <row r="731" spans="1:39" x14ac:dyDescent="0.25">
      <c r="A731" t="s">
        <v>233</v>
      </c>
      <c r="B731" t="s">
        <v>595</v>
      </c>
      <c r="C731" t="s">
        <v>255</v>
      </c>
      <c r="D731" t="s">
        <v>234</v>
      </c>
      <c r="E731" t="s">
        <v>20</v>
      </c>
      <c r="F731" t="s">
        <v>383</v>
      </c>
      <c r="G731" t="s">
        <v>269</v>
      </c>
      <c r="H731" t="s">
        <v>254</v>
      </c>
      <c r="I731" t="s">
        <v>242</v>
      </c>
      <c r="J731" t="s">
        <v>235</v>
      </c>
      <c r="K731" s="380">
        <v>36861</v>
      </c>
      <c r="L731" s="235">
        <v>125794.5758207239</v>
      </c>
      <c r="M731" s="380">
        <v>36859</v>
      </c>
      <c r="N731" t="s">
        <v>1</v>
      </c>
      <c r="O731">
        <v>-0.375</v>
      </c>
      <c r="P731">
        <v>0</v>
      </c>
      <c r="Q731">
        <v>0</v>
      </c>
      <c r="R731">
        <v>0</v>
      </c>
      <c r="S731">
        <v>0</v>
      </c>
      <c r="T731" t="s">
        <v>253</v>
      </c>
      <c r="U731" t="s">
        <v>9</v>
      </c>
      <c r="V731" t="s">
        <v>253</v>
      </c>
      <c r="W731" t="s">
        <v>132</v>
      </c>
      <c r="X731" t="s">
        <v>253</v>
      </c>
      <c r="Y731" t="s">
        <v>235</v>
      </c>
      <c r="Z731" t="s">
        <v>236</v>
      </c>
      <c r="AA731" t="s">
        <v>253</v>
      </c>
      <c r="AB731" t="s">
        <v>1</v>
      </c>
      <c r="AC731" s="235">
        <v>620000</v>
      </c>
      <c r="AD731" s="235">
        <v>26550.627840216795</v>
      </c>
      <c r="AE731">
        <v>0</v>
      </c>
      <c r="AF731">
        <v>0</v>
      </c>
      <c r="AG731">
        <v>0</v>
      </c>
      <c r="AH731" s="235">
        <v>12327.149828150941</v>
      </c>
      <c r="AI731">
        <v>226</v>
      </c>
      <c r="AJ731" t="s">
        <v>256</v>
      </c>
      <c r="AK731">
        <v>0</v>
      </c>
      <c r="AL731">
        <v>0</v>
      </c>
      <c r="AM731">
        <v>0</v>
      </c>
    </row>
    <row r="732" spans="1:39" x14ac:dyDescent="0.25">
      <c r="A732" t="s">
        <v>233</v>
      </c>
      <c r="B732" t="s">
        <v>595</v>
      </c>
      <c r="C732" t="s">
        <v>255</v>
      </c>
      <c r="D732" t="s">
        <v>234</v>
      </c>
      <c r="E732" t="s">
        <v>20</v>
      </c>
      <c r="F732" t="s">
        <v>383</v>
      </c>
      <c r="G732" t="s">
        <v>269</v>
      </c>
      <c r="H732" t="s">
        <v>254</v>
      </c>
      <c r="I732" t="s">
        <v>242</v>
      </c>
      <c r="J732" t="s">
        <v>235</v>
      </c>
      <c r="K732" s="380">
        <v>36892</v>
      </c>
      <c r="L732" s="235">
        <v>146412.53868562085</v>
      </c>
      <c r="M732" s="380">
        <v>36888</v>
      </c>
      <c r="N732" t="s">
        <v>1</v>
      </c>
      <c r="O732">
        <v>-0.375</v>
      </c>
      <c r="P732">
        <v>0</v>
      </c>
      <c r="Q732">
        <v>0</v>
      </c>
      <c r="R732">
        <v>0</v>
      </c>
      <c r="S732">
        <v>0</v>
      </c>
      <c r="T732" t="s">
        <v>253</v>
      </c>
      <c r="U732" t="s">
        <v>9</v>
      </c>
      <c r="V732" t="s">
        <v>253</v>
      </c>
      <c r="W732" t="s">
        <v>132</v>
      </c>
      <c r="X732" t="s">
        <v>253</v>
      </c>
      <c r="Y732" t="s">
        <v>235</v>
      </c>
      <c r="Z732" t="s">
        <v>236</v>
      </c>
      <c r="AA732" t="s">
        <v>253</v>
      </c>
      <c r="AB732" t="s">
        <v>1</v>
      </c>
      <c r="AC732" s="235">
        <v>620000</v>
      </c>
      <c r="AD732" s="235">
        <v>30483.990860292979</v>
      </c>
      <c r="AE732">
        <v>0</v>
      </c>
      <c r="AF732">
        <v>0</v>
      </c>
      <c r="AG732">
        <v>0</v>
      </c>
      <c r="AH732" s="235">
        <v>12560.591098460747</v>
      </c>
      <c r="AI732">
        <v>226</v>
      </c>
      <c r="AJ732" t="s">
        <v>256</v>
      </c>
      <c r="AK732">
        <v>0</v>
      </c>
      <c r="AL732">
        <v>0</v>
      </c>
      <c r="AM732">
        <v>0</v>
      </c>
    </row>
    <row r="733" spans="1:39" x14ac:dyDescent="0.25">
      <c r="A733" t="s">
        <v>233</v>
      </c>
      <c r="B733" t="s">
        <v>595</v>
      </c>
      <c r="C733" t="s">
        <v>255</v>
      </c>
      <c r="D733" t="s">
        <v>234</v>
      </c>
      <c r="E733" t="s">
        <v>20</v>
      </c>
      <c r="F733" t="s">
        <v>383</v>
      </c>
      <c r="G733" t="s">
        <v>269</v>
      </c>
      <c r="H733" t="s">
        <v>254</v>
      </c>
      <c r="I733" t="s">
        <v>242</v>
      </c>
      <c r="J733" t="s">
        <v>235</v>
      </c>
      <c r="K733" s="380">
        <v>36923</v>
      </c>
      <c r="L733" s="235">
        <v>142487.88739535509</v>
      </c>
      <c r="M733" s="380">
        <v>36921</v>
      </c>
      <c r="N733" t="s">
        <v>1</v>
      </c>
      <c r="O733">
        <v>-0.375</v>
      </c>
      <c r="P733">
        <v>0</v>
      </c>
      <c r="Q733">
        <v>0</v>
      </c>
      <c r="R733">
        <v>0</v>
      </c>
      <c r="S733">
        <v>0</v>
      </c>
      <c r="T733" t="s">
        <v>253</v>
      </c>
      <c r="U733" t="s">
        <v>9</v>
      </c>
      <c r="V733" t="s">
        <v>253</v>
      </c>
      <c r="W733" t="s">
        <v>132</v>
      </c>
      <c r="X733" t="s">
        <v>253</v>
      </c>
      <c r="Y733" t="s">
        <v>235</v>
      </c>
      <c r="Z733" t="s">
        <v>236</v>
      </c>
      <c r="AA733" t="s">
        <v>253</v>
      </c>
      <c r="AB733" t="s">
        <v>1</v>
      </c>
      <c r="AC733" s="235">
        <v>560000</v>
      </c>
      <c r="AD733" s="235">
        <v>30104.370261476637</v>
      </c>
      <c r="AE733">
        <v>0</v>
      </c>
      <c r="AF733">
        <v>0</v>
      </c>
      <c r="AG733">
        <v>0</v>
      </c>
      <c r="AH733" s="235">
        <v>11641.401672484499</v>
      </c>
      <c r="AI733">
        <v>226</v>
      </c>
      <c r="AJ733" t="s">
        <v>256</v>
      </c>
      <c r="AK733">
        <v>0</v>
      </c>
      <c r="AL733">
        <v>0</v>
      </c>
      <c r="AM733">
        <v>0</v>
      </c>
    </row>
    <row r="734" spans="1:39" x14ac:dyDescent="0.25">
      <c r="A734" t="s">
        <v>233</v>
      </c>
      <c r="B734" t="s">
        <v>595</v>
      </c>
      <c r="C734" t="s">
        <v>255</v>
      </c>
      <c r="D734" t="s">
        <v>234</v>
      </c>
      <c r="E734" t="s">
        <v>20</v>
      </c>
      <c r="F734" t="s">
        <v>383</v>
      </c>
      <c r="G734" t="s">
        <v>269</v>
      </c>
      <c r="H734" t="s">
        <v>254</v>
      </c>
      <c r="I734" t="s">
        <v>242</v>
      </c>
      <c r="J734" t="s">
        <v>235</v>
      </c>
      <c r="K734" s="380">
        <v>36951</v>
      </c>
      <c r="L734" s="235">
        <v>147631.13585234192</v>
      </c>
      <c r="M734" s="380">
        <v>36949</v>
      </c>
      <c r="N734" t="s">
        <v>1</v>
      </c>
      <c r="O734">
        <v>-0.375</v>
      </c>
      <c r="P734">
        <v>0</v>
      </c>
      <c r="Q734">
        <v>0</v>
      </c>
      <c r="R734">
        <v>0</v>
      </c>
      <c r="S734">
        <v>0</v>
      </c>
      <c r="T734" t="s">
        <v>253</v>
      </c>
      <c r="U734" t="s">
        <v>9</v>
      </c>
      <c r="V734" t="s">
        <v>253</v>
      </c>
      <c r="W734" t="s">
        <v>132</v>
      </c>
      <c r="X734" t="s">
        <v>253</v>
      </c>
      <c r="Y734" t="s">
        <v>235</v>
      </c>
      <c r="Z734" t="s">
        <v>236</v>
      </c>
      <c r="AA734" t="s">
        <v>253</v>
      </c>
      <c r="AB734" t="s">
        <v>1</v>
      </c>
      <c r="AC734" s="235">
        <v>620000</v>
      </c>
      <c r="AD734" s="235">
        <v>32245.699284697766</v>
      </c>
      <c r="AE734">
        <v>0</v>
      </c>
      <c r="AF734">
        <v>0</v>
      </c>
      <c r="AG734">
        <v>0</v>
      </c>
      <c r="AH734" s="235">
        <v>13046.782289773051</v>
      </c>
      <c r="AI734">
        <v>226</v>
      </c>
      <c r="AJ734" t="s">
        <v>256</v>
      </c>
      <c r="AK734">
        <v>0</v>
      </c>
      <c r="AL734">
        <v>0</v>
      </c>
      <c r="AM734">
        <v>0</v>
      </c>
    </row>
    <row r="735" spans="1:39" x14ac:dyDescent="0.25">
      <c r="A735" t="s">
        <v>233</v>
      </c>
      <c r="B735" t="s">
        <v>596</v>
      </c>
      <c r="C735" t="s">
        <v>255</v>
      </c>
      <c r="D735" t="s">
        <v>234</v>
      </c>
      <c r="E735" t="s">
        <v>20</v>
      </c>
      <c r="F735" t="s">
        <v>348</v>
      </c>
      <c r="G735" t="s">
        <v>269</v>
      </c>
      <c r="H735" t="s">
        <v>254</v>
      </c>
      <c r="I735" t="s">
        <v>242</v>
      </c>
      <c r="J735" t="s">
        <v>235</v>
      </c>
      <c r="K735" s="380">
        <v>36892</v>
      </c>
      <c r="L735" s="235">
        <v>-28711.89871773521</v>
      </c>
      <c r="M735" s="380">
        <v>36888</v>
      </c>
      <c r="N735" t="s">
        <v>21</v>
      </c>
      <c r="O735">
        <v>0.2</v>
      </c>
      <c r="P735">
        <v>0</v>
      </c>
      <c r="Q735">
        <v>0</v>
      </c>
      <c r="R735">
        <v>0</v>
      </c>
      <c r="S735">
        <v>0</v>
      </c>
      <c r="T735" t="s">
        <v>253</v>
      </c>
      <c r="U735" t="s">
        <v>600</v>
      </c>
      <c r="V735" t="s">
        <v>253</v>
      </c>
      <c r="W735" t="s">
        <v>132</v>
      </c>
      <c r="X735" t="s">
        <v>253</v>
      </c>
      <c r="Y735" t="s">
        <v>235</v>
      </c>
      <c r="Z735" t="s">
        <v>236</v>
      </c>
      <c r="AA735" t="s">
        <v>253</v>
      </c>
      <c r="AB735" t="s">
        <v>1</v>
      </c>
      <c r="AC735" s="235">
        <v>-1000000</v>
      </c>
      <c r="AD735" s="235">
        <v>-8458.0881351326243</v>
      </c>
      <c r="AE735">
        <v>0</v>
      </c>
      <c r="AF735">
        <v>0</v>
      </c>
      <c r="AG735">
        <v>0</v>
      </c>
      <c r="AH735" s="235">
        <v>-407.03740583587569</v>
      </c>
      <c r="AI735">
        <v>226</v>
      </c>
      <c r="AJ735" t="s">
        <v>256</v>
      </c>
      <c r="AK735">
        <v>0</v>
      </c>
      <c r="AL735">
        <v>0</v>
      </c>
      <c r="AM735">
        <v>0</v>
      </c>
    </row>
    <row r="736" spans="1:39" x14ac:dyDescent="0.25">
      <c r="A736" t="s">
        <v>233</v>
      </c>
      <c r="B736" t="s">
        <v>596</v>
      </c>
      <c r="C736" t="s">
        <v>255</v>
      </c>
      <c r="D736" t="s">
        <v>234</v>
      </c>
      <c r="E736" t="s">
        <v>20</v>
      </c>
      <c r="F736" t="s">
        <v>348</v>
      </c>
      <c r="G736" t="s">
        <v>269</v>
      </c>
      <c r="H736" t="s">
        <v>254</v>
      </c>
      <c r="I736" t="s">
        <v>242</v>
      </c>
      <c r="J736" t="s">
        <v>235</v>
      </c>
      <c r="K736" s="380">
        <v>36923</v>
      </c>
      <c r="L736" s="235">
        <v>-34991.207679824947</v>
      </c>
      <c r="M736" s="380">
        <v>36921</v>
      </c>
      <c r="N736" t="s">
        <v>21</v>
      </c>
      <c r="O736">
        <v>0.2</v>
      </c>
      <c r="P736">
        <v>0</v>
      </c>
      <c r="Q736">
        <v>0</v>
      </c>
      <c r="R736">
        <v>0</v>
      </c>
      <c r="S736">
        <v>0</v>
      </c>
      <c r="T736" t="s">
        <v>253</v>
      </c>
      <c r="U736" t="s">
        <v>600</v>
      </c>
      <c r="V736" t="s">
        <v>253</v>
      </c>
      <c r="W736" t="s">
        <v>132</v>
      </c>
      <c r="X736" t="s">
        <v>253</v>
      </c>
      <c r="Y736" t="s">
        <v>235</v>
      </c>
      <c r="Z736" t="s">
        <v>236</v>
      </c>
      <c r="AA736" t="s">
        <v>253</v>
      </c>
      <c r="AB736" t="s">
        <v>1</v>
      </c>
      <c r="AC736" s="235">
        <v>-1000000</v>
      </c>
      <c r="AD736" s="235">
        <v>-9589.1184383253567</v>
      </c>
      <c r="AE736">
        <v>0</v>
      </c>
      <c r="AF736">
        <v>0</v>
      </c>
      <c r="AG736">
        <v>0</v>
      </c>
      <c r="AH736" s="235">
        <v>-459.96601340670168</v>
      </c>
      <c r="AI736">
        <v>226</v>
      </c>
      <c r="AJ736" t="s">
        <v>256</v>
      </c>
      <c r="AK736">
        <v>0</v>
      </c>
      <c r="AL736">
        <v>0</v>
      </c>
      <c r="AM736">
        <v>0</v>
      </c>
    </row>
    <row r="737" spans="1:39" x14ac:dyDescent="0.25">
      <c r="A737" t="s">
        <v>233</v>
      </c>
      <c r="B737" t="s">
        <v>596</v>
      </c>
      <c r="C737" t="s">
        <v>255</v>
      </c>
      <c r="D737" t="s">
        <v>234</v>
      </c>
      <c r="E737" t="s">
        <v>20</v>
      </c>
      <c r="F737" t="s">
        <v>348</v>
      </c>
      <c r="G737" t="s">
        <v>269</v>
      </c>
      <c r="H737" t="s">
        <v>254</v>
      </c>
      <c r="I737" t="s">
        <v>242</v>
      </c>
      <c r="J737" t="s">
        <v>235</v>
      </c>
      <c r="K737" s="380">
        <v>36951</v>
      </c>
      <c r="L737" s="235">
        <v>-26314.057292236681</v>
      </c>
      <c r="M737" s="380">
        <v>36949</v>
      </c>
      <c r="N737" t="s">
        <v>21</v>
      </c>
      <c r="O737">
        <v>0.2</v>
      </c>
      <c r="P737">
        <v>0</v>
      </c>
      <c r="Q737">
        <v>0</v>
      </c>
      <c r="R737">
        <v>0</v>
      </c>
      <c r="S737">
        <v>0</v>
      </c>
      <c r="T737" t="s">
        <v>253</v>
      </c>
      <c r="U737" t="s">
        <v>600</v>
      </c>
      <c r="V737" t="s">
        <v>253</v>
      </c>
      <c r="W737" t="s">
        <v>132</v>
      </c>
      <c r="X737" t="s">
        <v>253</v>
      </c>
      <c r="Y737" t="s">
        <v>235</v>
      </c>
      <c r="Z737" t="s">
        <v>236</v>
      </c>
      <c r="AA737" t="s">
        <v>253</v>
      </c>
      <c r="AB737" t="s">
        <v>1</v>
      </c>
      <c r="AC737" s="235">
        <v>-1000000</v>
      </c>
      <c r="AD737" s="235">
        <v>-8714.597532602842</v>
      </c>
      <c r="AE737">
        <v>0</v>
      </c>
      <c r="AF737">
        <v>0</v>
      </c>
      <c r="AG737">
        <v>0</v>
      </c>
      <c r="AH737" s="235">
        <v>-442.50962995838927</v>
      </c>
      <c r="AI737">
        <v>226</v>
      </c>
      <c r="AJ737" t="s">
        <v>256</v>
      </c>
      <c r="AK737">
        <v>0</v>
      </c>
      <c r="AL737">
        <v>0</v>
      </c>
      <c r="AM737">
        <v>0</v>
      </c>
    </row>
    <row r="738" spans="1:39" x14ac:dyDescent="0.25">
      <c r="A738" t="s">
        <v>233</v>
      </c>
      <c r="B738" t="s">
        <v>597</v>
      </c>
      <c r="C738" t="s">
        <v>255</v>
      </c>
      <c r="D738" t="s">
        <v>234</v>
      </c>
      <c r="E738" t="s">
        <v>20</v>
      </c>
      <c r="F738" t="s">
        <v>284</v>
      </c>
      <c r="G738" t="s">
        <v>269</v>
      </c>
      <c r="H738" t="s">
        <v>254</v>
      </c>
      <c r="I738" t="s">
        <v>242</v>
      </c>
      <c r="J738" t="s">
        <v>235</v>
      </c>
      <c r="K738" s="380">
        <v>36982</v>
      </c>
      <c r="L738" s="235">
        <v>41506.052834076712</v>
      </c>
      <c r="M738" s="380">
        <v>36979</v>
      </c>
      <c r="N738" t="s">
        <v>1</v>
      </c>
      <c r="O738">
        <v>0.28000000000000003</v>
      </c>
      <c r="P738">
        <v>0</v>
      </c>
      <c r="Q738">
        <v>0</v>
      </c>
      <c r="R738">
        <v>0</v>
      </c>
      <c r="S738">
        <v>0</v>
      </c>
      <c r="T738" t="s">
        <v>253</v>
      </c>
      <c r="U738" t="s">
        <v>384</v>
      </c>
      <c r="V738" t="s">
        <v>253</v>
      </c>
      <c r="W738" t="s">
        <v>132</v>
      </c>
      <c r="X738" t="s">
        <v>253</v>
      </c>
      <c r="Y738" t="s">
        <v>235</v>
      </c>
      <c r="Z738" t="s">
        <v>236</v>
      </c>
      <c r="AA738" t="s">
        <v>253</v>
      </c>
      <c r="AB738" t="s">
        <v>1</v>
      </c>
      <c r="AC738" s="235">
        <v>1000000</v>
      </c>
      <c r="AD738" s="235">
        <v>14412.932708593784</v>
      </c>
      <c r="AE738">
        <v>0</v>
      </c>
      <c r="AF738">
        <v>0</v>
      </c>
      <c r="AG738">
        <v>0</v>
      </c>
      <c r="AH738" s="235">
        <v>685.92836543279554</v>
      </c>
      <c r="AI738">
        <v>226</v>
      </c>
      <c r="AJ738" t="s">
        <v>256</v>
      </c>
      <c r="AK738">
        <v>0</v>
      </c>
      <c r="AL738">
        <v>0</v>
      </c>
      <c r="AM738">
        <v>0</v>
      </c>
    </row>
    <row r="739" spans="1:39" x14ac:dyDescent="0.25">
      <c r="A739" t="s">
        <v>233</v>
      </c>
      <c r="B739" t="s">
        <v>597</v>
      </c>
      <c r="C739" t="s">
        <v>255</v>
      </c>
      <c r="D739" t="s">
        <v>234</v>
      </c>
      <c r="E739" t="s">
        <v>20</v>
      </c>
      <c r="F739" t="s">
        <v>284</v>
      </c>
      <c r="G739" t="s">
        <v>269</v>
      </c>
      <c r="H739" t="s">
        <v>254</v>
      </c>
      <c r="I739" t="s">
        <v>242</v>
      </c>
      <c r="J739" t="s">
        <v>235</v>
      </c>
      <c r="K739" s="380">
        <v>37012</v>
      </c>
      <c r="L739" s="235">
        <v>59419.355948889199</v>
      </c>
      <c r="M739" s="380">
        <v>37008</v>
      </c>
      <c r="N739" t="s">
        <v>1</v>
      </c>
      <c r="O739">
        <v>0.28000000000000003</v>
      </c>
      <c r="P739">
        <v>0</v>
      </c>
      <c r="Q739">
        <v>0</v>
      </c>
      <c r="R739">
        <v>0</v>
      </c>
      <c r="S739">
        <v>0</v>
      </c>
      <c r="T739" t="s">
        <v>253</v>
      </c>
      <c r="U739" t="s">
        <v>384</v>
      </c>
      <c r="V739" t="s">
        <v>253</v>
      </c>
      <c r="W739" t="s">
        <v>132</v>
      </c>
      <c r="X739" t="s">
        <v>253</v>
      </c>
      <c r="Y739" t="s">
        <v>235</v>
      </c>
      <c r="Z739" t="s">
        <v>236</v>
      </c>
      <c r="AA739" t="s">
        <v>253</v>
      </c>
      <c r="AB739" t="s">
        <v>1</v>
      </c>
      <c r="AC739" s="235">
        <v>1000000</v>
      </c>
      <c r="AD739" s="235">
        <v>15417.858849595301</v>
      </c>
      <c r="AE739">
        <v>0</v>
      </c>
      <c r="AF739">
        <v>0</v>
      </c>
      <c r="AG739">
        <v>0</v>
      </c>
      <c r="AH739" s="235">
        <v>733.77431031352171</v>
      </c>
      <c r="AI739">
        <v>226</v>
      </c>
      <c r="AJ739" t="s">
        <v>256</v>
      </c>
      <c r="AK739">
        <v>0</v>
      </c>
      <c r="AL739">
        <v>0</v>
      </c>
      <c r="AM739">
        <v>0</v>
      </c>
    </row>
    <row r="740" spans="1:39" x14ac:dyDescent="0.25">
      <c r="A740" t="s">
        <v>233</v>
      </c>
      <c r="B740" t="s">
        <v>597</v>
      </c>
      <c r="C740" t="s">
        <v>255</v>
      </c>
      <c r="D740" t="s">
        <v>234</v>
      </c>
      <c r="E740" t="s">
        <v>20</v>
      </c>
      <c r="F740" t="s">
        <v>284</v>
      </c>
      <c r="G740" t="s">
        <v>269</v>
      </c>
      <c r="H740" t="s">
        <v>254</v>
      </c>
      <c r="I740" t="s">
        <v>242</v>
      </c>
      <c r="J740" t="s">
        <v>235</v>
      </c>
      <c r="K740" s="380">
        <v>37043</v>
      </c>
      <c r="L740" s="235">
        <v>62583.394225031676</v>
      </c>
      <c r="M740" s="380">
        <v>37041</v>
      </c>
      <c r="N740" t="s">
        <v>1</v>
      </c>
      <c r="O740">
        <v>0.28000000000000003</v>
      </c>
      <c r="P740">
        <v>0</v>
      </c>
      <c r="Q740">
        <v>0</v>
      </c>
      <c r="R740">
        <v>0</v>
      </c>
      <c r="S740">
        <v>0</v>
      </c>
      <c r="T740" t="s">
        <v>253</v>
      </c>
      <c r="U740" t="s">
        <v>384</v>
      </c>
      <c r="V740" t="s">
        <v>253</v>
      </c>
      <c r="W740" t="s">
        <v>132</v>
      </c>
      <c r="X740" t="s">
        <v>253</v>
      </c>
      <c r="Y740" t="s">
        <v>235</v>
      </c>
      <c r="Z740" t="s">
        <v>236</v>
      </c>
      <c r="AA740" t="s">
        <v>253</v>
      </c>
      <c r="AB740" t="s">
        <v>1</v>
      </c>
      <c r="AC740" s="235">
        <v>1000000</v>
      </c>
      <c r="AD740" s="235">
        <v>16135.871585139423</v>
      </c>
      <c r="AE740">
        <v>0</v>
      </c>
      <c r="AF740">
        <v>0</v>
      </c>
      <c r="AG740">
        <v>0</v>
      </c>
      <c r="AH740" s="235">
        <v>767.28303330053313</v>
      </c>
      <c r="AI740">
        <v>226</v>
      </c>
      <c r="AJ740" t="s">
        <v>256</v>
      </c>
      <c r="AK740">
        <v>0</v>
      </c>
      <c r="AL740">
        <v>0</v>
      </c>
      <c r="AM740">
        <v>0</v>
      </c>
    </row>
    <row r="741" spans="1:39" x14ac:dyDescent="0.25">
      <c r="A741" t="s">
        <v>233</v>
      </c>
      <c r="B741" t="s">
        <v>597</v>
      </c>
      <c r="C741" t="s">
        <v>255</v>
      </c>
      <c r="D741" t="s">
        <v>234</v>
      </c>
      <c r="E741" t="s">
        <v>20</v>
      </c>
      <c r="F741" t="s">
        <v>284</v>
      </c>
      <c r="G741" t="s">
        <v>269</v>
      </c>
      <c r="H741" t="s">
        <v>254</v>
      </c>
      <c r="I741" t="s">
        <v>242</v>
      </c>
      <c r="J741" t="s">
        <v>235</v>
      </c>
      <c r="K741" s="380">
        <v>37073</v>
      </c>
      <c r="L741" s="235">
        <v>61107.05164317842</v>
      </c>
      <c r="M741" s="380">
        <v>37070</v>
      </c>
      <c r="N741" t="s">
        <v>1</v>
      </c>
      <c r="O741">
        <v>0.28000000000000003</v>
      </c>
      <c r="P741">
        <v>0</v>
      </c>
      <c r="Q741">
        <v>0</v>
      </c>
      <c r="R741">
        <v>0</v>
      </c>
      <c r="S741">
        <v>0</v>
      </c>
      <c r="T741" t="s">
        <v>253</v>
      </c>
      <c r="U741" t="s">
        <v>384</v>
      </c>
      <c r="V741" t="s">
        <v>253</v>
      </c>
      <c r="W741" t="s">
        <v>132</v>
      </c>
      <c r="X741" t="s">
        <v>253</v>
      </c>
      <c r="Y741" t="s">
        <v>235</v>
      </c>
      <c r="Z741" t="s">
        <v>236</v>
      </c>
      <c r="AA741" t="s">
        <v>253</v>
      </c>
      <c r="AB741" t="s">
        <v>1</v>
      </c>
      <c r="AC741" s="235">
        <v>1000000</v>
      </c>
      <c r="AD741" s="235">
        <v>16662.036016044032</v>
      </c>
      <c r="AE741">
        <v>0</v>
      </c>
      <c r="AF741">
        <v>0</v>
      </c>
      <c r="AG741">
        <v>0</v>
      </c>
      <c r="AH741" s="235">
        <v>791.66019926013541</v>
      </c>
      <c r="AI741">
        <v>226</v>
      </c>
      <c r="AJ741" t="s">
        <v>256</v>
      </c>
      <c r="AK741">
        <v>0</v>
      </c>
      <c r="AL741">
        <v>0</v>
      </c>
      <c r="AM741">
        <v>0</v>
      </c>
    </row>
    <row r="742" spans="1:39" x14ac:dyDescent="0.25">
      <c r="A742" t="s">
        <v>233</v>
      </c>
      <c r="B742" t="s">
        <v>597</v>
      </c>
      <c r="C742" t="s">
        <v>255</v>
      </c>
      <c r="D742" t="s">
        <v>234</v>
      </c>
      <c r="E742" t="s">
        <v>20</v>
      </c>
      <c r="F742" t="s">
        <v>284</v>
      </c>
      <c r="G742" t="s">
        <v>269</v>
      </c>
      <c r="H742" t="s">
        <v>254</v>
      </c>
      <c r="I742" t="s">
        <v>242</v>
      </c>
      <c r="J742" t="s">
        <v>235</v>
      </c>
      <c r="K742" s="380">
        <v>37104</v>
      </c>
      <c r="L742" s="235">
        <v>64932.747612597763</v>
      </c>
      <c r="M742" s="380">
        <v>37102</v>
      </c>
      <c r="N742" t="s">
        <v>1</v>
      </c>
      <c r="O742">
        <v>0.28000000000000003</v>
      </c>
      <c r="P742">
        <v>0</v>
      </c>
      <c r="Q742">
        <v>0</v>
      </c>
      <c r="R742">
        <v>0</v>
      </c>
      <c r="S742">
        <v>0</v>
      </c>
      <c r="T742" t="s">
        <v>253</v>
      </c>
      <c r="U742" t="s">
        <v>384</v>
      </c>
      <c r="V742" t="s">
        <v>253</v>
      </c>
      <c r="W742" t="s">
        <v>132</v>
      </c>
      <c r="X742" t="s">
        <v>253</v>
      </c>
      <c r="Y742" t="s">
        <v>235</v>
      </c>
      <c r="Z742" t="s">
        <v>236</v>
      </c>
      <c r="AA742" t="s">
        <v>253</v>
      </c>
      <c r="AB742" t="s">
        <v>1</v>
      </c>
      <c r="AC742" s="235">
        <v>1000000</v>
      </c>
      <c r="AD742" s="235">
        <v>17458.732310521998</v>
      </c>
      <c r="AE742">
        <v>0</v>
      </c>
      <c r="AF742">
        <v>0</v>
      </c>
      <c r="AG742">
        <v>0</v>
      </c>
      <c r="AH742" s="235">
        <v>829.20874464820372</v>
      </c>
      <c r="AI742">
        <v>226</v>
      </c>
      <c r="AJ742" t="s">
        <v>256</v>
      </c>
      <c r="AK742">
        <v>0</v>
      </c>
      <c r="AL742">
        <v>0</v>
      </c>
      <c r="AM742">
        <v>0</v>
      </c>
    </row>
    <row r="743" spans="1:39" x14ac:dyDescent="0.25">
      <c r="A743" t="s">
        <v>233</v>
      </c>
      <c r="B743" t="s">
        <v>597</v>
      </c>
      <c r="C743" t="s">
        <v>255</v>
      </c>
      <c r="D743" t="s">
        <v>234</v>
      </c>
      <c r="E743" t="s">
        <v>20</v>
      </c>
      <c r="F743" t="s">
        <v>284</v>
      </c>
      <c r="G743" t="s">
        <v>269</v>
      </c>
      <c r="H743" t="s">
        <v>254</v>
      </c>
      <c r="I743" t="s">
        <v>242</v>
      </c>
      <c r="J743" t="s">
        <v>235</v>
      </c>
      <c r="K743" s="380">
        <v>37135</v>
      </c>
      <c r="L743" s="235">
        <v>71844.764511781235</v>
      </c>
      <c r="M743" s="380">
        <v>37133</v>
      </c>
      <c r="N743" t="s">
        <v>1</v>
      </c>
      <c r="O743">
        <v>0.28000000000000003</v>
      </c>
      <c r="P743">
        <v>0</v>
      </c>
      <c r="Q743">
        <v>0</v>
      </c>
      <c r="R743">
        <v>0</v>
      </c>
      <c r="S743">
        <v>0</v>
      </c>
      <c r="T743" t="s">
        <v>253</v>
      </c>
      <c r="U743" t="s">
        <v>384</v>
      </c>
      <c r="V743" t="s">
        <v>253</v>
      </c>
      <c r="W743" t="s">
        <v>132</v>
      </c>
      <c r="X743" t="s">
        <v>253</v>
      </c>
      <c r="Y743" t="s">
        <v>235</v>
      </c>
      <c r="Z743" t="s">
        <v>236</v>
      </c>
      <c r="AA743" t="s">
        <v>253</v>
      </c>
      <c r="AB743" t="s">
        <v>1</v>
      </c>
      <c r="AC743" s="235">
        <v>1000000</v>
      </c>
      <c r="AD743" s="235">
        <v>18315.184032383375</v>
      </c>
      <c r="AE743">
        <v>0</v>
      </c>
      <c r="AF743">
        <v>0</v>
      </c>
      <c r="AG743">
        <v>0</v>
      </c>
      <c r="AH743" s="235">
        <v>869.83222187563661</v>
      </c>
      <c r="AI743">
        <v>226</v>
      </c>
      <c r="AJ743" t="s">
        <v>256</v>
      </c>
      <c r="AK743">
        <v>0</v>
      </c>
      <c r="AL743">
        <v>0</v>
      </c>
      <c r="AM743">
        <v>0</v>
      </c>
    </row>
    <row r="744" spans="1:39" x14ac:dyDescent="0.25">
      <c r="A744" t="s">
        <v>233</v>
      </c>
      <c r="B744" t="s">
        <v>597</v>
      </c>
      <c r="C744" t="s">
        <v>255</v>
      </c>
      <c r="D744" t="s">
        <v>234</v>
      </c>
      <c r="E744" t="s">
        <v>20</v>
      </c>
      <c r="F744" t="s">
        <v>284</v>
      </c>
      <c r="G744" t="s">
        <v>269</v>
      </c>
      <c r="H744" t="s">
        <v>254</v>
      </c>
      <c r="I744" t="s">
        <v>242</v>
      </c>
      <c r="J744" t="s">
        <v>235</v>
      </c>
      <c r="K744" s="380">
        <v>37165</v>
      </c>
      <c r="L744" s="235">
        <v>69952.650358762359</v>
      </c>
      <c r="M744" s="380">
        <v>37161</v>
      </c>
      <c r="N744" t="s">
        <v>1</v>
      </c>
      <c r="O744">
        <v>0.28000000000000003</v>
      </c>
      <c r="P744">
        <v>0</v>
      </c>
      <c r="Q744">
        <v>0</v>
      </c>
      <c r="R744">
        <v>0</v>
      </c>
      <c r="S744">
        <v>0</v>
      </c>
      <c r="T744" t="s">
        <v>253</v>
      </c>
      <c r="U744" t="s">
        <v>384</v>
      </c>
      <c r="V744" t="s">
        <v>253</v>
      </c>
      <c r="W744" t="s">
        <v>132</v>
      </c>
      <c r="X744" t="s">
        <v>253</v>
      </c>
      <c r="Y744" t="s">
        <v>235</v>
      </c>
      <c r="Z744" t="s">
        <v>236</v>
      </c>
      <c r="AA744" t="s">
        <v>253</v>
      </c>
      <c r="AB744" t="s">
        <v>1</v>
      </c>
      <c r="AC744" s="235">
        <v>1000000</v>
      </c>
      <c r="AD744" s="235">
        <v>18813.479546190938</v>
      </c>
      <c r="AE744">
        <v>0</v>
      </c>
      <c r="AF744">
        <v>0</v>
      </c>
      <c r="AG744">
        <v>0</v>
      </c>
      <c r="AH744" s="235">
        <v>893.10606981252204</v>
      </c>
      <c r="AI744">
        <v>226</v>
      </c>
      <c r="AJ744" t="s">
        <v>256</v>
      </c>
      <c r="AK744">
        <v>0</v>
      </c>
      <c r="AL744">
        <v>0</v>
      </c>
      <c r="AM744">
        <v>0</v>
      </c>
    </row>
    <row r="745" spans="1:39" x14ac:dyDescent="0.25">
      <c r="A745" t="s">
        <v>233</v>
      </c>
      <c r="B745" t="s">
        <v>598</v>
      </c>
      <c r="C745" t="s">
        <v>255</v>
      </c>
      <c r="D745" t="s">
        <v>234</v>
      </c>
      <c r="E745" t="s">
        <v>20</v>
      </c>
      <c r="F745" t="s">
        <v>363</v>
      </c>
      <c r="G745" t="s">
        <v>269</v>
      </c>
      <c r="H745" t="s">
        <v>254</v>
      </c>
      <c r="I745" t="s">
        <v>242</v>
      </c>
      <c r="J745" t="s">
        <v>235</v>
      </c>
      <c r="K745" s="380">
        <v>36923</v>
      </c>
      <c r="L745" s="235">
        <v>-78967.507956427929</v>
      </c>
      <c r="M745" s="380">
        <v>36921</v>
      </c>
      <c r="N745" t="s">
        <v>21</v>
      </c>
      <c r="O745">
        <v>0.4</v>
      </c>
      <c r="P745">
        <v>0</v>
      </c>
      <c r="Q745">
        <v>0</v>
      </c>
      <c r="R745">
        <v>0</v>
      </c>
      <c r="S745">
        <v>0</v>
      </c>
      <c r="T745" t="s">
        <v>253</v>
      </c>
      <c r="U745" t="s">
        <v>10</v>
      </c>
      <c r="V745" t="s">
        <v>253</v>
      </c>
      <c r="W745" t="s">
        <v>132</v>
      </c>
      <c r="X745" t="s">
        <v>253</v>
      </c>
      <c r="Y745" t="s">
        <v>235</v>
      </c>
      <c r="Z745" t="s">
        <v>236</v>
      </c>
      <c r="AA745" t="s">
        <v>253</v>
      </c>
      <c r="AB745" t="s">
        <v>1</v>
      </c>
      <c r="AC745" s="235">
        <v>-1120000</v>
      </c>
      <c r="AD745" s="235">
        <v>-19603.927874790679</v>
      </c>
      <c r="AE745">
        <v>0</v>
      </c>
      <c r="AF745">
        <v>0</v>
      </c>
      <c r="AG745">
        <v>0</v>
      </c>
      <c r="AH745" s="235">
        <v>-940.35592883535719</v>
      </c>
      <c r="AI745">
        <v>226</v>
      </c>
      <c r="AJ745" t="s">
        <v>256</v>
      </c>
      <c r="AK745">
        <v>0</v>
      </c>
      <c r="AL745">
        <v>0</v>
      </c>
      <c r="AM745">
        <v>0</v>
      </c>
    </row>
    <row r="746" spans="1:39" x14ac:dyDescent="0.25">
      <c r="A746" t="s">
        <v>233</v>
      </c>
      <c r="B746" t="s">
        <v>599</v>
      </c>
      <c r="C746" t="s">
        <v>255</v>
      </c>
      <c r="D746" t="s">
        <v>234</v>
      </c>
      <c r="E746" t="s">
        <v>20</v>
      </c>
      <c r="F746" t="s">
        <v>286</v>
      </c>
      <c r="G746" t="s">
        <v>269</v>
      </c>
      <c r="H746" t="s">
        <v>254</v>
      </c>
      <c r="I746" t="s">
        <v>242</v>
      </c>
      <c r="J746" t="s">
        <v>235</v>
      </c>
      <c r="K746" s="380">
        <v>36831</v>
      </c>
      <c r="L746" s="235">
        <v>279777.50841943105</v>
      </c>
      <c r="M746" s="380">
        <v>36829</v>
      </c>
      <c r="N746" t="s">
        <v>1</v>
      </c>
      <c r="O746">
        <v>0.5</v>
      </c>
      <c r="P746">
        <v>0</v>
      </c>
      <c r="Q746">
        <v>0</v>
      </c>
      <c r="R746">
        <v>0</v>
      </c>
      <c r="S746">
        <v>0</v>
      </c>
      <c r="T746" t="s">
        <v>253</v>
      </c>
      <c r="U746" t="s">
        <v>7</v>
      </c>
      <c r="V746" t="s">
        <v>253</v>
      </c>
      <c r="W746" t="s">
        <v>132</v>
      </c>
      <c r="X746" t="s">
        <v>253</v>
      </c>
      <c r="Y746" t="s">
        <v>235</v>
      </c>
      <c r="Z746" t="s">
        <v>236</v>
      </c>
      <c r="AA746" t="s">
        <v>253</v>
      </c>
      <c r="AB746" t="s">
        <v>1</v>
      </c>
      <c r="AC746" s="235">
        <v>2000000</v>
      </c>
      <c r="AD746" s="235">
        <v>84288.696147370851</v>
      </c>
      <c r="AE746">
        <v>0</v>
      </c>
      <c r="AF746">
        <v>0</v>
      </c>
      <c r="AG746">
        <v>0</v>
      </c>
      <c r="AH746" s="235">
        <v>-21214.029853402055</v>
      </c>
      <c r="AI746">
        <v>226</v>
      </c>
      <c r="AJ746" t="s">
        <v>256</v>
      </c>
      <c r="AK746">
        <v>0</v>
      </c>
      <c r="AL746">
        <v>0</v>
      </c>
      <c r="AM746">
        <v>0</v>
      </c>
    </row>
    <row r="747" spans="1:39" x14ac:dyDescent="0.25">
      <c r="A747" t="s">
        <v>233</v>
      </c>
      <c r="B747" t="s">
        <v>602</v>
      </c>
      <c r="C747" t="s">
        <v>255</v>
      </c>
      <c r="D747" t="s">
        <v>234</v>
      </c>
      <c r="E747" t="s">
        <v>20</v>
      </c>
      <c r="F747" t="s">
        <v>480</v>
      </c>
      <c r="G747" t="s">
        <v>269</v>
      </c>
      <c r="H747" t="s">
        <v>254</v>
      </c>
      <c r="I747" t="s">
        <v>242</v>
      </c>
      <c r="J747" t="s">
        <v>235</v>
      </c>
      <c r="K747" s="380">
        <v>36892</v>
      </c>
      <c r="L747" s="235">
        <v>-28711.89871773521</v>
      </c>
      <c r="M747" s="380">
        <v>36888</v>
      </c>
      <c r="N747" t="s">
        <v>21</v>
      </c>
      <c r="O747">
        <v>0.2</v>
      </c>
      <c r="P747">
        <v>0</v>
      </c>
      <c r="Q747">
        <v>0</v>
      </c>
      <c r="R747">
        <v>0</v>
      </c>
      <c r="S747">
        <v>0</v>
      </c>
      <c r="T747" t="s">
        <v>253</v>
      </c>
      <c r="U747" t="s">
        <v>600</v>
      </c>
      <c r="V747" t="s">
        <v>253</v>
      </c>
      <c r="W747" t="s">
        <v>132</v>
      </c>
      <c r="X747" t="s">
        <v>253</v>
      </c>
      <c r="Y747" t="s">
        <v>235</v>
      </c>
      <c r="Z747" t="s">
        <v>236</v>
      </c>
      <c r="AA747" t="s">
        <v>253</v>
      </c>
      <c r="AB747" t="s">
        <v>1</v>
      </c>
      <c r="AC747" s="235">
        <v>-1000000</v>
      </c>
      <c r="AD747" s="235">
        <v>-8458.0881351326243</v>
      </c>
      <c r="AE747">
        <v>0</v>
      </c>
      <c r="AF747">
        <v>0</v>
      </c>
      <c r="AG747">
        <v>0</v>
      </c>
      <c r="AH747" s="235">
        <v>-407.03740583587569</v>
      </c>
      <c r="AI747">
        <v>226</v>
      </c>
      <c r="AJ747" t="s">
        <v>256</v>
      </c>
      <c r="AK747">
        <v>0</v>
      </c>
      <c r="AL747">
        <v>0</v>
      </c>
      <c r="AM747">
        <v>0</v>
      </c>
    </row>
    <row r="748" spans="1:39" x14ac:dyDescent="0.25">
      <c r="A748" t="s">
        <v>233</v>
      </c>
      <c r="B748" t="s">
        <v>602</v>
      </c>
      <c r="C748" t="s">
        <v>255</v>
      </c>
      <c r="D748" t="s">
        <v>234</v>
      </c>
      <c r="E748" t="s">
        <v>20</v>
      </c>
      <c r="F748" t="s">
        <v>480</v>
      </c>
      <c r="G748" t="s">
        <v>269</v>
      </c>
      <c r="H748" t="s">
        <v>254</v>
      </c>
      <c r="I748" t="s">
        <v>242</v>
      </c>
      <c r="J748" t="s">
        <v>235</v>
      </c>
      <c r="K748" s="380">
        <v>36923</v>
      </c>
      <c r="L748" s="235">
        <v>-34991.207679824947</v>
      </c>
      <c r="M748" s="380">
        <v>36921</v>
      </c>
      <c r="N748" t="s">
        <v>21</v>
      </c>
      <c r="O748">
        <v>0.2</v>
      </c>
      <c r="P748">
        <v>0</v>
      </c>
      <c r="Q748">
        <v>0</v>
      </c>
      <c r="R748">
        <v>0</v>
      </c>
      <c r="S748">
        <v>0</v>
      </c>
      <c r="T748" t="s">
        <v>253</v>
      </c>
      <c r="U748" t="s">
        <v>600</v>
      </c>
      <c r="V748" t="s">
        <v>253</v>
      </c>
      <c r="W748" t="s">
        <v>132</v>
      </c>
      <c r="X748" t="s">
        <v>253</v>
      </c>
      <c r="Y748" t="s">
        <v>235</v>
      </c>
      <c r="Z748" t="s">
        <v>236</v>
      </c>
      <c r="AA748" t="s">
        <v>253</v>
      </c>
      <c r="AB748" t="s">
        <v>1</v>
      </c>
      <c r="AC748" s="235">
        <v>-1000000</v>
      </c>
      <c r="AD748" s="235">
        <v>-9589.1184383253567</v>
      </c>
      <c r="AE748">
        <v>0</v>
      </c>
      <c r="AF748">
        <v>0</v>
      </c>
      <c r="AG748">
        <v>0</v>
      </c>
      <c r="AH748" s="235">
        <v>-459.96601340670168</v>
      </c>
      <c r="AI748">
        <v>226</v>
      </c>
      <c r="AJ748" t="s">
        <v>256</v>
      </c>
      <c r="AK748">
        <v>0</v>
      </c>
      <c r="AL748">
        <v>0</v>
      </c>
      <c r="AM748">
        <v>0</v>
      </c>
    </row>
    <row r="749" spans="1:39" x14ac:dyDescent="0.25">
      <c r="A749" t="s">
        <v>233</v>
      </c>
      <c r="B749" t="s">
        <v>602</v>
      </c>
      <c r="C749" t="s">
        <v>255</v>
      </c>
      <c r="D749" t="s">
        <v>234</v>
      </c>
      <c r="E749" t="s">
        <v>20</v>
      </c>
      <c r="F749" t="s">
        <v>480</v>
      </c>
      <c r="G749" t="s">
        <v>269</v>
      </c>
      <c r="H749" t="s">
        <v>254</v>
      </c>
      <c r="I749" t="s">
        <v>242</v>
      </c>
      <c r="J749" t="s">
        <v>235</v>
      </c>
      <c r="K749" s="380">
        <v>36951</v>
      </c>
      <c r="L749" s="235">
        <v>-26314.057292236681</v>
      </c>
      <c r="M749" s="380">
        <v>36949</v>
      </c>
      <c r="N749" t="s">
        <v>21</v>
      </c>
      <c r="O749">
        <v>0.2</v>
      </c>
      <c r="P749">
        <v>0</v>
      </c>
      <c r="Q749">
        <v>0</v>
      </c>
      <c r="R749">
        <v>0</v>
      </c>
      <c r="S749">
        <v>0</v>
      </c>
      <c r="T749" t="s">
        <v>253</v>
      </c>
      <c r="U749" t="s">
        <v>600</v>
      </c>
      <c r="V749" t="s">
        <v>253</v>
      </c>
      <c r="W749" t="s">
        <v>132</v>
      </c>
      <c r="X749" t="s">
        <v>253</v>
      </c>
      <c r="Y749" t="s">
        <v>235</v>
      </c>
      <c r="Z749" t="s">
        <v>236</v>
      </c>
      <c r="AA749" t="s">
        <v>253</v>
      </c>
      <c r="AB749" t="s">
        <v>1</v>
      </c>
      <c r="AC749" s="235">
        <v>-1000000</v>
      </c>
      <c r="AD749" s="235">
        <v>-8714.597532602842</v>
      </c>
      <c r="AE749">
        <v>0</v>
      </c>
      <c r="AF749">
        <v>0</v>
      </c>
      <c r="AG749">
        <v>0</v>
      </c>
      <c r="AH749" s="235">
        <v>-442.50962995838927</v>
      </c>
      <c r="AI749">
        <v>226</v>
      </c>
      <c r="AJ749" t="s">
        <v>256</v>
      </c>
      <c r="AK749">
        <v>0</v>
      </c>
      <c r="AL749">
        <v>0</v>
      </c>
      <c r="AM749">
        <v>0</v>
      </c>
    </row>
    <row r="750" spans="1:39" x14ac:dyDescent="0.25">
      <c r="A750" t="s">
        <v>233</v>
      </c>
      <c r="B750" t="s">
        <v>603</v>
      </c>
      <c r="C750" t="s">
        <v>255</v>
      </c>
      <c r="D750" t="s">
        <v>234</v>
      </c>
      <c r="E750" t="s">
        <v>20</v>
      </c>
      <c r="F750" t="s">
        <v>279</v>
      </c>
      <c r="G750" t="s">
        <v>269</v>
      </c>
      <c r="H750" t="s">
        <v>254</v>
      </c>
      <c r="I750" t="s">
        <v>242</v>
      </c>
      <c r="J750" t="s">
        <v>235</v>
      </c>
      <c r="K750" s="380">
        <v>36831</v>
      </c>
      <c r="L750" s="235">
        <v>-344960.70153282431</v>
      </c>
      <c r="M750" s="380">
        <v>36829</v>
      </c>
      <c r="N750" t="s">
        <v>21</v>
      </c>
      <c r="O750">
        <v>0.4</v>
      </c>
      <c r="P750">
        <v>0</v>
      </c>
      <c r="Q750">
        <v>0</v>
      </c>
      <c r="R750">
        <v>0</v>
      </c>
      <c r="S750">
        <v>0</v>
      </c>
      <c r="T750" t="s">
        <v>253</v>
      </c>
      <c r="U750" t="s">
        <v>190</v>
      </c>
      <c r="V750" t="s">
        <v>253</v>
      </c>
      <c r="W750" t="s">
        <v>132</v>
      </c>
      <c r="X750" t="s">
        <v>253</v>
      </c>
      <c r="Y750" t="s">
        <v>235</v>
      </c>
      <c r="Z750" t="s">
        <v>236</v>
      </c>
      <c r="AA750" t="s">
        <v>253</v>
      </c>
      <c r="AB750" t="s">
        <v>1</v>
      </c>
      <c r="AC750" s="235">
        <v>-300000</v>
      </c>
      <c r="AD750" s="235">
        <v>-4619.4188960208558</v>
      </c>
      <c r="AE750">
        <v>0</v>
      </c>
      <c r="AF750">
        <v>0</v>
      </c>
      <c r="AG750">
        <v>0</v>
      </c>
      <c r="AH750" s="235">
        <v>-58223.588623615389</v>
      </c>
      <c r="AI750">
        <v>226</v>
      </c>
      <c r="AJ750" t="s">
        <v>256</v>
      </c>
      <c r="AK750">
        <v>0</v>
      </c>
      <c r="AL750">
        <v>0</v>
      </c>
      <c r="AM750">
        <v>0</v>
      </c>
    </row>
    <row r="751" spans="1:39" x14ac:dyDescent="0.25">
      <c r="A751" t="s">
        <v>233</v>
      </c>
      <c r="B751" t="s">
        <v>603</v>
      </c>
      <c r="C751" t="s">
        <v>255</v>
      </c>
      <c r="D751" t="s">
        <v>234</v>
      </c>
      <c r="E751" t="s">
        <v>20</v>
      </c>
      <c r="F751" t="s">
        <v>279</v>
      </c>
      <c r="G751" t="s">
        <v>269</v>
      </c>
      <c r="H751" t="s">
        <v>254</v>
      </c>
      <c r="I751" t="s">
        <v>242</v>
      </c>
      <c r="J751" t="s">
        <v>235</v>
      </c>
      <c r="K751" s="380">
        <v>36861</v>
      </c>
      <c r="L751" s="235">
        <v>-222093.89969716649</v>
      </c>
      <c r="M751" s="380">
        <v>36859</v>
      </c>
      <c r="N751" t="s">
        <v>21</v>
      </c>
      <c r="O751">
        <v>0.4</v>
      </c>
      <c r="P751">
        <v>0</v>
      </c>
      <c r="Q751">
        <v>0</v>
      </c>
      <c r="R751">
        <v>0</v>
      </c>
      <c r="S751">
        <v>0</v>
      </c>
      <c r="T751" t="s">
        <v>253</v>
      </c>
      <c r="U751" t="s">
        <v>190</v>
      </c>
      <c r="V751" t="s">
        <v>253</v>
      </c>
      <c r="W751" t="s">
        <v>132</v>
      </c>
      <c r="X751" t="s">
        <v>253</v>
      </c>
      <c r="Y751" t="s">
        <v>235</v>
      </c>
      <c r="Z751" t="s">
        <v>236</v>
      </c>
      <c r="AA751" t="s">
        <v>253</v>
      </c>
      <c r="AB751" t="s">
        <v>1</v>
      </c>
      <c r="AC751" s="235">
        <v>-310000</v>
      </c>
      <c r="AD751" s="235">
        <v>-15441.484431075893</v>
      </c>
      <c r="AE751">
        <v>0</v>
      </c>
      <c r="AF751">
        <v>0</v>
      </c>
      <c r="AG751">
        <v>0</v>
      </c>
      <c r="AH751" s="235">
        <v>-34229.625285559334</v>
      </c>
      <c r="AI751">
        <v>226</v>
      </c>
      <c r="AJ751" t="s">
        <v>256</v>
      </c>
      <c r="AK751">
        <v>0</v>
      </c>
      <c r="AL751">
        <v>0</v>
      </c>
      <c r="AM751">
        <v>0</v>
      </c>
    </row>
    <row r="752" spans="1:39" x14ac:dyDescent="0.25">
      <c r="A752" t="s">
        <v>233</v>
      </c>
      <c r="B752" t="s">
        <v>603</v>
      </c>
      <c r="C752" t="s">
        <v>255</v>
      </c>
      <c r="D752" t="s">
        <v>234</v>
      </c>
      <c r="E752" t="s">
        <v>20</v>
      </c>
      <c r="F752" t="s">
        <v>279</v>
      </c>
      <c r="G752" t="s">
        <v>269</v>
      </c>
      <c r="H752" t="s">
        <v>254</v>
      </c>
      <c r="I752" t="s">
        <v>242</v>
      </c>
      <c r="J752" t="s">
        <v>235</v>
      </c>
      <c r="K752" s="380">
        <v>36892</v>
      </c>
      <c r="L752" s="235">
        <v>-181062.3776460558</v>
      </c>
      <c r="M752" s="380">
        <v>36888</v>
      </c>
      <c r="N752" t="s">
        <v>21</v>
      </c>
      <c r="O752">
        <v>0.4</v>
      </c>
      <c r="P752">
        <v>0</v>
      </c>
      <c r="Q752">
        <v>0</v>
      </c>
      <c r="R752">
        <v>0</v>
      </c>
      <c r="S752">
        <v>0</v>
      </c>
      <c r="T752" t="s">
        <v>253</v>
      </c>
      <c r="U752" t="s">
        <v>190</v>
      </c>
      <c r="V752" t="s">
        <v>253</v>
      </c>
      <c r="W752" t="s">
        <v>132</v>
      </c>
      <c r="X752" t="s">
        <v>253</v>
      </c>
      <c r="Y752" t="s">
        <v>235</v>
      </c>
      <c r="Z752" t="s">
        <v>236</v>
      </c>
      <c r="AA752" t="s">
        <v>253</v>
      </c>
      <c r="AB752" t="s">
        <v>1</v>
      </c>
      <c r="AC752" s="235">
        <v>-310000</v>
      </c>
      <c r="AD752" s="235">
        <v>-21025.976765003026</v>
      </c>
      <c r="AE752">
        <v>0</v>
      </c>
      <c r="AF752">
        <v>0</v>
      </c>
      <c r="AG752">
        <v>0</v>
      </c>
      <c r="AH752" s="235">
        <v>10508.825612127577</v>
      </c>
      <c r="AI752">
        <v>226</v>
      </c>
      <c r="AJ752" t="s">
        <v>256</v>
      </c>
      <c r="AK752">
        <v>0</v>
      </c>
      <c r="AL752">
        <v>0</v>
      </c>
      <c r="AM752">
        <v>0</v>
      </c>
    </row>
    <row r="753" spans="1:39" x14ac:dyDescent="0.25">
      <c r="A753" t="s">
        <v>233</v>
      </c>
      <c r="B753" t="s">
        <v>603</v>
      </c>
      <c r="C753" t="s">
        <v>255</v>
      </c>
      <c r="D753" t="s">
        <v>234</v>
      </c>
      <c r="E753" t="s">
        <v>20</v>
      </c>
      <c r="F753" t="s">
        <v>279</v>
      </c>
      <c r="G753" t="s">
        <v>269</v>
      </c>
      <c r="H753" t="s">
        <v>254</v>
      </c>
      <c r="I753" t="s">
        <v>242</v>
      </c>
      <c r="J753" t="s">
        <v>235</v>
      </c>
      <c r="K753" s="380">
        <v>36923</v>
      </c>
      <c r="L753" s="235">
        <v>-140588.44624291998</v>
      </c>
      <c r="M753" s="380">
        <v>36921</v>
      </c>
      <c r="N753" t="s">
        <v>21</v>
      </c>
      <c r="O753">
        <v>0.4</v>
      </c>
      <c r="P753">
        <v>0</v>
      </c>
      <c r="Q753">
        <v>0</v>
      </c>
      <c r="R753">
        <v>0</v>
      </c>
      <c r="S753">
        <v>0</v>
      </c>
      <c r="T753" t="s">
        <v>253</v>
      </c>
      <c r="U753" t="s">
        <v>190</v>
      </c>
      <c r="V753" t="s">
        <v>253</v>
      </c>
      <c r="W753" t="s">
        <v>132</v>
      </c>
      <c r="X753" t="s">
        <v>253</v>
      </c>
      <c r="Y753" t="s">
        <v>235</v>
      </c>
      <c r="Z753" t="s">
        <v>236</v>
      </c>
      <c r="AA753" t="s">
        <v>253</v>
      </c>
      <c r="AB753" t="s">
        <v>1</v>
      </c>
      <c r="AC753" s="235">
        <v>-280000</v>
      </c>
      <c r="AD753" s="235">
        <v>-21815.832700492494</v>
      </c>
      <c r="AE753">
        <v>0</v>
      </c>
      <c r="AF753">
        <v>0</v>
      </c>
      <c r="AG753">
        <v>0</v>
      </c>
      <c r="AH753" s="235">
        <v>8459.0163457312156</v>
      </c>
      <c r="AI753">
        <v>226</v>
      </c>
      <c r="AJ753" t="s">
        <v>256</v>
      </c>
      <c r="AK753">
        <v>0</v>
      </c>
      <c r="AL753">
        <v>0</v>
      </c>
      <c r="AM753">
        <v>0</v>
      </c>
    </row>
    <row r="754" spans="1:39" x14ac:dyDescent="0.25">
      <c r="A754" t="s">
        <v>233</v>
      </c>
      <c r="B754" t="s">
        <v>603</v>
      </c>
      <c r="C754" t="s">
        <v>255</v>
      </c>
      <c r="D754" t="s">
        <v>234</v>
      </c>
      <c r="E754" t="s">
        <v>20</v>
      </c>
      <c r="F754" t="s">
        <v>279</v>
      </c>
      <c r="G754" t="s">
        <v>269</v>
      </c>
      <c r="H754" t="s">
        <v>254</v>
      </c>
      <c r="I754" t="s">
        <v>242</v>
      </c>
      <c r="J754" t="s">
        <v>235</v>
      </c>
      <c r="K754" s="380">
        <v>36951</v>
      </c>
      <c r="L754" s="235">
        <v>-142120.97724208553</v>
      </c>
      <c r="M754" s="380">
        <v>36949</v>
      </c>
      <c r="N754" t="s">
        <v>21</v>
      </c>
      <c r="O754">
        <v>0.4</v>
      </c>
      <c r="P754">
        <v>0</v>
      </c>
      <c r="Q754">
        <v>0</v>
      </c>
      <c r="R754">
        <v>0</v>
      </c>
      <c r="S754">
        <v>0</v>
      </c>
      <c r="T754" t="s">
        <v>253</v>
      </c>
      <c r="U754" t="s">
        <v>190</v>
      </c>
      <c r="V754" t="s">
        <v>253</v>
      </c>
      <c r="W754" t="s">
        <v>132</v>
      </c>
      <c r="X754" t="s">
        <v>253</v>
      </c>
      <c r="Y754" t="s">
        <v>235</v>
      </c>
      <c r="Z754" t="s">
        <v>236</v>
      </c>
      <c r="AA754" t="s">
        <v>253</v>
      </c>
      <c r="AB754" t="s">
        <v>1</v>
      </c>
      <c r="AC754" s="235">
        <v>-310000</v>
      </c>
      <c r="AD754" s="235">
        <v>-23448.042554167099</v>
      </c>
      <c r="AE754">
        <v>0</v>
      </c>
      <c r="AF754">
        <v>0</v>
      </c>
      <c r="AG754">
        <v>0</v>
      </c>
      <c r="AH754" s="235">
        <v>9259.0175994993187</v>
      </c>
      <c r="AI754">
        <v>226</v>
      </c>
      <c r="AJ754" t="s">
        <v>256</v>
      </c>
      <c r="AK754">
        <v>0</v>
      </c>
      <c r="AL754">
        <v>0</v>
      </c>
      <c r="AM754">
        <v>0</v>
      </c>
    </row>
    <row r="755" spans="1:39" x14ac:dyDescent="0.25">
      <c r="A755" t="s">
        <v>233</v>
      </c>
      <c r="B755" t="s">
        <v>604</v>
      </c>
      <c r="C755" t="s">
        <v>255</v>
      </c>
      <c r="D755" t="s">
        <v>234</v>
      </c>
      <c r="E755" t="s">
        <v>20</v>
      </c>
      <c r="F755" t="s">
        <v>279</v>
      </c>
      <c r="G755" t="s">
        <v>269</v>
      </c>
      <c r="H755" t="s">
        <v>254</v>
      </c>
      <c r="I755" t="s">
        <v>242</v>
      </c>
      <c r="J755" t="s">
        <v>235</v>
      </c>
      <c r="K755" s="380">
        <v>36770</v>
      </c>
      <c r="L755" s="235">
        <v>-959646.85726581584</v>
      </c>
      <c r="M755" s="380">
        <v>36768</v>
      </c>
      <c r="N755" t="s">
        <v>21</v>
      </c>
      <c r="O755">
        <v>0.9</v>
      </c>
      <c r="P755">
        <v>0</v>
      </c>
      <c r="Q755">
        <v>0</v>
      </c>
      <c r="R755">
        <v>0</v>
      </c>
      <c r="S755">
        <v>0</v>
      </c>
      <c r="T755" t="s">
        <v>253</v>
      </c>
      <c r="U755" t="s">
        <v>190</v>
      </c>
      <c r="V755" t="s">
        <v>253</v>
      </c>
      <c r="W755" t="s">
        <v>132</v>
      </c>
      <c r="X755" t="s">
        <v>253</v>
      </c>
      <c r="Y755" t="s">
        <v>235</v>
      </c>
      <c r="Z755" t="s">
        <v>236</v>
      </c>
      <c r="AA755" t="s">
        <v>253</v>
      </c>
      <c r="AB755" t="s">
        <v>1</v>
      </c>
      <c r="AC755" s="235">
        <v>-600000</v>
      </c>
      <c r="AD755" s="235">
        <v>2.3941715713590384E-2</v>
      </c>
      <c r="AE755">
        <v>0</v>
      </c>
      <c r="AF755">
        <v>0</v>
      </c>
      <c r="AG755">
        <v>0</v>
      </c>
      <c r="AH755" s="235">
        <v>-158853.89428175963</v>
      </c>
      <c r="AI755">
        <v>226</v>
      </c>
      <c r="AJ755" t="s">
        <v>256</v>
      </c>
      <c r="AK755">
        <v>0</v>
      </c>
      <c r="AL755">
        <v>0</v>
      </c>
      <c r="AM755">
        <v>0</v>
      </c>
    </row>
    <row r="756" spans="1:39" x14ac:dyDescent="0.25">
      <c r="A756" t="s">
        <v>233</v>
      </c>
      <c r="B756" t="s">
        <v>605</v>
      </c>
      <c r="C756" t="s">
        <v>255</v>
      </c>
      <c r="D756" t="s">
        <v>234</v>
      </c>
      <c r="E756" t="s">
        <v>20</v>
      </c>
      <c r="F756" t="s">
        <v>399</v>
      </c>
      <c r="G756" t="s">
        <v>269</v>
      </c>
      <c r="H756" t="s">
        <v>254</v>
      </c>
      <c r="I756" t="s">
        <v>242</v>
      </c>
      <c r="J756" t="s">
        <v>235</v>
      </c>
      <c r="K756" s="380">
        <v>36800</v>
      </c>
      <c r="L756" s="235">
        <v>367570.41808997397</v>
      </c>
      <c r="M756" s="380">
        <v>36797</v>
      </c>
      <c r="N756" t="s">
        <v>21</v>
      </c>
      <c r="O756">
        <v>0.8</v>
      </c>
      <c r="P756">
        <v>0</v>
      </c>
      <c r="Q756">
        <v>0</v>
      </c>
      <c r="R756">
        <v>0</v>
      </c>
      <c r="S756">
        <v>0</v>
      </c>
      <c r="T756" t="s">
        <v>253</v>
      </c>
      <c r="U756" t="s">
        <v>190</v>
      </c>
      <c r="V756" t="s">
        <v>253</v>
      </c>
      <c r="W756" t="s">
        <v>132</v>
      </c>
      <c r="X756" t="s">
        <v>253</v>
      </c>
      <c r="Y756" t="s">
        <v>235</v>
      </c>
      <c r="Z756" t="s">
        <v>236</v>
      </c>
      <c r="AA756" t="s">
        <v>253</v>
      </c>
      <c r="AB756" t="s">
        <v>1</v>
      </c>
      <c r="AC756" s="235">
        <v>310000</v>
      </c>
      <c r="AD756" s="235">
        <v>999.76571109413635</v>
      </c>
      <c r="AE756">
        <v>0</v>
      </c>
      <c r="AF756">
        <v>0</v>
      </c>
      <c r="AG756">
        <v>0</v>
      </c>
      <c r="AH756" s="235">
        <v>-12116.395101550734</v>
      </c>
      <c r="AI756">
        <v>226</v>
      </c>
      <c r="AJ756" t="s">
        <v>256</v>
      </c>
      <c r="AK756">
        <v>0</v>
      </c>
      <c r="AL756">
        <v>0</v>
      </c>
      <c r="AM756">
        <v>0</v>
      </c>
    </row>
    <row r="757" spans="1:39" x14ac:dyDescent="0.25">
      <c r="A757" t="s">
        <v>233</v>
      </c>
      <c r="B757" t="s">
        <v>606</v>
      </c>
      <c r="C757" t="s">
        <v>255</v>
      </c>
      <c r="D757" t="s">
        <v>234</v>
      </c>
      <c r="E757" t="s">
        <v>20</v>
      </c>
      <c r="F757" t="s">
        <v>279</v>
      </c>
      <c r="G757" t="s">
        <v>269</v>
      </c>
      <c r="H757" t="s">
        <v>254</v>
      </c>
      <c r="I757" t="s">
        <v>242</v>
      </c>
      <c r="J757" t="s">
        <v>235</v>
      </c>
      <c r="K757" s="380">
        <v>36831</v>
      </c>
      <c r="L757" s="235">
        <v>3904.5421016836558</v>
      </c>
      <c r="M757" s="380">
        <v>36829</v>
      </c>
      <c r="N757" t="s">
        <v>1</v>
      </c>
      <c r="O757">
        <v>0.3</v>
      </c>
      <c r="P757">
        <v>0</v>
      </c>
      <c r="Q757">
        <v>0</v>
      </c>
      <c r="R757">
        <v>0</v>
      </c>
      <c r="S757">
        <v>0</v>
      </c>
      <c r="T757" t="s">
        <v>253</v>
      </c>
      <c r="U757" t="s">
        <v>190</v>
      </c>
      <c r="V757" t="s">
        <v>253</v>
      </c>
      <c r="W757" t="s">
        <v>132</v>
      </c>
      <c r="X757" t="s">
        <v>253</v>
      </c>
      <c r="Y757" t="s">
        <v>235</v>
      </c>
      <c r="Z757" t="s">
        <v>236</v>
      </c>
      <c r="AA757" t="s">
        <v>253</v>
      </c>
      <c r="AB757" t="s">
        <v>1</v>
      </c>
      <c r="AC757" s="235">
        <v>300000</v>
      </c>
      <c r="AD757" s="235">
        <v>3687.5687542617616</v>
      </c>
      <c r="AE757">
        <v>0</v>
      </c>
      <c r="AF757">
        <v>0</v>
      </c>
      <c r="AG757">
        <v>0</v>
      </c>
      <c r="AH757" s="235">
        <v>-3015.4548788345001</v>
      </c>
      <c r="AI757">
        <v>226</v>
      </c>
      <c r="AJ757" t="s">
        <v>256</v>
      </c>
      <c r="AK757">
        <v>0</v>
      </c>
      <c r="AL757">
        <v>0</v>
      </c>
      <c r="AM757">
        <v>0</v>
      </c>
    </row>
    <row r="758" spans="1:39" x14ac:dyDescent="0.25">
      <c r="A758" t="s">
        <v>233</v>
      </c>
      <c r="B758" t="s">
        <v>606</v>
      </c>
      <c r="C758" t="s">
        <v>255</v>
      </c>
      <c r="D758" t="s">
        <v>234</v>
      </c>
      <c r="E758" t="s">
        <v>20</v>
      </c>
      <c r="F758" t="s">
        <v>279</v>
      </c>
      <c r="G758" t="s">
        <v>269</v>
      </c>
      <c r="H758" t="s">
        <v>254</v>
      </c>
      <c r="I758" t="s">
        <v>242</v>
      </c>
      <c r="J758" t="s">
        <v>235</v>
      </c>
      <c r="K758" s="380">
        <v>36861</v>
      </c>
      <c r="L758" s="235">
        <v>30745.205487798255</v>
      </c>
      <c r="M758" s="380">
        <v>36859</v>
      </c>
      <c r="N758" t="s">
        <v>1</v>
      </c>
      <c r="O758">
        <v>0.3</v>
      </c>
      <c r="P758">
        <v>0</v>
      </c>
      <c r="Q758">
        <v>0</v>
      </c>
      <c r="R758">
        <v>0</v>
      </c>
      <c r="S758">
        <v>0</v>
      </c>
      <c r="T758" t="s">
        <v>253</v>
      </c>
      <c r="U758" t="s">
        <v>190</v>
      </c>
      <c r="V758" t="s">
        <v>253</v>
      </c>
      <c r="W758" t="s">
        <v>132</v>
      </c>
      <c r="X758" t="s">
        <v>253</v>
      </c>
      <c r="Y758" t="s">
        <v>235</v>
      </c>
      <c r="Z758" t="s">
        <v>236</v>
      </c>
      <c r="AA758" t="s">
        <v>253</v>
      </c>
      <c r="AB758" t="s">
        <v>1</v>
      </c>
      <c r="AC758" s="235">
        <v>310000</v>
      </c>
      <c r="AD758" s="235">
        <v>14191.634382948978</v>
      </c>
      <c r="AE758">
        <v>0</v>
      </c>
      <c r="AF758">
        <v>0</v>
      </c>
      <c r="AG758">
        <v>0</v>
      </c>
      <c r="AH758" s="235">
        <v>-8415.4942895005443</v>
      </c>
      <c r="AI758">
        <v>226</v>
      </c>
      <c r="AJ758" t="s">
        <v>256</v>
      </c>
      <c r="AK758">
        <v>0</v>
      </c>
      <c r="AL758">
        <v>0</v>
      </c>
      <c r="AM758">
        <v>0</v>
      </c>
    </row>
    <row r="759" spans="1:39" x14ac:dyDescent="0.25">
      <c r="A759" t="s">
        <v>233</v>
      </c>
      <c r="B759" t="s">
        <v>606</v>
      </c>
      <c r="C759" t="s">
        <v>255</v>
      </c>
      <c r="D759" t="s">
        <v>234</v>
      </c>
      <c r="E759" t="s">
        <v>20</v>
      </c>
      <c r="F759" t="s">
        <v>279</v>
      </c>
      <c r="G759" t="s">
        <v>269</v>
      </c>
      <c r="H759" t="s">
        <v>254</v>
      </c>
      <c r="I759" t="s">
        <v>242</v>
      </c>
      <c r="J759" t="s">
        <v>235</v>
      </c>
      <c r="K759" s="380">
        <v>36892</v>
      </c>
      <c r="L759" s="235">
        <v>59334.577122953677</v>
      </c>
      <c r="M759" s="380">
        <v>36888</v>
      </c>
      <c r="N759" t="s">
        <v>1</v>
      </c>
      <c r="O759">
        <v>0.3</v>
      </c>
      <c r="P759">
        <v>0</v>
      </c>
      <c r="Q759">
        <v>0</v>
      </c>
      <c r="R759">
        <v>0</v>
      </c>
      <c r="S759">
        <v>0</v>
      </c>
      <c r="T759" t="s">
        <v>253</v>
      </c>
      <c r="U759" t="s">
        <v>190</v>
      </c>
      <c r="V759" t="s">
        <v>253</v>
      </c>
      <c r="W759" t="s">
        <v>132</v>
      </c>
      <c r="X759" t="s">
        <v>253</v>
      </c>
      <c r="Y759" t="s">
        <v>235</v>
      </c>
      <c r="Z759" t="s">
        <v>236</v>
      </c>
      <c r="AA759" t="s">
        <v>253</v>
      </c>
      <c r="AB759" t="s">
        <v>1</v>
      </c>
      <c r="AC759" s="235">
        <v>310000</v>
      </c>
      <c r="AD759" s="235">
        <v>20193.731990137108</v>
      </c>
      <c r="AE759">
        <v>0</v>
      </c>
      <c r="AF759">
        <v>0</v>
      </c>
      <c r="AG759">
        <v>0</v>
      </c>
      <c r="AH759" s="235">
        <v>5505.7451221925512</v>
      </c>
      <c r="AI759">
        <v>226</v>
      </c>
      <c r="AJ759" t="s">
        <v>256</v>
      </c>
      <c r="AK759">
        <v>0</v>
      </c>
      <c r="AL759">
        <v>0</v>
      </c>
      <c r="AM759">
        <v>0</v>
      </c>
    </row>
    <row r="760" spans="1:39" x14ac:dyDescent="0.25">
      <c r="A760" t="s">
        <v>233</v>
      </c>
      <c r="B760" t="s">
        <v>606</v>
      </c>
      <c r="C760" t="s">
        <v>255</v>
      </c>
      <c r="D760" t="s">
        <v>234</v>
      </c>
      <c r="E760" t="s">
        <v>20</v>
      </c>
      <c r="F760" t="s">
        <v>279</v>
      </c>
      <c r="G760" t="s">
        <v>269</v>
      </c>
      <c r="H760" t="s">
        <v>254</v>
      </c>
      <c r="I760" t="s">
        <v>242</v>
      </c>
      <c r="J760" t="s">
        <v>235</v>
      </c>
      <c r="K760" s="380">
        <v>36923</v>
      </c>
      <c r="L760" s="235">
        <v>70374.651212433484</v>
      </c>
      <c r="M760" s="380">
        <v>36921</v>
      </c>
      <c r="N760" t="s">
        <v>1</v>
      </c>
      <c r="O760">
        <v>0.3</v>
      </c>
      <c r="P760">
        <v>0</v>
      </c>
      <c r="Q760">
        <v>0</v>
      </c>
      <c r="R760">
        <v>0</v>
      </c>
      <c r="S760">
        <v>0</v>
      </c>
      <c r="T760" t="s">
        <v>253</v>
      </c>
      <c r="U760" t="s">
        <v>190</v>
      </c>
      <c r="V760" t="s">
        <v>253</v>
      </c>
      <c r="W760" t="s">
        <v>132</v>
      </c>
      <c r="X760" t="s">
        <v>253</v>
      </c>
      <c r="Y760" t="s">
        <v>235</v>
      </c>
      <c r="Z760" t="s">
        <v>236</v>
      </c>
      <c r="AA760" t="s">
        <v>253</v>
      </c>
      <c r="AB760" t="s">
        <v>1</v>
      </c>
      <c r="AC760" s="235">
        <v>280000</v>
      </c>
      <c r="AD760" s="235">
        <v>21346.926483571675</v>
      </c>
      <c r="AE760">
        <v>0</v>
      </c>
      <c r="AF760">
        <v>0</v>
      </c>
      <c r="AG760">
        <v>0</v>
      </c>
      <c r="AH760" s="235">
        <v>5904.3885480566823</v>
      </c>
      <c r="AI760">
        <v>226</v>
      </c>
      <c r="AJ760" t="s">
        <v>256</v>
      </c>
      <c r="AK760">
        <v>0</v>
      </c>
      <c r="AL760">
        <v>0</v>
      </c>
      <c r="AM760">
        <v>0</v>
      </c>
    </row>
    <row r="761" spans="1:39" x14ac:dyDescent="0.25">
      <c r="A761" t="s">
        <v>233</v>
      </c>
      <c r="B761" t="s">
        <v>606</v>
      </c>
      <c r="C761" t="s">
        <v>255</v>
      </c>
      <c r="D761" t="s">
        <v>234</v>
      </c>
      <c r="E761" t="s">
        <v>20</v>
      </c>
      <c r="F761" t="s">
        <v>279</v>
      </c>
      <c r="G761" t="s">
        <v>269</v>
      </c>
      <c r="H761" t="s">
        <v>254</v>
      </c>
      <c r="I761" t="s">
        <v>242</v>
      </c>
      <c r="J761" t="s">
        <v>235</v>
      </c>
      <c r="K761" s="380">
        <v>36951</v>
      </c>
      <c r="L761" s="235">
        <v>70776.993078124957</v>
      </c>
      <c r="M761" s="380">
        <v>36949</v>
      </c>
      <c r="N761" t="s">
        <v>1</v>
      </c>
      <c r="O761">
        <v>0.3</v>
      </c>
      <c r="P761">
        <v>0</v>
      </c>
      <c r="Q761">
        <v>0</v>
      </c>
      <c r="R761">
        <v>0</v>
      </c>
      <c r="S761">
        <v>0</v>
      </c>
      <c r="T761" t="s">
        <v>253</v>
      </c>
      <c r="U761" t="s">
        <v>190</v>
      </c>
      <c r="V761" t="s">
        <v>253</v>
      </c>
      <c r="W761" t="s">
        <v>132</v>
      </c>
      <c r="X761" t="s">
        <v>253</v>
      </c>
      <c r="Y761" t="s">
        <v>235</v>
      </c>
      <c r="Z761" t="s">
        <v>236</v>
      </c>
      <c r="AA761" t="s">
        <v>253</v>
      </c>
      <c r="AB761" t="s">
        <v>1</v>
      </c>
      <c r="AC761" s="235">
        <v>310000</v>
      </c>
      <c r="AD761" s="235">
        <v>22901.806928569466</v>
      </c>
      <c r="AE761">
        <v>0</v>
      </c>
      <c r="AF761">
        <v>0</v>
      </c>
      <c r="AG761">
        <v>0</v>
      </c>
      <c r="AH761" s="235">
        <v>6499.6972813497632</v>
      </c>
      <c r="AI761">
        <v>226</v>
      </c>
      <c r="AJ761" t="s">
        <v>256</v>
      </c>
      <c r="AK761">
        <v>0</v>
      </c>
      <c r="AL761">
        <v>0</v>
      </c>
      <c r="AM761">
        <v>0</v>
      </c>
    </row>
    <row r="762" spans="1:39" x14ac:dyDescent="0.25">
      <c r="A762" t="s">
        <v>233</v>
      </c>
      <c r="B762" t="s">
        <v>607</v>
      </c>
      <c r="C762" t="s">
        <v>255</v>
      </c>
      <c r="D762" t="s">
        <v>234</v>
      </c>
      <c r="E762" t="s">
        <v>20</v>
      </c>
      <c r="F762" t="s">
        <v>279</v>
      </c>
      <c r="G762" t="s">
        <v>269</v>
      </c>
      <c r="H762" t="s">
        <v>254</v>
      </c>
      <c r="I762" t="s">
        <v>242</v>
      </c>
      <c r="J762" t="s">
        <v>235</v>
      </c>
      <c r="K762" s="380">
        <v>36831</v>
      </c>
      <c r="L762" s="235">
        <v>290543.69672641816</v>
      </c>
      <c r="M762" s="380">
        <v>36829</v>
      </c>
      <c r="N762" t="s">
        <v>21</v>
      </c>
      <c r="O762">
        <v>0.6</v>
      </c>
      <c r="P762">
        <v>0</v>
      </c>
      <c r="Q762">
        <v>0</v>
      </c>
      <c r="R762">
        <v>0</v>
      </c>
      <c r="S762">
        <v>0</v>
      </c>
      <c r="T762" t="s">
        <v>253</v>
      </c>
      <c r="U762" t="s">
        <v>190</v>
      </c>
      <c r="V762" t="s">
        <v>253</v>
      </c>
      <c r="W762" t="s">
        <v>132</v>
      </c>
      <c r="X762" t="s">
        <v>253</v>
      </c>
      <c r="Y762" t="s">
        <v>235</v>
      </c>
      <c r="Z762" t="s">
        <v>236</v>
      </c>
      <c r="AA762" t="s">
        <v>253</v>
      </c>
      <c r="AB762" t="s">
        <v>1</v>
      </c>
      <c r="AC762" s="235">
        <v>300000</v>
      </c>
      <c r="AD762" s="235">
        <v>6826.6146960596088</v>
      </c>
      <c r="AE762">
        <v>0</v>
      </c>
      <c r="AF762">
        <v>0</v>
      </c>
      <c r="AG762">
        <v>0</v>
      </c>
      <c r="AH762" s="235">
        <v>55483.608690332389</v>
      </c>
      <c r="AI762">
        <v>226</v>
      </c>
      <c r="AJ762" t="s">
        <v>256</v>
      </c>
      <c r="AK762">
        <v>0</v>
      </c>
      <c r="AL762">
        <v>0</v>
      </c>
      <c r="AM762">
        <v>0</v>
      </c>
    </row>
    <row r="763" spans="1:39" x14ac:dyDescent="0.25">
      <c r="A763" t="s">
        <v>233</v>
      </c>
      <c r="B763" t="s">
        <v>607</v>
      </c>
      <c r="C763" t="s">
        <v>255</v>
      </c>
      <c r="D763" t="s">
        <v>234</v>
      </c>
      <c r="E763" t="s">
        <v>20</v>
      </c>
      <c r="F763" t="s">
        <v>279</v>
      </c>
      <c r="G763" t="s">
        <v>269</v>
      </c>
      <c r="H763" t="s">
        <v>254</v>
      </c>
      <c r="I763" t="s">
        <v>242</v>
      </c>
      <c r="J763" t="s">
        <v>235</v>
      </c>
      <c r="K763" s="380">
        <v>36861</v>
      </c>
      <c r="L763" s="235">
        <v>179035.05252991899</v>
      </c>
      <c r="M763" s="380">
        <v>36859</v>
      </c>
      <c r="N763" t="s">
        <v>21</v>
      </c>
      <c r="O763">
        <v>0.6</v>
      </c>
      <c r="P763">
        <v>0</v>
      </c>
      <c r="Q763">
        <v>0</v>
      </c>
      <c r="R763">
        <v>0</v>
      </c>
      <c r="S763">
        <v>0</v>
      </c>
      <c r="T763" t="s">
        <v>253</v>
      </c>
      <c r="U763" t="s">
        <v>190</v>
      </c>
      <c r="V763" t="s">
        <v>253</v>
      </c>
      <c r="W763" t="s">
        <v>132</v>
      </c>
      <c r="X763" t="s">
        <v>253</v>
      </c>
      <c r="Y763" t="s">
        <v>235</v>
      </c>
      <c r="Z763" t="s">
        <v>236</v>
      </c>
      <c r="AA763" t="s">
        <v>253</v>
      </c>
      <c r="AB763" t="s">
        <v>1</v>
      </c>
      <c r="AC763" s="235">
        <v>310000</v>
      </c>
      <c r="AD763" s="235">
        <v>17477.161782776384</v>
      </c>
      <c r="AE763">
        <v>0</v>
      </c>
      <c r="AF763">
        <v>0</v>
      </c>
      <c r="AG763">
        <v>0</v>
      </c>
      <c r="AH763" s="235">
        <v>30811.668951182015</v>
      </c>
      <c r="AI763">
        <v>226</v>
      </c>
      <c r="AJ763" t="s">
        <v>256</v>
      </c>
      <c r="AK763">
        <v>0</v>
      </c>
      <c r="AL763">
        <v>0</v>
      </c>
      <c r="AM763">
        <v>0</v>
      </c>
    </row>
    <row r="764" spans="1:39" x14ac:dyDescent="0.25">
      <c r="A764" t="s">
        <v>233</v>
      </c>
      <c r="B764" t="s">
        <v>607</v>
      </c>
      <c r="C764" t="s">
        <v>255</v>
      </c>
      <c r="D764" t="s">
        <v>234</v>
      </c>
      <c r="E764" t="s">
        <v>20</v>
      </c>
      <c r="F764" t="s">
        <v>279</v>
      </c>
      <c r="G764" t="s">
        <v>269</v>
      </c>
      <c r="H764" t="s">
        <v>254</v>
      </c>
      <c r="I764" t="s">
        <v>242</v>
      </c>
      <c r="J764" t="s">
        <v>235</v>
      </c>
      <c r="K764" s="380">
        <v>36892</v>
      </c>
      <c r="L764" s="235">
        <v>145219.01023012589</v>
      </c>
      <c r="M764" s="380">
        <v>36888</v>
      </c>
      <c r="N764" t="s">
        <v>21</v>
      </c>
      <c r="O764">
        <v>0.6</v>
      </c>
      <c r="P764">
        <v>0</v>
      </c>
      <c r="Q764">
        <v>0</v>
      </c>
      <c r="R764">
        <v>0</v>
      </c>
      <c r="S764">
        <v>0</v>
      </c>
      <c r="T764" t="s">
        <v>253</v>
      </c>
      <c r="U764" t="s">
        <v>190</v>
      </c>
      <c r="V764" t="s">
        <v>253</v>
      </c>
      <c r="W764" t="s">
        <v>132</v>
      </c>
      <c r="X764" t="s">
        <v>253</v>
      </c>
      <c r="Y764" t="s">
        <v>235</v>
      </c>
      <c r="Z764" t="s">
        <v>236</v>
      </c>
      <c r="AA764" t="s">
        <v>253</v>
      </c>
      <c r="AB764" t="s">
        <v>1</v>
      </c>
      <c r="AC764" s="235">
        <v>310000</v>
      </c>
      <c r="AD764" s="235">
        <v>21980.81979596155</v>
      </c>
      <c r="AE764">
        <v>0</v>
      </c>
      <c r="AF764">
        <v>0</v>
      </c>
      <c r="AG764">
        <v>0</v>
      </c>
      <c r="AH764" s="235">
        <v>-9175.037125441886</v>
      </c>
      <c r="AI764">
        <v>226</v>
      </c>
      <c r="AJ764" t="s">
        <v>256</v>
      </c>
      <c r="AK764">
        <v>0</v>
      </c>
      <c r="AL764">
        <v>0</v>
      </c>
      <c r="AM764">
        <v>0</v>
      </c>
    </row>
    <row r="765" spans="1:39" x14ac:dyDescent="0.25">
      <c r="A765" t="s">
        <v>233</v>
      </c>
      <c r="B765" t="s">
        <v>607</v>
      </c>
      <c r="C765" t="s">
        <v>255</v>
      </c>
      <c r="D765" t="s">
        <v>234</v>
      </c>
      <c r="E765" t="s">
        <v>20</v>
      </c>
      <c r="F765" t="s">
        <v>279</v>
      </c>
      <c r="G765" t="s">
        <v>269</v>
      </c>
      <c r="H765" t="s">
        <v>254</v>
      </c>
      <c r="I765" t="s">
        <v>242</v>
      </c>
      <c r="J765" t="s">
        <v>235</v>
      </c>
      <c r="K765" s="380">
        <v>36923</v>
      </c>
      <c r="L765" s="235">
        <v>111996.56415330633</v>
      </c>
      <c r="M765" s="380">
        <v>36921</v>
      </c>
      <c r="N765" t="s">
        <v>21</v>
      </c>
      <c r="O765">
        <v>0.6</v>
      </c>
      <c r="P765">
        <v>0</v>
      </c>
      <c r="Q765">
        <v>0</v>
      </c>
      <c r="R765">
        <v>0</v>
      </c>
      <c r="S765">
        <v>0</v>
      </c>
      <c r="T765" t="s">
        <v>253</v>
      </c>
      <c r="U765" t="s">
        <v>190</v>
      </c>
      <c r="V765" t="s">
        <v>253</v>
      </c>
      <c r="W765" t="s">
        <v>132</v>
      </c>
      <c r="X765" t="s">
        <v>253</v>
      </c>
      <c r="Y765" t="s">
        <v>235</v>
      </c>
      <c r="Z765" t="s">
        <v>236</v>
      </c>
      <c r="AA765" t="s">
        <v>253</v>
      </c>
      <c r="AB765" t="s">
        <v>1</v>
      </c>
      <c r="AC765" s="235">
        <v>280000</v>
      </c>
      <c r="AD765" s="235">
        <v>22019.783394433762</v>
      </c>
      <c r="AE765">
        <v>0</v>
      </c>
      <c r="AF765">
        <v>0</v>
      </c>
      <c r="AG765">
        <v>0</v>
      </c>
      <c r="AH765" s="235">
        <v>-7277.562804295143</v>
      </c>
      <c r="AI765">
        <v>226</v>
      </c>
      <c r="AJ765" t="s">
        <v>256</v>
      </c>
      <c r="AK765">
        <v>0</v>
      </c>
      <c r="AL765">
        <v>0</v>
      </c>
      <c r="AM765">
        <v>0</v>
      </c>
    </row>
    <row r="766" spans="1:39" x14ac:dyDescent="0.25">
      <c r="A766" t="s">
        <v>233</v>
      </c>
      <c r="B766" t="s">
        <v>607</v>
      </c>
      <c r="C766" t="s">
        <v>255</v>
      </c>
      <c r="D766" t="s">
        <v>234</v>
      </c>
      <c r="E766" t="s">
        <v>20</v>
      </c>
      <c r="F766" t="s">
        <v>279</v>
      </c>
      <c r="G766" t="s">
        <v>269</v>
      </c>
      <c r="H766" t="s">
        <v>254</v>
      </c>
      <c r="I766" t="s">
        <v>242</v>
      </c>
      <c r="J766" t="s">
        <v>235</v>
      </c>
      <c r="K766" s="380">
        <v>36951</v>
      </c>
      <c r="L766" s="235">
        <v>110981.22367231153</v>
      </c>
      <c r="M766" s="380">
        <v>36949</v>
      </c>
      <c r="N766" t="s">
        <v>21</v>
      </c>
      <c r="O766">
        <v>0.6</v>
      </c>
      <c r="P766">
        <v>0</v>
      </c>
      <c r="Q766">
        <v>0</v>
      </c>
      <c r="R766">
        <v>0</v>
      </c>
      <c r="S766">
        <v>0</v>
      </c>
      <c r="T766" t="s">
        <v>253</v>
      </c>
      <c r="U766" t="s">
        <v>190</v>
      </c>
      <c r="V766" t="s">
        <v>253</v>
      </c>
      <c r="W766" t="s">
        <v>132</v>
      </c>
      <c r="X766" t="s">
        <v>253</v>
      </c>
      <c r="Y766" t="s">
        <v>235</v>
      </c>
      <c r="Z766" t="s">
        <v>236</v>
      </c>
      <c r="AA766" t="s">
        <v>253</v>
      </c>
      <c r="AB766" t="s">
        <v>1</v>
      </c>
      <c r="AC766" s="235">
        <v>310000</v>
      </c>
      <c r="AD766" s="235">
        <v>23618.676072671136</v>
      </c>
      <c r="AE766">
        <v>0</v>
      </c>
      <c r="AF766">
        <v>0</v>
      </c>
      <c r="AG766">
        <v>0</v>
      </c>
      <c r="AH766" s="235">
        <v>-7843.4059790487227</v>
      </c>
      <c r="AI766">
        <v>226</v>
      </c>
      <c r="AJ766" t="s">
        <v>256</v>
      </c>
      <c r="AK766">
        <v>0</v>
      </c>
      <c r="AL766">
        <v>0</v>
      </c>
      <c r="AM766">
        <v>0</v>
      </c>
    </row>
    <row r="767" spans="1:39" x14ac:dyDescent="0.25">
      <c r="A767" t="s">
        <v>233</v>
      </c>
      <c r="B767" t="s">
        <v>608</v>
      </c>
      <c r="C767" t="s">
        <v>255</v>
      </c>
      <c r="D767" t="s">
        <v>234</v>
      </c>
      <c r="E767" t="s">
        <v>20</v>
      </c>
      <c r="F767" t="s">
        <v>383</v>
      </c>
      <c r="G767" t="s">
        <v>269</v>
      </c>
      <c r="H767" t="s">
        <v>254</v>
      </c>
      <c r="I767" t="s">
        <v>242</v>
      </c>
      <c r="J767" t="s">
        <v>235</v>
      </c>
      <c r="K767" s="380">
        <v>36831</v>
      </c>
      <c r="L767" s="235">
        <v>-4650.1575587453335</v>
      </c>
      <c r="M767" s="380">
        <v>36829</v>
      </c>
      <c r="N767" t="s">
        <v>21</v>
      </c>
      <c r="O767">
        <v>0.15</v>
      </c>
      <c r="P767">
        <v>0</v>
      </c>
      <c r="Q767">
        <v>0</v>
      </c>
      <c r="R767">
        <v>0</v>
      </c>
      <c r="S767">
        <v>0</v>
      </c>
      <c r="T767" t="s">
        <v>253</v>
      </c>
      <c r="U767" t="s">
        <v>600</v>
      </c>
      <c r="V767" t="s">
        <v>253</v>
      </c>
      <c r="W767" t="s">
        <v>132</v>
      </c>
      <c r="X767" t="s">
        <v>253</v>
      </c>
      <c r="Y767" t="s">
        <v>235</v>
      </c>
      <c r="Z767" t="s">
        <v>236</v>
      </c>
      <c r="AA767" t="s">
        <v>253</v>
      </c>
      <c r="AB767" t="s">
        <v>1</v>
      </c>
      <c r="AC767" s="235">
        <v>-300000</v>
      </c>
      <c r="AD767" s="235">
        <v>-1734.9822694649774</v>
      </c>
      <c r="AE767">
        <v>0</v>
      </c>
      <c r="AF767">
        <v>0</v>
      </c>
      <c r="AG767">
        <v>0</v>
      </c>
      <c r="AH767" s="235">
        <v>-93.596215675597705</v>
      </c>
      <c r="AI767">
        <v>226</v>
      </c>
      <c r="AJ767" t="s">
        <v>256</v>
      </c>
      <c r="AK767">
        <v>0</v>
      </c>
      <c r="AL767">
        <v>0</v>
      </c>
      <c r="AM767">
        <v>0</v>
      </c>
    </row>
    <row r="768" spans="1:39" x14ac:dyDescent="0.25">
      <c r="A768" t="s">
        <v>233</v>
      </c>
      <c r="B768" t="s">
        <v>608</v>
      </c>
      <c r="C768" t="s">
        <v>255</v>
      </c>
      <c r="D768" t="s">
        <v>234</v>
      </c>
      <c r="E768" t="s">
        <v>20</v>
      </c>
      <c r="F768" t="s">
        <v>383</v>
      </c>
      <c r="G768" t="s">
        <v>269</v>
      </c>
      <c r="H768" t="s">
        <v>254</v>
      </c>
      <c r="I768" t="s">
        <v>242</v>
      </c>
      <c r="J768" t="s">
        <v>235</v>
      </c>
      <c r="K768" s="380">
        <v>36861</v>
      </c>
      <c r="L768" s="235">
        <v>-8475.9519561765992</v>
      </c>
      <c r="M768" s="380">
        <v>36859</v>
      </c>
      <c r="N768" t="s">
        <v>21</v>
      </c>
      <c r="O768">
        <v>0.15</v>
      </c>
      <c r="P768">
        <v>0</v>
      </c>
      <c r="Q768">
        <v>0</v>
      </c>
      <c r="R768">
        <v>0</v>
      </c>
      <c r="S768">
        <v>0</v>
      </c>
      <c r="T768" t="s">
        <v>253</v>
      </c>
      <c r="U768" t="s">
        <v>600</v>
      </c>
      <c r="V768" t="s">
        <v>253</v>
      </c>
      <c r="W768" t="s">
        <v>132</v>
      </c>
      <c r="X768" t="s">
        <v>253</v>
      </c>
      <c r="Y768" t="s">
        <v>235</v>
      </c>
      <c r="Z768" t="s">
        <v>236</v>
      </c>
      <c r="AA768" t="s">
        <v>253</v>
      </c>
      <c r="AB768" t="s">
        <v>1</v>
      </c>
      <c r="AC768" s="235">
        <v>-310000</v>
      </c>
      <c r="AD768" s="235">
        <v>-2456.5757758719556</v>
      </c>
      <c r="AE768">
        <v>0</v>
      </c>
      <c r="AF768">
        <v>0</v>
      </c>
      <c r="AG768">
        <v>0</v>
      </c>
      <c r="AH768" s="235">
        <v>-123.68154086010327</v>
      </c>
      <c r="AI768">
        <v>226</v>
      </c>
      <c r="AJ768" t="s">
        <v>256</v>
      </c>
      <c r="AK768">
        <v>0</v>
      </c>
      <c r="AL768">
        <v>0</v>
      </c>
      <c r="AM768">
        <v>0</v>
      </c>
    </row>
    <row r="769" spans="1:39" x14ac:dyDescent="0.25">
      <c r="A769" t="s">
        <v>233</v>
      </c>
      <c r="B769" t="s">
        <v>608</v>
      </c>
      <c r="C769" t="s">
        <v>255</v>
      </c>
      <c r="D769" t="s">
        <v>234</v>
      </c>
      <c r="E769" t="s">
        <v>20</v>
      </c>
      <c r="F769" t="s">
        <v>383</v>
      </c>
      <c r="G769" t="s">
        <v>269</v>
      </c>
      <c r="H769" t="s">
        <v>254</v>
      </c>
      <c r="I769" t="s">
        <v>242</v>
      </c>
      <c r="J769" t="s">
        <v>235</v>
      </c>
      <c r="K769" s="380">
        <v>36892</v>
      </c>
      <c r="L769" s="235">
        <v>-13795.943631902166</v>
      </c>
      <c r="M769" s="380">
        <v>36888</v>
      </c>
      <c r="N769" t="s">
        <v>21</v>
      </c>
      <c r="O769">
        <v>0.15</v>
      </c>
      <c r="P769">
        <v>0</v>
      </c>
      <c r="Q769">
        <v>0</v>
      </c>
      <c r="R769">
        <v>0</v>
      </c>
      <c r="S769">
        <v>0</v>
      </c>
      <c r="T769" t="s">
        <v>253</v>
      </c>
      <c r="U769" t="s">
        <v>600</v>
      </c>
      <c r="V769" t="s">
        <v>253</v>
      </c>
      <c r="W769" t="s">
        <v>132</v>
      </c>
      <c r="X769" t="s">
        <v>253</v>
      </c>
      <c r="Y769" t="s">
        <v>235</v>
      </c>
      <c r="Z769" t="s">
        <v>236</v>
      </c>
      <c r="AA769" t="s">
        <v>253</v>
      </c>
      <c r="AB769" t="s">
        <v>1</v>
      </c>
      <c r="AC769" s="235">
        <v>-310000</v>
      </c>
      <c r="AD769" s="235">
        <v>-3011.4536636004632</v>
      </c>
      <c r="AE769">
        <v>0</v>
      </c>
      <c r="AF769">
        <v>0</v>
      </c>
      <c r="AG769">
        <v>0</v>
      </c>
      <c r="AH769" s="235">
        <v>-144.9409741889267</v>
      </c>
      <c r="AI769">
        <v>226</v>
      </c>
      <c r="AJ769" t="s">
        <v>256</v>
      </c>
      <c r="AK769">
        <v>0</v>
      </c>
      <c r="AL769">
        <v>0</v>
      </c>
      <c r="AM769">
        <v>0</v>
      </c>
    </row>
    <row r="770" spans="1:39" x14ac:dyDescent="0.25">
      <c r="A770" t="s">
        <v>233</v>
      </c>
      <c r="B770" t="s">
        <v>608</v>
      </c>
      <c r="C770" t="s">
        <v>255</v>
      </c>
      <c r="D770" t="s">
        <v>234</v>
      </c>
      <c r="E770" t="s">
        <v>20</v>
      </c>
      <c r="F770" t="s">
        <v>383</v>
      </c>
      <c r="G770" t="s">
        <v>269</v>
      </c>
      <c r="H770" t="s">
        <v>254</v>
      </c>
      <c r="I770" t="s">
        <v>242</v>
      </c>
      <c r="J770" t="s">
        <v>235</v>
      </c>
      <c r="K770" s="380">
        <v>36923</v>
      </c>
      <c r="L770" s="235">
        <v>-14498.102560808087</v>
      </c>
      <c r="M770" s="380">
        <v>36921</v>
      </c>
      <c r="N770" t="s">
        <v>21</v>
      </c>
      <c r="O770">
        <v>0.15</v>
      </c>
      <c r="P770">
        <v>0</v>
      </c>
      <c r="Q770">
        <v>0</v>
      </c>
      <c r="R770">
        <v>0</v>
      </c>
      <c r="S770">
        <v>0</v>
      </c>
      <c r="T770" t="s">
        <v>253</v>
      </c>
      <c r="U770" t="s">
        <v>600</v>
      </c>
      <c r="V770" t="s">
        <v>253</v>
      </c>
      <c r="W770" t="s">
        <v>132</v>
      </c>
      <c r="X770" t="s">
        <v>253</v>
      </c>
      <c r="Y770" t="s">
        <v>235</v>
      </c>
      <c r="Z770" t="s">
        <v>236</v>
      </c>
      <c r="AA770" t="s">
        <v>253</v>
      </c>
      <c r="AB770" t="s">
        <v>1</v>
      </c>
      <c r="AC770" s="235">
        <v>-280000</v>
      </c>
      <c r="AD770" s="235">
        <v>-2988.6712248928816</v>
      </c>
      <c r="AE770">
        <v>0</v>
      </c>
      <c r="AF770">
        <v>0</v>
      </c>
      <c r="AG770">
        <v>0</v>
      </c>
      <c r="AH770" s="235">
        <v>-143.43839749428844</v>
      </c>
      <c r="AI770">
        <v>226</v>
      </c>
      <c r="AJ770" t="s">
        <v>256</v>
      </c>
      <c r="AK770">
        <v>0</v>
      </c>
      <c r="AL770">
        <v>0</v>
      </c>
      <c r="AM770">
        <v>0</v>
      </c>
    </row>
    <row r="771" spans="1:39" x14ac:dyDescent="0.25">
      <c r="A771" t="s">
        <v>233</v>
      </c>
      <c r="B771" t="s">
        <v>608</v>
      </c>
      <c r="C771" t="s">
        <v>255</v>
      </c>
      <c r="D771" t="s">
        <v>234</v>
      </c>
      <c r="E771" t="s">
        <v>20</v>
      </c>
      <c r="F771" t="s">
        <v>383</v>
      </c>
      <c r="G771" t="s">
        <v>269</v>
      </c>
      <c r="H771" t="s">
        <v>254</v>
      </c>
      <c r="I771" t="s">
        <v>242</v>
      </c>
      <c r="J771" t="s">
        <v>235</v>
      </c>
      <c r="K771" s="380">
        <v>36951</v>
      </c>
      <c r="L771" s="235">
        <v>-12666.147560565782</v>
      </c>
      <c r="M771" s="380">
        <v>36949</v>
      </c>
      <c r="N771" t="s">
        <v>21</v>
      </c>
      <c r="O771">
        <v>0.15</v>
      </c>
      <c r="P771">
        <v>0</v>
      </c>
      <c r="Q771">
        <v>0</v>
      </c>
      <c r="R771">
        <v>0</v>
      </c>
      <c r="S771">
        <v>0</v>
      </c>
      <c r="T771" t="s">
        <v>253</v>
      </c>
      <c r="U771" t="s">
        <v>600</v>
      </c>
      <c r="V771" t="s">
        <v>253</v>
      </c>
      <c r="W771" t="s">
        <v>132</v>
      </c>
      <c r="X771" t="s">
        <v>253</v>
      </c>
      <c r="Y771" t="s">
        <v>235</v>
      </c>
      <c r="Z771" t="s">
        <v>236</v>
      </c>
      <c r="AA771" t="s">
        <v>253</v>
      </c>
      <c r="AB771" t="s">
        <v>1</v>
      </c>
      <c r="AC771" s="235">
        <v>-310000</v>
      </c>
      <c r="AD771" s="235">
        <v>-3147.1792276509368</v>
      </c>
      <c r="AE771">
        <v>0</v>
      </c>
      <c r="AF771">
        <v>0</v>
      </c>
      <c r="AG771">
        <v>0</v>
      </c>
      <c r="AH771" s="235">
        <v>-160.05033692913094</v>
      </c>
      <c r="AI771">
        <v>226</v>
      </c>
      <c r="AJ771" t="s">
        <v>256</v>
      </c>
      <c r="AK771">
        <v>0</v>
      </c>
      <c r="AL771">
        <v>0</v>
      </c>
      <c r="AM771">
        <v>0</v>
      </c>
    </row>
    <row r="772" spans="1:39" x14ac:dyDescent="0.25">
      <c r="A772" t="s">
        <v>233</v>
      </c>
      <c r="B772" t="s">
        <v>609</v>
      </c>
      <c r="C772" t="s">
        <v>255</v>
      </c>
      <c r="D772" t="s">
        <v>234</v>
      </c>
      <c r="E772" t="s">
        <v>20</v>
      </c>
      <c r="F772" t="s">
        <v>348</v>
      </c>
      <c r="G772" t="s">
        <v>269</v>
      </c>
      <c r="H772" t="s">
        <v>254</v>
      </c>
      <c r="I772" t="s">
        <v>242</v>
      </c>
      <c r="J772" t="s">
        <v>235</v>
      </c>
      <c r="K772" s="380">
        <v>36831</v>
      </c>
      <c r="L772" s="235">
        <v>-4650.1575587453335</v>
      </c>
      <c r="M772" s="380">
        <v>36829</v>
      </c>
      <c r="N772" t="s">
        <v>21</v>
      </c>
      <c r="O772">
        <v>0.15</v>
      </c>
      <c r="P772">
        <v>0</v>
      </c>
      <c r="Q772">
        <v>0</v>
      </c>
      <c r="R772">
        <v>0</v>
      </c>
      <c r="S772">
        <v>0</v>
      </c>
      <c r="T772" t="s">
        <v>253</v>
      </c>
      <c r="U772" t="s">
        <v>600</v>
      </c>
      <c r="V772" t="s">
        <v>253</v>
      </c>
      <c r="W772" t="s">
        <v>132</v>
      </c>
      <c r="X772" t="s">
        <v>253</v>
      </c>
      <c r="Y772" t="s">
        <v>235</v>
      </c>
      <c r="Z772" t="s">
        <v>236</v>
      </c>
      <c r="AA772" t="s">
        <v>253</v>
      </c>
      <c r="AB772" t="s">
        <v>1</v>
      </c>
      <c r="AC772" s="235">
        <v>-300000</v>
      </c>
      <c r="AD772" s="235">
        <v>-1734.9822694649774</v>
      </c>
      <c r="AE772">
        <v>0</v>
      </c>
      <c r="AF772">
        <v>0</v>
      </c>
      <c r="AG772">
        <v>0</v>
      </c>
      <c r="AH772" s="235">
        <v>-93.596215675597705</v>
      </c>
      <c r="AI772">
        <v>226</v>
      </c>
      <c r="AJ772" t="s">
        <v>256</v>
      </c>
      <c r="AK772">
        <v>0</v>
      </c>
      <c r="AL772">
        <v>0</v>
      </c>
      <c r="AM772">
        <v>0</v>
      </c>
    </row>
    <row r="773" spans="1:39" x14ac:dyDescent="0.25">
      <c r="A773" t="s">
        <v>233</v>
      </c>
      <c r="B773" t="s">
        <v>609</v>
      </c>
      <c r="C773" t="s">
        <v>255</v>
      </c>
      <c r="D773" t="s">
        <v>234</v>
      </c>
      <c r="E773" t="s">
        <v>20</v>
      </c>
      <c r="F773" t="s">
        <v>348</v>
      </c>
      <c r="G773" t="s">
        <v>269</v>
      </c>
      <c r="H773" t="s">
        <v>254</v>
      </c>
      <c r="I773" t="s">
        <v>242</v>
      </c>
      <c r="J773" t="s">
        <v>235</v>
      </c>
      <c r="K773" s="380">
        <v>36861</v>
      </c>
      <c r="L773" s="235">
        <v>-8475.9519561765992</v>
      </c>
      <c r="M773" s="380">
        <v>36859</v>
      </c>
      <c r="N773" t="s">
        <v>21</v>
      </c>
      <c r="O773">
        <v>0.15</v>
      </c>
      <c r="P773">
        <v>0</v>
      </c>
      <c r="Q773">
        <v>0</v>
      </c>
      <c r="R773">
        <v>0</v>
      </c>
      <c r="S773">
        <v>0</v>
      </c>
      <c r="T773" t="s">
        <v>253</v>
      </c>
      <c r="U773" t="s">
        <v>600</v>
      </c>
      <c r="V773" t="s">
        <v>253</v>
      </c>
      <c r="W773" t="s">
        <v>132</v>
      </c>
      <c r="X773" t="s">
        <v>253</v>
      </c>
      <c r="Y773" t="s">
        <v>235</v>
      </c>
      <c r="Z773" t="s">
        <v>236</v>
      </c>
      <c r="AA773" t="s">
        <v>253</v>
      </c>
      <c r="AB773" t="s">
        <v>1</v>
      </c>
      <c r="AC773" s="235">
        <v>-310000</v>
      </c>
      <c r="AD773" s="235">
        <v>-2456.5757758719556</v>
      </c>
      <c r="AE773">
        <v>0</v>
      </c>
      <c r="AF773">
        <v>0</v>
      </c>
      <c r="AG773">
        <v>0</v>
      </c>
      <c r="AH773" s="235">
        <v>-123.68154086010327</v>
      </c>
      <c r="AI773">
        <v>226</v>
      </c>
      <c r="AJ773" t="s">
        <v>256</v>
      </c>
      <c r="AK773">
        <v>0</v>
      </c>
      <c r="AL773">
        <v>0</v>
      </c>
      <c r="AM773">
        <v>0</v>
      </c>
    </row>
    <row r="774" spans="1:39" x14ac:dyDescent="0.25">
      <c r="A774" t="s">
        <v>233</v>
      </c>
      <c r="B774" t="s">
        <v>609</v>
      </c>
      <c r="C774" t="s">
        <v>255</v>
      </c>
      <c r="D774" t="s">
        <v>234</v>
      </c>
      <c r="E774" t="s">
        <v>20</v>
      </c>
      <c r="F774" t="s">
        <v>348</v>
      </c>
      <c r="G774" t="s">
        <v>269</v>
      </c>
      <c r="H774" t="s">
        <v>254</v>
      </c>
      <c r="I774" t="s">
        <v>242</v>
      </c>
      <c r="J774" t="s">
        <v>235</v>
      </c>
      <c r="K774" s="380">
        <v>36892</v>
      </c>
      <c r="L774" s="235">
        <v>-13795.943631902166</v>
      </c>
      <c r="M774" s="380">
        <v>36888</v>
      </c>
      <c r="N774" t="s">
        <v>21</v>
      </c>
      <c r="O774">
        <v>0.15</v>
      </c>
      <c r="P774">
        <v>0</v>
      </c>
      <c r="Q774">
        <v>0</v>
      </c>
      <c r="R774">
        <v>0</v>
      </c>
      <c r="S774">
        <v>0</v>
      </c>
      <c r="T774" t="s">
        <v>253</v>
      </c>
      <c r="U774" t="s">
        <v>600</v>
      </c>
      <c r="V774" t="s">
        <v>253</v>
      </c>
      <c r="W774" t="s">
        <v>132</v>
      </c>
      <c r="X774" t="s">
        <v>253</v>
      </c>
      <c r="Y774" t="s">
        <v>235</v>
      </c>
      <c r="Z774" t="s">
        <v>236</v>
      </c>
      <c r="AA774" t="s">
        <v>253</v>
      </c>
      <c r="AB774" t="s">
        <v>1</v>
      </c>
      <c r="AC774" s="235">
        <v>-310000</v>
      </c>
      <c r="AD774" s="235">
        <v>-3011.4536636004632</v>
      </c>
      <c r="AE774">
        <v>0</v>
      </c>
      <c r="AF774">
        <v>0</v>
      </c>
      <c r="AG774">
        <v>0</v>
      </c>
      <c r="AH774" s="235">
        <v>-144.9409741889267</v>
      </c>
      <c r="AI774">
        <v>226</v>
      </c>
      <c r="AJ774" t="s">
        <v>256</v>
      </c>
      <c r="AK774">
        <v>0</v>
      </c>
      <c r="AL774">
        <v>0</v>
      </c>
      <c r="AM774">
        <v>0</v>
      </c>
    </row>
    <row r="775" spans="1:39" x14ac:dyDescent="0.25">
      <c r="A775" t="s">
        <v>233</v>
      </c>
      <c r="B775" t="s">
        <v>609</v>
      </c>
      <c r="C775" t="s">
        <v>255</v>
      </c>
      <c r="D775" t="s">
        <v>234</v>
      </c>
      <c r="E775" t="s">
        <v>20</v>
      </c>
      <c r="F775" t="s">
        <v>348</v>
      </c>
      <c r="G775" t="s">
        <v>269</v>
      </c>
      <c r="H775" t="s">
        <v>254</v>
      </c>
      <c r="I775" t="s">
        <v>242</v>
      </c>
      <c r="J775" t="s">
        <v>235</v>
      </c>
      <c r="K775" s="380">
        <v>36923</v>
      </c>
      <c r="L775" s="235">
        <v>-14498.102560808087</v>
      </c>
      <c r="M775" s="380">
        <v>36921</v>
      </c>
      <c r="N775" t="s">
        <v>21</v>
      </c>
      <c r="O775">
        <v>0.15</v>
      </c>
      <c r="P775">
        <v>0</v>
      </c>
      <c r="Q775">
        <v>0</v>
      </c>
      <c r="R775">
        <v>0</v>
      </c>
      <c r="S775">
        <v>0</v>
      </c>
      <c r="T775" t="s">
        <v>253</v>
      </c>
      <c r="U775" t="s">
        <v>600</v>
      </c>
      <c r="V775" t="s">
        <v>253</v>
      </c>
      <c r="W775" t="s">
        <v>132</v>
      </c>
      <c r="X775" t="s">
        <v>253</v>
      </c>
      <c r="Y775" t="s">
        <v>235</v>
      </c>
      <c r="Z775" t="s">
        <v>236</v>
      </c>
      <c r="AA775" t="s">
        <v>253</v>
      </c>
      <c r="AB775" t="s">
        <v>1</v>
      </c>
      <c r="AC775" s="235">
        <v>-280000</v>
      </c>
      <c r="AD775" s="235">
        <v>-2988.6712248928816</v>
      </c>
      <c r="AE775">
        <v>0</v>
      </c>
      <c r="AF775">
        <v>0</v>
      </c>
      <c r="AG775">
        <v>0</v>
      </c>
      <c r="AH775" s="235">
        <v>-143.43839749428844</v>
      </c>
      <c r="AI775">
        <v>226</v>
      </c>
      <c r="AJ775" t="s">
        <v>256</v>
      </c>
      <c r="AK775">
        <v>0</v>
      </c>
      <c r="AL775">
        <v>0</v>
      </c>
      <c r="AM775">
        <v>0</v>
      </c>
    </row>
    <row r="776" spans="1:39" x14ac:dyDescent="0.25">
      <c r="A776" t="s">
        <v>233</v>
      </c>
      <c r="B776" t="s">
        <v>609</v>
      </c>
      <c r="C776" t="s">
        <v>255</v>
      </c>
      <c r="D776" t="s">
        <v>234</v>
      </c>
      <c r="E776" t="s">
        <v>20</v>
      </c>
      <c r="F776" t="s">
        <v>348</v>
      </c>
      <c r="G776" t="s">
        <v>269</v>
      </c>
      <c r="H776" t="s">
        <v>254</v>
      </c>
      <c r="I776" t="s">
        <v>242</v>
      </c>
      <c r="J776" t="s">
        <v>235</v>
      </c>
      <c r="K776" s="380">
        <v>36951</v>
      </c>
      <c r="L776" s="235">
        <v>-12666.147560565782</v>
      </c>
      <c r="M776" s="380">
        <v>36949</v>
      </c>
      <c r="N776" t="s">
        <v>21</v>
      </c>
      <c r="O776">
        <v>0.15</v>
      </c>
      <c r="P776">
        <v>0</v>
      </c>
      <c r="Q776">
        <v>0</v>
      </c>
      <c r="R776">
        <v>0</v>
      </c>
      <c r="S776">
        <v>0</v>
      </c>
      <c r="T776" t="s">
        <v>253</v>
      </c>
      <c r="U776" t="s">
        <v>600</v>
      </c>
      <c r="V776" t="s">
        <v>253</v>
      </c>
      <c r="W776" t="s">
        <v>132</v>
      </c>
      <c r="X776" t="s">
        <v>253</v>
      </c>
      <c r="Y776" t="s">
        <v>235</v>
      </c>
      <c r="Z776" t="s">
        <v>236</v>
      </c>
      <c r="AA776" t="s">
        <v>253</v>
      </c>
      <c r="AB776" t="s">
        <v>1</v>
      </c>
      <c r="AC776" s="235">
        <v>-310000</v>
      </c>
      <c r="AD776" s="235">
        <v>-3147.1792276509368</v>
      </c>
      <c r="AE776">
        <v>0</v>
      </c>
      <c r="AF776">
        <v>0</v>
      </c>
      <c r="AG776">
        <v>0</v>
      </c>
      <c r="AH776" s="235">
        <v>-160.05033692913094</v>
      </c>
      <c r="AI776">
        <v>226</v>
      </c>
      <c r="AJ776" t="s">
        <v>256</v>
      </c>
      <c r="AK776">
        <v>0</v>
      </c>
      <c r="AL776">
        <v>0</v>
      </c>
      <c r="AM776">
        <v>0</v>
      </c>
    </row>
    <row r="777" spans="1:39" x14ac:dyDescent="0.25">
      <c r="A777" t="s">
        <v>233</v>
      </c>
      <c r="B777" t="s">
        <v>610</v>
      </c>
      <c r="C777" t="s">
        <v>255</v>
      </c>
      <c r="D777" t="s">
        <v>234</v>
      </c>
      <c r="E777" t="s">
        <v>20</v>
      </c>
      <c r="F777" t="s">
        <v>363</v>
      </c>
      <c r="G777" t="s">
        <v>269</v>
      </c>
      <c r="H777" t="s">
        <v>254</v>
      </c>
      <c r="I777" t="s">
        <v>242</v>
      </c>
      <c r="J777" t="s">
        <v>235</v>
      </c>
      <c r="K777" s="380">
        <v>36831</v>
      </c>
      <c r="L777" s="235">
        <v>-4650.1575587453335</v>
      </c>
      <c r="M777" s="380">
        <v>36829</v>
      </c>
      <c r="N777" t="s">
        <v>21</v>
      </c>
      <c r="O777">
        <v>0.15</v>
      </c>
      <c r="P777">
        <v>0</v>
      </c>
      <c r="Q777">
        <v>0</v>
      </c>
      <c r="R777">
        <v>0</v>
      </c>
      <c r="S777">
        <v>0</v>
      </c>
      <c r="T777" t="s">
        <v>253</v>
      </c>
      <c r="U777" t="s">
        <v>600</v>
      </c>
      <c r="V777" t="s">
        <v>253</v>
      </c>
      <c r="W777" t="s">
        <v>132</v>
      </c>
      <c r="X777" t="s">
        <v>253</v>
      </c>
      <c r="Y777" t="s">
        <v>235</v>
      </c>
      <c r="Z777" t="s">
        <v>236</v>
      </c>
      <c r="AA777" t="s">
        <v>253</v>
      </c>
      <c r="AB777" t="s">
        <v>1</v>
      </c>
      <c r="AC777" s="235">
        <v>-300000</v>
      </c>
      <c r="AD777" s="235">
        <v>-1734.9822694649774</v>
      </c>
      <c r="AE777">
        <v>0</v>
      </c>
      <c r="AF777">
        <v>0</v>
      </c>
      <c r="AG777">
        <v>0</v>
      </c>
      <c r="AH777" s="235">
        <v>-93.596215675597705</v>
      </c>
      <c r="AI777">
        <v>226</v>
      </c>
      <c r="AJ777" t="s">
        <v>256</v>
      </c>
      <c r="AK777">
        <v>0</v>
      </c>
      <c r="AL777">
        <v>0</v>
      </c>
      <c r="AM777">
        <v>0</v>
      </c>
    </row>
    <row r="778" spans="1:39" x14ac:dyDescent="0.25">
      <c r="A778" t="s">
        <v>233</v>
      </c>
      <c r="B778" t="s">
        <v>610</v>
      </c>
      <c r="C778" t="s">
        <v>255</v>
      </c>
      <c r="D778" t="s">
        <v>234</v>
      </c>
      <c r="E778" t="s">
        <v>20</v>
      </c>
      <c r="F778" t="s">
        <v>363</v>
      </c>
      <c r="G778" t="s">
        <v>269</v>
      </c>
      <c r="H778" t="s">
        <v>254</v>
      </c>
      <c r="I778" t="s">
        <v>242</v>
      </c>
      <c r="J778" t="s">
        <v>235</v>
      </c>
      <c r="K778" s="380">
        <v>36861</v>
      </c>
      <c r="L778" s="235">
        <v>-8475.9519561765992</v>
      </c>
      <c r="M778" s="380">
        <v>36859</v>
      </c>
      <c r="N778" t="s">
        <v>21</v>
      </c>
      <c r="O778">
        <v>0.15</v>
      </c>
      <c r="P778">
        <v>0</v>
      </c>
      <c r="Q778">
        <v>0</v>
      </c>
      <c r="R778">
        <v>0</v>
      </c>
      <c r="S778">
        <v>0</v>
      </c>
      <c r="T778" t="s">
        <v>253</v>
      </c>
      <c r="U778" t="s">
        <v>600</v>
      </c>
      <c r="V778" t="s">
        <v>253</v>
      </c>
      <c r="W778" t="s">
        <v>132</v>
      </c>
      <c r="X778" t="s">
        <v>253</v>
      </c>
      <c r="Y778" t="s">
        <v>235</v>
      </c>
      <c r="Z778" t="s">
        <v>236</v>
      </c>
      <c r="AA778" t="s">
        <v>253</v>
      </c>
      <c r="AB778" t="s">
        <v>1</v>
      </c>
      <c r="AC778" s="235">
        <v>-310000</v>
      </c>
      <c r="AD778" s="235">
        <v>-2456.5757758719556</v>
      </c>
      <c r="AE778">
        <v>0</v>
      </c>
      <c r="AF778">
        <v>0</v>
      </c>
      <c r="AG778">
        <v>0</v>
      </c>
      <c r="AH778" s="235">
        <v>-123.68154086010327</v>
      </c>
      <c r="AI778">
        <v>226</v>
      </c>
      <c r="AJ778" t="s">
        <v>256</v>
      </c>
      <c r="AK778">
        <v>0</v>
      </c>
      <c r="AL778">
        <v>0</v>
      </c>
      <c r="AM778">
        <v>0</v>
      </c>
    </row>
    <row r="779" spans="1:39" x14ac:dyDescent="0.25">
      <c r="A779" t="s">
        <v>233</v>
      </c>
      <c r="B779" t="s">
        <v>610</v>
      </c>
      <c r="C779" t="s">
        <v>255</v>
      </c>
      <c r="D779" t="s">
        <v>234</v>
      </c>
      <c r="E779" t="s">
        <v>20</v>
      </c>
      <c r="F779" t="s">
        <v>363</v>
      </c>
      <c r="G779" t="s">
        <v>269</v>
      </c>
      <c r="H779" t="s">
        <v>254</v>
      </c>
      <c r="I779" t="s">
        <v>242</v>
      </c>
      <c r="J779" t="s">
        <v>235</v>
      </c>
      <c r="K779" s="380">
        <v>36892</v>
      </c>
      <c r="L779" s="235">
        <v>-13795.943631902166</v>
      </c>
      <c r="M779" s="380">
        <v>36888</v>
      </c>
      <c r="N779" t="s">
        <v>21</v>
      </c>
      <c r="O779">
        <v>0.15</v>
      </c>
      <c r="P779">
        <v>0</v>
      </c>
      <c r="Q779">
        <v>0</v>
      </c>
      <c r="R779">
        <v>0</v>
      </c>
      <c r="S779">
        <v>0</v>
      </c>
      <c r="T779" t="s">
        <v>253</v>
      </c>
      <c r="U779" t="s">
        <v>600</v>
      </c>
      <c r="V779" t="s">
        <v>253</v>
      </c>
      <c r="W779" t="s">
        <v>132</v>
      </c>
      <c r="X779" t="s">
        <v>253</v>
      </c>
      <c r="Y779" t="s">
        <v>235</v>
      </c>
      <c r="Z779" t="s">
        <v>236</v>
      </c>
      <c r="AA779" t="s">
        <v>253</v>
      </c>
      <c r="AB779" t="s">
        <v>1</v>
      </c>
      <c r="AC779" s="235">
        <v>-310000</v>
      </c>
      <c r="AD779" s="235">
        <v>-3011.4536636004632</v>
      </c>
      <c r="AE779">
        <v>0</v>
      </c>
      <c r="AF779">
        <v>0</v>
      </c>
      <c r="AG779">
        <v>0</v>
      </c>
      <c r="AH779" s="235">
        <v>-144.9409741889267</v>
      </c>
      <c r="AI779">
        <v>226</v>
      </c>
      <c r="AJ779" t="s">
        <v>256</v>
      </c>
      <c r="AK779">
        <v>0</v>
      </c>
      <c r="AL779">
        <v>0</v>
      </c>
      <c r="AM779">
        <v>0</v>
      </c>
    </row>
    <row r="780" spans="1:39" x14ac:dyDescent="0.25">
      <c r="A780" t="s">
        <v>233</v>
      </c>
      <c r="B780" t="s">
        <v>610</v>
      </c>
      <c r="C780" t="s">
        <v>255</v>
      </c>
      <c r="D780" t="s">
        <v>234</v>
      </c>
      <c r="E780" t="s">
        <v>20</v>
      </c>
      <c r="F780" t="s">
        <v>363</v>
      </c>
      <c r="G780" t="s">
        <v>269</v>
      </c>
      <c r="H780" t="s">
        <v>254</v>
      </c>
      <c r="I780" t="s">
        <v>242</v>
      </c>
      <c r="J780" t="s">
        <v>235</v>
      </c>
      <c r="K780" s="380">
        <v>36923</v>
      </c>
      <c r="L780" s="235">
        <v>-14498.102560808087</v>
      </c>
      <c r="M780" s="380">
        <v>36921</v>
      </c>
      <c r="N780" t="s">
        <v>21</v>
      </c>
      <c r="O780">
        <v>0.15</v>
      </c>
      <c r="P780">
        <v>0</v>
      </c>
      <c r="Q780">
        <v>0</v>
      </c>
      <c r="R780">
        <v>0</v>
      </c>
      <c r="S780">
        <v>0</v>
      </c>
      <c r="T780" t="s">
        <v>253</v>
      </c>
      <c r="U780" t="s">
        <v>600</v>
      </c>
      <c r="V780" t="s">
        <v>253</v>
      </c>
      <c r="W780" t="s">
        <v>132</v>
      </c>
      <c r="X780" t="s">
        <v>253</v>
      </c>
      <c r="Y780" t="s">
        <v>235</v>
      </c>
      <c r="Z780" t="s">
        <v>236</v>
      </c>
      <c r="AA780" t="s">
        <v>253</v>
      </c>
      <c r="AB780" t="s">
        <v>1</v>
      </c>
      <c r="AC780" s="235">
        <v>-280000</v>
      </c>
      <c r="AD780" s="235">
        <v>-2988.6712248928816</v>
      </c>
      <c r="AE780">
        <v>0</v>
      </c>
      <c r="AF780">
        <v>0</v>
      </c>
      <c r="AG780">
        <v>0</v>
      </c>
      <c r="AH780" s="235">
        <v>-143.43839749428844</v>
      </c>
      <c r="AI780">
        <v>226</v>
      </c>
      <c r="AJ780" t="s">
        <v>256</v>
      </c>
      <c r="AK780">
        <v>0</v>
      </c>
      <c r="AL780">
        <v>0</v>
      </c>
      <c r="AM780">
        <v>0</v>
      </c>
    </row>
    <row r="781" spans="1:39" x14ac:dyDescent="0.25">
      <c r="A781" t="s">
        <v>233</v>
      </c>
      <c r="B781" t="s">
        <v>610</v>
      </c>
      <c r="C781" t="s">
        <v>255</v>
      </c>
      <c r="D781" t="s">
        <v>234</v>
      </c>
      <c r="E781" t="s">
        <v>20</v>
      </c>
      <c r="F781" t="s">
        <v>363</v>
      </c>
      <c r="G781" t="s">
        <v>269</v>
      </c>
      <c r="H781" t="s">
        <v>254</v>
      </c>
      <c r="I781" t="s">
        <v>242</v>
      </c>
      <c r="J781" t="s">
        <v>235</v>
      </c>
      <c r="K781" s="380">
        <v>36951</v>
      </c>
      <c r="L781" s="235">
        <v>-12666.147560565782</v>
      </c>
      <c r="M781" s="380">
        <v>36949</v>
      </c>
      <c r="N781" t="s">
        <v>21</v>
      </c>
      <c r="O781">
        <v>0.15</v>
      </c>
      <c r="P781">
        <v>0</v>
      </c>
      <c r="Q781">
        <v>0</v>
      </c>
      <c r="R781">
        <v>0</v>
      </c>
      <c r="S781">
        <v>0</v>
      </c>
      <c r="T781" t="s">
        <v>253</v>
      </c>
      <c r="U781" t="s">
        <v>600</v>
      </c>
      <c r="V781" t="s">
        <v>253</v>
      </c>
      <c r="W781" t="s">
        <v>132</v>
      </c>
      <c r="X781" t="s">
        <v>253</v>
      </c>
      <c r="Y781" t="s">
        <v>235</v>
      </c>
      <c r="Z781" t="s">
        <v>236</v>
      </c>
      <c r="AA781" t="s">
        <v>253</v>
      </c>
      <c r="AB781" t="s">
        <v>1</v>
      </c>
      <c r="AC781" s="235">
        <v>-310000</v>
      </c>
      <c r="AD781" s="235">
        <v>-3147.1792276509368</v>
      </c>
      <c r="AE781">
        <v>0</v>
      </c>
      <c r="AF781">
        <v>0</v>
      </c>
      <c r="AG781">
        <v>0</v>
      </c>
      <c r="AH781" s="235">
        <v>-160.05033692913094</v>
      </c>
      <c r="AI781">
        <v>226</v>
      </c>
      <c r="AJ781" t="s">
        <v>256</v>
      </c>
      <c r="AK781">
        <v>0</v>
      </c>
      <c r="AL781">
        <v>0</v>
      </c>
      <c r="AM781">
        <v>0</v>
      </c>
    </row>
    <row r="782" spans="1:39" x14ac:dyDescent="0.25">
      <c r="A782" t="s">
        <v>233</v>
      </c>
      <c r="B782" t="s">
        <v>611</v>
      </c>
      <c r="C782" t="s">
        <v>255</v>
      </c>
      <c r="D782" t="s">
        <v>234</v>
      </c>
      <c r="E782" t="s">
        <v>20</v>
      </c>
      <c r="F782" t="s">
        <v>279</v>
      </c>
      <c r="G782" t="s">
        <v>269</v>
      </c>
      <c r="H782" t="s">
        <v>254</v>
      </c>
      <c r="I782" t="s">
        <v>242</v>
      </c>
      <c r="J782" t="s">
        <v>235</v>
      </c>
      <c r="K782" s="380">
        <v>36831</v>
      </c>
      <c r="L782" s="235">
        <v>-642397.11919021886</v>
      </c>
      <c r="M782" s="380">
        <v>36829</v>
      </c>
      <c r="N782" t="s">
        <v>21</v>
      </c>
      <c r="O782">
        <v>1</v>
      </c>
      <c r="P782">
        <v>0</v>
      </c>
      <c r="Q782">
        <v>0</v>
      </c>
      <c r="R782">
        <v>0</v>
      </c>
      <c r="S782">
        <v>0</v>
      </c>
      <c r="T782" t="s">
        <v>253</v>
      </c>
      <c r="U782" t="s">
        <v>190</v>
      </c>
      <c r="V782" t="s">
        <v>253</v>
      </c>
      <c r="W782" t="s">
        <v>132</v>
      </c>
      <c r="X782" t="s">
        <v>253</v>
      </c>
      <c r="Y782" t="s">
        <v>235</v>
      </c>
      <c r="Z782" t="s">
        <v>236</v>
      </c>
      <c r="AA782" t="s">
        <v>253</v>
      </c>
      <c r="AB782" t="s">
        <v>1</v>
      </c>
      <c r="AC782" s="235">
        <v>-1000000</v>
      </c>
      <c r="AD782" s="235">
        <v>-38449.89632158936</v>
      </c>
      <c r="AE782">
        <v>0</v>
      </c>
      <c r="AF782">
        <v>0</v>
      </c>
      <c r="AG782">
        <v>0</v>
      </c>
      <c r="AH782" s="235">
        <v>-155576.5240811198</v>
      </c>
      <c r="AI782">
        <v>226</v>
      </c>
      <c r="AJ782" t="s">
        <v>256</v>
      </c>
      <c r="AK782">
        <v>0</v>
      </c>
      <c r="AL782">
        <v>0</v>
      </c>
      <c r="AM782">
        <v>0</v>
      </c>
    </row>
    <row r="783" spans="1:39" x14ac:dyDescent="0.25">
      <c r="A783" t="s">
        <v>233</v>
      </c>
      <c r="B783" t="s">
        <v>611</v>
      </c>
      <c r="C783" t="s">
        <v>255</v>
      </c>
      <c r="D783" t="s">
        <v>234</v>
      </c>
      <c r="E783" t="s">
        <v>20</v>
      </c>
      <c r="F783" t="s">
        <v>279</v>
      </c>
      <c r="G783" t="s">
        <v>269</v>
      </c>
      <c r="H783" t="s">
        <v>254</v>
      </c>
      <c r="I783" t="s">
        <v>242</v>
      </c>
      <c r="J783" t="s">
        <v>235</v>
      </c>
      <c r="K783" s="380">
        <v>36861</v>
      </c>
      <c r="L783" s="235">
        <v>-354685.27074912179</v>
      </c>
      <c r="M783" s="380">
        <v>36859</v>
      </c>
      <c r="N783" t="s">
        <v>21</v>
      </c>
      <c r="O783">
        <v>1</v>
      </c>
      <c r="P783">
        <v>0</v>
      </c>
      <c r="Q783">
        <v>0</v>
      </c>
      <c r="R783">
        <v>0</v>
      </c>
      <c r="S783">
        <v>0</v>
      </c>
      <c r="T783" t="s">
        <v>253</v>
      </c>
      <c r="U783" t="s">
        <v>190</v>
      </c>
      <c r="V783" t="s">
        <v>253</v>
      </c>
      <c r="W783" t="s">
        <v>132</v>
      </c>
      <c r="X783" t="s">
        <v>253</v>
      </c>
      <c r="Y783" t="s">
        <v>235</v>
      </c>
      <c r="Z783" t="s">
        <v>236</v>
      </c>
      <c r="AA783" t="s">
        <v>253</v>
      </c>
      <c r="AB783" t="s">
        <v>1</v>
      </c>
      <c r="AC783" s="235">
        <v>-1000000</v>
      </c>
      <c r="AD783" s="235">
        <v>-60658.578830151702</v>
      </c>
      <c r="AE783">
        <v>0</v>
      </c>
      <c r="AF783">
        <v>0</v>
      </c>
      <c r="AG783">
        <v>0</v>
      </c>
      <c r="AH783" s="235">
        <v>-74397.018434419122</v>
      </c>
      <c r="AI783">
        <v>226</v>
      </c>
      <c r="AJ783" t="s">
        <v>256</v>
      </c>
      <c r="AK783">
        <v>0</v>
      </c>
      <c r="AL783">
        <v>0</v>
      </c>
      <c r="AM783">
        <v>0</v>
      </c>
    </row>
    <row r="784" spans="1:39" x14ac:dyDescent="0.25">
      <c r="A784" t="s">
        <v>233</v>
      </c>
      <c r="B784" t="s">
        <v>611</v>
      </c>
      <c r="C784" t="s">
        <v>255</v>
      </c>
      <c r="D784" t="s">
        <v>234</v>
      </c>
      <c r="E784" t="s">
        <v>20</v>
      </c>
      <c r="F784" t="s">
        <v>279</v>
      </c>
      <c r="G784" t="s">
        <v>269</v>
      </c>
      <c r="H784" t="s">
        <v>254</v>
      </c>
      <c r="I784" t="s">
        <v>242</v>
      </c>
      <c r="J784" t="s">
        <v>235</v>
      </c>
      <c r="K784" s="380">
        <v>36892</v>
      </c>
      <c r="L784" s="235">
        <v>-289320.60439244373</v>
      </c>
      <c r="M784" s="380">
        <v>36888</v>
      </c>
      <c r="N784" t="s">
        <v>21</v>
      </c>
      <c r="O784">
        <v>1</v>
      </c>
      <c r="P784">
        <v>0</v>
      </c>
      <c r="Q784">
        <v>0</v>
      </c>
      <c r="R784">
        <v>0</v>
      </c>
      <c r="S784">
        <v>0</v>
      </c>
      <c r="T784" t="s">
        <v>253</v>
      </c>
      <c r="U784" t="s">
        <v>190</v>
      </c>
      <c r="V784" t="s">
        <v>253</v>
      </c>
      <c r="W784" t="s">
        <v>132</v>
      </c>
      <c r="X784" t="s">
        <v>253</v>
      </c>
      <c r="Y784" t="s">
        <v>235</v>
      </c>
      <c r="Z784" t="s">
        <v>236</v>
      </c>
      <c r="AA784" t="s">
        <v>253</v>
      </c>
      <c r="AB784" t="s">
        <v>1</v>
      </c>
      <c r="AC784" s="235">
        <v>-1000000</v>
      </c>
      <c r="AD784" s="235">
        <v>-67756.307215398469</v>
      </c>
      <c r="AE784">
        <v>0</v>
      </c>
      <c r="AF784">
        <v>0</v>
      </c>
      <c r="AG784">
        <v>0</v>
      </c>
      <c r="AH784" s="235">
        <v>21169.097736765631</v>
      </c>
      <c r="AI784">
        <v>226</v>
      </c>
      <c r="AJ784" t="s">
        <v>256</v>
      </c>
      <c r="AK784">
        <v>0</v>
      </c>
      <c r="AL784">
        <v>0</v>
      </c>
      <c r="AM784">
        <v>0</v>
      </c>
    </row>
    <row r="785" spans="1:39" x14ac:dyDescent="0.25">
      <c r="A785" t="s">
        <v>233</v>
      </c>
      <c r="B785" t="s">
        <v>611</v>
      </c>
      <c r="C785" t="s">
        <v>255</v>
      </c>
      <c r="D785" t="s">
        <v>234</v>
      </c>
      <c r="E785" t="s">
        <v>20</v>
      </c>
      <c r="F785" t="s">
        <v>279</v>
      </c>
      <c r="G785" t="s">
        <v>269</v>
      </c>
      <c r="H785" t="s">
        <v>254</v>
      </c>
      <c r="I785" t="s">
        <v>242</v>
      </c>
      <c r="J785" t="s">
        <v>235</v>
      </c>
      <c r="K785" s="380">
        <v>36923</v>
      </c>
      <c r="L785" s="235">
        <v>-245876.9917538728</v>
      </c>
      <c r="M785" s="380">
        <v>36921</v>
      </c>
      <c r="N785" t="s">
        <v>21</v>
      </c>
      <c r="O785">
        <v>1</v>
      </c>
      <c r="P785">
        <v>0</v>
      </c>
      <c r="Q785">
        <v>0</v>
      </c>
      <c r="R785">
        <v>0</v>
      </c>
      <c r="S785">
        <v>0</v>
      </c>
      <c r="T785" t="s">
        <v>253</v>
      </c>
      <c r="U785" t="s">
        <v>190</v>
      </c>
      <c r="V785" t="s">
        <v>253</v>
      </c>
      <c r="W785" t="s">
        <v>132</v>
      </c>
      <c r="X785" t="s">
        <v>253</v>
      </c>
      <c r="Y785" t="s">
        <v>235</v>
      </c>
      <c r="Z785" t="s">
        <v>236</v>
      </c>
      <c r="AA785" t="s">
        <v>253</v>
      </c>
      <c r="AB785" t="s">
        <v>1</v>
      </c>
      <c r="AC785" s="235">
        <v>-1000000</v>
      </c>
      <c r="AD785" s="235">
        <v>-71027.487221110146</v>
      </c>
      <c r="AE785">
        <v>0</v>
      </c>
      <c r="AF785">
        <v>0</v>
      </c>
      <c r="AG785">
        <v>0</v>
      </c>
      <c r="AH785" s="235">
        <v>18188.193087197113</v>
      </c>
      <c r="AI785">
        <v>226</v>
      </c>
      <c r="AJ785" t="s">
        <v>256</v>
      </c>
      <c r="AK785">
        <v>0</v>
      </c>
      <c r="AL785">
        <v>0</v>
      </c>
      <c r="AM785">
        <v>0</v>
      </c>
    </row>
    <row r="786" spans="1:39" x14ac:dyDescent="0.25">
      <c r="A786" t="s">
        <v>233</v>
      </c>
      <c r="B786" t="s">
        <v>611</v>
      </c>
      <c r="C786" t="s">
        <v>255</v>
      </c>
      <c r="D786" t="s">
        <v>234</v>
      </c>
      <c r="E786" t="s">
        <v>20</v>
      </c>
      <c r="F786" t="s">
        <v>279</v>
      </c>
      <c r="G786" t="s">
        <v>269</v>
      </c>
      <c r="H786" t="s">
        <v>254</v>
      </c>
      <c r="I786" t="s">
        <v>242</v>
      </c>
      <c r="J786" t="s">
        <v>235</v>
      </c>
      <c r="K786" s="380">
        <v>36951</v>
      </c>
      <c r="L786" s="235">
        <v>-210305.60438987846</v>
      </c>
      <c r="M786" s="380">
        <v>36949</v>
      </c>
      <c r="N786" t="s">
        <v>21</v>
      </c>
      <c r="O786">
        <v>1</v>
      </c>
      <c r="P786">
        <v>0</v>
      </c>
      <c r="Q786">
        <v>0</v>
      </c>
      <c r="R786">
        <v>0</v>
      </c>
      <c r="S786">
        <v>0</v>
      </c>
      <c r="T786" t="s">
        <v>253</v>
      </c>
      <c r="U786" t="s">
        <v>190</v>
      </c>
      <c r="V786" t="s">
        <v>253</v>
      </c>
      <c r="W786" t="s">
        <v>132</v>
      </c>
      <c r="X786" t="s">
        <v>253</v>
      </c>
      <c r="Y786" t="s">
        <v>235</v>
      </c>
      <c r="Z786" t="s">
        <v>236</v>
      </c>
      <c r="AA786" t="s">
        <v>253</v>
      </c>
      <c r="AB786" t="s">
        <v>1</v>
      </c>
      <c r="AC786" s="235">
        <v>-1000000</v>
      </c>
      <c r="AD786" s="235">
        <v>-67294.132125830045</v>
      </c>
      <c r="AE786">
        <v>0</v>
      </c>
      <c r="AF786">
        <v>0</v>
      </c>
      <c r="AG786">
        <v>0</v>
      </c>
      <c r="AH786" s="235">
        <v>17005.549483603856</v>
      </c>
      <c r="AI786">
        <v>226</v>
      </c>
      <c r="AJ786" t="s">
        <v>256</v>
      </c>
      <c r="AK786">
        <v>0</v>
      </c>
      <c r="AL786">
        <v>0</v>
      </c>
      <c r="AM786">
        <v>0</v>
      </c>
    </row>
    <row r="787" spans="1:39" x14ac:dyDescent="0.25">
      <c r="A787" t="s">
        <v>233</v>
      </c>
      <c r="B787" t="s">
        <v>612</v>
      </c>
      <c r="C787" t="s">
        <v>255</v>
      </c>
      <c r="D787" t="s">
        <v>234</v>
      </c>
      <c r="E787" t="s">
        <v>20</v>
      </c>
      <c r="F787" t="s">
        <v>383</v>
      </c>
      <c r="G787" t="s">
        <v>269</v>
      </c>
      <c r="H787" t="s">
        <v>254</v>
      </c>
      <c r="I787" t="s">
        <v>242</v>
      </c>
      <c r="J787" t="s">
        <v>235</v>
      </c>
      <c r="K787" s="380">
        <v>36831</v>
      </c>
      <c r="L787" s="235">
        <v>-39178.747694908721</v>
      </c>
      <c r="M787" s="380">
        <v>36829</v>
      </c>
      <c r="N787" t="s">
        <v>21</v>
      </c>
      <c r="O787">
        <v>-0.2</v>
      </c>
      <c r="P787">
        <v>0</v>
      </c>
      <c r="Q787">
        <v>0</v>
      </c>
      <c r="R787">
        <v>0</v>
      </c>
      <c r="S787">
        <v>0</v>
      </c>
      <c r="T787" t="s">
        <v>253</v>
      </c>
      <c r="U787" t="s">
        <v>9</v>
      </c>
      <c r="V787" t="s">
        <v>253</v>
      </c>
      <c r="W787" t="s">
        <v>132</v>
      </c>
      <c r="X787" t="s">
        <v>253</v>
      </c>
      <c r="Y787" t="s">
        <v>235</v>
      </c>
      <c r="Z787" t="s">
        <v>236</v>
      </c>
      <c r="AA787" t="s">
        <v>253</v>
      </c>
      <c r="AB787" t="s">
        <v>1</v>
      </c>
      <c r="AC787" s="235">
        <v>-600000</v>
      </c>
      <c r="AD787" s="235">
        <v>-17440.037627250043</v>
      </c>
      <c r="AE787">
        <v>0</v>
      </c>
      <c r="AF787">
        <v>0</v>
      </c>
      <c r="AG787">
        <v>0</v>
      </c>
      <c r="AH787" s="235">
        <v>6021.4629355124707</v>
      </c>
      <c r="AI787">
        <v>226</v>
      </c>
      <c r="AJ787" t="s">
        <v>256</v>
      </c>
      <c r="AK787">
        <v>0</v>
      </c>
      <c r="AL787">
        <v>0</v>
      </c>
      <c r="AM787">
        <v>0</v>
      </c>
    </row>
    <row r="788" spans="1:39" x14ac:dyDescent="0.25">
      <c r="A788" t="s">
        <v>233</v>
      </c>
      <c r="B788" t="s">
        <v>612</v>
      </c>
      <c r="C788" t="s">
        <v>255</v>
      </c>
      <c r="D788" t="s">
        <v>234</v>
      </c>
      <c r="E788" t="s">
        <v>20</v>
      </c>
      <c r="F788" t="s">
        <v>383</v>
      </c>
      <c r="G788" t="s">
        <v>269</v>
      </c>
      <c r="H788" t="s">
        <v>254</v>
      </c>
      <c r="I788" t="s">
        <v>242</v>
      </c>
      <c r="J788" t="s">
        <v>235</v>
      </c>
      <c r="K788" s="380">
        <v>36861</v>
      </c>
      <c r="L788" s="235">
        <v>-85439.226070136341</v>
      </c>
      <c r="M788" s="380">
        <v>36859</v>
      </c>
      <c r="N788" t="s">
        <v>21</v>
      </c>
      <c r="O788">
        <v>-0.2</v>
      </c>
      <c r="P788">
        <v>0</v>
      </c>
      <c r="Q788">
        <v>0</v>
      </c>
      <c r="R788">
        <v>0</v>
      </c>
      <c r="S788">
        <v>0</v>
      </c>
      <c r="T788" t="s">
        <v>253</v>
      </c>
      <c r="U788" t="s">
        <v>9</v>
      </c>
      <c r="V788" t="s">
        <v>253</v>
      </c>
      <c r="W788" t="s">
        <v>132</v>
      </c>
      <c r="X788" t="s">
        <v>253</v>
      </c>
      <c r="Y788" t="s">
        <v>235</v>
      </c>
      <c r="Z788" t="s">
        <v>236</v>
      </c>
      <c r="AA788" t="s">
        <v>253</v>
      </c>
      <c r="AB788" t="s">
        <v>1</v>
      </c>
      <c r="AC788" s="235">
        <v>-620000</v>
      </c>
      <c r="AD788" s="235">
        <v>-25765.330066787108</v>
      </c>
      <c r="AE788">
        <v>0</v>
      </c>
      <c r="AF788">
        <v>0</v>
      </c>
      <c r="AG788">
        <v>0</v>
      </c>
      <c r="AH788" s="235">
        <v>8892.7589105637599</v>
      </c>
      <c r="AI788">
        <v>226</v>
      </c>
      <c r="AJ788" t="s">
        <v>256</v>
      </c>
      <c r="AK788">
        <v>0</v>
      </c>
      <c r="AL788">
        <v>0</v>
      </c>
      <c r="AM788">
        <v>0</v>
      </c>
    </row>
    <row r="789" spans="1:39" x14ac:dyDescent="0.25">
      <c r="A789" t="s">
        <v>233</v>
      </c>
      <c r="B789" t="s">
        <v>612</v>
      </c>
      <c r="C789" t="s">
        <v>255</v>
      </c>
      <c r="D789" t="s">
        <v>234</v>
      </c>
      <c r="E789" t="s">
        <v>20</v>
      </c>
      <c r="F789" t="s">
        <v>383</v>
      </c>
      <c r="G789" t="s">
        <v>269</v>
      </c>
      <c r="H789" t="s">
        <v>254</v>
      </c>
      <c r="I789" t="s">
        <v>242</v>
      </c>
      <c r="J789" t="s">
        <v>235</v>
      </c>
      <c r="K789" s="380">
        <v>36892</v>
      </c>
      <c r="L789" s="235">
        <v>-99678.126618763621</v>
      </c>
      <c r="M789" s="380">
        <v>36888</v>
      </c>
      <c r="N789" t="s">
        <v>21</v>
      </c>
      <c r="O789">
        <v>-0.2</v>
      </c>
      <c r="P789">
        <v>0</v>
      </c>
      <c r="Q789">
        <v>0</v>
      </c>
      <c r="R789">
        <v>0</v>
      </c>
      <c r="S789">
        <v>0</v>
      </c>
      <c r="T789" t="s">
        <v>253</v>
      </c>
      <c r="U789" t="s">
        <v>9</v>
      </c>
      <c r="V789" t="s">
        <v>253</v>
      </c>
      <c r="W789" t="s">
        <v>132</v>
      </c>
      <c r="X789" t="s">
        <v>253</v>
      </c>
      <c r="Y789" t="s">
        <v>235</v>
      </c>
      <c r="Z789" t="s">
        <v>236</v>
      </c>
      <c r="AA789" t="s">
        <v>253</v>
      </c>
      <c r="AB789" t="s">
        <v>1</v>
      </c>
      <c r="AC789" s="235">
        <v>-620000</v>
      </c>
      <c r="AD789" s="235">
        <v>-29756.416609623673</v>
      </c>
      <c r="AE789">
        <v>0</v>
      </c>
      <c r="AF789">
        <v>0</v>
      </c>
      <c r="AG789">
        <v>0</v>
      </c>
      <c r="AH789" s="235">
        <v>8920.0963528382708</v>
      </c>
      <c r="AI789">
        <v>226</v>
      </c>
      <c r="AJ789" t="s">
        <v>256</v>
      </c>
      <c r="AK789">
        <v>0</v>
      </c>
      <c r="AL789">
        <v>0</v>
      </c>
      <c r="AM789">
        <v>0</v>
      </c>
    </row>
    <row r="790" spans="1:39" x14ac:dyDescent="0.25">
      <c r="A790" t="s">
        <v>233</v>
      </c>
      <c r="B790" t="s">
        <v>612</v>
      </c>
      <c r="C790" t="s">
        <v>255</v>
      </c>
      <c r="D790" t="s">
        <v>234</v>
      </c>
      <c r="E790" t="s">
        <v>20</v>
      </c>
      <c r="F790" t="s">
        <v>383</v>
      </c>
      <c r="G790" t="s">
        <v>269</v>
      </c>
      <c r="H790" t="s">
        <v>254</v>
      </c>
      <c r="I790" t="s">
        <v>242</v>
      </c>
      <c r="J790" t="s">
        <v>235</v>
      </c>
      <c r="K790" s="380">
        <v>36923</v>
      </c>
      <c r="L790" s="235">
        <v>-90154.114747089145</v>
      </c>
      <c r="M790" s="380">
        <v>36921</v>
      </c>
      <c r="N790" t="s">
        <v>21</v>
      </c>
      <c r="O790">
        <v>-0.2</v>
      </c>
      <c r="P790">
        <v>0</v>
      </c>
      <c r="Q790">
        <v>0</v>
      </c>
      <c r="R790">
        <v>0</v>
      </c>
      <c r="S790">
        <v>0</v>
      </c>
      <c r="T790" t="s">
        <v>253</v>
      </c>
      <c r="U790" t="s">
        <v>9</v>
      </c>
      <c r="V790" t="s">
        <v>253</v>
      </c>
      <c r="W790" t="s">
        <v>132</v>
      </c>
      <c r="X790" t="s">
        <v>253</v>
      </c>
      <c r="Y790" t="s">
        <v>235</v>
      </c>
      <c r="Z790" t="s">
        <v>236</v>
      </c>
      <c r="AA790" t="s">
        <v>253</v>
      </c>
      <c r="AB790" t="s">
        <v>1</v>
      </c>
      <c r="AC790" s="235">
        <v>-560000</v>
      </c>
      <c r="AD790" s="235">
        <v>-29263.686139704165</v>
      </c>
      <c r="AE790">
        <v>0</v>
      </c>
      <c r="AF790">
        <v>0</v>
      </c>
      <c r="AG790">
        <v>0</v>
      </c>
      <c r="AH790" s="235">
        <v>7738.5880888538377</v>
      </c>
      <c r="AI790">
        <v>226</v>
      </c>
      <c r="AJ790" t="s">
        <v>256</v>
      </c>
      <c r="AK790">
        <v>0</v>
      </c>
      <c r="AL790">
        <v>0</v>
      </c>
      <c r="AM790">
        <v>0</v>
      </c>
    </row>
    <row r="791" spans="1:39" x14ac:dyDescent="0.25">
      <c r="A791" t="s">
        <v>233</v>
      </c>
      <c r="B791" t="s">
        <v>612</v>
      </c>
      <c r="C791" t="s">
        <v>255</v>
      </c>
      <c r="D791" t="s">
        <v>234</v>
      </c>
      <c r="E791" t="s">
        <v>20</v>
      </c>
      <c r="F791" t="s">
        <v>383</v>
      </c>
      <c r="G791" t="s">
        <v>269</v>
      </c>
      <c r="H791" t="s">
        <v>254</v>
      </c>
      <c r="I791" t="s">
        <v>242</v>
      </c>
      <c r="J791" t="s">
        <v>235</v>
      </c>
      <c r="K791" s="380">
        <v>36951</v>
      </c>
      <c r="L791" s="235">
        <v>-85246.334760671714</v>
      </c>
      <c r="M791" s="380">
        <v>36949</v>
      </c>
      <c r="N791" t="s">
        <v>21</v>
      </c>
      <c r="O791">
        <v>-0.2</v>
      </c>
      <c r="P791">
        <v>0</v>
      </c>
      <c r="Q791">
        <v>0</v>
      </c>
      <c r="R791">
        <v>0</v>
      </c>
      <c r="S791">
        <v>0</v>
      </c>
      <c r="T791" t="s">
        <v>253</v>
      </c>
      <c r="U791" t="s">
        <v>9</v>
      </c>
      <c r="V791" t="s">
        <v>253</v>
      </c>
      <c r="W791" t="s">
        <v>132</v>
      </c>
      <c r="X791" t="s">
        <v>253</v>
      </c>
      <c r="Y791" t="s">
        <v>235</v>
      </c>
      <c r="Z791" t="s">
        <v>236</v>
      </c>
      <c r="AA791" t="s">
        <v>253</v>
      </c>
      <c r="AB791" t="s">
        <v>1</v>
      </c>
      <c r="AC791" s="235">
        <v>-620000</v>
      </c>
      <c r="AD791" s="235">
        <v>-30975.285164308676</v>
      </c>
      <c r="AE791">
        <v>0</v>
      </c>
      <c r="AF791">
        <v>0</v>
      </c>
      <c r="AG791">
        <v>0</v>
      </c>
      <c r="AH791" s="235">
        <v>8069.1181134598592</v>
      </c>
      <c r="AI791">
        <v>226</v>
      </c>
      <c r="AJ791" t="s">
        <v>256</v>
      </c>
      <c r="AK791">
        <v>0</v>
      </c>
      <c r="AL791">
        <v>0</v>
      </c>
      <c r="AM791">
        <v>0</v>
      </c>
    </row>
    <row r="792" spans="1:39" x14ac:dyDescent="0.25">
      <c r="A792" t="s">
        <v>233</v>
      </c>
      <c r="B792" t="s">
        <v>613</v>
      </c>
      <c r="C792" t="s">
        <v>255</v>
      </c>
      <c r="D792" t="s">
        <v>234</v>
      </c>
      <c r="E792" t="s">
        <v>20</v>
      </c>
      <c r="F792" t="s">
        <v>383</v>
      </c>
      <c r="G792" t="s">
        <v>269</v>
      </c>
      <c r="H792" t="s">
        <v>254</v>
      </c>
      <c r="I792" t="s">
        <v>242</v>
      </c>
      <c r="J792" t="s">
        <v>235</v>
      </c>
      <c r="K792" s="380">
        <v>36831</v>
      </c>
      <c r="L792" s="235">
        <v>-94672.038274831662</v>
      </c>
      <c r="M792" s="380">
        <v>36829</v>
      </c>
      <c r="N792" t="s">
        <v>1</v>
      </c>
      <c r="O792">
        <v>-0.5</v>
      </c>
      <c r="P792">
        <v>0</v>
      </c>
      <c r="Q792">
        <v>0</v>
      </c>
      <c r="R792">
        <v>0</v>
      </c>
      <c r="S792">
        <v>0</v>
      </c>
      <c r="T792" t="s">
        <v>253</v>
      </c>
      <c r="U792" t="s">
        <v>9</v>
      </c>
      <c r="V792" t="s">
        <v>253</v>
      </c>
      <c r="W792" t="s">
        <v>132</v>
      </c>
      <c r="X792" t="s">
        <v>253</v>
      </c>
      <c r="Y792" t="s">
        <v>235</v>
      </c>
      <c r="Z792" t="s">
        <v>236</v>
      </c>
      <c r="AA792" t="s">
        <v>253</v>
      </c>
      <c r="AB792" t="s">
        <v>1</v>
      </c>
      <c r="AC792" s="235">
        <v>-600000</v>
      </c>
      <c r="AD792" s="235">
        <v>-20711.295166389551</v>
      </c>
      <c r="AE792">
        <v>0</v>
      </c>
      <c r="AF792">
        <v>0</v>
      </c>
      <c r="AG792">
        <v>0</v>
      </c>
      <c r="AH792" s="235">
        <v>-11464.408317126072</v>
      </c>
      <c r="AI792">
        <v>226</v>
      </c>
      <c r="AJ792" t="s">
        <v>256</v>
      </c>
      <c r="AK792">
        <v>0</v>
      </c>
      <c r="AL792">
        <v>0</v>
      </c>
      <c r="AM792">
        <v>0</v>
      </c>
    </row>
    <row r="793" spans="1:39" x14ac:dyDescent="0.25">
      <c r="A793" t="s">
        <v>233</v>
      </c>
      <c r="B793" t="s">
        <v>613</v>
      </c>
      <c r="C793" t="s">
        <v>255</v>
      </c>
      <c r="D793" t="s">
        <v>234</v>
      </c>
      <c r="E793" t="s">
        <v>20</v>
      </c>
      <c r="F793" t="s">
        <v>383</v>
      </c>
      <c r="G793" t="s">
        <v>269</v>
      </c>
      <c r="H793" t="s">
        <v>254</v>
      </c>
      <c r="I793" t="s">
        <v>242</v>
      </c>
      <c r="J793" t="s">
        <v>235</v>
      </c>
      <c r="K793" s="380">
        <v>36861</v>
      </c>
      <c r="L793" s="235">
        <v>-94999.277059814282</v>
      </c>
      <c r="M793" s="380">
        <v>36859</v>
      </c>
      <c r="N793" t="s">
        <v>1</v>
      </c>
      <c r="O793">
        <v>-0.5</v>
      </c>
      <c r="P793">
        <v>0</v>
      </c>
      <c r="Q793">
        <v>0</v>
      </c>
      <c r="R793">
        <v>0</v>
      </c>
      <c r="S793">
        <v>0</v>
      </c>
      <c r="T793" t="s">
        <v>253</v>
      </c>
      <c r="U793" t="s">
        <v>9</v>
      </c>
      <c r="V793" t="s">
        <v>253</v>
      </c>
      <c r="W793" t="s">
        <v>132</v>
      </c>
      <c r="X793" t="s">
        <v>253</v>
      </c>
      <c r="Y793" t="s">
        <v>235</v>
      </c>
      <c r="Z793" t="s">
        <v>236</v>
      </c>
      <c r="AA793" t="s">
        <v>253</v>
      </c>
      <c r="AB793" t="s">
        <v>1</v>
      </c>
      <c r="AC793" s="235">
        <v>-620000</v>
      </c>
      <c r="AD793" s="235">
        <v>-25379.229181437753</v>
      </c>
      <c r="AE793">
        <v>0</v>
      </c>
      <c r="AF793">
        <v>0</v>
      </c>
      <c r="AG793">
        <v>0</v>
      </c>
      <c r="AH793" s="235">
        <v>-10168.330823965822</v>
      </c>
      <c r="AI793">
        <v>226</v>
      </c>
      <c r="AJ793" t="s">
        <v>256</v>
      </c>
      <c r="AK793">
        <v>0</v>
      </c>
      <c r="AL793">
        <v>0</v>
      </c>
      <c r="AM793">
        <v>0</v>
      </c>
    </row>
    <row r="794" spans="1:39" x14ac:dyDescent="0.25">
      <c r="A794" t="s">
        <v>233</v>
      </c>
      <c r="B794" t="s">
        <v>613</v>
      </c>
      <c r="C794" t="s">
        <v>255</v>
      </c>
      <c r="D794" t="s">
        <v>234</v>
      </c>
      <c r="E794" t="s">
        <v>20</v>
      </c>
      <c r="F794" t="s">
        <v>383</v>
      </c>
      <c r="G794" t="s">
        <v>269</v>
      </c>
      <c r="H794" t="s">
        <v>254</v>
      </c>
      <c r="I794" t="s">
        <v>242</v>
      </c>
      <c r="J794" t="s">
        <v>235</v>
      </c>
      <c r="K794" s="380">
        <v>36892</v>
      </c>
      <c r="L794" s="235">
        <v>-115258.37254906568</v>
      </c>
      <c r="M794" s="380">
        <v>36888</v>
      </c>
      <c r="N794" t="s">
        <v>1</v>
      </c>
      <c r="O794">
        <v>-0.5</v>
      </c>
      <c r="P794">
        <v>0</v>
      </c>
      <c r="Q794">
        <v>0</v>
      </c>
      <c r="R794">
        <v>0</v>
      </c>
      <c r="S794">
        <v>0</v>
      </c>
      <c r="T794" t="s">
        <v>253</v>
      </c>
      <c r="U794" t="s">
        <v>9</v>
      </c>
      <c r="V794" t="s">
        <v>253</v>
      </c>
      <c r="W794" t="s">
        <v>132</v>
      </c>
      <c r="X794" t="s">
        <v>253</v>
      </c>
      <c r="Y794" t="s">
        <v>235</v>
      </c>
      <c r="Z794" t="s">
        <v>236</v>
      </c>
      <c r="AA794" t="s">
        <v>253</v>
      </c>
      <c r="AB794" t="s">
        <v>1</v>
      </c>
      <c r="AC794" s="235">
        <v>-620000</v>
      </c>
      <c r="AD794" s="235">
        <v>-29446.558490434632</v>
      </c>
      <c r="AE794">
        <v>0</v>
      </c>
      <c r="AF794">
        <v>0</v>
      </c>
      <c r="AG794">
        <v>0</v>
      </c>
      <c r="AH794" s="235">
        <v>-10666.112270405312</v>
      </c>
      <c r="AI794">
        <v>226</v>
      </c>
      <c r="AJ794" t="s">
        <v>256</v>
      </c>
      <c r="AK794">
        <v>0</v>
      </c>
      <c r="AL794">
        <v>0</v>
      </c>
      <c r="AM794">
        <v>0</v>
      </c>
    </row>
    <row r="795" spans="1:39" x14ac:dyDescent="0.25">
      <c r="A795" t="s">
        <v>233</v>
      </c>
      <c r="B795" t="s">
        <v>613</v>
      </c>
      <c r="C795" t="s">
        <v>255</v>
      </c>
      <c r="D795" t="s">
        <v>234</v>
      </c>
      <c r="E795" t="s">
        <v>20</v>
      </c>
      <c r="F795" t="s">
        <v>383</v>
      </c>
      <c r="G795" t="s">
        <v>269</v>
      </c>
      <c r="H795" t="s">
        <v>254</v>
      </c>
      <c r="I795" t="s">
        <v>242</v>
      </c>
      <c r="J795" t="s">
        <v>235</v>
      </c>
      <c r="K795" s="380">
        <v>36923</v>
      </c>
      <c r="L795" s="235">
        <v>-114024.04049212708</v>
      </c>
      <c r="M795" s="380">
        <v>36921</v>
      </c>
      <c r="N795" t="s">
        <v>1</v>
      </c>
      <c r="O795">
        <v>-0.5</v>
      </c>
      <c r="P795">
        <v>0</v>
      </c>
      <c r="Q795">
        <v>0</v>
      </c>
      <c r="R795">
        <v>0</v>
      </c>
      <c r="S795">
        <v>0</v>
      </c>
      <c r="T795" t="s">
        <v>253</v>
      </c>
      <c r="U795" t="s">
        <v>9</v>
      </c>
      <c r="V795" t="s">
        <v>253</v>
      </c>
      <c r="W795" t="s">
        <v>132</v>
      </c>
      <c r="X795" t="s">
        <v>253</v>
      </c>
      <c r="Y795" t="s">
        <v>235</v>
      </c>
      <c r="Z795" t="s">
        <v>236</v>
      </c>
      <c r="AA795" t="s">
        <v>253</v>
      </c>
      <c r="AB795" t="s">
        <v>1</v>
      </c>
      <c r="AC795" s="235">
        <v>-560000</v>
      </c>
      <c r="AD795" s="235">
        <v>-29265.395425994851</v>
      </c>
      <c r="AE795">
        <v>0</v>
      </c>
      <c r="AF795">
        <v>0</v>
      </c>
      <c r="AG795">
        <v>0</v>
      </c>
      <c r="AH795" s="235">
        <v>-10003.742911653506</v>
      </c>
      <c r="AI795">
        <v>226</v>
      </c>
      <c r="AJ795" t="s">
        <v>256</v>
      </c>
      <c r="AK795">
        <v>0</v>
      </c>
      <c r="AL795">
        <v>0</v>
      </c>
      <c r="AM795">
        <v>0</v>
      </c>
    </row>
    <row r="796" spans="1:39" x14ac:dyDescent="0.25">
      <c r="A796" t="s">
        <v>233</v>
      </c>
      <c r="B796" t="s">
        <v>613</v>
      </c>
      <c r="C796" t="s">
        <v>255</v>
      </c>
      <c r="D796" t="s">
        <v>234</v>
      </c>
      <c r="E796" t="s">
        <v>20</v>
      </c>
      <c r="F796" t="s">
        <v>383</v>
      </c>
      <c r="G796" t="s">
        <v>269</v>
      </c>
      <c r="H796" t="s">
        <v>254</v>
      </c>
      <c r="I796" t="s">
        <v>242</v>
      </c>
      <c r="J796" t="s">
        <v>235</v>
      </c>
      <c r="K796" s="380">
        <v>36951</v>
      </c>
      <c r="L796" s="235">
        <v>-116041.74956694957</v>
      </c>
      <c r="M796" s="380">
        <v>36949</v>
      </c>
      <c r="N796" t="s">
        <v>1</v>
      </c>
      <c r="O796">
        <v>-0.5</v>
      </c>
      <c r="P796">
        <v>0</v>
      </c>
      <c r="Q796">
        <v>0</v>
      </c>
      <c r="R796">
        <v>0</v>
      </c>
      <c r="S796">
        <v>0</v>
      </c>
      <c r="T796" t="s">
        <v>253</v>
      </c>
      <c r="U796" t="s">
        <v>9</v>
      </c>
      <c r="V796" t="s">
        <v>253</v>
      </c>
      <c r="W796" t="s">
        <v>132</v>
      </c>
      <c r="X796" t="s">
        <v>253</v>
      </c>
      <c r="Y796" t="s">
        <v>235</v>
      </c>
      <c r="Z796" t="s">
        <v>236</v>
      </c>
      <c r="AA796" t="s">
        <v>253</v>
      </c>
      <c r="AB796" t="s">
        <v>1</v>
      </c>
      <c r="AC796" s="235">
        <v>-620000</v>
      </c>
      <c r="AD796" s="235">
        <v>-31331.164041905373</v>
      </c>
      <c r="AE796">
        <v>0</v>
      </c>
      <c r="AF796">
        <v>0</v>
      </c>
      <c r="AG796">
        <v>0</v>
      </c>
      <c r="AH796" s="235">
        <v>-11078.855033120708</v>
      </c>
      <c r="AI796">
        <v>226</v>
      </c>
      <c r="AJ796" t="s">
        <v>256</v>
      </c>
      <c r="AK796">
        <v>0</v>
      </c>
      <c r="AL796">
        <v>0</v>
      </c>
      <c r="AM796">
        <v>0</v>
      </c>
    </row>
    <row r="797" spans="1:39" x14ac:dyDescent="0.25">
      <c r="A797" t="s">
        <v>233</v>
      </c>
      <c r="B797" t="s">
        <v>614</v>
      </c>
      <c r="C797" t="s">
        <v>255</v>
      </c>
      <c r="D797" t="s">
        <v>234</v>
      </c>
      <c r="E797" t="s">
        <v>20</v>
      </c>
      <c r="F797" t="s">
        <v>348</v>
      </c>
      <c r="G797" t="s">
        <v>269</v>
      </c>
      <c r="H797" t="s">
        <v>254</v>
      </c>
      <c r="I797" t="s">
        <v>242</v>
      </c>
      <c r="J797" t="s">
        <v>235</v>
      </c>
      <c r="K797" s="380">
        <v>36831</v>
      </c>
      <c r="L797" s="235">
        <v>-7049.2455730318743</v>
      </c>
      <c r="M797" s="380">
        <v>36829</v>
      </c>
      <c r="N797" t="s">
        <v>21</v>
      </c>
      <c r="O797">
        <v>0.2</v>
      </c>
      <c r="P797">
        <v>0</v>
      </c>
      <c r="Q797">
        <v>0</v>
      </c>
      <c r="R797">
        <v>0</v>
      </c>
      <c r="S797">
        <v>0</v>
      </c>
      <c r="T797" t="s">
        <v>253</v>
      </c>
      <c r="U797" t="s">
        <v>600</v>
      </c>
      <c r="V797" t="s">
        <v>253</v>
      </c>
      <c r="W797" t="s">
        <v>132</v>
      </c>
      <c r="X797" t="s">
        <v>253</v>
      </c>
      <c r="Y797" t="s">
        <v>235</v>
      </c>
      <c r="Z797" t="s">
        <v>236</v>
      </c>
      <c r="AA797" t="s">
        <v>253</v>
      </c>
      <c r="AB797" t="s">
        <v>1</v>
      </c>
      <c r="AC797" s="235">
        <v>-1000000</v>
      </c>
      <c r="AD797" s="235">
        <v>-3784.4939019092417</v>
      </c>
      <c r="AE797">
        <v>0</v>
      </c>
      <c r="AF797">
        <v>0</v>
      </c>
      <c r="AG797">
        <v>0</v>
      </c>
      <c r="AH797" s="235">
        <v>-205.8422991265561</v>
      </c>
      <c r="AI797">
        <v>226</v>
      </c>
      <c r="AJ797" t="s">
        <v>256</v>
      </c>
      <c r="AK797">
        <v>0</v>
      </c>
      <c r="AL797">
        <v>0</v>
      </c>
      <c r="AM797">
        <v>0</v>
      </c>
    </row>
    <row r="798" spans="1:39" x14ac:dyDescent="0.25">
      <c r="A798" t="s">
        <v>233</v>
      </c>
      <c r="B798" t="s">
        <v>614</v>
      </c>
      <c r="C798" t="s">
        <v>255</v>
      </c>
      <c r="D798" t="s">
        <v>234</v>
      </c>
      <c r="E798" t="s">
        <v>20</v>
      </c>
      <c r="F798" t="s">
        <v>348</v>
      </c>
      <c r="G798" t="s">
        <v>269</v>
      </c>
      <c r="H798" t="s">
        <v>254</v>
      </c>
      <c r="I798" t="s">
        <v>242</v>
      </c>
      <c r="J798" t="s">
        <v>235</v>
      </c>
      <c r="K798" s="380">
        <v>36861</v>
      </c>
      <c r="L798" s="235">
        <v>-15540.517320006606</v>
      </c>
      <c r="M798" s="380">
        <v>36859</v>
      </c>
      <c r="N798" t="s">
        <v>21</v>
      </c>
      <c r="O798">
        <v>0.2</v>
      </c>
      <c r="P798">
        <v>0</v>
      </c>
      <c r="Q798">
        <v>0</v>
      </c>
      <c r="R798">
        <v>0</v>
      </c>
      <c r="S798">
        <v>0</v>
      </c>
      <c r="T798" t="s">
        <v>253</v>
      </c>
      <c r="U798" t="s">
        <v>600</v>
      </c>
      <c r="V798" t="s">
        <v>253</v>
      </c>
      <c r="W798" t="s">
        <v>132</v>
      </c>
      <c r="X798" t="s">
        <v>253</v>
      </c>
      <c r="Y798" t="s">
        <v>235</v>
      </c>
      <c r="Z798" t="s">
        <v>236</v>
      </c>
      <c r="AA798" t="s">
        <v>253</v>
      </c>
      <c r="AB798" t="s">
        <v>1</v>
      </c>
      <c r="AC798" s="235">
        <v>-1000000</v>
      </c>
      <c r="AD798" s="235">
        <v>-6169.7623906164954</v>
      </c>
      <c r="AE798">
        <v>0</v>
      </c>
      <c r="AF798">
        <v>0</v>
      </c>
      <c r="AG798">
        <v>0</v>
      </c>
      <c r="AH798" s="235">
        <v>-311.08383681910709</v>
      </c>
      <c r="AI798">
        <v>226</v>
      </c>
      <c r="AJ798" t="s">
        <v>256</v>
      </c>
      <c r="AK798">
        <v>0</v>
      </c>
      <c r="AL798">
        <v>0</v>
      </c>
      <c r="AM798">
        <v>0</v>
      </c>
    </row>
    <row r="799" spans="1:39" x14ac:dyDescent="0.25">
      <c r="A799" t="s">
        <v>233</v>
      </c>
      <c r="B799" t="s">
        <v>614</v>
      </c>
      <c r="C799" t="s">
        <v>255</v>
      </c>
      <c r="D799" t="s">
        <v>234</v>
      </c>
      <c r="E799" t="s">
        <v>20</v>
      </c>
      <c r="F799" t="s">
        <v>348</v>
      </c>
      <c r="G799" t="s">
        <v>269</v>
      </c>
      <c r="H799" t="s">
        <v>254</v>
      </c>
      <c r="I799" t="s">
        <v>242</v>
      </c>
      <c r="J799" t="s">
        <v>235</v>
      </c>
      <c r="K799" s="380">
        <v>36892</v>
      </c>
      <c r="L799" s="235">
        <v>-28711.89871773521</v>
      </c>
      <c r="M799" s="380">
        <v>36888</v>
      </c>
      <c r="N799" t="s">
        <v>21</v>
      </c>
      <c r="O799">
        <v>0.2</v>
      </c>
      <c r="P799">
        <v>0</v>
      </c>
      <c r="Q799">
        <v>0</v>
      </c>
      <c r="R799">
        <v>0</v>
      </c>
      <c r="S799">
        <v>0</v>
      </c>
      <c r="T799" t="s">
        <v>253</v>
      </c>
      <c r="U799" t="s">
        <v>600</v>
      </c>
      <c r="V799" t="s">
        <v>253</v>
      </c>
      <c r="W799" t="s">
        <v>132</v>
      </c>
      <c r="X799" t="s">
        <v>253</v>
      </c>
      <c r="Y799" t="s">
        <v>235</v>
      </c>
      <c r="Z799" t="s">
        <v>236</v>
      </c>
      <c r="AA799" t="s">
        <v>253</v>
      </c>
      <c r="AB799" t="s">
        <v>1</v>
      </c>
      <c r="AC799" s="235">
        <v>-1000000</v>
      </c>
      <c r="AD799" s="235">
        <v>-8458.0881351326243</v>
      </c>
      <c r="AE799">
        <v>0</v>
      </c>
      <c r="AF799">
        <v>0</v>
      </c>
      <c r="AG799">
        <v>0</v>
      </c>
      <c r="AH799" s="235">
        <v>-407.03740583587569</v>
      </c>
      <c r="AI799">
        <v>226</v>
      </c>
      <c r="AJ799" t="s">
        <v>256</v>
      </c>
      <c r="AK799">
        <v>0</v>
      </c>
      <c r="AL799">
        <v>0</v>
      </c>
      <c r="AM799">
        <v>0</v>
      </c>
    </row>
    <row r="800" spans="1:39" x14ac:dyDescent="0.25">
      <c r="A800" t="s">
        <v>233</v>
      </c>
      <c r="B800" t="s">
        <v>614</v>
      </c>
      <c r="C800" t="s">
        <v>255</v>
      </c>
      <c r="D800" t="s">
        <v>234</v>
      </c>
      <c r="E800" t="s">
        <v>20</v>
      </c>
      <c r="F800" t="s">
        <v>348</v>
      </c>
      <c r="G800" t="s">
        <v>269</v>
      </c>
      <c r="H800" t="s">
        <v>254</v>
      </c>
      <c r="I800" t="s">
        <v>242</v>
      </c>
      <c r="J800" t="s">
        <v>235</v>
      </c>
      <c r="K800" s="380">
        <v>36923</v>
      </c>
      <c r="L800" s="235">
        <v>-34991.207679824947</v>
      </c>
      <c r="M800" s="380">
        <v>36921</v>
      </c>
      <c r="N800" t="s">
        <v>21</v>
      </c>
      <c r="O800">
        <v>0.2</v>
      </c>
      <c r="P800">
        <v>0</v>
      </c>
      <c r="Q800">
        <v>0</v>
      </c>
      <c r="R800">
        <v>0</v>
      </c>
      <c r="S800">
        <v>0</v>
      </c>
      <c r="T800" t="s">
        <v>253</v>
      </c>
      <c r="U800" t="s">
        <v>600</v>
      </c>
      <c r="V800" t="s">
        <v>253</v>
      </c>
      <c r="W800" t="s">
        <v>132</v>
      </c>
      <c r="X800" t="s">
        <v>253</v>
      </c>
      <c r="Y800" t="s">
        <v>235</v>
      </c>
      <c r="Z800" t="s">
        <v>236</v>
      </c>
      <c r="AA800" t="s">
        <v>253</v>
      </c>
      <c r="AB800" t="s">
        <v>1</v>
      </c>
      <c r="AC800" s="235">
        <v>-1000000</v>
      </c>
      <c r="AD800" s="235">
        <v>-9589.1184383253567</v>
      </c>
      <c r="AE800">
        <v>0</v>
      </c>
      <c r="AF800">
        <v>0</v>
      </c>
      <c r="AG800">
        <v>0</v>
      </c>
      <c r="AH800" s="235">
        <v>-459.96601340670168</v>
      </c>
      <c r="AI800">
        <v>226</v>
      </c>
      <c r="AJ800" t="s">
        <v>256</v>
      </c>
      <c r="AK800">
        <v>0</v>
      </c>
      <c r="AL800">
        <v>0</v>
      </c>
      <c r="AM800">
        <v>0</v>
      </c>
    </row>
    <row r="801" spans="1:39" x14ac:dyDescent="0.25">
      <c r="A801" t="s">
        <v>233</v>
      </c>
      <c r="B801" t="s">
        <v>614</v>
      </c>
      <c r="C801" t="s">
        <v>255</v>
      </c>
      <c r="D801" t="s">
        <v>234</v>
      </c>
      <c r="E801" t="s">
        <v>20</v>
      </c>
      <c r="F801" t="s">
        <v>348</v>
      </c>
      <c r="G801" t="s">
        <v>269</v>
      </c>
      <c r="H801" t="s">
        <v>254</v>
      </c>
      <c r="I801" t="s">
        <v>242</v>
      </c>
      <c r="J801" t="s">
        <v>235</v>
      </c>
      <c r="K801" s="380">
        <v>36951</v>
      </c>
      <c r="L801" s="235">
        <v>-26314.057292236681</v>
      </c>
      <c r="M801" s="380">
        <v>36949</v>
      </c>
      <c r="N801" t="s">
        <v>21</v>
      </c>
      <c r="O801">
        <v>0.2</v>
      </c>
      <c r="P801">
        <v>0</v>
      </c>
      <c r="Q801">
        <v>0</v>
      </c>
      <c r="R801">
        <v>0</v>
      </c>
      <c r="S801">
        <v>0</v>
      </c>
      <c r="T801" t="s">
        <v>253</v>
      </c>
      <c r="U801" t="s">
        <v>600</v>
      </c>
      <c r="V801" t="s">
        <v>253</v>
      </c>
      <c r="W801" t="s">
        <v>132</v>
      </c>
      <c r="X801" t="s">
        <v>253</v>
      </c>
      <c r="Y801" t="s">
        <v>235</v>
      </c>
      <c r="Z801" t="s">
        <v>236</v>
      </c>
      <c r="AA801" t="s">
        <v>253</v>
      </c>
      <c r="AB801" t="s">
        <v>1</v>
      </c>
      <c r="AC801" s="235">
        <v>-1000000</v>
      </c>
      <c r="AD801" s="235">
        <v>-8714.597532602842</v>
      </c>
      <c r="AE801">
        <v>0</v>
      </c>
      <c r="AF801">
        <v>0</v>
      </c>
      <c r="AG801">
        <v>0</v>
      </c>
      <c r="AH801" s="235">
        <v>-442.50962995838927</v>
      </c>
      <c r="AI801">
        <v>226</v>
      </c>
      <c r="AJ801" t="s">
        <v>256</v>
      </c>
      <c r="AK801">
        <v>0</v>
      </c>
      <c r="AL801">
        <v>0</v>
      </c>
      <c r="AM801">
        <v>0</v>
      </c>
    </row>
    <row r="802" spans="1:39" x14ac:dyDescent="0.25">
      <c r="A802" t="s">
        <v>233</v>
      </c>
      <c r="B802" t="s">
        <v>615</v>
      </c>
      <c r="C802" t="s">
        <v>255</v>
      </c>
      <c r="D802" t="s">
        <v>234</v>
      </c>
      <c r="E802" t="s">
        <v>20</v>
      </c>
      <c r="F802" t="s">
        <v>399</v>
      </c>
      <c r="G802" t="s">
        <v>269</v>
      </c>
      <c r="H802" t="s">
        <v>254</v>
      </c>
      <c r="I802" t="s">
        <v>242</v>
      </c>
      <c r="J802" t="s">
        <v>235</v>
      </c>
      <c r="K802" s="380">
        <v>36831</v>
      </c>
      <c r="L802" s="235">
        <v>14939.686842902242</v>
      </c>
      <c r="M802" s="380">
        <v>36829</v>
      </c>
      <c r="N802" t="s">
        <v>1</v>
      </c>
      <c r="O802">
        <v>0.11</v>
      </c>
      <c r="P802">
        <v>0</v>
      </c>
      <c r="Q802">
        <v>0</v>
      </c>
      <c r="R802">
        <v>0</v>
      </c>
      <c r="S802">
        <v>0</v>
      </c>
      <c r="T802" t="s">
        <v>253</v>
      </c>
      <c r="U802" t="s">
        <v>600</v>
      </c>
      <c r="V802" t="s">
        <v>253</v>
      </c>
      <c r="W802" t="s">
        <v>132</v>
      </c>
      <c r="X802" t="s">
        <v>253</v>
      </c>
      <c r="Y802" t="s">
        <v>235</v>
      </c>
      <c r="Z802" t="s">
        <v>236</v>
      </c>
      <c r="AA802" t="s">
        <v>253</v>
      </c>
      <c r="AB802" t="s">
        <v>1</v>
      </c>
      <c r="AC802" s="235">
        <v>300000</v>
      </c>
      <c r="AD802" s="235">
        <v>2114.2458726876939</v>
      </c>
      <c r="AE802">
        <v>0</v>
      </c>
      <c r="AF802">
        <v>0</v>
      </c>
      <c r="AG802">
        <v>0</v>
      </c>
      <c r="AH802" s="235">
        <v>113.67841680227684</v>
      </c>
      <c r="AI802">
        <v>226</v>
      </c>
      <c r="AJ802" t="s">
        <v>256</v>
      </c>
      <c r="AK802">
        <v>0</v>
      </c>
      <c r="AL802">
        <v>0</v>
      </c>
      <c r="AM802">
        <v>0</v>
      </c>
    </row>
    <row r="803" spans="1:39" x14ac:dyDescent="0.25">
      <c r="A803" t="s">
        <v>233</v>
      </c>
      <c r="B803" t="s">
        <v>615</v>
      </c>
      <c r="C803" t="s">
        <v>255</v>
      </c>
      <c r="D803" t="s">
        <v>234</v>
      </c>
      <c r="E803" t="s">
        <v>20</v>
      </c>
      <c r="F803" t="s">
        <v>399</v>
      </c>
      <c r="G803" t="s">
        <v>269</v>
      </c>
      <c r="H803" t="s">
        <v>254</v>
      </c>
      <c r="I803" t="s">
        <v>242</v>
      </c>
      <c r="J803" t="s">
        <v>235</v>
      </c>
      <c r="K803" s="380">
        <v>36861</v>
      </c>
      <c r="L803" s="235">
        <v>15994.062654113444</v>
      </c>
      <c r="M803" s="380">
        <v>36859</v>
      </c>
      <c r="N803" t="s">
        <v>1</v>
      </c>
      <c r="O803">
        <v>0.11</v>
      </c>
      <c r="P803">
        <v>0</v>
      </c>
      <c r="Q803">
        <v>0</v>
      </c>
      <c r="R803">
        <v>0</v>
      </c>
      <c r="S803">
        <v>0</v>
      </c>
      <c r="T803" t="s">
        <v>253</v>
      </c>
      <c r="U803" t="s">
        <v>600</v>
      </c>
      <c r="V803" t="s">
        <v>253</v>
      </c>
      <c r="W803" t="s">
        <v>132</v>
      </c>
      <c r="X803" t="s">
        <v>253</v>
      </c>
      <c r="Y803" t="s">
        <v>235</v>
      </c>
      <c r="Z803" t="s">
        <v>236</v>
      </c>
      <c r="AA803" t="s">
        <v>253</v>
      </c>
      <c r="AB803" t="s">
        <v>1</v>
      </c>
      <c r="AC803" s="235">
        <v>310000</v>
      </c>
      <c r="AD803" s="235">
        <v>2726.4039375555876</v>
      </c>
      <c r="AE803">
        <v>0</v>
      </c>
      <c r="AF803">
        <v>0</v>
      </c>
      <c r="AG803">
        <v>0</v>
      </c>
      <c r="AH803" s="235">
        <v>137.21978191457856</v>
      </c>
      <c r="AI803">
        <v>226</v>
      </c>
      <c r="AJ803" t="s">
        <v>256</v>
      </c>
      <c r="AK803">
        <v>0</v>
      </c>
      <c r="AL803">
        <v>0</v>
      </c>
      <c r="AM803">
        <v>0</v>
      </c>
    </row>
    <row r="804" spans="1:39" x14ac:dyDescent="0.25">
      <c r="A804" t="s">
        <v>233</v>
      </c>
      <c r="B804" t="s">
        <v>615</v>
      </c>
      <c r="C804" t="s">
        <v>255</v>
      </c>
      <c r="D804" t="s">
        <v>234</v>
      </c>
      <c r="E804" t="s">
        <v>20</v>
      </c>
      <c r="F804" t="s">
        <v>399</v>
      </c>
      <c r="G804" t="s">
        <v>269</v>
      </c>
      <c r="H804" t="s">
        <v>254</v>
      </c>
      <c r="I804" t="s">
        <v>242</v>
      </c>
      <c r="J804" t="s">
        <v>235</v>
      </c>
      <c r="K804" s="380">
        <v>36892</v>
      </c>
      <c r="L804" s="235">
        <v>13936.513340406045</v>
      </c>
      <c r="M804" s="380">
        <v>36888</v>
      </c>
      <c r="N804" t="s">
        <v>1</v>
      </c>
      <c r="O804">
        <v>0.11</v>
      </c>
      <c r="P804">
        <v>0</v>
      </c>
      <c r="Q804">
        <v>0</v>
      </c>
      <c r="R804">
        <v>0</v>
      </c>
      <c r="S804">
        <v>0</v>
      </c>
      <c r="T804" t="s">
        <v>253</v>
      </c>
      <c r="U804" t="s">
        <v>600</v>
      </c>
      <c r="V804" t="s">
        <v>253</v>
      </c>
      <c r="W804" t="s">
        <v>132</v>
      </c>
      <c r="X804" t="s">
        <v>253</v>
      </c>
      <c r="Y804" t="s">
        <v>235</v>
      </c>
      <c r="Z804" t="s">
        <v>236</v>
      </c>
      <c r="AA804" t="s">
        <v>253</v>
      </c>
      <c r="AB804" t="s">
        <v>1</v>
      </c>
      <c r="AC804" s="235">
        <v>310000</v>
      </c>
      <c r="AD804" s="235">
        <v>3106.2800115790742</v>
      </c>
      <c r="AE804">
        <v>0</v>
      </c>
      <c r="AF804">
        <v>0</v>
      </c>
      <c r="AG804">
        <v>0</v>
      </c>
      <c r="AH804" s="235">
        <v>149.52930651286624</v>
      </c>
      <c r="AI804">
        <v>226</v>
      </c>
      <c r="AJ804" t="s">
        <v>256</v>
      </c>
      <c r="AK804">
        <v>0</v>
      </c>
      <c r="AL804">
        <v>0</v>
      </c>
      <c r="AM804">
        <v>0</v>
      </c>
    </row>
    <row r="805" spans="1:39" x14ac:dyDescent="0.25">
      <c r="A805" t="s">
        <v>233</v>
      </c>
      <c r="B805" t="s">
        <v>615</v>
      </c>
      <c r="C805" t="s">
        <v>255</v>
      </c>
      <c r="D805" t="s">
        <v>234</v>
      </c>
      <c r="E805" t="s">
        <v>20</v>
      </c>
      <c r="F805" t="s">
        <v>399</v>
      </c>
      <c r="G805" t="s">
        <v>269</v>
      </c>
      <c r="H805" t="s">
        <v>254</v>
      </c>
      <c r="I805" t="s">
        <v>242</v>
      </c>
      <c r="J805" t="s">
        <v>235</v>
      </c>
      <c r="K805" s="380">
        <v>36923</v>
      </c>
      <c r="L805" s="235">
        <v>12112.78486203005</v>
      </c>
      <c r="M805" s="380">
        <v>36921</v>
      </c>
      <c r="N805" t="s">
        <v>1</v>
      </c>
      <c r="O805">
        <v>0.11</v>
      </c>
      <c r="P805">
        <v>0</v>
      </c>
      <c r="Q805">
        <v>0</v>
      </c>
      <c r="R805">
        <v>0</v>
      </c>
      <c r="S805">
        <v>0</v>
      </c>
      <c r="T805" t="s">
        <v>253</v>
      </c>
      <c r="U805" t="s">
        <v>600</v>
      </c>
      <c r="V805" t="s">
        <v>253</v>
      </c>
      <c r="W805" t="s">
        <v>132</v>
      </c>
      <c r="X805" t="s">
        <v>253</v>
      </c>
      <c r="Y805" t="s">
        <v>235</v>
      </c>
      <c r="Z805" t="s">
        <v>236</v>
      </c>
      <c r="AA805" t="s">
        <v>253</v>
      </c>
      <c r="AB805" t="s">
        <v>1</v>
      </c>
      <c r="AC805" s="235">
        <v>280000</v>
      </c>
      <c r="AD805" s="235">
        <v>3029.9131092537718</v>
      </c>
      <c r="AE805">
        <v>0</v>
      </c>
      <c r="AF805">
        <v>0</v>
      </c>
      <c r="AG805">
        <v>0</v>
      </c>
      <c r="AH805" s="235">
        <v>145.42816326130742</v>
      </c>
      <c r="AI805">
        <v>226</v>
      </c>
      <c r="AJ805" t="s">
        <v>256</v>
      </c>
      <c r="AK805">
        <v>0</v>
      </c>
      <c r="AL805">
        <v>0</v>
      </c>
      <c r="AM805">
        <v>0</v>
      </c>
    </row>
    <row r="806" spans="1:39" x14ac:dyDescent="0.25">
      <c r="A806" t="s">
        <v>233</v>
      </c>
      <c r="B806" t="s">
        <v>615</v>
      </c>
      <c r="C806" t="s">
        <v>255</v>
      </c>
      <c r="D806" t="s">
        <v>234</v>
      </c>
      <c r="E806" t="s">
        <v>20</v>
      </c>
      <c r="F806" t="s">
        <v>399</v>
      </c>
      <c r="G806" t="s">
        <v>269</v>
      </c>
      <c r="H806" t="s">
        <v>254</v>
      </c>
      <c r="I806" t="s">
        <v>242</v>
      </c>
      <c r="J806" t="s">
        <v>235</v>
      </c>
      <c r="K806" s="380">
        <v>36951</v>
      </c>
      <c r="L806" s="235">
        <v>14023.127398223036</v>
      </c>
      <c r="M806" s="380">
        <v>36949</v>
      </c>
      <c r="N806" t="s">
        <v>1</v>
      </c>
      <c r="O806">
        <v>0.11</v>
      </c>
      <c r="P806">
        <v>0</v>
      </c>
      <c r="Q806">
        <v>0</v>
      </c>
      <c r="R806">
        <v>0</v>
      </c>
      <c r="S806">
        <v>0</v>
      </c>
      <c r="T806" t="s">
        <v>253</v>
      </c>
      <c r="U806" t="s">
        <v>600</v>
      </c>
      <c r="V806" t="s">
        <v>253</v>
      </c>
      <c r="W806" t="s">
        <v>132</v>
      </c>
      <c r="X806" t="s">
        <v>253</v>
      </c>
      <c r="Y806" t="s">
        <v>235</v>
      </c>
      <c r="Z806" t="s">
        <v>236</v>
      </c>
      <c r="AA806" t="s">
        <v>253</v>
      </c>
      <c r="AB806" t="s">
        <v>1</v>
      </c>
      <c r="AC806" s="235">
        <v>310000</v>
      </c>
      <c r="AD806" s="235">
        <v>3290.7735193136614</v>
      </c>
      <c r="AE806">
        <v>0</v>
      </c>
      <c r="AF806">
        <v>0</v>
      </c>
      <c r="AG806">
        <v>0</v>
      </c>
      <c r="AH806" s="235">
        <v>167.41746646313368</v>
      </c>
      <c r="AI806">
        <v>226</v>
      </c>
      <c r="AJ806" t="s">
        <v>256</v>
      </c>
      <c r="AK806">
        <v>0</v>
      </c>
      <c r="AL806">
        <v>0</v>
      </c>
      <c r="AM806">
        <v>0</v>
      </c>
    </row>
    <row r="807" spans="1:39" x14ac:dyDescent="0.25">
      <c r="A807" t="s">
        <v>233</v>
      </c>
      <c r="B807" t="s">
        <v>616</v>
      </c>
      <c r="C807" t="s">
        <v>255</v>
      </c>
      <c r="D807" t="s">
        <v>234</v>
      </c>
      <c r="E807" t="s">
        <v>20</v>
      </c>
      <c r="F807" t="s">
        <v>399</v>
      </c>
      <c r="G807" t="s">
        <v>269</v>
      </c>
      <c r="H807" t="s">
        <v>254</v>
      </c>
      <c r="I807" t="s">
        <v>242</v>
      </c>
      <c r="J807" t="s">
        <v>235</v>
      </c>
      <c r="K807" s="380">
        <v>36831</v>
      </c>
      <c r="L807" s="235">
        <v>14939.686842902242</v>
      </c>
      <c r="M807" s="380">
        <v>36829</v>
      </c>
      <c r="N807" t="s">
        <v>1</v>
      </c>
      <c r="O807">
        <v>0.11</v>
      </c>
      <c r="P807">
        <v>0</v>
      </c>
      <c r="Q807">
        <v>0</v>
      </c>
      <c r="R807">
        <v>0</v>
      </c>
      <c r="S807">
        <v>0</v>
      </c>
      <c r="T807" t="s">
        <v>253</v>
      </c>
      <c r="U807" t="s">
        <v>600</v>
      </c>
      <c r="V807" t="s">
        <v>253</v>
      </c>
      <c r="W807" t="s">
        <v>132</v>
      </c>
      <c r="X807" t="s">
        <v>253</v>
      </c>
      <c r="Y807" t="s">
        <v>235</v>
      </c>
      <c r="Z807" t="s">
        <v>236</v>
      </c>
      <c r="AA807" t="s">
        <v>253</v>
      </c>
      <c r="AB807" t="s">
        <v>1</v>
      </c>
      <c r="AC807" s="235">
        <v>300000</v>
      </c>
      <c r="AD807" s="235">
        <v>2114.2458726876939</v>
      </c>
      <c r="AE807">
        <v>0</v>
      </c>
      <c r="AF807">
        <v>0</v>
      </c>
      <c r="AG807">
        <v>0</v>
      </c>
      <c r="AH807" s="235">
        <v>113.67841680227684</v>
      </c>
      <c r="AI807">
        <v>226</v>
      </c>
      <c r="AJ807" t="s">
        <v>256</v>
      </c>
      <c r="AK807">
        <v>0</v>
      </c>
      <c r="AL807">
        <v>0</v>
      </c>
      <c r="AM807">
        <v>0</v>
      </c>
    </row>
    <row r="808" spans="1:39" x14ac:dyDescent="0.25">
      <c r="A808" t="s">
        <v>233</v>
      </c>
      <c r="B808" t="s">
        <v>616</v>
      </c>
      <c r="C808" t="s">
        <v>255</v>
      </c>
      <c r="D808" t="s">
        <v>234</v>
      </c>
      <c r="E808" t="s">
        <v>20</v>
      </c>
      <c r="F808" t="s">
        <v>399</v>
      </c>
      <c r="G808" t="s">
        <v>269</v>
      </c>
      <c r="H808" t="s">
        <v>254</v>
      </c>
      <c r="I808" t="s">
        <v>242</v>
      </c>
      <c r="J808" t="s">
        <v>235</v>
      </c>
      <c r="K808" s="380">
        <v>36861</v>
      </c>
      <c r="L808" s="235">
        <v>15994.062654113444</v>
      </c>
      <c r="M808" s="380">
        <v>36859</v>
      </c>
      <c r="N808" t="s">
        <v>1</v>
      </c>
      <c r="O808">
        <v>0.11</v>
      </c>
      <c r="P808">
        <v>0</v>
      </c>
      <c r="Q808">
        <v>0</v>
      </c>
      <c r="R808">
        <v>0</v>
      </c>
      <c r="S808">
        <v>0</v>
      </c>
      <c r="T808" t="s">
        <v>253</v>
      </c>
      <c r="U808" t="s">
        <v>600</v>
      </c>
      <c r="V808" t="s">
        <v>253</v>
      </c>
      <c r="W808" t="s">
        <v>132</v>
      </c>
      <c r="X808" t="s">
        <v>253</v>
      </c>
      <c r="Y808" t="s">
        <v>235</v>
      </c>
      <c r="Z808" t="s">
        <v>236</v>
      </c>
      <c r="AA808" t="s">
        <v>253</v>
      </c>
      <c r="AB808" t="s">
        <v>1</v>
      </c>
      <c r="AC808" s="235">
        <v>310000</v>
      </c>
      <c r="AD808" s="235">
        <v>2726.4039375555876</v>
      </c>
      <c r="AE808">
        <v>0</v>
      </c>
      <c r="AF808">
        <v>0</v>
      </c>
      <c r="AG808">
        <v>0</v>
      </c>
      <c r="AH808" s="235">
        <v>137.21978191457856</v>
      </c>
      <c r="AI808">
        <v>226</v>
      </c>
      <c r="AJ808" t="s">
        <v>256</v>
      </c>
      <c r="AK808">
        <v>0</v>
      </c>
      <c r="AL808">
        <v>0</v>
      </c>
      <c r="AM808">
        <v>0</v>
      </c>
    </row>
    <row r="809" spans="1:39" x14ac:dyDescent="0.25">
      <c r="A809" t="s">
        <v>233</v>
      </c>
      <c r="B809" t="s">
        <v>616</v>
      </c>
      <c r="C809" t="s">
        <v>255</v>
      </c>
      <c r="D809" t="s">
        <v>234</v>
      </c>
      <c r="E809" t="s">
        <v>20</v>
      </c>
      <c r="F809" t="s">
        <v>399</v>
      </c>
      <c r="G809" t="s">
        <v>269</v>
      </c>
      <c r="H809" t="s">
        <v>254</v>
      </c>
      <c r="I809" t="s">
        <v>242</v>
      </c>
      <c r="J809" t="s">
        <v>235</v>
      </c>
      <c r="K809" s="380">
        <v>36892</v>
      </c>
      <c r="L809" s="235">
        <v>13936.513340406045</v>
      </c>
      <c r="M809" s="380">
        <v>36888</v>
      </c>
      <c r="N809" t="s">
        <v>1</v>
      </c>
      <c r="O809">
        <v>0.11</v>
      </c>
      <c r="P809">
        <v>0</v>
      </c>
      <c r="Q809">
        <v>0</v>
      </c>
      <c r="R809">
        <v>0</v>
      </c>
      <c r="S809">
        <v>0</v>
      </c>
      <c r="T809" t="s">
        <v>253</v>
      </c>
      <c r="U809" t="s">
        <v>600</v>
      </c>
      <c r="V809" t="s">
        <v>253</v>
      </c>
      <c r="W809" t="s">
        <v>132</v>
      </c>
      <c r="X809" t="s">
        <v>253</v>
      </c>
      <c r="Y809" t="s">
        <v>235</v>
      </c>
      <c r="Z809" t="s">
        <v>236</v>
      </c>
      <c r="AA809" t="s">
        <v>253</v>
      </c>
      <c r="AB809" t="s">
        <v>1</v>
      </c>
      <c r="AC809" s="235">
        <v>310000</v>
      </c>
      <c r="AD809" s="235">
        <v>3106.2800115790742</v>
      </c>
      <c r="AE809">
        <v>0</v>
      </c>
      <c r="AF809">
        <v>0</v>
      </c>
      <c r="AG809">
        <v>0</v>
      </c>
      <c r="AH809" s="235">
        <v>149.52930651286624</v>
      </c>
      <c r="AI809">
        <v>226</v>
      </c>
      <c r="AJ809" t="s">
        <v>256</v>
      </c>
      <c r="AK809">
        <v>0</v>
      </c>
      <c r="AL809">
        <v>0</v>
      </c>
      <c r="AM809">
        <v>0</v>
      </c>
    </row>
    <row r="810" spans="1:39" x14ac:dyDescent="0.25">
      <c r="A810" t="s">
        <v>233</v>
      </c>
      <c r="B810" t="s">
        <v>616</v>
      </c>
      <c r="C810" t="s">
        <v>255</v>
      </c>
      <c r="D810" t="s">
        <v>234</v>
      </c>
      <c r="E810" t="s">
        <v>20</v>
      </c>
      <c r="F810" t="s">
        <v>399</v>
      </c>
      <c r="G810" t="s">
        <v>269</v>
      </c>
      <c r="H810" t="s">
        <v>254</v>
      </c>
      <c r="I810" t="s">
        <v>242</v>
      </c>
      <c r="J810" t="s">
        <v>235</v>
      </c>
      <c r="K810" s="380">
        <v>36923</v>
      </c>
      <c r="L810" s="235">
        <v>12112.78486203005</v>
      </c>
      <c r="M810" s="380">
        <v>36921</v>
      </c>
      <c r="N810" t="s">
        <v>1</v>
      </c>
      <c r="O810">
        <v>0.11</v>
      </c>
      <c r="P810">
        <v>0</v>
      </c>
      <c r="Q810">
        <v>0</v>
      </c>
      <c r="R810">
        <v>0</v>
      </c>
      <c r="S810">
        <v>0</v>
      </c>
      <c r="T810" t="s">
        <v>253</v>
      </c>
      <c r="U810" t="s">
        <v>600</v>
      </c>
      <c r="V810" t="s">
        <v>253</v>
      </c>
      <c r="W810" t="s">
        <v>132</v>
      </c>
      <c r="X810" t="s">
        <v>253</v>
      </c>
      <c r="Y810" t="s">
        <v>235</v>
      </c>
      <c r="Z810" t="s">
        <v>236</v>
      </c>
      <c r="AA810" t="s">
        <v>253</v>
      </c>
      <c r="AB810" t="s">
        <v>1</v>
      </c>
      <c r="AC810" s="235">
        <v>280000</v>
      </c>
      <c r="AD810" s="235">
        <v>3029.9131092537718</v>
      </c>
      <c r="AE810">
        <v>0</v>
      </c>
      <c r="AF810">
        <v>0</v>
      </c>
      <c r="AG810">
        <v>0</v>
      </c>
      <c r="AH810" s="235">
        <v>145.42816326130742</v>
      </c>
      <c r="AI810">
        <v>226</v>
      </c>
      <c r="AJ810" t="s">
        <v>256</v>
      </c>
      <c r="AK810">
        <v>0</v>
      </c>
      <c r="AL810">
        <v>0</v>
      </c>
      <c r="AM810">
        <v>0</v>
      </c>
    </row>
    <row r="811" spans="1:39" x14ac:dyDescent="0.25">
      <c r="A811" t="s">
        <v>233</v>
      </c>
      <c r="B811" t="s">
        <v>618</v>
      </c>
      <c r="C811" t="s">
        <v>255</v>
      </c>
      <c r="D811" t="s">
        <v>234</v>
      </c>
      <c r="E811" t="s">
        <v>20</v>
      </c>
      <c r="F811" t="s">
        <v>320</v>
      </c>
      <c r="G811" t="s">
        <v>269</v>
      </c>
      <c r="H811" t="s">
        <v>254</v>
      </c>
      <c r="I811" t="s">
        <v>242</v>
      </c>
      <c r="J811" t="s">
        <v>235</v>
      </c>
      <c r="K811" s="380">
        <v>36831</v>
      </c>
      <c r="L811" s="235">
        <v>85217.781930585523</v>
      </c>
      <c r="M811" s="380">
        <v>36829</v>
      </c>
      <c r="N811" t="s">
        <v>21</v>
      </c>
      <c r="O811">
        <v>1</v>
      </c>
      <c r="P811">
        <v>0</v>
      </c>
      <c r="Q811">
        <v>0</v>
      </c>
      <c r="R811">
        <v>0</v>
      </c>
      <c r="S811">
        <v>0</v>
      </c>
      <c r="T811" t="s">
        <v>253</v>
      </c>
      <c r="U811" t="s">
        <v>7</v>
      </c>
      <c r="V811" t="s">
        <v>253</v>
      </c>
      <c r="W811" t="s">
        <v>132</v>
      </c>
      <c r="X811" t="s">
        <v>253</v>
      </c>
      <c r="Y811" t="s">
        <v>235</v>
      </c>
      <c r="Z811" t="s">
        <v>236</v>
      </c>
      <c r="AA811" t="s">
        <v>253</v>
      </c>
      <c r="AB811" t="s">
        <v>1</v>
      </c>
      <c r="AC811" s="235">
        <v>500000</v>
      </c>
      <c r="AD811" s="235">
        <v>20906.954671872692</v>
      </c>
      <c r="AE811">
        <v>0</v>
      </c>
      <c r="AF811">
        <v>0</v>
      </c>
      <c r="AG811">
        <v>0</v>
      </c>
      <c r="AH811" s="235">
        <v>8666.5366982964624</v>
      </c>
      <c r="AI811">
        <v>226</v>
      </c>
      <c r="AJ811" t="s">
        <v>256</v>
      </c>
      <c r="AK811">
        <v>0</v>
      </c>
      <c r="AL811">
        <v>0</v>
      </c>
      <c r="AM811">
        <v>0</v>
      </c>
    </row>
    <row r="812" spans="1:39" x14ac:dyDescent="0.25">
      <c r="A812" t="s">
        <v>233</v>
      </c>
      <c r="B812" t="s">
        <v>619</v>
      </c>
      <c r="C812" t="s">
        <v>255</v>
      </c>
      <c r="D812" t="s">
        <v>234</v>
      </c>
      <c r="E812" t="s">
        <v>20</v>
      </c>
      <c r="F812" t="s">
        <v>509</v>
      </c>
      <c r="G812" t="s">
        <v>269</v>
      </c>
      <c r="H812" t="s">
        <v>254</v>
      </c>
      <c r="I812" t="s">
        <v>242</v>
      </c>
      <c r="J812" t="s">
        <v>235</v>
      </c>
      <c r="K812" s="380">
        <v>36831</v>
      </c>
      <c r="L812" s="235">
        <v>139888.75420971552</v>
      </c>
      <c r="M812" s="380">
        <v>36829</v>
      </c>
      <c r="N812" t="s">
        <v>1</v>
      </c>
      <c r="O812">
        <v>0.5</v>
      </c>
      <c r="P812">
        <v>0</v>
      </c>
      <c r="Q812">
        <v>0</v>
      </c>
      <c r="R812">
        <v>0</v>
      </c>
      <c r="S812">
        <v>0</v>
      </c>
      <c r="T812" t="s">
        <v>253</v>
      </c>
      <c r="U812" t="s">
        <v>7</v>
      </c>
      <c r="V812" t="s">
        <v>253</v>
      </c>
      <c r="W812" t="s">
        <v>132</v>
      </c>
      <c r="X812" t="s">
        <v>253</v>
      </c>
      <c r="Y812" t="s">
        <v>235</v>
      </c>
      <c r="Z812" t="s">
        <v>236</v>
      </c>
      <c r="AA812" t="s">
        <v>253</v>
      </c>
      <c r="AB812" t="s">
        <v>1</v>
      </c>
      <c r="AC812" s="235">
        <v>1000000</v>
      </c>
      <c r="AD812" s="235">
        <v>42144.348073685425</v>
      </c>
      <c r="AE812">
        <v>0</v>
      </c>
      <c r="AF812">
        <v>0</v>
      </c>
      <c r="AG812">
        <v>0</v>
      </c>
      <c r="AH812" s="235">
        <v>-10607.014926701027</v>
      </c>
      <c r="AI812">
        <v>226</v>
      </c>
      <c r="AJ812" t="s">
        <v>256</v>
      </c>
      <c r="AK812">
        <v>0</v>
      </c>
      <c r="AL812">
        <v>0</v>
      </c>
      <c r="AM812">
        <v>0</v>
      </c>
    </row>
    <row r="813" spans="1:39" x14ac:dyDescent="0.25">
      <c r="A813" t="s">
        <v>233</v>
      </c>
      <c r="B813" t="s">
        <v>621</v>
      </c>
      <c r="C813" t="s">
        <v>255</v>
      </c>
      <c r="D813" t="s">
        <v>234</v>
      </c>
      <c r="E813" t="s">
        <v>20</v>
      </c>
      <c r="F813" t="s">
        <v>620</v>
      </c>
      <c r="G813" t="s">
        <v>269</v>
      </c>
      <c r="H813" t="s">
        <v>254</v>
      </c>
      <c r="I813" t="s">
        <v>242</v>
      </c>
      <c r="J813" t="s">
        <v>235</v>
      </c>
      <c r="K813" s="380">
        <v>36831</v>
      </c>
      <c r="L813" s="235">
        <v>51130.669158351309</v>
      </c>
      <c r="M813" s="380">
        <v>36829</v>
      </c>
      <c r="N813" t="s">
        <v>21</v>
      </c>
      <c r="O813">
        <v>1</v>
      </c>
      <c r="P813">
        <v>0</v>
      </c>
      <c r="Q813">
        <v>0</v>
      </c>
      <c r="R813">
        <v>0</v>
      </c>
      <c r="S813">
        <v>0</v>
      </c>
      <c r="T813" t="s">
        <v>253</v>
      </c>
      <c r="U813" t="s">
        <v>7</v>
      </c>
      <c r="V813" t="s">
        <v>253</v>
      </c>
      <c r="W813" t="s">
        <v>132</v>
      </c>
      <c r="X813" t="s">
        <v>253</v>
      </c>
      <c r="Y813" t="s">
        <v>235</v>
      </c>
      <c r="Z813" t="s">
        <v>236</v>
      </c>
      <c r="AA813" t="s">
        <v>253</v>
      </c>
      <c r="AB813" t="s">
        <v>1</v>
      </c>
      <c r="AC813" s="235">
        <v>300000</v>
      </c>
      <c r="AD813" s="235">
        <v>12544.172803123627</v>
      </c>
      <c r="AE813">
        <v>0</v>
      </c>
      <c r="AF813">
        <v>0</v>
      </c>
      <c r="AG813">
        <v>0</v>
      </c>
      <c r="AH813" s="235">
        <v>5199.9220189778789</v>
      </c>
      <c r="AI813">
        <v>226</v>
      </c>
      <c r="AJ813" t="s">
        <v>256</v>
      </c>
      <c r="AK813">
        <v>0</v>
      </c>
      <c r="AL813">
        <v>0</v>
      </c>
      <c r="AM813">
        <v>0</v>
      </c>
    </row>
    <row r="814" spans="1:39" x14ac:dyDescent="0.25">
      <c r="A814" t="s">
        <v>233</v>
      </c>
      <c r="B814" t="s">
        <v>622</v>
      </c>
      <c r="C814" t="s">
        <v>255</v>
      </c>
      <c r="D814" t="s">
        <v>234</v>
      </c>
      <c r="E814" t="s">
        <v>20</v>
      </c>
      <c r="F814" t="s">
        <v>268</v>
      </c>
      <c r="G814" t="s">
        <v>269</v>
      </c>
      <c r="H814" t="s">
        <v>254</v>
      </c>
      <c r="I814" t="s">
        <v>242</v>
      </c>
      <c r="J814" t="s">
        <v>235</v>
      </c>
      <c r="K814" s="380">
        <v>36831</v>
      </c>
      <c r="L814" s="235">
        <v>-3788.7915819017207</v>
      </c>
      <c r="M814" s="380">
        <v>36829</v>
      </c>
      <c r="N814" t="s">
        <v>1</v>
      </c>
      <c r="O814">
        <v>0.5</v>
      </c>
      <c r="P814">
        <v>0</v>
      </c>
      <c r="Q814">
        <v>0</v>
      </c>
      <c r="R814">
        <v>0</v>
      </c>
      <c r="S814">
        <v>0</v>
      </c>
      <c r="T814" t="s">
        <v>253</v>
      </c>
      <c r="U814" t="s">
        <v>190</v>
      </c>
      <c r="V814" t="s">
        <v>253</v>
      </c>
      <c r="W814" t="s">
        <v>132</v>
      </c>
      <c r="X814" t="s">
        <v>253</v>
      </c>
      <c r="Y814" t="s">
        <v>235</v>
      </c>
      <c r="Z814" t="s">
        <v>236</v>
      </c>
      <c r="AA814" t="s">
        <v>253</v>
      </c>
      <c r="AB814" t="s">
        <v>1</v>
      </c>
      <c r="AC814" s="235">
        <v>-150000</v>
      </c>
      <c r="AD814" s="235">
        <v>-2837.0161956928041</v>
      </c>
      <c r="AE814">
        <v>0</v>
      </c>
      <c r="AF814">
        <v>0</v>
      </c>
      <c r="AG814">
        <v>0</v>
      </c>
      <c r="AH814" s="235">
        <v>2620.8624086692553</v>
      </c>
      <c r="AI814">
        <v>226</v>
      </c>
      <c r="AJ814" t="s">
        <v>256</v>
      </c>
      <c r="AK814">
        <v>0</v>
      </c>
      <c r="AL814">
        <v>0</v>
      </c>
      <c r="AM814">
        <v>0</v>
      </c>
    </row>
    <row r="815" spans="1:39" x14ac:dyDescent="0.25">
      <c r="A815" t="s">
        <v>233</v>
      </c>
      <c r="B815" t="s">
        <v>622</v>
      </c>
      <c r="C815" t="s">
        <v>255</v>
      </c>
      <c r="D815" t="s">
        <v>234</v>
      </c>
      <c r="E815" t="s">
        <v>20</v>
      </c>
      <c r="F815" t="s">
        <v>268</v>
      </c>
      <c r="G815" t="s">
        <v>269</v>
      </c>
      <c r="H815" t="s">
        <v>254</v>
      </c>
      <c r="I815" t="s">
        <v>242</v>
      </c>
      <c r="J815" t="s">
        <v>235</v>
      </c>
      <c r="K815" s="380">
        <v>36861</v>
      </c>
      <c r="L815" s="235">
        <v>-23023.994707139478</v>
      </c>
      <c r="M815" s="380">
        <v>36859</v>
      </c>
      <c r="N815" t="s">
        <v>1</v>
      </c>
      <c r="O815">
        <v>0.5</v>
      </c>
      <c r="P815">
        <v>0</v>
      </c>
      <c r="Q815">
        <v>0</v>
      </c>
      <c r="R815">
        <v>0</v>
      </c>
      <c r="S815">
        <v>0</v>
      </c>
      <c r="T815" t="s">
        <v>253</v>
      </c>
      <c r="U815" t="s">
        <v>190</v>
      </c>
      <c r="V815" t="s">
        <v>253</v>
      </c>
      <c r="W815" t="s">
        <v>132</v>
      </c>
      <c r="X815" t="s">
        <v>253</v>
      </c>
      <c r="Y815" t="s">
        <v>235</v>
      </c>
      <c r="Z815" t="s">
        <v>236</v>
      </c>
      <c r="AA815" t="s">
        <v>253</v>
      </c>
      <c r="AB815" t="s">
        <v>1</v>
      </c>
      <c r="AC815" s="235">
        <v>-155000</v>
      </c>
      <c r="AD815" s="235">
        <v>-8276.0001209417387</v>
      </c>
      <c r="AE815">
        <v>0</v>
      </c>
      <c r="AF815">
        <v>0</v>
      </c>
      <c r="AG815">
        <v>0</v>
      </c>
      <c r="AH815" s="235">
        <v>5784.32752648522</v>
      </c>
      <c r="AI815">
        <v>226</v>
      </c>
      <c r="AJ815" t="s">
        <v>256</v>
      </c>
      <c r="AK815">
        <v>0</v>
      </c>
      <c r="AL815">
        <v>0</v>
      </c>
      <c r="AM815">
        <v>0</v>
      </c>
    </row>
    <row r="816" spans="1:39" x14ac:dyDescent="0.25">
      <c r="A816" t="s">
        <v>233</v>
      </c>
      <c r="B816" t="s">
        <v>622</v>
      </c>
      <c r="C816" t="s">
        <v>255</v>
      </c>
      <c r="D816" t="s">
        <v>234</v>
      </c>
      <c r="E816" t="s">
        <v>20</v>
      </c>
      <c r="F816" t="s">
        <v>268</v>
      </c>
      <c r="G816" t="s">
        <v>269</v>
      </c>
      <c r="H816" t="s">
        <v>254</v>
      </c>
      <c r="I816" t="s">
        <v>242</v>
      </c>
      <c r="J816" t="s">
        <v>235</v>
      </c>
      <c r="K816" s="380">
        <v>36892</v>
      </c>
      <c r="L816" s="235">
        <v>-40704.549656835319</v>
      </c>
      <c r="M816" s="380">
        <v>36888</v>
      </c>
      <c r="N816" t="s">
        <v>1</v>
      </c>
      <c r="O816">
        <v>0.5</v>
      </c>
      <c r="P816">
        <v>0</v>
      </c>
      <c r="Q816">
        <v>0</v>
      </c>
      <c r="R816">
        <v>0</v>
      </c>
      <c r="S816">
        <v>0</v>
      </c>
      <c r="T816" t="s">
        <v>253</v>
      </c>
      <c r="U816" t="s">
        <v>190</v>
      </c>
      <c r="V816" t="s">
        <v>253</v>
      </c>
      <c r="W816" t="s">
        <v>132</v>
      </c>
      <c r="X816" t="s">
        <v>253</v>
      </c>
      <c r="Y816" t="s">
        <v>235</v>
      </c>
      <c r="Z816" t="s">
        <v>236</v>
      </c>
      <c r="AA816" t="s">
        <v>253</v>
      </c>
      <c r="AB816" t="s">
        <v>1</v>
      </c>
      <c r="AC816" s="235">
        <v>-155000</v>
      </c>
      <c r="AD816" s="235">
        <v>-10813.715766124718</v>
      </c>
      <c r="AE816">
        <v>0</v>
      </c>
      <c r="AF816">
        <v>0</v>
      </c>
      <c r="AG816">
        <v>0</v>
      </c>
      <c r="AH816" s="235">
        <v>-3404.4567434508208</v>
      </c>
      <c r="AI816">
        <v>226</v>
      </c>
      <c r="AJ816" t="s">
        <v>256</v>
      </c>
      <c r="AK816">
        <v>0</v>
      </c>
      <c r="AL816">
        <v>0</v>
      </c>
      <c r="AM816">
        <v>0</v>
      </c>
    </row>
    <row r="817" spans="1:39" x14ac:dyDescent="0.25">
      <c r="A817" t="s">
        <v>233</v>
      </c>
      <c r="B817" t="s">
        <v>622</v>
      </c>
      <c r="C817" t="s">
        <v>255</v>
      </c>
      <c r="D817" t="s">
        <v>234</v>
      </c>
      <c r="E817" t="s">
        <v>20</v>
      </c>
      <c r="F817" t="s">
        <v>268</v>
      </c>
      <c r="G817" t="s">
        <v>269</v>
      </c>
      <c r="H817" t="s">
        <v>254</v>
      </c>
      <c r="I817" t="s">
        <v>242</v>
      </c>
      <c r="J817" t="s">
        <v>235</v>
      </c>
      <c r="K817" s="380">
        <v>36923</v>
      </c>
      <c r="L817" s="235">
        <v>-46862.027995113764</v>
      </c>
      <c r="M817" s="380">
        <v>36921</v>
      </c>
      <c r="N817" t="s">
        <v>1</v>
      </c>
      <c r="O817">
        <v>0.5</v>
      </c>
      <c r="P817">
        <v>0</v>
      </c>
      <c r="Q817">
        <v>0</v>
      </c>
      <c r="R817">
        <v>0</v>
      </c>
      <c r="S817">
        <v>0</v>
      </c>
      <c r="T817" t="s">
        <v>253</v>
      </c>
      <c r="U817" t="s">
        <v>190</v>
      </c>
      <c r="V817" t="s">
        <v>253</v>
      </c>
      <c r="W817" t="s">
        <v>132</v>
      </c>
      <c r="X817" t="s">
        <v>253</v>
      </c>
      <c r="Y817" t="s">
        <v>235</v>
      </c>
      <c r="Z817" t="s">
        <v>236</v>
      </c>
      <c r="AA817" t="s">
        <v>253</v>
      </c>
      <c r="AB817" t="s">
        <v>1</v>
      </c>
      <c r="AC817" s="235">
        <v>-140000</v>
      </c>
      <c r="AD817" s="235">
        <v>-11019.891447883441</v>
      </c>
      <c r="AE817">
        <v>0</v>
      </c>
      <c r="AF817">
        <v>0</v>
      </c>
      <c r="AG817">
        <v>0</v>
      </c>
      <c r="AH817" s="235">
        <v>-3541.7198085725613</v>
      </c>
      <c r="AI817">
        <v>226</v>
      </c>
      <c r="AJ817" t="s">
        <v>256</v>
      </c>
      <c r="AK817">
        <v>0</v>
      </c>
      <c r="AL817">
        <v>0</v>
      </c>
      <c r="AM817">
        <v>0</v>
      </c>
    </row>
    <row r="818" spans="1:39" x14ac:dyDescent="0.25">
      <c r="A818" t="s">
        <v>233</v>
      </c>
      <c r="B818" t="s">
        <v>622</v>
      </c>
      <c r="C818" t="s">
        <v>255</v>
      </c>
      <c r="D818" t="s">
        <v>234</v>
      </c>
      <c r="E818" t="s">
        <v>20</v>
      </c>
      <c r="F818" t="s">
        <v>268</v>
      </c>
      <c r="G818" t="s">
        <v>269</v>
      </c>
      <c r="H818" t="s">
        <v>254</v>
      </c>
      <c r="I818" t="s">
        <v>242</v>
      </c>
      <c r="J818" t="s">
        <v>235</v>
      </c>
      <c r="K818" s="380">
        <v>36951</v>
      </c>
      <c r="L818" s="235">
        <v>-48312.224250617001</v>
      </c>
      <c r="M818" s="380">
        <v>36949</v>
      </c>
      <c r="N818" t="s">
        <v>1</v>
      </c>
      <c r="O818">
        <v>0.5</v>
      </c>
      <c r="P818">
        <v>0</v>
      </c>
      <c r="Q818">
        <v>0</v>
      </c>
      <c r="R818">
        <v>0</v>
      </c>
      <c r="S818">
        <v>0</v>
      </c>
      <c r="T818" t="s">
        <v>253</v>
      </c>
      <c r="U818" t="s">
        <v>190</v>
      </c>
      <c r="V818" t="s">
        <v>253</v>
      </c>
      <c r="W818" t="s">
        <v>132</v>
      </c>
      <c r="X818" t="s">
        <v>253</v>
      </c>
      <c r="Y818" t="s">
        <v>235</v>
      </c>
      <c r="Z818" t="s">
        <v>236</v>
      </c>
      <c r="AA818" t="s">
        <v>253</v>
      </c>
      <c r="AB818" t="s">
        <v>1</v>
      </c>
      <c r="AC818" s="235">
        <v>-155000</v>
      </c>
      <c r="AD818" s="235">
        <v>-11843.004384849235</v>
      </c>
      <c r="AE818">
        <v>0</v>
      </c>
      <c r="AF818">
        <v>0</v>
      </c>
      <c r="AG818">
        <v>0</v>
      </c>
      <c r="AH818" s="235">
        <v>-3957.6194535351897</v>
      </c>
      <c r="AI818">
        <v>226</v>
      </c>
      <c r="AJ818" t="s">
        <v>256</v>
      </c>
      <c r="AK818">
        <v>0</v>
      </c>
      <c r="AL818">
        <v>0</v>
      </c>
      <c r="AM818">
        <v>0</v>
      </c>
    </row>
    <row r="819" spans="1:39" x14ac:dyDescent="0.25">
      <c r="A819" t="s">
        <v>233</v>
      </c>
      <c r="B819" t="s">
        <v>623</v>
      </c>
      <c r="C819" t="s">
        <v>255</v>
      </c>
      <c r="D819" t="s">
        <v>234</v>
      </c>
      <c r="E819" t="s">
        <v>20</v>
      </c>
      <c r="F819" t="s">
        <v>320</v>
      </c>
      <c r="G819" t="s">
        <v>269</v>
      </c>
      <c r="H819" t="s">
        <v>254</v>
      </c>
      <c r="I819" t="s">
        <v>242</v>
      </c>
      <c r="J819" t="s">
        <v>235</v>
      </c>
      <c r="K819" s="380">
        <v>36831</v>
      </c>
      <c r="L819" s="235">
        <v>-25258.610546011474</v>
      </c>
      <c r="M819" s="380">
        <v>36829</v>
      </c>
      <c r="N819" t="s">
        <v>1</v>
      </c>
      <c r="O819">
        <v>0.5</v>
      </c>
      <c r="P819">
        <v>0</v>
      </c>
      <c r="Q819">
        <v>0</v>
      </c>
      <c r="R819">
        <v>0</v>
      </c>
      <c r="S819">
        <v>0</v>
      </c>
      <c r="T819" t="s">
        <v>253</v>
      </c>
      <c r="U819" t="s">
        <v>190</v>
      </c>
      <c r="V819" t="s">
        <v>253</v>
      </c>
      <c r="W819" t="s">
        <v>132</v>
      </c>
      <c r="X819" t="s">
        <v>253</v>
      </c>
      <c r="Y819" t="s">
        <v>235</v>
      </c>
      <c r="Z819" t="s">
        <v>236</v>
      </c>
      <c r="AA819" t="s">
        <v>253</v>
      </c>
      <c r="AB819" t="s">
        <v>1</v>
      </c>
      <c r="AC819" s="235">
        <v>-1000000</v>
      </c>
      <c r="AD819" s="235">
        <v>-18913.441304618696</v>
      </c>
      <c r="AE819">
        <v>0</v>
      </c>
      <c r="AF819">
        <v>0</v>
      </c>
      <c r="AG819">
        <v>0</v>
      </c>
      <c r="AH819" s="235">
        <v>17472.416057795035</v>
      </c>
      <c r="AI819">
        <v>226</v>
      </c>
      <c r="AJ819" t="s">
        <v>256</v>
      </c>
      <c r="AK819">
        <v>0</v>
      </c>
      <c r="AL819">
        <v>0</v>
      </c>
      <c r="AM819">
        <v>0</v>
      </c>
    </row>
    <row r="820" spans="1:39" x14ac:dyDescent="0.25">
      <c r="A820" t="s">
        <v>233</v>
      </c>
      <c r="B820" t="s">
        <v>623</v>
      </c>
      <c r="C820" t="s">
        <v>255</v>
      </c>
      <c r="D820" t="s">
        <v>234</v>
      </c>
      <c r="E820" t="s">
        <v>20</v>
      </c>
      <c r="F820" t="s">
        <v>320</v>
      </c>
      <c r="G820" t="s">
        <v>269</v>
      </c>
      <c r="H820" t="s">
        <v>254</v>
      </c>
      <c r="I820" t="s">
        <v>242</v>
      </c>
      <c r="J820" t="s">
        <v>235</v>
      </c>
      <c r="K820" s="380">
        <v>36861</v>
      </c>
      <c r="L820" s="235">
        <v>-148541.90133638374</v>
      </c>
      <c r="M820" s="380">
        <v>36859</v>
      </c>
      <c r="N820" t="s">
        <v>1</v>
      </c>
      <c r="O820">
        <v>0.5</v>
      </c>
      <c r="P820">
        <v>0</v>
      </c>
      <c r="Q820">
        <v>0</v>
      </c>
      <c r="R820">
        <v>0</v>
      </c>
      <c r="S820">
        <v>0</v>
      </c>
      <c r="T820" t="s">
        <v>253</v>
      </c>
      <c r="U820" t="s">
        <v>190</v>
      </c>
      <c r="V820" t="s">
        <v>253</v>
      </c>
      <c r="W820" t="s">
        <v>132</v>
      </c>
      <c r="X820" t="s">
        <v>253</v>
      </c>
      <c r="Y820" t="s">
        <v>235</v>
      </c>
      <c r="Z820" t="s">
        <v>236</v>
      </c>
      <c r="AA820" t="s">
        <v>253</v>
      </c>
      <c r="AB820" t="s">
        <v>1</v>
      </c>
      <c r="AC820" s="235">
        <v>-1000000</v>
      </c>
      <c r="AD820" s="235">
        <v>-53393.549167366058</v>
      </c>
      <c r="AE820">
        <v>0</v>
      </c>
      <c r="AF820">
        <v>0</v>
      </c>
      <c r="AG820">
        <v>0</v>
      </c>
      <c r="AH820" s="235">
        <v>37318.24210635628</v>
      </c>
      <c r="AI820">
        <v>226</v>
      </c>
      <c r="AJ820" t="s">
        <v>256</v>
      </c>
      <c r="AK820">
        <v>0</v>
      </c>
      <c r="AL820">
        <v>0</v>
      </c>
      <c r="AM820">
        <v>0</v>
      </c>
    </row>
    <row r="821" spans="1:39" x14ac:dyDescent="0.25">
      <c r="A821" t="s">
        <v>233</v>
      </c>
      <c r="B821" t="s">
        <v>623</v>
      </c>
      <c r="C821" t="s">
        <v>255</v>
      </c>
      <c r="D821" t="s">
        <v>234</v>
      </c>
      <c r="E821" t="s">
        <v>20</v>
      </c>
      <c r="F821" t="s">
        <v>320</v>
      </c>
      <c r="G821" t="s">
        <v>269</v>
      </c>
      <c r="H821" t="s">
        <v>254</v>
      </c>
      <c r="I821" t="s">
        <v>242</v>
      </c>
      <c r="J821" t="s">
        <v>235</v>
      </c>
      <c r="K821" s="380">
        <v>36892</v>
      </c>
      <c r="L821" s="235">
        <v>-262609.99778603431</v>
      </c>
      <c r="M821" s="380">
        <v>36888</v>
      </c>
      <c r="N821" t="s">
        <v>1</v>
      </c>
      <c r="O821">
        <v>0.5</v>
      </c>
      <c r="P821">
        <v>0</v>
      </c>
      <c r="Q821">
        <v>0</v>
      </c>
      <c r="R821">
        <v>0</v>
      </c>
      <c r="S821">
        <v>0</v>
      </c>
      <c r="T821" t="s">
        <v>253</v>
      </c>
      <c r="U821" t="s">
        <v>190</v>
      </c>
      <c r="V821" t="s">
        <v>253</v>
      </c>
      <c r="W821" t="s">
        <v>132</v>
      </c>
      <c r="X821" t="s">
        <v>253</v>
      </c>
      <c r="Y821" t="s">
        <v>235</v>
      </c>
      <c r="Z821" t="s">
        <v>236</v>
      </c>
      <c r="AA821" t="s">
        <v>253</v>
      </c>
      <c r="AB821" t="s">
        <v>1</v>
      </c>
      <c r="AC821" s="235">
        <v>-1000000</v>
      </c>
      <c r="AD821" s="235">
        <v>-69765.908168546564</v>
      </c>
      <c r="AE821">
        <v>0</v>
      </c>
      <c r="AF821">
        <v>0</v>
      </c>
      <c r="AG821">
        <v>0</v>
      </c>
      <c r="AH821" s="235">
        <v>-21964.237054521451</v>
      </c>
      <c r="AI821">
        <v>226</v>
      </c>
      <c r="AJ821" t="s">
        <v>256</v>
      </c>
      <c r="AK821">
        <v>0</v>
      </c>
      <c r="AL821">
        <v>0</v>
      </c>
      <c r="AM821">
        <v>0</v>
      </c>
    </row>
    <row r="822" spans="1:39" x14ac:dyDescent="0.25">
      <c r="A822" t="s">
        <v>233</v>
      </c>
      <c r="B822" t="s">
        <v>623</v>
      </c>
      <c r="C822" t="s">
        <v>255</v>
      </c>
      <c r="D822" t="s">
        <v>234</v>
      </c>
      <c r="E822" t="s">
        <v>20</v>
      </c>
      <c r="F822" t="s">
        <v>320</v>
      </c>
      <c r="G822" t="s">
        <v>269</v>
      </c>
      <c r="H822" t="s">
        <v>254</v>
      </c>
      <c r="I822" t="s">
        <v>242</v>
      </c>
      <c r="J822" t="s">
        <v>235</v>
      </c>
      <c r="K822" s="380">
        <v>36923</v>
      </c>
      <c r="L822" s="235">
        <v>-334728.77139366977</v>
      </c>
      <c r="M822" s="380">
        <v>36921</v>
      </c>
      <c r="N822" t="s">
        <v>1</v>
      </c>
      <c r="O822">
        <v>0.5</v>
      </c>
      <c r="P822">
        <v>0</v>
      </c>
      <c r="Q822">
        <v>0</v>
      </c>
      <c r="R822">
        <v>0</v>
      </c>
      <c r="S822">
        <v>0</v>
      </c>
      <c r="T822" t="s">
        <v>253</v>
      </c>
      <c r="U822" t="s">
        <v>190</v>
      </c>
      <c r="V822" t="s">
        <v>253</v>
      </c>
      <c r="W822" t="s">
        <v>132</v>
      </c>
      <c r="X822" t="s">
        <v>253</v>
      </c>
      <c r="Y822" t="s">
        <v>235</v>
      </c>
      <c r="Z822" t="s">
        <v>236</v>
      </c>
      <c r="AA822" t="s">
        <v>253</v>
      </c>
      <c r="AB822" t="s">
        <v>1</v>
      </c>
      <c r="AC822" s="235">
        <v>-1000000</v>
      </c>
      <c r="AD822" s="235">
        <v>-78713.510342024616</v>
      </c>
      <c r="AE822">
        <v>0</v>
      </c>
      <c r="AF822">
        <v>0</v>
      </c>
      <c r="AG822">
        <v>0</v>
      </c>
      <c r="AH822" s="235">
        <v>-25297.998632661125</v>
      </c>
      <c r="AI822">
        <v>226</v>
      </c>
      <c r="AJ822" t="s">
        <v>256</v>
      </c>
      <c r="AK822">
        <v>0</v>
      </c>
      <c r="AL822">
        <v>0</v>
      </c>
      <c r="AM822">
        <v>0</v>
      </c>
    </row>
    <row r="823" spans="1:39" x14ac:dyDescent="0.25">
      <c r="A823" t="s">
        <v>233</v>
      </c>
      <c r="B823" t="s">
        <v>623</v>
      </c>
      <c r="C823" t="s">
        <v>255</v>
      </c>
      <c r="D823" t="s">
        <v>234</v>
      </c>
      <c r="E823" t="s">
        <v>20</v>
      </c>
      <c r="F823" t="s">
        <v>320</v>
      </c>
      <c r="G823" t="s">
        <v>269</v>
      </c>
      <c r="H823" t="s">
        <v>254</v>
      </c>
      <c r="I823" t="s">
        <v>242</v>
      </c>
      <c r="J823" t="s">
        <v>235</v>
      </c>
      <c r="K823" s="380">
        <v>36951</v>
      </c>
      <c r="L823" s="235">
        <v>-311691.76935881935</v>
      </c>
      <c r="M823" s="380">
        <v>36949</v>
      </c>
      <c r="N823" t="s">
        <v>1</v>
      </c>
      <c r="O823">
        <v>0.5</v>
      </c>
      <c r="P823">
        <v>0</v>
      </c>
      <c r="Q823">
        <v>0</v>
      </c>
      <c r="R823">
        <v>0</v>
      </c>
      <c r="S823">
        <v>0</v>
      </c>
      <c r="T823" t="s">
        <v>253</v>
      </c>
      <c r="U823" t="s">
        <v>190</v>
      </c>
      <c r="V823" t="s">
        <v>253</v>
      </c>
      <c r="W823" t="s">
        <v>132</v>
      </c>
      <c r="X823" t="s">
        <v>253</v>
      </c>
      <c r="Y823" t="s">
        <v>235</v>
      </c>
      <c r="Z823" t="s">
        <v>236</v>
      </c>
      <c r="AA823" t="s">
        <v>253</v>
      </c>
      <c r="AB823" t="s">
        <v>1</v>
      </c>
      <c r="AC823" s="235">
        <v>-1000000</v>
      </c>
      <c r="AD823" s="235">
        <v>-76406.479902253079</v>
      </c>
      <c r="AE823">
        <v>0</v>
      </c>
      <c r="AF823">
        <v>0</v>
      </c>
      <c r="AG823">
        <v>0</v>
      </c>
      <c r="AH823" s="235">
        <v>-25533.02873248508</v>
      </c>
      <c r="AI823">
        <v>226</v>
      </c>
      <c r="AJ823" t="s">
        <v>256</v>
      </c>
      <c r="AK823">
        <v>0</v>
      </c>
      <c r="AL823">
        <v>0</v>
      </c>
      <c r="AM823">
        <v>0</v>
      </c>
    </row>
    <row r="824" spans="1:39" x14ac:dyDescent="0.25">
      <c r="A824" t="s">
        <v>233</v>
      </c>
      <c r="B824" t="s">
        <v>633</v>
      </c>
      <c r="C824" t="s">
        <v>255</v>
      </c>
      <c r="D824" t="s">
        <v>234</v>
      </c>
      <c r="E824" t="s">
        <v>20</v>
      </c>
      <c r="F824" t="s">
        <v>624</v>
      </c>
      <c r="G824" t="s">
        <v>269</v>
      </c>
      <c r="H824" t="s">
        <v>254</v>
      </c>
      <c r="I824" t="s">
        <v>242</v>
      </c>
      <c r="J824" t="s">
        <v>235</v>
      </c>
      <c r="K824" s="380">
        <v>36831</v>
      </c>
      <c r="L824" s="235">
        <v>143948.98572373888</v>
      </c>
      <c r="M824" s="380">
        <v>36829</v>
      </c>
      <c r="N824" t="s">
        <v>21</v>
      </c>
      <c r="O824">
        <v>0.15</v>
      </c>
      <c r="P824">
        <v>0</v>
      </c>
      <c r="Q824">
        <v>0</v>
      </c>
      <c r="R824">
        <v>0</v>
      </c>
      <c r="S824">
        <v>0</v>
      </c>
      <c r="T824" t="s">
        <v>253</v>
      </c>
      <c r="U824" t="s">
        <v>617</v>
      </c>
      <c r="V824" t="s">
        <v>253</v>
      </c>
      <c r="W824" t="s">
        <v>132</v>
      </c>
      <c r="X824" t="s">
        <v>253</v>
      </c>
      <c r="Y824" t="s">
        <v>235</v>
      </c>
      <c r="Z824" t="s">
        <v>236</v>
      </c>
      <c r="AA824" t="s">
        <v>253</v>
      </c>
      <c r="AB824" t="s">
        <v>1</v>
      </c>
      <c r="AC824" s="235">
        <v>2500000</v>
      </c>
      <c r="AD824" s="235">
        <v>69756.470959347207</v>
      </c>
      <c r="AE824">
        <v>0</v>
      </c>
      <c r="AF824">
        <v>0</v>
      </c>
      <c r="AG824">
        <v>0</v>
      </c>
      <c r="AH824" s="235">
        <v>21073.970011565165</v>
      </c>
      <c r="AI824">
        <v>226</v>
      </c>
      <c r="AJ824" t="s">
        <v>256</v>
      </c>
      <c r="AK824">
        <v>0</v>
      </c>
      <c r="AL824">
        <v>0</v>
      </c>
      <c r="AM824">
        <v>0</v>
      </c>
    </row>
    <row r="825" spans="1:39" x14ac:dyDescent="0.25">
      <c r="A825" t="s">
        <v>233</v>
      </c>
      <c r="B825" t="s">
        <v>633</v>
      </c>
      <c r="C825" t="s">
        <v>255</v>
      </c>
      <c r="D825" t="s">
        <v>234</v>
      </c>
      <c r="E825" t="s">
        <v>20</v>
      </c>
      <c r="F825" t="s">
        <v>624</v>
      </c>
      <c r="G825" t="s">
        <v>269</v>
      </c>
      <c r="H825" t="s">
        <v>254</v>
      </c>
      <c r="I825" t="s">
        <v>242</v>
      </c>
      <c r="J825" t="s">
        <v>235</v>
      </c>
      <c r="K825" s="380">
        <v>36861</v>
      </c>
      <c r="L825" s="235">
        <v>1156193.0636483596</v>
      </c>
      <c r="M825" s="380">
        <v>36859</v>
      </c>
      <c r="N825" t="s">
        <v>21</v>
      </c>
      <c r="O825">
        <v>0.15</v>
      </c>
      <c r="P825">
        <v>0</v>
      </c>
      <c r="Q825">
        <v>0</v>
      </c>
      <c r="R825">
        <v>0</v>
      </c>
      <c r="S825">
        <v>0</v>
      </c>
      <c r="T825" t="s">
        <v>253</v>
      </c>
      <c r="U825" t="s">
        <v>617</v>
      </c>
      <c r="V825" t="s">
        <v>253</v>
      </c>
      <c r="W825" t="s">
        <v>132</v>
      </c>
      <c r="X825" t="s">
        <v>253</v>
      </c>
      <c r="Y825" t="s">
        <v>235</v>
      </c>
      <c r="Z825" t="s">
        <v>236</v>
      </c>
      <c r="AA825" t="s">
        <v>253</v>
      </c>
      <c r="AB825" t="s">
        <v>1</v>
      </c>
      <c r="AC825" s="235">
        <v>2500000</v>
      </c>
      <c r="AD825" s="235">
        <v>90569.552200824954</v>
      </c>
      <c r="AE825">
        <v>0</v>
      </c>
      <c r="AF825">
        <v>0</v>
      </c>
      <c r="AG825">
        <v>0</v>
      </c>
      <c r="AH825" s="235">
        <v>54548.697525643744</v>
      </c>
      <c r="AI825">
        <v>226</v>
      </c>
      <c r="AJ825" t="s">
        <v>256</v>
      </c>
      <c r="AK825">
        <v>0</v>
      </c>
      <c r="AL825">
        <v>0</v>
      </c>
      <c r="AM825">
        <v>0</v>
      </c>
    </row>
    <row r="826" spans="1:39" x14ac:dyDescent="0.25">
      <c r="A826" t="s">
        <v>233</v>
      </c>
      <c r="B826" t="s">
        <v>633</v>
      </c>
      <c r="C826" t="s">
        <v>255</v>
      </c>
      <c r="D826" t="s">
        <v>234</v>
      </c>
      <c r="E826" t="s">
        <v>20</v>
      </c>
      <c r="F826" t="s">
        <v>624</v>
      </c>
      <c r="G826" t="s">
        <v>269</v>
      </c>
      <c r="H826" t="s">
        <v>254</v>
      </c>
      <c r="I826" t="s">
        <v>242</v>
      </c>
      <c r="J826" t="s">
        <v>235</v>
      </c>
      <c r="K826" s="380">
        <v>36892</v>
      </c>
      <c r="L826" s="235">
        <v>1217034.8823769863</v>
      </c>
      <c r="M826" s="380">
        <v>36888</v>
      </c>
      <c r="N826" t="s">
        <v>21</v>
      </c>
      <c r="O826">
        <v>0.15</v>
      </c>
      <c r="P826">
        <v>0</v>
      </c>
      <c r="Q826">
        <v>0</v>
      </c>
      <c r="R826">
        <v>0</v>
      </c>
      <c r="S826">
        <v>0</v>
      </c>
      <c r="T826" t="s">
        <v>253</v>
      </c>
      <c r="U826" t="s">
        <v>617</v>
      </c>
      <c r="V826" t="s">
        <v>253</v>
      </c>
      <c r="W826" t="s">
        <v>132</v>
      </c>
      <c r="X826" t="s">
        <v>253</v>
      </c>
      <c r="Y826" t="s">
        <v>235</v>
      </c>
      <c r="Z826" t="s">
        <v>236</v>
      </c>
      <c r="AA826" t="s">
        <v>253</v>
      </c>
      <c r="AB826" t="s">
        <v>1</v>
      </c>
      <c r="AC826" s="235">
        <v>2500000</v>
      </c>
      <c r="AD826" s="235">
        <v>109252.01789961685</v>
      </c>
      <c r="AE826">
        <v>0</v>
      </c>
      <c r="AF826">
        <v>0</v>
      </c>
      <c r="AG826">
        <v>0</v>
      </c>
      <c r="AH826" s="235">
        <v>53531.249850010965</v>
      </c>
      <c r="AI826">
        <v>226</v>
      </c>
      <c r="AJ826" t="s">
        <v>256</v>
      </c>
      <c r="AK826">
        <v>0</v>
      </c>
      <c r="AL826">
        <v>0</v>
      </c>
      <c r="AM826">
        <v>0</v>
      </c>
    </row>
    <row r="827" spans="1:39" x14ac:dyDescent="0.25">
      <c r="A827" t="s">
        <v>233</v>
      </c>
      <c r="B827" t="s">
        <v>633</v>
      </c>
      <c r="C827" t="s">
        <v>255</v>
      </c>
      <c r="D827" t="s">
        <v>234</v>
      </c>
      <c r="E827" t="s">
        <v>20</v>
      </c>
      <c r="F827" t="s">
        <v>624</v>
      </c>
      <c r="G827" t="s">
        <v>269</v>
      </c>
      <c r="H827" t="s">
        <v>254</v>
      </c>
      <c r="I827" t="s">
        <v>242</v>
      </c>
      <c r="J827" t="s">
        <v>235</v>
      </c>
      <c r="K827" s="380">
        <v>36923</v>
      </c>
      <c r="L827" s="235">
        <v>926223.19714752585</v>
      </c>
      <c r="M827" s="380">
        <v>36921</v>
      </c>
      <c r="N827" t="s">
        <v>21</v>
      </c>
      <c r="O827">
        <v>0.15</v>
      </c>
      <c r="P827">
        <v>0</v>
      </c>
      <c r="Q827">
        <v>0</v>
      </c>
      <c r="R827">
        <v>0</v>
      </c>
      <c r="S827">
        <v>0</v>
      </c>
      <c r="T827" t="s">
        <v>253</v>
      </c>
      <c r="U827" t="s">
        <v>617</v>
      </c>
      <c r="V827" t="s">
        <v>253</v>
      </c>
      <c r="W827" t="s">
        <v>132</v>
      </c>
      <c r="X827" t="s">
        <v>253</v>
      </c>
      <c r="Y827" t="s">
        <v>235</v>
      </c>
      <c r="Z827" t="s">
        <v>236</v>
      </c>
      <c r="AA827" t="s">
        <v>253</v>
      </c>
      <c r="AB827" t="s">
        <v>1</v>
      </c>
      <c r="AC827" s="235">
        <v>2500000</v>
      </c>
      <c r="AD827" s="235">
        <v>135189.85527651454</v>
      </c>
      <c r="AE827">
        <v>0</v>
      </c>
      <c r="AF827">
        <v>0</v>
      </c>
      <c r="AG827">
        <v>0</v>
      </c>
      <c r="AH827" s="235">
        <v>52535.731613476179</v>
      </c>
      <c r="AI827">
        <v>226</v>
      </c>
      <c r="AJ827" t="s">
        <v>256</v>
      </c>
      <c r="AK827">
        <v>0</v>
      </c>
      <c r="AL827">
        <v>0</v>
      </c>
      <c r="AM827">
        <v>0</v>
      </c>
    </row>
    <row r="828" spans="1:39" x14ac:dyDescent="0.25">
      <c r="A828" t="s">
        <v>233</v>
      </c>
      <c r="B828" t="s">
        <v>633</v>
      </c>
      <c r="C828" t="s">
        <v>255</v>
      </c>
      <c r="D828" t="s">
        <v>234</v>
      </c>
      <c r="E828" t="s">
        <v>20</v>
      </c>
      <c r="F828" t="s">
        <v>624</v>
      </c>
      <c r="G828" t="s">
        <v>269</v>
      </c>
      <c r="H828" t="s">
        <v>254</v>
      </c>
      <c r="I828" t="s">
        <v>242</v>
      </c>
      <c r="J828" t="s">
        <v>235</v>
      </c>
      <c r="K828" s="380">
        <v>36951</v>
      </c>
      <c r="L828" s="235">
        <v>390136.40464741417</v>
      </c>
      <c r="M828" s="380">
        <v>36949</v>
      </c>
      <c r="N828" t="s">
        <v>21</v>
      </c>
      <c r="O828">
        <v>0.15</v>
      </c>
      <c r="P828">
        <v>0</v>
      </c>
      <c r="Q828">
        <v>0</v>
      </c>
      <c r="R828">
        <v>0</v>
      </c>
      <c r="S828">
        <v>0</v>
      </c>
      <c r="T828" t="s">
        <v>253</v>
      </c>
      <c r="U828" t="s">
        <v>617</v>
      </c>
      <c r="V828" t="s">
        <v>253</v>
      </c>
      <c r="W828" t="s">
        <v>132</v>
      </c>
      <c r="X828" t="s">
        <v>253</v>
      </c>
      <c r="Y828" t="s">
        <v>235</v>
      </c>
      <c r="Z828" t="s">
        <v>236</v>
      </c>
      <c r="AA828" t="s">
        <v>253</v>
      </c>
      <c r="AB828" t="s">
        <v>1</v>
      </c>
      <c r="AC828" s="235">
        <v>2500000</v>
      </c>
      <c r="AD828" s="235">
        <v>130753.78158959339</v>
      </c>
      <c r="AE828">
        <v>0</v>
      </c>
      <c r="AF828">
        <v>0</v>
      </c>
      <c r="AG828">
        <v>0</v>
      </c>
      <c r="AH828" s="235">
        <v>35522.87399750395</v>
      </c>
      <c r="AI828">
        <v>226</v>
      </c>
      <c r="AJ828" t="s">
        <v>256</v>
      </c>
      <c r="AK828">
        <v>0</v>
      </c>
      <c r="AL828">
        <v>0</v>
      </c>
      <c r="AM828">
        <v>0</v>
      </c>
    </row>
    <row r="829" spans="1:39" x14ac:dyDescent="0.25">
      <c r="A829" t="s">
        <v>233</v>
      </c>
      <c r="B829" t="s">
        <v>626</v>
      </c>
      <c r="C829" t="s">
        <v>255</v>
      </c>
      <c r="D829" t="s">
        <v>234</v>
      </c>
      <c r="E829" t="s">
        <v>20</v>
      </c>
      <c r="F829" t="s">
        <v>279</v>
      </c>
      <c r="G829" t="s">
        <v>269</v>
      </c>
      <c r="H829" t="s">
        <v>254</v>
      </c>
      <c r="I829" t="s">
        <v>242</v>
      </c>
      <c r="J829" t="s">
        <v>235</v>
      </c>
      <c r="K829" s="380">
        <v>36831</v>
      </c>
      <c r="L829" s="235">
        <v>-101129.43230500924</v>
      </c>
      <c r="M829" s="380">
        <v>36829</v>
      </c>
      <c r="N829" t="s">
        <v>21</v>
      </c>
      <c r="O829">
        <v>1.5</v>
      </c>
      <c r="P829">
        <v>0</v>
      </c>
      <c r="Q829">
        <v>0</v>
      </c>
      <c r="R829">
        <v>0</v>
      </c>
      <c r="S829">
        <v>0</v>
      </c>
      <c r="T829" t="s">
        <v>253</v>
      </c>
      <c r="U829" t="s">
        <v>190</v>
      </c>
      <c r="V829" t="s">
        <v>253</v>
      </c>
      <c r="W829" t="s">
        <v>132</v>
      </c>
      <c r="X829" t="s">
        <v>253</v>
      </c>
      <c r="Y829" t="s">
        <v>235</v>
      </c>
      <c r="Z829" t="s">
        <v>236</v>
      </c>
      <c r="AA829" t="s">
        <v>253</v>
      </c>
      <c r="AB829" t="s">
        <v>1</v>
      </c>
      <c r="AC829" s="235">
        <v>-300000</v>
      </c>
      <c r="AD829" s="235">
        <v>-14131.497703634377</v>
      </c>
      <c r="AE829">
        <v>0</v>
      </c>
      <c r="AF829">
        <v>0</v>
      </c>
      <c r="AG829">
        <v>0</v>
      </c>
      <c r="AH829" s="235">
        <v>0</v>
      </c>
      <c r="AI829">
        <v>226</v>
      </c>
      <c r="AJ829" t="s">
        <v>256</v>
      </c>
      <c r="AK829">
        <v>0</v>
      </c>
      <c r="AL829">
        <v>0</v>
      </c>
      <c r="AM829">
        <v>0</v>
      </c>
    </row>
    <row r="830" spans="1:39" x14ac:dyDescent="0.25">
      <c r="A830" t="s">
        <v>233</v>
      </c>
      <c r="B830" t="s">
        <v>626</v>
      </c>
      <c r="C830" t="s">
        <v>255</v>
      </c>
      <c r="D830" t="s">
        <v>234</v>
      </c>
      <c r="E830" t="s">
        <v>20</v>
      </c>
      <c r="F830" t="s">
        <v>279</v>
      </c>
      <c r="G830" t="s">
        <v>269</v>
      </c>
      <c r="H830" t="s">
        <v>254</v>
      </c>
      <c r="I830" t="s">
        <v>242</v>
      </c>
      <c r="J830" t="s">
        <v>235</v>
      </c>
      <c r="K830" s="380">
        <v>36861</v>
      </c>
      <c r="L830" s="235">
        <v>-54737.736712851576</v>
      </c>
      <c r="M830" s="380">
        <v>36859</v>
      </c>
      <c r="N830" t="s">
        <v>21</v>
      </c>
      <c r="O830">
        <v>1.5</v>
      </c>
      <c r="P830">
        <v>0</v>
      </c>
      <c r="Q830">
        <v>0</v>
      </c>
      <c r="R830">
        <v>0</v>
      </c>
      <c r="S830">
        <v>0</v>
      </c>
      <c r="T830" t="s">
        <v>253</v>
      </c>
      <c r="U830" t="s">
        <v>190</v>
      </c>
      <c r="V830" t="s">
        <v>253</v>
      </c>
      <c r="W830" t="s">
        <v>132</v>
      </c>
      <c r="X830" t="s">
        <v>253</v>
      </c>
      <c r="Y830" t="s">
        <v>235</v>
      </c>
      <c r="Z830" t="s">
        <v>236</v>
      </c>
      <c r="AA830" t="s">
        <v>253</v>
      </c>
      <c r="AB830" t="s">
        <v>1</v>
      </c>
      <c r="AC830" s="235">
        <v>-310000</v>
      </c>
      <c r="AD830" s="235">
        <v>-15672.566367883497</v>
      </c>
      <c r="AE830">
        <v>0</v>
      </c>
      <c r="AF830">
        <v>0</v>
      </c>
      <c r="AG830">
        <v>0</v>
      </c>
      <c r="AH830" s="235">
        <v>0</v>
      </c>
      <c r="AI830">
        <v>226</v>
      </c>
      <c r="AJ830" t="s">
        <v>256</v>
      </c>
      <c r="AK830">
        <v>0</v>
      </c>
      <c r="AL830">
        <v>0</v>
      </c>
      <c r="AM830">
        <v>0</v>
      </c>
    </row>
    <row r="831" spans="1:39" x14ac:dyDescent="0.25">
      <c r="A831" t="s">
        <v>233</v>
      </c>
      <c r="B831" t="s">
        <v>626</v>
      </c>
      <c r="C831" t="s">
        <v>255</v>
      </c>
      <c r="D831" t="s">
        <v>234</v>
      </c>
      <c r="E831" t="s">
        <v>20</v>
      </c>
      <c r="F831" t="s">
        <v>279</v>
      </c>
      <c r="G831" t="s">
        <v>269</v>
      </c>
      <c r="H831" t="s">
        <v>254</v>
      </c>
      <c r="I831" t="s">
        <v>242</v>
      </c>
      <c r="J831" t="s">
        <v>235</v>
      </c>
      <c r="K831" s="380">
        <v>36892</v>
      </c>
      <c r="L831" s="235">
        <v>-46480.988853986149</v>
      </c>
      <c r="M831" s="380">
        <v>36888</v>
      </c>
      <c r="N831" t="s">
        <v>21</v>
      </c>
      <c r="O831">
        <v>1.5</v>
      </c>
      <c r="P831">
        <v>0</v>
      </c>
      <c r="Q831">
        <v>0</v>
      </c>
      <c r="R831">
        <v>0</v>
      </c>
      <c r="S831">
        <v>0</v>
      </c>
      <c r="T831" t="s">
        <v>253</v>
      </c>
      <c r="U831" t="s">
        <v>190</v>
      </c>
      <c r="V831" t="s">
        <v>253</v>
      </c>
      <c r="W831" t="s">
        <v>132</v>
      </c>
      <c r="X831" t="s">
        <v>253</v>
      </c>
      <c r="Y831" t="s">
        <v>235</v>
      </c>
      <c r="Z831" t="s">
        <v>236</v>
      </c>
      <c r="AA831" t="s">
        <v>253</v>
      </c>
      <c r="AB831" t="s">
        <v>1</v>
      </c>
      <c r="AC831" s="235">
        <v>-310000</v>
      </c>
      <c r="AD831" s="235">
        <v>-16293.741716371645</v>
      </c>
      <c r="AE831">
        <v>0</v>
      </c>
      <c r="AF831">
        <v>0</v>
      </c>
      <c r="AG831">
        <v>0</v>
      </c>
      <c r="AH831" s="235">
        <v>0</v>
      </c>
      <c r="AI831">
        <v>226</v>
      </c>
      <c r="AJ831" t="s">
        <v>256</v>
      </c>
      <c r="AK831">
        <v>0</v>
      </c>
      <c r="AL831">
        <v>0</v>
      </c>
      <c r="AM831">
        <v>0</v>
      </c>
    </row>
    <row r="832" spans="1:39" x14ac:dyDescent="0.25">
      <c r="A832" t="s">
        <v>233</v>
      </c>
      <c r="B832" t="s">
        <v>626</v>
      </c>
      <c r="C832" t="s">
        <v>255</v>
      </c>
      <c r="D832" t="s">
        <v>234</v>
      </c>
      <c r="E832" t="s">
        <v>20</v>
      </c>
      <c r="F832" t="s">
        <v>279</v>
      </c>
      <c r="G832" t="s">
        <v>269</v>
      </c>
      <c r="H832" t="s">
        <v>254</v>
      </c>
      <c r="I832" t="s">
        <v>242</v>
      </c>
      <c r="J832" t="s">
        <v>235</v>
      </c>
      <c r="K832" s="380">
        <v>36923</v>
      </c>
      <c r="L832" s="235">
        <v>-36120.470455871357</v>
      </c>
      <c r="M832" s="380">
        <v>36921</v>
      </c>
      <c r="N832" t="s">
        <v>21</v>
      </c>
      <c r="O832">
        <v>1.5</v>
      </c>
      <c r="P832">
        <v>0</v>
      </c>
      <c r="Q832">
        <v>0</v>
      </c>
      <c r="R832">
        <v>0</v>
      </c>
      <c r="S832">
        <v>0</v>
      </c>
      <c r="T832" t="s">
        <v>253</v>
      </c>
      <c r="U832" t="s">
        <v>190</v>
      </c>
      <c r="V832" t="s">
        <v>253</v>
      </c>
      <c r="W832" t="s">
        <v>132</v>
      </c>
      <c r="X832" t="s">
        <v>253</v>
      </c>
      <c r="Y832" t="s">
        <v>235</v>
      </c>
      <c r="Z832" t="s">
        <v>236</v>
      </c>
      <c r="AA832" t="s">
        <v>253</v>
      </c>
      <c r="AB832" t="s">
        <v>1</v>
      </c>
      <c r="AC832" s="235">
        <v>-280000</v>
      </c>
      <c r="AD832" s="235">
        <v>-14837.73557634664</v>
      </c>
      <c r="AE832">
        <v>0</v>
      </c>
      <c r="AF832">
        <v>0</v>
      </c>
      <c r="AG832">
        <v>0</v>
      </c>
      <c r="AH832" s="235">
        <v>0</v>
      </c>
      <c r="AI832">
        <v>226</v>
      </c>
      <c r="AJ832" t="s">
        <v>256</v>
      </c>
      <c r="AK832">
        <v>0</v>
      </c>
      <c r="AL832">
        <v>0</v>
      </c>
      <c r="AM832">
        <v>0</v>
      </c>
    </row>
    <row r="833" spans="1:39" x14ac:dyDescent="0.25">
      <c r="A833" t="s">
        <v>233</v>
      </c>
      <c r="B833" t="s">
        <v>626</v>
      </c>
      <c r="C833" t="s">
        <v>255</v>
      </c>
      <c r="D833" t="s">
        <v>234</v>
      </c>
      <c r="E833" t="s">
        <v>20</v>
      </c>
      <c r="F833" t="s">
        <v>279</v>
      </c>
      <c r="G833" t="s">
        <v>269</v>
      </c>
      <c r="H833" t="s">
        <v>254</v>
      </c>
      <c r="I833" t="s">
        <v>242</v>
      </c>
      <c r="J833" t="s">
        <v>235</v>
      </c>
      <c r="K833" s="380">
        <v>36951</v>
      </c>
      <c r="L833" s="235">
        <v>-32140.086069051034</v>
      </c>
      <c r="M833" s="380">
        <v>36949</v>
      </c>
      <c r="N833" t="s">
        <v>21</v>
      </c>
      <c r="O833">
        <v>1.5</v>
      </c>
      <c r="P833">
        <v>0</v>
      </c>
      <c r="Q833">
        <v>0</v>
      </c>
      <c r="R833">
        <v>0</v>
      </c>
      <c r="S833">
        <v>0</v>
      </c>
      <c r="T833" t="s">
        <v>253</v>
      </c>
      <c r="U833" t="s">
        <v>190</v>
      </c>
      <c r="V833" t="s">
        <v>253</v>
      </c>
      <c r="W833" t="s">
        <v>132</v>
      </c>
      <c r="X833" t="s">
        <v>253</v>
      </c>
      <c r="Y833" t="s">
        <v>235</v>
      </c>
      <c r="Z833" t="s">
        <v>236</v>
      </c>
      <c r="AA833" t="s">
        <v>253</v>
      </c>
      <c r="AB833" t="s">
        <v>1</v>
      </c>
      <c r="AC833" s="235">
        <v>-310000</v>
      </c>
      <c r="AD833" s="235">
        <v>-14834.939660773322</v>
      </c>
      <c r="AE833">
        <v>0</v>
      </c>
      <c r="AF833">
        <v>0</v>
      </c>
      <c r="AG833">
        <v>0</v>
      </c>
      <c r="AH833" s="235">
        <v>0</v>
      </c>
      <c r="AI833">
        <v>226</v>
      </c>
      <c r="AJ833" t="s">
        <v>256</v>
      </c>
      <c r="AK833">
        <v>0</v>
      </c>
      <c r="AL833">
        <v>0</v>
      </c>
      <c r="AM833">
        <v>0</v>
      </c>
    </row>
    <row r="834" spans="1:39" x14ac:dyDescent="0.25">
      <c r="A834" t="s">
        <v>233</v>
      </c>
      <c r="B834" t="s">
        <v>627</v>
      </c>
      <c r="C834" t="s">
        <v>255</v>
      </c>
      <c r="D834" t="s">
        <v>234</v>
      </c>
      <c r="E834" t="s">
        <v>20</v>
      </c>
      <c r="F834" t="s">
        <v>279</v>
      </c>
      <c r="G834" t="s">
        <v>269</v>
      </c>
      <c r="H834" t="s">
        <v>254</v>
      </c>
      <c r="I834" t="s">
        <v>242</v>
      </c>
      <c r="J834" t="s">
        <v>235</v>
      </c>
      <c r="K834" s="380">
        <v>36831</v>
      </c>
      <c r="L834" s="235">
        <v>337098.10768336413</v>
      </c>
      <c r="M834" s="380">
        <v>36829</v>
      </c>
      <c r="N834" t="s">
        <v>21</v>
      </c>
      <c r="O834">
        <v>1.5</v>
      </c>
      <c r="P834">
        <v>0</v>
      </c>
      <c r="Q834">
        <v>0</v>
      </c>
      <c r="R834">
        <v>0</v>
      </c>
      <c r="S834">
        <v>0</v>
      </c>
      <c r="T834" t="s">
        <v>253</v>
      </c>
      <c r="U834" t="s">
        <v>190</v>
      </c>
      <c r="V834" t="s">
        <v>253</v>
      </c>
      <c r="W834" t="s">
        <v>132</v>
      </c>
      <c r="X834" t="s">
        <v>253</v>
      </c>
      <c r="Y834" t="s">
        <v>235</v>
      </c>
      <c r="Z834" t="s">
        <v>236</v>
      </c>
      <c r="AA834" t="s">
        <v>253</v>
      </c>
      <c r="AB834" t="s">
        <v>1</v>
      </c>
      <c r="AC834" s="235">
        <v>1000000</v>
      </c>
      <c r="AD834" s="235">
        <v>47104.992345447885</v>
      </c>
      <c r="AE834">
        <v>0</v>
      </c>
      <c r="AF834">
        <v>0</v>
      </c>
      <c r="AG834">
        <v>0</v>
      </c>
      <c r="AH834" s="235">
        <v>0</v>
      </c>
      <c r="AI834">
        <v>226</v>
      </c>
      <c r="AJ834" t="s">
        <v>256</v>
      </c>
      <c r="AK834">
        <v>0</v>
      </c>
      <c r="AL834">
        <v>0</v>
      </c>
      <c r="AM834">
        <v>0</v>
      </c>
    </row>
    <row r="835" spans="1:39" x14ac:dyDescent="0.25">
      <c r="A835" t="s">
        <v>233</v>
      </c>
      <c r="B835" t="s">
        <v>627</v>
      </c>
      <c r="C835" t="s">
        <v>255</v>
      </c>
      <c r="D835" t="s">
        <v>234</v>
      </c>
      <c r="E835" t="s">
        <v>20</v>
      </c>
      <c r="F835" t="s">
        <v>279</v>
      </c>
      <c r="G835" t="s">
        <v>269</v>
      </c>
      <c r="H835" t="s">
        <v>254</v>
      </c>
      <c r="I835" t="s">
        <v>242</v>
      </c>
      <c r="J835" t="s">
        <v>235</v>
      </c>
      <c r="K835" s="380">
        <v>36861</v>
      </c>
      <c r="L835" s="235">
        <v>176573.34423500509</v>
      </c>
      <c r="M835" s="380">
        <v>36859</v>
      </c>
      <c r="N835" t="s">
        <v>21</v>
      </c>
      <c r="O835">
        <v>1.5</v>
      </c>
      <c r="P835">
        <v>0</v>
      </c>
      <c r="Q835">
        <v>0</v>
      </c>
      <c r="R835">
        <v>0</v>
      </c>
      <c r="S835">
        <v>0</v>
      </c>
      <c r="T835" t="s">
        <v>253</v>
      </c>
      <c r="U835" t="s">
        <v>190</v>
      </c>
      <c r="V835" t="s">
        <v>253</v>
      </c>
      <c r="W835" t="s">
        <v>132</v>
      </c>
      <c r="X835" t="s">
        <v>253</v>
      </c>
      <c r="Y835" t="s">
        <v>235</v>
      </c>
      <c r="Z835" t="s">
        <v>236</v>
      </c>
      <c r="AA835" t="s">
        <v>253</v>
      </c>
      <c r="AB835" t="s">
        <v>1</v>
      </c>
      <c r="AC835" s="235">
        <v>1000000</v>
      </c>
      <c r="AD835" s="235">
        <v>50556.665702850034</v>
      </c>
      <c r="AE835">
        <v>0</v>
      </c>
      <c r="AF835">
        <v>0</v>
      </c>
      <c r="AG835">
        <v>0</v>
      </c>
      <c r="AH835" s="235">
        <v>0</v>
      </c>
      <c r="AI835">
        <v>226</v>
      </c>
      <c r="AJ835" t="s">
        <v>256</v>
      </c>
      <c r="AK835">
        <v>0</v>
      </c>
      <c r="AL835">
        <v>0</v>
      </c>
      <c r="AM835">
        <v>0</v>
      </c>
    </row>
    <row r="836" spans="1:39" x14ac:dyDescent="0.25">
      <c r="A836" t="s">
        <v>233</v>
      </c>
      <c r="B836" t="s">
        <v>627</v>
      </c>
      <c r="C836" t="s">
        <v>255</v>
      </c>
      <c r="D836" t="s">
        <v>234</v>
      </c>
      <c r="E836" t="s">
        <v>20</v>
      </c>
      <c r="F836" t="s">
        <v>279</v>
      </c>
      <c r="G836" t="s">
        <v>269</v>
      </c>
      <c r="H836" t="s">
        <v>254</v>
      </c>
      <c r="I836" t="s">
        <v>242</v>
      </c>
      <c r="J836" t="s">
        <v>235</v>
      </c>
      <c r="K836" s="380">
        <v>36892</v>
      </c>
      <c r="L836" s="235">
        <v>149938.67372253598</v>
      </c>
      <c r="M836" s="380">
        <v>36888</v>
      </c>
      <c r="N836" t="s">
        <v>21</v>
      </c>
      <c r="O836">
        <v>1.5</v>
      </c>
      <c r="P836">
        <v>0</v>
      </c>
      <c r="Q836">
        <v>0</v>
      </c>
      <c r="R836">
        <v>0</v>
      </c>
      <c r="S836">
        <v>0</v>
      </c>
      <c r="T836" t="s">
        <v>253</v>
      </c>
      <c r="U836" t="s">
        <v>190</v>
      </c>
      <c r="V836" t="s">
        <v>253</v>
      </c>
      <c r="W836" t="s">
        <v>132</v>
      </c>
      <c r="X836" t="s">
        <v>253</v>
      </c>
      <c r="Y836" t="s">
        <v>235</v>
      </c>
      <c r="Z836" t="s">
        <v>236</v>
      </c>
      <c r="AA836" t="s">
        <v>253</v>
      </c>
      <c r="AB836" t="s">
        <v>1</v>
      </c>
      <c r="AC836" s="235">
        <v>1000000</v>
      </c>
      <c r="AD836" s="235">
        <v>52560.457149585913</v>
      </c>
      <c r="AE836">
        <v>0</v>
      </c>
      <c r="AF836">
        <v>0</v>
      </c>
      <c r="AG836">
        <v>0</v>
      </c>
      <c r="AH836" s="235">
        <v>0</v>
      </c>
      <c r="AI836">
        <v>226</v>
      </c>
      <c r="AJ836" t="s">
        <v>256</v>
      </c>
      <c r="AK836">
        <v>0</v>
      </c>
      <c r="AL836">
        <v>0</v>
      </c>
      <c r="AM836">
        <v>0</v>
      </c>
    </row>
    <row r="837" spans="1:39" x14ac:dyDescent="0.25">
      <c r="A837" t="s">
        <v>233</v>
      </c>
      <c r="B837" t="s">
        <v>627</v>
      </c>
      <c r="C837" t="s">
        <v>255</v>
      </c>
      <c r="D837" t="s">
        <v>234</v>
      </c>
      <c r="E837" t="s">
        <v>20</v>
      </c>
      <c r="F837" t="s">
        <v>279</v>
      </c>
      <c r="G837" t="s">
        <v>269</v>
      </c>
      <c r="H837" t="s">
        <v>254</v>
      </c>
      <c r="I837" t="s">
        <v>242</v>
      </c>
      <c r="J837" t="s">
        <v>235</v>
      </c>
      <c r="K837" s="380">
        <v>36923</v>
      </c>
      <c r="L837" s="235">
        <v>129001.68019954055</v>
      </c>
      <c r="M837" s="380">
        <v>36921</v>
      </c>
      <c r="N837" t="s">
        <v>21</v>
      </c>
      <c r="O837">
        <v>1.5</v>
      </c>
      <c r="P837">
        <v>0</v>
      </c>
      <c r="Q837">
        <v>0</v>
      </c>
      <c r="R837">
        <v>0</v>
      </c>
      <c r="S837">
        <v>0</v>
      </c>
      <c r="T837" t="s">
        <v>253</v>
      </c>
      <c r="U837" t="s">
        <v>190</v>
      </c>
      <c r="V837" t="s">
        <v>253</v>
      </c>
      <c r="W837" t="s">
        <v>132</v>
      </c>
      <c r="X837" t="s">
        <v>253</v>
      </c>
      <c r="Y837" t="s">
        <v>235</v>
      </c>
      <c r="Z837" t="s">
        <v>236</v>
      </c>
      <c r="AA837" t="s">
        <v>253</v>
      </c>
      <c r="AB837" t="s">
        <v>1</v>
      </c>
      <c r="AC837" s="235">
        <v>1000000</v>
      </c>
      <c r="AD837" s="235">
        <v>52991.912772666576</v>
      </c>
      <c r="AE837">
        <v>0</v>
      </c>
      <c r="AF837">
        <v>0</v>
      </c>
      <c r="AG837">
        <v>0</v>
      </c>
      <c r="AH837" s="235">
        <v>0</v>
      </c>
      <c r="AI837">
        <v>226</v>
      </c>
      <c r="AJ837" t="s">
        <v>256</v>
      </c>
      <c r="AK837">
        <v>0</v>
      </c>
      <c r="AL837">
        <v>0</v>
      </c>
      <c r="AM837">
        <v>0</v>
      </c>
    </row>
    <row r="838" spans="1:39" x14ac:dyDescent="0.25">
      <c r="A838" t="s">
        <v>233</v>
      </c>
      <c r="B838" t="s">
        <v>627</v>
      </c>
      <c r="C838" t="s">
        <v>255</v>
      </c>
      <c r="D838" t="s">
        <v>234</v>
      </c>
      <c r="E838" t="s">
        <v>20</v>
      </c>
      <c r="F838" t="s">
        <v>279</v>
      </c>
      <c r="G838" t="s">
        <v>269</v>
      </c>
      <c r="H838" t="s">
        <v>254</v>
      </c>
      <c r="I838" t="s">
        <v>242</v>
      </c>
      <c r="J838" t="s">
        <v>235</v>
      </c>
      <c r="K838" s="380">
        <v>36951</v>
      </c>
      <c r="L838" s="235">
        <v>103677.69699693883</v>
      </c>
      <c r="M838" s="380">
        <v>36949</v>
      </c>
      <c r="N838" t="s">
        <v>21</v>
      </c>
      <c r="O838">
        <v>1.5</v>
      </c>
      <c r="P838">
        <v>0</v>
      </c>
      <c r="Q838">
        <v>0</v>
      </c>
      <c r="R838">
        <v>0</v>
      </c>
      <c r="S838">
        <v>0</v>
      </c>
      <c r="T838" t="s">
        <v>253</v>
      </c>
      <c r="U838" t="s">
        <v>190</v>
      </c>
      <c r="V838" t="s">
        <v>253</v>
      </c>
      <c r="W838" t="s">
        <v>132</v>
      </c>
      <c r="X838" t="s">
        <v>253</v>
      </c>
      <c r="Y838" t="s">
        <v>235</v>
      </c>
      <c r="Z838" t="s">
        <v>236</v>
      </c>
      <c r="AA838" t="s">
        <v>253</v>
      </c>
      <c r="AB838" t="s">
        <v>1</v>
      </c>
      <c r="AC838" s="235">
        <v>1000000</v>
      </c>
      <c r="AD838" s="235">
        <v>47854.644067010697</v>
      </c>
      <c r="AE838">
        <v>0</v>
      </c>
      <c r="AF838">
        <v>0</v>
      </c>
      <c r="AG838">
        <v>0</v>
      </c>
      <c r="AH838" s="235">
        <v>0</v>
      </c>
      <c r="AI838">
        <v>226</v>
      </c>
      <c r="AJ838" t="s">
        <v>256</v>
      </c>
      <c r="AK838">
        <v>0</v>
      </c>
      <c r="AL838">
        <v>0</v>
      </c>
      <c r="AM838">
        <v>0</v>
      </c>
    </row>
    <row r="839" spans="1:39" x14ac:dyDescent="0.25">
      <c r="A839" t="s">
        <v>233</v>
      </c>
      <c r="B839" t="s">
        <v>628</v>
      </c>
      <c r="C839" t="s">
        <v>255</v>
      </c>
      <c r="D839" t="s">
        <v>234</v>
      </c>
      <c r="E839" t="s">
        <v>20</v>
      </c>
      <c r="F839" t="s">
        <v>279</v>
      </c>
      <c r="G839" t="s">
        <v>269</v>
      </c>
      <c r="H839" t="s">
        <v>254</v>
      </c>
      <c r="I839" t="s">
        <v>242</v>
      </c>
      <c r="J839" t="s">
        <v>235</v>
      </c>
      <c r="K839" s="380">
        <v>36982</v>
      </c>
      <c r="L839" s="235">
        <v>-28264.765885709181</v>
      </c>
      <c r="M839" s="380">
        <v>36979</v>
      </c>
      <c r="N839" t="s">
        <v>21</v>
      </c>
      <c r="O839">
        <v>1.5</v>
      </c>
      <c r="P839">
        <v>0</v>
      </c>
      <c r="Q839">
        <v>0</v>
      </c>
      <c r="R839">
        <v>0</v>
      </c>
      <c r="S839">
        <v>0</v>
      </c>
      <c r="T839" t="s">
        <v>253</v>
      </c>
      <c r="U839" t="s">
        <v>190</v>
      </c>
      <c r="V839" t="s">
        <v>253</v>
      </c>
      <c r="W839" t="s">
        <v>132</v>
      </c>
      <c r="X839" t="s">
        <v>253</v>
      </c>
      <c r="Y839" t="s">
        <v>235</v>
      </c>
      <c r="Z839" t="s">
        <v>236</v>
      </c>
      <c r="AA839" t="s">
        <v>253</v>
      </c>
      <c r="AB839" t="s">
        <v>1</v>
      </c>
      <c r="AC839" s="235">
        <v>-500000</v>
      </c>
      <c r="AD839" s="235">
        <v>-15567.399691061873</v>
      </c>
      <c r="AE839">
        <v>0</v>
      </c>
      <c r="AF839">
        <v>0</v>
      </c>
      <c r="AG839">
        <v>0</v>
      </c>
      <c r="AH839" s="235">
        <v>0</v>
      </c>
      <c r="AI839">
        <v>226</v>
      </c>
      <c r="AJ839" t="s">
        <v>256</v>
      </c>
      <c r="AK839">
        <v>0</v>
      </c>
      <c r="AL839">
        <v>0</v>
      </c>
      <c r="AM839">
        <v>0</v>
      </c>
    </row>
    <row r="840" spans="1:39" x14ac:dyDescent="0.25">
      <c r="A840" t="s">
        <v>233</v>
      </c>
      <c r="B840" t="s">
        <v>628</v>
      </c>
      <c r="C840" t="s">
        <v>255</v>
      </c>
      <c r="D840" t="s">
        <v>234</v>
      </c>
      <c r="E840" t="s">
        <v>20</v>
      </c>
      <c r="F840" t="s">
        <v>279</v>
      </c>
      <c r="G840" t="s">
        <v>269</v>
      </c>
      <c r="H840" t="s">
        <v>254</v>
      </c>
      <c r="I840" t="s">
        <v>242</v>
      </c>
      <c r="J840" t="s">
        <v>235</v>
      </c>
      <c r="K840" s="380">
        <v>37012</v>
      </c>
      <c r="L840" s="235">
        <v>-25116.854773561477</v>
      </c>
      <c r="M840" s="380">
        <v>37008</v>
      </c>
      <c r="N840" t="s">
        <v>21</v>
      </c>
      <c r="O840">
        <v>1.5</v>
      </c>
      <c r="P840">
        <v>0</v>
      </c>
      <c r="Q840">
        <v>0</v>
      </c>
      <c r="R840">
        <v>0</v>
      </c>
      <c r="S840">
        <v>0</v>
      </c>
      <c r="T840" t="s">
        <v>253</v>
      </c>
      <c r="U840" t="s">
        <v>190</v>
      </c>
      <c r="V840" t="s">
        <v>253</v>
      </c>
      <c r="W840" t="s">
        <v>132</v>
      </c>
      <c r="X840" t="s">
        <v>253</v>
      </c>
      <c r="Y840" t="s">
        <v>235</v>
      </c>
      <c r="Z840" t="s">
        <v>236</v>
      </c>
      <c r="AA840" t="s">
        <v>253</v>
      </c>
      <c r="AB840" t="s">
        <v>1</v>
      </c>
      <c r="AC840" s="235">
        <v>-500000</v>
      </c>
      <c r="AD840" s="235">
        <v>-14459.578876682535</v>
      </c>
      <c r="AE840">
        <v>0</v>
      </c>
      <c r="AF840">
        <v>0</v>
      </c>
      <c r="AG840">
        <v>0</v>
      </c>
      <c r="AH840" s="235">
        <v>0</v>
      </c>
      <c r="AI840">
        <v>226</v>
      </c>
      <c r="AJ840" t="s">
        <v>256</v>
      </c>
      <c r="AK840">
        <v>0</v>
      </c>
      <c r="AL840">
        <v>0</v>
      </c>
      <c r="AM840">
        <v>0</v>
      </c>
    </row>
    <row r="841" spans="1:39" x14ac:dyDescent="0.25">
      <c r="A841" t="s">
        <v>233</v>
      </c>
      <c r="B841" t="s">
        <v>628</v>
      </c>
      <c r="C841" t="s">
        <v>255</v>
      </c>
      <c r="D841" t="s">
        <v>234</v>
      </c>
      <c r="E841" t="s">
        <v>20</v>
      </c>
      <c r="F841" t="s">
        <v>279</v>
      </c>
      <c r="G841" t="s">
        <v>269</v>
      </c>
      <c r="H841" t="s">
        <v>254</v>
      </c>
      <c r="I841" t="s">
        <v>242</v>
      </c>
      <c r="J841" t="s">
        <v>235</v>
      </c>
      <c r="K841" s="380">
        <v>37043</v>
      </c>
      <c r="L841" s="235">
        <v>-30653.970320006418</v>
      </c>
      <c r="M841" s="380">
        <v>37041</v>
      </c>
      <c r="N841" t="s">
        <v>21</v>
      </c>
      <c r="O841">
        <v>1.5</v>
      </c>
      <c r="P841">
        <v>0</v>
      </c>
      <c r="Q841">
        <v>0</v>
      </c>
      <c r="R841">
        <v>0</v>
      </c>
      <c r="S841">
        <v>0</v>
      </c>
      <c r="T841" t="s">
        <v>253</v>
      </c>
      <c r="U841" t="s">
        <v>190</v>
      </c>
      <c r="V841" t="s">
        <v>253</v>
      </c>
      <c r="W841" t="s">
        <v>132</v>
      </c>
      <c r="X841" t="s">
        <v>253</v>
      </c>
      <c r="Y841" t="s">
        <v>235</v>
      </c>
      <c r="Z841" t="s">
        <v>236</v>
      </c>
      <c r="AA841" t="s">
        <v>253</v>
      </c>
      <c r="AB841" t="s">
        <v>1</v>
      </c>
      <c r="AC841" s="235">
        <v>-500000</v>
      </c>
      <c r="AD841" s="235">
        <v>-16456.6569630105</v>
      </c>
      <c r="AE841">
        <v>0</v>
      </c>
      <c r="AF841">
        <v>0</v>
      </c>
      <c r="AG841">
        <v>0</v>
      </c>
      <c r="AH841" s="235">
        <v>0</v>
      </c>
      <c r="AI841">
        <v>226</v>
      </c>
      <c r="AJ841" t="s">
        <v>256</v>
      </c>
      <c r="AK841">
        <v>0</v>
      </c>
      <c r="AL841">
        <v>0</v>
      </c>
      <c r="AM841">
        <v>0</v>
      </c>
    </row>
    <row r="842" spans="1:39" x14ac:dyDescent="0.25">
      <c r="A842" t="s">
        <v>233</v>
      </c>
      <c r="B842" t="s">
        <v>628</v>
      </c>
      <c r="C842" t="s">
        <v>255</v>
      </c>
      <c r="D842" t="s">
        <v>234</v>
      </c>
      <c r="E842" t="s">
        <v>20</v>
      </c>
      <c r="F842" t="s">
        <v>279</v>
      </c>
      <c r="G842" t="s">
        <v>269</v>
      </c>
      <c r="H842" t="s">
        <v>254</v>
      </c>
      <c r="I842" t="s">
        <v>242</v>
      </c>
      <c r="J842" t="s">
        <v>235</v>
      </c>
      <c r="K842" s="380">
        <v>37073</v>
      </c>
      <c r="L842" s="235">
        <v>-120718.47506972539</v>
      </c>
      <c r="M842" s="380">
        <v>37070</v>
      </c>
      <c r="N842" t="s">
        <v>21</v>
      </c>
      <c r="O842">
        <v>1.5</v>
      </c>
      <c r="P842">
        <v>0</v>
      </c>
      <c r="Q842">
        <v>0</v>
      </c>
      <c r="R842">
        <v>0</v>
      </c>
      <c r="S842">
        <v>0</v>
      </c>
      <c r="T842" t="s">
        <v>253</v>
      </c>
      <c r="U842" t="s">
        <v>190</v>
      </c>
      <c r="V842" t="s">
        <v>253</v>
      </c>
      <c r="W842" t="s">
        <v>132</v>
      </c>
      <c r="X842" t="s">
        <v>253</v>
      </c>
      <c r="Y842" t="s">
        <v>235</v>
      </c>
      <c r="Z842" t="s">
        <v>236</v>
      </c>
      <c r="AA842" t="s">
        <v>253</v>
      </c>
      <c r="AB842" t="s">
        <v>1</v>
      </c>
      <c r="AC842" s="235">
        <v>-500000</v>
      </c>
      <c r="AD842" s="235">
        <v>-27571.142715830822</v>
      </c>
      <c r="AE842">
        <v>0</v>
      </c>
      <c r="AF842">
        <v>0</v>
      </c>
      <c r="AG842">
        <v>0</v>
      </c>
      <c r="AH842" s="235">
        <v>0</v>
      </c>
      <c r="AI842">
        <v>226</v>
      </c>
      <c r="AJ842" t="s">
        <v>256</v>
      </c>
      <c r="AK842">
        <v>0</v>
      </c>
      <c r="AL842">
        <v>0</v>
      </c>
      <c r="AM842">
        <v>0</v>
      </c>
    </row>
    <row r="843" spans="1:39" x14ac:dyDescent="0.25">
      <c r="A843" t="s">
        <v>233</v>
      </c>
      <c r="B843" t="s">
        <v>628</v>
      </c>
      <c r="C843" t="s">
        <v>255</v>
      </c>
      <c r="D843" t="s">
        <v>234</v>
      </c>
      <c r="E843" t="s">
        <v>20</v>
      </c>
      <c r="F843" t="s">
        <v>279</v>
      </c>
      <c r="G843" t="s">
        <v>269</v>
      </c>
      <c r="H843" t="s">
        <v>254</v>
      </c>
      <c r="I843" t="s">
        <v>242</v>
      </c>
      <c r="J843" t="s">
        <v>235</v>
      </c>
      <c r="K843" s="380">
        <v>37104</v>
      </c>
      <c r="L843" s="235">
        <v>-139258.94050925114</v>
      </c>
      <c r="M843" s="380">
        <v>37102</v>
      </c>
      <c r="N843" t="s">
        <v>21</v>
      </c>
      <c r="O843">
        <v>1.5</v>
      </c>
      <c r="P843">
        <v>0</v>
      </c>
      <c r="Q843">
        <v>0</v>
      </c>
      <c r="R843">
        <v>0</v>
      </c>
      <c r="S843">
        <v>0</v>
      </c>
      <c r="T843" t="s">
        <v>253</v>
      </c>
      <c r="U843" t="s">
        <v>190</v>
      </c>
      <c r="V843" t="s">
        <v>253</v>
      </c>
      <c r="W843" t="s">
        <v>132</v>
      </c>
      <c r="X843" t="s">
        <v>253</v>
      </c>
      <c r="Y843" t="s">
        <v>235</v>
      </c>
      <c r="Z843" t="s">
        <v>236</v>
      </c>
      <c r="AA843" t="s">
        <v>253</v>
      </c>
      <c r="AB843" t="s">
        <v>1</v>
      </c>
      <c r="AC843" s="235">
        <v>-500000</v>
      </c>
      <c r="AD843" s="235">
        <v>-29248.82365927007</v>
      </c>
      <c r="AE843">
        <v>0</v>
      </c>
      <c r="AF843">
        <v>0</v>
      </c>
      <c r="AG843">
        <v>0</v>
      </c>
      <c r="AH843" s="235">
        <v>0</v>
      </c>
      <c r="AI843">
        <v>226</v>
      </c>
      <c r="AJ843" t="s">
        <v>256</v>
      </c>
      <c r="AK843">
        <v>0</v>
      </c>
      <c r="AL843">
        <v>0</v>
      </c>
      <c r="AM843">
        <v>0</v>
      </c>
    </row>
    <row r="844" spans="1:39" x14ac:dyDescent="0.25">
      <c r="A844" t="s">
        <v>233</v>
      </c>
      <c r="B844" t="s">
        <v>628</v>
      </c>
      <c r="C844" t="s">
        <v>255</v>
      </c>
      <c r="D844" t="s">
        <v>234</v>
      </c>
      <c r="E844" t="s">
        <v>20</v>
      </c>
      <c r="F844" t="s">
        <v>279</v>
      </c>
      <c r="G844" t="s">
        <v>269</v>
      </c>
      <c r="H844" t="s">
        <v>254</v>
      </c>
      <c r="I844" t="s">
        <v>242</v>
      </c>
      <c r="J844" t="s">
        <v>235</v>
      </c>
      <c r="K844" s="380">
        <v>37135</v>
      </c>
      <c r="L844" s="235">
        <v>-141304.7360527617</v>
      </c>
      <c r="M844" s="380">
        <v>37133</v>
      </c>
      <c r="N844" t="s">
        <v>21</v>
      </c>
      <c r="O844">
        <v>1.5</v>
      </c>
      <c r="P844">
        <v>0</v>
      </c>
      <c r="Q844">
        <v>0</v>
      </c>
      <c r="R844">
        <v>0</v>
      </c>
      <c r="S844">
        <v>0</v>
      </c>
      <c r="T844" t="s">
        <v>253</v>
      </c>
      <c r="U844" t="s">
        <v>190</v>
      </c>
      <c r="V844" t="s">
        <v>253</v>
      </c>
      <c r="W844" t="s">
        <v>132</v>
      </c>
      <c r="X844" t="s">
        <v>253</v>
      </c>
      <c r="Y844" t="s">
        <v>235</v>
      </c>
      <c r="Z844" t="s">
        <v>236</v>
      </c>
      <c r="AA844" t="s">
        <v>253</v>
      </c>
      <c r="AB844" t="s">
        <v>1</v>
      </c>
      <c r="AC844" s="235">
        <v>-500000</v>
      </c>
      <c r="AD844" s="235">
        <v>-30313.214591835014</v>
      </c>
      <c r="AE844">
        <v>0</v>
      </c>
      <c r="AF844">
        <v>0</v>
      </c>
      <c r="AG844">
        <v>0</v>
      </c>
      <c r="AH844" s="235">
        <v>0</v>
      </c>
      <c r="AI844">
        <v>226</v>
      </c>
      <c r="AJ844" t="s">
        <v>256</v>
      </c>
      <c r="AK844">
        <v>0</v>
      </c>
      <c r="AL844">
        <v>0</v>
      </c>
      <c r="AM844">
        <v>0</v>
      </c>
    </row>
    <row r="845" spans="1:39" x14ac:dyDescent="0.25">
      <c r="A845" t="s">
        <v>233</v>
      </c>
      <c r="B845" t="s">
        <v>628</v>
      </c>
      <c r="C845" t="s">
        <v>255</v>
      </c>
      <c r="D845" t="s">
        <v>234</v>
      </c>
      <c r="E845" t="s">
        <v>20</v>
      </c>
      <c r="F845" t="s">
        <v>279</v>
      </c>
      <c r="G845" t="s">
        <v>269</v>
      </c>
      <c r="H845" t="s">
        <v>254</v>
      </c>
      <c r="I845" t="s">
        <v>242</v>
      </c>
      <c r="J845" t="s">
        <v>235</v>
      </c>
      <c r="K845" s="380">
        <v>37165</v>
      </c>
      <c r="L845" s="235">
        <v>-64273.509868813017</v>
      </c>
      <c r="M845" s="380">
        <v>37161</v>
      </c>
      <c r="N845" t="s">
        <v>21</v>
      </c>
      <c r="O845">
        <v>1.5</v>
      </c>
      <c r="P845">
        <v>0</v>
      </c>
      <c r="Q845">
        <v>0</v>
      </c>
      <c r="R845">
        <v>0</v>
      </c>
      <c r="S845">
        <v>0</v>
      </c>
      <c r="T845" t="s">
        <v>253</v>
      </c>
      <c r="U845" t="s">
        <v>190</v>
      </c>
      <c r="V845" t="s">
        <v>253</v>
      </c>
      <c r="W845" t="s">
        <v>132</v>
      </c>
      <c r="X845" t="s">
        <v>253</v>
      </c>
      <c r="Y845" t="s">
        <v>235</v>
      </c>
      <c r="Z845" t="s">
        <v>236</v>
      </c>
      <c r="AA845" t="s">
        <v>253</v>
      </c>
      <c r="AB845" t="s">
        <v>1</v>
      </c>
      <c r="AC845" s="235">
        <v>-500000</v>
      </c>
      <c r="AD845" s="235">
        <v>-25421.5336249432</v>
      </c>
      <c r="AE845">
        <v>0</v>
      </c>
      <c r="AF845">
        <v>0</v>
      </c>
      <c r="AG845">
        <v>0</v>
      </c>
      <c r="AH845" s="235">
        <v>0</v>
      </c>
      <c r="AI845">
        <v>226</v>
      </c>
      <c r="AJ845" t="s">
        <v>256</v>
      </c>
      <c r="AK845">
        <v>0</v>
      </c>
      <c r="AL845">
        <v>0</v>
      </c>
      <c r="AM845">
        <v>0</v>
      </c>
    </row>
    <row r="846" spans="1:39" x14ac:dyDescent="0.25">
      <c r="A846" t="s">
        <v>233</v>
      </c>
      <c r="B846" t="s">
        <v>629</v>
      </c>
      <c r="C846" t="s">
        <v>255</v>
      </c>
      <c r="D846" t="s">
        <v>234</v>
      </c>
      <c r="E846" t="s">
        <v>20</v>
      </c>
      <c r="F846" t="s">
        <v>279</v>
      </c>
      <c r="G846" t="s">
        <v>269</v>
      </c>
      <c r="H846" t="s">
        <v>254</v>
      </c>
      <c r="I846" t="s">
        <v>242</v>
      </c>
      <c r="J846" t="s">
        <v>235</v>
      </c>
      <c r="K846" s="380">
        <v>36982</v>
      </c>
      <c r="L846" s="235">
        <v>-28264.765885709181</v>
      </c>
      <c r="M846" s="380">
        <v>36979</v>
      </c>
      <c r="N846" t="s">
        <v>21</v>
      </c>
      <c r="O846">
        <v>1.5</v>
      </c>
      <c r="P846">
        <v>0</v>
      </c>
      <c r="Q846">
        <v>0</v>
      </c>
      <c r="R846">
        <v>0</v>
      </c>
      <c r="S846">
        <v>0</v>
      </c>
      <c r="T846" t="s">
        <v>253</v>
      </c>
      <c r="U846" t="s">
        <v>190</v>
      </c>
      <c r="V846" t="s">
        <v>253</v>
      </c>
      <c r="W846" t="s">
        <v>132</v>
      </c>
      <c r="X846" t="s">
        <v>253</v>
      </c>
      <c r="Y846" t="s">
        <v>235</v>
      </c>
      <c r="Z846" t="s">
        <v>236</v>
      </c>
      <c r="AA846" t="s">
        <v>253</v>
      </c>
      <c r="AB846" t="s">
        <v>1</v>
      </c>
      <c r="AC846" s="235">
        <v>-500000</v>
      </c>
      <c r="AD846" s="235">
        <v>-15567.399691061873</v>
      </c>
      <c r="AE846">
        <v>0</v>
      </c>
      <c r="AF846">
        <v>0</v>
      </c>
      <c r="AG846">
        <v>0</v>
      </c>
      <c r="AH846" s="235">
        <v>0</v>
      </c>
      <c r="AI846">
        <v>226</v>
      </c>
      <c r="AJ846" t="s">
        <v>256</v>
      </c>
      <c r="AK846">
        <v>0</v>
      </c>
      <c r="AL846">
        <v>0</v>
      </c>
      <c r="AM846">
        <v>0</v>
      </c>
    </row>
    <row r="847" spans="1:39" x14ac:dyDescent="0.25">
      <c r="A847" t="s">
        <v>233</v>
      </c>
      <c r="B847" t="s">
        <v>629</v>
      </c>
      <c r="C847" t="s">
        <v>255</v>
      </c>
      <c r="D847" t="s">
        <v>234</v>
      </c>
      <c r="E847" t="s">
        <v>20</v>
      </c>
      <c r="F847" t="s">
        <v>279</v>
      </c>
      <c r="G847" t="s">
        <v>269</v>
      </c>
      <c r="H847" t="s">
        <v>254</v>
      </c>
      <c r="I847" t="s">
        <v>242</v>
      </c>
      <c r="J847" t="s">
        <v>235</v>
      </c>
      <c r="K847" s="380">
        <v>37012</v>
      </c>
      <c r="L847" s="235">
        <v>-25116.854773561477</v>
      </c>
      <c r="M847" s="380">
        <v>37008</v>
      </c>
      <c r="N847" t="s">
        <v>21</v>
      </c>
      <c r="O847">
        <v>1.5</v>
      </c>
      <c r="P847">
        <v>0</v>
      </c>
      <c r="Q847">
        <v>0</v>
      </c>
      <c r="R847">
        <v>0</v>
      </c>
      <c r="S847">
        <v>0</v>
      </c>
      <c r="T847" t="s">
        <v>253</v>
      </c>
      <c r="U847" t="s">
        <v>190</v>
      </c>
      <c r="V847" t="s">
        <v>253</v>
      </c>
      <c r="W847" t="s">
        <v>132</v>
      </c>
      <c r="X847" t="s">
        <v>253</v>
      </c>
      <c r="Y847" t="s">
        <v>235</v>
      </c>
      <c r="Z847" t="s">
        <v>236</v>
      </c>
      <c r="AA847" t="s">
        <v>253</v>
      </c>
      <c r="AB847" t="s">
        <v>1</v>
      </c>
      <c r="AC847" s="235">
        <v>-500000</v>
      </c>
      <c r="AD847" s="235">
        <v>-14459.578876682535</v>
      </c>
      <c r="AE847">
        <v>0</v>
      </c>
      <c r="AF847">
        <v>0</v>
      </c>
      <c r="AG847">
        <v>0</v>
      </c>
      <c r="AH847" s="235">
        <v>0</v>
      </c>
      <c r="AI847">
        <v>226</v>
      </c>
      <c r="AJ847" t="s">
        <v>256</v>
      </c>
      <c r="AK847">
        <v>0</v>
      </c>
      <c r="AL847">
        <v>0</v>
      </c>
      <c r="AM847">
        <v>0</v>
      </c>
    </row>
    <row r="848" spans="1:39" x14ac:dyDescent="0.25">
      <c r="A848" t="s">
        <v>233</v>
      </c>
      <c r="B848" t="s">
        <v>629</v>
      </c>
      <c r="C848" t="s">
        <v>255</v>
      </c>
      <c r="D848" t="s">
        <v>234</v>
      </c>
      <c r="E848" t="s">
        <v>20</v>
      </c>
      <c r="F848" t="s">
        <v>279</v>
      </c>
      <c r="G848" t="s">
        <v>269</v>
      </c>
      <c r="H848" t="s">
        <v>254</v>
      </c>
      <c r="I848" t="s">
        <v>242</v>
      </c>
      <c r="J848" t="s">
        <v>235</v>
      </c>
      <c r="K848" s="380">
        <v>37043</v>
      </c>
      <c r="L848" s="235">
        <v>-30653.970320006418</v>
      </c>
      <c r="M848" s="380">
        <v>37041</v>
      </c>
      <c r="N848" t="s">
        <v>21</v>
      </c>
      <c r="O848">
        <v>1.5</v>
      </c>
      <c r="P848">
        <v>0</v>
      </c>
      <c r="Q848">
        <v>0</v>
      </c>
      <c r="R848">
        <v>0</v>
      </c>
      <c r="S848">
        <v>0</v>
      </c>
      <c r="T848" t="s">
        <v>253</v>
      </c>
      <c r="U848" t="s">
        <v>190</v>
      </c>
      <c r="V848" t="s">
        <v>253</v>
      </c>
      <c r="W848" t="s">
        <v>132</v>
      </c>
      <c r="X848" t="s">
        <v>253</v>
      </c>
      <c r="Y848" t="s">
        <v>235</v>
      </c>
      <c r="Z848" t="s">
        <v>236</v>
      </c>
      <c r="AA848" t="s">
        <v>253</v>
      </c>
      <c r="AB848" t="s">
        <v>1</v>
      </c>
      <c r="AC848" s="235">
        <v>-500000</v>
      </c>
      <c r="AD848" s="235">
        <v>-16456.6569630105</v>
      </c>
      <c r="AE848">
        <v>0</v>
      </c>
      <c r="AF848">
        <v>0</v>
      </c>
      <c r="AG848">
        <v>0</v>
      </c>
      <c r="AH848" s="235">
        <v>0</v>
      </c>
      <c r="AI848">
        <v>226</v>
      </c>
      <c r="AJ848" t="s">
        <v>256</v>
      </c>
      <c r="AK848">
        <v>0</v>
      </c>
      <c r="AL848">
        <v>0</v>
      </c>
      <c r="AM848">
        <v>0</v>
      </c>
    </row>
    <row r="849" spans="1:39" x14ac:dyDescent="0.25">
      <c r="A849" t="s">
        <v>233</v>
      </c>
      <c r="B849" t="s">
        <v>629</v>
      </c>
      <c r="C849" t="s">
        <v>255</v>
      </c>
      <c r="D849" t="s">
        <v>234</v>
      </c>
      <c r="E849" t="s">
        <v>20</v>
      </c>
      <c r="F849" t="s">
        <v>279</v>
      </c>
      <c r="G849" t="s">
        <v>269</v>
      </c>
      <c r="H849" t="s">
        <v>254</v>
      </c>
      <c r="I849" t="s">
        <v>242</v>
      </c>
      <c r="J849" t="s">
        <v>235</v>
      </c>
      <c r="K849" s="380">
        <v>37073</v>
      </c>
      <c r="L849" s="235">
        <v>-120718.47506972539</v>
      </c>
      <c r="M849" s="380">
        <v>37070</v>
      </c>
      <c r="N849" t="s">
        <v>21</v>
      </c>
      <c r="O849">
        <v>1.5</v>
      </c>
      <c r="P849">
        <v>0</v>
      </c>
      <c r="Q849">
        <v>0</v>
      </c>
      <c r="R849">
        <v>0</v>
      </c>
      <c r="S849">
        <v>0</v>
      </c>
      <c r="T849" t="s">
        <v>253</v>
      </c>
      <c r="U849" t="s">
        <v>190</v>
      </c>
      <c r="V849" t="s">
        <v>253</v>
      </c>
      <c r="W849" t="s">
        <v>132</v>
      </c>
      <c r="X849" t="s">
        <v>253</v>
      </c>
      <c r="Y849" t="s">
        <v>235</v>
      </c>
      <c r="Z849" t="s">
        <v>236</v>
      </c>
      <c r="AA849" t="s">
        <v>253</v>
      </c>
      <c r="AB849" t="s">
        <v>1</v>
      </c>
      <c r="AC849" s="235">
        <v>-500000</v>
      </c>
      <c r="AD849" s="235">
        <v>-27571.142715830822</v>
      </c>
      <c r="AE849">
        <v>0</v>
      </c>
      <c r="AF849">
        <v>0</v>
      </c>
      <c r="AG849">
        <v>0</v>
      </c>
      <c r="AH849" s="235">
        <v>0</v>
      </c>
      <c r="AI849">
        <v>226</v>
      </c>
      <c r="AJ849" t="s">
        <v>256</v>
      </c>
      <c r="AK849">
        <v>0</v>
      </c>
      <c r="AL849">
        <v>0</v>
      </c>
      <c r="AM849">
        <v>0</v>
      </c>
    </row>
    <row r="850" spans="1:39" x14ac:dyDescent="0.25">
      <c r="A850" t="s">
        <v>233</v>
      </c>
      <c r="B850" t="s">
        <v>629</v>
      </c>
      <c r="C850" t="s">
        <v>255</v>
      </c>
      <c r="D850" t="s">
        <v>234</v>
      </c>
      <c r="E850" t="s">
        <v>20</v>
      </c>
      <c r="F850" t="s">
        <v>279</v>
      </c>
      <c r="G850" t="s">
        <v>269</v>
      </c>
      <c r="H850" t="s">
        <v>254</v>
      </c>
      <c r="I850" t="s">
        <v>242</v>
      </c>
      <c r="J850" t="s">
        <v>235</v>
      </c>
      <c r="K850" s="380">
        <v>37104</v>
      </c>
      <c r="L850" s="235">
        <v>-139258.94050925114</v>
      </c>
      <c r="M850" s="380">
        <v>37102</v>
      </c>
      <c r="N850" t="s">
        <v>21</v>
      </c>
      <c r="O850">
        <v>1.5</v>
      </c>
      <c r="P850">
        <v>0</v>
      </c>
      <c r="Q850">
        <v>0</v>
      </c>
      <c r="R850">
        <v>0</v>
      </c>
      <c r="S850">
        <v>0</v>
      </c>
      <c r="T850" t="s">
        <v>253</v>
      </c>
      <c r="U850" t="s">
        <v>190</v>
      </c>
      <c r="V850" t="s">
        <v>253</v>
      </c>
      <c r="W850" t="s">
        <v>132</v>
      </c>
      <c r="X850" t="s">
        <v>253</v>
      </c>
      <c r="Y850" t="s">
        <v>235</v>
      </c>
      <c r="Z850" t="s">
        <v>236</v>
      </c>
      <c r="AA850" t="s">
        <v>253</v>
      </c>
      <c r="AB850" t="s">
        <v>1</v>
      </c>
      <c r="AC850" s="235">
        <v>-500000</v>
      </c>
      <c r="AD850" s="235">
        <v>-29248.82365927007</v>
      </c>
      <c r="AE850">
        <v>0</v>
      </c>
      <c r="AF850">
        <v>0</v>
      </c>
      <c r="AG850">
        <v>0</v>
      </c>
      <c r="AH850" s="235">
        <v>0</v>
      </c>
      <c r="AI850">
        <v>226</v>
      </c>
      <c r="AJ850" t="s">
        <v>256</v>
      </c>
      <c r="AK850">
        <v>0</v>
      </c>
      <c r="AL850">
        <v>0</v>
      </c>
      <c r="AM850">
        <v>0</v>
      </c>
    </row>
    <row r="851" spans="1:39" x14ac:dyDescent="0.25">
      <c r="A851" t="s">
        <v>233</v>
      </c>
      <c r="B851" t="s">
        <v>629</v>
      </c>
      <c r="C851" t="s">
        <v>255</v>
      </c>
      <c r="D851" t="s">
        <v>234</v>
      </c>
      <c r="E851" t="s">
        <v>20</v>
      </c>
      <c r="F851" t="s">
        <v>279</v>
      </c>
      <c r="G851" t="s">
        <v>269</v>
      </c>
      <c r="H851" t="s">
        <v>254</v>
      </c>
      <c r="I851" t="s">
        <v>242</v>
      </c>
      <c r="J851" t="s">
        <v>235</v>
      </c>
      <c r="K851" s="380">
        <v>37135</v>
      </c>
      <c r="L851" s="235">
        <v>-141304.7360527617</v>
      </c>
      <c r="M851" s="380">
        <v>37133</v>
      </c>
      <c r="N851" t="s">
        <v>21</v>
      </c>
      <c r="O851">
        <v>1.5</v>
      </c>
      <c r="P851">
        <v>0</v>
      </c>
      <c r="Q851">
        <v>0</v>
      </c>
      <c r="R851">
        <v>0</v>
      </c>
      <c r="S851">
        <v>0</v>
      </c>
      <c r="T851" t="s">
        <v>253</v>
      </c>
      <c r="U851" t="s">
        <v>190</v>
      </c>
      <c r="V851" t="s">
        <v>253</v>
      </c>
      <c r="W851" t="s">
        <v>132</v>
      </c>
      <c r="X851" t="s">
        <v>253</v>
      </c>
      <c r="Y851" t="s">
        <v>235</v>
      </c>
      <c r="Z851" t="s">
        <v>236</v>
      </c>
      <c r="AA851" t="s">
        <v>253</v>
      </c>
      <c r="AB851" t="s">
        <v>1</v>
      </c>
      <c r="AC851" s="235">
        <v>-500000</v>
      </c>
      <c r="AD851" s="235">
        <v>-30313.214591835014</v>
      </c>
      <c r="AE851">
        <v>0</v>
      </c>
      <c r="AF851">
        <v>0</v>
      </c>
      <c r="AG851">
        <v>0</v>
      </c>
      <c r="AH851" s="235">
        <v>0</v>
      </c>
      <c r="AI851">
        <v>226</v>
      </c>
      <c r="AJ851" t="s">
        <v>256</v>
      </c>
      <c r="AK851">
        <v>0</v>
      </c>
      <c r="AL851">
        <v>0</v>
      </c>
      <c r="AM851">
        <v>0</v>
      </c>
    </row>
    <row r="852" spans="1:39" x14ac:dyDescent="0.25">
      <c r="A852" t="s">
        <v>233</v>
      </c>
      <c r="B852" t="s">
        <v>629</v>
      </c>
      <c r="C852" t="s">
        <v>255</v>
      </c>
      <c r="D852" t="s">
        <v>234</v>
      </c>
      <c r="E852" t="s">
        <v>20</v>
      </c>
      <c r="F852" t="s">
        <v>279</v>
      </c>
      <c r="G852" t="s">
        <v>269</v>
      </c>
      <c r="H852" t="s">
        <v>254</v>
      </c>
      <c r="I852" t="s">
        <v>242</v>
      </c>
      <c r="J852" t="s">
        <v>235</v>
      </c>
      <c r="K852" s="380">
        <v>37165</v>
      </c>
      <c r="L852" s="235">
        <v>-64273.509868813017</v>
      </c>
      <c r="M852" s="380">
        <v>37161</v>
      </c>
      <c r="N852" t="s">
        <v>21</v>
      </c>
      <c r="O852">
        <v>1.5</v>
      </c>
      <c r="P852">
        <v>0</v>
      </c>
      <c r="Q852">
        <v>0</v>
      </c>
      <c r="R852">
        <v>0</v>
      </c>
      <c r="S852">
        <v>0</v>
      </c>
      <c r="T852" t="s">
        <v>253</v>
      </c>
      <c r="U852" t="s">
        <v>190</v>
      </c>
      <c r="V852" t="s">
        <v>253</v>
      </c>
      <c r="W852" t="s">
        <v>132</v>
      </c>
      <c r="X852" t="s">
        <v>253</v>
      </c>
      <c r="Y852" t="s">
        <v>235</v>
      </c>
      <c r="Z852" t="s">
        <v>236</v>
      </c>
      <c r="AA852" t="s">
        <v>253</v>
      </c>
      <c r="AB852" t="s">
        <v>1</v>
      </c>
      <c r="AC852" s="235">
        <v>-500000</v>
      </c>
      <c r="AD852" s="235">
        <v>-25421.5336249432</v>
      </c>
      <c r="AE852">
        <v>0</v>
      </c>
      <c r="AF852">
        <v>0</v>
      </c>
      <c r="AG852">
        <v>0</v>
      </c>
      <c r="AH852" s="235">
        <v>0</v>
      </c>
      <c r="AI852">
        <v>226</v>
      </c>
      <c r="AJ852" t="s">
        <v>256</v>
      </c>
      <c r="AK852">
        <v>0</v>
      </c>
      <c r="AL852">
        <v>0</v>
      </c>
      <c r="AM852">
        <v>0</v>
      </c>
    </row>
    <row r="853" spans="1:39" x14ac:dyDescent="0.25">
      <c r="A853" t="s">
        <v>233</v>
      </c>
      <c r="B853" t="s">
        <v>630</v>
      </c>
      <c r="C853" t="s">
        <v>255</v>
      </c>
      <c r="D853" t="s">
        <v>234</v>
      </c>
      <c r="E853" t="s">
        <v>20</v>
      </c>
      <c r="F853" t="s">
        <v>279</v>
      </c>
      <c r="G853" t="s">
        <v>269</v>
      </c>
      <c r="H853" t="s">
        <v>254</v>
      </c>
      <c r="I853" t="s">
        <v>242</v>
      </c>
      <c r="J853" t="s">
        <v>235</v>
      </c>
      <c r="K853" s="380">
        <v>36982</v>
      </c>
      <c r="L853" s="235">
        <v>-28264.765885709181</v>
      </c>
      <c r="M853" s="380">
        <v>36979</v>
      </c>
      <c r="N853" t="s">
        <v>21</v>
      </c>
      <c r="O853">
        <v>1.5</v>
      </c>
      <c r="P853">
        <v>0</v>
      </c>
      <c r="Q853">
        <v>0</v>
      </c>
      <c r="R853">
        <v>0</v>
      </c>
      <c r="S853">
        <v>0</v>
      </c>
      <c r="T853" t="s">
        <v>253</v>
      </c>
      <c r="U853" t="s">
        <v>190</v>
      </c>
      <c r="V853" t="s">
        <v>253</v>
      </c>
      <c r="W853" t="s">
        <v>132</v>
      </c>
      <c r="X853" t="s">
        <v>253</v>
      </c>
      <c r="Y853" t="s">
        <v>235</v>
      </c>
      <c r="Z853" t="s">
        <v>236</v>
      </c>
      <c r="AA853" t="s">
        <v>253</v>
      </c>
      <c r="AB853" t="s">
        <v>1</v>
      </c>
      <c r="AC853" s="235">
        <v>-500000</v>
      </c>
      <c r="AD853" s="235">
        <v>-15567.399691061873</v>
      </c>
      <c r="AE853">
        <v>0</v>
      </c>
      <c r="AF853">
        <v>0</v>
      </c>
      <c r="AG853">
        <v>0</v>
      </c>
      <c r="AH853" s="235">
        <v>0</v>
      </c>
      <c r="AI853">
        <v>226</v>
      </c>
      <c r="AJ853" t="s">
        <v>256</v>
      </c>
      <c r="AK853">
        <v>0</v>
      </c>
      <c r="AL853">
        <v>0</v>
      </c>
      <c r="AM853">
        <v>0</v>
      </c>
    </row>
    <row r="854" spans="1:39" x14ac:dyDescent="0.25">
      <c r="A854" t="s">
        <v>233</v>
      </c>
      <c r="B854" t="s">
        <v>630</v>
      </c>
      <c r="C854" t="s">
        <v>255</v>
      </c>
      <c r="D854" t="s">
        <v>234</v>
      </c>
      <c r="E854" t="s">
        <v>20</v>
      </c>
      <c r="F854" t="s">
        <v>279</v>
      </c>
      <c r="G854" t="s">
        <v>269</v>
      </c>
      <c r="H854" t="s">
        <v>254</v>
      </c>
      <c r="I854" t="s">
        <v>242</v>
      </c>
      <c r="J854" t="s">
        <v>235</v>
      </c>
      <c r="K854" s="380">
        <v>37012</v>
      </c>
      <c r="L854" s="235">
        <v>-25116.854773561477</v>
      </c>
      <c r="M854" s="380">
        <v>37008</v>
      </c>
      <c r="N854" t="s">
        <v>21</v>
      </c>
      <c r="O854">
        <v>1.5</v>
      </c>
      <c r="P854">
        <v>0</v>
      </c>
      <c r="Q854">
        <v>0</v>
      </c>
      <c r="R854">
        <v>0</v>
      </c>
      <c r="S854">
        <v>0</v>
      </c>
      <c r="T854" t="s">
        <v>253</v>
      </c>
      <c r="U854" t="s">
        <v>190</v>
      </c>
      <c r="V854" t="s">
        <v>253</v>
      </c>
      <c r="W854" t="s">
        <v>132</v>
      </c>
      <c r="X854" t="s">
        <v>253</v>
      </c>
      <c r="Y854" t="s">
        <v>235</v>
      </c>
      <c r="Z854" t="s">
        <v>236</v>
      </c>
      <c r="AA854" t="s">
        <v>253</v>
      </c>
      <c r="AB854" t="s">
        <v>1</v>
      </c>
      <c r="AC854" s="235">
        <v>-500000</v>
      </c>
      <c r="AD854" s="235">
        <v>-14459.578876682535</v>
      </c>
      <c r="AE854">
        <v>0</v>
      </c>
      <c r="AF854">
        <v>0</v>
      </c>
      <c r="AG854">
        <v>0</v>
      </c>
      <c r="AH854" s="235">
        <v>0</v>
      </c>
      <c r="AI854">
        <v>226</v>
      </c>
      <c r="AJ854" t="s">
        <v>256</v>
      </c>
      <c r="AK854">
        <v>0</v>
      </c>
      <c r="AL854">
        <v>0</v>
      </c>
      <c r="AM854">
        <v>0</v>
      </c>
    </row>
    <row r="855" spans="1:39" x14ac:dyDescent="0.25">
      <c r="A855" t="s">
        <v>233</v>
      </c>
      <c r="B855" t="s">
        <v>630</v>
      </c>
      <c r="C855" t="s">
        <v>255</v>
      </c>
      <c r="D855" t="s">
        <v>234</v>
      </c>
      <c r="E855" t="s">
        <v>20</v>
      </c>
      <c r="F855" t="s">
        <v>279</v>
      </c>
      <c r="G855" t="s">
        <v>269</v>
      </c>
      <c r="H855" t="s">
        <v>254</v>
      </c>
      <c r="I855" t="s">
        <v>242</v>
      </c>
      <c r="J855" t="s">
        <v>235</v>
      </c>
      <c r="K855" s="380">
        <v>37043</v>
      </c>
      <c r="L855" s="235">
        <v>-30653.970320006418</v>
      </c>
      <c r="M855" s="380">
        <v>37041</v>
      </c>
      <c r="N855" t="s">
        <v>21</v>
      </c>
      <c r="O855">
        <v>1.5</v>
      </c>
      <c r="P855">
        <v>0</v>
      </c>
      <c r="Q855">
        <v>0</v>
      </c>
      <c r="R855">
        <v>0</v>
      </c>
      <c r="S855">
        <v>0</v>
      </c>
      <c r="T855" t="s">
        <v>253</v>
      </c>
      <c r="U855" t="s">
        <v>190</v>
      </c>
      <c r="V855" t="s">
        <v>253</v>
      </c>
      <c r="W855" t="s">
        <v>132</v>
      </c>
      <c r="X855" t="s">
        <v>253</v>
      </c>
      <c r="Y855" t="s">
        <v>235</v>
      </c>
      <c r="Z855" t="s">
        <v>236</v>
      </c>
      <c r="AA855" t="s">
        <v>253</v>
      </c>
      <c r="AB855" t="s">
        <v>1</v>
      </c>
      <c r="AC855" s="235">
        <v>-500000</v>
      </c>
      <c r="AD855" s="235">
        <v>-16456.6569630105</v>
      </c>
      <c r="AE855">
        <v>0</v>
      </c>
      <c r="AF855">
        <v>0</v>
      </c>
      <c r="AG855">
        <v>0</v>
      </c>
      <c r="AH855" s="235">
        <v>0</v>
      </c>
      <c r="AI855">
        <v>226</v>
      </c>
      <c r="AJ855" t="s">
        <v>256</v>
      </c>
      <c r="AK855">
        <v>0</v>
      </c>
      <c r="AL855">
        <v>0</v>
      </c>
      <c r="AM855">
        <v>0</v>
      </c>
    </row>
    <row r="856" spans="1:39" x14ac:dyDescent="0.25">
      <c r="A856" t="s">
        <v>233</v>
      </c>
      <c r="B856" t="s">
        <v>630</v>
      </c>
      <c r="C856" t="s">
        <v>255</v>
      </c>
      <c r="D856" t="s">
        <v>234</v>
      </c>
      <c r="E856" t="s">
        <v>20</v>
      </c>
      <c r="F856" t="s">
        <v>279</v>
      </c>
      <c r="G856" t="s">
        <v>269</v>
      </c>
      <c r="H856" t="s">
        <v>254</v>
      </c>
      <c r="I856" t="s">
        <v>242</v>
      </c>
      <c r="J856" t="s">
        <v>235</v>
      </c>
      <c r="K856" s="380">
        <v>37073</v>
      </c>
      <c r="L856" s="235">
        <v>-120718.47506972539</v>
      </c>
      <c r="M856" s="380">
        <v>37070</v>
      </c>
      <c r="N856" t="s">
        <v>21</v>
      </c>
      <c r="O856">
        <v>1.5</v>
      </c>
      <c r="P856">
        <v>0</v>
      </c>
      <c r="Q856">
        <v>0</v>
      </c>
      <c r="R856">
        <v>0</v>
      </c>
      <c r="S856">
        <v>0</v>
      </c>
      <c r="T856" t="s">
        <v>253</v>
      </c>
      <c r="U856" t="s">
        <v>190</v>
      </c>
      <c r="V856" t="s">
        <v>253</v>
      </c>
      <c r="W856" t="s">
        <v>132</v>
      </c>
      <c r="X856" t="s">
        <v>253</v>
      </c>
      <c r="Y856" t="s">
        <v>235</v>
      </c>
      <c r="Z856" t="s">
        <v>236</v>
      </c>
      <c r="AA856" t="s">
        <v>253</v>
      </c>
      <c r="AB856" t="s">
        <v>1</v>
      </c>
      <c r="AC856" s="235">
        <v>-500000</v>
      </c>
      <c r="AD856" s="235">
        <v>-27571.142715830822</v>
      </c>
      <c r="AE856">
        <v>0</v>
      </c>
      <c r="AF856">
        <v>0</v>
      </c>
      <c r="AG856">
        <v>0</v>
      </c>
      <c r="AH856" s="235">
        <v>0</v>
      </c>
      <c r="AI856">
        <v>226</v>
      </c>
      <c r="AJ856" t="s">
        <v>256</v>
      </c>
      <c r="AK856">
        <v>0</v>
      </c>
      <c r="AL856">
        <v>0</v>
      </c>
      <c r="AM856">
        <v>0</v>
      </c>
    </row>
    <row r="857" spans="1:39" x14ac:dyDescent="0.25">
      <c r="A857" t="s">
        <v>233</v>
      </c>
      <c r="B857" t="s">
        <v>630</v>
      </c>
      <c r="C857" t="s">
        <v>255</v>
      </c>
      <c r="D857" t="s">
        <v>234</v>
      </c>
      <c r="E857" t="s">
        <v>20</v>
      </c>
      <c r="F857" t="s">
        <v>279</v>
      </c>
      <c r="G857" t="s">
        <v>269</v>
      </c>
      <c r="H857" t="s">
        <v>254</v>
      </c>
      <c r="I857" t="s">
        <v>242</v>
      </c>
      <c r="J857" t="s">
        <v>235</v>
      </c>
      <c r="K857" s="380">
        <v>37104</v>
      </c>
      <c r="L857" s="235">
        <v>-139258.94050925114</v>
      </c>
      <c r="M857" s="380">
        <v>37102</v>
      </c>
      <c r="N857" t="s">
        <v>21</v>
      </c>
      <c r="O857">
        <v>1.5</v>
      </c>
      <c r="P857">
        <v>0</v>
      </c>
      <c r="Q857">
        <v>0</v>
      </c>
      <c r="R857">
        <v>0</v>
      </c>
      <c r="S857">
        <v>0</v>
      </c>
      <c r="T857" t="s">
        <v>253</v>
      </c>
      <c r="U857" t="s">
        <v>190</v>
      </c>
      <c r="V857" t="s">
        <v>253</v>
      </c>
      <c r="W857" t="s">
        <v>132</v>
      </c>
      <c r="X857" t="s">
        <v>253</v>
      </c>
      <c r="Y857" t="s">
        <v>235</v>
      </c>
      <c r="Z857" t="s">
        <v>236</v>
      </c>
      <c r="AA857" t="s">
        <v>253</v>
      </c>
      <c r="AB857" t="s">
        <v>1</v>
      </c>
      <c r="AC857" s="235">
        <v>-500000</v>
      </c>
      <c r="AD857" s="235">
        <v>-29248.82365927007</v>
      </c>
      <c r="AE857">
        <v>0</v>
      </c>
      <c r="AF857">
        <v>0</v>
      </c>
      <c r="AG857">
        <v>0</v>
      </c>
      <c r="AH857" s="235">
        <v>0</v>
      </c>
      <c r="AI857">
        <v>226</v>
      </c>
      <c r="AJ857" t="s">
        <v>256</v>
      </c>
      <c r="AK857">
        <v>0</v>
      </c>
      <c r="AL857">
        <v>0</v>
      </c>
      <c r="AM857">
        <v>0</v>
      </c>
    </row>
    <row r="858" spans="1:39" x14ac:dyDescent="0.25">
      <c r="A858" t="s">
        <v>233</v>
      </c>
      <c r="B858" t="s">
        <v>630</v>
      </c>
      <c r="C858" t="s">
        <v>255</v>
      </c>
      <c r="D858" t="s">
        <v>234</v>
      </c>
      <c r="E858" t="s">
        <v>20</v>
      </c>
      <c r="F858" t="s">
        <v>279</v>
      </c>
      <c r="G858" t="s">
        <v>269</v>
      </c>
      <c r="H858" t="s">
        <v>254</v>
      </c>
      <c r="I858" t="s">
        <v>242</v>
      </c>
      <c r="J858" t="s">
        <v>235</v>
      </c>
      <c r="K858" s="380">
        <v>37135</v>
      </c>
      <c r="L858" s="235">
        <v>-141304.7360527617</v>
      </c>
      <c r="M858" s="380">
        <v>37133</v>
      </c>
      <c r="N858" t="s">
        <v>21</v>
      </c>
      <c r="O858">
        <v>1.5</v>
      </c>
      <c r="P858">
        <v>0</v>
      </c>
      <c r="Q858">
        <v>0</v>
      </c>
      <c r="R858">
        <v>0</v>
      </c>
      <c r="S858">
        <v>0</v>
      </c>
      <c r="T858" t="s">
        <v>253</v>
      </c>
      <c r="U858" t="s">
        <v>190</v>
      </c>
      <c r="V858" t="s">
        <v>253</v>
      </c>
      <c r="W858" t="s">
        <v>132</v>
      </c>
      <c r="X858" t="s">
        <v>253</v>
      </c>
      <c r="Y858" t="s">
        <v>235</v>
      </c>
      <c r="Z858" t="s">
        <v>236</v>
      </c>
      <c r="AA858" t="s">
        <v>253</v>
      </c>
      <c r="AB858" t="s">
        <v>1</v>
      </c>
      <c r="AC858" s="235">
        <v>-500000</v>
      </c>
      <c r="AD858" s="235">
        <v>-30313.214591835014</v>
      </c>
      <c r="AE858">
        <v>0</v>
      </c>
      <c r="AF858">
        <v>0</v>
      </c>
      <c r="AG858">
        <v>0</v>
      </c>
      <c r="AH858" s="235">
        <v>0</v>
      </c>
      <c r="AI858">
        <v>226</v>
      </c>
      <c r="AJ858" t="s">
        <v>256</v>
      </c>
      <c r="AK858">
        <v>0</v>
      </c>
      <c r="AL858">
        <v>0</v>
      </c>
      <c r="AM858">
        <v>0</v>
      </c>
    </row>
    <row r="859" spans="1:39" x14ac:dyDescent="0.25">
      <c r="A859" t="s">
        <v>233</v>
      </c>
      <c r="B859" t="s">
        <v>630</v>
      </c>
      <c r="C859" t="s">
        <v>255</v>
      </c>
      <c r="D859" t="s">
        <v>234</v>
      </c>
      <c r="E859" t="s">
        <v>20</v>
      </c>
      <c r="F859" t="s">
        <v>279</v>
      </c>
      <c r="G859" t="s">
        <v>269</v>
      </c>
      <c r="H859" t="s">
        <v>254</v>
      </c>
      <c r="I859" t="s">
        <v>242</v>
      </c>
      <c r="J859" t="s">
        <v>235</v>
      </c>
      <c r="K859" s="380">
        <v>37165</v>
      </c>
      <c r="L859" s="235">
        <v>-64273.509868813017</v>
      </c>
      <c r="M859" s="380">
        <v>37161</v>
      </c>
      <c r="N859" t="s">
        <v>21</v>
      </c>
      <c r="O859">
        <v>1.5</v>
      </c>
      <c r="P859">
        <v>0</v>
      </c>
      <c r="Q859">
        <v>0</v>
      </c>
      <c r="R859">
        <v>0</v>
      </c>
      <c r="S859">
        <v>0</v>
      </c>
      <c r="T859" t="s">
        <v>253</v>
      </c>
      <c r="U859" t="s">
        <v>190</v>
      </c>
      <c r="V859" t="s">
        <v>253</v>
      </c>
      <c r="W859" t="s">
        <v>132</v>
      </c>
      <c r="X859" t="s">
        <v>253</v>
      </c>
      <c r="Y859" t="s">
        <v>235</v>
      </c>
      <c r="Z859" t="s">
        <v>236</v>
      </c>
      <c r="AA859" t="s">
        <v>253</v>
      </c>
      <c r="AB859" t="s">
        <v>1</v>
      </c>
      <c r="AC859" s="235">
        <v>-500000</v>
      </c>
      <c r="AD859" s="235">
        <v>-25421.5336249432</v>
      </c>
      <c r="AE859">
        <v>0</v>
      </c>
      <c r="AF859">
        <v>0</v>
      </c>
      <c r="AG859">
        <v>0</v>
      </c>
      <c r="AH859" s="235">
        <v>0</v>
      </c>
      <c r="AI859">
        <v>226</v>
      </c>
      <c r="AJ859" t="s">
        <v>256</v>
      </c>
      <c r="AK859">
        <v>0</v>
      </c>
      <c r="AL859">
        <v>0</v>
      </c>
      <c r="AM859">
        <v>0</v>
      </c>
    </row>
    <row r="860" spans="1:39" x14ac:dyDescent="0.25">
      <c r="A860" t="s">
        <v>233</v>
      </c>
      <c r="B860" t="s">
        <v>631</v>
      </c>
      <c r="C860" t="s">
        <v>255</v>
      </c>
      <c r="D860" t="s">
        <v>234</v>
      </c>
      <c r="E860" t="s">
        <v>20</v>
      </c>
      <c r="F860" t="s">
        <v>281</v>
      </c>
      <c r="G860" t="s">
        <v>269</v>
      </c>
      <c r="H860" t="s">
        <v>254</v>
      </c>
      <c r="I860" t="s">
        <v>242</v>
      </c>
      <c r="J860" t="s">
        <v>235</v>
      </c>
      <c r="K860" s="380">
        <v>36770</v>
      </c>
      <c r="L860" s="235">
        <v>-5354.9443754871691</v>
      </c>
      <c r="M860" s="380">
        <v>36768</v>
      </c>
      <c r="N860" t="s">
        <v>1</v>
      </c>
      <c r="O860">
        <v>0.3</v>
      </c>
      <c r="P860">
        <v>0</v>
      </c>
      <c r="Q860">
        <v>0</v>
      </c>
      <c r="R860">
        <v>0</v>
      </c>
      <c r="S860">
        <v>0</v>
      </c>
      <c r="T860" t="s">
        <v>253</v>
      </c>
      <c r="U860" t="s">
        <v>7</v>
      </c>
      <c r="V860" t="s">
        <v>253</v>
      </c>
      <c r="W860" t="s">
        <v>132</v>
      </c>
      <c r="X860" t="s">
        <v>253</v>
      </c>
      <c r="Y860" t="s">
        <v>235</v>
      </c>
      <c r="Z860" t="s">
        <v>236</v>
      </c>
      <c r="AA860" t="s">
        <v>253</v>
      </c>
      <c r="AB860" t="s">
        <v>1</v>
      </c>
      <c r="AC860" s="235">
        <v>-2500000</v>
      </c>
      <c r="AD860" s="235">
        <v>-2284.7025819525588</v>
      </c>
      <c r="AE860">
        <v>0</v>
      </c>
      <c r="AF860">
        <v>0</v>
      </c>
      <c r="AG860">
        <v>0</v>
      </c>
      <c r="AH860" s="235">
        <v>0</v>
      </c>
      <c r="AI860">
        <v>226</v>
      </c>
      <c r="AJ860" t="s">
        <v>256</v>
      </c>
      <c r="AK860">
        <v>0</v>
      </c>
      <c r="AL860">
        <v>0</v>
      </c>
      <c r="AM860">
        <v>0</v>
      </c>
    </row>
    <row r="861" spans="1:39" x14ac:dyDescent="0.25">
      <c r="A861" t="s">
        <v>233</v>
      </c>
      <c r="B861" t="s">
        <v>632</v>
      </c>
      <c r="C861" t="s">
        <v>255</v>
      </c>
      <c r="D861" t="s">
        <v>234</v>
      </c>
      <c r="E861" t="s">
        <v>20</v>
      </c>
      <c r="F861" t="s">
        <v>624</v>
      </c>
      <c r="G861" t="s">
        <v>269</v>
      </c>
      <c r="H861" t="s">
        <v>254</v>
      </c>
      <c r="I861" t="s">
        <v>242</v>
      </c>
      <c r="J861" t="s">
        <v>235</v>
      </c>
      <c r="K861" s="380">
        <v>36831</v>
      </c>
      <c r="L861" s="235">
        <v>189392.01874909329</v>
      </c>
      <c r="M861" s="380">
        <v>36829</v>
      </c>
      <c r="N861" t="s">
        <v>1</v>
      </c>
      <c r="O861">
        <v>0.15</v>
      </c>
      <c r="P861">
        <v>0</v>
      </c>
      <c r="Q861">
        <v>0</v>
      </c>
      <c r="R861">
        <v>0</v>
      </c>
      <c r="S861">
        <v>0</v>
      </c>
      <c r="T861" t="s">
        <v>253</v>
      </c>
      <c r="U861" t="s">
        <v>617</v>
      </c>
      <c r="V861" t="s">
        <v>253</v>
      </c>
      <c r="W861" t="s">
        <v>132</v>
      </c>
      <c r="X861" t="s">
        <v>253</v>
      </c>
      <c r="Y861" t="s">
        <v>235</v>
      </c>
      <c r="Z861" t="s">
        <v>236</v>
      </c>
      <c r="AA861" t="s">
        <v>253</v>
      </c>
      <c r="AB861" t="s">
        <v>1</v>
      </c>
      <c r="AC861" s="235">
        <v>500000</v>
      </c>
      <c r="AD861" s="235">
        <v>13951.294191869383</v>
      </c>
      <c r="AE861">
        <v>0</v>
      </c>
      <c r="AF861">
        <v>0</v>
      </c>
      <c r="AG861">
        <v>0</v>
      </c>
      <c r="AH861" s="235">
        <v>0</v>
      </c>
      <c r="AI861">
        <v>226</v>
      </c>
      <c r="AJ861" t="s">
        <v>256</v>
      </c>
      <c r="AK861">
        <v>0</v>
      </c>
      <c r="AL861">
        <v>0</v>
      </c>
      <c r="AM861">
        <v>0</v>
      </c>
    </row>
    <row r="862" spans="1:39" x14ac:dyDescent="0.25">
      <c r="A862" t="s">
        <v>233</v>
      </c>
      <c r="B862" t="s">
        <v>632</v>
      </c>
      <c r="C862" t="s">
        <v>255</v>
      </c>
      <c r="D862" t="s">
        <v>234</v>
      </c>
      <c r="E862" t="s">
        <v>20</v>
      </c>
      <c r="F862" t="s">
        <v>624</v>
      </c>
      <c r="G862" t="s">
        <v>269</v>
      </c>
      <c r="H862" t="s">
        <v>254</v>
      </c>
      <c r="I862" t="s">
        <v>242</v>
      </c>
      <c r="J862" t="s">
        <v>235</v>
      </c>
      <c r="K862" s="380">
        <v>36861</v>
      </c>
      <c r="L862" s="235">
        <v>44514.919857673529</v>
      </c>
      <c r="M862" s="380">
        <v>36859</v>
      </c>
      <c r="N862" t="s">
        <v>1</v>
      </c>
      <c r="O862">
        <v>0.15</v>
      </c>
      <c r="P862">
        <v>0</v>
      </c>
      <c r="Q862">
        <v>0</v>
      </c>
      <c r="R862">
        <v>0</v>
      </c>
      <c r="S862">
        <v>0</v>
      </c>
      <c r="T862" t="s">
        <v>253</v>
      </c>
      <c r="U862" t="s">
        <v>617</v>
      </c>
      <c r="V862" t="s">
        <v>253</v>
      </c>
      <c r="W862" t="s">
        <v>132</v>
      </c>
      <c r="X862" t="s">
        <v>253</v>
      </c>
      <c r="Y862" t="s">
        <v>235</v>
      </c>
      <c r="Z862" t="s">
        <v>236</v>
      </c>
      <c r="AA862" t="s">
        <v>253</v>
      </c>
      <c r="AB862" t="s">
        <v>1</v>
      </c>
      <c r="AC862" s="235">
        <v>500000</v>
      </c>
      <c r="AD862" s="235">
        <v>18113.910440164967</v>
      </c>
      <c r="AE862">
        <v>0</v>
      </c>
      <c r="AF862">
        <v>0</v>
      </c>
      <c r="AG862">
        <v>0</v>
      </c>
      <c r="AH862" s="235">
        <v>0</v>
      </c>
      <c r="AI862">
        <v>226</v>
      </c>
      <c r="AJ862" t="s">
        <v>256</v>
      </c>
      <c r="AK862">
        <v>0</v>
      </c>
      <c r="AL862">
        <v>0</v>
      </c>
      <c r="AM862">
        <v>0</v>
      </c>
    </row>
    <row r="863" spans="1:39" x14ac:dyDescent="0.25">
      <c r="A863" t="s">
        <v>233</v>
      </c>
      <c r="B863" t="s">
        <v>632</v>
      </c>
      <c r="C863" t="s">
        <v>255</v>
      </c>
      <c r="D863" t="s">
        <v>234</v>
      </c>
      <c r="E863" t="s">
        <v>20</v>
      </c>
      <c r="F863" t="s">
        <v>624</v>
      </c>
      <c r="G863" t="s">
        <v>269</v>
      </c>
      <c r="H863" t="s">
        <v>254</v>
      </c>
      <c r="I863" t="s">
        <v>242</v>
      </c>
      <c r="J863" t="s">
        <v>235</v>
      </c>
      <c r="K863" s="380">
        <v>36892</v>
      </c>
      <c r="L863" s="235">
        <v>57697.098198721222</v>
      </c>
      <c r="M863" s="380">
        <v>36888</v>
      </c>
      <c r="N863" t="s">
        <v>1</v>
      </c>
      <c r="O863">
        <v>0.15</v>
      </c>
      <c r="P863">
        <v>0</v>
      </c>
      <c r="Q863">
        <v>0</v>
      </c>
      <c r="R863">
        <v>0</v>
      </c>
      <c r="S863">
        <v>0</v>
      </c>
      <c r="T863" t="s">
        <v>253</v>
      </c>
      <c r="U863" t="s">
        <v>617</v>
      </c>
      <c r="V863" t="s">
        <v>253</v>
      </c>
      <c r="W863" t="s">
        <v>132</v>
      </c>
      <c r="X863" t="s">
        <v>253</v>
      </c>
      <c r="Y863" t="s">
        <v>235</v>
      </c>
      <c r="Z863" t="s">
        <v>236</v>
      </c>
      <c r="AA863" t="s">
        <v>253</v>
      </c>
      <c r="AB863" t="s">
        <v>1</v>
      </c>
      <c r="AC863" s="235">
        <v>500000</v>
      </c>
      <c r="AD863" s="235">
        <v>21850.403579923353</v>
      </c>
      <c r="AE863">
        <v>0</v>
      </c>
      <c r="AF863">
        <v>0</v>
      </c>
      <c r="AG863">
        <v>0</v>
      </c>
      <c r="AH863" s="235">
        <v>0</v>
      </c>
      <c r="AI863">
        <v>226</v>
      </c>
      <c r="AJ863" t="s">
        <v>256</v>
      </c>
      <c r="AK863">
        <v>0</v>
      </c>
      <c r="AL863">
        <v>0</v>
      </c>
      <c r="AM863">
        <v>0</v>
      </c>
    </row>
    <row r="864" spans="1:39" x14ac:dyDescent="0.25">
      <c r="A864" t="s">
        <v>233</v>
      </c>
      <c r="B864" t="s">
        <v>632</v>
      </c>
      <c r="C864" t="s">
        <v>255</v>
      </c>
      <c r="D864" t="s">
        <v>234</v>
      </c>
      <c r="E864" t="s">
        <v>20</v>
      </c>
      <c r="F864" t="s">
        <v>624</v>
      </c>
      <c r="G864" t="s">
        <v>269</v>
      </c>
      <c r="H864" t="s">
        <v>254</v>
      </c>
      <c r="I864" t="s">
        <v>242</v>
      </c>
      <c r="J864" t="s">
        <v>235</v>
      </c>
      <c r="K864" s="380">
        <v>36923</v>
      </c>
      <c r="L864" s="235">
        <v>90543.714477322588</v>
      </c>
      <c r="M864" s="380">
        <v>36921</v>
      </c>
      <c r="N864" t="s">
        <v>1</v>
      </c>
      <c r="O864">
        <v>0.15</v>
      </c>
      <c r="P864">
        <v>0</v>
      </c>
      <c r="Q864">
        <v>0</v>
      </c>
      <c r="R864">
        <v>0</v>
      </c>
      <c r="S864">
        <v>0</v>
      </c>
      <c r="T864" t="s">
        <v>253</v>
      </c>
      <c r="U864" t="s">
        <v>617</v>
      </c>
      <c r="V864" t="s">
        <v>253</v>
      </c>
      <c r="W864" t="s">
        <v>132</v>
      </c>
      <c r="X864" t="s">
        <v>253</v>
      </c>
      <c r="Y864" t="s">
        <v>235</v>
      </c>
      <c r="Z864" t="s">
        <v>236</v>
      </c>
      <c r="AA864" t="s">
        <v>253</v>
      </c>
      <c r="AB864" t="s">
        <v>1</v>
      </c>
      <c r="AC864" s="235">
        <v>500000</v>
      </c>
      <c r="AD864" s="235">
        <v>27037.971055302944</v>
      </c>
      <c r="AE864">
        <v>0</v>
      </c>
      <c r="AF864">
        <v>0</v>
      </c>
      <c r="AG864">
        <v>0</v>
      </c>
      <c r="AH864" s="235">
        <v>0</v>
      </c>
      <c r="AI864">
        <v>226</v>
      </c>
      <c r="AJ864" t="s">
        <v>256</v>
      </c>
      <c r="AK864">
        <v>0</v>
      </c>
      <c r="AL864">
        <v>0</v>
      </c>
      <c r="AM864">
        <v>0</v>
      </c>
    </row>
    <row r="865" spans="1:39" x14ac:dyDescent="0.25">
      <c r="A865" t="s">
        <v>233</v>
      </c>
      <c r="B865" t="s">
        <v>632</v>
      </c>
      <c r="C865" t="s">
        <v>255</v>
      </c>
      <c r="D865" t="s">
        <v>234</v>
      </c>
      <c r="E865" t="s">
        <v>20</v>
      </c>
      <c r="F865" t="s">
        <v>624</v>
      </c>
      <c r="G865" t="s">
        <v>269</v>
      </c>
      <c r="H865" t="s">
        <v>254</v>
      </c>
      <c r="I865" t="s">
        <v>242</v>
      </c>
      <c r="J865" t="s">
        <v>235</v>
      </c>
      <c r="K865" s="380">
        <v>36951</v>
      </c>
      <c r="L865" s="235">
        <v>164974.30759967057</v>
      </c>
      <c r="M865" s="380">
        <v>36949</v>
      </c>
      <c r="N865" t="s">
        <v>1</v>
      </c>
      <c r="O865">
        <v>0.15</v>
      </c>
      <c r="P865">
        <v>0</v>
      </c>
      <c r="Q865">
        <v>0</v>
      </c>
      <c r="R865">
        <v>0</v>
      </c>
      <c r="S865">
        <v>0</v>
      </c>
      <c r="T865" t="s">
        <v>253</v>
      </c>
      <c r="U865" t="s">
        <v>617</v>
      </c>
      <c r="V865" t="s">
        <v>253</v>
      </c>
      <c r="W865" t="s">
        <v>132</v>
      </c>
      <c r="X865" t="s">
        <v>253</v>
      </c>
      <c r="Y865" t="s">
        <v>235</v>
      </c>
      <c r="Z865" t="s">
        <v>236</v>
      </c>
      <c r="AA865" t="s">
        <v>253</v>
      </c>
      <c r="AB865" t="s">
        <v>1</v>
      </c>
      <c r="AC865" s="235">
        <v>500000</v>
      </c>
      <c r="AD865" s="235">
        <v>26150.756317918655</v>
      </c>
      <c r="AE865">
        <v>0</v>
      </c>
      <c r="AF865">
        <v>0</v>
      </c>
      <c r="AG865">
        <v>0</v>
      </c>
      <c r="AH865" s="235">
        <v>0</v>
      </c>
      <c r="AI865">
        <v>226</v>
      </c>
      <c r="AJ865" t="s">
        <v>256</v>
      </c>
      <c r="AK865">
        <v>0</v>
      </c>
      <c r="AL865">
        <v>0</v>
      </c>
      <c r="AM865">
        <v>0</v>
      </c>
    </row>
    <row r="866" spans="1:39" x14ac:dyDescent="0.25">
      <c r="A866" t="s">
        <v>233</v>
      </c>
      <c r="B866" t="s">
        <v>545</v>
      </c>
      <c r="C866" t="s">
        <v>255</v>
      </c>
      <c r="D866" t="s">
        <v>234</v>
      </c>
      <c r="E866" t="s">
        <v>20</v>
      </c>
      <c r="F866" t="s">
        <v>281</v>
      </c>
      <c r="G866" t="s">
        <v>269</v>
      </c>
      <c r="H866" t="s">
        <v>254</v>
      </c>
      <c r="I866" t="s">
        <v>242</v>
      </c>
      <c r="J866" t="s">
        <v>235</v>
      </c>
      <c r="K866" s="380">
        <v>36831</v>
      </c>
      <c r="L866" s="235">
        <v>55000</v>
      </c>
      <c r="M866" s="380">
        <v>36860</v>
      </c>
      <c r="N866" t="s">
        <v>1</v>
      </c>
      <c r="O866">
        <v>0.5</v>
      </c>
      <c r="P866">
        <v>0</v>
      </c>
      <c r="Q866">
        <v>0</v>
      </c>
      <c r="R866">
        <v>0</v>
      </c>
      <c r="S866">
        <v>0</v>
      </c>
      <c r="T866" t="s">
        <v>253</v>
      </c>
      <c r="U866" t="s">
        <v>544</v>
      </c>
      <c r="V866" t="s">
        <v>543</v>
      </c>
      <c r="W866" t="s">
        <v>132</v>
      </c>
      <c r="X866" t="s">
        <v>132</v>
      </c>
      <c r="Y866" t="s">
        <v>235</v>
      </c>
      <c r="Z866" t="s">
        <v>236</v>
      </c>
      <c r="AA866" t="s">
        <v>236</v>
      </c>
      <c r="AB866" t="s">
        <v>1</v>
      </c>
      <c r="AC866" s="235">
        <v>500000</v>
      </c>
      <c r="AD866" s="235">
        <v>1.2561223285320826</v>
      </c>
      <c r="AE866">
        <v>0</v>
      </c>
      <c r="AF866">
        <v>0</v>
      </c>
      <c r="AG866">
        <v>0</v>
      </c>
      <c r="AH866" s="235">
        <v>0</v>
      </c>
      <c r="AI866">
        <v>0</v>
      </c>
      <c r="AJ866" t="s">
        <v>256</v>
      </c>
      <c r="AK866">
        <v>0</v>
      </c>
      <c r="AL866">
        <v>0</v>
      </c>
      <c r="AM866">
        <v>0</v>
      </c>
    </row>
    <row r="867" spans="1:39" x14ac:dyDescent="0.25">
      <c r="A867" t="s">
        <v>233</v>
      </c>
      <c r="B867" t="s">
        <v>545</v>
      </c>
      <c r="C867" t="s">
        <v>255</v>
      </c>
      <c r="D867" t="s">
        <v>234</v>
      </c>
      <c r="E867" t="s">
        <v>20</v>
      </c>
      <c r="F867" t="s">
        <v>281</v>
      </c>
      <c r="G867" t="s">
        <v>269</v>
      </c>
      <c r="H867" t="s">
        <v>254</v>
      </c>
      <c r="I867" t="s">
        <v>242</v>
      </c>
      <c r="J867" t="s">
        <v>235</v>
      </c>
      <c r="K867" s="380">
        <v>36861</v>
      </c>
      <c r="L867" s="235">
        <v>55000</v>
      </c>
      <c r="M867" s="380">
        <v>36891</v>
      </c>
      <c r="N867" t="s">
        <v>1</v>
      </c>
      <c r="O867">
        <v>0.5</v>
      </c>
      <c r="P867">
        <v>0</v>
      </c>
      <c r="Q867">
        <v>0</v>
      </c>
      <c r="R867">
        <v>0</v>
      </c>
      <c r="S867">
        <v>0</v>
      </c>
      <c r="T867" t="s">
        <v>253</v>
      </c>
      <c r="U867" t="s">
        <v>544</v>
      </c>
      <c r="V867" t="s">
        <v>543</v>
      </c>
      <c r="W867" t="s">
        <v>132</v>
      </c>
      <c r="X867" t="s">
        <v>132</v>
      </c>
      <c r="Y867" t="s">
        <v>235</v>
      </c>
      <c r="Z867" t="s">
        <v>236</v>
      </c>
      <c r="AA867" t="s">
        <v>236</v>
      </c>
      <c r="AB867" t="s">
        <v>1</v>
      </c>
      <c r="AC867" s="235">
        <v>500000</v>
      </c>
      <c r="AD867" s="235">
        <v>0.24354734668499131</v>
      </c>
      <c r="AE867">
        <v>0</v>
      </c>
      <c r="AF867">
        <v>0</v>
      </c>
      <c r="AG867">
        <v>0</v>
      </c>
      <c r="AH867" s="235">
        <v>0</v>
      </c>
      <c r="AI867">
        <v>0</v>
      </c>
      <c r="AJ867" t="s">
        <v>256</v>
      </c>
      <c r="AK867">
        <v>0</v>
      </c>
      <c r="AL867">
        <v>0</v>
      </c>
      <c r="AM867">
        <v>0</v>
      </c>
    </row>
    <row r="868" spans="1:39" x14ac:dyDescent="0.25">
      <c r="A868" t="s">
        <v>233</v>
      </c>
      <c r="B868" t="s">
        <v>545</v>
      </c>
      <c r="C868" t="s">
        <v>255</v>
      </c>
      <c r="D868" t="s">
        <v>234</v>
      </c>
      <c r="E868" t="s">
        <v>20</v>
      </c>
      <c r="F868" t="s">
        <v>281</v>
      </c>
      <c r="G868" t="s">
        <v>269</v>
      </c>
      <c r="H868" t="s">
        <v>254</v>
      </c>
      <c r="I868" t="s">
        <v>242</v>
      </c>
      <c r="J868" t="s">
        <v>235</v>
      </c>
      <c r="K868" s="380">
        <v>36892</v>
      </c>
      <c r="L868" s="235">
        <v>55000</v>
      </c>
      <c r="M868" s="380">
        <v>36922</v>
      </c>
      <c r="N868" t="s">
        <v>1</v>
      </c>
      <c r="O868">
        <v>0.5</v>
      </c>
      <c r="P868">
        <v>0</v>
      </c>
      <c r="Q868">
        <v>0</v>
      </c>
      <c r="R868">
        <v>0</v>
      </c>
      <c r="S868">
        <v>0</v>
      </c>
      <c r="T868" t="s">
        <v>253</v>
      </c>
      <c r="U868" t="s">
        <v>544</v>
      </c>
      <c r="V868" t="s">
        <v>543</v>
      </c>
      <c r="W868" t="s">
        <v>132</v>
      </c>
      <c r="X868" t="s">
        <v>132</v>
      </c>
      <c r="Y868" t="s">
        <v>235</v>
      </c>
      <c r="Z868" t="s">
        <v>236</v>
      </c>
      <c r="AA868" t="s">
        <v>236</v>
      </c>
      <c r="AB868" t="s">
        <v>1</v>
      </c>
      <c r="AC868" s="235">
        <v>500000</v>
      </c>
      <c r="AD868" s="235">
        <v>0.14148846438002957</v>
      </c>
      <c r="AE868">
        <v>0</v>
      </c>
      <c r="AF868">
        <v>0</v>
      </c>
      <c r="AG868">
        <v>0</v>
      </c>
      <c r="AH868" s="235">
        <v>0</v>
      </c>
      <c r="AI868">
        <v>0</v>
      </c>
      <c r="AJ868" t="s">
        <v>256</v>
      </c>
      <c r="AK868">
        <v>0</v>
      </c>
      <c r="AL868">
        <v>0</v>
      </c>
      <c r="AM868">
        <v>0</v>
      </c>
    </row>
    <row r="869" spans="1:39" x14ac:dyDescent="0.25">
      <c r="A869" t="s">
        <v>233</v>
      </c>
      <c r="B869" t="s">
        <v>545</v>
      </c>
      <c r="C869" t="s">
        <v>255</v>
      </c>
      <c r="D869" t="s">
        <v>234</v>
      </c>
      <c r="E869" t="s">
        <v>20</v>
      </c>
      <c r="F869" t="s">
        <v>281</v>
      </c>
      <c r="G869" t="s">
        <v>269</v>
      </c>
      <c r="H869" t="s">
        <v>254</v>
      </c>
      <c r="I869" t="s">
        <v>242</v>
      </c>
      <c r="J869" t="s">
        <v>235</v>
      </c>
      <c r="K869" s="380">
        <v>36923</v>
      </c>
      <c r="L869" s="235">
        <v>55000</v>
      </c>
      <c r="M869" s="380">
        <v>36950</v>
      </c>
      <c r="N869" t="s">
        <v>1</v>
      </c>
      <c r="O869">
        <v>0.5</v>
      </c>
      <c r="P869">
        <v>0</v>
      </c>
      <c r="Q869">
        <v>0</v>
      </c>
      <c r="R869">
        <v>0</v>
      </c>
      <c r="S869">
        <v>0</v>
      </c>
      <c r="T869" t="s">
        <v>253</v>
      </c>
      <c r="U869" t="s">
        <v>544</v>
      </c>
      <c r="V869" t="s">
        <v>543</v>
      </c>
      <c r="W869" t="s">
        <v>132</v>
      </c>
      <c r="X869" t="s">
        <v>132</v>
      </c>
      <c r="Y869" t="s">
        <v>235</v>
      </c>
      <c r="Z869" t="s">
        <v>236</v>
      </c>
      <c r="AA869" t="s">
        <v>236</v>
      </c>
      <c r="AB869" t="s">
        <v>1</v>
      </c>
      <c r="AC869" s="235">
        <v>500000</v>
      </c>
      <c r="AD869" s="235">
        <v>0.39222289535308918</v>
      </c>
      <c r="AE869">
        <v>0</v>
      </c>
      <c r="AF869">
        <v>0</v>
      </c>
      <c r="AG869">
        <v>0</v>
      </c>
      <c r="AH869" s="235">
        <v>0</v>
      </c>
      <c r="AI869">
        <v>0</v>
      </c>
      <c r="AJ869" t="s">
        <v>256</v>
      </c>
      <c r="AK869">
        <v>0</v>
      </c>
      <c r="AL869">
        <v>0</v>
      </c>
      <c r="AM869">
        <v>0</v>
      </c>
    </row>
    <row r="870" spans="1:39" x14ac:dyDescent="0.25">
      <c r="A870" t="s">
        <v>233</v>
      </c>
      <c r="B870" t="s">
        <v>545</v>
      </c>
      <c r="C870" t="s">
        <v>255</v>
      </c>
      <c r="D870" t="s">
        <v>234</v>
      </c>
      <c r="E870" t="s">
        <v>20</v>
      </c>
      <c r="F870" t="s">
        <v>281</v>
      </c>
      <c r="G870" t="s">
        <v>269</v>
      </c>
      <c r="H870" t="s">
        <v>254</v>
      </c>
      <c r="I870" t="s">
        <v>242</v>
      </c>
      <c r="J870" t="s">
        <v>235</v>
      </c>
      <c r="K870" s="380">
        <v>36951</v>
      </c>
      <c r="L870" s="235">
        <v>55000</v>
      </c>
      <c r="M870" s="380">
        <v>36981</v>
      </c>
      <c r="N870" t="s">
        <v>1</v>
      </c>
      <c r="O870">
        <v>0.5</v>
      </c>
      <c r="P870">
        <v>0</v>
      </c>
      <c r="Q870">
        <v>0</v>
      </c>
      <c r="R870">
        <v>0</v>
      </c>
      <c r="S870">
        <v>0</v>
      </c>
      <c r="T870" t="s">
        <v>253</v>
      </c>
      <c r="U870" t="s">
        <v>544</v>
      </c>
      <c r="V870" t="s">
        <v>543</v>
      </c>
      <c r="W870" t="s">
        <v>132</v>
      </c>
      <c r="X870" t="s">
        <v>132</v>
      </c>
      <c r="Y870" t="s">
        <v>235</v>
      </c>
      <c r="Z870" t="s">
        <v>236</v>
      </c>
      <c r="AA870" t="s">
        <v>236</v>
      </c>
      <c r="AB870" t="s">
        <v>1</v>
      </c>
      <c r="AC870" s="235">
        <v>500000</v>
      </c>
      <c r="AD870" s="235">
        <v>1.6989118988705421</v>
      </c>
      <c r="AE870">
        <v>0</v>
      </c>
      <c r="AF870">
        <v>0</v>
      </c>
      <c r="AG870">
        <v>0</v>
      </c>
      <c r="AH870" s="235">
        <v>0</v>
      </c>
      <c r="AI870">
        <v>0</v>
      </c>
      <c r="AJ870" t="s">
        <v>256</v>
      </c>
      <c r="AK870">
        <v>0</v>
      </c>
      <c r="AL870">
        <v>0</v>
      </c>
      <c r="AM870">
        <v>0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4" name="Button 1">
              <controlPr defaultSize="0" print="0" autoFill="0" autoPict="0" macro="[0]!pipeoptdoall">
                <anchor moveWithCells="1" sizeWithCells="1">
                  <from>
                    <xdr:col>0</xdr:col>
                    <xdr:colOff>251460</xdr:colOff>
                    <xdr:row>2</xdr:row>
                    <xdr:rowOff>38100</xdr:rowOff>
                  </from>
                  <to>
                    <xdr:col>3</xdr:col>
                    <xdr:colOff>160020</xdr:colOff>
                    <xdr:row>8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84</vt:i4>
      </vt:variant>
    </vt:vector>
  </HeadingPairs>
  <TitlesOfParts>
    <vt:vector size="106" baseType="lpstr">
      <vt:lpstr>Summary</vt:lpstr>
      <vt:lpstr>Extendible Collars</vt:lpstr>
      <vt:lpstr>Basket Options</vt:lpstr>
      <vt:lpstr>Pivot</vt:lpstr>
      <vt:lpstr>BASIS GREEKS</vt:lpstr>
      <vt:lpstr>Option Gamma</vt:lpstr>
      <vt:lpstr>CrvSh Location</vt:lpstr>
      <vt:lpstr>Basis Options</vt:lpstr>
      <vt:lpstr>CHANGE</vt:lpstr>
      <vt:lpstr>GD Spread Options</vt:lpstr>
      <vt:lpstr>Digital</vt:lpstr>
      <vt:lpstr>CashFlows</vt:lpstr>
      <vt:lpstr>Correllations</vt:lpstr>
      <vt:lpstr>POSITION</vt:lpstr>
      <vt:lpstr>Curves</vt:lpstr>
      <vt:lpstr>GD Curves</vt:lpstr>
      <vt:lpstr>PREVCURVES</vt:lpstr>
      <vt:lpstr>pipe_opt</vt:lpstr>
      <vt:lpstr>DATA3</vt:lpstr>
      <vt:lpstr>DATA2</vt:lpstr>
      <vt:lpstr>TXT File-D</vt:lpstr>
      <vt:lpstr>TXT File-P</vt:lpstr>
      <vt:lpstr>basisoptcount</vt:lpstr>
      <vt:lpstr>basisoptmonths</vt:lpstr>
      <vt:lpstr>basisoptpos</vt:lpstr>
      <vt:lpstr>'GD Spread Options'!BASISPRINT</vt:lpstr>
      <vt:lpstr>BASISPRINT</vt:lpstr>
      <vt:lpstr>BASISPRINT2</vt:lpstr>
      <vt:lpstr>basketoptcount</vt:lpstr>
      <vt:lpstr>basketoptmonths</vt:lpstr>
      <vt:lpstr>basketoptpos</vt:lpstr>
      <vt:lpstr>BasOptPos</vt:lpstr>
      <vt:lpstr>BENCH</vt:lpstr>
      <vt:lpstr>BLAHBLAH</vt:lpstr>
      <vt:lpstr>BsktOptPos</vt:lpstr>
      <vt:lpstr>CHANGE</vt:lpstr>
      <vt:lpstr>COLLARPRINT</vt:lpstr>
      <vt:lpstr>CorMove</vt:lpstr>
      <vt:lpstr>Correllate</vt:lpstr>
      <vt:lpstr>'GD Curves'!CurveRange</vt:lpstr>
      <vt:lpstr>CurveRange</vt:lpstr>
      <vt:lpstr>Curves!Curves</vt:lpstr>
      <vt:lpstr>'GD Curves'!Curves</vt:lpstr>
      <vt:lpstr>CurvesMonth</vt:lpstr>
      <vt:lpstr>Date1</vt:lpstr>
      <vt:lpstr>'GD Curves'!Dates</vt:lpstr>
      <vt:lpstr>Dates</vt:lpstr>
      <vt:lpstr>'GD Curves'!DBase</vt:lpstr>
      <vt:lpstr>DBase</vt:lpstr>
      <vt:lpstr>digitaloptcount</vt:lpstr>
      <vt:lpstr>digitaloptmonths</vt:lpstr>
      <vt:lpstr>digitaloptpos</vt:lpstr>
      <vt:lpstr>'GD Curves'!discount</vt:lpstr>
      <vt:lpstr>discount</vt:lpstr>
      <vt:lpstr>'GD Curves'!discountmonths</vt:lpstr>
      <vt:lpstr>discountmonths</vt:lpstr>
      <vt:lpstr>EffDt</vt:lpstr>
      <vt:lpstr>EffDt1</vt:lpstr>
      <vt:lpstr>ExoticBenchPosition</vt:lpstr>
      <vt:lpstr>ExoticBenchPositionMonth</vt:lpstr>
      <vt:lpstr>ExtColPos</vt:lpstr>
      <vt:lpstr>extdcollarcount</vt:lpstr>
      <vt:lpstr>extendiblecollarmonths</vt:lpstr>
      <vt:lpstr>extendiblecollarpos</vt:lpstr>
      <vt:lpstr>GDCorMove</vt:lpstr>
      <vt:lpstr>GDcorr</vt:lpstr>
      <vt:lpstr>GDmove_down</vt:lpstr>
      <vt:lpstr>GDmove_down2</vt:lpstr>
      <vt:lpstr>GDPrev</vt:lpstr>
      <vt:lpstr>GDPrevVols</vt:lpstr>
      <vt:lpstr>GDPRICES</vt:lpstr>
      <vt:lpstr>gdspreadoptcount</vt:lpstr>
      <vt:lpstr>gdspreadoptmonths</vt:lpstr>
      <vt:lpstr>gdspreadoptpos</vt:lpstr>
      <vt:lpstr>GDVol</vt:lpstr>
      <vt:lpstr>'GD Curves'!INDEXPR</vt:lpstr>
      <vt:lpstr>INDEXPR</vt:lpstr>
      <vt:lpstr>'GD Curves'!move_down</vt:lpstr>
      <vt:lpstr>move_down</vt:lpstr>
      <vt:lpstr>MOVE_DOWN2</vt:lpstr>
      <vt:lpstr>Multiplier</vt:lpstr>
      <vt:lpstr>NetPositions</vt:lpstr>
      <vt:lpstr>NGPREVPRICES</vt:lpstr>
      <vt:lpstr>'GD Curves'!NGPrices</vt:lpstr>
      <vt:lpstr>NGPrices</vt:lpstr>
      <vt:lpstr>NymEq</vt:lpstr>
      <vt:lpstr>'GD Curves'!NYMEXPrices</vt:lpstr>
      <vt:lpstr>NYMEXPrices</vt:lpstr>
      <vt:lpstr>'GD Curves'!Password</vt:lpstr>
      <vt:lpstr>Password</vt:lpstr>
      <vt:lpstr>PREVCURVES</vt:lpstr>
      <vt:lpstr>PREVVOLS</vt:lpstr>
      <vt:lpstr>'GD Curves'!Prices</vt:lpstr>
      <vt:lpstr>Prices</vt:lpstr>
      <vt:lpstr>PRINT_AREA1</vt:lpstr>
      <vt:lpstr>PRINT_AREA2</vt:lpstr>
      <vt:lpstr>'Extendible Collars'!Print_Titles</vt:lpstr>
      <vt:lpstr>TotalPos</vt:lpstr>
      <vt:lpstr>TrueCor</vt:lpstr>
      <vt:lpstr>'GD Curves'!UpperLeftOfCurveTable</vt:lpstr>
      <vt:lpstr>UpperLeftOfCurveTable</vt:lpstr>
      <vt:lpstr>'GD Curves'!UserName</vt:lpstr>
      <vt:lpstr>UserName</vt:lpstr>
      <vt:lpstr>'GD Curves'!VOLS</vt:lpstr>
      <vt:lpstr>VOLS</vt:lpstr>
      <vt:lpstr>volsim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Umbower, Denae</dc:creator>
  <cp:keywords/>
  <dc:description/>
  <cp:lastModifiedBy>Havlíček Jan</cp:lastModifiedBy>
  <cp:lastPrinted>2000-08-29T17:47:21Z</cp:lastPrinted>
  <dcterms:created xsi:type="dcterms:W3CDTF">1998-06-22T20:25:36Z</dcterms:created>
  <dcterms:modified xsi:type="dcterms:W3CDTF">2023-09-10T11:06:38Z</dcterms:modified>
</cp:coreProperties>
</file>